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14505" yWindow="-15" windowWidth="14325" windowHeight="12450" activeTab="1"/>
  </bookViews>
  <sheets>
    <sheet name="Лист1" sheetId="4" r:id="rId1"/>
    <sheet name="Индексы по расценкам" sheetId="2" r:id="rId2"/>
    <sheet name="Индексы по разделам и смете" sheetId="3" r:id="rId3"/>
  </sheets>
  <definedNames>
    <definedName name="_xlnm._FilterDatabase" localSheetId="2" hidden="1">'Индексы по разделам и смете'!$A$12:$N$18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создания_группы_строек">#REF!</definedName>
    <definedName name="Дата_создания_локальной_сметы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Заказчик">#REF!</definedName>
    <definedName name="Инвестор">#REF!</definedName>
    <definedName name="Индекс_ЛН_группы_строек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того_ЗПМ__по_рес_расчету_с_учетом_к_тов">#REF!</definedName>
    <definedName name="Итого_ЗПМ_в_базисных_ценах">#REF!</definedName>
    <definedName name="Итого_ЗПМ_в_базисных_ценах_с_учетом_к_тов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#REF!</definedName>
    <definedName name="Итого_материалы_в_базисных_ценах_с_учетом_к_тов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Р_в_базисных_ценах">#REF!</definedName>
    <definedName name="Итого_НР_по_акту_в_базисных_ценах">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#REF!</definedName>
    <definedName name="Итого_ОЗП_в_базисных_ценах_с_учетом_к_тов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СП_в_базисных_ценах">#REF!</definedName>
    <definedName name="Итого_СП_по_акту_в_базисных_ценах">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к_ЗПМ">#REF!</definedName>
    <definedName name="к_МАТ">#REF!</definedName>
    <definedName name="к_ОЗП">#REF!</definedName>
    <definedName name="к_ПЗ">#REF!</definedName>
    <definedName name="к_ЭМ">#REF!</definedName>
    <definedName name="Максимальное_изменение_индекса">#REF!</definedName>
    <definedName name="Монтажные_работы_в_базисных_ценах">#REF!</definedName>
    <definedName name="Монтажные_работы_в_текущих_ценах">#REF!</definedName>
    <definedName name="Монтажные_работы_в_текущих_ценах_по_ресурсному_расчету">#REF!</definedName>
    <definedName name="Монтажные_работы_в_текущих_ценах_после_применения_индексов">#REF!</definedName>
    <definedName name="Наименование_группы_строек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орм_трудоемкость_механизаторов_по_смете_с_учетом_к_тов">#REF!</definedName>
    <definedName name="Норм_трудоемкость_осн_рабочих_по_смете_с_учетом_к_тов">#REF!</definedName>
    <definedName name="Нормативная_трудоемкость_механизаторов_по_смете">#REF!</definedName>
    <definedName name="Нормативная_трудоемкость_основных_рабочих_по_смете">#REF!</definedName>
    <definedName name="Оборудование_в_базисных_ценах">#REF!</definedName>
    <definedName name="Оборудование_в_текущих_ценах">#REF!</definedName>
    <definedName name="Оборудование_в_текущих_ценах_по_ресурсному_расчету">#REF!</definedName>
    <definedName name="Оборудование_в_текущих_ценах_после_применения_индексов">#REF!</definedName>
    <definedName name="Обоснование_поправки">#REF!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снование">#REF!</definedName>
    <definedName name="Отчетный_период__учет_выполненных_работ">#REF!</definedName>
    <definedName name="Проверил">#REF!</definedName>
    <definedName name="прочерк">#REF!</definedName>
    <definedName name="Прочие_затраты_в_базисных_ценах">#REF!</definedName>
    <definedName name="Прочие_затраты_в_текущих_ценах">#REF!</definedName>
    <definedName name="Прочие_затраты_в_текущих_ценах_по_ресурсному_расчету">#REF!</definedName>
    <definedName name="Прочие_затраты_в_текущих_ценах_после_применения_индексов">#REF!</definedName>
    <definedName name="Районный_к_т_к_ЗП">#REF!</definedName>
    <definedName name="Районный_к_т_к_ЗП_по_ресурсному_расчету">#REF!</definedName>
    <definedName name="Регистрационный_номер_группы_строек">#REF!</definedName>
    <definedName name="Регистрационный_номер_локальной_сметы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Сметная_стоимость_в_базисных_ценах">#REF!</definedName>
    <definedName name="Сметная_стоимость_в_текущих_ценах__после_применения_индексов">#REF!</definedName>
    <definedName name="Сметная_стоимость_по_ресурсному_расчету">#REF!</definedName>
    <definedName name="Составил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роительные_работы_в_базисных_ценах">#REF!</definedName>
    <definedName name="Строительные_работы_в_текущих_ценах">#REF!</definedName>
    <definedName name="Строительные_работы_в_текущих_ценах_по_ресурсному_расчету">#REF!</definedName>
    <definedName name="Строительные_работы_в_текущих_ценах_после_применения_индексов">#REF!</definedName>
    <definedName name="Территориальная_поправка_к_ТЕР">#REF!</definedName>
    <definedName name="Труд_механизаторов_по_акту_вып_работ_с_учетом_к_тов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</definedNames>
  <calcPr calcId="125725"/>
</workbook>
</file>

<file path=xl/calcChain.xml><?xml version="1.0" encoding="utf-8"?>
<calcChain xmlns="http://schemas.openxmlformats.org/spreadsheetml/2006/main">
  <c r="N7022" i="2"/>
  <c r="M7022"/>
  <c r="O7021"/>
  <c r="N7021"/>
  <c r="O7020"/>
  <c r="N7020"/>
  <c r="O7019"/>
  <c r="N7019"/>
  <c r="O7018"/>
  <c r="N7018"/>
  <c r="L7018"/>
  <c r="O7017"/>
  <c r="N7017"/>
  <c r="L7017"/>
  <c r="O7016"/>
  <c r="N7016"/>
  <c r="L7016"/>
  <c r="O7015"/>
  <c r="N7015"/>
  <c r="L7015"/>
  <c r="O7013" l="1"/>
  <c r="N7013"/>
  <c r="L7013"/>
  <c r="O7012"/>
  <c r="N7012"/>
  <c r="L7012"/>
  <c r="O7011"/>
  <c r="N7011"/>
  <c r="L7011"/>
  <c r="O7010"/>
  <c r="N7010"/>
  <c r="L7010"/>
  <c r="O7007"/>
  <c r="N7007"/>
  <c r="L7007"/>
  <c r="O7006"/>
  <c r="N7006"/>
  <c r="L7006"/>
  <c r="O7005"/>
  <c r="N7005"/>
  <c r="L7005"/>
  <c r="O7004"/>
  <c r="N7004"/>
  <c r="L7004"/>
  <c r="O7001"/>
  <c r="N7001"/>
  <c r="M7001"/>
  <c r="L7001"/>
  <c r="O7000"/>
  <c r="N7000"/>
  <c r="M7000"/>
  <c r="L7000"/>
  <c r="O6999"/>
  <c r="N6999"/>
  <c r="M6999"/>
  <c r="L6999"/>
  <c r="O6998"/>
  <c r="N6998"/>
  <c r="M6998"/>
  <c r="L6998"/>
  <c r="O6997"/>
  <c r="N6997"/>
  <c r="M6997"/>
  <c r="L6997"/>
  <c r="O6995"/>
  <c r="N6995"/>
  <c r="L6995"/>
  <c r="O6994"/>
  <c r="N6994"/>
  <c r="L6994"/>
  <c r="O6993"/>
  <c r="N6993"/>
  <c r="L6993"/>
  <c r="O6992"/>
  <c r="N6992"/>
  <c r="L6992"/>
  <c r="O6991"/>
  <c r="N6991"/>
  <c r="L6991"/>
  <c r="O6988"/>
  <c r="N6988"/>
  <c r="L6988"/>
  <c r="O6987"/>
  <c r="N6987"/>
  <c r="L6987"/>
  <c r="O6986"/>
  <c r="N6986"/>
  <c r="L6986"/>
  <c r="O6984"/>
  <c r="N6984"/>
  <c r="L6984"/>
  <c r="O6983"/>
  <c r="N6983"/>
  <c r="L6983"/>
  <c r="O6982"/>
  <c r="N6982"/>
  <c r="L6982"/>
  <c r="O6981"/>
  <c r="N6981"/>
  <c r="L6981"/>
  <c r="O6980"/>
  <c r="N6980"/>
  <c r="L6980"/>
  <c r="O6976"/>
  <c r="N6976"/>
  <c r="L6976"/>
  <c r="O6975"/>
  <c r="N6975"/>
  <c r="L6975"/>
  <c r="O6974"/>
  <c r="N6974"/>
  <c r="L6974"/>
  <c r="O6973"/>
  <c r="N6973"/>
  <c r="L6973"/>
  <c r="O6972"/>
  <c r="N6972"/>
  <c r="L6972"/>
  <c r="O6971"/>
  <c r="N6971"/>
  <c r="L6971"/>
  <c r="O6970"/>
  <c r="N6970"/>
  <c r="L6970"/>
  <c r="O6969"/>
  <c r="N6969"/>
  <c r="L6969"/>
  <c r="O6968"/>
  <c r="N6968"/>
  <c r="L6968"/>
  <c r="O6967"/>
  <c r="N6967"/>
  <c r="L6967"/>
  <c r="N6965"/>
  <c r="N6964"/>
  <c r="N6963"/>
  <c r="N6962"/>
  <c r="N6961"/>
  <c r="N6960"/>
  <c r="N6959"/>
  <c r="O6957"/>
  <c r="N6957"/>
  <c r="L6957"/>
  <c r="O6956"/>
  <c r="N6956"/>
  <c r="L6956"/>
  <c r="O6955"/>
  <c r="N6955"/>
  <c r="L6955"/>
  <c r="O6953"/>
  <c r="N6953"/>
  <c r="L6953"/>
  <c r="O6952"/>
  <c r="N6952"/>
  <c r="L6952"/>
  <c r="O6951"/>
  <c r="N6951"/>
  <c r="L6951"/>
  <c r="O6949"/>
  <c r="N6949"/>
  <c r="L6949"/>
  <c r="O6948"/>
  <c r="N6948"/>
  <c r="L6948"/>
  <c r="O6947"/>
  <c r="N6947"/>
  <c r="L6947"/>
  <c r="O6946"/>
  <c r="N6946"/>
  <c r="L6946"/>
  <c r="O6945"/>
  <c r="N6945"/>
  <c r="L6945"/>
  <c r="O6944"/>
  <c r="N6944"/>
  <c r="L6944"/>
  <c r="O6943"/>
  <c r="N6943"/>
  <c r="L6943"/>
  <c r="O6941"/>
  <c r="N6941"/>
  <c r="L6941"/>
  <c r="O6940"/>
  <c r="N6940"/>
  <c r="L6940"/>
  <c r="O6939"/>
  <c r="N6939"/>
  <c r="L6939"/>
  <c r="O6938"/>
  <c r="N6938"/>
  <c r="L6938"/>
  <c r="O6937"/>
  <c r="N6937"/>
  <c r="L6937"/>
  <c r="O6936"/>
  <c r="N6936"/>
  <c r="L6936"/>
  <c r="O6935"/>
  <c r="N6935"/>
  <c r="L6935"/>
  <c r="O6933"/>
  <c r="N6933"/>
  <c r="L6933"/>
  <c r="O6932"/>
  <c r="N6932"/>
  <c r="L6932"/>
  <c r="O6931"/>
  <c r="N6931"/>
  <c r="L6931"/>
  <c r="O6930"/>
  <c r="N6930"/>
  <c r="L6930"/>
  <c r="O6929"/>
  <c r="N6929"/>
  <c r="L6929"/>
  <c r="O6928"/>
  <c r="N6928"/>
  <c r="L6928"/>
  <c r="O6927"/>
  <c r="N6927"/>
  <c r="L6927"/>
  <c r="O6925"/>
  <c r="N6925"/>
  <c r="L6925"/>
  <c r="O6924"/>
  <c r="N6924"/>
  <c r="L6924"/>
  <c r="O6923"/>
  <c r="N6923"/>
  <c r="L6923"/>
  <c r="O6922"/>
  <c r="N6922"/>
  <c r="L6922"/>
  <c r="O6921"/>
  <c r="N6921"/>
  <c r="L6921"/>
  <c r="O6920"/>
  <c r="N6920"/>
  <c r="L6920"/>
  <c r="O6919"/>
  <c r="N6919"/>
  <c r="L6919"/>
  <c r="O6917"/>
  <c r="N6917"/>
  <c r="L6917"/>
  <c r="O6916"/>
  <c r="N6916"/>
  <c r="L6916"/>
  <c r="O6915"/>
  <c r="N6915"/>
  <c r="L6915"/>
  <c r="O6914"/>
  <c r="N6914"/>
  <c r="L6914"/>
  <c r="O6913"/>
  <c r="N6913"/>
  <c r="L6913"/>
  <c r="O6912"/>
  <c r="N6912"/>
  <c r="L6912"/>
  <c r="O6911"/>
  <c r="N6911"/>
  <c r="L6911"/>
  <c r="O6909"/>
  <c r="N6909"/>
  <c r="L6909"/>
  <c r="O6908"/>
  <c r="N6908"/>
  <c r="L6908"/>
  <c r="O6907"/>
  <c r="N6907"/>
  <c r="L6907"/>
  <c r="O6906"/>
  <c r="N6906"/>
  <c r="L6906"/>
  <c r="O6905"/>
  <c r="N6905"/>
  <c r="L6905"/>
  <c r="O6904"/>
  <c r="N6904"/>
  <c r="L6904"/>
  <c r="O6903"/>
  <c r="N6903"/>
  <c r="L6903"/>
  <c r="N6900"/>
  <c r="L6900"/>
  <c r="N6899"/>
  <c r="L6899"/>
  <c r="N6898"/>
  <c r="L6898"/>
  <c r="N6897"/>
  <c r="L6897"/>
  <c r="N6896"/>
  <c r="L6896"/>
  <c r="N6895"/>
  <c r="L6895"/>
  <c r="N6894"/>
  <c r="L6894"/>
  <c r="O6892"/>
  <c r="N6892"/>
  <c r="M6892"/>
  <c r="L6892"/>
  <c r="O6891"/>
  <c r="N6891"/>
  <c r="M6891"/>
  <c r="L6891"/>
  <c r="O6890"/>
  <c r="N6890"/>
  <c r="M6890"/>
  <c r="L6890"/>
  <c r="O6888"/>
  <c r="N6888"/>
  <c r="M6888"/>
  <c r="L6888"/>
  <c r="O6887"/>
  <c r="N6887"/>
  <c r="M6887"/>
  <c r="L6887"/>
  <c r="O6886"/>
  <c r="N6886"/>
  <c r="M6886"/>
  <c r="L6886"/>
  <c r="O6884"/>
  <c r="N6884"/>
  <c r="L6884"/>
  <c r="O6883"/>
  <c r="N6883"/>
  <c r="L6883"/>
  <c r="O6882"/>
  <c r="N6882"/>
  <c r="L6882"/>
  <c r="O6880"/>
  <c r="N6880"/>
  <c r="M6880"/>
  <c r="L6880"/>
  <c r="O6878"/>
  <c r="N6878"/>
  <c r="M6878"/>
  <c r="L6878"/>
  <c r="O6877"/>
  <c r="N6877"/>
  <c r="M6877"/>
  <c r="L6877"/>
  <c r="O6876"/>
  <c r="N6876"/>
  <c r="M6876"/>
  <c r="L6876"/>
  <c r="O6875"/>
  <c r="N6875"/>
  <c r="M6875"/>
  <c r="L6875"/>
  <c r="O6874"/>
  <c r="N6874"/>
  <c r="M6874"/>
  <c r="L6874"/>
  <c r="O6872"/>
  <c r="N6872"/>
  <c r="L6872"/>
  <c r="O6871"/>
  <c r="N6871"/>
  <c r="L6871"/>
  <c r="N6870"/>
  <c r="L6870"/>
  <c r="N6869"/>
  <c r="L6869"/>
  <c r="O6867"/>
  <c r="N6867"/>
  <c r="L6867"/>
  <c r="O6866"/>
  <c r="N6866"/>
  <c r="L6866"/>
  <c r="O6865"/>
  <c r="N6865"/>
  <c r="L6865"/>
  <c r="O6864"/>
  <c r="N6864"/>
  <c r="L6864"/>
  <c r="O6863"/>
  <c r="N6863"/>
  <c r="L6863"/>
  <c r="O6862"/>
  <c r="N6862"/>
  <c r="L6862"/>
  <c r="O6861"/>
  <c r="N6861"/>
  <c r="L6861"/>
  <c r="O6857"/>
  <c r="N6857"/>
  <c r="L6857"/>
  <c r="O6856"/>
  <c r="N6856"/>
  <c r="L6856"/>
  <c r="O6855"/>
  <c r="N6855"/>
  <c r="L6855"/>
  <c r="O6852"/>
  <c r="N6852"/>
  <c r="L6852"/>
  <c r="O6851"/>
  <c r="N6851"/>
  <c r="L6851"/>
  <c r="O6850"/>
  <c r="N6850"/>
  <c r="L6850"/>
  <c r="O6846"/>
  <c r="N6846"/>
  <c r="L6846"/>
  <c r="O6845"/>
  <c r="N6845"/>
  <c r="L6845"/>
  <c r="O6844"/>
  <c r="N6844"/>
  <c r="L6844"/>
  <c r="O6843"/>
  <c r="N6843"/>
  <c r="L6843"/>
  <c r="O6842"/>
  <c r="N6842"/>
  <c r="L6842"/>
  <c r="O6841"/>
  <c r="N6841"/>
  <c r="L6841"/>
  <c r="O6840"/>
  <c r="N6840"/>
  <c r="L6840"/>
  <c r="O6839"/>
  <c r="N6839"/>
  <c r="L6839"/>
  <c r="O6838"/>
  <c r="N6838"/>
  <c r="L6838"/>
  <c r="O6837"/>
  <c r="N6837"/>
  <c r="L6837"/>
  <c r="O6836"/>
  <c r="N6836"/>
  <c r="L6836"/>
  <c r="O6835"/>
  <c r="N6835"/>
  <c r="L6835"/>
  <c r="O6834"/>
  <c r="N6834"/>
  <c r="L6834"/>
  <c r="O6833"/>
  <c r="N6833"/>
  <c r="L6833"/>
  <c r="O6832"/>
  <c r="N6832"/>
  <c r="L6832"/>
  <c r="O6831"/>
  <c r="N6831"/>
  <c r="L6831"/>
  <c r="O6830"/>
  <c r="N6830"/>
  <c r="L6830"/>
  <c r="O6829"/>
  <c r="N6829"/>
  <c r="L6829"/>
  <c r="O6826"/>
  <c r="N6826"/>
  <c r="L6826"/>
  <c r="O6825"/>
  <c r="N6825"/>
  <c r="L6825"/>
  <c r="O6824"/>
  <c r="N6824"/>
  <c r="L6824"/>
  <c r="O6823"/>
  <c r="N6823"/>
  <c r="L6823"/>
  <c r="O6822"/>
  <c r="N6822"/>
  <c r="L6822"/>
  <c r="O6821"/>
  <c r="N6821"/>
  <c r="L6821"/>
  <c r="O6818"/>
  <c r="N6818"/>
  <c r="L6818"/>
  <c r="O6817"/>
  <c r="N6817"/>
  <c r="L6817"/>
  <c r="O6816"/>
  <c r="N6816"/>
  <c r="L6816"/>
  <c r="O6815"/>
  <c r="N6815"/>
  <c r="L6815"/>
  <c r="O6814"/>
  <c r="N6814"/>
  <c r="L6814"/>
  <c r="O6813"/>
  <c r="N6813"/>
  <c r="L6813"/>
  <c r="O6812"/>
  <c r="N6812"/>
  <c r="L6812"/>
  <c r="O6811"/>
  <c r="N6811"/>
  <c r="L6811"/>
  <c r="O6810"/>
  <c r="N6810"/>
  <c r="L6810"/>
  <c r="O6809"/>
  <c r="N6809"/>
  <c r="L6809"/>
  <c r="O6808"/>
  <c r="N6808"/>
  <c r="L6808"/>
  <c r="O6807"/>
  <c r="N6807"/>
  <c r="L6807"/>
  <c r="O6806"/>
  <c r="N6806"/>
  <c r="L6806"/>
  <c r="O6805"/>
  <c r="N6805"/>
  <c r="O6802"/>
  <c r="N6802"/>
  <c r="L6802"/>
  <c r="O6801"/>
  <c r="N6801"/>
  <c r="L6801"/>
  <c r="O6800"/>
  <c r="N6800"/>
  <c r="L6800"/>
  <c r="O6799"/>
  <c r="N6799"/>
  <c r="L6799"/>
  <c r="O6798"/>
  <c r="N6798"/>
  <c r="L6798"/>
  <c r="O6795"/>
  <c r="N6795"/>
  <c r="L6795"/>
  <c r="O6794"/>
  <c r="N6794"/>
  <c r="L6794"/>
  <c r="O6793"/>
  <c r="N6793"/>
  <c r="L6793"/>
  <c r="O6791"/>
  <c r="N6791"/>
  <c r="L6791"/>
  <c r="O6790"/>
  <c r="N6790"/>
  <c r="L6790"/>
  <c r="O6789"/>
  <c r="N6789"/>
  <c r="L6789"/>
  <c r="O6785"/>
  <c r="N6785"/>
  <c r="L6785"/>
  <c r="O6784"/>
  <c r="N6784"/>
  <c r="L6784"/>
  <c r="O6783"/>
  <c r="N6783"/>
  <c r="L6783"/>
  <c r="O6782"/>
  <c r="N6782"/>
  <c r="L6782"/>
  <c r="O6781"/>
  <c r="N6781"/>
  <c r="L6781"/>
  <c r="O6780"/>
  <c r="N6780"/>
  <c r="L6780"/>
  <c r="O6778"/>
  <c r="N6778"/>
  <c r="L6778"/>
  <c r="O6777"/>
  <c r="N6777"/>
  <c r="L6777"/>
  <c r="O6776"/>
  <c r="N6776"/>
  <c r="L6776"/>
  <c r="O6775"/>
  <c r="N6775"/>
  <c r="L6775"/>
  <c r="O6774"/>
  <c r="N6774"/>
  <c r="L6774"/>
  <c r="O6773"/>
  <c r="N6773"/>
  <c r="L6773"/>
  <c r="O6772"/>
  <c r="N6772"/>
  <c r="L6772"/>
  <c r="O6771"/>
  <c r="N6771"/>
  <c r="L6771"/>
  <c r="O151"/>
  <c r="N151"/>
  <c r="M151"/>
  <c r="L151"/>
  <c r="O150"/>
  <c r="N150"/>
  <c r="M150"/>
  <c r="L150"/>
  <c r="I150"/>
  <c r="O149"/>
  <c r="N149"/>
  <c r="M149"/>
  <c r="L149"/>
  <c r="I149"/>
  <c r="O145"/>
  <c r="N145"/>
  <c r="M145"/>
  <c r="L145"/>
  <c r="I145"/>
  <c r="O144"/>
  <c r="N144"/>
  <c r="M144"/>
  <c r="L144"/>
  <c r="I144"/>
  <c r="O140"/>
  <c r="N140"/>
  <c r="M140"/>
  <c r="L140"/>
  <c r="I140"/>
  <c r="O139"/>
  <c r="N139"/>
  <c r="M139"/>
  <c r="L139"/>
  <c r="I139"/>
  <c r="O137"/>
  <c r="N137"/>
  <c r="M137"/>
  <c r="L137"/>
  <c r="I137"/>
  <c r="O136"/>
  <c r="N136"/>
  <c r="M136"/>
  <c r="L136"/>
  <c r="I136"/>
  <c r="O135"/>
  <c r="N135"/>
  <c r="M135"/>
  <c r="L135"/>
  <c r="I135"/>
  <c r="O134"/>
  <c r="N134"/>
  <c r="M134"/>
  <c r="L134"/>
  <c r="I134"/>
  <c r="O132"/>
  <c r="N132"/>
  <c r="M132"/>
  <c r="L132"/>
  <c r="I132"/>
  <c r="O131"/>
  <c r="N131"/>
  <c r="M131"/>
  <c r="L131"/>
  <c r="I131"/>
  <c r="O130"/>
  <c r="N130"/>
  <c r="M130"/>
  <c r="L130"/>
  <c r="I130"/>
  <c r="O129"/>
  <c r="N129"/>
  <c r="M129"/>
  <c r="L129"/>
  <c r="I129"/>
  <c r="O128"/>
  <c r="N128"/>
  <c r="M128"/>
  <c r="L128"/>
  <c r="I128"/>
  <c r="O127"/>
  <c r="N127"/>
  <c r="M127"/>
  <c r="L127"/>
  <c r="I127"/>
  <c r="O126"/>
  <c r="N126"/>
  <c r="M126"/>
  <c r="L126"/>
  <c r="I126"/>
  <c r="O125"/>
  <c r="N125"/>
  <c r="M125"/>
  <c r="L125"/>
  <c r="I125"/>
  <c r="O124"/>
  <c r="N124"/>
  <c r="M124"/>
  <c r="L124"/>
  <c r="I124"/>
  <c r="O123"/>
  <c r="N123"/>
  <c r="M123"/>
  <c r="L123"/>
  <c r="I123"/>
  <c r="O121"/>
  <c r="N121"/>
  <c r="M121"/>
  <c r="L121"/>
  <c r="I121"/>
  <c r="O120"/>
  <c r="N120"/>
  <c r="M120"/>
  <c r="L120"/>
  <c r="I120"/>
  <c r="O119"/>
  <c r="N119"/>
  <c r="M119"/>
  <c r="L119"/>
  <c r="I119"/>
  <c r="O118"/>
  <c r="N118"/>
  <c r="M118"/>
  <c r="L118"/>
  <c r="I118"/>
  <c r="O117"/>
  <c r="N117"/>
  <c r="M117"/>
  <c r="L117"/>
  <c r="I117"/>
  <c r="O116"/>
  <c r="N116"/>
  <c r="M116"/>
  <c r="L116"/>
  <c r="I116"/>
  <c r="O114"/>
  <c r="N114"/>
  <c r="M114"/>
  <c r="L114"/>
  <c r="I114"/>
  <c r="O113"/>
  <c r="N113"/>
  <c r="M113"/>
  <c r="L113"/>
  <c r="I113"/>
  <c r="O111"/>
  <c r="N111"/>
  <c r="M111"/>
  <c r="L111"/>
  <c r="I111"/>
  <c r="O109"/>
  <c r="N109"/>
  <c r="M109"/>
  <c r="L109"/>
  <c r="I109"/>
  <c r="O108"/>
  <c r="N108"/>
  <c r="M108"/>
  <c r="L108"/>
  <c r="I108"/>
  <c r="O106"/>
  <c r="N106"/>
  <c r="M106"/>
  <c r="L106"/>
  <c r="I106"/>
  <c r="O105"/>
  <c r="N105"/>
  <c r="M105"/>
  <c r="L105"/>
  <c r="I105"/>
  <c r="O104"/>
  <c r="N104"/>
  <c r="M104"/>
  <c r="L104"/>
  <c r="I104"/>
  <c r="O103"/>
  <c r="N103"/>
  <c r="M103"/>
  <c r="L103"/>
  <c r="I103"/>
  <c r="O102"/>
  <c r="N102"/>
  <c r="M102"/>
  <c r="L102"/>
  <c r="I102"/>
  <c r="O101"/>
  <c r="N101"/>
  <c r="M101"/>
  <c r="L101"/>
  <c r="I101"/>
  <c r="O100"/>
  <c r="N100"/>
  <c r="M100"/>
  <c r="L100"/>
  <c r="I100"/>
  <c r="O99"/>
  <c r="N99"/>
  <c r="M99"/>
  <c r="L99"/>
  <c r="I99"/>
  <c r="O98"/>
  <c r="N98"/>
  <c r="M98"/>
  <c r="L98"/>
  <c r="I98"/>
  <c r="O95"/>
  <c r="N95"/>
  <c r="M95"/>
  <c r="L95"/>
  <c r="I95"/>
  <c r="O94"/>
  <c r="N94"/>
  <c r="M94"/>
  <c r="L94"/>
  <c r="I94"/>
  <c r="O93"/>
  <c r="N93"/>
  <c r="M93"/>
  <c r="L93"/>
  <c r="I93"/>
  <c r="O92"/>
  <c r="N92"/>
  <c r="M92"/>
  <c r="L92"/>
  <c r="I92"/>
  <c r="O91"/>
  <c r="N91"/>
  <c r="M91"/>
  <c r="L91"/>
  <c r="I91"/>
  <c r="O90"/>
  <c r="N90"/>
  <c r="M90"/>
  <c r="L90"/>
  <c r="I90"/>
  <c r="O89"/>
  <c r="N89"/>
  <c r="M89"/>
  <c r="L89"/>
  <c r="I89"/>
  <c r="O88"/>
  <c r="N88"/>
  <c r="M88"/>
  <c r="L88"/>
  <c r="I88"/>
  <c r="O87"/>
  <c r="N87"/>
  <c r="M87"/>
  <c r="L87"/>
  <c r="I87"/>
  <c r="O84"/>
  <c r="N84"/>
  <c r="M84"/>
  <c r="L84"/>
  <c r="I84"/>
  <c r="O83"/>
  <c r="N83"/>
  <c r="M83"/>
  <c r="L83"/>
  <c r="I83"/>
  <c r="O82"/>
  <c r="N82"/>
  <c r="M82"/>
  <c r="L82"/>
  <c r="I82"/>
  <c r="O81"/>
  <c r="N81"/>
  <c r="M81"/>
  <c r="L81"/>
  <c r="I81"/>
  <c r="O80"/>
  <c r="N80"/>
  <c r="M80"/>
  <c r="L80"/>
  <c r="I80"/>
  <c r="O79"/>
  <c r="N79"/>
  <c r="M79"/>
  <c r="L79"/>
  <c r="I79"/>
  <c r="O77"/>
  <c r="N77"/>
  <c r="M77"/>
  <c r="L77"/>
  <c r="I77"/>
  <c r="O76"/>
  <c r="N76"/>
  <c r="M76"/>
  <c r="L76"/>
  <c r="I76"/>
  <c r="O75"/>
  <c r="N75"/>
  <c r="M75"/>
  <c r="L75"/>
  <c r="I75"/>
  <c r="O74"/>
  <c r="N74"/>
  <c r="M74"/>
  <c r="L74"/>
  <c r="I74"/>
  <c r="O73"/>
  <c r="N73"/>
  <c r="M73"/>
  <c r="L73"/>
  <c r="I73"/>
  <c r="O71"/>
  <c r="N71"/>
  <c r="M71"/>
  <c r="L71"/>
  <c r="I71"/>
  <c r="O70"/>
  <c r="N70"/>
  <c r="M70"/>
  <c r="L70"/>
  <c r="I70"/>
  <c r="O68"/>
  <c r="N68"/>
  <c r="M68"/>
  <c r="L68"/>
  <c r="I68"/>
  <c r="O67"/>
  <c r="N67"/>
  <c r="M67"/>
  <c r="L67"/>
  <c r="I67"/>
  <c r="O66"/>
  <c r="N66"/>
  <c r="M66"/>
  <c r="L66"/>
  <c r="I66"/>
  <c r="O65"/>
  <c r="N65"/>
  <c r="M65"/>
  <c r="L65"/>
  <c r="I65"/>
  <c r="O64"/>
  <c r="N64"/>
  <c r="M64"/>
  <c r="L64"/>
  <c r="I64"/>
  <c r="O63"/>
  <c r="N63"/>
  <c r="M63"/>
  <c r="L63"/>
  <c r="I63"/>
  <c r="O61"/>
  <c r="N61"/>
  <c r="M61"/>
  <c r="L61"/>
  <c r="I61"/>
  <c r="O60"/>
  <c r="N60"/>
  <c r="M60"/>
  <c r="L60"/>
  <c r="I60"/>
  <c r="O59"/>
  <c r="N59"/>
  <c r="M59"/>
  <c r="L59"/>
  <c r="I59"/>
  <c r="O58"/>
  <c r="N58"/>
  <c r="M58"/>
  <c r="L58"/>
  <c r="I58"/>
  <c r="O57"/>
  <c r="N57"/>
  <c r="M57"/>
  <c r="L57"/>
  <c r="I57"/>
  <c r="O56"/>
  <c r="N56"/>
  <c r="M56"/>
  <c r="L56"/>
  <c r="I56"/>
  <c r="O54"/>
  <c r="N54"/>
  <c r="M54"/>
  <c r="L54"/>
  <c r="I54"/>
  <c r="O53"/>
  <c r="N53"/>
  <c r="M53"/>
  <c r="L53"/>
  <c r="I53"/>
  <c r="O52"/>
  <c r="N52"/>
  <c r="M52"/>
  <c r="L52"/>
  <c r="I52"/>
  <c r="O49"/>
  <c r="N49"/>
  <c r="M49"/>
  <c r="L49"/>
  <c r="I49"/>
  <c r="O48"/>
  <c r="N48"/>
  <c r="M48"/>
  <c r="L48"/>
  <c r="I48"/>
  <c r="O47"/>
  <c r="N47"/>
  <c r="M47"/>
  <c r="L47"/>
  <c r="I47"/>
  <c r="O45"/>
  <c r="N45"/>
  <c r="M45"/>
  <c r="L45"/>
  <c r="I45"/>
  <c r="O44"/>
  <c r="N44"/>
  <c r="M44"/>
  <c r="L44"/>
  <c r="I44"/>
  <c r="O43"/>
  <c r="N43"/>
  <c r="M43"/>
  <c r="L43"/>
  <c r="I43"/>
  <c r="O42"/>
  <c r="N42"/>
  <c r="M42"/>
  <c r="L42"/>
  <c r="I42"/>
  <c r="O40"/>
  <c r="N40"/>
  <c r="M40"/>
  <c r="L40"/>
  <c r="I40"/>
  <c r="O39"/>
  <c r="N39"/>
  <c r="M39"/>
  <c r="L39"/>
  <c r="I39"/>
  <c r="O38"/>
  <c r="N38"/>
  <c r="M38"/>
  <c r="L38"/>
  <c r="I38"/>
  <c r="O37"/>
  <c r="N37"/>
  <c r="M37"/>
  <c r="L37"/>
  <c r="I37"/>
  <c r="O33"/>
  <c r="N33"/>
  <c r="M33"/>
  <c r="L33"/>
  <c r="I33"/>
  <c r="O32"/>
  <c r="N32"/>
  <c r="M32"/>
  <c r="L32"/>
  <c r="I32"/>
  <c r="O31"/>
  <c r="N31"/>
  <c r="M31"/>
  <c r="L31"/>
  <c r="I31"/>
  <c r="O30"/>
  <c r="N30"/>
  <c r="M30"/>
  <c r="L30"/>
  <c r="I30"/>
  <c r="O29"/>
  <c r="N29"/>
  <c r="M29"/>
  <c r="L29"/>
  <c r="I29"/>
  <c r="O28"/>
  <c r="N28"/>
  <c r="M28"/>
  <c r="L28"/>
  <c r="I28"/>
  <c r="O27"/>
  <c r="N27"/>
  <c r="M27"/>
  <c r="L27"/>
  <c r="I27"/>
  <c r="O26"/>
  <c r="N26"/>
  <c r="M26"/>
  <c r="L26"/>
  <c r="I26"/>
  <c r="O25"/>
  <c r="N25"/>
  <c r="M25"/>
  <c r="L25"/>
  <c r="I25"/>
  <c r="O24"/>
  <c r="N24"/>
  <c r="M24"/>
  <c r="L24"/>
  <c r="I24"/>
  <c r="O23"/>
  <c r="N23"/>
  <c r="M23"/>
  <c r="L23"/>
  <c r="I23"/>
  <c r="O20"/>
  <c r="N20"/>
  <c r="M20"/>
  <c r="L20"/>
  <c r="I20"/>
  <c r="O19"/>
  <c r="N19"/>
  <c r="M19"/>
  <c r="L19"/>
  <c r="I19"/>
  <c r="O18"/>
  <c r="N18"/>
  <c r="M18"/>
  <c r="L18"/>
  <c r="I18"/>
  <c r="O17"/>
  <c r="N17"/>
  <c r="M17"/>
  <c r="L17"/>
  <c r="I17"/>
  <c r="O16"/>
  <c r="N16"/>
  <c r="M16"/>
  <c r="L16"/>
  <c r="I16"/>
  <c r="O15"/>
  <c r="N15"/>
  <c r="M15"/>
  <c r="L15"/>
  <c r="I15"/>
  <c r="O14"/>
  <c r="N14"/>
  <c r="M14"/>
  <c r="L14"/>
  <c r="I14"/>
  <c r="A14" i="3"/>
  <c r="A15"/>
  <c r="A16" s="1"/>
  <c r="N24"/>
  <c r="M24"/>
  <c r="L24"/>
  <c r="K24"/>
  <c r="R23" i="2"/>
  <c r="R37"/>
  <c r="R144"/>
  <c r="R14"/>
  <c r="R149"/>
  <c r="R87"/>
  <c r="R52"/>
  <c r="R98"/>
  <c r="B13" i="3" l="1"/>
  <c r="A17"/>
  <c r="R15" i="2"/>
  <c r="R24"/>
  <c r="R99"/>
  <c r="R53"/>
  <c r="R150"/>
  <c r="R145"/>
  <c r="R88"/>
  <c r="R38"/>
  <c r="A18" i="3" l="1"/>
  <c r="R25" i="2"/>
  <c r="R16"/>
  <c r="R54"/>
  <c r="R89"/>
  <c r="R39"/>
  <c r="R100"/>
  <c r="A19" i="3" l="1"/>
  <c r="R40" i="2"/>
  <c r="R26"/>
  <c r="R17"/>
  <c r="R90"/>
  <c r="R101"/>
  <c r="R56"/>
  <c r="A20" i="3" l="1"/>
  <c r="R102" i="2"/>
  <c r="R42"/>
  <c r="R57"/>
  <c r="R18"/>
  <c r="R27"/>
  <c r="R91"/>
  <c r="A21" i="3" l="1"/>
  <c r="R103" i="2"/>
  <c r="R28"/>
  <c r="R92"/>
  <c r="R43"/>
  <c r="R58"/>
  <c r="R19"/>
  <c r="A22" i="3" l="1"/>
  <c r="R20" i="2"/>
  <c r="R104"/>
  <c r="R44"/>
  <c r="R45" s="1"/>
  <c r="R93"/>
  <c r="R94" s="1"/>
  <c r="R29"/>
  <c r="R30"/>
  <c r="R59"/>
  <c r="R47"/>
  <c r="R48"/>
  <c r="R31"/>
  <c r="R105"/>
  <c r="R60"/>
  <c r="R95"/>
  <c r="R49"/>
  <c r="R32"/>
  <c r="R61"/>
  <c r="R63" s="1"/>
  <c r="R64" s="1"/>
  <c r="R65" s="1"/>
  <c r="R33"/>
  <c r="R106"/>
  <c r="B15" i="3" l="1"/>
  <c r="B14"/>
  <c r="R108" i="2"/>
  <c r="R66"/>
  <c r="R67"/>
  <c r="R68" s="1"/>
  <c r="R70" s="1"/>
  <c r="B16" i="3" l="1"/>
  <c r="R71" i="2"/>
  <c r="R109"/>
  <c r="R73"/>
  <c r="R111"/>
  <c r="R74"/>
  <c r="R75" s="1"/>
  <c r="B17" i="3" l="1"/>
  <c r="R113" i="2"/>
  <c r="R76"/>
  <c r="R77"/>
  <c r="R114"/>
  <c r="R116" s="1"/>
  <c r="R117" s="1"/>
  <c r="R118"/>
  <c r="R119" s="1"/>
  <c r="R120" s="1"/>
  <c r="R121" s="1"/>
  <c r="R79"/>
  <c r="R80"/>
  <c r="R123"/>
  <c r="R124" s="1"/>
  <c r="R125" s="1"/>
  <c r="R126" s="1"/>
  <c r="R127"/>
  <c r="R128" s="1"/>
  <c r="R129" s="1"/>
  <c r="R130" s="1"/>
  <c r="R131" s="1"/>
  <c r="R132" s="1"/>
  <c r="R134" s="1"/>
  <c r="R135" s="1"/>
  <c r="R136" s="1"/>
  <c r="R81"/>
  <c r="R82" s="1"/>
  <c r="R83" s="1"/>
  <c r="R84"/>
  <c r="R137"/>
  <c r="R139" s="1"/>
  <c r="R140" s="1"/>
  <c r="J15" i="3" l="1"/>
  <c r="G18"/>
  <c r="D19"/>
  <c r="G16"/>
  <c r="H16"/>
  <c r="E18"/>
  <c r="I13"/>
  <c r="F21"/>
  <c r="C13"/>
  <c r="C20"/>
  <c r="G13"/>
  <c r="K13" s="1"/>
  <c r="D14"/>
  <c r="C21"/>
  <c r="F17"/>
  <c r="J17"/>
  <c r="G15"/>
  <c r="D13"/>
  <c r="D17"/>
  <c r="B18"/>
  <c r="H13"/>
  <c r="L13" s="1"/>
  <c r="J19"/>
  <c r="F13"/>
  <c r="I21"/>
  <c r="M21" s="1"/>
  <c r="D22"/>
  <c r="G21"/>
  <c r="K21" s="1"/>
  <c r="E20"/>
  <c r="I19"/>
  <c r="D21"/>
  <c r="H18"/>
  <c r="C18"/>
  <c r="D18"/>
  <c r="F22"/>
  <c r="E13"/>
  <c r="J20"/>
  <c r="H17"/>
  <c r="L17" s="1"/>
  <c r="H14"/>
  <c r="L14" s="1"/>
  <c r="E16"/>
  <c r="H20"/>
  <c r="H21"/>
  <c r="L21" s="1"/>
  <c r="F16"/>
  <c r="E17"/>
  <c r="C16"/>
  <c r="H15"/>
  <c r="I18"/>
  <c r="M18" s="1"/>
  <c r="F19"/>
  <c r="E19"/>
  <c r="I22"/>
  <c r="M22" s="1"/>
  <c r="C17"/>
  <c r="G14"/>
  <c r="C22"/>
  <c r="F14"/>
  <c r="G20"/>
  <c r="K20" s="1"/>
  <c r="B20"/>
  <c r="G19"/>
  <c r="I16"/>
  <c r="M16" s="1"/>
  <c r="D15"/>
  <c r="J16"/>
  <c r="N16" s="1"/>
  <c r="C14"/>
  <c r="J14"/>
  <c r="N14" s="1"/>
  <c r="F15"/>
  <c r="J18"/>
  <c r="B21"/>
  <c r="E21"/>
  <c r="J22"/>
  <c r="N22" s="1"/>
  <c r="F20"/>
  <c r="G22"/>
  <c r="K22" s="1"/>
  <c r="E15"/>
  <c r="G17"/>
  <c r="K17" s="1"/>
  <c r="D16"/>
  <c r="C19"/>
  <c r="H19"/>
  <c r="L19" s="1"/>
  <c r="E22"/>
  <c r="H22"/>
  <c r="L22" s="1"/>
  <c r="F18"/>
  <c r="J13"/>
  <c r="N13" s="1"/>
  <c r="I15"/>
  <c r="M15" s="1"/>
  <c r="I20"/>
  <c r="M20" s="1"/>
  <c r="D20"/>
  <c r="B19"/>
  <c r="J21"/>
  <c r="N21" s="1"/>
  <c r="C15"/>
  <c r="B22"/>
  <c r="I14"/>
  <c r="E14"/>
  <c r="I17"/>
  <c r="M17" s="1"/>
  <c r="M14" l="1"/>
  <c r="N18"/>
  <c r="K14"/>
  <c r="L15"/>
  <c r="L18"/>
  <c r="M19"/>
  <c r="N19"/>
  <c r="N17"/>
  <c r="M13"/>
  <c r="L16"/>
  <c r="N15"/>
  <c r="K19"/>
  <c r="L20"/>
  <c r="N20"/>
  <c r="K15"/>
  <c r="K16"/>
  <c r="K18"/>
</calcChain>
</file>

<file path=xl/comments1.xml><?xml version="1.0" encoding="utf-8"?>
<comments xmlns="http://schemas.openxmlformats.org/spreadsheetml/2006/main">
  <authors>
    <author>Proba</author>
    <author>Сергей</author>
    <author>&lt;&gt;</author>
    <author>andrey</author>
    <author>Alex</author>
  </authors>
  <commentList>
    <comment ref="A1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 &lt;Номер позиции по смете&gt;
</t>
        </r>
      </text>
    </comment>
    <comment ref="B10" authorId="1">
      <text>
        <r>
          <rPr>
            <sz val="8"/>
            <color indexed="81"/>
            <rFont val="Tahoma"/>
            <family val="2"/>
            <charset val="204"/>
          </rPr>
          <t xml:space="preserve">   &lt;Обоснование (код) позиции&gt;</t>
        </r>
      </text>
    </comment>
    <comment ref="C1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 &lt;Наименование (текстовая часть) расценки&gt;
</t>
        </r>
      </text>
    </commen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 &lt;ИТОГО ПЗ по позиции для БИМ&gt;
</t>
        </r>
      </text>
    </comment>
    <comment ref="E10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  &lt;ИТОГО ОЗП по позиции для БИМ&gt;</t>
        </r>
      </text>
    </comment>
    <comment ref="F10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  &lt;ИТОГО ЭММ по позиции для БИМ&gt;</t>
        </r>
      </text>
    </comment>
    <comment ref="G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  &lt;ИТОГО МАТ по позиции для БИМ&gt;</t>
        </r>
      </text>
    </comment>
    <comment ref="H1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ПЗ по позиции в текущих ценах&gt;
</t>
        </r>
      </text>
    </comment>
    <comment ref="I10" authorId="1">
      <text>
        <r>
          <rPr>
            <sz val="8"/>
            <color indexed="81"/>
            <rFont val="Tahoma"/>
            <family val="2"/>
            <charset val="204"/>
          </rPr>
          <t xml:space="preserve">  =&lt;ИТОГО ОЗП по позиции в текущих ценах&gt;</t>
        </r>
      </text>
    </comment>
    <comment ref="J10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ЭММ по позиции в текущих ценах&gt;</t>
        </r>
      </text>
    </comment>
    <comment ref="K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МАТ по позиции в текущих ценах&gt;</t>
        </r>
      </text>
    </comment>
    <comment ref="L10" authorId="1">
      <text>
        <r>
          <rPr>
            <sz val="8"/>
            <color indexed="81"/>
            <rFont val="Tahoma"/>
            <family val="2"/>
            <charset val="204"/>
          </rPr>
          <t xml:space="preserve">   =IF(&lt;ИТОГО ПЗ по позиции для БИМ&gt;=0, "-", &lt;ИТОГО ПЗ по позиции в текущих ценах&gt;/&lt;ИТОГО ПЗ по позиции для БИМ&gt;)</t>
        </r>
      </text>
    </comment>
    <comment ref="M10" authorId="1">
      <text>
        <r>
          <rPr>
            <sz val="8"/>
            <color indexed="81"/>
            <rFont val="Tahoma"/>
            <family val="2"/>
            <charset val="204"/>
          </rPr>
          <t xml:space="preserve">   =IF(&lt;ИТОГО ОЗП по позиции для БИМ&gt;=0, "-", &lt;ИТОГО ОЗП по позиции в текущих ценах&gt;/&lt;ИТОГО ОЗП по позиции для БИМ&gt;)</t>
        </r>
      </text>
    </comment>
    <comment ref="N10" authorId="1">
      <text>
        <r>
          <rPr>
            <b/>
            <sz val="8"/>
            <color indexed="81"/>
            <rFont val="Tahoma"/>
            <family val="2"/>
            <charset val="204"/>
          </rPr>
          <t xml:space="preserve">   =IF(&lt;ИТОГО ЭММ по позиции для БИМ&gt;=0, "-", &lt;ИТОГО ЭММ по позиции в текущих ценах&gt;/&lt;ИТОГО ЭММ по позиции для БИМ&gt;)</t>
        </r>
      </text>
    </comment>
    <comment ref="O10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   =IF(&lt;ИТОГО МАТ по позиции для БИМ&gt;=0, "-", &lt;ИТОГО МАТ по позиции в текущих ценах&gt;/&lt;ИТОГО МАТ по позиции для БИМ&gt;)</t>
        </r>
      </text>
    </comment>
    <comment ref="R10" authorId="3">
      <text>
        <r>
          <rPr>
            <b/>
            <sz val="8"/>
            <color indexed="81"/>
            <rFont val="Tahoma"/>
            <family val="2"/>
            <charset val="204"/>
          </rPr>
          <t xml:space="preserve"> =IF(ISERROR(VALUE(TRIM(INDIRECT(ADDRESS(ROW()-1, COLUMN(A14)))))), INDIRECT(ADDRESS(ROW()-2, COLUMN(R14)))+1, INDIRECT(ADDRESS(ROW()-1, COLUMN(R14))))&lt;Пустой идентификатор&gt;</t>
        </r>
      </text>
    </comment>
    <comment ref="D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ПЗ&gt;</t>
        </r>
      </text>
    </comment>
    <comment ref="E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ОЗП&gt;</t>
        </r>
      </text>
    </comment>
    <comment ref="F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ЭМ&gt;</t>
        </r>
      </text>
    </comment>
    <comment ref="G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МАТ&gt;</t>
        </r>
      </text>
    </comment>
    <comment ref="H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ПЗ&gt;</t>
        </r>
      </text>
    </comment>
    <comment ref="I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ОЗП&gt;</t>
        </r>
      </text>
    </comment>
    <comment ref="J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ЭМ&gt;</t>
        </r>
      </text>
    </comment>
    <comment ref="K151" authorId="4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МАТ&gt;</t>
        </r>
      </text>
    </comment>
  </commentList>
</comments>
</file>

<file path=xl/comments2.xml><?xml version="1.0" encoding="utf-8"?>
<comments xmlns="http://schemas.openxmlformats.org/spreadsheetml/2006/main">
  <authors>
    <author>Alex</author>
  </authors>
  <commentList>
    <comment ref="C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ПЗ&gt;</t>
        </r>
      </text>
    </comment>
    <comment ref="D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ОЗП&gt;</t>
        </r>
      </text>
    </comment>
    <comment ref="E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ЭМ&gt;</t>
        </r>
      </text>
    </comment>
    <comment ref="F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МАТ&gt;</t>
        </r>
      </text>
    </comment>
    <comment ref="G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ПЗ&gt;</t>
        </r>
      </text>
    </comment>
    <comment ref="H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ОЗП&gt;</t>
        </r>
      </text>
    </comment>
    <comment ref="I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ЭМ&gt;</t>
        </r>
      </text>
    </comment>
    <comment ref="J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  &lt;Итого МАТ&gt;</t>
        </r>
      </text>
    </comment>
  </commentList>
</comments>
</file>

<file path=xl/sharedStrings.xml><?xml version="1.0" encoding="utf-8"?>
<sst xmlns="http://schemas.openxmlformats.org/spreadsheetml/2006/main" count="38558" uniqueCount="36416">
  <si>
    <t xml:space="preserve">РАСЧЕТ ИНДЕКСОВ  </t>
  </si>
  <si>
    <t>(указать квартал, год)</t>
  </si>
  <si>
    <t>прямые затраты</t>
  </si>
  <si>
    <t>оплата труда</t>
  </si>
  <si>
    <t>материалы</t>
  </si>
  <si>
    <t>Стоимость в базовых ценах, руб.</t>
  </si>
  <si>
    <t>Индексы</t>
  </si>
  <si>
    <t>Стоимость в текущих ценах, руб.</t>
  </si>
  <si>
    <t>на</t>
  </si>
  <si>
    <t>№ пп</t>
  </si>
  <si>
    <t>Наименование</t>
  </si>
  <si>
    <t>Номера расценок</t>
  </si>
  <si>
    <t>(указать базисный уровень цен)</t>
  </si>
  <si>
    <t>Индекс по смете</t>
  </si>
  <si>
    <t>Номер раздела</t>
  </si>
  <si>
    <t>Наименование раздела</t>
  </si>
  <si>
    <t>матери-алы</t>
  </si>
  <si>
    <t>эксплуата-ция машин</t>
  </si>
  <si>
    <t>Итоги по смете</t>
  </si>
  <si>
    <t xml:space="preserve">                           Раздел 1. ОТДЕЛ 01. МЕТАЛЛОРЕЖУЩЕЕ ОБОРУДОВАНИЕ</t>
  </si>
  <si>
    <t xml:space="preserve">                                   Раздел 1. СТАНКИ В СОБРАННОМ ВИДЕ: ТОКАРНЫЕ, СВЕРЛИЛЬНО-РАСТОЧНЫЕ, ШЛИФОВАЛЬНЫЕ, ЗУБООБРАБАТЫВАЮЩИЕ, ФРЕЗЕРНЫЕ, СТРОГАЛЬНЫЕ И ДОЛБЕЖНЫЕ, ПРОТЯЖНЫЕ, ЭЛЕКТРОФИЗИЧЕСКИЕ И ЭЛЕКТРОХИМИЧЕСКИЕ, БАЛАНСИРОВОЧНЫЕ И ОТРЕЗНЫЕ</t>
  </si>
  <si>
    <t xml:space="preserve">                                   Станки массой от 1,1 до 20 т</t>
  </si>
  <si>
    <t>ТЕРм01-01-001-01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</si>
  <si>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от 1,1 до 2 т</t>
  </si>
  <si>
    <t>ТЕРм01-01-001-02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</si>
  <si>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3 т</t>
  </si>
  <si>
    <t>ТЕРм01-01-001-03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</si>
  <si>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5 т</t>
  </si>
  <si>
    <t>ТЕРм01-01-001-04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</si>
  <si>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8 т</t>
  </si>
  <si>
    <t>ТЕРм01-01-001-05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</si>
  <si>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14 т</t>
  </si>
  <si>
    <t>ТЕРм01-01-001-06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</si>
  <si>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15 т</t>
  </si>
  <si>
    <t>ТЕРм01-01-001-07</t>
  </si>
  <si>
    <t>Станок в собранном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20 т</t>
  </si>
  <si>
    <t xml:space="preserve">                                   Раздел 2. СТАНКИ В РАЗОБРАННОМ ВИДЕ: ТОКАРНЫЕ, СВЕРЛИЛЬНО-РАСТОЧНЫЕ, ШЛИФОВАЛЬНЫЕ, ЗУБООБРАБАТЫВАЮЩИЕ, ФРЕЗЕРНЫЕ, СТРОГАЛЬНЫЕ И ДОЛБЕЖНЫЕ, ПРОТЯЖНЫЕ, ЭЛЕКТРОФИЗИЧЕСКИЕ И ЭЛЕКТРОХИМИЧЕСКИЕ, БАЛАНСИРОВОЧНЫЕ И ОТРЕЗНЫЕ</t>
  </si>
  <si>
    <t xml:space="preserve">                                   Станки массой свыше 20 до 160 т</t>
  </si>
  <si>
    <t>ТЕРм01-01-011-01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</si>
  <si>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свыше 20 до 25 т</t>
  </si>
  <si>
    <t>ТЕРм01-01-011-02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</si>
  <si>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30 т</t>
  </si>
  <si>
    <t>ТЕРм01-01-011-03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</si>
  <si>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40 т</t>
  </si>
  <si>
    <t>ТЕРм01-01-011-04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</si>
  <si>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50 т</t>
  </si>
  <si>
    <t>ТЕРм01-01-011-05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</si>
  <si>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60 т</t>
  </si>
  <si>
    <t>ТЕРм01-01-011-06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</si>
  <si>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70 т</t>
  </si>
  <si>
    <t>ТЕРм01-01-011-07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</si>
  <si>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85 т</t>
  </si>
  <si>
    <t>ТЕРм01-01-011-08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</si>
  <si>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100 т</t>
  </si>
  <si>
    <t>ТЕРм01-01-011-09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</si>
  <si>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120 т</t>
  </si>
  <si>
    <t>ТЕРм01-01-011-10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</si>
  <si>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140 т</t>
  </si>
  <si>
    <t>ТЕРм01-01-011-11</t>
  </si>
  <si>
    <t>Станок в разобранном виде: токарный, сверлильно-расточный, шлифовальный, зубообрабатывающий, фрезерный, строгальный и долбежный, протяжный, электрофизический и электрохимический, балансировочный и отрезной, масса до 160 т</t>
  </si>
  <si>
    <t xml:space="preserve">                           Раздел 2. ОТДЕЛ 02. ПРЕССОВОЕ И КУЗНЕЧНОЕ ОБОРУДОВАНИЕ</t>
  </si>
  <si>
    <t xml:space="preserve">                                   Раздел 1. МОЛОТЫ</t>
  </si>
  <si>
    <t xml:space="preserve">                                   Молоты ковочные паровоздушные арочные и мостовые</t>
  </si>
  <si>
    <t>ТЕРм01-02-001-01</t>
  </si>
  <si>
    <t>Молот ковочный паровоздушный арочный и мостовой, масса от 18 до 20 т</t>
  </si>
  <si>
    <t>ТЕРм01-02-001-02</t>
  </si>
  <si>
    <t>Молот ковочный паровоздушный арочный и мостовой, масса до 30 т</t>
  </si>
  <si>
    <t>ТЕРм01-02-001-03</t>
  </si>
  <si>
    <t>Молот ковочный паровоздушный арочный и мостовой, масса до 35 т</t>
  </si>
  <si>
    <t>ТЕРм01-02-001-04</t>
  </si>
  <si>
    <t>Молот ковочный паровоздушный арочный и мостовой, масса 100 т</t>
  </si>
  <si>
    <t xml:space="preserve">                                   Молоты штамповочные паровоздушные</t>
  </si>
  <si>
    <t>ТЕРм01-02-002-01</t>
  </si>
  <si>
    <t>Молот штамповочный паровоздушный, масса 10 т</t>
  </si>
  <si>
    <t>ТЕРм01-02-002-02</t>
  </si>
  <si>
    <t>Молот штамповочный паровоздушный, масса до 50 т</t>
  </si>
  <si>
    <t>ТЕРм01-02-002-03</t>
  </si>
  <si>
    <t>Молот штамповочный паровоздушный, масса 100 т</t>
  </si>
  <si>
    <t>ТЕРм01-02-002-04</t>
  </si>
  <si>
    <t>Молот штамповочный паровоздушный, масса 160 т</t>
  </si>
  <si>
    <t xml:space="preserve">                                   Молоты ковочные пневматические</t>
  </si>
  <si>
    <t>ТЕРм01-02-003-01</t>
  </si>
  <si>
    <t>Молот ковочный пневматический, масса от 3 до 5 т</t>
  </si>
  <si>
    <t>ТЕРм01-02-003-02</t>
  </si>
  <si>
    <t>Молот ковочный пневматический, масса до 10 т</t>
  </si>
  <si>
    <t>ТЕРм01-02-003-03</t>
  </si>
  <si>
    <t>Молот ковочный пневматический, масса до 15 т</t>
  </si>
  <si>
    <t xml:space="preserve">                                   Раздел 2. ПРЕССЫ</t>
  </si>
  <si>
    <t xml:space="preserve">                                   Прессы механические: однокривошипные ненаклоняемые, однокривошипные с рогом, винтовые, специализированные, одно- и двухкривошипные простого действия открытые и закрытые, чеканочные, обрезные, для холодного выдавливания</t>
  </si>
  <si>
    <t>ТЕРм01-02-014-01</t>
  </si>
  <si>
    <t>Пресс механический: однокривошипный ненаклоняемый, однокривошипный с рогом, винтовой, специализированный, одно- и двухкривошипный простого действия открытый и закрытый, чеканочный, обрезной, для холодного выдавливания, масса от 13 до 15 т</t>
  </si>
  <si>
    <t>ТЕРм01-02-014-02</t>
  </si>
  <si>
    <t>Пресс механический: однокривошипный ненаклоняемый, однокривошипный с рогом, винтовой, специализированный, одно- и двухкривошипный простого действия открытый и закрытый, чеканочный, обрезной, для холодного выдавливания, масса до 20 т</t>
  </si>
  <si>
    <t>ТЕРм01-02-014-03</t>
  </si>
  <si>
    <t>Пресс механический: однокривошипный ненаклоняемый, однокривошипный с рогом, винтовой, специализированный, одно- и двухкривошипный простого действия открытый и закрытый, чеканочный, обрезной, для холодного выдавливания, масса до 30 т</t>
  </si>
  <si>
    <t xml:space="preserve">                                   Прессы механические: однокривошипные, закрытые, винтовые, обрезные, для холодного выдавливания</t>
  </si>
  <si>
    <t>ТЕРм01-02-015-01</t>
  </si>
  <si>
    <t>Пресс механический: однокривошипный, закрытый, винтовой, обрезной, для холодного выдавливания, масса 32 т</t>
  </si>
  <si>
    <t>ТЕРм01-02-015-02</t>
  </si>
  <si>
    <t>Пресс механический: однокривошипный, закрытый, винтовой, обрезной, для холодного выдавливания, масса до 40 т</t>
  </si>
  <si>
    <t>ТЕРм01-02-015-03</t>
  </si>
  <si>
    <t>Пресс механический: однокривошипный, закрытый, винтовой, обрезной, для холодного выдавливания, масса до 55 т</t>
  </si>
  <si>
    <t>ТЕРм01-02-015-04</t>
  </si>
  <si>
    <t>Пресс механический: однокривошипный, закрытый, винтовой, обрезной, для холодного выдавливания, масса до 70 т</t>
  </si>
  <si>
    <t>ТЕРм01-02-015-05</t>
  </si>
  <si>
    <t>Пресс механический: однокривошипный, закрытый, винтовой, обрезной, для холодного выдавливания, масса до 80 т</t>
  </si>
  <si>
    <t>ТЕРм01-02-015-06</t>
  </si>
  <si>
    <t>Пресс механический: однокривошипный, закрытый, винтовой, обрезной, для холодного выдавливания, масса до 150 т</t>
  </si>
  <si>
    <t xml:space="preserve">                                   Прессы механические двух- и четырехкривошипные</t>
  </si>
  <si>
    <t>ТЕРм01-02-016-01</t>
  </si>
  <si>
    <t>Пресс механический двух- и четырехкривошипный, масса 45 т</t>
  </si>
  <si>
    <t>ТЕРм01-02-016-02</t>
  </si>
  <si>
    <t>Пресс механический двух- и четырехкривошипный, масса 200 т</t>
  </si>
  <si>
    <t>ТЕРм01-02-016-03</t>
  </si>
  <si>
    <t>Пресс механический двух- и четырехкривошипный, масса 250 т</t>
  </si>
  <si>
    <t>ТЕРм01-02-016-04</t>
  </si>
  <si>
    <t>Пресс механический двух- и четырехкривошипный, масса 300 т</t>
  </si>
  <si>
    <t>ТЕРм01-02-016-05</t>
  </si>
  <si>
    <t>Пресс механический двух- и четырехкривошипный, масса 400 т</t>
  </si>
  <si>
    <t>ТЕРм01-02-016-06</t>
  </si>
  <si>
    <t>Пресс механический двух- и четырехкривошипный, масса 600 т</t>
  </si>
  <si>
    <t xml:space="preserve">                                   Прессы механические двойного действия одно- и четырехкривошипные</t>
  </si>
  <si>
    <t>ТЕРм01-02-017-01</t>
  </si>
  <si>
    <t>Пресс механический двойного действия одно- и четырехкривошипный, масса от 260 до 300 т</t>
  </si>
  <si>
    <t>ТЕРм01-02-017-02</t>
  </si>
  <si>
    <t>Пресс механический двойного действия одно- и четырехкривошипный, масса свыше 300 до 380 т</t>
  </si>
  <si>
    <t xml:space="preserve">                                   Прессы механические чеканочные и обрезные</t>
  </si>
  <si>
    <t>ТЕРм01-02-018-01</t>
  </si>
  <si>
    <t>Пресс механический чеканочный и обрезной, масса от 40 до 45 т</t>
  </si>
  <si>
    <t>ТЕРм01-02-018-02</t>
  </si>
  <si>
    <t>Пресс механический чеканочный и обрезной, масса до 55 т</t>
  </si>
  <si>
    <t>ТЕРм01-02-018-03</t>
  </si>
  <si>
    <t>Пресс механический чеканочный и обрезной, масса до 70 т</t>
  </si>
  <si>
    <t>ТЕРм01-02-018-04</t>
  </si>
  <si>
    <t>Пресс механический чеканочный и обрезной, масса до 100 т</t>
  </si>
  <si>
    <t>ТЕРм01-02-018-05</t>
  </si>
  <si>
    <t>Пресс механический чеканочный и обрезной, масса 250 т</t>
  </si>
  <si>
    <t xml:space="preserve">                                   Прессы механические горячештамповочные</t>
  </si>
  <si>
    <t>ТЕРм01-02-019-01</t>
  </si>
  <si>
    <t>Пресс механический горячештамповочный, масса 65 т</t>
  </si>
  <si>
    <t>ТЕРм01-02-019-02</t>
  </si>
  <si>
    <t>Пресс механический горячештамповочный, масса до 100 т</t>
  </si>
  <si>
    <t>ТЕРм01-02-019-03</t>
  </si>
  <si>
    <t>Пресс механический горячештамповочный, масса до 130 т</t>
  </si>
  <si>
    <t>ТЕРм01-02-019-04</t>
  </si>
  <si>
    <t>Пресс механический горячештамповочный, масса до 180 т</t>
  </si>
  <si>
    <t>ТЕРм01-02-019-05</t>
  </si>
  <si>
    <t>Пресс механический горячештамповочный, масса 380 т</t>
  </si>
  <si>
    <t>ТЕРм01-02-019-06</t>
  </si>
  <si>
    <t>Пресс механический горячештамповочный, масса 650 т</t>
  </si>
  <si>
    <t xml:space="preserve">                                   Раздел 3. КОВОЧНЫЕ МАШИНЫ</t>
  </si>
  <si>
    <t xml:space="preserve">                                   Ковочные машины: горизонтальные, радиально-обжимные, вальцы ковочные</t>
  </si>
  <si>
    <t>ТЕРм01-02-030-01</t>
  </si>
  <si>
    <t>Ковочная машина: горизонтальная, радиально-обжимная, вальцы ковочная, масса от 20 до 30 т</t>
  </si>
  <si>
    <t>ТЕРм01-02-030-02</t>
  </si>
  <si>
    <t>Ковочная машина: горизонтальная, радиально-обжимная, вальцы ковочная, масса 40 т</t>
  </si>
  <si>
    <t>ТЕРм01-02-030-03</t>
  </si>
  <si>
    <t>Ковочная машина: горизонтальная, радиально-обжимная, вальцы ковочная, масса 55 т</t>
  </si>
  <si>
    <t>ТЕРм01-02-030-04</t>
  </si>
  <si>
    <t>Ковочная машина: горизонтальная, радиально-обжимная, вальцы ковочная, масса 80 т</t>
  </si>
  <si>
    <t>ТЕРм01-02-030-05</t>
  </si>
  <si>
    <t>Ковочная машина: горизонтальная, радиально-обжимная, вальцы ковочная, масса 100 т</t>
  </si>
  <si>
    <t>ТЕРм01-02-030-06</t>
  </si>
  <si>
    <t>Ковочная машина: горизонтальная, радиально-обжимная, вальцы ковочная, масса 140 т</t>
  </si>
  <si>
    <t>ТЕРм01-02-030-07</t>
  </si>
  <si>
    <t>Ковочная машина: горизонтальная, радиально-обжимная, вальцы ковочная, масса 180 т</t>
  </si>
  <si>
    <t>ТЕРм01-02-030-08</t>
  </si>
  <si>
    <t>Ковочная машина: горизонтальная, радиально-обжимная, вальцы ковочная, масса 275 т</t>
  </si>
  <si>
    <t>ТЕРм01-02-030-09</t>
  </si>
  <si>
    <t>Ковочная машина: горизонтальная, радиально-обжимная, вальцы ковочная, масса 415 т</t>
  </si>
  <si>
    <t xml:space="preserve">                                   Раздел 4. ПРЕССЫ ГИДРАВЛИЧЕСКИЕ, НОЖНИЦЫ, МАШИНЫ ГИБОЧНЫЕ, МАШИНЫ ОДНОПОЗИЦИОННЫЕ ДЛЯ ЛИТЬЯ ПОД ДАВЛЕНИЕМ</t>
  </si>
  <si>
    <t xml:space="preserve">                                   Прессы гидравлические для горячей объемной и безобъемной штамповки двойного действия, колонные</t>
  </si>
  <si>
    <t>ТЕРм01-02-040-01</t>
  </si>
  <si>
    <t>Пресс гидравлический для горячей объемной и безобъемной штамповки двойного действия, колонный, масса от 80 до 90 т</t>
  </si>
  <si>
    <t>ТЕРм01-02-040-02</t>
  </si>
  <si>
    <t>Пресс гидравлический для горячей объемной и безобъемной штамповки двойного действия, колонный, масса до 100 т</t>
  </si>
  <si>
    <t>ТЕРм01-02-040-03</t>
  </si>
  <si>
    <t>Пресс гидравлический для горячей объемной и безобъемной штамповки двойного действия, колонный, масса до 120 т</t>
  </si>
  <si>
    <t>ТЕРм01-02-040-04</t>
  </si>
  <si>
    <t>Пресс гидравлический для горячей объемной и безобъемной штамповки двойного действия, колонный, масса до 160 т</t>
  </si>
  <si>
    <t>ТЕРм01-02-040-05</t>
  </si>
  <si>
    <t>Пресс гидравлический для горячей объемной и безобъемной штамповки двойного действия, колонный, масса до 200 т</t>
  </si>
  <si>
    <t>ТЕРм01-02-040-06</t>
  </si>
  <si>
    <t>Пресс гидравлический для горячей объемной и безобъемной штамповки двойного действия, колонный, масса до 225 т</t>
  </si>
  <si>
    <t>ТЕРм01-02-040-07</t>
  </si>
  <si>
    <t>Пресс гидравлический для горячей объемной и безобъемной штамповки двойного действия, колонный, масса до 300 т</t>
  </si>
  <si>
    <t>ТЕРм01-02-040-08</t>
  </si>
  <si>
    <t>Пресс гидравлический для горячей объемной и безобъемной штамповки двойного действия, колонный, масса до 400 т</t>
  </si>
  <si>
    <t>ТЕРм01-02-040-09</t>
  </si>
  <si>
    <t>Пресс гидравлический для горячей объемной и безобъемной штамповки двойного действия, колонный, масса до 500 т</t>
  </si>
  <si>
    <t xml:space="preserve">                                   Прессы гидравлические: ковочные для листовой штамповки двойного действия, колонные</t>
  </si>
  <si>
    <t>ТЕРм01-02-041-01</t>
  </si>
  <si>
    <t>Пресс гидравлический: ковочный для листовой штамповки двойного действия, колонный, масса от 500 до 700 т</t>
  </si>
  <si>
    <t>ТЕРм01-02-041-02</t>
  </si>
  <si>
    <t>Пресс гидравлический: ковочный для листовой штамповки двойного действия, колонный, масса до 800 т</t>
  </si>
  <si>
    <t xml:space="preserve">                                   Прессы гидравлические: насадочные, пакетировочные, трубопрутковые, брикетировочные</t>
  </si>
  <si>
    <t>ТЕРм01-02-042-01</t>
  </si>
  <si>
    <t>Пресс гидравлический: насадочный, пакетировочный, трубопрутковый, брикетировочный, масса от 80 до 90 т</t>
  </si>
  <si>
    <t xml:space="preserve">                                   Прессы гидравлические: листоштамповочные, одностоечные, отбортовочные</t>
  </si>
  <si>
    <t>ТЕРм01-02-043-01</t>
  </si>
  <si>
    <t>Пресс гидравлический: листоштамповочный, одностоечный, отбортовочный, масса от 130 до 180 т</t>
  </si>
  <si>
    <t>ТЕРм01-02-043-02</t>
  </si>
  <si>
    <t>Пресс гидравлический: листоштамповочный, одностоечный, отбортовочный, масса от 320 до 350 т</t>
  </si>
  <si>
    <t xml:space="preserve">                                   Прессы гидравлические: насадочные (массой 90-200 т), брикетировочные и пакетировочные (массой 90-100, 650-700, 1100-1250 т), прутково-профильные, трубопрутковые</t>
  </si>
  <si>
    <t>ТЕРм01-02-044-01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</si>
  <si>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от 90 до 100 т</t>
  </si>
  <si>
    <t>ТЕРм01-02-044-02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</si>
  <si>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до 140 т</t>
  </si>
  <si>
    <t>ТЕРм01-02-044-03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</si>
  <si>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до 180 т</t>
  </si>
  <si>
    <t>ТЕРм01-02-044-04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</si>
  <si>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275 т</t>
  </si>
  <si>
    <t>ТЕРм01-02-044-05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</si>
  <si>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от 650 до 700 т</t>
  </si>
  <si>
    <t>ТЕРм01-02-044-06</t>
  </si>
  <si>
    <t>Пресс гидравлический: насадочный (массой 90-200 т), брикетировочный и пакетировочный (массой 90-100, 650-700, 1100-1250 т), прутково-профильный, трубопрутковый, масса от 1100 до 1250 т</t>
  </si>
  <si>
    <t xml:space="preserve">                                   Прессы гидравлические: одностоечные, правильные, монтажно-запрессовочные, насадочные (массой 3-8 т), для холодного выдавливания рельефных полостей деталей (массой 3-14 т), для прессования изделий из порошков, пластмасс (массой 3-30 т), для прессования изделий из порошков, твердых сплавов и металлоотходов (массой 3-14 т), прессы-автоматы для прессования и литья изделий из пластмасс, прессы листогибочные, кривошипные (массой 7,4-30 т). Машины однопозиционные для литья под давлением термопластических и термореактивных материалов (массой 4-30 т), листогибочные с поворотной балкой, трехвалковые (массой 3-24 т), сортогибочные, роликовые, трубогибочные. Ножницы: листовые, сортовые, высечные, двухдисковые, арматурные, скрапные, аллигаторные, сортовые для точной резки (массой 3-25 т), пресс-ножницы комбинированные, агрегаты формовочные</t>
  </si>
  <si>
    <t>ТЕРм01-02-045-01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</si>
  <si>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4 т</t>
  </si>
  <si>
    <t>ТЕРм01-02-045-02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</si>
  <si>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5 т</t>
  </si>
  <si>
    <t>ТЕРм01-02-045-03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</si>
  <si>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7 т</t>
  </si>
  <si>
    <t>ТЕРм01-02-045-04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</si>
  <si>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8 т</t>
  </si>
  <si>
    <t>ТЕРм01-02-045-05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</si>
  <si>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10 т</t>
  </si>
  <si>
    <t>ТЕРм01-02-045-06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</si>
  <si>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14 т</t>
  </si>
  <si>
    <t>ТЕРм01-02-045-07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</si>
  <si>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16 т</t>
  </si>
  <si>
    <t>ТЕРм01-02-045-08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</si>
  <si>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20 т</t>
  </si>
  <si>
    <t>ТЕРм01-02-045-09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</si>
  <si>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23 т</t>
  </si>
  <si>
    <t>ТЕРм01-02-045-10</t>
  </si>
  <si>
    <t>Пресс гидравлический: одностоечный, правильный, монтажно-запрессовочный, насадочный, для холодного выдавливания рельефных полостей деталей, для прессования изделий из порошков, пластмасс, для прессования изделий из порошков, твердых сплавов и металлоотходов, пресс-автомат для прессования и литья изделий из пластмасс, пресс листогибочный, кривошипный; машина однопозиционная для литья под давлением термопластических и термореактивных материалов, листогибочная с поворотной балкой, трехвалковая, сортогибочная, роликовая, трубогибочная; ножницы: листовые, сортовые, высечные, двухдисковые, арматурные, скрапные, аллигаторные, сортовые для точной резки, пресс-ножницы комбинированные, агрегаты формовочные, масса до 30 т</t>
  </si>
  <si>
    <t xml:space="preserve">                                   Машины листогибочные и листоправильные</t>
  </si>
  <si>
    <t>ТЕРм01-02-046-01</t>
  </si>
  <si>
    <t>Машина листогибочная и листоправильная, масса 25 т</t>
  </si>
  <si>
    <t>ТЕРм01-02-046-02</t>
  </si>
  <si>
    <t>Машина листогибочная и листоправильная, масса до 35 т</t>
  </si>
  <si>
    <t>ТЕРм01-02-046-03</t>
  </si>
  <si>
    <t>Машина листогибочная и листоправильная, масса до 50 т</t>
  </si>
  <si>
    <t>ТЕРм01-02-046-04</t>
  </si>
  <si>
    <t>Машина листогибочная и листоправильная, масса до 60 т</t>
  </si>
  <si>
    <t xml:space="preserve">                                   Ножницы сортовые закрытые, скрапные, гидравлические</t>
  </si>
  <si>
    <t>ТЕРм01-02-047-01</t>
  </si>
  <si>
    <t>Ножницы сортовые закрытые, скрапные, гидравлические, масса от 200 до 300 т</t>
  </si>
  <si>
    <t>ТЕРм01-02-047-02</t>
  </si>
  <si>
    <t>Ножницы сортовые закрытые, скрапные, гидравлические, масса от 400 до 450 т</t>
  </si>
  <si>
    <t xml:space="preserve">                           Раздел 3. ОТДЕЛ 03. ЛИТЕЙНОЕ ОБОРУДОВАНИЕ</t>
  </si>
  <si>
    <t xml:space="preserve">                                   Раздел 1. АВТОМАТИЧЕСКИЕ ФОРМОВОЧНЫЕ ЛИНИИ</t>
  </si>
  <si>
    <t xml:space="preserve">                                   Линии автоматические формовочные</t>
  </si>
  <si>
    <t>ТЕРм01-03-001-01</t>
  </si>
  <si>
    <t>Линия автоматическая опочной формовки с размерами опок 1100х750х300/300 мм</t>
  </si>
  <si>
    <t>ТЕРм01-03-001-02</t>
  </si>
  <si>
    <t>Линия автоматическая опочной формовки с размерами опок 1500х1100х400/400 мм</t>
  </si>
  <si>
    <t xml:space="preserve">                           Раздел 4. ОТДЕЛ 04. ОБОРУДОВАНИЕ ДЛЯ ПРИБОРОСТРОИТЕЛЬНОЙ И ЧАСОВОЙ ПРОМЫШЛЕННОСТИ МАССОЙ ДО 1 Т - СТАНКИ МЕТАЛЛОРЕЖУЩИЕ МЕЛКИЕ, СТАНКИ ДЛЯ ОБРАБОТКИ ПРИБОРНЫХ И ЧАСОВЫХ КАМНЕЙ, СБОРОЧНОЕ ОБОРУДОВАНИЕ</t>
  </si>
  <si>
    <t xml:space="preserve">                                   Раздел 1. СТАНКИ МЕТАЛЛОРЕЖУЩИЕ, КАМНЕОБРАБАТЫВАЮЩИЕ И СБОРОЧНЫЕ</t>
  </si>
  <si>
    <t xml:space="preserve">                                   Автоматы, полуавтоматы, станки металлорежущие, камнеобрабатывающие и сборочные: агрегатные, многоцелевые, комбинированные и универсальные (в собранном виде) - токарные, сверлильные, расточные, шлифовальные, зубообрабатывающие, фрезерные, протяжные, строгальные, электрофизические (электроэроззионные, ультразвуковые, лучевые), виброабразивные, балансировочные, точильно-шлифовальные, отрезные и прочие металлорежущие, сборочное оборудование</t>
  </si>
  <si>
    <t>ТЕРм01-04-001-01</t>
  </si>
  <si>
    <t>Автомат, полуавтомат, станок металлорежущий, камнеобрабатывающий и сборочный: агрегатный, многоцелевой, комбинированный и универсальный (в собранном виде) - токарный, сверлильный, расточный, шлифовальный, зубообрабатывающий, фрезерный, протяжный, строгальный, электрофизический (электроэроззионный, ультразвуковой, лучевой), виброабразивный, балансировочный, точильно-шлифовальный, отрезной и прочий металлорежущий, сборочное оборудование до 0,7 т</t>
  </si>
  <si>
    <t>ТЕРм01-04-001-02</t>
  </si>
  <si>
    <t>Автомат, полуавтомат, станок металлорежущий, камнеобрабатывающий и сборочный: агрегатный, многоцелевой, комбинированный и универсальный (в собранном виде) - токарный, сверлильный, расточный, шлифовальный, зубообрабатывающий, фрезерный, протяжный, строгальный, электрофизический (электроэроззионный, ультразвуковой, лучевой), виброабразивный, балансировочный, точильно-шлифовальный, отрезной и прочий металлорежущий, сборочное оборудование свыше 0,7 до 1 т</t>
  </si>
  <si>
    <t>ТЕРм-2001-02</t>
  </si>
  <si>
    <t xml:space="preserve">                           Раздел 1. ОТДЕЛ 01. ОБОРУДОВАНИЕ ОБЩЕГО НАЗНАЧЕНИЯ</t>
  </si>
  <si>
    <t xml:space="preserve">                                   Раздел 1. ОБОРУДОВАНИЕ ЛЕСОПИЛЬНОГО ПРОИЗВОДСТВА</t>
  </si>
  <si>
    <t xml:space="preserve">                                   Рамы лесопильные</t>
  </si>
  <si>
    <t>ТЕРм02-01-001-01</t>
  </si>
  <si>
    <t>Рама лесопильная одноэтажная, масса 4,5 т</t>
  </si>
  <si>
    <t>ТЕРм02-01-001-02</t>
  </si>
  <si>
    <t>Рама лесопильная одноэтажная, масса 6 т</t>
  </si>
  <si>
    <t>ТЕРм02-01-001-03</t>
  </si>
  <si>
    <t>Рама лесопильная двухэтажная, масса 20 т</t>
  </si>
  <si>
    <t>ТЕРм02-01-001-04</t>
  </si>
  <si>
    <t>Рама лесопильная двухэтажная, масса 25 т</t>
  </si>
  <si>
    <t>ТЕРм02-01-001-05</t>
  </si>
  <si>
    <t>Рама коротышевая и горизонтальная, масса 6,6 т</t>
  </si>
  <si>
    <t xml:space="preserve">                                   Околорамная механизация и линии для сортировки и формирования пакетов пиломатериалов</t>
  </si>
  <si>
    <t>ТЕРм02-01-002-01</t>
  </si>
  <si>
    <t>Тележка впередирамная с гидравлическим управлением, масса 2,2 т</t>
  </si>
  <si>
    <t>ТЕРм02-01-002-02</t>
  </si>
  <si>
    <t>Устройство рейкоотделительное, масса 1 т</t>
  </si>
  <si>
    <t>ТЕРм02-01-002-03</t>
  </si>
  <si>
    <t>Устройство рейкоотделительное, масса 2 т</t>
  </si>
  <si>
    <t xml:space="preserve">                                   Станки круглопильные, балансирные, форматные и концеравнители паркетные</t>
  </si>
  <si>
    <t>ТЕРм02-01-003-01</t>
  </si>
  <si>
    <t>Станок круглопильный, балансирный, форматный, концеравнитель паркетный, масса 5 т</t>
  </si>
  <si>
    <t>ТЕРм02-01-003-02</t>
  </si>
  <si>
    <t>Станок круглопильный, балансирный, форматный, концеравнитель паркетный, масса 10 т</t>
  </si>
  <si>
    <t xml:space="preserve">                                   Раздел 2. ОБОРУДОВАНИЕ ДЕРЕВООБРАБАТЫВАЮЩЕГО ПРОИЗВОДСТВА</t>
  </si>
  <si>
    <t xml:space="preserve">                                   Станки строгальные, фуговальные, рейсмусовые</t>
  </si>
  <si>
    <t>ТЕРм02-01-023-01</t>
  </si>
  <si>
    <t>Станок строгальный, фуговальный, рейсмусовый, масса 5 т</t>
  </si>
  <si>
    <t>ТЕРм02-01-023-02</t>
  </si>
  <si>
    <t>Станок строгальный, фуговальный, рейсмусовый, масса 7 т</t>
  </si>
  <si>
    <t xml:space="preserve">                                   Станки фрезерные</t>
  </si>
  <si>
    <t>ТЕРм02-01-024-01</t>
  </si>
  <si>
    <t>Станок фрезерный, масса 6 т</t>
  </si>
  <si>
    <t xml:space="preserve">                                   Станки сверлильно-долбежные</t>
  </si>
  <si>
    <t>ТЕРм02-01-025-01</t>
  </si>
  <si>
    <t>Станок сверлильно-долбежный, масса 5 т</t>
  </si>
  <si>
    <t>ТЕРм02-01-025-02</t>
  </si>
  <si>
    <t>Станок сверлильно-долбежный, масса 10 т</t>
  </si>
  <si>
    <t xml:space="preserve">                                   Станки шлифовально-полировальные</t>
  </si>
  <si>
    <t>ТЕРм02-01-026-01</t>
  </si>
  <si>
    <t>Станок шлифовально-полировальный, масса 20 т</t>
  </si>
  <si>
    <t xml:space="preserve">                           Раздел 2. ОТДЕЛ 02. ОБОРУДОВАНИЕ СПЕЦИАЛИЗИРОВАННЫХ ПРОИЗВОДСТВ</t>
  </si>
  <si>
    <t xml:space="preserve">                                   Раздел 1. ОБОРУДОВАНИЕ КЛЕИЛЬНО-СБОРОЧНОЕ</t>
  </si>
  <si>
    <t xml:space="preserve">                                   Станки разные</t>
  </si>
  <si>
    <t>ТЕРм02-02-001-01</t>
  </si>
  <si>
    <t>Станок для проклейки торцов шпона, масса 1 т</t>
  </si>
  <si>
    <t>ТЕРм02-02-001-02</t>
  </si>
  <si>
    <t>Станок для облицовки кромок мебельных щитов, масса 5 т</t>
  </si>
  <si>
    <t xml:space="preserve">                                   Раздел 2. ОБОРУДОВАНИЕ ДЛЯ ОТДЕЛКИ МЕБЕЛИ</t>
  </si>
  <si>
    <t xml:space="preserve">                                   Линии автоматические и полуавтоматические для отделки мебели</t>
  </si>
  <si>
    <t>ТЕРм02-02-011-01</t>
  </si>
  <si>
    <t>Линия автоматическая или полуавтоматическая обработки и фанерования кромок мебели</t>
  </si>
  <si>
    <t>ТЕРм02-02-011-02</t>
  </si>
  <si>
    <t>Линия автоматическая или полуавтоматическая фанерования пластей мебельных щитов</t>
  </si>
  <si>
    <t>ТЕРм02-02-011-03</t>
  </si>
  <si>
    <t>Линия автоматическая или полуавтоматическая шлифования и полирования мебели</t>
  </si>
  <si>
    <t>ТЕРм02-02-011-04</t>
  </si>
  <si>
    <t>Линия автоматическая или полуавтоматическая лакирования полиэфирными лаками пластей мебельных щитов</t>
  </si>
  <si>
    <t>ТЕРм02-02-011-05</t>
  </si>
  <si>
    <t>Линия автоматическая или полуавтоматическая фугования и строгания брусковых деталей мебели</t>
  </si>
  <si>
    <t>ТЕРм02-02-011-06</t>
  </si>
  <si>
    <t>Линия автоматическая или полуавтоматическая фугования и строгания заготовок для производства стульев</t>
  </si>
  <si>
    <t>ТЕРм02-02-011-07</t>
  </si>
  <si>
    <t>Линия автоматическая или полуавтоматическая шлифования деталей для производства стульев</t>
  </si>
  <si>
    <t xml:space="preserve">                                   Раздел 3. ОБОРУДОВАНИЕ ФАНЕРНОГО ПРОИЗВОДСТВА</t>
  </si>
  <si>
    <t xml:space="preserve">                                   Станки лущильные, кромкофуговальные, ребросклеивающие, усовочные, шпонопочиночные</t>
  </si>
  <si>
    <t>ТЕРм02-02-021-01</t>
  </si>
  <si>
    <t>Станок лущильный, кромкофуговальный, ребросклеивающий, усовочный, шпонопочиночный, масса 12 т</t>
  </si>
  <si>
    <t xml:space="preserve">                                   Сушилки</t>
  </si>
  <si>
    <t>ТЕРм02-02-022-01</t>
  </si>
  <si>
    <t>Сушилка роликовая с паровым подогревом</t>
  </si>
  <si>
    <t xml:space="preserve">                                   Раздел 4. ОБОРУДОВАНИЕ ДЛЯ ПРОИЗВОДСТВА СПИЧЕК</t>
  </si>
  <si>
    <t xml:space="preserve">                                   Автоматы и линии</t>
  </si>
  <si>
    <t>ТЕРм02-02-030-01</t>
  </si>
  <si>
    <t>Автомат для изготовления коробков, масса 2 т</t>
  </si>
  <si>
    <t>ТЕРм02-02-030-02</t>
  </si>
  <si>
    <t>Линия для изготовления спичек и автоматического наполнения коробков</t>
  </si>
  <si>
    <t xml:space="preserve">                                   Станки делительные, лущильные, соломкорубительные и коробконабивочные</t>
  </si>
  <si>
    <t>ТЕРм02-02-031-01</t>
  </si>
  <si>
    <t>Станок делительный, лущильный, соломкорубительный, масса 7 т</t>
  </si>
  <si>
    <t>ТЕРм02-02-031-02</t>
  </si>
  <si>
    <t>Станок коробконабивочный, масса 2,8 т</t>
  </si>
  <si>
    <t xml:space="preserve">                                   Раздел 5. ОБОРУДОВАНИЕ РАЗНОЕ</t>
  </si>
  <si>
    <t xml:space="preserve">                                   Станки</t>
  </si>
  <si>
    <t>ТЕРм02-02-041-01</t>
  </si>
  <si>
    <t>Станок древошерстный, масса 3,2 т</t>
  </si>
  <si>
    <t>ТЕРм02-02-041-02</t>
  </si>
  <si>
    <t>Станок с программным управлением для раскроя плит, масса 18 т</t>
  </si>
  <si>
    <t xml:space="preserve">                                   Мельницы</t>
  </si>
  <si>
    <t>ТЕРм02-02-042-01</t>
  </si>
  <si>
    <t>Мельница молотковая тонкого помола древесной муки, масса до 3 т</t>
  </si>
  <si>
    <t xml:space="preserve">                                   Линии для изготовления оконных и дверных блоков</t>
  </si>
  <si>
    <t>ТЕРм02-02-043-01</t>
  </si>
  <si>
    <t>Линия сращивания брусков оконных и дверных блоков по длине</t>
  </si>
  <si>
    <t>ТЕРм02-02-043-02</t>
  </si>
  <si>
    <t>Линия профильной обработки брусков коробок оконных и дверных блоков</t>
  </si>
  <si>
    <t>ТЕРм02-02-043-03</t>
  </si>
  <si>
    <t>Линия профильной обработки створок оконных и дверных блоков</t>
  </si>
  <si>
    <t>ТЕРм02-02-043-04</t>
  </si>
  <si>
    <t>Линия раскроя листовых и плитных материалов оконных и дверных блоков</t>
  </si>
  <si>
    <t>ТЕРм-2001-03</t>
  </si>
  <si>
    <t xml:space="preserve">                           Раздел 1. ОТДЕЛ 01. ПОДЪЕМНО-ТРАНСПОРТНЫЕ МЕХАНИЗМЫ ПРЕРЫВНОГО ДЕЙСТВИЯ</t>
  </si>
  <si>
    <t xml:space="preserve">                                   Раздел 1. КРАНЫ МОСТОВЫЕ И КОНСОЛЬНЫЕ ОБЩЕГО НАЗНАЧЕНИЯ</t>
  </si>
  <si>
    <t xml:space="preserve">                                   Краны мостовые электрические общего назначения с одним и двумя крюками</t>
  </si>
  <si>
    <t>ТЕРм03-01-001-01</t>
  </si>
  <si>
    <t>Кран мостовой электрический общего назначения с одним крюком, грузоподъемность 5 т, пролет 10,5-22,5 м</t>
  </si>
  <si>
    <t>ТЕРм03-01-001-02</t>
  </si>
  <si>
    <t>Кран мостовой электрический общего назначения с одним крюком, грузоподъемность 5 т, пролет 25,5 м</t>
  </si>
  <si>
    <t>ТЕРм03-01-001-03</t>
  </si>
  <si>
    <t>Кран мостовой электрический общего назначения с одним крюком, грузоподъемность 5 т, пролет 28,5-31,5 м</t>
  </si>
  <si>
    <t>ТЕРм03-01-001-04</t>
  </si>
  <si>
    <t>Кран мостовой электрический общего назначения с одним крюком, грузоподъемность 5 т, пролет 34,5 м</t>
  </si>
  <si>
    <t>ТЕРм03-01-001-05</t>
  </si>
  <si>
    <t>Кран мостовой электрический общего назначения с одним крюком, грузоподъемность 10 т, пролет 10,5-22,5 м</t>
  </si>
  <si>
    <t>ТЕРм03-01-001-06</t>
  </si>
  <si>
    <t>Кран мостовой электрический общего назначения с одним крюком, грузоподъемность 10 т, пролет 25,5 м</t>
  </si>
  <si>
    <t>ТЕРм03-01-001-07</t>
  </si>
  <si>
    <t>Кран мостовой электрический общего назначения с одним крюком, грузоподъемность 10 т, пролет 28,5-31,5 м</t>
  </si>
  <si>
    <t>ТЕРм03-01-001-08</t>
  </si>
  <si>
    <t>Кран мостовой электрический общего назначения с одним крюком, грузоподъемность 10 т, пролет 34,5 м</t>
  </si>
  <si>
    <t>ТЕРм03-01-001-09</t>
  </si>
  <si>
    <t>Кран мостовой электрический общего назначения с одним крюком, грузоподъемность 16 т, пролет 10,5-16,5 м</t>
  </si>
  <si>
    <t>ТЕРм03-01-001-10</t>
  </si>
  <si>
    <t>Кран мостовой электрический общего назначения с одним крюком, грузоподъемность 16 т, пролет 19,5 м</t>
  </si>
  <si>
    <t>ТЕРм03-01-001-11</t>
  </si>
  <si>
    <t>Кран мостовой электрический общего назначения с одним крюком, грузоподъемность 16 т, пролет 22,5-25,5 м</t>
  </si>
  <si>
    <t>ТЕРм03-01-001-12</t>
  </si>
  <si>
    <t>Кран мостовой электрический общего назначения с одним крюком, грузоподъемность 16 т, пролет 28,5 м</t>
  </si>
  <si>
    <t>ТЕРм03-01-001-13</t>
  </si>
  <si>
    <t>Кран мостовой электрический общего назначения с одним крюком, грузоподъемность 16 т, пролет 31,5 м</t>
  </si>
  <si>
    <t>ТЕРм03-01-001-14</t>
  </si>
  <si>
    <t>Кран мостовой электрический общего назначения с одним крюком, грузоподъемность 16 т, пролет 34,5 м</t>
  </si>
  <si>
    <t>ТЕРм03-01-001-15</t>
  </si>
  <si>
    <t>Кран мостовой электрический общего назначения с двумя крюками, грузоподъемность 16/3,2 т, пролет 10,5-13,5 м</t>
  </si>
  <si>
    <t>ТЕРм03-01-001-16</t>
  </si>
  <si>
    <t>Кран мостовой электрический общего назначения с двумя крюками, грузоподъемность 16/3,2 т, пролет 16,5-19,5 м</t>
  </si>
  <si>
    <t>ТЕРм03-01-001-17</t>
  </si>
  <si>
    <t>Кран мостовой электрический общего назначения с двумя крюками, грузоподъемность 16/3,2 т, пролет 22,5-25,5 м</t>
  </si>
  <si>
    <t>ТЕРм03-01-001-18</t>
  </si>
  <si>
    <t>Кран мостовой электрический общего назначения с двумя крюками, грузоподъемность 16/3,2 т, пролет 28,5-31,5 м</t>
  </si>
  <si>
    <t>ТЕРм03-01-001-19</t>
  </si>
  <si>
    <t>Кран мостовой электрический общего назначения с двумя крюками, грузоподъемность 16/3,2 т, пролет 34,5 м</t>
  </si>
  <si>
    <t>ТЕРм03-01-001-20</t>
  </si>
  <si>
    <t>Кран мостовой электрический общего назначения с двумя крюками, грузоподъемность 20/5 т, пролет 10,5-13,5 м</t>
  </si>
  <si>
    <t>ТЕРм03-01-001-21</t>
  </si>
  <si>
    <t>Кран мостовой электрический общего назначения с двумя крюками, грузоподъемность 20/5 т, пролет 16,5 м</t>
  </si>
  <si>
    <t>ТЕРм03-01-001-22</t>
  </si>
  <si>
    <t>Кран мостовой электрический общего назначения с двумя крюками, грузоподъемность 20/5 т, пролет 19,5-22,5 м</t>
  </si>
  <si>
    <t>ТЕРм03-01-001-23</t>
  </si>
  <si>
    <t>Кран мостовой электрический общего назначения с двумя крюками, грузоподъемность 20/5 т, пролет 25,5 м</t>
  </si>
  <si>
    <t>ТЕРм03-01-001-24</t>
  </si>
  <si>
    <t>Кран мостовой электрический общего назначения с двумя крюками, грузоподъемность 20/5 т, пролет 28,5-31,5 м</t>
  </si>
  <si>
    <t>ТЕРм03-01-001-25</t>
  </si>
  <si>
    <t>Кран мостовой электрический общего назначения с двумя крюками, грузоподъемность 20/5 т, пролет 34,5 м</t>
  </si>
  <si>
    <t>ТЕРм03-01-001-26</t>
  </si>
  <si>
    <t>Кран мостовой электрический общего назначения с двумя крюками, грузоподъемность 32/5 т, пролет 10,5-19,5 м</t>
  </si>
  <si>
    <t>ТЕРм03-01-001-27</t>
  </si>
  <si>
    <t>Кран мостовой электрический общего назначения с двумя крюками, грузоподъемность 32/5 т, пролет 22,5 м</t>
  </si>
  <si>
    <t>ТЕРм03-01-001-28</t>
  </si>
  <si>
    <t>Кран мостовой электрический общего назначения с двумя крюками, грузоподъемность 32/5 т, пролет 25,5 м</t>
  </si>
  <si>
    <t>ТЕРм03-01-001-29</t>
  </si>
  <si>
    <t>Кран мостовой электрический общего назначения с двумя крюками, грузоподъемность 32/5 т, пролет 28,5 м</t>
  </si>
  <si>
    <t>ТЕРм03-01-001-30</t>
  </si>
  <si>
    <t>Кран мостовой электрический общего назначения с двумя крюками, грузоподъемность 32/5 т, пролет 31,5 м</t>
  </si>
  <si>
    <t>ТЕРм03-01-001-31</t>
  </si>
  <si>
    <t>Кран мостовой электрический общего назначения с двумя крюками, грузоподъемность 32/5 т, пролет 34,5 м</t>
  </si>
  <si>
    <t>ТЕРм03-01-001-32</t>
  </si>
  <si>
    <t>Кран мостовой электрический общего назначения с двумя крюками, грузоподъемность 50/12,5 т, пролет 10,5-13,5 м</t>
  </si>
  <si>
    <t>ТЕРм03-01-001-33</t>
  </si>
  <si>
    <t>Кран мостовой электрический общего назначения с двумя крюками, грузоподъемность 50/12,5 т, пролет 16,5-19,5 м</t>
  </si>
  <si>
    <t>ТЕРм03-01-001-34</t>
  </si>
  <si>
    <t>Кран мостовой электрический общего назначения с двумя крюками, грузоподъемность 50/12,5 т, пролет 22,5-25,5 м</t>
  </si>
  <si>
    <t>ТЕРм03-01-001-35</t>
  </si>
  <si>
    <t>Кран мостовой электрический общего назначения с двумя крюками, грузоподъемность 50/12,5 т, пролет 28,5-34,5 м</t>
  </si>
  <si>
    <t>ТЕРм03-01-001-36</t>
  </si>
  <si>
    <t>Кран мостовой электрический общего назначения с двумя крюками, грузоподъемность 80/20 т, пролет 10-13 м</t>
  </si>
  <si>
    <t>ТЕРм03-01-001-37</t>
  </si>
  <si>
    <t>Кран мостовой электрический общего назначения с двумя крюками, грузоподъемность 80/20 т, пролет 16-19 м</t>
  </si>
  <si>
    <t>ТЕРм03-01-001-38</t>
  </si>
  <si>
    <t>Кран мостовой электрический общего назначения с двумя крюками, грузоподъемность 80/20 т, пролет 22 м</t>
  </si>
  <si>
    <t>ТЕРм03-01-001-39</t>
  </si>
  <si>
    <t>Кран мостовой электрический общего назначения с двумя крюками, грузоподъемность 80/20 т, пролет 25 м</t>
  </si>
  <si>
    <t>ТЕРм03-01-001-40</t>
  </si>
  <si>
    <t>Кран мостовой электрический общего назначения с двумя крюками, грузоподъемность 80/20 т, пролет 28 м</t>
  </si>
  <si>
    <t>ТЕРм03-01-001-41</t>
  </si>
  <si>
    <t>Кран мостовой электрический общего назначения с двумя крюками, грузоподъемность 80/20 т, пролет 31-34 м</t>
  </si>
  <si>
    <t>ТЕРм03-01-001-42</t>
  </si>
  <si>
    <t>Кран мостовой электрический общего назначения с двумя крюками, грузоподъемность 80/20 т, пролет 37 м</t>
  </si>
  <si>
    <t>ТЕРм03-01-001-43</t>
  </si>
  <si>
    <t>Кран мостовой электрический общего назначения с двумя крюками, грузоподъемность 80/20 т, пролет 40 м</t>
  </si>
  <si>
    <t>ТЕРм03-01-001-44</t>
  </si>
  <si>
    <t>Кран мостовой электрический общего назначения с двумя крюками, грузоподъемность 80/20 т, пролет 43 м</t>
  </si>
  <si>
    <t>ТЕРм03-01-001-45</t>
  </si>
  <si>
    <t>Кран мостовой электрический общего назначения с двумя крюками, грузоподъемность 100/20 т, пролет 10 м</t>
  </si>
  <si>
    <t>ТЕРм03-01-001-46</t>
  </si>
  <si>
    <t>Кран мостовой электрический общего назначения с двумя крюками, грузоподъемность 100/20 т, пролет 13 м</t>
  </si>
  <si>
    <t>ТЕРм03-01-001-47</t>
  </si>
  <si>
    <t>Кран мостовой электрический общего назначения с двумя крюками, грузоподъемность 100/20 т, пролет 16 м</t>
  </si>
  <si>
    <t>ТЕРм03-01-001-48</t>
  </si>
  <si>
    <t>Кран мостовой электрический общего назначения с двумя крюками, грузоподъемность 100/20 т, пролет 19-22 м</t>
  </si>
  <si>
    <t>ТЕРм03-01-001-49</t>
  </si>
  <si>
    <t>Кран мостовой электрический общего назначения с двумя крюками, грузоподъемность 100/20 т, пролет 25 м</t>
  </si>
  <si>
    <t>ТЕРм03-01-001-50</t>
  </si>
  <si>
    <t>Кран мостовой электрический общего назначения с двумя крюками, грузоподъемность 100/20 т, пролет 28 м</t>
  </si>
  <si>
    <t>ТЕРм03-01-001-51</t>
  </si>
  <si>
    <t>Кран мостовой электрический общего назначения с двумя крюками, грузоподъемность 100/20 т, пролет 31 м</t>
  </si>
  <si>
    <t>ТЕРм03-01-001-52</t>
  </si>
  <si>
    <t>Кран мостовой электрический общего назначения с двумя крюками, грузоподъемность 100/20 т, пролет 34 м</t>
  </si>
  <si>
    <t>ТЕРм03-01-001-53</t>
  </si>
  <si>
    <t>Кран мостовой электрический общего назначения с двумя крюками, грузоподъемность 100/20 т, пролет 37 м</t>
  </si>
  <si>
    <t>ТЕРм03-01-001-54</t>
  </si>
  <si>
    <t>Кран мостовой электрический общего назначения с двумя крюками, грузоподъемность 100/20 т, пролет 40 м</t>
  </si>
  <si>
    <t>ТЕРм03-01-001-55</t>
  </si>
  <si>
    <t>Кран мостовой электрический общего назначения с двумя крюками, грузоподъемность 100/20 т, пролет 43 м</t>
  </si>
  <si>
    <t>ТЕРм03-01-001-56</t>
  </si>
  <si>
    <t>Кран мостовой электрический общего назначения с двумя крюками, грузоподъемность 125/20 т, пролет 10 м</t>
  </si>
  <si>
    <t>ТЕРм03-01-001-57</t>
  </si>
  <si>
    <t>Кран мостовой электрический общего назначения с двумя крюками, грузоподъемность 125/20 т, пролет 13-16 м</t>
  </si>
  <si>
    <t>ТЕРм03-01-001-58</t>
  </si>
  <si>
    <t>Кран мостовой электрический общего назначения с двумя крюками, грузоподъемность 125/20 т, пролет 17-22 м</t>
  </si>
  <si>
    <t>ТЕРм03-01-001-59</t>
  </si>
  <si>
    <t>Кран мостовой электрический общего назначения с двумя крюками, грузоподъемность 125/20 т, пролет 25 м</t>
  </si>
  <si>
    <t>ТЕРм03-01-001-60</t>
  </si>
  <si>
    <t>Кран мостовой электрический общего назначения с двумя крюками, грузоподъемность 125/20 т, пролет 28-31 м</t>
  </si>
  <si>
    <t>ТЕРм03-01-001-61</t>
  </si>
  <si>
    <t>Кран мостовой электрический общего назначения с двумя крюками, грузоподъемность 125/20 т, пролет 34 м</t>
  </si>
  <si>
    <t>ТЕРм03-01-001-62</t>
  </si>
  <si>
    <t>Кран мостовой электрический общего назначения с двумя крюками, грузоподъемность 125/20 т, пролет 37 м</t>
  </si>
  <si>
    <t>ТЕРм03-01-001-63</t>
  </si>
  <si>
    <t>Кран мостовой электрический общего назначения с двумя крюками, грузоподъемность 125/20 т, пролет 40 м</t>
  </si>
  <si>
    <t>ТЕРм03-01-001-64</t>
  </si>
  <si>
    <t>Кран мостовой электрический общего назначения с двумя крюками, грузоподъемность 125/20 т, пролет 43 м</t>
  </si>
  <si>
    <t>ТЕРм03-01-001-65</t>
  </si>
  <si>
    <t>Кран мостовой электрический общего назначения с двумя крюками, грузоподъемность 160/32 т, пролет 9,5 м</t>
  </si>
  <si>
    <t>ТЕРм03-01-001-66</t>
  </si>
  <si>
    <t>Кран мостовой электрический общего назначения с двумя крюками, грузоподъемность 160/32 т, пролет 12,5-15,5 м</t>
  </si>
  <si>
    <t>ТЕРм03-01-001-67</t>
  </si>
  <si>
    <t>Кран мостовой электрический общего назначения с двумя крюками, грузоподъемность 160/32 т, пролет 18,5-24,5 м</t>
  </si>
  <si>
    <t>ТЕРм03-01-001-68</t>
  </si>
  <si>
    <t>Кран мостовой электрический общего назначения с двумя крюками, грузоподъемность 160/32 т, пролет 27,5 м</t>
  </si>
  <si>
    <t>ТЕРм03-01-001-69</t>
  </si>
  <si>
    <t>Кран мостовой электрический общего назначения с двумя крюками, грузоподъемность 160/32 т, пролет 30,5 м</t>
  </si>
  <si>
    <t>ТЕРм03-01-001-70</t>
  </si>
  <si>
    <t>Кран мостовой электрический общего назначения с двумя крюками, грузоподъемность 160/32 т, пролет 33,5 м</t>
  </si>
  <si>
    <t>ТЕРм03-01-001-71</t>
  </si>
  <si>
    <t>Кран мостовой электрический общего назначения с двумя крюками, грузоподъемность 200/32 т, пролет 9,5 м</t>
  </si>
  <si>
    <t>ТЕРм03-01-001-72</t>
  </si>
  <si>
    <t>Кран мостовой электрический общего назначения с двумя крюками, грузоподъемность 200/32 т, пролет 12,5 м</t>
  </si>
  <si>
    <t>ТЕРм03-01-001-73</t>
  </si>
  <si>
    <t>Кран мостовой электрический общего назначения с двумя крюками, грузоподъемность 200/32 т, пролет 15,5 м</t>
  </si>
  <si>
    <t>ТЕРм03-01-001-74</t>
  </si>
  <si>
    <t>Кран мостовой электрический общего назначения с двумя крюками, грузоподъемность 200/32 т, пролет 18,5 м</t>
  </si>
  <si>
    <t>ТЕРм03-01-001-75</t>
  </si>
  <si>
    <t>Кран мостовой электрический общего назначения с двумя крюками, грузоподъемность 200/32 т, пролет 21,5-24,5 м</t>
  </si>
  <si>
    <t>ТЕРм03-01-001-76</t>
  </si>
  <si>
    <t>Кран мостовой электрический общего назначения с двумя крюками, грузоподъемность 200/32 т, пролет 27,5 м</t>
  </si>
  <si>
    <t>ТЕРм03-01-001-77</t>
  </si>
  <si>
    <t>Кран мостовой электрический общего назначения с двумя крюками, грузоподъемность 200/32 т, пролет 30,5 м</t>
  </si>
  <si>
    <t>ТЕРм03-01-001-78</t>
  </si>
  <si>
    <t>Кран мостовой электрический общего назначения с двумя крюками, грузоподъемность 200/32 т, пролет 33,5 м</t>
  </si>
  <si>
    <t>ТЕРм03-01-001-79</t>
  </si>
  <si>
    <t>Кран мостовой электрический общего назначения с двумя крюками, грузоподъемность 250/32 т, пролет 9,5 м</t>
  </si>
  <si>
    <t>ТЕРм03-01-001-80</t>
  </si>
  <si>
    <t>Кран мостовой электрический общего назначения с двумя крюками, грузоподъемность 250/32 т, пролет 12,5 м</t>
  </si>
  <si>
    <t>ТЕРм03-01-001-81</t>
  </si>
  <si>
    <t>Кран мостовой электрический общего назначения с двумя крюками, грузоподъемность 250/32 т, пролет 15,5 м</t>
  </si>
  <si>
    <t>ТЕРм03-01-001-82</t>
  </si>
  <si>
    <t>Кран мостовой электрический общего назначения с двумя крюками, грузоподъемность 250/32 т, пролет 18,5 м</t>
  </si>
  <si>
    <t>ТЕРм03-01-001-83</t>
  </si>
  <si>
    <t>Кран мостовой электрический общего назначения с двумя крюками, грузоподъемность 250/32 т, пролет 21,5 м</t>
  </si>
  <si>
    <t>ТЕРм03-01-001-84</t>
  </si>
  <si>
    <t>Кран мостовой электрический общего назначения с двумя крюками, грузоподъемность 250/32 т, пролет 24,5 м</t>
  </si>
  <si>
    <t>ТЕРм03-01-001-85</t>
  </si>
  <si>
    <t>Кран мостовой электрический общего назначения с двумя крюками, грузоподъемность 250/32 т, пролет 27,5 м</t>
  </si>
  <si>
    <t>ТЕРм03-01-001-86</t>
  </si>
  <si>
    <t>Кран мостовой электрический общего назначения с двумя крюками, грузоподъемность 250/32 т, пролет 30,5 м</t>
  </si>
  <si>
    <t>ТЕРм03-01-001-87</t>
  </si>
  <si>
    <t>Кран мостовой электрический общего назначения с двумя крюками, грузоподъемность 250/32 т, пролет 33,5 м</t>
  </si>
  <si>
    <t xml:space="preserve">                                   Краны электрические консольные</t>
  </si>
  <si>
    <t>ТЕРм03-01-002-01</t>
  </si>
  <si>
    <t>Кран электрический консольный передвижной, вылет до 8 м, грузоподъемность 1 т</t>
  </si>
  <si>
    <t>ТЕРм03-01-002-02</t>
  </si>
  <si>
    <t>Кран электрический консольный передвижной, вылет до 8 м, грузоподъемность 3,2 т</t>
  </si>
  <si>
    <t>ТЕРм03-01-002-03</t>
  </si>
  <si>
    <t>Кран электрический консольный передвижной, вылет до 8 м, грузоподъемность 5 т</t>
  </si>
  <si>
    <t>ТЕРм03-01-002-04</t>
  </si>
  <si>
    <t>Кран электрический консольный стационарный, вылет до 4 м, грузоподъемность 0,5 т</t>
  </si>
  <si>
    <t>ТЕРм03-01-002-05</t>
  </si>
  <si>
    <t>Кран электрический консольный стационарный, вылет до 4 м, грузоподъемность 3,2 т</t>
  </si>
  <si>
    <t xml:space="preserve">                                   Раздел 2. КРАНЫ СПЕЦИАЛЬНЫЕ МОСТОВЫЕ</t>
  </si>
  <si>
    <t xml:space="preserve">                                   Краны мостовые электрические магнитные</t>
  </si>
  <si>
    <t>ТЕРм03-01-017-01</t>
  </si>
  <si>
    <t>Кран мостовой электрический магнитный с одним крюком, грузоподъемность 5 т, пролет 10-22,5 м</t>
  </si>
  <si>
    <t>ТЕРм03-01-017-02</t>
  </si>
  <si>
    <t>Кран мостовой электрический магнитный с одним крюком, грузоподъемность 5 т, пролет 25,5 м</t>
  </si>
  <si>
    <t>ТЕРм03-01-017-03</t>
  </si>
  <si>
    <t>Кран мостовой электрический магнитный с одним крюком, грузоподъемность 5 т, пролет 28,5 м</t>
  </si>
  <si>
    <t>ТЕРм03-01-017-04</t>
  </si>
  <si>
    <t>Кран мостовой электрический магнитный с одним крюком, грузоподъемность 5 т, пролет 31,5 м</t>
  </si>
  <si>
    <t>ТЕРм03-01-017-05</t>
  </si>
  <si>
    <t>Кран мостовой электрический магнитный с одним крюком, грузоподъемность 10 т, пролет 10,5-22,5 м</t>
  </si>
  <si>
    <t>ТЕРм03-01-017-06</t>
  </si>
  <si>
    <t>Кран мостовой электрический магнитный с одним крюком, грузоподъемность 10 т, пролет 25,5-31,5 м</t>
  </si>
  <si>
    <t>ТЕРм03-01-017-07</t>
  </si>
  <si>
    <t>Кран мостовой электрический магнитный с одним крюком, грузоподъемность 10 т, пролет 34,5 м</t>
  </si>
  <si>
    <t>ТЕРм03-01-017-08</t>
  </si>
  <si>
    <t>Кран мостовой электрический магнитный с одним крюком, грузоподъемность 16 т, пролет 16,5 м</t>
  </si>
  <si>
    <t>ТЕРм03-01-017-09</t>
  </si>
  <si>
    <t>Кран мостовой электрический магнитный с одним крюком, грузоподъемность 16 т, пролет 19,5 м</t>
  </si>
  <si>
    <t>ТЕРм03-01-017-10</t>
  </si>
  <si>
    <t>Кран мостовой электрический магнитный с одним крюком, грузоподъемность 16 т, пролет 22,5-25,5 м</t>
  </si>
  <si>
    <t>ТЕРм03-01-017-11</t>
  </si>
  <si>
    <t>Кран мостовой электрический магнитный с одним крюком, грузоподъемность 16 т, пролет 28,5-31,5 м</t>
  </si>
  <si>
    <t>ТЕРм03-01-017-12</t>
  </si>
  <si>
    <t>Кран мостовой электрический магнитный с одним крюком, грузоподъемность 16 т, пролет 34,5 м</t>
  </si>
  <si>
    <t>ТЕРм03-01-017-13</t>
  </si>
  <si>
    <t>Кран мостовой электрический магнитный с двумя крюками, грузоподъемность 16/3,2 т, пролет 16,5-19,5 м</t>
  </si>
  <si>
    <t>ТЕРм03-01-017-14</t>
  </si>
  <si>
    <t>Кран мостовой электрический магнитный с двумя крюками, грузоподъемность 16/3,2 т, пролет 22,5 м</t>
  </si>
  <si>
    <t>ТЕРм03-01-017-15</t>
  </si>
  <si>
    <t>Кран мостовой электрический магнитный с двумя крюками, грузоподъемность 16/3,2 т, пролет 25,5 м</t>
  </si>
  <si>
    <t>ТЕРм03-01-017-16</t>
  </si>
  <si>
    <t>Кран мостовой электрический магнитный с двумя крюками, грузоподъемность 16/3,2 т, пролет 28,5-31,5 м</t>
  </si>
  <si>
    <t>ТЕРм03-01-017-17</t>
  </si>
  <si>
    <t>Кран мостовой электрический магнитный с двумя крюками, грузоподъемность 16/3,2 т, пролет 34,5 м</t>
  </si>
  <si>
    <t>ТЕРм03-01-017-18</t>
  </si>
  <si>
    <t>Кран мостовой электрический магнитный с двумя крюками, грузоподъемность 20/5 т, пролет 16,5 м</t>
  </si>
  <si>
    <t>ТЕРм03-01-017-19</t>
  </si>
  <si>
    <t>Кран мостовой электрический магнитный с двумя крюками, грузоподъемность 20/5 т, пролет 19,5 м</t>
  </si>
  <si>
    <t>ТЕРм03-01-017-20</t>
  </si>
  <si>
    <t>Кран мостовой электрический магнитный с двумя крюками, грузоподъемность 20/5 т, пролет 22,5-25,5 м</t>
  </si>
  <si>
    <t>ТЕРм03-01-017-21</t>
  </si>
  <si>
    <t>Кран мостовой электрический магнитный с двумя крюками, грузоподъемность 20/5 т, пролет 28,5 м</t>
  </si>
  <si>
    <t>ТЕРм03-01-017-22</t>
  </si>
  <si>
    <t>Кран мостовой электрический магнитный с двумя крюками, грузоподъемность 20/5 т, пролет 34,5 м</t>
  </si>
  <si>
    <t>ТЕРм03-01-017-23</t>
  </si>
  <si>
    <t>Кран мостовой электрический магнитный копровый, грузоподъемность 16 т, пролет 10,5 м</t>
  </si>
  <si>
    <t>ТЕРм03-01-017-24</t>
  </si>
  <si>
    <t>Кран мостовой электрический магнитный копровый, грузоподъемность 16 т, пролет 22,5 м</t>
  </si>
  <si>
    <t xml:space="preserve">                                   Краны мостовые электрические грейферные</t>
  </si>
  <si>
    <t>ТЕРм03-01-018-01</t>
  </si>
  <si>
    <t>Кран мостовой электрический грейферный, грузоподъемность 2 т, пролет 7,5-22,5 м</t>
  </si>
  <si>
    <t>ТЕРм03-01-018-02</t>
  </si>
  <si>
    <t>Кран мостовой электрический грейферный, грузоподъемность 5 т, пролет 10,5-28,5 м</t>
  </si>
  <si>
    <t>ТЕРм03-01-018-03</t>
  </si>
  <si>
    <t>Кран мостовой электрический грейферный, грузоподъемность 5 т, пролет 31,5 м</t>
  </si>
  <si>
    <t>ТЕРм03-01-018-04</t>
  </si>
  <si>
    <t>Кран мостовой электрический грейферный, грузоподъемность 5 т, пролет 34,5 м</t>
  </si>
  <si>
    <t>ТЕРм03-01-018-05</t>
  </si>
  <si>
    <t>Кран мостовой электрический грейферный, грузоподъемность 10 т, пролет 16,5-19,5 м</t>
  </si>
  <si>
    <t>ТЕРм03-01-018-06</t>
  </si>
  <si>
    <t>Кран мостовой электрический грейферный, грузоподъемность 10 т, пролет 22,5 м</t>
  </si>
  <si>
    <t>ТЕРм03-01-018-07</t>
  </si>
  <si>
    <t>Кран мостовой электрический грейферный, грузоподъемность 10 т, пролет 25,5-28,5 м</t>
  </si>
  <si>
    <t>ТЕРм03-01-018-08</t>
  </si>
  <si>
    <t>Кран мостовой электрический грейферный, грузоподъемность 10 т, пролет 31,5-34,5 м</t>
  </si>
  <si>
    <t>ТЕРм03-01-018-09</t>
  </si>
  <si>
    <t>Кран мостовой электрический грейферный, грузоподъемность 16 т, пролет 22,5 м</t>
  </si>
  <si>
    <t>ТЕРм03-01-018-10</t>
  </si>
  <si>
    <t>Кран мостовой электрический грейферный, грузоподъемность 16 т, пролет 25,5 м</t>
  </si>
  <si>
    <t>ТЕРм03-01-018-11</t>
  </si>
  <si>
    <t>Кран мостовой электрический грейферный, грузоподъемность 16 т, пролет 28,5-31,5 м</t>
  </si>
  <si>
    <t>ТЕРм03-01-018-12</t>
  </si>
  <si>
    <t>Кран мостовой электрический грейферный, грузоподъемность 16 т, пролет 34,5 м</t>
  </si>
  <si>
    <t>ТЕРм03-01-018-13</t>
  </si>
  <si>
    <t>Кран мостовой электрический грейферный, грузоподъемность 20 т, пролет 25,5 м</t>
  </si>
  <si>
    <t>ТЕРм03-01-018-14</t>
  </si>
  <si>
    <t>Кран мостовой электрический грейферный, грузоподъемность 20 т, пролет 28,5-31,5 м</t>
  </si>
  <si>
    <t>ТЕРм03-01-018-15</t>
  </si>
  <si>
    <t>Кран мостовой электрический грейферный, грузоподъемность 20 т, пролет 34,5 м</t>
  </si>
  <si>
    <t xml:space="preserve">                                   Краны мостовые электрические специальные магнитно-грейферные</t>
  </si>
  <si>
    <t>ТЕРм03-01-019-01</t>
  </si>
  <si>
    <t>Кран мостовой электрический специальный магнитно-грейферный, грузоподъемность 5/5 т, пролет 10,5-31,5 м</t>
  </si>
  <si>
    <t>ТЕРм03-01-019-02</t>
  </si>
  <si>
    <t>Кран мостовой электрический специальный магнитно-грейферный, грузоподъемность 5/5 т, пролет 34,5 м</t>
  </si>
  <si>
    <t>ТЕРм03-01-019-03</t>
  </si>
  <si>
    <t>Кран мостовой электрический специальный магнитно-грейферный, грузоподъемность 16/3,2 т, пролет 16,5-19,5 м</t>
  </si>
  <si>
    <t>ТЕРм03-01-019-04</t>
  </si>
  <si>
    <t>Кран мостовой электрический специальный магнитно-грейферный, грузоподъемность 16/3,2 т, пролет 22,5 м</t>
  </si>
  <si>
    <t>ТЕРм03-01-019-05</t>
  </si>
  <si>
    <t>Кран мостовой электрический специальный магнитно-грейферный, грузоподъемность 16/3,2 т, пролет 25,5-28,5 м</t>
  </si>
  <si>
    <t>ТЕРм03-01-019-06</t>
  </si>
  <si>
    <t>Кран мостовой электрический специальный магнитно-грейферный, грузоподъемность 16/3,2 т, пролет 31,5-34,5 м</t>
  </si>
  <si>
    <t>ТЕРм03-01-019-07</t>
  </si>
  <si>
    <t>Кран мостовой электрический специальный магнитно-грейферный с подвижной кабиной, грузоподъемность 20/5 т, пролет 25,5-31,5 м</t>
  </si>
  <si>
    <t>ТЕРм03-01-019-08</t>
  </si>
  <si>
    <t>Кран мостовой электрический специальный магнитно-грейферный с подвижной кабиной, грузоподъемность 10/10 т, пролет 16,5-22,5 м</t>
  </si>
  <si>
    <t>ТЕРм03-01-019-09</t>
  </si>
  <si>
    <t>Кран мостовой электрический специальный магнитно-грейферный с подвижной кабиной, грузоподъемность 10/10 т, пролет 25,5 м</t>
  </si>
  <si>
    <t>ТЕРм03-01-019-10</t>
  </si>
  <si>
    <t>Кран мостовой электрический специальный магнитно-грейферный с подвижной кабиной, грузоподъемность 10/10 т, пролет 28,5-34,5 м</t>
  </si>
  <si>
    <t>ТЕРм03-01-019-11</t>
  </si>
  <si>
    <t>Кран мостовой электрический специальный магнитно-грейферный с подвижной кабиной, грузоподъемность 16/16 т, пролет 22 м</t>
  </si>
  <si>
    <t>ТЕРм03-01-019-12</t>
  </si>
  <si>
    <t>Кран мостовой электрический специальный магнитно-грейферный с подвижной кабиной, грузоподъемность 16/16 т, пролет 26,0-30,0 м</t>
  </si>
  <si>
    <t>ТЕРм03-01-019-13</t>
  </si>
  <si>
    <t>Кран мостовой электрический специальный магнитно-грейферный с подвижной кабиной, грузоподъемность 16/16 т, пролет 34 м</t>
  </si>
  <si>
    <t xml:space="preserve">                                   Краны мостовые электрические с вращающейся тележкой и гибким подвесом траверсы</t>
  </si>
  <si>
    <t>ТЕРм03-01-020-01</t>
  </si>
  <si>
    <t>Кран мостовой электрический с вращающейся тележкой и гибким подвесом траверсы, грузоподъемность 5 т, пролет 7,5-16,5 м</t>
  </si>
  <si>
    <t>ТЕРм03-01-020-02</t>
  </si>
  <si>
    <t>Кран мостовой электрический с вращающейся тележкой и гибким подвесом траверсы, грузоподъемность 5 т, пролет 19,5-34,5 м</t>
  </si>
  <si>
    <t>ТЕРм03-01-020-03</t>
  </si>
  <si>
    <t>Кран мостовой электрический с вращающейся тележкой и гибким подвесом траверсы, грузоподъемность 10 т, пролет 22,5 м</t>
  </si>
  <si>
    <t>ТЕРм03-01-020-04</t>
  </si>
  <si>
    <t>Кран мостовой электрический с вращающейся тележкой и гибким подвесом траверсы, грузоподъемность 10 т, пролет 28,5 м</t>
  </si>
  <si>
    <t>ТЕРм03-01-020-05</t>
  </si>
  <si>
    <t>Кран мостовой электрический с вращающейся тележкой и гибким подвесом траверсы, грузоподъемность 10 т, пролет 34,5 м</t>
  </si>
  <si>
    <t>ТЕРм03-01-020-06</t>
  </si>
  <si>
    <t>Кран мостовой электрический с вращающейся тележкой и гибким подвесом траверсы, грузоподъемность 20 т, пролет 22 м</t>
  </si>
  <si>
    <t>ТЕРм03-01-020-07</t>
  </si>
  <si>
    <t>Кран мостовой электрический с вращающейся тележкой и гибким подвесом траверсы, грузоподъемность 20 т, пролет 28 м</t>
  </si>
  <si>
    <t>ТЕРм03-01-020-08</t>
  </si>
  <si>
    <t>Кран мостовой электрический с вращающейся тележкой и гибким подвесом траверсы, грузоподъемность 20 т, пролет 34 м</t>
  </si>
  <si>
    <t xml:space="preserve">                                   Краны мостовые электрические с гибким подвесом траверсы</t>
  </si>
  <si>
    <t>ТЕРм03-01-021-01</t>
  </si>
  <si>
    <t>Кран мостовой электрический с гибким подвесом траверсы, грузоподъемность 5 т, пролет 7,5-10 м</t>
  </si>
  <si>
    <t>ТЕРм03-01-021-02</t>
  </si>
  <si>
    <t>Кран мостовой электрический с гибким подвесом траверсы, грузоподъемность 5 т, пролет 13,5-22,5 м</t>
  </si>
  <si>
    <t>ТЕРм03-01-021-03</t>
  </si>
  <si>
    <t>Кран мостовой электрический с гибким подвесом траверсы, грузоподъемность 5 т, пролет 25,5-31,5 м</t>
  </si>
  <si>
    <t>ТЕРм03-01-021-04</t>
  </si>
  <si>
    <t>Кран мостовой электрический с гибким подвесом траверсы, грузоподъемность 5 т, пролет 34,5 м</t>
  </si>
  <si>
    <t>ТЕРм03-01-021-05</t>
  </si>
  <si>
    <t>Кран мостовой электрический с гибким подвесом траверсы, грузоподъемность 10 т, пролет 16,5 м</t>
  </si>
  <si>
    <t>ТЕРм03-01-021-06</t>
  </si>
  <si>
    <t>Кран мостовой электрический с гибким подвесом траверсы, грузоподъемность 10 т, пролет 19,5-22,5 м</t>
  </si>
  <si>
    <t>ТЕРм03-01-021-07</t>
  </si>
  <si>
    <t>Кран мостовой электрический с гибким подвесом траверсы, грузоподъемность 10 т, пролет 25,5-28,5 м</t>
  </si>
  <si>
    <t>ТЕРм03-01-021-08</t>
  </si>
  <si>
    <t>Кран мостовой электрический с гибким подвесом траверсы, грузоподъемность 10 т, пролет 31,5-34,5 м</t>
  </si>
  <si>
    <t>ТЕРм03-01-021-09</t>
  </si>
  <si>
    <t>Кран мостовой электрический с гибким подвесом траверсы, грузоподъемность 16 т, пролет 16,5-19,5 м</t>
  </si>
  <si>
    <t>ТЕРм03-01-021-10</t>
  </si>
  <si>
    <t>Кран мостовой электрический с гибким подвесом траверсы, грузоподъемность 16 т, пролет 22,5-25,5 м</t>
  </si>
  <si>
    <t>ТЕРм03-01-021-11</t>
  </si>
  <si>
    <t>Кран мостовой электрический с гибким подвесом траверсы, грузоподъемность 16 т, пролет 28,5 м</t>
  </si>
  <si>
    <t>ТЕРм03-01-021-12</t>
  </si>
  <si>
    <t>Кран мостовой электрический с гибким подвесом траверсы, грузоподъемность 16 т, пролет 31,5-34,5 м</t>
  </si>
  <si>
    <t>ТЕРм03-01-021-13</t>
  </si>
  <si>
    <t>Кран мостовой электрический с гибким подвесом траверсы, грузоподъемность 20 т, пролет 22,5-25,5 м</t>
  </si>
  <si>
    <t>ТЕРм03-01-021-14</t>
  </si>
  <si>
    <t>Кран мостовой электрический с гибким подвесом траверсы, грузоподъемность 20 т, пролет 28,5 м</t>
  </si>
  <si>
    <t>ТЕРм03-01-021-15</t>
  </si>
  <si>
    <t>Кран мостовой электрический с гибким подвесом траверсы, грузоподъемность 20 т, пролет 31,5-34,5 м</t>
  </si>
  <si>
    <t>ТЕРм03-01-021-16</t>
  </si>
  <si>
    <t>Кран мостовой электрический с лапами на траверсе, грузоподъемность 16 т, пролет 28 м</t>
  </si>
  <si>
    <t>ТЕРм03-01-021-17</t>
  </si>
  <si>
    <t>Кран мостовой электрический с лапами на траверсе, грузоподъемность 16 т, пролет 31 м</t>
  </si>
  <si>
    <t>ТЕРм03-01-021-18</t>
  </si>
  <si>
    <t>Кран мостовой электрический с лапами на траверсе, грузоподъемность 16 т, пролет 34 м</t>
  </si>
  <si>
    <t>ТЕРм03-01-021-19</t>
  </si>
  <si>
    <t>Кран мостовой электрический с двумя тележками, грузоподъемность 5+5 т, пролет 10,5-22,5 м</t>
  </si>
  <si>
    <t>ТЕРм03-01-021-20</t>
  </si>
  <si>
    <t>Кран мостовой электрический с двумя тележками, грузоподъемность 5+5 т, пролет 25,5-31,5 м</t>
  </si>
  <si>
    <t>ТЕРм03-01-021-21</t>
  </si>
  <si>
    <t>Кран мостовой электрический с двумя тележками, грузоподъемность 10+10 т, пролет 19,5-25,5 м</t>
  </si>
  <si>
    <t>ТЕРм03-01-021-22</t>
  </si>
  <si>
    <t>Кран мостовой электрический с двумя тележками, грузоподъемность 10+10 т, пролет 28,5-31,5 м</t>
  </si>
  <si>
    <t>ТЕРм03-01-021-23</t>
  </si>
  <si>
    <t>Кран мостовой электрический с двумя тележками, грузоподъемность 20/5+20/5 т, пролет 19,5 м</t>
  </si>
  <si>
    <t>ТЕРм03-01-021-24</t>
  </si>
  <si>
    <t>Кран мостовой электрический с двумя тележками, грузоподъемность 20/5+20/5 т, пролет 22,5 м</t>
  </si>
  <si>
    <t>ТЕРм03-01-021-25</t>
  </si>
  <si>
    <t>Кран мостовой электрический с двумя тележками, грузоподъемность 20/5+20/5 т, пролет 25,5 м</t>
  </si>
  <si>
    <t>ТЕРм03-01-021-26</t>
  </si>
  <si>
    <t>Кран мостовой электрический с двумя тележками, грузоподъемность 20/5+20/5 т, пролет 28,5-34,5 м</t>
  </si>
  <si>
    <t xml:space="preserve">                                   Раздел 3. КРАНЫ МЕТАЛЛУРГИЧЕСКИЕ МОСТОВЫЕ</t>
  </si>
  <si>
    <t xml:space="preserve">                                   Краны мостовые электрические колодцевые</t>
  </si>
  <si>
    <t>ТЕРм03-01-033-01</t>
  </si>
  <si>
    <t>Кран металлургический мостовой электрический колодцевый, грузоподъемность 16/20 т, пролет до 24,5 м</t>
  </si>
  <si>
    <t>ТЕРм03-01-033-02</t>
  </si>
  <si>
    <t>Кран металлургический мостовой электрический колодцевый, грузоподъемность 20/50 т, 32/50 т, 40/50 т, пролет до 34 м</t>
  </si>
  <si>
    <t xml:space="preserve">                                   Краны мостовые электрические для раздевания слитков (стрипперные)</t>
  </si>
  <si>
    <t>ТЕРм03-01-034-01</t>
  </si>
  <si>
    <t>Кран металлургический мостовой электрический для раздевания слитков (стрипперный), грузоподъемность 20/50/20 т, пролет до 27 м</t>
  </si>
  <si>
    <t>ТЕРм03-01-034-02</t>
  </si>
  <si>
    <t>Кран металлургический мостовой электрический для раздевания слитков (стрипперный), грузоподъемность 32/80/20 т, 40/100/20 т, пролет до 27 м</t>
  </si>
  <si>
    <t xml:space="preserve">                                   Краны мостовые электрические мульдозавалочные</t>
  </si>
  <si>
    <t>ТЕРм03-01-035-01</t>
  </si>
  <si>
    <t>Кран металлургический мостовой электрический мульдозавалочный, грузоподъемность 3,2+20 т, пролет 22 м</t>
  </si>
  <si>
    <t xml:space="preserve">                                   Краны мостовые напольно-крышечные</t>
  </si>
  <si>
    <t>ТЕРм03-01-036-01</t>
  </si>
  <si>
    <t>Кран металлургический мостовой электрический напольно-крышечный, грузоподъемность 36 т, пролет 13,52 м</t>
  </si>
  <si>
    <t>ТЕРм03-01-036-02</t>
  </si>
  <si>
    <t>Кран металлургический мостовой электрический напольно-крышечный, грузоподъемность 40 т, пролет 4,86 м</t>
  </si>
  <si>
    <t xml:space="preserve">                                   Краны мостовые электрические ковочные</t>
  </si>
  <si>
    <t>ТЕРм03-01-037-01</t>
  </si>
  <si>
    <t>Кран металлургический мостовой электрический ковочный, грузоподъемность 80+32 т, пролет 27,5 м</t>
  </si>
  <si>
    <t>ТЕРм03-01-037-02</t>
  </si>
  <si>
    <t>Кран металлургический мостовой электрический ковочный, грузоподъемность 150+50 т, пролет 28 м</t>
  </si>
  <si>
    <t>ТЕРм03-01-037-03</t>
  </si>
  <si>
    <t>Кран металлургический мостовой электрический ковочный, грузоподъемность 250+75 т, пролет 28 м</t>
  </si>
  <si>
    <t>ТЕРм03-01-037-04</t>
  </si>
  <si>
    <t>Кран металлургический мостовой электрический ковочный, грузоподъемность 320+100+20 т, пролет 26 м</t>
  </si>
  <si>
    <t xml:space="preserve">                                   Краны мостовые электрические закалочные</t>
  </si>
  <si>
    <t>ТЕРм03-01-038-01</t>
  </si>
  <si>
    <t>Кран металлургический мостовой электрический закалочный, грузоподъемность 150/30 т, пролет 27 м</t>
  </si>
  <si>
    <t xml:space="preserve">                                   Раздел 4. КРАНЫ ПЕРЕГРУЗОЧНЫЕ</t>
  </si>
  <si>
    <t xml:space="preserve">                                   Перегружатели мостовые электрические грейферные</t>
  </si>
  <si>
    <t>ТЕРм03-01-052-01</t>
  </si>
  <si>
    <t>Кран-перегружатель мостовой электрический грейферный, грузоподъемность 40 т, пролет 76,2 м</t>
  </si>
  <si>
    <t xml:space="preserve">                                   Перегружатели контейнерные</t>
  </si>
  <si>
    <t>ТЕРм03-01-053-01</t>
  </si>
  <si>
    <t>Перегружатель козловой контейнерный, грузоподъемность 30,5 т, колея 37 м</t>
  </si>
  <si>
    <t>ТЕРм03-01-053-02</t>
  </si>
  <si>
    <t>Перегружатель причальный, грузоподъемность 30,5 т, колея 15,3 м</t>
  </si>
  <si>
    <t xml:space="preserve">                                   Раздел 5. КРАНЫ ПОРТАЛЬНЫЕ</t>
  </si>
  <si>
    <t xml:space="preserve">                                   Краны портальные электрические полноповоротные</t>
  </si>
  <si>
    <t>ТЕРм03-01-065-01</t>
  </si>
  <si>
    <t>Кран портальный электрический полноповоротный грейферный со стрелой, колея портала 10,5 м, грузоподъемность 5 т</t>
  </si>
  <si>
    <t>ТЕРм03-01-065-02</t>
  </si>
  <si>
    <t>Кран портальный электрический полноповоротный грейферный со стрелой, колея портала 10,5 м, грузоподъемность 10/12,5 т</t>
  </si>
  <si>
    <t>ТЕРм03-01-065-03</t>
  </si>
  <si>
    <t>Кран портальный электрический полноповоротный грейферный со стрелой, колея портала 10,5 м, грузоподъемность 16 т</t>
  </si>
  <si>
    <t>ТЕРм03-01-065-04</t>
  </si>
  <si>
    <t>Кран портальный электрический полноповоротный грейферный со стрелой, колея портала 10,5 м, грузоподъемность 32/16 т</t>
  </si>
  <si>
    <t>ТЕРм03-01-065-05</t>
  </si>
  <si>
    <t>Кран портальный электрический полноповоротный грейферный со стрелой, колея портала 10,5 м, грузоподъемность 80/50/10 т</t>
  </si>
  <si>
    <t xml:space="preserve">                                   Передвижение кранов портальных без разворота тележек</t>
  </si>
  <si>
    <t>ТЕРм03-01-066-01</t>
  </si>
  <si>
    <t>Передвижение по временному пути крана портального без разворота тележек, грузоподъемность 5 т</t>
  </si>
  <si>
    <t>ТЕРм03-01-066-02</t>
  </si>
  <si>
    <t>Передвижение по временному пути крана портального без разворота тележек, грузоподъемность 5/6/10/12,5 т</t>
  </si>
  <si>
    <t>ТЕРм03-01-066-03</t>
  </si>
  <si>
    <t>Передвижение по временному пути крана портального без разворота тележек, грузоподъемность 32/16/20/32 т</t>
  </si>
  <si>
    <t>ТЕРм03-01-066-04</t>
  </si>
  <si>
    <t>Передвижение по временному пути крана портального без разворота тележек, грузоподъемность 16/32/40 т</t>
  </si>
  <si>
    <t xml:space="preserve">                                   Передвижение кранов портальных с разворотом тележек</t>
  </si>
  <si>
    <t>ТЕРм03-01-067-01</t>
  </si>
  <si>
    <t>Передвижение по временному пути крана портального с разворотом тележек, грузоподъемность 5 т</t>
  </si>
  <si>
    <t>ТЕРм03-01-067-02</t>
  </si>
  <si>
    <t>Передвижение по временному пути крана портального с разворотом тележек, грузоподъемность 10/20 т</t>
  </si>
  <si>
    <t>ТЕРм03-01-067-03</t>
  </si>
  <si>
    <t>Передвижение по временному пути крана портального с разворотом тележек, грузоподъемность 16/20/32 т</t>
  </si>
  <si>
    <t>ТЕРм03-01-067-04</t>
  </si>
  <si>
    <t>Передвижение по временному пути крана портального с разворотом тележек, грузоподъемность 16/20/40 т</t>
  </si>
  <si>
    <t>ТЕРм03-01-067-05</t>
  </si>
  <si>
    <t>Передвижение по временному пути крана портального с разворотом тележек, грузоподъемность 5/6 т</t>
  </si>
  <si>
    <t xml:space="preserve">                                   Краны портальные иностранных фирм</t>
  </si>
  <si>
    <t>ТЕРм03-01-068-01</t>
  </si>
  <si>
    <t>Кран портальный иностранной фирмы крюковой со стрелой, грузоподъемность 3,2 т</t>
  </si>
  <si>
    <t>ТЕРм03-01-068-02</t>
  </si>
  <si>
    <t>Кран портальный иностранной фирмы грейферный со стрелой, грузоподъемность 5/6 т</t>
  </si>
  <si>
    <t>ТЕРм03-01-068-03</t>
  </si>
  <si>
    <t>Кран портальный иностранной фирмы грейферный со стрелой, грузоподъемность 10/20 т</t>
  </si>
  <si>
    <t>ТЕРм03-01-068-04</t>
  </si>
  <si>
    <t>Кран портальный иностранной фирмы грейферный со стрелой, грузоподъемность 16/20/32 т</t>
  </si>
  <si>
    <t>ТЕРм03-01-068-05</t>
  </si>
  <si>
    <t>Кран портальный иностранной фирмы грейферный со стрелой, грузоподъемность 16/32/40 т</t>
  </si>
  <si>
    <t>ТЕРм03-01-068-06</t>
  </si>
  <si>
    <t>Кран портальный иностранной фирмы крюковой со стрелой грузоподъемность 5/12/30 т</t>
  </si>
  <si>
    <t>ТЕРм03-01-068-07</t>
  </si>
  <si>
    <t>Кран портальный иностранной фирмы крюковой со стрелой грузоподъемность 12/30 т</t>
  </si>
  <si>
    <t>ТЕРм03-01-068-08</t>
  </si>
  <si>
    <t>Кран портальный иностранной фирмы крюковой со стрелой грузоподъемность 16/30/100 т</t>
  </si>
  <si>
    <t xml:space="preserve">                                   Раздел 6. ЛЕБЕДКИ</t>
  </si>
  <si>
    <t xml:space="preserve">                                   Лебедка электрическая с приспособлением для посадки мясных туш на подвесные пути</t>
  </si>
  <si>
    <t>ТЕРм03-01-080-01</t>
  </si>
  <si>
    <t>Лебедка электрическая с приспособлением для посадки мясных туш на подвесные пути, грузоподъемность 1 т</t>
  </si>
  <si>
    <t xml:space="preserve">                                   Раздел 7. КРАНЫ ПОДВЕСНЫЕ двухбалочные многопролетные электрические</t>
  </si>
  <si>
    <t xml:space="preserve">                                   Краны подвесные многопролетные электрические</t>
  </si>
  <si>
    <t>ТЕРм03-01-091-01</t>
  </si>
  <si>
    <t>Кран подвесной многопролетный электрический с одной неповоротной тележкой, ширина колеи 3 м, пролет 45 м, грузоподъемность 20/5 т</t>
  </si>
  <si>
    <t>ТЕРм03-01-091-02</t>
  </si>
  <si>
    <t>Кран подвесной многопролетный электрический с одной неповоротной тележкой, ширина колеи 3 м, пролет 45 м, грузоподъемность 63/10 т</t>
  </si>
  <si>
    <t>ТЕРм03-01-091-03</t>
  </si>
  <si>
    <t>Кран подвесной многопролетный электрический с двумя тележками, ширина колеи 3 м, грузоподъемность 20/5+20 т, пролет 45 м</t>
  </si>
  <si>
    <t>ТЕРм03-01-091-04</t>
  </si>
  <si>
    <t>Кран подвесной многопролетный электрический с одной поворотной тележкой, ширина колеи 3 м, пролет 59 м, грузоподъемность 8,8 т</t>
  </si>
  <si>
    <t>ТЕРм03-01-091-05</t>
  </si>
  <si>
    <t>Кран подвесной многопролетный электрический с одной поворотной тележкой, ширина колеи 6 м, пролет 57 м, грузоподъемность 20/20 т</t>
  </si>
  <si>
    <t xml:space="preserve">                                   Краны подвесные многопролетные электрические с автоматической стыковкой с двумя неповоротными тележками</t>
  </si>
  <si>
    <t>ТЕРм03-01-092-01</t>
  </si>
  <si>
    <t>Кран подвесной многопролетный электрический с автоматической стыковкой с двумя неповоротными тележками, грузоподъемность 12,5 + 12,5 т, пролет 54 м</t>
  </si>
  <si>
    <t xml:space="preserve">                                   Краны подвесные многопролетные электрические с автоматической стыковкой</t>
  </si>
  <si>
    <t>ТЕРм03-01-093-01</t>
  </si>
  <si>
    <t>Кран подвесной многопролетный электрический с автоматической стыковкой с двумя неповоротными тележками, пролет 93 м, грузоподъемность 20+20 т</t>
  </si>
  <si>
    <t>ТЕРм03-01-093-02</t>
  </si>
  <si>
    <t>Кран подвесной многопролетный электрический с автоматической стыковкой с двумя неповоротными тележками, пролет 93 м, грузоподъемность 50+50 т</t>
  </si>
  <si>
    <t>ТЕРм03-01-093-03</t>
  </si>
  <si>
    <t>Кран подвесной многопролетный электрический с автоматической стыковкой с двумя поворотными тележками, пролетом 57 м, грузоподъемность 12,5/12,5+12,5/12,5 т</t>
  </si>
  <si>
    <t>ТЕРм03-01-093-04</t>
  </si>
  <si>
    <t>Кран подвесной многопролетный электрический с автоматической стыковкой с двумя поворотными тележками, пролетом 57 м, грузоподъемность 20/20+20/20 т</t>
  </si>
  <si>
    <t xml:space="preserve">                                   Раздел 8. КРАНЫ-ШТАБЕЛЕРЫ И СТЕЛЛАЖИ</t>
  </si>
  <si>
    <t xml:space="preserve">                                   Краны-штабелеры</t>
  </si>
  <si>
    <t>ТЕРм03-01-105-01</t>
  </si>
  <si>
    <t>Кран-штабелер электрический, опорный, мостовой, управляемый с пола или из кабины, с телескопической колонной, грузоподъемность 1 т</t>
  </si>
  <si>
    <t>ТЕРм03-01-105-02</t>
  </si>
  <si>
    <t>Кран-штабелер электрический, опорный, мостовой, управляемый с пола или из кабины, с телескопической колонной, грузоподъемность 2 т</t>
  </si>
  <si>
    <t>ТЕРм03-01-105-03</t>
  </si>
  <si>
    <t>Кран-штабелер электрический, опорный, мостовой, управляемый с пола или из кабины, с телескопической колонной, грузоподъемность 3 т</t>
  </si>
  <si>
    <t>ТЕРм03-01-105-04</t>
  </si>
  <si>
    <t>Кран-штабелер автоматический, стеллажный, грузоподъемность 1 т</t>
  </si>
  <si>
    <t>ТЕРм03-01-105-05</t>
  </si>
  <si>
    <t>Кран-штабелер автоматический, стеллажный, грузоподъемность 5 т, для длинномерных грузов</t>
  </si>
  <si>
    <t xml:space="preserve">                                   Стеллажи</t>
  </si>
  <si>
    <t>ТЕРм03-01-106-01</t>
  </si>
  <si>
    <t>Стеллаж консольный для кранов-штабелеров опорных и стеллажных, грузоподъемность 1 т - одно- и двухсторонний</t>
  </si>
  <si>
    <t>ТЕРм03-01-106-02</t>
  </si>
  <si>
    <t>Стеллаж консольный для кранов-штабелеров опорных и стеллажных, грузоподъемность 5 т - двухсторонний</t>
  </si>
  <si>
    <t>ТЕРм03-01-106-03</t>
  </si>
  <si>
    <t>Стеллаж консольный для кранов-штабелеров опорных и стеллажных, грузоподъемность 5 т - односторонний</t>
  </si>
  <si>
    <t>ТЕРм03-01-106-04</t>
  </si>
  <si>
    <t>Стеллаж ячеистый для кранов-штабелеров опорных и стеллажных, грузоподъемность 1 т - одно- и двухсторонний</t>
  </si>
  <si>
    <t>ТЕРм03-01-106-05</t>
  </si>
  <si>
    <t>Стеллаж ячеистый для кранов-штабелеров опорных и стеллажных, грузоподъемность 8 т - эстакадный</t>
  </si>
  <si>
    <t xml:space="preserve">                                   Раздел 9. ЦЕНТРАЛИЗОВАННАЯ ГУСТАЯ СМАЗКА КРАНОВ</t>
  </si>
  <si>
    <t xml:space="preserve">                                   Краны мостовые электрические</t>
  </si>
  <si>
    <t>ТЕРм03-01-117-01</t>
  </si>
  <si>
    <t>Централизованная густая смазка крана мостового электрического общего назначения с двумя крюками грузоподъемностью 80/20; 100/20; 125/20 т</t>
  </si>
  <si>
    <t>ТЕРм03-01-117-02</t>
  </si>
  <si>
    <t>Централизованная густая смазка крана мостового электрического общего назначения с двумя крюками грузоподъемностью 160/32; 200/32 т</t>
  </si>
  <si>
    <t>ТЕРм03-01-117-03</t>
  </si>
  <si>
    <t>Централизованная густая смазка крана мостового электрического общего назначения с двумя крюками грузоподъемностью 250/32 т</t>
  </si>
  <si>
    <t>ТЕРм03-01-117-04</t>
  </si>
  <si>
    <t>Централизованная густая смазка крана мостового электрического магнитно-грейферного грузоподъемностью 16/16 т</t>
  </si>
  <si>
    <t>ТЕРм03-01-117-05</t>
  </si>
  <si>
    <t>Централизованная густая смазка крана мостового электрического с лапами на траверсе грузоподъемностью 16 т</t>
  </si>
  <si>
    <t>ТЕРм03-01-117-06</t>
  </si>
  <si>
    <t>Централизованная густая смазка крана мостового электрического с вращающейся тележкой и гибким подвесом траверсы грузоподъемностью 20 т</t>
  </si>
  <si>
    <t>ТЕРм03-01-117-07</t>
  </si>
  <si>
    <t>Централизованная густая смазка крана мостового электрического литейного грузоподъемностью 100+20 т</t>
  </si>
  <si>
    <t>ТЕРм03-01-117-08</t>
  </si>
  <si>
    <t>Централизованная густая смазка крана мостового электрического литейного грузоподъемностью180+63/20 т</t>
  </si>
  <si>
    <t>ТЕРм03-01-117-09</t>
  </si>
  <si>
    <t>Централизованная густая смазка крана мостового электрического литейного грузоподъемностью 225+63/20 т</t>
  </si>
  <si>
    <t>ТЕРм03-01-117-10</t>
  </si>
  <si>
    <t>Централизованная густая смазка крана мостового электрического литейного грузоподъемностью 280+100/20 т</t>
  </si>
  <si>
    <t>ТЕРм03-01-117-11</t>
  </si>
  <si>
    <t>Централизованная густая смазка крана мостового электрического литейного грузоподъемностью 320+100/20 т</t>
  </si>
  <si>
    <t>ТЕРм03-01-117-12</t>
  </si>
  <si>
    <t>Централизованная густая смазка крана мостового электрического колодцевого грузоподъемностью 20/50 т</t>
  </si>
  <si>
    <t>ТЕРм03-01-117-13</t>
  </si>
  <si>
    <t>Централизованная густая смазка крана мостового электрического для раздевания слитков (стрипперного крана) грузоподъемностью 250+50/20 т</t>
  </si>
  <si>
    <t>ТЕРм03-01-117-14</t>
  </si>
  <si>
    <t>Централизованная густая смазка крана мостового электрического мульдозавалочного грузоподъемностью 5+20 т</t>
  </si>
  <si>
    <t>ТЕРм03-01-117-15</t>
  </si>
  <si>
    <t>Централизованная густая смазка крана мостового электрического ковочного грузоподъемностью 80+32 т</t>
  </si>
  <si>
    <t>ТЕРм03-01-117-16</t>
  </si>
  <si>
    <t>Централизованная густая смазка крана мостового электрического напольно-крышечного грузоподъемностью 36 т</t>
  </si>
  <si>
    <t xml:space="preserve">                                   Раздел 10. ПОДЪЕМНЫЕ МЕХАНИЗМЫ</t>
  </si>
  <si>
    <t xml:space="preserve">                                   Тали ручные стационарные и передвижные</t>
  </si>
  <si>
    <t>ТЕРм03-01-127-01</t>
  </si>
  <si>
    <t>Таль ручная стационарная, грузоподъемность 3,2 т, высота подъема 3 м</t>
  </si>
  <si>
    <t>ТЕРм03-01-127-02</t>
  </si>
  <si>
    <t>Таль ручная стационарная, грузоподъемность 3,2 т, высота подъема 6 м</t>
  </si>
  <si>
    <t>ТЕРм03-01-127-03</t>
  </si>
  <si>
    <t>Таль ручная стационарная, грузоподъемность 3,2 т, высота подъема 9 м</t>
  </si>
  <si>
    <t>ТЕРм03-01-127-04</t>
  </si>
  <si>
    <t>Таль ручная стационарная, грузоподъемность 3,2 т, высота подъема 12 м</t>
  </si>
  <si>
    <t>ТЕРм03-01-127-05</t>
  </si>
  <si>
    <t>Таль ручная стационарная, грузоподъемность 5 т, высота подъема 3 м</t>
  </si>
  <si>
    <t>ТЕРм03-01-127-06</t>
  </si>
  <si>
    <t>Таль ручная стационарная, грузоподъемность 5 т, высота подъема 6 м</t>
  </si>
  <si>
    <t>ТЕРм03-01-127-07</t>
  </si>
  <si>
    <t>Таль ручная стационарная, грузоподъемность 5 т, высота подъема 9 м</t>
  </si>
  <si>
    <t>ТЕРм03-01-127-08</t>
  </si>
  <si>
    <t>Таль ручная стационарная, грузоподъемность 5 т, высота подъема 12 м</t>
  </si>
  <si>
    <t>ТЕРм03-01-127-09</t>
  </si>
  <si>
    <t>Таль ручная стационарная, грузоподъемность 8 т, высота подъема 3 м</t>
  </si>
  <si>
    <t>ТЕРм03-01-127-10</t>
  </si>
  <si>
    <t>Таль ручная стационарная, грузоподъемность 8 т, высота подъема 6 м</t>
  </si>
  <si>
    <t>ТЕРм03-01-127-11</t>
  </si>
  <si>
    <t>Таль ручная стационарная, грузоподъемность 8 т, высота подъема 9 м</t>
  </si>
  <si>
    <t>ТЕРм03-01-127-12</t>
  </si>
  <si>
    <t>Таль ручная стационарная, грузоподъемность 8 т, высота подъема 12 м</t>
  </si>
  <si>
    <t>ТЕРм03-01-127-13</t>
  </si>
  <si>
    <t>Таль ручная передвижная, грузоподъемность 3,2 т, высота подъема 3 м</t>
  </si>
  <si>
    <t>ТЕРм03-01-127-14</t>
  </si>
  <si>
    <t>Таль ручная передвижная, грузоподъемность 3,2 т, высота подъема 6 м</t>
  </si>
  <si>
    <t>ТЕРм03-01-127-15</t>
  </si>
  <si>
    <t>Таль ручная передвижная, грузоподъемность 3,2 т, высота подъема 9 м</t>
  </si>
  <si>
    <t>ТЕРм03-01-127-16</t>
  </si>
  <si>
    <t>Таль ручная передвижная, грузоподъемность 3,2 т, высота подъема 12 м</t>
  </si>
  <si>
    <t>ТЕРм03-01-127-17</t>
  </si>
  <si>
    <t>Таль ручная передвижная, грузоподъемность 5 т, высота подъема 3 м</t>
  </si>
  <si>
    <t>ТЕРм03-01-127-18</t>
  </si>
  <si>
    <t>Таль ручная передвижная, грузоподъемность 5 т, высота подъема 6 м</t>
  </si>
  <si>
    <t>ТЕРм03-01-127-19</t>
  </si>
  <si>
    <t>Таль ручная передвижная, грузоподъемность 5 т, высота подъема 9 м</t>
  </si>
  <si>
    <t>ТЕРм03-01-127-20</t>
  </si>
  <si>
    <t>Таль ручная передвижная, грузоподъемность 5 т, высота подъема 12 м</t>
  </si>
  <si>
    <t>ТЕРм03-01-127-21</t>
  </si>
  <si>
    <t>Таль ручная передвижная, грузоподъемность 8 т, высота подъема 3 м</t>
  </si>
  <si>
    <t>ТЕРм03-01-127-22</t>
  </si>
  <si>
    <t>Таль ручная передвижная, грузоподъемность 8 т, высота подъема 6 м</t>
  </si>
  <si>
    <t>ТЕРм03-01-127-23</t>
  </si>
  <si>
    <t>Таль ручная передвижная, грузоподъемность 8 т, высота подъема 9 м</t>
  </si>
  <si>
    <t>ТЕРм03-01-127-24</t>
  </si>
  <si>
    <t>Таль ручная передвижная, грузоподъемность 8 т, высота подъема 12 м</t>
  </si>
  <si>
    <t xml:space="preserve">                                   Тали электрические</t>
  </si>
  <si>
    <t>ТЕРм03-01-128-01</t>
  </si>
  <si>
    <t>Таль электрическая канатная, грузоподъемность 0,5 т, высота подъема 6 м</t>
  </si>
  <si>
    <t>ТЕРм03-01-128-02</t>
  </si>
  <si>
    <t>Таль электрическая канатная, грузоподъемность 0,5 т, высота подъема 18 м</t>
  </si>
  <si>
    <t>ТЕРм03-01-128-03</t>
  </si>
  <si>
    <t>Таль электрическая канатная, грузоподъемность 1 т, высота подъема 6 м</t>
  </si>
  <si>
    <t>ТЕРм03-01-128-04</t>
  </si>
  <si>
    <t>Таль электрическая канатная, грузоподъемность 1 т, высота подъема 18 м</t>
  </si>
  <si>
    <t>ТЕРм03-01-128-05</t>
  </si>
  <si>
    <t>Таль электрическая канатная, грузоподъемность 1 т, высота подъема 24 м</t>
  </si>
  <si>
    <t>ТЕРм03-01-128-06</t>
  </si>
  <si>
    <t>Таль электрическая канатная, грузоподъемность 1 т, высота подъема 36 м</t>
  </si>
  <si>
    <t>ТЕРм03-01-128-07</t>
  </si>
  <si>
    <t>Таль электрическая канатная, грузоподъемность 2 т, высота подъема 6 м</t>
  </si>
  <si>
    <t>ТЕРм03-01-128-08</t>
  </si>
  <si>
    <t>Таль электрическая канатная, грузоподъемность 2 т, высота подъема 18 м</t>
  </si>
  <si>
    <t>ТЕРм03-01-128-09</t>
  </si>
  <si>
    <t>Таль электрическая канатная, грузоподъемность 2 т, высота подъема 24 м</t>
  </si>
  <si>
    <t>ТЕРм03-01-128-10</t>
  </si>
  <si>
    <t>Таль электрическая канатная, грузоподъемность 2 т, высота подъема 36 м</t>
  </si>
  <si>
    <t>ТЕРм03-01-128-11</t>
  </si>
  <si>
    <t>Таль электрическая канатная, грузоподъемность 3,2 т, высота подъема 6 м</t>
  </si>
  <si>
    <t>ТЕРм03-01-128-12</t>
  </si>
  <si>
    <t>Таль электрическая канатная, грузоподъемность 3,2 т, высота подъема 18 м</t>
  </si>
  <si>
    <t>ТЕРм03-01-128-13</t>
  </si>
  <si>
    <t>Таль электрическая канатная, грузоподъемность 3,2 т, высота подъема 24 м</t>
  </si>
  <si>
    <t>ТЕРм03-01-128-14</t>
  </si>
  <si>
    <t>Таль электрическая канатная, грузоподъемность 3,2 т, высота подъема 36 м</t>
  </si>
  <si>
    <t>ТЕРм03-01-128-15</t>
  </si>
  <si>
    <t>Таль электрическая канатная, грузоподъемность 5 т, высота подъема 6 м</t>
  </si>
  <si>
    <t>ТЕРм03-01-128-16</t>
  </si>
  <si>
    <t>Таль электрическая канатная, грузоподъемность 5 т, высота подъема 18 м</t>
  </si>
  <si>
    <t>ТЕРм03-01-128-17</t>
  </si>
  <si>
    <t>Таль электрическая канатная, грузоподъемность 5 т, высота подъема 24 м</t>
  </si>
  <si>
    <t>ТЕРм03-01-128-18</t>
  </si>
  <si>
    <t>Таль электрическая канатная, грузоподъемность 5 т, высота подъема 36 м</t>
  </si>
  <si>
    <t>ТЕРм03-01-128-19</t>
  </si>
  <si>
    <t>Таль электрическая канатная, грузоподъемность 10 т, высота подъема 18 м</t>
  </si>
  <si>
    <t>ТЕРм03-01-128-20</t>
  </si>
  <si>
    <t>Таль электрическая канатная, грузоподъемность 10 т, высота подъема 24 м</t>
  </si>
  <si>
    <t>ТЕРм03-01-128-21</t>
  </si>
  <si>
    <t>Таль электрическая канатная, грузоподъемность 10 т, высота подъема 36 м</t>
  </si>
  <si>
    <t xml:space="preserve">                                   Раздел 11. КРАНЫ КОЗЛОВЫЕ</t>
  </si>
  <si>
    <t xml:space="preserve">                                   Краны козловые</t>
  </si>
  <si>
    <t>ТЕРм03-01-138-01</t>
  </si>
  <si>
    <t>Кран козловой КК-12,5-16-10</t>
  </si>
  <si>
    <t>ТЕРм03-01-138-02</t>
  </si>
  <si>
    <t>Кран козловой КК-32/8-32-10</t>
  </si>
  <si>
    <t xml:space="preserve">                           Раздел 2. ОТДЕЛ 02. ТРАНСПОРТНЫЕ МЕХАНИЗМЫ НЕПРЕРЫВНОГО ДЕЙСТВИЯ</t>
  </si>
  <si>
    <t xml:space="preserve">                                   Раздел 1. КОНВЕЙЕРЫ ЛЕНТОЧНЫЕ</t>
  </si>
  <si>
    <t xml:space="preserve">                                   Конвейеры ленточные стационарные с лентой шириной до 500 мм</t>
  </si>
  <si>
    <t>ТЕРм03-02-001-01</t>
  </si>
  <si>
    <t>Конвейер ленточный стационарный, с лентой шириной 300 мм, длина 5 м</t>
  </si>
  <si>
    <t>ТЕРм03-02-001-02</t>
  </si>
  <si>
    <t>Конвейер ленточный стационарный, с лентой шириной 300 мм, длина 10 м</t>
  </si>
  <si>
    <t>ТЕРм03-02-001-03</t>
  </si>
  <si>
    <t>Конвейер ленточный стационарный, с лентой шириной 300 мм, длина 15 м</t>
  </si>
  <si>
    <t>ТЕРм03-02-001-04</t>
  </si>
  <si>
    <t>Конвейер ленточный стационарный, с лентой шириной 300 мм, длина 20 м</t>
  </si>
  <si>
    <t>ТЕРм03-02-001-05</t>
  </si>
  <si>
    <t>Конвейер ленточный стационарный, с лентой шириной 300 мм, длина 25 м</t>
  </si>
  <si>
    <t>ТЕРм03-02-001-06</t>
  </si>
  <si>
    <t>Конвейер ленточный стационарный, с лентой шириной 300 мм, длина 30 м</t>
  </si>
  <si>
    <t>ТЕРм03-02-001-07</t>
  </si>
  <si>
    <t>Конвейер ленточный стационарный, с лентой шириной 300 мм, длина 40 м</t>
  </si>
  <si>
    <t>ТЕРм03-02-001-08</t>
  </si>
  <si>
    <t>Конвейер ленточный стационарный, с лентой шириной 300 мм, длина 50 м</t>
  </si>
  <si>
    <t>ТЕРм03-02-001-09</t>
  </si>
  <si>
    <t>Конвейер ленточный стационарный, с лентой шириной 500 мм, длина 5 м</t>
  </si>
  <si>
    <t>ТЕРм03-02-001-10</t>
  </si>
  <si>
    <t>Конвейер ленточный стационарный, с лентой шириной 500 мм, длина 10 м</t>
  </si>
  <si>
    <t>ТЕРм03-02-001-11</t>
  </si>
  <si>
    <t>Конвейер ленточный стационарный, с лентой шириной 500 мм, длина 15 м</t>
  </si>
  <si>
    <t>ТЕРм03-02-001-12</t>
  </si>
  <si>
    <t>Конвейер ленточный стационарный, с лентой шириной 500 мм, длина 20 м</t>
  </si>
  <si>
    <t>ТЕРм03-02-001-13</t>
  </si>
  <si>
    <t>Конвейер ленточный стационарный, с лентой шириной 500 мм, длина 25 м</t>
  </si>
  <si>
    <t>ТЕРм03-02-001-14</t>
  </si>
  <si>
    <t>Конвейер ленточный стационарный, с лентой шириной 500 мм, длина 30 м</t>
  </si>
  <si>
    <t>ТЕРм03-02-001-15</t>
  </si>
  <si>
    <t>Конвейер ленточный стационарный, с лентой шириной 500 мм, длина 35 м</t>
  </si>
  <si>
    <t>ТЕРм03-02-001-16</t>
  </si>
  <si>
    <t>Конвейер ленточный стационарный, с лентой шириной 500 мм, длина 40 м</t>
  </si>
  <si>
    <t>ТЕРм03-02-001-17</t>
  </si>
  <si>
    <t>Конвейер ленточный стационарный, с лентой шириной 500 мм, длина 45 м</t>
  </si>
  <si>
    <t>ТЕРм03-02-001-18</t>
  </si>
  <si>
    <t>Конвейер ленточный стационарный, с лентой шириной 500 мм, длина 50 м</t>
  </si>
  <si>
    <t>ТЕРм03-02-001-19</t>
  </si>
  <si>
    <t>Конвейер ленточный стационарный, с лентой шириной 500 мм, длина 60 м</t>
  </si>
  <si>
    <t>ТЕРм03-02-001-20</t>
  </si>
  <si>
    <t>Конвейер ленточный стационарный, с лентой шириной 500 мм, длина 80 м</t>
  </si>
  <si>
    <t>ТЕРм03-02-001-21</t>
  </si>
  <si>
    <t>Конвейер ленточный стационарный, с лентой шириной 500 мм, длина 100 м</t>
  </si>
  <si>
    <t>ТЕРм03-02-001-22</t>
  </si>
  <si>
    <t>Конвейер ленточный стационарный, с лентой шириной 500 мм, длина 120 м</t>
  </si>
  <si>
    <t>ТЕРм03-02-001-23</t>
  </si>
  <si>
    <t>Конвейер ленточный стационарный, с лентой шириной 500 мм, длина 140 м</t>
  </si>
  <si>
    <t>ТЕРм03-02-001-24</t>
  </si>
  <si>
    <t>Конвейер ленточный стационарный, с лентой шириной 500 мм, длина 160 м</t>
  </si>
  <si>
    <t>ТЕРм03-02-001-25</t>
  </si>
  <si>
    <t>Конвейер ленточный стационарный, с лентой шириной 500 мм, длина 180 м</t>
  </si>
  <si>
    <t>ТЕРм03-02-001-26</t>
  </si>
  <si>
    <t>Конвейер ленточный стационарный, с лентой шириной 500 мм, длина 200 м</t>
  </si>
  <si>
    <t xml:space="preserve">                                   Конвейеры ленточные стационарные с лентой шириной до 1000 мм</t>
  </si>
  <si>
    <t>ТЕРм03-02-002-01</t>
  </si>
  <si>
    <t>Конвейер ленточный стационарный, с лентой шириной 650 мм, длина 5 м</t>
  </si>
  <si>
    <t>ТЕРм03-02-002-02</t>
  </si>
  <si>
    <t>Конвейер ленточный стационарный, с лентой шириной 650 мм, длина 10 м</t>
  </si>
  <si>
    <t>ТЕРм03-02-002-03</t>
  </si>
  <si>
    <t>Конвейер ленточный стационарный, с лентой шириной 650 мм, длина 15 м</t>
  </si>
  <si>
    <t>ТЕРм03-02-002-04</t>
  </si>
  <si>
    <t>Конвейер ленточный стационарный, с лентой шириной 650 мм, длина 20 м</t>
  </si>
  <si>
    <t>ТЕРм03-02-002-05</t>
  </si>
  <si>
    <t>Конвейер ленточный стационарный, с лентой шириной 650 мм, длина 30 м</t>
  </si>
  <si>
    <t>ТЕРм03-02-002-06</t>
  </si>
  <si>
    <t>Конвейер ленточный стационарный, с лентой шириной 650 мм, длина 40 м</t>
  </si>
  <si>
    <t>ТЕРм03-02-002-07</t>
  </si>
  <si>
    <t>Конвейер ленточный стационарный, с лентой шириной 650 мм, длина 50 м</t>
  </si>
  <si>
    <t>ТЕРм03-02-002-08</t>
  </si>
  <si>
    <t>Конвейер ленточный стационарный, с лентой шириной 650 мм, длина 60 м</t>
  </si>
  <si>
    <t>ТЕРм03-02-002-09</t>
  </si>
  <si>
    <t>Конвейер ленточный стационарный, с лентой шириной 650 мм, длина 80 м</t>
  </si>
  <si>
    <t>ТЕРм03-02-002-10</t>
  </si>
  <si>
    <t>Конвейер ленточный стационарный, с лентой шириной 650 мм, длина 100 м</t>
  </si>
  <si>
    <t>ТЕРм03-02-002-11</t>
  </si>
  <si>
    <t>Конвейер ленточный стационарный, с лентой шириной 650 мм, длина 120 м</t>
  </si>
  <si>
    <t>ТЕРм03-02-002-12</t>
  </si>
  <si>
    <t>Конвейер ленточный стационарный, с лентой шириной 650 мм, длина 140 м</t>
  </si>
  <si>
    <t>ТЕРм03-02-002-13</t>
  </si>
  <si>
    <t>Конвейер ленточный стационарный, с лентой шириной 650 мм, длина 160 м</t>
  </si>
  <si>
    <t>ТЕРм03-02-002-14</t>
  </si>
  <si>
    <t>Конвейер ленточный стационарный, с лентой шириной 650 мм, длина 180 м</t>
  </si>
  <si>
    <t>ТЕРм03-02-002-15</t>
  </si>
  <si>
    <t>Конвейер ленточный стационарный, с лентой шириной 650 мм, длина 200 м</t>
  </si>
  <si>
    <t>ТЕРм03-02-002-16</t>
  </si>
  <si>
    <t>Конвейер ленточный стационарный, с лентой шириной 800 мм, длина 5 м</t>
  </si>
  <si>
    <t>ТЕРм03-02-002-17</t>
  </si>
  <si>
    <t>Конвейер ленточный стационарный, с лентой шириной 800 мм, длина 10 м</t>
  </si>
  <si>
    <t>ТЕРм03-02-002-18</t>
  </si>
  <si>
    <t>Конвейер ленточный стационарный, с лентой шириной 800 мм, длина 15 м</t>
  </si>
  <si>
    <t>ТЕРм03-02-002-19</t>
  </si>
  <si>
    <t>Конвейер ленточный стационарный, с лентой шириной 800 мм, длина 20 м</t>
  </si>
  <si>
    <t>ТЕРм03-02-002-20</t>
  </si>
  <si>
    <t>Конвейер ленточный стационарный, с лентой шириной 800 мм, длина 30 м</t>
  </si>
  <si>
    <t>ТЕРм03-02-002-21</t>
  </si>
  <si>
    <t>Конвейер ленточный стационарный, с лентой шириной 800 мм, длина 40 м</t>
  </si>
  <si>
    <t>ТЕРм03-02-002-22</t>
  </si>
  <si>
    <t>Конвейер ленточный стационарный, с лентой шириной 800 мм, длина 50 м</t>
  </si>
  <si>
    <t>ТЕРм03-02-002-23</t>
  </si>
  <si>
    <t>Конвейер ленточный стационарный, с лентой шириной 800 мм, длина 60 м</t>
  </si>
  <si>
    <t>ТЕРм03-02-002-24</t>
  </si>
  <si>
    <t>Конвейер ленточный стационарный, с лентой шириной 800 мм, длина 80 м</t>
  </si>
  <si>
    <t>ТЕРм03-02-002-25</t>
  </si>
  <si>
    <t>Конвейер ленточный стационарный, с лентой шириной 800 мм, длина 100 м</t>
  </si>
  <si>
    <t>ТЕРм03-02-002-26</t>
  </si>
  <si>
    <t>Конвейер ленточный стационарный, с лентой шириной 800 мм, длина 120 м</t>
  </si>
  <si>
    <t>ТЕРм03-02-002-27</t>
  </si>
  <si>
    <t>Конвейер ленточный стационарный, с лентой шириной 800 мм, длина 140 м</t>
  </si>
  <si>
    <t>ТЕРм03-02-002-28</t>
  </si>
  <si>
    <t>Конвейер ленточный стационарный, с лентой шириной 800 мм, длина 160 м</t>
  </si>
  <si>
    <t>ТЕРм03-02-002-29</t>
  </si>
  <si>
    <t>Конвейер ленточный стационарный, с лентой шириной 800 мм, длина 180 м</t>
  </si>
  <si>
    <t>ТЕРм03-02-002-30</t>
  </si>
  <si>
    <t>Конвейер ленточный стационарный, с лентой шириной 800 мм, длина 200 м</t>
  </si>
  <si>
    <t>ТЕРм03-02-002-31</t>
  </si>
  <si>
    <t>Конвейер ленточный стационарный, с лентой шириной 1000 мм, длина 5 м</t>
  </si>
  <si>
    <t>ТЕРм03-02-002-32</t>
  </si>
  <si>
    <t>Конвейер ленточный стационарный, с лентой шириной 1000 мм, длина 10 м</t>
  </si>
  <si>
    <t>ТЕРм03-02-002-33</t>
  </si>
  <si>
    <t>Конвейер ленточный стационарный, с лентой шириной 1000 мм, длина 15 м</t>
  </si>
  <si>
    <t>ТЕРм03-02-002-34</t>
  </si>
  <si>
    <t>Конвейер ленточный стационарный, с лентой шириной 1000 мм, длина 20 м</t>
  </si>
  <si>
    <t>ТЕРм03-02-002-35</t>
  </si>
  <si>
    <t>Конвейер ленточный стационарный, с лентой шириной 1000 мм, длина 30 м</t>
  </si>
  <si>
    <t>ТЕРм03-02-002-36</t>
  </si>
  <si>
    <t>Конвейер ленточный стационарный, с лентой шириной 1000 мм, длина 40 м</t>
  </si>
  <si>
    <t>ТЕРм03-02-002-37</t>
  </si>
  <si>
    <t>Конвейер ленточный стационарный, с лентой шириной 1000 мм, длина 50 м</t>
  </si>
  <si>
    <t>ТЕРм03-02-002-38</t>
  </si>
  <si>
    <t>Конвейер ленточный стационарный, с лентой шириной 1000 мм, длина 60 м</t>
  </si>
  <si>
    <t>ТЕРм03-02-002-39</t>
  </si>
  <si>
    <t>Конвейер ленточный стационарный, с лентой шириной 1000 мм, длина 80 м</t>
  </si>
  <si>
    <t>ТЕРм03-02-002-40</t>
  </si>
  <si>
    <t>Конвейер ленточный стационарный, с лентой шириной 1000 мм, длина 100 м</t>
  </si>
  <si>
    <t>ТЕРм03-02-002-41</t>
  </si>
  <si>
    <t>Конвейер ленточный стационарный, с лентой шириной 1000 мм, длина 120 м</t>
  </si>
  <si>
    <t>ТЕРм03-02-002-42</t>
  </si>
  <si>
    <t>Конвейер ленточный стационарный, с лентой шириной 1000 мм, длина 140 м</t>
  </si>
  <si>
    <t>ТЕРм03-02-002-43</t>
  </si>
  <si>
    <t>Конвейер ленточный стационарный, с лентой шириной 1000 мм, длина 160 м</t>
  </si>
  <si>
    <t>ТЕРм03-02-002-44</t>
  </si>
  <si>
    <t>Конвейер ленточный стационарный, с лентой шириной 1000 мм, длина 180 м</t>
  </si>
  <si>
    <t>ТЕРм03-02-002-45</t>
  </si>
  <si>
    <t>Конвейер ленточный стационарный, с лентой шириной 1000 мм, длина 220 м</t>
  </si>
  <si>
    <t>ТЕРм03-02-002-46</t>
  </si>
  <si>
    <t>Конвейер ленточный стационарный, с лентой шириной 1000 мм, длина 260 м</t>
  </si>
  <si>
    <t>ТЕРм03-02-002-47</t>
  </si>
  <si>
    <t>Конвейер ленточный стационарный, с лентой шириной 1000 мм, длина 300 м</t>
  </si>
  <si>
    <t xml:space="preserve">                                   Конвейеры ленточные стационарные с лентой шириной до 1400 мм</t>
  </si>
  <si>
    <t>ТЕРм03-02-003-01</t>
  </si>
  <si>
    <t>Конвейер ленточный стационарный, с лентой шириной 1200 мм, длина 5 м</t>
  </si>
  <si>
    <t>ТЕРм03-02-003-02</t>
  </si>
  <si>
    <t>Конвейер ленточный стационарный, с лентой шириной 1200 мм, длина 10 м</t>
  </si>
  <si>
    <t>ТЕРм03-02-003-03</t>
  </si>
  <si>
    <t>Конвейер ленточный стационарный, с лентой шириной 1200 мм, длина 15 м</t>
  </si>
  <si>
    <t>ТЕРм03-02-003-04</t>
  </si>
  <si>
    <t>Конвейер ленточный стационарный, с лентой шириной 1200 мм, длина 20 м</t>
  </si>
  <si>
    <t>ТЕРм03-02-003-05</t>
  </si>
  <si>
    <t>Конвейер ленточный стационарный, с лентой шириной 1200 мм, длина 30 м</t>
  </si>
  <si>
    <t>ТЕРм03-02-003-06</t>
  </si>
  <si>
    <t>Конвейер ленточный стационарный, с лентой шириной 1200 мм, длина 40 м</t>
  </si>
  <si>
    <t>ТЕРм03-02-003-07</t>
  </si>
  <si>
    <t>Конвейер ленточный стационарный, с лентой шириной 1200 мм, длина 50 м</t>
  </si>
  <si>
    <t>ТЕРм03-02-003-08</t>
  </si>
  <si>
    <t>Конвейер ленточный стационарный, с лентой шириной 1200 мм, длина 60 м</t>
  </si>
  <si>
    <t>ТЕРм03-02-003-09</t>
  </si>
  <si>
    <t>Конвейер ленточный стационарный, с лентой шириной 1200 мм, длина 80 м</t>
  </si>
  <si>
    <t>ТЕРм03-02-003-10</t>
  </si>
  <si>
    <t>Конвейер ленточный стационарный, с лентой шириной 1200 мм, длина 100 м</t>
  </si>
  <si>
    <t>ТЕРм03-02-003-11</t>
  </si>
  <si>
    <t>Конвейер ленточный стационарный, с лентой шириной 1200 мм, длина 120 м</t>
  </si>
  <si>
    <t>ТЕРм03-02-003-12</t>
  </si>
  <si>
    <t>Конвейер ленточный стационарный, с лентой шириной 1200 мм, длина 140 м</t>
  </si>
  <si>
    <t>ТЕРм03-02-003-13</t>
  </si>
  <si>
    <t>Конвейер ленточный стационарный, с лентой шириной 1200 мм, длина 160 м</t>
  </si>
  <si>
    <t>ТЕРм03-02-003-14</t>
  </si>
  <si>
    <t>Конвейер ленточный стационарный, с лентой шириной 1200 мм, длина 180 м</t>
  </si>
  <si>
    <t>ТЕРм03-02-003-15</t>
  </si>
  <si>
    <t>Конвейер ленточный стационарный, с лентой шириной 1200 мм, длина 220 м</t>
  </si>
  <si>
    <t>ТЕРм03-02-003-16</t>
  </si>
  <si>
    <t>Конвейер ленточный стационарный, с лентой шириной 1200 мм, длина 260 м</t>
  </si>
  <si>
    <t>ТЕРм03-02-003-17</t>
  </si>
  <si>
    <t>Конвейер ленточный стационарный, с лентой шириной 1200 мм, длина 300 м</t>
  </si>
  <si>
    <t>ТЕРм03-02-003-18</t>
  </si>
  <si>
    <t>Конвейер ленточный стационарный, с лентой шириной 1400 мм, длина 5 м</t>
  </si>
  <si>
    <t>ТЕРм03-02-003-19</t>
  </si>
  <si>
    <t>Конвейер ленточный стационарный, с лентой шириной 1400 мм, длина 10 м</t>
  </si>
  <si>
    <t>ТЕРм03-02-003-20</t>
  </si>
  <si>
    <t>Конвейер ленточный стационарный, с лентой шириной 1400 мм, длина 15 м</t>
  </si>
  <si>
    <t>ТЕРм03-02-003-21</t>
  </si>
  <si>
    <t>Конвейер ленточный стационарный, с лентой шириной 1400 мм, длина 20 м</t>
  </si>
  <si>
    <t>ТЕРм03-02-003-22</t>
  </si>
  <si>
    <t>Конвейер ленточный стационарный, с лентой шириной 1400 мм, длина 30 м</t>
  </si>
  <si>
    <t>ТЕРм03-02-003-23</t>
  </si>
  <si>
    <t>Конвейер ленточный стационарный, с лентой шириной 1400 мм, длина 40 м</t>
  </si>
  <si>
    <t>ТЕРм03-02-003-24</t>
  </si>
  <si>
    <t>Конвейер ленточный стационарный, с лентой шириной 1400 мм, длина 50 м</t>
  </si>
  <si>
    <t>ТЕРм03-02-003-25</t>
  </si>
  <si>
    <t>Конвейер ленточный стационарный, с лентой шириной 1400 мм, длина 60 м</t>
  </si>
  <si>
    <t>ТЕРм03-02-003-26</t>
  </si>
  <si>
    <t>Конвейер ленточный стационарный, с лентой шириной 1400 мм, длина 80 м</t>
  </si>
  <si>
    <t>ТЕРм03-02-003-27</t>
  </si>
  <si>
    <t>Конвейер ленточный стационарный, с лентой шириной 1400 мм, длина 100 м</t>
  </si>
  <si>
    <t>ТЕРм03-02-003-28</t>
  </si>
  <si>
    <t>Конвейер ленточный стационарный, с лентой шириной 1400 мм, длина 120 м</t>
  </si>
  <si>
    <t>ТЕРм03-02-003-29</t>
  </si>
  <si>
    <t>Конвейер ленточный стационарный, с лентой шириной 1400 мм, длина 140 м</t>
  </si>
  <si>
    <t>ТЕРм03-02-003-30</t>
  </si>
  <si>
    <t>Конвейер ленточный стационарный, с лентой шириной 1400 мм, длина 160 м</t>
  </si>
  <si>
    <t>ТЕРм03-02-003-31</t>
  </si>
  <si>
    <t>Конвейер ленточный стационарный, с лентой шириной 1400 мм, длина 180 м</t>
  </si>
  <si>
    <t>ТЕРм03-02-003-32</t>
  </si>
  <si>
    <t>Конвейер ленточный стационарный, с лентой шириной 1400 мм, длина 220 м</t>
  </si>
  <si>
    <t>ТЕРм03-02-003-33</t>
  </si>
  <si>
    <t>Конвейер ленточный стационарный, с лентой шириной 1400 мм, длина 260 м</t>
  </si>
  <si>
    <t>ТЕРм03-02-003-34</t>
  </si>
  <si>
    <t>Конвейер ленточный стационарный, с лентой шириной 1400 мм, длина 300 м</t>
  </si>
  <si>
    <t xml:space="preserve">                                   Конвейеры ленточные передвижные реверсивные</t>
  </si>
  <si>
    <t>ТЕРм03-02-004-01</t>
  </si>
  <si>
    <t>Конвейер ленточный передвижной реверсивный, с лентой шириной 800 мм, длина 10 м</t>
  </si>
  <si>
    <t>ТЕРм03-02-004-02</t>
  </si>
  <si>
    <t>Конвейер ленточный передвижной реверсивный, с лентой шириной 800 мм, длина 20 м</t>
  </si>
  <si>
    <t>ТЕРм03-02-004-03</t>
  </si>
  <si>
    <t>Конвейер ленточный передвижной реверсивный, с лентой шириной 800 мм, длина 30 м</t>
  </si>
  <si>
    <t>ТЕРм03-02-004-04</t>
  </si>
  <si>
    <t>Конвейер ленточный передвижной реверсивный, с лентой шириной 800 мм, длина 40 м</t>
  </si>
  <si>
    <t>ТЕРм03-02-004-05</t>
  </si>
  <si>
    <t>Конвейер ленточный передвижной реверсивный, с лентой шириной 800 мм, длина 50 м</t>
  </si>
  <si>
    <t>ТЕРм03-02-004-06</t>
  </si>
  <si>
    <t>Конвейер ленточный передвижной реверсивный, с лентой шириной 800 мм, длина 60 м</t>
  </si>
  <si>
    <t>ТЕРм03-02-004-07</t>
  </si>
  <si>
    <t>Конвейер ленточный передвижной реверсивный, с лентой шириной 800 мм, длина 70 м</t>
  </si>
  <si>
    <t>ТЕРм03-02-004-08</t>
  </si>
  <si>
    <t>Конвейер ленточный передвижной реверсивный, с лентой шириной 800 мм, длина 80 м</t>
  </si>
  <si>
    <t>ТЕРм03-02-004-09</t>
  </si>
  <si>
    <t>Конвейер ленточный передвижной реверсивный, с лентой шириной 800 мм, длина 90 м</t>
  </si>
  <si>
    <t>ТЕРм03-02-004-10</t>
  </si>
  <si>
    <t>Конвейер ленточный передвижной реверсивный, с лентой шириной 800 мм, длина 100 м</t>
  </si>
  <si>
    <t>ТЕРм03-02-004-11</t>
  </si>
  <si>
    <t>Конвейер ленточный передвижной реверсивный, с лентой шириной 1000 мм, длина 10 м</t>
  </si>
  <si>
    <t>ТЕРм03-02-004-12</t>
  </si>
  <si>
    <t>Конвейер ленточный передвижной реверсивный, с лентой шириной 1000 мм, длина 20 м</t>
  </si>
  <si>
    <t>ТЕРм03-02-004-13</t>
  </si>
  <si>
    <t>Конвейер ленточный передвижной реверсивный, с лентой шириной 1000 мм, длина 30 м</t>
  </si>
  <si>
    <t>ТЕРм03-02-004-14</t>
  </si>
  <si>
    <t>Конвейер ленточный передвижной реверсивный, с лентой шириной 1000 мм, длина 40 м</t>
  </si>
  <si>
    <t>ТЕРм03-02-004-15</t>
  </si>
  <si>
    <t>Конвейер ленточный передвижной реверсивный, с лентой шириной 1000 мм, длина 50 м</t>
  </si>
  <si>
    <t>ТЕРм03-02-004-16</t>
  </si>
  <si>
    <t>Конвейер ленточный передвижной реверсивный, с лентой шириной 1000 мм, длина 60 м</t>
  </si>
  <si>
    <t>ТЕРм03-02-004-17</t>
  </si>
  <si>
    <t>Конвейер ленточный передвижной реверсивный, с лентой шириной 1000 мм, длина 70 м</t>
  </si>
  <si>
    <t>ТЕРм03-02-004-18</t>
  </si>
  <si>
    <t>Конвейер ленточный передвижной реверсивный, с лентой шириной 1000 мм, длина 80 м</t>
  </si>
  <si>
    <t>ТЕРм03-02-004-19</t>
  </si>
  <si>
    <t>Конвейер ленточный передвижной реверсивный, с лентой шириной 1000 мм, длина 90 м</t>
  </si>
  <si>
    <t>ТЕРм03-02-004-20</t>
  </si>
  <si>
    <t>Конвейер ленточный передвижной реверсивный, с лентой шириной 1000 мм, длина 100 м</t>
  </si>
  <si>
    <t>ТЕРм03-02-004-21</t>
  </si>
  <si>
    <t>Конвейер ленточный передвижной реверсивный, с лентой шириной 1200 мм, длина 10 м</t>
  </si>
  <si>
    <t>ТЕРм03-02-004-22</t>
  </si>
  <si>
    <t>Конвейер ленточный передвижной реверсивный, с лентой шириной 1200 мм, длина 20 м</t>
  </si>
  <si>
    <t>ТЕРм03-02-004-23</t>
  </si>
  <si>
    <t>Конвейер ленточный передвижной реверсивный, с лентой шириной 1200 мм, длина 30 м</t>
  </si>
  <si>
    <t>ТЕРм03-02-004-24</t>
  </si>
  <si>
    <t>Конвейер ленточный передвижной реверсивный, с лентой шириной 1200 мм, длина 40 м</t>
  </si>
  <si>
    <t>ТЕРм03-02-004-25</t>
  </si>
  <si>
    <t>Конвейер ленточный передвижной реверсивный, с лентой шириной 1200 мм, длина 50 м</t>
  </si>
  <si>
    <t>ТЕРм03-02-004-26</t>
  </si>
  <si>
    <t>Конвейер ленточный передвижной реверсивный, с лентой шириной 1200 мм, длина 60 м</t>
  </si>
  <si>
    <t>ТЕРм03-02-004-27</t>
  </si>
  <si>
    <t>Конвейер ленточный передвижной реверсивный, с лентой шириной 1200 мм, длина 70 м</t>
  </si>
  <si>
    <t>ТЕРм03-02-004-28</t>
  </si>
  <si>
    <t>Конвейер ленточный передвижной реверсивный, с лентой шириной 1200 мм, длина 80 м</t>
  </si>
  <si>
    <t>ТЕРм03-02-004-29</t>
  </si>
  <si>
    <t>Конвейер ленточный передвижной реверсивный, с лентой шириной 1200 мм, длина 90 м</t>
  </si>
  <si>
    <t>ТЕРм03-02-004-30</t>
  </si>
  <si>
    <t>Конвейер ленточный передвижной реверсивный, с лентой шириной 1200 мм, длина 100 м</t>
  </si>
  <si>
    <t>ТЕРм03-02-004-31</t>
  </si>
  <si>
    <t>Конвейер ленточный передвижной реверсивный, с лентой шириной 1400 мм, длина 10 м</t>
  </si>
  <si>
    <t>ТЕРм03-02-004-32</t>
  </si>
  <si>
    <t>Конвейер ленточный передвижной реверсивный, с лентой шириной 1400 мм, длина 20 м</t>
  </si>
  <si>
    <t>ТЕРм03-02-004-33</t>
  </si>
  <si>
    <t>Конвейер ленточный передвижной реверсивный, с лентой шириной 1400 мм, длина 30 м</t>
  </si>
  <si>
    <t>ТЕРм03-02-004-34</t>
  </si>
  <si>
    <t>Конвейер ленточный передвижной реверсивный, с лентой шириной 1400 мм, длина 40 м</t>
  </si>
  <si>
    <t>ТЕРм03-02-004-35</t>
  </si>
  <si>
    <t>Конвейер ленточный передвижной реверсивный, с лентой шириной 1400 мм, длина 50 м</t>
  </si>
  <si>
    <t>ТЕРм03-02-004-36</t>
  </si>
  <si>
    <t>Конвейер ленточный передвижной реверсивный, с лентой шириной 1400 мм, длина 60 м</t>
  </si>
  <si>
    <t>ТЕРм03-02-004-37</t>
  </si>
  <si>
    <t>Конвейер ленточный передвижной реверсивный, с лентой шириной 1400 мм, длина 70 м</t>
  </si>
  <si>
    <t>ТЕРм03-02-004-38</t>
  </si>
  <si>
    <t>Конвейер ленточный передвижной реверсивный, с лентой шириной 1400 мм, длина 80 м</t>
  </si>
  <si>
    <t>ТЕРм03-02-004-39</t>
  </si>
  <si>
    <t>Конвейер ленточный передвижной реверсивный, с лентой шириной 1400 мм, длина 90 м</t>
  </si>
  <si>
    <t>ТЕРм03-02-004-40</t>
  </si>
  <si>
    <t>Конвейер ленточный передвижной реверсивный, с лентой шириной 1400 мм, длина 100 м</t>
  </si>
  <si>
    <t xml:space="preserve">                                   Раздел 2. КОНВЕЙЕРЫ ПЛАСТИНЧАТЫЕ И ЦЕПНЫЕ</t>
  </si>
  <si>
    <t xml:space="preserve">                                   Конвейеры пластинчатые легкого типа</t>
  </si>
  <si>
    <t>ТЕРм03-02-021-01</t>
  </si>
  <si>
    <t>Конвейер пластинчатый легкого типа, ширина 240 мм, длина 5 м</t>
  </si>
  <si>
    <t>ТЕРм03-02-021-02</t>
  </si>
  <si>
    <t>Конвейер пластинчатый легкого типа, ширина 240 мм, длина 10 м</t>
  </si>
  <si>
    <t>ТЕРм03-02-021-03</t>
  </si>
  <si>
    <t>Конвейер пластинчатый легкого типа, ширина 240 мм, длина 15 м</t>
  </si>
  <si>
    <t>ТЕРм03-02-021-04</t>
  </si>
  <si>
    <t>Конвейер пластинчатый легкого типа, ширина 240 мм, длина 20 м</t>
  </si>
  <si>
    <t>ТЕРм03-02-021-05</t>
  </si>
  <si>
    <t>Конвейер пластинчатый легкого типа, ширина 240 мм, длина 25 м</t>
  </si>
  <si>
    <t>ТЕРм03-02-021-06</t>
  </si>
  <si>
    <t>Конвейер пластинчатый легкого типа, ширина 400 мм, длина 5 м</t>
  </si>
  <si>
    <t>ТЕРм03-02-021-07</t>
  </si>
  <si>
    <t>Конвейер пластинчатый легкого типа, ширина 400 мм, длина 10 м</t>
  </si>
  <si>
    <t>ТЕРм03-02-021-08</t>
  </si>
  <si>
    <t>Конвейер пластинчатый легкого типа, ширина 400 мм, длина 15 м</t>
  </si>
  <si>
    <t>ТЕРм03-02-021-09</t>
  </si>
  <si>
    <t>Конвейер пластинчатый легкого типа, ширина 400 мм, длина 20 м</t>
  </si>
  <si>
    <t>ТЕРм03-02-021-10</t>
  </si>
  <si>
    <t>Конвейер пластинчатый легкого типа, ширина 400 мм, длина 25 м</t>
  </si>
  <si>
    <t>ТЕРм03-02-021-11</t>
  </si>
  <si>
    <t>Конвейер пластинчатый легкого типа, ширина 400 мм, длина 30 м</t>
  </si>
  <si>
    <t>ТЕРм03-02-021-12</t>
  </si>
  <si>
    <t>Конвейер пластинчатый легкого типа, ширина 400 мм, длина 40 м</t>
  </si>
  <si>
    <t>ТЕРм03-02-021-13</t>
  </si>
  <si>
    <t>Конвейер пластинчатый легкого типа, ширина 400 мм, длина 50 м</t>
  </si>
  <si>
    <t>ТЕРм03-02-021-14</t>
  </si>
  <si>
    <t>Конвейер пластинчатый легкого типа, ширина 400 мм, длина 60 м</t>
  </si>
  <si>
    <t>ТЕРм03-02-021-15</t>
  </si>
  <si>
    <t>Конвейер пластинчатый легкого типа, ширина 400 мм, длина 70 м</t>
  </si>
  <si>
    <t>ТЕРм03-02-021-16</t>
  </si>
  <si>
    <t>Конвейер пластинчатый легкого типа, ширина 400 мм, длина 80 м</t>
  </si>
  <si>
    <t>ТЕРм03-02-021-17</t>
  </si>
  <si>
    <t>Конвейер пластинчатый легкого типа, ширина 650 мм, длина 5 м</t>
  </si>
  <si>
    <t>ТЕРм03-02-021-18</t>
  </si>
  <si>
    <t>Конвейер пластинчатый легкого типа, ширина 650 мм, длина 10 м</t>
  </si>
  <si>
    <t>ТЕРм03-02-021-19</t>
  </si>
  <si>
    <t>Конвейер пластинчатый легкого типа, ширина 650 мм, длина 15 м</t>
  </si>
  <si>
    <t>ТЕРм03-02-021-20</t>
  </si>
  <si>
    <t>Конвейер пластинчатый легкого типа, ширина 650 мм, длина 20 м</t>
  </si>
  <si>
    <t>ТЕРм03-02-021-21</t>
  </si>
  <si>
    <t>Конвейер пластинчатый легкого типа, ширина 650 мм, длина 25 м</t>
  </si>
  <si>
    <t>ТЕРм03-02-021-22</t>
  </si>
  <si>
    <t>Конвейер пластинчатый легкого типа, ширина 650 мм, длина 30 м</t>
  </si>
  <si>
    <t>ТЕРм03-02-021-23</t>
  </si>
  <si>
    <t>Конвейер пластинчатый легкого типа, ширина 650 мм, длина 40 м</t>
  </si>
  <si>
    <t>ТЕРм03-02-021-24</t>
  </si>
  <si>
    <t>Конвейер пластинчатый легкого типа, ширина 650 мм, длина 50 м</t>
  </si>
  <si>
    <t>ТЕРм03-02-021-25</t>
  </si>
  <si>
    <t>Конвейер пластинчатый легкого типа, ширина 650 мм, длина 60 м</t>
  </si>
  <si>
    <t>ТЕРм03-02-021-26</t>
  </si>
  <si>
    <t>Конвейер пластинчатый легкого типа, ширина 650 мм, длина 80 м</t>
  </si>
  <si>
    <t>ТЕРм03-02-021-27</t>
  </si>
  <si>
    <t>Конвейер пластинчатый легкого типа, ширина 650 мм, увеличение на каждые последующие 10 м сверх 80 м</t>
  </si>
  <si>
    <t>ТЕРм03-02-021-28</t>
  </si>
  <si>
    <t>Конвейер пластинчатый легкого типа, ширина 800 мм, длина 5 м</t>
  </si>
  <si>
    <t>ТЕРм03-02-021-29</t>
  </si>
  <si>
    <t>Конвейер пластинчатый легкого типа, ширина 800 мм, длина 10 м</t>
  </si>
  <si>
    <t>ТЕРм03-02-021-30</t>
  </si>
  <si>
    <t>Конвейер пластинчатый легкого типа, ширина 800 мм, длина 15 м</t>
  </si>
  <si>
    <t>ТЕРм03-02-021-31</t>
  </si>
  <si>
    <t>Конвейер пластинчатый легкого типа, ширина 800 мм, длина 20 м</t>
  </si>
  <si>
    <t>ТЕРм03-02-021-32</t>
  </si>
  <si>
    <t>Конвейер пластинчатый легкого типа, ширина 800 мм, длина 25 м</t>
  </si>
  <si>
    <t>ТЕРм03-02-021-33</t>
  </si>
  <si>
    <t>Конвейер пластинчатый легкого типа, ширина 800 мм, длина 30 м</t>
  </si>
  <si>
    <t>ТЕРм03-02-021-34</t>
  </si>
  <si>
    <t>Конвейер пластинчатый легкого типа, ширина 800 мм, длина 40 м</t>
  </si>
  <si>
    <t>ТЕРм03-02-021-35</t>
  </si>
  <si>
    <t>Конвейер пластинчатый легкого типа, ширина 800 мм, длина 50 м</t>
  </si>
  <si>
    <t>ТЕРм03-02-021-36</t>
  </si>
  <si>
    <t>Конвейер пластинчатый легкого типа, ширина 800 мм, длина 60 м</t>
  </si>
  <si>
    <t>ТЕРм03-02-021-37</t>
  </si>
  <si>
    <t>Конвейер пластинчатый легкого типа, ширина 800 мм, длина 80 м</t>
  </si>
  <si>
    <t>ТЕРм03-02-021-38</t>
  </si>
  <si>
    <t>Конвейер пластинчатый легкого типа, ширина 800 мм, увеличение на каждые последующие 10 м сверх 80 м</t>
  </si>
  <si>
    <t>ТЕРм03-02-021-39</t>
  </si>
  <si>
    <t>Конвейер пластинчатый легкого типа, ширина 1000 мм, длина 5 м</t>
  </si>
  <si>
    <t>ТЕРм03-02-021-40</t>
  </si>
  <si>
    <t>Конвейер пластинчатый легкого типа, ширина 1000 мм, длина 10 м</t>
  </si>
  <si>
    <t>ТЕРм03-02-021-41</t>
  </si>
  <si>
    <t>Конвейер пластинчатый легкого типа, ширина 1000 мм, длина 15 м</t>
  </si>
  <si>
    <t>ТЕРм03-02-021-42</t>
  </si>
  <si>
    <t>Конвейер пластинчатый легкого типа, ширина 1000 мм, длина 20 м</t>
  </si>
  <si>
    <t>ТЕРм03-02-021-43</t>
  </si>
  <si>
    <t>Конвейер пластинчатый легкого типа, ширина 1000 мм, длина 25 м</t>
  </si>
  <si>
    <t>ТЕРм03-02-021-44</t>
  </si>
  <si>
    <t>Конвейер пластинчатый легкого типа, ширина 1000 мм, длина 30 м</t>
  </si>
  <si>
    <t>ТЕРм03-02-021-45</t>
  </si>
  <si>
    <t>Конвейер пластинчатый легкого типа, ширина 1000 мм, длина 40 м</t>
  </si>
  <si>
    <t>ТЕРм03-02-021-46</t>
  </si>
  <si>
    <t>Конвейер пластинчатый легкого типа, ширина 1000 мм, длина 50 м</t>
  </si>
  <si>
    <t>ТЕРм03-02-021-47</t>
  </si>
  <si>
    <t>Конвейер пластинчатый легкого типа, ширина 1000 мм, длина 60 м</t>
  </si>
  <si>
    <t>ТЕРм03-02-021-48</t>
  </si>
  <si>
    <t>Конвейер пластинчатый легкого типа, ширина 1000 мм, длина 80 м</t>
  </si>
  <si>
    <t>ТЕРм03-02-021-49</t>
  </si>
  <si>
    <t>Конвейер пластинчатый легкого типа, ширина 1000 мм, увеличение на каждые последующие 10 м сверх 80 м</t>
  </si>
  <si>
    <t>ТЕРм03-02-021-50</t>
  </si>
  <si>
    <t>Конвейер пластинчатый легкого типа, ширина 1200 мм, длина 5 м</t>
  </si>
  <si>
    <t>ТЕРм03-02-021-51</t>
  </si>
  <si>
    <t>Конвейер пластинчатый легкого типа, ширина 1200 мм, длина 10 м</t>
  </si>
  <si>
    <t>ТЕРм03-02-021-52</t>
  </si>
  <si>
    <t>Конвейер пластинчатый легкого типа, ширина 1200 мм, длина 15 м</t>
  </si>
  <si>
    <t>ТЕРм03-02-021-53</t>
  </si>
  <si>
    <t>Конвейер пластинчатый легкого типа, ширина 1200 мм, длина 20 м</t>
  </si>
  <si>
    <t>ТЕРм03-02-021-54</t>
  </si>
  <si>
    <t>Конвейер пластинчатый легкого типа, ширина 1200 мм, длина 25 м</t>
  </si>
  <si>
    <t>ТЕРм03-02-021-55</t>
  </si>
  <si>
    <t>Конвейер пластинчатый легкого типа, ширина 1200 мм, длина 30 м</t>
  </si>
  <si>
    <t>ТЕРм03-02-021-56</t>
  </si>
  <si>
    <t>Конвейер пластинчатый легкого типа, ширина 1200 мм, длина 40 м</t>
  </si>
  <si>
    <t>ТЕРм03-02-021-57</t>
  </si>
  <si>
    <t>Конвейер пластинчатый легкого типа, ширина 1200 мм, длина 50 м</t>
  </si>
  <si>
    <t>ТЕРм03-02-021-58</t>
  </si>
  <si>
    <t>Конвейер пластинчатый легкого типа, ширина 1200 мм, длина 60 м</t>
  </si>
  <si>
    <t>ТЕРм03-02-021-59</t>
  </si>
  <si>
    <t>Конвейер пластинчатый легкого типа, ширина 1200 мм, длина 80 м</t>
  </si>
  <si>
    <t>ТЕРм03-02-021-60</t>
  </si>
  <si>
    <t>Конвейер пластинчатый легкого типа, ширина 1200 мм, увеличение на каждые последующие 10 м сверх 80 м</t>
  </si>
  <si>
    <t xml:space="preserve">                                   Раздел 3. КОНВЕЙЕРЫ ТЕЛЕЖЕЧНЫЕ</t>
  </si>
  <si>
    <t xml:space="preserve">                                   Конвейеры тележечные для литейных форм</t>
  </si>
  <si>
    <t>ТЕРм03-02-031-01</t>
  </si>
  <si>
    <t>Конвейер тележечный для литейных форм, ширина платформы 500 мм, длина (развернутая) конвейера 50 м</t>
  </si>
  <si>
    <t>ТЕРм03-02-031-02</t>
  </si>
  <si>
    <t>Конвейер тележечный для литейных форм, ширина платформы 500 мм, длина (развернутая) конвейера 100 м</t>
  </si>
  <si>
    <t>ТЕРм03-02-031-03</t>
  </si>
  <si>
    <t>Конвейер тележечный для литейных форм, ширина платформы 500 мм, длина (развернутая) конвейера 110 м</t>
  </si>
  <si>
    <t>ТЕРм03-02-031-04</t>
  </si>
  <si>
    <t>Конвейер тележечный для литейных форм, ширина платформы 500 мм, длина (развернутая) конвейера 120 м</t>
  </si>
  <si>
    <t>ТЕРм03-02-031-05</t>
  </si>
  <si>
    <t>Конвейер тележечный для литейных форм, ширина платформы 500 мм, длина (развернутая) конвейера 130 м</t>
  </si>
  <si>
    <t>ТЕРм03-02-031-06</t>
  </si>
  <si>
    <t>Конвейер тележечный для литейных форм, ширина платформы 500 мм, длина (развернутая) конвейера 140 м</t>
  </si>
  <si>
    <t>ТЕРм03-02-031-07</t>
  </si>
  <si>
    <t>Конвейер тележечный для литейных форм, ширина платформы 500 мм, длина (развернутая) конвейера 150 м</t>
  </si>
  <si>
    <t>ТЕРм03-02-031-08</t>
  </si>
  <si>
    <t>Конвейер тележечный для литейных форм, ширина платформы 500 мм, длина (развернутая) конвейера 160 м</t>
  </si>
  <si>
    <t>ТЕРм03-02-031-09</t>
  </si>
  <si>
    <t>Конвейер тележечный для литейных форм, ширина платформы 500 мм, длина (развернутая) конвейера 170 м</t>
  </si>
  <si>
    <t>ТЕРм03-02-031-10</t>
  </si>
  <si>
    <t>Конвейер тележечный для литейных форм, ширина платформы 500 мм, длина (развернутая) конвейера 180 м</t>
  </si>
  <si>
    <t>ТЕРм03-02-031-11</t>
  </si>
  <si>
    <t>Конвейер тележечный для литейных форм, ширина платформы 500 мм, длина (развернутая) конвейера 190 м</t>
  </si>
  <si>
    <t>ТЕРм03-02-031-12</t>
  </si>
  <si>
    <t>Конвейер тележечный для литейных форм, ширина платформы 500 мм, длина (развернутая) конвейера 200 м</t>
  </si>
  <si>
    <t>ТЕРм03-02-031-13</t>
  </si>
  <si>
    <t>Конвейер тележечный для литейных форм, ширина платформы 650 мм, длина (развернутая) конвейера 50 м</t>
  </si>
  <si>
    <t>ТЕРм03-02-031-14</t>
  </si>
  <si>
    <t>Конвейер тележечный для литейных форм, ширина платформы 650 мм, длина (развернутая) конвейера 100 м</t>
  </si>
  <si>
    <t>ТЕРм03-02-031-15</t>
  </si>
  <si>
    <t>Конвейер тележечный для литейных форм, ширина платформы 650 мм, длина (развернутая) конвейера 110 м</t>
  </si>
  <si>
    <t>ТЕРм03-02-031-16</t>
  </si>
  <si>
    <t>Конвейер тележечный для литейных форм, ширина платформы 650 мм, длина (развернутая) конвейера 120 м</t>
  </si>
  <si>
    <t>ТЕРм03-02-031-17</t>
  </si>
  <si>
    <t>Конвейер тележечный для литейных форм, ширина платформы 650 мм, длина (развернутая) конвейера 130 м</t>
  </si>
  <si>
    <t>ТЕРм03-02-031-18</t>
  </si>
  <si>
    <t>Конвейер тележечный для литейных форм, ширина платформы 650 мм, длина (развернутая) конвейера 140 м</t>
  </si>
  <si>
    <t>ТЕРм03-02-031-19</t>
  </si>
  <si>
    <t>Конвейер тележечный для литейных форм, ширина платформы 650 мм, длина (развернутая) конвейера 150 м</t>
  </si>
  <si>
    <t>ТЕРм03-02-031-20</t>
  </si>
  <si>
    <t>Конвейер тележечный для литейных форм, ширина платформы 650 мм, длина (развернутая) конвейера 160 м</t>
  </si>
  <si>
    <t>ТЕРм03-02-031-21</t>
  </si>
  <si>
    <t>Конвейер тележечный для литейных форм, ширина платформы 650 мм, длина (развернутая) конвейера 170 м</t>
  </si>
  <si>
    <t>ТЕРм03-02-031-22</t>
  </si>
  <si>
    <t>Конвейер тележечный для литейных форм, ширина платформы 650 мм, длина (развернутая) конвейера 180 м</t>
  </si>
  <si>
    <t>ТЕРм03-02-031-23</t>
  </si>
  <si>
    <t>Конвейер тележечный для литейных форм, ширина платформы 650 мм, длина (развернутая) конвейера 190 м</t>
  </si>
  <si>
    <t>ТЕРм03-02-031-24</t>
  </si>
  <si>
    <t>Конвейер тележечный для литейных форм, ширина платформы 650 мм, длина (развернутая) конвейера 200 м</t>
  </si>
  <si>
    <t>ТЕРм03-02-031-25</t>
  </si>
  <si>
    <t>Конвейер тележечный для литейных форм, ширина платформы 800 мм, длина (развернутая) конвейера 50 м</t>
  </si>
  <si>
    <t>ТЕРм03-02-031-26</t>
  </si>
  <si>
    <t>Конвейер тележечный для литейных форм, ширина платформы 800 мм, длина (развернутая) конвейера 100 м</t>
  </si>
  <si>
    <t>ТЕРм03-02-031-27</t>
  </si>
  <si>
    <t>Конвейер тележечный для литейных форм, ширина платформы 800 мм, длина (развернутая) конвейера 110 м</t>
  </si>
  <si>
    <t>ТЕРм03-02-031-28</t>
  </si>
  <si>
    <t>Конвейер тележечный для литейных форм, ширина платформы 800 мм, длина (развернутая) конвейера 120 м</t>
  </si>
  <si>
    <t>ТЕРм03-02-031-29</t>
  </si>
  <si>
    <t>Конвейер тележечный для литейных форм, ширина платформы 800 мм, длина (развернутая) конвейера 130 м</t>
  </si>
  <si>
    <t>ТЕРм03-02-031-30</t>
  </si>
  <si>
    <t>Конвейер тележечный для литейных форм, ширина платформы 800 мм, длина (развернутая) конвейера 140 м</t>
  </si>
  <si>
    <t>ТЕРм03-02-031-31</t>
  </si>
  <si>
    <t>Конвейер тележечный для литейных форм, ширина платформы 800 мм, длина (развернутая) конвейера 150 м</t>
  </si>
  <si>
    <t>ТЕРм03-02-031-32</t>
  </si>
  <si>
    <t>Конвейер тележечный для литейных форм, ширина платформы 800 мм, длина (развернутая) конвейера 160 м</t>
  </si>
  <si>
    <t>ТЕРм03-02-031-33</t>
  </si>
  <si>
    <t>Конвейер тележечный для литейных форм, ширина платформы 800 мм, длина (развернутая) конвейера 170 м</t>
  </si>
  <si>
    <t>ТЕРм03-02-031-34</t>
  </si>
  <si>
    <t>Конвейер тележечный для литейных форм, ширина платформы 800 мм, длина (развернутая) конвейера 180 м</t>
  </si>
  <si>
    <t>ТЕРм03-02-031-35</t>
  </si>
  <si>
    <t>Конвейер тележечный для литейных форм, ширина платформы 800 мм, длина (развернутая) конвейера 190 м</t>
  </si>
  <si>
    <t>ТЕРм03-02-031-36</t>
  </si>
  <si>
    <t>Конвейер тележечный для литейных форм, ширина платформы 800 мм, длина (развернутая) конвейера 200 м</t>
  </si>
  <si>
    <t>ТЕРм03-02-031-37</t>
  </si>
  <si>
    <t>Конвейер тележечный для литейных форм, ширина платформы 1000 мм, длина (развернутая) конвейера 50 м</t>
  </si>
  <si>
    <t>ТЕРм03-02-031-38</t>
  </si>
  <si>
    <t>Конвейер тележечный для литейных форм, ширина платформы 1000 мм, длина (развернутая) конвейера 100 м</t>
  </si>
  <si>
    <t>ТЕРм03-02-031-39</t>
  </si>
  <si>
    <t>Конвейер тележечный для литейных форм, ширина платформы 1000 мм, длина (развернутая) конвейера 110 м</t>
  </si>
  <si>
    <t>ТЕРм03-02-031-40</t>
  </si>
  <si>
    <t>Конвейер тележечный для литейных форм, ширина платформы 1000 мм, длина (развернутая) конвейера 120 м</t>
  </si>
  <si>
    <t>ТЕРм03-02-031-41</t>
  </si>
  <si>
    <t>Конвейер тележечный для литейных форм, ширина платформы 1000 мм, длина (развернутая) конвейера 130 м</t>
  </si>
  <si>
    <t>ТЕРм03-02-031-42</t>
  </si>
  <si>
    <t>Конвейер тележечный для литейных форм, ширина платформы 1000 мм, длина (развернутая) конвейера 140 м</t>
  </si>
  <si>
    <t>ТЕРм03-02-031-43</t>
  </si>
  <si>
    <t>Конвейер тележечный для литейных форм, ширина платформы 1000 мм, длина (развернутая) конвейера 150 м</t>
  </si>
  <si>
    <t>ТЕРм03-02-031-44</t>
  </si>
  <si>
    <t>Конвейер тележечный для литейных форм, ширина платформы 1000 мм, длина (развернутая) конвейера 160 м</t>
  </si>
  <si>
    <t>ТЕРм03-02-031-45</t>
  </si>
  <si>
    <t>Конвейер тележечный для литейных форм, ширина платформы 1000 мм, длина (развернутая) конвейера 170 м</t>
  </si>
  <si>
    <t>ТЕРм03-02-031-46</t>
  </si>
  <si>
    <t>Конвейер тележечный для литейных форм, ширина платформы 1000 мм, длина (развернутая) конвейера 180 м</t>
  </si>
  <si>
    <t>ТЕРм03-02-031-47</t>
  </si>
  <si>
    <t>Конвейер тележечный для литейных форм, ширина платформы 1000 мм, длина (развернутая) конвейера 190 м</t>
  </si>
  <si>
    <t>ТЕРм03-02-031-48</t>
  </si>
  <si>
    <t>Конвейер тележечный для литейных форм, ширина платформы 1000 мм, длина (развернутая) конвейера 200 м</t>
  </si>
  <si>
    <t xml:space="preserve">                                   Раздел 4. КОНВЕЙЕРЫ ВИНТОВЫЕ</t>
  </si>
  <si>
    <t xml:space="preserve">                                   Конвейеры винтовые общего назначения</t>
  </si>
  <si>
    <t>ТЕРм03-02-041-01</t>
  </si>
  <si>
    <t>Конвейер винтовой общего назначения, диаметр винта 200 мм, длина конвейера 4 м</t>
  </si>
  <si>
    <t>ТЕРм03-02-041-02</t>
  </si>
  <si>
    <t>Конвейер винтовой общего назначения, диаметр винта 200 мм, длина конвейера 8 м</t>
  </si>
  <si>
    <t>ТЕРм03-02-041-03</t>
  </si>
  <si>
    <t>Конвейер винтовой общего назначения, диаметр винта 200 мм, длина конвейера 12 м</t>
  </si>
  <si>
    <t>ТЕРм03-02-041-04</t>
  </si>
  <si>
    <t>Конвейер винтовой общего назначения, диаметр винта 200 мм, длина конвейера 16 м</t>
  </si>
  <si>
    <t>ТЕРм03-02-041-05</t>
  </si>
  <si>
    <t>Конвейер винтовой общего назначения, диаметр винта 200 мм, длина конвейера 20 м</t>
  </si>
  <si>
    <t>ТЕРм03-02-041-06</t>
  </si>
  <si>
    <t>Конвейер винтовой общего назначения, диаметр винта 200 мм, длина конвейера 24 м</t>
  </si>
  <si>
    <t>ТЕРм03-02-041-07</t>
  </si>
  <si>
    <t>Конвейер винтовой общего назначения, диаметр винта 200 мм, длина конвейера 28 м</t>
  </si>
  <si>
    <t>ТЕРм03-02-041-08</t>
  </si>
  <si>
    <t>Конвейер винтовой общего назначения, диаметр винта 300-400 мм, длина конвейера 4 м</t>
  </si>
  <si>
    <t>ТЕРм03-02-041-09</t>
  </si>
  <si>
    <t>Конвейер винтовой общего назначения, диаметр винта 300-400 мм, длина конвейера 8 м</t>
  </si>
  <si>
    <t>ТЕРм03-02-041-10</t>
  </si>
  <si>
    <t>Конвейер винтовой общего назначения, диаметр винта 300-400 мм, длина конвейера 12 м</t>
  </si>
  <si>
    <t>ТЕРм03-02-041-11</t>
  </si>
  <si>
    <t>Конвейер винтовой общего назначения, диаметр винта 300-400 мм, длина конвейера 16 м</t>
  </si>
  <si>
    <t>ТЕРм03-02-041-12</t>
  </si>
  <si>
    <t>Конвейер винтовой общего назначения, диаметр винта 300-400 мм, длина конвейера 20 м</t>
  </si>
  <si>
    <t>ТЕРм03-02-041-13</t>
  </si>
  <si>
    <t>Конвейер винтовой общего назначения, диаметр винта 300-400 мм, длина конвейера 24 м</t>
  </si>
  <si>
    <t>ТЕРм03-02-041-14</t>
  </si>
  <si>
    <t>Конвейер винтовой общего назначения, диаметр винта 300-400 мм, длина конвейера 28 м</t>
  </si>
  <si>
    <t>ТЕРм03-02-041-15</t>
  </si>
  <si>
    <t>Конвейер винтовой общего назначения, диаметр винта 300-400 мм, длина конвейера 36 м</t>
  </si>
  <si>
    <t>ТЕРм03-02-041-16</t>
  </si>
  <si>
    <t>Конвейер винтовой общего назначения, диаметр винта 500-600 мм, длина конвейера 4 м</t>
  </si>
  <si>
    <t>ТЕРм03-02-041-17</t>
  </si>
  <si>
    <t>Конвейер винтовой общего назначения, диаметр винта 500-600 мм, длина конвейера 8 м</t>
  </si>
  <si>
    <t>ТЕРм03-02-041-18</t>
  </si>
  <si>
    <t>Конвейер винтовой общего назначения, диаметр винта 500-600 мм, длина конвейера 12 м</t>
  </si>
  <si>
    <t>ТЕРм03-02-041-19</t>
  </si>
  <si>
    <t>Конвейер винтовой общего назначения, диаметр винта 500-600 мм, длина конвейера 16 м</t>
  </si>
  <si>
    <t>ТЕРм03-02-041-20</t>
  </si>
  <si>
    <t>Конвейер винтовой общего назначения, диаметр винта 500-600 мм, длина конвейера 20 м</t>
  </si>
  <si>
    <t>ТЕРм03-02-041-21</t>
  </si>
  <si>
    <t>Конвейер винтовой общего назначения, диаметр винта 500-600 мм, длина конвейера 24 м</t>
  </si>
  <si>
    <t>ТЕРм03-02-041-22</t>
  </si>
  <si>
    <t>Конвейер винтовой общего назначения, диаметр винта 500-600 мм, длина конвейера 28 м</t>
  </si>
  <si>
    <t xml:space="preserve">                                   Раздел 5. ЭЛЕВАТОРЫ</t>
  </si>
  <si>
    <t xml:space="preserve">                                   Элеваторы ковшовые ленточные</t>
  </si>
  <si>
    <t>ТЕРм03-02-056-01</t>
  </si>
  <si>
    <t>Элеватор ковшовый ленточный, ширина 950 мм, высота элеватора 10 м</t>
  </si>
  <si>
    <t>ТЕРм03-02-056-02</t>
  </si>
  <si>
    <t>Элеватор ковшовый ленточный, ширина 950 мм, высота элеватора 15 м</t>
  </si>
  <si>
    <t>ТЕРм03-02-056-03</t>
  </si>
  <si>
    <t>Элеватор ковшовый ленточный, ширина 950 мм, высота элеватора 20 м</t>
  </si>
  <si>
    <t>ТЕРм03-02-056-04</t>
  </si>
  <si>
    <t>Элеватор ковшовый ленточный, ширина 950 мм, высота элеватора 25 м</t>
  </si>
  <si>
    <t>ТЕРм03-02-056-05</t>
  </si>
  <si>
    <t>Элеватор ковшовый ленточный, ширина 950 мм, высота элеватора 30 м</t>
  </si>
  <si>
    <t>ТЕРм03-02-056-06</t>
  </si>
  <si>
    <t>Элеватор ковшовый ленточный, ширина 950 мм, высота элеватора 35 м</t>
  </si>
  <si>
    <t>ТЕРм03-02-056-07</t>
  </si>
  <si>
    <t>Элеватор ковшовый ленточный, ширина 950 мм, высота элеватора 40 м</t>
  </si>
  <si>
    <t xml:space="preserve">                                   Элеваторы ковшовые цепные вертикальные</t>
  </si>
  <si>
    <t>ТЕРм03-02-057-01</t>
  </si>
  <si>
    <t>Элеватор ковшовый цепной вертикальный, ширина 250 мм, высота элеватора 10 м</t>
  </si>
  <si>
    <t>ТЕРм03-02-057-02</t>
  </si>
  <si>
    <t>Элеватор ковшовый цепной вертикальный, ширина 250 мм, высота элеватора 15 м</t>
  </si>
  <si>
    <t>ТЕРм03-02-057-03</t>
  </si>
  <si>
    <t>Элеватор ковшовый цепной вертикальный, ширина 250 мм, высота элеватора 20 м</t>
  </si>
  <si>
    <t>ТЕРм03-02-057-04</t>
  </si>
  <si>
    <t>Элеватор ковшовый цепной вертикальный, ширина 250 мм, высота элеватора 25 м</t>
  </si>
  <si>
    <t>ТЕРм03-02-057-05</t>
  </si>
  <si>
    <t>Элеватор ковшовый цепной вертикальный, ширина 250 мм, высота элеватора 30 м</t>
  </si>
  <si>
    <t>ТЕРм03-02-057-06</t>
  </si>
  <si>
    <t>Элеватор ковшовый цепной вертикальный, ширина 320 мм, высота элеватора 10 м</t>
  </si>
  <si>
    <t>ТЕРм03-02-057-07</t>
  </si>
  <si>
    <t>Элеватор ковшовый цепной вертикальный, ширина 320 мм, высота элеватора 15 м</t>
  </si>
  <si>
    <t>ТЕРм03-02-057-08</t>
  </si>
  <si>
    <t>Элеватор ковшовый цепной вертикальный, ширина 320 мм, высота элеватора 20 м</t>
  </si>
  <si>
    <t>ТЕРм03-02-057-09</t>
  </si>
  <si>
    <t>Элеватор ковшовый цепной вертикальный, ширина 320 мм, высота элеватора 25 м</t>
  </si>
  <si>
    <t>ТЕРм03-02-057-10</t>
  </si>
  <si>
    <t>Элеватор ковшовый цепной вертикальный, ширина 320 мм, высота элеватора 30 м</t>
  </si>
  <si>
    <t>ТЕРм03-02-057-11</t>
  </si>
  <si>
    <t>Элеватор ковшовый цепной вертикальный, ширина 400 мм, высота элеватора 10 м</t>
  </si>
  <si>
    <t>ТЕРм03-02-057-12</t>
  </si>
  <si>
    <t>Элеватор ковшовый цепной вертикальный, ширина 400 мм, высота элеватора 15 м</t>
  </si>
  <si>
    <t>ТЕРм03-02-057-13</t>
  </si>
  <si>
    <t>Элеватор ковшовый цепной вертикальный, ширина 400 мм, высота элеватора 20 м</t>
  </si>
  <si>
    <t>ТЕРм03-02-057-14</t>
  </si>
  <si>
    <t>Элеватор ковшовый цепной вертикальный, ширина 400 мм, высота элеватора 25 м</t>
  </si>
  <si>
    <t>ТЕРм03-02-057-15</t>
  </si>
  <si>
    <t>Элеватор ковшовый цепной вертикальный, ширина 400 мм, высота элеватора 30 м</t>
  </si>
  <si>
    <t>ТЕРм03-02-057-16</t>
  </si>
  <si>
    <t>Элеватор ковшовый цепной вертикальный, ширина 400 мм, высота элеватора 35 м</t>
  </si>
  <si>
    <t>ТЕРм03-02-057-17</t>
  </si>
  <si>
    <t>Элеватор ковшовый цепной вертикальный, ширина 650 мм, высота элеватора 10 м</t>
  </si>
  <si>
    <t>ТЕРм03-02-057-18</t>
  </si>
  <si>
    <t>Элеватор ковшовый цепной вертикальный, ширина 650 мм, высота элеватора 15 м</t>
  </si>
  <si>
    <t>ТЕРм03-02-057-19</t>
  </si>
  <si>
    <t>Элеватор ковшовый цепной вертикальный, ширина 650 мм, высота элеватора 20 м</t>
  </si>
  <si>
    <t>ТЕРм03-02-057-20</t>
  </si>
  <si>
    <t>Элеватор ковшовый цепной вертикальный, ширина 650 мм, высота элеватора 25 м</t>
  </si>
  <si>
    <t>ТЕРм03-02-057-21</t>
  </si>
  <si>
    <t>Элеватор ковшовый цепной вертикальный, ширина 650 мм, высота элеватора 30 м</t>
  </si>
  <si>
    <t>ТЕРм03-02-057-22</t>
  </si>
  <si>
    <t>Элеватор ковшовый цепной вертикальный, ширина 650 мм, высота элеватора 35 м</t>
  </si>
  <si>
    <t>ТЕРм03-02-057-23</t>
  </si>
  <si>
    <t>Элеватор ковшовый цепной вертикальный, ширина 650 мм, высота элеватора 40 м</t>
  </si>
  <si>
    <t>ТЕРм03-02-057-24</t>
  </si>
  <si>
    <t>Элеватор ковшовый цепной вертикальный, ширина 800-1000 мм, высота элеватора 10 м</t>
  </si>
  <si>
    <t>ТЕРм03-02-057-25</t>
  </si>
  <si>
    <t>Элеватор ковшовый цепной вертикальный, ширина 800-1000 мм, высота элеватора 15 м</t>
  </si>
  <si>
    <t>ТЕРм03-02-057-26</t>
  </si>
  <si>
    <t>Элеватор ковшовый цепной вертикальный, ширина 800-1000 мм, высота элеватора 20 м</t>
  </si>
  <si>
    <t>ТЕРм03-02-057-27</t>
  </si>
  <si>
    <t>Элеватор ковшовый цепной вертикальный, ширина 800-1000 мм, высота элеватора 25 м</t>
  </si>
  <si>
    <t>ТЕРм03-02-057-28</t>
  </si>
  <si>
    <t>Элеватор ковшовый цепной вертикальный, ширина 800-1000 мм, высота элеватора 30 м</t>
  </si>
  <si>
    <t>ТЕРм03-02-057-29</t>
  </si>
  <si>
    <t>Элеватор ковшовый цепной вертикальный, ширина 800-1000 мм, высота элеватора 35 м</t>
  </si>
  <si>
    <t>ТЕРм03-02-057-30</t>
  </si>
  <si>
    <t>Элеватор ковшовый цепной вертикальный, ширина 800-1000 мм, высота элеватора 40м</t>
  </si>
  <si>
    <t xml:space="preserve">                                   Раздел 6. КОНВЕЙЕРЫ СПЕЦИАЛЬНЫЕ</t>
  </si>
  <si>
    <t xml:space="preserve">                                   Конвейеры вертикальные многокабинные с автоматической разгрузкой</t>
  </si>
  <si>
    <t>ТЕРм03-02-072-01</t>
  </si>
  <si>
    <t>Конвейер вертикальный многокабинный с автоматической разгрузкой на 9 постов, со скоростью движения 0,22; 0,33 м/с, высота шахты 31,3 м, максимальная нагрузка до 12 кг</t>
  </si>
  <si>
    <t>ТЕРм03-02-072-02</t>
  </si>
  <si>
    <t>Добавлять или уменьшать за каждый пост более или менее 9 постов к расценке 03-02-072-01</t>
  </si>
  <si>
    <t>ТЕРм03-02-072-03</t>
  </si>
  <si>
    <t>Добавлять или уменьшать за каждый метр высоты шахты более или менее 31,3 м к расценке 03-02-072-01</t>
  </si>
  <si>
    <t xml:space="preserve">                           Раздел 3. ОТДЕЛ 03. УЗЛЫ ПОДЪЕМНО-ТРАНСПОРТНОГО ОБОРУДОВАНИЯ</t>
  </si>
  <si>
    <t xml:space="preserve">                                   Раздел 1. УЗЛЫ КОНВЕЙЕРОВ И РОЛЬГАНГОВ</t>
  </si>
  <si>
    <t xml:space="preserve">                                   Конвейеры ленточные с прорезиненной лентой</t>
  </si>
  <si>
    <t>ТЕРм03-03-001-01</t>
  </si>
  <si>
    <t>Сбрасыватель плужковый конвейера ленточного, ширина ленты конвейера 400-500 мм</t>
  </si>
  <si>
    <t>ТЕРм03-03-001-02</t>
  </si>
  <si>
    <t>Сбрасыватель плужковый конвейера ленточного, ширина ленты конвейера 650-800 мм</t>
  </si>
  <si>
    <t>ТЕРм03-03-001-03</t>
  </si>
  <si>
    <t>Станина, рама конвейера ленточного, ширина ленты конвейера 800 мм</t>
  </si>
  <si>
    <t>ТЕРм03-03-001-04</t>
  </si>
  <si>
    <t>Станина, рама конвейера ленточного, ширина ленты конвейера 1000 мм</t>
  </si>
  <si>
    <t>ТЕРм03-03-001-05</t>
  </si>
  <si>
    <t>Станина, рама конвейера ленточного, ширина ленты конвейера 1200 мм</t>
  </si>
  <si>
    <t>ТЕРм03-03-001-06</t>
  </si>
  <si>
    <t>Станина, рама конвейера ленточного, ширина ленты конвейера 1400 мм</t>
  </si>
  <si>
    <t xml:space="preserve">                                   Конвейеры цепные подвесные, применяемые в мясной промышленности</t>
  </si>
  <si>
    <t>ТЕРм03-03-002-01</t>
  </si>
  <si>
    <t>Конвейер цепной подвесной, применяемый в мясной промышленности, в том числе привод наклонного конвейера на раме</t>
  </si>
  <si>
    <t>ТЕРм03-03-002-02</t>
  </si>
  <si>
    <t>Конвейер цепной подвесной, применяемый в мясной промышленности, в том числе натяжка наклонного конвейера</t>
  </si>
  <si>
    <t>ТЕРм03-03-002-03</t>
  </si>
  <si>
    <t>Конвейер цепной подвесной, применяемый в мясной промышленности, в том числе станция оборотная наклонного конвейера</t>
  </si>
  <si>
    <t>ТЕРм03-03-002-04</t>
  </si>
  <si>
    <t>Конвейер цепной подвесной, применяемый в мясной промышленности, в том числе секция-вставка наклонного конвейера, длина от 1 до 1,5 м</t>
  </si>
  <si>
    <t>ТЕРм03-03-002-05</t>
  </si>
  <si>
    <t>Конвейер цепной подвесной, применяемый в мясной промышленности, в том числе секция-вставка наклонного конвейера, длина свыше 1,5 до 2 м</t>
  </si>
  <si>
    <t>ТЕРм03-03-002-06</t>
  </si>
  <si>
    <t>Конвейер цепной подвесной, применяемый в мясной промышленности, в том числе секция-вставка наклонного конвейера, длина 3 м</t>
  </si>
  <si>
    <t>ТЕРм03-03-002-07</t>
  </si>
  <si>
    <t>Конвейер цепной подвесной, применяемый в мясной промышленности, в том числе секция цепи наклонного конвейера, длина 0,9 м</t>
  </si>
  <si>
    <t>ТЕРм03-03-002-08</t>
  </si>
  <si>
    <t>Конвейер цепной подвесной, применяемый в мясной промышленности, в том числе троллей с крюком одинарный</t>
  </si>
  <si>
    <t>-</t>
  </si>
  <si>
    <t>ТЕРм03-03-002-09</t>
  </si>
  <si>
    <t>Конвейер цепной подвесной, применяемый в мясной промышленности, в том числе троллей с крюком спаренный</t>
  </si>
  <si>
    <t>ТЕРм03-03-002-10</t>
  </si>
  <si>
    <t>Испытание наклонного конвейера цепного подвесного, применяемого в мясной промышленности, вхолостую</t>
  </si>
  <si>
    <t xml:space="preserve">                                   Конвейеры цепные напольные, применяемые в молочной промышленности</t>
  </si>
  <si>
    <t>ТЕРм03-03-003-01</t>
  </si>
  <si>
    <t>Конвейер цепной напольный, применяемый в молочной промышленности, в том числе станция приводная с электродвигателем, червячным редуктором, муфтой, ведущей звездочкой, втулочно-роликовой цепью, приводной рамой</t>
  </si>
  <si>
    <t>ТЕРм03-03-003-02</t>
  </si>
  <si>
    <t>Конвейер цепной напольный, применяемый в молочной промышленности, в том числе станция концевая с валом, ведущей звездочкой и рамой</t>
  </si>
  <si>
    <t>ТЕРм03-03-003-03</t>
  </si>
  <si>
    <t>Конвейер цепной напольный, применяемый в молочной промышленности, в том числе ходовая часть (радиальные, переходные секции, направляющие, ограждение и полотно)</t>
  </si>
  <si>
    <t xml:space="preserve">                                   Рольганги</t>
  </si>
  <si>
    <t>ТЕРм03-03-004-01</t>
  </si>
  <si>
    <t>Рольганг, диаметр ролика 80 мм, длина ролика 300-500 мм</t>
  </si>
  <si>
    <t>ТЕРм03-03-004-02</t>
  </si>
  <si>
    <t>Рольганг, диаметр ролика 80 мм, длина ролика 600 мм</t>
  </si>
  <si>
    <t>ТЕРм03-03-004-03</t>
  </si>
  <si>
    <t>Рольганг, диаметр ролика 80 мм, длина ролика 800 мм</t>
  </si>
  <si>
    <t>ТЕРм03-03-004-04</t>
  </si>
  <si>
    <t>Рольганг, диаметр ролика 105 мм, длина ролика 300-500 мм</t>
  </si>
  <si>
    <t>ТЕРм03-03-004-05</t>
  </si>
  <si>
    <t>Рольганг, диаметр ролика 105 мм, длина ролика 650 мм</t>
  </si>
  <si>
    <t>ТЕРм03-03-004-06</t>
  </si>
  <si>
    <t>Рольганг, диаметр ролика 105 мм, длина ролика 800 мм</t>
  </si>
  <si>
    <t>ТЕРм03-03-004-07</t>
  </si>
  <si>
    <t>Рольганг, диаметр ролика 105 мм, длина ролика 1000 мм</t>
  </si>
  <si>
    <t>ТЕРм03-03-004-08</t>
  </si>
  <si>
    <t>Рольганг, диаметр ролика 155 мм, длина ролика 300-500 мм</t>
  </si>
  <si>
    <t>ТЕРм03-03-004-09</t>
  </si>
  <si>
    <t>Рольганг, диаметр ролика 155 мм, длина ролика 650 мм</t>
  </si>
  <si>
    <t>ТЕРм03-03-004-10</t>
  </si>
  <si>
    <t>Рольганг, диаметр ролика 155 мм, длина ролика 800 мм</t>
  </si>
  <si>
    <t>ТЕРм03-03-004-11</t>
  </si>
  <si>
    <t>Рольганг, диаметр ролика 155 мм, длина ролика 1000 мм</t>
  </si>
  <si>
    <t xml:space="preserve">                                   Конвейеры подвесные толкающие с шагом цепи 100 и 160 мм</t>
  </si>
  <si>
    <t>ТЕРм03-03-005-01</t>
  </si>
  <si>
    <t>Путь горизонтальный конвейера подвесного толкающего с шагом цепи 100 мм</t>
  </si>
  <si>
    <t>ТЕРм03-03-005-02</t>
  </si>
  <si>
    <t>Путь горизонтальный конвейера подвесного толкающего с шагом цепи 160 мм</t>
  </si>
  <si>
    <t>ТЕРм03-03-005-03</t>
  </si>
  <si>
    <t>Путь наклонный (изгиб вертикальный, горизонтальный) конвейера подвесного толкающего с шагом цепи 100 мм</t>
  </si>
  <si>
    <t>ТЕРм03-03-005-04</t>
  </si>
  <si>
    <t>Путь наклонный (изгиб вертикальный, горизонтальный) конвейера подвесного толкающего с шагом цепи 160 мм</t>
  </si>
  <si>
    <t>ТЕРм03-03-005-05</t>
  </si>
  <si>
    <t>Цепь разборная с каретками и толкателями конвейера подвесного толкающего с шагом цепи 100 и 160 мм</t>
  </si>
  <si>
    <t>ТЕРм03-03-005-06</t>
  </si>
  <si>
    <t>Устройство натяжное конвейера подвесного толкающего, масса 500 кг</t>
  </si>
  <si>
    <t>ТЕРм03-03-005-07</t>
  </si>
  <si>
    <t>Устройство натяжное конвейера подвесного толкающего, масса 650 кг</t>
  </si>
  <si>
    <t>ТЕРм03-03-005-08</t>
  </si>
  <si>
    <t>Привод угловой конвейера подвесного толкающего, масса 700 кг</t>
  </si>
  <si>
    <t>ТЕРм03-03-005-09</t>
  </si>
  <si>
    <t>Привод угловой конвейера подвесного толкающего, масса 1600 кг</t>
  </si>
  <si>
    <t>ТЕРм03-03-005-10</t>
  </si>
  <si>
    <t>Привод гусеничный конвейера подвесного толкающего, масса 1060 кг</t>
  </si>
  <si>
    <t>ТЕРм03-03-005-11</t>
  </si>
  <si>
    <t>Привод гусеничный конвейера подвесного толкающего, масса 2920 кг</t>
  </si>
  <si>
    <t>ТЕРм03-03-005-12</t>
  </si>
  <si>
    <t>Привод с натяжным устройством конвейера подвесного толкающего</t>
  </si>
  <si>
    <t>ТЕРм03-03-005-13</t>
  </si>
  <si>
    <t>Привод натяжки конвейера подвесного толкающего</t>
  </si>
  <si>
    <t>ТЕРм03-03-005-14</t>
  </si>
  <si>
    <t>Стрелка конвейера подвесного толкающего, масса 146 кг, прямая</t>
  </si>
  <si>
    <t>ТЕРм03-03-005-15</t>
  </si>
  <si>
    <t>Стрелка конвейера подвесного толкающего, масса 220 кг, угловая</t>
  </si>
  <si>
    <t>ТЕРм03-03-005-16</t>
  </si>
  <si>
    <t>Стрелка конвейера подвесного толкающего, масса 240 кг, прямая</t>
  </si>
  <si>
    <t>ТЕРм03-03-005-17</t>
  </si>
  <si>
    <t>Передача сквозная конвейера подвесного толкающего, масса 135 кг</t>
  </si>
  <si>
    <t>ТЕРм03-03-005-18</t>
  </si>
  <si>
    <t>Передача сквозная конвейера подвесного толкающего, масса 229 кг</t>
  </si>
  <si>
    <t>ТЕРм03-03-005-19</t>
  </si>
  <si>
    <t>Передача сквозная конвейера подвесного толкающего, масса 347 кг</t>
  </si>
  <si>
    <t>ТЕРм03-03-005-20</t>
  </si>
  <si>
    <t>Поворот и изгиб горизонтальный конвейера подвесного толкающего с количеством роликов 3 шт.</t>
  </si>
  <si>
    <t>ТЕРм03-03-005-21</t>
  </si>
  <si>
    <t>Поворот и изгиб горизонтальный конвейера подвесного толкающего с количеством роликов 4 шт.</t>
  </si>
  <si>
    <t>ТЕРм03-03-005-22</t>
  </si>
  <si>
    <t>Поворот и изгиб горизонтальный конвейера подвесного толкающего с количеством роликов 6 шт.</t>
  </si>
  <si>
    <t>ТЕРм03-03-005-23</t>
  </si>
  <si>
    <t>Поворот и изгиб горизонтальный конвейера подвесного толкающего с количеством роликов 8 шт.</t>
  </si>
  <si>
    <t>ТЕРм03-03-005-24</t>
  </si>
  <si>
    <t>Поворот и изгиб горизонтальный конвейера подвесного толкающего с количеством роликов 12 шт.</t>
  </si>
  <si>
    <t>ТЕРм03-03-005-25</t>
  </si>
  <si>
    <t>Поворот и изгиб горизонтальный конвейера подвесного толкающего с количеством роликов 16 шт.</t>
  </si>
  <si>
    <t>ТЕРм03-03-005-26</t>
  </si>
  <si>
    <t>Изгиб горизонтальный конвейера подвесного толкающего с блоком</t>
  </si>
  <si>
    <t>ТЕРм03-03-005-27</t>
  </si>
  <si>
    <t>Стык раздвижной конвейера подвесного толкающего</t>
  </si>
  <si>
    <t>ТЕРм03-03-005-28</t>
  </si>
  <si>
    <t>Ловитель тележек конвейера подвесного толкающего</t>
  </si>
  <si>
    <t>ТЕРм03-03-005-29</t>
  </si>
  <si>
    <t>Останов конвейера подвесного толкающего</t>
  </si>
  <si>
    <t>ТЕРм03-03-005-30</t>
  </si>
  <si>
    <t>Кронштейн конвейера подвесного толкающего для установки адресоносителя датчиков, считывателей, устройств</t>
  </si>
  <si>
    <t>ТЕРм03-03-005-31</t>
  </si>
  <si>
    <t>Шина конвейера подвесного толкающего</t>
  </si>
  <si>
    <t>ТЕРм03-03-005-32</t>
  </si>
  <si>
    <t>Сцеп конвейера подвесного толкающего с количеством тележек 2-тележечный</t>
  </si>
  <si>
    <t>ТЕРм03-03-005-33</t>
  </si>
  <si>
    <t>Сцеп конвейера подвесного толкающего с количеством тележек 3-тележечный</t>
  </si>
  <si>
    <t>ТЕРм03-03-005-34</t>
  </si>
  <si>
    <t>Сцеп конвейера подвесного толкающего с количеством тележек 4-тележечный</t>
  </si>
  <si>
    <t>ТЕРм03-03-005-35</t>
  </si>
  <si>
    <t>Тормоз конвейера подвесного толкающего</t>
  </si>
  <si>
    <t>ТЕРм03-03-005-36</t>
  </si>
  <si>
    <t>Секция опускная конвейера подвесного толкающего, масса 2,4 т</t>
  </si>
  <si>
    <t>ТЕРм03-03-005-37</t>
  </si>
  <si>
    <t>Секция опускная конвейера подвесного толкающего, масса 5,6 т</t>
  </si>
  <si>
    <t>ТЕРм03-03-005-38</t>
  </si>
  <si>
    <t>Испытание подвесного толкающего конвейера вхолостую</t>
  </si>
  <si>
    <t xml:space="preserve">                                   Конвейеры цепные подвесные грузонесущие общего назначения</t>
  </si>
  <si>
    <t>ТЕРм03-03-006-01</t>
  </si>
  <si>
    <t>Устройство натяжное конвейера цепного подвесного грузонесущего общего назначения винтовое</t>
  </si>
  <si>
    <t>ТЕРм03-03-006-02</t>
  </si>
  <si>
    <t>Устройство натяжное конвейера цепного подвесного грузонесущего общего назначения грузовое</t>
  </si>
  <si>
    <t>ТЕРм03-03-006-03</t>
  </si>
  <si>
    <t>Устройство натяжное конвейера цепного подвесного грузонесущего общего назначения добавлять на 1 грузовую плиту (к расценкам 03-03-006-01 и 03-03-006-02)</t>
  </si>
  <si>
    <t>ТЕРм03-03-006-04</t>
  </si>
  <si>
    <t>Цепь разборная конвейера цепного подвесного грузонесущего общего назначения без грузовых подвесов с каретками, длина кривых участков пути до 20%, число кареток на 1 м до 2,2</t>
  </si>
  <si>
    <t>ТЕРм03-03-006-05</t>
  </si>
  <si>
    <t>Цепь разборная конвейера цепного подвесного грузонесущего общего назначения без грузовых подвесов с каретками, длина кривых участков пути до 20%, число кареток на 1 м свыше 2,2</t>
  </si>
  <si>
    <t>ТЕРм03-03-006-06</t>
  </si>
  <si>
    <t>Цепь разборная конвейера цепного подвесного грузонесущего общего назначения без грузовых подвесов с каретками, длина кривых участков пути свыше 20%, число кареток на 1 м до 2,2</t>
  </si>
  <si>
    <t>ТЕРм03-03-006-07</t>
  </si>
  <si>
    <t>Цепь разборная конвейера цепного подвесного грузонесущего общего назначения без грузовых подвесов с каретками, длина кривых участков пути свыше 20%, число кареток на 1 м свыше 2,2</t>
  </si>
  <si>
    <t>ТЕРм03-03-006-08</t>
  </si>
  <si>
    <t>Устройство поворотное конвейера цепного подвесного грузонесущего общего назначения со звездочкой, диаметр звездочки 650 мм</t>
  </si>
  <si>
    <t>ТЕРм03-03-006-09</t>
  </si>
  <si>
    <t>Устройство поворотное конвейера цепного подвесного грузонесущего общего назначения со звездочкой, диаметр звездочки 1000 мм</t>
  </si>
  <si>
    <t>ТЕРм03-03-006-10</t>
  </si>
  <si>
    <t>Устройство поворотное конвейера цепного подвесного грузонесущего общего назначения со звездочкой, диаметр звездочки 1400 мм</t>
  </si>
  <si>
    <t>ТЕРм03-03-006-11</t>
  </si>
  <si>
    <t>Батарея конвейера цепного подвесного грузонесущего общего назначения пятироликовая</t>
  </si>
  <si>
    <t>ТЕРм03-03-006-12</t>
  </si>
  <si>
    <t>Подвеска конвейера цепного подвесного грузонесущего общего назначения для навешивания грузов, масса 40 кг</t>
  </si>
  <si>
    <t>ТЕРм03-03-006-13</t>
  </si>
  <si>
    <t>Подвеска конвейера цепного подвесного грузонесущего общего назначения для навешивания грузов, масса 100 кг</t>
  </si>
  <si>
    <t>ТЕРм03-03-006-14</t>
  </si>
  <si>
    <t>Траверса конвейера цепного подвесного грузонесущего общего назначения для навешивания грузов, масса 10 кг</t>
  </si>
  <si>
    <t>ТЕРм03-03-006-15</t>
  </si>
  <si>
    <t>Траверса конвейера цепного подвесного грузонесущего общего назначения для навешивания грузов, масса 20 кг</t>
  </si>
  <si>
    <t>ТЕРм03-03-006-16</t>
  </si>
  <si>
    <t>Устройство приводное конвейера цепного подвесного грузонесущего общего назначения, масса 1,7 т, одинарное</t>
  </si>
  <si>
    <t>ТЕРм03-03-006-17</t>
  </si>
  <si>
    <t>Устройство приводное конвейера цепного подвесного грузонесущего общего назначения, масса 3,4 т, двойное</t>
  </si>
  <si>
    <t>ТЕРм03-03-006-18</t>
  </si>
  <si>
    <t>Ловитель тележек конвейера цепного подвесного грузонесущего общего назначения</t>
  </si>
  <si>
    <t>ТЕРм03-03-006-19</t>
  </si>
  <si>
    <t>Путь конвейера цепного подвесного грузонесущего общего назначения монорельсовый прямой, длина 100 м, номер балок 27</t>
  </si>
  <si>
    <t>ТЕРм03-03-006-20</t>
  </si>
  <si>
    <t>Путь конвейера цепного подвесного грузонесущего общего назначения монорельсовый прямой, длина 100 м, номер балок 40</t>
  </si>
  <si>
    <t>ТЕРм03-03-006-21</t>
  </si>
  <si>
    <t>Путь конвейера цепного подвесного грузонесущего общего назначения монорельсовый прямой, длина 100 м, номер балок 55</t>
  </si>
  <si>
    <t>ТЕРм03-03-006-22</t>
  </si>
  <si>
    <t>Увеличение или уменьшение длины прямого пути на 10 м, номер балок 27</t>
  </si>
  <si>
    <t>ТЕРм03-03-006-23</t>
  </si>
  <si>
    <t>Увеличение или уменьшение длины прямого пути на 10 м, номер балок 40</t>
  </si>
  <si>
    <t>ТЕРм03-03-006-24</t>
  </si>
  <si>
    <t>Увеличение или уменьшение длины прямого пути на 10 м, номер балок 55</t>
  </si>
  <si>
    <t>ТЕРм03-03-006-25</t>
  </si>
  <si>
    <t>Путь конвейера цепного подвесного грузонесущего общего назначения монорельсовый гнутый, длина 100 м, номер балок 27</t>
  </si>
  <si>
    <t>ТЕРм03-03-006-26</t>
  </si>
  <si>
    <t>Путь конвейера цепного подвесного грузонесущего общего назначения монорельсовый гнутый, длина 100 м, номер балок 40</t>
  </si>
  <si>
    <t>ТЕРм03-03-006-27</t>
  </si>
  <si>
    <t>Путь конвейера цепного подвесного грузонесущего общего назначения монорельсовый гнутый, длина 100 м, номер балок 55</t>
  </si>
  <si>
    <t>ТЕРм03-03-006-28</t>
  </si>
  <si>
    <t>Увеличение или уменьшение длины гнутого пути на 10 м, номер балок 27</t>
  </si>
  <si>
    <t>ТЕРм03-03-006-29</t>
  </si>
  <si>
    <t>Увеличение или уменьшение длины гнутого пути на 10 м, номер балок 40</t>
  </si>
  <si>
    <t>ТЕРм03-03-006-30</t>
  </si>
  <si>
    <t>Увеличение или уменьшение длины гнутого пути на 10 м, номер балок 55</t>
  </si>
  <si>
    <t>ТЕРм03-03-006-31</t>
  </si>
  <si>
    <t>Испытание конвейера цепного подвесного грузонесущего общего назначения вхолостую, длина 100 м с одной приводной станцией, при длине кривых участков пути до 20 %</t>
  </si>
  <si>
    <t>ТЕРм03-03-006-32</t>
  </si>
  <si>
    <t>Испытание конвейера цепного подвесного грузонесущего общего назначения вхолостую, длина 100 м с одной приводной станцией, при длине кривых участков пути свыше 20 %</t>
  </si>
  <si>
    <t>ТЕРм03-03-006-33</t>
  </si>
  <si>
    <t>На 1 м конвейера цепного подвесного грузонесущего общего назначения более или менее 100 м добавлять или уменьшать при длине кривых участков пути до 20 %</t>
  </si>
  <si>
    <t>ТЕРм03-03-006-34</t>
  </si>
  <si>
    <t>На 1 м конвейера цепного подвесного грузонесущего общего назначения более или менее 100 м добавлять или уменьшать при длине кривых участков пути свыше 20 %</t>
  </si>
  <si>
    <t>ТЕРм03-03-006-35</t>
  </si>
  <si>
    <t>На каждую приводную станцию конвейера цепного подвесного грузонесущего общего назначения добавлять к расценкам 03-03-006-31 и 03-03-006-32</t>
  </si>
  <si>
    <t xml:space="preserve">                           Раздел 4. ОТДЕЛ 04. ПОДВЕСНЫЕ КАНАТНЫЕ ДОРОГИ</t>
  </si>
  <si>
    <t xml:space="preserve">                                   Раздел 1. ДВУХКАНАТНЫЕ ПОДВЕСНЫЕ ГРУЗОВЫЕ КОЛЬЦЕВЫЕ И МАЯТНИКОВЫЕ ДОРОГИ</t>
  </si>
  <si>
    <t xml:space="preserve">                                   Канаты несущие, сетевые и тяговые</t>
  </si>
  <si>
    <t>ТЕРм03-04-001-01</t>
  </si>
  <si>
    <t>Канат несущий и сетевой двухканатной подвесной грузовой дороги, диаметр от 30,5 до 35,5 мм</t>
  </si>
  <si>
    <t>ТЕРм03-04-001-02</t>
  </si>
  <si>
    <t>Канат несущий и сетевой двухканатной подвесной грузовой дороги, диаметр свыше 35,5 до 45 мм</t>
  </si>
  <si>
    <t>ТЕРм03-04-001-03</t>
  </si>
  <si>
    <t>Канат несущий и сетевой двухканатной подвесной грузовой дороги, диаметр свыше 45 до 55 мм</t>
  </si>
  <si>
    <t>ТЕРм03-04-001-04</t>
  </si>
  <si>
    <t>Канат тяговый двухканатной подвесной грузовой дороги, диаметр от 17 до 23 мм</t>
  </si>
  <si>
    <t>ТЕРм03-04-001-05</t>
  </si>
  <si>
    <t>Канат тяговый двухканатной подвесной грузовой дороги, диаметр от 23,5 до 28 мм</t>
  </si>
  <si>
    <t>ТЕРм03-04-001-06</t>
  </si>
  <si>
    <t>Канат тяговый двухканатной подвесной грузовой дороги, диаметр от 28,5 до 30,5 мм</t>
  </si>
  <si>
    <t xml:space="preserve">                                   Анкеровка линейных, концевых и переходных муфт</t>
  </si>
  <si>
    <t>ТЕРм03-04-002-01</t>
  </si>
  <si>
    <t>Анкеровка линейных и концевых муфт двухканатной подвесной грузовой дороги клиньями для канатов, диаметр от 30,5 до 35,5 мм</t>
  </si>
  <si>
    <t>ТЕРм03-04-002-02</t>
  </si>
  <si>
    <t>Анкеровка линейных и концевых муфт двухканатной подвесной грузовой дороги клиньями для канатов, диаметр свыше 35,5 до 45 мм</t>
  </si>
  <si>
    <t>ТЕРм03-04-002-03</t>
  </si>
  <si>
    <t>Анкеровка линейных и концевых муфт двухканатной подвесной грузовой дороги клиньями для канатов, диаметр свыше 45 до 55 мм</t>
  </si>
  <si>
    <t>ТЕРм03-04-002-04</t>
  </si>
  <si>
    <t>Анкеровка концевых и переходных муфт двухканатной подвесной грузовой дороги с заливкой для канатов, диаметр от 55 до 74 мм</t>
  </si>
  <si>
    <t>ТЕРм03-04-002-05</t>
  </si>
  <si>
    <t>Анкеровка концевых и переходных муфт двухканатной подвесной грузовой дороги с заливкой для канатов, диаметр от 60 до 82,5 мм</t>
  </si>
  <si>
    <t xml:space="preserve">                                   Сети предохранительные</t>
  </si>
  <si>
    <t>ТЕРм03-04-003-01</t>
  </si>
  <si>
    <t>Сети предохранительные двойные под двухканатную подвесную грузовую дорогу, колея 3 м</t>
  </si>
  <si>
    <t>ТЕРм03-04-003-02</t>
  </si>
  <si>
    <t>Сети предохранительные двойные под двухканатную подвесную грузовую дорогу, колея 6 м</t>
  </si>
  <si>
    <t xml:space="preserve">                                   Оборудование головок опор.</t>
  </si>
  <si>
    <t>ТЕРм03-04-004-01</t>
  </si>
  <si>
    <t>Головка двухканатной подвесной грузовой дороги линейной простой опоры</t>
  </si>
  <si>
    <t>ТЕРм03-04-004-02</t>
  </si>
  <si>
    <t>Головка двухканатной подвесной грузовой дороги сетевой простой опоры</t>
  </si>
  <si>
    <t xml:space="preserve">                                   Оборудование станций</t>
  </si>
  <si>
    <t>ТЕРм03-04-005-01</t>
  </si>
  <si>
    <t>Привод двухканатной подвесной грузовой дороги вертикальный со шкивом, диаметр 1250 мм</t>
  </si>
  <si>
    <t>ТЕРм03-04-005-02</t>
  </si>
  <si>
    <t>Привод двухканатной подвесной грузовой дороги вертикальный со шкивом, диаметр 2000 мм</t>
  </si>
  <si>
    <t>ТЕРм03-04-005-03</t>
  </si>
  <si>
    <t>Натяжное устройство несущего каната двухканатной подвесной грузовой дороги</t>
  </si>
  <si>
    <t>ТЕРм03-04-005-04</t>
  </si>
  <si>
    <t>Натяжное устройство тягового каната двухканатной подвесной грузовой дороги</t>
  </si>
  <si>
    <t>ТЕРм03-04-005-05</t>
  </si>
  <si>
    <t>Опрокидыватель на несущем канате двухканатной подвесной грузовой дороги</t>
  </si>
  <si>
    <t xml:space="preserve">                                   Станции грузовых дорог</t>
  </si>
  <si>
    <t>ТЕРм03-04-006-01</t>
  </si>
  <si>
    <t>Станция двухканатной подвесной грузовой дороги механизированная погрузочная</t>
  </si>
  <si>
    <t>ТЕРм03-04-006-02</t>
  </si>
  <si>
    <t>Станция двухканатной подвесной грузовой дороги механизированная разгрузочная</t>
  </si>
  <si>
    <t>ТЕРм03-04-006-03</t>
  </si>
  <si>
    <t>Станция двухканатной подвесной грузовой дороги угловая проходная</t>
  </si>
  <si>
    <t>ТЕРм03-04-006-04</t>
  </si>
  <si>
    <t>Станция двухканатной подвесной грузовой дороги конечная обводная</t>
  </si>
  <si>
    <t>ТЕРм03-04-006-05</t>
  </si>
  <si>
    <t>Станция двухканатной подвесной грузовой дороги двойная натяжная</t>
  </si>
  <si>
    <t>ТЕРм03-04-006-06</t>
  </si>
  <si>
    <t>Станция двухканатной подвесной грузовой дороги якорно-натяжная</t>
  </si>
  <si>
    <t>ТЕРм03-04-006-07</t>
  </si>
  <si>
    <t>Станция двухканатной подвесной грузовой дороги двойная якорная</t>
  </si>
  <si>
    <t xml:space="preserve">                                   Подвижной состав</t>
  </si>
  <si>
    <t>ТЕРм03-04-007-01</t>
  </si>
  <si>
    <t>Вагонетка двухканатной подвесной грузовой дороги типа 2000, 2000Р, 2000У</t>
  </si>
  <si>
    <t>ТЕРм03-04-007-02</t>
  </si>
  <si>
    <t>Вагонетка двухканатной подвесной грузовой дороги типа 3200, 3200Р</t>
  </si>
  <si>
    <t>ТЕРм03-04-007-03</t>
  </si>
  <si>
    <t>Устройство для смазки несущего каната двухканатной подвесной грузовой дороги</t>
  </si>
  <si>
    <t>ТЕРм03-04-007-04</t>
  </si>
  <si>
    <t>Устройство для смазки тягового каната двухканатной подвесной грузовой дороги</t>
  </si>
  <si>
    <t>ТЕРм03-04-007-05</t>
  </si>
  <si>
    <t>Люлька ремонтная двухканатной подвесной грузовой дороги</t>
  </si>
  <si>
    <t xml:space="preserve">                                   Раздел 2. ПАССАЖИРСКИЕ ПОДВЕСНЫЕ КАНАТНЫЕ ДОРОГИ</t>
  </si>
  <si>
    <t xml:space="preserve">                                   Канаты и муфты для канатов</t>
  </si>
  <si>
    <t>ТЕРм03-04-020-01</t>
  </si>
  <si>
    <t>Канат несущий пассажирской подвесной канатной дороги, диаметр от 30,5 до 45 мм</t>
  </si>
  <si>
    <t>ТЕРм03-04-020-02</t>
  </si>
  <si>
    <t>Канат несущий пассажирской подвесной канатной дороги, диаметр свыше 45 до 51 мм</t>
  </si>
  <si>
    <t>ТЕРм03-04-020-03</t>
  </si>
  <si>
    <t>Канат тяговый пассажирской подвесной канатной дороги, диаметр от 17 до 24 мм</t>
  </si>
  <si>
    <t>ТЕРм03-04-020-04</t>
  </si>
  <si>
    <t>Канат тяговый пассажирской подвесной канатной дороги, диаметр свыше 24 до 28 мм</t>
  </si>
  <si>
    <t>ТЕРм03-04-020-05</t>
  </si>
  <si>
    <t>Канат тягово-несущий кольцевой пассажирской подвесной канатной дороги, диаметр 15 мм</t>
  </si>
  <si>
    <t>ТЕРм03-04-020-06</t>
  </si>
  <si>
    <t>Канат тягово-несущий кольцевой пассажирской подвесной канатной дороги, диаметр от 17,5 до 22 мм</t>
  </si>
  <si>
    <t>ТЕРм03-04-020-07</t>
  </si>
  <si>
    <t>Канат тягово-несущий кольцевой пассажирской подвесной канатной дороги, диаметр свыше 22 до 25,5 мм</t>
  </si>
  <si>
    <t>ТЕРм03-04-020-08</t>
  </si>
  <si>
    <t>Канат тягово-несущий кольцевой пассажирской подвесной канатной дороги, диаметр свыше 25,5 до 28 мм</t>
  </si>
  <si>
    <t>ТЕРм03-04-020-09</t>
  </si>
  <si>
    <t>Анкеровка концевых муфт пассажирской подвесной канатной дороги с заливкой для тяговых канатов, диаметр от 25 до 28 мм</t>
  </si>
  <si>
    <t>ТЕРм03-04-020-10</t>
  </si>
  <si>
    <t>Анкеровка концевых муфт пассажирской подвесной канатной дороги с заливкой для несущих и натяжных канатов, диаметр от 35,5 до 45 мм</t>
  </si>
  <si>
    <t>ТЕРм03-04-020-11</t>
  </si>
  <si>
    <t>Анкеровка концевых муфт пассажирской подвесной канатной дороги с заливкой для несущих и натяжных канатов, диаметр свыше 45 до 51 мм</t>
  </si>
  <si>
    <t xml:space="preserve">                                   Маятниковые канатные дороги</t>
  </si>
  <si>
    <t>ТЕРм03-04-021-01</t>
  </si>
  <si>
    <t>Привод для пассажирских маятниковых канатных дорог</t>
  </si>
  <si>
    <t>ТЕРм03-04-021-02</t>
  </si>
  <si>
    <t>Устройство цепное натяжное для пассажирских маятниковых канатных дорог</t>
  </si>
  <si>
    <t>ТЕРм03-04-021-03</t>
  </si>
  <si>
    <t>Устройство натяжное гидравлическое демпферное для пассажирских маятниковых канатных дорог</t>
  </si>
  <si>
    <t>ТЕРм03-04-021-04</t>
  </si>
  <si>
    <t>Каркас контргрузового ящика для пассажирских маятниковых канатных дорог несущего каната</t>
  </si>
  <si>
    <t>ТЕРм03-04-021-05</t>
  </si>
  <si>
    <t>Каркас контргрузового ящика для пассажирских маятниковых канатных дорог тягового каната</t>
  </si>
  <si>
    <t>ТЕРм03-04-021-06</t>
  </si>
  <si>
    <t>Каркас контргрузового ящика для пассажирских маятниковых канатных дорог вспомогательного каната</t>
  </si>
  <si>
    <t>ТЕРм03-04-021-07</t>
  </si>
  <si>
    <t>Башмак станционный для пассажирских маятниковых канатных дорог с буферным устройством с углом 9 градусов</t>
  </si>
  <si>
    <t>ТЕРм03-04-021-08</t>
  </si>
  <si>
    <t>Башмак станционный для пассажирских маятниковых канатных дорог с буферным устройством с углом 12 градусов</t>
  </si>
  <si>
    <t>ТЕРм03-04-021-09</t>
  </si>
  <si>
    <t>Башмак станционный для пассажирских маятниковых канатных дорог с буферным устройством с углом 16 градусов</t>
  </si>
  <si>
    <t>ТЕРм03-04-021-10</t>
  </si>
  <si>
    <t>Шкив отклоняющий для пассажирских маятниковых канатных дорог диаметром 2800-3200 мм</t>
  </si>
  <si>
    <t>ТЕРм03-04-021-11</t>
  </si>
  <si>
    <t>Головка опор для пассажирских маятниковых канатных дорог</t>
  </si>
  <si>
    <t>ТЕРм03-04-021-12</t>
  </si>
  <si>
    <t>Вагон вместимостью до 40 пассажиров для пассажирских маятниковых канатных дорог</t>
  </si>
  <si>
    <t>ТЕРм03-04-021-13</t>
  </si>
  <si>
    <t>Указатель положения вагонов для пассажирских маятниковых канатных дорог</t>
  </si>
  <si>
    <t>ТЕРм03-04-021-14</t>
  </si>
  <si>
    <t>Выключатель концевой для пассажирских маятниковых канатных дорог</t>
  </si>
  <si>
    <t>ТЕРм03-04-021-15</t>
  </si>
  <si>
    <t>Устройство контактное для пассажирских маятниковых канатных дорог</t>
  </si>
  <si>
    <t>ТЕРм03-04-021-16</t>
  </si>
  <si>
    <t>Командоаппарат для пассажирских маятниковых канатных дорог</t>
  </si>
  <si>
    <t>ТЕРм03-04-021-17</t>
  </si>
  <si>
    <t>Агрегат преобразовательный для пассажирских маятниковых канатных дорог</t>
  </si>
  <si>
    <t xml:space="preserve">                                   Кресельные канатные дороги</t>
  </si>
  <si>
    <t>ТЕРм03-04-022-01</t>
  </si>
  <si>
    <t>Привод кресельной канатной дороги</t>
  </si>
  <si>
    <t>ТЕРм03-04-022-02</t>
  </si>
  <si>
    <t>Балансир кресельной канатной дороги двухроликовый</t>
  </si>
  <si>
    <t>ТЕРм03-04-022-03</t>
  </si>
  <si>
    <t>Балансир кресельной канатной дороги четырехроликовый</t>
  </si>
  <si>
    <t>ТЕРм03-04-022-04</t>
  </si>
  <si>
    <t>Балансир кресельной канатной дороги восьмироликовый</t>
  </si>
  <si>
    <t>ТЕРм03-04-022-05</t>
  </si>
  <si>
    <t>Шкив обводный кресельной канатной дороги, диаметр от 1000 до 2000 мм</t>
  </si>
  <si>
    <t>ТЕРм03-04-022-06</t>
  </si>
  <si>
    <t>Шкив обводный кресельной канатной дороги, диаметр свыше 2000 до 3600 мм</t>
  </si>
  <si>
    <t>ТЕРм03-04-022-07</t>
  </si>
  <si>
    <t>Кресло пассажирское кресельной канатной дороги одноместное</t>
  </si>
  <si>
    <t>ТЕРм03-04-022-08</t>
  </si>
  <si>
    <t>Кресло пассажирское кресельной канатной дороги двухместное</t>
  </si>
  <si>
    <t>ТЕРм03-04-022-09</t>
  </si>
  <si>
    <t>Устройство натяжное кресельной канатной дороги подвесное</t>
  </si>
  <si>
    <t>ТЕРм03-04-022-10</t>
  </si>
  <si>
    <t>Устройство натяжное кресельной канатной дороги напольное</t>
  </si>
  <si>
    <t xml:space="preserve">                                   Буксировочные канатные дороги</t>
  </si>
  <si>
    <t>ТЕРм03-04-023-01</t>
  </si>
  <si>
    <t>Привод буксировочной канатной дороги</t>
  </si>
  <si>
    <t>ТЕРм03-04-023-02</t>
  </si>
  <si>
    <t>Балансир буксировочной канатной дороги двухроликовый</t>
  </si>
  <si>
    <t>ТЕРм03-04-023-03</t>
  </si>
  <si>
    <t>Балансир буксировочной канатной дороги трехроликовый</t>
  </si>
  <si>
    <t>ТЕРм03-04-023-04</t>
  </si>
  <si>
    <t>Балансир буксировочной канатной дороги четырехроликовый</t>
  </si>
  <si>
    <t>ТЕРм03-04-023-05</t>
  </si>
  <si>
    <t>Устройство буксировочное канатной дороги</t>
  </si>
  <si>
    <t xml:space="preserve">                           Раздел 5. ОТДЕЛ 05. ПОДЪЕМНИКИ</t>
  </si>
  <si>
    <t xml:space="preserve">                                   Раздел 1. ПАССАЖИРСКИЕ, БОЛЬНИЧНЫЕ И ГРУЗОВЫЕ ЛИФТЫ</t>
  </si>
  <si>
    <t xml:space="preserve">                                   Лифты пассажирские со скоростью движения кабины до 1 м/с</t>
  </si>
  <si>
    <t>ТЕРм03-05-001-01</t>
  </si>
  <si>
    <t>Лифт пассажирский со скоростью движения кабины до 1 м/с грузоподъемностью 400 кг, количество остановок 9, высота шахты 29 м</t>
  </si>
  <si>
    <t>ТЕРм03-05-001-02</t>
  </si>
  <si>
    <t>Лифт пассажирский со скоростью движения кабины до 1 м/с грузоподъемностью 500 кг, количество остановок 12, высота шахты 38 м</t>
  </si>
  <si>
    <t>ТЕРм03-05-001-03</t>
  </si>
  <si>
    <t>Лифт пассажирский со скоростью движения кабины до 1 м/с грузоподъемностью 1000 кг, количество остановок 12, высота шахты 44 м</t>
  </si>
  <si>
    <t>ТЕРм03-05-001-04</t>
  </si>
  <si>
    <t>За каждую остановку, более или менее указанных в характеристике лифта, добавлять или уменьшать для лифтов грузоподъемностью до 400, 500 кг</t>
  </si>
  <si>
    <t>ТЕРм03-05-001-05</t>
  </si>
  <si>
    <t>За каждую остановку, более или менее указанных в характеристике лифта, добавлять или уменьшать для лифтов грузоподъемностью до 1000 кг</t>
  </si>
  <si>
    <t>ТЕРм03-05-001-06</t>
  </si>
  <si>
    <t>За каждый метр высоты шахты, более или менее указанных в характеристике лифта, добавлять или уменьшать для лифтов грузоподъемность до 400, 500 кг</t>
  </si>
  <si>
    <t>ТЕРм03-05-001-07</t>
  </si>
  <si>
    <t>За каждый метр высоты шахты, более или менее указанных в характеристике лифта, добавлять или уменьшать для лифтов грузоподъемность до 1000 кг</t>
  </si>
  <si>
    <t xml:space="preserve">                                   Лифты пассажирские со скоростью движения кабины 1,4 м/с</t>
  </si>
  <si>
    <t>ТЕРм03-05-002-01</t>
  </si>
  <si>
    <t>Лифт пассажирский со скоростью движения кабины 1,4 м/с грузоподъемностью 500 кг на 16 остановок, высота шахты 59 м</t>
  </si>
  <si>
    <t>ТЕРм03-05-002-02</t>
  </si>
  <si>
    <t>За каждую остановку, более или менее указанных в характеристике лифта, добавлять или уменьшать (к расценке 03-05-002-01)</t>
  </si>
  <si>
    <t>ТЕРм03-05-002-03</t>
  </si>
  <si>
    <t>За каждый метр высоты шахты, более или менее указанных в характеристике лифта, добавлять или уменьшать (к расценке 03-05-002-01)</t>
  </si>
  <si>
    <t xml:space="preserve">                                   Лифты пассажирские со скоростью движения кабины до 4 м/с</t>
  </si>
  <si>
    <t>ТЕРм03-05-003-01</t>
  </si>
  <si>
    <t>Лифт пассажирский грузоподъемностью 1000 кг на 16 остановок, скорость движения кабины 2 м/с, высота шахты 64 м</t>
  </si>
  <si>
    <t>ТЕРм03-05-003-02</t>
  </si>
  <si>
    <t>Лифт пассажирский грузоподъемностью 1000 кг на 16 остановок, скорость движения кабины 4 м/с, высота шахты 66 м</t>
  </si>
  <si>
    <t>ТЕРм03-05-003-03</t>
  </si>
  <si>
    <t>За каждую остановку, более или менее 16 остановок, добавлять или уменьшать для лифтов со скоростью движения кабины 2 м/с</t>
  </si>
  <si>
    <t>ТЕРм03-05-003-04</t>
  </si>
  <si>
    <t>За каждую остановку, более или менее 16 остановок, добавлять или уменьшать для лифтов со скоростью движения кабины 4 м/с</t>
  </si>
  <si>
    <t>ТЕРм03-05-003-05</t>
  </si>
  <si>
    <t>За каждый метр высоты шахты, более или менее указанных в характеристике лифта, добавлять или уменьшать (к расценкам 03-05-003-01 и 03-05-003-02)</t>
  </si>
  <si>
    <t xml:space="preserve">                                   Лифты грузовые общего назначения со скоростью движения кабины 0,5 м/с</t>
  </si>
  <si>
    <t>ТЕРм03-05-004-01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</si>
  <si>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 500 кг</t>
  </si>
  <si>
    <t>ТЕРм03-05-004-02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</si>
  <si>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 1000 кг</t>
  </si>
  <si>
    <t>ТЕРм03-05-004-03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</si>
  <si>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 2000 кг</t>
  </si>
  <si>
    <t>ТЕРм03-05-004-04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</si>
  <si>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 3200 кг</t>
  </si>
  <si>
    <t>ТЕРм03-05-004-05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</si>
  <si>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 5000 кг</t>
  </si>
  <si>
    <t>ТЕРм03-05-004-06</t>
  </si>
  <si>
    <t>Добавлять или уменьшать на каждую остановку, более или менее 6 остановок, грузоподъемность 500 кг</t>
  </si>
  <si>
    <t>ТЕРм03-05-004-07</t>
  </si>
  <si>
    <t>Добавлять или уменьшать на каждую остановку, более или менее 6 остановок, грузоподъемность 1000 кг</t>
  </si>
  <si>
    <t>ТЕРм03-05-004-08</t>
  </si>
  <si>
    <t>Добавлять или уменьшать на каждую остановку, более или менее 6 остановок, грузоподъемность 2000 кг</t>
  </si>
  <si>
    <t>ТЕРм03-05-004-09</t>
  </si>
  <si>
    <t>Добавлять или уменьшать на каждую остановку, более или менее 6 остановок, грузоподъемность 3200 кг</t>
  </si>
  <si>
    <t>ТЕРм03-05-004-10</t>
  </si>
  <si>
    <t>Добавлять или уменьшать на каждую остановку, более или менее 6 остановок, грузоподъемность 5000 кг</t>
  </si>
  <si>
    <t>ТЕРм03-05-004-11</t>
  </si>
  <si>
    <t>Добавлять или уменьшать за каждый 1 м высоты шахты, более или менее 22,5 м, грузоподъемность 500, 1000 кг</t>
  </si>
  <si>
    <t>ТЕРм03-05-004-12</t>
  </si>
  <si>
    <t>Добавлять или уменьшать за каждый 1 м высоты шахты, более или менее 22,5 м, грузоподъемность 2000 кг</t>
  </si>
  <si>
    <t>ТЕРм03-05-004-13</t>
  </si>
  <si>
    <t>Добавлять или уменьшать за каждый 1 м высоты шахты, более или менее 22,5 м, грузоподъемность 3200 кг</t>
  </si>
  <si>
    <t>ТЕРм03-05-004-14</t>
  </si>
  <si>
    <t>Добавлять или уменьшать за каждый 1 м высоты шахты, более или менее 22,5 м, грузоподъемность 5000 кг</t>
  </si>
  <si>
    <t>ТЕРм03-05-004-15</t>
  </si>
  <si>
    <t>За каждую дополнительную шахтную дверь при проходной кабине добавлять для лифтов, грузоподъемность 500-2000 кг</t>
  </si>
  <si>
    <t>ТЕРм03-05-004-16</t>
  </si>
  <si>
    <t>За каждую дополнительную шахтную дверь при проходной кабине добавлять для лифтов, грузоподъемность 3200-5000 кг</t>
  </si>
  <si>
    <t xml:space="preserve">                                   Лифты малогрузовые и грузовые тротуарные со скоростью движения кабины до 0,5 м/с</t>
  </si>
  <si>
    <t>ТЕРм03-05-005-01</t>
  </si>
  <si>
    <t>Лифт малогрузовой и грузовой тротуарный со скоростью движения кабины до 0,5 м/с грузоподъемностью 100 кг на 6 остановок в глухой шахте, высота шахты 21 м</t>
  </si>
  <si>
    <t>ТЕРм03-05-005-02</t>
  </si>
  <si>
    <t>Лифт малогрузовой и грузовой тротуарный со скоростью движения кабины до 0,5 м/с грузоподъемностью 100 кг на 2 остановки в металлокаркасной шахте, высота шахты 7 м</t>
  </si>
  <si>
    <t>ТЕРм03-05-005-03</t>
  </si>
  <si>
    <t>Лифт грузовой тротуарный со скоростью движения кабины до 0,5 м/с на 3 остановки грузоподъемностью 500 кг, высота шахты 8,3 м</t>
  </si>
  <si>
    <t>ТЕРм03-05-005-04</t>
  </si>
  <si>
    <t>Добавлять или уменьшать за каждую остановку, более или менее 6 остановок, малогрузового лифта грузоподъемностью 100 кг на 6 остановок</t>
  </si>
  <si>
    <t>ТЕРм03-05-005-05</t>
  </si>
  <si>
    <t>Добавлять или уменьшать за 1 м высоты шахты, более или менее 21 м, малогрузового лифта грузоподъемностью 100 кг на 6 остановок</t>
  </si>
  <si>
    <t>ТЕРм03-05-005-06</t>
  </si>
  <si>
    <t>За каждую дополнительную шахтную дверь при проходной кабине для лифтов грузоподъемностью 100 кг на 6 остановок в глухой шахте</t>
  </si>
  <si>
    <t>ТЕРм03-05-005-07</t>
  </si>
  <si>
    <t>За каждую дополнительную шахтную дверь при проходной кабине для лифтов грузоподъемностью 100 кг в металлокаркасной шахте</t>
  </si>
  <si>
    <t>ТЕРм03-05-005-08</t>
  </si>
  <si>
    <t>Установка дополнительной шахтной двери при проходной кабине (платформе) тротуарного лифта</t>
  </si>
  <si>
    <t xml:space="preserve">                           Раздел 6. ОТДЕЛ 06. ШАХТНОЕ ПОДЪЕМНО-ТРАНСПОРТНОЕ ОБОРУДОВАНИЕ</t>
  </si>
  <si>
    <t xml:space="preserve">                                   Раздел 1. ЛЕБЕДКИ И НАВЕСКА КАНАТОВ</t>
  </si>
  <si>
    <t xml:space="preserve">                                   Лебедки проходческие</t>
  </si>
  <si>
    <t>ТЕРм03-06-001-01</t>
  </si>
  <si>
    <t>Лебедка проходческая однобарабанная, грузоподъемность 2 т, с приводом пневморучным</t>
  </si>
  <si>
    <t>ТЕРм03-06-001-02</t>
  </si>
  <si>
    <t>Лебедка проходческая однобарабанная, грузоподъемность 5 т, с приводом электрическим</t>
  </si>
  <si>
    <t>ТЕРм03-06-001-03</t>
  </si>
  <si>
    <t>Лебедка проходческая однобарабанная, грузоподъемность 5 т, с приводом электроручным</t>
  </si>
  <si>
    <t>ТЕРм03-06-001-04</t>
  </si>
  <si>
    <t>Лебедка проходческая однобарабанная, грузоподъемность 5 т, с приводом пневматическим</t>
  </si>
  <si>
    <t>ТЕРм03-06-001-05</t>
  </si>
  <si>
    <t>Лебедка проходческая однобарабанная, грузоподъемность 10 т, с приводом электрическим</t>
  </si>
  <si>
    <t>ТЕРм03-06-001-06</t>
  </si>
  <si>
    <t>Лебедка проходческая однобарабанная, грузоподъемность 18 т, с приводом электрическим</t>
  </si>
  <si>
    <t>ТЕРм03-06-001-07</t>
  </si>
  <si>
    <t>Лебедка проходческая однобарабанная, грузоподъемность 25 т, с приводом электрическим</t>
  </si>
  <si>
    <t>ТЕРм03-06-001-08</t>
  </si>
  <si>
    <t>Лебедка проходческая однобарабанная, грузоподъемность 45 т, с приводом электрическим</t>
  </si>
  <si>
    <t>ТЕРм03-06-001-09</t>
  </si>
  <si>
    <t>Лебедка проходческая двухбарабанная с электрическим приводом, грузоподъемность 10 т</t>
  </si>
  <si>
    <t>ТЕРм03-06-001-10</t>
  </si>
  <si>
    <t>Лебедка проходческая двухбарабанная с электрическим приводом, грузоподъемность 18 т</t>
  </si>
  <si>
    <t>ТЕРм03-06-001-11</t>
  </si>
  <si>
    <t>Установка передвижная проходческая, грузоподъемность 6,3 т, с приводом электрическим и резервным ручным</t>
  </si>
  <si>
    <t>ТЕРм03-06-001-12</t>
  </si>
  <si>
    <t>Установка передвижная проходческая, грузоподъемность 10 т, с приводом электрическим</t>
  </si>
  <si>
    <t>ТЕРм03-06-001-13</t>
  </si>
  <si>
    <t>Установка передвижная проходческая, грузоподъемность 16 т, с приводом электрическим</t>
  </si>
  <si>
    <t>ТЕРм03-06-001-14</t>
  </si>
  <si>
    <t>Установка передвижная проходческая, грузоподъемность 25 т, с приводом электрическим</t>
  </si>
  <si>
    <t>ТЕРм03-06-001-15</t>
  </si>
  <si>
    <t>Установка передвижная проходческая, грузоподъемность 46 т, с приводом электрическим</t>
  </si>
  <si>
    <t xml:space="preserve">                                   Проводниковые канаты проходческого подъема</t>
  </si>
  <si>
    <t>ТЕРм03-06-002-01</t>
  </si>
  <si>
    <t>Навеска проводникового каната проходческого подъема, диаметр 20,5 мм</t>
  </si>
  <si>
    <t>ТЕРм03-06-002-02</t>
  </si>
  <si>
    <t>Навеска проводникового каната проходческого подъема, диаметр 25 мм</t>
  </si>
  <si>
    <t>ТЕРм03-06-002-03</t>
  </si>
  <si>
    <t>Навеска проводникового каната проходческого подъема, диаметр 32 мм</t>
  </si>
  <si>
    <t>ТЕРм03-06-002-04</t>
  </si>
  <si>
    <t>Навеска проводникового каната проходческого подъема, диаметр 35 мм</t>
  </si>
  <si>
    <t>ТЕРм03-06-002-05</t>
  </si>
  <si>
    <t>Навеска проводникового каната проходческого подъема, диаметр 40 мм</t>
  </si>
  <si>
    <t xml:space="preserve">                                   Устройства прицепные для проходческих бадей, монтаж на поверхности</t>
  </si>
  <si>
    <t>ТЕРм03-06-003-01</t>
  </si>
  <si>
    <t>Устройство прицепное проходческое для прядевых подъемных канатов, грузоподъемность 2,8 т</t>
  </si>
  <si>
    <t>ТЕРм03-06-003-02</t>
  </si>
  <si>
    <t>Устройство прицепное проходческое для прядевых подъемных канатов, грузоподъемность 5 т</t>
  </si>
  <si>
    <t>ТЕРм03-06-003-03</t>
  </si>
  <si>
    <t>Устройство прицепное проходческое для прядевых подъемных канатов, грузоподъемность 8 т</t>
  </si>
  <si>
    <t>ТЕРм03-06-003-04</t>
  </si>
  <si>
    <t>Устройство прицепное для закрытых подъемных канатов, грузоподъемность 4 т, диаметр каната 20 мм</t>
  </si>
  <si>
    <t>ТЕРм03-06-003-05</t>
  </si>
  <si>
    <t>Устройство прицепное для закрытых подъемных канатов, грузоподъемность 5 т, диаметр каната 25 мм</t>
  </si>
  <si>
    <t>ТЕРм03-06-003-06</t>
  </si>
  <si>
    <t>Устройство прицепное для закрытых подъемных канатов, грузоподъемность 8 т, диаметр каната 27 мм</t>
  </si>
  <si>
    <t>ТЕРм03-06-003-07</t>
  </si>
  <si>
    <t>Устройство прицепное для закрытых подъемных канатов, грузоподъемность 8 т, диаметр каната 30 мм</t>
  </si>
  <si>
    <t>ТЕРм03-06-003-08</t>
  </si>
  <si>
    <t>Устройство прицепное для закрытых подъемных канатов, грузоподъемность 11 т, диаметр каната 33 мм</t>
  </si>
  <si>
    <t>ТЕРм03-06-003-09</t>
  </si>
  <si>
    <t>Устройство прицепное для закрытых подъемных канатов, грузоподъемность 11 т, диаметр каната 36 мм</t>
  </si>
  <si>
    <t>ТЕРм03-06-003-10</t>
  </si>
  <si>
    <t>Устройство прицепное для закрытых подъемных канатов, грузоподъемность 15 т, диаметр каната 38 мм</t>
  </si>
  <si>
    <t xml:space="preserve">                                   Комплекс оборудования для самоопрокидывающейся проходческой бадьи, монтаж на поверхности</t>
  </si>
  <si>
    <t>ТЕРм03-06-004-01</t>
  </si>
  <si>
    <t>Комплекс оборудования для самоопрокидывающейся проходческой бадьи на один прием, объем бадьи 1 м3</t>
  </si>
  <si>
    <t>ТЕРм03-06-004-02</t>
  </si>
  <si>
    <t>Комплекс оборудования для самоопрокидывающейся проходческой бадьи на один прием, объем бадьи 1,5 м3</t>
  </si>
  <si>
    <t>ТЕРм03-06-004-03</t>
  </si>
  <si>
    <t>Комплекс оборудования для самоопрокидывающейся проходческой бадьи на один прием, объем бадьи 2 м3</t>
  </si>
  <si>
    <t>ТЕРм03-06-004-04</t>
  </si>
  <si>
    <t>Комплекс оборудования для самоопрокидывающейся проходческой бадьи на один прием, объем бадьи 2,5-3 м3</t>
  </si>
  <si>
    <t>ТЕРм03-06-004-05</t>
  </si>
  <si>
    <t>Комплекс оборудования для самоопрокидывающейся проходческой бадьи на один прием, объем бадьи 4 м3</t>
  </si>
  <si>
    <t>ТЕРм03-06-004-06</t>
  </si>
  <si>
    <t>Комплекс оборудования для самоопрокидывающейся проходческой бадьи на один прием, объем бадьи 5-6,5 м3</t>
  </si>
  <si>
    <t>ТЕРм03-06-004-07</t>
  </si>
  <si>
    <t>Комплекс оборудования для самоопрокидывающейся проходческой бадьи на два приема, объем бадьи 1 м3</t>
  </si>
  <si>
    <t>ТЕРм03-06-004-08</t>
  </si>
  <si>
    <t>Комплекс оборудования для самоопрокидывающейся проходческой бадьи на два приема, объем бадьи 1,5 м3</t>
  </si>
  <si>
    <t>ТЕРм03-06-004-09</t>
  </si>
  <si>
    <t>Комплекс оборудования для самоопрокидывающейся проходческой бадьи на два приема, объем бадьи 2 м3</t>
  </si>
  <si>
    <t>ТЕРм03-06-004-10</t>
  </si>
  <si>
    <t>Комплекс оборудования для самоопрокидывающейся проходческой бадьи на два приема, объем бадьи 2,5-3 м3</t>
  </si>
  <si>
    <t xml:space="preserve">                           Раздел 7. ОТДЕЛ 07. ЛЕСОТРАНСПОРТНОЕ ОБОРУДОВАНИЕ</t>
  </si>
  <si>
    <t xml:space="preserve">                                   Конвейеры роликовые</t>
  </si>
  <si>
    <t>ТЕРм03-07-001-01</t>
  </si>
  <si>
    <t>Конвейер роликовый с гидроприводом</t>
  </si>
  <si>
    <t>ТЕРм03-07-001-02</t>
  </si>
  <si>
    <t>Конвейер роликовый однорамный, масса 2,4 т</t>
  </si>
  <si>
    <t>ТЕРм03-07-001-03</t>
  </si>
  <si>
    <t>Конвейер роликовый однорамный, масса 5,22 т</t>
  </si>
  <si>
    <t xml:space="preserve">                                   Бревнотаски береговые</t>
  </si>
  <si>
    <t>ТЕРм03-07-002-01</t>
  </si>
  <si>
    <t>Бревнотаска береговая автоматическая</t>
  </si>
  <si>
    <t>ТЕРм03-07-002-02</t>
  </si>
  <si>
    <t>Бревнотаска береговая унифицированная</t>
  </si>
  <si>
    <t xml:space="preserve">                                   Сбрасыватели бревен и досок</t>
  </si>
  <si>
    <t>ТЕРм03-07-003-01</t>
  </si>
  <si>
    <t>Сбрасыватель бревен и досок механический</t>
  </si>
  <si>
    <t xml:space="preserve">                                   Транспортеры цепные поперечные</t>
  </si>
  <si>
    <t>ТЕРм03-07-004-01</t>
  </si>
  <si>
    <t>Транспортер поперечный 4-цепной длиной 60 м</t>
  </si>
  <si>
    <t>ТЕРм03-07-004-02</t>
  </si>
  <si>
    <t>Транспортер поперечный 5-цепной длиной 20 м</t>
  </si>
  <si>
    <t xml:space="preserve">                                   Транспортеры скребковые</t>
  </si>
  <si>
    <t>ТЕРм03-07-005-01</t>
  </si>
  <si>
    <t>Транспортер скребковый одноцепной длиной 40 м</t>
  </si>
  <si>
    <t xml:space="preserve">                                   Перекладчики бруса</t>
  </si>
  <si>
    <t>ТЕРм03-07-006-01</t>
  </si>
  <si>
    <t>Перекладчик бруса механический цепной</t>
  </si>
  <si>
    <t xml:space="preserve">                                   Ускорители</t>
  </si>
  <si>
    <t>ТЕРм03-07-007-01</t>
  </si>
  <si>
    <t>Ускоритель барабанный, струнный</t>
  </si>
  <si>
    <t xml:space="preserve">                           Раздел 8. ОТДЕЛ 08. ОБОРУДОВАНИЕ СИСТЕМ ТРУБОПРОВОДНОГО КОНТЕЙНЕРНОГО ПНЕВМОТРАНСПОРТА</t>
  </si>
  <si>
    <t xml:space="preserve">                                   Раздел 1. СОСТАВЫ КОНТЕЙНЕРОВ</t>
  </si>
  <si>
    <t xml:space="preserve">                                   Составы контейнеров для штучных грузов</t>
  </si>
  <si>
    <t>ТЕРм03-08-001-01</t>
  </si>
  <si>
    <t>Состав контейнеров для систем с транспортным трубопроводом, диаметр условного прохода 600 мм</t>
  </si>
  <si>
    <t xml:space="preserve">                                   Раздел 2. ОБОРУДОВАНИЕ ЛИНЕЙНОЕ</t>
  </si>
  <si>
    <t xml:space="preserve">                                   Воздуховоды фланцевые</t>
  </si>
  <si>
    <t>ТЕРм03-08-015-01</t>
  </si>
  <si>
    <t>Воздуховод стальной фланцевый на рабочее давление 0,015-0,1 МПа диаметр условного прохода 600 мм</t>
  </si>
  <si>
    <t>ТЕРм03-08-015-02</t>
  </si>
  <si>
    <t>Воздуховод стальной фланцевый на рабочее давление 0,015-0,1 МПа сечение 200х400 мм</t>
  </si>
  <si>
    <t xml:space="preserve">                                   Секции транспортного трубопровода</t>
  </si>
  <si>
    <t>ТЕРм03-08-016-01</t>
  </si>
  <si>
    <t>Трубопровод транспортный стальной из секций на рабочее давление 0,015 МПа, сечением 200х400 мм</t>
  </si>
  <si>
    <t xml:space="preserve">                                   Опоры транспортного трубопровода.</t>
  </si>
  <si>
    <t>ТЕРм03-08-017-01</t>
  </si>
  <si>
    <t>Опора под транспортный трубопровод, диаметр условного прохода 600 мм подвижная</t>
  </si>
  <si>
    <t>ТЕРм03-08-017-02</t>
  </si>
  <si>
    <t>Опора под транспортный трубопровод, диаметр условного прохода 600 мм неподвижная</t>
  </si>
  <si>
    <t xml:space="preserve">                                   Переводы стрелочные</t>
  </si>
  <si>
    <t>ТЕРм03-08-018-01</t>
  </si>
  <si>
    <t>Перевод стрелочный стальной поворотный перекидной на рабочее давление 0,015-0,05 МПа с приводом электромеханическим, условный проход транспортного трубопровода 600 мм</t>
  </si>
  <si>
    <t>ТЕРм03-08-018-02</t>
  </si>
  <si>
    <t>Перевод стрелочный стальной поворотный перекидной на рабочее давление 0,015-0,05 МПа с приводом пневматическим, сечение 200х400 мм</t>
  </si>
  <si>
    <t xml:space="preserve">                                   Компенсаторы линейные</t>
  </si>
  <si>
    <t>ТЕРм03-08-019-01</t>
  </si>
  <si>
    <t>Компенсатор линейный, диаметр условного прохода 600 мм, рабочий ход 30 мм</t>
  </si>
  <si>
    <t xml:space="preserve">                                   Устройства запорные полнопроходные</t>
  </si>
  <si>
    <t>ТЕРм03-08-020-01</t>
  </si>
  <si>
    <t>Устройство запорное полнопроходное стальное фланцевое поворотное на рабочее избыточное или вакуумметрическое давление до 0,06 МПа, с приводом электромеханическим, диаметр условного прохода 600 мм</t>
  </si>
  <si>
    <t>ТЕРм03-08-020-02</t>
  </si>
  <si>
    <t>Устройство запорное полнопроходное стальное фланцевое поворотное на рабочее избыточное или вакуумметрическое давление до 0,06 МПа, с приводом пневматическим, сечение 200х400 мм</t>
  </si>
  <si>
    <t xml:space="preserve">                                   Затворы воздушные поворотные</t>
  </si>
  <si>
    <t>ТЕРм03-08-021-01</t>
  </si>
  <si>
    <t>Затвор воздушный поворотный стальной дисковый на рабочее давление 0,015-0,1 МПа с приводом электрогидравлическим или пневматическим, диаметр условного прохода 300 мм</t>
  </si>
  <si>
    <t>ТЕРм03-08-021-02</t>
  </si>
  <si>
    <t>Затвор воздушный поворотный стальной дисковый на рабочее давление 0,015-0,1 МПа с приводом электрогидравлическим или пневматическим, диаметр условного прохода 400 мм</t>
  </si>
  <si>
    <t>ТЕРм03-08-021-03</t>
  </si>
  <si>
    <t>Затвор воздушный поворотный стальной дисковый на рабочее давление 0,015-0,1 МПа с приводом электрогидравлическим или пневматическим, диаметр условного прохода 600 мм</t>
  </si>
  <si>
    <t>ТЕРм03-08-021-04</t>
  </si>
  <si>
    <t>Затвор воздушный поворотный стальной дисковый на рабочее давление 0,015-0,1 МПа с приводом электрогидравлическим или пневматическим, диаметр условного прохода 800 мм</t>
  </si>
  <si>
    <t>ТЕРм03-08-021-05</t>
  </si>
  <si>
    <t>Затвор воздушный поворотный стальной дисковый на рабочее давление 0,015-0,1 МПа с приводом электрогидравлическим или пневматическим, диаметр условного прохода 1000 мм</t>
  </si>
  <si>
    <t xml:space="preserve">                                   Клапаны обратные</t>
  </si>
  <si>
    <t>ТЕРм03-08-022-01</t>
  </si>
  <si>
    <t>Клапан обратный поворотный фланцевый, диаметр условного прохода 300 мм</t>
  </si>
  <si>
    <t>ТЕРм03-08-022-02</t>
  </si>
  <si>
    <t>Клапан обратный поворотный фланцевый, диаметр условного прохода 400 мм</t>
  </si>
  <si>
    <t>ТЕРм03-08-022-03</t>
  </si>
  <si>
    <t>Клапан огнезащитный фланцевый, диаметр условного прохода 300 мм</t>
  </si>
  <si>
    <t xml:space="preserve">                                   Клапаны регулирующие</t>
  </si>
  <si>
    <t>ТЕРм03-08-023-01</t>
  </si>
  <si>
    <t>Клапан регулирующий фланцевый поворотный дисковый, рабочее давление 0,1 МПа, с ручным приводом, диаметр условного прохода 200 мм</t>
  </si>
  <si>
    <t>ТЕРм03-08-023-02</t>
  </si>
  <si>
    <t>Клапан регулирующий фланцевый поворотный дисковый, рабочее давление 0,1 МПа, с ручным приводом, диаметр условного прохода 300 мм</t>
  </si>
  <si>
    <t>ТЕРм03-08-023-03</t>
  </si>
  <si>
    <t>Клапан регулирующий фланцевый поворотный дисковый, рабочее давление 0,1 МПа, с ручным приводом, диаметр условного прохода 400 мм</t>
  </si>
  <si>
    <t>ТЕРм03-08-023-04</t>
  </si>
  <si>
    <t>Клапан регулирующий фланцевый поворотный дисковый, рабочее давление 0,1 МПа, с ручным приводом, диаметр условного прохода 600 мм</t>
  </si>
  <si>
    <t xml:space="preserve">                                   Грязесборники</t>
  </si>
  <si>
    <t>ТЕРм03-08-024-01</t>
  </si>
  <si>
    <t>Грязесборник стальной фланцевый на рабочее давление 0,055-0,1 МПа, сечение 200х400 мм</t>
  </si>
  <si>
    <t xml:space="preserve">                                   Раздел 3. ОБОРУДОВАНИЕ ПОГРУЗОЧНО-РАЗГРУЗОЧНОЕ</t>
  </si>
  <si>
    <t xml:space="preserve">                                   Комплексы погрузочно-разгрузочные</t>
  </si>
  <si>
    <t>ТЕРм03-08-038-01</t>
  </si>
  <si>
    <t>Комплекс погрузочно-разгрузочный для обмена груженых и порожних поддонов, производительность 112 шт./ч</t>
  </si>
  <si>
    <t xml:space="preserve">                                   Станции погрузочно-разгрузочные</t>
  </si>
  <si>
    <t>ТЕРм03-08-039-01</t>
  </si>
  <si>
    <t>Станция автоматизированная погрузочно-разгрузочная, проходная, производительность 3,6 т</t>
  </si>
  <si>
    <t xml:space="preserve">                                   Камеры приема-запуска</t>
  </si>
  <si>
    <t>ТЕРм03-08-040-01</t>
  </si>
  <si>
    <t>Камера приема-запуска, максимальная скорость приема состава 2 м/с, масса принимаемого состава 1,5 т, время приема-отправки состава 70 с</t>
  </si>
  <si>
    <t>ТЕРм03-08-040-02</t>
  </si>
  <si>
    <t>Камера приема-запуска, максимальная скорость приема состава 2 м/с, масса принимаемого состава 2,4 т, время приема-отправки состава 40 с</t>
  </si>
  <si>
    <t>ТЕРм03-08-040-03</t>
  </si>
  <si>
    <t>Камера приема-запуска, максимальная скорость приема состава 4 м/с, масса принимаемого состава 50 кг, время приема-отправки состава 12 с</t>
  </si>
  <si>
    <t>ТЕРм03-08-040-04</t>
  </si>
  <si>
    <t>Камера приема-запуска, максимальная скорость приема состава 4 м/с, масса принимаемого состава 50 кг, время приема-отправки состава 30 с</t>
  </si>
  <si>
    <t xml:space="preserve">                                   Манипуляторы</t>
  </si>
  <si>
    <t>ТЕРм03-08-041-01</t>
  </si>
  <si>
    <t>Манипулятор, грузоподъемность 0,35 т, для кассет</t>
  </si>
  <si>
    <t>ТЕРм03-08-041-02</t>
  </si>
  <si>
    <t>Манипулятор, грузоподъемность 1 т, для поддонов</t>
  </si>
  <si>
    <t xml:space="preserve">                                   Упоры</t>
  </si>
  <si>
    <t>ТЕРм03-08-042-01</t>
  </si>
  <si>
    <t>Упор управляемый, максимальная скорость контейнера в момент соприкосновения с упором 1 м/с, максимальная масса принимаемого контейнера 50 кг</t>
  </si>
  <si>
    <t xml:space="preserve">                                   Раздел 4. ОБОРУДОВАНИЕ ГИДРАВЛИЧЕСКОЕ И ПНЕВМАТИЧЕСКОЕ</t>
  </si>
  <si>
    <t xml:space="preserve">                                   Блоки пневмоаппаратуры</t>
  </si>
  <si>
    <t>ТЕРм03-08-057-01</t>
  </si>
  <si>
    <t>Блок пневмоаппаратуры, число потребителей 2</t>
  </si>
  <si>
    <t>ТЕРм03-08-057-02</t>
  </si>
  <si>
    <t>Блок пневмоаппаратуры, число потребителей 8</t>
  </si>
  <si>
    <t xml:space="preserve">                                   Раздел 5. ОБОРУДОВАНИЕ ВОЗДУХОДУВНЫХ СТАНЦИЙ</t>
  </si>
  <si>
    <t xml:space="preserve">                                   Глушители</t>
  </si>
  <si>
    <t>ТЕРм03-08-072-01</t>
  </si>
  <si>
    <t>Глушитель пластинчатый, обеспечивающий снижение уровня шума до 34 дБА</t>
  </si>
  <si>
    <t xml:space="preserve">                                   Фильтры воздушные</t>
  </si>
  <si>
    <t>ТЕРм03-08-073-01</t>
  </si>
  <si>
    <t>Фильтр воздушный ячейковый для очистки воздуха от механических примесей, производительность 3500 м3/ч</t>
  </si>
  <si>
    <t>ТЕРм03-08-073-02</t>
  </si>
  <si>
    <t>Фильтр воздушный ячейковый для очистки воздуха от механических примесей, производительность 16000 м3/ч</t>
  </si>
  <si>
    <t xml:space="preserve">                                   Раздел 6. УСТРОЙСТВА ТЕХНИЧЕСКОГО ОБСЛУЖИВАНИЯ</t>
  </si>
  <si>
    <t xml:space="preserve">                                   Устройства приемные</t>
  </si>
  <si>
    <t>ТЕРм03-08-088-01</t>
  </si>
  <si>
    <t>Устройство приемное поворотное, сечение транспортного трубопровода 200х400 мм, привод пневматический</t>
  </si>
  <si>
    <t>ТЕРм-2001-04</t>
  </si>
  <si>
    <t xml:space="preserve">                           Раздел 1. ОТДЕЛ 01.ОБОРУДОВАНИЕ ДРОБИЛЬНО-РАЗМОЛЬНОЕ</t>
  </si>
  <si>
    <t xml:space="preserve">                                   Раздел 1. ДРОБИЛКИ</t>
  </si>
  <si>
    <t xml:space="preserve">                                   Дробилки валковые гладкие</t>
  </si>
  <si>
    <t>ТЕРм04-01-001-01</t>
  </si>
  <si>
    <t>Дробилка гладкая двухвалковая, валки диаметром 800 мм, длиной 500 мм</t>
  </si>
  <si>
    <t>ТЕРм04-01-001-02</t>
  </si>
  <si>
    <t>Дробилка гладкая четырехвалковая, валки диаметром 900 мм, длиной 700 мм</t>
  </si>
  <si>
    <t xml:space="preserve">                                   Дробилки валковые зубчатые</t>
  </si>
  <si>
    <t>ТЕРм04-01-002-01</t>
  </si>
  <si>
    <t>Дробилка зубчатая одновалковая, валки диаметром 1300 мм, длиной 2700 мм</t>
  </si>
  <si>
    <t>ТЕРм04-01-002-02</t>
  </si>
  <si>
    <t>Дробилка зубчатая одновалковая, валки диаметром 1300 мм, длиной 4200 мм</t>
  </si>
  <si>
    <t>ТЕРм04-01-002-03</t>
  </si>
  <si>
    <t>Дробилка зубчатая двухвалковая, валки диаметром 900 мм, длиной 900 мм</t>
  </si>
  <si>
    <t>ТЕРм04-01-002-04</t>
  </si>
  <si>
    <t>Дробилка зубчатая двухвалковая, валки диаметром 1500 мм, длиной 1200 мм</t>
  </si>
  <si>
    <t>ТЕРм04-01-002-05</t>
  </si>
  <si>
    <t>Дробилка зубчатая двухвалковая, валки диаметром 1600 мм, длиной 2000 мм</t>
  </si>
  <si>
    <t>ТЕРм04-01-002-06</t>
  </si>
  <si>
    <t>Дробилка зубчатая трехвалковая, валки диаметром 250; 320 мм, длиной 420 мм</t>
  </si>
  <si>
    <t xml:space="preserve">                                   Дробилки конусные</t>
  </si>
  <si>
    <t>ТЕРм04-01-003-01</t>
  </si>
  <si>
    <t>Дробилка конусная для крупного дробления, ширина загрузочного/разгрузочного отверстия 500/75 мм</t>
  </si>
  <si>
    <t>ТЕРм04-01-003-02</t>
  </si>
  <si>
    <t>Дробилка конусная для крупного дробления, ширина загрузочного/разгрузочного отверстия 900/140 мм</t>
  </si>
  <si>
    <t>ТЕРм04-01-003-03</t>
  </si>
  <si>
    <t>Дробилка конусная для крупного дробления, ширина загрузочного/разгрузочного отверстия 1200/150 мм</t>
  </si>
  <si>
    <t>ТЕРм04-01-003-04</t>
  </si>
  <si>
    <t>Дробилка конусная для крупного дробления, ширина загрузочного/разгрузочного отверстия 1500/180 мм</t>
  </si>
  <si>
    <t>ТЕРм04-01-003-05</t>
  </si>
  <si>
    <t>Дробилка конусная для крупного дробления, ширина загрузочного/разгрузочного отверстия 1500/300 мм</t>
  </si>
  <si>
    <t>ТЕРм04-01-003-06</t>
  </si>
  <si>
    <t>Дробилка конусная для мелкого и среднего дробления, диаметр основания конуса 1200 мм</t>
  </si>
  <si>
    <t>ТЕРм04-01-003-07</t>
  </si>
  <si>
    <t>Дробилка конусная для мелкого и среднего дробления, диаметр основания конуса 1750 мм</t>
  </si>
  <si>
    <t>ТЕРм04-01-003-08</t>
  </si>
  <si>
    <t>Дробилка конусная для мелкого и среднего дробления, диаметр основания конуса 2200 мм</t>
  </si>
  <si>
    <t>ТЕРм04-01-003-09</t>
  </si>
  <si>
    <t>Дробилка конусная для мелкого и среднего дробления, диаметр основания конуса 3000 мм</t>
  </si>
  <si>
    <t xml:space="preserve">                                   Дробилки молотковые</t>
  </si>
  <si>
    <t>ТЕРм04-01-004-01</t>
  </si>
  <si>
    <t>Дробилка молотковая однороторная, ротор диаметром 2000 мм, длиной 3000 мм</t>
  </si>
  <si>
    <t>ТЕРм04-01-004-02</t>
  </si>
  <si>
    <t>Дробилка молотковая однороторная, ротор диаметром 1450 мм, длиной 1300 мм</t>
  </si>
  <si>
    <t xml:space="preserve">                                   Дробилки щековые</t>
  </si>
  <si>
    <t>ТЕРм04-01-005-01</t>
  </si>
  <si>
    <t>Дробилка щековая с простым движением щеки, загрузочное отверстие размерами 900х1200 мм</t>
  </si>
  <si>
    <t>ТЕРм04-01-005-02</t>
  </si>
  <si>
    <t>Дробилка щековая с простым движением щеки, загрузочное отверстие размерами 1200х1500 мм</t>
  </si>
  <si>
    <t>ТЕРм04-01-005-03</t>
  </si>
  <si>
    <t>Дробилка щековая с простым движением щеки, загрузочное отверстие размерами 1500х2100 мм</t>
  </si>
  <si>
    <t xml:space="preserve">                                   Оборудование дробильное разное</t>
  </si>
  <si>
    <t>ТЕРм04-01-006-01</t>
  </si>
  <si>
    <t>Агрегат сортировки передвижной</t>
  </si>
  <si>
    <t xml:space="preserve">                                   Дробилки роторные крупного дробления</t>
  </si>
  <si>
    <t>ТЕРм04-01-007-01</t>
  </si>
  <si>
    <t>Дробилка однороторная, ротор диаметром 1600 мм, длиной 1250 мм</t>
  </si>
  <si>
    <t xml:space="preserve">                                   Раздел 2. ВАЛЬЦЫ ДЛЯ ПОМОЛА</t>
  </si>
  <si>
    <t xml:space="preserve">                                   Вальцы для грубого помола</t>
  </si>
  <si>
    <t>ТЕРм04-01-020-01</t>
  </si>
  <si>
    <t>Вальцы для грубого помола дырчатые, валки диаметром 1000 мм, длиной 640 мм</t>
  </si>
  <si>
    <t xml:space="preserve">                                   Раздел 3. МЕЛЬНИЦЫ</t>
  </si>
  <si>
    <t xml:space="preserve">                                   Мельницы трубные многокамерные</t>
  </si>
  <si>
    <t>ТЕРм04-01-025-01</t>
  </si>
  <si>
    <t>Мельница трубная многокамерная, барабан диаметром 2000 мм, длиной 10520 мм</t>
  </si>
  <si>
    <t>ТЕРм04-01-025-02</t>
  </si>
  <si>
    <t>Мельница трубная многокамерная, барабан диаметром 2600 мм, длиной 13020 мм</t>
  </si>
  <si>
    <t>ТЕРм04-01-025-03</t>
  </si>
  <si>
    <t>Мельница трубная многокамерная, барабан диаметром 3200 мм, длиной 15020 мм</t>
  </si>
  <si>
    <t>ТЕРм04-01-025-04</t>
  </si>
  <si>
    <t>Мельница трубная многокамерная, барабан диаметром 3970 мм, длиной 13910 мм</t>
  </si>
  <si>
    <t xml:space="preserve">                                   Мельницы шаровые с центральной разгрузкой</t>
  </si>
  <si>
    <t>ТЕРм04-01-026-01</t>
  </si>
  <si>
    <t>Мельница шаровая с центральной разгрузкой мокрого помола, барабан диаметром 900 мм, длиной 1800 мм</t>
  </si>
  <si>
    <t>ТЕРм04-01-026-02</t>
  </si>
  <si>
    <t>Мельница шаровая с центральной разгрузкой мокрого помола, барабан диаметром 2700 мм, длиной 3600 мм</t>
  </si>
  <si>
    <t>ТЕРм04-01-026-03</t>
  </si>
  <si>
    <t>Мельница шаровая с центральной разгрузкой мокрого помола, барабан диаметром 3200 мм, длиной 4500 мм</t>
  </si>
  <si>
    <t>ТЕРм04-01-026-04</t>
  </si>
  <si>
    <t>Мельница шаровая с центральной разгрузкой мокрого помола, барабан диаметром 4000 мм, длиной 5500 мм</t>
  </si>
  <si>
    <t>ТЕРм04-01-026-05</t>
  </si>
  <si>
    <t>Мельница шаровая с центральной разгрузкой мокрого помола, барабан диаметром 5500 мм, длиной 6500 мм</t>
  </si>
  <si>
    <t>ТЕРм04-01-026-06</t>
  </si>
  <si>
    <t>Мельница шаровая с центральной разгрузкой сухого помола, барабан диаметром 1500 мм, длиной 1600 мм</t>
  </si>
  <si>
    <t>ТЕРм04-01-026-07</t>
  </si>
  <si>
    <t>Мельница шаровая с центральной разгрузкой сухого помола, барабан диаметром 1500 мм, длиной 5600 мм</t>
  </si>
  <si>
    <t xml:space="preserve">                                   Мельницы шаровые с решетками</t>
  </si>
  <si>
    <t>ТЕРм04-01-027-01</t>
  </si>
  <si>
    <t>Мельница шаровая с решетками мокрого помола, барабан диаметром 1200 мм, длиной 1200 мм</t>
  </si>
  <si>
    <t>ТЕРм04-01-027-02</t>
  </si>
  <si>
    <t>Мельница шаровая с решетками мокрого помола, барабан диаметром 2100 мм, длиной 3000 мм</t>
  </si>
  <si>
    <t>ТЕРм04-01-027-03</t>
  </si>
  <si>
    <t>Мельница шаровая с решетками мокрого помола, барабан диаметром 2700 мм, длиной 2100 мм</t>
  </si>
  <si>
    <t>ТЕРм04-01-027-04</t>
  </si>
  <si>
    <t>Мельница шаровая с решетками мокрого помола, барабан диаметром 3200 мм, длиной 3100 мм</t>
  </si>
  <si>
    <t>ТЕРм04-01-027-05</t>
  </si>
  <si>
    <t>Мельница шаровая с решетками мокрого помола, барабан диаметром 3600 мм, длиной 4000 мм</t>
  </si>
  <si>
    <t>ТЕРм04-01-027-06</t>
  </si>
  <si>
    <t>Мельница шаровая с решетками мокрого помола, барабан диаметром 4500 мм, длиной 5000 мм</t>
  </si>
  <si>
    <t xml:space="preserve">                                   Мельницы шаровые вибрационные</t>
  </si>
  <si>
    <t>ТЕРм04-01-028-01</t>
  </si>
  <si>
    <t>Мельница шаровая вибрационная, вместимость барабана 400 л</t>
  </si>
  <si>
    <t>ТЕРм04-01-028-02</t>
  </si>
  <si>
    <t>Мельница шаровая вибрационная, вместимость барабана 1000 л</t>
  </si>
  <si>
    <t>ТЕРм04-01-028-03</t>
  </si>
  <si>
    <t>Мельница шаровая вибрационная, вместимость барабана 2000 л</t>
  </si>
  <si>
    <t xml:space="preserve">                                   Мельницы стержневые</t>
  </si>
  <si>
    <t>ТЕРм04-01-029-01</t>
  </si>
  <si>
    <t>Мельница стержневая мокрого помола, барабан диаметром 1500 мм, длиной 3000 мм</t>
  </si>
  <si>
    <t>ТЕРм04-01-029-02</t>
  </si>
  <si>
    <t>Мельница стержневая мокрого помола, барабан диаметром 4000 мм, длиной 5500 мм</t>
  </si>
  <si>
    <t>ТЕРм04-01-029-03</t>
  </si>
  <si>
    <t>Мельница стержневая мокрого помола, барабан диаметром 4500 мм, длиной 6000 мм</t>
  </si>
  <si>
    <t>ТЕРм04-01-029-04</t>
  </si>
  <si>
    <t>Мельница стержневая сухого помола, барабан диаметром 900 мм, длиной 1800 мм</t>
  </si>
  <si>
    <t xml:space="preserve">                                   Мельницы самоизмельчения</t>
  </si>
  <si>
    <t>ТЕРм04-01-030-01</t>
  </si>
  <si>
    <t>Мельница мокрого самоизмельчения, барабан диаметром 7000 мм, длиной 2300 мм</t>
  </si>
  <si>
    <t>ТЕРм04-01-030-02</t>
  </si>
  <si>
    <t>Мельница мокрого самоизмельчения, барабан диаметром 9100 мм, длиной 2960 мм</t>
  </si>
  <si>
    <t xml:space="preserve">                                   Мельницы разные</t>
  </si>
  <si>
    <t>ТЕРм04-01-031-01</t>
  </si>
  <si>
    <t>Мельница роликомаятниковая производительностью 0,2-10 т/ч</t>
  </si>
  <si>
    <t>ТЕРм04-01-031-02</t>
  </si>
  <si>
    <t>Агрегат для дробления и измельчения пластичного сырья, размеры ротора дробилки 1200х970 мм, мельницы 1150х1900 мм</t>
  </si>
  <si>
    <t>ТЕРм04-01-031-03</t>
  </si>
  <si>
    <t>Мельница самоизмельчения «Аэрофол» диаметром 9,7 м, шириной 3,32 м</t>
  </si>
  <si>
    <t xml:space="preserve">                                   Раздел 4. ДЕЗИНТЕГРАТОРЫ</t>
  </si>
  <si>
    <t xml:space="preserve">                                   Дезинтеграторы корзинчатые</t>
  </si>
  <si>
    <t>ТЕРм04-01-045-01</t>
  </si>
  <si>
    <t>Дезинтегратор соосный корзинчатый, производительность 12,5 т/ч</t>
  </si>
  <si>
    <t xml:space="preserve">                           Раздел 2. ОТДЕЛ 02. ОБОРУДОВАНИЕ ДЛЯ СОРТИРОВКИ И ОБОГАЩЕНИЯ</t>
  </si>
  <si>
    <t xml:space="preserve">                                   Раздел 1. ГРОХОТЫ</t>
  </si>
  <si>
    <t xml:space="preserve">                                   Грохоты дисковые</t>
  </si>
  <si>
    <t>ТЕРм04-02-001-01</t>
  </si>
  <si>
    <t>Грохот дисковый передвижной, количество валков 8</t>
  </si>
  <si>
    <t>ТЕРм04-02-001-02</t>
  </si>
  <si>
    <t>Грохот дисковый передвижной, количество валков 10</t>
  </si>
  <si>
    <t>ТЕРм04-02-001-03</t>
  </si>
  <si>
    <t>Грохот дисковый передвижной, количество валков 14, сдвоенный</t>
  </si>
  <si>
    <t xml:space="preserve">                                   Грохоты инерционные</t>
  </si>
  <si>
    <t>ТЕРм04-02-002-01</t>
  </si>
  <si>
    <t>Грохот инерционный наклонный тяжелого типа, просеивающая поверхность размерами 1250х2500 мм</t>
  </si>
  <si>
    <t>ТЕРм04-02-002-02</t>
  </si>
  <si>
    <t>Грохот инерционный наклонный тяжелого типа, просеивающая поверхность размерами 1500х3000 мм</t>
  </si>
  <si>
    <t>ТЕРм04-02-002-03</t>
  </si>
  <si>
    <t>Грохот инерционный наклонный тяжелого типа, просеивающая поверхность размерами 1750х3500 мм</t>
  </si>
  <si>
    <t xml:space="preserve">                                   Грохоты самобалансные</t>
  </si>
  <si>
    <t>ТЕРм04-02-003-01</t>
  </si>
  <si>
    <t>Грохот самобалансный тяжелого типа, сито размерами 2000х5000 мм, опорный</t>
  </si>
  <si>
    <t>ТЕРм04-02-003-02</t>
  </si>
  <si>
    <t>Грохот самобалансный тяжелого типа, сито размерами 3000х6400 мм</t>
  </si>
  <si>
    <t xml:space="preserve">                                   Грохоты-конвейеры электровибрационные</t>
  </si>
  <si>
    <t>ТЕРм04-02-004-01</t>
  </si>
  <si>
    <t>Грохот-конвейер электровибрационный размерами 350х2500 мм</t>
  </si>
  <si>
    <t>ТЕРм04-02-004-02</t>
  </si>
  <si>
    <t>Грохот-конвейер электровибрационный размерами 720х3000 мм</t>
  </si>
  <si>
    <t xml:space="preserve">                                   Раздел 2. СЕПАРАТОРЫ ЭЛЕКТРОМАГНИТНЫЕ</t>
  </si>
  <si>
    <t xml:space="preserve">                                   Сепараторы электромагнитные барабанные</t>
  </si>
  <si>
    <t>ТЕРм04-02-014-01</t>
  </si>
  <si>
    <t>Сепаратор электромагнитный барабанный для мокрого обогащения, барабан диаметром 800 мм, длиной 1700 мм</t>
  </si>
  <si>
    <t>ТЕРм04-02-014-02</t>
  </si>
  <si>
    <t>Сепаратор электромагнитный барабанный для мокрого обогащения, барабан диаметром 900 мм, длиной 2500 мм</t>
  </si>
  <si>
    <t xml:space="preserve">                                   Сепараторы электромагнитные валковые</t>
  </si>
  <si>
    <t>ТЕРм04-02-015-01</t>
  </si>
  <si>
    <t>Сепаратор электромагнитный четырехвалковый для мокрого обогащения, диаметр рабочей части валка 380 мм, длина 2700 мм</t>
  </si>
  <si>
    <t xml:space="preserve">                                   Сепараторы колесные</t>
  </si>
  <si>
    <t>ТЕРм04-02-016-01</t>
  </si>
  <si>
    <t>Сепаратор с вертикальным элеваторным колесом для обогащения в тяжелых средах, ванна объемом 18 м3</t>
  </si>
  <si>
    <t xml:space="preserve">                                   Раздел 3. СЕПАРАТОРЫ ДЛЯ ВЫДЕЛЕНИЯ УГОЛЬНОЙ ПЫЛИ</t>
  </si>
  <si>
    <t xml:space="preserve">                                   Сепараторы воздушные</t>
  </si>
  <si>
    <t>ТЕРм04-02-026-01</t>
  </si>
  <si>
    <t>Сепаратор пыли воздушный, диаметр 2850/800 мм</t>
  </si>
  <si>
    <t>ТЕРм04-02-026-02</t>
  </si>
  <si>
    <t>Сепаратор пыли воздушный, диаметр 3300/1200 мм</t>
  </si>
  <si>
    <t>ТЕРм04-02-026-03</t>
  </si>
  <si>
    <t>Сепаратор пыли воздушный, диаметр 4250/1600 мм</t>
  </si>
  <si>
    <t>ТЕРм04-02-026-04</t>
  </si>
  <si>
    <t>Сепаратор пыли воздушный, диаметр 4750/2000 мм</t>
  </si>
  <si>
    <t xml:space="preserve">                                   Сепараторы пневматические</t>
  </si>
  <si>
    <t>ТЕРм04-02-027-01</t>
  </si>
  <si>
    <t>Сепаратор пневматический, рабочая площадь 6 м2</t>
  </si>
  <si>
    <t xml:space="preserve">                                   Раздел 4. ЦИКЛОНЫ</t>
  </si>
  <si>
    <t xml:space="preserve">                                   Циклоны батарейные</t>
  </si>
  <si>
    <t>ТЕРм04-02-037-01</t>
  </si>
  <si>
    <t>Пылеулавливатель батарейный, производительность 15000 м3/ч</t>
  </si>
  <si>
    <t>ТЕРм04-02-037-02</t>
  </si>
  <si>
    <t>Пылеулавливатель батарейный, производительность 40000 м3/ч</t>
  </si>
  <si>
    <t>ТЕРм04-02-037-03</t>
  </si>
  <si>
    <t>Пылеулавливатель батарейный, производительность 60000 м3/ч</t>
  </si>
  <si>
    <t xml:space="preserve">                                   Раздел 5. ПИТАТЕЛИ</t>
  </si>
  <si>
    <t xml:space="preserve">                                   Питатели барабанные</t>
  </si>
  <si>
    <t>ТЕРм04-02-042-01</t>
  </si>
  <si>
    <t>Питатель барабанный, диаметр 400 мм, длина 400 мм</t>
  </si>
  <si>
    <t>ТЕРм04-02-042-02</t>
  </si>
  <si>
    <t>Питатель барабанный, диаметр 600 мм, длина 600 мм</t>
  </si>
  <si>
    <t xml:space="preserve">                                   Питатели лотковые</t>
  </si>
  <si>
    <t>ТЕРм04-02-043-01</t>
  </si>
  <si>
    <t>Питатель лотковый, ширина лотка 400 мм, длина 1150 мм</t>
  </si>
  <si>
    <t>ТЕРм04-02-043-02</t>
  </si>
  <si>
    <t>Питатель лотковый, ширина лотка 525 мм, длина 1500 мм</t>
  </si>
  <si>
    <t xml:space="preserve">                                   Питатели шлюзовые</t>
  </si>
  <si>
    <t>ТЕРм04-02-044-01</t>
  </si>
  <si>
    <t>Питатель шлюзовый, диаметр 500 мм</t>
  </si>
  <si>
    <t xml:space="preserve">                                   Питатели шнековые</t>
  </si>
  <si>
    <t>ТЕРм04-02-045-01</t>
  </si>
  <si>
    <t>Питатель шнековый, диаметр 98 мм, длина 1200 мм</t>
  </si>
  <si>
    <t>ТЕРм04-02-045-02</t>
  </si>
  <si>
    <t>Питатель шнековый, диаметр 300 мм, длина 2500 мм</t>
  </si>
  <si>
    <t>ТЕРм04-02-045-03</t>
  </si>
  <si>
    <t>Питатель шнековый, диаметр 400 мм, длина 4550 мм</t>
  </si>
  <si>
    <t>ТЕРм04-02-045-04</t>
  </si>
  <si>
    <t>Питатель валково-шнековый, диаметр 300 мм, длина 2500 мм</t>
  </si>
  <si>
    <t xml:space="preserve">                                   Питатели электровибрационные</t>
  </si>
  <si>
    <t>ТЕРм04-02-046-01</t>
  </si>
  <si>
    <t>Питатель электровибрационный, размер лотка 500х1600 мм</t>
  </si>
  <si>
    <t>ТЕРм04-02-046-02</t>
  </si>
  <si>
    <t>Питатель электровибрационный, размер лотка 950х4000 мм</t>
  </si>
  <si>
    <t>ТЕРм04-02-046-03</t>
  </si>
  <si>
    <t>Питатель электровибрационный, размер лотка 1200х5000 мм</t>
  </si>
  <si>
    <t>ТЕРм04-02-046-04</t>
  </si>
  <si>
    <t>Питатель электровибрационный, размер лотка 1500х5000 мм</t>
  </si>
  <si>
    <t xml:space="preserve">                                   Питатели пластинчатые</t>
  </si>
  <si>
    <t>ТЕРм04-02-047-01</t>
  </si>
  <si>
    <t>Питатель пластинчатый легкого типа, лента размерами 500х4500 мм</t>
  </si>
  <si>
    <t>ТЕРм04-02-047-02</t>
  </si>
  <si>
    <t>Питатель пластинчатый легкого типа, лента размерами 650х9000 мм</t>
  </si>
  <si>
    <t>ТЕРм04-02-047-03</t>
  </si>
  <si>
    <t>Питатель пластинчатый легкого типа, лента размерами 800х12000 мм</t>
  </si>
  <si>
    <t>ТЕРм04-02-047-04</t>
  </si>
  <si>
    <t>Питатель пластинчатый легкого типа, лента размерами 1000х12000 мм</t>
  </si>
  <si>
    <t>ТЕРм04-02-047-05</t>
  </si>
  <si>
    <t>Питатель пластинчатый легкого типа, лента размерами 1200х15000 мм</t>
  </si>
  <si>
    <t>ТЕРм04-02-047-06</t>
  </si>
  <si>
    <t>Питатель пластинчатый для средних условий работ, полотно размерами 1500х9000 мм</t>
  </si>
  <si>
    <t>ТЕРм04-02-047-07</t>
  </si>
  <si>
    <t>Питатель пластинчатый для средних условий работ, полотно размерами 1800х12000 мм</t>
  </si>
  <si>
    <t>ТЕРм04-02-047-08</t>
  </si>
  <si>
    <t>Питатель пластинчатый для средних условий работ, полотно размерами 2400х15000 мм</t>
  </si>
  <si>
    <t>ТЕРм04-02-047-09</t>
  </si>
  <si>
    <t>Питатель пластинчатый для тяжелых условий работ, полотно размерами 1500х9000 мм</t>
  </si>
  <si>
    <t>ТЕРм04-02-047-10</t>
  </si>
  <si>
    <t>Питатель пластинчатый для тяжелых условий работ, полотно размерами 1800х12000 мм</t>
  </si>
  <si>
    <t>ТЕРм04-02-047-11</t>
  </si>
  <si>
    <t>Питатель пластинчатый для тяжелых условий работ, полотно размерами 2400х15000 мм</t>
  </si>
  <si>
    <t xml:space="preserve">                                   Питатели дисковые</t>
  </si>
  <si>
    <t>ТЕРм04-02-048-01</t>
  </si>
  <si>
    <t>Питатель дисковый тяжелого типа, диаметр диска 2000 мм</t>
  </si>
  <si>
    <t>ТЕРм04-02-048-02</t>
  </si>
  <si>
    <t>Питатель дисковый тяжелого типа, диаметр диска 3150 мм</t>
  </si>
  <si>
    <t xml:space="preserve">                                   Раздел 6. КЛАССИФИКАТОРЫ</t>
  </si>
  <si>
    <t xml:space="preserve">                                   Классификаторы гидравлические</t>
  </si>
  <si>
    <t>ТЕРм04-02-060-01</t>
  </si>
  <si>
    <t>Классификатор гидравлический, число секций 4, длина 3000 мм</t>
  </si>
  <si>
    <t>ТЕРм04-02-060-02</t>
  </si>
  <si>
    <t>Классификатор гидравлический, число секций 8, длина 7000 мм</t>
  </si>
  <si>
    <t xml:space="preserve">                                   Классификаторы конусные</t>
  </si>
  <si>
    <t>ТЕРм04-02-061-01</t>
  </si>
  <si>
    <t>Классификатор конусный песковый, диаметр основания конуса 1800 мм</t>
  </si>
  <si>
    <t>ТЕРм04-02-061-02</t>
  </si>
  <si>
    <t>Классификатор конусный песковый, диаметр основания конуса 2400 мм</t>
  </si>
  <si>
    <t xml:space="preserve">                                   Классификаторы спиральные</t>
  </si>
  <si>
    <t>ТЕРм04-02-062-01</t>
  </si>
  <si>
    <t>Классификатор односпиральный с непогруженной спиралью, диаметр спирали 300 мм</t>
  </si>
  <si>
    <t>ТЕРм04-02-062-02</t>
  </si>
  <si>
    <t>Классификатор односпиральный с непогруженной спиралью, диаметр спирали 500 мм</t>
  </si>
  <si>
    <t>ТЕРм04-02-062-03</t>
  </si>
  <si>
    <t>Классификатор односпиральный с непогруженной спиралью, диаметр спирали 1200 мм</t>
  </si>
  <si>
    <t>ТЕРм04-02-062-04</t>
  </si>
  <si>
    <t>Классификатор односпиральный с непогруженной спиралью, диаметр спирали 2000 мм</t>
  </si>
  <si>
    <t>ТЕРм04-02-062-05</t>
  </si>
  <si>
    <t>Классификатор двухспиральный со спиралью непогруженной, диаметр 2400 мм, длина 9200 мм</t>
  </si>
  <si>
    <t>ТЕРм04-02-062-06</t>
  </si>
  <si>
    <t>Классификатор двухспиральный со спиралью непогруженной, диаметр 3000 мм, длина 12500 мм</t>
  </si>
  <si>
    <t>ТЕРм04-02-062-07</t>
  </si>
  <si>
    <t>Классификатор двухспиральный со спиралью погруженной, диаметр 2400 мм, длина 14000 мм</t>
  </si>
  <si>
    <t xml:space="preserve">                                   Раздел 7. СГУСТИТЕЛИ</t>
  </si>
  <si>
    <t xml:space="preserve">                                   Сгустители с периферическим приводом</t>
  </si>
  <si>
    <t>ТЕРм04-02-070-01</t>
  </si>
  <si>
    <t>Сгуститель с периферическим приводом, диаметр дна 25000-30000 мм, глубина 3600 мм</t>
  </si>
  <si>
    <t>ТЕРм04-02-070-02</t>
  </si>
  <si>
    <t>Сгуститель с периферическим приводом, диаметр дна 50000 мм, глубина 4500 мм</t>
  </si>
  <si>
    <t xml:space="preserve">                                   Сгустители с центральным приводом</t>
  </si>
  <si>
    <t>ТЕРм04-02-071-01</t>
  </si>
  <si>
    <t>Сгуститель с центральным приводом, диаметр чана 6000 мм, глубина 2500 мм</t>
  </si>
  <si>
    <t>ТЕРм04-02-071-02</t>
  </si>
  <si>
    <t>Сгуститель с центральным приводом, диаметр чана 15000 мм, глубина 3000 мм</t>
  </si>
  <si>
    <t>ТЕРм04-02-071-03</t>
  </si>
  <si>
    <t>Сгуститель с центральным приводом, диаметр чана 100000 мм, глубина 3000 мм</t>
  </si>
  <si>
    <t>ТЕРм04-02-071-04</t>
  </si>
  <si>
    <t>Сгуститель двухъярусный с центральным приводом диаметром 12000 мм, высотой 4375 мм</t>
  </si>
  <si>
    <t xml:space="preserve">                                   Гидроциклоны</t>
  </si>
  <si>
    <t>ТЕРм04-02-072-01</t>
  </si>
  <si>
    <t>Гидроциклон, футерованный каменным литьем, диаметр 710 мм</t>
  </si>
  <si>
    <t>ТЕРм04-02-072-02</t>
  </si>
  <si>
    <t>Гидроциклон, футерованный каменным литьем, диаметр 1400 мм</t>
  </si>
  <si>
    <t xml:space="preserve">                                   Раздел 8. СТОЛЫ КОНЦЕНТРАЦИОННЫЕ</t>
  </si>
  <si>
    <t xml:space="preserve">                                   Столы концентрационные с продольным нарифлением</t>
  </si>
  <si>
    <t>ТЕРм04-02-080-01</t>
  </si>
  <si>
    <t>Стол концентрационный с продольным нарифлением однодечный, площадь одной деки 7,5 м2</t>
  </si>
  <si>
    <t>ТЕРм04-02-080-02</t>
  </si>
  <si>
    <t>Стол концентрационный с продольным нарифлением двухдечный, площадь дек 15 м2</t>
  </si>
  <si>
    <t>ТЕРм04-02-080-03</t>
  </si>
  <si>
    <t>Стол концентрационный с продольным нарифлением четырехдечный, площадь дек 30 м2</t>
  </si>
  <si>
    <t xml:space="preserve">                                   Раздел 9. МАШИНЫ ОТСАДОЧНЫЕ</t>
  </si>
  <si>
    <t xml:space="preserve">                                   Машины отсадочные беспоршневые</t>
  </si>
  <si>
    <t>ТЕРм04-02-084-01</t>
  </si>
  <si>
    <t>Машина отсадочная беспоршневая, производительность 80-220 т/ч</t>
  </si>
  <si>
    <t>ТЕРм04-02-084-02</t>
  </si>
  <si>
    <t>Машина отсадочная беспоршневая, производительность 180-500 т/ч</t>
  </si>
  <si>
    <t>ТЕРм04-02-084-03</t>
  </si>
  <si>
    <t>Машина отсадочная беспоршневая, производительность 10-12 т/ч, с двумя камерами</t>
  </si>
  <si>
    <t>ТЕРм04-02-084-04</t>
  </si>
  <si>
    <t>Машина отсадочная беспоршневая, производительность 10-12 т/ч, с четырьмя камерами</t>
  </si>
  <si>
    <t xml:space="preserve">                                   Раздел 10. МАШИНЫ ФЛОТАЦИОННЫЕ</t>
  </si>
  <si>
    <t xml:space="preserve">                                   Машины флотационные механические и пневмомеханические</t>
  </si>
  <si>
    <t>ТЕРм04-02-088-01</t>
  </si>
  <si>
    <t>Машина флотационная механическая, вместимость камеры 1,2 м3</t>
  </si>
  <si>
    <t>ТЕРм04-02-088-02</t>
  </si>
  <si>
    <t>Машина флотационная механическая, вместимость камеры 3,2 м3</t>
  </si>
  <si>
    <t>ТЕРм04-02-088-03</t>
  </si>
  <si>
    <t>Машина флотационная механическая, вместимость камеры 6,3 м3</t>
  </si>
  <si>
    <t>ТЕРм04-02-088-04</t>
  </si>
  <si>
    <t>Машина флотационная пневмомеханическая, вместимость камеры 1,6 м3</t>
  </si>
  <si>
    <t>ТЕРм04-02-088-05</t>
  </si>
  <si>
    <t>Машина флотационная пневмомеханическая, вместимость камеры 3,2 м3</t>
  </si>
  <si>
    <t>ТЕРм04-02-088-06</t>
  </si>
  <si>
    <t>Машина флотационная пневмомеханическая, вместимость камеры 16 м3</t>
  </si>
  <si>
    <t>ТЕРм04-02-088-07</t>
  </si>
  <si>
    <t>Машина флотационная пневмомеханическая, вместимость камеры 40 м3</t>
  </si>
  <si>
    <t>ТЕРм04-02-088-08</t>
  </si>
  <si>
    <t>Машина флотационная механическая для угля, вместимость камеры 6,3 м3</t>
  </si>
  <si>
    <t>ТЕРм04-02-088-09</t>
  </si>
  <si>
    <t>Машина флотационная механическая для угля, вместимость камеры 12,5 м3</t>
  </si>
  <si>
    <t>ТЕРм04-02-088-10</t>
  </si>
  <si>
    <t>Машина флотационная механическая для угля, вместимость камеры 25 м3</t>
  </si>
  <si>
    <t xml:space="preserve">                                   Раздел 11. МЕХАНИЗМЫ ПЕРЕМЕШИВАЮЩИЕ К КОНТАКТНЫМ ЧАНАМ</t>
  </si>
  <si>
    <t xml:space="preserve">                                   Механизмы перемешивающие к металлическим или железобетонным чанам</t>
  </si>
  <si>
    <t>ТЕРм04-02-092-01</t>
  </si>
  <si>
    <t>Механизм перемешивающий к металлическому или железобетонному контактному чану, рабочий объем 3,15 м3</t>
  </si>
  <si>
    <t>ТЕРм04-02-092-02</t>
  </si>
  <si>
    <t>Механизм перемешивающий к металлическому или железобетонному контактному чану, рабочий объем 12,5 м3</t>
  </si>
  <si>
    <t>ТЕРм04-02-092-03</t>
  </si>
  <si>
    <t>Механизм перемешивающий к металлическому или железобетонному контактному чану, рабочий объем 50 м3</t>
  </si>
  <si>
    <t>ТЕРм04-02-092-04</t>
  </si>
  <si>
    <t>Механизм перемешивающий к металлическому или железобетонному контактному чану, рабочий объем 100 м3</t>
  </si>
  <si>
    <t>ТЕРм04-02-092-05</t>
  </si>
  <si>
    <t>Перемешиватель механический к металлическим или железобетонным чанам, диаметр чана 1800 мм</t>
  </si>
  <si>
    <t>ТЕРм04-02-092-06</t>
  </si>
  <si>
    <t>Перемешиватель механический к металлическим или железобетонным чанам, диаметр чана 3800 мм</t>
  </si>
  <si>
    <t xml:space="preserve">                                   Раздел 12. МАШИНЫ ПРОМЫВОЧНЫЕ</t>
  </si>
  <si>
    <t xml:space="preserve">                                   Мойки (скрубберы) цилиндрические</t>
  </si>
  <si>
    <t>ТЕРм04-02-096-01</t>
  </si>
  <si>
    <t>Скруббер-бутара, барабан диаметром 1300 мм, длиной 5200 мм</t>
  </si>
  <si>
    <t>ТЕРм04-02-096-02</t>
  </si>
  <si>
    <t>Скруббер-бутара, барабан диаметром 1330 мм, длиной 8300 мм</t>
  </si>
  <si>
    <t xml:space="preserve">                           Раздел 3. ОТДЕЛ 03. АГЛОМЕРАЦИОННОЕ ОБОРУДОВАНИЕ</t>
  </si>
  <si>
    <t xml:space="preserve">                                   Раздел 1. МАШИНЫ АГЛОМЕРАЦИОННЫЕ</t>
  </si>
  <si>
    <t xml:space="preserve">                                   Машины агломерационные</t>
  </si>
  <si>
    <t>ТЕРм04-03-001-01</t>
  </si>
  <si>
    <t>Машина агломерационная, поверхность 88 м2</t>
  </si>
  <si>
    <t>ТЕРм04-03-001-02</t>
  </si>
  <si>
    <t>Машина агломерационная, поверхность 312 м2</t>
  </si>
  <si>
    <t>ТЕРм04-03-001-03</t>
  </si>
  <si>
    <t>Машина для обжига окатышей, площадь активных технологических зон 560 м2</t>
  </si>
  <si>
    <t xml:space="preserve">                                   Питатели постели</t>
  </si>
  <si>
    <t>ТЕРм04-03-002-01</t>
  </si>
  <si>
    <t>Распределитель шихты челноковый, лента шириной 1200 мм, длиной 12500 мм</t>
  </si>
  <si>
    <t xml:space="preserve">                                   Раздел 2. СМЕСИТЕЛИ И ОКОМКОВАТЕЛИ</t>
  </si>
  <si>
    <t xml:space="preserve">                                   Смесители барабанные</t>
  </si>
  <si>
    <t>ТЕРм04-03-008-01</t>
  </si>
  <si>
    <t>Смеситель барабанный, диаметр барабана 2500 мм, длина 5000 мм</t>
  </si>
  <si>
    <t>ТЕРм04-03-008-02</t>
  </si>
  <si>
    <t>Смеситель барабанный, диаметр барабана 3200 мм, длина 8000 мм</t>
  </si>
  <si>
    <t>ТЕРм04-03-008-03</t>
  </si>
  <si>
    <t>Смеситель барабанный, диаметр барабана 3200 мм, длина 12500 мм</t>
  </si>
  <si>
    <t>ТЕРм04-03-008-04</t>
  </si>
  <si>
    <t>Смеситель барабанный, диаметр барабана 2800 мм, длина 6000 мм, со шнеком</t>
  </si>
  <si>
    <t xml:space="preserve">                                   Смесители шнековые</t>
  </si>
  <si>
    <t>ТЕРм04-03-009-01</t>
  </si>
  <si>
    <t>Смеситель шнековый двухвалковый лопастной, длина 3200 мм, диаметр 300 мм</t>
  </si>
  <si>
    <t>ТЕРм04-03-009-02</t>
  </si>
  <si>
    <t>Смеситель шнековый двухвалковый лопастной, длина 3200 мм, диаметр 600 мм</t>
  </si>
  <si>
    <t>ТЕРм04-03-009-03</t>
  </si>
  <si>
    <t>Смеситель шнековый двухвалковый лопастной, длина 3200 мм, диаметр 800 мм</t>
  </si>
  <si>
    <t xml:space="preserve">                                   Окомкователи</t>
  </si>
  <si>
    <t>ТЕРм04-03-010-01</t>
  </si>
  <si>
    <t>Окомкователь чашевый, диаметр чаши 5500 мм</t>
  </si>
  <si>
    <t>ТЕРм04-03-010-02</t>
  </si>
  <si>
    <t>Окомкователь барабанный, диаметр 3200 мм, длина 12500 мм</t>
  </si>
  <si>
    <t xml:space="preserve">                                   Охладители</t>
  </si>
  <si>
    <t>ТЕРм04-03-011-01</t>
  </si>
  <si>
    <t>Охладитель прямолинейный, площадь охлаждения 125 м2, длина 50000 мм, ширина 2500 мм</t>
  </si>
  <si>
    <t>ТЕРм04-03-011-02</t>
  </si>
  <si>
    <t>Охладитель прямолинейный, площадь охлаждения 315 м2, длина 90000 мм, ширина 3900 мм</t>
  </si>
  <si>
    <t xml:space="preserve">                                   Разное оборудование</t>
  </si>
  <si>
    <t>ТЕРм04-03-012-01</t>
  </si>
  <si>
    <t>Аппарат для определения механической прочности кокса</t>
  </si>
  <si>
    <t>ТЕРм04-03-012-02</t>
  </si>
  <si>
    <t>Аппарат для определения механической прочности антрацита</t>
  </si>
  <si>
    <t>ТЕРм-2001-05</t>
  </si>
  <si>
    <t xml:space="preserve">                           Раздел 1. ОТДЕЛ 01. ВЕСЫ ОБЩЕГО НАЗНАЧЕНИЯ</t>
  </si>
  <si>
    <t xml:space="preserve">                                   Раздел 1. ВЕСЫ ТРАНСПОРТНЫЕ</t>
  </si>
  <si>
    <t xml:space="preserve">                                   Весы вагонные</t>
  </si>
  <si>
    <t>ТЕРм05-01-001-01</t>
  </si>
  <si>
    <t>Весы вагонные циферблатные, предельная нагрузка 150 т</t>
  </si>
  <si>
    <t>ТЕРм05-01-001-02</t>
  </si>
  <si>
    <t>Весы вагонные платформенные железнодорожные, предельная нагрузка 200 т</t>
  </si>
  <si>
    <t>ТЕРм05-01-001-03</t>
  </si>
  <si>
    <t>Весы вагонные платформенные стационарные, предельная нагрузка 200 т</t>
  </si>
  <si>
    <t xml:space="preserve">                                   Весы вагонеточные</t>
  </si>
  <si>
    <t>ТЕРм05-01-002-01</t>
  </si>
  <si>
    <t>Весы вагонеточные, железнодорожная колея шириной 750 мм, предельная нагрузка до 10 т</t>
  </si>
  <si>
    <t xml:space="preserve">                                   Весы автомобильные</t>
  </si>
  <si>
    <t>ТЕРм05-01-003-01</t>
  </si>
  <si>
    <t>Весы автомобильные циферблатные, предельная нагрузка до 40 т</t>
  </si>
  <si>
    <t>ТЕРм05-01-003-02</t>
  </si>
  <si>
    <t>Весы автомобильные платформенные стационарные, предельная нагрузка до 30 т</t>
  </si>
  <si>
    <t>ТЕРм05-01-003-03</t>
  </si>
  <si>
    <t>Весы автомобильные платформенные стационарные, предельная нагрузка до 60 т</t>
  </si>
  <si>
    <t xml:space="preserve">                                   Раздел 2. ВЕСЫ И ДОЗАТОРЫ ДЛЯ БЕСТАРНОГО ВЗВЕШИВАНИЯ РАЗНЫХ СЫПУЧИХ МАТЕРИАЛОВ</t>
  </si>
  <si>
    <t xml:space="preserve">                                   Дозаторы для порошкообразных материалов</t>
  </si>
  <si>
    <t>ТЕРм05-01-021-01</t>
  </si>
  <si>
    <t>Дозатор весовой автоматический для порошкообразных материалов, масса порции до 20 кг</t>
  </si>
  <si>
    <t>ТЕРм05-01-021-02</t>
  </si>
  <si>
    <t>Дозатор весовой автоматический для порошкообразных материалов, масса порции до 50 кг</t>
  </si>
  <si>
    <t>ТЕРм05-01-021-03</t>
  </si>
  <si>
    <t>Дозатор весовой автоматический для порошкообразных материалов, масса порции до 80 кг</t>
  </si>
  <si>
    <t xml:space="preserve">                                   Весы и дозаторы непрерывного действия</t>
  </si>
  <si>
    <t>ТЕРм05-01-022-01</t>
  </si>
  <si>
    <t>Весы автоматические конвейерные для измерения текущей производительности конвейера</t>
  </si>
  <si>
    <t>ТЕРм05-01-022-02</t>
  </si>
  <si>
    <t>Дозатор автоматический с дистанционным управлением без питателя, производительность до 160 т/ч</t>
  </si>
  <si>
    <t>ТЕРм05-01-022-03</t>
  </si>
  <si>
    <t>Дозатор автоматический со шлюзопитателем, производительность до 25 т/ч</t>
  </si>
  <si>
    <t>ТЕРм05-01-022-04</t>
  </si>
  <si>
    <t>Дозатор автоматический со шлюзопитателем, производительность до 100 т/ч</t>
  </si>
  <si>
    <t>ТЕРм05-01-022-05</t>
  </si>
  <si>
    <t>Дозатор весовой автоматический с вибробункером, производительность до 160 т/ч</t>
  </si>
  <si>
    <t>ТЕРм05-01-022-06</t>
  </si>
  <si>
    <t>Дозатор весовой автоматический с вибробункером, производительность до 400 т/ч</t>
  </si>
  <si>
    <t xml:space="preserve">                           Раздел 2. ОТДЕЛ 02. ВЕСЫ И ДОЗАТОРЫ СПЕЦИАЛЬНОГО НАЗНАЧЕНИЯ</t>
  </si>
  <si>
    <t xml:space="preserve">                                   Раздел 1. ВЕСЫ, ПРИМЕНЯЕМЫЕ В МЕТАЛЛУРГИЧЕСКОЙ ПРОМЫШЛЕННОСТИ</t>
  </si>
  <si>
    <t xml:space="preserve">                                   Дозаторы весовые</t>
  </si>
  <si>
    <t>ТЕРм05-02-001-01</t>
  </si>
  <si>
    <t>Дозатор весовой для взвешивания порошкообразных компонентов шихты, масса порции до 50 кг</t>
  </si>
  <si>
    <t>ТЕРм05-02-001-02</t>
  </si>
  <si>
    <t>Дозатор весовой автоматический для взвешивания компонентов шихты, масса порции до 200 кг</t>
  </si>
  <si>
    <t>ТЕРм05-02-001-03</t>
  </si>
  <si>
    <t>Дозатор весовой автоматический для взвешивания компонентов шихты, масса порции до 1000 кг</t>
  </si>
  <si>
    <t xml:space="preserve">                                   Весы порционные</t>
  </si>
  <si>
    <t>ТЕРм05-02-002-01</t>
  </si>
  <si>
    <t>Устройство весовое порционное для кусковых материалов, производительность до 160 т/ч</t>
  </si>
  <si>
    <t xml:space="preserve">                                   Весы платформенные для мульд с шихтой</t>
  </si>
  <si>
    <t>ТЕРм05-02-003-01</t>
  </si>
  <si>
    <t>Тележка электровесовая для взвешивания металлической шихты в бункерах, предел взвешивания от 100 до 2000 кг</t>
  </si>
  <si>
    <t xml:space="preserve">                                   Весы платформенные для взвешивания материалов, полуфабрикатов и готовой продукции в цехах металлургических заводов и других отраслей промышленности</t>
  </si>
  <si>
    <t>ТЕРм05-02-004-01</t>
  </si>
  <si>
    <t>Весы платформенные стационарные, рычажные, с дистанционной передачей показаний, для взвешивания материалов, полуфабрикатов и готовой продукции в цехах металлургических заводов и других отраслей промышленности, предельная нагрузка до 2 т</t>
  </si>
  <si>
    <t>ТЕРм05-02-004-02</t>
  </si>
  <si>
    <t>Весы платформенные стационарные, рычажные, с дистанционной передачей показаний, для взвешивания материалов, полуфабрикатов и готовой продукции в цехах металлургических заводов и других отраслей промышленности, предельная нагрузка до 10 т</t>
  </si>
  <si>
    <t>ТЕРм05-02-004-03</t>
  </si>
  <si>
    <t>Весы платформенные стационарные, рычажные, с дистанционной передачей показаний, для взвешивания материалов, полуфабрикатов и готовой продукции в цехах металлургических заводов и других отраслей промышленности, предельная нагрузка до 20 т</t>
  </si>
  <si>
    <t>ТЕРм05-02-004-04</t>
  </si>
  <si>
    <t>Весы платформенные стационарные, рычажные, с дистанционной передачей показаний, для взвешивания материалов, полуфабрикатов и готовой продукции в цехах металлургических заводов и других отраслей промышленности, предельная нагрузка до 50 т</t>
  </si>
  <si>
    <t xml:space="preserve">                                   Весы платформенные для жидкого чугуна</t>
  </si>
  <si>
    <t>ТЕРм05-02-005-01</t>
  </si>
  <si>
    <t>Весы платформенные для жидкого чугуна, железнодорожная колея шириной 1524 мм, предельная нагрузка 160 т</t>
  </si>
  <si>
    <t xml:space="preserve">                                   Электровагон-весы</t>
  </si>
  <si>
    <t>ТЕРм05-02-006-01</t>
  </si>
  <si>
    <t>Электровагон-весы двухбункерные</t>
  </si>
  <si>
    <t xml:space="preserve">                                   Весы электротензометрические</t>
  </si>
  <si>
    <t>ТЕРм05-02-007-01</t>
  </si>
  <si>
    <t>Весы крановые электротензометрические, предельная нагрузка до 10 т</t>
  </si>
  <si>
    <t>ТЕРм05-02-007-02</t>
  </si>
  <si>
    <t>Весы крановые электротензометрические, предельная нагрузка до 20 т</t>
  </si>
  <si>
    <t xml:space="preserve">                                   Раздел 2. ДОЗАТОРЫ, ПРИМЕНЯЕМЫЕ В ПРОМЫШЛЕННОСТИ СТРОИТЕЛЬНЫХ МАТЕРИАЛОВ И В СТРОИТЕЛЬСТВЕ</t>
  </si>
  <si>
    <t>ТЕРм05-02-041-01</t>
  </si>
  <si>
    <t>Дозатор весовой автоматический для абразивных материалов, масса порции до 50 кг, со шнековым питателем</t>
  </si>
  <si>
    <t>ТЕРм05-02-041-02</t>
  </si>
  <si>
    <t>Дозатор весовой автоматический для абразивных материалов, масса порции до 500 кг, со шнековым питателем</t>
  </si>
  <si>
    <t>ТЕРм05-02-041-03</t>
  </si>
  <si>
    <t>Дозатор весовой автоматический для абразивных материалов, масса порции до 800 кг, с ленточным питателем</t>
  </si>
  <si>
    <t>ТЕРм05-02-041-04</t>
  </si>
  <si>
    <t>Дозатор весовой автоматический для абразивных материалов, масса порции до 1000 кг, с ленточным питателем</t>
  </si>
  <si>
    <t>ТЕРм05-02-041-05</t>
  </si>
  <si>
    <t>Дозатор весовой автоматический для жидких материалов, масса порции до 250 кг</t>
  </si>
  <si>
    <t>ТЕРм05-02-041-06</t>
  </si>
  <si>
    <t>Дозатор весовой автоматический для стекольной шихты, масса порции до 40 кг</t>
  </si>
  <si>
    <t>ТЕРм05-02-041-07</t>
  </si>
  <si>
    <t>Дозатор весовой автоматический для стекольной шихты, масса порции до 150 кг</t>
  </si>
  <si>
    <t>ТЕРм05-02-041-08</t>
  </si>
  <si>
    <t>Дозатор весовой автоматический для стекольной шихты, масса порции до 600 кг</t>
  </si>
  <si>
    <t>ТЕРм05-02-041-09</t>
  </si>
  <si>
    <t>Дозатор весовой автоматический для кварцевого песка, масса порции до 800 кг</t>
  </si>
  <si>
    <t xml:space="preserve">                                   Дозаторы для цемента к бетономешалкам</t>
  </si>
  <si>
    <t>ТЕРм05-02-042-01</t>
  </si>
  <si>
    <t>Дозатор весовой автоматический для цемента к бетономешалкам, масса порции до 500 кг</t>
  </si>
  <si>
    <t>ТЕРм05-02-042-02</t>
  </si>
  <si>
    <t>Дозатор весовой автоматический для цемента к бетономешалкам, масса порции до 600 кг</t>
  </si>
  <si>
    <t xml:space="preserve">                                   Дозаторы для жидкостей к бетономешалкам</t>
  </si>
  <si>
    <t>ТЕРм05-02-043-01</t>
  </si>
  <si>
    <t>Дозатор весовой автоматический для жидкостей к бетономешалкам, масса порции до 200 кг</t>
  </si>
  <si>
    <t>ТЕРм05-02-043-02</t>
  </si>
  <si>
    <t>Дозатор весовой автоматический для жидкостей к бетономешалкам, масса порции до 500 кг</t>
  </si>
  <si>
    <t xml:space="preserve">                                   Дозаторы для инертных газов</t>
  </si>
  <si>
    <t>ТЕРм05-02-044-01</t>
  </si>
  <si>
    <t>Дозатор весовой автоматический для инертных материалов к бетономешалкам, масса дозы до 800 кг</t>
  </si>
  <si>
    <t xml:space="preserve">                                   Дозаторы непрерывного действия</t>
  </si>
  <si>
    <t>ТЕРм05-02-045-01</t>
  </si>
  <si>
    <t>Дозатор автоматический непрерывного действия для сыпучих материалов, производительность до 40 т/ч</t>
  </si>
  <si>
    <t>ТЕРм05-02-045-02</t>
  </si>
  <si>
    <t>Дозатор автоматический непрерывного действия для сыпучих материалов, производительность до 100 т/ч</t>
  </si>
  <si>
    <t xml:space="preserve">                                   Раздел 3. ДОЗАТОРЫ, ПРИМЕНЯЕМЫЕ В ДОРОЖНОМ СТРОИТЕЛЬСТВЕ</t>
  </si>
  <si>
    <t xml:space="preserve">                                   Дозаторы к асфальтосмесителям</t>
  </si>
  <si>
    <t>ТЕРм05-02-061-01</t>
  </si>
  <si>
    <t>Дозатор автоматический весовой к асфальтосмесителям, масса порции до 400 кг, для нагретого битума</t>
  </si>
  <si>
    <t>ТЕРм05-02-061-02</t>
  </si>
  <si>
    <t>Дозатор автоматический весовой к асфальтосмесителям, масса порции до 600 кг, для инертных материалов</t>
  </si>
  <si>
    <t xml:space="preserve">                                   Раздел 4. ДОЗАТОРЫ, ПРИМЕНЯЕМЫЕ НА ЭЛЕВАТОРАХ И ПРЕДПРИЯТИЯХ ПО ПЕРЕРАБОТКЕ ЗЕРНА</t>
  </si>
  <si>
    <t xml:space="preserve">                                   Дозаторы для комбикормов</t>
  </si>
  <si>
    <t>ТЕРм05-02-078-01</t>
  </si>
  <si>
    <t>Дозатор весовой автоматический для составляющих компонентов комбикормов, масса порции до 200 кг</t>
  </si>
  <si>
    <t>ТЕРм05-02-078-02</t>
  </si>
  <si>
    <t>Дозатор весовой автоматический для составляющих компонентов комбикормов, масса порции до 500 кг</t>
  </si>
  <si>
    <t>ТЕРм05-02-078-03</t>
  </si>
  <si>
    <t>Дозатор весовой автоматический для составляющих компонентов комбикормов, масса порции до 1000 кг</t>
  </si>
  <si>
    <t>ТЕРм05-02-078-04</t>
  </si>
  <si>
    <t>Дозатор весовой автоматический для составляющих компонентов комбикормов, масса порции до 3000 кг</t>
  </si>
  <si>
    <t xml:space="preserve">                                   Дозаторы бункерные</t>
  </si>
  <si>
    <t>ТЕРм05-02-079-01</t>
  </si>
  <si>
    <t>Дозатор бункерный для зерна, производительность до 100 т/ч</t>
  </si>
  <si>
    <t xml:space="preserve">                                   Раздел 5. ВЕСЫ, ПРИМЕНЯЕМЫЕ В МЯСНОЙ И МОЛОЧНОЙ ПРОМЫШЛЕННОСТИ</t>
  </si>
  <si>
    <t xml:space="preserve">                                   Весы подвесные монорельсовые</t>
  </si>
  <si>
    <t>ТЕРм05-02-116-01</t>
  </si>
  <si>
    <t>Весы подвесные монорельсовые с дистационной регистрацией, предел взвешивания до 200 кг</t>
  </si>
  <si>
    <t xml:space="preserve">                                   Весы для молока</t>
  </si>
  <si>
    <t>ТЕРм05-02-117-01</t>
  </si>
  <si>
    <t>Весы специальные для взвешивания молока циферблатные, предел взвешивания до 400 кг</t>
  </si>
  <si>
    <t xml:space="preserve">                                   Весы для взвешивания скота</t>
  </si>
  <si>
    <t>ТЕРм05-02-118-01</t>
  </si>
  <si>
    <t>Весы монорельсовые для взвешивания скота, предел взвешивания до 1000 кг для мясных туш</t>
  </si>
  <si>
    <t>ТЕРм05-02-118-02</t>
  </si>
  <si>
    <t>Весы монорельсовые для взвешивания скота, предел взвешивания до 1000 кг для мясных туш и скота</t>
  </si>
  <si>
    <t xml:space="preserve">                                   Раздел 6. ДОЗАТОРЫ, ПРИМЕНЯЕМЫЕ В ХИМИЧЕСКОЙ ПРОМЫШЛЕННОСТИ</t>
  </si>
  <si>
    <t xml:space="preserve">                                   Дозаторы дискретного взвешивания</t>
  </si>
  <si>
    <t>ТЕРм05-02-134-01</t>
  </si>
  <si>
    <t>Дозатор весовой автоматический для порошков, масса порции до 5 кг, для компонентов резины</t>
  </si>
  <si>
    <t>ТЕРм05-02-134-02</t>
  </si>
  <si>
    <t>Дозатор весовой автоматический для порошков, масса порции до 10 кг, для светлых ингредиентов резины</t>
  </si>
  <si>
    <t>ТЕРм05-02-134-03</t>
  </si>
  <si>
    <t>Дозатор весовой автоматический для порошков, масса порции до 20 кг, для светлых компонентов резины</t>
  </si>
  <si>
    <t>ТЕРм05-02-134-04</t>
  </si>
  <si>
    <t>Дозатор автоматический для жидких мягчителей, масса порции до 5 кг</t>
  </si>
  <si>
    <t>ТЕРм05-02-134-05</t>
  </si>
  <si>
    <t>Дозатор автоматический для жидких мягчителей, масса порции до 15 кг</t>
  </si>
  <si>
    <t>ТЕРм05-02-134-06</t>
  </si>
  <si>
    <t>Дозатор автоматический для сажи и светлых ингредиентов, масса порции до 80 кг</t>
  </si>
  <si>
    <t>ТЕРм05-02-134-07</t>
  </si>
  <si>
    <t>Дозатор автоматический для каучука, масса порции до 120 кг</t>
  </si>
  <si>
    <t>ТЕРм05-02-134-08</t>
  </si>
  <si>
    <t>Дозатор автоматический для гранул каучука и резиновых смесей, масса порции до 200 кг</t>
  </si>
  <si>
    <t xml:space="preserve">                                   Дозаторы порционные</t>
  </si>
  <si>
    <t>ТЕРм05-02-135-01</t>
  </si>
  <si>
    <t>Дозатор автоматический порционный для дозирования сыпучих материалов, масса порции до 50 кг</t>
  </si>
  <si>
    <t>ТЕРм05-02-135-02</t>
  </si>
  <si>
    <t>Дозатор автоматический порционный для дозирования сыпучих материалов, масса порции до 500 кг</t>
  </si>
  <si>
    <t>ТЕРм-2001-06</t>
  </si>
  <si>
    <t xml:space="preserve">                           Раздел 1. ОТДЕЛ 01. ПАРОВЫЕ И ВОДОГРЕЙНЫЕ СТАЦИОНАРНЫЕ КОТЛЫ</t>
  </si>
  <si>
    <t xml:space="preserve">                                   Раздел 1. ЭЛЕМЕНТЫ ПАРОВЫХ СТАЦИОНАРНЫХ КОТЛОВ</t>
  </si>
  <si>
    <t xml:space="preserve">                                   Каркасные конструкции</t>
  </si>
  <si>
    <t>ТЕРм06-01-001-01</t>
  </si>
  <si>
    <t>Каркас и каркасные конструкции котлов, работающих на газомазутном топливе, паропроизводительностью 2,5 т/ч</t>
  </si>
  <si>
    <t>ТЕРм06-01-001-02</t>
  </si>
  <si>
    <t>Каркас и каркасные конструкции котлов, работающих на газомазутном топливе, паропроизводительностью 4-10 т/ч</t>
  </si>
  <si>
    <t>ТЕРм06-01-001-03</t>
  </si>
  <si>
    <t>Каркас и каркасные конструкции котлов, работающих на газомазутном топливе, паропроизводительностью 35-75 т/ч</t>
  </si>
  <si>
    <t>ТЕРм06-01-001-04</t>
  </si>
  <si>
    <t>Каркас и каркасные конструкции, включая щитовую обшивку, котлов, работающих на пылеугольном топливе, паропроизводительностью 210 т/ч</t>
  </si>
  <si>
    <t>ТЕРм06-01-001-05</t>
  </si>
  <si>
    <t>Каркас и каркасные конструкции, включая щитовую обшивку, котлов, работающих на пылеугольном топливе, паропроизводительностью 1000 т/ч</t>
  </si>
  <si>
    <t>ТЕРм06-01-001-06</t>
  </si>
  <si>
    <t>Каркас и каркасные конструкции, включая металлоконструкции шатра и щитовую обшивку, газоплотных котлов, работающих на газомазутном топливе, паропроизводительностью 160 т/ч</t>
  </si>
  <si>
    <t>ТЕРм06-01-001-07</t>
  </si>
  <si>
    <t>Каркас и каркасные конструкции, включая металлоконструкции шатра и щитовую обшивку, газоплотных котлов, работающих на газомазутном топливе, паропроизводительностью 320-670 т/ч</t>
  </si>
  <si>
    <t>ТЕРм06-01-001-08</t>
  </si>
  <si>
    <t>Каркас и каркасные конструкции, включая металлоконструкции шатра и щитовую обшивку, газоплотных котлов, работающих на газомазутном топливе, паропроизводительностью 2650 т/ч</t>
  </si>
  <si>
    <t>ТЕРм06-01-001-09</t>
  </si>
  <si>
    <t>Каркас и каркасные конструкции, включая металлоконструкции шатра и щитовую обшивку, газоплотных котлов, работающих на пылеугольном топливе, паропроизводительностью 160 т/ч</t>
  </si>
  <si>
    <t>ТЕРм06-01-001-10</t>
  </si>
  <si>
    <t>Каркас и каркасные конструкции, включая металлоконструкции шатра и щитовую обшивку, газоплотных котлов, работающих на пылеугольном топливе, паропроизводительностью 420 т/ч</t>
  </si>
  <si>
    <t>ТЕРм06-01-001-11</t>
  </si>
  <si>
    <t>Каркас и каркасные конструкции, включая металлоконструкции шатра и щитовую обшивку, газоплотных котлов, работающих на пылеугольном топливе, паропроизводительностью 670 т/ч</t>
  </si>
  <si>
    <t>ТЕРм06-01-001-12</t>
  </si>
  <si>
    <t>Каркас и каркасные конструкции, включая металлоконструкции шатра и щитовую обшивку, газоплотных котлов, работающих на пылеугольном топливе, паропроизводительностью 1650 т/ч</t>
  </si>
  <si>
    <t>ТЕРм06-01-001-13</t>
  </si>
  <si>
    <t>Каркас и каркасные конструкции, включая металлоконструкции шатра и щитовую обшивку, газоплотных котлов, работающих на пылеугольном топливе, паропроизводительностью 2650 т/ч</t>
  </si>
  <si>
    <t>ТЕРм06-01-001-14</t>
  </si>
  <si>
    <t>Тепловая камера котлов паропроизводительностью 420 т/ч</t>
  </si>
  <si>
    <t xml:space="preserve">                                   Барабаны с сепарационными устройствами</t>
  </si>
  <si>
    <t>ТЕРм06-01-002-01</t>
  </si>
  <si>
    <t>Барабан с сепарационным устройством, опорами и подвесками котлов паропроизводительностью 2,5-4 т/ч, давлением 1,4 МПа</t>
  </si>
  <si>
    <t>ТЕРм06-01-002-02</t>
  </si>
  <si>
    <t>Барабан с сепарационным устройством, опорами и подвесками котлов паропроизводительностью 10 т/ч, давлением 1,4 МПа</t>
  </si>
  <si>
    <t>ТЕРм06-01-002-03</t>
  </si>
  <si>
    <t>Барабан с сепарационным устройством, опорами и подвесками котлов паропроизводительностью 50 т/ч, давлением 3,9 МПа</t>
  </si>
  <si>
    <t>ТЕРм06-01-002-04</t>
  </si>
  <si>
    <t>Барабан с сепарационным устройством, опорами и подвесками котлов паропроизводительностью 75 т/ч, давлением 3,9 МПа</t>
  </si>
  <si>
    <t>ТЕРм06-01-002-05</t>
  </si>
  <si>
    <t>Барабан с сепарационным устройством, опорами и подвесками котлов паропроизводительностью 160 т/ч, давлением 1,4 МПа</t>
  </si>
  <si>
    <t>ТЕРм06-01-002-06</t>
  </si>
  <si>
    <t>Барабан с сепарационным устройством, опорами и подвесками котлов паропроизводительностью 210-670 т/ч, давлением 13,8 МПа</t>
  </si>
  <si>
    <t>ТЕРм06-01-002-07</t>
  </si>
  <si>
    <t>Барабан с сепарационным устройством, опорами и подвесками котлов паропроизводительностью 420 т/ч, давлением 13,8 МПа, монтируемый методом надвижки</t>
  </si>
  <si>
    <t xml:space="preserve">                                   Блоки барабана с трубами конвективного пучка, перепускными трубами, экранами и опорными рамами котлов типа КЕ и ДЕ</t>
  </si>
  <si>
    <t>ТЕРм06-01-003-01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</si>
  <si>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газомазутном топливе, паропроизводительностью 4 т/ч</t>
  </si>
  <si>
    <t>ТЕРм06-01-003-02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</si>
  <si>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газомазутном топливе, паропроизводительностью 6,5 т/ч</t>
  </si>
  <si>
    <t>ТЕРм06-01-003-03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</si>
  <si>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газомазутном топливе, паропроизводительностью 10 т/ч</t>
  </si>
  <si>
    <t>ТЕРм06-01-003-04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</si>
  <si>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газомазутном топливе, паропроизводительностью 16 т/ч</t>
  </si>
  <si>
    <t>ТЕРм06-01-003-05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</si>
  <si>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газомазутном топливе, паропроизводительностью 25 т/ч</t>
  </si>
  <si>
    <t>ТЕРм06-01-003-06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</si>
  <si>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твердом топливе, паропроизводительностью 2,5 т/ч</t>
  </si>
  <si>
    <t>ТЕРм06-01-003-07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</si>
  <si>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твердом топливе, паропроизводительностью 4 т/ч</t>
  </si>
  <si>
    <t>ТЕРм06-01-003-08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</si>
  <si>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твердом топливе, паропроизводительностью 6,5 т/ч</t>
  </si>
  <si>
    <t>ТЕРм06-01-003-09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</si>
  <si>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твердом топливе, паропроизводительностью 10 т/ч</t>
  </si>
  <si>
    <t>ТЕРм06-01-003-10</t>
  </si>
  <si>
    <t>Блок барабана с трубами конвективного пучка, перепускными трубами, экранами и опорными рамами котлов типа КЕ и ДЕ, монтируемый методом надвижки, без обмуровки котлов, работающих на твердом топливе, паропроизводительностью 25 т/ч</t>
  </si>
  <si>
    <t xml:space="preserve">                                   Экраны и трубы конвективного пучка</t>
  </si>
  <si>
    <t>ТЕРм06-01-004-01</t>
  </si>
  <si>
    <t>Трубы конвективного пучка, поставляемые отдельными деталями, котлов, работающих на газомазутном топливе, давлением 1,4 МПа, паропроизводительностью 2,5-50 т/ч</t>
  </si>
  <si>
    <t>ТЕРм06-01-004-02</t>
  </si>
  <si>
    <t>Экраны из гладких труб с опорами, подвесками и другими креплениями, поставляемые отдельными деталями, барабанных котлов, работающих на газомазутном топливе, паропроизводительностью 2,5 т/ч, давлением 1,4 МПа</t>
  </si>
  <si>
    <t>ТЕРм06-01-004-03</t>
  </si>
  <si>
    <t>Экраны из гладких труб с опорами, подвесками и другими креплениями, поставляемые отдельными деталями, барабанных котлов, работающих на газомазутном топливе, паропроизводительностью 4-6,5 т/ч, давлением 1,4 МПа</t>
  </si>
  <si>
    <t>ТЕРм06-01-004-04</t>
  </si>
  <si>
    <t>Экраны из гладких труб с опорами, подвесками и другими креплениями, поставляемые отдельными деталями барабанных котлов, работающих на газомазутном топливе, паропроизводительностью 10 т/ч, давлением 1,4 МПа</t>
  </si>
  <si>
    <t>ТЕРм06-01-004-05</t>
  </si>
  <si>
    <t>Экраны из гладких труб с опорами, подвесками и другими креплениями, поставляемые отдельными деталями, барабанных котлов, работающих на газомазутном топливе, паропроизводительностью 35-75 т/ч, давлением 1,4-3,9 МПа</t>
  </si>
  <si>
    <t>ТЕРм06-01-004-06</t>
  </si>
  <si>
    <t>Экраны из гладких труб с опорами, подвесками и другими креплениями, поставляемые блоками и частично отдельными деталями, барабанных котлов, работающих на газомазутном топливе, паропроизводительностью 50 т/ч, давлением 1,4 МПа</t>
  </si>
  <si>
    <t>ТЕРм06-01-004-07</t>
  </si>
  <si>
    <t>Экраны из гладких труб с опорами, подвесками и другими креплениями, поставляемые блоками и частично отдельными деталями, барабанных котлов, работающих на газомазутном топливе, паропроизводительностью 50 т/ч, давлением 3,9 МПа</t>
  </si>
  <si>
    <t>ТЕРм06-01-004-08</t>
  </si>
  <si>
    <t>Экраны из гладких труб с опорами, подвесками и другими креплениями, поставляемые блоками и частично отдельными деталями, барабанных котлов, работающих на пылеугольном топливе, паропроизводительностью 75 т/ч, давлением 3,9 МПа</t>
  </si>
  <si>
    <t>ТЕРм06-01-004-09</t>
  </si>
  <si>
    <t>Экраны из гладких труб с опорами, подвесками и другими креплениями, поставляемые блоками и частично отдельными деталями, барабанных котлов, работающих на пылеугольном топливе, паропроизводительностью 210 т/ч, давлением 13,8 МПа</t>
  </si>
  <si>
    <t>ТЕРм06-01-004-10</t>
  </si>
  <si>
    <t>Экраны из гладких труб с опорами, подвесками и другими креплениями, поставляемые блоками и частично отдельными деталями, прямоточных котлов, работающих на пылеугольном топливе, паропроизводительностью 1000 т/ч давлением 25,5 МПа</t>
  </si>
  <si>
    <t>ТЕРм06-01-004-11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</si>
  <si>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барабанных котлов, работающих на газомазутном топливе, паропроизводительностью 160 т/ч, давлением 1,4 МПа</t>
  </si>
  <si>
    <t>ТЕРм06-01-004-12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</si>
  <si>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барабанных котлов, работающих на газомазутном топливе, паропроизводительностью 320-670 т/ч, давлением 13,8 МПа</t>
  </si>
  <si>
    <t>ТЕРм06-01-004-13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</si>
  <si>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барабанных котлов, работающих на пылеугольном топливе, паропроизводительностью 160 т/ч, давлением 1,4 МПа</t>
  </si>
  <si>
    <t>ТЕРм06-01-004-14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</si>
  <si>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барабанных котлов, работающих на пылеугольном топливе, паропроизводительностью 420-500 т/ч, давлением 13,8 МПа</t>
  </si>
  <si>
    <t>ТЕРм06-01-004-15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</si>
  <si>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барабанных котлов, работающих на пылеугольном топливе, паропроизводительностью 670 т/ч, давлением 13,8 МПа</t>
  </si>
  <si>
    <t>ТЕРм06-01-004-16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</si>
  <si>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прямоточных котлов, работающих на газомазутном топливе, паропроизводительностью 2650 т/ч, давлением 25,5 МПа</t>
  </si>
  <si>
    <t>ТЕРм06-01-004-17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</si>
  <si>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прямоточных котлов, работающих на пылеугольном топливе паропроизводительностью 1650 т/ч, давлением 25,5 МПа</t>
  </si>
  <si>
    <t>ТЕРм06-01-004-18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</si>
  <si>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прямоточных котлов, работающих на пылеугольном топливе паропроизводительностью 2650 т/ч, давлением 25,5 МПа (Кузнецкий уголь)</t>
  </si>
  <si>
    <t>ТЕРм06-01-004-19</t>
  </si>
  <si>
    <t>Экраны топки, переходного газохода и конвективной шахты из гладких труб с вваренной полосой или из плавниковых труб с опорами, подвесками и другими креплениями, поставляемые блоками и частично отдельными деталями, прямоточных котлов, работающих на пылеугольном топливе паропроизводительностью 2650 т/ч, давлением 25,5 МПа (Березовский бурый уголь)</t>
  </si>
  <si>
    <t xml:space="preserve">                                   Трубы водоподводящие и пароотводящие</t>
  </si>
  <si>
    <t>ТЕРм06-01-005-01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</si>
  <si>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2,5 т/ч, давлением 1,4 МПа</t>
  </si>
  <si>
    <t>ТЕРм06-01-005-02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</si>
  <si>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4 т/ч, давлением 1,4 МПа</t>
  </si>
  <si>
    <t>ТЕРм06-01-005-03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</si>
  <si>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6,5 т/ч, давлением 1,4 МПа</t>
  </si>
  <si>
    <t>ТЕРм06-01-005-04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</si>
  <si>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10 т/ч, давлением 1,4 МПа</t>
  </si>
  <si>
    <t>ТЕРм06-01-005-05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</si>
  <si>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50 т/ч, давлением 1,4 МПа</t>
  </si>
  <si>
    <t>ТЕРм06-01-005-06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</si>
  <si>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75 т/ч, давлением 3,9 МПа</t>
  </si>
  <si>
    <t>ТЕРм06-01-005-07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</si>
  <si>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160 т/ч, давлением 1,4 МПа</t>
  </si>
  <si>
    <t>ТЕРм06-01-005-08</t>
  </si>
  <si>
    <t>Трубы водоподводящие и пароотводящие с выносными циклонами, опорами и подвесками барабанных котлов, работающих на газомазутном топливе, паропроизводительностью 320-670 т/ч, давлением 13,8 МПа</t>
  </si>
  <si>
    <t>ТЕРм06-01-005-09</t>
  </si>
  <si>
    <t>Трубы водоподводящие и пароотводящие с выносными циклонами, опорами и подвесками барабанных котлов, работающих на пылеугольном топливе, паропроизводительностью 75 т/ч, давлением 3,9 МПа</t>
  </si>
  <si>
    <t>ТЕРм06-01-005-10</t>
  </si>
  <si>
    <t>Трубы водоподводящие и пароотводящие с выносными циклонами, опорами и подвесками барабанных котлов, работающих на пылеугольном топливе, паропроизводительностью 160 т/ч, давлением 1,4 МПа</t>
  </si>
  <si>
    <t>ТЕРм06-01-005-11</t>
  </si>
  <si>
    <t>Трубы водоподводящие и пароотводящие с выносными циклонами, опорами и подвесками барабанных котлов, работающих на пылеугольном топливе, паропроизводительностью 210-420 т/ч, давлением 13,8 МПа</t>
  </si>
  <si>
    <t>ТЕРм06-01-005-12</t>
  </si>
  <si>
    <t>Трубы водоподводящие и пароотводящие с выносными циклонами, опорами и подвесками барабанных котлов, работающих на пылеугольном топливе, паропроизводительностью 500-670 т/ч, давлением 13,8 МПа</t>
  </si>
  <si>
    <t xml:space="preserve">                                   Пароперегреватели радиационные</t>
  </si>
  <si>
    <t>ТЕРм06-01-006-01</t>
  </si>
  <si>
    <t>Пароперегреватель радиационный с подвесками, из гладких труб, поставляемый блоками, котлов паропроизводительностью 670 т/ч, давлением 13,8 МПа, работающих на газомазутном топливе, горизонтальный</t>
  </si>
  <si>
    <t>ТЕРм06-01-006-02</t>
  </si>
  <si>
    <t>Пароперегреватель радиационный с подвесками, из гладких труб, поставляемый блоками, котлов паропроизводительностью 670 т/ч, давлением 13,8 МПа, работающих на пылеугольном топливе, горизонтальный</t>
  </si>
  <si>
    <t>ТЕРм06-01-006-03</t>
  </si>
  <si>
    <t>Пароперегреватель радиационный с подвесками, из гладких труб, поставляемый блоками, котлов паропроизводительностью 670 т/ч, давлением 13,8 МПа, работающих на пылеугольном топливе, вертикальный</t>
  </si>
  <si>
    <t>ТЕРм06-01-006-04</t>
  </si>
  <si>
    <t>Пароперегреватель радиационный с подвесками из гладких труб с вваренной полосой или из плавниковых труб, поставляемый блоками, котлов, работающих на пылеугольном топливе, паропроизводительностью 420 т/ч, давлением 13,8 МПа, горизонтальный</t>
  </si>
  <si>
    <t>ТЕРм06-01-006-05</t>
  </si>
  <si>
    <t>Пароперегреватель радиационный с подвесками из гладких труб с вваренной полосой или из плавниковых труб, поставляемый блоками, котлов, работающих на пылеугольном топливе, паропроизводительностью 500 т/ч, давлением 13,8 МПа, вертикальный</t>
  </si>
  <si>
    <t>ТЕРм06-01-006-06</t>
  </si>
  <si>
    <t>Пароперегреватель ширмовый из гладких труб, поставляемый блоками, котлов, работающих на газомазутном топливе, паропроизводительностью 670 т/ч, давлением 13,8 МПа</t>
  </si>
  <si>
    <t>ТЕРм06-01-006-07</t>
  </si>
  <si>
    <t>Пароперегреватель ширмовый из гладких труб, поставляемый блоками, котлов, работающих на газомазутном топливе, паропроизводительностью 2650 т/ч, давлением 25 МПа</t>
  </si>
  <si>
    <t>ТЕРм06-01-006-08</t>
  </si>
  <si>
    <t>Пароперегреватель ширмовый из гладких труб, поставляемый блоками, котлов, работающих на пылеугольном топливе, паропроизводительностью 210 т/ч, давлением 13,8 МПа</t>
  </si>
  <si>
    <t>ТЕРм06-01-006-09</t>
  </si>
  <si>
    <t>Пароперегреватель ширмовый из гладких труб, поставляемый блоками, котлов, работающих на пылеугольном топливе, паропроизводительностью 420 т/ч, давлением 13,8 МПа</t>
  </si>
  <si>
    <t>ТЕРм06-01-006-10</t>
  </si>
  <si>
    <t>Пароперегреватель ширмовый из гладких труб, поставляемый блоками, котлов, работающих на пылеугольном топливе, паропроизводительностью 500, 670 т/ч, давлением 13,8 МПа</t>
  </si>
  <si>
    <t>ТЕРм06-01-006-11</t>
  </si>
  <si>
    <t>Пароперегреватель ширмовый из гладких труб, поставляемый блоками, котлов, работающих на пылеугольном топливе, паропроизводительностью 1000-1650 т/ч, давлением 25 МПа</t>
  </si>
  <si>
    <t>ТЕРм06-01-006-12</t>
  </si>
  <si>
    <t>Пароперегреватель ширмовый из гладких труб, поставляемый блоками, котлов, работающих на пылеугольном топливе, паропроизводительностью 2650 т/ч, давлением 25 МПа</t>
  </si>
  <si>
    <t>ТЕРм06-01-006-13</t>
  </si>
  <si>
    <t>Пароперегреватель ширмовый угловой из гладких труб, котлов, работающих на газомазутном топливе, паропроизводительностью 500 т/ч, давлением 13,8 МПа</t>
  </si>
  <si>
    <t>ТЕРм06-01-006-14</t>
  </si>
  <si>
    <t>Пароперегреватель потолочный из гладких труб, поставляемый блоками и частично отдельными деталями, котлов, работающих на пылеугольном топливе, паропроизводительностью 210 т/ч, давлением 13,8 МПа</t>
  </si>
  <si>
    <t>ТЕРм06-01-006-15</t>
  </si>
  <si>
    <t>Пароперегреватель потолочный из гладких труб, поставляемый блоками и частично отдельными деталями, котлов, работающих на пылеугольном топливе, паропроизводительностью 1000 т/ч, давлением 25 МПа</t>
  </si>
  <si>
    <t>ТЕРм06-01-006-16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</si>
  <si>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газомазутном топливе, паропроизводительностью 160 т/ч, давлением 1,4 МПа</t>
  </si>
  <si>
    <t>ТЕРм06-01-006-17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</si>
  <si>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газомазутном топливе, паропроизводительностью 320-500 т/ч, давлением 13,8 МПа</t>
  </si>
  <si>
    <t>ТЕРм06-01-006-18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</si>
  <si>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газомазутном топливе, паропроизводительностью 670 т/ч, давлением 13,8 МПа</t>
  </si>
  <si>
    <t>ТЕРм06-01-006-19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</si>
  <si>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газомазутном топливе, паропроизводительностью 2650 т/ч, давлением 25,5 МПа</t>
  </si>
  <si>
    <t>ТЕРм06-01-006-20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</si>
  <si>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пылеугольном топливе, паропроизводительностью 210-500 т/ч, давлением 13,8 МПа</t>
  </si>
  <si>
    <t>ТЕРм06-01-006-21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</si>
  <si>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пылеугольном топливе, паропроизводительностью 670 т/ч, давлением 13,8 МПа</t>
  </si>
  <si>
    <t>ТЕРм06-01-006-22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</si>
  <si>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пылеугольном топливе, паропроизводительностью 1650 т/ч, давлением 25 МПа</t>
  </si>
  <si>
    <t>ТЕРм06-01-006-23</t>
  </si>
  <si>
    <t>Пароперегреватель потолочный из гладких труб с вваренной полосой или из плавниковых труб, поставляемый блоками и частично отдельными деталями, котлов, работающих на пылеугольном топливе, паропроизводительностью 2650 т/ч, давлением 25 МПа</t>
  </si>
  <si>
    <t>ТЕРм06-01-006-24</t>
  </si>
  <si>
    <t>Настенные ограждения переходного и опускного газоходов из гладких труб с вваренной полосой или из плавниковых труб, поставляемые блоками и частично отдельными деталями, котлов, паропроизводительностью 670 т/ч, давлением 13,8 МПа, работающих на газомазутном топливе</t>
  </si>
  <si>
    <t>ТЕРм06-01-006-25</t>
  </si>
  <si>
    <t>Настенные ограждения переходного и опускного газоходов из гладких труб с вваренной полосой или из плавниковых труб, поставляемые блоками и частично отдельными деталями, котлов, паропроизводительностью 670 т/ч, давлением 13,8 МПа, работающих на пылеугольном топливе</t>
  </si>
  <si>
    <t xml:space="preserve">                                   Пароперегреватели конвективные</t>
  </si>
  <si>
    <t>ТЕРм06-01-007-01</t>
  </si>
  <si>
    <t>Пароперегреватель с соединительными элементами, поставляемый отдельными деталями, котлов, работающих на газомазутном топливе, паропроизводительностью 4-10 т/ч, давлением 1,4 МПа</t>
  </si>
  <si>
    <t>ТЕРм06-01-007-02</t>
  </si>
  <si>
    <t>Пароперегреватель с соединительными элементами, поставляемый отдельными деталями, котлов, работающих на газомазутном топливе, паропроизводительностью 35-75 т/ч, давлением 3,9 МПа</t>
  </si>
  <si>
    <t>ТЕРм06-01-007-03</t>
  </si>
  <si>
    <t>Пароперегреватель с соединительными элементами, поставляемый блоками, котлов, работающих на газомазутном топливе, паропроизводительностью 50 т/ч, давлением 3,9 МПа</t>
  </si>
  <si>
    <t>ТЕРм06-01-007-04</t>
  </si>
  <si>
    <t>Пароперегреватель с соединительными элементами, поставляемый блоками, котлов, работающих на газомазутном топливе, паропроизводительностью 160 т/ч, давлением 1,4 МПа</t>
  </si>
  <si>
    <t>ТЕРм06-01-007-05</t>
  </si>
  <si>
    <t>Пароперегреватель с соединительными элементами, поставляемый блоками, котлов, работающих на пылеугольном топливе, паропроизводительностью 75 т/ч, давлением 3,9 МПа</t>
  </si>
  <si>
    <t>ТЕРм06-01-007-06</t>
  </si>
  <si>
    <t>Пароперегреватель с соединительными элементами, поставляемый блоками, котлов, работающих на пылеугольном топливе, паропроизводительностью 160 т/ч, давлением 1,4 МПа</t>
  </si>
  <si>
    <t>ТЕРм06-01-007-07</t>
  </si>
  <si>
    <t>Пароперегреватель с опорами и подвесками, поставляемый блоками, котлов, работающих на газомазутном топливе, паропроизводительностью 320-670 т/ч, давлением 13,8 МПа</t>
  </si>
  <si>
    <t>ТЕРм06-01-007-08</t>
  </si>
  <si>
    <t>Пароперегреватель с опорами и подвесками, поставляемый блоками, котлов, работающих на газомазутном топливе, паропроизводительностью 1000 т/ч, давлением 25 МПа</t>
  </si>
  <si>
    <t>ТЕРм06-01-007-09</t>
  </si>
  <si>
    <t>Пароперегреватель с опорами и подвесками, поставляемый блоками, котлов, работающих на газомазутном топливе, паропроизводительностью 2650 т/ч, давлением 25 МПа</t>
  </si>
  <si>
    <t>ТЕРм06-01-007-10</t>
  </si>
  <si>
    <t>Пароперегреватель с опорами и подвесками, поставляемый блоками, котлов, работающих на пылеугольном топливе, паропроизводительностью 210-420 т/ч, давлением 13,8 МПа</t>
  </si>
  <si>
    <t>ТЕРм06-01-007-11</t>
  </si>
  <si>
    <t>Пароперегреватель с опорами и подвесками, поставляемый блоками, котлов, работающих на пылеугольном топливе, паропроизводительностью 500-670 т/ч, давлением 13,8 МПа</t>
  </si>
  <si>
    <t>ТЕРм06-01-007-12</t>
  </si>
  <si>
    <t>Пароперегреватель с опорами и подвесками, поставляемый блоками, котлов, работающих на пылеугольном топливе, паропроизводительностью 1000-1650 т/ч, давлением 25 МПа</t>
  </si>
  <si>
    <t>ТЕРм06-01-007-13</t>
  </si>
  <si>
    <t>Пароперегреватель с опорами и подвесками, поставляемый блоками, котлов, работающих на пылеугольном топливе, паропроизводительностью 2650 т/ч, давлением 25 МПа</t>
  </si>
  <si>
    <t>ТЕРм06-01-007-14</t>
  </si>
  <si>
    <t>Пароперегреватель промежуточный змеевиковый с опорами и подвесками, поставляемый блоками, котлов, работающих на газомазутном топливе, паропроизводительностью 670 т/ч, давлением 13,8 МПа</t>
  </si>
  <si>
    <t>ТЕРм06-01-007-15</t>
  </si>
  <si>
    <t>Пароперегреватель промежуточный змеевиковый с опорами и подвесками, поставляемый блоками, котлов, работающих на газомазутном топливе, паропроизводительностью 1000 т/ч, давлением 25 МПа</t>
  </si>
  <si>
    <t>ТЕРм06-01-007-16</t>
  </si>
  <si>
    <t>Пароперегреватель промежуточный змеевиковый с опорами и подвесками, поставляемый блоками, котлов, работающих на газомазутном топливе, паропроизводительностью 2650 т/ч, давлением 25 МПа</t>
  </si>
  <si>
    <t>ТЕРм06-01-007-17</t>
  </si>
  <si>
    <t>Пароперегреватель промежуточный змеевиковый с опорами и подвесками, поставляемый блоками, котлов, работающих на пылеугольном топливе, паропроизводительностью 670 т/ч, давлением 13,8 МПа</t>
  </si>
  <si>
    <t>ТЕРм06-01-007-18</t>
  </si>
  <si>
    <t>Пароперегреватель промежуточный змеевиковый с опорами и подвесками, поставляемый блоками, котлов, работающих на пылеугольном топливе, паропроизводительностью 1000-1650 т/ч, давлением 25 МПа</t>
  </si>
  <si>
    <t>ТЕРм06-01-007-19</t>
  </si>
  <si>
    <t>Пароперегреватель промежуточный змеевиковый с опорами и подвесками, поставляемый блоками, котлов, работающих на пылеугольном топливе, паропроизводительностью 2650 т/ч, давлением 25 МПа</t>
  </si>
  <si>
    <t>ТЕРм06-01-007-20</t>
  </si>
  <si>
    <t>Пароперегреватель ширмовый промежуточный с опорами и подвесками, поставляемый блоками, котлов, работающих на пылеугольном топливе, паропроизводительностью 2650 т/ч, давлением 25 МПа</t>
  </si>
  <si>
    <t>ТЕРм06-01-007-21</t>
  </si>
  <si>
    <t>Поверхность регулирующая, устанавливаемая на подвесных трубах, котлов, работающих на пылеугольном топливе, паропроизводительностью 670 т/ч, давлением 13,8 МПа</t>
  </si>
  <si>
    <t xml:space="preserve">                                   Экономайзеры стационарных котлов</t>
  </si>
  <si>
    <t>ТЕРм06-01-008-01</t>
  </si>
  <si>
    <t>Экономайзер чугунный ребристый котлов давлением до 2,4 МПа, поставляемый отдельными деталями</t>
  </si>
  <si>
    <t>ТЕРм06-01-008-02</t>
  </si>
  <si>
    <t>Экономайзер чугунный ребристый котлов давлением до 2,4 МПа, поставляемый блоками</t>
  </si>
  <si>
    <t>ТЕРм06-01-008-03</t>
  </si>
  <si>
    <t>Экономайзер стальной змеевиковый с соединительными элементами, поставляемый отдельными деталями, котлов, работающих на газомазутном топливе, паропроизводительностью 75 т/ч, давлением 3,9 МПа</t>
  </si>
  <si>
    <t>ТЕРм06-01-008-04</t>
  </si>
  <si>
    <t>Экономайзер стальной змеевиковый с соединительными элементами, поставляемый блоками, котлов, работающих на газомазутном топливе, паропроизводительностью 50 т/ч, давлением 3,9 МПа</t>
  </si>
  <si>
    <t>ТЕРм06-01-008-05</t>
  </si>
  <si>
    <t>Экономайзер стальной змеевиковый с соединительными элементами, поставляемый блоками, котлов, работающих на газомазутном топливе, паропроизводительностью 160 т/ч, давлением 1,4 МПа</t>
  </si>
  <si>
    <t>ТЕРм06-01-008-06</t>
  </si>
  <si>
    <t>Экономайзер стальной змеевиковый с соединительными элементами, поставляемый блоками, котлов, работающих на пылеугольном топливе, паропроизводительностью 160 т/ч, давлением 1,4 МПа</t>
  </si>
  <si>
    <t>ТЕРм06-01-008-07</t>
  </si>
  <si>
    <t>Экономайзер стальной змеевиковый, поставляемый блоками с опорами и подвесками, котлов, работающих на пылеугольном топливе, паропроизводительностью 210-420 т/ч, давлением 13,8 МПа</t>
  </si>
  <si>
    <t>ТЕРм06-01-008-08</t>
  </si>
  <si>
    <t>Экономайзер стальной змеевиковый, поставляемый блоками с опорами и подвесками, котлов, работающих на пылеугольном топливе, паропроизводительностью 670 т/ч, давлением 13,8 МПа</t>
  </si>
  <si>
    <t>ТЕРм06-01-008-09</t>
  </si>
  <si>
    <t>Экономайзер стальной змеевиковый, поставляемый блоками с опорами и подвесками, котлов, работающих на пылеугольном топливе, паропроизводительностью 1000 т/ч, давлением 25 МПа</t>
  </si>
  <si>
    <t>ТЕРм06-01-008-10</t>
  </si>
  <si>
    <t>Экономайзер стальной змеевиковый, поставляемый блоками с опорами и подвесками, котлов, работающих на пылеугольном топливе, паропроизводительностью 1650 т/ч, давлением 25 МПа</t>
  </si>
  <si>
    <t>ТЕРм06-01-008-11</t>
  </si>
  <si>
    <t>Экономайзер стальной змеевиковый, поставляемый блоками на подвесных трубах, котлов, работающих на газомазутном топливе, паропроизводительностью 670 т/ч, давлением 13,8 МПа</t>
  </si>
  <si>
    <t>ТЕРм06-01-008-12</t>
  </si>
  <si>
    <t>Экономайзер стальной змеевиковый, поставляемый блоками на подвесных трубах, котлов, работающих на газомазутном топливе, паропроизводительностью 2650 т/ч, давлением 25 МПа</t>
  </si>
  <si>
    <t>ТЕРм06-01-008-13</t>
  </si>
  <si>
    <t>Экономайзер стальной змеевиковый, поставляемый блоками на подвесных трубах, котлов, работающих на пылеугольном топливе, паропроизводительностью 500 т/ч, давлением 13,8 МПа</t>
  </si>
  <si>
    <t>ТЕРм06-01-008-14</t>
  </si>
  <si>
    <t>Экономайзер стальной змеевиковый, поставляемый блоками на подвесных трубах, котлов, работающих на пылеугольном топливе, паропроизводительностью 670 т/ч, давлением 13,8 МПа</t>
  </si>
  <si>
    <t>ТЕРм06-01-008-15</t>
  </si>
  <si>
    <t>Экономайзер стальной змеевиковый, поставляемый блоками на подвесных трубах, котлов, работающих на пылеугольном топливе, паропроизводительностью 2650 т/ч, давлением 25 МПа</t>
  </si>
  <si>
    <t xml:space="preserve">                                   Воздухоподогреватели</t>
  </si>
  <si>
    <t>ТЕРм06-01-009-01</t>
  </si>
  <si>
    <t>Воздухоподогреватель стальной трубчатый с перепускными коробами, котлов, работающих на твердом топливе, паропроизводительностью 6,5-25 т/ч, давлением 1,4 МПа</t>
  </si>
  <si>
    <t>ТЕРм06-01-009-02</t>
  </si>
  <si>
    <t>Воздухоподогреватель стальной трубчатый с перепускными коробами, котлов, работающих на газомазутном топливе, паропроизводительностью 35-75 т/ч, давлением 3,9 МПа</t>
  </si>
  <si>
    <t>ТЕРм06-01-009-03</t>
  </si>
  <si>
    <t>Воздухоподогреватель стальной трубчатый с перепускными коробами, котлов, работающих на газомазутном топливе, паропроизводительностью 160 т/ч, давлением 1,4 МПа</t>
  </si>
  <si>
    <t>ТЕРм06-01-009-04</t>
  </si>
  <si>
    <t>Воздухоподогреватель стальной трубчатый с перепускными коробами, котлов, работающих на пылеугольном топливе, паропроизводительностью 160 т/ч, давлением 1,4 МПа</t>
  </si>
  <si>
    <t>ТЕРм06-01-009-05</t>
  </si>
  <si>
    <t>Воздухоподогреватель стальной трубчатый с перепускными коробами, котлов, работающих на пылеугольном топливе, паропроизводительностью 210-670 т/ч, давлением 13,8 МПа</t>
  </si>
  <si>
    <t>ТЕРм06-01-009-06</t>
  </si>
  <si>
    <t>Воздухоподогреватель стальной трубчатый с перепускными коробами, котлов, работающих на пылеугольном топливе, паропроизводительностью 1000-1650 т/ч, давлением 25 МПа</t>
  </si>
  <si>
    <t>ТЕРм06-01-009-07</t>
  </si>
  <si>
    <t>Воздухоподогреватель стальной трубчатый с перепускными коробами, котлов, работающих на пылеугольном топливе, паропроизводительностью 2650 т/ч, давлением 25 МПа</t>
  </si>
  <si>
    <t>ТЕРм06-01-009-08</t>
  </si>
  <si>
    <t>Воздухоподогреватель регенеративный, вращающийся, устанавливаемый вне здания котельной, диаметром 6800 мм</t>
  </si>
  <si>
    <t>ТЕРм06-01-009-09</t>
  </si>
  <si>
    <t>Воздухоподогреватель регенеративный, вращающийся, устанавливаемый вне здания котельной, диаметром 9800 мм</t>
  </si>
  <si>
    <t>ТЕРм06-01-009-10</t>
  </si>
  <si>
    <t>Воздухоподогреватель регенеративный, вращающийся, устанавливаемый вне здания котельной, диаметром 14500 мм</t>
  </si>
  <si>
    <t xml:space="preserve">                                   Трубопроводы в пределах котлов</t>
  </si>
  <si>
    <t>ТЕРм06-01-010-01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</si>
  <si>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6,5-25 т/ч, давлением 1,4 МПа</t>
  </si>
  <si>
    <t>ТЕРм06-01-010-02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</si>
  <si>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35-75 т/ч, давлением 3,9 МПа</t>
  </si>
  <si>
    <t>ТЕРм06-01-010-03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</si>
  <si>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160 т/ч, давлением 13,8 МПа</t>
  </si>
  <si>
    <t>ТЕРм06-01-010-04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</si>
  <si>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320-500 т/ч, давлением 13,8 МПа</t>
  </si>
  <si>
    <t>ТЕРм06-01-010-05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</si>
  <si>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670 т/ч, давлением 13,8 МПа</t>
  </si>
  <si>
    <t>ТЕРм06-01-010-06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</si>
  <si>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1000 т/ч, давлением 25 МПа</t>
  </si>
  <si>
    <t>ТЕРм06-01-010-07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</si>
  <si>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газомазутном топливе, паропроизводительностью 2650 т/ч, давлением 25 МПа</t>
  </si>
  <si>
    <t>ТЕРм06-01-010-08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</si>
  <si>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25 т/ч, давлением 2,4 МПа</t>
  </si>
  <si>
    <t>ТЕРм06-01-010-09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</si>
  <si>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220 т/ч, давлением 9,8 МПа</t>
  </si>
  <si>
    <t>ТЕРм06-01-010-10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</si>
  <si>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320-500 т/ч, давлением 13,8 МПа</t>
  </si>
  <si>
    <t>ТЕРм06-01-010-11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</si>
  <si>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670 т/ч, давлением 13,8 МПа</t>
  </si>
  <si>
    <t>ТЕРм06-01-010-12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</si>
  <si>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1000 т/ч, давлением 25 МПа</t>
  </si>
  <si>
    <t>ТЕРм06-01-010-13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</si>
  <si>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1650 т/ч, давлением 25 МПа</t>
  </si>
  <si>
    <t>ТЕРм06-01-010-14</t>
  </si>
  <si>
    <t>Трубопроводы и перепускные трубы с арматурой, фасонными частями, опорами и подвесками, включая конденсационную установку и паровой теплообменник, котлов, работающих на пылеугольном топливе, паропроизводительностью 2650 т/ч, давлением 25 МПа</t>
  </si>
  <si>
    <t>ТЕРм06-01-010-15</t>
  </si>
  <si>
    <t>Система подвесных труб со средой для крепления поверхностей нагрева котлов, работающих на газомазутном топливе, паропроизводительностью 670 т/ч, давлением 13,8 МПа</t>
  </si>
  <si>
    <t>ТЕРм06-01-010-16</t>
  </si>
  <si>
    <t>Система подвесных труб со средой для крепления поверхностей нагрева котлов, работающих на газомазутном топливе, паропроизводительностью 1000 т/ч, давлением 25 МПа</t>
  </si>
  <si>
    <t>ТЕРм06-01-010-17</t>
  </si>
  <si>
    <t>Система подвесных труб со средой для крепления поверхностей нагрева котлов, работающих на газомазутном топливе, паропроизводительностью 2650 т/ч, давлением 25 МПа</t>
  </si>
  <si>
    <t>ТЕРм06-01-010-18</t>
  </si>
  <si>
    <t>Система подвесных труб со средой для крепления поверхностей нагрева котлов, работающих на пылеугольном топливе, паропроизводительностью 670 т/ч, давлением 13,8 МПа</t>
  </si>
  <si>
    <t>ТЕРм06-01-010-19</t>
  </si>
  <si>
    <t>Система подвесных труб со средой для крепления поверхностей нагрева котлов, работающих на пылеугольном топливе, паропроизводительностью 2650 т/ч, давлением 25 МПа</t>
  </si>
  <si>
    <t>ТЕРм06-01-010-20</t>
  </si>
  <si>
    <t>Устройство отбора проб пара и воды (включая трубы и арматуру) котлов, работающих на газомазутном топливе, паропроизводительностью 4-160 т/ч, давлением 1,4-3,9 МПа</t>
  </si>
  <si>
    <t>ТЕРм06-01-010-21</t>
  </si>
  <si>
    <t>Устройство отбора проб пара и воды (включая трубы и арматуру) котлов, работающих на газомазутном топливе, паропроизводительностью 220-500 т/ч, давлением 9,8-13,8 МПа</t>
  </si>
  <si>
    <t>ТЕРм06-01-010-22</t>
  </si>
  <si>
    <t>Устройство отбора проб пара и воды (включая трубы и арматуру) котлов, работающих на газомазутном топливе, паропроизводительностью 670-2650 т/ч, давлением 13,8-25 МПа</t>
  </si>
  <si>
    <t>ТЕРм06-01-010-23</t>
  </si>
  <si>
    <t>Устройство отбора проб пара и воды (включая трубы и арматуру) котлов, работающих на пылеугольном топливе, паропроизводительностью 220-2650 т/ч, давлением 9,8-25 МПа</t>
  </si>
  <si>
    <t xml:space="preserve">                                   Обдувочные и очистные устройства, шахты золо- и шлакоудаления</t>
  </si>
  <si>
    <t>ТЕРм06-01-011-01</t>
  </si>
  <si>
    <t>Аппарат обдувки для очистки радиационных поверхностей нагрева, масса 0,16 т</t>
  </si>
  <si>
    <t>ТЕРм06-01-011-02</t>
  </si>
  <si>
    <t>Аппарат обдувки для очистки радиационных поверхностей нагрева, масса 0,4 т</t>
  </si>
  <si>
    <t>ТЕРм06-01-011-03</t>
  </si>
  <si>
    <t>Аппарат обдувки для очистки радиационных поверхностей нагрева, масса 0,83 т</t>
  </si>
  <si>
    <t>ТЕРм06-01-011-04</t>
  </si>
  <si>
    <t>Аппарат обдувки для очистки радиационных поверхностей нагрева, масса 3,8 т</t>
  </si>
  <si>
    <t>ТЕРм06-01-011-05</t>
  </si>
  <si>
    <t>Аппарат обдувки для очистки конвективных поверхностей нагрева и регенеративных воздухоподогревателей, масса 0,24 т</t>
  </si>
  <si>
    <t>ТЕРм06-01-011-06</t>
  </si>
  <si>
    <t>Аппарат обдувки для очистки конвективных поверхностей нагрева и регенеративных воздухоподогревателей, масса 0,68 т</t>
  </si>
  <si>
    <t>ТЕРм06-01-011-07</t>
  </si>
  <si>
    <t>Аппарат обдувки для очистки конвективных поверхностей нагрева и регенеративных воздухоподогревателей, масса 0,97 т</t>
  </si>
  <si>
    <t>ТЕРм06-01-011-08</t>
  </si>
  <si>
    <t>Аппарат водяной очистки, масса 0,4 т</t>
  </si>
  <si>
    <t>ТЕРм06-01-011-09</t>
  </si>
  <si>
    <t>Аппарат водяной очистки, масса 0,6 т</t>
  </si>
  <si>
    <t>ТЕРм06-01-011-10</t>
  </si>
  <si>
    <t>Устройство дробевой очистки котлов паропроизводительностью 500 т/ч, на газомазутном топливе</t>
  </si>
  <si>
    <t>ТЕРм06-01-011-11</t>
  </si>
  <si>
    <t>Устройство дробевой очистки котлов паропроизводительностью 2650 т/ч, на газомазутном топливе</t>
  </si>
  <si>
    <t>ТЕРм06-01-011-12</t>
  </si>
  <si>
    <t>Устройство дробевой очистки котлов паропроизводительностью 2650 т/ч, на пылеугольном топливе</t>
  </si>
  <si>
    <t>ТЕРм06-01-011-13</t>
  </si>
  <si>
    <t>Установка шлакоудаления котлов паропроизводительностью 1650 т/ч</t>
  </si>
  <si>
    <t>ТЕРм06-01-011-14</t>
  </si>
  <si>
    <t>Установка шлакоудаления котлов паропроизводительностью 2650 т/ч</t>
  </si>
  <si>
    <t xml:space="preserve">                                   Горелки, форсунки, прочие детали и конструкции</t>
  </si>
  <si>
    <t>ТЕРм06-01-012-01</t>
  </si>
  <si>
    <t>Горелка газомазутная, масса 0,07 т</t>
  </si>
  <si>
    <t>ТЕРм06-01-012-02</t>
  </si>
  <si>
    <t>Горелка газомазутная, масса 0,6 т</t>
  </si>
  <si>
    <t>ТЕРм06-01-012-03</t>
  </si>
  <si>
    <t>Горелка газомазутная, масса 1,77 т</t>
  </si>
  <si>
    <t>ТЕРм06-01-012-04</t>
  </si>
  <si>
    <t>Горелка газомазутная, масса 2,57 т</t>
  </si>
  <si>
    <t>ТЕРм06-01-012-05</t>
  </si>
  <si>
    <t>Горелка газомазутная, масса 3,15 т</t>
  </si>
  <si>
    <t>ТЕРм06-01-012-06</t>
  </si>
  <si>
    <t>Горелка пылеугольная, масса 2,8 т</t>
  </si>
  <si>
    <t>ТЕРм06-01-012-07</t>
  </si>
  <si>
    <t>Горелка пылеугольная, масса 7,2 т</t>
  </si>
  <si>
    <t>ТЕРм06-01-012-08</t>
  </si>
  <si>
    <t>Форсунка паровая, паропроизводительность 60-1800 кг/ч, длина ствола 2000 мм</t>
  </si>
  <si>
    <t>ТЕРм06-01-012-09</t>
  </si>
  <si>
    <t>Форсунка паровая, паропроизводительность 60-1800 кг/ч, длина ствола 3000 мм</t>
  </si>
  <si>
    <t>ТЕРм06-01-012-10</t>
  </si>
  <si>
    <t>Форсунка, производительность 750-9000 кг/ч, механическая</t>
  </si>
  <si>
    <t>ТЕРм06-01-012-11</t>
  </si>
  <si>
    <t>Форсунка, производительность 4800 кг/ч, паромеханическая</t>
  </si>
  <si>
    <t>ТЕРм06-01-012-12</t>
  </si>
  <si>
    <t>Запальник запально-защитного устройства, длина 350 мм</t>
  </si>
  <si>
    <t>ТЕРм06-01-012-13</t>
  </si>
  <si>
    <t>Запальник запально-защитного устройства, длина 1000 мм</t>
  </si>
  <si>
    <t>ТЕРм06-01-012-14</t>
  </si>
  <si>
    <t>Запальник запально-защитного устройства, длина 2000 мм</t>
  </si>
  <si>
    <t>ТЕРм06-01-012-15</t>
  </si>
  <si>
    <t>Запальник запально-защитного устройства, длина 4000 мм</t>
  </si>
  <si>
    <t>ТЕРм06-01-012-16</t>
  </si>
  <si>
    <t>Лестницы и площадки котлов паропроизводительностью 160 т/ч, на газомазутном топливе</t>
  </si>
  <si>
    <t>ТЕРм06-01-012-17</t>
  </si>
  <si>
    <t>Лестницы и площадки котлов паропроизводительностью 320-2650 т/ч, на газомазутном топливе</t>
  </si>
  <si>
    <t>ТЕРм06-01-012-18</t>
  </si>
  <si>
    <t>Лестницы и площадки котлов паропроизводительностью 210-1650 т/ч, на пылеугольном топливе</t>
  </si>
  <si>
    <t>ТЕРм06-01-012-19</t>
  </si>
  <si>
    <t>Лестницы и площадки котлов паропроизводительностью 2650 т/ч, на пылеугольном топливе</t>
  </si>
  <si>
    <t>ТЕРм06-01-012-20</t>
  </si>
  <si>
    <t>Устройство защиты от золового износа и наклепа дроби поверхностей нагрева котлов паропроизводительностью 320-1000 т/ч, на газомазутном топливе</t>
  </si>
  <si>
    <t>ТЕРм06-01-012-21</t>
  </si>
  <si>
    <t>Устройство защиты от золового износа и наклепа дроби поверхностей нагрева котлов паропроизводительностью 210-2650 т/ч, на пылеугольном топливе</t>
  </si>
  <si>
    <t>ТЕРм06-01-012-22</t>
  </si>
  <si>
    <t>Обшивка листовая толщиной листа до 3 мм котлов паропроизводительностью 4-25 т/ч, на газомазутном топливе</t>
  </si>
  <si>
    <t>ТЕРм06-01-012-23</t>
  </si>
  <si>
    <t>Обшивка листовая толщиной листа до 3 мм котлов паропроизводительностью 320-1000 т/ч, на газомазутном топливе</t>
  </si>
  <si>
    <t>ТЕРм06-01-012-24</t>
  </si>
  <si>
    <t>Обшивка листовая толщиной листа до 3 мм котлов паропроизводительностью 2650 т/ч, на газомазутном топливе</t>
  </si>
  <si>
    <t>ТЕРм06-01-012-25</t>
  </si>
  <si>
    <t>Обшивка листовая толщиной листа до 3 мм котлов паропроизводительностью 2,5-25 т/ч, на пылеугольном топливе</t>
  </si>
  <si>
    <t>ТЕРм06-01-012-26</t>
  </si>
  <si>
    <t>Обшивка листовая толщиной листа до 3 мм котлов паропроизводительностью 210 т/ч, на пылеугольном топливе</t>
  </si>
  <si>
    <t>ТЕРм06-01-012-27</t>
  </si>
  <si>
    <t>Обшивка листовая толщиной листа до 3 мм котлов паропроизводительностью 320-1650 т/ч, на пылеугольном топливе</t>
  </si>
  <si>
    <t>ТЕРм06-01-012-28</t>
  </si>
  <si>
    <t>Обшивка листовая толщиной листа до 3 мм котлов паропроизводительностью 2650 т/ч, на пылеугольном топливе</t>
  </si>
  <si>
    <t>ТЕРм06-01-012-29</t>
  </si>
  <si>
    <t>Детали крепления обмуровки (кирпичной, бетонной) котлов, работающих на пылеугольном топливе, паропроизводительностью 220 т/ч</t>
  </si>
  <si>
    <t>ТЕРм06-01-012-30</t>
  </si>
  <si>
    <t>Детали крепления обмуровки (кирпичной, бетонной) котлов, работающих на пылеугольном топливе, паропроизводительностью 320-1000 т/ч</t>
  </si>
  <si>
    <t>ТЕРм06-01-012-31</t>
  </si>
  <si>
    <t>Детали крепления изоляции котлов паропроизводительностью 320-2650 т/ч, на газомазутном топливе</t>
  </si>
  <si>
    <t>ТЕРм06-01-012-32</t>
  </si>
  <si>
    <t>Детали крепления изоляции котлов паропроизводительностью 210-2650 т/ч, на пылеугольном топливе</t>
  </si>
  <si>
    <t>ТЕРм06-01-012-33</t>
  </si>
  <si>
    <t>Гарнитура котлов паропроизводительностью 320-1000 т/ч, на газомазутном топливе</t>
  </si>
  <si>
    <t>ТЕРм06-01-012-34</t>
  </si>
  <si>
    <t>Гарнитура котлов паропроизводительностью 2650 т/ч, на газомазутном топливе</t>
  </si>
  <si>
    <t>ТЕРм06-01-012-35</t>
  </si>
  <si>
    <t>Гарнитура котлов паропроизводительностью 210 т/ч, 1650 т/ч, на пылеугольном топливе</t>
  </si>
  <si>
    <t>ТЕРм06-01-012-36</t>
  </si>
  <si>
    <t>Гарнитура котлов паропроизводительностью 2650 т/ч, на пылеугольном топливе</t>
  </si>
  <si>
    <t>ТЕРм06-01-012-37</t>
  </si>
  <si>
    <t>Уплотнения котлов паропроизводительностью 160 т/ч, на газомазутном топливе</t>
  </si>
  <si>
    <t>ТЕРм06-01-012-38</t>
  </si>
  <si>
    <t>Уплотнения котлов паропроизводительностью 320-420 т/ч, на газомазутном топливе</t>
  </si>
  <si>
    <t>ТЕРм06-01-012-39</t>
  </si>
  <si>
    <t>Уплотнения котлов паропроизводительностью 500-1000 т/ч, на газомазутном топливе</t>
  </si>
  <si>
    <t>ТЕРм06-01-012-40</t>
  </si>
  <si>
    <t>Уплотнения котлов паропроизводительностью 2650 т/ч, на газомазутном топливе</t>
  </si>
  <si>
    <t>ТЕРм06-01-012-41</t>
  </si>
  <si>
    <t>Уплотнения котлов паропроизводительностью 210-670 т/ч, на пылеугольном топливе</t>
  </si>
  <si>
    <t>ТЕРм06-01-012-42</t>
  </si>
  <si>
    <t>Уплотнения котлов паропроизводительностью 1000-2650 т/ч, на пылеугольном топливе</t>
  </si>
  <si>
    <t xml:space="preserve">                                   Испытание паровых котлов на газовую плотность</t>
  </si>
  <si>
    <t>ТЕРм06-01-013-01</t>
  </si>
  <si>
    <t>Испытание на газовую плотность котлов из гладких труб П-образной компоновки, работающих на газомазутном топливе, паропроизводительностью 35-75 т/ч, давление 3,9 МПа</t>
  </si>
  <si>
    <t>ТЕРм06-01-013-02</t>
  </si>
  <si>
    <t>Испытание на газовую плотность котлов из гладких труб П-образной компоновки, работающих на газомазутном топливе, паропроизводительностью 160 т/ч, давление 9,8 МПа</t>
  </si>
  <si>
    <t>ТЕРм06-01-013-03</t>
  </si>
  <si>
    <t>Испытание на газовую плотность котлов из гладких труб П-образной компоновки, работающих на пылеугольном топливе, паропроизводительностью 35-75 т/ч, давление 3,9 МПа</t>
  </si>
  <si>
    <t>ТЕРм06-01-013-04</t>
  </si>
  <si>
    <t>Испытание на газовую плотность котлов из гладких труб П-образной компоновки, работающих на пылеугольном топливе, паропроизводительностью 210 т/ч, давление 13,8 МПа</t>
  </si>
  <si>
    <t>ТЕРм06-01-013-05</t>
  </si>
  <si>
    <t>Испытание на газовую плотность котлов из гладких труб Т-образной компоновки, работающих на пылеугольном топливе, паропроизводительностью 1000 т/ч, давлением 25 МПа</t>
  </si>
  <si>
    <t>ТЕРм06-01-013-06</t>
  </si>
  <si>
    <t>Испытание на газовую плотность котлов из цельносварных труб П-образной компоновки, работающих на газомазутном топливе, паропроизводительностью 160 т/ч, 320 т/ч, давление 9,8-13,8 МПа</t>
  </si>
  <si>
    <t>ТЕРм06-01-013-07</t>
  </si>
  <si>
    <t>Испытание на газовую плотность котлов из цельносварных труб П-образной компоновки, работающих на газомазутном топливе, паропроизводительностью 420 т/ч, давление 13,8 МПа</t>
  </si>
  <si>
    <t>ТЕРм06-01-013-08</t>
  </si>
  <si>
    <t>Испытание на газовую плотность котлов из цельносварных труб П-образной компоновки, работающих на газомазутном топливе, паропроизводительностью 500 т/ч, 670 м, давление 13,8 МПа</t>
  </si>
  <si>
    <t>ТЕРм06-01-013-09</t>
  </si>
  <si>
    <t>Испытание на газовую плотность котлов из цельносварных труб П-образной компоновки, работающих на газомазутном топливе, паропроизводительностью 1000 т/ч, давление 25 МПа</t>
  </si>
  <si>
    <t>ТЕРм06-01-013-10</t>
  </si>
  <si>
    <t>Испытание на газовую плотность котлов из цельносварных труб П-образной компоновки, работающих на газомазутном топливе, паропроизводительностью 2650 т/ч, давление 25 МПа</t>
  </si>
  <si>
    <t>ТЕРм06-01-013-11</t>
  </si>
  <si>
    <t>Испытание на газовую плотность котлов из цельносварных труб П-образной компоновки, работающих на пылеугольном топливе, паропроизводительностью 160 т/ч, 220 т/ч, давление 9,8 МПа</t>
  </si>
  <si>
    <t>ТЕРм06-01-013-12</t>
  </si>
  <si>
    <t>Испытание на газовую плотность котлов из цельносварных труб П-образной компоновки, работающих на пылеугольном топливе, паропроизводительностью 320 т/ч, 420 т/ч, давление 13,8 МПа</t>
  </si>
  <si>
    <t>ТЕРм06-01-013-13</t>
  </si>
  <si>
    <t>Испытание на газовую плотность котлов из цельносварных труб П-образной компоновки, работающих на пылеугольном топливе, паропроизводительностью 500 т/ч, 670 т/ч, давление 13,8 МПа</t>
  </si>
  <si>
    <t>ТЕРм06-01-013-14</t>
  </si>
  <si>
    <t>Испытание на газовую плотность котлов из цельносварных труб Т-образной компоновки, работающих на пылеугольном топливе, паропроизводительностью 420 т/ч, давление 13,8 МПа</t>
  </si>
  <si>
    <t>ТЕРм06-01-013-15</t>
  </si>
  <si>
    <t>Испытание на газовую плотность котлов из цельносварных труб Т-образной компоновки, работающих на пылеугольном топливе, паропроизводительностью 670 т/ч, давление 13,8 МПа</t>
  </si>
  <si>
    <t>ТЕРм06-01-013-16</t>
  </si>
  <si>
    <t>Испытание на газовую плотность котлов из цельносварных труб Т-образной компоновки, работающих на пылеугольном топливе, паропроизводительностью 1650 т/ч, давление 25 МПа</t>
  </si>
  <si>
    <t>ТЕРм06-01-013-17</t>
  </si>
  <si>
    <t>Испытание на газовую плотность котлов из цельносварных труб Т-образной компоновки, работающих на пылеугольном топливе, паропроизводительностью 2650 т/ч, давление 25 МПа</t>
  </si>
  <si>
    <t xml:space="preserve">                                   Гидравлическое испытание паровых котлов</t>
  </si>
  <si>
    <t>ТЕРм06-01-014-01</t>
  </si>
  <si>
    <t>Гидравлическое испытание котлов П-образной компоновки, работающих на газомазутном топливе, паропроизводительностью 2,5-6,5 т/ч, давление 1,4 МПа</t>
  </si>
  <si>
    <t>ТЕРм06-01-014-02</t>
  </si>
  <si>
    <t>Гидравлическое испытание котлов П-образной компоновки, работающих на газомазутном топливе, паропроизводительностью 10-25 т/ч, давление 1,4 МПа</t>
  </si>
  <si>
    <t>ТЕРм06-01-014-03</t>
  </si>
  <si>
    <t>Гидравлическое испытание котлов П-образной компоновки, работающих на газомазутном топливе, паропроизводительностью 35-75 т/ч, давление 3,9 МПа</t>
  </si>
  <si>
    <t>ТЕРм06-01-014-04</t>
  </si>
  <si>
    <t>Гидравлическое испытание котлов П-образной компоновки, работающих на газомазутном топливе, паропроизводительностью 160 т/ч, давление 1,4 МПа</t>
  </si>
  <si>
    <t>ТЕРм06-01-014-05</t>
  </si>
  <si>
    <t>Гидравлическое испытание котлов П-образной компоновки, работающих на газомазутном топливе, паропроизводительностью 160 т/ч, давление 9,8 МПа</t>
  </si>
  <si>
    <t>ТЕРм06-01-014-06</t>
  </si>
  <si>
    <t>Гидравлическое испытание котлов П-образной компоновки, работающих на газомазутном топливе, паропроизводительностью 320 т/ч, 420 т/ч, давление 13,8 МПа</t>
  </si>
  <si>
    <t>ТЕРм06-01-014-07</t>
  </si>
  <si>
    <t>Гидравлическое испытание котлов П-образной компоновки, работающих на газомазутном топливе, паропроизводительностью 500 т/ч, 670 т/ч, давление 13,8 МПа</t>
  </si>
  <si>
    <t>ТЕРм06-01-014-08</t>
  </si>
  <si>
    <t>Гидравлическое испытание котлов П-образной компоновки, работающих на газомазутном топливе, паропроизводительностью 1000 т/ч, давление 25 МПа</t>
  </si>
  <si>
    <t>ТЕРм06-01-014-09</t>
  </si>
  <si>
    <t>Гидравлическое испытание котлов П-образной компоновки, работающих на газомазутном топливе, паропроизводительностью 2650 т/ч, давление 25 МПа</t>
  </si>
  <si>
    <t>ТЕРм06-01-014-10</t>
  </si>
  <si>
    <t>Гидравлическое испытание котлов П-образной компоновки, работающих на пылеугольном топливе, паропроизводительностью 2,5-6,5 т/ч, давление 1,4 МПа</t>
  </si>
  <si>
    <t>ТЕРм06-01-014-11</t>
  </si>
  <si>
    <t>Гидравлическое испытание котлов П-образной компоновки, работающих на пылеугольном топливе, паропроизводительностью 10-25 т/ч, давление 2,4 МПа</t>
  </si>
  <si>
    <t>ТЕРм06-01-014-12</t>
  </si>
  <si>
    <t>Гидравлическое испытание котлов П-образной компоновки, работающих на пылеугольном топливе, паропроизводительностью 35-75 т/ч, давление 3,9 МПа</t>
  </si>
  <si>
    <t>ТЕРм06-01-014-13</t>
  </si>
  <si>
    <t>Гидравлическое испытание котлов П-образной компоновки, работающих на пылеугольном топливе, паропроизводительностью 160 т/ч, давление 1,4 МПа</t>
  </si>
  <si>
    <t>ТЕРм06-01-014-14</t>
  </si>
  <si>
    <t>Гидравлическое испытание котлов П-образной компоновки, работающих на пылеугольном топливе, паропроизводительностью 220 т/ч, давление 9,8 МПа</t>
  </si>
  <si>
    <t>ТЕРм06-01-014-15</t>
  </si>
  <si>
    <t>Гидравлическое испытание котлов П-образной компоновки, работающих на пылеугольном топливе, паропроизводительностью 320 т/ч, 420 т/ч, давление 13,8 МПа</t>
  </si>
  <si>
    <t>ТЕРм06-01-014-16</t>
  </si>
  <si>
    <t>Гидравлическое испытание котлов П-образной компоновки, работающих на пылеугольном топливе, паропроизводительностью 500 т/ч, 670 т/ч, давление 13,8 МПа</t>
  </si>
  <si>
    <t>ТЕРм06-01-014-17</t>
  </si>
  <si>
    <t>Гидравлическое испытание котлов Т-образной компоновки, работающих на пылеугольном топливе, паропроизводительностью 420 т/ч, давление 13,8 МПа</t>
  </si>
  <si>
    <t>ТЕРм06-01-014-18</t>
  </si>
  <si>
    <t>Гидравлическое испытание котлов Т-образной компоновки, работающих на пылеугольном топливе, паропроизводительностью 670 т/ч, давление 13,8 МПа</t>
  </si>
  <si>
    <t>ТЕРм06-01-014-19</t>
  </si>
  <si>
    <t>Гидравлическое испытание котлов Т-образной компоновки, работающих на пылеугольном топливе, паропроизводительностью 1000 т/ч, давление 25 МПа</t>
  </si>
  <si>
    <t>ТЕРм06-01-014-20</t>
  </si>
  <si>
    <t>Гидравлическое испытание котлов Т-образной компоновки, работающих на пылеугольном топливе, паропроизводительностью 1650 т/ч, давление 25 МПа</t>
  </si>
  <si>
    <t>ТЕРм06-01-014-21</t>
  </si>
  <si>
    <t>Гидравлическое испытание котлов Т-образной компоновки, работающих на пылеугольном топливе, паропроизводительностью 2650 т/ч, давление 25 МПа</t>
  </si>
  <si>
    <t xml:space="preserve">                                   Химическая очистка паровых котлов давлением 9,8 МПа и свыше</t>
  </si>
  <si>
    <t>ТЕРм06-01-015-01</t>
  </si>
  <si>
    <t>Водохимическая очистка котлов П-образной компоновки, работающих на газомазутном топливе, паропроизводительностью 160 т/ч, давление 9,8 МПа</t>
  </si>
  <si>
    <t>ТЕРм06-01-015-02</t>
  </si>
  <si>
    <t>Водохимическая очистка котлов П-образной компоновки, работающих на газомазутном топливе, паропроизводительностью 320, 420 т/ч, давление 13,8 МПа</t>
  </si>
  <si>
    <t>ТЕРм06-01-015-03</t>
  </si>
  <si>
    <t>Водохимическая очистка котлов П-образной компоновки, работающих на газомазутном топливе, паропроизводительностью 500, 670 т/ч, давление 13,8 МПа</t>
  </si>
  <si>
    <t>ТЕРм06-01-015-04</t>
  </si>
  <si>
    <t>Водохимическая очистка котлов П-образной компоновки, работающих на газомазутном топливе, паропроизводительностью 1000 т/ч, давление 25 МПа</t>
  </si>
  <si>
    <t>ТЕРм06-01-015-05</t>
  </si>
  <si>
    <t>Водохимическая очистка котлов П-образной компоновки, работающих на газомазутном топливе, паропроизводительностью 2650 т/ч, давление 25 МПа</t>
  </si>
  <si>
    <t>ТЕРм06-01-015-06</t>
  </si>
  <si>
    <t>Водохимическая очистка котлов П-образной компоновки, работающих на пылеугольном топливе, паропроизводительностью 220 т/ч, давление 9,8 МПа</t>
  </si>
  <si>
    <t>ТЕРм06-01-015-07</t>
  </si>
  <si>
    <t>Водохимическая очистка котлов П-образной компоновки, работающих на пылеугольном топливе, паропроизводительностью 320, 420 т/ч, давление 13,8 МПа</t>
  </si>
  <si>
    <t>ТЕРм06-01-015-08</t>
  </si>
  <si>
    <t>Водохимическая очистка котлов П-образной компоновки, работающих на пылеугольном топливе, паропроизводительностью 500, 670 т/ч, давление 13,8 МПа</t>
  </si>
  <si>
    <t>ТЕРм06-01-015-09</t>
  </si>
  <si>
    <t>Водохимическая очистка котлов Т-образной компоновки, работающих на пылеугольном топливе, паропроизводительностью 420 т/ч, давление 13,8 МПа</t>
  </si>
  <si>
    <t>ТЕРм06-01-015-10</t>
  </si>
  <si>
    <t>Водохимическая очистка котлов Т-образной компоновки, работающих на пылеугольном топливе, паропроизводительностью 670 т/ч, давление 13,8 МПа</t>
  </si>
  <si>
    <t>ТЕРм06-01-015-11</t>
  </si>
  <si>
    <t>Водохимическая очистка котлов Т-образной компоновки, работающих на пылеугольном топливе, паропроизводительностью 1000 т/ч, давление 25 МПа</t>
  </si>
  <si>
    <t>ТЕРм06-01-015-12</t>
  </si>
  <si>
    <t>Водохимическая очистка котлов Т-образной компоновки, работающих на пылеугольном топливе, паропроизводительностью 1650 т/ч, давление 25 МПа</t>
  </si>
  <si>
    <t>ТЕРм06-01-015-13</t>
  </si>
  <si>
    <t>Водохимическая очистка котлов Т-образной компоновки, работающих на пылеугольном топливе, паропроизводительностью 2650 т/ч, давление 25 МПа</t>
  </si>
  <si>
    <t xml:space="preserve">                                   Испытание котлов на паровую плотность</t>
  </si>
  <si>
    <t>ТЕРм06-01-016-01</t>
  </si>
  <si>
    <t>Щелочение и испытание на паровую плотность котлов, работающих на газомазутном топливе, паропроизводительностью 2,5-10 т/ч, давление 1,4 МПа</t>
  </si>
  <si>
    <t>ТЕРм06-01-016-02</t>
  </si>
  <si>
    <t>Щелочение и испытание на паровую плотность котлов, работающих на газомазутном топливе, паропроизводительностью 16-25 т/ч, давление 1,4 МПа</t>
  </si>
  <si>
    <t>ТЕРм06-01-016-03</t>
  </si>
  <si>
    <t>Щелочение и испытание на паровую плотность котлов, работающих на газомазутном топливе, паропроизводительностью 35-75 т/ч, давление 3,9 МПа</t>
  </si>
  <si>
    <t>ТЕРм06-01-016-04</t>
  </si>
  <si>
    <t>Щелочение и испытание на паровую плотность котлов, работающих на газомазутном топливе, паропроизводительностью 160 т/ч, давление 1,4 МПа</t>
  </si>
  <si>
    <t>ТЕРм06-01-016-05</t>
  </si>
  <si>
    <t>Щелочение и испытание на паровую плотность котлов, работающих на пылеугольном топливе, паропроизводительностью 2,5-10 т/ч, давление 1,4МПа</t>
  </si>
  <si>
    <t>ТЕРм06-01-016-06</t>
  </si>
  <si>
    <t>Щелочение и испытание на паровую плотность котлов, работающих на пылеугольном топливе, паропроизводительностью 25 т/ч, давление 1,4 МПа</t>
  </si>
  <si>
    <t>ТЕРм06-01-016-07</t>
  </si>
  <si>
    <t>Щелочение и испытание на паровую плотность котлов, работающих на пылеугольном топливе, паропроизводительностью 35-75 т/ч, давление 3,9 МПа</t>
  </si>
  <si>
    <t>ТЕРм06-01-016-08</t>
  </si>
  <si>
    <t>Щелочение и испытание на паровую плотность котлов, работающих на пылеугольном топливе, паропроизводительностью 160 т/ч, давление 1,4 МПа</t>
  </si>
  <si>
    <t>ТЕРм06-01-016-09</t>
  </si>
  <si>
    <t>Испытание на паровую плотность котлов П-образной компоновки, работающих на газомазутном топливе, паропроизводительностью 160 т/ч, давление 9,8 МПа</t>
  </si>
  <si>
    <t>ТЕРм06-01-016-10</t>
  </si>
  <si>
    <t>Испытание на паровую плотность котлов П-образной компоновки, работающих на газомазутном топливе, паропроизводительностью 320 т/ч, 420 т/ч, давление 13,8 МПа</t>
  </si>
  <si>
    <t>ТЕРм06-01-016-11</t>
  </si>
  <si>
    <t>Испытание на паровую плотность котлов П-образной компоновки, работающих на газомазутном топливе, паропроизводительностью 500 т/ч, 670 т/ч, давление 13,8 МПа</t>
  </si>
  <si>
    <t>ТЕРм06-01-016-12</t>
  </si>
  <si>
    <t>Испытание на паровую плотность котлов П-образной компоновки, работающих на газомазутном топливе, паропроизводительностью 1000 т/ч, давление 25 МПа</t>
  </si>
  <si>
    <t>ТЕРм06-01-016-13</t>
  </si>
  <si>
    <t>Испытание на паровую плотность котлов П-образной компоновки, работающих на газомазутном топливе, паропроизводительностью 2650 т/ч, давление 25 МПа</t>
  </si>
  <si>
    <t>ТЕРм06-01-016-14</t>
  </si>
  <si>
    <t>Испытание на паровую плотность котлов П-образной компоновки, работающих на пылеугольном топливе, паропроизводительностью 220 т/ч, давление 9,8 МПа</t>
  </si>
  <si>
    <t>ТЕРм06-01-016-15</t>
  </si>
  <si>
    <t>Испытание на паровую плотность котлов П-образной компоновки, работающих на пылеугольном топливе, паропроизводительностью 320 т/ч, 420 т/ч, давление 13,8 МПа</t>
  </si>
  <si>
    <t>ТЕРм06-01-016-16</t>
  </si>
  <si>
    <t>Испытание на паровую плотность котлов П-образной компоновки, работающих на пылеугольном топливе, паропроизводительностью 500 т/ч, 670 т/ч, давление 13,8 МПа</t>
  </si>
  <si>
    <t>ТЕРм06-01-016-17</t>
  </si>
  <si>
    <t>Испытание на паровую плотность котлов Т-образной компоновки, работающих на пылеугольном топливе, паропроизводительностью 420, 670 т/ч, давление 13,8 МПа</t>
  </si>
  <si>
    <t>ТЕРм06-01-016-18</t>
  </si>
  <si>
    <t>Испытание на паровую плотность котлов Т-образной компоновки, работающих на пылеугольном топливе, паропроизводительностью 1000 т/ч, давление 25 МПа</t>
  </si>
  <si>
    <t>ТЕРм06-01-016-19</t>
  </si>
  <si>
    <t>Испытание на паровую плотность котлов Т-образной компоновки, работающих на пылеугольном топливе, паропроизводительностью 1650 т/ч, давление 25 МПа</t>
  </si>
  <si>
    <t>ТЕРм06-01-016-20</t>
  </si>
  <si>
    <t>Испытание на паровую плотность котлов Т-образной компоновки, работающих на пылеугольном топливе, паропроизводительностью 2650 т/ч, давление 25 МПа</t>
  </si>
  <si>
    <t xml:space="preserve">                                   Раздел 2. КОТЛЫ ПАРОВЫЕ АВТОМАТИЗИРОВАННЫЕ</t>
  </si>
  <si>
    <t xml:space="preserve">                                   Котлы давлением до 0,9 МПа</t>
  </si>
  <si>
    <t>ТЕРм06-01-052-01</t>
  </si>
  <si>
    <t>Котел паропроизводительностью 1-2,5 т/ч</t>
  </si>
  <si>
    <t xml:space="preserve">                                   Раздел 3. ЭЛЕМЕНТЫ ВОДОГРЕЙНЫХ КОТЛОВ</t>
  </si>
  <si>
    <t>ТЕРм06-01-064-01</t>
  </si>
  <si>
    <t>Каркас и каркасные конструкции котлов теплопроизводительностью 35-58,2 МВт (30-50 Гкал/ч)</t>
  </si>
  <si>
    <t>ТЕРм06-01-064-02</t>
  </si>
  <si>
    <t>Каркас и каркасные конструкции котлов теплопроизводительностью 116,3 МВт (100 Гкал/ч)</t>
  </si>
  <si>
    <t>ТЕРм06-01-064-03</t>
  </si>
  <si>
    <t>Каркас и каркасные конструкции котлов теплопроизводительностью 209 МВт (180 Гкал/ч)</t>
  </si>
  <si>
    <t>ТЕРм06-01-064-04</t>
  </si>
  <si>
    <t>Портал и каркасные конструкции с шаровыми опорами котлов теплопроизводительностью 209 МВт (180 Гкал/ч)</t>
  </si>
  <si>
    <t xml:space="preserve">                                   Блоки поверхностей нагрева (топочный и конвективный)</t>
  </si>
  <si>
    <t>ТЕРм06-01-065-01</t>
  </si>
  <si>
    <t>Блоки без обмуровки поверхностей нагрева (топочный и конвективный), монтируемые методом надвижки, котлов теплопроизводительностью 4,65 МВт (4 Гкал/ч)</t>
  </si>
  <si>
    <t>ТЕРм06-01-065-02</t>
  </si>
  <si>
    <t>Блоки без обмуровки поверхностей нагрева (топочный и конвективный), монтируемые методом надвижки, котлов теплопроизводительностью 7,58 МВт (6,5 Гкал/ч)</t>
  </si>
  <si>
    <t>ТЕРм06-01-065-03</t>
  </si>
  <si>
    <t>Блоки без обмуровки поверхностей нагрева (топочный и конвективный), монтируемые методом надвижки, котлов теплопроизводительностью 11,63 МВт (10 Гкал/ч)</t>
  </si>
  <si>
    <t>ТЕРм06-01-065-04</t>
  </si>
  <si>
    <t>Блоки без обмуровки поверхностей нагрева (топочный и конвективный), монтируемые методом надвижки, котлов теплопроизводительностью 23,26 МВт (20 Гкал/ч)</t>
  </si>
  <si>
    <t xml:space="preserve">                                   Экраны</t>
  </si>
  <si>
    <t>ТЕРм06-01-066-01</t>
  </si>
  <si>
    <t>Экраны из гладких труб с опорами, подвесками и другими креплениями котлов теплопроизводительностью 35 МВт (30 Гкал/ч)</t>
  </si>
  <si>
    <t>ТЕРм06-01-066-02</t>
  </si>
  <si>
    <t>Экраны из гладких труб с опорами, подвесками и другими креплениями котлов теплопроизводительностью 58,2 МВт (50 Гкал/ч)</t>
  </si>
  <si>
    <t>ТЕРм06-01-066-03</t>
  </si>
  <si>
    <t>Экраны из гладких труб с вваренной полосой, с уплотнениями котла, опорами, подвесками и другими креплениями котлов теплопроизводительностью 116,3 МВт (100 Гкал/ч)</t>
  </si>
  <si>
    <t>ТЕРм06-01-066-04</t>
  </si>
  <si>
    <t>Экраны из гладких труб с вваренной полосой, с уплотнениями котла, опорами, подвесками и другими креплениями котлов теплопроизводительностью 209 МВт (180 Гкал/ч)</t>
  </si>
  <si>
    <t xml:space="preserve">                                   Конвективные поверхности</t>
  </si>
  <si>
    <t>ТЕРм06-01-067-01</t>
  </si>
  <si>
    <t>Поверхность конвективная с креплениями котлов теплопроизводительностью 35-58,2 МВт (30-50 Гкал/ч)</t>
  </si>
  <si>
    <t>ТЕРм06-01-067-02</t>
  </si>
  <si>
    <t>Поверхность конвективная с креплениями котлов теплопроизводительностью 116,3 МВт (100 Гкал/ч)</t>
  </si>
  <si>
    <t>ТЕРм06-01-067-03</t>
  </si>
  <si>
    <t>Поверхность конвективная с креплениями котлов теплопроизводительностью 209 МВт (180 Гкал/ч)</t>
  </si>
  <si>
    <t>ТЕРм06-01-068-01</t>
  </si>
  <si>
    <t>Трубопроводы с арматурой, фасонными частями, опорами и подвесками, включая мазутопровод, магнезитопровод и трубопровод обмывки, котлов теплопроизводительностью 23,26-58,2 МВт (20-50 Гкал/ч)</t>
  </si>
  <si>
    <t>ТЕРм06-01-068-02</t>
  </si>
  <si>
    <t>Трубопроводы с арматурой, фасонными частями, опорами и подвесками, включая мазутопровод, магнезитопровод и трубопровод обмывки, котлов теплопроизводительностью 116,3 МВт (100 Гкал/ч)</t>
  </si>
  <si>
    <t>ТЕРм06-01-068-03</t>
  </si>
  <si>
    <t>Трубопроводы с арматурой, фасонными частями, опорами и подвесками, включая мазутопровод, магнезитопровод и трубопровод обмывки, котлов теплопроизводительностью 209 МВт (180 Гкал/ч)</t>
  </si>
  <si>
    <t>ТЕРм06-01-069-01</t>
  </si>
  <si>
    <t>Воздухоподогреватель трубчатый котла теплопроизводительностью 23,26 МВт (20 Гкал/ч)</t>
  </si>
  <si>
    <t xml:space="preserve">                                   Лестницы и площадки, прочие детали и конструкции</t>
  </si>
  <si>
    <t>ТЕРм06-01-070-01</t>
  </si>
  <si>
    <t>Лестницы и площадки котлов теплопроизводительностью 11,63 МВт (10 Гкал/ч)</t>
  </si>
  <si>
    <t>ТЕРм06-01-070-02</t>
  </si>
  <si>
    <t>Лестницы и площадки котлов теплопроизводительностью 58,2 МВт (50 Гкал/ч)</t>
  </si>
  <si>
    <t>ТЕРм06-01-070-03</t>
  </si>
  <si>
    <t>Лестницы и площадки котлов теплопроизводительностью 116,3-209 МВт (100-180 Гкал/ч)</t>
  </si>
  <si>
    <t>ТЕРм06-01-070-04</t>
  </si>
  <si>
    <t>Обшивка листовая, толщина листа до 3 мм</t>
  </si>
  <si>
    <t>ТЕРм06-01-070-05</t>
  </si>
  <si>
    <t>Горелка газомазутная, масса 0,5 т</t>
  </si>
  <si>
    <t>ТЕРм06-01-070-06</t>
  </si>
  <si>
    <t>Горелка газомазутная, масса 0,78 т</t>
  </si>
  <si>
    <t xml:space="preserve">                                   Гидравлическое испытание водогрейных котлов</t>
  </si>
  <si>
    <t>ТЕРм06-01-071-01</t>
  </si>
  <si>
    <t>Гидравлическое испытание котлов горизонтальной и П-образной компоновок, работающих на газомазутном топливе, теплопроизводительностью 7,56 МВт (6,5 Гкал/ч)</t>
  </si>
  <si>
    <t>ТЕРм06-01-071-02</t>
  </si>
  <si>
    <t>Гидравлическое испытание котлов горизонтальной и П-образной компоновок, работающих на газомазутном топливе, теплопроизводительностью 11,63 МВт (10 Гкал/ч)</t>
  </si>
  <si>
    <t>ТЕРм06-01-071-03</t>
  </si>
  <si>
    <t>Гидравлическое испытание котлов горизонтальной и П-образной компоновок, работающих на газомазутном топливе, теплопроизводительностью 58,2 МВт (50 Гкал/ч)</t>
  </si>
  <si>
    <t>ТЕРм06-01-071-04</t>
  </si>
  <si>
    <t>Гидравлическое испытание котлов горизонтальной и П-образной компоновок, работающих на газомазутном топливе, теплопроизводительностью 116,3 МВт (100 Гкал/ч)</t>
  </si>
  <si>
    <t>ТЕРм06-01-071-05</t>
  </si>
  <si>
    <t>Гидравлическое испытание котлов Т-образной компоновки, работающих на газомазутном топливе, теплопроизводительностью 209 МВт (180 Гкал/ч)</t>
  </si>
  <si>
    <t>ТЕРм06-01-071-06</t>
  </si>
  <si>
    <t>Гидравлическое испытание котлов П-образной компоновки, работающих на пылеугольном топливе, теплопроизводительностью 23,26 МВт (20 Гкал/ч)</t>
  </si>
  <si>
    <t>ТЕРм06-01-071-07</t>
  </si>
  <si>
    <t>Гидравлическое испытание котлов П-образной компоновки, работающих на пылеугольном топливе, теплопроизводительностью 116,3 МВт (100 Гкал/ч)</t>
  </si>
  <si>
    <t xml:space="preserve">                                   Испытание водогрейных котлов на газовую плотность</t>
  </si>
  <si>
    <t>ТЕРм06-01-072-01</t>
  </si>
  <si>
    <t>Испытание на газовую плотность котлов П-образной компоновки, работающих на пылеугольном топливе, теплопроизводительностью 58,2 МВт (50 Гкал/ч)</t>
  </si>
  <si>
    <t>ТЕРм06-01-072-02</t>
  </si>
  <si>
    <t>Испытание на газовую плотность котлов П-образной компоновки, работающих на пылеугольном топливе, теплопроизводительностью 116 МВт (100 Гкал/ч)</t>
  </si>
  <si>
    <t>ТЕРм06-01-072-03</t>
  </si>
  <si>
    <t>Испытание на газовую плотность котлов П-образной компоновки, работающих на газомазутном топливе, теплопроизводительностью 58,2 МВт (50 Гкал/ч)</t>
  </si>
  <si>
    <t>ТЕРм06-01-072-04</t>
  </si>
  <si>
    <t>Испытание на газовую плотность котлов П-образной компоновки, работающих на газомазутном топливе, теплопроизводительностью 116,3 МВт (100 Гкал/ч)</t>
  </si>
  <si>
    <t>ТЕРм06-01-072-05</t>
  </si>
  <si>
    <t>Испытание на газовую плотность котлов Т-образной компоновки, работающих на газомазутном топливе, теплопроизводительностью 209 МВт (180 Гкал/ч)</t>
  </si>
  <si>
    <t xml:space="preserve">                                   Щелочение и испытание водогрейных котлов на тепловую плотность</t>
  </si>
  <si>
    <t>ТЕРм06-01-073-01</t>
  </si>
  <si>
    <t>Щелочение и испытание на тепловую плотность водогрейных котлов П-образной компоновки работающих на пылеугольном топливе, теплопроизводительностью 58,2 МВт (50 Гкал/ч)</t>
  </si>
  <si>
    <t>ТЕРм06-01-073-02</t>
  </si>
  <si>
    <t>Щелочение и испытание на тепловую плотность водогрейных котлов П-образной компоновки работающих на пылеугольном топливе, теплопроизводительностью 116 МВт (100 Гкал/ч)</t>
  </si>
  <si>
    <t>ТЕРм06-01-073-03</t>
  </si>
  <si>
    <t>Щелочение и испытание на тепловую плотность водогрейных котлов П-образной компоновки работающих на газомазутном топливе, теплопроизводительностью 23,26-35 МВт (20-30 Гкал/ч)</t>
  </si>
  <si>
    <t>ТЕРм06-01-073-04</t>
  </si>
  <si>
    <t>Щелочение и испытание на тепловую плотность водогрейных котлов П-образной компоновки работающих на газомазутном топливе, теплопроизводительностью 58,2 МВт (50 Гкал/ч)</t>
  </si>
  <si>
    <t>ТЕРм06-01-073-05</t>
  </si>
  <si>
    <t>Щелочение и испытание на тепловую плотность водогрейных котлов П-образной компоновки работающих на газомазутном топливе, теплопроизводительностью 116,3 МВт (100 Гкал/ч)</t>
  </si>
  <si>
    <t>ТЕРм06-01-073-06</t>
  </si>
  <si>
    <t>Щелочение и испытание на тепловую плотность водогрейных котлов Т-образной компоновки, работающих на газомазутном топливе, теплопроизводительностью 209 МВт (180 Гкал/ч)</t>
  </si>
  <si>
    <t xml:space="preserve">                           Раздел 2. ОТДЕЛ 02. КОТЕЛЬНО-ВСПОМОГАТЕЛЬНОЕ ОБОРУДОВАНИЕ</t>
  </si>
  <si>
    <t xml:space="preserve">                                   Раздел 1. ТОПОЧНЫЕ УСТРОЙСТВА</t>
  </si>
  <si>
    <t xml:space="preserve">                                   Решетки</t>
  </si>
  <si>
    <t>ТЕРм06-02-001-01</t>
  </si>
  <si>
    <t>Решетка колосниковая, активная площадь 0,82-1,34 м2</t>
  </si>
  <si>
    <t xml:space="preserve">                                   Топки полумеханические</t>
  </si>
  <si>
    <t>ТЕРм06-02-002-01</t>
  </si>
  <si>
    <t>Топка с колосниковыми решетками, площадь решетки 2,74-6,31 м2</t>
  </si>
  <si>
    <t xml:space="preserve">                                   Топки механические</t>
  </si>
  <si>
    <t>ТЕРм06-02-003-01</t>
  </si>
  <si>
    <t>Топка с забрасывателями, с колосниковым полотном ленточного типа, активная площадь решетки 3,3-6,4 м2</t>
  </si>
  <si>
    <t>ТЕРм06-02-003-02</t>
  </si>
  <si>
    <t>Топка с забрасывателями, с колосниковым полотном ленточного типа, активная площадь решетки 9,1 м2</t>
  </si>
  <si>
    <t>ТЕРм06-02-003-03</t>
  </si>
  <si>
    <t>Топка с забрасывателями, с колосниковым полотном чешуйчатого типа, активная площадь решетки 13,4-15,9 м2</t>
  </si>
  <si>
    <t xml:space="preserve">                                   Подогреватели и фильтры мазута</t>
  </si>
  <si>
    <t>ТЕРм06-02-004-01</t>
  </si>
  <si>
    <t>Подогреватель мазута, устанавливаемый вне здания котельной, производительностью 6 т/ч</t>
  </si>
  <si>
    <t>ТЕРм06-02-004-02</t>
  </si>
  <si>
    <t>Подогреватель мазута, устанавливаемый вне здания котельной, производительностью 15 т/ч</t>
  </si>
  <si>
    <t>ТЕРм06-02-004-03</t>
  </si>
  <si>
    <t>Подогреватель мазута, устанавливаемый вне здания котельной, производительностью 30 т/ч</t>
  </si>
  <si>
    <t>ТЕРм06-02-004-04</t>
  </si>
  <si>
    <t>Подогреватель мазута, устанавливаемый вне здания котельной, производительностью 60 т/ч</t>
  </si>
  <si>
    <t>ТЕРм06-02-004-05</t>
  </si>
  <si>
    <t>Подогреватель мазута, устанавливаемый вне здания котельной, производительностью 120 т/ч</t>
  </si>
  <si>
    <t>ТЕРм06-02-004-06</t>
  </si>
  <si>
    <t>Подогреватель мазута, устанавливаемый вне здания котельной, производительностью 240 т/ч</t>
  </si>
  <si>
    <t>ТЕРм06-02-004-07</t>
  </si>
  <si>
    <t>Подогреватель мазута, устанавливаемый в здании котельной, производительностью 6 т/ч</t>
  </si>
  <si>
    <t>ТЕРм06-02-004-08</t>
  </si>
  <si>
    <t>Подогреватель мазута, устанавливаемый в здании котельной, производительностью 15 т/ч</t>
  </si>
  <si>
    <t>ТЕРм06-02-004-09</t>
  </si>
  <si>
    <t>Подогреватель мазута, устанавливаемый в здании котельной, производительностью 30 т/ч</t>
  </si>
  <si>
    <t>ТЕРм06-02-004-10</t>
  </si>
  <si>
    <t>Подогреватель мазута, устанавливаемый в здании котельной, производительностью 60 т/ч</t>
  </si>
  <si>
    <t>ТЕРм06-02-004-11</t>
  </si>
  <si>
    <t>Подогреватель мазута, устанавливаемый в здании котельной, производительностью 120 т/ч</t>
  </si>
  <si>
    <t>ТЕРм06-02-004-12</t>
  </si>
  <si>
    <t>Подогреватель мазута, устанавливаемый в здании котельной, производительностью 240 т/ч</t>
  </si>
  <si>
    <t>ТЕРм06-02-004-13</t>
  </si>
  <si>
    <t>Фильтр мазута, устанавливаемый вне здания котельной, производительностью 30 т/ч</t>
  </si>
  <si>
    <t>ТЕРм06-02-004-14</t>
  </si>
  <si>
    <t>Фильтр мазута, устанавливаемый вне здания котельной, производительностью 60 т/ч</t>
  </si>
  <si>
    <t>ТЕРм06-02-004-15</t>
  </si>
  <si>
    <t>Фильтр мазута, устанавливаемый вне здания котельной, производительностью 120 т/ч</t>
  </si>
  <si>
    <t>ТЕРм06-02-004-16</t>
  </si>
  <si>
    <t>Фильтр мазута, устанавливаемый вне здания котельной, производительностью 240 т/ч</t>
  </si>
  <si>
    <t>ТЕРм06-02-004-17</t>
  </si>
  <si>
    <t>Фильтр мазута, устанавливаемый в здании котельной, производительностью 30 т/ч</t>
  </si>
  <si>
    <t>ТЕРм06-02-004-18</t>
  </si>
  <si>
    <t>Фильтр мазута, устанавливаемый в здании котельной, производительностью 60 т/ч</t>
  </si>
  <si>
    <t>ТЕРм06-02-004-19</t>
  </si>
  <si>
    <t>Фильтр мазута, устанавливаемый в здании котельной, производительностью 120 т/ч</t>
  </si>
  <si>
    <t>ТЕРм06-02-004-20</t>
  </si>
  <si>
    <t>Фильтр мазута, устанавливаемый в здании котельной, производительностью 240 т/ч</t>
  </si>
  <si>
    <t xml:space="preserve">                                   Раздел 2. ОБОРУДОВАНИЕ ПЫЛЕПРИГОТОВЛЕНИЯ</t>
  </si>
  <si>
    <t xml:space="preserve">                                   Мельницы углеразмольные</t>
  </si>
  <si>
    <t>ТЕРм06-02-011-01</t>
  </si>
  <si>
    <t>Мельница углеразмольная шаровая производительностью 6 т/ч</t>
  </si>
  <si>
    <t>ТЕРм06-02-011-02</t>
  </si>
  <si>
    <t>Мельница углеразмольная шаровая производительностью 12-16 т/ч</t>
  </si>
  <si>
    <t>ТЕРм06-02-011-03</t>
  </si>
  <si>
    <t>Мельница углеразмольная шаровая производительностью 25-50 т/ч</t>
  </si>
  <si>
    <t>ТЕРм06-02-011-04</t>
  </si>
  <si>
    <t>Мельница углеразмольная молотковая производительностью 3,16 т/ч</t>
  </si>
  <si>
    <t>ТЕРм06-02-011-05</t>
  </si>
  <si>
    <t>Мельница углеразмольная молотковая производительностью 6,3 т/ч</t>
  </si>
  <si>
    <t>ТЕРм06-02-011-06</t>
  </si>
  <si>
    <t>Мельница углеразмольная молотковая производительностью 10 т/ч</t>
  </si>
  <si>
    <t>ТЕРм06-02-011-07</t>
  </si>
  <si>
    <t>Мельница углеразмольная молотковая производительностью 16-25 т/ч</t>
  </si>
  <si>
    <t>ТЕРм06-02-011-08</t>
  </si>
  <si>
    <t>Мельница углеразмольная молотковая производительностью 50 т/ч</t>
  </si>
  <si>
    <t>ТЕРм06-02-011-09</t>
  </si>
  <si>
    <t>Мельница углеразмольная молотковая производительностью 80 т/ч</t>
  </si>
  <si>
    <t>ТЕРм06-02-011-10</t>
  </si>
  <si>
    <t>Мельница углеразмольная валковая среднеходная производительностью 4,5-6,5 т/ч</t>
  </si>
  <si>
    <t>ТЕРм06-02-011-11</t>
  </si>
  <si>
    <t>Мельница углеразмольная валковая среднеходная производительностью 11,5 т/ч</t>
  </si>
  <si>
    <t>ТЕРм06-02-011-12</t>
  </si>
  <si>
    <t>Мельница углеразмольная валковая среднеходная производительностью 16 т/ч</t>
  </si>
  <si>
    <t>ТЕРм06-02-011-13</t>
  </si>
  <si>
    <t>Мельница углеразмольная валковая среднеходная производительностью 25 т/ч</t>
  </si>
  <si>
    <t>ТЕРм06-02-011-14</t>
  </si>
  <si>
    <t>Мельница углеразмольная валковая среднеходная производительностью 80 т/ч</t>
  </si>
  <si>
    <t>ТЕРм06-02-011-15</t>
  </si>
  <si>
    <t>Мельница-вентилятор углеразмольная производительностью 12,5-25 т/ч</t>
  </si>
  <si>
    <t>ТЕРм06-02-011-16</t>
  </si>
  <si>
    <t>Мельница-вентилятор углеразмольная производительностью 35 т/ч</t>
  </si>
  <si>
    <t>ТЕРм06-02-011-17</t>
  </si>
  <si>
    <t>Мельница-вентилятор углеразмольная производительностью 70 т/ч</t>
  </si>
  <si>
    <t xml:space="preserve">                                   Питатели пыли, сырого угля, пылевые шнеки и мигалки</t>
  </si>
  <si>
    <t>ТЕРм06-02-012-01</t>
  </si>
  <si>
    <t>Питатель сырого угля скребковый, производительность 40 т/ч, масса 5,46 т</t>
  </si>
  <si>
    <t>ТЕРм06-02-012-02</t>
  </si>
  <si>
    <t>Питатель сырого угля скребковый, производительность 40 т/ч, масса 8,26 т</t>
  </si>
  <si>
    <t>ТЕРм06-02-012-03</t>
  </si>
  <si>
    <t>Питатель сырого угля скребковый, производительность 80 т/ч, масса 12,15-22,9 т</t>
  </si>
  <si>
    <t>ТЕРм06-02-012-04</t>
  </si>
  <si>
    <t>Питатель сырого угля скребковый, производительность 40-300 т/ч, масса 7,05-7,17т</t>
  </si>
  <si>
    <t>ТЕРм06-02-012-05</t>
  </si>
  <si>
    <t>Питатель сырого угля комбинированный, производительность 15-50 т/ч, масса 28,65-39,58 т</t>
  </si>
  <si>
    <t>ТЕРм06-02-012-06</t>
  </si>
  <si>
    <t>Питатель сырого угля комбинированный, производительность 80 т/ч, масса 31,44-39,58 т</t>
  </si>
  <si>
    <t>ТЕРм06-02-012-07</t>
  </si>
  <si>
    <t>Питатель для угольной пыли дисковый (тарельчатый), производительность 112 м3/ч, легкого типа</t>
  </si>
  <si>
    <t>ТЕРм06-02-012-08</t>
  </si>
  <si>
    <t>Питатель для угольной пыли дисковый (тарельчатый), производительность 210-370 м3/ч, тяжелого типа</t>
  </si>
  <si>
    <t>ТЕРм06-02-012-09</t>
  </si>
  <si>
    <t>Питатель для угольной пыли лопастной, производительность 1-5 т/ч</t>
  </si>
  <si>
    <t>ТЕРм06-02-012-10</t>
  </si>
  <si>
    <t>Питатель для угольной пыли лопастной, производительность 2,8-14 т/ч</t>
  </si>
  <si>
    <t>ТЕРм06-02-012-11</t>
  </si>
  <si>
    <t>Мигалка с конусным клапаном, диаметр условного прохода 100 мм</t>
  </si>
  <si>
    <t>ТЕРм06-02-012-12</t>
  </si>
  <si>
    <t>Мигалка с конусным клапаном, диаметр условного прохода 300 мм</t>
  </si>
  <si>
    <t>ТЕРм06-02-012-13</t>
  </si>
  <si>
    <t>Мигалка с конусным клапаном, диаметр условного прохода 600 мм</t>
  </si>
  <si>
    <t>ТЕРм06-02-012-14</t>
  </si>
  <si>
    <t>Шнек пылевой, масса 4,23 т</t>
  </si>
  <si>
    <t>ТЕРм06-02-012-15</t>
  </si>
  <si>
    <t>Шнек пылевой, масса 7,44 т</t>
  </si>
  <si>
    <t>ТЕРм06-02-012-16</t>
  </si>
  <si>
    <t>Секция шнека</t>
  </si>
  <si>
    <t xml:space="preserve">                                   Сепараторы пыли и циклоны</t>
  </si>
  <si>
    <t>ТЕРм06-02-013-01</t>
  </si>
  <si>
    <t>Сепаратор пыли, поставляемый в собранном виде, диаметр 2500 мм</t>
  </si>
  <si>
    <t>ТЕРм06-02-013-02</t>
  </si>
  <si>
    <t>Сепаратор пыли, поставляемый в собранном виде, диаметр 2850-3300 мм</t>
  </si>
  <si>
    <t>ТЕРм06-02-013-03</t>
  </si>
  <si>
    <t>Сепаратор пыли, поставляемый отдельными узлами, диаметр 4250 мм</t>
  </si>
  <si>
    <t>ТЕРм06-02-013-04</t>
  </si>
  <si>
    <t>Сепаратор пыли, поставляемый отдельными узлами, диаметр 4750-5500 мм</t>
  </si>
  <si>
    <t>ТЕРм06-02-013-05</t>
  </si>
  <si>
    <t>Циклон пылевой, поставляемый в собранном виде, диаметр 1400 мм</t>
  </si>
  <si>
    <t>ТЕРм06-02-013-06</t>
  </si>
  <si>
    <t>Циклон пылевой, поставляемый в собранном виде, диаметр 1800 мм</t>
  </si>
  <si>
    <t>ТЕРм06-02-013-07</t>
  </si>
  <si>
    <t>Циклон пылевой, поставляемый в собранном виде, диаметр 3150 мм</t>
  </si>
  <si>
    <t>ТЕРм06-02-013-08</t>
  </si>
  <si>
    <t>Циклон пылевой, поставляемый отдельными узлами, диаметр 4250 мм</t>
  </si>
  <si>
    <t xml:space="preserve">                                   Пылегазовоздухопроводы и газозаборные шахты</t>
  </si>
  <si>
    <t>ТЕРм06-02-014-01</t>
  </si>
  <si>
    <t>Пылепровод с фасонными частями, компенсаторами, клапанами, опорами и подвесками и отдельными деталями котлов паропроизводительностью 220 т/ч</t>
  </si>
  <si>
    <t>ТЕРм06-02-014-02</t>
  </si>
  <si>
    <t>Пылепровод с фасонными частями, компенсаторами, клапанами, опорами и подвесками и отдельными деталями котлов паропроизводительностью 320-670 т/ч</t>
  </si>
  <si>
    <t>ТЕРм06-02-014-03</t>
  </si>
  <si>
    <t>Пылепровод с фасонными частями, компенсаторами, клапанами, опорами и подвесками и отдельными деталями котлов паропроизводительностью 1000-1650 т/ч</t>
  </si>
  <si>
    <t>ТЕРм06-02-014-04</t>
  </si>
  <si>
    <t>Пылепровод с фасонными частями, компенсаторами, клапанами, опорами и подвесками и отдельными деталями котлов паропроизводительностью 2650 т/ч</t>
  </si>
  <si>
    <t>ТЕРм06-02-014-05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</si>
  <si>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160 т/ч, на газомазутном топливе</t>
  </si>
  <si>
    <t>ТЕРм06-02-014-06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</si>
  <si>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220-500 т/ч, на газомазутном топливе</t>
  </si>
  <si>
    <t>ТЕРм06-02-014-07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</si>
  <si>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670-1000 т/ч, на газомазутном топливе</t>
  </si>
  <si>
    <t>ТЕРм06-02-014-08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</si>
  <si>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2650 т/ч, на газомазутном топливе</t>
  </si>
  <si>
    <t>ТЕРм06-02-014-09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</si>
  <si>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220-670 т/ч, на пылеугольном топливе</t>
  </si>
  <si>
    <t>ТЕРм06-02-014-10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</si>
  <si>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1000-1650 т/ч, на пылеугольном топливе</t>
  </si>
  <si>
    <t>ТЕРм06-02-014-11</t>
  </si>
  <si>
    <t>Газопровод с фасонными частями, компенсаторами, клапанами, опорами и подвесками, поставляемый блоками, щитами и рулонами котлов паропроизводительностью 2650 т/ч, на пылеугольном топливе</t>
  </si>
  <si>
    <t>ТЕРм06-02-014-12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</si>
  <si>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160 т/ч, на газомазутном топливе</t>
  </si>
  <si>
    <t>ТЕРм06-02-014-13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</si>
  <si>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220-500 т/ч, на газомазутном топливе</t>
  </si>
  <si>
    <t>ТЕРм06-02-014-14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</si>
  <si>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670-1000 т/ч, на газомазутном топливе</t>
  </si>
  <si>
    <t>ТЕРм06-02-014-15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</si>
  <si>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2650 т/ч, на газомазутном топливе</t>
  </si>
  <si>
    <t>ТЕРм06-02-014-16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</si>
  <si>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220-1000 т/ч, на пылеугольном топливе</t>
  </si>
  <si>
    <t>ТЕРм06-02-014-17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</si>
  <si>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1650 т/ч, на пылеугольном топливе</t>
  </si>
  <si>
    <t>ТЕРм06-02-014-18</t>
  </si>
  <si>
    <t>Воздухопровод с фасонными частями, компенсаторами, клапанами, опорами и подвесками, поставляемый блоками, щитами и рулонами котлов паропроизводительностью 2650 т/ч, на пылеугольном топливе</t>
  </si>
  <si>
    <t>ТЕРм06-02-014-19</t>
  </si>
  <si>
    <t>Газозаборные шахты с компенсаторами, клапанами, опорами и подвесками, поставляемые блоками и отдельными деталями котлов паропроизводительностью 210 т/ч</t>
  </si>
  <si>
    <t>ТЕРм06-02-014-20</t>
  </si>
  <si>
    <t>Газозаборные шахты с компенсаторами, клапанами, опорами и подвесками, поставляемые блоками и отдельными деталями котлов паропроизводительностью 670 т/ч</t>
  </si>
  <si>
    <t>ТЕРм06-02-014-21</t>
  </si>
  <si>
    <t>Газозаборные шахты с компенсаторами, клапанами, опорами и подвесками, поставляемые с внутренним кожухом из жаропрочной стали котлов паропроизводительностью 2650 т/ч</t>
  </si>
  <si>
    <t xml:space="preserve">                           Раздел 3. ОТДЕЛ 03. ОБОРУДОВАНИЕ ВОДОПОДГОТОВКИ</t>
  </si>
  <si>
    <t xml:space="preserve">                                   Раздел 1. АППАРАТУРА ДЛЯ ХИМИЧЕСКОЙ ОЧИСТКИ ВОДЫ</t>
  </si>
  <si>
    <t xml:space="preserve">                                   Фильтры</t>
  </si>
  <si>
    <t>ТЕРм06-03-001-01</t>
  </si>
  <si>
    <t>Фильтр осветлительный вертикальный, высота фильтрующей загрузки 1 м, диаметр 1000 мм, однокамерный</t>
  </si>
  <si>
    <t>ТЕРм06-03-001-02</t>
  </si>
  <si>
    <t>Фильтр осветлительный вертикальный, высота фильтрующей загрузки 1 м, диаметр 1400 мм, однокамерный</t>
  </si>
  <si>
    <t>ТЕРм06-03-001-03</t>
  </si>
  <si>
    <t>Фильтр осветлительный вертикальный, высота фильтрующей загрузки 1 м, диаметр 2000 мм, однокамерный</t>
  </si>
  <si>
    <t>ТЕРм06-03-001-04</t>
  </si>
  <si>
    <t>Фильтр осветлительный вертикальный, высота фильтрующей загрузки 1 м, диаметр 2600 мм, однокамерный</t>
  </si>
  <si>
    <t>ТЕРм06-03-001-05</t>
  </si>
  <si>
    <t>Фильтр осветлительный вертикальный, высота фильтрующей загрузки 1 м, диаметр 3000, 3400 мм, однокамерный</t>
  </si>
  <si>
    <t>ТЕРм06-03-001-06</t>
  </si>
  <si>
    <t>Фильтр осветлительный вертикальный, высота фильтрующей загрузки 1 м, диаметр 3400 мм, двухкамерный</t>
  </si>
  <si>
    <t>ТЕРм06-03-001-07</t>
  </si>
  <si>
    <t>Фильтр осветлительный вертикальный, высота фильтрующей загрузки 1 м, диаметр 3400 мм, трехкамерный</t>
  </si>
  <si>
    <t>ТЕРм06-03-001-08</t>
  </si>
  <si>
    <t>Фильтр ионитный параллельноточный первой ступени, высота фильтрующей загрузки 2 м, диаметр 700 мм</t>
  </si>
  <si>
    <t>ТЕРм06-03-001-09</t>
  </si>
  <si>
    <t>Фильтр ионитный параллельноточный первой ступени, высота фильтрующей загрузки 2 м, диаметр 1000 мм</t>
  </si>
  <si>
    <t>ТЕРм06-03-001-10</t>
  </si>
  <si>
    <t>Фильтр ионитный параллельноточный первой ступени, высота фильтрующей загрузки 2 м, диаметр 1400 мм</t>
  </si>
  <si>
    <t>ТЕРм06-03-001-11</t>
  </si>
  <si>
    <t>Фильтр ионитный параллельноточный первой ступени, высота фильтрующей загрузки 2,5 м, диаметр 2000 мм</t>
  </si>
  <si>
    <t>ТЕРм06-03-001-12</t>
  </si>
  <si>
    <t>Фильтр ионитный параллельноточный первой ступени, высота фильтрующей загрузки 2,5 м, диаметр 2500 мм</t>
  </si>
  <si>
    <t>ТЕРм06-03-001-13</t>
  </si>
  <si>
    <t>Фильтр ионитный параллельноточный первой ступени, высота фильтрующей загрузки 2,5 м, диаметр 3000 мм</t>
  </si>
  <si>
    <t>ТЕРм06-03-001-14</t>
  </si>
  <si>
    <t>Фильтр ионитный параллельноточный первой ступени, высота фильтрующей загрузки 2,5 м, диаметр 3400 мм</t>
  </si>
  <si>
    <t>ТЕРм06-03-001-15</t>
  </si>
  <si>
    <t>Фильтр параллельноточный второй ступени, высота фильтрующей загрузки 1,5 м, диаметр 1000 мм</t>
  </si>
  <si>
    <t>ТЕРм06-03-001-16</t>
  </si>
  <si>
    <t>Фильтр параллельноточный второй ступени, высота фильтрующей загрузки 1,5 м, диаметр 1400 мм</t>
  </si>
  <si>
    <t>ТЕРм06-03-001-17</t>
  </si>
  <si>
    <t>Фильтр параллельноточный второй ступени, высота фильтрующей загрузки 1,5 м, диаметр 2000 мм</t>
  </si>
  <si>
    <t>ТЕРм06-03-001-18</t>
  </si>
  <si>
    <t>Фильтр параллельноточный второй ступени, высота фильтрующей загрузки 1,5 м, диаметр 2600, 3000 мм</t>
  </si>
  <si>
    <t>ТЕРм06-03-001-19</t>
  </si>
  <si>
    <t>Фильтр смешанного действия с внутренней регенерацией ионитов, высота фильтрующей загрузки 1,7 м, диаметр 2000 мм</t>
  </si>
  <si>
    <t>ТЕРм06-03-001-20</t>
  </si>
  <si>
    <t>Фильтр смешанного действия с наружной регенерацией ионитов, высота фильтрующей загрузки 1 м, диаметр 2000 мм</t>
  </si>
  <si>
    <t>ТЕРм06-03-001-21</t>
  </si>
  <si>
    <t>Фильтр смешанного действия с наружной регенерацией ионитов, высота фильтрующей загрузки 1 м, диаметр 2600 мм</t>
  </si>
  <si>
    <t>ТЕРм06-03-001-22</t>
  </si>
  <si>
    <t>Фильтр смешанного действия с наружной регенерацией ионитов, высота фильтрующей загрузки 1 м, диаметр 3400 мм</t>
  </si>
  <si>
    <t>ТЕРм06-03-001-23</t>
  </si>
  <si>
    <t>Фильтр-регенератор для ФИСД с наружной регенерацией, высота фильтрующей загрузки 1,5 м, диаметр 1600 мм</t>
  </si>
  <si>
    <t>ТЕРм06-03-001-24</t>
  </si>
  <si>
    <t>Фильтр-регенератор для ФИСД с наружной регенерацией, высота фильтрующей загрузки 2,1 м, диаметр 2000 мм</t>
  </si>
  <si>
    <t>ТЕРм06-03-001-25</t>
  </si>
  <si>
    <t>Фильтр-регенератор для ФИСД с наружной регенерацией, высота фильтрующей загрузки 2,1 м, диаметр 2600 мм</t>
  </si>
  <si>
    <t>ТЕРм06-03-001-26</t>
  </si>
  <si>
    <t>Фильтр-ловушка зернистых материалов, давление 1 МПа, производительность 270 м3/ч</t>
  </si>
  <si>
    <t>ТЕРм06-03-001-27</t>
  </si>
  <si>
    <t>Фильтр-ловушка зернистых материалов, давление 1 МПа, производительность 900 м3/ч</t>
  </si>
  <si>
    <t>ТЕРм06-03-001-28</t>
  </si>
  <si>
    <t>Фильтр сорбционный угольный, высота фильтрующей загрузки 2,5 м, диаметр 2000 мм</t>
  </si>
  <si>
    <t>ТЕРм06-03-001-29</t>
  </si>
  <si>
    <t>Фильтр сорбционный угольный, высота фильтрующей загрузки 2,5 м, диаметр 2600 мм</t>
  </si>
  <si>
    <t>ТЕРм06-03-001-30</t>
  </si>
  <si>
    <t>Фильтр сорбционный угольный, высота фильтрующей загрузки 2,5 м, диаметр 3000 мм</t>
  </si>
  <si>
    <t>ТЕРм06-03-001-31</t>
  </si>
  <si>
    <t>Фильтр сорбционный угольный, высота фильтрующей загрузки 2,5 м, диаметр 3400 мм</t>
  </si>
  <si>
    <t xml:space="preserve">                                   Осветлители</t>
  </si>
  <si>
    <t>ТЕРм06-03-002-01</t>
  </si>
  <si>
    <t>Осветлитель, поставляемый узлами, диаметр 5; 9 м</t>
  </si>
  <si>
    <t>ТЕРм06-03-002-02</t>
  </si>
  <si>
    <t>Осветлитель, поставляемый узлами, диаметр 11 м</t>
  </si>
  <si>
    <t>ТЕРм06-03-002-03</t>
  </si>
  <si>
    <t>Осветлитель, поставляемый узлами, диаметр 14; 18 м</t>
  </si>
  <si>
    <t xml:space="preserve">                                   Гидравлические мешалки</t>
  </si>
  <si>
    <t>ТЕРм06-03-003-01</t>
  </si>
  <si>
    <t>Мешалка для кислых реагентов, вместимость 2 м3</t>
  </si>
  <si>
    <t>ТЕРм06-03-003-02</t>
  </si>
  <si>
    <t>Мешалка для известкового молока, вместимость 4 м3</t>
  </si>
  <si>
    <t>ТЕРм06-03-003-03</t>
  </si>
  <si>
    <t>Мешалка для известкового молока, вместимость 16 м3</t>
  </si>
  <si>
    <t xml:space="preserve">                                   Солерастворители</t>
  </si>
  <si>
    <t>ТЕРм06-03-004-01</t>
  </si>
  <si>
    <t>Солерастворитель, вместимость 0,125 м3</t>
  </si>
  <si>
    <t>ТЕРм06-03-004-02</t>
  </si>
  <si>
    <t>Солерастворитель, вместимость 0,4 м3</t>
  </si>
  <si>
    <t>ТЕРм06-03-004-03</t>
  </si>
  <si>
    <t>Солерастворитель, вместимость 1 м3</t>
  </si>
  <si>
    <t xml:space="preserve">                                   Подогреватели</t>
  </si>
  <si>
    <t>ТЕРм06-03-005-01</t>
  </si>
  <si>
    <t>Подогреватель пароводяной, производительность 50 т/ч</t>
  </si>
  <si>
    <t>ТЕРм06-03-005-02</t>
  </si>
  <si>
    <t>Подогреватель пароводяной, производительность 100 т/ч</t>
  </si>
  <si>
    <t>ТЕРм06-03-005-03</t>
  </si>
  <si>
    <t>Подогреватель пароводяной, производительность 200 т/ч</t>
  </si>
  <si>
    <t>ТЕРм06-03-005-04</t>
  </si>
  <si>
    <t>Подогреватель пароводяной, производительность 400 т/ч</t>
  </si>
  <si>
    <t>ТЕРм06-03-005-05</t>
  </si>
  <si>
    <t>Теплообменник водоводяной, производительность 40 т/ч</t>
  </si>
  <si>
    <t>ТЕРм06-03-005-06</t>
  </si>
  <si>
    <t>Теплообменник водоводяной, производительность 80-240 т/ч</t>
  </si>
  <si>
    <t>ТЕРм06-03-005-07</t>
  </si>
  <si>
    <t>Теплообменник водоводяной, производительность 400 т/ч</t>
  </si>
  <si>
    <t xml:space="preserve">                                   Декарбонизаторы</t>
  </si>
  <si>
    <t>ТЕРм06-03-006-01</t>
  </si>
  <si>
    <t>Декарбонизатор, масса 4,12 т, с баком</t>
  </si>
  <si>
    <t>ТЕРм06-03-006-02</t>
  </si>
  <si>
    <t>Декарбонизатор, масса 7,52 т, с баком</t>
  </si>
  <si>
    <t>ТЕРм06-03-006-03</t>
  </si>
  <si>
    <t>Декарбонизатор, масса 8,5 т, без бака</t>
  </si>
  <si>
    <t xml:space="preserve">                                   Раздел 2. АППАРАТУРА ДЛЯ ТЕРМИЧЕСКОЙ ОБРАБОТКИ ВОДЫ</t>
  </si>
  <si>
    <t xml:space="preserve">                                   Сепараторы</t>
  </si>
  <si>
    <t>ТЕРм06-03-011-01</t>
  </si>
  <si>
    <t>Сепаратор растопочный, давление 2 МПа, масса 2,41 т</t>
  </si>
  <si>
    <t>ТЕРм06-03-011-02</t>
  </si>
  <si>
    <t>Сепаратор растопочный, давление 2 МПа, масса 12,15 т</t>
  </si>
  <si>
    <t>ТЕРм06-03-011-03</t>
  </si>
  <si>
    <t>Сепаратор непрерывной продувки, давление 0,7 МПа, масса 0,18 т</t>
  </si>
  <si>
    <t>ТЕРм06-03-011-04</t>
  </si>
  <si>
    <t>Сепаратор непрерывной продувки, давление 0,7 МПа, масса 0,54 т</t>
  </si>
  <si>
    <t>ТЕРм06-03-011-05</t>
  </si>
  <si>
    <t>Сепаратор непрерывной продувки, давление 0,7 МПа, масса 1,21 т</t>
  </si>
  <si>
    <t>ТЕРм06-03-011-06</t>
  </si>
  <si>
    <t>Сепаратор периодической продувки, давление 0,15 МПа, масса 2,04 т</t>
  </si>
  <si>
    <t xml:space="preserve">                                   Расширители</t>
  </si>
  <si>
    <t>ТЕРм06-03-012-01</t>
  </si>
  <si>
    <t>Расширитель периодической продувки, давление 0,15 МПа, объем 7,5 м3</t>
  </si>
  <si>
    <t xml:space="preserve">                                   Деаэрационные колонки</t>
  </si>
  <si>
    <t>ТЕРм06-03-013-01</t>
  </si>
  <si>
    <t>Колонка деаэрационная атмосферного давления, производительность 10 т/ч, давление 0,12 МПа</t>
  </si>
  <si>
    <t>ТЕРм06-03-013-02</t>
  </si>
  <si>
    <t>Колонка деаэрационная атмосферного давления, производительность 50 т/ч, давление 0,12 МПа</t>
  </si>
  <si>
    <t>ТЕРм06-03-013-03</t>
  </si>
  <si>
    <t>Колонка деаэрационная атмосферного давления, производительность 200 т/ч, давление 0,12 МПа</t>
  </si>
  <si>
    <t>ТЕРм06-03-013-04</t>
  </si>
  <si>
    <t>Колонка деаэрационная атмосферного давления, производительность 300 т/ч, давление 0,12 МПа</t>
  </si>
  <si>
    <t>ТЕРм06-03-013-05</t>
  </si>
  <si>
    <t>Колонка деаэрационная повышенного давления, производительность 225 т/ч, давление 0,6 МПа</t>
  </si>
  <si>
    <t>ТЕРм06-03-013-06</t>
  </si>
  <si>
    <t>Колонка деаэрационная повышенного давления, производительность 1000, 2000 т/ч, давление 0,7 МПа</t>
  </si>
  <si>
    <t>ТЕРм06-03-013-07</t>
  </si>
  <si>
    <t>Колонка деаэрационная повышенного давления, производительность 2600, 2800 т/ч, давление 1,2; 0,75 МПа</t>
  </si>
  <si>
    <t>ТЕРм06-03-013-08</t>
  </si>
  <si>
    <t>Колонка деаэрационная повышенного давления, производительность 2000 т/ч, давление 0,7 МПа, монтируемая методом надвижки</t>
  </si>
  <si>
    <t>ТЕРм06-03-013-09</t>
  </si>
  <si>
    <t>Колонка деаэрационная повышенного давления, производительность 2600, 2800 т/ч, давление 0,7 МПа, монтируемая методом надвижки</t>
  </si>
  <si>
    <t xml:space="preserve">                                   Охладители выпара</t>
  </si>
  <si>
    <t>ТЕРм06-03-014-01</t>
  </si>
  <si>
    <t>Охладитель выпара горизонтальный для вакуумных деаэраторов, поверхность охлаждения 2 м2</t>
  </si>
  <si>
    <t>ТЕРм06-03-014-02</t>
  </si>
  <si>
    <t>Охладитель выпара горизонтальный для вакуумных деаэраторов, поверхность охлаждения 16 м2</t>
  </si>
  <si>
    <t>ТЕРм06-03-014-03</t>
  </si>
  <si>
    <t>Охладитель выпара горизонтальный для вакуумных деаэраторов, поверхность охлаждения 24 м2</t>
  </si>
  <si>
    <t>ТЕРм06-03-014-04</t>
  </si>
  <si>
    <t>Охладитель выпара горизонтальный для деаэраторов атмосферного давления, поверхность охлаждения 2 м2</t>
  </si>
  <si>
    <t>ТЕРм06-03-014-05</t>
  </si>
  <si>
    <t>Охладитель выпара горизонтальный для деаэраторов атмосферного давления, поверхность охлаждения 16 м2</t>
  </si>
  <si>
    <t>ТЕРм06-03-014-06</t>
  </si>
  <si>
    <t>Охладитель выпара горизонтальный для деаэраторов атмосферного давления, поверхность охлаждения 24 м2</t>
  </si>
  <si>
    <t>ТЕРм06-03-014-07</t>
  </si>
  <si>
    <t>Охладитель выпара вертикальный для деаэраторов повышенного давления, поверхность охлаждения 18 м2</t>
  </si>
  <si>
    <t>ТЕРм06-03-014-08</t>
  </si>
  <si>
    <t>Охладитель выпара вертикальный для деаэраторов повышенного давления, поверхность охлаждения 28 м2</t>
  </si>
  <si>
    <t xml:space="preserve">                                   Эжекторы водо- и пароструйные</t>
  </si>
  <si>
    <t>ТЕРм06-03-015-01</t>
  </si>
  <si>
    <t>Эжектор водоструйный для вакуумных деаэраторов, массовый расход рабочей воды 30 т/ч</t>
  </si>
  <si>
    <t>ТЕРм06-03-015-02</t>
  </si>
  <si>
    <t>Эжектор водоструйный для вакуумных деаэраторов, массовый расход рабочей воды 220 т/ч</t>
  </si>
  <si>
    <t>ТЕРм06-03-015-03</t>
  </si>
  <si>
    <t>Эжектор водоструйный для вакуумных деаэраторов, массовый расход рабочей воды 600 т/ч</t>
  </si>
  <si>
    <t>ТЕРм06-03-015-04</t>
  </si>
  <si>
    <t>Эжектор трехступенчатый пароструйный</t>
  </si>
  <si>
    <t xml:space="preserve">                                   Испарители</t>
  </si>
  <si>
    <t>ТЕРм06-03-016-01</t>
  </si>
  <si>
    <t>Испаритель поверхностного типа, вертикальный, масса 14,84 т</t>
  </si>
  <si>
    <t>ТЕРм06-03-016-02</t>
  </si>
  <si>
    <t>Испаритель поверхностного типа, вертикальный, масса 27,7 т</t>
  </si>
  <si>
    <t>ТЕРм06-03-016-03</t>
  </si>
  <si>
    <t>Испаритель поверхностного типа, вертикальный, масса 42 т</t>
  </si>
  <si>
    <t>ТЕРм06-03-016-04</t>
  </si>
  <si>
    <t>Испаритель поверхностного типа, вертикальный, масса 60,2 т</t>
  </si>
  <si>
    <t>ТЕРм06-03-016-05</t>
  </si>
  <si>
    <t>Испаритель поверхностного типа, вертикальный, масса 14,84 т, монтируемый методом надвижки</t>
  </si>
  <si>
    <t>ТЕРм06-03-016-06</t>
  </si>
  <si>
    <t>Испаритель поверхностного типа, вертикальный, масса 27,7 т, монтируемый методом надвижки</t>
  </si>
  <si>
    <t>ТЕРм06-03-016-07</t>
  </si>
  <si>
    <t>Испаритель поверхностного типа, вертикальный, масса 42 т, монтируемый методом надвижки</t>
  </si>
  <si>
    <t>ТЕРм06-03-016-08</t>
  </si>
  <si>
    <t>Испаритель поверхностного типа, вертикальный, масса 60,2 т, монтируемый методом надвижки</t>
  </si>
  <si>
    <t xml:space="preserve">                                   Раздел 3. СТАНЦИОННЫЕ БАКИ</t>
  </si>
  <si>
    <t xml:space="preserve">                                   Деаэраторы и баки внутренней установки (деаэраторные) под давлением</t>
  </si>
  <si>
    <t>ТЕРм06-03-021-01</t>
  </si>
  <si>
    <t>Деаэратор двухступенчатый, рабочее давление 0,0075-0,05 МПа, производительность 5 т/ч, вертикальный</t>
  </si>
  <si>
    <t>ТЕРм06-03-021-02</t>
  </si>
  <si>
    <t>Деаэратор двухступенчатый, рабочее давление 0,0075-0,05 МПа, производительность 50 т/ч, вертикальный</t>
  </si>
  <si>
    <t>ТЕРм06-03-021-03</t>
  </si>
  <si>
    <t>Деаэратор двухступенчатый, рабочее давление 0,0075-0,05 МПа, производительность 100 т/ч, вертикальный</t>
  </si>
  <si>
    <t>ТЕРм06-03-021-04</t>
  </si>
  <si>
    <t>Деаэратор двухступенчатый, рабочее давление 0,0075-0,05 МПа, производительность 200 т/ч, вертикальный</t>
  </si>
  <si>
    <t>ТЕРм06-03-021-05</t>
  </si>
  <si>
    <t>Деаэратор двухступенчатый, рабочее давление 0,0075-0,05 МПа, производительность 300 т/ч, вертикальный</t>
  </si>
  <si>
    <t>ТЕРм06-03-021-06</t>
  </si>
  <si>
    <t>Деаэратор двухступенчатый, рабочее давление 0,0075-0,05 МПа, производительность 400 т/ч, горизонтальный</t>
  </si>
  <si>
    <t>ТЕРм06-03-021-07</t>
  </si>
  <si>
    <t>Деаэратор двухступенчатый, рабочее давление 0,0075-0,05 МПа, производительность 1200 т/ч, горизонтальный</t>
  </si>
  <si>
    <t>ТЕРм06-03-021-08</t>
  </si>
  <si>
    <t>Деаэратор атмосферный двухступенчатый вертикальный, рабочее давление 0,12 МПа, поставляемый в собранном виде, производительность 1 т/ч</t>
  </si>
  <si>
    <t>ТЕРм06-03-021-09</t>
  </si>
  <si>
    <t>Деаэратор атмосферный двухступенчатый вертикальный, рабочее давление 0,12 МПа, поставляемый в собранном виде, производительность 3 т/ч</t>
  </si>
  <si>
    <t>ТЕРм06-03-021-10</t>
  </si>
  <si>
    <t>Бак деаэраторный двухступенчатый горизонтальный атмосферного давления, поставляемый в собранном виде, вместимость 2 м3</t>
  </si>
  <si>
    <t>ТЕРм06-03-021-11</t>
  </si>
  <si>
    <t>Бак деаэраторный двухступенчатый горизонтальный атмосферного давления, поставляемый в собранном виде, вместимость 15 м3</t>
  </si>
  <si>
    <t>ТЕРм06-03-021-12</t>
  </si>
  <si>
    <t>Бак деаэраторный двухступенчатый горизонтальный атмосферного давления, поставляемый в собранном виде, вместимость 50 м3</t>
  </si>
  <si>
    <t>ТЕРм06-03-021-13</t>
  </si>
  <si>
    <t>Бак деаэраторный двухступенчатый горизонтальный атмосферного давления, поставляемый в собранном виде, вместимость 75 м3</t>
  </si>
  <si>
    <t>ТЕРм06-03-021-14</t>
  </si>
  <si>
    <t>Бак деаэраторный повышенного давления 0,6-1,2 МПа, поставляемый в собранном виде, вместимость 65 м3</t>
  </si>
  <si>
    <t>ТЕРм06-03-021-15</t>
  </si>
  <si>
    <t>Бак деаэраторный повышенного давления 0,6-1,2 МПа, поставляемый в собранном виде, вместимость 100 м3</t>
  </si>
  <si>
    <t>ТЕРм06-03-021-16</t>
  </si>
  <si>
    <t>Бак деаэраторный повышенного давления 0,6-1,2 МПа, поставляемый в собранном виде, вместимость 120 м3 (для одной колонки)</t>
  </si>
  <si>
    <t>ТЕРм06-03-021-17</t>
  </si>
  <si>
    <t>Бак деаэраторный повышенного давления 0,6-1,2 МПа, поставляемый в собранном виде, вместимость 120 м3 (для двух колонок)</t>
  </si>
  <si>
    <t>ТЕРм06-03-021-18</t>
  </si>
  <si>
    <t>Бак деаэраторный повышенного давления 0,6-1,2 МПа, поставляемый в собранном виде, вместимость 120 м3 (для одной колонки), монтируемый методом надвижки</t>
  </si>
  <si>
    <t>ТЕРм06-03-021-19</t>
  </si>
  <si>
    <t>Бак деаэраторный повышенного давления 0,6-1,2 МПа, поставляемый отдельными узлами, вместимость 150, 185 м3</t>
  </si>
  <si>
    <t>ТЕРм06-03-021-20</t>
  </si>
  <si>
    <t>Бак деаэраторный повышенного давления 0,6-1,2 МПа, поставляемый отдельными узлами, вместимость 150, 185 м3, монтируемый методом надвижки</t>
  </si>
  <si>
    <t xml:space="preserve">                                   Баки внутренней установки без давления</t>
  </si>
  <si>
    <t>ТЕРм06-03-022-01</t>
  </si>
  <si>
    <t>Бак внутренней установки без давления прямоугольный, вместимость 1 м3</t>
  </si>
  <si>
    <t>ТЕРм06-03-022-02</t>
  </si>
  <si>
    <t>Бак внутренней установки без давления прямоугольный, вместимость 1,6 м3</t>
  </si>
  <si>
    <t>ТЕРм06-03-022-03</t>
  </si>
  <si>
    <t>Бак внутренней установки без давления прямоугольный, вместимость 2,5 м3</t>
  </si>
  <si>
    <t>ТЕРм06-03-022-04</t>
  </si>
  <si>
    <t>Бак внутренней установки без давления цилиндрический вертикальный, вместимость 1 м3</t>
  </si>
  <si>
    <t>ТЕРм06-03-022-05</t>
  </si>
  <si>
    <t>Бак внутренней установки без давления цилиндрический вертикальный, вместимость 2,5 м3</t>
  </si>
  <si>
    <t>ТЕРм06-03-022-06</t>
  </si>
  <si>
    <t>Бак внутренней установки без давления цилиндрический вертикальный, вместимость 6,3 м3</t>
  </si>
  <si>
    <t>ТЕРм06-03-022-07</t>
  </si>
  <si>
    <t>Бак внутренней установки без давления цилиндрический вертикальный, вместимость 16 м3</t>
  </si>
  <si>
    <t>ТЕРм06-03-022-08</t>
  </si>
  <si>
    <t>Бак внутренней установки без давления цилиндрический вертикальный, вместимость 25 м3</t>
  </si>
  <si>
    <t>ТЕРм06-03-022-09</t>
  </si>
  <si>
    <t>Бак внутренней установки без давления цилиндрический вертикальный, поставляемый рулонами, вместимость 63, 100 м3</t>
  </si>
  <si>
    <t>ТЕРм06-03-022-10</t>
  </si>
  <si>
    <t>Бак внутренней установки без давления цилиндрический вертикальный, поставляемый рулонами, вместимость 3000 м3</t>
  </si>
  <si>
    <t>ТЕРм06-03-022-11</t>
  </si>
  <si>
    <t>Бак внутренней установки без давления цилиндрический горизонтальный, вместимость 2 м3</t>
  </si>
  <si>
    <t>ТЕРм06-03-022-12</t>
  </si>
  <si>
    <t>Бак внутренней установки без давления цилиндрический горизонтальный, вместимость 8 м3</t>
  </si>
  <si>
    <t>ТЕРм06-03-022-13</t>
  </si>
  <si>
    <t>Бак внутренней установки без давления цилиндрический горизонтальный, вместимость 25, 50 м3</t>
  </si>
  <si>
    <t xml:space="preserve">                                   Раздел 4. УСТАНОВКИ ДЛЯ ПРЕОБРАЗОВАНИЯ ПАРА</t>
  </si>
  <si>
    <t xml:space="preserve">                                   Редукционно-охладительные установки</t>
  </si>
  <si>
    <t>ТЕРм06-03-030-01</t>
  </si>
  <si>
    <t>Установка редукционно-охладительная, давление острого пара 10 МПа, производительность 30 т/ч, давление редуцированного пара 2,0-2,8 МПа</t>
  </si>
  <si>
    <t>ТЕРм06-03-030-02</t>
  </si>
  <si>
    <t>Установка редукционно-охладительная, давление острого пара 10 МПа, производительность 60 т/ч, давление редуцированного пара 0,12-0,25 МПа</t>
  </si>
  <si>
    <t>ТЕРм06-03-030-03</t>
  </si>
  <si>
    <t>Установка редукционно-охладительная, давление острого пара 10 МПа, производительность 150, 250 т/ч, давление редуцированного пара 1,8-2,0 МПа</t>
  </si>
  <si>
    <t>ТЕРм06-03-030-04</t>
  </si>
  <si>
    <t>Установка редукционно-охладительная, давление острого пара 14 МПа, производительность 20 т/ч, давление редуцированного пара 2,5-2,7 МПа</t>
  </si>
  <si>
    <t>ТЕРм06-03-030-05</t>
  </si>
  <si>
    <t>Установка редукционно-охладительная, давление острого пара 14 МПа, производительность 60 т/ч, давление редуцированного пара 0,12-0,25 МПа</t>
  </si>
  <si>
    <t>ТЕРм06-03-030-06</t>
  </si>
  <si>
    <t>Установка редукционно-охладительная, давление острого пара 14 МПа, производительность 150 т/ч, давление редуцированного пара 0,12-0,25 МПа</t>
  </si>
  <si>
    <t>ТЕРм06-03-030-07</t>
  </si>
  <si>
    <t>Установка редукционно-охладительная, давление острого пара 14 МПа, производительность 250 т/ч, давление редуцированного пара 1,5-2,0 МПа</t>
  </si>
  <si>
    <t>ТЕРм06-03-030-08</t>
  </si>
  <si>
    <t>Установка редукционно-охладительная быстродействующая, давление острого пара 25,5 МПа, производительность 600, 740 т/ч</t>
  </si>
  <si>
    <t xml:space="preserve">                           Раздел 4. ОТДЕЛ 04. АГРЕГАТЫ ПАРОТУРБИННЫЕ И ГАЗОТУРБИННЫЕ</t>
  </si>
  <si>
    <t xml:space="preserve">                                   Раздел 1. ТУРБИНЫ ПАРОВЫЕ СТАЦИОНАРНЫЕ И УСТАНОВКИ ГАЗОТУРБИННЫЕ СТАЦИОНАРНЫЕ</t>
  </si>
  <si>
    <t xml:space="preserve">                                   Турбины конденсационные без регулируемых отборов пара</t>
  </si>
  <si>
    <t>ТЕРм06-04-001-01</t>
  </si>
  <si>
    <t>Турбина конденсационная без регулируемых отборов пара типа К, мощность 215000 кВт, трехцилиндровая</t>
  </si>
  <si>
    <t>ТЕРм06-04-001-02</t>
  </si>
  <si>
    <t>Турбина конденсационная без регулируемых отборов пара типа К, мощность 300000 кВт, трехцилиндровая</t>
  </si>
  <si>
    <t>ТЕРм06-04-001-03</t>
  </si>
  <si>
    <t>Турбина конденсационная без регулируемых отборов пара типа К, мощность 500000 кВт, четырехцилиндровая</t>
  </si>
  <si>
    <t>ТЕРм06-04-001-04</t>
  </si>
  <si>
    <t>Турбина конденсационная без регулируемых отборов пара типа К, мощность 800000 кВт, пятицилиндровая</t>
  </si>
  <si>
    <t xml:space="preserve">                                   Турбины теплофикационные с отопительным отбором пара</t>
  </si>
  <si>
    <t>ТЕРм06-04-002-01</t>
  </si>
  <si>
    <t>Турбина теплофикационная с отопительным отбором пара типа Т, мощность 110000 кВт, трехцилиндровая</t>
  </si>
  <si>
    <t>ТЕРм06-04-002-02</t>
  </si>
  <si>
    <t>Турбина теплофикационная с отопительным отбором пара типа Т, мощность 180000 кВт, трехцилиндровая</t>
  </si>
  <si>
    <t>ТЕРм06-04-002-03</t>
  </si>
  <si>
    <t>Турбина теплофикационная с отопительным отбором пара типа Т, мощность 185000 кВт, трехцилиндровая</t>
  </si>
  <si>
    <t>ТЕРм06-04-002-04</t>
  </si>
  <si>
    <t>Турбина теплофикационная с отопительным отбором пара типа Т, мощность 250000 кВт, четырехцилиндровая</t>
  </si>
  <si>
    <t xml:space="preserve">                                   Турбины теплофикационные с производственным и отопительным отбором пара</t>
  </si>
  <si>
    <t>ТЕРм06-04-003-01</t>
  </si>
  <si>
    <t>Турбина теплофикационная с производственным и отопительным отбором пара типа ПТ, мощность 12000 кВт, одноцилиндровая</t>
  </si>
  <si>
    <t>ТЕРм06-04-003-02</t>
  </si>
  <si>
    <t>Турбина теплофикационная с производственным и отопительным отбором пара типа ПТ, мощность 25000 кВт, одноцилиндровая</t>
  </si>
  <si>
    <t>ТЕРм06-04-003-03</t>
  </si>
  <si>
    <t>Турбина теплофикационная с производственным и отопительным отбором пара типа ПТ, мощность 80000 кВт, двухцилиндровая</t>
  </si>
  <si>
    <t>ТЕРм06-04-003-04</t>
  </si>
  <si>
    <t>Турбина теплофикационная с производственным и отопительным отбором пара типа ПТ, мощность 140000 кВт, двухцилиндровая</t>
  </si>
  <si>
    <t xml:space="preserve">                                   Турбины с противодавлением без регулируемого отбора пара, одноцилиндровые</t>
  </si>
  <si>
    <t>ТЕРм06-04-004-01</t>
  </si>
  <si>
    <t>Турбина с противодавлением без регулируемого отбора пара, одноцилиндровая типа Р, мощность 2500 кВт</t>
  </si>
  <si>
    <t>ТЕРм06-04-004-02</t>
  </si>
  <si>
    <t>Турбина с противодавлением без регулируемого отбора пара, одноцилиндровая типа Р, мощность 4000 кВт</t>
  </si>
  <si>
    <t>ТЕРм06-04-004-03</t>
  </si>
  <si>
    <t>Турбина с противодавлением без регулируемого отбора пара, одноцилиндровая типа Р, мощность 6000 кВт</t>
  </si>
  <si>
    <t>ТЕРм06-04-004-04</t>
  </si>
  <si>
    <t>Турбина с противодавлением без регулируемого отбора пара, одноцилиндровая типа Р, мощность 12000 кВт</t>
  </si>
  <si>
    <t>ТЕРм06-04-004-05</t>
  </si>
  <si>
    <t>Турбина с противодавлением без регулируемого отбора пара, одноцилиндровая типа Р, мощность 102000 кВт</t>
  </si>
  <si>
    <t xml:space="preserve">                                   Турбины теплофикационные с противодавлением и производственным отбором пара, одноцилиндровые</t>
  </si>
  <si>
    <t>ТЕРм06-04-005-01</t>
  </si>
  <si>
    <t>Турбина теплофикационная с противодавлением и производственным отбором пара, одноцилиндровая типа ПР, мощность 6000 кВт</t>
  </si>
  <si>
    <t>ТЕРм06-04-005-02</t>
  </si>
  <si>
    <t>Турбина теплофикационная с противодавлением и производственным отбором пара, одноцилиндровая типа ПР, мощность 12000 кВт</t>
  </si>
  <si>
    <t xml:space="preserve">                                   Установки газотурбинные энергетические</t>
  </si>
  <si>
    <t>ТЕРм06-04-006-01</t>
  </si>
  <si>
    <t>Установка газотурбинная, мощность 100000 кВт</t>
  </si>
  <si>
    <t xml:space="preserve">                                   Раздел 2. КОНДЕНСАТОРЫ</t>
  </si>
  <si>
    <t xml:space="preserve">                                   Конденсаторы к турбинам паровым стационарным</t>
  </si>
  <si>
    <t>ТЕРм06-04-015-01</t>
  </si>
  <si>
    <t>Конденсатор к турбине мощностью 12000 кВт</t>
  </si>
  <si>
    <t>ТЕРм06-04-015-02</t>
  </si>
  <si>
    <t>Конденсатор к турбине мощностью 25000 кВт</t>
  </si>
  <si>
    <t>ТЕРм06-04-015-03</t>
  </si>
  <si>
    <t>Конденсатор к турбине мощностью 80000 кВт</t>
  </si>
  <si>
    <t>ТЕРм06-04-015-04</t>
  </si>
  <si>
    <t>Конденсатор к турбине мощностью 110000 кВт</t>
  </si>
  <si>
    <t>ТЕРм06-04-015-05</t>
  </si>
  <si>
    <t>Конденсатор к турбине мощностью 140000 кВт</t>
  </si>
  <si>
    <t>ТЕРм06-04-015-06</t>
  </si>
  <si>
    <t>Конденсатор к турбине мощностью 180000 кВт</t>
  </si>
  <si>
    <t>ТЕРм06-04-015-07</t>
  </si>
  <si>
    <t>Конденсатор к турбине мощностью 185000 кВт</t>
  </si>
  <si>
    <t>ТЕРм06-04-015-08</t>
  </si>
  <si>
    <t>Конденсатор к турбине мощностью 210000 кВт</t>
  </si>
  <si>
    <t>ТЕРм06-04-015-09</t>
  </si>
  <si>
    <t>Конденсатор к турбине мощностью 250000 кВт</t>
  </si>
  <si>
    <t>ТЕРм06-04-015-10</t>
  </si>
  <si>
    <t>Конденсатор к турбине мощностью 300000кВт</t>
  </si>
  <si>
    <t>ТЕРм06-04-015-11</t>
  </si>
  <si>
    <t>Конденсатор к турбине мощностью 500000 кВт</t>
  </si>
  <si>
    <t>ТЕРм06-04-015-12</t>
  </si>
  <si>
    <t>Конденсатор к турбине мощностью 800000 кВт</t>
  </si>
  <si>
    <t xml:space="preserve">                                   Раздел 3. ТУРБОГЕНЕРАТОРЫ</t>
  </si>
  <si>
    <t xml:space="preserve">                                   Турбогенераторы с воздушным охлаждением серии Т</t>
  </si>
  <si>
    <t>ТЕРм06-04-020-01</t>
  </si>
  <si>
    <t>Турбогенератор с воздушным охлаждением серии Т с возбудителем, мощность 2500 кВт</t>
  </si>
  <si>
    <t>ТЕРм06-04-020-02</t>
  </si>
  <si>
    <t>Турбогенератор с воздушным охлаждением серии Т с возбудителем, мощность 4000 кВт</t>
  </si>
  <si>
    <t>ТЕРм06-04-020-03</t>
  </si>
  <si>
    <t>Турбогенератор с воздушным охлаждением серии Т с возбудителем, мощность 6000 кВт</t>
  </si>
  <si>
    <t>ТЕРм06-04-020-04</t>
  </si>
  <si>
    <t>Турбогенератор с воздушным охлаждением серии Т с возбудителем, мощность 12000 кВт</t>
  </si>
  <si>
    <t xml:space="preserve">                                   Турбогенераторы с водородным охлаждением серии ТВС</t>
  </si>
  <si>
    <t>ТЕРм06-04-021-01</t>
  </si>
  <si>
    <t>Турбогенератор с водородным охлаждением серии ТВС с возбудителем, мощность 32000 кВт</t>
  </si>
  <si>
    <t xml:space="preserve">                                   Турбогенераторы с форсированным водородным охлаждением серии ТВФ</t>
  </si>
  <si>
    <t>ТЕРм06-04-022-01</t>
  </si>
  <si>
    <t>Турбогенератор с форсированным водородным охлаждением серии ТВФ с возбудителем, мощность 63000 кВт</t>
  </si>
  <si>
    <t>ТЕРм06-04-022-02</t>
  </si>
  <si>
    <t>Турбогенератор с форсированным водородным охлаждением серии ТВФ с возбудителем, мощность 120000 кВт</t>
  </si>
  <si>
    <t xml:space="preserve">                                   Турбогенераторы с водородным охлаждением серии ТГВ</t>
  </si>
  <si>
    <t>ТЕРм06-04-023-01</t>
  </si>
  <si>
    <t>Турбогенератор с водородным охлаждением серии ТГВ с возбудителем, мощность 200000 кВт</t>
  </si>
  <si>
    <t>ТЕРм06-04-023-02</t>
  </si>
  <si>
    <t>Турбогенератор с водородным охлаждением серии ТГВ с возбудителем, мощность 300000 кВт</t>
  </si>
  <si>
    <t xml:space="preserve">                                   Турбогенераторы с водородно-водяным охлаждением серии ТВВ</t>
  </si>
  <si>
    <t>ТЕРм06-04-024-01</t>
  </si>
  <si>
    <t>Турбогенератор с водородно-водяным охлаждением серии ТВВ с возбудителем, мощность 160000 кВт</t>
  </si>
  <si>
    <t>ТЕРм06-04-024-02</t>
  </si>
  <si>
    <t>Турбогенератор с водородно-водяным охлаждением серии ТВВ с возбудителем, мощность 220000 кВт</t>
  </si>
  <si>
    <t>ТЕРм06-04-024-03</t>
  </si>
  <si>
    <t>Турбогенератор с водородно-водяным охлаждением серии ТВВ с возбудителем, мощность 320000 кВт</t>
  </si>
  <si>
    <t>ТЕРм06-04-024-04</t>
  </si>
  <si>
    <t>Турбогенератор с водородно-водяным охлаждением серии ТВВ с возбудителем, мощность 500000 кВт</t>
  </si>
  <si>
    <t>ТЕРм06-04-024-05</t>
  </si>
  <si>
    <t>Турбогенератор с водородно-водяным охлаждением серии ТВВ с возбудителем, мощность 800000 кВт</t>
  </si>
  <si>
    <t xml:space="preserve">                           Раздел 5. ОТДЕЛ 05. ТУРБИННОЕ ВСПОМОГАТЕЛЬНОЕ ОБОРУДОВАНИЕ</t>
  </si>
  <si>
    <t xml:space="preserve">                                   Теплообменное оборудование</t>
  </si>
  <si>
    <t>ТЕРм06-05-001-01</t>
  </si>
  <si>
    <t>Подогреватель, охладитель, поставляемый в собранном виде, вертикальный, подвесной, масса 2,3 т</t>
  </si>
  <si>
    <t>ТЕРм06-05-001-02</t>
  </si>
  <si>
    <t>Подогреватель, охладитель, поставляемый в собранном виде, вертикальный, подвесной, масса 4,1 т</t>
  </si>
  <si>
    <t>ТЕРм06-05-001-03</t>
  </si>
  <si>
    <t>Подогреватель, охладитель, поставляемый в собранном виде, вертикальный, подвесной, масса 7,5 т</t>
  </si>
  <si>
    <t>ТЕРм06-05-001-04</t>
  </si>
  <si>
    <t>Подогреватель, охладитель, поставляемый в собранном виде, вертикальный, подвесной, масса 12,3 т</t>
  </si>
  <si>
    <t>ТЕРм06-05-001-05</t>
  </si>
  <si>
    <t>Подогреватель, охладитель, поставляемый в собранном виде, вертикальный, подвесной, масса 19 т</t>
  </si>
  <si>
    <t>ТЕРм06-05-001-06</t>
  </si>
  <si>
    <t>Подогреватель, охладитель, поставляемый в собранном виде, вертикальный, подвесной, масса 26 т</t>
  </si>
  <si>
    <t>ТЕРм06-05-001-07</t>
  </si>
  <si>
    <t>Подогреватель, охладитель, поставляемый в собранном виде, вертикальный, устанавливаемый на фундаменте, масса 40 т</t>
  </si>
  <si>
    <t>ТЕРм06-05-001-08</t>
  </si>
  <si>
    <t>Подогреватель, охладитель, поставляемый в собранном виде, вертикальный, устанавливаемый на фундаменте, масса 61,5 т</t>
  </si>
  <si>
    <t>ТЕРм06-05-001-09</t>
  </si>
  <si>
    <t>Подогреватель, охладитель, поставляемый в собранном виде, вертикальный, устанавливаемый на фундаменте, масса 76,8 т</t>
  </si>
  <si>
    <t>ТЕРм06-05-001-10</t>
  </si>
  <si>
    <t>Подогреватель, охладитель, поставляемый в собранном виде, вертикальный, устанавливаемый на фундаменте, масса 100 т</t>
  </si>
  <si>
    <t>ТЕРм06-05-001-11</t>
  </si>
  <si>
    <t>Подогреватель, охладитель, поставляемый в собранном виде, вертикальный, устанавливаемый на фундаменте, масса 140 т</t>
  </si>
  <si>
    <t>ТЕРм06-05-001-12</t>
  </si>
  <si>
    <t>Подогреватель, охладитель, поставляемый в собранном виде, вертикальный, устанавливаемый на фундаменте, масса 200 т</t>
  </si>
  <si>
    <t>ТЕРм06-05-001-13</t>
  </si>
  <si>
    <t>Подогреватель, охладитель, поставляемый в собранном виде, горизонтальный, масса 0,7 т</t>
  </si>
  <si>
    <t>ТЕРм06-05-001-14</t>
  </si>
  <si>
    <t>Подогреватель, охладитель, поставляемый в собранном виде, горизонтальный, масса 1,4 т</t>
  </si>
  <si>
    <t>ТЕРм06-05-001-15</t>
  </si>
  <si>
    <t>Подогреватель, охладитель, поставляемый в собранном виде, горизонтальный, масса 5,7 т</t>
  </si>
  <si>
    <t>ТЕРм06-05-001-16</t>
  </si>
  <si>
    <t>Подогреватель, охладитель, поставляемый в собранном виде, горизонтальный, масса 31 т</t>
  </si>
  <si>
    <t>ТЕРм06-05-001-17</t>
  </si>
  <si>
    <t>Подогреватель, охладитель, поставляемый в собранном виде, горизонтальный, масса 48 т</t>
  </si>
  <si>
    <t>ТЕРм06-05-001-18</t>
  </si>
  <si>
    <t>Подогреватель, охладитель, поставляемый в собранном виде, горизонтальный, масса 107 т</t>
  </si>
  <si>
    <t>ТЕРм06-05-001-19</t>
  </si>
  <si>
    <t>Подогреватель, охладитель, поставляемый в собранном виде, вертикальный, устанавливаемый на фундаменте, масса 230 т</t>
  </si>
  <si>
    <t>ТЕРм-2001-07</t>
  </si>
  <si>
    <t xml:space="preserve">                           Раздел 1. ОТДЕЛ 01. КОМПРЕССОРНЫЕ УСТАНОВКИ, АГРЕГАТЫ И МАШИНЫ ПОРШНЕВЫЕ</t>
  </si>
  <si>
    <t xml:space="preserve">                                   Раздел 1. КОМПРЕССОРНЫЕ УСТАНОВКИ ВЕРТИКАЛЬНЫЕ, УГЛОВЫЕ И V-ОБРАЗНЫЕ ВОЗДУШНЫЕ И ГАЗОВЫЕ</t>
  </si>
  <si>
    <t xml:space="preserve">                                   Установки компрессорные вертикальные, угловые и V-образные</t>
  </si>
  <si>
    <t>ТЕРм07-01-001-01</t>
  </si>
  <si>
    <t>Установка компрессорная вертикальная, угловая и V-образная, масса 0,22 т</t>
  </si>
  <si>
    <t>ТЕРм07-01-001-02</t>
  </si>
  <si>
    <t>Установка компрессорная вертикальная, угловая и V-образная, масса 1,2 т</t>
  </si>
  <si>
    <t>ТЕРм07-01-001-03</t>
  </si>
  <si>
    <t>Установка компрессорная вертикальная, угловая и V-образная, масса 4,1 т</t>
  </si>
  <si>
    <t>ТЕРм07-01-001-04</t>
  </si>
  <si>
    <t>Установка компрессорная вертикальная, угловая и V-образная, масса 7,8 т</t>
  </si>
  <si>
    <t>ТЕРм07-01-001-05</t>
  </si>
  <si>
    <t>Установка компрессорная вертикальная, угловая и V-образная, масса 15,6 т</t>
  </si>
  <si>
    <t xml:space="preserve">                                   Раздел 2. КОМПРЕССОРНЫЕ УСТАНОВКИ ОППОЗИТНЫЕ ВОЗДУШНЫЕ И ГАЗОВЫЕ</t>
  </si>
  <si>
    <t xml:space="preserve">                                   Компрессорные установки оппозитные</t>
  </si>
  <si>
    <t>ТЕРм07-01-012-01</t>
  </si>
  <si>
    <t>Компрессорная установка оппозитная, масса 5 т</t>
  </si>
  <si>
    <t>ТЕРм07-01-012-02</t>
  </si>
  <si>
    <t>Компрессорная установка оппозитная, масса 12 т</t>
  </si>
  <si>
    <t>ТЕРм07-01-012-03</t>
  </si>
  <si>
    <t>Компрессорная установка оппозитная, масса 25,6 т</t>
  </si>
  <si>
    <t>ТЕРм07-01-012-04</t>
  </si>
  <si>
    <t>Компрессорная установка оппозитная, масса 34,7 т</t>
  </si>
  <si>
    <t>ТЕРм07-01-012-05</t>
  </si>
  <si>
    <t>Компрессорная установка оппозитная, масса 45 т</t>
  </si>
  <si>
    <t>ТЕРм07-01-012-06</t>
  </si>
  <si>
    <t>Компрессорная установка оппозитная, масса 68 т</t>
  </si>
  <si>
    <t>ТЕРм07-01-012-07</t>
  </si>
  <si>
    <t>Компрессорная установка оппозитная, масса 103 т</t>
  </si>
  <si>
    <t>ТЕРм07-01-012-08</t>
  </si>
  <si>
    <t>Компрессорная установка оппозитная, масса 114 т</t>
  </si>
  <si>
    <t>ТЕРм07-01-012-09</t>
  </si>
  <si>
    <t>Компрессорная установка оппозитная, масса 155 т</t>
  </si>
  <si>
    <t xml:space="preserve">                                   Раздел 3. ГАЗОМОТОРНЫЕ КОМПРЕССОРЫ</t>
  </si>
  <si>
    <t xml:space="preserve">                                   Компрессоры газомоторные</t>
  </si>
  <si>
    <t>ТЕРм07-01-023-01</t>
  </si>
  <si>
    <t>Компрессор газомоторный, масса 70 т</t>
  </si>
  <si>
    <t>ТЕРм07-01-023-02</t>
  </si>
  <si>
    <t>Компрессор газомоторный, масса 126 т</t>
  </si>
  <si>
    <t>ТЕРм07-01-023-03</t>
  </si>
  <si>
    <t>Компрессор газомоторный, масса 270 т</t>
  </si>
  <si>
    <t xml:space="preserve">                                   Раздел 4. ХОЛОДИЛЬНЫЕ УСТАНОВКИ, АГРЕГАТЫ И МАШИНЫ</t>
  </si>
  <si>
    <t xml:space="preserve">                                   Компрессоры V- и W-образные</t>
  </si>
  <si>
    <t>ТЕРм07-01-034-01</t>
  </si>
  <si>
    <t>Компрессоры V- и W-образные, масса 0,13 т</t>
  </si>
  <si>
    <t>ТЕРм07-01-034-02</t>
  </si>
  <si>
    <t>Компрессоры V- и W-образные, масса 0,43 т</t>
  </si>
  <si>
    <t>ТЕРм07-01-034-03</t>
  </si>
  <si>
    <t>Компрессоры V- и W-образные, масса 0,79 т</t>
  </si>
  <si>
    <t>ТЕРм07-01-034-04</t>
  </si>
  <si>
    <t>Компрессоры V- и W-образные, масса 1,15 т</t>
  </si>
  <si>
    <t>ТЕРм07-01-034-05</t>
  </si>
  <si>
    <t>Компрессоры V- и W-образные, масса 2,82 т</t>
  </si>
  <si>
    <t>ТЕРм07-01-034-06</t>
  </si>
  <si>
    <t>Компрессоры V- и W-образные, масса 5,79 т</t>
  </si>
  <si>
    <t xml:space="preserve">                                   Агрегаты и машины компрессорно-конденсаторные</t>
  </si>
  <si>
    <t>ТЕРм07-01-035-01</t>
  </si>
  <si>
    <t>Агрегат или машина компрессорно-конденсаторная, масса 0,18 т</t>
  </si>
  <si>
    <t>ТЕРм07-01-035-02</t>
  </si>
  <si>
    <t>Агрегат или машина компрессорно-конденсаторная, масса 0,7 т</t>
  </si>
  <si>
    <t>ТЕРм07-01-035-03</t>
  </si>
  <si>
    <t>Агрегат или машина компрессорно-конденсаторная, масса 1,2 т</t>
  </si>
  <si>
    <t>ТЕРм07-01-035-04</t>
  </si>
  <si>
    <t>Агрегат или машина компрессорно-конденсаторная, масса 2,6 т</t>
  </si>
  <si>
    <t>ТЕРм07-01-035-05</t>
  </si>
  <si>
    <t>Агрегат или машина компрессорно-конденсаторная, масса 4,45 т</t>
  </si>
  <si>
    <t xml:space="preserve">                                   Компрессорные установки оппозитные с приводом от электродвигателя</t>
  </si>
  <si>
    <t>ТЕРм07-01-036-01</t>
  </si>
  <si>
    <t>Установка компрессорная оппозитная с приводом от электродвигателя, масса 9,3 т</t>
  </si>
  <si>
    <t>ТЕРм07-01-036-02</t>
  </si>
  <si>
    <t>Установка компрессорная оппозитная с приводом от электродвигателя, масса 16,6 т</t>
  </si>
  <si>
    <t>ТЕРм07-01-036-03</t>
  </si>
  <si>
    <t>Установка компрессорная оппозитная с приводом от электродвигателя, масса 19 т</t>
  </si>
  <si>
    <t xml:space="preserve">                                   Раздел 5. МЕМБРАННЫЕ КОМПРЕССОРЫ</t>
  </si>
  <si>
    <t xml:space="preserve">                                   Мембранные компрессоры</t>
  </si>
  <si>
    <t>ТЕРм07-01-047-01</t>
  </si>
  <si>
    <t>Компрессор, мембранный масса 0,76 т</t>
  </si>
  <si>
    <t>ТЕРм07-01-047-02</t>
  </si>
  <si>
    <t>Компрессор, мембранный масса 1,27 т</t>
  </si>
  <si>
    <t>ТЕРм07-01-047-03</t>
  </si>
  <si>
    <t>Компрессор, мембранный масса 2,6 т</t>
  </si>
  <si>
    <t xml:space="preserve">                           Раздел 2. ОТДЕЛ 02. КОМПРЕССОРНЫЕ И НАГНЕТАТЕЛЬНЫЕ УСТАНОВКИ ЦЕНТРОБЕЖНЫЕ, ВИНТОВЫЕ, ВОДОКОЛЬЦЕВЫЕ, ГАЗОТУРБИННЫЕ, ГАЗОВОЗДУХОДУВКИ И КОМПРЕССОРНЫЕ ХОЛОДИЛЬНЫЕ АГРЕГАТЫ И МАШИНЫ</t>
  </si>
  <si>
    <t xml:space="preserve">                                   Раздел 1. КОМПРЕССОРНЫЕ И НАГНЕТАТЕЛЬНЫЕ УСТАНОВКИ ЦЕНТРОБЕЖНЫЕ</t>
  </si>
  <si>
    <t xml:space="preserve">                                   Компрессорные и нагнетательные установки однокорпусные с горизонтальным разъемом корпуса</t>
  </si>
  <si>
    <t>ТЕРм07-02-001-01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</si>
  <si>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5,8 т</t>
  </si>
  <si>
    <t>ТЕРм07-02-001-02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</si>
  <si>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9,2 т</t>
  </si>
  <si>
    <t>ТЕРм07-02-001-03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</si>
  <si>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14,5 т</t>
  </si>
  <si>
    <t>ТЕРм07-02-001-04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</si>
  <si>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30,7 т</t>
  </si>
  <si>
    <t>ТЕРм07-02-001-05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</si>
  <si>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41 т</t>
  </si>
  <si>
    <t>ТЕРм07-02-001-06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</si>
  <si>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47,4 т</t>
  </si>
  <si>
    <t>ТЕРм07-02-001-07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</si>
  <si>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63,7 т</t>
  </si>
  <si>
    <t>ТЕРм07-02-001-08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</si>
  <si>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112 т</t>
  </si>
  <si>
    <t>ТЕРм07-02-001-09</t>
  </si>
  <si>
    <t>Установка компрессорная и нагнетательная однокорпусная с горизонтальным разъемом корпуса с приводом от электродвигателя через редуктор, масса 123,3 т</t>
  </si>
  <si>
    <t>ТЕРм07-02-001-10</t>
  </si>
  <si>
    <t>Установка компрессорная и нагнетательная однокорпусная с горизонтальным разъемом корпуса с приводом от электродвигателя, масса 5,9 т</t>
  </si>
  <si>
    <t>ТЕРм07-02-001-11</t>
  </si>
  <si>
    <t>Установка компрессорная и нагнетательная однокорпусная с горизонтальным разъемом корпуса с приводом от электродвигателя, масса 9,5 т</t>
  </si>
  <si>
    <t>ТЕРм07-02-001-12</t>
  </si>
  <si>
    <t>Установка компрессорная и нагнетательная однокорпусная с горизонтальным разъемом корпуса с приводом от электродвигателя, масса 14,4 т</t>
  </si>
  <si>
    <t>ТЕРм07-02-001-13</t>
  </si>
  <si>
    <t>Установка компрессорная и нагнетательная однокорпусная с горизонтальным разъемом корпуса с приводом от электродвигателя, масса 26,1 т</t>
  </si>
  <si>
    <t>ТЕРм07-02-001-14</t>
  </si>
  <si>
    <t>Установка компрессорная и нагнетательная однокорпусная с горизонтальным разъемом корпуса с приводом от электродвигателя, масса 37,8 т</t>
  </si>
  <si>
    <t>ТЕРм07-02-001-15</t>
  </si>
  <si>
    <t>Установка компрессорная и нагнетательная однокорпусная с горизонтальным разъемом корпуса с приводом от паровой турбины, масса 9,3 т</t>
  </si>
  <si>
    <t>ТЕРм07-02-001-16</t>
  </si>
  <si>
    <t>Установка компрессорная и нагнетательная однокорпусная с горизонтальным разъемом корпуса с приводом от паровой турбины, масса 13 т</t>
  </si>
  <si>
    <t>ТЕРм07-02-001-17</t>
  </si>
  <si>
    <t>Установка компрессорная и нагнетательная однокорпусная с горизонтальным разъемом корпуса с приводом от паровой турбины, масса 18,6 т</t>
  </si>
  <si>
    <t>ТЕРм07-02-001-18</t>
  </si>
  <si>
    <t>Установка компрессорная и нагнетательная однокорпусная с горизонтальным разъемом корпуса с приводом от паровой турбины, масса 83,6 т</t>
  </si>
  <si>
    <t>ТЕРм07-02-001-19</t>
  </si>
  <si>
    <t>Установка компрессорная и нагнетательная однокорпусная с горизонтальным разъемом корпуса с приводом от паровой турбины, масса 130 т</t>
  </si>
  <si>
    <t xml:space="preserve">                                   Компрессорные установки двухкорпусные с горизонтальным разъемом корпуса</t>
  </si>
  <si>
    <t>ТЕРм07-02-002-01</t>
  </si>
  <si>
    <t>Установка компрессорная двухкорпусная с горизонтальным разъемом корпуса с приводом от электродвигателя через редуктор, масса 21,1 т</t>
  </si>
  <si>
    <t>ТЕРм07-02-002-02</t>
  </si>
  <si>
    <t>Установка компрессорная двухкорпусная с горизонтальным разъемом корпуса с приводом от электродвигателя через редуктор, масса 54,7 т</t>
  </si>
  <si>
    <t>ТЕРм07-02-002-03</t>
  </si>
  <si>
    <t>Установка компрессорная двухкорпусная с горизонтальным разъемом корпуса с приводом от электродвигателя через редуктор, масса 87,8 т</t>
  </si>
  <si>
    <t>ТЕРм07-02-002-04</t>
  </si>
  <si>
    <t>Установка компрессорная двухкорпусная с горизонтальным разъемом корпуса с приводом от электродвигателя через редуктор, масса 120,7 т</t>
  </si>
  <si>
    <t>ТЕРм07-02-002-05</t>
  </si>
  <si>
    <t>Установка компрессорная двухкорпусная с горизонтальным разъемом корпуса с приводом от паровой турбины через редуктор, масса 98,3 т</t>
  </si>
  <si>
    <t>ТЕРм07-02-002-06</t>
  </si>
  <si>
    <t>Установка компрессорная двухкорпусная с горизонтальным разъемом корпуса с приводом от паровой турбины, масса 154 т</t>
  </si>
  <si>
    <t xml:space="preserve">                                   Компрессорные установки трехкорпусные с горизонтальным разъемом корпуса</t>
  </si>
  <si>
    <t>ТЕРм07-02-003-01</t>
  </si>
  <si>
    <t>Установка компрессорная трехкорпусная с горизонтальным разъемом корпуса с приводом от электродвигателя через редуктор, масса 55,8 т</t>
  </si>
  <si>
    <t xml:space="preserve">                                   Компрессорные и нагнетательные установки однокорпусные с вертикальным разъемом корпуса</t>
  </si>
  <si>
    <t>ТЕРм07-02-004-01</t>
  </si>
  <si>
    <t>Установка компрессорная или нагнетательная однокорпусная с вертикальным разъемом корпуса с приводом от электродвигателя, масса 44,1 т</t>
  </si>
  <si>
    <t>ТЕРм07-02-004-02</t>
  </si>
  <si>
    <t>Установка компрессорная или нагнетательная однокорпусная с вертикальным разъемом корпуса с приводом от электродвигателя, масса 58,6 т</t>
  </si>
  <si>
    <t xml:space="preserve">                                   Компрессорные и нагнетательные установки двухкорпусные с вертикальным разъемом корпуса</t>
  </si>
  <si>
    <t>ТЕРм07-02-005-01</t>
  </si>
  <si>
    <t>Установка компрессорная или нагнетательная двухкорпусная с вертикальным разъемом корпуса с приводом от электродвигателя, масса 77 т</t>
  </si>
  <si>
    <t xml:space="preserve">                                   Компрессорные и нагнетательные установки однокорпусные с горизонтальным разъемом корпуса на общей плите</t>
  </si>
  <si>
    <t>ТЕРм07-02-006-01</t>
  </si>
  <si>
    <t>Установка компрессорная или нагнетательная однокорпусная с горизонтальным разъемом корпуса на общей плите с приводом от электродвигателя, масса 0,5 т</t>
  </si>
  <si>
    <t>ТЕРм07-02-006-02</t>
  </si>
  <si>
    <t>Установка компрессорная или нагнетательная однокорпусная с горизонтальным разъемом корпуса на общей плите с приводом от электродвигателя, масса 1,1 т</t>
  </si>
  <si>
    <t>ТЕРм07-02-006-03</t>
  </si>
  <si>
    <t>Установка компрессорная или нагнетательная однокорпусная с горизонтальным разъемом корпуса на общей плите с приводом от электродвигателя через редуктор, масса 12 т</t>
  </si>
  <si>
    <t xml:space="preserve">                                   Раздел 2. ВИНТОВЫЕ КОМПРЕССОРЫ</t>
  </si>
  <si>
    <t xml:space="preserve">                                   Компрессоры винтовые</t>
  </si>
  <si>
    <t>ТЕРм07-02-017-01</t>
  </si>
  <si>
    <t>Компрессор винтовой, масса 10,7 т</t>
  </si>
  <si>
    <t xml:space="preserve">                                   Раздел 3. ГАЗОВОЗДУХОДУВКИ ЦЕНТРОБЕЖНЫЕ И РОТОРНЫЕ</t>
  </si>
  <si>
    <t xml:space="preserve">                                   Газовоздуходувки центробежные</t>
  </si>
  <si>
    <t>ТЕРм07-02-028-01</t>
  </si>
  <si>
    <t>Газовоздуходувка центробежная, масса 1,3 т</t>
  </si>
  <si>
    <t>ТЕРм07-02-028-02</t>
  </si>
  <si>
    <t>Газовоздуходувка центробежная, масса 3,2 т</t>
  </si>
  <si>
    <t>ТЕРм07-02-028-03</t>
  </si>
  <si>
    <t>Газовоздуходувка центробежная, масса 6,3 т</t>
  </si>
  <si>
    <t xml:space="preserve">                                   Газовоздуходувки роторные</t>
  </si>
  <si>
    <t>ТЕРм07-02-029-01</t>
  </si>
  <si>
    <t>Газовоздуходувка роторная, масса 0,1 т</t>
  </si>
  <si>
    <t>ТЕРм07-02-029-02</t>
  </si>
  <si>
    <t>Газовоздуходувка роторная, масса 0,37 т</t>
  </si>
  <si>
    <t>ТЕРм07-02-029-03</t>
  </si>
  <si>
    <t>Газовоздуходувка роторная, масса 0,82 т</t>
  </si>
  <si>
    <t>ТЕРм07-02-029-04</t>
  </si>
  <si>
    <t>Газовоздуходувка роторная, масса 1,01 т</t>
  </si>
  <si>
    <t xml:space="preserve">                                   Раздел 4. ГАЗОПЕРЕКАЧИВАЮЩИЕ УСТАНОВКИ (АГРЕГАТЫ)</t>
  </si>
  <si>
    <t xml:space="preserve">                                   Газоперекачивающие установки (агрегаты) с газотурбинным приводом, размещенные в зданиях (укрытиях)</t>
  </si>
  <si>
    <t>ТЕРм07-02-040-01</t>
  </si>
  <si>
    <t>Газоперекачивающая установка (агрегат) с газотурбинным приводом, размещенная в здании (укрытии), масса 87,6 т</t>
  </si>
  <si>
    <t>ТЕРм07-02-040-02</t>
  </si>
  <si>
    <t>Газоперекачивающая установка (агрегат) с газотурбинным приводом, размещенная в здании (укрытии), масса 120 т</t>
  </si>
  <si>
    <t>ТЕРм07-02-040-03</t>
  </si>
  <si>
    <t>Газоперекачивающая установка (агрегат) с газотурбинным приводом, размещенная в здании (укрытии), масса 157 т</t>
  </si>
  <si>
    <t>ТЕРм07-02-040-04</t>
  </si>
  <si>
    <t>Газоперекачивающая установка (агрегат) с газотурбинным приводом, размещенная в здании (укрытии), масса 164 т</t>
  </si>
  <si>
    <t xml:space="preserve">                                   Газоперекачивающие установки (агрегаты) с газотурбинным приводом в блочно-контейнерном исполнении</t>
  </si>
  <si>
    <t>ТЕРм07-02-041-01</t>
  </si>
  <si>
    <t>Газоперекачивающая установка (агрегат) с газотурбинным приводом в блочно-контейнерном исполнении, масса 73,6 т</t>
  </si>
  <si>
    <t>ТЕРм07-02-041-02</t>
  </si>
  <si>
    <t>Газоперекачивающая установка (агрегат) с газотурбинным приводом в блочно-контейнерном исполнении, масса 104 т</t>
  </si>
  <si>
    <t>ТЕРм07-02-041-03</t>
  </si>
  <si>
    <t>Газоперекачивающая установка (агрегат) с газотурбинным приводом в блочно-контейнерном исполнении, масса 160 т</t>
  </si>
  <si>
    <t xml:space="preserve">                                   Газоперекачивающие установки (агрегаты) с приводом от электродвигателя через редуктор в блочно-контейнерном исполнении</t>
  </si>
  <si>
    <t>ТЕРм07-02-042-01</t>
  </si>
  <si>
    <t>Газоперекачивающая установка (агрегат) с приводом от электродвигателя через редуктор в блочно-контейнерном исполнении, масса 100 т</t>
  </si>
  <si>
    <t>ТЕРм07-02-042-02</t>
  </si>
  <si>
    <t>Газоперекачивающая установка (агрегат) с приводом от электродвигателя через редуктор в блочно-контейнерном исполнении, масса 117,7 т</t>
  </si>
  <si>
    <t xml:space="preserve">                                   Газоперекачивающие агрегаты с газотурбинным приводом в блочно-комплектном исполнении</t>
  </si>
  <si>
    <t>ТЕРм07-02-043-01</t>
  </si>
  <si>
    <t>Газоперекачивающий агрегат с газотурбинным приводом в блочно-комплектном исполнении, масса 184 т</t>
  </si>
  <si>
    <t>ТЕРм07-02-043-02</t>
  </si>
  <si>
    <t>Газоперекачивающий агрегат с газотурбинным приводом в блочно-комплектном исполнении, масса 219 т</t>
  </si>
  <si>
    <t xml:space="preserve">                                   Раздел 5. КОМПРЕССОРЫ ВОДОКОЛЬЦЕВЫЕ</t>
  </si>
  <si>
    <t xml:space="preserve">                                   Компрессоры водокольцевые</t>
  </si>
  <si>
    <t>ТЕРм07-02-053-01</t>
  </si>
  <si>
    <t>Компрессор водокольцевой, масса 0,4 т</t>
  </si>
  <si>
    <t>ТЕРм07-02-053-02</t>
  </si>
  <si>
    <t>Компрессор водокольцевой, масса 0,77 т</t>
  </si>
  <si>
    <t>ТЕРм07-02-053-03</t>
  </si>
  <si>
    <t>Компрессор водокольцевой, масса 1,4 т</t>
  </si>
  <si>
    <t xml:space="preserve">                                   Раздел 6. ТУРБОКОМПРЕССОРНЫЕ ХОЛОДИЛЬНЫЕ АГРЕГАТЫ И МАШИНЫ</t>
  </si>
  <si>
    <t xml:space="preserve">                                   Турбокомпрессорные холодильные агрегаты и машины</t>
  </si>
  <si>
    <t>ТЕРм07-02-064-01</t>
  </si>
  <si>
    <t>Турбокомпрессорный холодильный агрегат, машина, масса 26,3 т</t>
  </si>
  <si>
    <t>ТЕРм07-02-064-02</t>
  </si>
  <si>
    <t>Турбокомпрессорный холодильный агрегат, машина, масса 47,1 т</t>
  </si>
  <si>
    <t>ТЕРм07-02-064-03</t>
  </si>
  <si>
    <t>Турбокомпрессорный холодильный агрегат, машина, масса 57 т</t>
  </si>
  <si>
    <t xml:space="preserve">                           Раздел 3. ОТДЕЛ 03. ВЕНТИЛЯТОРЫ И ДЫМОСОСЫ</t>
  </si>
  <si>
    <t xml:space="preserve">                                   Раздел 1. ВЕНТИЛЯТОРЫ</t>
  </si>
  <si>
    <t xml:space="preserve">                                   Вентиляторы радиальные общего назначения</t>
  </si>
  <si>
    <t>ТЕРм07-03-001-01</t>
  </si>
  <si>
    <t>Вентилятор радиальный с электродвигателем на одной оси, масса до 0,05 т</t>
  </si>
  <si>
    <t>ТЕРм07-03-001-02</t>
  </si>
  <si>
    <t>Вентилятор радиальный с электродвигателем на одной оси, масса до 0,1 т</t>
  </si>
  <si>
    <t>ТЕРм07-03-001-03</t>
  </si>
  <si>
    <t>Вентилятор радиальный с электродвигателем на одной оси, масса до 0,35 т</t>
  </si>
  <si>
    <t>ТЕРм07-03-001-04</t>
  </si>
  <si>
    <t>Вентилятор радиальный с электродвигателем на одной оси, масса до 0,5 т</t>
  </si>
  <si>
    <t>ТЕРм07-03-001-05</t>
  </si>
  <si>
    <t>Вентилятор радиальный с электродвигателем на клиноременной передаче, масса до 0,7 т</t>
  </si>
  <si>
    <t>ТЕРм07-03-001-06</t>
  </si>
  <si>
    <t>Вентилятор радиальный с электродвигателем на клиноременной передаче, масса до 1,3 т</t>
  </si>
  <si>
    <t>ТЕРм07-03-001-07</t>
  </si>
  <si>
    <t>Вентилятор радиальный с электродвигателем на клиноременной передаче, масса до 2,5 т</t>
  </si>
  <si>
    <t>ТЕРм07-03-001-08</t>
  </si>
  <si>
    <t>Вентилятор радиальный с электродвигателем на клиноременной передаче, масса до 2,9 т</t>
  </si>
  <si>
    <t xml:space="preserve">                                   Вентиляторы осевые</t>
  </si>
  <si>
    <t>ТЕРм07-03-002-01</t>
  </si>
  <si>
    <t>Вентилятор осевой, масса до 0,05 т</t>
  </si>
  <si>
    <t>ТЕРм07-03-002-02</t>
  </si>
  <si>
    <t>Вентилятор осевой, масса до 0,1 т</t>
  </si>
  <si>
    <t>ТЕРм07-03-002-03</t>
  </si>
  <si>
    <t>Вентилятор осевой, масса до 0,2 т</t>
  </si>
  <si>
    <t>ТЕРм07-03-002-04</t>
  </si>
  <si>
    <t>Вентилятор осевой, масса до 0,3 т</t>
  </si>
  <si>
    <t xml:space="preserve">                                   Вентиляторы дутьевые центробежные одностороннего и двустороннего всасывания и осевые двухступенчатые</t>
  </si>
  <si>
    <t>ТЕРм07-03-003-01</t>
  </si>
  <si>
    <t>Вентилятор дутьевой центробежный одностороннего всасывания, масса 0,15 т</t>
  </si>
  <si>
    <t>ТЕРм07-03-003-02</t>
  </si>
  <si>
    <t>Вентилятор дутьевой центробежный одностороннего всасывания, масса 0,6 т</t>
  </si>
  <si>
    <t>ТЕРм07-03-003-03</t>
  </si>
  <si>
    <t>Вентилятор дутьевой центробежный одностороннего всасывания, масса 1,47 т</t>
  </si>
  <si>
    <t>ТЕРм07-03-003-04</t>
  </si>
  <si>
    <t>Вентилятор дутьевой центробежный одностороннего всасывания, масса 5,55 т</t>
  </si>
  <si>
    <t>ТЕРм07-03-003-05</t>
  </si>
  <si>
    <t>Вентилятор дутьевой центробежный одностороннего всасывания, масса 8,54 т</t>
  </si>
  <si>
    <t>ТЕРм07-03-003-06</t>
  </si>
  <si>
    <t>Вентилятор дутьевой центробежный одностороннего всасывания, масса 19 т</t>
  </si>
  <si>
    <t>ТЕРм07-03-003-07</t>
  </si>
  <si>
    <t>Вентилятор дутьевой центробежный одностороннего всасывания, масса 32 т</t>
  </si>
  <si>
    <t>ТЕРм07-03-003-08</t>
  </si>
  <si>
    <t>Вентилятор дутьевой центробежный двустороннего всасывания, масса 45,1 т</t>
  </si>
  <si>
    <t>ТЕРм07-03-003-09</t>
  </si>
  <si>
    <t>Вентилятор дутьевой центробежный двустороннего всасывания, масса 73 т</t>
  </si>
  <si>
    <t>ТЕРм07-03-003-10</t>
  </si>
  <si>
    <t>Вентилятор дутьевой центробежный осевой двухступенчатый, масса 73,2 т</t>
  </si>
  <si>
    <t>ТЕРм07-03-003-11</t>
  </si>
  <si>
    <t>Вентилятор дутьевой центробежный осевой двухступенчатый, масса 136 т</t>
  </si>
  <si>
    <t xml:space="preserve">                                   Вентиляторы горячего дутья</t>
  </si>
  <si>
    <t>ТЕРм07-03-004-01</t>
  </si>
  <si>
    <t>Вентилятор горячего дутья, масса 4,3 т</t>
  </si>
  <si>
    <t>ТЕРм07-03-004-02</t>
  </si>
  <si>
    <t>Вентилятор горячего дутья, масса 7,4 т</t>
  </si>
  <si>
    <t xml:space="preserve">                                   Вентиляторы мельничные</t>
  </si>
  <si>
    <t>ТЕРм07-03-005-01</t>
  </si>
  <si>
    <t>Вентилятор мельничный, масса 1,9 т</t>
  </si>
  <si>
    <t>ТЕРм07-03-005-02</t>
  </si>
  <si>
    <t>Вентилятор мельничный, масса 4,42 т</t>
  </si>
  <si>
    <t>ТЕРм07-03-005-03</t>
  </si>
  <si>
    <t>Вентилятор мельничный, масса 7,3 т</t>
  </si>
  <si>
    <t>ТЕРм07-03-005-04</t>
  </si>
  <si>
    <t>Вентилятор мельничный, масса 17,4 т</t>
  </si>
  <si>
    <t xml:space="preserve">                                   Вентиляторы для градирен</t>
  </si>
  <si>
    <t>ТЕРм07-03-006-01</t>
  </si>
  <si>
    <t>Вентилятор для градирен, масса 1,03 т</t>
  </si>
  <si>
    <t>ТЕРм07-03-006-02</t>
  </si>
  <si>
    <t>Вентилятор для градирен, масса 4,9 т</t>
  </si>
  <si>
    <t>ТЕРм07-03-006-03</t>
  </si>
  <si>
    <t>Вентилятор для градирен, масса 9,3 т</t>
  </si>
  <si>
    <t xml:space="preserve">                                   Агрегаты вентиляционные для градирен</t>
  </si>
  <si>
    <t>ТЕРм07-03-007-01</t>
  </si>
  <si>
    <t>Агрегат вентиляционный для градирен, масса 16,2 т, площадь орошения 400 м2</t>
  </si>
  <si>
    <t>ТЕРм07-03-007-02</t>
  </si>
  <si>
    <t>Агрегат вентиляционный для градирен, масса 58,9 т, площадь орошения 1200 м2</t>
  </si>
  <si>
    <t xml:space="preserve">                                   Раздел 2. ДЫМОСОСЫ ОДНОСТОРОННЕГО И ДВУСТОРОННЕГО ВСАСЫВАНИЯ</t>
  </si>
  <si>
    <t xml:space="preserve">                                   Дымососы одностороннего всасывания</t>
  </si>
  <si>
    <t>ТЕРм07-03-018-01</t>
  </si>
  <si>
    <t>Дымосос одностороннего всасывания, масса 0,67 т</t>
  </si>
  <si>
    <t>ТЕРм07-03-018-02</t>
  </si>
  <si>
    <t>Дымосос одностороннего всасывания, масса 1,55 т</t>
  </si>
  <si>
    <t>ТЕРм07-03-018-03</t>
  </si>
  <si>
    <t>Дымосос одностороннего всасывания, масса 2,6 т</t>
  </si>
  <si>
    <t>ТЕРм07-03-018-04</t>
  </si>
  <si>
    <t>Дымосос одностороннего всасывания, масса 5,26 т</t>
  </si>
  <si>
    <t>ТЕРм07-03-018-05</t>
  </si>
  <si>
    <t>Дымосос одностороннего всасывания, масса 12,8 т</t>
  </si>
  <si>
    <t>ТЕРм07-03-018-06</t>
  </si>
  <si>
    <t>Дымосос одностороннего всасывания, масса 18,5-23,6 т</t>
  </si>
  <si>
    <t xml:space="preserve">                                   Дымососы двустороннего всасывания</t>
  </si>
  <si>
    <t>ТЕРм07-03-019-01</t>
  </si>
  <si>
    <t>Дымосос двустороннего всасывания, масса 16,2 т</t>
  </si>
  <si>
    <t>ТЕРм07-03-019-02</t>
  </si>
  <si>
    <t>Дымосос двустороннего всасывания, масса 42,6 т</t>
  </si>
  <si>
    <t>ТЕРм07-03-019-03</t>
  </si>
  <si>
    <t>Дымосос двустороннего всасывания, масса 42,9 т</t>
  </si>
  <si>
    <t xml:space="preserve">                                   Дымососы осевые</t>
  </si>
  <si>
    <t>ТЕРм07-03-020-01</t>
  </si>
  <si>
    <t>Дымосос осевой, масса 63,8 т</t>
  </si>
  <si>
    <t>ТЕРм07-03-020-02</t>
  </si>
  <si>
    <t>Дымосос осевой, масса 71,2 т</t>
  </si>
  <si>
    <t>ТЕРм07-03-020-03</t>
  </si>
  <si>
    <t>Дымосос осевой, масса 130-142 т</t>
  </si>
  <si>
    <t xml:space="preserve">                           Раздел 4. ОТДЕЛ 04. НАСОСЫ</t>
  </si>
  <si>
    <t xml:space="preserve">                                   Раздел 1. НАСОСНЫЕ АГРЕГАТЫ ОБЩЕГО НАЗНАЧЕНИЯ И СПЕЦИАЛЬНЫЕ (КРОМЕ ПИТАТЕЛЬНЫХ, ВАКУУМНЫХ, ШАХТНЫХ И АРТЕЗИАНСКИХ)</t>
  </si>
  <si>
    <t xml:space="preserve">                                   Насосные агрегаты лопастные центробежные одноступенчатые, многоступенчатые объемные, вихревые, поршневые, приводные, роторные на общей фундаментной плите или моноблочные</t>
  </si>
  <si>
    <t>ТЕРм07-04-001-01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</si>
  <si>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0,064 т</t>
  </si>
  <si>
    <t>ТЕРм07-04-001-02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</si>
  <si>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0,17 т</t>
  </si>
  <si>
    <t>ТЕРм07-04-001-03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</si>
  <si>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0,425 т</t>
  </si>
  <si>
    <t>ТЕРм07-04-001-04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</si>
  <si>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0,6 т</t>
  </si>
  <si>
    <t>ТЕРм07-04-001-05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</si>
  <si>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0,9 т</t>
  </si>
  <si>
    <t>ТЕРм07-04-001-06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</si>
  <si>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1,1 т</t>
  </si>
  <si>
    <t>ТЕРм07-04-001-07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</si>
  <si>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2 т</t>
  </si>
  <si>
    <t>ТЕРм07-04-001-08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</si>
  <si>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2,9 т</t>
  </si>
  <si>
    <t>ТЕРм07-04-001-09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</si>
  <si>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3,4 т</t>
  </si>
  <si>
    <t>ТЕРм07-04-001-10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</si>
  <si>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5 т</t>
  </si>
  <si>
    <t>ТЕРм07-04-001-11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</si>
  <si>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9,4 т</t>
  </si>
  <si>
    <t>ТЕРм07-04-001-12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</si>
  <si>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12,3 т</t>
  </si>
  <si>
    <t>ТЕРм07-04-001-13</t>
  </si>
  <si>
    <t>Агрегат насосный лопастный центробежный одноступенчатый, многоступенчатый объемный, вихревой, поршневой, приводной, роторный на общей фундаментной плите или моноблочный, масса 16,1 т</t>
  </si>
  <si>
    <t xml:space="preserve">                                   Насосы поршневые паровые горизонтальные или вертикальные</t>
  </si>
  <si>
    <t>ТЕРм07-04-002-01</t>
  </si>
  <si>
    <t>Насос поршневой паровой горизонтальный или вертикальный, масса 0,35 т</t>
  </si>
  <si>
    <t>ТЕРм07-04-002-02</t>
  </si>
  <si>
    <t>Насос поршневой паровой горизонтальный или вертикальный, масса 1,25 т</t>
  </si>
  <si>
    <t>ТЕРм07-04-002-03</t>
  </si>
  <si>
    <t>Насос поршневой паровой горизонтальный или вертикальный, масса 1,7 т</t>
  </si>
  <si>
    <t>ТЕРм07-04-002-04</t>
  </si>
  <si>
    <t>Насос поршневой паровой горизонтальный или вертикальный, масса 4,5 т</t>
  </si>
  <si>
    <t xml:space="preserve">                                   Насосные агрегаты лопастные центробежные одноступенчатые и многоступенчатые, объемные, поршневые, приводные на отдельных фундаментных плитах</t>
  </si>
  <si>
    <t>ТЕРм07-04-003-01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</si>
  <si>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0,9 т</t>
  </si>
  <si>
    <t>ТЕРм07-04-003-02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</si>
  <si>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1,8 т</t>
  </si>
  <si>
    <t>ТЕРм07-04-003-03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</si>
  <si>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2,3 т</t>
  </si>
  <si>
    <t>ТЕРм07-04-003-04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</si>
  <si>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4,6 т</t>
  </si>
  <si>
    <t>ТЕРм07-04-003-05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</si>
  <si>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6,2 т</t>
  </si>
  <si>
    <t>ТЕРм07-04-003-06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</si>
  <si>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18,2 т</t>
  </si>
  <si>
    <t>ТЕРм07-04-003-07</t>
  </si>
  <si>
    <t>Агрегат насосный лопастной центробежный одноступенчатый и многоступенчатый, объемный, поршневой, приводной на отдельных фундаментных плитах, масса 31,3 т</t>
  </si>
  <si>
    <t xml:space="preserve">                                   Насосные агрегаты центробежные с вертикальным валом</t>
  </si>
  <si>
    <t>ТЕРм07-04-004-01</t>
  </si>
  <si>
    <t>Агрегат насосный центробежный с вертикальным валом масляный, масса 1,48-1,73 т</t>
  </si>
  <si>
    <t>ТЕРм07-04-004-02</t>
  </si>
  <si>
    <t>Агрегат насосный центробежный с вертикальным валом конденсатный, масса 1,06 т</t>
  </si>
  <si>
    <t>ТЕРм07-04-004-03</t>
  </si>
  <si>
    <t>Агрегат насосный центробежный с вертикальным валом конденсатный, масса 4,61 т</t>
  </si>
  <si>
    <t>ТЕРм07-04-004-04</t>
  </si>
  <si>
    <t>Агрегат насосный центробежный с вертикальным валом конденсатный, масса 7,38 т</t>
  </si>
  <si>
    <t>ТЕРм07-04-004-05</t>
  </si>
  <si>
    <t>Агрегат насосный центробежный с вертикальным валом конденсатный, масса 12,86 т</t>
  </si>
  <si>
    <t>ТЕРм07-04-004-06</t>
  </si>
  <si>
    <t>Агрегат насосный центробежный с вертикальным валом осевой, масса 5,55-14,01 т</t>
  </si>
  <si>
    <t>ТЕРм07-04-004-07</t>
  </si>
  <si>
    <t>Агрегат насосный центробежный с вертикальным валом осевой, масса 36,5 т</t>
  </si>
  <si>
    <t>ТЕРм07-04-004-08</t>
  </si>
  <si>
    <t>Агрегат насосный центробежный с вертикальным валом осевой, масса 83,05 т</t>
  </si>
  <si>
    <t>ТЕРм07-04-004-09</t>
  </si>
  <si>
    <t>Агрегат насосный центробежный с вертикальным валом осевой, масса 216,8 т</t>
  </si>
  <si>
    <t>ТЕРм07-04-004-10</t>
  </si>
  <si>
    <t>Агрегат насосный центробежный с вертикальным валом масса 22,41 т</t>
  </si>
  <si>
    <t>ТЕРм07-04-004-11</t>
  </si>
  <si>
    <t>Агрегат насосный центробежный с вертикальным валом масса 40,2 т</t>
  </si>
  <si>
    <t>ТЕРм07-04-004-12</t>
  </si>
  <si>
    <t>Агрегат насосный центробежный с вертикальным валом масса 81,67 т</t>
  </si>
  <si>
    <t>ТЕРм07-04-004-13</t>
  </si>
  <si>
    <t>Агрегат насосный центробежный с вертикальным валом масса 223 т</t>
  </si>
  <si>
    <t xml:space="preserve">                                   Раздел 2. НАСОСНЫЕ АГРЕГАТЫ ПИТАТЕЛЬНЫЕ С ПРИВОДОМ ОТ ЭЛЕКТРОДВИГАТЕЛЯ И ПАРОТУРБОНАСОСЫ</t>
  </si>
  <si>
    <t xml:space="preserve">                                   Насосные агрегаты с приводом от электродвигателя</t>
  </si>
  <si>
    <t>ТЕРм07-04-015-01</t>
  </si>
  <si>
    <t>Агрегат насосный с приводом от электродвигателя, масса 2,79-5,02 т</t>
  </si>
  <si>
    <t>ТЕРм07-04-015-02</t>
  </si>
  <si>
    <t>Агрегат насосный с приводом от электродвигателя, масса 8,92 т</t>
  </si>
  <si>
    <t>ТЕРм07-04-015-03</t>
  </si>
  <si>
    <t>Агрегат насосный с приводом от электродвигателя, масса 21,5 т</t>
  </si>
  <si>
    <t>ТЕРм07-04-015-04</t>
  </si>
  <si>
    <t>Агрегат насосный с приводом от электродвигателя, масса 35,21 т</t>
  </si>
  <si>
    <t xml:space="preserve">                                   Паротурбонасосы питательные</t>
  </si>
  <si>
    <t>ТЕРм07-04-016-01</t>
  </si>
  <si>
    <t>Паротурбонасос питательный, масса 16,6-19 т</t>
  </si>
  <si>
    <t xml:space="preserve">                                   Раздел 3. НАСОСЫ ВАКУУМНЫЕ, ШАХТНЫЕ И АРТЕЗИАНСКИЕ</t>
  </si>
  <si>
    <t xml:space="preserve">                                   Вакуум-насосные агрегаты поршневые ротационные водокольцевые</t>
  </si>
  <si>
    <t>ТЕРм07-04-027-01</t>
  </si>
  <si>
    <t>Агрегат вакуум-насосный поршневой ротационный водокольцевой, масса 0,3 т</t>
  </si>
  <si>
    <t>ТЕРм07-04-027-02</t>
  </si>
  <si>
    <t>Агрегат вакуум-насосный поршневой ротационный водокольцевой, масса 0,8 т</t>
  </si>
  <si>
    <t>ТЕРм07-04-027-03</t>
  </si>
  <si>
    <t>Агрегат вакуум-насосный поршневой ротационный водокольцевой, масса 1,1 т</t>
  </si>
  <si>
    <t>ТЕРм07-04-027-04</t>
  </si>
  <si>
    <t>Агрегат вакуум-насосный поршневой ротационный водокольцевой, масса 2,4 т</t>
  </si>
  <si>
    <t>ТЕРм07-04-027-05</t>
  </si>
  <si>
    <t>Агрегат вакуум-насосный поршневой ротационный водокольцевой, масса 3,5 т</t>
  </si>
  <si>
    <t>ТЕРм07-04-027-06</t>
  </si>
  <si>
    <t>Агрегат вакуум-насосный поршневой ротационный водокольцевой, масса 13,7 т</t>
  </si>
  <si>
    <t xml:space="preserve">                                   Насосные агрегаты шахтные</t>
  </si>
  <si>
    <t>ТЕРм07-04-028-01</t>
  </si>
  <si>
    <t>Агрегат электронасосный, центробежный шахтный консольный, масса 0,25 т</t>
  </si>
  <si>
    <t>ТЕРм07-04-028-02</t>
  </si>
  <si>
    <t>Агрегат электронасосный, центробежный шахтный подвесной, масса 2,6 т</t>
  </si>
  <si>
    <t>ТЕРм07-04-028-03</t>
  </si>
  <si>
    <t>Турбонасос забойный шахтный, масса 0,03 т</t>
  </si>
  <si>
    <t>ТЕРм07-04-028-04</t>
  </si>
  <si>
    <t>Насос погружной заливочный, масса 0,11 т</t>
  </si>
  <si>
    <t>ТЕРм07-04-028-05</t>
  </si>
  <si>
    <t>Агрегат электронасосный, винтовой шахтный, масса 0,16 т</t>
  </si>
  <si>
    <t>ТЕРм07-04-028-06</t>
  </si>
  <si>
    <t>Агрегат электронасосный, винтовой шахтный, масса 0,25 т</t>
  </si>
  <si>
    <t xml:space="preserve">                                   Насосы артезианские с электродвигателем над скважиной</t>
  </si>
  <si>
    <t>ТЕРм07-04-029-01</t>
  </si>
  <si>
    <t>Насос артезианский с электродвигателем над скважиной, марки АтН8-1-16</t>
  </si>
  <si>
    <t>ТЕРм07-04-029-02</t>
  </si>
  <si>
    <t>Насос артезианский с электродвигателем над скважиной, марки АтН8-1-22</t>
  </si>
  <si>
    <t xml:space="preserve">                                   Насосы артезианские с погружным электродвигателем</t>
  </si>
  <si>
    <t>ТЕРм07-04-030-01</t>
  </si>
  <si>
    <t>Насос артезианский с погружным электродвигателем, марки 1ЭЦВ6-4-130</t>
  </si>
  <si>
    <t>ТЕРм07-04-030-02</t>
  </si>
  <si>
    <t>Насос артезианский с погружным электродвигателем, марки 3ЭЦВ6-6,3-85</t>
  </si>
  <si>
    <t>ТЕРм07-04-030-03</t>
  </si>
  <si>
    <t>Насос артезианский с погружным электродвигателем, марки 3ЭЦВ6-6,3-125</t>
  </si>
  <si>
    <t>ТЕРм07-04-030-04</t>
  </si>
  <si>
    <t>Насос артезианский с погружным электродвигателем, марки 1ЭЦВ6-10-50</t>
  </si>
  <si>
    <t>ТЕРм07-04-030-05</t>
  </si>
  <si>
    <t>Насос артезианский с погружным электродвигателем, марки 1ЭЦВ6-10-110</t>
  </si>
  <si>
    <t>ТЕРм07-04-030-06</t>
  </si>
  <si>
    <t>Насос артезианский с погружным электродвигателем, марки 1ЭЦВ6-10-185</t>
  </si>
  <si>
    <t>ТЕРм07-04-030-07</t>
  </si>
  <si>
    <t>Насос артезианский с погружным электродвигателем, марки ЭЦВ6-10-235</t>
  </si>
  <si>
    <t>ТЕРм07-04-030-08</t>
  </si>
  <si>
    <t>Насос артезианский с погружным электродвигателем, марки 3ЭЦВ6-16-75</t>
  </si>
  <si>
    <t>ТЕРм07-04-030-09</t>
  </si>
  <si>
    <t>Насос артезианский с погружным электродвигателем, марки 3ЭЦВ8-16-140</t>
  </si>
  <si>
    <t>ТЕРм07-04-030-10</t>
  </si>
  <si>
    <t>Насос артезианский с погружным электродвигателем, марки 1ЭЦВ8-25-100</t>
  </si>
  <si>
    <t>ТЕРм07-04-030-11</t>
  </si>
  <si>
    <t>Насос артезианский с погружным электродвигателем, марки 2ЭЦВ8-25-150</t>
  </si>
  <si>
    <t>ТЕРм07-04-030-12</t>
  </si>
  <si>
    <t>Насос артезианский с погружным электродвигателем, марки ЭЦВ8-25-300</t>
  </si>
  <si>
    <t>ТЕРм07-04-030-13</t>
  </si>
  <si>
    <t>Насос артезианский с погружным электродвигателем, марки ЭЦВ8-40-60</t>
  </si>
  <si>
    <t>ТЕРм07-04-030-14</t>
  </si>
  <si>
    <t>Насос артезианский с погружным электродвигателем, марки ЭЦВ8-40-180</t>
  </si>
  <si>
    <t>ТЕРм07-04-030-15</t>
  </si>
  <si>
    <t>Насос артезианский с погружным электродвигателем, марки 2ЭЦВ-10-63-110</t>
  </si>
  <si>
    <t>ТЕРм07-04-030-16</t>
  </si>
  <si>
    <t>Насос артезианский с погружным электродвигателем, марки 2ЭЦВ10-63-150</t>
  </si>
  <si>
    <t>ТЕРм07-04-030-17</t>
  </si>
  <si>
    <t>Насос артезианский с погружным электродвигателем, марки 1ЭЦВ10-63-270</t>
  </si>
  <si>
    <t>ТЕРм07-04-030-18</t>
  </si>
  <si>
    <t>Насос артезианский с погружным электродвигателем, марки ЭЦВ10-120-60</t>
  </si>
  <si>
    <t>ТЕРм07-04-030-19</t>
  </si>
  <si>
    <t>Насос артезианский с погружным электродвигателем, марки ЭЦВ10-160-35Г</t>
  </si>
  <si>
    <t>ТЕРм07-04-030-20</t>
  </si>
  <si>
    <t>Насос артезианский с погружным электродвигателем, марки 1ЭЦВ12-160-65</t>
  </si>
  <si>
    <t>ТЕРм07-04-030-21</t>
  </si>
  <si>
    <t>Насос артезианский с погружным электродвигателем, марки 1ЭЦВ12-160-100</t>
  </si>
  <si>
    <t>ТЕРм07-04-030-22</t>
  </si>
  <si>
    <t>Насос артезианский с погружным электродвигателем, марки 1ЭЦВ12-210-25</t>
  </si>
  <si>
    <t>ТЕРм07-04-030-23</t>
  </si>
  <si>
    <t>Насос артезианский с погружным электродвигателем, марки 2ЭЦВ12-210-55</t>
  </si>
  <si>
    <t>ТЕРм07-04-030-24</t>
  </si>
  <si>
    <t>Насос артезианский с погружным электродвигателем, марки 1ЭЦВ12-210-145</t>
  </si>
  <si>
    <t>ТЕРм07-04-030-25</t>
  </si>
  <si>
    <t>Насос артезианский с погружным электродвигателем, марки 2ЭВЦ12-255-30Г</t>
  </si>
  <si>
    <t>ТЕРм07-04-030-26</t>
  </si>
  <si>
    <t>Насос артезианский с погружным электродвигателем, марки ЭВЦ14-210-300Х</t>
  </si>
  <si>
    <t>ТЕРм07-04-030-27</t>
  </si>
  <si>
    <t>Насос артезианский с погружным электродвигателем, марки ЭЦ316-375-175Х</t>
  </si>
  <si>
    <t>ТЕРм-2001-09</t>
  </si>
  <si>
    <t xml:space="preserve">                           Раздел 1. ОТДЕЛ 01. РАСПРЕДЕЛИТЕЛЬНЫЕ УСТРОЙСТВА И ПОДСТАНЦИИ</t>
  </si>
  <si>
    <t xml:space="preserve">                                   Раздел 1. РАСПРЕДЕЛИТЕЛЬНЫЕ УСТРОЙСТВА ОТКРЫТЫЕ 6-750 КВ</t>
  </si>
  <si>
    <t xml:space="preserve">                                   Трансформаторы и автотрансформаторы силовые</t>
  </si>
  <si>
    <t>ТЕРм08-01-001-01</t>
  </si>
  <si>
    <t>Трансформатор трехфазный 35 кВ мощностью 250 кВ·А</t>
  </si>
  <si>
    <t>ТЕРм08-01-001-02</t>
  </si>
  <si>
    <t>Трансформатор трехфазный 35 кВ мощностью 400 кВ·А</t>
  </si>
  <si>
    <t>ТЕРм08-01-001-03</t>
  </si>
  <si>
    <t>Трансформатор трехфазный 35 кВ мощностью 630 кВ·А</t>
  </si>
  <si>
    <t>ТЕРм08-01-001-04</t>
  </si>
  <si>
    <t>Трансформатор трехфазный 35 кВ мощностью 1000 кВ·А</t>
  </si>
  <si>
    <t>ТЕРм08-01-001-05</t>
  </si>
  <si>
    <t>Трансформатор трехфазный 35 кВ мощностью 1600 кВ·А</t>
  </si>
  <si>
    <t>ТЕРм08-01-001-06</t>
  </si>
  <si>
    <t>Трансформатор трехфазный 35 кВ мощностью 2500 кВ·А</t>
  </si>
  <si>
    <t>ТЕРм08-01-001-07</t>
  </si>
  <si>
    <t>Трансформатор трехфазный 35 кВ мощностью 4000, 6300 кВ·А</t>
  </si>
  <si>
    <t>ТЕРм08-01-001-08</t>
  </si>
  <si>
    <t>Трансформатор трехфазный 35 кВ мощностью 10000-40000 кВ·А</t>
  </si>
  <si>
    <t>ТЕРм08-01-001-09</t>
  </si>
  <si>
    <t>Трансформатор трехфазный 35 кВ мощностью 63000 кВ·А</t>
  </si>
  <si>
    <t>ТЕРм08-01-001-10</t>
  </si>
  <si>
    <t>Трансформатор трехфазный 110 кВ мощностью 500-6300 кВ·А</t>
  </si>
  <si>
    <t>ТЕРм08-01-001-11</t>
  </si>
  <si>
    <t>Трансформатор трехфазный 110 кВ мощностью 10000, 16000 кВ·А</t>
  </si>
  <si>
    <t>ТЕРм08-01-001-12</t>
  </si>
  <si>
    <t>Трансформатор трехфазный 110 кВ мощностью 25000-80000 кВ·А</t>
  </si>
  <si>
    <t>ТЕРм08-01-001-13</t>
  </si>
  <si>
    <t>Трансформатор трехфазный 110 кВ мощностью 125000-250000 кВ·А</t>
  </si>
  <si>
    <t>ТЕРм08-01-001-14</t>
  </si>
  <si>
    <t>Трансформатор трехфазный 110 кВ мощностью 400000 кВ·А</t>
  </si>
  <si>
    <t>ТЕРм08-01-001-15</t>
  </si>
  <si>
    <t>Трансформатор или автотрансформатор трехфазный 150 кВ мощностью 16000-63000 кВ·А</t>
  </si>
  <si>
    <t>ТЕРм08-01-001-16</t>
  </si>
  <si>
    <t>Трансформатор или автотрансформатор трехфазный 150 кВ мощностью 125000-250000 кВ·А</t>
  </si>
  <si>
    <t>ТЕРм08-01-001-17</t>
  </si>
  <si>
    <t>Трансформатор или автотрансформатор трехфазный 220 кВ мощностью 25000-160000 кВ·А</t>
  </si>
  <si>
    <t>ТЕРм08-01-001-18</t>
  </si>
  <si>
    <t>Трансформатор или автотрансформатор трехфазный 220 кВ мощностью 200000, 250000 кВ·А</t>
  </si>
  <si>
    <t>ТЕРм08-01-001-19</t>
  </si>
  <si>
    <t>Трансформатор или автотрансформатор трехфазный 220 кВ мощностью 400000, 630000 кВ·А</t>
  </si>
  <si>
    <t>ТЕРм08-01-001-20</t>
  </si>
  <si>
    <t>Трансформатор или автотрансформатор трехфазный 330 кВ мощностью 63000 кВ·А</t>
  </si>
  <si>
    <t>ТЕРм08-01-001-21</t>
  </si>
  <si>
    <t>Трансформатор или автотрансформатор трехфазный 330 кВ мощностью 125000-400000 кВ·А</t>
  </si>
  <si>
    <t>ТЕРм08-01-001-22</t>
  </si>
  <si>
    <t>Трансформатор или автотрансформатор трехфазный 330 кВ мощностью 1250000 кВ·А</t>
  </si>
  <si>
    <t>ТЕРм08-01-001-23</t>
  </si>
  <si>
    <t>Автотрансформатор однофазный 330 кВ мощностью 133000 кВ·А</t>
  </si>
  <si>
    <t>ТЕРм08-01-001-24</t>
  </si>
  <si>
    <t>Трансформатор или автотрансформатор трехфазный 500 кВ мощностью 250000 кВ·А</t>
  </si>
  <si>
    <t>ТЕРм08-01-001-25</t>
  </si>
  <si>
    <t>Трансформатор или автотрансформатор трехфазный 500 кВ мощностью 400000 кВ·А</t>
  </si>
  <si>
    <t>ТЕРм08-01-001-26</t>
  </si>
  <si>
    <t>Трансформатор или автотрансформатор трехфазный 500 кВ мощностью 630000, 1000000 кВ·А</t>
  </si>
  <si>
    <t>ТЕРм08-01-001-27</t>
  </si>
  <si>
    <t>Трансформатор или автотрансформатор однофазный 500 кВ мощностью 135000, 167000 кВ·А</t>
  </si>
  <si>
    <t>ТЕРм08-01-001-28</t>
  </si>
  <si>
    <t>Трансформатор или автотрансформатор однофазный 500 кВ мощностью 267000 кВ·А</t>
  </si>
  <si>
    <t>ТЕРм08-01-001-29</t>
  </si>
  <si>
    <t>Трансформатор или автотрансформатор однофазный 500 кВ мощностью 533000 кВ·А</t>
  </si>
  <si>
    <t>ТЕРм08-01-001-30</t>
  </si>
  <si>
    <t>Трансформатор или автотрансформатор однофазный 750 кВ мощностью 333000 кВ·А</t>
  </si>
  <si>
    <t xml:space="preserve">                                   Трансформаторы для регулирования напряжения</t>
  </si>
  <si>
    <t>ТЕРм08-01-002-01</t>
  </si>
  <si>
    <t>Трансформатор трехфазный последовательный 35 кВ мощностью 240000 кВ·А</t>
  </si>
  <si>
    <t>ТЕРм08-01-002-02</t>
  </si>
  <si>
    <t>Трансформатор трехфазный линейный 10 кВ мощностью 16000, 40000 кВ·А</t>
  </si>
  <si>
    <t>ТЕРм08-01-002-03</t>
  </si>
  <si>
    <t>Трансформатор трехфазный линейный 35 кВ мощностью 63000, 100000 кВ·А</t>
  </si>
  <si>
    <t xml:space="preserve">                                   Системы охлаждения трансформаторов</t>
  </si>
  <si>
    <t>ТЕРм08-01-003-01</t>
  </si>
  <si>
    <t>Система охлаждения вида ДЦ навесная</t>
  </si>
  <si>
    <t>ТЕРм08-01-003-02</t>
  </si>
  <si>
    <t>Система охлаждения вида ДЦ выносная типа ГОУ, состоящая из 3-4 охладителей</t>
  </si>
  <si>
    <t>ТЕРм08-01-003-03</t>
  </si>
  <si>
    <t>Система охлаждения вида Ц</t>
  </si>
  <si>
    <t xml:space="preserve">                                   Реакторы масляные</t>
  </si>
  <si>
    <t>ТЕРм08-01-004-01</t>
  </si>
  <si>
    <t>Реактор масляный заземляющий 6-35 кВ мощностью 200 кВ·А</t>
  </si>
  <si>
    <t>ТЕРм08-01-004-02</t>
  </si>
  <si>
    <t>Реактор масляный заземляющий 6-35 кВ мощностью 500 кВ·А</t>
  </si>
  <si>
    <t>ТЕРм08-01-004-03</t>
  </si>
  <si>
    <t>Реактор масляный заземляющий 6-35 кВ мощностью 1000 кВ·А</t>
  </si>
  <si>
    <t>ТЕРм08-01-004-04</t>
  </si>
  <si>
    <t>Реактор масляный заземляющий 6-35 кВ мощностью 1600 кВ·А</t>
  </si>
  <si>
    <t>ТЕРм08-01-004-05</t>
  </si>
  <si>
    <t>Реактор масляный шунтирующий напряжением 110 кВ·А</t>
  </si>
  <si>
    <t>ТЕРм08-01-004-06</t>
  </si>
  <si>
    <t>Реактор масляный шунтирующий напряжением 500 кВ·А</t>
  </si>
  <si>
    <t>ТЕРм08-01-004-07</t>
  </si>
  <si>
    <t>Реактор масляный шунтирующий напряжением 750 кВ·А</t>
  </si>
  <si>
    <t xml:space="preserve">                                   Подсушка изоляции трансформаторов, автотрансформаторов и реакторов</t>
  </si>
  <si>
    <t>ТЕРм08-01-005-01</t>
  </si>
  <si>
    <t>Подсушка методом низкотемпературной обработки изоляции</t>
  </si>
  <si>
    <t>ТЕРм08-01-005-02</t>
  </si>
  <si>
    <t>Подсушка методом термодиффузии, мощность до 80 мВ·А</t>
  </si>
  <si>
    <t>ТЕРм08-01-005-03</t>
  </si>
  <si>
    <t>Подсушка методом термодиффузии, мощность до 200 мВ·А</t>
  </si>
  <si>
    <t>ТЕРм08-01-005-04</t>
  </si>
  <si>
    <t>Подсушка методом термодиффузии, мощность свыше 200 мВ·А</t>
  </si>
  <si>
    <t xml:space="preserve">                                   Трансформаторы тока</t>
  </si>
  <si>
    <t>ТЕРм08-01-006-01</t>
  </si>
  <si>
    <t>Трансформатор тока напряжением 35 кВ</t>
  </si>
  <si>
    <t>ТЕРм08-01-006-02</t>
  </si>
  <si>
    <t>Трансформатор тока напряжением 110 кВ</t>
  </si>
  <si>
    <t>ТЕРм08-01-006-03</t>
  </si>
  <si>
    <t>Трансформатор тока напряжением 150 кВ</t>
  </si>
  <si>
    <t>ТЕРм08-01-006-04</t>
  </si>
  <si>
    <t>Трансформатор тока напряжением 220 кВ</t>
  </si>
  <si>
    <t>ТЕРм08-01-006-05</t>
  </si>
  <si>
    <t>Трансформатор тока напряжением 330 кВ</t>
  </si>
  <si>
    <t>ТЕРм08-01-006-06</t>
  </si>
  <si>
    <t>Трансформатор тока напряжением 500 кВ</t>
  </si>
  <si>
    <t>ТЕРм08-01-006-07</t>
  </si>
  <si>
    <t>Трансформатор тока напряжением 750 кВ</t>
  </si>
  <si>
    <t xml:space="preserve">                                   Трансформаторы напряжения</t>
  </si>
  <si>
    <t>ТЕРм08-01-007-01</t>
  </si>
  <si>
    <t>Трансформатор напряжения 35 кВ</t>
  </si>
  <si>
    <t>ТЕРм08-01-007-02</t>
  </si>
  <si>
    <t>Трансформатор напряжения 110 кВ</t>
  </si>
  <si>
    <t>ТЕРм08-01-007-03</t>
  </si>
  <si>
    <t>Трансформатор напряжения 220 кВ</t>
  </si>
  <si>
    <t>ТЕРм08-01-007-04</t>
  </si>
  <si>
    <t>Трансформатор напряжения 330 кВ</t>
  </si>
  <si>
    <t>ТЕРм08-01-007-05</t>
  </si>
  <si>
    <t>Трансформатор напряжения 500 кВ</t>
  </si>
  <si>
    <t>ТЕРм08-01-007-06</t>
  </si>
  <si>
    <t>Трансформатор напряжения 750 кВ</t>
  </si>
  <si>
    <t xml:space="preserve">                                   Выключатели воздушные</t>
  </si>
  <si>
    <t>ТЕРм08-01-008-01</t>
  </si>
  <si>
    <t>Выключатель воздушный напряжением 35 кВ, тип ВВУ</t>
  </si>
  <si>
    <t>ТЕРм08-01-008-02</t>
  </si>
  <si>
    <t>Выключатель воздушный напряжением 110 кВ, тип ВВУ</t>
  </si>
  <si>
    <t>ТЕРм08-01-008-03</t>
  </si>
  <si>
    <t>Выключатель воздушный напряжением 110 кВ, тип ВВБК</t>
  </si>
  <si>
    <t>ТЕРм08-01-008-04</t>
  </si>
  <si>
    <t>Выключатель воздушный напряжением 220 кВ, тип ВВД</t>
  </si>
  <si>
    <t>ТЕРм08-01-008-05</t>
  </si>
  <si>
    <t>Выключатель воздушный напряжением 220 кВ, тип ВНВ</t>
  </si>
  <si>
    <t>ТЕРм08-01-008-06</t>
  </si>
  <si>
    <t>Выключатель воздушный напряжением 330 кВ, тип ВНВ</t>
  </si>
  <si>
    <t>ТЕРм08-01-008-07</t>
  </si>
  <si>
    <t>Выключатель воздушный напряжением 330 кВ, тип ВВ и ВВДМ</t>
  </si>
  <si>
    <t>ТЕРм08-01-008-08</t>
  </si>
  <si>
    <t>Выключатель воздушный напряжением 500 кВ, тип ВВ и ВВБК</t>
  </si>
  <si>
    <t>ТЕРм08-01-008-09</t>
  </si>
  <si>
    <t>Выключатель воздушный напряжением 500 кВ, тип ВНВ</t>
  </si>
  <si>
    <t>ТЕРм08-01-008-10</t>
  </si>
  <si>
    <t>Выключатель воздушный напряжением 750 кВ, тип ВНВ</t>
  </si>
  <si>
    <t>ТЕРм08-01-008-11</t>
  </si>
  <si>
    <t>Выключатель воздушный напряжением 750 кВ, тип ВЗБ</t>
  </si>
  <si>
    <t>ТЕРм08-01-008-12</t>
  </si>
  <si>
    <t>Выключатель-отключатель воздушный напряжением 750 кВ, тип ВО</t>
  </si>
  <si>
    <t xml:space="preserve">                                   Выключатели масляные</t>
  </si>
  <si>
    <t>ТЕРм08-01-009-01</t>
  </si>
  <si>
    <t>Выключатель масляный напряжением 35 кВ, типа ВТД-35</t>
  </si>
  <si>
    <t>ТЕРм08-01-009-02</t>
  </si>
  <si>
    <t>Выключатель масляный напряжением 35 кВ, типа С-35</t>
  </si>
  <si>
    <t>ТЕРм08-01-009-03</t>
  </si>
  <si>
    <t>Выключатель масляный напряжением 35 кВ, типа ВМК-35</t>
  </si>
  <si>
    <t>ТЕРм08-01-009-04</t>
  </si>
  <si>
    <t>Выключатель масляный напряжением 110 кВ, типа У-110</t>
  </si>
  <si>
    <t>ТЕРм08-01-009-05</t>
  </si>
  <si>
    <t>Выключатель масляный напряжением 110 кВ, типа МКП-110</t>
  </si>
  <si>
    <t>ТЕРм08-01-009-06</t>
  </si>
  <si>
    <t>Выключатель масляный напряжением 110 кВ, типа ВМТ-110</t>
  </si>
  <si>
    <t>ТЕРм08-01-009-07</t>
  </si>
  <si>
    <t>Выключатель масляный напряжением 220 кВ, типа У-220</t>
  </si>
  <si>
    <t>ТЕРм08-01-009-08</t>
  </si>
  <si>
    <t>Выключатель масляный напряжением 220 кВ, типа ВМТ-220</t>
  </si>
  <si>
    <t xml:space="preserve">                                   Обработка и защита трансформаторного масла</t>
  </si>
  <si>
    <t>ТЕРм08-01-010-01</t>
  </si>
  <si>
    <t>Очистка от механических примесей и сушка масла для трансформаторов до 35 кВ и другого оборудования</t>
  </si>
  <si>
    <t>ТЕРм08-01-010-02</t>
  </si>
  <si>
    <t>Очистка масла для трансформаторов 110-500 кВ с доведением механических примесей до 50 г/т</t>
  </si>
  <si>
    <t>ТЕРм08-01-010-03</t>
  </si>
  <si>
    <t>Очистка масла для трансформаторов 110-750 кВ с доведением механических примесей до 10 г/т</t>
  </si>
  <si>
    <t>ТЕРм08-01-010-04</t>
  </si>
  <si>
    <t>Сушка масла для трансформаторов 110-750 кВ</t>
  </si>
  <si>
    <t>ТЕРм08-01-010-05</t>
  </si>
  <si>
    <t>Установка пленочной защиты трансформаторного масла</t>
  </si>
  <si>
    <t xml:space="preserve">                                   Разъединители</t>
  </si>
  <si>
    <t>ТЕРм08-01-011-01</t>
  </si>
  <si>
    <t>Разъединитель напряжением 35 кВ, на ток 1000А без заземляющих ножей</t>
  </si>
  <si>
    <t>ТЕРм08-01-011-02</t>
  </si>
  <si>
    <t>Разъединитель напряжением 35 кВ, на ток 1000А с одним или двумя заземляющими ножами</t>
  </si>
  <si>
    <t>ТЕРм08-01-011-03</t>
  </si>
  <si>
    <t>Разъединитель напряжением 35 кВ, на ток 2000-3200А без заземляющих ножей</t>
  </si>
  <si>
    <t>ТЕРм08-01-011-04</t>
  </si>
  <si>
    <t>Разъединитель напряжением 35 кВ, на ток 2000-3200А с одним или двумя заземляющими ножами</t>
  </si>
  <si>
    <t>ТЕРм08-01-011-05</t>
  </si>
  <si>
    <t>Разъединитель напряжением 110 и 150 кВ, на ток 1000-3200 А без заземляющих ножей</t>
  </si>
  <si>
    <t>ТЕРм08-01-011-06</t>
  </si>
  <si>
    <t>Разъединитель напряжением 110 и 150 кВ, на ток 1000-3200 А с одним или двумя заземляющими ножами</t>
  </si>
  <si>
    <t>ТЕРм08-01-011-07</t>
  </si>
  <si>
    <t>Разъединитель напряжением 220 кВ, на ток 1000-3200А без заземляющих ножей</t>
  </si>
  <si>
    <t>ТЕРм08-01-011-08</t>
  </si>
  <si>
    <t>Разъединитель напряжением 220 кВ, на ток 1000-3200А с одним или двумя заземляющими ножами</t>
  </si>
  <si>
    <t>ТЕРм08-01-011-09</t>
  </si>
  <si>
    <t>Разъединитель напряжением 330 и 500 кВ на ток 3200 А</t>
  </si>
  <si>
    <t>ТЕРм08-01-011-10</t>
  </si>
  <si>
    <t>Разъединитель напряжением 750 кВ, на ток 4000 А</t>
  </si>
  <si>
    <t>ТЕРм08-01-011-11</t>
  </si>
  <si>
    <t>Разъединитель напряжением 500 кВ, подвесной</t>
  </si>
  <si>
    <t>ТЕРм08-01-011-12</t>
  </si>
  <si>
    <t>Разъединитель напряжением 750 кВ, подвесной</t>
  </si>
  <si>
    <t xml:space="preserve">                                   Отделители</t>
  </si>
  <si>
    <t>ТЕРм08-01-012-01</t>
  </si>
  <si>
    <t>Отделитель однополюсный с заземляющими ножами напряжением до 35 кВ</t>
  </si>
  <si>
    <t>ТЕРм08-01-012-02</t>
  </si>
  <si>
    <t>Отделитель однополюсный с заземляющими ножами напряжением до 110 кВ</t>
  </si>
  <si>
    <t>ТЕРм08-01-012-03</t>
  </si>
  <si>
    <t>Отделитель однополюсный без заземляющих ножей напряжением 150 и 220 кВ</t>
  </si>
  <si>
    <t xml:space="preserve">                                   Заземлители</t>
  </si>
  <si>
    <t>ТЕРм08-01-013-01</t>
  </si>
  <si>
    <t>Заземлитель однополюсный напряжением 110 кВ</t>
  </si>
  <si>
    <t>ТЕРм08-01-013-02</t>
  </si>
  <si>
    <t>Заземлитель однополюсный напряжением 330 кВ</t>
  </si>
  <si>
    <t>ТЕРм08-01-013-03</t>
  </si>
  <si>
    <t>Заземлитель однополюсный напряжением 500 кВ</t>
  </si>
  <si>
    <t>ТЕРм08-01-013-04</t>
  </si>
  <si>
    <t>Заземлитель однополюсный напряжением 750 кВ</t>
  </si>
  <si>
    <t xml:space="preserve">                                   Короткозамыкатели</t>
  </si>
  <si>
    <t>ТЕРм08-01-014-01</t>
  </si>
  <si>
    <t>Короткозамыкатель двухполюсный напряжением 35 кВ</t>
  </si>
  <si>
    <t>ТЕРм08-01-014-02</t>
  </si>
  <si>
    <t>Короткозамыкатель однополюсный напряжением 110 кВ</t>
  </si>
  <si>
    <t>ТЕРм08-01-014-03</t>
  </si>
  <si>
    <t>Короткозамыкатель однополюсный напряжением 150, 220 кВ</t>
  </si>
  <si>
    <t xml:space="preserve">                                   Разрядники вентильные и ограничители перенапряжений</t>
  </si>
  <si>
    <t>ТЕРм08-01-015-01</t>
  </si>
  <si>
    <t>Разрядник вентильный напряжением 35 кВ</t>
  </si>
  <si>
    <t>ТЕРм08-01-015-02</t>
  </si>
  <si>
    <t>Разрядник вентильный напряжением 110 кВ</t>
  </si>
  <si>
    <t>ТЕРм08-01-015-03</t>
  </si>
  <si>
    <t>Разрядник вентильный напряжением 150 кВ</t>
  </si>
  <si>
    <t>ТЕРм08-01-015-04</t>
  </si>
  <si>
    <t>Разрядник вентильный напряжением 220 кВ</t>
  </si>
  <si>
    <t>ТЕРм08-01-015-05</t>
  </si>
  <si>
    <t>Разрядник вентильный напряжением 330 кВ, типа РВМГ</t>
  </si>
  <si>
    <t>ТЕРм08-01-015-06</t>
  </si>
  <si>
    <t>Разрядник вентильный напряжением 330 кВ, типа РВМК</t>
  </si>
  <si>
    <t>ТЕРм08-01-015-07</t>
  </si>
  <si>
    <t>Разрядник вентильный напряжением 550 кВ, типа РВМГ</t>
  </si>
  <si>
    <t>ТЕРм08-01-015-08</t>
  </si>
  <si>
    <t>Разрядник вентильный напряжением 550 кВ, типа РВМК</t>
  </si>
  <si>
    <t>ТЕРм08-01-015-09</t>
  </si>
  <si>
    <t>Разрядник вентильный напряжением 750 кВ, в одноколонковом исполнении</t>
  </si>
  <si>
    <t>ТЕРм08-01-015-10</t>
  </si>
  <si>
    <t>Ограничитель перенапряжений нелинейный напряжением 220 кВ</t>
  </si>
  <si>
    <t>ТЕРм08-01-015-11</t>
  </si>
  <si>
    <t>Ограничитель перенапряжений нелинейный напряжением 500 кВ</t>
  </si>
  <si>
    <t xml:space="preserve">                                   Предохранители</t>
  </si>
  <si>
    <t>ТЕРм08-01-016-01</t>
  </si>
  <si>
    <t>Предохранитель напряжением 35 кВ</t>
  </si>
  <si>
    <t xml:space="preserve">                                   Опоры шинные и изоляторы опорные</t>
  </si>
  <si>
    <t>ТЕРм08-01-017-01</t>
  </si>
  <si>
    <t>Опора шинная напряжением 35 кВ</t>
  </si>
  <si>
    <t>ТЕРм08-01-017-02</t>
  </si>
  <si>
    <t>Опора шинная напряжением 110 кВ</t>
  </si>
  <si>
    <t>ТЕРм08-01-017-03</t>
  </si>
  <si>
    <t>Опора шинная напряжением 150 кВ</t>
  </si>
  <si>
    <t>ТЕРм08-01-017-04</t>
  </si>
  <si>
    <t>Опора шинная напряжением 220 кВ</t>
  </si>
  <si>
    <t>ТЕРм08-01-017-05</t>
  </si>
  <si>
    <t>Опора шинная напряжением 330 кВ</t>
  </si>
  <si>
    <t>ТЕРм08-01-017-06</t>
  </si>
  <si>
    <t>Опора шинная напряжением 500 кВ</t>
  </si>
  <si>
    <t>ТЕРм08-01-017-07</t>
  </si>
  <si>
    <t>Опора шинная напряжением 750 кВ</t>
  </si>
  <si>
    <t>ТЕРм08-01-017-08</t>
  </si>
  <si>
    <t>Изолятор опорный напряжением 35 кВ</t>
  </si>
  <si>
    <t>ТЕРм08-01-017-09</t>
  </si>
  <si>
    <t>Изолятор опорный напряжением 110 кВ</t>
  </si>
  <si>
    <t xml:space="preserve">                                   Изоляторы проходные и вводы линейные маслонаполненные</t>
  </si>
  <si>
    <t>ТЕРм08-01-018-01</t>
  </si>
  <si>
    <t>Изолятор проходной напряжением 35 кВ</t>
  </si>
  <si>
    <t>ТЕРм08-01-018-02</t>
  </si>
  <si>
    <t>Ввод линейный маслонаполненный напряжением 110 кВ</t>
  </si>
  <si>
    <t>ТЕРм08-01-018-03</t>
  </si>
  <si>
    <t>Ввод линейный маслонаполненный напряжением 220 кВ</t>
  </si>
  <si>
    <t xml:space="preserve">                                   Прогрев маслонаполненных вводов</t>
  </si>
  <si>
    <t>ТЕРм08-01-019-01</t>
  </si>
  <si>
    <t>Прогрев маслонаполненных вводов напряжением 110 кВ</t>
  </si>
  <si>
    <t>ТЕРм08-01-019-02</t>
  </si>
  <si>
    <t>Прогрев маслонаполненных вводов напряжением 150, 220 кВ</t>
  </si>
  <si>
    <t>ТЕРм08-01-019-03</t>
  </si>
  <si>
    <t>Прогрев маслонаполненных вводов напряжением 330 кВ</t>
  </si>
  <si>
    <t>ТЕРм08-01-019-04</t>
  </si>
  <si>
    <t>Прогрев маслонаполненных вводов напряжением 500 кВ</t>
  </si>
  <si>
    <t>ТЕРм08-01-019-05</t>
  </si>
  <si>
    <t>Прогрев маслонаполненных вводов напряжением 750 кВ</t>
  </si>
  <si>
    <t xml:space="preserve">                                   Гирлянды поддерживающие</t>
  </si>
  <si>
    <t>ТЕРм08-01-020-01</t>
  </si>
  <si>
    <t>Гирлянда поддерживающая из подвесных изоляторов одиночная напряжением 35 кВ</t>
  </si>
  <si>
    <t>ТЕРм08-01-020-02</t>
  </si>
  <si>
    <t>Гирлянда поддерживающая из подвесных изоляторов одиночная напряжением 110 кВ</t>
  </si>
  <si>
    <t>ТЕРм08-01-020-03</t>
  </si>
  <si>
    <t>Гирлянда поддерживающая из подвесных изоляторов одиночная напряжением 150 кВ</t>
  </si>
  <si>
    <t>ТЕРм08-01-020-04</t>
  </si>
  <si>
    <t>Гирлянда поддерживающая из подвесных изоляторов одиночная напряжением 220 кВ</t>
  </si>
  <si>
    <t>ТЕРм08-01-020-05</t>
  </si>
  <si>
    <t>Гирлянда поддерживающая из подвесных изоляторов одиночная напряжением 330 кВ</t>
  </si>
  <si>
    <t>ТЕРм08-01-020-06</t>
  </si>
  <si>
    <t>Гирлянда поддерживающая из подвесных изоляторов одиночная напряжением 500 кВ</t>
  </si>
  <si>
    <t>ТЕРм08-01-020-07</t>
  </si>
  <si>
    <t>Гирлянда поддерживающая из подвесных изоляторов одиночная напряжением 750 кВ</t>
  </si>
  <si>
    <t xml:space="preserve">                                   Ошиновка гибкая</t>
  </si>
  <si>
    <t>ТЕРм08-01-021-01</t>
  </si>
  <si>
    <t>Шина сборная напряжением 35 кВ, сечение до 400 мм2, количество проводов в фазе - 1</t>
  </si>
  <si>
    <t>ТЕРм08-01-021-02</t>
  </si>
  <si>
    <t>Шина сборная напряжением 35 кВ, сечение до 400 мм2, количество проводов в фазе - 2</t>
  </si>
  <si>
    <t>ТЕРм08-01-021-03</t>
  </si>
  <si>
    <t>Шина сборная напряжением 35 кВ, сечение до 600 мм2, количество проводов в фазе - 1</t>
  </si>
  <si>
    <t>ТЕРм08-01-021-04</t>
  </si>
  <si>
    <t>Шина сборная напряжением 35 кВ, сечение до 600 мм2, количество проводов в фазе - 2</t>
  </si>
  <si>
    <t>ТЕРм08-01-021-05</t>
  </si>
  <si>
    <t>Шина сборная напряжением 110-150 кВ, сечение до 400 мм2, количество проводов в фазе - 1</t>
  </si>
  <si>
    <t>ТЕРм08-01-021-06</t>
  </si>
  <si>
    <t>Шина сборная напряжением 110-150 кВ, сечение до 400 мм2, количество проводов в фазе - 2</t>
  </si>
  <si>
    <t>ТЕРм08-01-021-07</t>
  </si>
  <si>
    <t>Шина сборная напряжением 110-150 кВ, сечение до 600 мм2, количество проводов в фазе - 1</t>
  </si>
  <si>
    <t>ТЕРм08-01-021-08</t>
  </si>
  <si>
    <t>Шина сборная напряжением 110-150 кВ, сечение до 600 мм2, количество проводов в фазе - 2</t>
  </si>
  <si>
    <t>ТЕРм08-01-021-09</t>
  </si>
  <si>
    <t>Шина сборная напряжением 220 кВ, сечение до 600 мм2, количество проводов в фазе - 1</t>
  </si>
  <si>
    <t>ТЕРм08-01-021-10</t>
  </si>
  <si>
    <t>Шина сборная напряжением 220 кВ, сечение до 600 мм2, количество проводов в фазе - 2</t>
  </si>
  <si>
    <t>ТЕРм08-01-021-11</t>
  </si>
  <si>
    <t>Шина сборная напряжением 220 кВ, сечение до 600 мм2, количество проводов в фазе - 3</t>
  </si>
  <si>
    <t>ТЕРм08-01-021-12</t>
  </si>
  <si>
    <t>Шина сборная напряжением 330 кВ, сечение до 640 мм2, количество проводов в фазе - 1</t>
  </si>
  <si>
    <t>ТЕРм08-01-021-13</t>
  </si>
  <si>
    <t>Шина сборная напряжением 330 кВ, сечение до 640 мм2, количество проводов в фазе - 2</t>
  </si>
  <si>
    <t>ТЕРм08-01-021-14</t>
  </si>
  <si>
    <t>Шина сборная напряжением 330 кВ, сечение до 640 мм2, количество проводов в фазе - 3</t>
  </si>
  <si>
    <t>ТЕРм08-01-021-15</t>
  </si>
  <si>
    <t>Шина сборная напряжением 500 кВ, сечение до 640 мм2, количество проводов в фазе - 1</t>
  </si>
  <si>
    <t>ТЕРм08-01-021-16</t>
  </si>
  <si>
    <t>Шина сборная напряжением 500 кВ, сечение до 640 мм2, количество проводов в фазе - 2</t>
  </si>
  <si>
    <t>ТЕРм08-01-021-17</t>
  </si>
  <si>
    <t>Шина сборная напряжением 500 кВ, сечение до 640 мм2, количество проводов в фазе - 3</t>
  </si>
  <si>
    <t>ТЕРм08-01-021-18</t>
  </si>
  <si>
    <t>Шина сборная напряжением 750 кВ, сечение до 640 мм2, количество проводов в фазе - 3</t>
  </si>
  <si>
    <t>ТЕРм08-01-021-19</t>
  </si>
  <si>
    <t>Мост шинный напряжением 35 кВ, сечение до 400 мм2, количество проводов в фазе - 1</t>
  </si>
  <si>
    <t>ТЕРм08-01-021-20</t>
  </si>
  <si>
    <t>Мост шинный напряжением 35 кВ, сечение до 400 мм2, количество проводов в фазе - 2</t>
  </si>
  <si>
    <t>ТЕРм08-01-021-21</t>
  </si>
  <si>
    <t>Мост шинный напряжением 35 кВ, сечение до 600 мм2, количество проводов в фазе - 1</t>
  </si>
  <si>
    <t>ТЕРм08-01-021-22</t>
  </si>
  <si>
    <t>Мост шинный напряжением 35 кВ, сечение до 600 мм2, количество проводов в фазе - 2</t>
  </si>
  <si>
    <t>ТЕРм08-01-021-23</t>
  </si>
  <si>
    <t>Мост шинный напряжением 110-150 кВ, сечение до 400 мм2, количество проводов в фазе - 1</t>
  </si>
  <si>
    <t>ТЕРм08-01-021-24</t>
  </si>
  <si>
    <t>Мост шинный напряжением 110-150 кВ, сечение до 400 мм2, количество проводов в фазе - 2</t>
  </si>
  <si>
    <t>ТЕРм08-01-021-25</t>
  </si>
  <si>
    <t>Мост шинный напряжением 110-150 кВ, сечение до 600 мм2, количество проводов в фазе - 1</t>
  </si>
  <si>
    <t>ТЕРм08-01-021-26</t>
  </si>
  <si>
    <t>Мост шинный напряжением 110-150 кВ, сечение до 600 мм2, количество проводов в фазе - 2</t>
  </si>
  <si>
    <t>ТЕРм08-01-021-27</t>
  </si>
  <si>
    <t>Мост шинный напряжением 220 кВ, сечение до 600 мм2, количество проводов в фазе - 1</t>
  </si>
  <si>
    <t>ТЕРм08-01-021-28</t>
  </si>
  <si>
    <t>Мост шинный напряжением 220 кВ, сечение до 600 мм2, количество проводов в фазе - 2</t>
  </si>
  <si>
    <t>ТЕРм08-01-021-29</t>
  </si>
  <si>
    <t>Мост шинный напряжением 220 кВ, сечение до 600 мм2, количество проводов в фазе - 3</t>
  </si>
  <si>
    <t>ТЕРм08-01-021-30</t>
  </si>
  <si>
    <t>Мост шинный напряжением 330 кВ, сечение до 640 мм2, количество проводов в фазе - 1</t>
  </si>
  <si>
    <t>ТЕРм08-01-021-31</t>
  </si>
  <si>
    <t>Мост шинный напряжением 330 кВ, сечение до 640 мм2, количество проводов в фазе - 2</t>
  </si>
  <si>
    <t>ТЕРм08-01-021-32</t>
  </si>
  <si>
    <t>Мост шинный напряжением 330 кВ, сечение до 640 мм2, количество проводов в фазе - 3</t>
  </si>
  <si>
    <t>ТЕРм08-01-021-33</t>
  </si>
  <si>
    <t>Мост шинный напряжением 500 кВ, сечение до 640 мм2, количество проводов в фазе - 1</t>
  </si>
  <si>
    <t>ТЕРм08-01-021-34</t>
  </si>
  <si>
    <t>Мост шинный напряжением 500 кВ, сечение до 640 мм2, количество проводов в фазе - 2</t>
  </si>
  <si>
    <t>ТЕРм08-01-021-35</t>
  </si>
  <si>
    <t>Мост шинный напряжением 500 кВ, сечение до 640 мм2, количество проводов в фазе - 3</t>
  </si>
  <si>
    <t>ТЕРм08-01-021-36</t>
  </si>
  <si>
    <t>Мост шинный напряжением 750 кВ, сечение до 640 мм2, количество проводов в фазе - 3</t>
  </si>
  <si>
    <t xml:space="preserve">                                   Ошиновка жесткая</t>
  </si>
  <si>
    <t>ТЕРм08-01-022-01</t>
  </si>
  <si>
    <t>Ошиновка жесткая из алюминиевых труб для ОРУ, напряжение 110 кВ</t>
  </si>
  <si>
    <t>ТЕРм08-01-022-02</t>
  </si>
  <si>
    <t>Ошиновка жесткая из алюминиевых труб для ОРУ, напряжение 220 кВ</t>
  </si>
  <si>
    <t xml:space="preserve">                                   Спуски, петли и перемычки</t>
  </si>
  <si>
    <t>ТЕРм08-01-023-01</t>
  </si>
  <si>
    <t>Спуск, петля или перемычка, сечение провода до 300 мм2, количество проводов в фазе - 1</t>
  </si>
  <si>
    <t>ТЕРм08-01-023-02</t>
  </si>
  <si>
    <t>Спуск, петля или перемычка, сечение провода до 300 мм2, количество проводов в фазе - 2</t>
  </si>
  <si>
    <t>ТЕРм08-01-023-03</t>
  </si>
  <si>
    <t>Спуск, петля или перемычка, сечение провода до 640 мм2, количество проводов в фазе - 1</t>
  </si>
  <si>
    <t>ТЕРм08-01-023-04</t>
  </si>
  <si>
    <t>Спуск, петля или перемычка, сечение провода до 640 мм2, количество проводов в фазе - 2</t>
  </si>
  <si>
    <t>ТЕРм08-01-023-05</t>
  </si>
  <si>
    <t>Спуск, петля или перемычка, сечение провода до 640 мм2, количество проводов в фазе - 3</t>
  </si>
  <si>
    <t xml:space="preserve">                                   Токопроводы подвесные генераторного напряжения</t>
  </si>
  <si>
    <t>ТЕРм08-01-024-01</t>
  </si>
  <si>
    <t>Токопровод подвесной генераторного напряжения длиной до 40 м из провода сечением до 185 мм2, количество проводов в фазе 10</t>
  </si>
  <si>
    <t>ТЕРм08-01-024-02</t>
  </si>
  <si>
    <t>Токопровод подвесной генераторного напряжения длиной до 40 м из провода сечением до 185 мм2, количество проводов в фазе 14</t>
  </si>
  <si>
    <t>ТЕРм08-01-024-03</t>
  </si>
  <si>
    <t>Токопровод подвесной генераторного напряжения длиной до 40 м из провода сечением до 185 мм2, количество проводов в фазе 16</t>
  </si>
  <si>
    <t>ТЕРм08-01-024-04</t>
  </si>
  <si>
    <t>Токопровод подвесной генераторного напряжения длиной до 40 м из провода сечением до 600 мм2, количество проводов в фазе 6</t>
  </si>
  <si>
    <t>ТЕРм08-01-024-05</t>
  </si>
  <si>
    <t>Токопровод подвесной генераторного напряжения длиной до 40 м из провода сечением до 600 мм2, количество проводов в фазе 9</t>
  </si>
  <si>
    <t>ТЕРм08-01-024-06</t>
  </si>
  <si>
    <t>Токопровод подвесной генераторного напряжения длиной до 40 м из провода сечением до 600 мм2, количество проводов в фазе 12</t>
  </si>
  <si>
    <t xml:space="preserve">                                   Подстанции комплектные трансформаторные и блоки с оборудованием для комплектных подстанций</t>
  </si>
  <si>
    <t>ТЕРм08-01-025-01</t>
  </si>
  <si>
    <t>Подстанция комплектная трансформаторная напряжением до 10 кВ с трансформатором мощностью до 400 кВ·А</t>
  </si>
  <si>
    <t>ТЕРм08-01-025-02</t>
  </si>
  <si>
    <t>Подстанция комплектная трансформаторная напряжением до 10 кВ с трансформатором мощностью до 1000 кВ·А</t>
  </si>
  <si>
    <t>ТЕРм08-01-025-03</t>
  </si>
  <si>
    <t>Подстанция блочная напряжением 35 кВ по схеме мостик с выключателями в перемычке и в цепях линий, мощность трансформаторов до 6300 кВ·А</t>
  </si>
  <si>
    <t>ТЕРм08-01-025-04</t>
  </si>
  <si>
    <t>Подстанция блочная напряжением 35 кВ по схеме мостик с выключателями в перемычке и в цепях линий, мощность трансформаторов до 16000 кВ·А</t>
  </si>
  <si>
    <t>ТЕРм08-01-025-05</t>
  </si>
  <si>
    <t>Подстанция блочная напряжением 35 кВ по схеме одна рабочая, секционированная выключателем, система шин, мощность трансформаторов до 6300 кВ·А</t>
  </si>
  <si>
    <t>ТЕРм08-01-025-06</t>
  </si>
  <si>
    <t>Подстанция блочная напряжением 35 кВ по схеме одна рабочая, секционированная выключателем, система шин, мощность трансформаторов до 16000 кВ·А</t>
  </si>
  <si>
    <t>ТЕРм08-01-025-07</t>
  </si>
  <si>
    <t>Подстанция блочная напряжением 110 кВ с одним трансформатором мощностью до 16000 кВ·А по схеме блок линия-трансформатор с выключателем на стороне 110 кВ с двумя трансформаторами мощностью до 16000 кВ·А</t>
  </si>
  <si>
    <t>ТЕРм08-01-025-08</t>
  </si>
  <si>
    <t>Подстанция блочная напряжением 110 кВ с одним трансформатором мощностью до 16000 кВ·А по схеме два блока с отделителями (выключателями) и неавтоматической перемычкой со стороны линий</t>
  </si>
  <si>
    <t>ТЕРм08-01-025-09</t>
  </si>
  <si>
    <t>Подстанция блочная напряжением 110 кВ с одним трансформатором мощностью до 16000 кВ·А по схеме мостик с выключателем в перемычке и отделителями в цепях трансформаторов</t>
  </si>
  <si>
    <t>ТЕРм08-01-025-10</t>
  </si>
  <si>
    <t>Подстанция блочная напряжением 110 кВ с одним трансформатором мощностью до 40000 кВ·А по схеме блок линия-трансформатор с выключателем на стороне 110 кВ</t>
  </si>
  <si>
    <t>ТЕРм08-01-025-11</t>
  </si>
  <si>
    <t>Подстанция блочная напряжением 110 кВ с одним трансформатором мощностью до 40000 кВ·А по схеме два блока с отделителями (с выключателями) и неавтоматической перемычкой со стороны линий</t>
  </si>
  <si>
    <t>ТЕРм08-01-025-12</t>
  </si>
  <si>
    <t>Подстанция блочная напряжением 110 кВ с одним трансформатором мощностью до 40000 кВ·А по схеме мостик с выключателем в перемычке и отделителями в цепях трансформаторов</t>
  </si>
  <si>
    <t>ТЕРм08-01-025-13</t>
  </si>
  <si>
    <t>Подстанция блочная напряжением 110 кВ с одним трансформатором с расщепленной обмоткой мощностью до 63000 кВ·А по схеме линия-трансформатор с выключателем на стороне 110 кВ</t>
  </si>
  <si>
    <t>ТЕРм08-01-025-14</t>
  </si>
  <si>
    <t>Подстанция блочная напряжением 110 кВ с двумя трансформаторами с расщепленной обмоткой мощностью до 63000 кВ·А по схеме два блока с отделителями (с выключателями) и неавтоматической перемычкой со стороны линий</t>
  </si>
  <si>
    <t>ТЕРм08-01-025-15</t>
  </si>
  <si>
    <t>Подстанция блочная напряжением 110 кВ с двумя трансформаторами с расщепленной обмоткой мощностью до 63000 кВ·А по схеме мостик с выключателем в перемычке и отделителями в цепях трансформаторов</t>
  </si>
  <si>
    <t>ТЕРм08-01-025-16</t>
  </si>
  <si>
    <t>Подстанция блочная напряжением 110/35 кВ по схеме с одним трансформатором мощностью до 16000 кВ·А блок линия-трансформатор с выключателем</t>
  </si>
  <si>
    <t>ТЕРм08-01-025-17</t>
  </si>
  <si>
    <t>Подстанция блочная напряжением 110/35 кВ по схеме с двумя трансформаторами мощностью до 16000 кВ·А два блока с отделителями (выключателями) и неавтоматической перемычкой со стороны линии</t>
  </si>
  <si>
    <t>ТЕРм08-01-025-18</t>
  </si>
  <si>
    <t>Подстанция блочная напряжением 110/35 кВ по схеме с двумя трансформаторами мощностью до 16000 кВ·А мостик с выключателем в перемычке и отделителями в цепях трансформаторов (линий)</t>
  </si>
  <si>
    <t>ТЕРм08-01-025-19</t>
  </si>
  <si>
    <t>Подстанция блочная напряжением 110/35 кВ по схеме с одним трансформатором мощностью до 63000 кВ·А блок линия-трансформатор с выключателем</t>
  </si>
  <si>
    <t>ТЕРм08-01-025-20</t>
  </si>
  <si>
    <t>Подстанция блочная напряжением 110/35 кВ по схеме с двумя трансформаторами мощностью до 63000 кВ·А- два блока с отделителями (выключателями) и неавтоматической перемычкой со стороны линии</t>
  </si>
  <si>
    <t>ТЕРм08-01-025-21</t>
  </si>
  <si>
    <t>Подстанция блочная напряжением 110/35 кВ по схеме с двумя трансформаторами мощностью до 63000 кВ·А- мостик с выключателем в перемычке и отделителями в цепях трансформаторов (линий)</t>
  </si>
  <si>
    <t>ТЕРм08-01-025-22</t>
  </si>
  <si>
    <t>Открытое распределительное устройство напряжением 220 кВ для блочных подстанций по схеме блок линия-трансформатор с разъединителем</t>
  </si>
  <si>
    <t>ТЕРм08-01-025-23</t>
  </si>
  <si>
    <t>Открытое распределительное устройство напряжением 220 кВ для блочных подстанций по схеме блок линия-трансформатор с отделителем</t>
  </si>
  <si>
    <t>ТЕРм08-01-025-24</t>
  </si>
  <si>
    <t>Открытое распределительное устройство напряжением 220 кВ для блочных подстанций по схеме два блока с отделителями и неавтоматической перемычкой со стороны линий</t>
  </si>
  <si>
    <t>ТЕРм08-01-025-25</t>
  </si>
  <si>
    <t>Открытое распределительное устройство напряжением 220 кВ для блочных подстанций по схеме мостик с выключателем в перемычке и отделителями в цепях трансформаторов</t>
  </si>
  <si>
    <t>ТЕРм08-01-025-26</t>
  </si>
  <si>
    <t>Блок с оборудованием для комплектных подстанций 35 кВ с разъединителем или выключателем</t>
  </si>
  <si>
    <t>ТЕРм08-01-025-27</t>
  </si>
  <si>
    <t>Блок с оборудованием для комплектных подстанций 35 кВ с шинными аппаратами</t>
  </si>
  <si>
    <t>ТЕРм08-01-025-28</t>
  </si>
  <si>
    <t>Блок с оборудованием для комплектных подстанций 110 кВ с разъединителем или отделителем</t>
  </si>
  <si>
    <t>ТЕРм08-01-025-29</t>
  </si>
  <si>
    <t>Блок с оборудованием для комплектных подстанций 110 кВ с разрядниками или трансформаторами тока и напряжения, аппаратурой высокочастотной связи, опорными изоляторами, металлоконструкциями для выключателя</t>
  </si>
  <si>
    <t xml:space="preserve">                                   Распределительные устройства комплектные 6-10 кВ</t>
  </si>
  <si>
    <t>ТЕРм08-01-026-01</t>
  </si>
  <si>
    <t>Шкаф распределительного устройства 6-10 кВ наружной установки с коридором обслуживания с выключателем</t>
  </si>
  <si>
    <t>ТЕРм08-01-026-02</t>
  </si>
  <si>
    <t>Шкаф распределительного устройства 6-10 кВ наружной установки с коридором обслуживания с измерительными трансформаторами</t>
  </si>
  <si>
    <t>ТЕРм08-01-026-03</t>
  </si>
  <si>
    <t>Шкаф распределительного устройства 6-10 кВ наружной установки с коридором обслуживания с аппаратурой высокочастотной связи или резервный</t>
  </si>
  <si>
    <t>ТЕРм08-01-026-04</t>
  </si>
  <si>
    <t>Шкаф распределительного устройства 6-10 кВ наружной установки с выключателем без коридора обслуживания</t>
  </si>
  <si>
    <t xml:space="preserve">                                   Распределительные устройства комплектные блочные 110 кВ</t>
  </si>
  <si>
    <t>ТЕРм08-01-027-01</t>
  </si>
  <si>
    <t>Ячейка распределительного устройства 110 кВ линии</t>
  </si>
  <si>
    <t>ТЕРм08-01-027-02</t>
  </si>
  <si>
    <t>Ячейка распределительного устройства 110 кВ трансформатора</t>
  </si>
  <si>
    <t>ТЕРм08-01-027-03</t>
  </si>
  <si>
    <t>Ячейка распределительного устройства 110 кВ совмещенного секционного и обходного выключателя с узлом шинных аппаратов</t>
  </si>
  <si>
    <t>ТЕРм08-01-027-04</t>
  </si>
  <si>
    <t>Ячейка распределительного устройства 110 кВ трансформатора и линии</t>
  </si>
  <si>
    <t>ТЕРм08-01-027-05</t>
  </si>
  <si>
    <t>Ячейка распределительного устройства 110 кВ совмещенного секционного и обходного выключателя</t>
  </si>
  <si>
    <t>ТЕРм08-01-027-06</t>
  </si>
  <si>
    <t>Ячейка распределительного устройства 110 кВ шиносоединительного выключателя с узлом шинных аппаратов (при обходной системе шин)</t>
  </si>
  <si>
    <t>ТЕРм08-01-027-07</t>
  </si>
  <si>
    <t>Ячейка распределительного устройства 110 кВ обходного выключателя</t>
  </si>
  <si>
    <t>ТЕРм08-01-027-08</t>
  </si>
  <si>
    <t>Узел шинных аппаратов распределительного устройства 110 кВ</t>
  </si>
  <si>
    <t xml:space="preserve">                                   Раздел 2. РАСПРЕДЕЛИТЕЛЬНЫЕ УСТРОЙСТВА ЗАКРЫТЫЕ 35-220 КВ</t>
  </si>
  <si>
    <t xml:space="preserve">                                   Изоляторы</t>
  </si>
  <si>
    <t>ТЕРм08-01-042-01</t>
  </si>
  <si>
    <t>Изолятор напряжением 35 кВ опорный</t>
  </si>
  <si>
    <t>ТЕРм08-01-042-02</t>
  </si>
  <si>
    <t>Изолятор напряжением 35 кВ проходной</t>
  </si>
  <si>
    <t>ТЕРм08-01-043-01</t>
  </si>
  <si>
    <t>Разъединитель трехполюсный напряжением 35 кВ на ток до 1000 А</t>
  </si>
  <si>
    <t xml:space="preserve">                                   Выключатели</t>
  </si>
  <si>
    <t>ТЕРм08-01-044-01</t>
  </si>
  <si>
    <t>Выключатель воздушный напряжением 35 кВ на ток 1600А</t>
  </si>
  <si>
    <t>ТЕРм08-01-045-01</t>
  </si>
  <si>
    <t>Шина сборная напряжением до 220 кВ с одним проводом в фазе на подвесных изоляторах</t>
  </si>
  <si>
    <t>ТЕРм08-01-045-02</t>
  </si>
  <si>
    <t>Мост шинный с одним проводом в фазе на подвесных изоляторах</t>
  </si>
  <si>
    <t xml:space="preserve">                                   Ошиновка из алюминиевых шин</t>
  </si>
  <si>
    <t>ТЕРм08-01-046-01</t>
  </si>
  <si>
    <t>Ошиновка аппаратов ячеек напряжением 110 кВ алюминиевыми трубами диаметром 85 мм</t>
  </si>
  <si>
    <t xml:space="preserve">                                   Раздел 3. РАСПРЕДЕЛИТЕЛЬНЫЕ УСТРОЙСТВА ЗАКРЫТЫЕ 3-20 КВ</t>
  </si>
  <si>
    <t>ТЕРм08-01-052-01</t>
  </si>
  <si>
    <t>Изолятор опорный напряжением до 10 кВ, количество точек крепления 1</t>
  </si>
  <si>
    <t>ТЕРм08-01-052-02</t>
  </si>
  <si>
    <t>Изолятор опорный напряжением до 10 кВ, количество точек крепления 2</t>
  </si>
  <si>
    <t>ТЕРм08-01-052-03</t>
  </si>
  <si>
    <t>Изолятор опорный напряжением до 10 кВ, количество точек крепления 4</t>
  </si>
  <si>
    <t>ТЕРм08-01-052-04</t>
  </si>
  <si>
    <t>Изолятор опорный напряжением до 20 кВ</t>
  </si>
  <si>
    <t>ТЕРм08-01-052-05</t>
  </si>
  <si>
    <t>Изолятор проходной с овальным или квадратным фланцем напряжением до 10 кВ</t>
  </si>
  <si>
    <t>ТЕРм08-01-052-06</t>
  </si>
  <si>
    <t>Изолятор проходной с овальным или квадратным фланцем напряжением до 20 кВ</t>
  </si>
  <si>
    <t>ТЕРм08-01-053-01</t>
  </si>
  <si>
    <t>Трансформатор тока напряжением до 10 кВ</t>
  </si>
  <si>
    <t>ТЕРм08-01-053-02</t>
  </si>
  <si>
    <t>Трансформатор тока напряжением до 20 кВ</t>
  </si>
  <si>
    <t>ТЕРм08-01-054-01</t>
  </si>
  <si>
    <t>Трансформатор напряжением до 10 кВ, однофазный</t>
  </si>
  <si>
    <t>ТЕРм08-01-054-02</t>
  </si>
  <si>
    <t>Трансформатор напряжением до 10 кВ, трехфазный</t>
  </si>
  <si>
    <t>ТЕРм08-01-054-03</t>
  </si>
  <si>
    <t>Трансформатор напряжением до 20 кВ, трехфазный</t>
  </si>
  <si>
    <t xml:space="preserve">                                   Разъединители однополюсные</t>
  </si>
  <si>
    <t>ТЕРм08-01-055-01</t>
  </si>
  <si>
    <t>Разъединитель однополюсный с одной тягой напряжением до 10 кВ, ток до 600 А</t>
  </si>
  <si>
    <t>ТЕРм08-01-055-02</t>
  </si>
  <si>
    <t>Разъединитель однополюсный с одной тягой напряжением до 10 кВ, ток до 1000 А</t>
  </si>
  <si>
    <t>ТЕРм08-01-055-03</t>
  </si>
  <si>
    <t>Разъединитель однополюсный с одной тягой напряжением до 10 кВ, ток до 3000 А</t>
  </si>
  <si>
    <t>ТЕРм08-01-055-04</t>
  </si>
  <si>
    <t>Разъединитель однополюсный с одной тягой напряжением до 10 кВ, ток до 5000 А</t>
  </si>
  <si>
    <t xml:space="preserve">                                   Разъединители трехполюсные</t>
  </si>
  <si>
    <t>ТЕРм08-01-056-01</t>
  </si>
  <si>
    <t>Разъединитель трехполюсный напряжением до 10 кВ, ток до 600 А</t>
  </si>
  <si>
    <t>ТЕРм08-01-056-02</t>
  </si>
  <si>
    <t>Разъединитель трехполюсный напряжением до 10 кВ, ток до 1000 А</t>
  </si>
  <si>
    <t>ТЕРм08-01-056-03</t>
  </si>
  <si>
    <t>Разъединитель трехполюсный напряжением до 10 кВ, ток до 4000 А</t>
  </si>
  <si>
    <t>ТЕРм08-01-056-04</t>
  </si>
  <si>
    <t>Разъединитель трехполюсный напряжением до 20 кВ, ток до 1000 А</t>
  </si>
  <si>
    <t>ТЕРм08-01-056-05</t>
  </si>
  <si>
    <t>Разъединитель трехполюсный напряжением до 20 кВ, ток до 8000 А</t>
  </si>
  <si>
    <t>ТЕРм08-01-056-06</t>
  </si>
  <si>
    <t>Разъединитель трехполюсный напряжением до 20 кВ, ток до 12500 А</t>
  </si>
  <si>
    <t xml:space="preserve">                                   Приводы к разъединителям</t>
  </si>
  <si>
    <t>ТЕРм08-01-057-01</t>
  </si>
  <si>
    <t>Приводы к разъединителям с одной тягой рычажный</t>
  </si>
  <si>
    <t>ТЕРм08-01-057-02</t>
  </si>
  <si>
    <t>Приводы к разъединителям с одной тягой червячный</t>
  </si>
  <si>
    <t>ТЕРм08-01-057-03</t>
  </si>
  <si>
    <t>Приводы к разъединителям с одной тягой моторный</t>
  </si>
  <si>
    <t>ТЕРм08-01-057-04</t>
  </si>
  <si>
    <t>Каждая дополнительная тяга</t>
  </si>
  <si>
    <t xml:space="preserve">                                   Выключатели нагрузки</t>
  </si>
  <si>
    <t>ТЕРм08-01-058-01</t>
  </si>
  <si>
    <t>Выключатель нагрузки с приводом ручным</t>
  </si>
  <si>
    <t>ТЕРм08-01-058-02</t>
  </si>
  <si>
    <t>Выключатель нагрузки с приводом электромагнитным</t>
  </si>
  <si>
    <t>ТЕРм08-01-059-01</t>
  </si>
  <si>
    <t>Выключатель масляный ВМПП, ВК или ВКЭ с приводом</t>
  </si>
  <si>
    <t>ТЕРм08-01-059-02</t>
  </si>
  <si>
    <t>Выключатель масляный МГГ с приводом</t>
  </si>
  <si>
    <t>ТЕРм08-01-060-01</t>
  </si>
  <si>
    <t>Выключатель напряжением до 20 кВ на ток до 20000 А</t>
  </si>
  <si>
    <t>ТЕРм08-01-061-01</t>
  </si>
  <si>
    <t>Предохранитель</t>
  </si>
  <si>
    <t xml:space="preserve">                                   Трансформаторы, автотрансформаторы и реакторы</t>
  </si>
  <si>
    <t>ТЕРм08-01-062-01</t>
  </si>
  <si>
    <t>Трансформатор силовой, автотрансформатор или масляный реактор, масса до 1 т</t>
  </si>
  <si>
    <t>ТЕРм08-01-062-02</t>
  </si>
  <si>
    <t>Трансформатор силовой, автотрансформатор или масляный реактор, масса до 3 т</t>
  </si>
  <si>
    <t>ТЕРм08-01-062-03</t>
  </si>
  <si>
    <t>Трансформатор силовой, автотрансформатор или масляный реактор, масса до 7 т</t>
  </si>
  <si>
    <t>ТЕРм08-01-062-04</t>
  </si>
  <si>
    <t>Трансформатор силовой, автотрансформатор или масляный реактор, масса до 10 т</t>
  </si>
  <si>
    <t>ТЕРм08-01-062-05</t>
  </si>
  <si>
    <t>Трансформатор силовой, автотрансформатор или масляный реактор, масса до 20 т</t>
  </si>
  <si>
    <t xml:space="preserve">                                   Реакторы бетонные</t>
  </si>
  <si>
    <t>ТЕРм08-01-063-01</t>
  </si>
  <si>
    <t>Реактор бетонный, масса комплектов до 1,5 т</t>
  </si>
  <si>
    <t>ТЕРм08-01-063-02</t>
  </si>
  <si>
    <t>Реактор бетонный, масса комплектов до 3 т</t>
  </si>
  <si>
    <t>ТЕРм08-01-063-03</t>
  </si>
  <si>
    <t>Реактор бетонный, масса комплектов до 4,5 т</t>
  </si>
  <si>
    <t>ТЕРм08-01-063-04</t>
  </si>
  <si>
    <t>Реактор бетонный, масса комплектов до 6 т</t>
  </si>
  <si>
    <t>ТЕРм08-01-063-05</t>
  </si>
  <si>
    <t>Реактор бетонный, масса комплектов до 7,5 т</t>
  </si>
  <si>
    <t>ТЕРм08-01-063-06</t>
  </si>
  <si>
    <t>Реактор бетонный, масса комплектов до 10,5 т</t>
  </si>
  <si>
    <t xml:space="preserve">                                   Сушка масла</t>
  </si>
  <si>
    <t>ТЕРм08-01-064-01</t>
  </si>
  <si>
    <t>Сушка трансформаторного масла</t>
  </si>
  <si>
    <t xml:space="preserve">                                   Заливка электрооборудования сухим трансформаторным маслом</t>
  </si>
  <si>
    <t>ТЕРм08-01-065-01</t>
  </si>
  <si>
    <t>Заливка трансформаторов</t>
  </si>
  <si>
    <t>ТЕРм08-01-065-02</t>
  </si>
  <si>
    <t>Заливка электрооборудования (кроме трансформаторов)</t>
  </si>
  <si>
    <t xml:space="preserve">                                   Разрядники</t>
  </si>
  <si>
    <t>ТЕРм08-01-066-01</t>
  </si>
  <si>
    <t>Разрядник напряжением до 10 кВ</t>
  </si>
  <si>
    <t>ТЕРм08-01-066-02</t>
  </si>
  <si>
    <t>Разрядник напряжением до 20 кВ</t>
  </si>
  <si>
    <t xml:space="preserve">                                   Конденсаторы статические и комплектные конденсаторные установки</t>
  </si>
  <si>
    <t>ТЕРм08-01-067-01</t>
  </si>
  <si>
    <t>Конденсатор статистический на установленных конструкциях, масса до 15 кг</t>
  </si>
  <si>
    <t>ТЕРм08-01-067-02</t>
  </si>
  <si>
    <t>Конденсатор статистический на установленных конструкциях, масса до 25 кг</t>
  </si>
  <si>
    <t>ТЕРм08-01-067-03</t>
  </si>
  <si>
    <t>Конденсатор статистический на установленных конструкциях, масса до 40 кг</t>
  </si>
  <si>
    <t>ТЕРм08-01-067-04</t>
  </si>
  <si>
    <t>Конденсатор статистический на установленных конструкциях, масса до 70 кг</t>
  </si>
  <si>
    <t>ТЕРм08-01-067-05</t>
  </si>
  <si>
    <t>Конденсатор статистический на установленных конструкциях, масса до 100 кг</t>
  </si>
  <si>
    <t>ТЕРм08-01-067-06</t>
  </si>
  <si>
    <t>Конденсатор статистический на установленных конструкциях, масса до 150 кг</t>
  </si>
  <si>
    <t>ТЕРм08-01-067-07</t>
  </si>
  <si>
    <t>Установка (шкаф) комплектная конденсаторная на установленных конструкциях, масса до 100 кг</t>
  </si>
  <si>
    <t>ТЕРм08-01-067-08</t>
  </si>
  <si>
    <t>Установка (шкаф) комплектная конденсаторная на установленных конструкциях, масса до 500 кг</t>
  </si>
  <si>
    <t>ТЕРм08-01-067-09</t>
  </si>
  <si>
    <t>Установка (шкаф) комплектная конденсаторная на установленных конструкциях, масса до 900 кг</t>
  </si>
  <si>
    <t>ТЕРм08-01-067-10</t>
  </si>
  <si>
    <t>Установка (шкаф) комплектная конденсаторная на установленных конструкциях, масса до 1700 кг</t>
  </si>
  <si>
    <t xml:space="preserve">                                   Шины сборные - одна полоса в фазе</t>
  </si>
  <si>
    <t>ТЕРм08-01-068-01</t>
  </si>
  <si>
    <t>Шина сборная - одна полоса в фазе, медная или алюминиевая сечением до 250 мм2</t>
  </si>
  <si>
    <t>ТЕРм08-01-068-02</t>
  </si>
  <si>
    <t>Шина сборная - одна полоса в фазе, медная или алюминиевая сечением до 500 мм2</t>
  </si>
  <si>
    <t>ТЕРм08-01-068-03</t>
  </si>
  <si>
    <t>Шина сборная - одна полоса в фазе, медная или алюминиевая сечением до 1000 мм2</t>
  </si>
  <si>
    <t>ТЕРм08-01-068-04</t>
  </si>
  <si>
    <t>Шина сборная - одна полоса в фазе, медная или алюминиевая сечением до 1500 мм2</t>
  </si>
  <si>
    <t xml:space="preserve">                                   Шины сборные - две полосы в фазе</t>
  </si>
  <si>
    <t>ТЕРм08-01-069-01</t>
  </si>
  <si>
    <t>Шина сборная - две полосы в фазе, медная или алюминиевая сечением до 250 мм2</t>
  </si>
  <si>
    <t>ТЕРм08-01-069-02</t>
  </si>
  <si>
    <t>Шина сборная - две полосы в фазе, медная или алюминиевая сечением до 500 мм2</t>
  </si>
  <si>
    <t>ТЕРм08-01-069-03</t>
  </si>
  <si>
    <t>Шина сборная - две полосы в фазе, медная или алюминиевая сечением до 1000 мм2</t>
  </si>
  <si>
    <t>ТЕРм08-01-069-04</t>
  </si>
  <si>
    <t>Шина сборная - две полосы в фазе, медная или алюминиевая сечением до 1500 мм2</t>
  </si>
  <si>
    <t xml:space="preserve">                                   Шины сборные - три полосы в фазе</t>
  </si>
  <si>
    <t>ТЕРм08-01-070-01</t>
  </si>
  <si>
    <t>Шина сборная - три полосы в фазе, медная или алюминиевая сечением до 500 мм2</t>
  </si>
  <si>
    <t>ТЕРм08-01-070-02</t>
  </si>
  <si>
    <t>Шина сборная - три полосы в фазе, медная или алюминиевая сечением до 1000 мм2</t>
  </si>
  <si>
    <t>ТЕРм08-01-070-03</t>
  </si>
  <si>
    <t>Шина сборная - три полосы в фазе, медная или алюминиевая сечением до 1500 мм2</t>
  </si>
  <si>
    <t xml:space="preserve">                                   Шины сборные - четыре полосы в фазе</t>
  </si>
  <si>
    <t>ТЕРм08-01-071-01</t>
  </si>
  <si>
    <t>Шина сборная - четыре полосы в фазе, медная или алюминиевая сечением до 1000 мм2</t>
  </si>
  <si>
    <t>ТЕРм08-01-071-02</t>
  </si>
  <si>
    <t>Шина сборная - четыре полосы в фазе, медная или алюминиевая сечением до 1500 мм2</t>
  </si>
  <si>
    <t xml:space="preserve">                                   Шины ответвительные - одна полоса в фазе</t>
  </si>
  <si>
    <t>ТЕРм08-01-072-01</t>
  </si>
  <si>
    <t>Шина ответвительная - одна полоса в фазе, медная или алюминиевая сечением до 250 мм2</t>
  </si>
  <si>
    <t>ТЕРм08-01-072-02</t>
  </si>
  <si>
    <t>Шина ответвительная - одна полоса в фазе, медная или алюминиевая сечением до 350 мм2</t>
  </si>
  <si>
    <t>ТЕРм08-01-072-03</t>
  </si>
  <si>
    <t>Шина ответвительная - одна полоса в фазе, медная или алюминиевая сечением до 700 мм2</t>
  </si>
  <si>
    <t>ТЕРм08-01-072-04</t>
  </si>
  <si>
    <t>Шина ответвительная - одна полоса в фазе, медная или алюминиевая сечением до 1000 мм2</t>
  </si>
  <si>
    <t>ТЕРм08-01-072-05</t>
  </si>
  <si>
    <t>Шина ответвительная - одна полоса в фазе, медная или алюминиевая сечением до 1500 мм2</t>
  </si>
  <si>
    <t xml:space="preserve">                                   Шины ответвительные - две полосы в фазе</t>
  </si>
  <si>
    <t>ТЕРм08-01-073-01</t>
  </si>
  <si>
    <t>Шина ответвительная - две полосы в фазе, медная или алюминиевая сечением до 350 мм2</t>
  </si>
  <si>
    <t>ТЕРм08-01-073-02</t>
  </si>
  <si>
    <t>Шина ответвительная - две полосы в фазе, медная или алюминиевая сечением до 700 мм2</t>
  </si>
  <si>
    <t>ТЕРм08-01-073-03</t>
  </si>
  <si>
    <t>Шина ответвительная - две полосы в фазе, медная или алюминиевая сечением до 1000 мм2</t>
  </si>
  <si>
    <t>ТЕРм08-01-073-04</t>
  </si>
  <si>
    <t>Шина ответвительная - две полосы в фазе, медная или алюминиевая сечением до 1500 мм2</t>
  </si>
  <si>
    <t xml:space="preserve">                                   Шины ответвительные - три полосы в фазе</t>
  </si>
  <si>
    <t>ТЕРм08-01-074-01</t>
  </si>
  <si>
    <t>Шина ответвительная - три полосы в фазе, медная или алюминиевая сечение до 700 мм2</t>
  </si>
  <si>
    <t>ТЕРм08-01-074-02</t>
  </si>
  <si>
    <t>Шина ответвительная - три полосы в фазе, медная или алюминиевая сечение до 1000 мм2</t>
  </si>
  <si>
    <t>ТЕРм08-01-074-03</t>
  </si>
  <si>
    <t>Шина ответвительная - три полосы в фазе, медная или алюминиевая сечение до 1500 мм2</t>
  </si>
  <si>
    <t xml:space="preserve">                                   Шины ответвительные - четыре полосы в фазе</t>
  </si>
  <si>
    <t>ТЕРм08-01-075-01</t>
  </si>
  <si>
    <t>Шина ответвительная - четыре полосы в фазе, медная или алюминиевая сечением до 1000 мм2</t>
  </si>
  <si>
    <t>ТЕРм08-01-075-02</t>
  </si>
  <si>
    <t>Шина ответвительная - четыре полосы в фазе, медная или алюминиевая сечением до 1500 мм2</t>
  </si>
  <si>
    <t xml:space="preserve">                                   Шины круглые</t>
  </si>
  <si>
    <t>ТЕРм08-01-076-01</t>
  </si>
  <si>
    <t>Шина круглая медная диаметром до 10 мм</t>
  </si>
  <si>
    <t>ТЕРм08-01-076-02</t>
  </si>
  <si>
    <t>Шина круглая медная диаметром до 20 мм</t>
  </si>
  <si>
    <t xml:space="preserve">                                   Токопроводы неэкранированные из алюминиевых шин</t>
  </si>
  <si>
    <t>ТЕРм08-01-077-01</t>
  </si>
  <si>
    <t>Токопровод неэкранированный закрытый напряжением до 10 кВ из алюминиевых шин корытного профиля на ток до 3200 А</t>
  </si>
  <si>
    <t>ТЕРм08-01-077-02</t>
  </si>
  <si>
    <t>Токопровод неэкранированный открытый из двух алюминиевых шин корытного профиля, размер 2 (125х55х6,5) мм</t>
  </si>
  <si>
    <t>ТЕРм08-01-077-03</t>
  </si>
  <si>
    <t>Токопровод неэкранированный открытый из двух алюминиевых шин корытного профиля, размер 2 (200х90х12) мм</t>
  </si>
  <si>
    <t>ТЕРм08-01-077-04</t>
  </si>
  <si>
    <t>Токопровод неэкранированный открытый из двух алюминиевых шин корытного профиля, размер 2 (250х115х12,5) мм</t>
  </si>
  <si>
    <t xml:space="preserve">                                   Токопроводы экранированные из алюминиевых шин</t>
  </si>
  <si>
    <t>ТЕРм08-01-078-01</t>
  </si>
  <si>
    <t>Токопровод напряжением до 10 кВ пофазно-экранированный с алюминиевой шиной корытного профиля на ток 3200 А</t>
  </si>
  <si>
    <t>ТЕРм08-01-078-02</t>
  </si>
  <si>
    <t>Токопровод экранированный с круглой алюминиевой шиной для генераторов, мощность 60-120 МВт</t>
  </si>
  <si>
    <t>ТЕРм08-01-078-03</t>
  </si>
  <si>
    <t>Токопровод экранированный с круглой алюминиевой шиной для генераторов, мощность 200 МВт</t>
  </si>
  <si>
    <t>ТЕРм08-01-078-04</t>
  </si>
  <si>
    <t>Токопровод экранированный с круглой алюминиевой шиной для генераторов, мощность 300 МВт</t>
  </si>
  <si>
    <t>ТЕРм08-01-078-05</t>
  </si>
  <si>
    <t>Токопровод экранированный с круглой алюминиевой шиной для генераторов, мощность 500-1000 МВт</t>
  </si>
  <si>
    <t>ТЕРм08-01-078-06</t>
  </si>
  <si>
    <t>Токопровод экранированный отпаечный для генераторов, мощность до 300 МВт</t>
  </si>
  <si>
    <t>ТЕРм08-01-078-07</t>
  </si>
  <si>
    <t>Токопровод экранированный отпаечный для генераторов, мощность до 500-1000 МВт</t>
  </si>
  <si>
    <t xml:space="preserve">                                   Мосты шинные для сборных распределительных устройств</t>
  </si>
  <si>
    <t>ТЕРм08-01-079-01</t>
  </si>
  <si>
    <t>Мост шинный для сборных распределительных устройств, количество опорных изоляторов 9</t>
  </si>
  <si>
    <t>ТЕРм08-01-079-02</t>
  </si>
  <si>
    <t>Мост шинный для сборных распределительных устройств, количество опорных изоляторов 12</t>
  </si>
  <si>
    <t>ТЕРм08-01-079-03</t>
  </si>
  <si>
    <t>Мост шинный для сборных распределительных устройств, количество опорных изоляторов 18</t>
  </si>
  <si>
    <t>ТЕРм08-01-079-04</t>
  </si>
  <si>
    <t>Мост шинный для сборных распределительных устройств, количество опорных изоляторов 21</t>
  </si>
  <si>
    <t xml:space="preserve">                                   Приборы измерения и защиты</t>
  </si>
  <si>
    <t>ТЕРм08-01-080-01</t>
  </si>
  <si>
    <t>Прибор измерения и защиты, количество подключаемых концов до 2</t>
  </si>
  <si>
    <t>ТЕРм08-01-080-02</t>
  </si>
  <si>
    <t>Прибор измерения и защиты, количество подключаемых концов до 6</t>
  </si>
  <si>
    <t>ТЕРм08-01-080-03</t>
  </si>
  <si>
    <t>Прибор измерения и защиты, количество подключаемых концов до 12</t>
  </si>
  <si>
    <t>ТЕРм08-01-080-04</t>
  </si>
  <si>
    <t>Блок-контактор</t>
  </si>
  <si>
    <t xml:space="preserve">                                   Аппараты управления и сигнализации</t>
  </si>
  <si>
    <t>ТЕРм08-01-081-01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</si>
  <si>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2</t>
  </si>
  <si>
    <t>ТЕРм08-01-081-02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</si>
  <si>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6</t>
  </si>
  <si>
    <t>ТЕРм08-01-081-03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</si>
  <si>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12</t>
  </si>
  <si>
    <t xml:space="preserve">                                   Зажимы наборные</t>
  </si>
  <si>
    <t>ТЕРм08-01-082-01</t>
  </si>
  <si>
    <t>Зажим наборный без кожуха</t>
  </si>
  <si>
    <t xml:space="preserve">                                   Устройства сигнально-блокировочные</t>
  </si>
  <si>
    <t>ТЕРм08-01-083-01</t>
  </si>
  <si>
    <t>Устройство сигнально-блокировочное</t>
  </si>
  <si>
    <t xml:space="preserve">                                   Камеры сборных распределительных устройств</t>
  </si>
  <si>
    <t>ТЕРм08-01-084-01</t>
  </si>
  <si>
    <t>Камера сборных распределительных устройств с масляным выключателем</t>
  </si>
  <si>
    <t>ТЕРм08-01-084-02</t>
  </si>
  <si>
    <t>Камера сборных распределительных устройств трансформатора напряжения, линейного ввода, разрядника или разъединителя</t>
  </si>
  <si>
    <t>ТЕРм08-01-084-03</t>
  </si>
  <si>
    <t>Камера сборных распределительных устройств резервная</t>
  </si>
  <si>
    <t>ТЕРм08-01-084-04</t>
  </si>
  <si>
    <t>Камера сборных распределительных устройств с выключателем нагрузки</t>
  </si>
  <si>
    <t xml:space="preserve">                                   Шкафы комплектных распределительных устройств</t>
  </si>
  <si>
    <t>ТЕРм08-01-085-01</t>
  </si>
  <si>
    <t>Шкаф комплектных распределительных устройств с выключателем напряжением 6-10 кВ, на ток до 3200 А</t>
  </si>
  <si>
    <t xml:space="preserve">                                   Комплектные трансформаторные подстанции (КТП)</t>
  </si>
  <si>
    <t>ТЕРм08-01-086-01</t>
  </si>
  <si>
    <t>Шкаф КТП ввода высоковольтный</t>
  </si>
  <si>
    <t>ТЕРм08-01-086-02</t>
  </si>
  <si>
    <t>Шкаф КТП ввода низковольтный</t>
  </si>
  <si>
    <t>ТЕРм08-01-086-03</t>
  </si>
  <si>
    <t>Мост шинный для двухрядного КТП</t>
  </si>
  <si>
    <t xml:space="preserve">                                   Ограждения, плиты и металлические конструкции под оборудование</t>
  </si>
  <si>
    <t>ТЕРм08-01-087-01</t>
  </si>
  <si>
    <t>Ограждение сетчатое</t>
  </si>
  <si>
    <t>ТЕРм08-01-087-02</t>
  </si>
  <si>
    <t>Плита проходная асбестоцементная или стальная для установки трансформаторов тока, проходных изоляторов или прохода шин</t>
  </si>
  <si>
    <t>ТЕРм08-01-087-03</t>
  </si>
  <si>
    <t>Металлические конструкции</t>
  </si>
  <si>
    <t xml:space="preserve">                                   Раздел 4. ПРЕОБРАЗОВАТЕЛЬНЫЕ УСТРОЙСТВА</t>
  </si>
  <si>
    <t xml:space="preserve">                                   Преобразователи</t>
  </si>
  <si>
    <t>ТЕРм08-01-101-01</t>
  </si>
  <si>
    <t>Преобразователь массой до 0,15 т</t>
  </si>
  <si>
    <t>ТЕРм08-01-101-02</t>
  </si>
  <si>
    <t>Преобразователь массой до 0,25 т</t>
  </si>
  <si>
    <t>ТЕРм08-01-101-03</t>
  </si>
  <si>
    <t>Преобразователь массой до 0,5 т</t>
  </si>
  <si>
    <t>ТЕРм08-01-101-04</t>
  </si>
  <si>
    <t>Преобразователь массой до 1 т</t>
  </si>
  <si>
    <t>ТЕРм08-01-101-05</t>
  </si>
  <si>
    <t>Преобразователь массой до 1,5 т</t>
  </si>
  <si>
    <t>ТЕРм08-01-101-06</t>
  </si>
  <si>
    <t>Преобразователь массой до 2 т</t>
  </si>
  <si>
    <t>ТЕРм08-01-101-07</t>
  </si>
  <si>
    <t>Преобразователь массой до 2,5 т</t>
  </si>
  <si>
    <t>ТЕРм08-01-101-08</t>
  </si>
  <si>
    <t>Преобразователь массой до 3 т</t>
  </si>
  <si>
    <t xml:space="preserve">                                   Шкафы управления и регулирования</t>
  </si>
  <si>
    <t>ТЕРм08-01-102-01</t>
  </si>
  <si>
    <t>Шкаф управления и регулирования</t>
  </si>
  <si>
    <t xml:space="preserve">                                   Шкафы с быстродействующими автоматами</t>
  </si>
  <si>
    <t>ТЕРм08-01-103-01</t>
  </si>
  <si>
    <t>Шкаф с однополюсным быстродействующим автоматом на ток до 4000 А</t>
  </si>
  <si>
    <t>ТЕРм08-01-103-02</t>
  </si>
  <si>
    <t>Шкаф с однополюсным быстродействующим автоматом на ток до 10000 А</t>
  </si>
  <si>
    <t xml:space="preserve">                                   Теплообменники для преобразовательных устройств</t>
  </si>
  <si>
    <t>ТЕРм08-01-104-01</t>
  </si>
  <si>
    <t>Теплообменник для преобразовательных устройств, мощность отводимого тепла до 30 кВт</t>
  </si>
  <si>
    <t>ТЕРм08-01-104-02</t>
  </si>
  <si>
    <t>Теплообменник для преобразовательных устройств, мощность отводимого тепла до 80 кВт</t>
  </si>
  <si>
    <t>ТЕРм08-01-104-03</t>
  </si>
  <si>
    <t>Теплообменник для преобразовательных устройств, мощность отводимого тепла до 100 кВт</t>
  </si>
  <si>
    <t xml:space="preserve">                                   Автоматические выпрямительные устройства (АВУ)</t>
  </si>
  <si>
    <t>ТЕРм08-01-105-01</t>
  </si>
  <si>
    <t>Автоматическое распределительное устройство массой до 0,1 т</t>
  </si>
  <si>
    <t>ТЕРм08-01-105-02</t>
  </si>
  <si>
    <t>Автоматическое распределительное устройство массой до 0,25 т</t>
  </si>
  <si>
    <t>ТЕРм08-01-105-03</t>
  </si>
  <si>
    <t>Автоматическое распределительное устройство массой до 0,5 т</t>
  </si>
  <si>
    <t>ТЕРм08-01-105-04</t>
  </si>
  <si>
    <t>Автоматическое распределительное устройство массой до 1,5 т</t>
  </si>
  <si>
    <t>ТЕРм08-01-105-05</t>
  </si>
  <si>
    <t>Автоматическое распределительное устройство массой до 2,5 т</t>
  </si>
  <si>
    <t xml:space="preserve">                                   Раздел 5. АККУМУЛЯТОРНЫЕ УСТАНОВКИ</t>
  </si>
  <si>
    <t xml:space="preserve">                                   Аккумуляторы кислотные стационарные</t>
  </si>
  <si>
    <t>ТЕРм08-01-121-01</t>
  </si>
  <si>
    <t>Аккумулятор кислотный стационарный, тип С-1, СК-1</t>
  </si>
  <si>
    <t>ТЕРм08-01-121-02</t>
  </si>
  <si>
    <t>Аккумулятор кислотный стационарный, тип С-2, СК-2</t>
  </si>
  <si>
    <t>ТЕРм08-01-121-03</t>
  </si>
  <si>
    <t>Аккумулятор кислотный стационарный, тип С-3, СК-3</t>
  </si>
  <si>
    <t>ТЕРм08-01-121-04</t>
  </si>
  <si>
    <t>Аккумулятор кислотный стационарный, тип С-4, СК-4, С-5, СК-5</t>
  </si>
  <si>
    <t>ТЕРм08-01-121-05</t>
  </si>
  <si>
    <t>Аккумулятор кислотный стационарный, тип С-6, СК-6, С-8, СК-8</t>
  </si>
  <si>
    <t>ТЕРм08-01-121-06</t>
  </si>
  <si>
    <t>Аккумулятор кислотный стационарный, тип С-10, СК-10, С-12, СК-12</t>
  </si>
  <si>
    <t>ТЕРм08-01-121-07</t>
  </si>
  <si>
    <t>Аккумулятор кислотный стационарный, тип С-14, СК-14, С-16, СК-16</t>
  </si>
  <si>
    <t>ТЕРм08-01-121-08</t>
  </si>
  <si>
    <t>Аккумулятор кислотный стационарный, тип С-18, СК-18, С-20, СК-20</t>
  </si>
  <si>
    <t>ТЕРм08-01-121-09</t>
  </si>
  <si>
    <t>Аккумулятор кислотный стационарный, тип С-24, СК-24, С-28, СК-28</t>
  </si>
  <si>
    <t>ТЕРм08-01-121-10</t>
  </si>
  <si>
    <t>Аккумулятор кислотный стационарный, тип С-32, СК-32, С-36, СК-36, С-40, СК-40</t>
  </si>
  <si>
    <t>ТЕРм08-01-121-11</t>
  </si>
  <si>
    <t>Аккумулятор кислотный стационарный, тип С-44, СК-44, С-48, СК-48</t>
  </si>
  <si>
    <t>ТЕРм08-01-121-12</t>
  </si>
  <si>
    <t>Аккумулятор кислотный стационарный, тип С-52, СК-52, С-56, СК-56</t>
  </si>
  <si>
    <t>ТЕРм08-01-121-13</t>
  </si>
  <si>
    <t>Аккумулятор кислотный стационарный, тип С-60, СК-60, С-64, СК-64</t>
  </si>
  <si>
    <t>ТЕРм08-01-121-14</t>
  </si>
  <si>
    <t>Аккумулятор кислотный стационарный, тип С-68, СК-68, С-72, СК-72</t>
  </si>
  <si>
    <t>ТЕРм08-01-121-15</t>
  </si>
  <si>
    <t>Аккумулятор кислотный стационарный, тип С-76, СК-76, С-80, СК-80, С-84, СК-84</t>
  </si>
  <si>
    <t>ТЕРм08-01-121-16</t>
  </si>
  <si>
    <t>Аккумулятор кислотный стационарный, тип С-88, СК-88, С-92, СК-92, С-96, СК-96</t>
  </si>
  <si>
    <t>ТЕРм08-01-121-17</t>
  </si>
  <si>
    <t>Аккумулятор кислотный стационарный, тип С-100, СК-100, С-104, СК-104, С-108, СК-108</t>
  </si>
  <si>
    <t>ТЕРм08-01-121-18</t>
  </si>
  <si>
    <t>Аккумулятор кислотный стационарный, тип С-112, СК-112, С-116, СК-116, С-120, СК-120</t>
  </si>
  <si>
    <t>ТЕРм08-01-121-19</t>
  </si>
  <si>
    <t>Аккумулятор кислотный стационарный, тип С-124, СК-124, С-128, СК-128, С-132, СК-132</t>
  </si>
  <si>
    <t>ТЕРм08-01-121-20</t>
  </si>
  <si>
    <t>Аккумулятор кислотный стационарный, тип С-136, СК-136, С-140, СК-140, С-144, СК-144, С-148, СК-148</t>
  </si>
  <si>
    <t xml:space="preserve">                                   Формирование и контрольный заряд-разряд аккумуляторных батарей</t>
  </si>
  <si>
    <t>ТЕРм08-01-122-01</t>
  </si>
  <si>
    <t>Батарея аккумуляторов кислотных стационарных</t>
  </si>
  <si>
    <t>ТЕРм08-01-122-02</t>
  </si>
  <si>
    <t>Каждая последующая батарея аккумуляторов кислотных стационарных сверх одной при одновременном формировании</t>
  </si>
  <si>
    <t>ТЕРм08-01-122-03</t>
  </si>
  <si>
    <t>Дополнительный тренировочный цикл «заряд-разряд» при формировании кислотной стационарной аккумуляторной батареи</t>
  </si>
  <si>
    <t xml:space="preserve">                                   Стеллажи для аккумуляторов</t>
  </si>
  <si>
    <t>ТЕРм08-01-123-01</t>
  </si>
  <si>
    <t>Стеллаж для аккумуляторов деревянный одноярусный, однорядный</t>
  </si>
  <si>
    <t>ТЕРм08-01-123-02</t>
  </si>
  <si>
    <t>Стеллаж для аккумуляторов деревянный одноярусный, двухрядный</t>
  </si>
  <si>
    <t>ТЕРм08-01-123-03</t>
  </si>
  <si>
    <t>Стеллаж для аккумуляторов деревянный двухъярусный, однорядный</t>
  </si>
  <si>
    <t>ТЕРм08-01-123-04</t>
  </si>
  <si>
    <t>Стеллаж для аккумуляторов деревянный двухъярусный, двухрядный</t>
  </si>
  <si>
    <t>ТЕРм08-01-123-05</t>
  </si>
  <si>
    <t>Стеллаж для аккумуляторов металлический одноярусный, однорядный</t>
  </si>
  <si>
    <t>ТЕРм08-01-123-06</t>
  </si>
  <si>
    <t>Стеллаж для аккумуляторов металлический одноярусный, двухрядный</t>
  </si>
  <si>
    <t>ТЕРм08-01-123-07</t>
  </si>
  <si>
    <t>Стеллаж для аккумуляторов металлический двухъярусный, однорядный</t>
  </si>
  <si>
    <t>ТЕРм08-01-123-08</t>
  </si>
  <si>
    <t>Стеллаж для аккумуляторов металлический двухъярусный, двухрядный</t>
  </si>
  <si>
    <t xml:space="preserve">                                   Доски проходные в аккумуляторных помещениях</t>
  </si>
  <si>
    <t>ТЕРм08-01-124-01</t>
  </si>
  <si>
    <t>Доска проходная в аккумуляторных помещениях при количестве шин до 4</t>
  </si>
  <si>
    <t>ТЕРм08-01-124-02</t>
  </si>
  <si>
    <t>Доска проходная в аккумуляторных помещениях при количестве шин до 5-12</t>
  </si>
  <si>
    <t xml:space="preserve">                           Раздел 2. ОТДЕЛ 02. КАНАЛИЗАЦИЯ ЭЛЕКТРОЭНЕРГИИ И ЭЛЕКТРИЧЕСКИЕ СЕТИ</t>
  </si>
  <si>
    <t xml:space="preserve">                                   Раздел 1. КАБЕЛЬНЫЕ ЛИНИИ ДО 500 КВ</t>
  </si>
  <si>
    <t xml:space="preserve">                                   Кабель до 64/110 кВ из сшитого полиэтилена в траншее</t>
  </si>
  <si>
    <t>ТЕРм08-02-140-01</t>
  </si>
  <si>
    <t>Кабель до 64/110 кВ из сшитого полиэтилена в траншее</t>
  </si>
  <si>
    <t xml:space="preserve">                                   Кабели до 35 кВ в готовых траншеях без покрытий</t>
  </si>
  <si>
    <t>ТЕРм08-02-141-01</t>
  </si>
  <si>
    <t>Кабель до 35 кВ в готовых траншеях без покрытий, масса 1 м до 1 кг</t>
  </si>
  <si>
    <t>ТЕРм08-02-141-02</t>
  </si>
  <si>
    <t>Кабель до 35 кВ в готовых траншеях без покрытий, масса 1 м до 2 кг</t>
  </si>
  <si>
    <t>ТЕРм08-02-141-03</t>
  </si>
  <si>
    <t>Кабель до 35 кВ в готовых траншеях без покрытий, масса 1 м до 3 кг</t>
  </si>
  <si>
    <t>ТЕРм08-02-141-04</t>
  </si>
  <si>
    <t>Кабель до 35 кВ в готовых траншеях без покрытий, масса 1 м до 6 кг</t>
  </si>
  <si>
    <t>ТЕРм08-02-141-05</t>
  </si>
  <si>
    <t>Кабель до 35 кВ в готовых траншеях без покрытий, масса 1 м до 9 кг</t>
  </si>
  <si>
    <t>ТЕРм08-02-141-06</t>
  </si>
  <si>
    <t>Кабель до 35 кВ в готовых траншеях без покрытий, масса 1 м до 13 кг</t>
  </si>
  <si>
    <t>ТЕРм08-02-141-07</t>
  </si>
  <si>
    <t>Кабель до 35 кВ в готовых траншеях без покрытий, масса 1 м до 18 кг</t>
  </si>
  <si>
    <t>ТЕРм08-02-141-08</t>
  </si>
  <si>
    <t>Кабель до 35 кВ в готовых траншеях без покрытий, масса 1 м до 23 кг</t>
  </si>
  <si>
    <t>ТЕРм08-02-141-09</t>
  </si>
  <si>
    <t>Кабель до 35 кВ в готовых траншеях без покрытий, масса 1 м до 30 кг</t>
  </si>
  <si>
    <t xml:space="preserve">                                   Устройство постели для кабеля</t>
  </si>
  <si>
    <t>ТЕРм08-02-142-01</t>
  </si>
  <si>
    <t>Устройство постели при одном кабеле в траншее</t>
  </si>
  <si>
    <t>ТЕРм08-02-142-02</t>
  </si>
  <si>
    <t>На каждый последующий кабель добавлять к расценке 08-02-142-01</t>
  </si>
  <si>
    <t xml:space="preserve">                                   Покрытие кабеля, проложенного в траншее</t>
  </si>
  <si>
    <t>ТЕРм08-02-143-01</t>
  </si>
  <si>
    <t>Покрытие кабеля, проложенного в траншее кирпичом одного кабеля</t>
  </si>
  <si>
    <t>ТЕРм08-02-143-02</t>
  </si>
  <si>
    <t>Покрытие кабеля, проложенного в траншее кирпичом каждого последующего</t>
  </si>
  <si>
    <t>ТЕРм08-02-143-03</t>
  </si>
  <si>
    <t>Покрытие кабеля, проложенного в траншее плитами одного кабеля</t>
  </si>
  <si>
    <t>ТЕРм08-02-143-04</t>
  </si>
  <si>
    <t>Покрытие кабеля, проложенного в траншее плитами каждого последующего</t>
  </si>
  <si>
    <t xml:space="preserve">                                   Присоединение к зажимам жил проводов или кабелей</t>
  </si>
  <si>
    <t>ТЕРм08-02-144-01</t>
  </si>
  <si>
    <t>Присоединение к зажимам жил проводов или кабелей сечением до 2,5 мм2</t>
  </si>
  <si>
    <t>ТЕРм08-02-144-02</t>
  </si>
  <si>
    <t>Присоединение к зажимам жил проводов или кабелей сечением до 6 мм2</t>
  </si>
  <si>
    <t>ТЕРм08-02-144-03</t>
  </si>
  <si>
    <t>Присоединение к зажимам жил проводов или кабелей сечением до 16 мм2</t>
  </si>
  <si>
    <t>ТЕРм08-02-144-04</t>
  </si>
  <si>
    <t>Присоединение к зажимам жил проводов или кабелей сечением до 35 мм2</t>
  </si>
  <si>
    <t>ТЕРм08-02-144-05</t>
  </si>
  <si>
    <t>Присоединение к зажимам жил проводов или кабелей сечением до 70 мм2</t>
  </si>
  <si>
    <t>ТЕРм08-02-144-06</t>
  </si>
  <si>
    <t>Присоединение к зажимам жил проводов или кабелей сечением до 150 мм2</t>
  </si>
  <si>
    <t>ТЕРм08-02-144-07</t>
  </si>
  <si>
    <t>Присоединение к зажимам жил проводов или кабелей сечением до 240 мм2</t>
  </si>
  <si>
    <t>ТЕРм08-02-144-08</t>
  </si>
  <si>
    <t>Присоединение к зажимам жил проводов или кабелей сечением до 400 мм2</t>
  </si>
  <si>
    <t xml:space="preserve">                                   Кабели до 35 кВ, прокладываемые по дну канала без креплений</t>
  </si>
  <si>
    <t>ТЕРм08-02-145-01</t>
  </si>
  <si>
    <t>Кабель до 35 кВ, прокладываемый по дну канала без креплений, масса 1 м кабеля до 1 кг</t>
  </si>
  <si>
    <t>ТЕРм08-02-145-02</t>
  </si>
  <si>
    <t>Кабель до 35 кВ, прокладываемый по дну канала без креплений, масса 1 м кабеля до 2 кг</t>
  </si>
  <si>
    <t>ТЕРм08-02-145-03</t>
  </si>
  <si>
    <t>Кабель до 35 кВ, прокладываемый по дну канала без креплений, масса 1 м кабеля до 3 кг</t>
  </si>
  <si>
    <t>ТЕРм08-02-145-04</t>
  </si>
  <si>
    <t>Кабель до 35 кВ, прокладываемый по дну канала без креплений, масса 1 м кабеля до 6 кг</t>
  </si>
  <si>
    <t>ТЕРм08-02-145-05</t>
  </si>
  <si>
    <t>Кабель до 35 кВ, прокладываемый по дну канала без креплений, масса 1 м кабеля до 9 кг</t>
  </si>
  <si>
    <t>ТЕРм08-02-145-06</t>
  </si>
  <si>
    <t>Кабель до 35 кВ, прокладываемый по дну канала без креплений, масса 1 м кабеля до 13 кг</t>
  </si>
  <si>
    <t>ТЕРм08-02-145-07</t>
  </si>
  <si>
    <t>Кабель до 35 кВ, прокладываемый по дну канала без креплений, масса 1 м кабеля до 18 кг</t>
  </si>
  <si>
    <t>ТЕРм08-02-145-08</t>
  </si>
  <si>
    <t>Кабель до 35 кВ, прокладываемый по дну канала без креплений, масса 1 м кабеля до 23 кг</t>
  </si>
  <si>
    <t>ТЕРм08-02-145-09</t>
  </si>
  <si>
    <t>Кабель до 35 кВ, прокладываемый по дну канала без креплений, масса 1 м кабеля до 30 кг</t>
  </si>
  <si>
    <t xml:space="preserve">                                   Кабели до 35 кВ с креплением накладными скобами</t>
  </si>
  <si>
    <t>ТЕРм08-02-146-01</t>
  </si>
  <si>
    <t>Кабель до 35 кВ с креплением накладными скобами, масса 1 м кабеля до 0,5 кг</t>
  </si>
  <si>
    <t>ТЕРм08-02-146-02</t>
  </si>
  <si>
    <t>Кабель до 35 кВ с креплением накладными скобами, масса 1 м кабеля до 1 кг</t>
  </si>
  <si>
    <t>ТЕРм08-02-146-03</t>
  </si>
  <si>
    <t>Кабель до 35 кВ с креплением накладными скобами, масса 1 м кабеля до 2 кг</t>
  </si>
  <si>
    <t>ТЕРм08-02-146-04</t>
  </si>
  <si>
    <t>Кабель до 35 кВ с креплением накладными скобами, масса 1 м кабеля до 3 кг</t>
  </si>
  <si>
    <t>ТЕРм08-02-146-05</t>
  </si>
  <si>
    <t>Кабель до 35 кВ с креплением накладными скобами, масса 1 м кабеля до 6 кг</t>
  </si>
  <si>
    <t>ТЕРм08-02-146-06</t>
  </si>
  <si>
    <t>Кабель до 35 кВ с креплением накладными скобами, масса 1 м кабеля до 9 кг</t>
  </si>
  <si>
    <t>ТЕРм08-02-146-07</t>
  </si>
  <si>
    <t>Кабель до 35 кВ с креплением накладными скобами, масса 1 м кабеля до 13 кг</t>
  </si>
  <si>
    <t>ТЕРм08-02-146-08</t>
  </si>
  <si>
    <t>Кабель до 35 кВ с креплением накладными скобами, масса 1 м кабеля до 18 кг</t>
  </si>
  <si>
    <t>ТЕРм08-02-146-09</t>
  </si>
  <si>
    <t>Кабель до 35 кВ с креплением накладными скобами, масса 1 м кабеля до 23 кг</t>
  </si>
  <si>
    <t>ТЕРм08-02-146-10</t>
  </si>
  <si>
    <t>Кабель до 35 кВ с креплением накладными скобами, масса 1 м кабеля до 30 кг</t>
  </si>
  <si>
    <t xml:space="preserve">                                   Кабели до 35 кВ по установленным конструкциям и лоткам</t>
  </si>
  <si>
    <t>ТЕРм08-02-147-01</t>
  </si>
  <si>
    <t>Кабель до 35 кВ по установленным конструкциям и лоткам с креплением на поворотах и в конце трассы, масса 1 м кабеля до 1 кг</t>
  </si>
  <si>
    <t>ТЕРм08-02-147-02</t>
  </si>
  <si>
    <t>Кабель до 35 кВ по установленным конструкциям и лоткам с креплением на поворотах и в конце трассы, масса 1 м кабеля до 2 кг</t>
  </si>
  <si>
    <t>ТЕРм08-02-147-03</t>
  </si>
  <si>
    <t>Кабель до 35 кВ по установленным конструкциям и лоткам с креплением на поворотах и в конце трассы, масса 1 м кабеля до 3 кг</t>
  </si>
  <si>
    <t>ТЕРм08-02-147-04</t>
  </si>
  <si>
    <t>Кабель до 35 кВ по установленным конструкциям и лоткам с креплением на поворотах и в конце трассы, масса 1 м кабеля до 6 кг</t>
  </si>
  <si>
    <t>ТЕРм08-02-147-05</t>
  </si>
  <si>
    <t>Кабель до 35 кВ по установленным конструкциям и лоткам с креплением на поворотах и в конце трассы, масса 1 м кабеля до 9 кг</t>
  </si>
  <si>
    <t>ТЕРм08-02-147-06</t>
  </si>
  <si>
    <t>Кабель до 35 кВ по установленным конструкциям и лоткам с креплением на поворотах и в конце трассы, масса 1 м кабеля до 13 кг</t>
  </si>
  <si>
    <t>ТЕРм08-02-147-07</t>
  </si>
  <si>
    <t>Кабель до 35 кВ по установленным конструкциям и лоткам с креплением на поворотах и в конце трассы, масса 1 м кабеля до 18 кг</t>
  </si>
  <si>
    <t>ТЕРм08-02-147-08</t>
  </si>
  <si>
    <t>Кабель до 35 кВ по установленным конструкциям и лоткам с креплением на поворотах и в конце трассы, масса 1 м кабеля до 23 кг</t>
  </si>
  <si>
    <t>ТЕРм08-02-147-09</t>
  </si>
  <si>
    <t>Кабель до 35 кВ по установленным конструкциям и лоткам с креплением на поворотах и в конце трассы, масса 1 м кабеля до 30 кг</t>
  </si>
  <si>
    <t>ТЕРм08-02-147-10</t>
  </si>
  <si>
    <t>Кабель до 35 кВ по установленным конструкциям и лоткам с креплением по всей длине, масса 1 м кабеля до 1 кг</t>
  </si>
  <si>
    <t>ТЕРм08-02-147-11</t>
  </si>
  <si>
    <t>Кабель до 35 кВ по установленным конструкциям и лоткам с креплением по всей длине, масса 1 м кабеля до 2 кг</t>
  </si>
  <si>
    <t>ТЕРм08-02-147-12</t>
  </si>
  <si>
    <t>Кабель до 35 кВ по установленным конструкциям и лоткам с креплением по всей длине, масса 1 м кабеля до 3 кг</t>
  </si>
  <si>
    <t>ТЕРм08-02-147-13</t>
  </si>
  <si>
    <t>Кабель до 35 кВ по установленным конструкциям и лоткам с креплением по всей длине, масса 1 м кабеля до 6 кг</t>
  </si>
  <si>
    <t>ТЕРм08-02-147-14</t>
  </si>
  <si>
    <t>Кабель до 35 кВ по установленным конструкциям и лоткам с креплением по всей длине, масса 1 м кабеля до 9 кг</t>
  </si>
  <si>
    <t>ТЕРм08-02-147-15</t>
  </si>
  <si>
    <t>Кабель до 35 кВ по установленным конструкциям и лоткам с креплением по всей длине, масса 1 м кабеля до 13 кг</t>
  </si>
  <si>
    <t>ТЕРм08-02-147-16</t>
  </si>
  <si>
    <t>Кабель до 35 кВ по установленным конструкциям и лоткам с креплением по всей длине, масса 1 м кабеля до 18 кг</t>
  </si>
  <si>
    <t>ТЕРм08-02-147-17</t>
  </si>
  <si>
    <t>Кабель до 35 кВ по установленным конструкциям и лоткам с креплением по всей длине, масса 1 м кабеля до 23 кг</t>
  </si>
  <si>
    <t>ТЕРм08-02-147-18</t>
  </si>
  <si>
    <t>Кабель до 35 кВ по установленным конструкциям и лоткам с креплением по всей длине, масса 1 м кабеля до 30 кг</t>
  </si>
  <si>
    <t xml:space="preserve">                                   Кабели до 35 кВ в проложенных трубах, блоках и коробах</t>
  </si>
  <si>
    <t>ТЕРм08-02-148-01</t>
  </si>
  <si>
    <t>Кабель до 35 кВ в проложенных трубах, блоках и коробах, масса 1 м кабеля до 1 кг</t>
  </si>
  <si>
    <t>ТЕРм08-02-148-02</t>
  </si>
  <si>
    <t>Кабель до 35 кВ в проложенных трубах, блоках и коробах, масса 1 м кабеля до 2 кг</t>
  </si>
  <si>
    <t>ТЕРм08-02-148-03</t>
  </si>
  <si>
    <t>Кабель до 35 кВ в проложенных трубах, блоках и коробах, масса 1 м кабеля до 3 кг</t>
  </si>
  <si>
    <t>ТЕРм08-02-148-04</t>
  </si>
  <si>
    <t>Кабель до 35 кВ в проложенных трубах, блоках и коробах, масса 1 м кабеля до 6 кг</t>
  </si>
  <si>
    <t>ТЕРм08-02-148-05</t>
  </si>
  <si>
    <t>Кабель до 35 кВ в проложенных трубах, блоках и коробах, масса 1 м кабеля до 9 кг</t>
  </si>
  <si>
    <t>ТЕРм08-02-148-06</t>
  </si>
  <si>
    <t>Кабель до 35 кВ в проложенных трубах, блоках и коробах, масса 1 м кабеля до 13 кг</t>
  </si>
  <si>
    <t>ТЕРм08-02-148-07</t>
  </si>
  <si>
    <t>Кабель до 35 кВ в проложенных трубах, блоках и коробах, масса 1 м кабеля до 18 кг</t>
  </si>
  <si>
    <t>ТЕРм08-02-148-08</t>
  </si>
  <si>
    <t>Кабель до 35 кВ в проложенных трубах, блоках и коробах, масса 1 м кабеля до 23 кг</t>
  </si>
  <si>
    <t>ТЕРм08-02-148-09</t>
  </si>
  <si>
    <t>Кабель до 35 кВ в проложенных трубах, блоках и коробах, масса 1 м кабеля до 30 кг</t>
  </si>
  <si>
    <t xml:space="preserve">                                   Кабели до 35 кВ, подвешиваемые на тросе</t>
  </si>
  <si>
    <t>ТЕРм08-02-149-01</t>
  </si>
  <si>
    <t>Кабель до 35 кВ, подвешиваемый на тросе, масса 1 м кабеля до 1 кг</t>
  </si>
  <si>
    <t>ТЕРм08-02-149-02</t>
  </si>
  <si>
    <t>Кабель до 35 кВ, подвешиваемый на тросе, масса 1 м кабеля до 4 кг</t>
  </si>
  <si>
    <t xml:space="preserve">                                   Подвеска самонесущих изолированных проводов (СИП-2А) напряжением от 0,4 кВ до 1 кВ (со снятием напряжения)</t>
  </si>
  <si>
    <t>ТЕРм08-02-150-01</t>
  </si>
  <si>
    <t>Подвеска самонесущих изолированных проводов (СИП-2А) напряжением от 0,4 кВ до 1 кВ (со снятием напряжения) при количестве 29 опор с использованием автогидроподъемника</t>
  </si>
  <si>
    <t>ТЕРм08-02-150-02</t>
  </si>
  <si>
    <t>Подвеска самонесущих изолированных проводов (СИП-2А) напряжением от 0,4 кВ до 1 кВ (со снятием напряжения) при количестве 29 опор без использования автогидроподъемника</t>
  </si>
  <si>
    <t>ТЕРм08-02-150-03</t>
  </si>
  <si>
    <t>При изменении количества опор на 1000 м добавлять или исключать к норме 08-02-150-01</t>
  </si>
  <si>
    <t>ТЕРм08-02-150-04</t>
  </si>
  <si>
    <t xml:space="preserve">                                   Кабели до 35 кВ, прокладываемые по непроходным эстакадам</t>
  </si>
  <si>
    <t>ТЕРм08-02-151-01</t>
  </si>
  <si>
    <t>Кабель до 35 кВ, прокладываемый по непроходным эстакадам, масса 1 м кабеля до 3 кг</t>
  </si>
  <si>
    <t>ТЕРм08-02-151-02</t>
  </si>
  <si>
    <t>Кабель до 35 кВ, прокладываемый по непроходным эстакадам, масса 1 м кабеля до 6 кг</t>
  </si>
  <si>
    <t>ТЕРм08-02-151-03</t>
  </si>
  <si>
    <t>Кабель до 35 кВ, прокладываемый по непроходным эстакадам, масса 1 м кабеля до 13 кг</t>
  </si>
  <si>
    <t xml:space="preserve">                                   Конструкции металлические кабельные</t>
  </si>
  <si>
    <t>ТЕРм08-02-152-01</t>
  </si>
  <si>
    <t>Полка-кронштейн из угловой стали</t>
  </si>
  <si>
    <t>ТЕРм08-02-152-02</t>
  </si>
  <si>
    <t>Скоба П-образная из полосовой или угловой стали</t>
  </si>
  <si>
    <t>ТЕРм08-02-152-03</t>
  </si>
  <si>
    <t>Конструкция сварная</t>
  </si>
  <si>
    <t>ТЕРм08-02-152-04</t>
  </si>
  <si>
    <t>Стойка сборных кабельных конструкций (без полок), масса до 1,6 кг</t>
  </si>
  <si>
    <t>ТЕРм08-02-152-05</t>
  </si>
  <si>
    <t>Стойка сборных кабельных конструкций (без полок), масса до 2,4 кг</t>
  </si>
  <si>
    <t>ТЕРм08-02-152-06</t>
  </si>
  <si>
    <t>Стойка сборных кабельных конструкций (без полок), масса до 4 кг</t>
  </si>
  <si>
    <t>ТЕРм08-02-152-07</t>
  </si>
  <si>
    <t>Полка кабельная, устанавливаемая на стойках, масса до 0,4 кг</t>
  </si>
  <si>
    <t>ТЕРм08-02-152-08</t>
  </si>
  <si>
    <t>Полка кабельная, устанавливаемая на стойках, масса до 0,7 кг</t>
  </si>
  <si>
    <t>ТЕРм08-02-152-09</t>
  </si>
  <si>
    <t>Полка кабельная, устанавливаемая на стойках, масса до 0,9 кг</t>
  </si>
  <si>
    <t>ТЕРм08-02-152-10</t>
  </si>
  <si>
    <t>Основание одиночных кабельных полок для закрепления на нем одной кабельной полки</t>
  </si>
  <si>
    <t>ТЕРм08-02-152-11</t>
  </si>
  <si>
    <t>Подвес для прокладки кабелей под перекрытиями со стойками сдвоенными массой до 4 кг</t>
  </si>
  <si>
    <t>ТЕРм08-02-152-12</t>
  </si>
  <si>
    <t>Подвес для прокладки кабелей под перекрытиями со стойками раздвинутыми массой до 8 кг</t>
  </si>
  <si>
    <t>ТЕРм08-02-152-13</t>
  </si>
  <si>
    <t>Конструкция из профильной стали для крепления закладных подвесок, масса до 1 кг</t>
  </si>
  <si>
    <t>ТЕРм08-02-152-14</t>
  </si>
  <si>
    <t>Конструкция из профильной стали для крепления закладных подвесок, масса до 2 кг</t>
  </si>
  <si>
    <t>ТЕРм08-02-152-15</t>
  </si>
  <si>
    <t>Подвеска кабельная закладная для прокладки кабеля, масса до 6,5 кг</t>
  </si>
  <si>
    <t>ТЕРм08-02-152-16</t>
  </si>
  <si>
    <t>Блок кабельных конструкций из одинарных или сдвоенных стоек из угловой стали (без полок), устанавливаемый на стене при высоте одинарной стойки до 1800 мм</t>
  </si>
  <si>
    <t>ТЕРм08-02-152-17</t>
  </si>
  <si>
    <t>Блок кабельных конструкций из одинарных или сдвоенных стоек из угловой стали (без полок), устанавливаемый на потолке при высоте сдвоенной стойки до 400 мм</t>
  </si>
  <si>
    <t>ТЕРм08-02-152-18</t>
  </si>
  <si>
    <t>Блок кабельных конструкций из одинарных или сдвоенных стоек из угловой стали (без полок), устанавливаемый на потолке при высоте сдвоенной стойки до 600 мм</t>
  </si>
  <si>
    <t>ТЕРм08-02-152-19</t>
  </si>
  <si>
    <t>Блок кабельных конструкций из одинарных или сдвоенных стоек из угловой стали (без полок), устанавливаемый на потолке при высоте сдвоенной стойки до 800 мм</t>
  </si>
  <si>
    <t>ТЕРм08-02-152-20</t>
  </si>
  <si>
    <t>Блок кабельных конструкций из одинарных или сдвоенных стоек из угловой стали (без полок), устанавливаемый на потолке при высоте сдвоенной стойки до 1200 мм</t>
  </si>
  <si>
    <t xml:space="preserve">                                   Короба для прокладки кабелей внутри и снаружи зданий</t>
  </si>
  <si>
    <t>ТЕРм08-02-153-01</t>
  </si>
  <si>
    <t>Короб со стойками и полками для прокладки кабелей до 35 кВ</t>
  </si>
  <si>
    <t xml:space="preserve">                                   Плиты асбестоцементные</t>
  </si>
  <si>
    <t>ТЕРм08-02-154-01</t>
  </si>
  <si>
    <t>Плита асбестоцементная между проложенными кабелями на кабельных конструкциях</t>
  </si>
  <si>
    <t xml:space="preserve">                                   Герметизация проходов при вводе кабелей</t>
  </si>
  <si>
    <t>ТЕРм08-02-155-01</t>
  </si>
  <si>
    <t>Герметизация проходов при вводе кабелей во взрывоопасные помещения уплотнительной массой</t>
  </si>
  <si>
    <t>ТЕРм08-02-155-02</t>
  </si>
  <si>
    <t>Заделка проходов при прокладке кабелей по стенам и потолкам</t>
  </si>
  <si>
    <t xml:space="preserve">                                   Короба (кожухи) и кассеты для герметизации проходов кабелей через стены во взрывоопасных помещениях</t>
  </si>
  <si>
    <t>ТЕРм08-02-156-01</t>
  </si>
  <si>
    <t>Короб (кожух) для герметизации проходов кабелей через стены во взрывоопасных помещениях неразъемный</t>
  </si>
  <si>
    <t>ТЕРм08-02-156-02</t>
  </si>
  <si>
    <t>Короб (кожух) для герметизации проходов кабелей через стены во взрывоопасных помещениях разъемный</t>
  </si>
  <si>
    <t>ТЕРм08-02-156-03</t>
  </si>
  <si>
    <t>Кассета герметизирующая разборного типа для герметизации проходов кабелей через стены во взрывоопасных помещениях, периметр кассеты до 0,75 м</t>
  </si>
  <si>
    <t>ТЕРм08-02-156-04</t>
  </si>
  <si>
    <t>Кассета герметизирующая разборного типа для герметизации проходов кабелей через стены во взрывоопасных помещениях, периметр кассеты до 1 м</t>
  </si>
  <si>
    <t>ТЕРм08-02-156-05</t>
  </si>
  <si>
    <t>Кассета герметизирующая разборного типа для герметизации проходов кабелей через стены во взрывоопасных помещениях, периметр кассеты до 2 м</t>
  </si>
  <si>
    <t>ТЕРм08-02-156-06</t>
  </si>
  <si>
    <t>Кассета герметизирующая разборного типа для герметизации проходов кабелей через стены во взрывоопасных помещениях, периметр кассеты свыше 2 м</t>
  </si>
  <si>
    <t xml:space="preserve">                                   Снятие с кабеля верхнего джутового покрова</t>
  </si>
  <si>
    <t>ТЕРм08-02-157-01</t>
  </si>
  <si>
    <t>Снятие с кабеля верхнего джутового покрова, масса 1 м кабеля до 9 кг</t>
  </si>
  <si>
    <t>ТЕРм08-02-157-02</t>
  </si>
  <si>
    <t>Снятие с кабеля верхнего джутового покрова, масса 1 м кабеля до 23 кг</t>
  </si>
  <si>
    <t xml:space="preserve">                                   Заделки концевые сухие</t>
  </si>
  <si>
    <t>ТЕРм08-02-158-01</t>
  </si>
  <si>
    <t>Заделка концевая сухая для одножильного кабеля напряжением до 1 кВ контактной сети городского транспорта, сечение до 240 мм2</t>
  </si>
  <si>
    <t>ТЕРм08-02-158-02</t>
  </si>
  <si>
    <t>Заделка концевая сухая для одножильного кабеля напряжением до 1 кВ контактной сети городского транспорта, сечение до 500 мм2</t>
  </si>
  <si>
    <t>ТЕРм08-02-158-03</t>
  </si>
  <si>
    <t>Заделка концевая сухая для одножильного кабеля напряжением до 1 кВ контактной сети городского транспорта, сечение до 800 мм2</t>
  </si>
  <si>
    <t>ТЕРм08-02-158-04</t>
  </si>
  <si>
    <t>Заделка концевая сухая для контрольного кабеля сечением одной жилы до 2,5 мм2, количество жил до 4</t>
  </si>
  <si>
    <t>ТЕРм08-02-158-05</t>
  </si>
  <si>
    <t>Заделка концевая сухая для контрольного кабеля сечением одной жилы до 2,5 мм2, количество жил до 7</t>
  </si>
  <si>
    <t>ТЕРм08-02-158-06</t>
  </si>
  <si>
    <t>Заделка концевая сухая для контрольного кабеля сечением одной жилы до 2,5 мм2, количество жил до 10</t>
  </si>
  <si>
    <t>ТЕРм08-02-158-07</t>
  </si>
  <si>
    <t>Заделка концевая сухая для контрольного кабеля сечением одной жилы до 2,5 мм2, количество жил до 14</t>
  </si>
  <si>
    <t>ТЕРм08-02-158-08</t>
  </si>
  <si>
    <t>Заделка концевая сухая для контрольного кабеля сечением одной жилы до 2,5 мм2, количество жил до 19</t>
  </si>
  <si>
    <t>ТЕРм08-02-158-09</t>
  </si>
  <si>
    <t>Заделка концевая сухая для контрольного кабеля сечением одной жилы до 2,5 мм2, количество жил до 27</t>
  </si>
  <si>
    <t>ТЕРм08-02-158-10</t>
  </si>
  <si>
    <t>Заделка концевая сухая для контрольного кабеля сечением одной жилы до 2,5 мм2, количество жил до 37</t>
  </si>
  <si>
    <t>ТЕРм08-02-158-11</t>
  </si>
  <si>
    <t>Заделка концевая сухая для контрольного кабеля сечением одной жилы до 6 мм2, количество жил до 4</t>
  </si>
  <si>
    <t>ТЕРм08-02-158-12</t>
  </si>
  <si>
    <t>Заделка концевая сухая для контрольного кабеля сечением одной жилы до 6 мм2, количество жил до 7</t>
  </si>
  <si>
    <t>ТЕРм08-02-158-13</t>
  </si>
  <si>
    <t>Заделка концевая сухая для контрольного кабеля сечением одной жилы до 6 мм2, количество жил до 10</t>
  </si>
  <si>
    <t>ТЕРм08-02-158-14</t>
  </si>
  <si>
    <t>Заделка концевая сухая для 3-4-жильного кабеля с пластмассовой и резиновой изоляцией напряжением до 1 кВ, сечение одной жилы до 35 мм2</t>
  </si>
  <si>
    <t>ТЕРм08-02-158-15</t>
  </si>
  <si>
    <t>Заделка концевая сухая для 3-4-жильного кабеля с пластмассовой и резиновой изоляцией напряжением до 1 кВ, сечение одной жилы до 120 мм2</t>
  </si>
  <si>
    <t>ТЕРм08-02-158-16</t>
  </si>
  <si>
    <t>Заделка концевая сухая для 3-4-жильного кабеля с пластмассовой и резиновой изоляцией напряжением до 1 кВ, сечение одной жилы до 185 мм2</t>
  </si>
  <si>
    <t>ТЕРм08-02-158-17</t>
  </si>
  <si>
    <t>Заделка концевая сухая для 3-4-жильного кабеля с пластмассовой и резиновой изоляцией напряжением до 1 кВ, сечение одной жилы до 240 мм2</t>
  </si>
  <si>
    <t>ТЕРм08-02-158-18</t>
  </si>
  <si>
    <t>Заделка концевая сухая для 3-4-жильного кабеля с пластмассовой и резиновой изоляцией напряжением до 10 кВ, сечение одной жилы до 35 мм2</t>
  </si>
  <si>
    <t>ТЕРм08-02-158-19</t>
  </si>
  <si>
    <t>Заделка концевая сухая для 3-4-жильного кабеля с пластмассовой и резиновой изоляцией напряжением до 10 кВ, сечение одной жилы до 70 мм2</t>
  </si>
  <si>
    <t>ТЕРм08-02-158-20</t>
  </si>
  <si>
    <t>Заделка концевая сухая для 3-4-жильного кабеля с пластмассовой и резиновой изоляцией напряжением до 10 кВ, сечение одной жилы до 120 мм2</t>
  </si>
  <si>
    <t>ТЕРм08-02-158-21</t>
  </si>
  <si>
    <t>Заделка концевая сухая для 3-4-жильного кабеля с пластмассовой и резиновой изоляцией напряжением до 10 кВ, сечение одной жилы до 185 мм2</t>
  </si>
  <si>
    <t>ТЕРм08-02-158-22</t>
  </si>
  <si>
    <t>Заделка концевая сухая для 3-4-жильного кабеля с пластмассовой и резиновой изоляцией напряжением до 10 кВ, сечение одной жилы до 240 мм2</t>
  </si>
  <si>
    <t xml:space="preserve">                                   Заделки концевые сухие в резиновой перчатке</t>
  </si>
  <si>
    <t>ТЕРм08-02-159-01</t>
  </si>
  <si>
    <t>Заделка концевая в резиновой перчатке для 3-4-жильного кабеля напряжением до 1 кВ, сечение одной жилы до 35 мм2</t>
  </si>
  <si>
    <t>ТЕРм08-02-159-02</t>
  </si>
  <si>
    <t>Заделка концевая в резиновой перчатке для 3-4-жильного кабеля напряжением до 1 кВ, сечение одной жилы до 70 мм2</t>
  </si>
  <si>
    <t>ТЕРм08-02-159-03</t>
  </si>
  <si>
    <t>Заделка концевая в резиновой перчатке для 3-4-жильного кабеля напряжением до 1 кВ, сечение одной жилы до 120 мм2</t>
  </si>
  <si>
    <t>ТЕРм08-02-159-04</t>
  </si>
  <si>
    <t>Заделка концевая в резиновой перчатке для 3-4-жильного кабеля напряжением до 1 кВ, сечение одной жилы до 240 мм2</t>
  </si>
  <si>
    <t>ТЕРм08-02-159-05</t>
  </si>
  <si>
    <t>Заделка концевая в резиновой перчатке для 3-4-жильного кабеля напряжением до 10 кВ, сечение одной жилы до 35 мм2</t>
  </si>
  <si>
    <t>ТЕРм08-02-159-06</t>
  </si>
  <si>
    <t>Заделка концевая в резиновой перчатке для 3-4-жильного кабеля напряжением до 10 кВ, сечение одной жилы до 70 мм2</t>
  </si>
  <si>
    <t>ТЕРм08-02-159-07</t>
  </si>
  <si>
    <t>Заделка концевая в резиновой перчатке для 3-4-жильного кабеля напряжением до 10 кВ, сечение одной жилы до 120 мм2</t>
  </si>
  <si>
    <t>ТЕРм08-02-159-08</t>
  </si>
  <si>
    <t>Заделка концевая в резиновой перчатке для 3-4-жильного кабеля напряжением до 10 кВ, сечение одной жилы до 185 мм2</t>
  </si>
  <si>
    <t>ТЕРм08-02-159-09</t>
  </si>
  <si>
    <t>Заделка концевая в резиновой перчатке для 3-4-жильного кабеля напряжением до 10 кВ, сечение одной жилы до 240 мм2</t>
  </si>
  <si>
    <t xml:space="preserve">                                   Заделки концевые эпоксидные</t>
  </si>
  <si>
    <t>ТЕРм08-02-160-01</t>
  </si>
  <si>
    <t>Заделка концевая эпоксидная для 3-4-жильного кабеля напряжением до 1 кВ, сечение одной жилы до 70 мм2</t>
  </si>
  <si>
    <t>ТЕРм08-02-160-02</t>
  </si>
  <si>
    <t>Заделка концевая эпоксидная для 3-4-жильного кабеля напряжением до 1 кВ, сечение одной жилы до 240 мм2</t>
  </si>
  <si>
    <t>ТЕРм08-02-160-03</t>
  </si>
  <si>
    <t>Заделка концевая эпоксидная для 3-4-жильного кабеля напряжением до 10 кВ, сечение одной жилы до 70 мм2</t>
  </si>
  <si>
    <t>ТЕРм08-02-160-04</t>
  </si>
  <si>
    <t>Заделка концевая эпоксидная для 3-4-жильного кабеля напряжением до 10 кВ, сечение одной жилы до 185 мм2</t>
  </si>
  <si>
    <t>ТЕРм08-02-160-05</t>
  </si>
  <si>
    <t>Заделка концевая эпоксидная для 3-4-жильного кабеля напряжением до 10 кВ, сечение одной жилы до 240 мм2</t>
  </si>
  <si>
    <t>ТЕРм08-02-160-06</t>
  </si>
  <si>
    <t>Заделка концевая эпоксидная для кабеля до 1 кВ сечением до 500 мм2</t>
  </si>
  <si>
    <t>ТЕРм08-02-160-07</t>
  </si>
  <si>
    <t>Заделка концевая эпоксидная для кабеля до 1 кВ сечением до 625 мм2</t>
  </si>
  <si>
    <t>ТЕРм08-02-160-08</t>
  </si>
  <si>
    <t>Заделка концевая эпоксидная для кабеля до 1 кВ сечением до 800 мм2</t>
  </si>
  <si>
    <t xml:space="preserve">                                   Заделки концевые сухие с применением бандажирующих муфт для контрольного кабеля</t>
  </si>
  <si>
    <t>ТЕРм08-02-161-01</t>
  </si>
  <si>
    <t>Заделка концевая сухая с бандажирующей муфтой для контрольного кабеля с резиновой или пластмассовой изоляцией сечением одной жилы до 2,5 мм2, количество жил до 14</t>
  </si>
  <si>
    <t>ТЕРм08-02-161-02</t>
  </si>
  <si>
    <t>Заделка концевая сухая с бандажирующей муфтой для контрольного кабеля с резиновой или пластмассовой изоляцией сечением одной жилы до 2,5 мм2, количество жил до 52</t>
  </si>
  <si>
    <t>ТЕРм08-02-161-03</t>
  </si>
  <si>
    <t>Заделка концевая сухая с бандажирующей муфтой для контрольного кабеля с резиновой или пластмассовой изоляцией сечением одной жилы до 6 мм2, количество жил до 10</t>
  </si>
  <si>
    <t xml:space="preserve">                                   Заделки концевые из самосклеивающихся лент</t>
  </si>
  <si>
    <t>ТЕРм08-02-162-01</t>
  </si>
  <si>
    <t>Заделка концевая из самосклеивающихся лент для 3-жильного кабеля с бумажной изоляцией напряжением до 10 кВ, сечение одной жилы до 35 мм2</t>
  </si>
  <si>
    <t>ТЕРм08-02-162-02</t>
  </si>
  <si>
    <t>Заделка концевая из самосклеивающихся лент для 3-жильного кабеля с бумажной изоляцией напряжением до 10 кВ, сечение одной жилы до 120 мм2</t>
  </si>
  <si>
    <t>ТЕРм08-02-162-03</t>
  </si>
  <si>
    <t>Заделка концевая из самосклеивающихся лент для 3-жильного кабеля с бумажной изоляцией напряжением до 10 кВ, сечение одной жилы до 240 мм2</t>
  </si>
  <si>
    <t xml:space="preserve">                                   Заделки концевые с термоусаживающимися полиэтиленовыми перчатками</t>
  </si>
  <si>
    <t>ТЕРм08-02-163-01</t>
  </si>
  <si>
    <t>Заделка концевая с термоусаживающимися полиэтиленовыми перчатками для 3-4-жильного кабеля с бумажной изоляцией напряжением до 1 кВ, сечение одной жилы до 35 мм2</t>
  </si>
  <si>
    <t>ТЕРм08-02-163-02</t>
  </si>
  <si>
    <t>Заделка концевая с термоусаживающимися полиэтиленовыми перчатками для 3-4-жильного кабеля с бумажной изоляцией напряжением до 1 кВ, сечение одной жилы до 120 мм2</t>
  </si>
  <si>
    <t>ТЕРм08-02-163-03</t>
  </si>
  <si>
    <t>Заделка концевая с термоусаживающимися полиэтиленовыми перчатками для 3-4-жильного кабеля с бумажной изоляцией напряжением до 1 кВ, сечение одной жилы до 240 мм2</t>
  </si>
  <si>
    <t xml:space="preserve">                                   Муфты мачтовые концевые металлические</t>
  </si>
  <si>
    <t>ТЕРм08-02-164-01</t>
  </si>
  <si>
    <t>Муфта мачтовая концевая металлическая для 3-4-жильного кабеля напряжением до 1 кВ, сечение одной жилы до 35 мм2</t>
  </si>
  <si>
    <t>ТЕРм08-02-164-02</t>
  </si>
  <si>
    <t>Муфта мачтовая концевая металлическая для 3-4-жильного кабеля напряжением до 1 кВ, сечение одной жилы до 70 мм2</t>
  </si>
  <si>
    <t>ТЕРм08-02-164-03</t>
  </si>
  <si>
    <t>Муфта мачтовая концевая металлическая для 3-4-жильного кабеля напряжением до 1 кВ, сечение одной жилы до 120 мм2</t>
  </si>
  <si>
    <t>ТЕРм08-02-164-04</t>
  </si>
  <si>
    <t>Муфта мачтовая концевая металлическая для 3-4-жильного кабеля напряжением до 1 кВ, сечение одной жилы до 185 мм2</t>
  </si>
  <si>
    <t>ТЕРм08-02-164-05</t>
  </si>
  <si>
    <t>Муфта мачтовая концевая металлическая для 3-4-жильного кабеля напряжением до 1 кВ, сечение одной жилы до 240 мм2</t>
  </si>
  <si>
    <t>ТЕРм08-02-164-06</t>
  </si>
  <si>
    <t>Муфта мачтовая концевая металлическая для 3-4-жильного кабеля напряжением до 10 кВ, сечение одной жилы до 16 мм2</t>
  </si>
  <si>
    <t>ТЕРм08-02-164-07</t>
  </si>
  <si>
    <t>Муфта мачтовая концевая металлическая для 3-4-жильного кабеля напряжением до 10 кВ, сечение одной жилы до 35 мм2</t>
  </si>
  <si>
    <t>ТЕРм08-02-164-08</t>
  </si>
  <si>
    <t>Муфта мачтовая концевая металлическая для 3-4-жильного кабеля напряжением до 10 кВ, сечение одной жилы до 70 мм2</t>
  </si>
  <si>
    <t>ТЕРм08-02-164-09</t>
  </si>
  <si>
    <t>Муфта мачтовая концевая металлическая для 3-4-жильного кабеля напряжением до 10 кВ, сечение одной жилы до 120 мм2</t>
  </si>
  <si>
    <t>ТЕРм08-02-164-10</t>
  </si>
  <si>
    <t>Муфта мачтовая концевая металлическая для 3-4-жильного кабеля напряжением до 10 кВ, сечение одной жилы до 185 мм2</t>
  </si>
  <si>
    <t>ТЕРм08-02-164-11</t>
  </si>
  <si>
    <t>Муфта мачтовая концевая металлическая для 3-4-жильного кабеля напряжением до 10 кВ, сечение одной жилы до 240 мм2</t>
  </si>
  <si>
    <t xml:space="preserve">                                   Муфты концевые эпоксидные</t>
  </si>
  <si>
    <t>ТЕРм08-02-165-01</t>
  </si>
  <si>
    <t>Муфта концевая эпоксидная для 3-жильного кабеля напряжением 1 кВ, сечение одной жилы до 35 мм2</t>
  </si>
  <si>
    <t>ТЕРм08-02-165-02</t>
  </si>
  <si>
    <t>Муфта концевая эпоксидная для 3-жильного кабеля напряжением 1 кВ, сечение одной жилы до 70 мм2</t>
  </si>
  <si>
    <t>ТЕРм08-02-165-03</t>
  </si>
  <si>
    <t>Муфта концевая эпоксидная для 3-жильного кабеля напряжением 1 кВ, сечение одной жилы до 185 мм2</t>
  </si>
  <si>
    <t>ТЕРм08-02-165-04</t>
  </si>
  <si>
    <t>Муфта концевая эпоксидная для 3-жильного кабеля напряжением 1 кВ, сечение одной жилы до 240 мм2</t>
  </si>
  <si>
    <t>ТЕРм08-02-165-05</t>
  </si>
  <si>
    <t>Муфта концевая эпоксидная для 3-жильного кабеля напряжением до 10 кВ, сечение одной жилы до 35 мм2</t>
  </si>
  <si>
    <t>ТЕРм08-02-165-06</t>
  </si>
  <si>
    <t>Муфта концевая эпоксидная для 3-жильного кабеля напряжением до 10 кВ, сечение одной жилы до 70 мм2</t>
  </si>
  <si>
    <t>ТЕРм08-02-165-07</t>
  </si>
  <si>
    <t>Муфта концевая эпоксидная для 3-жильного кабеля напряжением до 10 кВ, сечение одной жилы до 120 мм2</t>
  </si>
  <si>
    <t>ТЕРм08-02-165-08</t>
  </si>
  <si>
    <t>Муфта концевая эпоксидная для 3-жильного кабеля напряжением до 10 кВ, сечение одной жилы до 185 мм2</t>
  </si>
  <si>
    <t>ТЕРм08-02-165-09</t>
  </si>
  <si>
    <t>Муфта концевая эпоксидная для 3-жильного кабеля напряжением до 10 кВ, сечение одной жилы до 240 мм2</t>
  </si>
  <si>
    <t xml:space="preserve">                                   Муфты соединительные свинцовые с защитным кожухом</t>
  </si>
  <si>
    <t>ТЕРм08-02-166-01</t>
  </si>
  <si>
    <t>Муфта соединительная свинцовая с защитным кожухом для кабеля напряжением до 10 кВ с заливкой кожуха массой, сечение жил до 16 мм2</t>
  </si>
  <si>
    <t>ТЕРм08-02-166-02</t>
  </si>
  <si>
    <t>Муфта соединительная свинцовая с защитным кожухом для кабеля напряжением до 10 кВ с заливкой кожуха массой, сечение жил до 35 мм2</t>
  </si>
  <si>
    <t>ТЕРм08-02-166-03</t>
  </si>
  <si>
    <t>Муфта соединительная свинцовая с защитным кожухом для кабеля напряжением до 10 кВ с заливкой кожуха массой, сечение жил до 70 мм2</t>
  </si>
  <si>
    <t>ТЕРм08-02-166-04</t>
  </si>
  <si>
    <t>Муфта соединительная свинцовая с защитным кожухом для кабеля напряжением до 10 кВ с заливкой кожуха массой, сечение жил до 120 мм2</t>
  </si>
  <si>
    <t>ТЕРм08-02-166-05</t>
  </si>
  <si>
    <t>Муфта соединительная свинцовая с защитным кожухом для кабеля напряжением до 10 кВ с заливкой кожуха массой, сечение жил до 185 мм2</t>
  </si>
  <si>
    <t>ТЕРм08-02-166-06</t>
  </si>
  <si>
    <t>Муфта соединительная свинцовая с защитным кожухом для кабеля напряжением до 10 кВ с заливкой кожуха массой, сечение жил до 240 мм2</t>
  </si>
  <si>
    <t>ТЕРм08-02-166-07</t>
  </si>
  <si>
    <t>Муфта соединительная свинцовая с защитным кожухом для кабеля напряжением до 10 кВ без заливки кожуха массой, сечение жил до 16 мм2</t>
  </si>
  <si>
    <t>ТЕРм08-02-166-08</t>
  </si>
  <si>
    <t>Муфта соединительная свинцовая с защитным кожухом для кабеля напряжением до 10 кВ без заливки кожуха массой, сечение жил до 35 мм2</t>
  </si>
  <si>
    <t>ТЕРм08-02-166-09</t>
  </si>
  <si>
    <t>Муфта соединительная свинцовая с защитным кожухом для кабеля напряжением до 10 кВ без заливки кожуха массой, сечение жил до 70 мм2</t>
  </si>
  <si>
    <t>ТЕРм08-02-166-10</t>
  </si>
  <si>
    <t>Муфта соединительная свинцовая с защитным кожухом для кабеля напряжением до 10 кВ без заливки кожуха массой, сечение жил до 120 мм2</t>
  </si>
  <si>
    <t>ТЕРм08-02-166-11</t>
  </si>
  <si>
    <t>Муфта соединительная свинцовая с защитным кожухом для кабеля напряжением до 10 кВ без заливки кожуха массой, сечение жил до 185 мм2</t>
  </si>
  <si>
    <t>ТЕРм08-02-166-12</t>
  </si>
  <si>
    <t>Муфта соединительная свинцовая с защитным кожухом для кабеля напряжением до 10 кВ без заливки кожуха массой, сечение жил до 240 мм2</t>
  </si>
  <si>
    <t xml:space="preserve">                                   Муфты соединительные эпоксидные</t>
  </si>
  <si>
    <t>ТЕРм08-02-167-01</t>
  </si>
  <si>
    <t>Муфта соединительная эпоксидная для 3-4-жильного кабеля напряжением до 1кВ, сечение одной жилы до 35 мм2</t>
  </si>
  <si>
    <t>ТЕРм08-02-167-02</t>
  </si>
  <si>
    <t>Муфта соединительная эпоксидная для 3-4-жильного кабеля напряжением до 1кВ, сечение одной жилы до 70 мм2</t>
  </si>
  <si>
    <t>ТЕРм08-02-167-03</t>
  </si>
  <si>
    <t>Муфта соединительная эпоксидная для 3-4-жильного кабеля напряжением до 1кВ, сечение одной жилы до 120 мм2</t>
  </si>
  <si>
    <t>ТЕРм08-02-167-04</t>
  </si>
  <si>
    <t>Муфта соединительная эпоксидная для 3-4-жильного кабеля напряжением до 1кВ, сечение одной жилы до 185 мм2</t>
  </si>
  <si>
    <t>ТЕРм08-02-167-05</t>
  </si>
  <si>
    <t>Муфта соединительная эпоксидная для 3-4-жильного кабеля напряжением до 1кВ, сечение одной жилы до 240 мм2</t>
  </si>
  <si>
    <t>ТЕРм08-02-167-06</t>
  </si>
  <si>
    <t>Муфта соединительная эпоксидная для 3-4-жильного кабеля напряжением до 10 кВ, сечение жил до 35 мм2</t>
  </si>
  <si>
    <t>ТЕРм08-02-167-07</t>
  </si>
  <si>
    <t>Муфта соединительная эпоксидная для 3-4-жильного кабеля напряжением до 10 кВ, сечение жил до 70 мм2</t>
  </si>
  <si>
    <t>ТЕРм08-02-167-08</t>
  </si>
  <si>
    <t>Муфта соединительная эпоксидная для 3-4-жильного кабеля напряжением до 10 кВ, сечение жил до 120 мм2</t>
  </si>
  <si>
    <t>ТЕРм08-02-167-09</t>
  </si>
  <si>
    <t>Муфта соединительная эпоксидная для 3-4-жильного кабеля напряжением до 10 кВ, сечение жил до 185 мм2</t>
  </si>
  <si>
    <t>ТЕРм08-02-167-10</t>
  </si>
  <si>
    <t>Муфта соединительная эпоксидная для 3-4-жильного кабеля напряжением до 10 кВ, сечение жил до 240 мм2</t>
  </si>
  <si>
    <t>ТЕРм08-02-167-11</t>
  </si>
  <si>
    <t>Муфта соединительная эпоксидная для контрольного кабеля сечением одной жилы до 2,5 мм2, количество жил до 7</t>
  </si>
  <si>
    <t>ТЕРм08-02-167-12</t>
  </si>
  <si>
    <t>Муфта соединительная эпоксидная для контрольного кабеля сечением одной жилы до 2,5 мм2, количество жил до 19</t>
  </si>
  <si>
    <t>ТЕРм08-02-167-13</t>
  </si>
  <si>
    <t>Муфта соединительная эпоксидная для контрольного кабеля сечением одной жилы до 2,5 мм2, количество жил до 37</t>
  </si>
  <si>
    <t>ТЕРм08-02-167-14</t>
  </si>
  <si>
    <t>Муфта соединительная эпоксидная для контрольного кабеля сечением одной жилы до 6 мм2, количество жил до 10</t>
  </si>
  <si>
    <t xml:space="preserve">                                   Муфты соединительные поливинилхлоридные для контрольных небронированных кабелей</t>
  </si>
  <si>
    <t>ТЕРм08-02-168-01</t>
  </si>
  <si>
    <t>Муфта соединительная поливинилхлоридная для контрольного небронированного кабеля с медными жилами сечением одной жилы до 2,5 мм2, количество жил до 7</t>
  </si>
  <si>
    <t>ТЕРм08-02-168-02</t>
  </si>
  <si>
    <t>Муфта соединительная поливинилхлоридная для контрольного небронированного кабеля с медными жилами сечением одной жилы до 2,5 мм2, количество жил до 14</t>
  </si>
  <si>
    <t>ТЕРм08-02-168-03</t>
  </si>
  <si>
    <t>Муфта соединительная поливинилхлоридная для контрольного небронированного кабеля с медными жилами сечением одной жилы до 2,5 мм2, количество жил до 37</t>
  </si>
  <si>
    <t>ТЕРм08-02-168-04</t>
  </si>
  <si>
    <t>Муфта соединительная поливинилхлоридная для контрольного небронированного кабеля с медными жилами сечением одной жилы до 6 мм2, количество жил до 4</t>
  </si>
  <si>
    <t>ТЕРм08-02-168-05</t>
  </si>
  <si>
    <t>Муфта соединительная поливинилхлоридная для контрольного небронированного кабеля с медными жилами сечением одной жилы до 6 мм2, количество жил до 10</t>
  </si>
  <si>
    <t xml:space="preserve">                                   Муфты соединительные эпоксидные усовершенствованной конструкции</t>
  </si>
  <si>
    <t>ТЕРм08-02-169-01</t>
  </si>
  <si>
    <t>Муфта соединительная эпоксидная усовершенствованной конструкции для 3-4-жильного кабеля напряжением до 35 кВ в климатическом исполнении У-2,5 и УХЛ-2,5, сечение одной жилы до 95 мм2</t>
  </si>
  <si>
    <t>ТЕРм08-02-169-02</t>
  </si>
  <si>
    <t>Муфта соединительная эпоксидная усовершенствованной конструкции для 3-4-жильного кабеля напряжением до 35 кВ в климатическом исполнении У-2,5 и УХЛ-2,5, сечение одной жилы до 120 мм2</t>
  </si>
  <si>
    <t>ТЕРм08-02-169-03</t>
  </si>
  <si>
    <t>Муфта соединительная эпоксидная усовершенствованной конструкции для 3-4-жильного кабеля напряжением до 35 кВ в климатическом исполнении У-2,5 и УХЛ-2,5, сечение одной жилы до 150 мм2</t>
  </si>
  <si>
    <t>ТЕРм08-02-169-04</t>
  </si>
  <si>
    <t>Муфта соединительная эпоксидная усовершенствованной конструкции для 3-4-жильного кабеля напряжением до 35 кВ в климатическом исполнении У-2,5 и УХЛ-2,5, сечение одной жилы до 185 мм2</t>
  </si>
  <si>
    <t xml:space="preserve">                                   Муфты концевые из пластмассового корпуса с заливкой эпоксидным компаундом</t>
  </si>
  <si>
    <t>ТЕРм08-02-170-01</t>
  </si>
  <si>
    <t>Муфта концевая из пластмассового корпуса с заливкой эпоксидным компаундом для 3-жильного кабеля напряжением до 35 кВ, сечение жил до 95 мм2</t>
  </si>
  <si>
    <t>ТЕРм08-02-170-02</t>
  </si>
  <si>
    <t>Муфта концевая из пластмассового корпуса с заливкой эпоксидным компаундом для 3-жильного кабеля напряжением до 35 кВ, сечение жил до 120 мм2</t>
  </si>
  <si>
    <t>ТЕРм08-02-170-03</t>
  </si>
  <si>
    <t>Муфта концевая из пластмассового корпуса с заливкой эпоксидным компаундом для 3-жильного кабеля напряжением до 35 кВ, сечение жил до 150 мм2</t>
  </si>
  <si>
    <t xml:space="preserve">                                   Лотки стальные для крепления соединительных муфт</t>
  </si>
  <si>
    <t>ТЕРм08-02-171-01</t>
  </si>
  <si>
    <t>Лоток стальной для крепления соединительных муфт на установленных полках</t>
  </si>
  <si>
    <t xml:space="preserve">                                   Кожухи защитные для эпоксидных муфт</t>
  </si>
  <si>
    <t>ТЕРм08-02-172-01</t>
  </si>
  <si>
    <t>Кожух защитный для эпоксидных муфт</t>
  </si>
  <si>
    <t xml:space="preserve">                                   Кабели маслонаполненные</t>
  </si>
  <si>
    <t>ТЕРм08-02-173-01</t>
  </si>
  <si>
    <t>Кабель маслонаполненный напряжением до 220 кВ низкого давления, прокладываемый в земле (траншеях)</t>
  </si>
  <si>
    <t>ТЕРм08-02-173-02</t>
  </si>
  <si>
    <t>Кабель маслонаполненный напряжением до 220 кВ низкого давления, прокладываемый в туннелях</t>
  </si>
  <si>
    <t>ТЕРм08-02-173-03</t>
  </si>
  <si>
    <t>Кабель маслонаполненный высокого давления, прокладываемый в стальном трубопроводе, напряжение 220 кВ</t>
  </si>
  <si>
    <t>ТЕРм08-02-173-04</t>
  </si>
  <si>
    <t>Кабель маслонаполненный высокого давления, прокладываемый в стальном трубопроводе, напряжение 500 кВ</t>
  </si>
  <si>
    <t xml:space="preserve">                                   Трубопроводы для маслонаполненных кабельных линий высокого давления</t>
  </si>
  <si>
    <t>ТЕРм08-02-174-01</t>
  </si>
  <si>
    <t>Трубопровод стальной, прокладываемый в земле (траншеях), диаметр труб 219 мм</t>
  </si>
  <si>
    <t>ТЕРм08-02-174-02</t>
  </si>
  <si>
    <t>Трубопровод стальной, прокладываемый в земле (траншеях), диаметр труб 245 мм</t>
  </si>
  <si>
    <t>ТЕРм08-02-174-03</t>
  </si>
  <si>
    <t>Трубопровод стальной, прокладываемый в земле (траншеях), диаметр труб 273 мм</t>
  </si>
  <si>
    <t>ТЕРм08-02-174-04</t>
  </si>
  <si>
    <t>Трубопровод стальной, прокладываемый в туннелях и каналах, диаметр труб 219 мм</t>
  </si>
  <si>
    <t>ТЕРм08-02-174-05</t>
  </si>
  <si>
    <t>Трубопровод стальной, прокладываемый в туннелях и каналах, диаметр труб 245 мм</t>
  </si>
  <si>
    <t>ТЕРм08-02-174-06</t>
  </si>
  <si>
    <t>Трубопровод стальной, прокладываемый в туннелях и каналах, диаметр труб 273 мм</t>
  </si>
  <si>
    <t>ТЕРм08-02-174-07</t>
  </si>
  <si>
    <t>Трубопровод медный с тройниковым разветвлением и прокладкой в нем кабелей, диаметр труб 90 мм</t>
  </si>
  <si>
    <t>ТЕРм08-02-174-08</t>
  </si>
  <si>
    <t>Трубопровод медный с тройниковым разветвлением и прокладкой в нем кабелей, диаметр труб 120 мм</t>
  </si>
  <si>
    <t>ТЕРм08-02-174-09</t>
  </si>
  <si>
    <t>Трубопровод медный с тройниковым разветвлением и прокладкой в нем кабелей, диаметр труб 180 мм</t>
  </si>
  <si>
    <t xml:space="preserve">                                   Муфты для кабеля 35 кВ и выше</t>
  </si>
  <si>
    <t>ТЕРм08-02-175-01</t>
  </si>
  <si>
    <t>Муфта для кабеля напряжением 35 кВ концевая</t>
  </si>
  <si>
    <t>ТЕРм08-02-175-02</t>
  </si>
  <si>
    <t>Муфта для кабеля напряжением 35 кВ соединительная и стопорная</t>
  </si>
  <si>
    <t>ТЕРм08-02-175-03</t>
  </si>
  <si>
    <t>Муфта для маслонаполненного кабеля напряжением 110 кВ низкого давления концевая</t>
  </si>
  <si>
    <t>ТЕРм08-02-175-04</t>
  </si>
  <si>
    <t>Муфта для маслонаполненного кабеля напряжением 110 кВ низкого давления соединительная</t>
  </si>
  <si>
    <t>ТЕРм08-02-175-05</t>
  </si>
  <si>
    <t>Муфта для маслонаполненного кабеля напряжением 110 кВ низкого давления стопорная</t>
  </si>
  <si>
    <t>ТЕРм08-02-175-06</t>
  </si>
  <si>
    <t>Муфта для маслонаполненного кабеля высокого давления напряжением 220 кВ, концевая</t>
  </si>
  <si>
    <t>ТЕРм08-02-175-07</t>
  </si>
  <si>
    <t>Муфта для маслонаполненного кабеля высокого давления напряжением 220 кВ, соединительная</t>
  </si>
  <si>
    <t>ТЕРм08-02-175-08</t>
  </si>
  <si>
    <t>Муфта для маслонаполненного кабеля высокого давления напряжением 220 кВ, соединительно-разветвительная</t>
  </si>
  <si>
    <t>ТЕРм08-02-175-09</t>
  </si>
  <si>
    <t>Муфта для маслонаполненного кабеля высокого давления напряжением 500 кВ, концевая</t>
  </si>
  <si>
    <t>ТЕРм08-02-175-10</t>
  </si>
  <si>
    <t>Муфта для маслонаполненного кабеля высокого давления напряжением 500 кВ, соединительная</t>
  </si>
  <si>
    <t>ТЕРм08-02-175-11</t>
  </si>
  <si>
    <t>Муфта для маслонаполненного кабеля высокого давления напряжением 500 кВ, соединительно-разветвительная</t>
  </si>
  <si>
    <t>ТЕРм08-02-175-12</t>
  </si>
  <si>
    <t>Муфта для кабеля с пластмассовой изоляцией напряжением 110 кВ концевая</t>
  </si>
  <si>
    <t>ТЕРм08-02-175-13</t>
  </si>
  <si>
    <t>Муфта для кабеля с пластмассовой изоляцией напряжением 110 кВ соединительная</t>
  </si>
  <si>
    <t xml:space="preserve">                                   Кабели 110 кВ и выше с пластмассовой изоляцией</t>
  </si>
  <si>
    <t>ТЕРм08-02-176-01</t>
  </si>
  <si>
    <t>Кабель 110 кВ и выше с пластмассовой изоляцией</t>
  </si>
  <si>
    <t xml:space="preserve">                                   Указатели кабельных трасс</t>
  </si>
  <si>
    <t>ТЕРм08-02-177-01</t>
  </si>
  <si>
    <t>Указатель месторасположения трассы кабелей, проложенных в земле</t>
  </si>
  <si>
    <t xml:space="preserve">                                   Маслоподпитывающее оборудование</t>
  </si>
  <si>
    <t>ТЕРм08-02-178-01</t>
  </si>
  <si>
    <t>Бак низкого давления</t>
  </si>
  <si>
    <t>ТЕРм08-02-178-02</t>
  </si>
  <si>
    <t>Автоматическая подпитывающая установка АПУ</t>
  </si>
  <si>
    <t xml:space="preserve">                                   Обработка кабельного масла и заполнение им кабелепровода</t>
  </si>
  <si>
    <t>ТЕРм08-02-179-01</t>
  </si>
  <si>
    <t>Очистка, сушка и дегазация масла, вакуумирование и заполнение кабелепровода маслом</t>
  </si>
  <si>
    <t xml:space="preserve">                                   Выводы питания контактных сетей городского транспорта с установкой конструкций</t>
  </si>
  <si>
    <t>ТЕРм08-02-180-01</t>
  </si>
  <si>
    <t>Вывод по опорам или стенам одножильным кабелем напряжением 1 кВ сечением до 500 мм2</t>
  </si>
  <si>
    <t>ТЕРм08-02-180-02</t>
  </si>
  <si>
    <t>Вывод по опорам или стенам одножильным кабелем напряжением 1 кВ сечением до 800 мм2</t>
  </si>
  <si>
    <t>ТЕРм08-02-180-03</t>
  </si>
  <si>
    <t>Вывод гибким проводом длиной до 3 м по опорам или стенам сечением до 185 мм2</t>
  </si>
  <si>
    <t>ТЕРм08-02-180-04</t>
  </si>
  <si>
    <t>Вывод гибким проводом длиной до 3 м по опорам или стенам сечением до 240 мм2</t>
  </si>
  <si>
    <t xml:space="preserve">                                   Бустеры для отсасывающих кабелей трамвая с установкой муфт</t>
  </si>
  <si>
    <t>ТЕРм08-02-181-01</t>
  </si>
  <si>
    <t>Бустер одножильного кабеля напряжением до 1 кВ, сечением до 500 мм2 для линии однопутной</t>
  </si>
  <si>
    <t>ТЕРм08-02-181-02</t>
  </si>
  <si>
    <t>Бустер одножильного кабеля напряжением до 1 кВ, сечением до 500 мм2 для линии двухпутной</t>
  </si>
  <si>
    <t>ТЕРм08-02-181-03</t>
  </si>
  <si>
    <t>Бустер одножильного кабеля напряжением до 1 кВ, сечением до 800 мм2 для линии однопутной</t>
  </si>
  <si>
    <t>ТЕРм08-02-181-04</t>
  </si>
  <si>
    <t>Бустер одножильного кабеля напряжением до 1 кВ, сечением до 800 мм2 для линии двухпутной</t>
  </si>
  <si>
    <t xml:space="preserve">                                   Ящики или короба кабельные для контактных сетей городского транспорта</t>
  </si>
  <si>
    <t>ТЕРм08-02-182-01</t>
  </si>
  <si>
    <t>Ящик или короб для одножильных кабелей контактных сетей городского транспорта, количество кабелей до 2</t>
  </si>
  <si>
    <t>ТЕРм08-02-182-02</t>
  </si>
  <si>
    <t>Ящик или короб для одножильных кабелей контактных сетей городского транспорта, количество кабелей до 4</t>
  </si>
  <si>
    <t>ТЕРм08-02-182-03</t>
  </si>
  <si>
    <t>Ящик или короб для одножильных кабелей контактных сетей городского транспорта, количество кабелей до 6</t>
  </si>
  <si>
    <t>ТЕРм08-02-182-04</t>
  </si>
  <si>
    <t>Ящик или короб для одножильных кабелей контактных сетей городского транспорта, количество кабелей до 8</t>
  </si>
  <si>
    <t xml:space="preserve">                                   Раздел 2. СЕТИ КОНТАКТНЫЕ ГОРОДСКОГО ТРАНСПОРТА</t>
  </si>
  <si>
    <t xml:space="preserve">                                   Кронштейны на установленных опорах</t>
  </si>
  <si>
    <t>ТЕРм08-02-301-01</t>
  </si>
  <si>
    <t>Кронштейн односторонний трамвайный и троллейбусный</t>
  </si>
  <si>
    <t>ТЕРм08-02-301-02</t>
  </si>
  <si>
    <t>Кронштейн трамвайный двусторонний</t>
  </si>
  <si>
    <t>ТЕРм08-02-301-03</t>
  </si>
  <si>
    <t>Кронштейн трамвайный двухпутный</t>
  </si>
  <si>
    <t>ТЕРм08-02-301-04</t>
  </si>
  <si>
    <t>Кронштейн троллейбусный 6-метровый</t>
  </si>
  <si>
    <t>ТЕРм08-02-301-05</t>
  </si>
  <si>
    <t>Фиксатор на кронштейне</t>
  </si>
  <si>
    <t xml:space="preserve">                                   Поперечины</t>
  </si>
  <si>
    <t>ТЕРм08-02-302-01</t>
  </si>
  <si>
    <t>Поперечины из троса, длина до 30 м</t>
  </si>
  <si>
    <t>ТЕРм08-02-302-02</t>
  </si>
  <si>
    <t>Поперечины из троса, длина до 60 м</t>
  </si>
  <si>
    <t>ТЕРм08-02-302-03</t>
  </si>
  <si>
    <t>Поперечины из троса, длина до 90 м</t>
  </si>
  <si>
    <t>ТЕРм08-02-302-04</t>
  </si>
  <si>
    <t>Поперечины из троса, длина до 120 м</t>
  </si>
  <si>
    <t>ТЕРм08-02-302-05</t>
  </si>
  <si>
    <t>Поперечины из проволоки, длина до 30 м</t>
  </si>
  <si>
    <t>ТЕРм08-02-302-06</t>
  </si>
  <si>
    <t>Поперечины из проволоки, длина до 60 м</t>
  </si>
  <si>
    <t>ТЕРм08-02-302-07</t>
  </si>
  <si>
    <t>Поперечина фиксирующая при продольно-цепной подвеске контактного провода трамвая длиной до 30 м</t>
  </si>
  <si>
    <t>ТЕРм08-02-302-08</t>
  </si>
  <si>
    <t>Поперечина несущая при анкеровке продольно-несущего троса, длина до 30 м</t>
  </si>
  <si>
    <t>ТЕРм08-02-302-09</t>
  </si>
  <si>
    <t>Поперечина несущая при анкеровке продольно-несущего троса, длина до 60 м</t>
  </si>
  <si>
    <t>ТЕРм08-02-302-10</t>
  </si>
  <si>
    <t>Поперечина несущая при продольно-цепной подвеске контактного провода трамвая длиной до 30 м</t>
  </si>
  <si>
    <t xml:space="preserve">                                   Элементы системы подвески контактных сетей и продольно-несущих тросов</t>
  </si>
  <si>
    <t>ТЕРм08-02-303-01</t>
  </si>
  <si>
    <t>Элемент системы из троса с изоляцией, длина до 30 м</t>
  </si>
  <si>
    <t>ТЕРм08-02-303-02</t>
  </si>
  <si>
    <t>Элемент системы из троса с изоляцией, длина до 60 м</t>
  </si>
  <si>
    <t>ТЕРм08-02-303-03</t>
  </si>
  <si>
    <t>Элемент системы из троса с изоляцией, длина до 90 м</t>
  </si>
  <si>
    <t>ТЕРм08-02-303-04</t>
  </si>
  <si>
    <t>Элемент системы из троса с изоляцией, длина до 120 м</t>
  </si>
  <si>
    <t>ТЕРм08-02-303-05</t>
  </si>
  <si>
    <t>Элемент системы из проволоки с изоляцией, длина до 30 м</t>
  </si>
  <si>
    <t>ТЕРм08-02-303-06</t>
  </si>
  <si>
    <t>Элемент системы из проволоки с изоляцией, длина до 60 м</t>
  </si>
  <si>
    <t>ТЕРм08-02-303-07</t>
  </si>
  <si>
    <t>Трос продольно-несущий</t>
  </si>
  <si>
    <t xml:space="preserve">                                   Анкеровки средние и струнки</t>
  </si>
  <si>
    <t>ТЕРм08-02-304-01</t>
  </si>
  <si>
    <t>Анкеровка средняя контактного провода троллейбуса</t>
  </si>
  <si>
    <t>ТЕРм08-02-304-02</t>
  </si>
  <si>
    <t>Струнка при отсутствии фиксирующей поперечины</t>
  </si>
  <si>
    <t>ТЕРм08-02-304-03</t>
  </si>
  <si>
    <t>Струнка при наличии фиксирующей поперечины</t>
  </si>
  <si>
    <t>ТЕРм08-02-304-04</t>
  </si>
  <si>
    <t>Струнки для троллейбуса и трамвая с изоляцией</t>
  </si>
  <si>
    <t>ТЕРм08-02-304-05</t>
  </si>
  <si>
    <t>Струнки для троллейбуса и трамвая без изоляции</t>
  </si>
  <si>
    <t>ТЕРм08-02-304-06</t>
  </si>
  <si>
    <t>Струнка скользящая</t>
  </si>
  <si>
    <t xml:space="preserve">                                   Хомуты, розетки, крюки стенные и траверсы</t>
  </si>
  <si>
    <t>ТЕРм08-02-305-01</t>
  </si>
  <si>
    <t>Хомут на опоре</t>
  </si>
  <si>
    <t>ТЕРм08-02-305-02</t>
  </si>
  <si>
    <t>Крюк стенной одинарный</t>
  </si>
  <si>
    <t>ТЕРм08-02-305-03</t>
  </si>
  <si>
    <t>Крюк стенной спаренный с коромыслом</t>
  </si>
  <si>
    <t>ТЕРм08-02-305-04</t>
  </si>
  <si>
    <t>Траверса на опоре</t>
  </si>
  <si>
    <t>ТЕРм08-02-306-01</t>
  </si>
  <si>
    <t>Изоляторы секционные для трамвая</t>
  </si>
  <si>
    <t>ТЕРм08-02-306-02</t>
  </si>
  <si>
    <t>Изоляторы секционные для троллейбуса</t>
  </si>
  <si>
    <t>ТЕРм08-02-306-03</t>
  </si>
  <si>
    <t>Изоляторы секционные для троллейбуса при продольно-цепной полукомпенсированной подвеске</t>
  </si>
  <si>
    <t xml:space="preserve">                                   Подвесы потолочные и узлы подвешивания</t>
  </si>
  <si>
    <t>ТЕРм08-02-307-01</t>
  </si>
  <si>
    <t>Подвес без деревянной подшивки</t>
  </si>
  <si>
    <t>ТЕРм08-02-307-02</t>
  </si>
  <si>
    <t>Узел подвески продольно-несущего троса к гибкой поперечине</t>
  </si>
  <si>
    <t>ТЕРм08-02-307-03</t>
  </si>
  <si>
    <t>Узел подвешивания на косых струнках при полукомпенсированной подвеске проводов</t>
  </si>
  <si>
    <t>ТЕРм08-02-307-04</t>
  </si>
  <si>
    <t>Узел подвешивания продольно-несущего троса на кронштейне</t>
  </si>
  <si>
    <t>ТЕРм08-02-307-05</t>
  </si>
  <si>
    <t>Узел грузовой компенсации на металлической опоре трубчатой</t>
  </si>
  <si>
    <t>ТЕРм08-02-307-06</t>
  </si>
  <si>
    <t>Узел грузовой компенсации на металлической опоре решетчатой</t>
  </si>
  <si>
    <t xml:space="preserve">                                   Перемычки междупутные</t>
  </si>
  <si>
    <t>ТЕРм08-02-308-01</t>
  </si>
  <si>
    <t>Перемычка трамвайная на кронштейнах</t>
  </si>
  <si>
    <t>ТЕРм08-02-308-02</t>
  </si>
  <si>
    <t>Перемычка трамвайная на боковых опорах</t>
  </si>
  <si>
    <t>ТЕРм08-02-308-03</t>
  </si>
  <si>
    <t>Перемычка трамвайная при продольно-цепной подвеске</t>
  </si>
  <si>
    <t>ТЕРм08-02-308-04</t>
  </si>
  <si>
    <t>Перемычка троллейбусная с дужкой</t>
  </si>
  <si>
    <t>ТЕРм08-02-308-05</t>
  </si>
  <si>
    <t>Дужка дополнительная длиной 2,5 м</t>
  </si>
  <si>
    <t>ТЕРм08-02-308-06</t>
  </si>
  <si>
    <t>Перемычка питающая с дужками для троллейбуса при подвеске проводов на поперечинах</t>
  </si>
  <si>
    <t>ТЕРм08-02-308-07</t>
  </si>
  <si>
    <t>Перемычка питающая с дужками для троллейбуса при подвеске проводов на кронштейнах</t>
  </si>
  <si>
    <t>ТЕРм08-02-308-08</t>
  </si>
  <si>
    <t>Перемычка уравнивающая при подвеске проводов на поперечинах</t>
  </si>
  <si>
    <t>ТЕРм08-02-308-09</t>
  </si>
  <si>
    <t>Перемычка уравнивающая при подвеске проводов на кронштейнах</t>
  </si>
  <si>
    <t xml:space="preserve">                                   Винты температурные и криводержатели</t>
  </si>
  <si>
    <t>ТЕРм08-02-309-01</t>
  </si>
  <si>
    <t>Винт температурный</t>
  </si>
  <si>
    <t>ТЕРм08-02-309-02</t>
  </si>
  <si>
    <t>Криводержатель</t>
  </si>
  <si>
    <t xml:space="preserve">                                   Провода контактные трамвая</t>
  </si>
  <si>
    <t>ТЕРм08-02-310-01</t>
  </si>
  <si>
    <t>Провод одиночный на трамвайном узле и кривой радиусом до 30 м</t>
  </si>
  <si>
    <t>ТЕРм08-02-310-02</t>
  </si>
  <si>
    <t>Провод одиночный на прямой и кривой радиусом более 30 м</t>
  </si>
  <si>
    <t>ТЕРм08-02-310-03</t>
  </si>
  <si>
    <t>Провод двойной на трамвайном узле и кривой радиусом до 30 м</t>
  </si>
  <si>
    <t>ТЕРм08-02-310-04</t>
  </si>
  <si>
    <t>Провод двойной на прямой и кривой радиусом более 30 м</t>
  </si>
  <si>
    <t>ТЕРм08-02-310-05</t>
  </si>
  <si>
    <t>Провод на прямой при продольно-цепной подвеске</t>
  </si>
  <si>
    <t>ТЕРм08-02-310-06</t>
  </si>
  <si>
    <t>Провод на прямой при эластичной полукомпенсированной продольно-цепной подвеске</t>
  </si>
  <si>
    <t xml:space="preserve">                                   Провода контактные троллейбуса</t>
  </si>
  <si>
    <t>ТЕРм08-02-311-01</t>
  </si>
  <si>
    <t>Провод на кривой радиусом до 20 м без кривых держателей</t>
  </si>
  <si>
    <t>ТЕРм08-02-311-02</t>
  </si>
  <si>
    <t>Провод на кривой радиусом свыше 20 м</t>
  </si>
  <si>
    <t>ТЕРм08-02-311-03</t>
  </si>
  <si>
    <t>Провод на прямой и кривой радиусом свыше 30 м</t>
  </si>
  <si>
    <t xml:space="preserve">                                   Провода контактные троллейбуса при продольно-цепной и полукомпенсированной подвеске</t>
  </si>
  <si>
    <t>ТЕРм08-02-312-01</t>
  </si>
  <si>
    <t>Провод при продольно-цепной подвеске, пролет до 60 м</t>
  </si>
  <si>
    <t>ТЕРм08-02-312-02</t>
  </si>
  <si>
    <t>Провод при полукомпенсированной подвеске на косых струнах</t>
  </si>
  <si>
    <t xml:space="preserve">                                   Стрелки и пересечения</t>
  </si>
  <si>
    <t>ТЕРм08-02-313-01</t>
  </si>
  <si>
    <t>Стрелка автоматическая</t>
  </si>
  <si>
    <t>ТЕРм08-02-313-02</t>
  </si>
  <si>
    <t>Стрелка сходная</t>
  </si>
  <si>
    <t>ТЕРм08-02-313-03</t>
  </si>
  <si>
    <t>Пересечения контактных проводов троллейбуса c контактными проводами троллейбуса</t>
  </si>
  <si>
    <t>ТЕРм08-02-313-04</t>
  </si>
  <si>
    <t>Пересечения контактных проводов трамвая с контактными проводами троллейбуса</t>
  </si>
  <si>
    <t>ТЕРм08-02-313-05</t>
  </si>
  <si>
    <t>Сопряжение четырехпролетное с секционированием</t>
  </si>
  <si>
    <t xml:space="preserve">                                   Посты управления</t>
  </si>
  <si>
    <t>ТЕРм08-02-314-01</t>
  </si>
  <si>
    <t>Пост управления однопутной сигнализацией</t>
  </si>
  <si>
    <t>ТЕРм08-02-314-02</t>
  </si>
  <si>
    <t>Пост управления двумя трамвайными стрелками</t>
  </si>
  <si>
    <t>ТЕРм08-02-314-03</t>
  </si>
  <si>
    <t>Пост управления тремя трамвайными стрелками</t>
  </si>
  <si>
    <t>ТЕРм08-02-314-04</t>
  </si>
  <si>
    <t>Пост управления сигнализацией отправления поездов или пригласительной сигнализацией</t>
  </si>
  <si>
    <t xml:space="preserve">                                   Электроприводы и салазки стрелок трамвая</t>
  </si>
  <si>
    <t>ТЕРм08-02-315-01</t>
  </si>
  <si>
    <t>Электропривод на одну трамвайную стрелку</t>
  </si>
  <si>
    <t>ТЕРм08-02-315-02</t>
  </si>
  <si>
    <t>Шкаф переключения одной автоматической стрелкой трамвая</t>
  </si>
  <si>
    <t>ТЕРм08-02-315-03</t>
  </si>
  <si>
    <t>Салазка сериесная для автоматической стрелки трамвая</t>
  </si>
  <si>
    <t>ТЕРм08-02-315-04</t>
  </si>
  <si>
    <t>Салазка шунтовая</t>
  </si>
  <si>
    <t xml:space="preserve">                                   Провода контактно-сигнальные</t>
  </si>
  <si>
    <t>ТЕРм08-02-316-01</t>
  </si>
  <si>
    <t>Провод контактно-сигнальный для сигнализации безопасности движения трамвая</t>
  </si>
  <si>
    <t xml:space="preserve">                                   Указатели, реле, сигнальные светофоры и стрелки</t>
  </si>
  <si>
    <t>ТЕРм08-02-317-01</t>
  </si>
  <si>
    <t>Указатель остановочный трамвая или троллейбуса</t>
  </si>
  <si>
    <t>ТЕРм08-02-317-02</t>
  </si>
  <si>
    <t>Указатель ограничения скорости</t>
  </si>
  <si>
    <t>ТЕРм08-02-317-03</t>
  </si>
  <si>
    <t>Светофор сигнальный двухлинзовый</t>
  </si>
  <si>
    <t>ТЕРм08-02-317-04</t>
  </si>
  <si>
    <t>Реле сигнальное</t>
  </si>
  <si>
    <t>ТЕРм08-02-317-05</t>
  </si>
  <si>
    <t>Реле блокировочное для автоматической стрелки трамвая</t>
  </si>
  <si>
    <t>ТЕРм08-02-317-06</t>
  </si>
  <si>
    <t>Стрелка автоматическая трамвая с блокировкой воздушной</t>
  </si>
  <si>
    <t>ТЕРм08-02-317-07</t>
  </si>
  <si>
    <t>Стрелка автоматическая трамвая с блокировкой рельсовой</t>
  </si>
  <si>
    <t>ТЕРм08-02-317-08</t>
  </si>
  <si>
    <t>Стрелка электрифицированная дистанционного управления</t>
  </si>
  <si>
    <t>ТЕРм08-02-317-09</t>
  </si>
  <si>
    <t>Сигнализация автоматическая безопасности движения со светофорами одноочковыми</t>
  </si>
  <si>
    <t>ТЕРм08-02-317-10</t>
  </si>
  <si>
    <t>Сигнализация автоматическая безопасности движения со светофорами двухочковыми</t>
  </si>
  <si>
    <t>ТЕРм08-02-317-11</t>
  </si>
  <si>
    <t>Сигнализация автоматическая безопасности движения со светофорами трехочковыми</t>
  </si>
  <si>
    <t>ТЕРм08-02-317-12</t>
  </si>
  <si>
    <t>Электрообогрев путевых трамвайных стрелок</t>
  </si>
  <si>
    <t>ТЕРм08-02-317-13</t>
  </si>
  <si>
    <t>Сигнализация автоматическая однопутная для троллейбуса</t>
  </si>
  <si>
    <t xml:space="preserve">                                   Оттяжки</t>
  </si>
  <si>
    <t>ТЕРм08-02-318-01</t>
  </si>
  <si>
    <t>Оттяжка тросовая к стене здания с установкой крюка</t>
  </si>
  <si>
    <t>ТЕРм08-02-318-02</t>
  </si>
  <si>
    <t>Оттяжка тросовая к лежню в земле</t>
  </si>
  <si>
    <t xml:space="preserve">                                   Раздел 3. СЕТИ КОНТАКТНЫЕ МЕТРОПОЛИТЕНА</t>
  </si>
  <si>
    <t xml:space="preserve">                                   Устройства в тоннелях метрополитена</t>
  </si>
  <si>
    <t>ТЕРм08-02-331-01</t>
  </si>
  <si>
    <t>Шкаф с разъединителем с ручным или моторным приводом</t>
  </si>
  <si>
    <t>ТЕРм08-02-331-02</t>
  </si>
  <si>
    <t>Шкаф с 6 разъединителями с ручным или моторным приводом на вводе</t>
  </si>
  <si>
    <t>ТЕРм08-02-331-03</t>
  </si>
  <si>
    <t>Основание с шинопроводом, количество шкафов 1</t>
  </si>
  <si>
    <t>ТЕРм08-02-331-04</t>
  </si>
  <si>
    <t>Основание с шинопроводом, количество шкафов 2</t>
  </si>
  <si>
    <t>ТЕРм08-02-331-05</t>
  </si>
  <si>
    <t>Основание с шинопроводом, количество шкафов 3</t>
  </si>
  <si>
    <t>ТЕРм08-02-331-06</t>
  </si>
  <si>
    <t>Соединение разъединителя с контактным рельсом двумя компенсаторами с дополнительным рельсом</t>
  </si>
  <si>
    <t>ТЕРм08-02-331-07</t>
  </si>
  <si>
    <t>Соединение разъединителя с контактным рельсом одним компенсатором</t>
  </si>
  <si>
    <t>ТЕРм08-02-331-08</t>
  </si>
  <si>
    <t>Присоединение кабеля к нулевой шине дросселя (пункт отсоса)</t>
  </si>
  <si>
    <t>ТЕРм08-02-331-09</t>
  </si>
  <si>
    <t>Присоединение кабеля к контактному рельсу через компенсатор (пункт питания), количество кабелей 2</t>
  </si>
  <si>
    <t>ТЕРм08-02-331-10</t>
  </si>
  <si>
    <t>Присоединение кабеля к контактному рельсу через компенсатор (пункт питания), количество кабелей 3</t>
  </si>
  <si>
    <t>ТЕРм08-02-331-11</t>
  </si>
  <si>
    <t>Присоединение кабеля к контактному рельсу через компенсатор (пункт питания), количество кабелей 4</t>
  </si>
  <si>
    <t xml:space="preserve">                                   Устройства на наземных участках метрополитена</t>
  </si>
  <si>
    <t>ТЕРм08-02-332-01</t>
  </si>
  <si>
    <t>Шкаф с разъединителем с ручным приводом</t>
  </si>
  <si>
    <t>ТЕРм08-02-332-02</t>
  </si>
  <si>
    <t>Шкаф с пятью разъединителями с ручным приводом на вводе</t>
  </si>
  <si>
    <t>ТЕРм08-02-332-03</t>
  </si>
  <si>
    <t>ТЕРм08-02-332-04</t>
  </si>
  <si>
    <t>ТЕРм08-02-332-05</t>
  </si>
  <si>
    <t>ТЕРм08-02-332-06</t>
  </si>
  <si>
    <t>ТЕРм08-02-332-07</t>
  </si>
  <si>
    <t>Соединение двух контактных рельсов между собой двумя компенсаторами через дополнительный рельс без присоединения кабелей</t>
  </si>
  <si>
    <t>ТЕРм08-02-332-08</t>
  </si>
  <si>
    <t>Соединение двух контактных рельсов между собой двумя компенсаторами через дополнительный рельс с присоединением двух кабелей</t>
  </si>
  <si>
    <t xml:space="preserve">                                   Раздел 4. СЕТИ КОНТАКТНЫЕ ПРОМЫШЛЕННОГО ТРАНСПОРТА</t>
  </si>
  <si>
    <t xml:space="preserve">                                   Подвеска контактной сети на консолях</t>
  </si>
  <si>
    <t>ТЕРм08-02-341-01</t>
  </si>
  <si>
    <t>Подвеска с фиксатором прямым или обратным</t>
  </si>
  <si>
    <t>ТЕРм08-02-341-02</t>
  </si>
  <si>
    <t>Подвеска с фиксатором гибким</t>
  </si>
  <si>
    <t>ТЕРм08-02-341-03</t>
  </si>
  <si>
    <t>Фиксатор дополнительный</t>
  </si>
  <si>
    <t>ТЕРм08-02-341-04</t>
  </si>
  <si>
    <t>Оттяжка фиксаторная</t>
  </si>
  <si>
    <t>ТЕРм08-02-341-05</t>
  </si>
  <si>
    <t>Стойка фиксаторная</t>
  </si>
  <si>
    <t xml:space="preserve">                                   Подвеска контактной сети на гибких и жестких поперечинах</t>
  </si>
  <si>
    <t>ТЕРм08-02-342-01</t>
  </si>
  <si>
    <t>Подвеска над двумя путями контактного провода одинарного</t>
  </si>
  <si>
    <t>ТЕРм08-02-342-02</t>
  </si>
  <si>
    <t>Подвеска над двумя путями контактного провода двойного</t>
  </si>
  <si>
    <t>ТЕРм08-02-342-03</t>
  </si>
  <si>
    <t>За каждый путь свыше двух добавлять к расценке 08-02-342-01</t>
  </si>
  <si>
    <t>ТЕРм08-02-342-04</t>
  </si>
  <si>
    <t>За каждый путь свыше двух добавлять к расценке 08-02-342-02</t>
  </si>
  <si>
    <t>ТЕРм08-02-342-05</t>
  </si>
  <si>
    <t>Подвеска нерабочей ветви контактного провода</t>
  </si>
  <si>
    <t xml:space="preserve">                                   Подвеска контактной сети в тоннелях, под мостами и путепроводами</t>
  </si>
  <si>
    <t>ТЕРм08-02-343-01</t>
  </si>
  <si>
    <t>Установка закладной детали для подвески, фиксации контактного провода, установки секционного изолятора и отбойника</t>
  </si>
  <si>
    <t>ТЕРм08-02-343-02</t>
  </si>
  <si>
    <t>Установка закладной детали для анкеровки, установки секционного разъединителя с проводом</t>
  </si>
  <si>
    <t>ТЕРм08-02-343-03</t>
  </si>
  <si>
    <t>Установка отбойника</t>
  </si>
  <si>
    <t>ТЕРм08-02-343-04</t>
  </si>
  <si>
    <t>Установка шумоглушителя</t>
  </si>
  <si>
    <t xml:space="preserve">                                   Передвижные контактные сети с боковой подвеской контактного провода</t>
  </si>
  <si>
    <t>ТЕРм08-02-344-01</t>
  </si>
  <si>
    <t>Подвеска контактного провода фиксаторная или жесткая</t>
  </si>
  <si>
    <t>ТЕРм08-02-344-02</t>
  </si>
  <si>
    <t>Подвеска контактного провода на опоре, связанной с рельсами</t>
  </si>
  <si>
    <t>ТЕРм08-02-344-03</t>
  </si>
  <si>
    <t>Переход с центрального на боковой контактный провод без разъединителя</t>
  </si>
  <si>
    <t>ТЕРм08-02-344-04</t>
  </si>
  <si>
    <t>Переход с центрального на боковой контактный провод с разъединителем</t>
  </si>
  <si>
    <t xml:space="preserve">                                   Рельсовые и шинные отсасывающие сети</t>
  </si>
  <si>
    <t>ТЕРм08-02-345-01</t>
  </si>
  <si>
    <t>Ввод сети в здание подстанции одним рельсом или одним пакетом шин</t>
  </si>
  <si>
    <t>ТЕРм08-02-345-02</t>
  </si>
  <si>
    <t>Ввод сети в здание подстанции двумя рельсами или двумя пакетами шин</t>
  </si>
  <si>
    <t>ТЕРм08-02-345-03</t>
  </si>
  <si>
    <t>Соединение сети в готовом колодце из одного рельса</t>
  </si>
  <si>
    <t>ТЕРм08-02-345-04</t>
  </si>
  <si>
    <t>Соединение сети в готовом колодце из двух рельсов</t>
  </si>
  <si>
    <t>ТЕРм08-02-345-05</t>
  </si>
  <si>
    <t>Сеть в готовой траншее или горизонтальной поверхности из одного рельса</t>
  </si>
  <si>
    <t>ТЕРм08-02-345-06</t>
  </si>
  <si>
    <t>Сеть в готовой траншее или горизонтальной поверхности из двух рельсов</t>
  </si>
  <si>
    <t>ТЕРм08-02-345-07</t>
  </si>
  <si>
    <t>Сеть в готовом канале из одного рельса</t>
  </si>
  <si>
    <t>ТЕРм08-02-345-08</t>
  </si>
  <si>
    <t>Сеть в готовом канале из двух рельсов</t>
  </si>
  <si>
    <t>ТЕРм08-02-345-09</t>
  </si>
  <si>
    <t>Сеть на уклоне из одного рельса</t>
  </si>
  <si>
    <t>ТЕРм08-02-345-10</t>
  </si>
  <si>
    <t>Сеть на уклоне из двух рельсов</t>
  </si>
  <si>
    <t xml:space="preserve">                                   Заземление</t>
  </si>
  <si>
    <t>ТЕРм08-02-346-01</t>
  </si>
  <si>
    <t>Подвеска группового заземляющего проводника на опоре</t>
  </si>
  <si>
    <t>ТЕРм08-02-346-03</t>
  </si>
  <si>
    <t>Подвеска группового заземляющего проводника на клицах в тоннеле</t>
  </si>
  <si>
    <t>ТЕРм08-02-346-02</t>
  </si>
  <si>
    <t>Прокладка заземляющего проводника на шпалах с покрытием лаком</t>
  </si>
  <si>
    <t>ТЕРм08-02-346-04</t>
  </si>
  <si>
    <t>Заземление одиночных конструкций контактной сети в тоннеле</t>
  </si>
  <si>
    <t xml:space="preserve">                                   Воздушные питающие, отсасывающие и усиливающие сети</t>
  </si>
  <si>
    <t>ТЕРм08-02-347-01</t>
  </si>
  <si>
    <t>Подвеска одного провода в линии воздушной на подвесных изоляторах</t>
  </si>
  <si>
    <t>ТЕРм08-02-347-02</t>
  </si>
  <si>
    <t>За каждый последующий провод добавлять к расценке 08-02-347-01</t>
  </si>
  <si>
    <t>ТЕРм08-02-347-03</t>
  </si>
  <si>
    <t>Обвод электрический одним проводом</t>
  </si>
  <si>
    <t>ТЕРм08-02-347-04</t>
  </si>
  <si>
    <t>Соединение электрическое одним проводом</t>
  </si>
  <si>
    <t>ТЕРм08-02-347-05</t>
  </si>
  <si>
    <t>За каждый последующий провод добавлять к расценкам 08-02-347-03 и 08-02-347-04</t>
  </si>
  <si>
    <t xml:space="preserve">                                   Раздел 5. ЭЛЕКТРООСВЕЩЕНИЕ НАРУЖНОЕ</t>
  </si>
  <si>
    <t xml:space="preserve">                                   Колонки</t>
  </si>
  <si>
    <t>ТЕРм08-02-361-01</t>
  </si>
  <si>
    <t>Колонка «Переход»</t>
  </si>
  <si>
    <t xml:space="preserve">                                   Цоколи к опорам</t>
  </si>
  <si>
    <t>ТЕРм08-02-362-01</t>
  </si>
  <si>
    <t>Цоколь к опорам</t>
  </si>
  <si>
    <t xml:space="preserve">                                   Кронштейны специальные на опорах для светильников</t>
  </si>
  <si>
    <t>ТЕРм08-02-363-01</t>
  </si>
  <si>
    <t>Кронштейны специальные на опорах для светильников сварные металлические, количество рожков 1</t>
  </si>
  <si>
    <t>ТЕРм08-02-363-02</t>
  </si>
  <si>
    <t>Кронштейны специальные на опорах для светильников сварные металлические, количество рожков 2</t>
  </si>
  <si>
    <t>ТЕРм08-02-363-03</t>
  </si>
  <si>
    <t>За каждый последующий рожок сверх 2 добавлять к расценке 08-02-363-02</t>
  </si>
  <si>
    <t>ТЕРм08-02-363-04</t>
  </si>
  <si>
    <t>При встроенном в кронштейн ПРА добавлять к расценкам 08-02-363-01 и 08-02-363-02</t>
  </si>
  <si>
    <t xml:space="preserve">                                   Кронштейны «Переход»</t>
  </si>
  <si>
    <t>ТЕРм08-02-364-01</t>
  </si>
  <si>
    <t>Кронштейн «Переход» на опоре</t>
  </si>
  <si>
    <t>ТЕРм08-02-364-02</t>
  </si>
  <si>
    <t>Кронштейн «Переход» на стене</t>
  </si>
  <si>
    <t xml:space="preserve">                                   Растяжки</t>
  </si>
  <si>
    <t>ТЕРм08-02-365-01</t>
  </si>
  <si>
    <t>Растяжка поперечная с одинарным креплением к стене</t>
  </si>
  <si>
    <t>ТЕРм08-02-365-02</t>
  </si>
  <si>
    <t>Растяжка поперечная с двойным креплением к стене</t>
  </si>
  <si>
    <t>ТЕРм08-02-365-03</t>
  </si>
  <si>
    <t>Растяжка поперечная между опорами</t>
  </si>
  <si>
    <t xml:space="preserve">                                   Планки</t>
  </si>
  <si>
    <t>ТЕРм08-02-366-01</t>
  </si>
  <si>
    <t>Планка с изоляторами на поперечных растяжках, количество штырей 2</t>
  </si>
  <si>
    <t>ТЕРм08-02-366-02</t>
  </si>
  <si>
    <t>Планка с изоляторами на поперечных растяжках, количество штырей 3</t>
  </si>
  <si>
    <t>ТЕРм08-02-366-03</t>
  </si>
  <si>
    <t>Планка с изоляторами на поперечных растяжках, количество штырей 4</t>
  </si>
  <si>
    <t>ТЕРм08-02-366-04</t>
  </si>
  <si>
    <t>Планка разрывная 2х2</t>
  </si>
  <si>
    <t>ТЕРм08-02-366-05</t>
  </si>
  <si>
    <t>Планка разрывная 3х3</t>
  </si>
  <si>
    <t>ТЕРм08-02-366-06</t>
  </si>
  <si>
    <t>Планка разрывная 4х4</t>
  </si>
  <si>
    <t xml:space="preserve">                                   Провода</t>
  </si>
  <si>
    <t>ТЕРм08-02-367-01</t>
  </si>
  <si>
    <t>Провод по установленным планкам с изоляторами на растяжках, сечение до 10 мм2</t>
  </si>
  <si>
    <t>ТЕРм08-02-367-02</t>
  </si>
  <si>
    <t>Провод по установленным планкам с изоляторами на растяжках, сечение до 25 мм2</t>
  </si>
  <si>
    <t>ТЕРм08-02-367-03</t>
  </si>
  <si>
    <t>Провод по установленным планкам с изоляторами на растяжках, сечение до 50 мм2</t>
  </si>
  <si>
    <t>ТЕРм08-02-367-04</t>
  </si>
  <si>
    <t>Провод на траверсах по металлическим и железобетонным опорам сечением до 70 мм2, при количестве опор на 1 км 16</t>
  </si>
  <si>
    <t>ТЕРм08-02-367-05</t>
  </si>
  <si>
    <t>Провод на траверсах по металлическим и железобетонным опорам сечением до 70 мм2, при количестве опор на 1 км 20</t>
  </si>
  <si>
    <t>ТЕРм08-02-367-06</t>
  </si>
  <si>
    <t>Провод на траверсах по металлическим и железобетонным опорам сечением до 70 мм2, при количестве опор на 1 км 25</t>
  </si>
  <si>
    <t>ТЕРм08-02-367-07</t>
  </si>
  <si>
    <t>Провод на траверсах по металлическим и железобетонным опорам сечением до 70 мм2, при количестве опор на 1 км 32</t>
  </si>
  <si>
    <t xml:space="preserve">                                   Провода, подвешиваемые на тросе</t>
  </si>
  <si>
    <t>ТЕРм08-02-368-01</t>
  </si>
  <si>
    <t>Провод - три в линии на планках с роликами по тросу сечением провода до 70 мм2</t>
  </si>
  <si>
    <t>ТЕРм08-02-368-02</t>
  </si>
  <si>
    <t>За каждый последующий провод добавлять к расценке 08-02-368-01</t>
  </si>
  <si>
    <t xml:space="preserve">                                   Светильники, устанавливаемые вне зданий</t>
  </si>
  <si>
    <t>ТЕРм08-02-369-01</t>
  </si>
  <si>
    <t>Светильник, устанавливаемый вне зданий с лампами накаливания</t>
  </si>
  <si>
    <t>ТЕРм08-02-369-02</t>
  </si>
  <si>
    <t>Светильник, устанавливаемый вне зданий с лампами люминесцентными</t>
  </si>
  <si>
    <t>ТЕРм08-02-369-03</t>
  </si>
  <si>
    <t>Светильник, устанавливаемый вне зданий с лампами ртутными</t>
  </si>
  <si>
    <t>ТЕРм08-02-369-04</t>
  </si>
  <si>
    <t>Светильник, устанавливаемый вне зданий «Шар венчающий»</t>
  </si>
  <si>
    <t xml:space="preserve">                                   Щитки</t>
  </si>
  <si>
    <t>ТЕРм08-02-370-01</t>
  </si>
  <si>
    <t>Щиток до трех групп, устанавливаемый в обхват колонн</t>
  </si>
  <si>
    <t>ТЕРм08-02-370-02</t>
  </si>
  <si>
    <t>Щиток до трех групп, устанавливаемый в нише цоколя</t>
  </si>
  <si>
    <t xml:space="preserve">                                   Пускорегулирующие аппараты (ПРА) отдельно стоящие</t>
  </si>
  <si>
    <t>ТЕРм08-02-371-01</t>
  </si>
  <si>
    <t>Пускорегулирующий аппарат</t>
  </si>
  <si>
    <t xml:space="preserve">                                   Предохранители столбовые</t>
  </si>
  <si>
    <t>ТЕРм08-02-372-01</t>
  </si>
  <si>
    <t>Предохранитель столбовой на опоре деревянной</t>
  </si>
  <si>
    <t>ТЕРм08-02-372-02</t>
  </si>
  <si>
    <t>Предохранитель столбовой на опоре железобетонной</t>
  </si>
  <si>
    <t xml:space="preserve">                                   Провода на переходах</t>
  </si>
  <si>
    <t>ТЕРм08-02-373-01</t>
  </si>
  <si>
    <t>Растяжка поперечная через контактные сети</t>
  </si>
  <si>
    <t>ТЕРм08-02-373-02</t>
  </si>
  <si>
    <t>Провод на переходе через линии связи, сети освещения и другие препятствия сечением до 10 мм2</t>
  </si>
  <si>
    <t>ТЕРм08-02-373-03</t>
  </si>
  <si>
    <t>Провод на переходе через линии связи, сети освещения и другие препятствия сечением до 35 мм2</t>
  </si>
  <si>
    <t xml:space="preserve">                                   Устройство вводов</t>
  </si>
  <si>
    <t>ТЕРм08-02-374-01</t>
  </si>
  <si>
    <t>Устройство ввода в здание в стальной трубе, провод сечением до 16 мм2, количество проводов в линии 2</t>
  </si>
  <si>
    <t>ТЕРм08-02-374-02</t>
  </si>
  <si>
    <t>Устройство ввода в здание в стальной трубе, провод сечением до 16 мм2, количество проводов в линии 3</t>
  </si>
  <si>
    <t>ТЕРм08-02-374-03</t>
  </si>
  <si>
    <t>Устройство ввода в здание в стальной трубе, провод сечением до 16 мм2, количество проводов в линии 4</t>
  </si>
  <si>
    <t xml:space="preserve">                                   Раздел 6. СЕТИ ПРОВОДОК В ЗДАНИЯХ И СООРУЖЕНИЯХ</t>
  </si>
  <si>
    <t xml:space="preserve">                                   Короба пластмассовые</t>
  </si>
  <si>
    <t>ТЕРм08-02-390-01</t>
  </si>
  <si>
    <t>Короба пластмассовые шириной до 40 мм</t>
  </si>
  <si>
    <t>ТЕРм08-02-390-02</t>
  </si>
  <si>
    <t>Короба пластмассовые шириной до 63 мм</t>
  </si>
  <si>
    <t>ТЕРм08-02-390-03</t>
  </si>
  <si>
    <t>Короба пластмассовые шириной до 120 мм</t>
  </si>
  <si>
    <t xml:space="preserve">                                   Провода по деревянному основанию</t>
  </si>
  <si>
    <t>ТЕРм08-02-391-01</t>
  </si>
  <si>
    <t>Провод по деревянному основанию двух-трехжильный</t>
  </si>
  <si>
    <t xml:space="preserve">                                   Провода по роликам</t>
  </si>
  <si>
    <t>ТЕРм08-02-392-01</t>
  </si>
  <si>
    <t>Провод по роликам сечением до 2,5 мм2</t>
  </si>
  <si>
    <t xml:space="preserve">                                   Проводки тросовые</t>
  </si>
  <si>
    <t>ТЕРм08-02-394-01</t>
  </si>
  <si>
    <t>Провод тросовый до 4 в линии, сечение жил до 6 мм2</t>
  </si>
  <si>
    <t>ТЕРм08-02-394-02</t>
  </si>
  <si>
    <t>Провод тросовый до 4 в линии, сечение жил до 16 мм2</t>
  </si>
  <si>
    <t>ТЕРм08-02-394-03</t>
  </si>
  <si>
    <t>Провод тросовый до 4 в линии, сечение жил до 35 мм2</t>
  </si>
  <si>
    <t>ТЕРм08-02-394-04</t>
  </si>
  <si>
    <t>Кабель тросовый до 4 в линии, сечение жил до 16 мм2</t>
  </si>
  <si>
    <t xml:space="preserve">                                   Лотки металлические</t>
  </si>
  <si>
    <t>ТЕРм08-02-395-01</t>
  </si>
  <si>
    <t>Лоток металлический штампованный по установленным конструкциям, ширина лотка до 200 мм</t>
  </si>
  <si>
    <t>ТЕРм08-02-395-02</t>
  </si>
  <si>
    <t>Лоток металлический штампованный по установленным конструкциям, ширина лотка до 400 мм</t>
  </si>
  <si>
    <t xml:space="preserve">                                   Короба металлические</t>
  </si>
  <si>
    <t>ТЕРм08-02-396-01</t>
  </si>
  <si>
    <t>Короб металлический на конструкциях, кронштейнах, по фермам и колоннам, длина 2 м</t>
  </si>
  <si>
    <t>ТЕРм08-02-396-02</t>
  </si>
  <si>
    <t>Короб металлический на конструкциях, кронштейнах, по фермам и колоннам, длина 3 м</t>
  </si>
  <si>
    <t>ТЕРм08-02-396-03</t>
  </si>
  <si>
    <t>Короб металлический на конструкциях, кронштейнах, по фермам и колоннам, длина 6 м (блоки)</t>
  </si>
  <si>
    <t>ТЕРм08-02-396-04</t>
  </si>
  <si>
    <t>Короб металлический на конструкциях, кронштейнах, по фермам и колоннам, длина 9 м (блоки)</t>
  </si>
  <si>
    <t>ТЕРм08-02-396-05</t>
  </si>
  <si>
    <t>Короб металлический по стенам и потолкам, длина 2 м</t>
  </si>
  <si>
    <t>ТЕРм08-02-396-06</t>
  </si>
  <si>
    <t>Короб металлический по стенам и потолкам, длина 3 м</t>
  </si>
  <si>
    <t>ТЕРм08-02-396-07</t>
  </si>
  <si>
    <t>Короб металлический по стенам и потолкам, длина 6 м (блоки)</t>
  </si>
  <si>
    <t>ТЕРм08-02-396-08</t>
  </si>
  <si>
    <t>Короб металлический по стенам и потолкам, длина 9 м (блоки)</t>
  </si>
  <si>
    <t>ТЕРм08-02-396-09</t>
  </si>
  <si>
    <t>Короб металлический, подвешиваемый к конструкциям на оттяжках или подвесах, длина 2 м</t>
  </si>
  <si>
    <t>ТЕРм08-02-396-10</t>
  </si>
  <si>
    <t>Короб металлический, подвешиваемый к конструкциям на оттяжках или подвесах, длина 3 м</t>
  </si>
  <si>
    <t>ТЕРм08-02-396-11</t>
  </si>
  <si>
    <t>Короб металлический, подвешиваемый к конструкциям на оттяжках или подвесах, длина 6 м (блоки)</t>
  </si>
  <si>
    <t>ТЕРм08-02-396-12</t>
  </si>
  <si>
    <t>Короб металлический, подвешиваемый к конструкциям на оттяжках или подвесах, длина 9 м (блоки)</t>
  </si>
  <si>
    <t>ТЕРм08-02-396-13</t>
  </si>
  <si>
    <t>Короб металлический, подвешиваемый на тросах с помощью тросовых подвесов, длина 2 м</t>
  </si>
  <si>
    <t>ТЕРм08-02-396-14</t>
  </si>
  <si>
    <t>Короб металлический, подвешиваемый на тросах с помощью тросовых подвесов, длина 3 м</t>
  </si>
  <si>
    <t>ТЕРм08-02-396-15</t>
  </si>
  <si>
    <t>Короб металлический, подвешиваемый на тросах с помощью тросовых подвесов, длина 6 м (блоки)</t>
  </si>
  <si>
    <t>ТЕРм08-02-396-16</t>
  </si>
  <si>
    <t>Короб металлический, подвешиваемый на тросах с помощью тросовых подвесов, длина 9 м (блоки)</t>
  </si>
  <si>
    <t xml:space="preserve">                                   Профили перфорированные монтажные</t>
  </si>
  <si>
    <t>ТЕРм08-02-397-01</t>
  </si>
  <si>
    <t>Профиль перфорированный монтажный длиной 2 м</t>
  </si>
  <si>
    <t xml:space="preserve">                                   Провода в лотках</t>
  </si>
  <si>
    <t>ТЕРм08-02-398-01</t>
  </si>
  <si>
    <t>Провод в лотках, сечением до 6 мм2</t>
  </si>
  <si>
    <t>ТЕРм08-02-398-02</t>
  </si>
  <si>
    <t>Провод в лотках, сечением до 35 мм2</t>
  </si>
  <si>
    <t>ТЕРм08-02-398-03</t>
  </si>
  <si>
    <t>Провод в лотках, сечением до 70 мм2</t>
  </si>
  <si>
    <t>ТЕРм08-02-398-04</t>
  </si>
  <si>
    <t>Провод в лотках, сечением до 120 мм2</t>
  </si>
  <si>
    <t>ТЕРм08-02-398-05</t>
  </si>
  <si>
    <t>Провод в лотках, сечением до 185 мм2</t>
  </si>
  <si>
    <t xml:space="preserve">                                   Провода в коробах</t>
  </si>
  <si>
    <t>ТЕРм08-02-399-01</t>
  </si>
  <si>
    <t>Провод в коробах, сечением до 6 мм2</t>
  </si>
  <si>
    <t>ТЕРм08-02-399-02</t>
  </si>
  <si>
    <t>Провод в коробах, сечением до 35 мм2</t>
  </si>
  <si>
    <t>ТЕРм08-02-399-03</t>
  </si>
  <si>
    <t>Провод в коробах, сечением до 70 мм2</t>
  </si>
  <si>
    <t>ТЕРм08-02-399-04</t>
  </si>
  <si>
    <t>Провод в коробах, сечением до 120 мм2</t>
  </si>
  <si>
    <t>ТЕРм08-02-399-05</t>
  </si>
  <si>
    <t>Провод в коробах, сечением до 185 мм2</t>
  </si>
  <si>
    <t xml:space="preserve">                                   Провода по перфорированным профилям</t>
  </si>
  <si>
    <t>ТЕРм08-02-400-01</t>
  </si>
  <si>
    <t>Провод по перфорированным профилям, сечением до 6 мм2</t>
  </si>
  <si>
    <t xml:space="preserve">                                   Кабели с креплением накладными скобами, полосками с установкой ответвительных коробок</t>
  </si>
  <si>
    <t>ТЕРм08-02-401-01</t>
  </si>
  <si>
    <t>Кабель двух-четырехжильный сечением жилы до 16 мм2 с креплением накладными скобами, полосками с установкой ответвительных коробок</t>
  </si>
  <si>
    <t xml:space="preserve">                                   Кабели по установленным конструкциям и лоткам с установкой ответвительных коробок</t>
  </si>
  <si>
    <t>ТЕРм08-02-402-01</t>
  </si>
  <si>
    <t>Кабель двух-четырехжильный по установленным конструкциям и лоткам с установкой ответвительных коробок в помещениях с нормальной средой сечением жилы до 10 мм2</t>
  </si>
  <si>
    <t>ТЕРм08-02-402-02</t>
  </si>
  <si>
    <t>Кабель двух-четырехжильный по установленным конструкциям и лоткам с установкой ответвительных коробок во взрывоопасных и пожароопасных помещениях сечением жилы до 6 мм2</t>
  </si>
  <si>
    <t xml:space="preserve">                                   Провода групповых осветительных сетей</t>
  </si>
  <si>
    <t>ТЕРм08-02-403-01</t>
  </si>
  <si>
    <t>Провод групповой осветительных сетей в защитной оболочке или кабель двух-трехжильный в пустотах плит перекрытий</t>
  </si>
  <si>
    <t>ТЕРм08-02-403-02</t>
  </si>
  <si>
    <t>Провод групповой осветительных сетей в защитной оболочке или кабель двух-трехжильный в готовых каналах стен и перекрытий</t>
  </si>
  <si>
    <t>ТЕРм08-02-403-03</t>
  </si>
  <si>
    <t>Провод групповой осветительных сетей в защитной оболочке или кабель двух-трехжильный под штукатурку по стенам или в бороздах</t>
  </si>
  <si>
    <t>ТЕРм08-02-403-04</t>
  </si>
  <si>
    <t>Провод групповой осветительных сетей в защитной оболочке или кабель двух-трехжильный по перекрытиям</t>
  </si>
  <si>
    <t xml:space="preserve">                                   Провода магистралей, стояков и силовых сетей в готовых каналах или асбестоцементных трубах</t>
  </si>
  <si>
    <t>ТЕРм08-02-404-01</t>
  </si>
  <si>
    <t>Провод магистралей, стояков и силовых сетей в готовых каналах или асбестоцементных трубах, количество и сечение до 2х6 мм2</t>
  </si>
  <si>
    <t>ТЕРм08-02-404-02</t>
  </si>
  <si>
    <t>Провод магистралей, стояков и силовых сетей в готовых каналах или асбестоцементных трубах, количество и сечение до 4х16 мм2</t>
  </si>
  <si>
    <t>ТЕРм08-02-404-03</t>
  </si>
  <si>
    <t>Провод магистралей, стояков и силовых сетей в готовых каналах или асбестоцементных трубах, количество и сечение до 4х35 мм2</t>
  </si>
  <si>
    <t>ТЕРм08-02-404-04</t>
  </si>
  <si>
    <t>Провод магистралей, стояков и силовых сетей в готовых каналах или асбестоцементных трубах, количество и сечение до 4х70 мм2</t>
  </si>
  <si>
    <t>ТЕРм08-02-404-05</t>
  </si>
  <si>
    <t>Провод магистралей, стояков и силовых сетей в готовых каналах или асбестоцементных трубах, количество и сечение до 4х16+2х6 мм2</t>
  </si>
  <si>
    <t>ТЕРм08-02-404-06</t>
  </si>
  <si>
    <t>Провод магистралей, стояков и силовых сетей в готовых каналах или асбестоцементных трубах, количество и сечение до 4х35+2х6 мм2</t>
  </si>
  <si>
    <t>ТЕРм08-02-404-07</t>
  </si>
  <si>
    <t>Провод магистралей, стояков и силовых сетей в готовых каналах или асбестоцементных трубах, количество и сечение до 4х70+2х6 мм2</t>
  </si>
  <si>
    <t>ТЕРм08-02-404-08</t>
  </si>
  <si>
    <t>Провод магистралей, стояков и силовых сетей в готовых каналах или асбестоцементных трубах, количество и сечение до 6х16+2х6 мм2</t>
  </si>
  <si>
    <t>ТЕРм08-02-404-09</t>
  </si>
  <si>
    <t>Провод магистралей, стояков и силовых сетей в готовых каналах или асбестоцементных трубах, количество и сечение до 6х35+2х6 мм2</t>
  </si>
  <si>
    <t xml:space="preserve">                                   Провода по стальным конструкциям и панелям</t>
  </si>
  <si>
    <t>ТЕРм08-02-405-01</t>
  </si>
  <si>
    <t>Провод по установленным стальным конструкциям и панелям, сечение до 16 мм2</t>
  </si>
  <si>
    <t>ТЕРм08-02-405-02</t>
  </si>
  <si>
    <t>Провод по установленным стальным конструкциям и панелям, сечение до 35 мм2</t>
  </si>
  <si>
    <t>ТЕРм08-02-405-03</t>
  </si>
  <si>
    <t>Провод по установленным стальным конструкциям и панелям, сечение до 70 мм2</t>
  </si>
  <si>
    <t>ТЕРм08-02-405-04</t>
  </si>
  <si>
    <t>Провод по установленным стальным конструкциям и панелям, сечение до 120 мм2</t>
  </si>
  <si>
    <t>ТЕРм08-02-405-05</t>
  </si>
  <si>
    <t>Провод по установленным стальным конструкциям и панелям, сечение до 240 мм2</t>
  </si>
  <si>
    <t>ТЕРм08-02-405-06</t>
  </si>
  <si>
    <t>Провод по установленным стальным конструкциям и панелям, сечение до 400 мм2</t>
  </si>
  <si>
    <t xml:space="preserve">                                   Конструкции металлические для труб</t>
  </si>
  <si>
    <t>ТЕРм08-02-406-01</t>
  </si>
  <si>
    <t>Скобы или конструкции металлические для труб П-образные</t>
  </si>
  <si>
    <t>ТЕРм08-02-406-02</t>
  </si>
  <si>
    <t>Скобы или конструкции металлические для труб Г-образные</t>
  </si>
  <si>
    <t xml:space="preserve">                                   Трубы стальные по установленным конструкциям</t>
  </si>
  <si>
    <t>ТЕРм08-02-407-01</t>
  </si>
  <si>
    <t>Труба стальная по установленным конструкциям, по стенам с креплением скобами, диаметр до 25 мм</t>
  </si>
  <si>
    <t>ТЕРм08-02-407-02</t>
  </si>
  <si>
    <t>Труба стальная по установленным конструкциям, по стенам с креплением скобами, диаметр до 40 мм</t>
  </si>
  <si>
    <t>ТЕРм08-02-407-03</t>
  </si>
  <si>
    <t>Труба стальная по установленным конструкциям, по стенам с креплением скобами, диаметр до 50 мм</t>
  </si>
  <si>
    <t>ТЕРм08-02-407-04</t>
  </si>
  <si>
    <t>Труба стальная по установленным конструкциям, по стенам с креплением скобами, диаметр до 80 мм</t>
  </si>
  <si>
    <t>ТЕРм08-02-407-05</t>
  </si>
  <si>
    <t>Труба стальная по установленным конструкциям, по стенам с креплением скобами, диаметр до 100 мм</t>
  </si>
  <si>
    <t>ТЕРм08-02-407-06</t>
  </si>
  <si>
    <t>Труба стальная по установленным конструкциям, в готовых бороздах, по основанию пола, диаметр до 25 мм</t>
  </si>
  <si>
    <t>ТЕРм08-02-407-07</t>
  </si>
  <si>
    <t>Труба стальная по установленным конструкциям, в готовых бороздах, по основанию пола, диаметр до 40 мм</t>
  </si>
  <si>
    <t>ТЕРм08-02-407-08</t>
  </si>
  <si>
    <t>Труба стальная по установленным конструкциям, в готовых бороздах, по основанию пола, диаметр до 50 мм</t>
  </si>
  <si>
    <t>ТЕРм08-02-407-09</t>
  </si>
  <si>
    <t>Труба стальная по установленным конструкциям, в готовых бороздах, по основанию пола, диаметр до 80 мм</t>
  </si>
  <si>
    <t>ТЕРм08-02-407-10</t>
  </si>
  <si>
    <t>Труба стальная по установленным конструкциям, в готовых бороздах, по основанию пола, диаметр до 100 мм</t>
  </si>
  <si>
    <t>ТЕРм08-02-407-11</t>
  </si>
  <si>
    <t>Труба стальная по установленным конструкциям, в опалубке фундаментов и перекрытиях, диаметр до 25 мм</t>
  </si>
  <si>
    <t>ТЕРм08-02-407-12</t>
  </si>
  <si>
    <t>Труба стальная по установленным конструкциям, в опалубке фундаментов и перекрытиях, диаметр до 40 мм</t>
  </si>
  <si>
    <t>ТЕРм08-02-407-13</t>
  </si>
  <si>
    <t>Труба стальная по установленным конструкциям, в опалубке фундаментов и перекрытиях, диаметр до 50 мм</t>
  </si>
  <si>
    <t>ТЕРм08-02-407-14</t>
  </si>
  <si>
    <t>Труба стальная по установленным конструкциям, в опалубке фундаментов и перекрытиях, диаметр до 80 мм</t>
  </si>
  <si>
    <t>ТЕРм08-02-407-15</t>
  </si>
  <si>
    <t>Труба стальная по установленным конструкциям, в опалубке фундаментов и перекрытиях, диаметр до 100 мм</t>
  </si>
  <si>
    <t>ТЕРм08-02-407-16</t>
  </si>
  <si>
    <t>Труба стальная по установленным конструкциям, по фермам, колоннам и другим стальным конструкциям, диаметр до 40 мм</t>
  </si>
  <si>
    <t>ТЕРм08-02-407-17</t>
  </si>
  <si>
    <t>Труба стальная по установленным конструкциям, по фермам, колоннам и другим стальным конструкциям, диаметр до 50 мм</t>
  </si>
  <si>
    <t>ТЕРм08-02-407-18</t>
  </si>
  <si>
    <t>Труба стальная по установленным конструкциям, по фермам, колоннам и другим стальным конструкциям, диаметр до 80 мм</t>
  </si>
  <si>
    <t>ТЕРм08-02-407-19</t>
  </si>
  <si>
    <t>Труба стальная по установленным конструкциям, по фермам, колоннам и другим стальным конструкциям, диаметр до 100 мм</t>
  </si>
  <si>
    <t xml:space="preserve">                                   Трубы стальные во взрывоопасных и пожароопасных помещениях по установленным конструкциям</t>
  </si>
  <si>
    <t>ТЕРм08-02-408-01</t>
  </si>
  <si>
    <t>Труба стальная во взрывоопасных и пожароопасных помещениях по установленным конструкциям, с креплением накладными скобами, диаметр до 25 мм</t>
  </si>
  <si>
    <t>ТЕРм08-02-408-02</t>
  </si>
  <si>
    <t>Труба стальная во взрывоопасных и пожароопасных помещениях по установленным конструкциям, с креплением накладными скобами, диаметр до 40 мм</t>
  </si>
  <si>
    <t>ТЕРм08-02-408-03</t>
  </si>
  <si>
    <t>Труба стальная во взрывоопасных и пожароопасных помещениях по установленным конструкциям, с креплением накладными скобами, диаметр до 50 мм</t>
  </si>
  <si>
    <t>ТЕРм08-02-408-04</t>
  </si>
  <si>
    <t>Труба стальная во взрывоопасных и пожароопасных помещениях по установленным конструкциям, в готовых бороздах, диаметр до 25 мм</t>
  </si>
  <si>
    <t>ТЕРм08-02-408-05</t>
  </si>
  <si>
    <t>Труба стальная во взрывоопасных и пожароопасных помещениях по установленным конструкциям, в готовых бороздах, диаметр до 40 мм</t>
  </si>
  <si>
    <t>ТЕРм08-02-408-06</t>
  </si>
  <si>
    <t>Труба стальная во взрывоопасных и пожароопасных помещениях по установленным конструкциям, в готовых бороздах, диаметр до 50 мм</t>
  </si>
  <si>
    <t>ТЕРм08-02-408-07</t>
  </si>
  <si>
    <t>Труба стальная во взрывоопасных и пожароопасных помещениях по установленным конструкциям, в опалубке фундаментов, диаметр до 25 мм</t>
  </si>
  <si>
    <t>ТЕРм08-02-408-08</t>
  </si>
  <si>
    <t>Труба стальная во взрывоопасных и пожароопасных помещениях по установленным конструкциям, в опалубке фундаментов, диаметр до 40 мм</t>
  </si>
  <si>
    <t>ТЕРм08-02-408-09</t>
  </si>
  <si>
    <t>Труба стальная во взрывоопасных и пожароопасных помещениях по установленным конструкциям, в опалубке фундаментов, диаметр до 50 мм</t>
  </si>
  <si>
    <t xml:space="preserve">                                   Трубы винипластовые по установленным конструкциям</t>
  </si>
  <si>
    <t>ТЕРм08-02-409-01</t>
  </si>
  <si>
    <t>Труба винипластовая по установленным конструкциям, по стенам и колоннам с креплением скобами, диаметр до 25 мм</t>
  </si>
  <si>
    <t>ТЕРм08-02-409-02</t>
  </si>
  <si>
    <t>Труба винипластовая по установленным конструкциям, по стенам и колоннам с креплением скобами, диаметр до 50 мм</t>
  </si>
  <si>
    <t>ТЕРм08-02-409-03</t>
  </si>
  <si>
    <t>Труба винипластовая по установленным конструкциям, по стенам и колоннам с креплением скобами, диаметр до 63 мм</t>
  </si>
  <si>
    <t>ТЕРм08-02-409-04</t>
  </si>
  <si>
    <t>Труба винипластовая по установленным конструкциям, по потолкам, диаметр до 50 мм</t>
  </si>
  <si>
    <t>ТЕРм08-02-409-05</t>
  </si>
  <si>
    <t>Труба винипластовая по установленным конструкциям, по потолкам, диаметр до 63 мм</t>
  </si>
  <si>
    <t>ТЕРм08-02-409-06</t>
  </si>
  <si>
    <t>Труба винипластовая по установленным конструкциям, по основанию пола, диаметр до 25 мм</t>
  </si>
  <si>
    <t>ТЕРм08-02-409-07</t>
  </si>
  <si>
    <t>Труба винипластовая по установленным конструкциям, по основанию пола, диаметр до 50 мм</t>
  </si>
  <si>
    <t>ТЕРм08-02-409-08</t>
  </si>
  <si>
    <t>Труба винипластовая по установленным конструкциям, по основанию пола, диаметр до 63 мм</t>
  </si>
  <si>
    <t xml:space="preserve">                                   Трубы полиэтиленовые</t>
  </si>
  <si>
    <t>ТЕРм08-02-410-01</t>
  </si>
  <si>
    <t>Труба полиэтиленовая по основанию пола, диаметр до 25 мм</t>
  </si>
  <si>
    <t>ТЕРм08-02-410-02</t>
  </si>
  <si>
    <t>Труба полиэтиленовая по основанию пола, диаметр до 50 мм</t>
  </si>
  <si>
    <t>ТЕРм08-02-410-03</t>
  </si>
  <si>
    <t>Труба полиэтиленовая по основанию пола, диаметр до 63 мм</t>
  </si>
  <si>
    <t xml:space="preserve">                                   Рукава металлические и вводы гибкие</t>
  </si>
  <si>
    <t>ТЕРм08-02-411-01</t>
  </si>
  <si>
    <t>Рукав металлический наружным диаметром до 48 мм</t>
  </si>
  <si>
    <t>ТЕРм08-02-411-02</t>
  </si>
  <si>
    <t>Рукав металлический наружным диаметром до 60 мм</t>
  </si>
  <si>
    <t>ТЕРм08-02-411-03</t>
  </si>
  <si>
    <t>Рукав металлический наружным диаметром до 78 мм</t>
  </si>
  <si>
    <t>ТЕРм08-02-411-04</t>
  </si>
  <si>
    <t>Ввод гибкий, наружный диаметр металлорукава до 27 мм</t>
  </si>
  <si>
    <t>ТЕРм08-02-411-05</t>
  </si>
  <si>
    <t>Ввод гибкий, наружный диаметр металлорукава до 48 мм</t>
  </si>
  <si>
    <t>ТЕРм08-02-411-06</t>
  </si>
  <si>
    <t>Ввод гибкий, наружный диаметр металлорукава до 60 мм</t>
  </si>
  <si>
    <t>ТЕРм08-02-411-07</t>
  </si>
  <si>
    <t>Ввод гибкий, наружный диаметр металлорукава до 78 мм</t>
  </si>
  <si>
    <t xml:space="preserve">                                   Затягивание проводов в проложенные трубы и металлические рукава</t>
  </si>
  <si>
    <t>ТЕРм08-02-412-01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</si>
  <si>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2,5 мм2</t>
  </si>
  <si>
    <t>ТЕРм08-02-412-02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</si>
  <si>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6 мм2</t>
  </si>
  <si>
    <t>ТЕРм08-02-412-03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</si>
  <si>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16 мм2</t>
  </si>
  <si>
    <t>ТЕРм08-02-412-04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</si>
  <si>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35 мм2</t>
  </si>
  <si>
    <t>ТЕРм08-02-412-05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</si>
  <si>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70 мм2</t>
  </si>
  <si>
    <t>ТЕРм08-02-412-06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</si>
  <si>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120 мм2</t>
  </si>
  <si>
    <t>ТЕРм08-02-412-07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</si>
  <si>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150 мм2</t>
  </si>
  <si>
    <t>ТЕРм08-02-412-08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</si>
  <si>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 до 240 мм2</t>
  </si>
  <si>
    <t>ТЕРм08-02-412-09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</si>
  <si>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6 мм2</t>
  </si>
  <si>
    <t>ТЕРм08-02-412-10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</si>
  <si>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35 мм2</t>
  </si>
  <si>
    <t>ТЕРм08-02-412-11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</si>
  <si>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70 мм2</t>
  </si>
  <si>
    <t>ТЕРм08-02-412-12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</si>
  <si>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120 мм2</t>
  </si>
  <si>
    <t>ТЕРм08-02-412-13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</si>
  <si>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150 мм2</t>
  </si>
  <si>
    <t>ТЕРм08-02-412-14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</si>
  <si>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 до 240 мм2</t>
  </si>
  <si>
    <t xml:space="preserve">                                   Провод в резинобитумных трубках</t>
  </si>
  <si>
    <t>ТЕРм08-02-413-01</t>
  </si>
  <si>
    <t>Провод, количество проводов в резинобитумной трубке до 2, сечение провода до 6 мм2</t>
  </si>
  <si>
    <t>ТЕРм08-02-413-02</t>
  </si>
  <si>
    <t>Провод, количество проводов в резинобитумной трубке до 2, сечение провода до 16 мм2</t>
  </si>
  <si>
    <t>ТЕРм08-02-413-03</t>
  </si>
  <si>
    <t>Провод, количество проводов в резинобитумной трубке до 3, сечение провода до 6 мм2</t>
  </si>
  <si>
    <t>ТЕРм08-02-413-04</t>
  </si>
  <si>
    <t>Провод, количество проводов в резинобитумной трубке до 3, сечение провода до 16 мм2</t>
  </si>
  <si>
    <t>ТЕРм08-02-413-05</t>
  </si>
  <si>
    <t>Провод, количество проводов в резинобитумной трубке до 3, сечение провода до 35 мм2</t>
  </si>
  <si>
    <t>ТЕРм08-02-413-06</t>
  </si>
  <si>
    <t>Провод, количество проводов в резинобитумной трубке до 3, сечение провода до 70 мм2</t>
  </si>
  <si>
    <t>ТЕРм08-02-413-07</t>
  </si>
  <si>
    <t>Провод, количество проводов в резинобитумной трубке до 4, сечение провода до 2,5 мм2</t>
  </si>
  <si>
    <t>ТЕРм08-02-413-08</t>
  </si>
  <si>
    <t>Провод, количество проводов в резинобитумной трубке до 4, сечение провода до 6 мм2</t>
  </si>
  <si>
    <t>ТЕРм08-02-413-09</t>
  </si>
  <si>
    <t>Провод, количество проводов в резинобитумной трубке до 4, сечение провода до 16 мм2</t>
  </si>
  <si>
    <t>ТЕРм08-02-413-10</t>
  </si>
  <si>
    <t>Провод, количество проводов в резинобитумной трубке до 4, сечение провода до 35 мм2</t>
  </si>
  <si>
    <t>ТЕРм08-02-413-11</t>
  </si>
  <si>
    <t>Провод, количество проводов в резинобитумной трубке до 4, сечение провода до 70 мм2</t>
  </si>
  <si>
    <t>ТЕРм08-02-413-12</t>
  </si>
  <si>
    <t>Провод, количество проводов в резинобитумной трубке до 6, сечение провода до 2,5 мм2</t>
  </si>
  <si>
    <t>ТЕРм08-02-413-13</t>
  </si>
  <si>
    <t>Провод, количество проводов в резинобитумной трубке до 6, сечение провода до 6 мм2</t>
  </si>
  <si>
    <t>ТЕРм08-02-413-14</t>
  </si>
  <si>
    <t>Провод, количество проводов в резинобитумной трубке до 6, сечение провода до 16 мм2</t>
  </si>
  <si>
    <t>ТЕРм08-02-413-15</t>
  </si>
  <si>
    <t>Провод, количество проводов в резинобитумной трубке до 6, сечение провода до 35 мм2</t>
  </si>
  <si>
    <t>ТЕРм08-02-413-16</t>
  </si>
  <si>
    <t>Провод, количество проводов в резинобитумной трубке до 8, сечение провода до 2,5 мм2</t>
  </si>
  <si>
    <t>ТЕРм08-02-413-17</t>
  </si>
  <si>
    <t>Провод, количество проводов в резинобитумной трубке до 8, сечение провода до 6 мм2</t>
  </si>
  <si>
    <t>ТЕРм08-02-413-18</t>
  </si>
  <si>
    <t>Провод, количество проводов в резинобитумной трубке до 8, сечение провода до 16 мм2</t>
  </si>
  <si>
    <t xml:space="preserve">                                   Конструкции металлические для шинопроводов</t>
  </si>
  <si>
    <t>ТЕРм08-02-414-01</t>
  </si>
  <si>
    <t>Конструкция металлическая для шинопроводов</t>
  </si>
  <si>
    <t xml:space="preserve">                                   Шинопроводы открытые</t>
  </si>
  <si>
    <t>ТЕРм08-02-415-01</t>
  </si>
  <si>
    <t>Шинопровод открытый на установленных конструкциях, сечение до 250 мм2</t>
  </si>
  <si>
    <t>ТЕРм08-02-415-02</t>
  </si>
  <si>
    <t>Шинопровод открытый на установленных конструкциях, сечение до 640 мм2</t>
  </si>
  <si>
    <t>ТЕРм08-02-415-03</t>
  </si>
  <si>
    <t>Шинопровод открытый на установленных конструкциях, сечение до 1200 мм2</t>
  </si>
  <si>
    <t xml:space="preserve">                                   Шинопроводы закрытые магистральные переменного тока</t>
  </si>
  <si>
    <t>ТЕРм08-02-416-01</t>
  </si>
  <si>
    <t>Шинопровод закрытый магистральный переменного тока на ток до 1600 А, на стойках</t>
  </si>
  <si>
    <t>ТЕРм08-02-416-02</t>
  </si>
  <si>
    <t>Шинопровод закрытый магистральный переменного тока на ток до 1600 А, на конструкциях по стенам и колоннам</t>
  </si>
  <si>
    <t>ТЕРм08-02-416-03</t>
  </si>
  <si>
    <t>Шинопровод закрытый магистральный переменного тока на ток до 1600 А, на конструкциях по фермам</t>
  </si>
  <si>
    <t>ТЕРм08-02-416-04</t>
  </si>
  <si>
    <t>Шинопровод закрытый магистральный переменного тока на ток до 2500 А, на стойках</t>
  </si>
  <si>
    <t>ТЕРм08-02-416-05</t>
  </si>
  <si>
    <t>Шинопровод закрытый магистральный переменного тока на ток до 2500 А, на конструкциях по стенам и колоннам</t>
  </si>
  <si>
    <t>ТЕРм08-02-416-06</t>
  </si>
  <si>
    <t>Шинопровод закрытый магистральный переменного тока на ток до 2500 А, на конструкциях по фермам</t>
  </si>
  <si>
    <t>ТЕРм08-02-416-07</t>
  </si>
  <si>
    <t>Шинопровод закрытый магистральный переменного тока на ток до 4000 А, на стойках</t>
  </si>
  <si>
    <t>ТЕРм08-02-416-08</t>
  </si>
  <si>
    <t>Шинопровод закрытый магистральный переменного тока на ток до 4000 А, на конструкциях по стенам и колоннам</t>
  </si>
  <si>
    <t>ТЕРм08-02-416-09</t>
  </si>
  <si>
    <t>Шинопровод закрытый магистральный переменного тока на ток до 4000 А, на конструкциях по фермам</t>
  </si>
  <si>
    <t xml:space="preserve">                                   Шинопроводы закрытые распределительные переменного тока</t>
  </si>
  <si>
    <t>ТЕРм08-02-417-01</t>
  </si>
  <si>
    <t>Шинопровод закрытый распредилительный переменного тока на ток до 630 А на стойках</t>
  </si>
  <si>
    <t>ТЕРм08-02-417-02</t>
  </si>
  <si>
    <t>Шинопровод закрытый распредилительный переменного тока на ток до 630 А на конструкциях по стенам</t>
  </si>
  <si>
    <t>ТЕРм08-02-417-03</t>
  </si>
  <si>
    <t>Шинопровод закрытый распредилительный переменного тока на ток до 630 А на конструкциях по колоннам</t>
  </si>
  <si>
    <t xml:space="preserve">                                   Шинопроводы закрытые постоянного тока</t>
  </si>
  <si>
    <t>ТЕРм08-02-418-01</t>
  </si>
  <si>
    <t>Шинопровод на конструкциях на напряжение до 1000 В на ток до 2500 А</t>
  </si>
  <si>
    <t>ТЕРм08-02-418-02</t>
  </si>
  <si>
    <t>Шинопровод на конструкциях на напряжение до 1000 В на ток до 4000 А</t>
  </si>
  <si>
    <t>ТЕРм08-02-418-03</t>
  </si>
  <si>
    <t>Шинопровод на конструкциях на напряжение до 1000 В на ток до 6300 А</t>
  </si>
  <si>
    <t xml:space="preserve">                                   Шинопроводы осветительные</t>
  </si>
  <si>
    <t>ТЕРм08-02-419-01</t>
  </si>
  <si>
    <t>Шинопровод осветительный на установленных конструкциях</t>
  </si>
  <si>
    <t xml:space="preserve">                                   Коробки ответвительные к распределительному шинопроводу</t>
  </si>
  <si>
    <t>ТЕРм08-02-420-01</t>
  </si>
  <si>
    <t>Коробка ответвительная с предохранителем или разъединителем, или автоматом, или указателем напряжения</t>
  </si>
  <si>
    <t xml:space="preserve">                                   Проводки модульные</t>
  </si>
  <si>
    <t>ТЕРм08-02-421-01</t>
  </si>
  <si>
    <t>Проводка модульная стальными трубами, прокладываемыми в полу под заливку бетоном, расстояние между ответвительными коробками до 2 м</t>
  </si>
  <si>
    <t>ТЕРм08-02-421-02</t>
  </si>
  <si>
    <t>Проводка модульная стальными трубами, прокладываемыми в полу под заливку бетоном, расстояние между ответвительными коробками свыше 2 м</t>
  </si>
  <si>
    <t xml:space="preserve">                                   Затягивание проводов в электротехнический плинтус</t>
  </si>
  <si>
    <t>ТЕРм08-02-422-01</t>
  </si>
  <si>
    <t>Провод один сечением до 2х2,5 мм2</t>
  </si>
  <si>
    <t>ТЕРм08-02-422-02</t>
  </si>
  <si>
    <t>Провод один сечением до 3х4 мм2</t>
  </si>
  <si>
    <t>ТЕРм08-02-422-03</t>
  </si>
  <si>
    <t>Провод два сечением до 2,5 мм2</t>
  </si>
  <si>
    <t>ТЕРм08-02-422-04</t>
  </si>
  <si>
    <t>Провод три сечением до 4 мм2</t>
  </si>
  <si>
    <t xml:space="preserve">                                   Раздел 7. ШИНЫ ТЯЖЕЛЫЕ</t>
  </si>
  <si>
    <t xml:space="preserve">                                   Шины для мощных алюминиевых электролизных ванн</t>
  </si>
  <si>
    <t>ТЕРм08-02-452-01</t>
  </si>
  <si>
    <t>Катодная ошиновка электролизера на 175 кА с применением электродуговой сварки, изготовление и монтаж</t>
  </si>
  <si>
    <t>ТЕРм08-02-452-02</t>
  </si>
  <si>
    <t>Катодная ошиновка электролизера на 175 кА с применением электродуговой сварки, монтаж без заготовки</t>
  </si>
  <si>
    <t>ТЕРм08-02-452-03</t>
  </si>
  <si>
    <t>Катодная ошиновка электролизера на 175 кА с применением аргонодуговой сварки, изготовление и монтаж</t>
  </si>
  <si>
    <t>ТЕРм08-02-452-04</t>
  </si>
  <si>
    <t>Катодная ошиновка электролизера на 175 кА с применением аргонодуговой сварки, монтаж без заготовки</t>
  </si>
  <si>
    <t>ТЕРм08-02-452-05</t>
  </si>
  <si>
    <t>Катодная ошиновка электролизеров на 255 кА, включая пакеты, стояки и гибкую часть стояков, с применением аргонодуговой сварки изготовление и монтаж</t>
  </si>
  <si>
    <t>ТЕРм08-02-452-06</t>
  </si>
  <si>
    <t>Катодная ошиновка электролизеров на 255 кА, включая пакеты, стояки и гибкую часть стояков, с применением аргонодуговой сварки монтаж без заготовки</t>
  </si>
  <si>
    <t>ТЕРм08-02-452-07</t>
  </si>
  <si>
    <t>Монтаж без заготовки анодных шин с гибкими пакетами для алюминиевых электролизеров на 175-255 кА</t>
  </si>
  <si>
    <t xml:space="preserve">                                   Раздел 8. СЕТИ ЗАЗЕМЛЕНИЯ ЭЛЕКТРОТЕХНИЧЕСКИХ УСТАНОВОК</t>
  </si>
  <si>
    <t>ТЕРм08-02-471-01</t>
  </si>
  <si>
    <t>Заземлитель вертикальный из угловой стали размером 50х50х5 мм</t>
  </si>
  <si>
    <t>ТЕРм08-02-471-02</t>
  </si>
  <si>
    <t>Заземлитель вертикальный из угловой стали размером 63х63х6 мм</t>
  </si>
  <si>
    <t>ТЕРм08-02-471-03</t>
  </si>
  <si>
    <t>Заземлитель вертикальный из круглой стали диаметром 12 мм</t>
  </si>
  <si>
    <t>ТЕРм08-02-471-04</t>
  </si>
  <si>
    <t>Заземлитель вертикальный из круглой стали диаметром 16 мм</t>
  </si>
  <si>
    <t xml:space="preserve">                                   Заземляющие проводники</t>
  </si>
  <si>
    <t>ТЕРм08-02-472-01</t>
  </si>
  <si>
    <t>Заземлитель горизонтальный из стали круглой диаметром 12 мм</t>
  </si>
  <si>
    <t>ТЕРм08-02-472-02</t>
  </si>
  <si>
    <t>Заземлитель горизонтальный из стали полосовой сечением 160 мм2</t>
  </si>
  <si>
    <t>ТЕРм08-02-472-03</t>
  </si>
  <si>
    <t>Проводник заземляющий скрыто в подливке пола из стали полосовой сечением 100 мм2</t>
  </si>
  <si>
    <t>ТЕРм08-02-472-04</t>
  </si>
  <si>
    <t>Проводник заземляющий скрыто в подливке пола из стали круглой диаметром 8 мм</t>
  </si>
  <si>
    <t>ТЕРм08-02-472-05</t>
  </si>
  <si>
    <t>Проводник заземляющий скрыто в подливке пола из стали круглой диаметром 12 мм</t>
  </si>
  <si>
    <t>ТЕРм08-02-472-06</t>
  </si>
  <si>
    <t>Проводник заземляющий открыто по строительным основаниям из полосовой стали сечением 100 мм2</t>
  </si>
  <si>
    <t>ТЕРм08-02-472-07</t>
  </si>
  <si>
    <t>Проводник заземляющий открыто по строительным основаниям из полосовой стали сечением 160 мм2</t>
  </si>
  <si>
    <t>ТЕРм08-02-472-08</t>
  </si>
  <si>
    <t>Проводник заземляющий открыто по строительным основаниям из круглой стали диаметром 8 мм</t>
  </si>
  <si>
    <t>ТЕРм08-02-472-09</t>
  </si>
  <si>
    <t>Проводник заземляющий открыто по строительным основаниям из круглой стали диаметром 12 мм</t>
  </si>
  <si>
    <t>ТЕРм08-02-472-10</t>
  </si>
  <si>
    <t>Проводник заземляющий из медного изолированного провода сечением 25 мм2 открыто по строительным основаниям</t>
  </si>
  <si>
    <t>ТЕРм08-02-472-11</t>
  </si>
  <si>
    <t>Перемычка заземляющая тросовая диаметром до 9,2 мм для строительных металлических конструкций</t>
  </si>
  <si>
    <t xml:space="preserve">                           Раздел 3. ОТДЕЛ 03. ЭЛЕКТРОСИЛОВЫЕ И ЭЛЕКТРООСВЕТИТЕЛЬНЫЕ УСТАНОВКИ</t>
  </si>
  <si>
    <t xml:space="preserve">                                   Раздел 1. ЭЛЕКТРИЧЕСКИЕ МАШИНЫ</t>
  </si>
  <si>
    <t xml:space="preserve">                                   Электрические машины со щитовыми подшипниками, поступающие в собранном виде</t>
  </si>
  <si>
    <t>ТЕРм08-03-481-01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</si>
  <si>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0,05 т</t>
  </si>
  <si>
    <t>ТЕРм08-03-481-02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</si>
  <si>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0,1 т</t>
  </si>
  <si>
    <t>ТЕРм08-03-481-03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</si>
  <si>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0,15 т</t>
  </si>
  <si>
    <t>ТЕРм08-03-481-04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</si>
  <si>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0,25 т</t>
  </si>
  <si>
    <t>ТЕРм08-03-481-05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</si>
  <si>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0,5 т</t>
  </si>
  <si>
    <t>ТЕРм08-03-481-06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</si>
  <si>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0,8 т</t>
  </si>
  <si>
    <t>ТЕРм08-03-481-07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</si>
  <si>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1,2 т</t>
  </si>
  <si>
    <t>ТЕРм08-03-481-08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</si>
  <si>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2 т</t>
  </si>
  <si>
    <t>ТЕРм08-03-481-09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</si>
  <si>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3 т</t>
  </si>
  <si>
    <t>ТЕРм08-03-481-10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</si>
  <si>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5 т</t>
  </si>
  <si>
    <t>ТЕРм08-03-481-11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</si>
  <si>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7 т</t>
  </si>
  <si>
    <t>ТЕРм08-03-481-12</t>
  </si>
  <si>
    <t>Установка электрической машины со щитовыми подшипниками, поступающей в собранном виде, на салазках, раме или металлической плите, масса до 10 т</t>
  </si>
  <si>
    <t>ТЕРм08-03-481-13</t>
  </si>
  <si>
    <t>Установка электрической машины со щитовыми подшипниками, поступающей в собранном виде, устанавливаемая на кронштейнах, масса до 0,05 т</t>
  </si>
  <si>
    <t>ТЕРм08-03-481-14</t>
  </si>
  <si>
    <t>Установка электрической машины со щитовыми подшипниками, поступающей в собранном виде, устанавливаемая на кронштейнах, масса до 0,1 т</t>
  </si>
  <si>
    <t>ТЕРм08-03-481-15</t>
  </si>
  <si>
    <t>Установка электрической машины со щитовыми подшипниками, поступающей в собранном виде, устанавливаемая на кронштейнах, масса до 0,15 т</t>
  </si>
  <si>
    <t>ТЕРм08-03-481-16</t>
  </si>
  <si>
    <t>Установка электрической машины со щитовыми подшипниками, поступающей в собранном виде, устанавливаемая на кронштейнах, масса до 0,25 т</t>
  </si>
  <si>
    <t>ТЕРм08-03-481-17</t>
  </si>
  <si>
    <t>Установка электрической машины со щитовыми подшипниками, поступающей в собранном виде, устанавливаемая на кронштейнах, масса до 0,5 т</t>
  </si>
  <si>
    <t>ТЕРм08-03-481-18</t>
  </si>
  <si>
    <t>Установка электрической машины со щитовыми подшипниками, поступающей в собранном виде, устанавливаемая на кронштейнах, масса до 0,8 т</t>
  </si>
  <si>
    <t>ТЕРм08-03-481-19</t>
  </si>
  <si>
    <t>Установка электрической машины со щитовыми подшипниками, поступающей в собранном виде, устанавливаемая на кронштейнах, масса до 1,2 т</t>
  </si>
  <si>
    <t>ТЕРм08-03-481-20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</si>
  <si>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0,15 т</t>
  </si>
  <si>
    <t>ТЕРм08-03-481-21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</si>
  <si>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0,25 т</t>
  </si>
  <si>
    <t>ТЕРм08-03-481-22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</si>
  <si>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0,5 т</t>
  </si>
  <si>
    <t>ТЕРм08-03-481-23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</si>
  <si>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0,8 т</t>
  </si>
  <si>
    <t>ТЕРм08-03-481-24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</si>
  <si>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1,2 т</t>
  </si>
  <si>
    <t>ТЕРм08-03-481-25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</si>
  <si>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3 т</t>
  </si>
  <si>
    <t>ТЕРм08-03-481-26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</si>
  <si>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5 т</t>
  </si>
  <si>
    <t>ТЕРм08-03-481-27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</si>
  <si>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7 т</t>
  </si>
  <si>
    <t>ТЕРм08-03-481-28</t>
  </si>
  <si>
    <t>Подготовка электрической машины переменного тока с короткозамкнутым ротором, со щитовыми подшипниками, поступающей в собранном виде, к испытанию, сдаче под наладку и пуску, присоединение к электрической сети, масса до 10 т</t>
  </si>
  <si>
    <t>ТЕРм08-03-481-29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</si>
  <si>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0,1 т</t>
  </si>
  <si>
    <t>ТЕРм08-03-481-30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</si>
  <si>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0,15 т</t>
  </si>
  <si>
    <t>ТЕРм08-03-481-31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</si>
  <si>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0,5 т</t>
  </si>
  <si>
    <t>ТЕРм08-03-481-32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</si>
  <si>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0,8 т</t>
  </si>
  <si>
    <t>ТЕРм08-03-481-33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</si>
  <si>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1,2 т</t>
  </si>
  <si>
    <t>ТЕРм08-03-481-34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</si>
  <si>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3 т</t>
  </si>
  <si>
    <t>ТЕРм08-03-481-35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</si>
  <si>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5 т</t>
  </si>
  <si>
    <t>ТЕРм08-03-481-36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</si>
  <si>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7 т</t>
  </si>
  <si>
    <t>ТЕРм08-03-481-37</t>
  </si>
  <si>
    <t>Подготовка электрической машины переменного тока с фазным ротором или возбудителем на валу или машины постоянного тока, со щитовыми подшипниками, поступающей в собранном виде, к испытанию, сдаче под наладку и пуску, присоединение к электрической сети, масса до 10 т</t>
  </si>
  <si>
    <t xml:space="preserve">                                   Электрические машины фланцевые с горизонтальным или вертикальным валом, поступающие в собранном виде</t>
  </si>
  <si>
    <t>ТЕРм08-03-482-01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</si>
  <si>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0,05 т</t>
  </si>
  <si>
    <t>ТЕРм08-03-482-02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</si>
  <si>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0,1 т</t>
  </si>
  <si>
    <t>ТЕРм08-03-482-03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</si>
  <si>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0,15 т</t>
  </si>
  <si>
    <t>ТЕРм08-03-482-04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</si>
  <si>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0,25 т</t>
  </si>
  <si>
    <t>ТЕРм08-03-482-05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</si>
  <si>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0,35 т</t>
  </si>
  <si>
    <t>ТЕРм08-03-482-06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</si>
  <si>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0,5 т</t>
  </si>
  <si>
    <t>ТЕРм08-03-482-07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</si>
  <si>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0,8 т</t>
  </si>
  <si>
    <t>ТЕРм08-03-482-08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</si>
  <si>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1,2 т</t>
  </si>
  <si>
    <t>ТЕРм08-03-482-09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</si>
  <si>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2 т</t>
  </si>
  <si>
    <t>ТЕРм08-03-482-10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</si>
  <si>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3 т</t>
  </si>
  <si>
    <t>ТЕРм08-03-482-11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</si>
  <si>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5 т</t>
  </si>
  <si>
    <t>ТЕРм08-03-482-12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</si>
  <si>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7 т</t>
  </si>
  <si>
    <t>ТЕРм08-03-482-13</t>
  </si>
  <si>
    <t>Установка электрической машины переменного или постоянного тока, фланцевой с горизонтальным или вертикальным валом, поступающей в собранном виде, масса до 10 т</t>
  </si>
  <si>
    <t>ТЕРм08-03-482-14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</si>
  <si>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0,25 т</t>
  </si>
  <si>
    <t>ТЕРм08-03-482-15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</si>
  <si>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0,35 т</t>
  </si>
  <si>
    <t>ТЕРм08-03-482-16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</si>
  <si>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0,8 т</t>
  </si>
  <si>
    <t>ТЕРм08-03-482-17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</si>
  <si>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1,2 т</t>
  </si>
  <si>
    <t>ТЕРм08-03-482-18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</si>
  <si>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2 т</t>
  </si>
  <si>
    <t>ТЕРм08-03-482-19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</si>
  <si>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3 т</t>
  </si>
  <si>
    <t>ТЕРм08-03-482-20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</si>
  <si>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5 т</t>
  </si>
  <si>
    <t>ТЕРм08-03-482-21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</si>
  <si>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7 т</t>
  </si>
  <si>
    <t>ТЕРм08-03-482-22</t>
  </si>
  <si>
    <t>Подготовка электрической машины переменного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10 т</t>
  </si>
  <si>
    <t>ТЕРм08-03-482-23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</si>
  <si>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0,15 т</t>
  </si>
  <si>
    <t>ТЕРм08-03-482-24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</si>
  <si>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0,25 т</t>
  </si>
  <si>
    <t>ТЕРм08-03-482-25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</si>
  <si>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0,35 т</t>
  </si>
  <si>
    <t>ТЕРм08-03-482-26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</si>
  <si>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0,5 т</t>
  </si>
  <si>
    <t>ТЕРм08-03-482-27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</si>
  <si>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0,8 т</t>
  </si>
  <si>
    <t>ТЕРм08-03-482-28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</si>
  <si>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1,2 т</t>
  </si>
  <si>
    <t>ТЕРм08-03-482-29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</si>
  <si>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2 т</t>
  </si>
  <si>
    <t>ТЕРм08-03-482-30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</si>
  <si>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3 т</t>
  </si>
  <si>
    <t>ТЕРм08-03-482-31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</si>
  <si>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5 т</t>
  </si>
  <si>
    <t>ТЕРм08-03-482-32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</si>
  <si>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7 т</t>
  </si>
  <si>
    <t>ТЕРм08-03-482-33</t>
  </si>
  <si>
    <t>Подготовка электрической машины постоянного тока, фланцевой с горизонтальным или вертикальным валом, поступающей в собранном виде, к испытанию, сдаче под наладку и пуску, присоединение к электрической сети, масса до 10 т</t>
  </si>
  <si>
    <t xml:space="preserve">                                   Электрические машины со стояковыми подшипниками, с горизонтальным валом, поступающие в собранном виде</t>
  </si>
  <si>
    <t>ТЕРм08-03-483-01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</si>
  <si>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1,2 т</t>
  </si>
  <si>
    <t>ТЕРм08-03-483-02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</si>
  <si>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3 т</t>
  </si>
  <si>
    <t>ТЕРм08-03-483-03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</si>
  <si>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5 т</t>
  </si>
  <si>
    <t>ТЕРм08-03-483-04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</si>
  <si>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7 т</t>
  </si>
  <si>
    <t>ТЕРм08-03-483-05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</si>
  <si>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10 т</t>
  </si>
  <si>
    <t>ТЕРм08-03-483-06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</si>
  <si>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15 т</t>
  </si>
  <si>
    <t>ТЕРм08-03-483-07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</si>
  <si>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20 т</t>
  </si>
  <si>
    <t>ТЕРм08-03-483-08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</si>
  <si>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25 т</t>
  </si>
  <si>
    <t>ТЕРм08-03-483-09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</si>
  <si>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30 т</t>
  </si>
  <si>
    <t>ТЕРм08-03-483-10</t>
  </si>
  <si>
    <t>Установка электрической машины переменного или постоянного тока, со стояковыми подшипниками, с горизонтальным валом, поступающей в собранном виде, масса до 40 т</t>
  </si>
  <si>
    <t>ТЕРм08-03-483-11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</si>
  <si>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5 т</t>
  </si>
  <si>
    <t>ТЕРм08-03-483-12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</si>
  <si>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10 т</t>
  </si>
  <si>
    <t>ТЕРм08-03-483-13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</si>
  <si>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20 т</t>
  </si>
  <si>
    <t>ТЕРм08-03-483-14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</si>
  <si>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40 т</t>
  </si>
  <si>
    <t>ТЕРм08-03-483-15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</si>
  <si>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1,2 т</t>
  </si>
  <si>
    <t>ТЕРм08-03-483-16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</si>
  <si>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5 т</t>
  </si>
  <si>
    <t>ТЕРм08-03-483-17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</si>
  <si>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10 т</t>
  </si>
  <si>
    <t>ТЕРм08-03-483-18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</si>
  <si>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20 т</t>
  </si>
  <si>
    <t>ТЕРм08-03-483-19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</si>
  <si>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30 т</t>
  </si>
  <si>
    <t>ТЕРм08-03-483-20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</si>
  <si>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собранном виде, к испытанию, сдаче под наладку и пуску, присоединение к электрической сети, масса до 40 т</t>
  </si>
  <si>
    <t xml:space="preserve">                                   Электрические машины со стояковыми подшипниками, с горизонтальным валом, поступающие в разобранном виде</t>
  </si>
  <si>
    <t>ТЕРм08-03-484-01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</si>
  <si>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5 т</t>
  </si>
  <si>
    <t>ТЕРм08-03-484-02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</si>
  <si>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10 т</t>
  </si>
  <si>
    <t>ТЕРм08-03-484-03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</si>
  <si>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20 т</t>
  </si>
  <si>
    <t>ТЕРм08-03-484-04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</si>
  <si>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30 т</t>
  </si>
  <si>
    <t>ТЕРм08-03-484-05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</si>
  <si>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45 т</t>
  </si>
  <si>
    <t>ТЕРм08-03-484-06</t>
  </si>
  <si>
    <t>Установка электрической машины переменного тока с короткозамкнутым или фазным ротором, со стояковыми подшипниками, с горизонтальным валом, поступающей в разобранном виде, масса до 55 т</t>
  </si>
  <si>
    <t>ТЕРм08-03-484-07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</si>
  <si>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5 т</t>
  </si>
  <si>
    <t>ТЕРм08-03-484-08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</si>
  <si>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10 т</t>
  </si>
  <si>
    <t>ТЕРм08-03-484-09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</si>
  <si>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15 т</t>
  </si>
  <si>
    <t>ТЕРм08-03-484-10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</si>
  <si>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20 т</t>
  </si>
  <si>
    <t>ТЕРм08-03-484-11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</si>
  <si>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25 т</t>
  </si>
  <si>
    <t>ТЕРм08-03-484-12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</si>
  <si>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35 т</t>
  </si>
  <si>
    <t>ТЕРм08-03-484-13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</si>
  <si>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45 т</t>
  </si>
  <si>
    <t>ТЕРм08-03-484-14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</si>
  <si>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55 т</t>
  </si>
  <si>
    <t>ТЕРм08-03-484-15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</si>
  <si>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85 т</t>
  </si>
  <si>
    <t>ТЕРм08-03-484-16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</si>
  <si>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100 т</t>
  </si>
  <si>
    <t>ТЕРм08-03-484-17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</si>
  <si>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120 т</t>
  </si>
  <si>
    <t>ТЕРм08-03-484-18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</si>
  <si>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140 т</t>
  </si>
  <si>
    <t>ТЕРм08-03-484-19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</si>
  <si>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170 т</t>
  </si>
  <si>
    <t>ТЕРм08-03-484-20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</si>
  <si>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200 т</t>
  </si>
  <si>
    <t>ТЕРм08-03-484-21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</si>
  <si>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250 т</t>
  </si>
  <si>
    <t>ТЕРм08-03-484-22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</si>
  <si>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300 т</t>
  </si>
  <si>
    <t>ТЕРм08-03-484-23</t>
  </si>
  <si>
    <t>Установка электрической машины переменного тока с возбудителем на валу или постоянного тока, со стояковыми подшипниками, с горизонтальным валом, поступающей в разобранном виде, масса до 350 т</t>
  </si>
  <si>
    <t>ТЕРм08-03-484-24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</si>
  <si>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5 т</t>
  </si>
  <si>
    <t>ТЕРм08-03-484-25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</si>
  <si>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10 т</t>
  </si>
  <si>
    <t>ТЕРм08-03-484-26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</si>
  <si>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20 т</t>
  </si>
  <si>
    <t>ТЕРм08-03-484-27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</si>
  <si>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30 т</t>
  </si>
  <si>
    <t>ТЕРм08-03-484-28</t>
  </si>
  <si>
    <t>Подготовка электрической машины переменного тока с короткозамкнутым ротором,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55 т</t>
  </si>
  <si>
    <t>ТЕРм08-03-484-29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</si>
  <si>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5 т</t>
  </si>
  <si>
    <t>ТЕРм08-03-484-30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</si>
  <si>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10 т</t>
  </si>
  <si>
    <t>ТЕРм08-03-484-31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</si>
  <si>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20 т</t>
  </si>
  <si>
    <t>ТЕРм08-03-484-32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</si>
  <si>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25 т</t>
  </si>
  <si>
    <t>ТЕРм08-03-484-33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</si>
  <si>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45 т</t>
  </si>
  <si>
    <t>ТЕРм08-03-484-34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</si>
  <si>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70 т</t>
  </si>
  <si>
    <t>ТЕРм08-03-484-35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</si>
  <si>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100 т</t>
  </si>
  <si>
    <t>ТЕРм08-03-484-36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</si>
  <si>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170 т</t>
  </si>
  <si>
    <t>ТЕРм08-03-484-37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</si>
  <si>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200 т</t>
  </si>
  <si>
    <t>ТЕРм08-03-484-38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</si>
  <si>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250 т</t>
  </si>
  <si>
    <t>ТЕРм08-03-484-39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</si>
  <si>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300 т</t>
  </si>
  <si>
    <t>ТЕРм08-03-484-40</t>
  </si>
  <si>
    <t>Подготовка электрической машины переменного тока с фазным ротором или возбудителем на валу или машины постоянного тока, со стояковыми подшипниками, с горизонтальным валом, поступающей в разобранном виде, к испытанию, сдаче под наладку и пуску, присоединение к электрической сети, масса до 350 т</t>
  </si>
  <si>
    <t xml:space="preserve">                                   Электрические машины с вертикальным валом, поступающие в разобранном виде</t>
  </si>
  <si>
    <t>ТЕРм08-03-485-01</t>
  </si>
  <si>
    <t>Установка электрической машины переменного тока с короткозамкнутым ротором, с вертикальным валом, поступающей в разобранном виде, масса до 5 т</t>
  </si>
  <si>
    <t>ТЕРм08-03-485-02</t>
  </si>
  <si>
    <t>Установка электрической машины переменного тока с короткозамкнутым ротором, с вертикальным валом, поступающей в разобранном виде, масса до 10 т</t>
  </si>
  <si>
    <t>ТЕРм08-03-485-03</t>
  </si>
  <si>
    <t>Установка электрической машины переменного тока с короткозамкнутым ротором, с вертикальным валом, поступающей в разобранном виде, масса до 20 т</t>
  </si>
  <si>
    <t>ТЕРм08-03-485-04</t>
  </si>
  <si>
    <t>Установка электрической машины переменного тока с короткозамкнутым ротором, с вертикальным валом, поступающей в разобранном виде, масса до 30 т</t>
  </si>
  <si>
    <t>ТЕРм08-03-485-05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</si>
  <si>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5 т</t>
  </si>
  <si>
    <t>ТЕРм08-03-485-06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</si>
  <si>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10 т</t>
  </si>
  <si>
    <t>ТЕРм08-03-485-07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</si>
  <si>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15 т</t>
  </si>
  <si>
    <t>ТЕРм08-03-485-08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</si>
  <si>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30 т</t>
  </si>
  <si>
    <t>ТЕРм08-03-485-09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</si>
  <si>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85 т</t>
  </si>
  <si>
    <t>ТЕРм08-03-485-10</t>
  </si>
  <si>
    <t>Установка электрической машины переменного тока с возбудителем на валу или постоянного тока, с вертикальным валом, поступающей в разобранном виде, масса до 100 т</t>
  </si>
  <si>
    <t>ТЕРм08-03-485-11</t>
  </si>
  <si>
    <t>Подготовка электрической машины переменного тока с короткозамкнутым ротором, с вертикальным валом, поступающей в разобранном виде, к испытанию, сдаче под наладку и пуску, присоединение к электрической сети, масса до 5 т</t>
  </si>
  <si>
    <t>ТЕРм08-03-485-12</t>
  </si>
  <si>
    <t>Подготовка электрической машины переменного тока с короткозамкнутым ротором, с вертикальным валом, поступающей в разобранном виде, к испытанию, сдаче под наладку и пуску, присоединение к электрической сети, масса до 10 т</t>
  </si>
  <si>
    <t>ТЕРм08-03-485-13</t>
  </si>
  <si>
    <t>Подготовка электрической машины переменного тока с короткозамкнутым ротором, с вертикальным валом, поступающей в разобранном виде, к испытанию, сдаче под наладку и пуску, присоединение к электрической сети, масса до 15 т</t>
  </si>
  <si>
    <t>ТЕРм08-03-485-14</t>
  </si>
  <si>
    <t>Подготовка электрической машины переменного тока с короткозамкнутым ротором, с вертикальным валом, поступающей в разобранном виде, к испытанию, сдаче под наладку и пуску, присоединение к электрической сети, масса до 30 т</t>
  </si>
  <si>
    <t>ТЕРм08-03-485-15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</si>
  <si>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5 т</t>
  </si>
  <si>
    <t>ТЕРм08-03-485-16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</si>
  <si>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10 т</t>
  </si>
  <si>
    <t>ТЕРм08-03-485-17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</si>
  <si>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15 т</t>
  </si>
  <si>
    <t>ТЕРм08-03-485-18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</si>
  <si>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30 т</t>
  </si>
  <si>
    <t>ТЕРм08-03-485-19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</si>
  <si>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40 т</t>
  </si>
  <si>
    <t>ТЕРм08-03-485-20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</si>
  <si>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85 т</t>
  </si>
  <si>
    <t>ТЕРм08-03-485-21</t>
  </si>
  <si>
    <t>Подготовка электрической машины переменного тока с возбудителем на валу или постоянного тока, с вертикальным валом, поступающей в разобранном виде, к испытанию, сдаче под наладку и пуску, присоединение к электрической сети, масса до 100 т</t>
  </si>
  <si>
    <t xml:space="preserve">                                   Электрические машины двухъякорные, поступающие в разобранном виде</t>
  </si>
  <si>
    <t>ТЕРм08-03-486-01</t>
  </si>
  <si>
    <t>Установка двухъякорной электрической машины постоянного тока, поступающей в разобранном виде, масса до 15 т</t>
  </si>
  <si>
    <t>ТЕРм08-03-486-02</t>
  </si>
  <si>
    <t>Установка двухъякорной электрической машины постоянного тока, поступающей в разобранном виде, масса до 30 т</t>
  </si>
  <si>
    <t>ТЕРм08-03-486-03</t>
  </si>
  <si>
    <t>Установка двухъякорной электрической машины постоянного тока, поступающей в разобранном виде, масса до 50 т</t>
  </si>
  <si>
    <t>ТЕРм08-03-486-04</t>
  </si>
  <si>
    <t>Установка двухъякорной электрической машины постоянного тока, поступающей в разобранном виде, масса до 75 т</t>
  </si>
  <si>
    <t>ТЕРм08-03-486-05</t>
  </si>
  <si>
    <t>Установка двухъякорной электрической машины постоянного тока, поступающей в разобранном виде, масса до 100 т</t>
  </si>
  <si>
    <t>ТЕРм08-03-486-06</t>
  </si>
  <si>
    <t>Установка двухъякорной электрической машины постоянного тока, поступающей в разобранном виде, масса до 160 т</t>
  </si>
  <si>
    <t>ТЕРм08-03-486-07</t>
  </si>
  <si>
    <t>Установка двухъякорной электрической машины постоянного тока, поступающей в разобранном виде, масса до 200 т</t>
  </si>
  <si>
    <t>ТЕРм08-03-486-08</t>
  </si>
  <si>
    <t>Установка двухъякорной электрической машины постоянного тока, поступающей в разобранном виде, масса до 250 т</t>
  </si>
  <si>
    <t>ТЕРм08-03-486-09</t>
  </si>
  <si>
    <t>Установка двухъякорной электрической машины постоянного тока, поступающей в разобранном виде, масса до 300 т</t>
  </si>
  <si>
    <t>ТЕРм08-03-486-10</t>
  </si>
  <si>
    <t>Установка двухъякорной электрической машины постоянного тока, поступающей в разобранном виде, масса до 400 т</t>
  </si>
  <si>
    <t>ТЕРм08-03-486-11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</si>
  <si>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30 т</t>
  </si>
  <si>
    <t>ТЕРм08-03-486-12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</si>
  <si>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50 т</t>
  </si>
  <si>
    <t>ТЕРм08-03-486-13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</si>
  <si>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160 т</t>
  </si>
  <si>
    <t>ТЕРм08-03-486-14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</si>
  <si>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200 т</t>
  </si>
  <si>
    <t>ТЕРм08-03-486-15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</si>
  <si>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250 т</t>
  </si>
  <si>
    <t>ТЕРм08-03-486-16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</si>
  <si>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300 т</t>
  </si>
  <si>
    <t>ТЕРм08-03-486-17</t>
  </si>
  <si>
    <t>Подготовка двухъякорной электрической машины постоянного тока, поступающей в разобранном виде, к испытанию, сдаче под наладку и пуску, присоединение к электрической сети, масса до 400 т</t>
  </si>
  <si>
    <t xml:space="preserve">                                   Электрическая часть генераторов для паровых турбин</t>
  </si>
  <si>
    <t>ТЕРм08-03-487-01</t>
  </si>
  <si>
    <t>Монтаж и испытание генератора для паровых турбин мощностью до 30 мВт</t>
  </si>
  <si>
    <t>ТЕРм08-03-487-02</t>
  </si>
  <si>
    <t>Монтаж и испытание генератора для паровых турбин мощностью до 100 мВт</t>
  </si>
  <si>
    <t>ТЕРм08-03-487-03</t>
  </si>
  <si>
    <t>Монтаж и испытание генератора для паровых турбин мощностью до 200 мВт</t>
  </si>
  <si>
    <t>ТЕРм08-03-487-04</t>
  </si>
  <si>
    <t>Монтаж и испытание генератора для паровых турбин мощностью до 300 мВт</t>
  </si>
  <si>
    <t>ТЕРм08-03-487-05</t>
  </si>
  <si>
    <t>Монтаж и испытание генератора для паровых турбин мощностью до 1000 мВт</t>
  </si>
  <si>
    <t xml:space="preserve">                                   Синхронные компенсаторы</t>
  </si>
  <si>
    <t>ТЕРм08-03-488-01</t>
  </si>
  <si>
    <t>Монтаж синхронного компенсатора мощностью до 16 мВ·А</t>
  </si>
  <si>
    <t>ТЕРм08-03-488-02</t>
  </si>
  <si>
    <t>Монтаж синхронного компенсатора мощностью до 50 мВ·А</t>
  </si>
  <si>
    <t>ТЕРм08-03-488-03</t>
  </si>
  <si>
    <t>Монтаж синхронного компенсатора мощностью до 100 мВ·А</t>
  </si>
  <si>
    <t xml:space="preserve">                                   Агрегаты, поступающие в собранном виде</t>
  </si>
  <si>
    <t>ТЕРм08-03-489-01</t>
  </si>
  <si>
    <t>Установка агрегата двухмашинного, поступающего в собранном виде, масса до 0,1 т</t>
  </si>
  <si>
    <t>ТЕРм08-03-489-02</t>
  </si>
  <si>
    <t>Установка агрегата двухмашинного, поступающего в собранном виде, масса до 0,2 т</t>
  </si>
  <si>
    <t>ТЕРм08-03-489-03</t>
  </si>
  <si>
    <t>Установка агрегата двухмашинного, поступающего в собранном виде, масса до 0,5 т</t>
  </si>
  <si>
    <t>ТЕРм08-03-489-04</t>
  </si>
  <si>
    <t>Установка агрегата двухмашинного, поступающего в собранном виде, масса до 1 т</t>
  </si>
  <si>
    <t>ТЕРм08-03-489-05</t>
  </si>
  <si>
    <t>Установка агрегата двухмашинного, поступающего в собранном виде, масса до 2 т</t>
  </si>
  <si>
    <t>ТЕРм08-03-489-06</t>
  </si>
  <si>
    <t>Установка агрегата двухмашинного, поступающего в собранном виде, масса до 3 т</t>
  </si>
  <si>
    <t>ТЕРм08-03-489-07</t>
  </si>
  <si>
    <t>Установка агрегата двухмашинного, поступающего в собранном виде, масса до 6 т</t>
  </si>
  <si>
    <t>ТЕРм08-03-489-08</t>
  </si>
  <si>
    <t>Установка агрегата двухмашинного, поступающего в собранном виде, масса до 7 т</t>
  </si>
  <si>
    <t>ТЕРм08-03-489-09</t>
  </si>
  <si>
    <t>Установка агрегата двухмашинного, поступающего в собранном виде, масса до 10 т</t>
  </si>
  <si>
    <t>ТЕРм08-03-489-10</t>
  </si>
  <si>
    <t>Установка агрегата двухмашинного, поступающего в собранном виде, масса до 15 т</t>
  </si>
  <si>
    <t>ТЕРм08-03-489-11</t>
  </si>
  <si>
    <t>Установка агрегата двухмашинного, поступающего в собранном виде, масса до 20 т</t>
  </si>
  <si>
    <t>ТЕРм08-03-489-12</t>
  </si>
  <si>
    <t>Установка агрегата двухмашинного, поступающего в собранном виде, масса до 30 т</t>
  </si>
  <si>
    <t>ТЕРм08-03-489-13</t>
  </si>
  <si>
    <t>Установка агрегата двухмашинного, поступающего в собранном виде, масса до 50 т</t>
  </si>
  <si>
    <t>ТЕРм08-03-489-14</t>
  </si>
  <si>
    <t>Установка агрегата трехмашинного, поступающего в собранном виде, масса до 0,1 т</t>
  </si>
  <si>
    <t>ТЕРм08-03-489-15</t>
  </si>
  <si>
    <t>Установка агрегата трехмашинного, поступающего в собранном виде, масса до 0,5 т</t>
  </si>
  <si>
    <t>ТЕРм08-03-489-16</t>
  </si>
  <si>
    <t>Установка агрегата трехмашинного, поступающего в собранном виде, масса до 1 т</t>
  </si>
  <si>
    <t>ТЕРм08-03-489-17</t>
  </si>
  <si>
    <t>Установка агрегата трехмашинного, поступающего в собранном виде, масса до 2 т</t>
  </si>
  <si>
    <t>ТЕРм08-03-489-18</t>
  </si>
  <si>
    <t>Установка агрегата трехмашинного, поступающего в собранном виде, масса до 3 т</t>
  </si>
  <si>
    <t>ТЕРм08-03-489-19</t>
  </si>
  <si>
    <t>Установка агрегата трехмашинного, поступающего в собранном виде, масса до 6 т</t>
  </si>
  <si>
    <t>ТЕРм08-03-489-20</t>
  </si>
  <si>
    <t>Установка агрегата трехмашинного, поступающего в собранном виде, масса до 7 т</t>
  </si>
  <si>
    <t>ТЕРм08-03-489-21</t>
  </si>
  <si>
    <t>Установка агрегата трехмашинного, поступающего в собранном виде, масса до 10 т</t>
  </si>
  <si>
    <t>ТЕРм08-03-489-22</t>
  </si>
  <si>
    <t>Установка агрегата трехмашинного, поступающего в собранном виде, масса до 15 т</t>
  </si>
  <si>
    <t>ТЕРм08-03-489-23</t>
  </si>
  <si>
    <t>Установка агрегата трехмашинного, поступающего в собранном виде, масса до 20 т</t>
  </si>
  <si>
    <t>ТЕРм08-03-489-24</t>
  </si>
  <si>
    <t>Установка агрегата трехмашинного, поступающего в собранном виде, масса до 25 т</t>
  </si>
  <si>
    <t>ТЕРм08-03-489-25</t>
  </si>
  <si>
    <t>Установка агрегата трехмашинного, поступающего в собранном виде, масса до 30 т</t>
  </si>
  <si>
    <t>ТЕРм08-03-489-26</t>
  </si>
  <si>
    <t>Установка агрегата трехмашинного, поступающего в собранном виде, масса до 50 т</t>
  </si>
  <si>
    <t>ТЕРм08-03-489-27</t>
  </si>
  <si>
    <t>Установка агрегата четырехмашинного, поступающего в собранном виде, масса до 1 т</t>
  </si>
  <si>
    <t>ТЕРм08-03-489-28</t>
  </si>
  <si>
    <t>Установка агрегата четырехмашинного, поступающего в собранном виде, масса до 2 т</t>
  </si>
  <si>
    <t>ТЕРм08-03-489-29</t>
  </si>
  <si>
    <t>Установка агрегата четырехмашинного, поступающего в собранном виде, масса до 3 т</t>
  </si>
  <si>
    <t>ТЕРм08-03-489-30</t>
  </si>
  <si>
    <t>Установка агрегата четырехмашинного, поступающего в собранном виде, масса до 5 т</t>
  </si>
  <si>
    <t>ТЕРм08-03-489-31</t>
  </si>
  <si>
    <t>Установка агрегата четырехмашинного, поступающего в собранном виде, масса до 7 т</t>
  </si>
  <si>
    <t>ТЕРм08-03-489-32</t>
  </si>
  <si>
    <t>Установка агрегата четырехмашинного, поступающего в собранном виде, масса до 10 т</t>
  </si>
  <si>
    <t>ТЕРм08-03-489-33</t>
  </si>
  <si>
    <t>Установка агрегата четырехмашинного, поступающего в собранном виде, масса до 15 т</t>
  </si>
  <si>
    <t>ТЕРм08-03-489-34</t>
  </si>
  <si>
    <t>Установка агрегата четырехмашинного, поступающего в собранном виде, масса до 20 т</t>
  </si>
  <si>
    <t>ТЕРм08-03-489-35</t>
  </si>
  <si>
    <t>Установка агрегата четырехмашинного, поступающего в собранном виде, масса до 30 т</t>
  </si>
  <si>
    <t>ТЕРм08-03-489-36</t>
  </si>
  <si>
    <t>Установка агрегата четырехмашинного, поступающего в собранном виде, масса до 40 т</t>
  </si>
  <si>
    <t>ТЕРм08-03-489-37</t>
  </si>
  <si>
    <t>Установка агрегата пятимашинного, поступающего в собранном виде, масса до 1 т</t>
  </si>
  <si>
    <t>ТЕРм08-03-489-38</t>
  </si>
  <si>
    <t>Установка агрегата пятимашинного, поступающего в собранном виде, масса до 2 т</t>
  </si>
  <si>
    <t>ТЕРм08-03-489-39</t>
  </si>
  <si>
    <t>Установка агрегата пятимашинного, поступающего в собранном виде, масса до 3 т</t>
  </si>
  <si>
    <t>ТЕРм08-03-489-40</t>
  </si>
  <si>
    <t>Установка агрегата пятимашинного, поступающего в собранном виде, масса до 5 т</t>
  </si>
  <si>
    <t>ТЕРм08-03-489-41</t>
  </si>
  <si>
    <t>Установка агрегата пятимашинного, поступающего в собранном виде, масса до 7 т</t>
  </si>
  <si>
    <t>ТЕРм08-03-489-42</t>
  </si>
  <si>
    <t>Установка агрегата пятимашинного, поступающего в собранном виде, масса до 10 т</t>
  </si>
  <si>
    <t>ТЕРм08-03-489-43</t>
  </si>
  <si>
    <t>Установка агрегата пятимашинного, поступающего в собранном виде, масса до 15 т</t>
  </si>
  <si>
    <t>ТЕРм08-03-489-44</t>
  </si>
  <si>
    <t>Установка агрегата пятимашинного, поступающего в собранном виде, масса до 20 т</t>
  </si>
  <si>
    <t>ТЕРм08-03-489-45</t>
  </si>
  <si>
    <t>Установка агрегата пятимашинного, поступающего в собранном виде, масса до 25 т</t>
  </si>
  <si>
    <t>ТЕРм08-03-489-46</t>
  </si>
  <si>
    <t>Установка агрегата пятимашинного, поступающего в собранном виде, масса до 30 т</t>
  </si>
  <si>
    <t>ТЕРм08-03-489-47</t>
  </si>
  <si>
    <t>Установка агрегата пятимашинного, поступающего в собранном виде, масса до 40 т</t>
  </si>
  <si>
    <t>ТЕРм08-03-489-48</t>
  </si>
  <si>
    <t>Установка агрегата шестимашинного, поступающего в собранном виде, масса до 1 т</t>
  </si>
  <si>
    <t>ТЕРм08-03-489-49</t>
  </si>
  <si>
    <t>Установка агрегата шестимашинного, поступающего в собранном виде, масса до 2 т</t>
  </si>
  <si>
    <t>ТЕРм08-03-489-50</t>
  </si>
  <si>
    <t>Установка агрегата шестимашинного, поступающего в собранном виде, масса до 3 т</t>
  </si>
  <si>
    <t>ТЕРм08-03-489-51</t>
  </si>
  <si>
    <t>Установка агрегата шестимашинного, поступающего в собранном виде, масса до 5 т</t>
  </si>
  <si>
    <t>ТЕРм08-03-489-52</t>
  </si>
  <si>
    <t>Установка агрегата шестимашинного, поступающего в собранном виде, масса до 7 т</t>
  </si>
  <si>
    <t>ТЕРм08-03-489-53</t>
  </si>
  <si>
    <t>Установка агрегата шестимашинного, поступающего в собранном виде, масса до 10 т</t>
  </si>
  <si>
    <t>ТЕРм08-03-489-54</t>
  </si>
  <si>
    <t>Установка агрегата шестимашинного, поступающего в собранном виде, масса до 15 т</t>
  </si>
  <si>
    <t>ТЕРм08-03-489-55</t>
  </si>
  <si>
    <t>Установка агрегата шестимашинного, поступающего в собранном виде, масса до 20 т</t>
  </si>
  <si>
    <t>ТЕРм08-03-489-56</t>
  </si>
  <si>
    <t>Установка агрегата шестимашинного, поступающего в собранном виде, масса до 25 т</t>
  </si>
  <si>
    <t>ТЕРм08-03-489-57</t>
  </si>
  <si>
    <t>Установка агрегата шестимашинного, поступающего в собранном виде, масса до 30 т</t>
  </si>
  <si>
    <t>ТЕРм08-03-489-58</t>
  </si>
  <si>
    <t>Установка агрегата шестимашинного, поступающего в собранном виде, масса до 40 т</t>
  </si>
  <si>
    <t xml:space="preserve">                                   Агрегаты, поступающие в разобранном виде</t>
  </si>
  <si>
    <t>ТЕРм08-03-490-01</t>
  </si>
  <si>
    <t>Установка агрегата двухмашинного, поступающего в разобранном виде, масса до 10 т</t>
  </si>
  <si>
    <t>ТЕРм08-03-490-02</t>
  </si>
  <si>
    <t>Установка агрегата двухмашинного, поступающего в разобранном виде, масса до 15 т</t>
  </si>
  <si>
    <t>ТЕРм08-03-490-03</t>
  </si>
  <si>
    <t>Установка агрегата двухмашинного, поступающего в разобранном виде, масса до 25 т</t>
  </si>
  <si>
    <t>ТЕРм08-03-490-04</t>
  </si>
  <si>
    <t>Установка агрегата двухмашинного, поступающего в разобранном виде, масса до 65 т</t>
  </si>
  <si>
    <t>ТЕРм08-03-490-05</t>
  </si>
  <si>
    <t>Установка агрегата двухмашинного, поступающего в разобранном виде, масса до 85 т</t>
  </si>
  <si>
    <t>ТЕРм08-03-490-06</t>
  </si>
  <si>
    <t>Установка агрегата двухмашинного, поступающего в разобранном виде, масса до 100 т</t>
  </si>
  <si>
    <t>ТЕРм08-03-490-07</t>
  </si>
  <si>
    <t>Установка агрегата двухмашинного, поступающего в разобранном виде, масса до 150 т</t>
  </si>
  <si>
    <t>ТЕРм08-03-490-08</t>
  </si>
  <si>
    <t>Установка агрегата двухмашинного, поступающего в разобранном виде, масса до 200 т</t>
  </si>
  <si>
    <t>ТЕРм08-03-490-09</t>
  </si>
  <si>
    <t>Установка агрегата двухмашинного, поступающего в разобранном виде, масса до 250 т</t>
  </si>
  <si>
    <t>ТЕРм08-03-490-10</t>
  </si>
  <si>
    <t>Установка агрегата трехмашинного, поступающего в разобранном виде, масса до 10 т</t>
  </si>
  <si>
    <t>ТЕРм08-03-490-11</t>
  </si>
  <si>
    <t>Установка агрегата трехмашинного, поступающего в разобранном виде, масса до 15 т</t>
  </si>
  <si>
    <t>ТЕРм08-03-490-12</t>
  </si>
  <si>
    <t>Установка агрегата трехмашинного, поступающего в разобранном виде, масса до 25 т</t>
  </si>
  <si>
    <t>ТЕРм08-03-490-13</t>
  </si>
  <si>
    <t>Установка агрегата трехмашинного, поступающего в разобранном виде, масса до 35 т</t>
  </si>
  <si>
    <t>ТЕРм08-03-490-14</t>
  </si>
  <si>
    <t>Установка агрегата трехмашинного, поступающего в разобранном виде, масса до 65 т</t>
  </si>
  <si>
    <t>ТЕРм08-03-490-15</t>
  </si>
  <si>
    <t>Установка агрегата трехмашинного, поступающего в разобранном виде, масса до 85 т</t>
  </si>
  <si>
    <t>ТЕРм08-03-490-16</t>
  </si>
  <si>
    <t>Установка агрегата трехмашинного, поступающего в разобранном виде, масса до 100 т</t>
  </si>
  <si>
    <t>ТЕРм08-03-490-17</t>
  </si>
  <si>
    <t>Установка агрегата трехмашинного, поступающего в разобранном виде, масса до 150 т</t>
  </si>
  <si>
    <t>ТЕРм08-03-490-18</t>
  </si>
  <si>
    <t>Установка агрегата трехмашинного, поступающего в разобранном виде, масса до 200 т</t>
  </si>
  <si>
    <t>ТЕРм08-03-490-19</t>
  </si>
  <si>
    <t>Установка агрегата трехмашинного, поступающего в разобранном виде, масса до 250 т</t>
  </si>
  <si>
    <t>ТЕРм08-03-490-20</t>
  </si>
  <si>
    <t>Установка агрегата трехмашинного, поступающего в разобранном виде, масса до 300 т</t>
  </si>
  <si>
    <t>ТЕРм08-03-490-21</t>
  </si>
  <si>
    <t>Установка агрегата четырехмашинного, поступающего в разобранном виде, масса до 10 т</t>
  </si>
  <si>
    <t>ТЕРм08-03-490-22</t>
  </si>
  <si>
    <t>Установка агрегата четырехмашинного, поступающего в разобранном виде, масса до 15 т</t>
  </si>
  <si>
    <t>ТЕРм08-03-490-23</t>
  </si>
  <si>
    <t>Установка агрегата четырехмашинного, поступающего в разобранном виде, масса до 25 т</t>
  </si>
  <si>
    <t>ТЕРм08-03-490-24</t>
  </si>
  <si>
    <t>Установка агрегата четырехмашинного, поступающего в разобранном виде, масса до 35 т</t>
  </si>
  <si>
    <t>ТЕРм08-03-490-25</t>
  </si>
  <si>
    <t>Установка агрегата четырехмашинного, поступающего в разобранном виде, масса до 65 т</t>
  </si>
  <si>
    <t>ТЕРм08-03-490-26</t>
  </si>
  <si>
    <t>Установка агрегата четырехмашинного, поступающего в разобранном виде, масса до 85 т</t>
  </si>
  <si>
    <t>ТЕРм08-03-490-27</t>
  </si>
  <si>
    <t>Установка агрегата четырехмашинного, поступающего в разобранном виде, масса до 100 т</t>
  </si>
  <si>
    <t>ТЕРм08-03-490-28</t>
  </si>
  <si>
    <t>Установка агрегата четырехмашинного, поступающего в разобранном виде, масса до 150 т</t>
  </si>
  <si>
    <t>ТЕРм08-03-490-29</t>
  </si>
  <si>
    <t>Установка агрегата четырехмашинного, поступающего в разобранном виде, масса до 200 т</t>
  </si>
  <si>
    <t>ТЕРм08-03-490-30</t>
  </si>
  <si>
    <t>Установка агрегата четырехмашинного, поступающего в разобранном виде, масса до 250 т</t>
  </si>
  <si>
    <t>ТЕРм08-03-490-31</t>
  </si>
  <si>
    <t>Установка агрегата четырехмашинного, поступающего в разобранном виде, масса до 350 т</t>
  </si>
  <si>
    <t>ТЕРм08-03-490-32</t>
  </si>
  <si>
    <t>Установка агрегата пятимашинного, поступающего в разобранном виде, масса до 10 т</t>
  </si>
  <si>
    <t>ТЕРм08-03-490-33</t>
  </si>
  <si>
    <t>Установка агрегата пятимашинного, поступающего в разобранном виде, масса до 15 т</t>
  </si>
  <si>
    <t>ТЕРм08-03-490-34</t>
  </si>
  <si>
    <t>Установка агрегата пятимашинного, поступающего в разобранном виде, масса до 35 т</t>
  </si>
  <si>
    <t>ТЕРм08-03-490-35</t>
  </si>
  <si>
    <t>Установка агрегата пятимашинного, поступающего в разобранном виде, масса до 65 т</t>
  </si>
  <si>
    <t>ТЕРм08-03-490-36</t>
  </si>
  <si>
    <t>Установка агрегата пятимашинного, поступающего в разобранном виде, масса до 85 т</t>
  </si>
  <si>
    <t>ТЕРм08-03-490-37</t>
  </si>
  <si>
    <t>Установка агрегата пятимашинного, поступающего в разобранном виде, масса до 100 т</t>
  </si>
  <si>
    <t>ТЕРм08-03-490-38</t>
  </si>
  <si>
    <t>Установка агрегата пятимашинного, поступающего в разобранном виде, масса до 150 т</t>
  </si>
  <si>
    <t>ТЕРм08-03-490-39</t>
  </si>
  <si>
    <t>Установка агрегата пятимашинного, поступающего в разобранном виде, масса до 200 т</t>
  </si>
  <si>
    <t>ТЕРм08-03-490-40</t>
  </si>
  <si>
    <t>Установка агрегата пятимашинного, поступающего в разобранном виде, масса до 250 т</t>
  </si>
  <si>
    <t>ТЕРм08-03-490-41</t>
  </si>
  <si>
    <t>Установка агрегата шестимашинного, поступающего в разобранном виде, масса до 10 т</t>
  </si>
  <si>
    <t>ТЕРм08-03-490-42</t>
  </si>
  <si>
    <t>Установка агрегата шестимашинного, поступающего в разобранном виде, масса до 15 т</t>
  </si>
  <si>
    <t>ТЕРм08-03-490-43</t>
  </si>
  <si>
    <t>Установка агрегата шестимашинного, поступающего в разобранном виде, масса до 25 т</t>
  </si>
  <si>
    <t>ТЕРм08-03-490-44</t>
  </si>
  <si>
    <t>Установка агрегата шестимашинного, поступающего в разобранном виде, масса до 35 т</t>
  </si>
  <si>
    <t>ТЕРм08-03-490-45</t>
  </si>
  <si>
    <t>Установка агрегата шестимашинного, поступающего в разобранном виде, масса до 65 т</t>
  </si>
  <si>
    <t>ТЕРм08-03-490-46</t>
  </si>
  <si>
    <t>Установка агрегата массой до 65 т семимашинного, поступающего в разобранном виде</t>
  </si>
  <si>
    <t>ТЕРм08-03-490-47</t>
  </si>
  <si>
    <t>Установка агрегата массой до 65 т восьмимашинного, поступающего в разобранном виде</t>
  </si>
  <si>
    <t>ТЕРм08-03-490-48</t>
  </si>
  <si>
    <t>Установка агрегата массой до 65 т девятимашинного, поступающего в разобранном виде</t>
  </si>
  <si>
    <t>ТЕРм08-03-490-49</t>
  </si>
  <si>
    <t>Установка агрегата массой до 65 т десятимашинного, поступающего в разобранном виде</t>
  </si>
  <si>
    <t xml:space="preserve">                                   Тахогенераторы и центробежные выключатели</t>
  </si>
  <si>
    <t>ТЕРм08-03-491-01</t>
  </si>
  <si>
    <t>Установка тахогенераторов, масса до 40 кг</t>
  </si>
  <si>
    <t>ТЕРм08-03-491-02</t>
  </si>
  <si>
    <t>Установка тахогенераторов, масса до 100 кг</t>
  </si>
  <si>
    <t>ТЕРм08-03-491-03</t>
  </si>
  <si>
    <t>Установка тахогенераторов, масса до 130 кг</t>
  </si>
  <si>
    <t>ТЕРм08-03-491-04</t>
  </si>
  <si>
    <t>Подготовка тахогенераторов к испытанию, сдаче под наладку и пуску, присоединение к электрической сети, масса до 100 кг</t>
  </si>
  <si>
    <t>ТЕРм08-03-491-05</t>
  </si>
  <si>
    <t>Подготовка тахогенераторов к испытанию, сдаче под наладку и пуску, присоединение к электрической сети, масса до 130 кг</t>
  </si>
  <si>
    <t>ТЕРм08-03-491-06</t>
  </si>
  <si>
    <t>Установка центробежных выключателей</t>
  </si>
  <si>
    <t xml:space="preserve">                                   Шкивы, муфты, полумуфты, шестерни</t>
  </si>
  <si>
    <t>ТЕРм08-03-492-01</t>
  </si>
  <si>
    <t>Насадка на валы электрических машин шкивов, муфт, полумуфт, шестерней, масса детали до 0,004 т</t>
  </si>
  <si>
    <t>ТЕРм08-03-492-02</t>
  </si>
  <si>
    <t>Насадка на валы электрических машин шкивов, муфт, полумуфт, шестерней, масса детали до 0,01 т</t>
  </si>
  <si>
    <t>ТЕРм08-03-492-03</t>
  </si>
  <si>
    <t>Насадка на валы электрических машин шкивов, муфт, полумуфт, шестерней, масса детали до 0,035 т</t>
  </si>
  <si>
    <t>ТЕРм08-03-492-04</t>
  </si>
  <si>
    <t>Насадка на валы электрических машин шкивов, муфт, полумуфт, шестерней, масса детали до 0,1 т</t>
  </si>
  <si>
    <t>ТЕРм08-03-492-05</t>
  </si>
  <si>
    <t>Насадка на валы электрических машин шкивов, муфт, полумуфт, шестерней, масса детали до 0,15 т</t>
  </si>
  <si>
    <t>ТЕРм08-03-492-06</t>
  </si>
  <si>
    <t>Насадка на валы электрических машин шкивов, муфт, полумуфт, шестерней, масса детали до 0,25 т</t>
  </si>
  <si>
    <t>ТЕРм08-03-492-07</t>
  </si>
  <si>
    <t>Насадка на валы электрических машин шкивов, муфт, полумуфт, шестерней, масса детали до 1,5 т</t>
  </si>
  <si>
    <t>ТЕРм08-03-492-08</t>
  </si>
  <si>
    <t>Насадка на валы электрических машин шкивов, муфт, полумуфт, шестерней, масса детали до 2 т</t>
  </si>
  <si>
    <t>ТЕРм08-03-492-09</t>
  </si>
  <si>
    <t>Насадка на валы электрических машин шкивов, муфт, полумуфт, шестерней, масса детали до 2,5 т</t>
  </si>
  <si>
    <t>ТЕРм08-03-492-10</t>
  </si>
  <si>
    <t>Насадка на валы электрических машин шкивов, муфт, полумуфт, шестерней, масса детали до 3 т</t>
  </si>
  <si>
    <t xml:space="preserve">                                   Электромагнитные муфты</t>
  </si>
  <si>
    <t>ТЕРм08-03-493-01</t>
  </si>
  <si>
    <t>Установка муфт электромагнитных, масса до 10 кг</t>
  </si>
  <si>
    <t>ТЕРм08-03-493-02</t>
  </si>
  <si>
    <t>Установка муфт электромагнитных, масса до 20 кг</t>
  </si>
  <si>
    <t xml:space="preserve">                                   Флажковые (фигурные) кабельные наконечники</t>
  </si>
  <si>
    <t>ТЕРм08-03-494-01</t>
  </si>
  <si>
    <t>За каждое присоединение флажковым (фигурным) кабельным наконечником добавлять к соответствующей расценке на присоединение машины к электрической сети, наконечник медный сечением до 360 мм2</t>
  </si>
  <si>
    <t>ТЕРм08-03-494-02</t>
  </si>
  <si>
    <t>За каждое присоединение флажковым (фигурным) кабельным наконечником добавлять к соответствующей расценке на присоединение машины к электрической сети, наконечник медный сечением до 640 мм2</t>
  </si>
  <si>
    <t>ТЕРм08-03-494-03</t>
  </si>
  <si>
    <t>За каждое присоединение флажковым (фигурным) кабельным наконечником добавлять к соответствующей расценке на присоединение машины к электрической сети, наконечник аллюминиевый сечением до 640 мм2</t>
  </si>
  <si>
    <t>ТЕРм08-03-494-04</t>
  </si>
  <si>
    <t>За каждое присоединение флажковым (фигурным) кабельным наконечником добавлять к соответствующей расценке на присоединение машины к электрической сети, наконечник аллюминиевый сечением до 1000 мм2</t>
  </si>
  <si>
    <t xml:space="preserve">                                   Раздел 2. ТОКОПОДВОД К ПОДЪЕМНО-ТРАНСПОРТНЫМ УСТАНОВКАМ</t>
  </si>
  <si>
    <t xml:space="preserve">                                   Троллеи для кранов (кроме напольных) из профильной стали и алюминиевого сплава</t>
  </si>
  <si>
    <t>ТЕРм08-03-501-01</t>
  </si>
  <si>
    <t>Монтаж троллеев трех фазных для кранов из угловой стали до № 5</t>
  </si>
  <si>
    <t>ТЕРм08-03-501-02</t>
  </si>
  <si>
    <t>Монтаж троллеев трех фазных для кранов из угловой стали до № 6,3</t>
  </si>
  <si>
    <t>ТЕРм08-03-501-03</t>
  </si>
  <si>
    <t>Монтаж троллеев трех фазных для кранов из угловой стали до № 7,5</t>
  </si>
  <si>
    <t>ТЕРм08-03-501-04</t>
  </si>
  <si>
    <t>При монтаже троллеев за каждую последующую фазу сверх трех фаз троллеев из угловой стали до № 5</t>
  </si>
  <si>
    <t>ТЕРм08-03-501-05</t>
  </si>
  <si>
    <t>При монтаже троллеев за каждую последующую фазу сверх трех фаз троллеев из угловой стали до № 6,3</t>
  </si>
  <si>
    <t>ТЕРм08-03-501-06</t>
  </si>
  <si>
    <t>При монтаже троллеев за каждую последующую фазу сверх трех фаз троллеев из угловой стали до № 7,5</t>
  </si>
  <si>
    <t xml:space="preserve">                                   Троллеи для напольных кранов и тележек из профильной стали</t>
  </si>
  <si>
    <t>ТЕРм08-03-502-01</t>
  </si>
  <si>
    <t>Троллеи трехфазные из угловой стали № 5, проложенные в тоннеле или в канале</t>
  </si>
  <si>
    <t xml:space="preserve">                                   Троллеи для кранов (кроме напольных) из троллейных секций и комплектные троллейные устройства заводского изготовления</t>
  </si>
  <si>
    <t>ТЕРм08-03-503-01</t>
  </si>
  <si>
    <t>Монтаж троллейных секций трехфазных из профильной стали без подпиточных шин из угловой стали № 5</t>
  </si>
  <si>
    <t>ТЕРм08-03-503-02</t>
  </si>
  <si>
    <t>Монтаж троллейных секций трехфазных из профильной стали без подпиточных шин из угловой стали № 6,3</t>
  </si>
  <si>
    <t>ТЕРм08-03-503-03</t>
  </si>
  <si>
    <t>Монтаж троллейных секций трехфазных из профильной стали с алюминиевой подпиточной шиной из угловой стали № 5</t>
  </si>
  <si>
    <t>ТЕРм08-03-503-04</t>
  </si>
  <si>
    <t>Монтаж троллейных секций трехфазных из профильной стали с алюминиевой подпиточной шиной из угловой стали № 6,3, шина сечением 5х40 или 5х50 мм</t>
  </si>
  <si>
    <t>ТЕРм08-03-503-05</t>
  </si>
  <si>
    <t>Монтаж троллейных секций трехфазных из профильной стали с алюминиевой подпиточной шиной из угловой стали № 6,3, шина сечением 6х60 или 6х80 мм</t>
  </si>
  <si>
    <t>ТЕРм08-03-503-06</t>
  </si>
  <si>
    <t>Устройство комплектное троллейное из двутаврового алюминиевого сплава, профиль № 43004 1(30)</t>
  </si>
  <si>
    <t xml:space="preserve">                                   Троллеи для напольных кранов и тележек из троллейных секций заводского изготовления</t>
  </si>
  <si>
    <t>ТЕРм08-03-504-01</t>
  </si>
  <si>
    <t>Монтаж троллеев трехфазных из угловой стали № 5 без подпиточных шин, проложенных в тоннеле</t>
  </si>
  <si>
    <t>ТЕРм08-03-504-02</t>
  </si>
  <si>
    <t>Монтаж троллеев трехфазных из угловой стали № 5 без подпиточных шин, проложенных в канале</t>
  </si>
  <si>
    <t xml:space="preserve">                                   Шины алюминиевые для подпитки троллеев</t>
  </si>
  <si>
    <t>ТЕРм08-03-505-01</t>
  </si>
  <si>
    <t>Прокладка шин алюминиевых сечением до 360 мм2</t>
  </si>
  <si>
    <t>ТЕРм08-03-505-02</t>
  </si>
  <si>
    <t>Прокладка шин алюминиевых сечением до 640 мм2</t>
  </si>
  <si>
    <t xml:space="preserve">                                   Троллеи для электрических талей трехфазные из профильной стали</t>
  </si>
  <si>
    <t>ТЕРм08-03-506-01</t>
  </si>
  <si>
    <t>Монтаж троллеев из полосовой стали сечением до 5х50 мм или из угловой стали № 4, или из круглой стали диаметром 18 мм прямолинейных</t>
  </si>
  <si>
    <t>ТЕРм08-03-506-02</t>
  </si>
  <si>
    <t>Монтаж троллеев из полосовой стали сечением до 5х50 мм или из угловой стали № 4, или из круглой стали диаметром 18 мм криволинейных</t>
  </si>
  <si>
    <t xml:space="preserve">                                   Гибкий токоподвод к электрическим талям, кранам и другим передвижным механизмам</t>
  </si>
  <si>
    <t>ТЕРм08-03-507-01</t>
  </si>
  <si>
    <t>Монтаж гибкого токоподвода каретками на тросе</t>
  </si>
  <si>
    <t>ТЕРм08-03-507-02</t>
  </si>
  <si>
    <t>Монтаж гибкого токоподвода роликами или кольцами на тросе</t>
  </si>
  <si>
    <t>ТЕРм08-03-507-03</t>
  </si>
  <si>
    <t>Монтаж гибкого токоподвода каретками на жестких направляющих</t>
  </si>
  <si>
    <t xml:space="preserve">                                   Токоприемники</t>
  </si>
  <si>
    <t>ТЕРм08-03-508-01</t>
  </si>
  <si>
    <t>Токоприемник скользящий без опорной конструкции, масса до 10 кг</t>
  </si>
  <si>
    <t>ТЕРм08-03-508-02</t>
  </si>
  <si>
    <t>Токоприемник скользящий без опорной конструкции, масса до 15 кг</t>
  </si>
  <si>
    <t>ТЕРм08-03-508-03</t>
  </si>
  <si>
    <t>Токоприемник скользящий без опорной конструкции, масса до 25 кг</t>
  </si>
  <si>
    <t>ТЕРм08-03-508-04</t>
  </si>
  <si>
    <t>Токоприемник кольцевой с количеством контактных колец - 3, масса токоприемника до 40 кг</t>
  </si>
  <si>
    <t>ТЕРм08-03-508-05</t>
  </si>
  <si>
    <t>Токоприемник кольцевой с количеством контактных колец - 3, масса токоприемника до 60 кг</t>
  </si>
  <si>
    <t>ТЕРм08-03-508-06</t>
  </si>
  <si>
    <t>Токоприемник кольцевой с количеством контактных колец - 6, масса токоприемника до 45 кг</t>
  </si>
  <si>
    <t>ТЕРм08-03-508-07</t>
  </si>
  <si>
    <t>Токоприемник кольцевой с количеством контактных колец - 6, масса токоприемника до 80 кг</t>
  </si>
  <si>
    <t>ТЕРм08-03-508-08</t>
  </si>
  <si>
    <t>Токоприемник кольцевой с количеством контактных колец - 9, масса токоприемника до 60 кг</t>
  </si>
  <si>
    <t>ТЕРм08-03-508-09</t>
  </si>
  <si>
    <t>Токоприемник кольцевой с количеством контактных колец - 12, масса токоприемника до 90 кг</t>
  </si>
  <si>
    <t>ТЕРм08-03-508-10</t>
  </si>
  <si>
    <t>Токоприемник кольцевой с количеством контактных колец - 12, масса токоприемника до 110 кг</t>
  </si>
  <si>
    <t>ТЕРм08-03-508-11</t>
  </si>
  <si>
    <t>Токоприемник лыжного типа для рудного (угольного) перегружателя из швеллерной стали № 10</t>
  </si>
  <si>
    <t>ТЕРм08-03-508-12</t>
  </si>
  <si>
    <t>Токоприемник лыжного типа для рудного (угольного) перегружателя из швеллерной стали № 14</t>
  </si>
  <si>
    <t>ТЕРм08-03-508-13</t>
  </si>
  <si>
    <t>Токоприемник высоковольтный для рудного (угольного) перегружателя</t>
  </si>
  <si>
    <t xml:space="preserve">                                   Аппаратура защиты</t>
  </si>
  <si>
    <t>ТЕРм08-03-509-01</t>
  </si>
  <si>
    <t>Сигнализатор давления ветра для рудного (угольного) перегружателя</t>
  </si>
  <si>
    <t xml:space="preserve">                                   Электромагниты подъемные (электрическая часть) и барабаны кабельные</t>
  </si>
  <si>
    <t>ТЕРм08-03-510-01</t>
  </si>
  <si>
    <t>Установка электромагнита подъемного, масса до 500 кг</t>
  </si>
  <si>
    <t>ТЕРм08-03-510-02</t>
  </si>
  <si>
    <t>Установка электромагнита подъемного, масса до 1500 кг</t>
  </si>
  <si>
    <t>ТЕРм08-03-510-03</t>
  </si>
  <si>
    <t>Установка электромагнита подъемного, масса до 3500 кг</t>
  </si>
  <si>
    <t>ТЕРм08-03-510-04</t>
  </si>
  <si>
    <t>Установка электромагнита подъемного, масса до 4500 кг</t>
  </si>
  <si>
    <t>ТЕРм08-03-510-05</t>
  </si>
  <si>
    <t>Установка барабана кабельного</t>
  </si>
  <si>
    <t xml:space="preserve">                                   Шинопроводы троллейные</t>
  </si>
  <si>
    <t>ТЕРм08-03-511-01</t>
  </si>
  <si>
    <t>Монтаж шинопровода троллейного на ток до 400 А, напряжением до 660 В на кронштейнах, масса кронштейна до 2 кг</t>
  </si>
  <si>
    <t>ТЕРм08-03-511-02</t>
  </si>
  <si>
    <t>Монтаж шинопровода троллейного на ток до 400 А, напряжением до 660 В на кронштейнах, масса кронштейна до 5 кг</t>
  </si>
  <si>
    <t xml:space="preserve">                                   Раздел 3. УСТРОЙСТВА ПУСКОРЕГУЛИРУЮЩИЕ</t>
  </si>
  <si>
    <t xml:space="preserve">                                   Рубильники (выключатели, разъединители)</t>
  </si>
  <si>
    <t>ТЕРм08-03-521-01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</si>
  <si>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250 А</t>
  </si>
  <si>
    <t>ТЕРм08-03-521-02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</si>
  <si>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400 А</t>
  </si>
  <si>
    <t>ТЕРм08-03-521-03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</si>
  <si>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630 А</t>
  </si>
  <si>
    <t>ТЕРм08-03-521-04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</si>
  <si>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1600 А</t>
  </si>
  <si>
    <t>ТЕРм08-03-521-05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</si>
  <si>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2500 А</t>
  </si>
  <si>
    <t>ТЕРм08-03-521-06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</si>
  <si>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4000 А</t>
  </si>
  <si>
    <t>ТЕРм08-03-521-07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</si>
  <si>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6300 А</t>
  </si>
  <si>
    <t>ТЕРм08-03-521-08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</si>
  <si>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250 А</t>
  </si>
  <si>
    <t>ТЕРм08-03-521-09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</si>
  <si>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400 А</t>
  </si>
  <si>
    <t>ТЕРм08-03-521-10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</si>
  <si>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630 А</t>
  </si>
  <si>
    <t>ТЕРм08-03-521-11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</si>
  <si>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1600 А</t>
  </si>
  <si>
    <t>ТЕРм08-03-521-12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</si>
  <si>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2500 А</t>
  </si>
  <si>
    <t>ТЕРм08-03-521-13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</si>
  <si>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4000 А</t>
  </si>
  <si>
    <t>ТЕРм08-03-521-14</t>
  </si>
  <si>
    <t>Рубильник на плите с центральной или боковой рукояткой или управлением штангой, устанавливаемый на металлическом основании, двухполюсный на ток до 6300 А</t>
  </si>
  <si>
    <t>ТЕРм08-03-521-15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</si>
  <si>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250 А</t>
  </si>
  <si>
    <t>ТЕРм08-03-521-16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</si>
  <si>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400 А</t>
  </si>
  <si>
    <t>ТЕРм08-03-521-17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</si>
  <si>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630 А</t>
  </si>
  <si>
    <t>ТЕРм08-03-521-18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</si>
  <si>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1600 А</t>
  </si>
  <si>
    <t>ТЕРм08-03-521-19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</si>
  <si>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2500 А</t>
  </si>
  <si>
    <t>ТЕРм08-03-521-20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</si>
  <si>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4000 А</t>
  </si>
  <si>
    <t>ТЕРм08-03-521-21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</si>
  <si>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6300 А</t>
  </si>
  <si>
    <t>ТЕРм08-03-521-22</t>
  </si>
  <si>
    <t>Рубильник на плите с приводом, устанавливаемый на металлическом основании, двухполюсный на ток до 250 А</t>
  </si>
  <si>
    <t>ТЕРм08-03-521-23</t>
  </si>
  <si>
    <t>Рубильник на плите с приводом, устанавливаемый на металлическом основании, двухполюсный на ток до 400 А</t>
  </si>
  <si>
    <t>ТЕРм08-03-521-24</t>
  </si>
  <si>
    <t>Рубильник на плите с приводом, устанавливаемый на металлическом основании, двухполюсный на ток до 630 А</t>
  </si>
  <si>
    <t>ТЕРм08-03-521-25</t>
  </si>
  <si>
    <t>Рубильник на плите с приводом, устанавливаемый на металлическом основании, двухполюсный на ток до 1600 А</t>
  </si>
  <si>
    <t>ТЕРм08-03-521-26</t>
  </si>
  <si>
    <t>Рубильник на плите с приводом, устанавливаемый на металлическом основании, двухполюсный на ток до 2500 А</t>
  </si>
  <si>
    <t>ТЕРм08-03-521-27</t>
  </si>
  <si>
    <t>Рубильник на плите с приводом, устанавливаемый на металлическом основании, двухполюсный на ток до 4000 А</t>
  </si>
  <si>
    <t>ТЕРм08-03-521-28</t>
  </si>
  <si>
    <t>Рубильник на плите с приводом, устанавливаемый на металлическом основании, трехполюсный на ток до 250 А</t>
  </si>
  <si>
    <t>ТЕРм08-03-521-29</t>
  </si>
  <si>
    <t>Рубильник на плите с приводом, устанавливаемый на металлическом основании, трехполюсный на ток до 400 А</t>
  </si>
  <si>
    <t>ТЕРм08-03-521-30</t>
  </si>
  <si>
    <t>Рубильник на плите с приводом, устанавливаемый на металлическом основании, трехполюсный на ток до 630 А</t>
  </si>
  <si>
    <t>ТЕРм08-03-521-31</t>
  </si>
  <si>
    <t>Рубильник на плите с приводом, устанавливаемый на металлическом основании, трехполюсный на ток до 1600 А</t>
  </si>
  <si>
    <t>ТЕРм08-03-521-32</t>
  </si>
  <si>
    <t>Рубильник на плите с приводом, устанавливаемый на металлическом основании, трехполюсный на ток до 2500 А</t>
  </si>
  <si>
    <t>ТЕРм08-03-521-33</t>
  </si>
  <si>
    <t>Рубильник на плите с приводом, устанавливаемый на металлическом основании, трехполюсный на ток до 4000 А</t>
  </si>
  <si>
    <t xml:space="preserve">                                   Переключатели (рубильники переключающие)</t>
  </si>
  <si>
    <t>ТЕРм08-03-522-01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</si>
  <si>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250 А</t>
  </si>
  <si>
    <t>ТЕРм08-03-522-02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</si>
  <si>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400 А</t>
  </si>
  <si>
    <t>ТЕРм08-03-522-03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</si>
  <si>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630 А</t>
  </si>
  <si>
    <t>ТЕРм08-03-522-04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</si>
  <si>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1600 А</t>
  </si>
  <si>
    <t>ТЕРм08-03-522-05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</si>
  <si>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2500 А</t>
  </si>
  <si>
    <t>ТЕРм08-03-522-06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</si>
  <si>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4000 А</t>
  </si>
  <si>
    <t>ТЕРм08-03-522-07</t>
  </si>
  <si>
    <t>Переключатель на плите с центральной или боковой рукояткой или управлением штангой, устанавливаемый на металлическом основании, однополюсный на ток до 6300 А</t>
  </si>
  <si>
    <t>ТЕРм08-03-522-08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</si>
  <si>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250 А</t>
  </si>
  <si>
    <t>ТЕРм08-03-522-09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</si>
  <si>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400 А</t>
  </si>
  <si>
    <t>ТЕРм08-03-522-10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</si>
  <si>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630 А</t>
  </si>
  <si>
    <t>ТЕРм08-03-522-11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</si>
  <si>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1600 А</t>
  </si>
  <si>
    <t>ТЕРм08-03-522-12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</si>
  <si>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2500 А</t>
  </si>
  <si>
    <t>ТЕРм08-03-522-13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</si>
  <si>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4000 А</t>
  </si>
  <si>
    <t>ТЕРм08-03-522-14</t>
  </si>
  <si>
    <t>Переключатель на плите с центральной или боковой рукояткой или управлением штангой, устанавливаемый на металлическом основании, двухполюсный на ток до 6300 А</t>
  </si>
  <si>
    <t>ТЕРм08-03-522-15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</si>
  <si>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250 А</t>
  </si>
  <si>
    <t>ТЕРм08-03-522-16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</si>
  <si>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400 А</t>
  </si>
  <si>
    <t>ТЕРм08-03-522-17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</si>
  <si>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630 А</t>
  </si>
  <si>
    <t>ТЕРм08-03-522-18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</si>
  <si>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1600 А</t>
  </si>
  <si>
    <t>ТЕРм08-03-522-19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</si>
  <si>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2500 А</t>
  </si>
  <si>
    <t>ТЕРм08-03-522-20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</si>
  <si>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4000 А</t>
  </si>
  <si>
    <t>ТЕРм08-03-522-21</t>
  </si>
  <si>
    <t>Переключатель на плите с центральной или боковой рукояткой или управлением штангой, устанавливаемый на металлическом основании, трехполюсный на ток до 6300 А</t>
  </si>
  <si>
    <t>ТЕРм08-03-522-22</t>
  </si>
  <si>
    <t>Переключатель на плите с приводом, устанавливаемый на металлическом основании, двухполюсный на ток до 250 А</t>
  </si>
  <si>
    <t>ТЕРм08-03-522-23</t>
  </si>
  <si>
    <t>Переключатель на плите с приводом, устанавливаемый на металлическом основании, двухполюсный на ток до 400 А</t>
  </si>
  <si>
    <t>ТЕРм08-03-522-24</t>
  </si>
  <si>
    <t>Переключатель на плите с приводом, устанавливаемый на металлическом основании, двухполюсный на ток до 630 А</t>
  </si>
  <si>
    <t>ТЕРм08-03-522-25</t>
  </si>
  <si>
    <t>Переключатель на плите с приводом, устанавливаемый на металлическом основании, двухполюсный на ток до 1600 А</t>
  </si>
  <si>
    <t>ТЕРм08-03-522-26</t>
  </si>
  <si>
    <t>Переключатель на плите с приводом, устанавливаемый на металлическом основании, двухполюсный на ток до 2500 А</t>
  </si>
  <si>
    <t>ТЕРм08-03-522-27</t>
  </si>
  <si>
    <t>Переключатель на плите с приводом, устанавливаемый на металлическом основании, двухполюсный на ток до 4000 А</t>
  </si>
  <si>
    <t>ТЕРм08-03-522-28</t>
  </si>
  <si>
    <t>Переключатель на плите с приводом, устанавливаемый на металлическом основании, трехполюсный на ток до 250 А</t>
  </si>
  <si>
    <t>ТЕРм08-03-522-29</t>
  </si>
  <si>
    <t>Переключатель на плите с приводом, устанавливаемый на металлическом основании, трехполюсный на ток до 400 А</t>
  </si>
  <si>
    <t>ТЕРм08-03-522-30</t>
  </si>
  <si>
    <t>Переключатель на плите с приводом, устанавливаемый на металлическом основании, трехполюсный на ток до 630 А</t>
  </si>
  <si>
    <t>ТЕРм08-03-522-31</t>
  </si>
  <si>
    <t>Переключатель на плите с приводом, устанавливаемый на металлическом основании, трехполюсный на ток до 1600 А</t>
  </si>
  <si>
    <t>ТЕРм08-03-522-32</t>
  </si>
  <si>
    <t>Переключатель на плите с приводом, устанавливаемый на металлическом основании, трехполюсный на ток до 2500 А</t>
  </si>
  <si>
    <t>ТЕРм08-03-522-33</t>
  </si>
  <si>
    <t>Переключатель на плите с приводом, устанавливаемый на металлическом основании, трехполюсный на ток до 4000 А</t>
  </si>
  <si>
    <t>ТЕРм08-03-523-01</t>
  </si>
  <si>
    <t>Предохранитель, устанавливаемый на изоляционном основании, на ток до 100 А</t>
  </si>
  <si>
    <t>ТЕРм08-03-523-02</t>
  </si>
  <si>
    <t>Предохранитель, устанавливаемый на изоляционном основании, на ток до 250 А</t>
  </si>
  <si>
    <t>ТЕРм08-03-523-03</t>
  </si>
  <si>
    <t>Предохранитель, устанавливаемый на изоляционном основании, на ток до 400 А</t>
  </si>
  <si>
    <t>ТЕРм08-03-523-04</t>
  </si>
  <si>
    <t>Предохранитель, устанавливаемый на изоляционном основании, на ток до 630 А</t>
  </si>
  <si>
    <t xml:space="preserve">                                   Ящики и шкафы с рубильниками и предохранителями</t>
  </si>
  <si>
    <t>ТЕРм08-03-524-01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</si>
  <si>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полу, на ток до 100 А</t>
  </si>
  <si>
    <t>ТЕРм08-03-524-02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</si>
  <si>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полу, на ток до 250 А</t>
  </si>
  <si>
    <t>ТЕРм08-03-524-03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</si>
  <si>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полу, на ток до 400 А</t>
  </si>
  <si>
    <t>ТЕРм08-03-524-04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</si>
  <si>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стене или колонне, на ток до 100 А</t>
  </si>
  <si>
    <t>ТЕРм08-03-524-05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</si>
  <si>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стене или колонне, на ток до 250 А</t>
  </si>
  <si>
    <t>ТЕРм08-03-524-06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</si>
  <si>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стене или колонне, на ток до 400 А</t>
  </si>
  <si>
    <t>ТЕРм08-03-524-07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</si>
  <si>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полу, на ток до 100 А</t>
  </si>
  <si>
    <t>ТЕРм08-03-524-08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</si>
  <si>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полу, на ток до 250 А</t>
  </si>
  <si>
    <t>ТЕРм08-03-524-09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</si>
  <si>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полу, на ток до 400 А</t>
  </si>
  <si>
    <t>ТЕРм08-03-524-10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</si>
  <si>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стене или колонне, на ток до 100 А</t>
  </si>
  <si>
    <t>ТЕРм08-03-524-11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</si>
  <si>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стене или колонне, на ток до 250 А</t>
  </si>
  <si>
    <t>ТЕРм08-03-524-12</t>
  </si>
  <si>
    <t>Ящик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предохранителями, устанавливаемый на конструкции на стене или колонне, на ток до 400 А</t>
  </si>
  <si>
    <t>ТЕРм08-03-524-13</t>
  </si>
  <si>
    <t>Сборка из нескольких ящиков, устанавливаемых на конструкции на стене или колонне,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 на до 100 А</t>
  </si>
  <si>
    <t>ТЕРм08-03-524-14</t>
  </si>
  <si>
    <t>Сборка из нескольких ящиков, устанавливаемых на конструкции на стене или колонне,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 на до 250 А</t>
  </si>
  <si>
    <t>ТЕРм08-03-524-15</t>
  </si>
  <si>
    <t>Сборка из нескольких ящиков, устанавливаемых на конструкции на стене или колонне,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 на до 400 А</t>
  </si>
  <si>
    <t>ТЕРм08-03-524-16</t>
  </si>
  <si>
    <t>Сборка из нескольких ящиков, устанавливаемых на конструкции на стене или колонне,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 на до 100 А</t>
  </si>
  <si>
    <t>ТЕРм08-03-524-17</t>
  </si>
  <si>
    <t>Сборка из нескольких ящиков, устанавливаемых на конструкции на стене или колонне,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 на до 250 А</t>
  </si>
  <si>
    <t>ТЕРм08-03-524-18</t>
  </si>
  <si>
    <t>Сборка из нескольких ящиков, устанавливаемых на конструкции на стене или колонне, с одним трехполюсным рубильником, или с трехполюсным рубильником и тремя предохранителями, или с тремя блоками «предохранитель-выключатель», или с тремя предохранителями на до 400 А</t>
  </si>
  <si>
    <t>ТЕРм08-03-524-19</t>
  </si>
  <si>
    <t>Шкаф с одним двухполюсным рубильником, устанавливаемый на конструкции на полу, на ток до 630 А</t>
  </si>
  <si>
    <t>ТЕРм08-03-524-20</t>
  </si>
  <si>
    <t>Шкаф с одним двухполюсным рубильником, устанавливаемый на конструкции на полу, на ток до 1000 А</t>
  </si>
  <si>
    <t>ТЕРм08-03-524-21</t>
  </si>
  <si>
    <t>Шкаф с одним трехполюсным рубильником, устанавливаемый на конструкции на полу, на ток до 630 А</t>
  </si>
  <si>
    <t>ТЕРм08-03-524-22</t>
  </si>
  <si>
    <t>Шкаф с одним трехполюсным рубильником, устанавливаемый на конструкции на полу, на ток до 1000 А</t>
  </si>
  <si>
    <t xml:space="preserve">                                   Выключатели и переключатели пакетные, аппараты штепсельные</t>
  </si>
  <si>
    <t>ТЕРм08-03-525-01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</si>
  <si>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 до 25 А</t>
  </si>
  <si>
    <t>ТЕРм08-03-525-02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</si>
  <si>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 до 100 А</t>
  </si>
  <si>
    <t>ТЕРм08-03-525-03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</si>
  <si>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 до 250 А</t>
  </si>
  <si>
    <t>ТЕРм08-03-525-04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</si>
  <si>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 до 400 А</t>
  </si>
  <si>
    <t>ТЕРм08-03-525-05</t>
  </si>
  <si>
    <t>Аппарат штепсельный общего назначения, устанавливаемый на конструкции на стене или колонне, с контактами силовых цепей и цепей управления на ток до 25 А с количеством контактов до 4</t>
  </si>
  <si>
    <t>ТЕРм08-03-525-06</t>
  </si>
  <si>
    <t>Аппарат штепсельный общего назначения, устанавливаемый на конструкции на стене или колонне, с контактами силовых цепей и цепей управления на ток до 25 А с количеством контактов до 12</t>
  </si>
  <si>
    <t>ТЕРм08-03-525-07</t>
  </si>
  <si>
    <t>Аппарат штепсельный общего назначения, устанавливаемый на конструкции на стене или колонне, с контактами силовых цепей и цепей управления на ток до 25 А с количеством контактов до 36</t>
  </si>
  <si>
    <t>ТЕРм08-03-525-08</t>
  </si>
  <si>
    <t>Аппарат штепсельный общего назначения, устанавливаемый на конструкции на стене или колонне, с контактами силовых цепей и цепей управления на ток до 25 А с количеством контактов до 64</t>
  </si>
  <si>
    <t>ТЕРм08-03-525-09</t>
  </si>
  <si>
    <t>Аппарат штепсельный общего назначения, устанавливаемый на конструкции на стене или колонне, с контактами силовых цепей на ток до 63 А</t>
  </si>
  <si>
    <t>ТЕРм08-03-525-10</t>
  </si>
  <si>
    <t>Аппарат штепсельный общего назначения, устанавливаемый на конструкции на стене или колонне, с контактами силовых цепей на ток до 100 А</t>
  </si>
  <si>
    <t>ТЕРм08-03-525-11</t>
  </si>
  <si>
    <t>Аппарат штепсельный общего назначения, устанавливаемый на конструкции на стене или колонне, с контактами силовых цепей на ток до 250 А</t>
  </si>
  <si>
    <t>ТЕРм08-03-525-12</t>
  </si>
  <si>
    <t>Аппарат штепсельный общего назначения, устанавливаемый на конструкции на стене или колонне, с контактами силовых цепей на ток до 400 А</t>
  </si>
  <si>
    <t>ТЕРм08-03-525-13</t>
  </si>
  <si>
    <t>Аппарат штепсельный взрывозащищенный до семи контактов на ток до 63 А</t>
  </si>
  <si>
    <t>ТЕРм08-03-525-14</t>
  </si>
  <si>
    <t>Аппарат штепсельный взрывозащищенный до семи контактов на ток до 160 А</t>
  </si>
  <si>
    <t>ТЕРм08-03-525-15</t>
  </si>
  <si>
    <t>Аппарат штепсельный взрывозащищенный до семи контактов на ток до 320 А</t>
  </si>
  <si>
    <t xml:space="preserve">                                   Выключатели установочные автоматические (автоматы) или неавтоматические</t>
  </si>
  <si>
    <t>ТЕРм08-03-526-01</t>
  </si>
  <si>
    <t>Автомат одно-, двух-, трехполюсный, устанавливаемый на конструкции на стене или колонне, на ток до 25 А</t>
  </si>
  <si>
    <t>ТЕРм08-03-526-02</t>
  </si>
  <si>
    <t>Автомат одно-, двух-, трехполюсный, устанавливаемый на конструкции на стене или колонне, на ток до 100 А</t>
  </si>
  <si>
    <t>ТЕРм08-03-526-03</t>
  </si>
  <si>
    <t>Автомат одно-, двух-, трехполюсный, устанавливаемый на конструкции на стене или колонне, на ток до 250 А</t>
  </si>
  <si>
    <t>ТЕРм08-03-526-04</t>
  </si>
  <si>
    <t>Автомат одно-, двух-, трехполюсный, устанавливаемый на конструкции на стене или колонне, на ток до 400 А</t>
  </si>
  <si>
    <t>ТЕРм08-03-526-05</t>
  </si>
  <si>
    <t>Автомат одно-, двух-, трехполюсный, устанавливаемый на конструкции на стене или колонне, на ток до 630 А</t>
  </si>
  <si>
    <t>ТЕРм08-03-526-06</t>
  </si>
  <si>
    <t>Автомат одно-, двух-, трехполюсный, устанавливаемый на конструкции на полу, на ток до 25 А</t>
  </si>
  <si>
    <t>ТЕРм08-03-526-07</t>
  </si>
  <si>
    <t>Автомат одно-, двух-, трехполюсный, устанавливаемый на конструкции на полу, на ток до 100 А</t>
  </si>
  <si>
    <t>ТЕРм08-03-526-08</t>
  </si>
  <si>
    <t>Автомат одно-, двух-, трехполюсный, устанавливаемый на конструкции на полу, на ток до 400 А</t>
  </si>
  <si>
    <t>ТЕРм08-03-526-09</t>
  </si>
  <si>
    <t>Автомат одно-, двух-, трехполюсный, устанавливаемый на конструкции на полу, на ток до 630 А</t>
  </si>
  <si>
    <t xml:space="preserve">                                   Устройства вводные</t>
  </si>
  <si>
    <t>ТЕРм08-03-527-01</t>
  </si>
  <si>
    <t>Ящик с трехполюсным рубильником и конденсаторами, устанавливаемый на конструкции на стене или колонне, на ток до 70 А</t>
  </si>
  <si>
    <t>ТЕРм08-03-527-02</t>
  </si>
  <si>
    <t>Ящик с трехполюсным рубильником и конденсаторами, устанавливаемый на конструкции на стене или колонне, на ток до 160 А</t>
  </si>
  <si>
    <t xml:space="preserve">                                   Реверсоры и контакторы высокого напряжения</t>
  </si>
  <si>
    <t>ТЕРм08-03-528-01</t>
  </si>
  <si>
    <t>Реверсор с вакуумными или электромагнитными контакторами на напряжение 6-10 кВ на ток до 400 А в шкафу, устанавливаемый на конструкции на полу</t>
  </si>
  <si>
    <t>ТЕРм08-03-528-02</t>
  </si>
  <si>
    <t>Контактор на напряжение 6-10 кВ на ток до 400 А, устанавливаемый на конструкции на полу вакуумный</t>
  </si>
  <si>
    <t>ТЕРм08-03-528-03</t>
  </si>
  <si>
    <t>Контактор на напряжение 6-10 кВ на ток до 400 А, устанавливаемый на конструкции на полу электромагнитный</t>
  </si>
  <si>
    <t xml:space="preserve">                                   Контакторы и блок-контакторы</t>
  </si>
  <si>
    <t>ТЕРм08-03-529-01</t>
  </si>
  <si>
    <t>Контактор постоянного тока на конструкции на ток до 160 А</t>
  </si>
  <si>
    <t>ТЕРм08-03-529-02</t>
  </si>
  <si>
    <t>Контактор постоянного тока на конструкции на ток до 400 А</t>
  </si>
  <si>
    <t>ТЕРм08-03-529-03</t>
  </si>
  <si>
    <t>Контактор переменного тока на конструкции на ток до 160 А</t>
  </si>
  <si>
    <t>ТЕРм08-03-529-04</t>
  </si>
  <si>
    <t>Контактор переменного тока на конструкции на ток до 400 А</t>
  </si>
  <si>
    <t>ТЕРм08-03-529-05</t>
  </si>
  <si>
    <t>Блок-контактор на конструкции с количеством блок-контактов (вспомогательных контактов) до 12</t>
  </si>
  <si>
    <t>ТЕРм08-03-529-06</t>
  </si>
  <si>
    <t>Блок-контактор на конструкции с количеством блок-контактов (вспомогательных контактов) до 24</t>
  </si>
  <si>
    <t xml:space="preserve">                                   Пускатели магнитные</t>
  </si>
  <si>
    <t>ТЕРм08-03-530-01</t>
  </si>
  <si>
    <t>Пускатель магнитный общего назначения отдельно стоящий, устанавливаемый на конструкции на полу, на ток до 40 А</t>
  </si>
  <si>
    <t>ТЕРм08-03-530-02</t>
  </si>
  <si>
    <t>Пускатель магнитный общего назначения отдельно стоящий, устанавливаемый на конструкции на полу, на ток до 100 А</t>
  </si>
  <si>
    <t>ТЕРм08-03-530-03</t>
  </si>
  <si>
    <t>Пускатель магнитный общего назначения отдельно стоящий, устанавливаемый на конструкции на полу, на ток до 200 А</t>
  </si>
  <si>
    <t>ТЕРм08-03-530-04</t>
  </si>
  <si>
    <t>Пускатель магнитный общего назначения отдельно стоящий, устанавливаемый на конструкции на стене или колонне, на ток до 40 А</t>
  </si>
  <si>
    <t>ТЕРм08-03-530-05</t>
  </si>
  <si>
    <t>Пускатель магнитный общего назначения отдельно стоящий, устанавливаемый на конструкции на стене или колонне, на ток до 100 А</t>
  </si>
  <si>
    <t>ТЕРм08-03-530-06</t>
  </si>
  <si>
    <t>Пускатель магнитный общего назначения отдельно стоящий, устанавливаемый на конструкции на стене или колонне, на ток до 160 А</t>
  </si>
  <si>
    <t>ТЕРм08-03-530-07</t>
  </si>
  <si>
    <t>Пускатель магнитный общего назначения отдельно стоящий, устанавливаемый на конструкции на стене или колонне, на ток до 200 А</t>
  </si>
  <si>
    <t>ТЕРм08-03-530-08</t>
  </si>
  <si>
    <t>Сборка из нескольких пускателей магнитных общего назначения, устанавливаемая на конструкции на полу, на ток до 40 А</t>
  </si>
  <si>
    <t>ТЕРм08-03-530-09</t>
  </si>
  <si>
    <t>Сборка из нескольких пускателей магнитных общего назначения, устанавливаемая на конструкции на полу, на ток до 100 А</t>
  </si>
  <si>
    <t>ТЕРм08-03-530-10</t>
  </si>
  <si>
    <t>Сборка из нескольких пускателей магнитных общего назначения, устанавливаемая на конструкции на полу, на ток до 200 А</t>
  </si>
  <si>
    <t>ТЕРм08-03-530-11</t>
  </si>
  <si>
    <t>Сборка из нескольких пускателей магнитных общего назначения, устанавливаемая на конструкции на стене или колонне, на ток до 40 А</t>
  </si>
  <si>
    <t>ТЕРм08-03-530-12</t>
  </si>
  <si>
    <t>Сборка из нескольких пускателей магнитных общего назначения, устанавливаемая на конструкции на стене или колонне, на ток до 100 А</t>
  </si>
  <si>
    <t>ТЕРм08-03-530-13</t>
  </si>
  <si>
    <t>Сборка из нескольких пускателей магнитных общего назначения, устанавливаемая на конструкции на стене или колонне, на ток до 160 А</t>
  </si>
  <si>
    <t>ТЕРм08-03-530-14</t>
  </si>
  <si>
    <t>Сборка из нескольких пускателей магнитных общего назначения, устанавливаемая на конструкции на стене или колонне, на ток до 200 А</t>
  </si>
  <si>
    <t>ТЕРм08-03-530-15</t>
  </si>
  <si>
    <t>Пускатель магнитный взрывозащищенный маслонаполненный отдельно стоящий, устанавливаемый на конструкции на полу, на ток до 100 А</t>
  </si>
  <si>
    <t>ТЕРм08-03-530-16</t>
  </si>
  <si>
    <t>Пускатель магнитный взрывозащищенный маслонаполненный отдельно стоящий, устанавливаемый на конструкции на полу, на ток до 250 А</t>
  </si>
  <si>
    <t>ТЕРм08-03-530-17</t>
  </si>
  <si>
    <t>Пускатель магнитный взрывозащищенный маслонаполненный отдельно стоящий, устанавливаемый на конструкции на стене или колонне, на ток до 100 А</t>
  </si>
  <si>
    <t>ТЕРм08-03-530-18</t>
  </si>
  <si>
    <t>Пускатель магнитный взрывозащищенный маслонаполненный отдельно стоящий, устанавливаемый на конструкции на стене или колонне, на ток до 250 А</t>
  </si>
  <si>
    <t>ТЕРм08-03-530-19</t>
  </si>
  <si>
    <t>Сборка из нескольких пускателей магнитных взрывозащищенных маслонаполненных, устанавливаемая на конструкции на полу, на ток до 100 А</t>
  </si>
  <si>
    <t>ТЕРм08-03-530-20</t>
  </si>
  <si>
    <t>Сборка из нескольких пускателей магнитных взрывозащищенных маслонаполненных, устанавливаемая на конструкции на полу, на ток до 250 А</t>
  </si>
  <si>
    <t>ТЕРм08-03-530-21</t>
  </si>
  <si>
    <t>Сборка из нескольких пускателей магнитных взрывозащищенных маслонаполненных, устанавливаемая на конструкции на стене или колонне, на ток до 100 А</t>
  </si>
  <si>
    <t>ТЕРм08-03-530-22</t>
  </si>
  <si>
    <t>Сборка из нескольких пускателей магнитных взрывозащищенных маслонаполненных, устанавливаемая на конструкции на стене или колонне, на ток до 250 А</t>
  </si>
  <si>
    <t>ТЕРм08-03-530-23</t>
  </si>
  <si>
    <t>Пускатель магнитный взрывозащищенный в сухом исполнении отдельно стоящий, устанавливаемый на полу, на ток до 25 А</t>
  </si>
  <si>
    <t>ТЕРм08-03-530-24</t>
  </si>
  <si>
    <t>Пускатель магнитный взрывозащищенный в сухом исполнении отдельно стоящий, устанавливаемый на полу, на ток до 100 А</t>
  </si>
  <si>
    <t>ТЕРм08-03-530-25</t>
  </si>
  <si>
    <t>Пускатель магнитный взрывозащищенный в сухом исполнении отдельно стоящий, устанавливаемый на полу, на ток до 250 А</t>
  </si>
  <si>
    <t xml:space="preserve">                                   Пускатели ручные</t>
  </si>
  <si>
    <t>ТЕРм08-03-531-01</t>
  </si>
  <si>
    <t>Пускатель ручной общего назначения на ток до 25 А отдельно стоящий, устанавливаемый на конструкции на полу</t>
  </si>
  <si>
    <t>ТЕРм08-03-531-02</t>
  </si>
  <si>
    <t>Пускатель ручной общего назначения на ток до 25 А отдельно стоящий, устанавливаемый на конструкции на стене или колонне</t>
  </si>
  <si>
    <t xml:space="preserve">                                   Посты управления кнопочные</t>
  </si>
  <si>
    <t>ТЕРм08-03-532-01</t>
  </si>
  <si>
    <t>Пост управления кнопочный общего назначения, устанавливаемый на конструкции на полу, количество элементов поста до 3</t>
  </si>
  <si>
    <t>ТЕРм08-03-532-02</t>
  </si>
  <si>
    <t>Пост управления кнопочный общего назначения, устанавливаемый на конструкции на полу, количество элементов поста до 9</t>
  </si>
  <si>
    <t>ТЕРм08-03-532-03</t>
  </si>
  <si>
    <t>Пост управления кнопочный общего назначения, устанавливаемый на конструкции на полу, количество элементов поста до 16</t>
  </si>
  <si>
    <t>ТЕРм08-03-532-04</t>
  </si>
  <si>
    <t>Пост управления кнопочный общего назначения, устанавливаемый на конструкции на стене или колонне, количество элементов поста до 3</t>
  </si>
  <si>
    <t>ТЕРм08-03-532-05</t>
  </si>
  <si>
    <t>Пост управления кнопочный общего назначения, устанавливаемый на конструкции на стене или колонне, количество элементов поста до 6</t>
  </si>
  <si>
    <t>ТЕРм08-03-532-06</t>
  </si>
  <si>
    <t>Пост управления кнопочный общего назначения, устанавливаемый на конструкции на стене или колонне, количество элементов поста до 9</t>
  </si>
  <si>
    <t>ТЕРм08-03-532-07</t>
  </si>
  <si>
    <t>Пост управления кнопочный общего назначения, устанавливаемый на конструкции на стене или колонне, количество элементов поста до 16</t>
  </si>
  <si>
    <t>ТЕРм08-03-532-08</t>
  </si>
  <si>
    <t>Пост управления кнопочный взрывозащищенный с количеством элементов поста до 3, устанавливаемый на конструкции на полу</t>
  </si>
  <si>
    <t>ТЕРм08-03-532-09</t>
  </si>
  <si>
    <t>Пост управления кнопочный взрывозащищенный с количеством элементов поста до 3, устанавливаемый на конструкции на стене или колонне</t>
  </si>
  <si>
    <t>ТЕРм08-03-532-10</t>
  </si>
  <si>
    <t>Сборка из нескольких постов управления кнопочных общего назначения, устанавливаемая на конструкции на полу, количество элементов поста до 3</t>
  </si>
  <si>
    <t>ТЕРм08-03-532-11</t>
  </si>
  <si>
    <t>Сборка из нескольких постов управления кнопочных общего назначения, устанавливаемая на конструкции на полу, количество элементов поста до 6</t>
  </si>
  <si>
    <t>ТЕРм08-03-532-12</t>
  </si>
  <si>
    <t>Сборка из нескольких постов управления кнопочных общего назначения, устанавливаемая на конструкции на стене или колонне, количество элементов поста до 3</t>
  </si>
  <si>
    <t>ТЕРм08-03-532-13</t>
  </si>
  <si>
    <t>Сборка из нескольких постов управления кнопочных общего назначения, устанавливаемая на конструкции на стене или колонне, количество элементов поста до 6</t>
  </si>
  <si>
    <t>ТЕРм08-03-532-14</t>
  </si>
  <si>
    <t>Сборка из нескольких постов управления кнопочных взрывозащищенных с количеством элементов поста до 3, устанавливаемая на на полу</t>
  </si>
  <si>
    <t>ТЕРм08-03-532-15</t>
  </si>
  <si>
    <t>Сборка из нескольких постов управления кнопочных взрывозащищенных с количеством элементов поста до 3, устанавливаемая на на стене или колонне</t>
  </si>
  <si>
    <t xml:space="preserve">                                   Посты управления кнопочные подвесные</t>
  </si>
  <si>
    <t>ТЕРм08-03-533-01</t>
  </si>
  <si>
    <t>Пост управления кнопочный подвесной, подвешиваемый на кабеле (тросе), количество элементов поста до 3</t>
  </si>
  <si>
    <t>ТЕРм08-03-533-02</t>
  </si>
  <si>
    <t>Пост управления кнопочный подвесной, подвешиваемый на кабеле (тросе), количество элементов поста до 10</t>
  </si>
  <si>
    <t>ТЕРм08-03-533-03</t>
  </si>
  <si>
    <t>Пост управления кнопочный подвесной, подвешиваемый на кабеле (тросе), количество элементов поста до 16</t>
  </si>
  <si>
    <t xml:space="preserve">                                   Переключатели универсальные</t>
  </si>
  <si>
    <t>ТЕРм08-03-534-01</t>
  </si>
  <si>
    <t>Переключатель универсальный пылеводозащищенный, устанавливаемый на конструкции на стене или колонне, количество секций до 4</t>
  </si>
  <si>
    <t>ТЕРм08-03-534-02</t>
  </si>
  <si>
    <t>Переключатель универсальный пылеводозащищенный, устанавливаемый на конструкции на стене или колонне, количество секций до 10</t>
  </si>
  <si>
    <t>ТЕРм08-03-534-03</t>
  </si>
  <si>
    <t>Переключатель универсальный пылеводозащищенный, устанавливаемый на конструкции на стене или колонне, количество секций до 16</t>
  </si>
  <si>
    <t>ТЕРм08-03-534-04</t>
  </si>
  <si>
    <t>Переключатель универсальный пылеводозащищенный, устанавливаемый на конструкции на стене или колонне, количество секций до 24</t>
  </si>
  <si>
    <t>ТЕРм08-03-534-05</t>
  </si>
  <si>
    <t>Переключатель универсальный взрывозащищенный, устанавливаемый на конструкции на стене или колонне, количество секций до 4</t>
  </si>
  <si>
    <t>ТЕРм08-03-534-06</t>
  </si>
  <si>
    <t>Переключатель универсальный взрывозащищенный, устанавливаемый на конструкции на стене или колонне, количество секций до 14</t>
  </si>
  <si>
    <t xml:space="preserve">                                   Командоаппараты нерегулируемые (командоконтроллеры)</t>
  </si>
  <si>
    <t>ТЕРм08-03-535-01</t>
  </si>
  <si>
    <t>Командоаппарат ручной контактный, устанавливаемый на конструкции на полу, масса до 15 кг, количество цепей до 6</t>
  </si>
  <si>
    <t>ТЕРм08-03-535-02</t>
  </si>
  <si>
    <t>Командоаппарат ручной контактный, устанавливаемый на конструкции на полу, масса до 15 кг, количество цепей до 12</t>
  </si>
  <si>
    <t>ТЕРм08-03-535-03</t>
  </si>
  <si>
    <t>Командоаппарат ручной бесконтактный для подключения до 14 выводов, устанавливаемый на конструкции на полу, масса до 15 кг</t>
  </si>
  <si>
    <t>ТЕРм08-03-535-04</t>
  </si>
  <si>
    <t>Командоаппарат педальный (ножной) бесконтактный для подключения до 20 выводов, устанавливаемый на конструкции на полу, масса до 35 кг</t>
  </si>
  <si>
    <t xml:space="preserve">                                   Контроллеры кулачковые</t>
  </si>
  <si>
    <t>ТЕРм08-03-536-01</t>
  </si>
  <si>
    <t>Контроллер кулачковый постоянного или переменного тока на ток до 63 А, устанавливаемый на конструкции на полу</t>
  </si>
  <si>
    <t xml:space="preserve">                                   Командоаппараты регулируемые (Путевые выключатели)</t>
  </si>
  <si>
    <t>ТЕРм08-03-537-01</t>
  </si>
  <si>
    <t>Командоаппарат кулачковый регулируемый без редуктора, устанавливаемый на металлическом основании, количество цепей до 2</t>
  </si>
  <si>
    <t>ТЕРм08-03-537-02</t>
  </si>
  <si>
    <t>Командоаппарат кулачковый регулируемый без редуктора, устанавливаемый на металлическом основании, количество цепей до 6</t>
  </si>
  <si>
    <t>ТЕРм08-03-537-03</t>
  </si>
  <si>
    <t>Командоаппарат кулачковый регулируемый без редуктора, устанавливаемый на конструкции на полу, количество цепей до 2</t>
  </si>
  <si>
    <t>ТЕРм08-03-537-04</t>
  </si>
  <si>
    <t>Командоаппарат кулачковый регулируемый без редуктора, устанавливаемый на конструкции на полу, количество цепей до 6</t>
  </si>
  <si>
    <t>ТЕРм08-03-537-05</t>
  </si>
  <si>
    <t>Командоаппарат кулачковый регулируемый со встроенным редуктором, устанавливаемый на металлическом основании, количество цепей до 2</t>
  </si>
  <si>
    <t>ТЕРм08-03-537-06</t>
  </si>
  <si>
    <t>Командоаппарат кулачковый регулируемый со встроенным редуктором, устанавливаемый на металлическом основании, количество цепей до 8</t>
  </si>
  <si>
    <t>ТЕРм08-03-537-07</t>
  </si>
  <si>
    <t>Командоаппарат кулачковый регулируемый со встроенным редуктором, устанавливаемый на металлическом основании, количество цепей до 24</t>
  </si>
  <si>
    <t>ТЕРм08-03-537-08</t>
  </si>
  <si>
    <t>Командоаппарат кулачковый регулируемый со встроенным редуктором, устанавливаемый на конструкции на полу, количество цепей до 2</t>
  </si>
  <si>
    <t>ТЕРм08-03-537-09</t>
  </si>
  <si>
    <t>Командоаппарат кулачковый регулируемый со встроенным редуктором, устанавливаемый на конструкции на полу, количество цепей до 8</t>
  </si>
  <si>
    <t>ТЕРм08-03-537-10</t>
  </si>
  <si>
    <t>Командоаппарат кулачковый регулируемый со встроенным редуктором, устанавливаемый на конструкции на полу, количество цепей до 24</t>
  </si>
  <si>
    <t>ТЕРм08-03-537-11</t>
  </si>
  <si>
    <t>Командоаппарат кулачковый регулируемый со встроенным редуктором, устанавливаемый на конструкции на полу, количество цепей до 24, с электроприводом</t>
  </si>
  <si>
    <t>ТЕРм08-03-537-12</t>
  </si>
  <si>
    <t>Командоаппарат кулачковый регулируемый со встроенным редуктором, устанавливаемый на конструкции на полу, количество цепей до 24, взрывозащищенный маслонаполненный</t>
  </si>
  <si>
    <t xml:space="preserve">                                   Выключатели путевые конечные и микропереключатели</t>
  </si>
  <si>
    <t>ТЕРм08-03-538-01</t>
  </si>
  <si>
    <t>Выключатель путевой или конечный рычажный контактный общего назначения массой до 10 кг, устанавливаемый на металлическом основании</t>
  </si>
  <si>
    <t>ТЕРм08-03-538-02</t>
  </si>
  <si>
    <t>Выключатель путевой или конечный рычажный контактный общего назначения массой до 10 кг, устанавливаемый на конструкции на стене или колонне</t>
  </si>
  <si>
    <t>ТЕРм08-03-538-03</t>
  </si>
  <si>
    <t>Выключатель путевой или конечный контактный, устанавливаемый на металлическом основании взрывозащищенный,в том числе маслонаполненный, масса до 10 кг</t>
  </si>
  <si>
    <t>ТЕРм08-03-538-04</t>
  </si>
  <si>
    <t>Выключатель путевой или конечный контактный, устанавливаемый на металлическом основании малогабаритный одно-, двухкнопочный или микропереключатель</t>
  </si>
  <si>
    <t>ТЕРм08-03-538-05</t>
  </si>
  <si>
    <t>Выключатель путевой или конечный бесконтактный, устанавливаемый на металлическом основании</t>
  </si>
  <si>
    <t xml:space="preserve">                                   Линейки ограничения хода механизмов</t>
  </si>
  <si>
    <t>ТЕРм08-03-539-01</t>
  </si>
  <si>
    <t>Линейка, устанавливаемая на металлической конструкции, масса до 5 кг</t>
  </si>
  <si>
    <t>ТЕРм08-03-539-02</t>
  </si>
  <si>
    <t>Линейка, устанавливаемая на металлической конструкции, масса до 10 кг</t>
  </si>
  <si>
    <t>ТЕРм08-03-539-03</t>
  </si>
  <si>
    <t>Линейка, устанавливаемая на металлической конструкции, масса до 25 кг</t>
  </si>
  <si>
    <t xml:space="preserve">                                   Реостаты и регуляторы установочные и возбуждения</t>
  </si>
  <si>
    <t>ТЕРм08-03-540-01</t>
  </si>
  <si>
    <t>Реостат переменного тока масляный с ручным приводом, устанавливаемый на конструкции на полу, масса (без масла) до 350 кг</t>
  </si>
  <si>
    <t>ТЕРм08-03-540-02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</si>
  <si>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стене или колонне, масса до 25 кг</t>
  </si>
  <si>
    <t>ТЕРм08-03-540-03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</si>
  <si>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стене или колонне, масса до 50 кг</t>
  </si>
  <si>
    <t>ТЕРм08-03-540-04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</si>
  <si>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стене или колонне, масса до 100 кг</t>
  </si>
  <si>
    <t>ТЕРм08-03-540-05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</si>
  <si>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25 кг</t>
  </si>
  <si>
    <t>ТЕРм08-03-540-06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</si>
  <si>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100 кг</t>
  </si>
  <si>
    <t>ТЕРм08-03-540-07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</si>
  <si>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200 кг</t>
  </si>
  <si>
    <t>ТЕРм08-03-540-08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</si>
  <si>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350 кг</t>
  </si>
  <si>
    <t>ТЕРм08-03-540-09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</si>
  <si>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500 кг</t>
  </si>
  <si>
    <t>ТЕРм08-03-540-10</t>
  </si>
  <si>
    <t>Реостат постоянного тока пусковой или пускорегулирующий; регулятор возбуждения или установочный с ручным приводом, устанавливаемый на конструкции на полу, масса до 800 кг</t>
  </si>
  <si>
    <t>ТЕРм08-03-540-11</t>
  </si>
  <si>
    <t>Регулятор возбуждения с электроприводом, устанавливаемый на конструкции на полу, масса до 100 кг</t>
  </si>
  <si>
    <t>ТЕРм08-03-540-12</t>
  </si>
  <si>
    <t>Регулятор возбуждения с электроприводом, устанавливаемый на конструкции на полу, масса до 200 кг</t>
  </si>
  <si>
    <t>ТЕРм08-03-540-13</t>
  </si>
  <si>
    <t>Регулятор возбуждения с электроприводом, устанавливаемый на конструкции на полу, масса до 350 кг</t>
  </si>
  <si>
    <t>ТЕРм08-03-540-14</t>
  </si>
  <si>
    <t>Регулятор возбуждения с электроприводом, устанавливаемый на конструкции на полу, масса до 500 кг</t>
  </si>
  <si>
    <t>ТЕРм08-03-540-15</t>
  </si>
  <si>
    <t>Регулятор возбуждения с электроприводом, устанавливаемый на конструкции на полу, масса до 800 кг</t>
  </si>
  <si>
    <t xml:space="preserve">                                   Блоки резисторов (ящики сопротивлений) без ошиновки и других соединений между блоками</t>
  </si>
  <si>
    <t>ТЕРм08-03-541-01</t>
  </si>
  <si>
    <t>Блок резисторов до 660 В защищенного исполнения (в кожухе), устанавливаемый без стеллажа на конструкции на полу, масса до 50 кг</t>
  </si>
  <si>
    <t>ТЕРм08-03-541-02</t>
  </si>
  <si>
    <t>Блок резисторов до 660 В защищенного исполнения (в кожухе), устанавливаемый без стеллажа на конструкции на полу, масса до 250 кг</t>
  </si>
  <si>
    <t>ТЕРм08-03-541-03</t>
  </si>
  <si>
    <t>Сборка из блоков резисторов до 660 В однорядная, устанавливаемая без стеллажа на конструкции на полу, до трех ярусов, масса блока до 50 кг</t>
  </si>
  <si>
    <t>ТЕРм08-03-541-04</t>
  </si>
  <si>
    <t>Стеллаж с блоками резисторов до 660 В многорядный, устанавливаемый на конструкции на полу, до пяти ярусов, масса блока до 25 кг</t>
  </si>
  <si>
    <t>ТЕРм08-03-541-05</t>
  </si>
  <si>
    <t>Стеллаж с блоками резисторов до 660 В многорядный, устанавливаемый на конструкции на полу, до пяти ярусов, масса блока до 50 кг</t>
  </si>
  <si>
    <t>ТЕРм08-03-541-06</t>
  </si>
  <si>
    <t>Блок резисторов до 660 В подвесной, устанавливаемый на конструкции на стене или колонне, масса до 30 кг</t>
  </si>
  <si>
    <t>ТЕРм08-03-541-07</t>
  </si>
  <si>
    <t>Блок резисторов до 660 В подвесной, устанавливаемый на конструкции на стене или колонне, масса до 60 кг</t>
  </si>
  <si>
    <t>ТЕРм08-03-541-08</t>
  </si>
  <si>
    <t>Сборка из блоков резисторов до 1 кВ однорядная до четырех ярусов, устанавливаемая на конструкции на полу, масса сборки до 130 кг</t>
  </si>
  <si>
    <t>ТЕРм08-03-541-09</t>
  </si>
  <si>
    <t>Сборка из блоков резисторов до 1 кВ однорядная до четырех ярусов, устанавливаемая на конструкции на полу, масса сборки до 220 кг</t>
  </si>
  <si>
    <t xml:space="preserve">                                   Электромагниты (электрическая часть)</t>
  </si>
  <si>
    <t>ТЕРм08-03-542-01</t>
  </si>
  <si>
    <t>Электромагнит длинно- или короткоходовой, масса до 15 кг</t>
  </si>
  <si>
    <t>ТЕРм08-03-542-02</t>
  </si>
  <si>
    <t>Электромагнит длинно- или короткоходовой, масса до 50 кг</t>
  </si>
  <si>
    <t>ТЕРм08-03-542-03</t>
  </si>
  <si>
    <t>Электромагнит длинно- или короткоходовой, масса до 100 кг</t>
  </si>
  <si>
    <t xml:space="preserve">                                   Световые сигнальные приборы</t>
  </si>
  <si>
    <t>ТЕРм08-03-543-01</t>
  </si>
  <si>
    <t>Светофор с количеством ламп до трех, устанавливаемый на конструкции на полу</t>
  </si>
  <si>
    <t>ТЕРм08-03-543-02</t>
  </si>
  <si>
    <t>Светофор с количеством ламп до трех, устанавливаемый на конструкции на стене, колонне или балке</t>
  </si>
  <si>
    <t xml:space="preserve">                                   Колонки распределительные для цеховых модульных распределительных сетей</t>
  </si>
  <si>
    <t>ТЕРм08-03-544-01</t>
  </si>
  <si>
    <t>Колонка распределительная с автоматическими выключателями или с рубильником и предохранителями на ток до 63 А, устанавливаемая на модульной коробке и присоединяемая к магистрали из проводов с жилами сечением до 35 мм2</t>
  </si>
  <si>
    <t>ТЕРм08-03-544-02</t>
  </si>
  <si>
    <t>Колонка распределительная с автоматическими выключателями или с рубильником и предохранителями на ток до 63 А, устанавливаемая на модульной коробке и присоединяемая к магистрали из проводов с жилами сечением до 95 мм2</t>
  </si>
  <si>
    <t>ТЕРм08-03-544-03</t>
  </si>
  <si>
    <t>Колонка распределительная со штепсельными розетками на ток 25 А, устанавливаемая на модульной коробке и присоединяемая к магистрали из проводов с жилами сечением до 35 мм2</t>
  </si>
  <si>
    <t>ТЕРм08-03-544-04</t>
  </si>
  <si>
    <t>Колонка распределительная со штепсельными розетками на ток 25 А, устанавливаемая на модульной коробке и присоединяемая к магистрали из проводов с жилами сечением до 95 мм2</t>
  </si>
  <si>
    <t xml:space="preserve">                                   Коробки (ящики) с зажимами и кожухи металлические для защиты вводов и электрооборудования</t>
  </si>
  <si>
    <t>ТЕРм08-03-545-01</t>
  </si>
  <si>
    <t>Коробка (ящик) с зажимами для кабелей и проводов сечением до 6 мм2, устанавливаемая на конструкции на стене или колонне, количество зажимов до 10</t>
  </si>
  <si>
    <t>ТЕРм08-03-545-02</t>
  </si>
  <si>
    <t>Коробка (ящик) с зажимами для кабелей и проводов сечением до 6 мм2, устанавливаемая на конструкции на стене или колонне, количество зажимов до 20</t>
  </si>
  <si>
    <t>ТЕРм08-03-545-03</t>
  </si>
  <si>
    <t>Коробка (ящик) с зажимами для кабелей и проводов сечением до 6 мм2, устанавливаемая на конструкции на стене или колонне, количество зажимов до 32</t>
  </si>
  <si>
    <t>ТЕРм08-03-545-04</t>
  </si>
  <si>
    <t>За каждый последующий зажим сверх 32 добавлять к расценке 08-03-545-03</t>
  </si>
  <si>
    <t>ТЕРм08-03-545-05</t>
  </si>
  <si>
    <t>Коробка с зажимами, устанавливаемая на конструкции на стене или колонне, для кабелей или проводов сечением до 10 мм2, с количеством зажимов до 4</t>
  </si>
  <si>
    <t>ТЕРм08-03-545-06</t>
  </si>
  <si>
    <t>Коробка с зажимами, устанавливаемая на конструкции на стене или колонне, для кабелей или проводов сечением до 10 мм2, с количеством зажимов до 6</t>
  </si>
  <si>
    <t>ТЕРм08-03-545-07</t>
  </si>
  <si>
    <t>Коробка с зажимами, устанавливаемая на конструкции на стене или колонне, для кабелей или проводов сечением до 16 мм2, с количеством зажимов до 4</t>
  </si>
  <si>
    <t>ТЕРм08-03-545-08</t>
  </si>
  <si>
    <t>Коробка с зажимами, устанавливаемая на конструкции на стене или колонне, для кабелей или проводов сечением до 16 мм2, с количеством зажимов до 6</t>
  </si>
  <si>
    <t>ТЕРм08-03-545-09</t>
  </si>
  <si>
    <t>Коробка с зажимами, устанавливаемая на конструкции на стене или колонне, для кабелей или проводов сечением до 32 мм2, с количеством зажимов до 4</t>
  </si>
  <si>
    <t>ТЕРм08-03-545-10</t>
  </si>
  <si>
    <t>Коробка с зажимами, устанавливаемая на конструкции на стене или колонне, для кабелей или проводов сечением до 32 мм2, с количеством зажимов до 6</t>
  </si>
  <si>
    <t>ТЕРм08-03-545-11</t>
  </si>
  <si>
    <t>Коробка с зажимами, устанавливаемая на конструкции на стене или колонне, для кабелей или проводов сечением до 70 мм2, с количеством зажимов до 4</t>
  </si>
  <si>
    <t>ТЕРм08-03-545-12</t>
  </si>
  <si>
    <t>Коробка с зажимами, устанавливаемая на конструкции на стене или колонне, для кабелей или проводов сечением до 70 мм2, с количеством зажимов до 6</t>
  </si>
  <si>
    <t>ТЕРм08-03-545-13</t>
  </si>
  <si>
    <t>Коробка с зажимами, устанавливаемая на конструкции на стене или колонне, для кабелей или проводов сечением до 120 мм2, с количеством зажимов до 4</t>
  </si>
  <si>
    <t>ТЕРм08-03-545-14</t>
  </si>
  <si>
    <t>Коробка с зажимами, устанавливаемая на конструкции на стене или колонне, для кабелей или проводов сечением до 120 мм2, с количеством зажимов до 6</t>
  </si>
  <si>
    <t>ТЕРм08-03-545-15</t>
  </si>
  <si>
    <t>Коробка с зажимами, устанавливаемая на конструкции на стене или колонне, для кабелей или проводов сечением до 185 мм2, с количеством зажимов до 4</t>
  </si>
  <si>
    <t>ТЕРм08-03-545-16</t>
  </si>
  <si>
    <t>Коробка с зажимами, устанавливаемая на конструкции на стене или колонне, для кабелей или проводов сечением до 185 мм2, с количеством зажимов до 6</t>
  </si>
  <si>
    <t>ТЕРм08-03-545-17</t>
  </si>
  <si>
    <t>Кожух металлический для защиты вводов и электрооборудования</t>
  </si>
  <si>
    <t xml:space="preserve">                                   Раздел 4. НИЗКОВОЛЬТНЫЕ КОМПЛЕКТНЫЕ УСТРОЙСТВА</t>
  </si>
  <si>
    <t xml:space="preserve">                                   Щиты и стеллажи с блоками резисторов (ящиками сопротивления) высотой свыше 1700 мм</t>
  </si>
  <si>
    <t>ТЕРм08-03-571-01</t>
  </si>
  <si>
    <t>Щит, собираемый из отдельных панелей и блоков управления, однорядный или двухрядный без блоков резисторов глубиной до 800 мм открытого исполнения</t>
  </si>
  <si>
    <t>ТЕРм08-03-571-02</t>
  </si>
  <si>
    <t>Щит, собираемый из отдельных панелей и блоков управления, однорядный или двухрядный без блоков резисторов глубиной до 800 мм шкафного исполнения</t>
  </si>
  <si>
    <t>ТЕРм08-03-571-03</t>
  </si>
  <si>
    <t>Щит заводского изготовления однорядный или двухрядный открытого исполнения, глубина до 800 мм</t>
  </si>
  <si>
    <t>ТЕРм08-03-571-04</t>
  </si>
  <si>
    <t>Щит заводского изготовления однорядный или двухрядный шкафного исполнения, глубина до 600 мм</t>
  </si>
  <si>
    <t>ТЕРм08-03-571-05</t>
  </si>
  <si>
    <t>Щит заводского изготовления однорядный или двухрядный шкафного исполнения, глубина до 800 мм</t>
  </si>
  <si>
    <t>ТЕРм08-03-571-06</t>
  </si>
  <si>
    <t>Стеллаж заводского изготовления с блоками резисторов до 1000 В, масса до 40 кг, ширина стеллажа по фронту 900 мм</t>
  </si>
  <si>
    <t>ТЕРм08-03-571-07</t>
  </si>
  <si>
    <t>Стеллаж заводского изготовления с блоками резисторов до 1000 В, масса до 40 кг, ширина стеллажа по фронту 1800 мм</t>
  </si>
  <si>
    <t>ТЕРм08-03-571-08</t>
  </si>
  <si>
    <t>Стеллаж заводского изготовления с блоками резисторов до 1000 В, масса до 40 кг, ширина стеллажа по фронту 2700 мм</t>
  </si>
  <si>
    <t>ТЕРм08-03-571-09</t>
  </si>
  <si>
    <t>Стеллаж заводского изготовления с блоками резисторов до 1000 В, масса до 40 кг, ширина стеллажа по фронту 3600 мм</t>
  </si>
  <si>
    <t>ТЕРм08-03-571-10</t>
  </si>
  <si>
    <t>Стеллаж заводского изготовления с блоками резисторов до 1000 В, масса до 60 кг, ширина стеллажа по фронту 900 мм</t>
  </si>
  <si>
    <t>ТЕРм08-03-571-11</t>
  </si>
  <si>
    <t>Стеллаж заводского изготовления с блоками резисторов до 1000 В, масса до 60 кг, ширина стеллажа по фронту 1800 мм</t>
  </si>
  <si>
    <t>ТЕРм08-03-571-12</t>
  </si>
  <si>
    <t>Стеллаж заводского изготовления с блоками резисторов до 1000 В, масса до 60 кг, ширина стеллажа по фронту 2700 мм</t>
  </si>
  <si>
    <t>ТЕРм08-03-571-13</t>
  </si>
  <si>
    <t>Стеллаж заводского изготовления с блоками резисторов до 1000 В, масса до 60 кг, ширина стеллажа по фронту 3600 мм</t>
  </si>
  <si>
    <t xml:space="preserve">                                   Блоки управления и распределительные пункты (шкафы) высотой до 1700 мм</t>
  </si>
  <si>
    <t>ТЕРм08-03-572-01</t>
  </si>
  <si>
    <t>Блок управления открытого исполнения высотой и шириной до 1000х800 мм, устанавливаемый на стене</t>
  </si>
  <si>
    <t>ТЕРм08-03-572-02</t>
  </si>
  <si>
    <t>Блок управления открытого исполнения высотой и шириной до 1000х800 мм, устанавливаемый на металлическом основании</t>
  </si>
  <si>
    <t>ТЕРм08-03-572-03</t>
  </si>
  <si>
    <t>Блок управления шкафного исполнения или распределительный пункт (шкаф), устанавливаемый на стене, высота и ширина до 600х600 мм</t>
  </si>
  <si>
    <t>ТЕРм08-03-572-04</t>
  </si>
  <si>
    <t>Блок управления шкафного исполнения или распределительный пункт (шкаф), устанавливаемый на стене, высота и ширина до 1200х1000 мм</t>
  </si>
  <si>
    <t>ТЕРм08-03-572-05</t>
  </si>
  <si>
    <t>Блок управления шкафного исполнения или распределительный пункт (шкаф), устанавливаемый на стене, высота и ширина до 1700х1100 мм</t>
  </si>
  <si>
    <t>ТЕРм08-03-572-06</t>
  </si>
  <si>
    <t>Блок управления шкафного исполнения или распределительный пункт (шкаф), устанавливаемый на полу, высота и ширина до 200х1000 мм</t>
  </si>
  <si>
    <t>ТЕРм08-03-572-07</t>
  </si>
  <si>
    <t>Блок управления шкафного исполнения или распределительный пункт (шкаф), устанавливаемый на полу, высота и ширина до 1700х1100 мм</t>
  </si>
  <si>
    <t>ТЕРм08-03-572-08</t>
  </si>
  <si>
    <t>Блок управления шкафного исполнения или распределительный пункт (шкаф), устанавливаемый в нише, высота и ширина до 700х850 мм</t>
  </si>
  <si>
    <t>ТЕРм08-03-572-09</t>
  </si>
  <si>
    <t>Блок управления шкафного исполнения или распределительный пункт (шкаф), устанавливаемый в нише, высота и ширина до 1300х850 мм</t>
  </si>
  <si>
    <t xml:space="preserve">                                   Пульты и шкафы упраления</t>
  </si>
  <si>
    <t>ТЕРм08-03-573-01</t>
  </si>
  <si>
    <t>Пульт управления напольный, высота до 1200 мм, глубина и ширина по фронту до 700х600 мм</t>
  </si>
  <si>
    <t>ТЕРм08-03-573-02</t>
  </si>
  <si>
    <t>Пульт управления напольный, высота до 1200 мм, глубина и ширина по фронту до 700х1000 мм</t>
  </si>
  <si>
    <t>ТЕРм08-03-573-03</t>
  </si>
  <si>
    <t>Вставка пульта управления угловая напольная глубиной до 700 мм</t>
  </si>
  <si>
    <t>ТЕРм08-03-573-04</t>
  </si>
  <si>
    <t>Шкаф (пульт) управления навесной, высота, ширина и глубина до 600х600х350 мм</t>
  </si>
  <si>
    <t>ТЕРм08-03-573-05</t>
  </si>
  <si>
    <t>Шкаф (пульт) управления навесной, высота, ширина и глубина до 900х600х500 мм</t>
  </si>
  <si>
    <t>ТЕРм08-03-573-06</t>
  </si>
  <si>
    <t>Шкаф (пульт) управления навесной, высота, ширина и глубина до 1200х600х500 мм</t>
  </si>
  <si>
    <t xml:space="preserve">                                   Разводка по устройствам и подключение жил кабелей или проводов внешней сети к блокам зажимов и к зажимам аппаратов и приборов, установленных на устройствах</t>
  </si>
  <si>
    <t>ТЕРм08-03-574-01</t>
  </si>
  <si>
    <t>Разводка по устройствам и подключение жил кабелей или проводов сечением до 10 мм2</t>
  </si>
  <si>
    <t>ТЕРм08-03-574-02</t>
  </si>
  <si>
    <t>Разводка по устройствам и подключение жил кабелей или проводов сечением до 16 мм2</t>
  </si>
  <si>
    <t>ТЕРм08-03-574-03</t>
  </si>
  <si>
    <t>Разводка по устройствам и подключение жил кабелей или проводов сечением до 35 мм2</t>
  </si>
  <si>
    <t>ТЕРм08-03-574-04</t>
  </si>
  <si>
    <t>Разводка по устройствам и подключение жил кабелей или проводов сечением до 70 мм2</t>
  </si>
  <si>
    <t>ТЕРм08-03-574-05</t>
  </si>
  <si>
    <t>Разводка по устройствам и подключение жил кабелей или проводов сечением до 95 мм2</t>
  </si>
  <si>
    <t>ТЕРм08-03-574-06</t>
  </si>
  <si>
    <t>Разводка по устройствам и подключение жил кабелей или проводов сечением до 120 мм2</t>
  </si>
  <si>
    <t>ТЕРм08-03-574-07</t>
  </si>
  <si>
    <t>Разводка по устройствам и подключение жил кабелей или проводов сечением до 150 мм2</t>
  </si>
  <si>
    <t>ТЕРм08-03-574-08</t>
  </si>
  <si>
    <t>Разводка по устройствам и подключение жил кабелей или проводов сечением до 185 мм2</t>
  </si>
  <si>
    <t>ТЕРм08-03-574-09</t>
  </si>
  <si>
    <t>Разводка по устройствам и подключение жил кабелей или проводов сечением до 240 мм2</t>
  </si>
  <si>
    <t xml:space="preserve">                                   Приборы и аппараты, снятые перед транспортировкой</t>
  </si>
  <si>
    <t>ТЕРм08-03-575-01</t>
  </si>
  <si>
    <t>Прибор или аппарат</t>
  </si>
  <si>
    <t>ТЕРм08-03-575-02</t>
  </si>
  <si>
    <t>Блок резисторов (ящик сопротивлений) масса до 15 кг</t>
  </si>
  <si>
    <t>ТЕРм08-03-575-03</t>
  </si>
  <si>
    <t>Блок резисторов (ящик сопротивлений) масса до 40 кг</t>
  </si>
  <si>
    <t>ТЕРм08-03-575-04</t>
  </si>
  <si>
    <t>Блок резисторов (ящик сопротивлений) масса до 50 кг</t>
  </si>
  <si>
    <t>ТЕРм08-03-575-05</t>
  </si>
  <si>
    <t>Блок резисторов (ящик сопротивлений) масса до 60 кг</t>
  </si>
  <si>
    <t xml:space="preserve">                                   Раздел 5. ПРИБОРЫ ОСВЕТИТЕЛЬНЫЕ, НАГРЕВАТЕЛЬНЫЕ, ЩИТКИ И СЧЕТЧИКИ</t>
  </si>
  <si>
    <t xml:space="preserve">                                   Выключатели, переключатели и штепсельные розетки</t>
  </si>
  <si>
    <t>ТЕРм08-03-591-01</t>
  </si>
  <si>
    <t>Выключатель одноклавишный неутопленного типа при открытой проводке</t>
  </si>
  <si>
    <t>ТЕРм08-03-591-02</t>
  </si>
  <si>
    <t>Выключатель одноклавишный утопленного типа при скрытой проводке</t>
  </si>
  <si>
    <t>ТЕРм08-03-591-03</t>
  </si>
  <si>
    <t>Выключатель полугерметический и герметический</t>
  </si>
  <si>
    <t>ТЕРм08-03-591-04</t>
  </si>
  <si>
    <t>Выключатель двухклавишный неутопленного типа при открытой проводке</t>
  </si>
  <si>
    <t>ТЕРм08-03-591-05</t>
  </si>
  <si>
    <t>Выключатель двухклавишный утопленного типа при скрытой проводке</t>
  </si>
  <si>
    <t>ТЕРм08-03-591-06</t>
  </si>
  <si>
    <t>Переключатель неутопленного типа при открытой проводке</t>
  </si>
  <si>
    <t>ТЕРм08-03-591-07</t>
  </si>
  <si>
    <t>Переключатель утопленного типа при скрытой проводке</t>
  </si>
  <si>
    <t>ТЕРм08-03-591-08</t>
  </si>
  <si>
    <t>Розетка штепсельная неутопленного типа при открытой проводке</t>
  </si>
  <si>
    <t>ТЕРм08-03-591-09</t>
  </si>
  <si>
    <t>Розетка штепсельная утопленного типа при скрытой проводке</t>
  </si>
  <si>
    <t>ТЕРм08-03-591-10</t>
  </si>
  <si>
    <t>Розетка штепсельная полугерметическая и герметическая</t>
  </si>
  <si>
    <t>ТЕРм08-03-591-11</t>
  </si>
  <si>
    <t>Розетка штепсельная трехполюсная</t>
  </si>
  <si>
    <t>ТЕРм08-03-591-12</t>
  </si>
  <si>
    <t>Блоки с тремя выключателями и одной штепсельной розеткой утопленного типа при скрытой проводке</t>
  </si>
  <si>
    <t xml:space="preserve">                                   Патроны</t>
  </si>
  <si>
    <t>ТЕРм08-03-592-01</t>
  </si>
  <si>
    <t>Патрон стенной или потолочный</t>
  </si>
  <si>
    <t>ТЕРм08-03-592-02</t>
  </si>
  <si>
    <t>Патрон подвесной</t>
  </si>
  <si>
    <t xml:space="preserve">                                   Светильники для ламп накаливания</t>
  </si>
  <si>
    <t>ТЕРм08-03-593-01</t>
  </si>
  <si>
    <t>Светильник с подвеской на крюк для помещений с нормальными условиями среды</t>
  </si>
  <si>
    <t>ТЕРм08-03-593-02</t>
  </si>
  <si>
    <t>Светильник с подвеской на крюк для помещений с повышенной влажностью и пыльностью</t>
  </si>
  <si>
    <t>ТЕРм08-03-593-03</t>
  </si>
  <si>
    <t>Светильник с подвеской на крюк для помещений с тяжелыми условиями среды</t>
  </si>
  <si>
    <t>ТЕРм08-03-593-04</t>
  </si>
  <si>
    <t>Светильник с навинчиванием на трубу для взрывоопасных помещений</t>
  </si>
  <si>
    <t>ТЕРм08-03-593-05</t>
  </si>
  <si>
    <t>Светильник потолочный или настенный с креплением винтами или болтами для помещений с тяжелыми условиями среды, уплотненный</t>
  </si>
  <si>
    <t>ТЕРм08-03-593-06</t>
  </si>
  <si>
    <t>Светильник потолочный или настенный с креплением винтами или болтами для помещений с нормальными условиями среды, одноламповый</t>
  </si>
  <si>
    <t>ТЕРм08-03-593-07</t>
  </si>
  <si>
    <t>Светильник потолочный или настенный с креплением винтами или болтами для помещений с нормальными условиями среды, двухламповый</t>
  </si>
  <si>
    <t>ТЕРм08-03-593-08</t>
  </si>
  <si>
    <t>Светильник с подвеской к смонтированной тросовой проводке</t>
  </si>
  <si>
    <t>ТЕРм08-03-593-09</t>
  </si>
  <si>
    <t>Светильник местного освещения</t>
  </si>
  <si>
    <t>ТЕРм08-03-593-10</t>
  </si>
  <si>
    <t>Световые настенные указатели</t>
  </si>
  <si>
    <t>ТЕРм08-03-593-11</t>
  </si>
  <si>
    <t>Люстры и подвесы с количеством ламп до 5</t>
  </si>
  <si>
    <t>ТЕРм08-03-593-12</t>
  </si>
  <si>
    <t>Люстры и подвесы с количеством ламп до 12</t>
  </si>
  <si>
    <t>ТЕРм08-03-593-13</t>
  </si>
  <si>
    <t>Люстры и подвесы с количеством ламп до 30</t>
  </si>
  <si>
    <t>ТЕРм08-03-593-14</t>
  </si>
  <si>
    <t>Люстры и подвесы с количеством ламп до 50</t>
  </si>
  <si>
    <t>ТЕРм08-03-593-15</t>
  </si>
  <si>
    <t>Люстры и подвесы с количеством ламп до 75</t>
  </si>
  <si>
    <t>ТЕРм08-03-593-16</t>
  </si>
  <si>
    <t>Люстры и подвесы с количеством ламп до 100</t>
  </si>
  <si>
    <t>ТЕРм08-03-593-17</t>
  </si>
  <si>
    <t>Кронштейны со светильниками по стенам и потолкам</t>
  </si>
  <si>
    <t>ТЕРм08-03-593-18</t>
  </si>
  <si>
    <t>Кронштейны со светильниками по колоннам, фермам, балкам на мостиках</t>
  </si>
  <si>
    <t>ТЕРм08-03-593-19</t>
  </si>
  <si>
    <t>Светильник в подвесных потолках</t>
  </si>
  <si>
    <t xml:space="preserve">                                   Светильники с люминесцентными лампами</t>
  </si>
  <si>
    <t>ТЕРм08-03-594-01</t>
  </si>
  <si>
    <t>Светильник отдельно устанавливаемый на штырях с количеством ламп в светильнике 1</t>
  </si>
  <si>
    <t>ТЕРм08-03-594-02</t>
  </si>
  <si>
    <t>Светильник отдельно устанавливаемый на штырях с количеством ламп в светильнике 2</t>
  </si>
  <si>
    <t>ТЕРм08-03-594-03</t>
  </si>
  <si>
    <t>Светильник отдельно устанавливаемый на штырях с количеством ламп в светильнике до 4</t>
  </si>
  <si>
    <t>ТЕРм08-03-594-04</t>
  </si>
  <si>
    <t>Светильник отдельно устанавливаемый на штырях с количеством ламп в светильнике до 6</t>
  </si>
  <si>
    <t>ТЕРм08-03-594-05</t>
  </si>
  <si>
    <t>Светильник отдельно устанавливаемый на штырях с количеством ламп в светильнике до 10</t>
  </si>
  <si>
    <t>ТЕРм08-03-594-06</t>
  </si>
  <si>
    <t>Светильник отдельно устанавливаемый на подвесах (штангах) с количеством ламп в светильнике 1</t>
  </si>
  <si>
    <t>ТЕРм08-03-594-07</t>
  </si>
  <si>
    <t>Светильник отдельно устанавливаемый на подвесах (штангах) с количеством ламп в светильнике 2</t>
  </si>
  <si>
    <t>ТЕРм08-03-594-08</t>
  </si>
  <si>
    <t>Светильник отдельно устанавливаемый на подвесах (штангах) с количеством ламп в светильнике до 4</t>
  </si>
  <si>
    <t>ТЕРм08-03-594-09</t>
  </si>
  <si>
    <t>Светильник на кронштейнах</t>
  </si>
  <si>
    <t>ТЕРм08-03-594-10</t>
  </si>
  <si>
    <t>Светильник в подвесных потолках, устанавливаемый на подвесках, количество ламп в светильнике до 2</t>
  </si>
  <si>
    <t>ТЕРм08-03-594-11</t>
  </si>
  <si>
    <t>Светильник в подвесных потолках, устанавливаемый на подвесках, количество ламп в светильнике до 4</t>
  </si>
  <si>
    <t>ТЕРм08-03-594-12</t>
  </si>
  <si>
    <t>Светильник в подвесных потолках, устанавливаемый на подвесках, количество ламп в светильнике до 6</t>
  </si>
  <si>
    <t>ТЕРм08-03-594-13</t>
  </si>
  <si>
    <t>Светильник в подвесных потолках, устанавливаемый на профиле, количество ламп в светильнике до 2</t>
  </si>
  <si>
    <t>ТЕРм08-03-594-14</t>
  </si>
  <si>
    <t>Светильник в подвесных потолках, устанавливаемый на профиле, количество ламп в светильнике до 4</t>
  </si>
  <si>
    <t>ТЕРм08-03-594-15</t>
  </si>
  <si>
    <t>Светильник в подвесных потолках, устанавливаемый на профиле, количество ламп в светильнике до 6</t>
  </si>
  <si>
    <t>ТЕРм08-03-594-16</t>
  </si>
  <si>
    <t>Светильник в подвесных потолках, устанавливаемый на закладных деталях, количество ламп в светильнике до 2</t>
  </si>
  <si>
    <t>ТЕРм08-03-594-17</t>
  </si>
  <si>
    <t>Светильник в подвесных потолках, устанавливаемый на закладных деталях, количество ламп в светильнике до 4</t>
  </si>
  <si>
    <t>ТЕРм08-03-594-18</t>
  </si>
  <si>
    <t>Светильник в подвесных потолках, устанавливаемый на закладных деталях, количество ламп в светильнике до 6</t>
  </si>
  <si>
    <t xml:space="preserve">                                   Светильники с ртутными лампами</t>
  </si>
  <si>
    <t>ТЕРм08-03-595-01</t>
  </si>
  <si>
    <t>Светильник с ртутными лампами, включая установку ПРА, на кронштейнах на мостиках</t>
  </si>
  <si>
    <t>ТЕРм08-03-595-02</t>
  </si>
  <si>
    <t>Светильник с ртутными лампами, включая установку ПРА, на кронштейнах на стенах, колоннах и фермах</t>
  </si>
  <si>
    <t>ТЕРм08-03-595-03</t>
  </si>
  <si>
    <t>Светильник с ртутными лампами, включая установку ПРА, на трубчатых подвесах, длина подвеса до 2500 мм</t>
  </si>
  <si>
    <t xml:space="preserve">                                   Прожекторы</t>
  </si>
  <si>
    <t>ТЕРм08-03-596-01</t>
  </si>
  <si>
    <t>Прожектор, отдельно устанавливаемый на стальной конструкции на земле, с лампой мощностью 500 Вт</t>
  </si>
  <si>
    <t>ТЕРм08-03-596-02</t>
  </si>
  <si>
    <t>Прожектор, отдельно устанавливаемый на стальной конструкции на земле, с лампой мощностью 1000 Вт</t>
  </si>
  <si>
    <t>ТЕРм08-03-596-03</t>
  </si>
  <si>
    <t>Прожектор, отдельно устанавливаемый на стальной конструкции на крыше здания, с лампой мощностью 500 Вт</t>
  </si>
  <si>
    <t>ТЕРм08-03-596-04</t>
  </si>
  <si>
    <t>Прожектор, отдельно устанавливаемый на стальной конструкции на крыше здания, с лампой мощностью 1000 Вт</t>
  </si>
  <si>
    <t>ТЕРм08-03-596-05</t>
  </si>
  <si>
    <t>Прожектор, отдельно устанавливаемый на кронштейне, установленном на опоре, с лампой мощностью 500 Вт</t>
  </si>
  <si>
    <t>ТЕРм08-03-596-06</t>
  </si>
  <si>
    <t>Прожектор, отдельно устанавливаемый на кронштейне, установленном на опоре, с лампой мощностью 1000 Вт</t>
  </si>
  <si>
    <t>ТЕРм08-03-596-07</t>
  </si>
  <si>
    <t>Прожектор, отдельно устанавливаемый на стальной мачте, с лампой мощностью 500 Вт</t>
  </si>
  <si>
    <t>ТЕРм08-03-596-08</t>
  </si>
  <si>
    <t>Прожектор, отдельно устанавливаемый на стальной мачте, с лампой мощностью 1000 Вт</t>
  </si>
  <si>
    <t>ТЕРм08-03-596-09</t>
  </si>
  <si>
    <t>Прожектор с лампами мощностью до 1000 Вт, устанавливаемый блоками на стальной конструкции на крыше здания, количество прожекторов в блоке 2</t>
  </si>
  <si>
    <t>ТЕРм08-03-596-10</t>
  </si>
  <si>
    <t>Прожектор с лампами мощностью до 1000 Вт, устанавливаемый блоками на стальной конструкции на крыше здания, количество прожекторов в блоке 3</t>
  </si>
  <si>
    <t>ТЕРм08-03-596-11</t>
  </si>
  <si>
    <t>Прожектор с лампами мощностью до 1000 Вт, устанавливаемый блоками на стальной конструкции на крыше здания, количество прожекторов в блоке 4</t>
  </si>
  <si>
    <t>ТЕРм08-03-596-12</t>
  </si>
  <si>
    <t>Прожектор с лампами мощностью до 1000 Вт, устанавливаемый блоками на стальной мачте, количество прожекторов в блоке 2</t>
  </si>
  <si>
    <t>ТЕРм08-03-596-13</t>
  </si>
  <si>
    <t>Прожектор с лампами мощностью до 1000 Вт, устанавливаемый блоками на стальной мачте, количество прожекторов в блоке 3</t>
  </si>
  <si>
    <t>ТЕРм08-03-596-14</t>
  </si>
  <si>
    <t>Прожектор с лампами мощностью до 1000 Вт, устанавливаемый блоками на стальной мачте, количество прожекторов в блоке 4</t>
  </si>
  <si>
    <t xml:space="preserve">                                   Комплектные осветительные устройства с щелевыми световодами</t>
  </si>
  <si>
    <t>ТЕРм08-03-597-01</t>
  </si>
  <si>
    <t>Устройство (КОУ)</t>
  </si>
  <si>
    <t xml:space="preserve">                                   Универсальные сборные электромонтажные конструкции (УСЭК) для светильников</t>
  </si>
  <si>
    <t>ТЕРм08-03-598-01</t>
  </si>
  <si>
    <t>Конструкция, устанавливаемая на потолке</t>
  </si>
  <si>
    <t>ТЕРм08-03-598-02</t>
  </si>
  <si>
    <t>Конструкция, устанавливаемая на стене или колонне</t>
  </si>
  <si>
    <t xml:space="preserve">                                   Щитки осветительные</t>
  </si>
  <si>
    <t>ТЕРм08-03-599-01</t>
  </si>
  <si>
    <t>Щитки осветительные, устанавливаемые в нише распорными дюбелями, масса щитка до 6 кг</t>
  </si>
  <si>
    <t>ТЕРм08-03-599-02</t>
  </si>
  <si>
    <t>Щитки осветительные, устанавливаемые в нише распорными дюбелями, масса щитка до 15 кг</t>
  </si>
  <si>
    <t>ТЕРм08-03-599-03</t>
  </si>
  <si>
    <t>Щитки осветительные, устанавливаемые в нише распорными дюбелями, масса щитка до 25 кг</t>
  </si>
  <si>
    <t>ТЕРм08-03-599-04</t>
  </si>
  <si>
    <t>Щитки осветительные, устанавливаемые в нише распорными дюбелями, масса щитка до 50 кг</t>
  </si>
  <si>
    <t>ТЕРм08-03-599-05</t>
  </si>
  <si>
    <t>Щитки осветительные, устанавливаемые в нише болтами на конструкции, масса щитка до 6 кг</t>
  </si>
  <si>
    <t>ТЕРм08-03-599-06</t>
  </si>
  <si>
    <t>Щитки осветительные, устанавливаемые в нише болтами на конструкции, масса щитка до 15 кг</t>
  </si>
  <si>
    <t>ТЕРм08-03-599-07</t>
  </si>
  <si>
    <t>Щитки осветительные, устанавливаемые в нише болтами на конструкции, масса щитка до 25 кг</t>
  </si>
  <si>
    <t>ТЕРм08-03-599-08</t>
  </si>
  <si>
    <t>Щитки осветительные, устанавливаемые в нише болтами на конструкции, масса щитка до 50 кг</t>
  </si>
  <si>
    <t>ТЕРм08-03-599-09</t>
  </si>
  <si>
    <t>Щитки осветительные, устанавливаемые на стене распорными дюбелями, масса щитка до 6 кг</t>
  </si>
  <si>
    <t>ТЕРм08-03-599-10</t>
  </si>
  <si>
    <t>Щитки осветительные, устанавливаемые на стене распорными дюбелями, масса щитка до 15 кг</t>
  </si>
  <si>
    <t>ТЕРм08-03-599-11</t>
  </si>
  <si>
    <t>Щитки осветительные, устанавливаемые на стене распорными дюбелями, масса щитка до 40 кг</t>
  </si>
  <si>
    <t>ТЕРм08-03-599-12</t>
  </si>
  <si>
    <t>Щитки осветительные, устанавливаемые на стене болтами на конструкции, масса щитка до 6 кг</t>
  </si>
  <si>
    <t>ТЕРм08-03-599-13</t>
  </si>
  <si>
    <t>Щитки осветительные, устанавливаемые на стене болтами на конструкции, масса щитка до 15 кг</t>
  </si>
  <si>
    <t>ТЕРм08-03-599-14</t>
  </si>
  <si>
    <t>Щитки осветительные, устанавливаемые на стене болтами на конструкции, масса щитка до 40 кг</t>
  </si>
  <si>
    <t xml:space="preserve">                                   Счетчики</t>
  </si>
  <si>
    <t>ТЕРм08-03-600-01</t>
  </si>
  <si>
    <t>Счетчики, устанавливаемые на готовом основании однофазные</t>
  </si>
  <si>
    <t>ТЕРм08-03-600-02</t>
  </si>
  <si>
    <t>Счетчики, устанавливаемые на готовом основании трехфазные</t>
  </si>
  <si>
    <t xml:space="preserve">                                   Щитки лабораторные</t>
  </si>
  <si>
    <t>ТЕРм08-03-601-01</t>
  </si>
  <si>
    <t>Щиток лабораторный</t>
  </si>
  <si>
    <t xml:space="preserve">                                   Приборы нагревательные</t>
  </si>
  <si>
    <t>ТЕРм08-03-602-01</t>
  </si>
  <si>
    <t>Электрополотенце</t>
  </si>
  <si>
    <t>ТЕРм08-03-602-02</t>
  </si>
  <si>
    <t>Электроплита</t>
  </si>
  <si>
    <t xml:space="preserve">                                   Ящики с понижающими трансформаторами</t>
  </si>
  <si>
    <t>ТЕРм08-03-603-01</t>
  </si>
  <si>
    <t>Ящик с понижающим трансформатором</t>
  </si>
  <si>
    <t xml:space="preserve">                                   Звонки электрические с кнопкой</t>
  </si>
  <si>
    <t>ТЕРм08-03-604-01</t>
  </si>
  <si>
    <t>Звонок электрический с кнопкой</t>
  </si>
  <si>
    <t xml:space="preserve">                                   Вентиляторы</t>
  </si>
  <si>
    <t>ТЕРм08-03-605-01</t>
  </si>
  <si>
    <t>Вентилятор</t>
  </si>
  <si>
    <t xml:space="preserve">                                   Раздел 6. УСТАНОВКИ ТЕАТРАЛЬНО-ЗРЕЛИЩНЫХ ПРЕДПРИЯТИЙ</t>
  </si>
  <si>
    <t xml:space="preserve">                                   Автотрансформаторы</t>
  </si>
  <si>
    <t>ТЕРм08-03-631-01</t>
  </si>
  <si>
    <t>Автотрансформатор до 30 щеток</t>
  </si>
  <si>
    <t xml:space="preserve">                                   Регуляторы сценические реверсивные</t>
  </si>
  <si>
    <t>ТЕРм08-03-632-01</t>
  </si>
  <si>
    <t>Регулятор сценический реверсивный, количество ручек до 30</t>
  </si>
  <si>
    <t>ТЕРм08-03-632-02</t>
  </si>
  <si>
    <t>Регулятор сценический реверсивный, количество ручек до 60</t>
  </si>
  <si>
    <t>ТЕРм08-03-632-03</t>
  </si>
  <si>
    <t>Регулятор сценический реверсивный, количество ручек до 120</t>
  </si>
  <si>
    <t>ТЕРм08-03-632-04</t>
  </si>
  <si>
    <t>Электропривод к регулятору сценическому реверсивному двухвальному</t>
  </si>
  <si>
    <t>ТЕРм08-03-632-05</t>
  </si>
  <si>
    <t>Электропривод к регулятору сценическому реверсивному трехвальному</t>
  </si>
  <si>
    <t xml:space="preserve">                                   Регуляторы электрические</t>
  </si>
  <si>
    <t>ТЕРм08-03-633-01</t>
  </si>
  <si>
    <t>Пульт регулирования, количество ручек до 24</t>
  </si>
  <si>
    <t>ТЕРм08-03-633-02</t>
  </si>
  <si>
    <t>Пульт регулирования, количество ручек до 60</t>
  </si>
  <si>
    <t>ТЕРм08-03-633-03</t>
  </si>
  <si>
    <t>Пульт регулирования, количество ручек до 120</t>
  </si>
  <si>
    <t>ТЕРм08-03-633-04</t>
  </si>
  <si>
    <t>Пульт регулирования, количество ручек до 200</t>
  </si>
  <si>
    <t>ТЕРм08-03-633-05</t>
  </si>
  <si>
    <t>Пульт регулирования, количество ручек до 240</t>
  </si>
  <si>
    <t>ТЕРм08-03-633-06</t>
  </si>
  <si>
    <t>Щит групповой (шкаф) на 120 ручек переключений</t>
  </si>
  <si>
    <t>ТЕРм08-03-633-07</t>
  </si>
  <si>
    <t>Блок театрального регулятора света мощностью 5 кВт</t>
  </si>
  <si>
    <t>ТЕРм08-03-633-08</t>
  </si>
  <si>
    <t>Щит распределительный или шкаф ввода на один трансформатор мощностью 225 кВ·А</t>
  </si>
  <si>
    <t>ТЕРм08-03-633-09</t>
  </si>
  <si>
    <t>Стойка тиристорных регуляторов до 15 блоков типа ШРН</t>
  </si>
  <si>
    <t>ТЕРм08-03-633-10</t>
  </si>
  <si>
    <t>Шкаф секционный типа ШС</t>
  </si>
  <si>
    <t>ТЕРм08-03-633-11</t>
  </si>
  <si>
    <t>Стойка промежуточной коммутации типа СПК-60</t>
  </si>
  <si>
    <t>ТЕРм08-03-633-12</t>
  </si>
  <si>
    <t>Стойка промежуточной коммутации типа СПК-120</t>
  </si>
  <si>
    <t>ТЕРм08-03-633-13</t>
  </si>
  <si>
    <t>Стойка промежуточной коммутации типа СПК-180</t>
  </si>
  <si>
    <t xml:space="preserve">                                   Темнители зрительного зала</t>
  </si>
  <si>
    <t>ТЕРм08-03-634-01</t>
  </si>
  <si>
    <t>Темнитель зрительного зала мощностью 10 кВт</t>
  </si>
  <si>
    <t>ТЕРм08-03-634-02</t>
  </si>
  <si>
    <t>Темнитель зрительного зала мощностью 30 кВт</t>
  </si>
  <si>
    <t>ТЕРм08-03-634-03</t>
  </si>
  <si>
    <t>Темнитель зрительного зала мощностью 35 кВт</t>
  </si>
  <si>
    <t xml:space="preserve">                                   Трансформаторы силовые (сухие)</t>
  </si>
  <si>
    <t>ТЕРм08-03-635-01</t>
  </si>
  <si>
    <t>Автотрансформатор силовой (сухой) переходной напряжением 380/220 В</t>
  </si>
  <si>
    <t>ТЕРм08-03-635-02</t>
  </si>
  <si>
    <t>Автотрансформатор силовой (сухой) мощностью 225 кВ·А</t>
  </si>
  <si>
    <t xml:space="preserve">                                   Арматура осветительная сценическая</t>
  </si>
  <si>
    <t>ТЕРм08-03-636-01</t>
  </si>
  <si>
    <t>Софит (рамка-подсвет) четырехкамерный</t>
  </si>
  <si>
    <t>ТЕРм08-03-636-02</t>
  </si>
  <si>
    <t>Софит с выпрямительным устройством или ксеноновой лампой, диапроектор и диапрожектор</t>
  </si>
  <si>
    <t>ТЕРм08-03-636-03</t>
  </si>
  <si>
    <t>Прожектор мощностью до 3 кВт</t>
  </si>
  <si>
    <t>ТЕРм08-03-636-04</t>
  </si>
  <si>
    <t>Прожектор с дистанционным управлением</t>
  </si>
  <si>
    <t>ТЕРм08-03-636-05</t>
  </si>
  <si>
    <t>Прожектор театральный низковольтный с понижающим трансформатором и ультрафиолетового излучения с дросселями</t>
  </si>
  <si>
    <t>ТЕРм08-03-636-06</t>
  </si>
  <si>
    <t>Светильник и прожектор театральный мощностью до 1 кВ</t>
  </si>
  <si>
    <t xml:space="preserve">                                   Арматура и приспособления для проектирования сценических эффектов</t>
  </si>
  <si>
    <t>ТЕРм08-03-637-01</t>
  </si>
  <si>
    <t>Устройство для дистанционной смены диапозитивов к диапроектору</t>
  </si>
  <si>
    <t>ТЕРм08-03-637-02</t>
  </si>
  <si>
    <t>Приставки и приспособления для осветительной арматуры</t>
  </si>
  <si>
    <t>ТЕРм08-03-637-03</t>
  </si>
  <si>
    <t>Коммутатор релейный КР-10</t>
  </si>
  <si>
    <t xml:space="preserve">                                   Щиты коммутационные сценические</t>
  </si>
  <si>
    <t>ТЕРм08-03-638-01</t>
  </si>
  <si>
    <t>Щит (шкаф) типа ШИК</t>
  </si>
  <si>
    <t xml:space="preserve">                                   Системы тросовые к сценическим регуляторам</t>
  </si>
  <si>
    <t>ТЕРм08-03-639-01</t>
  </si>
  <si>
    <t>Система тросовая к сценическим регуляторам, количество ручек до 30</t>
  </si>
  <si>
    <t>ТЕРм08-03-639-02</t>
  </si>
  <si>
    <t>Система тросовая к сценическим регуляторам, количество ручек до 60</t>
  </si>
  <si>
    <t>ТЕРм08-03-639-03</t>
  </si>
  <si>
    <t>Система тросовая к сценическим регуляторам, количество ручек до 90</t>
  </si>
  <si>
    <t>ТЕРм08-03-639-04</t>
  </si>
  <si>
    <t>Система тросовая к сценическим регуляторам, количество ручек до 120</t>
  </si>
  <si>
    <t xml:space="preserve">                                   Токоприемники кольцевые</t>
  </si>
  <si>
    <t>ТЕРм08-03-640-01</t>
  </si>
  <si>
    <t>Токоприемник вращающегося круга сцены до 12 колец</t>
  </si>
  <si>
    <t xml:space="preserve">                                   Коробки с зажимами переходные и штепсельные сценические</t>
  </si>
  <si>
    <t>ТЕРм08-03-641-01</t>
  </si>
  <si>
    <t>Коробка клеммная, количество зажимов до 24х24</t>
  </si>
  <si>
    <t>ТЕРм08-03-641-02</t>
  </si>
  <si>
    <t>Коробка клеммная, количество зажимов до 36х36</t>
  </si>
  <si>
    <t>ТЕРм08-03-641-03</t>
  </si>
  <si>
    <t>Коробка клеммная, количество зажимов до 48х48</t>
  </si>
  <si>
    <t>ТЕРм08-03-641-04</t>
  </si>
  <si>
    <t>Коробка клеммная, количество зажимов до 60х60</t>
  </si>
  <si>
    <t>ТЕРм08-03-641-05</t>
  </si>
  <si>
    <t>Коробка клеммная, количество зажимов до 80х80</t>
  </si>
  <si>
    <t>ТЕРм08-03-641-06</t>
  </si>
  <si>
    <t>Коробка клеммная, количество зажимов до 120х120</t>
  </si>
  <si>
    <t>ТЕРм08-03-641-07</t>
  </si>
  <si>
    <t>Коробка штепсельная до 6 соединений типа КШГ, КШП, КШО</t>
  </si>
  <si>
    <t>ТЕРм08-03-641-08</t>
  </si>
  <si>
    <t>Коробка штепсельная до 6 соединений типа КШС</t>
  </si>
  <si>
    <t>ТЕРм08-03-641-09</t>
  </si>
  <si>
    <t>Лючки для штепсельных коробок типа ЛП-6</t>
  </si>
  <si>
    <t xml:space="preserve">                                   Петли гибкие</t>
  </si>
  <si>
    <t>ТЕРм08-03-642-01</t>
  </si>
  <si>
    <t>Петля гибкая (заготовка) самоукладывающаяся, количество проводов до 20</t>
  </si>
  <si>
    <t>ТЕРм08-03-642-02</t>
  </si>
  <si>
    <t>Петля гибкая (заготовка) самоукладывающаяся, количество проводов до 40</t>
  </si>
  <si>
    <t>ТЕРм08-03-642-03</t>
  </si>
  <si>
    <t>Петля гибкая (заготовка) самоукладывающаяся, количество проводов до 80</t>
  </si>
  <si>
    <t>ТЕРм08-03-642-04</t>
  </si>
  <si>
    <t>Петля гибкая (заготовка) самоукладывающаяся, количество проводов до 120</t>
  </si>
  <si>
    <t>ТЕРм08-03-642-05</t>
  </si>
  <si>
    <t>Петля гибкая (заготовка) самоукладывающаяся, количество проводов до 180</t>
  </si>
  <si>
    <t>ТЕРм08-03-642-06</t>
  </si>
  <si>
    <t>Петля гибкая (монтаж без заготовки) самоукладывающаяся, количество проводов до 20</t>
  </si>
  <si>
    <t>ТЕРм08-03-642-07</t>
  </si>
  <si>
    <t>Петля гибкая (монтаж без заготовки) самоукладывающаяся, количество проводов до 40</t>
  </si>
  <si>
    <t>ТЕРм08-03-642-08</t>
  </si>
  <si>
    <t>Петля гибкая (монтаж без заготовки) самоукладывающаяся, количество проводов до 80</t>
  </si>
  <si>
    <t>ТЕРм08-03-642-09</t>
  </si>
  <si>
    <t>Петля гибкая (монтаж без заготовки) самоукладывающаяся, количество проводов до 120</t>
  </si>
  <si>
    <t>ТЕРм08-03-642-10</t>
  </si>
  <si>
    <t>Петля гибкая (монтаж без заготовки) самоукладывающаяся, количество проводов до 180</t>
  </si>
  <si>
    <t xml:space="preserve">                           Раздел 4. ОТДЕЛ 04. КАБЕЛЬНЫЕ ЛИНИИ И ЭЛЕКТРООБОРУДОВАНИЕ СПЕЦИАЛЬНЫХ УСТАНОВОК</t>
  </si>
  <si>
    <t xml:space="preserve">                                   Раздел 1. КАБЕЛЬНЫЕ ЛИНИИ И ЭЛЕКТРООБОРУДОВАНИЕ ЯДЕРНЫХ ЭНЕРГОУСТАНОВОК И СПЕЦКОРПУСОВ АЭС</t>
  </si>
  <si>
    <t xml:space="preserve">                                   Муфты для силовых кабелей</t>
  </si>
  <si>
    <t>ТЕРм08-04-741-01</t>
  </si>
  <si>
    <t>Муфта концевая для кабеля с изоляцией из вулканизированного полиэтилена с применением термоусаживаемой перчатки напряжением 1 кВ, сечением до 3х70 мм2</t>
  </si>
  <si>
    <t>ТЕРм08-04-741-02</t>
  </si>
  <si>
    <t>Муфта концевая для кабеля с изоляцией из вулканизированного полиэтилена с применением термоусаживаемой перчатки напряжением 1 кВ, сечением до 3х185 мм2</t>
  </si>
  <si>
    <t>ТЕРм08-04-741-03</t>
  </si>
  <si>
    <t>Муфта концевая для кабеля с изоляцией из вулканизированного полиэтилена с применением термоусаживаемой перчатки напряжением 6 кВ, сечением до 1х240 мм2</t>
  </si>
  <si>
    <t xml:space="preserve">                                   Присоединение кабелей к вводам и оборудованию</t>
  </si>
  <si>
    <t>ТЕРм08-04-742-01</t>
  </si>
  <si>
    <t>Присоединение кабеля с изоляцией из вулканизированного полиэтилена, со стороны зоны строгого режима, напряжением 1 кВ, сечением до 3х95 мм2</t>
  </si>
  <si>
    <t>ТЕРм08-04-742-02</t>
  </si>
  <si>
    <t>Присоединение кабеля с изоляцией из вулканизированного полиэтилена, со стороны зоны строгого режима, напряжением 1 кВ, сечением до 3х185 мм2</t>
  </si>
  <si>
    <t>ТЕРм08-04-742-03</t>
  </si>
  <si>
    <t>Присоединение кабеля с изоляцией из вулканизированного полиэтилена, со стороны зоны строгого режима, напряжением 6 кВ, сечением до 1х240 мм2</t>
  </si>
  <si>
    <t>ТЕРм08-04-742-04</t>
  </si>
  <si>
    <t>Присоединение силового кабеля к вводу типа ВГУ со стороны «чистой» зоны</t>
  </si>
  <si>
    <t>ТЕРм08-04-742-05</t>
  </si>
  <si>
    <t>Присоединение контрольного кабеля к герметичной проходке типа ПГКК со стороны «чистой» зоны, количество жил до 19</t>
  </si>
  <si>
    <t>ТЕРм08-04-742-06</t>
  </si>
  <si>
    <t>Присоединение контрольного кабеля к герметичной проходке типа ПГКК со стороны «чистой» зоны, количество жил до 27</t>
  </si>
  <si>
    <t>ТЕРм08-04-742-07</t>
  </si>
  <si>
    <t>Присоединение контрольного кабеля к герметичной проходке типа ПГКК со стороны «чистой» зоны, количество жил до 37</t>
  </si>
  <si>
    <t xml:space="preserve">                                   Заделки концевые для контрольных кабелей</t>
  </si>
  <si>
    <t>ТЕРм08-04-743-01</t>
  </si>
  <si>
    <t>Заделка кабелей с экранированными жилами, сечение жилы 0,5 мм2, число жил 7</t>
  </si>
  <si>
    <t>ТЕРм08-04-743-02</t>
  </si>
  <si>
    <t>Заделка кабелей с экранированными жилами, сечение жилы 0,5 мм2, число жил 14</t>
  </si>
  <si>
    <t>ТЕРм08-04-743-03</t>
  </si>
  <si>
    <t>Заделка кабелей с экранированными жилами, сечение жилы 0,5 мм2, число жил 24</t>
  </si>
  <si>
    <t>ТЕРм08-04-743-04</t>
  </si>
  <si>
    <t>Заделка кабелей с экранированными жилами, сечение жилы 0,5 мм2, число жил 37</t>
  </si>
  <si>
    <t>ТЕРм08-04-743-05</t>
  </si>
  <si>
    <t>Заделка кабелей с экранированными жилами, сечение жилы 0,5 мм2, число жил 52</t>
  </si>
  <si>
    <t>ТЕРм08-04-743-06</t>
  </si>
  <si>
    <t>Заделка кабелей с общим экраном, сечение жилы 1,5 мм2, число жил 5</t>
  </si>
  <si>
    <t>ТЕРм08-04-743-07</t>
  </si>
  <si>
    <t>Заделка кабелей с общим экраном, сечение жилы 1,5 мм2, число жил 10</t>
  </si>
  <si>
    <t>ТЕРм08-04-743-08</t>
  </si>
  <si>
    <t>Заделка кабелей с общим экраном, сечение жилы 1,5 мм2, число жил 19</t>
  </si>
  <si>
    <t>ТЕРм08-04-743-09</t>
  </si>
  <si>
    <t>Заделка кабелей с общим экраном, сечение жилы 1,5 мм2, число жил 27</t>
  </si>
  <si>
    <t>ТЕРм08-04-743-10</t>
  </si>
  <si>
    <t>Заделка кабелей с общим экраном, сечение жилы 1,5 мм2, число жил 37</t>
  </si>
  <si>
    <t>ТЕРм08-04-743-11</t>
  </si>
  <si>
    <t>Заделка кабелей с экранированными жилами и общим экраном, сечение жилы 1 мм2, число жил 7</t>
  </si>
  <si>
    <t>ТЕРм08-04-743-12</t>
  </si>
  <si>
    <t>Заделка кабелей с экранированными жилами и общим экраном, сечение жилы 1 мм2, число жил 14</t>
  </si>
  <si>
    <t>ТЕРм08-04-743-13</t>
  </si>
  <si>
    <t>Заделка кабелей с экранированными жилами и общим экраном, сечение жилы 1 мм2, число жил 19</t>
  </si>
  <si>
    <t>ТЕРм08-04-743-14</t>
  </si>
  <si>
    <t>Заделка кабелей с экранированными жилами и общим экраном, сечение жилы 1 мм2, число жил 24</t>
  </si>
  <si>
    <t>ТЕРм08-04-743-15</t>
  </si>
  <si>
    <t>Заделка кабелей с экранированными жилами и общим экраном, сечение жилы 1 мм2, число жил 37</t>
  </si>
  <si>
    <t>ТЕРм08-04-743-16</t>
  </si>
  <si>
    <t>Заделка кабеля с изоляцией из облученного полиэтилена бронированного, сечение жилы 1,5 мм2, число жил 27</t>
  </si>
  <si>
    <t>ТЕРм08-04-743-17</t>
  </si>
  <si>
    <t>Заделка кабеля с изоляцией из облученного полиэтилена бронированного, сечение жилы 2,5 мм2, число жил 14</t>
  </si>
  <si>
    <t>ТЕРм08-04-743-18</t>
  </si>
  <si>
    <t>Заделка кабеля с изоляцией из облученного полиэтилена бронированного, сечение жилы 2,5 мм2, число жил 37</t>
  </si>
  <si>
    <t>ТЕРм08-04-743-19</t>
  </si>
  <si>
    <t>Заделка кабеля с изоляцией из облученного полиэтилена с экранированными жилами, сечение жилы 1,5 мм2, число жил 7, число кабелей 1</t>
  </si>
  <si>
    <t>ТЕРм08-04-743-20</t>
  </si>
  <si>
    <t>Заделка кабеля с изоляцией из облученного полиэтилена с экранированными жилами, сечение жилы 1,5 мм2, число жил 7, число кабелей 2</t>
  </si>
  <si>
    <t xml:space="preserve">                                   Кабели силовые и контрольные</t>
  </si>
  <si>
    <t>ТЕРм08-04-744-01</t>
  </si>
  <si>
    <t>Кабель силовой с креплением в местах изменения трассы, масса 1 м кабеля до 1 кг</t>
  </si>
  <si>
    <t>ТЕРм08-04-744-02</t>
  </si>
  <si>
    <t>Кабель силовой с креплением в местах изменения трассы, масса 1 м кабеля до 2 кг</t>
  </si>
  <si>
    <t>ТЕРм08-04-744-03</t>
  </si>
  <si>
    <t>Кабель силовой с креплением в местах изменения трассы, масса 1 м кабеля до 3 кг</t>
  </si>
  <si>
    <t>ТЕРм08-04-744-04</t>
  </si>
  <si>
    <t>Кабель силовой с креплением в местах изменения трассы, масса 1 м кабеля до 6 кг</t>
  </si>
  <si>
    <t>ТЕРм08-04-744-05</t>
  </si>
  <si>
    <t>Кабель силовой с креплением в местах изменения трассы, масса 1 м кабеля до 9 кг</t>
  </si>
  <si>
    <t>ТЕРм08-04-744-06</t>
  </si>
  <si>
    <t>Кабель силовой с креплением в местах изменения трассы, масса 1 м кабеля до 13 кг</t>
  </si>
  <si>
    <t>ТЕРм08-04-744-07</t>
  </si>
  <si>
    <t>Кабель силовой с креплением в местах изменения трассы, масса 1 м кабеля до 18 кг</t>
  </si>
  <si>
    <t>ТЕРм08-04-744-08</t>
  </si>
  <si>
    <t>Кабель контрольный с креплением в местах изменения трассы, масса 1 м кабеля до 1 кг</t>
  </si>
  <si>
    <t>ТЕРм08-04-744-09</t>
  </si>
  <si>
    <t>Кабель контрольный с креплением в местах изменения трассы, масса 1 м кабеля до 2 кг</t>
  </si>
  <si>
    <t>ТЕРм08-04-744-10</t>
  </si>
  <si>
    <t>Кабель силовой с креплением по всей длине, масса 1 м кабеля до 1 кг</t>
  </si>
  <si>
    <t>ТЕРм08-04-744-11</t>
  </si>
  <si>
    <t>Кабель силовой с креплением по всей длине, масса 1 м кабеля до 2 кг</t>
  </si>
  <si>
    <t>ТЕРм08-04-744-12</t>
  </si>
  <si>
    <t>Кабель силовой с креплением по всей длине, масса 1 м кабеля до 3 кг</t>
  </si>
  <si>
    <t>ТЕРм08-04-744-13</t>
  </si>
  <si>
    <t>Кабель силовой с креплением по всей длине, масса 1 м кабеля до 6 кг</t>
  </si>
  <si>
    <t>ТЕРм08-04-744-14</t>
  </si>
  <si>
    <t>Кабель силовой с креплением по всей длине, масса 1 м кабеля до 9 кг</t>
  </si>
  <si>
    <t>ТЕРм08-04-744-15</t>
  </si>
  <si>
    <t>Кабель силовой с креплением по всей длине, масса 1 м кабеля до 13 кг</t>
  </si>
  <si>
    <t>ТЕРм08-04-744-16</t>
  </si>
  <si>
    <t>Кабель силовой с креплением по всей длине, масса 1 м кабеля до 18 кг</t>
  </si>
  <si>
    <t>ТЕРм08-04-744-17</t>
  </si>
  <si>
    <t>Кабель контрольный с креплением по всей длине, масса 1 м кабеля до 1 кг</t>
  </si>
  <si>
    <t>ТЕРм08-04-744-18</t>
  </si>
  <si>
    <t>Кабель контрольный с креплением по всей длине, масса 1 м кабеля до 2 кг</t>
  </si>
  <si>
    <t xml:space="preserve">                                   Герметизация проходов кабелей</t>
  </si>
  <si>
    <t>ТЕРм08-04-745-01</t>
  </si>
  <si>
    <t>Ввод герметичный унифицированный ВГУ</t>
  </si>
  <si>
    <t>ТЕРм08-04-745-02</t>
  </si>
  <si>
    <t>Проходка герметичная для контрольных кабелей типа ПГКК, диаметр 159 мм</t>
  </si>
  <si>
    <t>ТЕРм08-04-745-03</t>
  </si>
  <si>
    <t>Проходка герметичная для контрольных кабелей типа ПГКК, диаметр 194 мм</t>
  </si>
  <si>
    <t xml:space="preserve">                           Раздел 5. ОТДЕЛ 5. КАБЕЛЬНЫЕ ЛИНИИ И ЭЛЕКТРООБОРУДОВАНИЕ СПЕЦИАЛЬНЫХ УСТАНОВОК ДЛЯ ГОРНОРУДНЫХ ВЫРАБОТОК</t>
  </si>
  <si>
    <t xml:space="preserve">                                   Раздел 1. КАБЕЛЬНЫЕ ЛИНИИ ДО 110 КВ В ГОРНОРУДНЫХ ВЫРАБОТКАХ</t>
  </si>
  <si>
    <t xml:space="preserve">                                   Кабели в вертикальных стволах</t>
  </si>
  <si>
    <t>ТЕРм08-05-001-01</t>
  </si>
  <si>
    <t>Кабельные линии до 110 кВ в вертикальных стволах горнорудных выработках, кабель массой 1 м до 1,5 кг</t>
  </si>
  <si>
    <t>ТЕРм08-05-001-02</t>
  </si>
  <si>
    <t>Кабельные линии до 110 кВ в вертикальных стволах горнорудных выработках, кабель массой 1 м до 3 кг</t>
  </si>
  <si>
    <t>ТЕРм08-05-001-03</t>
  </si>
  <si>
    <t>Кабельные линии до 110 кВ в вертикальных стволах горнорудных выработках, кабель массой 1 м до 5 кг</t>
  </si>
  <si>
    <t>ТЕРм08-05-001-04</t>
  </si>
  <si>
    <t>Кабельные линии до 110 кВ в вертикальных стволах горнорудных выработках, кабель массой 1 м до 7 кг</t>
  </si>
  <si>
    <t>ТЕРм08-05-001-05</t>
  </si>
  <si>
    <t>Кабельные линии до 110 кВ в вертикальных стволах горнорудных выработках, кабель массой 1 м до 11 кг</t>
  </si>
  <si>
    <t>ТЕРм08-05-001-06</t>
  </si>
  <si>
    <t>Кабельные линии до 110 кВ в вертикальных стволах горнорудных выработках, кабель массой 1 м до 15 кг</t>
  </si>
  <si>
    <t>ТЕРм08-05-001-07</t>
  </si>
  <si>
    <t>Кабельные линии до 110 кВ в вертикальных стволах горнорудных выработках, кабель массой 1 м до 19 кг</t>
  </si>
  <si>
    <t xml:space="preserve">                                   Кабели по горизонтальным горным выработкам с бетонной и металлической крепью по установленным конструкциям с креплением</t>
  </si>
  <si>
    <t>ТЕРм08-05-002-01</t>
  </si>
  <si>
    <t>Кабельные линии до 110 кВ по горизонтальным горным выработкам с бетонной и металлической крепью по установленным конструкциям с креплением, кабель массой 1 м до 3 кг</t>
  </si>
  <si>
    <t>ТЕРм08-05-002-02</t>
  </si>
  <si>
    <t>Кабельные линии до 110 кВ по горизонтальным горным выработкам с бетонной и металлической крепью по установленным конструкциям с креплением, кабель массой 1 м до 9 кг</t>
  </si>
  <si>
    <t>ТЕРм08-05-002-03</t>
  </si>
  <si>
    <t>Кабельные линии до 110 кВ по горизонтальным горным выработкам с бетонной и металлической крепью по установленным конструкциям с креплением, кабель массой 1 м до 15 кг</t>
  </si>
  <si>
    <t>ТЕРм08-05-002-04</t>
  </si>
  <si>
    <t>Кабельные линии до 110 кВ по горизонтальным горным выработкам с бетонной и металлической крепью по установленным конструкциям с креплением, кабель массой 1 м до 19 кг</t>
  </si>
  <si>
    <t xml:space="preserve">                                   Кабели по наклонным горным выработкам с бетонной и металлической крепью по установленным конструкциям с креплением</t>
  </si>
  <si>
    <t>ТЕРм08-05-003-01</t>
  </si>
  <si>
    <t>Кабельные линии до 110 кВ по наклонным горным выработкам с бетонной и металлической крепью по установленным конструкциям с креплением, кабель массой 1 м до 3 кг</t>
  </si>
  <si>
    <t>ТЕРм08-05-003-02</t>
  </si>
  <si>
    <t>Кабельные линии до 110 кВ по наклонным горным выработкам с бетонной и металлической крепью по установленным конструкциям с креплением, кабель массой 1 м до 9 кг</t>
  </si>
  <si>
    <t>ТЕРм08-05-003-03</t>
  </si>
  <si>
    <t>Кабельные линии до 110 кВ по наклонным горным выработкам с бетонной и металлической крепью по установленным конструкциям с креплением, кабель массой 1 м до 15 кг</t>
  </si>
  <si>
    <t>ТЕРм08-05-003-04</t>
  </si>
  <si>
    <t>Кабельные линии до 110 кВ по наклонным горным выработкам с бетонной и металлической крепью по установленным конструкциям с креплением, кабель массой 1 м до 19 кг</t>
  </si>
  <si>
    <t xml:space="preserve">                                   Кабели по горизонтальным горным выработкам с бетонной и металлической крепью по установленным конструкциям без крепления</t>
  </si>
  <si>
    <t>ТЕРм08-05-004-01</t>
  </si>
  <si>
    <t>Кабельные линии до 110 кВ по горизонтальным горным выработкам с бетонной и металлической крепью по установленным конструкциям без крепления, кабель массой 1 м до 3 кг</t>
  </si>
  <si>
    <t>ТЕРм08-05-004-02</t>
  </si>
  <si>
    <t>Кабельные линии до 110 кВ по горизонтальным горным выработкам с бетонной и металлической крепью по установленным конструкциям без крепления, кабель массой 1 м до 9 кг</t>
  </si>
  <si>
    <t>ТЕРм08-05-004-03</t>
  </si>
  <si>
    <t>Кабельные линии до 110 кВ по горизонтальным горным выработкам с бетонной и металлической крепью по установленным конструкциям без крепления, кабель массой 1 м до 15 кг</t>
  </si>
  <si>
    <t>ТЕРм08-05-004-04</t>
  </si>
  <si>
    <t>Кабельные линии до 110 кВ по горизонтальным горным выработкам с бетонной и металлической крепью по установленным конструкциям без крепления, кабель массой 1 м до 19 кг</t>
  </si>
  <si>
    <t xml:space="preserve">                                   Кабели по наклонным горным выработкам с бетонной и металлической крепью по установленным конструкциям без крепления</t>
  </si>
  <si>
    <t>ТЕРм08-05-005-01</t>
  </si>
  <si>
    <t>Кабельные линии до 110 кВ по наклонным горным выработкам с бетонной и металлической крепью по установленным конструкциям без крепления, кабель массой 1 м до 3 кг</t>
  </si>
  <si>
    <t>ТЕРм08-05-005-02</t>
  </si>
  <si>
    <t>Кабельные линии до 110 кВ по наклонным горным выработкам с бетонной и металлической крепью по установленным конструкциям без крепления, кабель массой 1 м до 9 кг</t>
  </si>
  <si>
    <t>ТЕРм08-05-005-03</t>
  </si>
  <si>
    <t>Кабельные линии до 110 кВ по наклонным горным выработкам с бетонной и металлической крепью по установленным конструкциям без крепления, кабель массой 1 м до 15 кг</t>
  </si>
  <si>
    <t>ТЕРм08-05-005-04</t>
  </si>
  <si>
    <t>Кабельные линии до 110 кВ по наклонным горным выработкам с бетонной и металлической крепью по установленным конструкциям без крепления, кабель массой 1 м до 19 кг</t>
  </si>
  <si>
    <t xml:space="preserve">                                   Кабели по горизонтальным горным выработкам с установкой конструкций по деревянной крепи</t>
  </si>
  <si>
    <t>ТЕРм08-05-006-01</t>
  </si>
  <si>
    <t>Кабельные линии до 110 кВ по горизонтальным горным выработкам с установкой конструкций по деревянной крепи, кабель массой 1 м до 1,5 кг</t>
  </si>
  <si>
    <t>ТЕРм08-05-006-02</t>
  </si>
  <si>
    <t>Кабельные линии до 110 кВ по горизонтальным горным выработкам с установкой конструкций по деревянной крепи, кабель массой 1 м до 3 кг</t>
  </si>
  <si>
    <t>ТЕРм08-05-006-03</t>
  </si>
  <si>
    <t>Кабельные линии до 110 кВ по горизонтальным горным выработкам с установкой конструкций по деревянной крепи, кабель массой 1 м до 9 кг</t>
  </si>
  <si>
    <t>ТЕРм08-05-006-04</t>
  </si>
  <si>
    <t>Кабельные линии до 110 кВ по горизонтальным горным выработкам с установкой конструкций по деревянной крепи, кабель массой 1 м до 15 кг</t>
  </si>
  <si>
    <t>ТЕРм08-05-006-05</t>
  </si>
  <si>
    <t>Кабельные линии до 110 кВ по горизонтальным горным выработкам с установкой конструкций по деревянной крепи, кабель массой 1 м до 19 кг</t>
  </si>
  <si>
    <t xml:space="preserve">                                   Кабели по наклонным горным выработкам с установкой конструкций по деревянной крепи</t>
  </si>
  <si>
    <t>ТЕРм08-05-007-01</t>
  </si>
  <si>
    <t>Кабельные линии до 110 кВ по наклонным горным выработкам с установкой конструкций по деревянной крепи, кабель массой 1 м до 1,5 кг</t>
  </si>
  <si>
    <t>ТЕРм08-05-007-02</t>
  </si>
  <si>
    <t>Кабельные линии до 110 кВ по наклонным горным выработкам с установкой конструкций по деревянной крепи, кабель массой 1 м до 3 кг</t>
  </si>
  <si>
    <t>ТЕРм08-05-007-03</t>
  </si>
  <si>
    <t>Кабельные линии до 110 кВ по наклонным горным выработкам с установкой конструкций по деревянной крепи, кабель массой 1 м до 9 кг</t>
  </si>
  <si>
    <t>ТЕРм08-05-007-04</t>
  </si>
  <si>
    <t>Кабельные линии до 110 кВ по наклонным горным выработкам с установкой конструкций по деревянной крепи, кабель массой 1 м до 15 кг</t>
  </si>
  <si>
    <t>ТЕРм08-05-007-05</t>
  </si>
  <si>
    <t>Кабельные линии до 110 кВ по наклонным горным выработкам с установкой конструкций по деревянной крепи, кабель массой 1 м до 19 кг</t>
  </si>
  <si>
    <t xml:space="preserve">                                   Кабельные конструкции в вертикальных стволах по металлическим расстрелам штампованные</t>
  </si>
  <si>
    <t>ТЕРм08-05-008-01</t>
  </si>
  <si>
    <t>Конструкции для 2 - 4-х кабелей в вертикальных стволах по металлическим расстрелам штампованные, масса 1 м до 7 кг</t>
  </si>
  <si>
    <t>ТЕРм08-05-008-02</t>
  </si>
  <si>
    <t>Конструкции для 2 - 4-х кабелей в вертикальных стволах по металлическим расстрелам штампованные, масса 1 м до 19 кг</t>
  </si>
  <si>
    <t xml:space="preserve">                                   Кабельные конструкции в вертикальных стволах по бетонной крепи штампованные</t>
  </si>
  <si>
    <t>ТЕРм08-05-009-01</t>
  </si>
  <si>
    <t>Конструкции для 2 - 4-х кабелей в вертикальных стволах по бетонной крепи штампованные, масса 1 м до 7 кг</t>
  </si>
  <si>
    <t>ТЕРм08-05-009-02</t>
  </si>
  <si>
    <t>Конструкции для 2 - 4-х кабелей в вертикальных стволах по бетонной крепи штампованные, масса 1 м до 19 кг</t>
  </si>
  <si>
    <t xml:space="preserve">                                   Кабельные конструкции по горизонтальным и наклонным горным выработкам по металлической крепи штампованные из полосовой стали</t>
  </si>
  <si>
    <t>ТЕРм08-05-010-01</t>
  </si>
  <si>
    <t>Конструкции для 1 - 6 кабелей по горизонтальным и наклонным горным выработкам по металлической крепи штампованные из полосовой стали, масса 1 м до 7 кг</t>
  </si>
  <si>
    <t>ТЕРм08-05-010-02</t>
  </si>
  <si>
    <t>Конструкции для 1 - 6 кабелей по горизонтальным и наклонным горным выработкам по металлической крепи штампованные из полосовой стали, масса 1 м до 19 кг</t>
  </si>
  <si>
    <t xml:space="preserve">                                   Кабельные конструкции массой до 3 кг по горизонтальным и наклонным горным выработкам по породе или бетону</t>
  </si>
  <si>
    <t>ТЕРм08-05-011-01</t>
  </si>
  <si>
    <t>Конструкция массой до 3 кг для 2 - 3-х кабелей по горизонтальным и наклонным горным выработкам по породе или бетону, масса 1 м до 7 кг из угловой или полосовой стали</t>
  </si>
  <si>
    <t>ТЕРм08-05-011-02</t>
  </si>
  <si>
    <t>Конструкция массой до 3 кг для 2 - 3-х кабелей по горизонтальным и наклонным горным выработкам по породе или бетону, масса 1 м до 7 кг штампованные стойки</t>
  </si>
  <si>
    <t xml:space="preserve">                                   Кабельные конструкции массой свыше 3 кг по горизонтальным и наклонным горным выработкам по породе или бетону</t>
  </si>
  <si>
    <t>ТЕРм08-05-012-01</t>
  </si>
  <si>
    <t>Конструкция массой свыше 3 кг для кабеля по горизонтальным и наклонным горным выработкам по породе или бетону, масса 1 м до 15 кг П-образная на дюбелях</t>
  </si>
  <si>
    <t>ТЕРм08-05-012-02</t>
  </si>
  <si>
    <t>Конструкция массой свыше 3 кг для кабеля по горизонтальным и наклонным горным выработкам по породе или бетону, масса 1 м до 15 кг из полосовой стали</t>
  </si>
  <si>
    <t>ТЕРм08-05-012-03</t>
  </si>
  <si>
    <t>Конструкция массой свыше 3 кг для кабеля по горизонтальным и наклонным горным выработкам по породе или бетону, масса 1 м до 15 кг штампованные стойки</t>
  </si>
  <si>
    <t xml:space="preserve">                                   Подвески штампованные массой до 0,2 кг</t>
  </si>
  <si>
    <t>ТЕРм08-05-013-01</t>
  </si>
  <si>
    <t>Подвески штампованные массой до 0,2 кг для кабеля массой 1 м до 7 кг</t>
  </si>
  <si>
    <t>ТЕРм08-05-013-02</t>
  </si>
  <si>
    <t>Подвески штампованные массой до 0,2 кг для кабеля массой 1 м до 15 кг</t>
  </si>
  <si>
    <t xml:space="preserve">                                   Кабельные конструкции по деревянной крепи с креплением гвоздями.</t>
  </si>
  <si>
    <t>ТЕРм08-05-014-01</t>
  </si>
  <si>
    <t>Конструкции по деревянной крепи с креплением гвоздями для кабеля массой 1 м до 7 кг</t>
  </si>
  <si>
    <t>ТЕРм08-05-014-02</t>
  </si>
  <si>
    <t>Конструкции по деревянной крепи с креплением гвоздями для кабеля массой 1 м до 15 кг</t>
  </si>
  <si>
    <t xml:space="preserve">                                   Муфты тройниковые</t>
  </si>
  <si>
    <t>ТЕРм08-05-015-01</t>
  </si>
  <si>
    <t>Муфты тройниковые для кабеля сечением жил до 4 мм2</t>
  </si>
  <si>
    <t>ТЕРм08-05-015-02</t>
  </si>
  <si>
    <t>Муфты тройниковые для кабеля сечением жил до 35 мм2</t>
  </si>
  <si>
    <t xml:space="preserve">                                   Раздел 2. ЭЛЕКТРООБОРУДОВАНИЕ В ГОРНОРУДНЫХ ВЫРАБОТКАХ</t>
  </si>
  <si>
    <t xml:space="preserve">                                   Подстанции шахтные передвижные трансформаторные.</t>
  </si>
  <si>
    <t>ТЕРм08-05-030-01</t>
  </si>
  <si>
    <t>Подстанция шахтная передвижная напряжением 6 кВ с трансформатором мощностью до 180 кВА</t>
  </si>
  <si>
    <t>ТЕРм08-05-030-02</t>
  </si>
  <si>
    <t>Подстанция шахтная передвижная напряжением 6 кВ с трансформатором мощностью до 320 кВА</t>
  </si>
  <si>
    <t>ТЕРм08-05-030-03</t>
  </si>
  <si>
    <t>Подстанция шахтная передвижная напряжением 6 кВ с трансформатором мощностью до 630 кВА</t>
  </si>
  <si>
    <t xml:space="preserve">                                   Трансформаторы шахтные силовые</t>
  </si>
  <si>
    <t>ТЕРм08-05-031-01</t>
  </si>
  <si>
    <t>Трансформатор шахтный силовой массой до 2 т</t>
  </si>
  <si>
    <t>ТЕРм08-05-031-02</t>
  </si>
  <si>
    <t>Трансформатор шахтный силовой массой до 3 т</t>
  </si>
  <si>
    <t>ТЕРм08-05-031-03</t>
  </si>
  <si>
    <t>Трансформатор шахтный силовой массой до 4 т</t>
  </si>
  <si>
    <t>ТЕРм08-05-031-04</t>
  </si>
  <si>
    <t>Трансформатор шахтный силовой массой до 5 т</t>
  </si>
  <si>
    <t>ТЕРм08-05-031-05</t>
  </si>
  <si>
    <t>Трансформатор шахтный силовой массой до 6 т</t>
  </si>
  <si>
    <t xml:space="preserve">                                   Устройства распределительные высоковольтные взрывобезопасные</t>
  </si>
  <si>
    <t>ТЕРм08-05-032-01</t>
  </si>
  <si>
    <t>Устройство распределительное высоковольтное взрывобезопасное массой до 1 т</t>
  </si>
  <si>
    <t>ТЕРм08-05-032-02</t>
  </si>
  <si>
    <t>Устройство распределительное высоковольтное взрывобезопасное массой до 3 т</t>
  </si>
  <si>
    <t xml:space="preserve">                                   Автоматы фидерные взрывобезопасные и пускатели магнитные взрывобезопасные в шахтах горнорудных</t>
  </si>
  <si>
    <t>ТЕРм08-05-033-01</t>
  </si>
  <si>
    <t>Автоматы фидерные взрывобезопасные, массой до 240 кг</t>
  </si>
  <si>
    <t>ТЕРм08-05-033-02</t>
  </si>
  <si>
    <t>Автоматы фидерные взрывобезопасные, массой до 320 кг</t>
  </si>
  <si>
    <t>ТЕРм08-05-033-03</t>
  </si>
  <si>
    <t>Автоматы фидерные взрывобезопасные, массой до 400 кг</t>
  </si>
  <si>
    <t>ТЕРм08-05-033-04</t>
  </si>
  <si>
    <t>Пускатели отдельно стоящие, массой до 225 кг</t>
  </si>
  <si>
    <t>ТЕРм08-05-033-05</t>
  </si>
  <si>
    <t>Пускатели отдельно стоящие, массой до 400 кг</t>
  </si>
  <si>
    <t>ТЕРм08-05-033-06</t>
  </si>
  <si>
    <t>Пускатели в распределительном пункте, массой до 225 кг</t>
  </si>
  <si>
    <t>ТЕРм08-05-033-07</t>
  </si>
  <si>
    <t>Пускатели в распределительном пункте, массой до 400 кг</t>
  </si>
  <si>
    <t>ТЕРм08-05-033-08</t>
  </si>
  <si>
    <t>Пускатели магнитные взрывобезопасные автоматики, присоединение к сети гибким кабелем</t>
  </si>
  <si>
    <t>ТЕРм08-05-033-09</t>
  </si>
  <si>
    <t>Пускатели магнитные взрывобезопасные автоматики, присоединение к сети бронированным кабелем</t>
  </si>
  <si>
    <t xml:space="preserve">                                   Пускатели ручные взрывобезопасные</t>
  </si>
  <si>
    <t>ТЕРм08-05-034-01</t>
  </si>
  <si>
    <t>Пускатель ручной взрывобезопасный, номинальный ток до 100 А</t>
  </si>
  <si>
    <t>ТЕРм08-05-034-02</t>
  </si>
  <si>
    <t>Пускатель ручной взрывобезопасный, номинальный ток до 10 А</t>
  </si>
  <si>
    <t xml:space="preserve">                                   Кнопки управления взрывобезопасные</t>
  </si>
  <si>
    <t>ТЕРм08-05-035-01</t>
  </si>
  <si>
    <t>Кнопки управления взрывобезопасные, количество элементов до 2</t>
  </si>
  <si>
    <t>ТЕРм08-05-035-02</t>
  </si>
  <si>
    <t>Кнопки управления взрывобезопасные, количество элементов до 3</t>
  </si>
  <si>
    <t xml:space="preserve">                                   Трансформаторы шахтные осветительные и пусковые агрегаты</t>
  </si>
  <si>
    <t>ТЕРм08-05-036-01</t>
  </si>
  <si>
    <t>Трансформатор шахтный осветительный массой до 200 кг</t>
  </si>
  <si>
    <t>ТЕРм08-05-036-02</t>
  </si>
  <si>
    <t>Агрегат пусковой массой до 200 кг</t>
  </si>
  <si>
    <t xml:space="preserve">                                   Ящики кабельные взрывобезопасные</t>
  </si>
  <si>
    <t>ТЕРм08-05-037-01</t>
  </si>
  <si>
    <t>Ящики кабельные взрывобезопасные, число жил в кабеле до 14</t>
  </si>
  <si>
    <t>ТЕРм08-05-037-02</t>
  </si>
  <si>
    <t>Ящики кабельные взрывобезопасные, число жил в кабеле до 24</t>
  </si>
  <si>
    <t>ТЕРм08-05-037-03</t>
  </si>
  <si>
    <t>Ящики кабельные взрывобезопасные, число жил в кабеле до 37</t>
  </si>
  <si>
    <t>ТЕРм08-05-037-04</t>
  </si>
  <si>
    <t>Ящики кабельные взрывобезопасные массой до 40 кг</t>
  </si>
  <si>
    <t>ТЕРм08-05-037-05</t>
  </si>
  <si>
    <t>Ящики кабельные взрывобезопасные массой свыше 40 кг</t>
  </si>
  <si>
    <t>ТЕРм08-05-037-06</t>
  </si>
  <si>
    <t>Ввод кабельной сигнализации в ящик, количество жил кабеля до 14</t>
  </si>
  <si>
    <t>ТЕРм08-05-037-07</t>
  </si>
  <si>
    <t>Ввод кабельной сигнализации в ящик, количество жил кабеля до 24</t>
  </si>
  <si>
    <t>ТЕРм08-05-037-08</t>
  </si>
  <si>
    <t>Ввод кабельной сигнализации в ящик, количество жил кабеля до 37</t>
  </si>
  <si>
    <t>ТЕРм08-05-037-09</t>
  </si>
  <si>
    <t>Ввод кабельной сигнализации в ящик, количество жил кабеля до 50</t>
  </si>
  <si>
    <t xml:space="preserve">                                   Кабели в проложенных трубах</t>
  </si>
  <si>
    <t>ТЕРм08-05-038-01</t>
  </si>
  <si>
    <t>Кабель в проложенных трубах, масса 1 м до 1 кг</t>
  </si>
  <si>
    <t>ТЕРм08-05-038-02</t>
  </si>
  <si>
    <t>Кабель в проложенных трубах, масса 1 м до 2 кг</t>
  </si>
  <si>
    <t>ТЕРм08-05-038-03</t>
  </si>
  <si>
    <t>Кабель в проложенных трубах, масса 1 м свыше 2 кг</t>
  </si>
  <si>
    <t xml:space="preserve">                                   Кабели и провода, прокладываемые в восстающих с навеской конструкции на расстрелы</t>
  </si>
  <si>
    <t>ТЕРм08-05-039-01</t>
  </si>
  <si>
    <t>Кабель прокладываемый в восстающих с навеской конструкции на расстрелы, масса 1 м до 1 кг</t>
  </si>
  <si>
    <t>ТЕРм08-05-039-02</t>
  </si>
  <si>
    <t>Кабель прокладываемый в восстающих с навеской конструкции на расстрелы, масса 1 м до 2 кг</t>
  </si>
  <si>
    <t>ТЕРм08-05-039-03</t>
  </si>
  <si>
    <t>Кабель прокладываемый в восстающих с навеской конструкции на расстрелы, масса 1 м свыше 2 кг</t>
  </si>
  <si>
    <t>ТЕРм08-05-039-04</t>
  </si>
  <si>
    <t>Провод или шнур прокладываемый в восстающих с навеской конструкции на расстрелы</t>
  </si>
  <si>
    <t xml:space="preserve">                                   Кабели и провода, прокладываемые в каналах камер на установленных кронштейнах</t>
  </si>
  <si>
    <t>ТЕРм08-05-040-01</t>
  </si>
  <si>
    <t>Кабель прокладываемый в каналах камер на установленных кронштейнах, масса 1 м до 1 кг</t>
  </si>
  <si>
    <t>ТЕРм08-05-040-02</t>
  </si>
  <si>
    <t>Кабель прокладываемый в каналах камер на установленных кронштейнах, масса 1 м до 2 кг</t>
  </si>
  <si>
    <t>ТЕРм08-05-040-03</t>
  </si>
  <si>
    <t>Кабель прокладываемый в каналах камер на установленных кронштейнах, масса 1 м свыше 2 кг</t>
  </si>
  <si>
    <t>ТЕРм08-05-040-04</t>
  </si>
  <si>
    <t>Провод или шнур прокладываемый в каналах камер на установленных кронштейнах</t>
  </si>
  <si>
    <t xml:space="preserve">                                   Электропроводки в камерах</t>
  </si>
  <si>
    <t>ТЕРм08-05-041-01</t>
  </si>
  <si>
    <t>Электропроводки в камерах кабель или провод с креплением бандажами</t>
  </si>
  <si>
    <t>ТЕРм08-05-041-02</t>
  </si>
  <si>
    <t>Электропроводки в камерах прибор освещения, включения и коммутации</t>
  </si>
  <si>
    <t xml:space="preserve">                                   Провода и шнуры, прокладываемые в горизонтальных горных выработках</t>
  </si>
  <si>
    <t>ТЕРм08-05-042-01</t>
  </si>
  <si>
    <t>Провод и шнур, прокладываемые в горизонтальных горных выработках на бетонной крепи с креплением бандажами</t>
  </si>
  <si>
    <t>ТЕРм08-05-042-02</t>
  </si>
  <si>
    <t>Провод и шнур, прокладываемые в горизонтальных горных выработках по установленным конструкциям</t>
  </si>
  <si>
    <t>ТЕРм08-05-042-03</t>
  </si>
  <si>
    <t>Провод и шнур, прокладываемые в горизонтальных горных выработках на гребенках</t>
  </si>
  <si>
    <t>ТЕРм08-05-042-04</t>
  </si>
  <si>
    <t>Провод и шнур, прокладываемые в горизонтальных горных выработках по корпусам электровозов</t>
  </si>
  <si>
    <t>ТЕРм08-05-043-01</t>
  </si>
  <si>
    <t>Конструкция металлическая кабельная на бетонной крепи</t>
  </si>
  <si>
    <t>ТЕРм08-05-043-02</t>
  </si>
  <si>
    <t>Конструкция металлическая кабельная в некрепленых и закрепленных торкрет-бетоном выработках</t>
  </si>
  <si>
    <t>ТЕРм08-05-043-03</t>
  </si>
  <si>
    <t>Конструкция металлическая кабельная на металлической крепи</t>
  </si>
  <si>
    <t>ТЕРм08-05-043-04</t>
  </si>
  <si>
    <t>Кронштейн металлический кабельный в каналах камер с изготовлением обрамления из уголка</t>
  </si>
  <si>
    <t>ТЕРм08-05-043-05</t>
  </si>
  <si>
    <t>Гребенка металлическая кабельная</t>
  </si>
  <si>
    <t xml:space="preserve">                                   Трубы стальные или полиэтиленовые для монтажа кабельных трасс</t>
  </si>
  <si>
    <t>ТЕРм08-05-044-01</t>
  </si>
  <si>
    <t>Трубы стальные или полиэтиленовые для монтажа кабельных трасс диаметром до 50 мм в восстающих</t>
  </si>
  <si>
    <t>ТЕРм08-05-044-02</t>
  </si>
  <si>
    <t>Трубы стальные или полиэтиленовые для монтажа кабельных трасс диаметром до 50 мм в горизонтальных выработках или под люками</t>
  </si>
  <si>
    <t>ТЕРм08-05-044-03</t>
  </si>
  <si>
    <t>Проход кабельный в трубах через вентиляционные перемычки</t>
  </si>
  <si>
    <t xml:space="preserve">                                   Заземления</t>
  </si>
  <si>
    <t>ТЕРм08-05-045-01</t>
  </si>
  <si>
    <t>Шина заземления по бетонной крепи</t>
  </si>
  <si>
    <t>ТЕРм08-05-045-02</t>
  </si>
  <si>
    <t>Шина заземления по установленным конструкциям</t>
  </si>
  <si>
    <t>ТЕРм08-05-045-03</t>
  </si>
  <si>
    <t>Заземление оборудования центральное</t>
  </si>
  <si>
    <t>ТЕРм08-05-045-04</t>
  </si>
  <si>
    <t>Заземление оборудования местное</t>
  </si>
  <si>
    <t>ТЕРм08-05-045-05</t>
  </si>
  <si>
    <t>Заземление брони кабеля</t>
  </si>
  <si>
    <t>ТЕРм-2001-08</t>
  </si>
  <si>
    <t xml:space="preserve">                           Раздел 1. ОТДЕЛ 01. МЕХАНИЧЕСКАЯ ЧАСТЬ ПЕЧЕЙ</t>
  </si>
  <si>
    <t xml:space="preserve">                                   Раздел 1. ЭЛЕКТРОПЕЧИ СОПРОТИВЛЕНИЯ ПЕРИОДИЧЕСКОГО ДЕЙСТВИЯ ДЛЯ ТЕРМИЧЕСКОЙ ОБРАБОТКИ И СУШКИ</t>
  </si>
  <si>
    <t xml:space="preserve">                                   Электропечи камерные</t>
  </si>
  <si>
    <t>ТЕРм09-01-001-01</t>
  </si>
  <si>
    <t>Электропечь сопротивления камерная с ручным приводом дверцы, рабочая температура до 1000°С, мощность 16,5 кВт</t>
  </si>
  <si>
    <t>ТЕРм09-01-001-02</t>
  </si>
  <si>
    <t>Электропечь сопротивления камерная с ручным приводом дверцы, рабочая температура до 1000°С, мощность 20 кВт</t>
  </si>
  <si>
    <t>ТЕРм09-01-001-03</t>
  </si>
  <si>
    <t>Электропечь сопротивления камерная с ручным приводом дверцы, рабочая температура до 1000°С, мощность 70-100 кВт</t>
  </si>
  <si>
    <t>ТЕРм09-01-001-04</t>
  </si>
  <si>
    <t>Электропечь сопротивления камерная с механизированным приводом дверцы и выкатным подом, рабочая температура до 1350°С, мощность 100 кВт</t>
  </si>
  <si>
    <t>ТЕРм09-01-001-05</t>
  </si>
  <si>
    <t>Электропечь сопротивления камерная с механизированным приводом дверцы и выкатным подом, рабочая температура до 1350°С, мощность 200 кВт</t>
  </si>
  <si>
    <t>ТЕРм09-01-001-06</t>
  </si>
  <si>
    <t>Электропечь сопротивления камерная с механизированным приводом дверцы и выкатным подом, рабочая температура до 1350°С, мощность 300 кВт</t>
  </si>
  <si>
    <t>ТЕРм09-01-001-07</t>
  </si>
  <si>
    <t>Электропечь сопротивления камерная с механизированным приводом дверцы и выкатным подом, рабочая температура до 1350°С, мощность 400 кВт</t>
  </si>
  <si>
    <t>ТЕРм09-01-001-08</t>
  </si>
  <si>
    <t>Электропечь сопротивления камерная с механизированным приводом дверцы и выкатным подом, рабочая температура до 1350°С, мощность 2000 кВт</t>
  </si>
  <si>
    <t xml:space="preserve">                                   Электропечи шахтные</t>
  </si>
  <si>
    <t>ТЕРм09-01-002-01</t>
  </si>
  <si>
    <t>Электропечь сопротивления шахтная с ручным приводом крышки, рабочая температура до 1000°С, мощность 40 кВт</t>
  </si>
  <si>
    <t>ТЕРм09-01-002-02</t>
  </si>
  <si>
    <t>Электропечь сопротивления шахтная с механизированным приводом крышки, рабочая температура до 1000°С, мощность 300 кВт</t>
  </si>
  <si>
    <t xml:space="preserve">                                   Электропечи колпаковые</t>
  </si>
  <si>
    <t>ТЕРм09-01-003-01</t>
  </si>
  <si>
    <t>Электропечь сопротивления колпаковая, рабочая температура до 1200°С, мощность 60 кВт</t>
  </si>
  <si>
    <t>ТЕРм09-01-003-02</t>
  </si>
  <si>
    <t>Электропечь сопротивления колпаковая, рабочая температура до 1200°С, мощность 200 кВт</t>
  </si>
  <si>
    <t>ТЕРм09-01-003-03</t>
  </si>
  <si>
    <t>Электропечь сопротивления колпаковая, безмуфельная ванна, рабочая температура до 700°С, мощность 40 кВт</t>
  </si>
  <si>
    <t xml:space="preserve">                                   Электропечи элеваторные</t>
  </si>
  <si>
    <t>ТЕРм09-01-004-01</t>
  </si>
  <si>
    <t>Электропечь сопротивления элеваторная, рабочая температура до 1000°С, мощность 250 кВт</t>
  </si>
  <si>
    <t xml:space="preserve">                                   Электрованны</t>
  </si>
  <si>
    <t>ТЕРм09-01-005-01</t>
  </si>
  <si>
    <t>Электропечь - ванна, рабочая температура до 1300°С, мощность 40 кВт</t>
  </si>
  <si>
    <t xml:space="preserve">                                   Раздел 2. ЭЛЕКТРОПЕЧИ СОПРОТИВЛЕНИЯ НЕПРЕРЫВНОГО ДЕЙСТВИЯ ДЛЯ ТЕРМИЧЕСКОЙ ОБРАБОТКИ И СУШКИ</t>
  </si>
  <si>
    <t xml:space="preserve">                                   Электропечи конвейерные</t>
  </si>
  <si>
    <t>ТЕРм09-01-021-01</t>
  </si>
  <si>
    <t>Электропечь сопротивления конвейерная, рабочая температура до 1150°С, мощность 300 кВт</t>
  </si>
  <si>
    <t>ТЕРм09-01-021-02</t>
  </si>
  <si>
    <t>ТЕРм09-01-021-03</t>
  </si>
  <si>
    <t>Электропечь сопротивления конвейерная, рабочая температура до 1150°С, мощность 450 кВт</t>
  </si>
  <si>
    <t xml:space="preserve">                                   Электропечи толкательные</t>
  </si>
  <si>
    <t>ТЕРм09-01-022-01</t>
  </si>
  <si>
    <t>Электропечь сопротивления толкательная, рабочая температура до 1300°С, мощность 80 кВт</t>
  </si>
  <si>
    <t>ТЕРм09-01-022-02</t>
  </si>
  <si>
    <t>Электропечь сопротивления толкательная, рабочая температура до 1300°С, мощность 250 кВт</t>
  </si>
  <si>
    <t>ТЕРм09-01-022-03</t>
  </si>
  <si>
    <t>Электропечь сопротивления толкательная, рабочая температура до 1300°С, мощность 450 кВт</t>
  </si>
  <si>
    <t xml:space="preserve">                                   Электропечи карусельные</t>
  </si>
  <si>
    <t>ТЕРм09-01-023-01</t>
  </si>
  <si>
    <t>Электропечь сопротивления карусельная, рабочая температура до 1200°С, мощность 100 кВт</t>
  </si>
  <si>
    <t xml:space="preserve">                                   Электропечи барабанные</t>
  </si>
  <si>
    <t>ТЕРм09-01-024-01</t>
  </si>
  <si>
    <t>Электропечь сопротивления барабанная, рабочая температура до 900°С, мощность 100 кВт</t>
  </si>
  <si>
    <t xml:space="preserve">                                   Электропечи протяжные</t>
  </si>
  <si>
    <t>ТЕРм09-01-025-01</t>
  </si>
  <si>
    <t>Электропечь протяжная, рабочая температура 900°С, мощность 130 кВт</t>
  </si>
  <si>
    <t xml:space="preserve">                                   Электропечи рольганговые</t>
  </si>
  <si>
    <t>ТЕРм09-01-026-01</t>
  </si>
  <si>
    <t>Электропечь сопротивления рольганговая, рабочая температура до 1150°С, мощность 500 кВт</t>
  </si>
  <si>
    <t xml:space="preserve">                                   Электропечи с шагающим или пульсирующим подом</t>
  </si>
  <si>
    <t>ТЕРм09-01-027-01</t>
  </si>
  <si>
    <t>Электропечь сопротивления с шагающим подом, рабочая температура до 900°С, мощность 200 кВт</t>
  </si>
  <si>
    <t xml:space="preserve">                                   Раздел 3. ЭЛЕКТРОПЕЧИ СОПРОТИВЛЕНИЯ ДЛЯ ПЛАВКИ ЦВЕТНЫХ МЕТАЛЛОВ И ИХ СПЛАВОВ</t>
  </si>
  <si>
    <t>ТЕРм09-01-031-01</t>
  </si>
  <si>
    <t>Электропечь сопротивления камерная, рабочая температура до 850°С, мощность до 120 кВт, вместимость 500 кг</t>
  </si>
  <si>
    <t>ТЕРм09-01-032-01</t>
  </si>
  <si>
    <t>Электропечь сопротивления барабанная, рабочая температура до 1200°С, мощность до 50 кВт, вместимость 75 кг</t>
  </si>
  <si>
    <t xml:space="preserve">                                   Электропечи тигельные</t>
  </si>
  <si>
    <t>ТЕРм09-01-033-01</t>
  </si>
  <si>
    <t>Электропечь сопротивления тигельная, рабочая температура до 850°С, мощность до 150 кВт, вместимость 500 кг</t>
  </si>
  <si>
    <t xml:space="preserve">                                   Раздел 4. ЭЛЕКТРОПЕЧИ ДУГОВЫЕ СТАЛЕПЛАВИЛЬНЫЕ</t>
  </si>
  <si>
    <t xml:space="preserve">                                   Электропечи дуговые сталеплавильные малой вместимости</t>
  </si>
  <si>
    <t>ТЕРм09-01-041-01</t>
  </si>
  <si>
    <t>Электропечь дуговая сталеплавильная, вместимость 0,5 т</t>
  </si>
  <si>
    <t>ТЕРм09-01-041-02</t>
  </si>
  <si>
    <t>Электропечь дуговая сталеплавильная, вместимость 1,5 т</t>
  </si>
  <si>
    <t>ТЕРм09-01-041-03</t>
  </si>
  <si>
    <t>Электропечь дуговая сталеплавильная, вместимость 3 т</t>
  </si>
  <si>
    <t>ТЕРм09-01-041-04</t>
  </si>
  <si>
    <t>Электропечь дуговая сталеплавильная, вместимость 6 т</t>
  </si>
  <si>
    <t xml:space="preserve">                                   Электропечи дуговые сталеплавильные средней вместимости</t>
  </si>
  <si>
    <t>ТЕРм09-01-042-01</t>
  </si>
  <si>
    <t>Электропечь дуговая сталеплавильная, вместимость 25 т</t>
  </si>
  <si>
    <t>ТЕРм09-01-042-02</t>
  </si>
  <si>
    <t>Электропечь дуговая сталеплавильная, вместимость 50 т</t>
  </si>
  <si>
    <t xml:space="preserve">                                   Электропечи дуговые сталеплавильные большой вместимости</t>
  </si>
  <si>
    <t>ТЕРм09-01-043-01</t>
  </si>
  <si>
    <t>Электропечь дуговая сталеплавильная, вместимость 100 т</t>
  </si>
  <si>
    <t xml:space="preserve">                                   Раздел 5. ЭЛЕКТРОПЕЧИ ИНДУКЦИОННЫЕ ПЛАВИЛЬНЫЕ</t>
  </si>
  <si>
    <t xml:space="preserve">                                   Электропечи тигельные для открытой плавки</t>
  </si>
  <si>
    <t>ТЕРм09-01-051-01</t>
  </si>
  <si>
    <t>Электропечь индукционная тигельная, полная мощность до 400 кВ·А, вместимость 0,25 т</t>
  </si>
  <si>
    <t>ТЕРм09-01-051-02</t>
  </si>
  <si>
    <t>Электропечь индукционная тигельная, полная мощность до 400 кВ·А, вместимость 1 т</t>
  </si>
  <si>
    <t xml:space="preserve">                                   Электропечи канальные для открытой плавки</t>
  </si>
  <si>
    <t>ТЕРм09-01-052-01</t>
  </si>
  <si>
    <t>Электропечь индукционная канальная промышленной частоты, полная мощность до 1000 кВ·А, вместимость 4 т</t>
  </si>
  <si>
    <t>ТЕРм09-01-052-02</t>
  </si>
  <si>
    <t>Электропечь индукционная канальная промышленной частоты, полная мощность до 1000 кВ·А, вместимость 16 т</t>
  </si>
  <si>
    <t xml:space="preserve">                                   Раздел 6. УСТАНОВКИ ИНДУКЦИОННЫЕ НАГРЕВАТЕЛЬНЫЕ И ЗАКАЛОЧНЫЕ</t>
  </si>
  <si>
    <t xml:space="preserve">                                   Установки промышленной частоты</t>
  </si>
  <si>
    <t>ТЕРм09-01-061-01</t>
  </si>
  <si>
    <t>Установка промышленной частоты сквозного нагрева, мощность до 1000 кВт</t>
  </si>
  <si>
    <t xml:space="preserve">                                   Раздел 7. УСТАНОВКИ ДЛЯ ПРИГОТОВЛЕНИЯ КОНТРОЛИРУЕМЫХ АТМОСФЕР</t>
  </si>
  <si>
    <t xml:space="preserve">                                   Установки для приготовления контролируемых атмосфер</t>
  </si>
  <si>
    <t>ТЕРм09-01-071-01</t>
  </si>
  <si>
    <t>Установка для приготовления контролируемой атмосферы, производительность до 60 м3/ч</t>
  </si>
  <si>
    <t xml:space="preserve">                                   Раздел 8. КОМПЛЕКТУЮЩЕЕ ОБОРУДОВАНИЕК К ЭЛЕКТРОПЕЧАМ</t>
  </si>
  <si>
    <t xml:space="preserve">                                   Закалочные и замочные баки</t>
  </si>
  <si>
    <t>ТЕРм09-01-081-01</t>
  </si>
  <si>
    <t>Бак закалочный конвейерный, производительность 350 кг/ч</t>
  </si>
  <si>
    <t xml:space="preserve">                                   Моечные машины</t>
  </si>
  <si>
    <t>ТЕРм09-01-082-01</t>
  </si>
  <si>
    <t>Машина моечная конвейерная, производительность до 360 кг/ч</t>
  </si>
  <si>
    <t xml:space="preserve">                                   Раздел 9. ЭЛЕКТРОПЕЧИ РУДНО-ТЕРМИЧЕСКИЕ</t>
  </si>
  <si>
    <t xml:space="preserve">                                   Электропечи рудно-термические</t>
  </si>
  <si>
    <t>ТЕРм09-01-091-01</t>
  </si>
  <si>
    <t>Электропечь рудно-термическая, полная мощность 3500 кВ·А</t>
  </si>
  <si>
    <t>ТЕРм09-01-091-02</t>
  </si>
  <si>
    <t>Электропечь рудно-термическая, полная мощность 5000 кВ·А</t>
  </si>
  <si>
    <t xml:space="preserve">                                   Электропечи шлакового переплава</t>
  </si>
  <si>
    <t>ТЕРм09-01-101-01</t>
  </si>
  <si>
    <t>Электропечь шлакового переплава, полная мощность 1000 кВ·А</t>
  </si>
  <si>
    <t>ТЕРм09-01-101-02</t>
  </si>
  <si>
    <t>Электропечь шлакового переплава, полная мощность 5000 кВ·А</t>
  </si>
  <si>
    <t>ТЕРм-2001-10</t>
  </si>
  <si>
    <t xml:space="preserve">                           Раздел 1. ОТДЕЛ 01. ГОРОДСКАЯ ТЕЛЕФОННАЯ СВЯЗЬ</t>
  </si>
  <si>
    <t xml:space="preserve">                                   Раздел 1. СТАНЦИИ ТЕЛЕФОННЫЕ АВТОМАТИЧЕСКИЕ</t>
  </si>
  <si>
    <t xml:space="preserve">                                   Оборудование станции АТСКУ</t>
  </si>
  <si>
    <t>ТЕРм10-01-001-01</t>
  </si>
  <si>
    <t>Статив с креплением секциями типа «Решетка-2» или магистральными прогонами, масса до 150 кг, со сборным кабелем</t>
  </si>
  <si>
    <t>ТЕРм10-01-001-02</t>
  </si>
  <si>
    <t>Статив с креплением секциями типа «Решетка-2» или магистральными прогонами, масса до150 кг, без сборного кабеля</t>
  </si>
  <si>
    <t>ТЕРм10-01-001-03</t>
  </si>
  <si>
    <t>Статив с креплением секциями типа «Решетка-2» или магистральными прогонами, масса до 300 кг, со сборным кабелем</t>
  </si>
  <si>
    <t>ТЕРм10-01-001-04</t>
  </si>
  <si>
    <t>Статив с креплением секциями типа «Решетка-2» или магистральными прогонами, масса до 300 кг, без сборного кабеля</t>
  </si>
  <si>
    <t>ТЕРм10-01-001-05</t>
  </si>
  <si>
    <t>Промщит секциями типа «Решетка-2»</t>
  </si>
  <si>
    <t>ТЕРм10-01-001-06</t>
  </si>
  <si>
    <t>Промщит магистральными прогонами</t>
  </si>
  <si>
    <t>ТЕРм10-01-001-07</t>
  </si>
  <si>
    <t>Рама подпорная</t>
  </si>
  <si>
    <t>ТЕРм10-01-001-08</t>
  </si>
  <si>
    <t>Плата с реле с включением разъемов жесткозакрепленных</t>
  </si>
  <si>
    <t>ТЕРм10-01-001-09</t>
  </si>
  <si>
    <t>Плата с реле с включением разъемов свободнозакрепленных</t>
  </si>
  <si>
    <t>ТЕРм10-01-001-10</t>
  </si>
  <si>
    <t>Плата разного назначения с подготовкой места установки</t>
  </si>
  <si>
    <t>ТЕРм10-01-001-11</t>
  </si>
  <si>
    <t>Столы специальные</t>
  </si>
  <si>
    <t>ТЕРм10-01-001-12</t>
  </si>
  <si>
    <t>Рамка со штифтами на винтах в нарезных отверстиях</t>
  </si>
  <si>
    <t>ТЕРм10-01-001-13</t>
  </si>
  <si>
    <t>Рамка со штифтами на винтах и гайках с шайбами</t>
  </si>
  <si>
    <t>ТЕРм10-01-001-14</t>
  </si>
  <si>
    <t>Транспорант рядовой со сборной рамкой</t>
  </si>
  <si>
    <t>ТЕРм10-01-001-15</t>
  </si>
  <si>
    <t>Освещение рядовое</t>
  </si>
  <si>
    <t xml:space="preserve">                                   Электрическая проверка и настройка оборудования АТСКУ</t>
  </si>
  <si>
    <t>ТЕРм10-01-002-01</t>
  </si>
  <si>
    <t>Электрическая проверка и настройка оборудования АТСКУ АИ-СД, АИ-АВ, АК-АВ</t>
  </si>
  <si>
    <t>ТЕРм10-01-002-02</t>
  </si>
  <si>
    <t>Электрическая проверка и настройка оборудования АТСКУ ГИ-6</t>
  </si>
  <si>
    <t>ТЕРм10-01-002-03</t>
  </si>
  <si>
    <t>Электрическая проверка и настройка оборудования АТСКУ ГИ-3, РИ-А</t>
  </si>
  <si>
    <t>ТЕРм10-01-002-04</t>
  </si>
  <si>
    <t>Электрическая проверка и настройка оборудования АТСКУ АРБ, ВРД-4, ВРДВ, КП</t>
  </si>
  <si>
    <t>ТЕРм10-01-002-05</t>
  </si>
  <si>
    <t>Электрическая проверка и настройка оборудования АТСКУ ВШК-ВШКМ, МГ, СВУ, ПКВ, АКС, ПКВ-РИВ</t>
  </si>
  <si>
    <t>ТЕРм10-01-002-06</t>
  </si>
  <si>
    <t>Электрическая проверка и настройка оборудования АТСКУ РСЛВ-3, ИШК, РСЛПВ, ГИК-40</t>
  </si>
  <si>
    <t>ТЕРм10-01-002-07</t>
  </si>
  <si>
    <t>Электрическая проверка и настройка оборудования АТСКУ РСЛВ-2</t>
  </si>
  <si>
    <t>ТЕРм10-01-002-08</t>
  </si>
  <si>
    <t>Электрическая проверка и настройка оборудования АТСКУ РСЛПИ, РСЛИ-2</t>
  </si>
  <si>
    <t>ТЕРм10-01-002-09</t>
  </si>
  <si>
    <t>Электрическая проверка и настройка оборудования АТСКУ АД-АУД, УАК, КУА, РСЛИ-3</t>
  </si>
  <si>
    <t>ТЕРм10-01-002-10</t>
  </si>
  <si>
    <t>Стол испытательно-измерительный или передаточный</t>
  </si>
  <si>
    <t>ТЕРм10-01-002-11</t>
  </si>
  <si>
    <t>Стол справок</t>
  </si>
  <si>
    <t>ТЕРм10-01-002-12</t>
  </si>
  <si>
    <t>Проверка оборудования при установлении внутристанционных вызовов с выключенными выдержками времени</t>
  </si>
  <si>
    <t>ТЕРм10-01-002-13</t>
  </si>
  <si>
    <t>Вызов контрольный с включением выдержки времени в регистрах и маркерах</t>
  </si>
  <si>
    <t>ТЕРм10-01-002-14</t>
  </si>
  <si>
    <t>Проверка оборудования через автотренер</t>
  </si>
  <si>
    <t>ТЕРм10-01-002-15</t>
  </si>
  <si>
    <t>Измерение шнуровых пар</t>
  </si>
  <si>
    <t>ТЕРм10-01-002-16</t>
  </si>
  <si>
    <t>Проверка выходов от ГИ к ГИ, ЛИ и РСЛ</t>
  </si>
  <si>
    <t xml:space="preserve">                                   Оборудование станции «Пентаконта»</t>
  </si>
  <si>
    <t>ТЕРм10-01-003-01</t>
  </si>
  <si>
    <t>Каркас ряда</t>
  </si>
  <si>
    <t>ТЕРм10-01-003-02</t>
  </si>
  <si>
    <t>Промщит</t>
  </si>
  <si>
    <t>ТЕРм10-01-003-03</t>
  </si>
  <si>
    <t>Рама статива, масса до 50 кг</t>
  </si>
  <si>
    <t>ТЕРм10-01-003-04</t>
  </si>
  <si>
    <t>Рама статива, масса свыше 50 кг</t>
  </si>
  <si>
    <t>ТЕРм10-01-003-05</t>
  </si>
  <si>
    <t>Рама поворотная</t>
  </si>
  <si>
    <t>ТЕРм10-01-003-06</t>
  </si>
  <si>
    <t>Блок релейный</t>
  </si>
  <si>
    <t>ТЕРм10-01-003-07</t>
  </si>
  <si>
    <t>Промщит концентрации на стойке</t>
  </si>
  <si>
    <t>ТЕРм10-01-003-08</t>
  </si>
  <si>
    <t>Ящик питания</t>
  </si>
  <si>
    <t>ТЕРм10-01-003-09</t>
  </si>
  <si>
    <t>Табло рядовой сигнализации</t>
  </si>
  <si>
    <t xml:space="preserve">                                   Раздел 2. КРОССЫ</t>
  </si>
  <si>
    <t xml:space="preserve">                                   Кроссы</t>
  </si>
  <si>
    <t>ТЕРм10-01-014-01</t>
  </si>
  <si>
    <t>Кросс абонентских линий</t>
  </si>
  <si>
    <t>ТЕРм10-01-014-02</t>
  </si>
  <si>
    <t>Кросс соединительных линий</t>
  </si>
  <si>
    <t xml:space="preserve">                                   Раздел 3. АППАРАТУРА УПЛОТНЕНИЯ МЕЖСТАНЦИОННЫХ СВЯЗЕЙ</t>
  </si>
  <si>
    <t xml:space="preserve">                                   Оборудование ИКМ</t>
  </si>
  <si>
    <t>ТЕРм10-01-025-01</t>
  </si>
  <si>
    <t>Оборудование ИКМ-15 оконечная станция на одну систему</t>
  </si>
  <si>
    <t>ТЕРм10-01-025-02</t>
  </si>
  <si>
    <t>Оборудование ИКМ-15 оконечная станция на две системы</t>
  </si>
  <si>
    <t>ТЕРм10-01-025-03</t>
  </si>
  <si>
    <t>Оборудование ИКМ-15 промежуточная станция на одну систему</t>
  </si>
  <si>
    <t>ТЕРм10-01-025-04</t>
  </si>
  <si>
    <t>Оборудование ИКМ-15 промежуточная станция на две системы</t>
  </si>
  <si>
    <t>ТЕРм10-01-025-05</t>
  </si>
  <si>
    <t>Оборудование ИКМ-30, установка линейных регенераторов при наличии в одном колодце НРП первого</t>
  </si>
  <si>
    <t>ТЕРм10-01-025-06</t>
  </si>
  <si>
    <t>Оборудование ИКМ-30, установка линейных регенераторов при наличии в одном колодце НРП каждого последующего</t>
  </si>
  <si>
    <t xml:space="preserve">                                   Электрическая проверка оборудования ИКМ-15</t>
  </si>
  <si>
    <t>ТЕРм10-01-026-01</t>
  </si>
  <si>
    <t>Электрическая проверка оборудования ИКМ-15 оконечная станция на одну систему</t>
  </si>
  <si>
    <t>ТЕРм10-01-026-02</t>
  </si>
  <si>
    <t>Электрическая проверка оборудования ИКМ-15 оконечная станция на две системы</t>
  </si>
  <si>
    <t>ТЕРм10-01-026-03</t>
  </si>
  <si>
    <t>Электрическая проверка оборудования ИКМ-15 промежуточная станция на одну систему</t>
  </si>
  <si>
    <t>ТЕРм10-01-026-04</t>
  </si>
  <si>
    <t>Электрическая проверка оборудования ИКМ-15 промежуточная станция на две системы</t>
  </si>
  <si>
    <t xml:space="preserve">                                   Настройка ИКМ-15</t>
  </si>
  <si>
    <t>ТЕРм10-01-027-01</t>
  </si>
  <si>
    <t>Настройка линейного тракта на одну систему</t>
  </si>
  <si>
    <t>ТЕРм10-01-027-02</t>
  </si>
  <si>
    <t>Настройка линейного тракта на две системы</t>
  </si>
  <si>
    <t xml:space="preserve">                                   Раздел 4. ЖЕЛОБА МЕТАЛЛИЧЕСКИЕ ВОЗДУШНЫЕ</t>
  </si>
  <si>
    <t xml:space="preserve">                                   Желоба металлические воздушные</t>
  </si>
  <si>
    <t>ТЕРм10-01-038-01</t>
  </si>
  <si>
    <t>Желоб сборный на настенных кронштейнах и на подвесках к потолку</t>
  </si>
  <si>
    <t>ТЕРм10-01-038-02</t>
  </si>
  <si>
    <t>Спуск-подъем желоба</t>
  </si>
  <si>
    <t>ТЕРм10-01-038-03</t>
  </si>
  <si>
    <t>Закругление желоба</t>
  </si>
  <si>
    <t>ТЕРм10-01-038-04</t>
  </si>
  <si>
    <t>Желоб вертикальный</t>
  </si>
  <si>
    <t>ТЕРм10-01-038-05</t>
  </si>
  <si>
    <t>Желоб магистральный или рядовой коробчатый</t>
  </si>
  <si>
    <t>ТЕРм10-01-038-06</t>
  </si>
  <si>
    <t>Желоб сигнальный АТСКУ</t>
  </si>
  <si>
    <t>ТЕРм10-01-038-07</t>
  </si>
  <si>
    <t>Кронштейн магистральных шин</t>
  </si>
  <si>
    <t>ТЕРм10-01-038-08</t>
  </si>
  <si>
    <t>Желоб на прямых участках</t>
  </si>
  <si>
    <t>ТЕРм10-01-038-09</t>
  </si>
  <si>
    <t>Вырезка окна в желобе для спуска-подъема кабеля</t>
  </si>
  <si>
    <t xml:space="preserve">                                   Детали разные</t>
  </si>
  <si>
    <t>ТЕРм10-01-039-01</t>
  </si>
  <si>
    <t>Хомут на колонне</t>
  </si>
  <si>
    <t>ТЕРм10-01-039-02</t>
  </si>
  <si>
    <t>Угольник настенный магистральный</t>
  </si>
  <si>
    <t>ТЕРм10-01-039-03</t>
  </si>
  <si>
    <t>Угольник настенный (уголок) отдельный</t>
  </si>
  <si>
    <t>ТЕРм10-01-039-04</t>
  </si>
  <si>
    <t>Уголок крепления яруса желоба</t>
  </si>
  <si>
    <t>ТЕРм10-01-039-05</t>
  </si>
  <si>
    <t>Перфорированный швеллер для светильников между рядами</t>
  </si>
  <si>
    <t>ТЕРм10-01-039-06</t>
  </si>
  <si>
    <t>Реле, ключ, кнопка и др. с подготовкой места установки</t>
  </si>
  <si>
    <t xml:space="preserve">                                   Решетки, сетки кабельные на станции типа «Пентаконта»</t>
  </si>
  <si>
    <t>ТЕРм10-01-040-01</t>
  </si>
  <si>
    <t>Сетка кабельная на станции «Пентаконта» легкая</t>
  </si>
  <si>
    <t>ТЕРм10-01-040-02</t>
  </si>
  <si>
    <t>Сетка кабельная на станции «Пентаконта» усиленная</t>
  </si>
  <si>
    <t>ТЕРм10-01-040-03</t>
  </si>
  <si>
    <t>Корзина коническая для пожарных извещателей</t>
  </si>
  <si>
    <t>ТЕРм10-01-040-04</t>
  </si>
  <si>
    <t>Решетка кабельная на станции типа ИАТСКЭ «Исток» производства фирмы «РФТ»</t>
  </si>
  <si>
    <t xml:space="preserve">                                   Раздел 5. КАБЕЛИ И ПРОВОДА СТАНЦИОННЫЕ</t>
  </si>
  <si>
    <t xml:space="preserve">                                   Разделка и включение кабелей и проводов</t>
  </si>
  <si>
    <t>ТЕРм10-01-051-01</t>
  </si>
  <si>
    <t>Разделка и включение кабеля в штифтовые рамки пайкой, емкость кабеля 40х2, 20х5</t>
  </si>
  <si>
    <t>ТЕРм10-01-051-02</t>
  </si>
  <si>
    <t>Разделка и включение кабеля в штифтовые рамки пайкой, емкость кабеля 30х2</t>
  </si>
  <si>
    <t>ТЕРм10-01-051-03</t>
  </si>
  <si>
    <t>Разделка и включение кабеля в штифтовые рамки пайкой, емкость кабеля 26х3, 20х4</t>
  </si>
  <si>
    <t>ТЕРм10-01-051-04</t>
  </si>
  <si>
    <t>Разделка и включение кабеля в штифтовые рамки пайкой, емкость кабеля 20х3</t>
  </si>
  <si>
    <t>ТЕРм10-01-051-05</t>
  </si>
  <si>
    <t>Разделка и включение кабеля в штифтовые рамки пайкой, емкость кабеля 20х2</t>
  </si>
  <si>
    <t>ТЕРм10-01-051-06</t>
  </si>
  <si>
    <t>Разделка и включение кабеля в штифтовые рамки пайкой, емкость кабеля 10х3</t>
  </si>
  <si>
    <t>ТЕРм10-01-051-07</t>
  </si>
  <si>
    <t>Разделка и включение кабеля в штифтовые рамки пайкой, емкость кабеля 10х2</t>
  </si>
  <si>
    <t>ТЕРм10-01-051-08</t>
  </si>
  <si>
    <t>Разделка и включение кабеля в штифтовые рамки пайкой, емкость кабеля 5х3</t>
  </si>
  <si>
    <t>ТЕРм10-01-051-09</t>
  </si>
  <si>
    <t>Разделка и включение кабеля в штифтовые рамки пайкой, емкость кабеля 5х2</t>
  </si>
  <si>
    <t>ТЕРм10-01-051-10</t>
  </si>
  <si>
    <t>Разделка и включение кабеля и провода пистолетом, емкость кабеля 20х3</t>
  </si>
  <si>
    <t>ТЕРм10-01-051-11</t>
  </si>
  <si>
    <t>Разделка и включение кабеля и провода пистолетом, емкость кабеля 20х2</t>
  </si>
  <si>
    <t>ТЕРм10-01-051-12</t>
  </si>
  <si>
    <t>Разделка и включение кабеля и провода пистолетом, емкость кабеля 10х3</t>
  </si>
  <si>
    <t>ТЕРм10-01-051-13</t>
  </si>
  <si>
    <t>Разделка и включение кабеля и провода пистолетом, емкость кабеля 10х2</t>
  </si>
  <si>
    <t>ТЕРм10-01-051-14</t>
  </si>
  <si>
    <t>Разделка и включение кабеля и провода пистолетом, емкость кабеля 5х3</t>
  </si>
  <si>
    <t>ТЕРм10-01-051-15</t>
  </si>
  <si>
    <t>Разделка и включение кабеля и провода пистолетом, емкость кабеля 5х2</t>
  </si>
  <si>
    <t>ТЕРм10-01-051-16</t>
  </si>
  <si>
    <t>Разделка и включение кабелей ТСВ емкостью 20х3 при разделке одного кабеля пайкой</t>
  </si>
  <si>
    <t>ТЕРм10-01-051-17</t>
  </si>
  <si>
    <t>Разделка и включение кабелей ТСВ емкостью 20х3 при разделке одного кабеля пистолетом</t>
  </si>
  <si>
    <t>ТЕРм10-01-051-18</t>
  </si>
  <si>
    <t>Разделка и включение кабелей ТСВ емкостью 20х3 при разделке двух кабелей пайкой</t>
  </si>
  <si>
    <t>ТЕРм10-01-051-19</t>
  </si>
  <si>
    <t>Разделка и включение кабелей ТСВ емкостью 20х2 при разделке одного кабеля пайкой</t>
  </si>
  <si>
    <t>ТЕРм10-01-051-20</t>
  </si>
  <si>
    <t>Разделка и включение кабелей ТСВ емкостью 20х2 при разделке одного кабеля пистолетом</t>
  </si>
  <si>
    <t>ТЕРм10-01-051-21</t>
  </si>
  <si>
    <t>Разделка и включение кабелей ТСВ емкостью 20х2 при разделке двух кабелей пайкой</t>
  </si>
  <si>
    <t>ТЕРм10-01-051-22</t>
  </si>
  <si>
    <t>Разделка и включение кабелей ТСВ емкостью 10х3 при разделке одного кабеля пайкой</t>
  </si>
  <si>
    <t>ТЕРм10-01-051-23</t>
  </si>
  <si>
    <t>Разделка и включение кабелей ТСВ емкостью 10х3 при разделке одного кабеля пистолетом</t>
  </si>
  <si>
    <t>ТЕРм10-01-051-24</t>
  </si>
  <si>
    <t>Разделка и включение кабелей ТСВ емкостью 10х3 при разделке двух кабелей пайкой</t>
  </si>
  <si>
    <t>ТЕРм10-01-051-25</t>
  </si>
  <si>
    <t>Разделка и включение кабелей ТСВ емкостью 10х2 при разделке одного кабеля пайкой</t>
  </si>
  <si>
    <t>ТЕРм10-01-051-26</t>
  </si>
  <si>
    <t>Разделка и включение кабелей ТСВ емкостью 10х2 при разделке одного кабеля пистолетом</t>
  </si>
  <si>
    <t>ТЕРм10-01-051-27</t>
  </si>
  <si>
    <t>Разделка и включение кабелей ТСВ емкостью 10х2 при разделке двух кабелей пайкой</t>
  </si>
  <si>
    <t>ТЕРм10-01-051-28</t>
  </si>
  <si>
    <t>Разделка и включение кабелей ТСВ емкостью 5х2 при разделке одного кабеля пайкой</t>
  </si>
  <si>
    <t>ТЕРм10-01-051-29</t>
  </si>
  <si>
    <t>Разделка и включение кабелей ТСВ емкостью 5х2 при разделке одного кабеля пистолетом</t>
  </si>
  <si>
    <t>ТЕРм10-01-051-30</t>
  </si>
  <si>
    <t>Разделка и включение кабелей ТСВ емкостью 5х3 при разделке двух кабелей пайкой</t>
  </si>
  <si>
    <t>ТЕРм10-01-051-31</t>
  </si>
  <si>
    <t>Разделка и включение кабеля станционного сигнальной проводки на съемных и несъемных штекерах</t>
  </si>
  <si>
    <t>ТЕРм10-01-051-32</t>
  </si>
  <si>
    <t>Разделка и включение кабеля или провода однопарного низкочастотного</t>
  </si>
  <si>
    <t>ТЕРм10-01-051-33</t>
  </si>
  <si>
    <t>Разделка и включение кабеля или провода однопарного высокочастотного или низкочастотного экранированного</t>
  </si>
  <si>
    <t>ТЕРм10-01-051-34</t>
  </si>
  <si>
    <t>Разделка и включение провода одножильного при пайке и отпайке</t>
  </si>
  <si>
    <t>ТЕРм10-01-051-35</t>
  </si>
  <si>
    <t>Разделка и включение кабеля «Пентаконта» в штифты стативов и промщитов с прошивкой ствола</t>
  </si>
  <si>
    <t>ТЕРм10-01-051-36</t>
  </si>
  <si>
    <t>Разделка и включение кабеля «Пентаконта» в штифты стативов и промщитов без прошивки ствола</t>
  </si>
  <si>
    <t>ТЕРм10-01-051-37</t>
  </si>
  <si>
    <t>Разделка и включение кабеля «Пентаконта» в штифты кросса</t>
  </si>
  <si>
    <t xml:space="preserve">                                   Кроссировка</t>
  </si>
  <si>
    <t>ТЕРм10-01-052-01</t>
  </si>
  <si>
    <t>Кроссировка линий в кроссе длиной до 4 м, двухпроводная</t>
  </si>
  <si>
    <t>ТЕРм10-01-052-02</t>
  </si>
  <si>
    <t>Кроссировка линий в кроссе длиной до 4 м, трехпроводная</t>
  </si>
  <si>
    <t>ТЕРм10-01-052-03</t>
  </si>
  <si>
    <t>Кроссировка линий в кроссе длиной до 4 м, четырехпроводная</t>
  </si>
  <si>
    <t>ТЕРм10-01-052-04</t>
  </si>
  <si>
    <t>Кроссировка линий в кроссе длиной свыше 4 м, двухпроводная</t>
  </si>
  <si>
    <t>ТЕРм10-01-052-05</t>
  </si>
  <si>
    <t>Кроссировка линий в кроссе длиной свыше 4 м, трехпроводная</t>
  </si>
  <si>
    <t>ТЕРм10-01-052-06</t>
  </si>
  <si>
    <t>Кроссировка линий в кроссе длиной свыше 4 м, четырехпроводная</t>
  </si>
  <si>
    <t>ТЕРм10-01-052-07</t>
  </si>
  <si>
    <t>Кроссировка в шкафу</t>
  </si>
  <si>
    <t>ТЕРм10-01-052-08</t>
  </si>
  <si>
    <t>Кроссировка проводов с прокладкой через перекидной желоб двухпроводная</t>
  </si>
  <si>
    <t>ТЕРм10-01-052-09</t>
  </si>
  <si>
    <t>Кроссировка проводов с прокладкой через перекидной желоб трехпроводная</t>
  </si>
  <si>
    <t>ТЕРм10-01-052-10</t>
  </si>
  <si>
    <t>Кроссировка проводов с прокладкой через перекидной желоб четырехпроводная</t>
  </si>
  <si>
    <t>ТЕРм10-01-052-11</t>
  </si>
  <si>
    <t>Кроссировка параллельная в кроссе или шкафу</t>
  </si>
  <si>
    <t>ТЕРм10-01-052-12</t>
  </si>
  <si>
    <t>Кроссировка проводом экранированным</t>
  </si>
  <si>
    <t>ТЕРм10-01-052-13</t>
  </si>
  <si>
    <t>Кроссировка проводом голым</t>
  </si>
  <si>
    <t xml:space="preserve">                                   Прокладка кабелей и проводов питания на провододержателях</t>
  </si>
  <si>
    <t>ТЕРм10-01-053-01</t>
  </si>
  <si>
    <t>Прокладка кабеля или провода питания на провододержателях сечением 6 мм2</t>
  </si>
  <si>
    <t>ТЕРм10-01-053-02</t>
  </si>
  <si>
    <t>Прокладка кабеля или провода питания на провододержателях сечением 10 мм2</t>
  </si>
  <si>
    <t>ТЕРм10-01-053-03</t>
  </si>
  <si>
    <t>Прокладка кабеля или провода питания на провододержателях сечением 25 мм2</t>
  </si>
  <si>
    <t>ТЕРм10-01-053-04</t>
  </si>
  <si>
    <t>Прокладка кабеля или провода питания на провододержателях сечением 35; 70 мм2</t>
  </si>
  <si>
    <t>ТЕРм10-01-053-05</t>
  </si>
  <si>
    <t>Прокладка кабеля или провода питания на провододержателях сечением 120-150 мм2</t>
  </si>
  <si>
    <t xml:space="preserve">                                   Прокладка кабеля по воздушным металлическим желобам</t>
  </si>
  <si>
    <t>ТЕРм10-01-054-01</t>
  </si>
  <si>
    <t>Прокладка кабеля по воздушным металлическим желобам на одном объекте от 10 до 50 км с вязкой пакетами</t>
  </si>
  <si>
    <t>ТЕРм10-01-054-02</t>
  </si>
  <si>
    <t>Прокладка кабеля по воздушным металлическим желобам на одном объекте от 10 до 50 км без вязки пакетами</t>
  </si>
  <si>
    <t>ТЕРм10-01-054-03</t>
  </si>
  <si>
    <t>Прокладка кабеля по плоскому кабельросту типа «Решетка»</t>
  </si>
  <si>
    <t xml:space="preserve">                                   Прокладка кабеля и провода по стенам</t>
  </si>
  <si>
    <t>ТЕРм10-01-055-01</t>
  </si>
  <si>
    <t>Прокладка кабеля, масса 1 м до 1 кг, по стене деревянной</t>
  </si>
  <si>
    <t>ТЕРм10-01-055-02</t>
  </si>
  <si>
    <t>Прокладка кабеля, масса 1 м до 1 кг, по стене кирпичной</t>
  </si>
  <si>
    <t>ТЕРм10-01-055-03</t>
  </si>
  <si>
    <t>Прокладка кабеля, масса 1 м до 1 кг, по стене бетонной</t>
  </si>
  <si>
    <t>ТЕРм10-01-055-04</t>
  </si>
  <si>
    <t>Прокладка кабеля, масса 1 м до 3 кг, по стене деревянной</t>
  </si>
  <si>
    <t>ТЕРм10-01-055-05</t>
  </si>
  <si>
    <t>Прокладка кабеля, масса 1 м до 3 кг, по стене кирпичной</t>
  </si>
  <si>
    <t>ТЕРм10-01-055-06</t>
  </si>
  <si>
    <t>Прокладка кабеля, масса 1 м до 3 кг, по стене бетонной</t>
  </si>
  <si>
    <t>ТЕРм10-01-055-07</t>
  </si>
  <si>
    <t>Прокладка однопарного провода с креплением проволочными скрепами по стене деревянной или оштукатуренной</t>
  </si>
  <si>
    <t>ТЕРм10-01-055-08</t>
  </si>
  <si>
    <t>Прокладка однопарного провода с креплением проволочными скрепами по стене кирпичной</t>
  </si>
  <si>
    <t>ТЕРм10-01-055-09</t>
  </si>
  <si>
    <t>Прокладка однопарного провода с креплением проволочными скрепами по стене бетонной</t>
  </si>
  <si>
    <t xml:space="preserve">                                   Прокладка и включение кабелей и проводов питания и заземления на станции типа «Пентаконта»</t>
  </si>
  <si>
    <t>ТЕРм10-01-056-01</t>
  </si>
  <si>
    <t>Прокладка и включение на станции типа «Пентаконта» провода питания в канале подпольного желоба</t>
  </si>
  <si>
    <t>ТЕРм10-01-056-02</t>
  </si>
  <si>
    <t>Прокладка и включение на станции типа «Пентаконта» готовых отводов</t>
  </si>
  <si>
    <t>ТЕРм10-01-056-03</t>
  </si>
  <si>
    <t>Прокладка и включение на станции типа «Пентаконта» проводов заземления по провододержателям</t>
  </si>
  <si>
    <t xml:space="preserve">                           Раздел 2. ОТДЕЛ 02. МЕСТНАЯ ТЕЛЕФОННАЯ СВЯЗЬ</t>
  </si>
  <si>
    <t xml:space="preserve">                                   Раздел 1. СТАНЦИИ ТЕЛЕФОННЫЕ АВТОМАТИЧЕСКИЕ МАЛОЙ ЕМКОСТИ</t>
  </si>
  <si>
    <t xml:space="preserve">                                   Станции сельской связи</t>
  </si>
  <si>
    <t>ТЕРм10-02-001-01</t>
  </si>
  <si>
    <t>Станция сельской связи координатная типа АТСК 50-200 М</t>
  </si>
  <si>
    <t>ТЕРм10-02-001-02</t>
  </si>
  <si>
    <t>Станция сельской связи координатная типа АТСК 100-2000 У монтаж</t>
  </si>
  <si>
    <t>ТЕРм10-02-001-03</t>
  </si>
  <si>
    <t>Станция сельской связи координатная типа АТСК 100-2000 У электрическая проверка, настройка, тренировка</t>
  </si>
  <si>
    <t xml:space="preserve">                                   Раздел 2. ОПЕРАТИВНО-ТЕЛЕФОННАЯ СВЯЗЬ</t>
  </si>
  <si>
    <t xml:space="preserve">                                   Станции, пульты и установки оперативно-телефонной связи</t>
  </si>
  <si>
    <t>ТЕРм10-02-015-01</t>
  </si>
  <si>
    <t>Станция, пульт и установка оперативной телефонной связи с усилительным устройством, емкость 10 номеров</t>
  </si>
  <si>
    <t>ТЕРм10-02-015-02</t>
  </si>
  <si>
    <t>Станция, пульт и установка оперативной телефонной связи с усилительным устройством и стативом, емкость до 25 номеров</t>
  </si>
  <si>
    <t>ТЕРм10-02-015-03</t>
  </si>
  <si>
    <t>Станция, пульт и установка оперативной телефонной связи с усилительным устройством и стативом, емкость до 50 номеров</t>
  </si>
  <si>
    <t>ТЕРм10-02-015-04</t>
  </si>
  <si>
    <t>Станция, пульт и установка оперативной телефонной связи с усилительным устройством и стативом, емкость до 70 номеров</t>
  </si>
  <si>
    <t>ТЕРм10-02-015-05</t>
  </si>
  <si>
    <t>Станция, пульт и установка оперативной телефонной связи с усилительным устройством и стативом, емкость до 100 номеров</t>
  </si>
  <si>
    <t>ТЕРм10-02-015-06</t>
  </si>
  <si>
    <t>Станция, пульт и установка оперативной телефонной связи с усилительным устройством и стативом, емкость свыше 100 номеров</t>
  </si>
  <si>
    <t>ТЕРм10-02-015-07</t>
  </si>
  <si>
    <t>К расценкам добавлять за каждый дополнительный свыше одного пульт</t>
  </si>
  <si>
    <t>ТЕРм10-02-015-08</t>
  </si>
  <si>
    <t>К расценкам добавлять за каждый дополнительный свыше одного статив</t>
  </si>
  <si>
    <t xml:space="preserve">                                   Устройства переговорные (коммутаторы диспетчерской и директорской связи)</t>
  </si>
  <si>
    <t>ТЕРм10-02-016-01</t>
  </si>
  <si>
    <t>Коммутатор диспетчерской или директорской связи с усилительным устройством, емкость 5 номеров</t>
  </si>
  <si>
    <t>ТЕРм10-02-016-02</t>
  </si>
  <si>
    <t>Коммутатор диспетчерской или директорской связи с усилительным устройством и стативом, емкость до 10 номеров</t>
  </si>
  <si>
    <t>ТЕРм10-02-016-03</t>
  </si>
  <si>
    <t>Коммутатор диспетчерской или директорской связи с усилительным устройством и стативом, емкость до 25 номеров</t>
  </si>
  <si>
    <t>ТЕРм10-02-016-04</t>
  </si>
  <si>
    <t>Коммутатор диспетчерской или директорской связи с усилительным устройством и стативом, емкость до 50 номеров</t>
  </si>
  <si>
    <t>ТЕРм10-02-016-05</t>
  </si>
  <si>
    <t>Коммутатор диспетчерской или директорской связи с усилительным устройством и стативом, емкость до 70 номеров</t>
  </si>
  <si>
    <t>ТЕРм10-02-016-06</t>
  </si>
  <si>
    <t>Отдельно устанавливаемый преобразователь или блок питания</t>
  </si>
  <si>
    <t>ТЕРм10-02-016-07</t>
  </si>
  <si>
    <t>Отдельно устанавливаемый усилитель дуплексный или абонентский</t>
  </si>
  <si>
    <t xml:space="preserve">                                   Устройства телефонные</t>
  </si>
  <si>
    <t>ТЕРм10-02-017-01</t>
  </si>
  <si>
    <t>Устройство телефонное (концентратор)</t>
  </si>
  <si>
    <t>ТЕРм10-02-017-02</t>
  </si>
  <si>
    <t>Устройство телефонное</t>
  </si>
  <si>
    <t xml:space="preserve">                                   Раздел 3. АППАРАТЫ ТЕЛЕФОННЫЕ</t>
  </si>
  <si>
    <t xml:space="preserve">                                   Аппараты телефонные</t>
  </si>
  <si>
    <t>ТЕРм10-02-030-01</t>
  </si>
  <si>
    <t>Аппарат телефонный системы ЦБ или АТС настольный</t>
  </si>
  <si>
    <t>ТЕРм10-02-030-02</t>
  </si>
  <si>
    <t>Аппарат телефонный системы ЦБ или АТС настенный</t>
  </si>
  <si>
    <t>ТЕРм10-02-030-03</t>
  </si>
  <si>
    <t>Таксофон и аппарат телефонный в сырых помещениях</t>
  </si>
  <si>
    <t>ТЕРм10-02-030-04</t>
  </si>
  <si>
    <t>Сигнализация выносная для телефонных аппаратов, устанавливаемых в шумозащитных кабинах</t>
  </si>
  <si>
    <t>ТЕРм10-02-030-05</t>
  </si>
  <si>
    <t>Грозозащита для воздушных абонентских линий</t>
  </si>
  <si>
    <t xml:space="preserve">                                   Раздел 4. СТАНЦИИ ТЕЛЕФОННЫЕ АВТОМАТИЧЕСКИЕ КВАЗИЭЛЕКТРОННЫЕ</t>
  </si>
  <si>
    <t xml:space="preserve">                                   Оборудование станции</t>
  </si>
  <si>
    <t>ТЕРм10-02-040-01</t>
  </si>
  <si>
    <t>Устройство центральное управляющее</t>
  </si>
  <si>
    <t>ТЕРм10-02-040-02</t>
  </si>
  <si>
    <t>Устройство автоматического ввода программ</t>
  </si>
  <si>
    <t>ТЕРм10-02-040-03</t>
  </si>
  <si>
    <t>Комплект абонентского оборудования емкость до 256 номеров</t>
  </si>
  <si>
    <t>ТЕРм10-02-040-04</t>
  </si>
  <si>
    <t>Комплект абонентского оборудования емкость до 512 номеров</t>
  </si>
  <si>
    <t>ТЕРм10-02-040-05</t>
  </si>
  <si>
    <t>Комплект абонентского оборудования емкость до 1024 номеров</t>
  </si>
  <si>
    <t>ТЕРм10-02-040-06</t>
  </si>
  <si>
    <t>Комплект абонентского оборудования емкость до 2048 номеров</t>
  </si>
  <si>
    <t>ТЕРм10-02-040-07</t>
  </si>
  <si>
    <t>Комплект соединительных линий, исходящих или входящих, в составе станции, количество линий до 32</t>
  </si>
  <si>
    <t>ТЕРм10-02-040-08</t>
  </si>
  <si>
    <t>Комплект соединительных линий, исходящих или входящих, в составе станции, количество линий до 64</t>
  </si>
  <si>
    <t>ТЕРм10-02-040-09</t>
  </si>
  <si>
    <t>Комплект соединительных линий, исходящих или входящих, в составе станции, количество линий до 128</t>
  </si>
  <si>
    <t>ТЕРм10-02-040-10</t>
  </si>
  <si>
    <t>Комплект соединительных линий, исходящих или входящих, в составе станции, количество линий до 256</t>
  </si>
  <si>
    <t>ТЕРм10-02-040-11</t>
  </si>
  <si>
    <t>Комплект соединительных линий, исходящих или входящих, в составе узла автоматической коммутации, количество линий до 128</t>
  </si>
  <si>
    <t>ТЕРм10-02-040-12</t>
  </si>
  <si>
    <t>Комплект соединительных линий, исходящих или входящих, в составе узла автоматической коммутации, количество линий до 256</t>
  </si>
  <si>
    <t>ТЕРм10-02-040-13</t>
  </si>
  <si>
    <t>Комплект соединительных линий, исходящих или входящих, в составе узла автоматической коммутации, количество линий до 512</t>
  </si>
  <si>
    <t xml:space="preserve">                                   Электрическая проверка и настройка центрального управляющего устройства</t>
  </si>
  <si>
    <t>ТЕРм10-02-041-01</t>
  </si>
  <si>
    <t>Электрическая проверка и настройка устройства центрального управляющего</t>
  </si>
  <si>
    <t>ТЕРм10-02-041-02</t>
  </si>
  <si>
    <t>Электрическая проверка и настройка устройства автоматического ввода программ</t>
  </si>
  <si>
    <t>ТЕРм10-02-041-03</t>
  </si>
  <si>
    <t>Электрическая проверка и настройка канала ввода-вывода информации</t>
  </si>
  <si>
    <t xml:space="preserve">                                   Электрическая проверка и настройка оборудования телефонной периферии</t>
  </si>
  <si>
    <t>ТЕРм10-02-042-01</t>
  </si>
  <si>
    <t>Проверка и настройка комплекта абонентского оборудования станции, емкость до 256 номеров</t>
  </si>
  <si>
    <t>ТЕРм10-02-042-02</t>
  </si>
  <si>
    <t>Проверка и настройка комплекта абонентского оборудования станции, емкость до 512 номеров</t>
  </si>
  <si>
    <t>ТЕРм10-02-042-03</t>
  </si>
  <si>
    <t>Проверка и настройка комплекта абонентского оборудования станции, емкость до 1024 номеров</t>
  </si>
  <si>
    <t>ТЕРм10-02-042-04</t>
  </si>
  <si>
    <t>Проверка и настройка комплекта абонентского оборудования станции, емкость до 2048 номеров</t>
  </si>
  <si>
    <t>ТЕРм10-02-042-05</t>
  </si>
  <si>
    <t>Проверка и настройка комплекта соединительных линий, исходящих или входящих, в составе станции, количество линий до 3</t>
  </si>
  <si>
    <t>ТЕРм10-02-042-06</t>
  </si>
  <si>
    <t>Проверка и настройка комплекта соединительных линий, исходящих или входящих, в составе станции, количество линий до 64</t>
  </si>
  <si>
    <t>ТЕРм10-02-042-07</t>
  </si>
  <si>
    <t>Проверка и настройка комплекта соединительных линий, исходящих или входящих, в составе станции, количество линий до 128</t>
  </si>
  <si>
    <t>ТЕРм10-02-042-08</t>
  </si>
  <si>
    <t>Проверка и настройка комплекта соединительных линий, исходящих или входящих, в составе станции, количество линий до 256</t>
  </si>
  <si>
    <t>ТЕРм10-02-042-09</t>
  </si>
  <si>
    <t>Проверка и настройка комплекта соединительных линий, исходящих или входящих, в составе узла автоматической коммутации, количество линий до 128</t>
  </si>
  <si>
    <t>ТЕРм10-02-042-10</t>
  </si>
  <si>
    <t>Проверка и настройка комплекта соединительных линий, исходящих или входящих, в составе узла автоматической коммутации, количество линий до 256</t>
  </si>
  <si>
    <t>ТЕРм10-02-042-11</t>
  </si>
  <si>
    <t>Проверка и настройка комплекта соединительных линий, исходящих или входящих, в составе узла автоматической коммутации, количество линий до 512</t>
  </si>
  <si>
    <t xml:space="preserve">                                   Тренировка станций</t>
  </si>
  <si>
    <t>ТЕРм10-02-043-01</t>
  </si>
  <si>
    <t>Комплект абонентского оборудования станций, емкость номеров до 256</t>
  </si>
  <si>
    <t>ТЕРм10-02-043-02</t>
  </si>
  <si>
    <t>Комплект абонентского оборудования станций, емкость номеров до 512</t>
  </si>
  <si>
    <t>ТЕРм10-02-043-03</t>
  </si>
  <si>
    <t>Комплект абонентского оборудования станций, емкость номеров до 1024</t>
  </si>
  <si>
    <t>ТЕРм10-02-043-04</t>
  </si>
  <si>
    <t>Комплект абонентского оборудования станций, емкость номеров до 2048</t>
  </si>
  <si>
    <t>ТЕРм10-02-043-05</t>
  </si>
  <si>
    <t>ТЕРм10-02-043-06</t>
  </si>
  <si>
    <t>ТЕРм10-02-043-07</t>
  </si>
  <si>
    <t>ТЕРм10-02-043-08</t>
  </si>
  <si>
    <t>ТЕРм10-02-043-09</t>
  </si>
  <si>
    <t>Комплект соединительных линий, исходящих или входящих, в составе узла автоматической коммутации количество линий до 128</t>
  </si>
  <si>
    <t>ТЕРм10-02-043-10</t>
  </si>
  <si>
    <t>Комплект соединительных линий, исходящих или входящих, в составе узла автоматической коммутации количество линий до 256</t>
  </si>
  <si>
    <t>ТЕРм10-02-043-11</t>
  </si>
  <si>
    <t>Комплект соединительных линий, исходящих или входящих, в составе узла автоматической коммутации количество линий до 512</t>
  </si>
  <si>
    <t xml:space="preserve">                                   Раздел 5. СТАНЦИИ ТЕЛЕФОННЫЕ ИНТЕГРАЛЬНЫЕ КВАЗИЭЛЕКТРОННЫЕ ИАТСКЭ «ИСТОК»</t>
  </si>
  <si>
    <t>ТЕРм10-02-050-01</t>
  </si>
  <si>
    <t>Установка и сборка рядовых каркасов</t>
  </si>
  <si>
    <t>ТЕРм10-02-050-02</t>
  </si>
  <si>
    <t>Установка рам секций стативов</t>
  </si>
  <si>
    <t>ТЕРм10-02-050-03</t>
  </si>
  <si>
    <t>Установка кассет</t>
  </si>
  <si>
    <t>ТЕРм10-02-050-04</t>
  </si>
  <si>
    <t>Установка арматуры рядового освещения</t>
  </si>
  <si>
    <t xml:space="preserve">                                   Прокладка, включение кабелей, проводов, шин</t>
  </si>
  <si>
    <t>ТЕРм10-02-051-01</t>
  </si>
  <si>
    <t>Перемычки кабельные длиной до 6 м</t>
  </si>
  <si>
    <t>ТЕРм10-02-051-02</t>
  </si>
  <si>
    <t>Перемычки кабельные длиной добавлять на каждый 1 м сверх 6 м</t>
  </si>
  <si>
    <t>ТЕРм10-02-051-03</t>
  </si>
  <si>
    <t>Перемычки кабельные между секциями одного статива с укладкой в кабельном канале</t>
  </si>
  <si>
    <t>ТЕРм10-02-051-04</t>
  </si>
  <si>
    <t>Перемычки кабельные между секциями одного статива без укладки в кабельном канале</t>
  </si>
  <si>
    <t>ТЕРм10-02-051-05</t>
  </si>
  <si>
    <t>Крепление кабелей пластинами в кабельном канале (11 пластин)</t>
  </si>
  <si>
    <t>ТЕРм10-02-051-06</t>
  </si>
  <si>
    <t>Прокладка рядовых питающих проводов</t>
  </si>
  <si>
    <t>ТЕРм10-02-051-07</t>
  </si>
  <si>
    <t>Прокладка магистральных шин по рядам</t>
  </si>
  <si>
    <t xml:space="preserve">                                   Электрическая проверка и настройка управляющего комплекса</t>
  </si>
  <si>
    <t>ТЕРм10-02-052-01</t>
  </si>
  <si>
    <t>Электрическая проверка и настройка управляющего комплекса</t>
  </si>
  <si>
    <t>ТЕРм10-02-052-02</t>
  </si>
  <si>
    <t>Электрическая проверка и настройка имитатора управляющего комплекса</t>
  </si>
  <si>
    <t xml:space="preserve">                                   Электрическая проверка оборудования телефонной периферии</t>
  </si>
  <si>
    <t>ТЕРм10-02-053-01</t>
  </si>
  <si>
    <t>Включение электропитания на оборудование</t>
  </si>
  <si>
    <t>ТЕРм10-02-053-02</t>
  </si>
  <si>
    <t>Электрическая проверка оборудования группы управления автономного режима на 1024 АЛ</t>
  </si>
  <si>
    <t>ТЕРм10-02-053-03</t>
  </si>
  <si>
    <t>Электрическая проверка оборудования КС БАЛ, КС БСЛ (СD, EР, GH, MN)</t>
  </si>
  <si>
    <t>ТЕРм10-02-053-04</t>
  </si>
  <si>
    <t>Электрическая проверка оборудования КС БСЛ (KL)</t>
  </si>
  <si>
    <t>ТЕРм10-02-053-05</t>
  </si>
  <si>
    <t>Электрическая проверка оборудования АК, КАТ, ШК/КСЛ</t>
  </si>
  <si>
    <t>ТЕРм10-02-053-06</t>
  </si>
  <si>
    <t>Электрическая проверка оборудования ККС</t>
  </si>
  <si>
    <t>ТЕРм10-02-053-07</t>
  </si>
  <si>
    <t>Электрическая проверка оборудования ПТН</t>
  </si>
  <si>
    <t>ТЕРм10-02-053-08</t>
  </si>
  <si>
    <t>Электрическая проверка комплекта соединительных линий КСЛС, КСЛМ, КСЛВЗ, КСЛИЗ</t>
  </si>
  <si>
    <t>ТЕРм10-02-053-09</t>
  </si>
  <si>
    <t>Электрическая проверка комплекта соединительных линий КСЛТ, КСЛУ, КСЛШ</t>
  </si>
  <si>
    <t>ТЕРм10-02-053-10</t>
  </si>
  <si>
    <t>Электрическая проверка комплекта внешней связи СК</t>
  </si>
  <si>
    <t>ТЕРм10-02-053-11</t>
  </si>
  <si>
    <t>Электрическая проверка комплекта внешней связи СКИ</t>
  </si>
  <si>
    <t>ТЕРм10-02-053-12</t>
  </si>
  <si>
    <t>Электрическая проверка комплекта внешней связи СКГ</t>
  </si>
  <si>
    <t>ТЕРм10-02-053-13</t>
  </si>
  <si>
    <t>Электрическая проверка комплекта внешней связи СКЧ</t>
  </si>
  <si>
    <t>ТЕРм10-02-053-14</t>
  </si>
  <si>
    <t>Электрическая проверка оборудования цифрового сопряжения УУ-ОЦС</t>
  </si>
  <si>
    <t>ТЕРм10-02-053-15</t>
  </si>
  <si>
    <t>Электрическая проверка оборудования цифрового сопряжения УСК-1, УСК-2, УСК-4, ФСЛ</t>
  </si>
  <si>
    <t>ТЕРм10-02-053-16</t>
  </si>
  <si>
    <t>Электрическая проверка оборудования трактов ОКЦ, РСЛ и СЛ</t>
  </si>
  <si>
    <t xml:space="preserve">                                   Автономная проверка оборудования ИАТСКЭ-3</t>
  </si>
  <si>
    <t>ТЕРм10-02-054-01</t>
  </si>
  <si>
    <t>Электрическая проверка и настройка оборудования ИАТСКЭ-3 ПУУЗ</t>
  </si>
  <si>
    <t>ТЕРм10-02-054-02</t>
  </si>
  <si>
    <t>Электрическая проверка и настройка оборудования ИАТСКЭ-3 ВИП, ВЗИ</t>
  </si>
  <si>
    <t>ТЕРм10-02-054-03</t>
  </si>
  <si>
    <t>Электрическая проверка и настройка оборудования ИАТСКЭ-3 КС</t>
  </si>
  <si>
    <t>ТЕРм10-02-054-04</t>
  </si>
  <si>
    <t>Электрическая проверка и настройка оборудования ИАТСКЭ-3 СВУ</t>
  </si>
  <si>
    <t>ТЕРм10-02-054-05</t>
  </si>
  <si>
    <t>Электрическая проверка и настройка оборудования ИАТСКЭ-3 ШК/КСЛ</t>
  </si>
  <si>
    <t>ТЕРм10-02-054-06</t>
  </si>
  <si>
    <t>Электрическая проверка и настройка оборудования ИАТСКЭ-3 СК</t>
  </si>
  <si>
    <t>ТЕРм10-02-054-07</t>
  </si>
  <si>
    <t>Электрическая проверка и настройка оборудования ИАТСКЭ-3 ДВО</t>
  </si>
  <si>
    <t>ТЕРм10-02-054-08</t>
  </si>
  <si>
    <t>Электрическая проверка и настройка оборудования ИАТСКЭ-3 ВП-2, КЛО, ПКД</t>
  </si>
  <si>
    <t>ТЕРм10-02-054-09</t>
  </si>
  <si>
    <t>Электрическая проверка и настройка оборудования ИАТСКЭ-3 интерфейса</t>
  </si>
  <si>
    <t>ТЕРм10-02-054-10</t>
  </si>
  <si>
    <t>Электрическая проверка и настройка оборудования ИАТСКЭ-3 АК, КАТ</t>
  </si>
  <si>
    <t>ТЕРм10-02-054-11</t>
  </si>
  <si>
    <t>Электрическая проверка и настройка оборудования ИАТСКЭ-3 ВИПП</t>
  </si>
  <si>
    <t>ТЕРм10-02-054-12</t>
  </si>
  <si>
    <t>Электрическая проверка и настройка оборудования ИАТСКЭ-3 ПТН</t>
  </si>
  <si>
    <t xml:space="preserve">                                   Тренировка станции</t>
  </si>
  <si>
    <t>ТЕРм10-02-055-01</t>
  </si>
  <si>
    <t>Проверка работы внутристанционной связи ИАТСКЭ-1</t>
  </si>
  <si>
    <t>ТЕРм10-02-055-02</t>
  </si>
  <si>
    <t>Проверка работы внутристанционной связи ИАТСКЭ-3</t>
  </si>
  <si>
    <t>ТЕРм10-02-055-03</t>
  </si>
  <si>
    <t>Проверка средств ТЭР ИАТСКЭ-3</t>
  </si>
  <si>
    <t>ТЕРм10-02-055-04</t>
  </si>
  <si>
    <t>Проверка параметров станции ИАТСКЭ-3</t>
  </si>
  <si>
    <t>ТЕРм10-02-055-05</t>
  </si>
  <si>
    <t>Проверка работы межстанционной связи ИАТСКЭ с существующими АТС</t>
  </si>
  <si>
    <t>ТЕРм10-02-055-06</t>
  </si>
  <si>
    <t>Проверка и комплексное испытание станции</t>
  </si>
  <si>
    <t>ТЕРм10-02-055-07</t>
  </si>
  <si>
    <t>Проверка работы ДВО, ОЭР</t>
  </si>
  <si>
    <t>ТЕРм10-02-055-08</t>
  </si>
  <si>
    <t>Проверка качества обслуживания вызовов</t>
  </si>
  <si>
    <t xml:space="preserve">                           Раздел 3. ОТДЕЛ 03. МЕЖДУГОРОДНАЯ ПРОВОДНАЯ СВЯЗЬ</t>
  </si>
  <si>
    <t xml:space="preserve">                                   Раздел 1. ЛИНЕЙНО-АППАРАТНЫЕ ЦЕХИ</t>
  </si>
  <si>
    <t>ТЕРм10-03-001-01</t>
  </si>
  <si>
    <t>Стойка, полустойка, каркас стойки или шкаф, масса до 100 кг</t>
  </si>
  <si>
    <t>ТЕРм10-03-001-02</t>
  </si>
  <si>
    <t>Стойка, полустойка, каркас стойки или шкаф, масса до 300 кг</t>
  </si>
  <si>
    <t>ТЕРм10-03-001-03</t>
  </si>
  <si>
    <t>Стойка, полустойка, каркас стойки или шкаф, масса свыше 300 кг</t>
  </si>
  <si>
    <t>ТЕРм10-03-001-04</t>
  </si>
  <si>
    <t>Плата дополнительная, устанавливаемая на готовом месте стойки</t>
  </si>
  <si>
    <t xml:space="preserve">                                   Электрическая проверка и регулировка оборудования</t>
  </si>
  <si>
    <t>ТЕРм10-03-002-01</t>
  </si>
  <si>
    <t>Электрическая проверка станции ВЧ одноканальной промежуточной</t>
  </si>
  <si>
    <t>ТЕРм10-03-002-02</t>
  </si>
  <si>
    <t>Электрическая проверка станции ВЧ одноканальной оконечной</t>
  </si>
  <si>
    <t>ТЕРм10-03-002-03</t>
  </si>
  <si>
    <t>Электрическая проверка станции ВЧ трехканальной промежуточной</t>
  </si>
  <si>
    <t>ТЕРм10-03-002-04</t>
  </si>
  <si>
    <t>Электрическая проверка станции ВЧ трехканальной оконечной</t>
  </si>
  <si>
    <t>ТЕРм10-03-002-05</t>
  </si>
  <si>
    <t>Электрическая проверка и регулировка стоек многоканальной станции по группам сложности работ первая</t>
  </si>
  <si>
    <t>ТЕРм10-03-002-06</t>
  </si>
  <si>
    <t>Электрическая проверка и регулировка стоек многоканальной станции по группам сложности работ вторая</t>
  </si>
  <si>
    <t>ТЕРм10-03-002-07</t>
  </si>
  <si>
    <t>Электрическая проверка и регулировка стоек многоканальной станции по группам сложности работ третья</t>
  </si>
  <si>
    <t>ТЕРм10-03-002-08</t>
  </si>
  <si>
    <t>Электрическая проверка и регулировка стоек многоканальной станции по группам сложности работ четвертая</t>
  </si>
  <si>
    <t>ТЕРм10-03-002-09</t>
  </si>
  <si>
    <t>Электрическая проверка и регулировка стоек многоканальной станции по группам сложности работ пятая</t>
  </si>
  <si>
    <t>ТЕРм10-03-002-10</t>
  </si>
  <si>
    <t>Электрическая проверка и регулировка аппаратуры тонального вызова или усиления тональной частоты</t>
  </si>
  <si>
    <t>ТЕРм10-03-002-11</t>
  </si>
  <si>
    <t>Электрическая проверка и регулировка плат разных</t>
  </si>
  <si>
    <t>ТЕРм10-03-002-12</t>
  </si>
  <si>
    <t>Электрическая проверка и регулировка комплекта преобразовательного и усилительного оборудования многоканальных систем</t>
  </si>
  <si>
    <t>ТЕРм10-03-002-13</t>
  </si>
  <si>
    <t>Проверка коммутации, сигнализации станций на одной стойке</t>
  </si>
  <si>
    <t>ТЕРм10-03-002-14</t>
  </si>
  <si>
    <t>Проверка коммутации, сигнализации станций на одной плате</t>
  </si>
  <si>
    <t xml:space="preserve">                                   Раздел 2. СТАНЦИИ ТЕЛЕФОННЫЕ МЕЖДУГОРОДНЫЕ РУЧНЫЕ И ПОЛУАВТОМАТИЧЕСКИЕ</t>
  </si>
  <si>
    <t>ТЕРм10-03-013-01</t>
  </si>
  <si>
    <t>Коммутатор междугородной заказной или управления и наблюдения</t>
  </si>
  <si>
    <t>ТЕРм10-03-013-02</t>
  </si>
  <si>
    <t>Коммутатор производственного контроля телефонистки или кабинный</t>
  </si>
  <si>
    <t>ТЕРм10-03-013-03</t>
  </si>
  <si>
    <t>Переключатель шнуровой с рабочим местом бригадира</t>
  </si>
  <si>
    <t>ТЕРм10-03-013-04</t>
  </si>
  <si>
    <t>Коммутатор испытательно-измерительный</t>
  </si>
  <si>
    <t>ТЕРм10-03-013-05</t>
  </si>
  <si>
    <t>Коммутатор служебной связи</t>
  </si>
  <si>
    <t>ТЕРм10-03-013-06</t>
  </si>
  <si>
    <t>Коммутатор междугородный индивидуальный ЦБ</t>
  </si>
  <si>
    <t>ТЕРм10-03-013-07</t>
  </si>
  <si>
    <t>Коммутатор междугородный индивидуальный МБ</t>
  </si>
  <si>
    <t>ТЕРм10-03-013-08</t>
  </si>
  <si>
    <t>Шкаф вводный к коммутаторам</t>
  </si>
  <si>
    <t>ТЕРм10-03-013-09</t>
  </si>
  <si>
    <t>Изготовление и укладка в коммутаторы кабельной ленты из 5 рамок</t>
  </si>
  <si>
    <t>ТЕРм10-03-013-10</t>
  </si>
  <si>
    <t>Стативы всех назначений или переговорная кабина</t>
  </si>
  <si>
    <t xml:space="preserve">                                   Электрическая проверка и настройка оборудования</t>
  </si>
  <si>
    <t>ТЕРм10-03-014-01</t>
  </si>
  <si>
    <t>Электрическая проверка и настройка коммутатора междугородного</t>
  </si>
  <si>
    <t>ТЕРм10-03-014-02</t>
  </si>
  <si>
    <t>Электрическая проверка и настройка коммутатора всех назначений, кроме междугородного</t>
  </si>
  <si>
    <t>ТЕРм10-03-014-03</t>
  </si>
  <si>
    <t>Электрическая проверка и настройка переключателя шнурового</t>
  </si>
  <si>
    <t>ТЕРм10-03-014-04</t>
  </si>
  <si>
    <t>Электрическая проверка и настройка статива междугородных линий</t>
  </si>
  <si>
    <t>ТЕРм10-03-014-05</t>
  </si>
  <si>
    <t>Электрическая проверка и настройка статива заказных соединительных или служебных линий либо линий прямых абонентов</t>
  </si>
  <si>
    <t>ТЕРм10-03-014-06</t>
  </si>
  <si>
    <t>Электрическая проверка и настройка статива переговорного пункта</t>
  </si>
  <si>
    <t>ТЕРм10-03-014-07</t>
  </si>
  <si>
    <t>Электрическая проверка и настройка статива общестанционной сигнализации</t>
  </si>
  <si>
    <t>ТЕРм10-03-014-08</t>
  </si>
  <si>
    <t>Электрическая проверка и настройка статива ламп занятости</t>
  </si>
  <si>
    <t>ТЕРм10-03-014-09</t>
  </si>
  <si>
    <t>Электрическая проверка и настройка счетчика продолжительности разговоров</t>
  </si>
  <si>
    <t>ТЕРм10-03-015-01</t>
  </si>
  <si>
    <t>Настройка линий междугородных</t>
  </si>
  <si>
    <t>ТЕРм10-03-015-02</t>
  </si>
  <si>
    <t>Настройка линий соединительных с АТС</t>
  </si>
  <si>
    <t>ТЕРм10-03-015-03</t>
  </si>
  <si>
    <t>Настройка линий заказных, прямых абонентов или передаточных</t>
  </si>
  <si>
    <t>ТЕРм10-03-015-04</t>
  </si>
  <si>
    <t>Настройка линий соединительных, служебных и сигнальных между рабочими местами и переговорными пунктами</t>
  </si>
  <si>
    <t>ТЕРм10-03-015-05</t>
  </si>
  <si>
    <t>Настройка местного поля междугородных коммутаторов</t>
  </si>
  <si>
    <t>ТЕРм10-03-015-06</t>
  </si>
  <si>
    <t>Настройка многократного поля с повторением рамок, количество до 25</t>
  </si>
  <si>
    <t>ТЕРм10-03-015-07</t>
  </si>
  <si>
    <t>Настройка многократного поля с повторением рамок, количество свыше 25</t>
  </si>
  <si>
    <t>ТЕРм10-03-015-08</t>
  </si>
  <si>
    <t>Настройка пульс-сигналов и часовых импульсов на междугородных коммутаторах</t>
  </si>
  <si>
    <t>ТЕРм10-03-015-09</t>
  </si>
  <si>
    <t>Настройка пульс-сигналов, зуммерных сигналов и цепей индуктора на стативах (кроме полуавтоматики)</t>
  </si>
  <si>
    <t xml:space="preserve">                                   Раздел 3. СТАНЦИИ ТЕЛЕФОННЫЕ МЕЖДУГОРОДНЫЕ АВТОМАТИЧЕСКИЕ И ЭЛЕКТРОННЫЕ</t>
  </si>
  <si>
    <t xml:space="preserve">                                   Оборудование станций АРМ-20, АРЕ-13</t>
  </si>
  <si>
    <t>ТЕРм10-03-026-01</t>
  </si>
  <si>
    <t>Оборудование станций АРМ-20, АРЕ-13, статив ВДЕ</t>
  </si>
  <si>
    <t>ТЕРм10-03-026-02</t>
  </si>
  <si>
    <t>Оборудование станций АРМ-20, АРЕ-13, статив ВДН без гафельтага</t>
  </si>
  <si>
    <t>ТЕРм10-03-026-03</t>
  </si>
  <si>
    <t>Оборудование станций АРМ-20, АРЕ-13, статив ВДН с гафельтагом</t>
  </si>
  <si>
    <t>ТЕРм10-03-026-04</t>
  </si>
  <si>
    <t>Оборудование станций АРМ-20, АРЕ-13, статив ВДД</t>
  </si>
  <si>
    <t>ТЕРм10-03-026-05</t>
  </si>
  <si>
    <t>Оборудование станций АРМ-20, АРЕ-13, плата рядовых предохранителей</t>
  </si>
  <si>
    <t>ТЕРм10-03-026-06</t>
  </si>
  <si>
    <t>Оборудование станций АРМ-20, АРЕ-13, плата рядовой сигнализации</t>
  </si>
  <si>
    <t>ТЕРм10-03-026-07</t>
  </si>
  <si>
    <t>Оборудование станций АРМ-20, АРЕ-13, устройство сигнально-вызывное BKL</t>
  </si>
  <si>
    <t>ТЕРм10-03-026-08</t>
  </si>
  <si>
    <t>Оборудование станций АРМ-20, АРЕ-13, стол ДК, СДК</t>
  </si>
  <si>
    <t>ТЕРм10-03-026-09</t>
  </si>
  <si>
    <t>Оборудование станций АРМ-20, АРЕ-13, стол с разделительными гнездами</t>
  </si>
  <si>
    <t>ТЕРм10-03-026-10</t>
  </si>
  <si>
    <t>Оборудование станций АРМ-20, АРЕ-13 коммутатор вспомогательный</t>
  </si>
  <si>
    <t>ТЕРм10-03-026-11</t>
  </si>
  <si>
    <t>Оборудование станций АРМ-20, АРЕ-13 промщит</t>
  </si>
  <si>
    <t>ТЕРм10-03-026-12</t>
  </si>
  <si>
    <t>Оборудование станций АРМ-20, АРЕ-13 табло общестанционное</t>
  </si>
  <si>
    <t>ТЕРм10-03-026-13</t>
  </si>
  <si>
    <t>Оборудование станций АРМ-20, АРЕ-13 ограждение торца ряда</t>
  </si>
  <si>
    <t xml:space="preserve">                                   Оборудование станций АМТС-3</t>
  </si>
  <si>
    <t>ТЕРм10-03-027-01</t>
  </si>
  <si>
    <t>Оборудование станций АМТС-3, статив, масса до 200 кг</t>
  </si>
  <si>
    <t>ТЕРм10-03-027-02</t>
  </si>
  <si>
    <t>Оборудование станций АМТС-3, статив, масса до 300 кг</t>
  </si>
  <si>
    <t>ТЕРм10-03-027-03</t>
  </si>
  <si>
    <t>Оборудование станций АМТС-3, статив, масса до 400 кг</t>
  </si>
  <si>
    <t>ТЕРм10-03-027-04</t>
  </si>
  <si>
    <t>Оборудование станций АМТС-3, статив, масса до 500 кг</t>
  </si>
  <si>
    <t>ТЕРм10-03-027-05</t>
  </si>
  <si>
    <t>Оборудование станций АМТС-3 промщит</t>
  </si>
  <si>
    <t>ТЕРм10-03-027-06</t>
  </si>
  <si>
    <t>Оборудование станций АМТС-3 табло сигнализации общестанционной</t>
  </si>
  <si>
    <t>ТЕРм10-03-027-07</t>
  </si>
  <si>
    <t>Оборудование станций АМТС-3 табло сигнализации рядовой</t>
  </si>
  <si>
    <t>ТЕРм10-03-027-08</t>
  </si>
  <si>
    <t>Оборудование станций АМТС-3 плата рядовой сигнализации</t>
  </si>
  <si>
    <t xml:space="preserve">                                   Электрическая проверка и настройка оборудования АМТС-3</t>
  </si>
  <si>
    <t>ТЕРм10-03-028-01</t>
  </si>
  <si>
    <t>Электрическая проверка и настройка оборудования АМТС-3, стативы ГНТ, МГ, МГИ, ВГИ, ИМРА, РУК-ОУ-МРУ, РКЗСЛ-3/ВТА4/4, ВКЗСЛ4/2</t>
  </si>
  <si>
    <t>ТЕРм10-03-028-02</t>
  </si>
  <si>
    <t>Электрическая проверка и настройка оборудования АМТС-3, стативы ВКТН, ГИМ-3, ИКШ, ВКШ, ИРСЛГ-У 4/4, АИ-ДТ-ДИВ, ПС</t>
  </si>
  <si>
    <t>ТЕРм10-03-028-03</t>
  </si>
  <si>
    <t>Электрическая проверка и настройка оборудования АМТС-3, стативы РИ С МРИ, ВРКШ, КУПШ С ПШ, ВРКШ-Т, ВКЗСЛШ 4/2, ИКЗСЛК 4/2, РСЛГ 4/2, ИРСЛ-3/ИТМ4/4</t>
  </si>
  <si>
    <t>ТЕРм10-03-028-04</t>
  </si>
  <si>
    <t>Электрическая проверка и настройка оборудования АМТС-3, стативы ВК-ВРКШ, РУК-ВРКШ, ИКЗСЛК 4/4</t>
  </si>
  <si>
    <t>ТЕРм10-03-028-05</t>
  </si>
  <si>
    <t>Электрическая проверка и настройка оборудования АМТС-3, стативы РК-ПШ, СВУ</t>
  </si>
  <si>
    <t>ТЕРм10-03-028-06</t>
  </si>
  <si>
    <t>Электрическая проверка и настройка оборудования АМТС-3, стативы РСЛА-УПФ, ИКТН, ВКЗСЛГ 4/4, ОПУГ-А</t>
  </si>
  <si>
    <t>ТЕРм10-03-028-07</t>
  </si>
  <si>
    <t>Электрическая проверка и настройка оборудования АМТС-3, стативы РСЛ-2/4</t>
  </si>
  <si>
    <t>ТЕРм10-03-028-08</t>
  </si>
  <si>
    <t>Электрическая проверка и настройка оборудования АМТС-3, стативы АУНК-А, ВСКО 2/4, АПЖА-2</t>
  </si>
  <si>
    <t>ТЕРм10-03-028-09</t>
  </si>
  <si>
    <t>Электрическая проверка и настройка оборудования АМТС-3, стативы АКС-А, ВКЗСЛГ 2/4</t>
  </si>
  <si>
    <t>ТЕРм10-03-028-10</t>
  </si>
  <si>
    <t>Электрическая проверка и настройка оборудования АМТС-3, стативы РСЛШ 4/2, УКП</t>
  </si>
  <si>
    <t>ТЕРм10-03-028-11</t>
  </si>
  <si>
    <t>Электрическая проверка и настройка оборудования АМТС-3, стативы РСЛК 2/4</t>
  </si>
  <si>
    <t>ТЕРм10-03-028-12</t>
  </si>
  <si>
    <t>Электрическая проверка и настройка оборудования АМТС-3, стативы АПКА-1</t>
  </si>
  <si>
    <t>ТЕРм10-03-028-13</t>
  </si>
  <si>
    <t>Электрическая проверка и настройка оборудования АМТС-3, стативы ТРФ</t>
  </si>
  <si>
    <t xml:space="preserve">                                   Монтаж и настройка электронных АТС типа Si -2000 и аналогичных TDX-IB, TDX-I0, SDX-100, STAREX-RX, DRX-4, DMS-100</t>
  </si>
  <si>
    <t>ТЕРм10-03-029-01</t>
  </si>
  <si>
    <t>Электронная АТС типа Si -2000 (или TDX-IB, TDX-I0, SDX-100, STAREX-RX, DRX-4, DMS-100), монтаж кросса</t>
  </si>
  <si>
    <t>ТЕРм10-03-029-02</t>
  </si>
  <si>
    <t>Электронная АТС типа Si -2000 (или TDX-IB, TDX-I0, SDX-100, STAREX-RX, DRX-4, DMS-100), монтаж станции</t>
  </si>
  <si>
    <t>ТЕРм10-03-029-03</t>
  </si>
  <si>
    <t>Электронная АТС типа Si -2000 (или TDX-IB, TDX-I0, SDX-100, STAREX-RX, DRX-4, DMS-100), настройка станции</t>
  </si>
  <si>
    <t xml:space="preserve">                                   Монтаж и настройка электронных АТС типа АХЕ-10 и ЕWSD</t>
  </si>
  <si>
    <t>ТЕРм10-03-030-01</t>
  </si>
  <si>
    <t>Электронная АТС типа АХЕ-10 (или ЕWSD) монтаж кросса</t>
  </si>
  <si>
    <t>ТЕРм10-03-030-02</t>
  </si>
  <si>
    <t>Электронная АТС типа АХЕ-10 (или ЕWSD) монтаж станции</t>
  </si>
  <si>
    <t>ТЕРм10-03-030-03</t>
  </si>
  <si>
    <t>Электронная АТС типа АХЕ-10 (или ЕWSD) настройка станции</t>
  </si>
  <si>
    <t xml:space="preserve">                                   Монтаж и настройка электронных АТС типа Миником DX-500</t>
  </si>
  <si>
    <t>ТЕРм10-03-031-01</t>
  </si>
  <si>
    <t>Электронная АТС типа Миником DX-500 с количеством до 100 монтаж кросса</t>
  </si>
  <si>
    <t>ТЕРм10-03-031-02</t>
  </si>
  <si>
    <t>Электронная АТС типа Миником DX-500 с количеством до 100 монтаж станции</t>
  </si>
  <si>
    <t>ТЕРм10-03-031-03</t>
  </si>
  <si>
    <t>Электронная АТС типа Миником DX-500 с количеством до 100 настройка станции</t>
  </si>
  <si>
    <t>ТЕРм10-03-031-04</t>
  </si>
  <si>
    <t>Электронная АТС типа Миником DX-500 с количеством до 500 монтаж кросса</t>
  </si>
  <si>
    <t>ТЕРм10-03-031-05</t>
  </si>
  <si>
    <t>Электронная АТС типа Миником DX-500 с количеством до 500 монтаж станции</t>
  </si>
  <si>
    <t>ТЕРм10-03-031-06</t>
  </si>
  <si>
    <t>Электронная АТС типа Миником DX-500 с количеством до 500 настройка станции</t>
  </si>
  <si>
    <t>ТЕРм10-03-031-07</t>
  </si>
  <si>
    <t>Электронная АТС типа Миником DX-500 с количеством свыше 500 монтаж кросса</t>
  </si>
  <si>
    <t>ТЕРм10-03-031-08</t>
  </si>
  <si>
    <t>Электронная АТС типа Миником DX-500 с количеством свыше 500 монтаж станции</t>
  </si>
  <si>
    <t>ТЕРм10-03-031-09</t>
  </si>
  <si>
    <t>Электронная АТС типа Миником DX-500 с количеством свыше 500 настройка станции</t>
  </si>
  <si>
    <t xml:space="preserve">                                   Настройка системы диспетчерской связи на базе электронных АТС типа Миником DX-500</t>
  </si>
  <si>
    <t>ТЕРм10-03-032-01</t>
  </si>
  <si>
    <t>Настройка системы диспетчерской связи на базе электронной АТС типа Миником DX-500 подготовительные работы и установка конфигурационных данных</t>
  </si>
  <si>
    <t>ТЕРм10-03-032-02</t>
  </si>
  <si>
    <t>Настройка системы диспетчерской связи на базе электронной АТС типа Миником DX-500 проверка и настройка цепей и линий диспетчерской связи</t>
  </si>
  <si>
    <t>ТЕРм10-03-032-03</t>
  </si>
  <si>
    <t>Настройка системы диспетчерской связи на базе электронной АТС типа Миником DX-500 настройка и конфигурирование групповых каналов</t>
  </si>
  <si>
    <t>ТЕРм10-03-032-04</t>
  </si>
  <si>
    <t>Настройка системы диспетчерской связи на базе электронной АТС типа Миником DX-500 настройка и конфигурирование оконечного оборудования ISDN</t>
  </si>
  <si>
    <t>ТЕРм10-03-032-05</t>
  </si>
  <si>
    <t>Настройка системы диспетчерской связи на базе электронной АТС типа Миником DX-500 комплексная проверка и участие в сдаче в эксплуатацию участка диспетчерской связи</t>
  </si>
  <si>
    <t xml:space="preserve">                                   Раздел 4. СТАНЦИИ ТЕЛЕГРАФНЫЕ</t>
  </si>
  <si>
    <t xml:space="preserve">                                   Электрическая проверка аппаратуры тонального телеграфа</t>
  </si>
  <si>
    <t>ТЕРм10-03-039-01</t>
  </si>
  <si>
    <t>Проверка аппаратуры тонального телеграфа</t>
  </si>
  <si>
    <t>ТЕРм10-03-039-02</t>
  </si>
  <si>
    <t>Электрическая проверка и настройка аппаратуры ТТ «на себя» ТТ-12</t>
  </si>
  <si>
    <t>ТЕРм10-03-039-03</t>
  </si>
  <si>
    <t>Электрическая проверка и настройка аппаратуры ТТ «на себя» ТТ-48</t>
  </si>
  <si>
    <t>ТЕРм10-03-039-04</t>
  </si>
  <si>
    <t>Электрическая проверка и настройка аппаратуры ТТ «на себя» ТТ-144</t>
  </si>
  <si>
    <t xml:space="preserve">                                   Раздел 5. НАСТРОЙКА КАНАЛОВ СВЯЗИ</t>
  </si>
  <si>
    <t xml:space="preserve">                                   Настройка каналов тональной частоты на воздушных цепях</t>
  </si>
  <si>
    <t>ТЕРм10-03-050-01</t>
  </si>
  <si>
    <t>Настройка канала тональной частоты на воздушных цепях между двумя оконечными станциями при количестве усилительных пунк-тов между ними 0</t>
  </si>
  <si>
    <t>ТЕРм10-03-050-02</t>
  </si>
  <si>
    <t>Настройка канала тональной частоты на воздушных цепях между двумя оконечными станциями при количестве усилительных пунк-тов между ними 1</t>
  </si>
  <si>
    <t>ТЕРм10-03-050-03</t>
  </si>
  <si>
    <t>Настройка канала тональной частоты на воздушных цепях между двумя оконечными станциями при количестве усилительных пунк-тов между ними 2</t>
  </si>
  <si>
    <t>ТЕРм10-03-050-04</t>
  </si>
  <si>
    <t>Настройка канала тональной частоты на воздушных цепях между двумя оконечными станциями при количестве усилительных пунк-тов между ними 3</t>
  </si>
  <si>
    <t>ТЕРм10-03-050-05</t>
  </si>
  <si>
    <t>Настройка канала тональной частоты на воздушных цепях между двумя оконечными станциями при количестве усилительных пунк-тов между ними 4</t>
  </si>
  <si>
    <t>ТЕРм10-03-050-06</t>
  </si>
  <si>
    <t>Настройка канала тональной частоты на воздушных цепях между двумя оконечными станциями при количестве усилительных пунк-тов между ними 5</t>
  </si>
  <si>
    <t xml:space="preserve">                                   Настройка каналов высокочастотных на воздушных цепях</t>
  </si>
  <si>
    <t>ТЕРм10-03-051-01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</si>
  <si>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0</t>
  </si>
  <si>
    <t>ТЕРм10-03-051-02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</si>
  <si>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1</t>
  </si>
  <si>
    <t>ТЕРм10-03-051-03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</si>
  <si>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2</t>
  </si>
  <si>
    <t>ТЕРм10-03-051-04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</si>
  <si>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3</t>
  </si>
  <si>
    <t>ТЕРм10-03-051-05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</si>
  <si>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4</t>
  </si>
  <si>
    <t>ТЕРм10-03-051-06</t>
  </si>
  <si>
    <t>Настройка канала ВЧ на воздушных цепях одноканальной системы между двумя оконечными станциями при количестве усилительных пунктов между ними 5</t>
  </si>
  <si>
    <t>ТЕРм10-03-051-07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</si>
  <si>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0</t>
  </si>
  <si>
    <t>ТЕРм10-03-051-08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</si>
  <si>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1</t>
  </si>
  <si>
    <t>ТЕРм10-03-051-09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</si>
  <si>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2</t>
  </si>
  <si>
    <t>ТЕРм10-03-051-10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</si>
  <si>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3</t>
  </si>
  <si>
    <t>ТЕРм10-03-051-11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</si>
  <si>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4</t>
  </si>
  <si>
    <t>ТЕРм10-03-051-12</t>
  </si>
  <si>
    <t>Настройка канала ВЧ на воздушных цепях трехканальной системы между двумя оконечными станциями при количестве усилительных пунктов между ними 5</t>
  </si>
  <si>
    <t>ТЕРм10-03-051-13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</si>
  <si>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0</t>
  </si>
  <si>
    <t>ТЕРм10-03-051-14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</si>
  <si>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</t>
  </si>
  <si>
    <t>ТЕРм10-03-051-15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</si>
  <si>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2</t>
  </si>
  <si>
    <t>ТЕРм10-03-051-16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</si>
  <si>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3</t>
  </si>
  <si>
    <t>ТЕРм10-03-051-17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</si>
  <si>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4</t>
  </si>
  <si>
    <t>ТЕРм10-03-051-18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</si>
  <si>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5</t>
  </si>
  <si>
    <t>ТЕРм10-03-051-19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</si>
  <si>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6</t>
  </si>
  <si>
    <t>ТЕРм10-03-051-20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</si>
  <si>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7</t>
  </si>
  <si>
    <t>ТЕРм10-03-051-21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</si>
  <si>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8</t>
  </si>
  <si>
    <t>ТЕРм10-03-051-22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</si>
  <si>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9</t>
  </si>
  <si>
    <t>ТЕРм10-03-051-23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</si>
  <si>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10</t>
  </si>
  <si>
    <t>ТЕРм10-03-051-24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</si>
  <si>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11</t>
  </si>
  <si>
    <t>ТЕРм10-03-051-25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</si>
  <si>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12</t>
  </si>
  <si>
    <t>ТЕРм10-03-051-26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</si>
  <si>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13</t>
  </si>
  <si>
    <t>ТЕРм10-03-051-27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</si>
  <si>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14</t>
  </si>
  <si>
    <t>ТЕРм10-03-051-28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</si>
  <si>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15</t>
  </si>
  <si>
    <t>ТЕРм10-03-051-29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</si>
  <si>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16</t>
  </si>
  <si>
    <t>ТЕРм10-03-051-30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</si>
  <si>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17, 18</t>
  </si>
  <si>
    <t>ТЕРм10-03-051-31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</si>
  <si>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19, 20</t>
  </si>
  <si>
    <t>ТЕРм10-03-051-32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</si>
  <si>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21, 22</t>
  </si>
  <si>
    <t>ТЕРм10-03-051-33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</si>
  <si>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23, 24</t>
  </si>
  <si>
    <t>ТЕРм10-03-051-34</t>
  </si>
  <si>
    <t>Настройка канала ВЧ на воздушных цепях двенадцатиканальной системы между двумя оконечными станциями при количестве усилительных пунктов между ними 25, 26</t>
  </si>
  <si>
    <t xml:space="preserve">                                   Настройка каналов тональной частоты на кабельных цепях</t>
  </si>
  <si>
    <t>ТЕРм10-03-052-01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</si>
  <si>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0</t>
  </si>
  <si>
    <t>ТЕРм10-03-052-02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</si>
  <si>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1</t>
  </si>
  <si>
    <t>ТЕРм10-03-052-03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</si>
  <si>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2</t>
  </si>
  <si>
    <t>ТЕРм10-03-052-04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</si>
  <si>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3</t>
  </si>
  <si>
    <t>ТЕРм10-03-052-05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</si>
  <si>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4</t>
  </si>
  <si>
    <t>ТЕРм10-03-052-06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</si>
  <si>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5</t>
  </si>
  <si>
    <t>ТЕРм10-03-052-07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</si>
  <si>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6</t>
  </si>
  <si>
    <t>ТЕРм10-03-052-08</t>
  </si>
  <si>
    <t>Настройка канала ТЧ на кабельных цепях по двухпроводным цепям между двумя оконечными станциями при количестве усилительных пунктов между ними 7</t>
  </si>
  <si>
    <t>ТЕРм10-03-052-09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</si>
  <si>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0</t>
  </si>
  <si>
    <t>ТЕРм10-03-052-10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</si>
  <si>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1</t>
  </si>
  <si>
    <t>ТЕРм10-03-052-11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</si>
  <si>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2</t>
  </si>
  <si>
    <t>ТЕРм10-03-052-12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</si>
  <si>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3</t>
  </si>
  <si>
    <t>ТЕРм10-03-052-13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</si>
  <si>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4</t>
  </si>
  <si>
    <t>ТЕРм10-03-052-14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</si>
  <si>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5</t>
  </si>
  <si>
    <t>ТЕРм10-03-052-15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</si>
  <si>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6</t>
  </si>
  <si>
    <t>ТЕРм10-03-052-16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</si>
  <si>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7</t>
  </si>
  <si>
    <t>ТЕРм10-03-052-17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</si>
  <si>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8</t>
  </si>
  <si>
    <t>ТЕРм10-03-052-18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</si>
  <si>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9</t>
  </si>
  <si>
    <t>ТЕРм10-03-052-19</t>
  </si>
  <si>
    <t>Настройка канала ТЧ на кабельных цепях по четырехпроводным цепям между двумя оконечными станциями при количестве усилительных пунктов между ними 10</t>
  </si>
  <si>
    <t xml:space="preserve">                                   Настройка линейных трактов на симметричных кабельных линиях</t>
  </si>
  <si>
    <t>ТЕРм10-03-053-01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</si>
  <si>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0</t>
  </si>
  <si>
    <t>ТЕРм10-03-053-02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</si>
  <si>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1</t>
  </si>
  <si>
    <t>ТЕРм10-03-053-03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</si>
  <si>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2</t>
  </si>
  <si>
    <t>ТЕРм10-03-053-04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</si>
  <si>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3</t>
  </si>
  <si>
    <t>ТЕРм10-03-053-05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</si>
  <si>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4</t>
  </si>
  <si>
    <t>ТЕРм10-03-053-06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</si>
  <si>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5</t>
  </si>
  <si>
    <t>ТЕРм10-03-053-07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</si>
  <si>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6</t>
  </si>
  <si>
    <t>ТЕРм10-03-053-08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</si>
  <si>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7</t>
  </si>
  <si>
    <t>ТЕРм10-03-053-09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</si>
  <si>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8</t>
  </si>
  <si>
    <t>ТЕРм10-03-053-10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</si>
  <si>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9</t>
  </si>
  <si>
    <t>ТЕРм10-03-053-11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</si>
  <si>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10</t>
  </si>
  <si>
    <t>ТЕРм10-03-053-12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</si>
  <si>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11-15</t>
  </si>
  <si>
    <t>ТЕРм10-03-053-13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</si>
  <si>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16-20</t>
  </si>
  <si>
    <t>ТЕРм10-03-053-14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</si>
  <si>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21-25</t>
  </si>
  <si>
    <t>ТЕРм10-03-053-15</t>
  </si>
  <si>
    <t>Настройка линейного тракта на симметричных кабельных линиях, тракт между двумя питающими пунктами при количестве питаемых пунктов между ними 26-32</t>
  </si>
  <si>
    <t>ТЕРм10-03-053-16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</si>
  <si>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1</t>
  </si>
  <si>
    <t>ТЕРм10-03-053-17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</si>
  <si>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2</t>
  </si>
  <si>
    <t>ТЕРм10-03-053-18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</si>
  <si>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3</t>
  </si>
  <si>
    <t>ТЕРм10-03-053-19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</si>
  <si>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4</t>
  </si>
  <si>
    <t>ТЕРм10-03-053-20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</si>
  <si>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5</t>
  </si>
  <si>
    <t>ТЕРм10-03-053-21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</si>
  <si>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6</t>
  </si>
  <si>
    <t>ТЕРм10-03-053-22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</si>
  <si>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7</t>
  </si>
  <si>
    <t>ТЕРм10-03-053-23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</si>
  <si>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8</t>
  </si>
  <si>
    <t>ТЕРм10-03-053-24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</si>
  <si>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9</t>
  </si>
  <si>
    <t>ТЕРм10-03-053-25</t>
  </si>
  <si>
    <t>Настройка линейного тракта на симметричных кабельных линиях, тракт сквозной между двумя оконечными станциями при количестве основных (питающих) усилительных пунктов между ними 10</t>
  </si>
  <si>
    <t xml:space="preserve">                                   Настройка линейных трактов на коаксиальных кабельных линиях</t>
  </si>
  <si>
    <t>ТЕРм10-03-054-01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</si>
  <si>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5</t>
  </si>
  <si>
    <t>ТЕРм10-03-054-02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</si>
  <si>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10</t>
  </si>
  <si>
    <t>ТЕРм10-03-054-03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</si>
  <si>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15</t>
  </si>
  <si>
    <t>ТЕРм10-03-054-04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</si>
  <si>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20</t>
  </si>
  <si>
    <t>ТЕРм10-03-054-05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</si>
  <si>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25</t>
  </si>
  <si>
    <t>ТЕРм10-03-054-06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</si>
  <si>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30</t>
  </si>
  <si>
    <t>ТЕРм10-03-054-07</t>
  </si>
  <si>
    <t>Настройка линейного тракта на коаксиальных кабельных линиях, тракт между двумя питающими пунктами при количестве питаемых усилительных пунктов между ними, до 32</t>
  </si>
  <si>
    <t>ТЕРм10-03-054-08</t>
  </si>
  <si>
    <t>За каждый дополнительный пункт добавлять к расценке 10-03-054-07</t>
  </si>
  <si>
    <t>ТЕРм10-03-054-09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</si>
  <si>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1</t>
  </si>
  <si>
    <t>ТЕРм10-03-054-10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</si>
  <si>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2</t>
  </si>
  <si>
    <t>ТЕРм10-03-054-11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</si>
  <si>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3</t>
  </si>
  <si>
    <t>ТЕРм10-03-054-12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</si>
  <si>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4</t>
  </si>
  <si>
    <t>ТЕРм10-03-054-13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</si>
  <si>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5</t>
  </si>
  <si>
    <t>ТЕРм10-03-054-14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</si>
  <si>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6</t>
  </si>
  <si>
    <t>ТЕРм10-03-054-15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</si>
  <si>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7, 8</t>
  </si>
  <si>
    <t>ТЕРм10-03-054-16</t>
  </si>
  <si>
    <t>Настройка линейного тракта на коаксиальных кабельных линиях, тракт сквозной между двумя оконечными станциями при количестве основных питающих пунктов между ними 9, 10</t>
  </si>
  <si>
    <t xml:space="preserve">                                   Настройка групповых трактов на кабельных линиях</t>
  </si>
  <si>
    <t>ТЕРм10-03-055-01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</si>
  <si>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0</t>
  </si>
  <si>
    <t>ТЕРм10-03-055-02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</si>
  <si>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1</t>
  </si>
  <si>
    <t>ТЕРм10-03-055-03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</si>
  <si>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2</t>
  </si>
  <si>
    <t>ТЕРм10-03-055-04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</si>
  <si>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3</t>
  </si>
  <si>
    <t>ТЕРм10-03-055-05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</si>
  <si>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4</t>
  </si>
  <si>
    <t>ТЕРм10-03-055-06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</si>
  <si>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5, 6</t>
  </si>
  <si>
    <t>ТЕРм10-03-055-07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</si>
  <si>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7, 8</t>
  </si>
  <si>
    <t>ТЕРм10-03-055-08</t>
  </si>
  <si>
    <t>Настройка группового тракта на кабельных линиях, тракт первичный между двумя оконечными станциями при количестве пунктов транзита между ними 9, 10</t>
  </si>
  <si>
    <t>ТЕРм10-03-055-09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</si>
  <si>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0</t>
  </si>
  <si>
    <t>ТЕРм10-03-055-10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</si>
  <si>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1</t>
  </si>
  <si>
    <t>ТЕРм10-03-055-11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</si>
  <si>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2</t>
  </si>
  <si>
    <t>ТЕРм10-03-055-12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</si>
  <si>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3</t>
  </si>
  <si>
    <t>ТЕРм10-03-055-13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</si>
  <si>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4</t>
  </si>
  <si>
    <t>ТЕРм10-03-055-14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</si>
  <si>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5, 6</t>
  </si>
  <si>
    <t>ТЕРм10-03-055-15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</si>
  <si>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7, 8</t>
  </si>
  <si>
    <t>ТЕРм10-03-055-16</t>
  </si>
  <si>
    <t>Настройка группового тракта на кабельных линиях, тракт вторичный между двумя оконечными станциями при количестве пунктов транзита между ними 9, 10</t>
  </si>
  <si>
    <t>ТЕРм10-03-055-17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</si>
  <si>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0</t>
  </si>
  <si>
    <t>ТЕРм10-03-055-18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</si>
  <si>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1</t>
  </si>
  <si>
    <t>ТЕРм10-03-055-19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</si>
  <si>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2</t>
  </si>
  <si>
    <t>ТЕРм10-03-055-20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</si>
  <si>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3</t>
  </si>
  <si>
    <t>ТЕРм10-03-055-21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</si>
  <si>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4</t>
  </si>
  <si>
    <t>ТЕРм10-03-055-22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</si>
  <si>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5, 6</t>
  </si>
  <si>
    <t>ТЕРм10-03-055-23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</si>
  <si>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7, 8</t>
  </si>
  <si>
    <t>ТЕРм10-03-055-24</t>
  </si>
  <si>
    <t>Настройка группового тракта на кабельных линиях, тракт третичный между двумя оконечными станциями при количестве пунктов транзита между ними 9, 10</t>
  </si>
  <si>
    <t xml:space="preserve">                                   Настройка каналов связи и телевидения по подготовленным линейным трактам</t>
  </si>
  <si>
    <t>ТЕРм10-03-056-01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</si>
  <si>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0</t>
  </si>
  <si>
    <t>ТЕРм10-03-056-02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</si>
  <si>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1, 2</t>
  </si>
  <si>
    <t>ТЕРм10-03-056-03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</si>
  <si>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3, 4</t>
  </si>
  <si>
    <t>ТЕРм10-03-056-04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</si>
  <si>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5, 6</t>
  </si>
  <si>
    <t>ТЕРм10-03-056-05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</si>
  <si>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7, 8</t>
  </si>
  <si>
    <t>ТЕРм10-03-056-06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</si>
  <si>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9, 10</t>
  </si>
  <si>
    <t>ТЕРм10-03-056-07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</si>
  <si>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11, 12</t>
  </si>
  <si>
    <t>ТЕРм10-03-056-08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</si>
  <si>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13, 14</t>
  </si>
  <si>
    <t>ТЕРм10-03-056-09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</si>
  <si>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15, 16</t>
  </si>
  <si>
    <t>ТЕРм10-03-056-10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</si>
  <si>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17, 18</t>
  </si>
  <si>
    <t>ТЕРм10-03-056-11</t>
  </si>
  <si>
    <t>Настройка канала связи по подготовленным линейным трактам, канал связи между двумя оконечными станциями при количестве пунктов транзита между ними 19, 20</t>
  </si>
  <si>
    <t>ТЕРм10-03-056-12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</si>
  <si>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0</t>
  </si>
  <si>
    <t>ТЕРм10-03-056-13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</si>
  <si>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</t>
  </si>
  <si>
    <t>ТЕРм10-03-056-14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</si>
  <si>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</t>
  </si>
  <si>
    <t>ТЕРм10-03-056-15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</si>
  <si>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3</t>
  </si>
  <si>
    <t>ТЕРм10-03-056-16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</si>
  <si>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4</t>
  </si>
  <si>
    <t>ТЕРм10-03-056-17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</si>
  <si>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5</t>
  </si>
  <si>
    <t>ТЕРм10-03-056-18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</si>
  <si>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6</t>
  </si>
  <si>
    <t>ТЕРм10-03-056-19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</si>
  <si>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7</t>
  </si>
  <si>
    <t>ТЕРм10-03-056-20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</si>
  <si>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8</t>
  </si>
  <si>
    <t>ТЕРм10-03-056-21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</si>
  <si>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9</t>
  </si>
  <si>
    <t>ТЕРм10-03-056-22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</si>
  <si>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10</t>
  </si>
  <si>
    <t>ТЕРм10-03-056-23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</si>
  <si>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11</t>
  </si>
  <si>
    <t>ТЕРм10-03-056-24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</si>
  <si>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12</t>
  </si>
  <si>
    <t>ТЕРм10-03-056-25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</si>
  <si>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13</t>
  </si>
  <si>
    <t>ТЕРм10-03-056-26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</si>
  <si>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14</t>
  </si>
  <si>
    <t>ТЕРм10-03-056-27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</si>
  <si>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15, 16</t>
  </si>
  <si>
    <t>ТЕРм10-03-056-28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</si>
  <si>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17, 18</t>
  </si>
  <si>
    <t>ТЕРм10-03-056-29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</si>
  <si>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19, 20</t>
  </si>
  <si>
    <t>ТЕРм10-03-056-30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</si>
  <si>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21, 22</t>
  </si>
  <si>
    <t>ТЕРм10-03-056-31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</si>
  <si>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23, 24</t>
  </si>
  <si>
    <t>ТЕРм10-03-056-32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</si>
  <si>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25, 26</t>
  </si>
  <si>
    <t>ТЕРм10-03-056-33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</si>
  <si>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27, 28</t>
  </si>
  <si>
    <t>ТЕРм10-03-056-34</t>
  </si>
  <si>
    <t>Настройка канала телевизионного по подготовленным линейным трактам, канал телевизионный между двумя оконечными станциями при количестве пунктов транзита между ними 29, 30</t>
  </si>
  <si>
    <t xml:space="preserve">                                   Настройка телемеханики на кабельных линиях</t>
  </si>
  <si>
    <t>ТЕРм10-03-057-01</t>
  </si>
  <si>
    <t>Настройка телемеханики на кабельных линиях на участке между двумя питающими пунктами при количестве питаемых усилительных пунктов между ними до 10</t>
  </si>
  <si>
    <t>ТЕРм10-03-057-02</t>
  </si>
  <si>
    <t>Настройка телемеханики на кабельных линиях на участке между двумя питающими пунктами при количестве питаемых усилительных пунктов между ними до 15</t>
  </si>
  <si>
    <t>ТЕРм10-03-057-03</t>
  </si>
  <si>
    <t>Настройка телемеханики на кабельных линиях на участке между двумя питающими пунктами при количестве питаемых усилительных пунктов между ними до 20</t>
  </si>
  <si>
    <t>ТЕРм10-03-057-04</t>
  </si>
  <si>
    <t>Настройка телемеханики на кабельных линиях на участке между двумя питающими пунктами при количестве питаемых усилительных пунктов между ними до 25</t>
  </si>
  <si>
    <t>ТЕРм10-03-057-05</t>
  </si>
  <si>
    <t>Настройка телемеханики на кабельных линиях на участке между двумя питающими пунктами при количестве питаемых усилительных пунктов между ними до 32</t>
  </si>
  <si>
    <t xml:space="preserve">                                   Настройка каналов вещания по подготовленным каналам ВЧ систем</t>
  </si>
  <si>
    <t>ТЕРм10-03-058-01</t>
  </si>
  <si>
    <t>Настройка канала вещания по подготовленным каналам ВЧ систем между двумя оконечными станциями</t>
  </si>
  <si>
    <t xml:space="preserve">                                   Настройка каналов сельской связи</t>
  </si>
  <si>
    <t>ТЕРм10-03-059-01</t>
  </si>
  <si>
    <t>Настройка канала ВЧ шестиканальной системы между двумя оконечными станциями при количестве усилительных пунктов между ними 0</t>
  </si>
  <si>
    <t>ТЕРм10-03-059-02</t>
  </si>
  <si>
    <t>Настройка канала ВЧ шестиканальной системы между двумя оконечными станциями при количестве усилительных пунктов между ними 1</t>
  </si>
  <si>
    <t>ТЕРм10-03-059-03</t>
  </si>
  <si>
    <t>За каждый последующий промежуточный усилительный пункт добавлять к расценке 10-03-059-02</t>
  </si>
  <si>
    <t xml:space="preserve">                           Раздел 4. ОТДЕЛ 04. РАДИОСВЯЗЬ, РАДИОВЕЩАНИЕ, РАДИОФИКАЦИЯ И ТЕЛЕВИДЕНИЕ</t>
  </si>
  <si>
    <t xml:space="preserve">                                   Раздел 1. ПЕРЕДАТЧИКИ МОЩНОСТЬЮ ДО 2000 кВт</t>
  </si>
  <si>
    <t xml:space="preserve">                                   Передатчики мощностью до 100 кВт</t>
  </si>
  <si>
    <t>ТЕРм10-04-001-01</t>
  </si>
  <si>
    <t>Передатчик коротковолновый телеграфно-телефонный неавтоматизированный мощностью до 5 кВт</t>
  </si>
  <si>
    <t>ТЕРм10-04-001-02</t>
  </si>
  <si>
    <t>Передатчик коротковолновый телеграфно-телефонный автоматизированный, мощность 1 кВт</t>
  </si>
  <si>
    <t>ТЕРм10-04-001-03</t>
  </si>
  <si>
    <t>Передатчик коротковолновый телеграфно-телефонный автоматизированный, мощность 5 кВт</t>
  </si>
  <si>
    <t>ТЕРм10-04-001-04</t>
  </si>
  <si>
    <t>Передатчик коротковолновый телеграфно-телефонный автоматизированный, мощность 15-20 кВт</t>
  </si>
  <si>
    <t>ТЕРм10-04-001-05</t>
  </si>
  <si>
    <t>Передатчик вещательный средневолновый, мощность до 5 кВт</t>
  </si>
  <si>
    <t>ТЕРм10-04-001-06</t>
  </si>
  <si>
    <t>Передатчик вещательный средневолновый, мощность до 2х21 кВт</t>
  </si>
  <si>
    <t>ТЕРм10-04-001-07</t>
  </si>
  <si>
    <t>Передатчик средних или длинных волн мощностью до 75 кВт</t>
  </si>
  <si>
    <t>ТЕРм10-04-001-08</t>
  </si>
  <si>
    <t>Аппаратура сложения двух передатчиков (Т-Мост) мощностью до 2х75 кВт</t>
  </si>
  <si>
    <t>ТЕРм10-04-001-09</t>
  </si>
  <si>
    <t>Передатчик телеграфно-телефонный автоматизированный мощностью до 80 - 100 кВт</t>
  </si>
  <si>
    <t xml:space="preserve">                                   Передатчики коротковолновые мощностью до 2000 кВт</t>
  </si>
  <si>
    <t>ТЕРм10-04-002-01</t>
  </si>
  <si>
    <t>Передатчик вещательный коротковолновый мощностью до 250 кВт</t>
  </si>
  <si>
    <t xml:space="preserve">                                   Раздел 2. ДЕТАЛИ МОЩНЫХ ПЕРЕДАТЧИКОВ</t>
  </si>
  <si>
    <t xml:space="preserve">                                   Конденсаторы</t>
  </si>
  <si>
    <t>ТЕРм10-04-013-01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</si>
  <si>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изоляторах, масса конденсатора до 10 кг</t>
  </si>
  <si>
    <t>ТЕРм10-04-013-02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</si>
  <si>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изоляторах, масса конденсаторадо 20 кг</t>
  </si>
  <si>
    <t>ТЕРм10-04-013-03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</si>
  <si>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изоляторах, масса конденсаторадо 50 кг</t>
  </si>
  <si>
    <t>ТЕРм10-04-013-04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</si>
  <si>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изоляторах, масса конденсаторадо 100 кг</t>
  </si>
  <si>
    <t>ТЕРм10-04-013-05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</si>
  <si>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полу, масса до 10 кг</t>
  </si>
  <si>
    <t>ТЕРм10-04-013-06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</si>
  <si>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полу, масса до 20 кг</t>
  </si>
  <si>
    <t>ТЕРм10-04-013-07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</si>
  <si>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полу, масса до 50 кг</t>
  </si>
  <si>
    <t>ТЕРм10-04-013-08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</si>
  <si>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полу, масса до 100 кг</t>
  </si>
  <si>
    <t>ТЕРм10-04-013-09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</si>
  <si>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полке, масса до 5 кг</t>
  </si>
  <si>
    <t>ТЕРм10-04-013-10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</si>
  <si>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полке, масса до 10 кг</t>
  </si>
  <si>
    <t>ТЕРм10-04-013-11</t>
  </si>
  <si>
    <t>Конденсатор одиночный и групповой, контурный, блокировочный и фильтровый, воздушный (переменный и постоянный), масляный и бумажный, устанавливаемый на полке, масса до 20 кг</t>
  </si>
  <si>
    <t xml:space="preserve">                                   Дроссели и трансформаторы</t>
  </si>
  <si>
    <t>ТЕРм10-04-014-01</t>
  </si>
  <si>
    <t>Дроссель или трансформатор, масса до 20 кг</t>
  </si>
  <si>
    <t>ТЕРм10-04-014-02</t>
  </si>
  <si>
    <t>Дроссель или трансформатор, масса до 50 кг</t>
  </si>
  <si>
    <t>ТЕРм10-04-014-03</t>
  </si>
  <si>
    <t>Дроссель или трансформатор, масса до 100 кг</t>
  </si>
  <si>
    <t>ТЕРм10-04-014-04</t>
  </si>
  <si>
    <t>Дроссель или трансформатор, масса до 200 кг</t>
  </si>
  <si>
    <t>ТЕРм10-04-014-05</t>
  </si>
  <si>
    <t>Дроссель или трансформатор, масса до 500 кг</t>
  </si>
  <si>
    <t xml:space="preserve">                                   Раздел 3. ПЕРЕДАТЧИКИ УЛЬТРАКОРОТКОВОЛНОВЫЕ И СТАНЦИИ ТЕЛЕВИЗИОННЫЕ</t>
  </si>
  <si>
    <t xml:space="preserve">                                   Ретрансляторы</t>
  </si>
  <si>
    <t>ТЕРм10-04-015-01</t>
  </si>
  <si>
    <t>Ретранслятор телевизионный автоматический необслуживаемый с приемом по эфиру мощностью 1 Вт</t>
  </si>
  <si>
    <t xml:space="preserve">                                   Радиостанции УКВ ЧМ вещания</t>
  </si>
  <si>
    <t>ТЕРм10-04-016-01</t>
  </si>
  <si>
    <t>Радиостанция УКВ ЧМ двухпрограммного вещания мощностью 2х4 кВт</t>
  </si>
  <si>
    <t xml:space="preserve">                                   Станции телевизионные</t>
  </si>
  <si>
    <t>ТЕРм10-04-017-01</t>
  </si>
  <si>
    <t>Радиостанция цветного телевидения однопрограммная мощностью 5/1 кВт</t>
  </si>
  <si>
    <t xml:space="preserve">                                   Раздел 4. ФИДЕРЫ ВЫСОКОЧАСТОТНЫЕ</t>
  </si>
  <si>
    <t xml:space="preserve">                                   Фидеры воздушные внутренней установки, изготовляемые на месте</t>
  </si>
  <si>
    <t>ТЕРм10-04-018-01</t>
  </si>
  <si>
    <t>Фидер однопроводный с установкой специальных изоляторов в установленном экранирующем коробе из медной трубы диаметром до 10 мм</t>
  </si>
  <si>
    <t>ТЕРм10-04-018-02</t>
  </si>
  <si>
    <t>Фидер однопроводный с установкой специальных изоляторов в установленном экранирующем коробе из медной трубы диаметром до 20 мм</t>
  </si>
  <si>
    <t>ТЕРм10-04-018-03</t>
  </si>
  <si>
    <t>Фидер однопроводный с установкой специальных изоляторов в установленном экранирующем коробе из медной трубы диаметром до 30 мм</t>
  </si>
  <si>
    <t>ТЕРм10-04-018-04</t>
  </si>
  <si>
    <t>Фидер однопроводный с установкой специальных изоляторов в установленном экранирующем коробе из медной трубы диаметром до 40 мм</t>
  </si>
  <si>
    <t>ТЕРм10-04-018-05</t>
  </si>
  <si>
    <t>Фидер однопроводный с установкой специальных изоляторов в установленном экранирующем коробе из медной ленты шириной до 100 мм</t>
  </si>
  <si>
    <t>ТЕРм10-04-018-06</t>
  </si>
  <si>
    <t>Фидер однопроводный с установкой специальных изоляторов в установленном экранирующем коробе из медной ленты шириной до 200 мм</t>
  </si>
  <si>
    <t>ТЕРм10-04-018-07</t>
  </si>
  <si>
    <t>Фидер однопроводный с установкой специальных изоляторов на стене или потолке из медной трубы, диаметр до 10 мм</t>
  </si>
  <si>
    <t>ТЕРм10-04-018-08</t>
  </si>
  <si>
    <t>Фидер однопроводный с установкой специальных изоляторов на стене или потолке из медной трубы, диаметр до 20 мм</t>
  </si>
  <si>
    <t>ТЕРм10-04-018-09</t>
  </si>
  <si>
    <t>Фидер однопроводный с установкой специальных изоляторов на стене или потолке из медной трубы, диаметр до 30 мм</t>
  </si>
  <si>
    <t>ТЕРм10-04-018-10</t>
  </si>
  <si>
    <t>Фидер однопроводный с установкой специальных изоляторов на стене или потолке из медной трубы, диаметр до 40 мм</t>
  </si>
  <si>
    <t>ТЕРм10-04-018-11</t>
  </si>
  <si>
    <t>Короб экранирующий сечение до 200х300 мм</t>
  </si>
  <si>
    <t>ТЕРм10-04-018-12</t>
  </si>
  <si>
    <t>Короб экранирующий сечение до 400х600 мм</t>
  </si>
  <si>
    <t xml:space="preserve">                                   Раздел 5. АППАРАТУРА УБС АНТЕННОЙ КОММУТАЦИИ И АНТЕННЫХ УСТРОЙСТВ ПЕРЕДАЮЩИХ РАДИОСТАНЦИЙ</t>
  </si>
  <si>
    <t xml:space="preserve">                                   Дополнительная установка деталей на пультах и панелях</t>
  </si>
  <si>
    <t>ТЕРм10-04-030-01</t>
  </si>
  <si>
    <t>Дополнительная установка на пультах и панелях переключателя</t>
  </si>
  <si>
    <t>ТЕРм10-04-030-02</t>
  </si>
  <si>
    <t>Дополнительная установка на пультах и панелях реле</t>
  </si>
  <si>
    <t>ТЕРм10-04-030-03</t>
  </si>
  <si>
    <t>Дополнительная установка на пультах и панелях кнопки</t>
  </si>
  <si>
    <t>ТЕРм10-04-030-04</t>
  </si>
  <si>
    <t>Дополнительная установка на пультах и панелях колодки клеммной на 20 клемм</t>
  </si>
  <si>
    <t xml:space="preserve">                                   Аппаратура, отдельно устанавливаемая</t>
  </si>
  <si>
    <t>ТЕРм10-04-031-01</t>
  </si>
  <si>
    <t>Отдельно устанавливаемый ящик кабельный на количество клемм 40</t>
  </si>
  <si>
    <t>ТЕРм10-04-031-02</t>
  </si>
  <si>
    <t>Отдельно устанавливаемый ящик кабельный на количество клемм 80</t>
  </si>
  <si>
    <t>ТЕРм10-04-031-03</t>
  </si>
  <si>
    <t>Отдельно устанавливаемый ящик кабельный на количество клемм 120</t>
  </si>
  <si>
    <t xml:space="preserve">                                   Раздел 6. ЗАЗЕМЛЕНИЕ ВЫСОКОЧАСТОТНОЕ</t>
  </si>
  <si>
    <t xml:space="preserve">                                   Заземление высокочастотное внутреннее</t>
  </si>
  <si>
    <t>ТЕРм10-04-040-01</t>
  </si>
  <si>
    <t>Заземление высокочастотное внутреннее из медной ленты в каналах, сечение ленты 2х30 мм</t>
  </si>
  <si>
    <t>ТЕРм10-04-040-02</t>
  </si>
  <si>
    <t>Заземление высокочастотное внутреннее из медной ленты в каналах, сечение ленты 1х100 мм</t>
  </si>
  <si>
    <t>ТЕРм10-04-040-03</t>
  </si>
  <si>
    <t>Заземление высокочастотное внутреннее из медной ленты в каналах или по полу, сечение ленты 0,5х300 мм</t>
  </si>
  <si>
    <t>ТЕРм10-04-040-04</t>
  </si>
  <si>
    <t>Заземление высокочастотное внутреннее из медной ленты в каналах или по полу, сечение ленты 0,5х600 мм</t>
  </si>
  <si>
    <t>ТЕРм10-04-040-05</t>
  </si>
  <si>
    <t>Заземление высокочастотное внутреннее из медной ленты по стенам, сечение ленты 2х30 мм</t>
  </si>
  <si>
    <t>ТЕРм10-04-040-06</t>
  </si>
  <si>
    <t>Заземление высокочастотное внутреннее из медной ленты по стенам, сечение ленты 1х100 мм</t>
  </si>
  <si>
    <t>ТЕРм10-04-040-07</t>
  </si>
  <si>
    <t>Заземление высокочастотное внутреннее из медной ленты по стенам, сечение ленты 0,5х300 мм</t>
  </si>
  <si>
    <t>ТЕРм10-04-040-08</t>
  </si>
  <si>
    <t>Заземление высокочастотное внутреннее из медной ленты по стенам, сечение ленты 0,5х600, 1х300 мм</t>
  </si>
  <si>
    <t xml:space="preserve">                                   Раздел 7. ОХЛАЖДЕНИЕ ПЕРЕДАТЧИКОВ</t>
  </si>
  <si>
    <t xml:space="preserve">                                   Стенды водоохлаждения</t>
  </si>
  <si>
    <t>ТЕРм10-04-050-01</t>
  </si>
  <si>
    <t>Стенд групповой водоохлаждения подмодулятора или предмощных каскадов передатчиков мощностью до 2000 кВт</t>
  </si>
  <si>
    <t>ТЕРм10-04-050-02</t>
  </si>
  <si>
    <t>Стенд групповой водоохлаждения мощного каскада или модулятора мощностью до 2000 кВт</t>
  </si>
  <si>
    <t>ТЕРм10-04-050-03</t>
  </si>
  <si>
    <t>Стенд водоохлаждения фильтров</t>
  </si>
  <si>
    <t xml:space="preserve">                                   Электродистилляторы</t>
  </si>
  <si>
    <t>ТЕРм10-04-051-01</t>
  </si>
  <si>
    <t>Электродистиллятор на готовом фундаменте производительностью до 90 л/ч</t>
  </si>
  <si>
    <t xml:space="preserve">                                   Трубопроводы системы охлаждения радиостанции (внутри здания)</t>
  </si>
  <si>
    <t>ТЕРм10-04-052-01</t>
  </si>
  <si>
    <t>Трубопровод системы охлаждения радиостанции (внутри здания) из стальных труб на муфтах, диаметр на муфтах, диаметр 15, 20 мм</t>
  </si>
  <si>
    <t>ТЕРм10-04-052-02</t>
  </si>
  <si>
    <t>Трубопровод системы охлаждения радиостанции (внутри здания) из стальных труб на муфтах, диаметр на муфтах, диаметр 25 мм</t>
  </si>
  <si>
    <t>ТЕРм10-04-052-03</t>
  </si>
  <si>
    <t>Трубопровод системы охлаждения радиостанции (внутри здания) из стальных труб на муфтах, диаметр на муфтах, диаметр 40 мм</t>
  </si>
  <si>
    <t>ТЕРм10-04-052-04</t>
  </si>
  <si>
    <t>Трубопровод системы охлаждения радиостанции (внутри здания) из стальных труб на муфтах, диаметр на муфтах, диаметр 50 мм</t>
  </si>
  <si>
    <t>ТЕРм10-04-052-05</t>
  </si>
  <si>
    <t>Трубопровод системы охлаждения радиостанции (внутри здания) из стальных труб на муфтах, диаметр на муфтах, диаметр 70 мм</t>
  </si>
  <si>
    <t>ТЕРм10-04-052-06</t>
  </si>
  <si>
    <t>Трубопровод системы охлаждения радиостанции (внутри здания) из стальных труб на муфтах, диаметр на муфтах, диаметр 100 мм</t>
  </si>
  <si>
    <t>ТЕРм10-04-052-07</t>
  </si>
  <si>
    <t>Трубопровод системы охлаждения радиостанции (внутри здания) из стальных труб на муфтах, диаметр на фланцах и сварке, диаметр 50, 70 мм</t>
  </si>
  <si>
    <t>ТЕРм10-04-052-08</t>
  </si>
  <si>
    <t>Трубопровод системы охлаждения радиостанции (внутри здания) из стальных труб на муфтах, диаметр на фланцах и сварке, диаметр 100 мм</t>
  </si>
  <si>
    <t>ТЕРм10-04-052-09</t>
  </si>
  <si>
    <t>Трубопровод системы охлаждения радиостанции (внутри здания) из стальных труб на муфтах, диаметр на фланцах и сварке, диаметр 150 мм</t>
  </si>
  <si>
    <t>ТЕРм10-04-052-10</t>
  </si>
  <si>
    <t>Трубопровод системы охлаждения радиостанции (внутри здания) из стальных труб на муфтах, диаметр на фланцах и сварке, диаметр 200, 250 мм</t>
  </si>
  <si>
    <t>ТЕРм10-04-052-11</t>
  </si>
  <si>
    <t>Трубопровод системы охлаждения радиостанции (внутри здания) из стальных труб на муфтах, диаметр на фланцах и сварке, диаметр 300 мм</t>
  </si>
  <si>
    <t xml:space="preserve">                                   Раздел 8. АППАРАТНО-СТУДИЙНОЕ ОБОРУДОВАНИЕ ТЕЛЕВИЗИОННЫХ ЦЕНТРОВ И РАДИОДОМОВ</t>
  </si>
  <si>
    <t xml:space="preserve">                                   Аппаратура стоечного и шкафного типа</t>
  </si>
  <si>
    <t>ТЕРм10-04-062-01</t>
  </si>
  <si>
    <t>Шкаф радиосвязи и радиомикрофонов</t>
  </si>
  <si>
    <t>ТЕРм10-04-062-02</t>
  </si>
  <si>
    <t>Шкаф системы озвучивания студии</t>
  </si>
  <si>
    <t>ТЕРм10-04-062-03</t>
  </si>
  <si>
    <t>Шкаф распределения синхроимпульсов</t>
  </si>
  <si>
    <t>ТЕРм10-04-062-04</t>
  </si>
  <si>
    <t>Шкаф контроля</t>
  </si>
  <si>
    <t>ТЕРм10-04-062-05</t>
  </si>
  <si>
    <t>Шкаф включения питания</t>
  </si>
  <si>
    <t>ТЕРм10-04-062-06</t>
  </si>
  <si>
    <t>Стеллаж для видеоконтрольных устройств, количество ВКУ до 6</t>
  </si>
  <si>
    <t>ТЕРм10-04-062-07</t>
  </si>
  <si>
    <t>Стеллаж для видеоконтрольных устройств, количество ВКУ до 8</t>
  </si>
  <si>
    <t xml:space="preserve">                                   Столы для аппаратуры</t>
  </si>
  <si>
    <t>ТЕРм10-04-063-01</t>
  </si>
  <si>
    <t>Стол для аппаратуры</t>
  </si>
  <si>
    <t xml:space="preserve">                                   Аппаратура настольного типа</t>
  </si>
  <si>
    <t>ТЕРм10-04-064-01</t>
  </si>
  <si>
    <t>Громкоговоритель настольный</t>
  </si>
  <si>
    <t>ТЕРм10-04-064-02</t>
  </si>
  <si>
    <t>Модулятор осциллографический или магнитофон переносного типа</t>
  </si>
  <si>
    <t xml:space="preserve">                                   Аппаратура консольного типа</t>
  </si>
  <si>
    <t>ТЕРм10-04-065-01</t>
  </si>
  <si>
    <t>Магнитофон однотумбовый стационарный</t>
  </si>
  <si>
    <t>ТЕРм10-04-065-02</t>
  </si>
  <si>
    <t>Магнитофон стерео</t>
  </si>
  <si>
    <t>ТЕРм10-04-065-03</t>
  </si>
  <si>
    <t>Громкоговоритель студийного контроля</t>
  </si>
  <si>
    <t xml:space="preserve">                                   Аппаратура настенного типа</t>
  </si>
  <si>
    <t>ТЕРм10-04-066-01</t>
  </si>
  <si>
    <t>Блок коммутации телевизионных камерных кабелей на количество разъемов 3</t>
  </si>
  <si>
    <t>ТЕРм10-04-066-02</t>
  </si>
  <si>
    <t>Блок коммутации телевизионных камерных кабелей на количество разъемов 6</t>
  </si>
  <si>
    <t>ТЕРм10-04-066-03</t>
  </si>
  <si>
    <t>Щит распределительный</t>
  </si>
  <si>
    <t>ТЕРм10-04-066-04</t>
  </si>
  <si>
    <t>Коробка кабельная соединительная или разветвительная</t>
  </si>
  <si>
    <t>ТЕРм10-04-066-05</t>
  </si>
  <si>
    <t>Звонок</t>
  </si>
  <si>
    <t>ТЕРм10-04-066-06</t>
  </si>
  <si>
    <t>Табло сигнальное студийное или коридорное</t>
  </si>
  <si>
    <t>ТЕРм10-04-066-07</t>
  </si>
  <si>
    <t>Розетка микрофонная</t>
  </si>
  <si>
    <t xml:space="preserve">                                   Аппаратура цветного телевидения</t>
  </si>
  <si>
    <t>ТЕРм10-04-067-01</t>
  </si>
  <si>
    <t>Шкаф камерных каналов, количество каналов 1</t>
  </si>
  <si>
    <t>ТЕРм10-04-067-02</t>
  </si>
  <si>
    <t>Шкаф камерных каналов, количество каналов 2</t>
  </si>
  <si>
    <t>ТЕРм10-04-067-03</t>
  </si>
  <si>
    <t>Шкаф измерений</t>
  </si>
  <si>
    <t>ТЕРм10-04-067-04</t>
  </si>
  <si>
    <t>Шкаф коммутаторов</t>
  </si>
  <si>
    <t>ТЕРм10-04-067-05</t>
  </si>
  <si>
    <t>Шкаф микшера</t>
  </si>
  <si>
    <t>ТЕРм10-04-067-06</t>
  </si>
  <si>
    <t>ТЕРм10-04-067-07</t>
  </si>
  <si>
    <t>Шкаф синхрокомплекта и УЭИТ</t>
  </si>
  <si>
    <t>ТЕРм10-04-067-08</t>
  </si>
  <si>
    <t>Шкаф коммутации</t>
  </si>
  <si>
    <t>ТЕРм10-04-067-09</t>
  </si>
  <si>
    <t>Шкаф питания конденсаторных микрофонов</t>
  </si>
  <si>
    <t>ТЕРм10-04-067-10</t>
  </si>
  <si>
    <t>Шкаф связи и контроля</t>
  </si>
  <si>
    <t>ТЕРм10-04-067-11</t>
  </si>
  <si>
    <t>ТЕРм10-04-067-12</t>
  </si>
  <si>
    <t>Шкаф радиомикрофонов и радиосвязи</t>
  </si>
  <si>
    <t>ТЕРм10-04-067-13</t>
  </si>
  <si>
    <t>Стеллаж для видеоконтрольных устройств, количество ВКУ до 9</t>
  </si>
  <si>
    <t>ТЕРм10-04-067-14</t>
  </si>
  <si>
    <t>Стеллаж для видеоконтрольных устройств, количество ВКУ до 18</t>
  </si>
  <si>
    <t>ТЕРм10-04-067-15</t>
  </si>
  <si>
    <t>Пульт видеоинженера</t>
  </si>
  <si>
    <t>ТЕРм10-04-067-16</t>
  </si>
  <si>
    <t>Пульт видеорежиссера</t>
  </si>
  <si>
    <t>ТЕРм10-04-067-17</t>
  </si>
  <si>
    <t>Пульт звукорежиссера, количество входов до 20</t>
  </si>
  <si>
    <t>ТЕРм10-04-067-18</t>
  </si>
  <si>
    <t>Пульт звукорежиссера, количество входов до 32</t>
  </si>
  <si>
    <t>ТЕРм10-04-067-19</t>
  </si>
  <si>
    <t>Пульт УТБ (устройство телевизионное буквопечати)</t>
  </si>
  <si>
    <t>ТЕРм10-04-067-20</t>
  </si>
  <si>
    <t>Пульт видеоэффектов</t>
  </si>
  <si>
    <t>ТЕРм10-04-067-21</t>
  </si>
  <si>
    <t>Видеомагнитофон</t>
  </si>
  <si>
    <t>ТЕРм10-04-067-22</t>
  </si>
  <si>
    <t>Камера телевизионная передающая</t>
  </si>
  <si>
    <t>ТЕРм10-04-067-23</t>
  </si>
  <si>
    <t>Устройство видеоконтрольное</t>
  </si>
  <si>
    <t xml:space="preserve">                                   Раздел 9. РАДИОРЕЛЕЙНЫЕ ЛИНИИ СВЯЗИ</t>
  </si>
  <si>
    <t xml:space="preserve">                                   Станционное оборудование</t>
  </si>
  <si>
    <t>ТЕРм10-04-077-01</t>
  </si>
  <si>
    <t>Стойка приемная</t>
  </si>
  <si>
    <t>ТЕРм10-04-077-02</t>
  </si>
  <si>
    <t>Стойка приемная на 4 приемника</t>
  </si>
  <si>
    <t>ТЕРм10-04-077-03</t>
  </si>
  <si>
    <t>Стойка передающая</t>
  </si>
  <si>
    <t>ТЕРм10-04-077-04</t>
  </si>
  <si>
    <t>Стойка передающая на 4 передатчика</t>
  </si>
  <si>
    <t>ТЕРм10-04-077-05</t>
  </si>
  <si>
    <t>Стойка приемо-передающая</t>
  </si>
  <si>
    <t>ТЕРм10-04-077-06</t>
  </si>
  <si>
    <t>Стойка приемо-передающая на 4 приемопередатчика</t>
  </si>
  <si>
    <t>ТЕРм10-04-077-07</t>
  </si>
  <si>
    <t>Стойка оконечная (СО) «КУРС»</t>
  </si>
  <si>
    <t>ТЕРм10-04-077-08</t>
  </si>
  <si>
    <t>Стойка резервирования стволов (РС-4) «КУРС»</t>
  </si>
  <si>
    <t>ТЕРм10-04-077-09</t>
  </si>
  <si>
    <t>Стойка обслуживания ПРС (ОПРС) «КУРС»</t>
  </si>
  <si>
    <t>ТЕРм10-04-077-10</t>
  </si>
  <si>
    <t>Стойка обслуживания УРС (ОУРС) «КУРС»</t>
  </si>
  <si>
    <t>ТЕРм10-04-077-11</t>
  </si>
  <si>
    <t>Стойка резервирования стволов (РС-8) «КУРС»</t>
  </si>
  <si>
    <t>ТЕРм10-04-077-12</t>
  </si>
  <si>
    <t>Стойка оконечная и резервирования (ОР) «КУРС»</t>
  </si>
  <si>
    <t>ТЕРм10-04-077-13</t>
  </si>
  <si>
    <t>Стойка ввода и выделения групп телефонных каналов на ПРС «КУРС»</t>
  </si>
  <si>
    <t>ТЕРм10-04-077-14</t>
  </si>
  <si>
    <t>Стойка распределения постоянного тока (РПТ УРС, РПТ ПРС) «КУРС»</t>
  </si>
  <si>
    <t>ТЕРм10-04-077-15</t>
  </si>
  <si>
    <t>Пульт служебной связи и контроля</t>
  </si>
  <si>
    <t>ТЕРм10-04-077-16</t>
  </si>
  <si>
    <t>Статив унифицированного оборудования «Электроника-связь»</t>
  </si>
  <si>
    <t>ТЕРм10-04-077-17</t>
  </si>
  <si>
    <t>Комплект блоков резервирования стволов «Электроника-связь»</t>
  </si>
  <si>
    <t>ТЕРм10-04-077-18</t>
  </si>
  <si>
    <t>Выносное устройство служебной связи «Электроника-связь»</t>
  </si>
  <si>
    <t>ТЕРм10-04-077-19</t>
  </si>
  <si>
    <t>Блок настольного исполнения</t>
  </si>
  <si>
    <t>ТЕРм10-04-077-20</t>
  </si>
  <si>
    <t>Блок распределения ТВ программ «Электроника-связь»</t>
  </si>
  <si>
    <t>ТЕРм10-04-077-21</t>
  </si>
  <si>
    <t>Станция на аппаратуре «Курс-8-02» оконечная</t>
  </si>
  <si>
    <t>ТЕРм10-04-077-22</t>
  </si>
  <si>
    <t>Станция на аппаратуре «Курс-8-02» промежуточная</t>
  </si>
  <si>
    <t>ТЕРм10-04-077-23</t>
  </si>
  <si>
    <t>Станция на аппаратуре «Трал-400-24» оконечная</t>
  </si>
  <si>
    <t>ТЕРм10-04-077-24</t>
  </si>
  <si>
    <t>Станция на аппаратуре «Трал-400-24» промежуточная</t>
  </si>
  <si>
    <t>ТЕРм10-04-077-25</t>
  </si>
  <si>
    <t>Станция на аппаратуре «Малютка» оконечная</t>
  </si>
  <si>
    <t>ТЕРм10-04-077-26</t>
  </si>
  <si>
    <t>Станция на аппаратуре «Малютка» промежуточная</t>
  </si>
  <si>
    <t>ТЕРм10-04-077-27</t>
  </si>
  <si>
    <t>Станция на аппаратуре «Радан-2»</t>
  </si>
  <si>
    <t>ТЕРм10-04-077-28</t>
  </si>
  <si>
    <t>Шкаф распределения постоянного тока (РПТ ОРС) «КУРС»</t>
  </si>
  <si>
    <t xml:space="preserve">                                   Раздел 10. РАДИОСВЯЗЬ С ПОДВИЖНЫМИ ОБЪЕКТАМИ</t>
  </si>
  <si>
    <t>ТЕРм10-04-087-01</t>
  </si>
  <si>
    <t>Блок резонаторных фильтров приема</t>
  </si>
  <si>
    <t>ТЕРм10-04-087-02</t>
  </si>
  <si>
    <t>Устройство антенное развязывающее</t>
  </si>
  <si>
    <t>ТЕРм10-04-087-03</t>
  </si>
  <si>
    <t>Комплект приемно-передающего оборудования на 8 радиоканалов</t>
  </si>
  <si>
    <t>ТЕРм10-04-087-04</t>
  </si>
  <si>
    <t>Комплект приемно-передающего оборудования диспетчерской связи на количество радиоканалов до трех</t>
  </si>
  <si>
    <t>ТЕРм10-04-087-05</t>
  </si>
  <si>
    <t>Комплект коммутационного оборудования центральной станции для городской связи</t>
  </si>
  <si>
    <t>ТЕРм10-04-087-06</t>
  </si>
  <si>
    <t>Комплект коммутационного оборудования диспетчерского пункта для городской связи</t>
  </si>
  <si>
    <t>ТЕРм10-04-087-07</t>
  </si>
  <si>
    <t>Комплект телефонно-коммутационного оборудования пункта центрального диспетчера для сельской связи</t>
  </si>
  <si>
    <t>ТЕРм10-04-087-08</t>
  </si>
  <si>
    <t>Комплект телефонно-коммутационного оборудования пункта диспетчера хозяйства для сельской связи</t>
  </si>
  <si>
    <t>ТЕРм10-04-087-09</t>
  </si>
  <si>
    <t>Оборудование генераторное вызывных и сигнальных частот для городской связи</t>
  </si>
  <si>
    <t>ТЕРм10-04-087-10</t>
  </si>
  <si>
    <t>Оборудование генераторное вызывных и сигнальных частот для сельской связи</t>
  </si>
  <si>
    <t>ТЕРм10-04-087-11</t>
  </si>
  <si>
    <t>Стойка переключений промежуточная на один ствол (20 гребенок)</t>
  </si>
  <si>
    <t>ТЕРм10-04-087-12</t>
  </si>
  <si>
    <t>Стойка переключений промежуточная на каждый последующий ствол</t>
  </si>
  <si>
    <t>ТЕРм10-04-087-13</t>
  </si>
  <si>
    <t>Комплект аппаратуры опознавания номера радиоабонента</t>
  </si>
  <si>
    <t>ТЕРм10-04-087-14</t>
  </si>
  <si>
    <t>Устройство цифровой регистрации</t>
  </si>
  <si>
    <t xml:space="preserve">                                   Абонентское оборудование</t>
  </si>
  <si>
    <t>ТЕРм10-04-088-01</t>
  </si>
  <si>
    <t>Радиостанция УКВ связи, абонентская мощность до 15 Вт стационарная</t>
  </si>
  <si>
    <t>ТЕРм10-04-088-02</t>
  </si>
  <si>
    <t>Радиостанция УКВ связи, абонентская мощность до 15 Вт подвижная на автомобиле «Волга»</t>
  </si>
  <si>
    <t>ТЕРм10-04-088-03</t>
  </si>
  <si>
    <t>Радиостанция УКВ связи, абонентская мощность до 15 Вт подвижная на автомобиле «Чайка», ГАЗ-13, «Латвия», ГАЗ-66</t>
  </si>
  <si>
    <t>ТЕРм10-04-088-04</t>
  </si>
  <si>
    <t>Радиостанция УКВ связи, абонентская мощность до 15 Вт подвижная на автомобиле « Чайка», ГАЗ-14</t>
  </si>
  <si>
    <t>ТЕРм10-04-088-05</t>
  </si>
  <si>
    <t>Радиостанция УКВ связи, абонентская мощность до 15 Вт подвижная на автомобиле «Жигули», «Москвич»</t>
  </si>
  <si>
    <t xml:space="preserve">                                   Разделка высокочастотных кабелей в разъемы</t>
  </si>
  <si>
    <t>ТЕРм10-04-089-01</t>
  </si>
  <si>
    <t>Разделка ВЧ коаксиального кабеля со сплошной изоляцией в разъемы типов БТС, РТС, СР, БС, РС, РД</t>
  </si>
  <si>
    <t xml:space="preserve">                                   Раздел 11. РАДИОТРАНСЛЯЦИОННЫЕ УЗЛЫ</t>
  </si>
  <si>
    <t xml:space="preserve">                                   Оборудование радиотрансляционных узлов</t>
  </si>
  <si>
    <t>ТЕРм10-04-100-01</t>
  </si>
  <si>
    <t>Оборудование радиотрансляционных узлов шкаф или статив (стойка), масса до 100 кг</t>
  </si>
  <si>
    <t>ТЕРм10-04-100-02</t>
  </si>
  <si>
    <t>Оборудование радиотрансляционных узлов шкаф или статив (стойка), масса до 200 кг</t>
  </si>
  <si>
    <t>ТЕРм10-04-100-03</t>
  </si>
  <si>
    <t>Оборудование радиотрансляционных узлов шкаф или статив (стойка), масса до 300 кг</t>
  </si>
  <si>
    <t>ТЕРм10-04-100-04</t>
  </si>
  <si>
    <t>Оборудование радиотрансляционных узлов разделка и включение кабелей (проводов) в аппаратуру проводного вещания при сечении кабеля до 6 мм2</t>
  </si>
  <si>
    <t>ТЕРм10-04-100-05</t>
  </si>
  <si>
    <t>Оборудование радиотрансляционных узлов разделка и включение кабелей (проводов) в аппаратуру проводного вещания при сечении кабеля свыше 6 мм2</t>
  </si>
  <si>
    <t>ТЕРм10-04-100-06</t>
  </si>
  <si>
    <t>Оборудование радиотрансляционных узлов аппаратура настольная, масса до 20 кг</t>
  </si>
  <si>
    <t>ТЕРм10-04-100-07</t>
  </si>
  <si>
    <t>Оборудование радиотрансляционных узлов аппаратура настольная, масса до 50 кг</t>
  </si>
  <si>
    <t>ТЕРм10-04-100-08</t>
  </si>
  <si>
    <t>Оборудование радиотрансляционных узлов аппаратура настольная, масса до 100 кг</t>
  </si>
  <si>
    <t>ТЕРм10-04-100-09</t>
  </si>
  <si>
    <t>Оборудование радиотрансляционных узлов аппаратура настенная</t>
  </si>
  <si>
    <t xml:space="preserve">                                   Абонентское и другое оборудование</t>
  </si>
  <si>
    <t>ТЕРм10-04-101-01</t>
  </si>
  <si>
    <t>Трансформатор фидерный, мощность 200 Вт</t>
  </si>
  <si>
    <t>ТЕРм10-04-101-02</t>
  </si>
  <si>
    <t>Трансформатор фидерный, мощность 500 Вт</t>
  </si>
  <si>
    <t>ТЕРм10-04-101-03</t>
  </si>
  <si>
    <t>Трансформатор абонентский мощностью до 25 Вт, устанавливаемый на деревянной стене</t>
  </si>
  <si>
    <t>ТЕРм10-04-101-04</t>
  </si>
  <si>
    <t>Трансформатор абонентский мощностью до 25 Вт, устанавливаемый на кирпичной или бетонной стене</t>
  </si>
  <si>
    <t>ТЕРм10-04-101-05</t>
  </si>
  <si>
    <t>Трансформатор абонентский мощностью до 25 Вт, устанавливаемый на столбе или трубостойке</t>
  </si>
  <si>
    <t>ТЕРм10-04-101-06</t>
  </si>
  <si>
    <t>Фильтр заградительный (ФНГ) для трехпрограммного вещания</t>
  </si>
  <si>
    <t>ТЕРм10-04-101-07</t>
  </si>
  <si>
    <t>Громкоговоритель или звуковая колонка в помещении</t>
  </si>
  <si>
    <t>ТЕРм10-04-101-08</t>
  </si>
  <si>
    <t>Громкоговоритель или звуковая колонка на столбе или на крыше, мощность до 10 Вт</t>
  </si>
  <si>
    <t>ТЕРм10-04-101-09</t>
  </si>
  <si>
    <t>Громкоговоритель или звуковая колонка на столбе или на крыше, мощность свыше 10 Вт</t>
  </si>
  <si>
    <t>ТЕРм10-04-101-10</t>
  </si>
  <si>
    <t>Ключ или кнопка на панели</t>
  </si>
  <si>
    <t>ТЕРм10-04-101-11</t>
  </si>
  <si>
    <t>Колодка клеммная на металлической конструкции, количество перьев 20</t>
  </si>
  <si>
    <t>ТЕРм10-04-101-12</t>
  </si>
  <si>
    <t>Колодка клеммная на металлической конструкции, количество перьев 40</t>
  </si>
  <si>
    <t>ТЕРм10-04-101-13</t>
  </si>
  <si>
    <t>Колодка клеммная на стене с установкой защитного кожуха, количество перьев 20</t>
  </si>
  <si>
    <t>ТЕРм10-04-101-14</t>
  </si>
  <si>
    <t>Колодка клеммная на стене с установкой защитного кожуха, количество перьев 40</t>
  </si>
  <si>
    <t>ТЕРм10-04-101-15</t>
  </si>
  <si>
    <t>Транспарант световой (табло)</t>
  </si>
  <si>
    <t xml:space="preserve">                                   Раздел 12. ОБОРУДОВАНИЕ ЗВУКОТЕХНИЧЕСКИХ УСТАНОВОК ТЕАТРАЛЬНО-ЗРЕЛИЩНЫХ ПРЕДПРИЯТИЙ</t>
  </si>
  <si>
    <t xml:space="preserve">                                   Электроакустические устройства</t>
  </si>
  <si>
    <t>ТЕРм10-04-111-01</t>
  </si>
  <si>
    <t>Пульт микшерский на полу, число сквозных каналов до 4</t>
  </si>
  <si>
    <t>ТЕРм10-04-111-02</t>
  </si>
  <si>
    <t>Пульт микшерский на полу, число сквозных каналов до 8</t>
  </si>
  <si>
    <t>ТЕРм10-04-111-03</t>
  </si>
  <si>
    <t>Шкаф оконечных усилителей на полу, количество усилителей до 2</t>
  </si>
  <si>
    <t>ТЕРм10-04-111-04</t>
  </si>
  <si>
    <t>Шкаф оконечных усилителей на полу, количество усилителей до 6</t>
  </si>
  <si>
    <t>ТЕРм10-04-111-05</t>
  </si>
  <si>
    <t>Шкаф оконечных усилителей на полу, количество усилителей до 9</t>
  </si>
  <si>
    <t>ТЕРм10-04-111-06</t>
  </si>
  <si>
    <t>Шкаф коммутации выходных и промежуточных линий с дистанционным управлением, количество линий до 40 на стене</t>
  </si>
  <si>
    <t>ТЕРм10-04-111-07</t>
  </si>
  <si>
    <t>Шкаф коммутации выходных и промежуточных линий с дистанционным управлением, количество линий до 60 на полу</t>
  </si>
  <si>
    <t>ТЕРм10-04-111-08</t>
  </si>
  <si>
    <t>Шкаф коммутации выходных и промежуточных линий без дистанционного управления на стене, количество линий до 20</t>
  </si>
  <si>
    <t>ТЕРм10-04-111-09</t>
  </si>
  <si>
    <t>Шкаф коммутации выходных и промежуточных линий без дистанционного управления на стене, количество линий до 40</t>
  </si>
  <si>
    <t>ТЕРм10-04-111-10</t>
  </si>
  <si>
    <t>Шкаф коммутации выходных и промежуточных линий без дистанционного управления на стене, количество линий до 60</t>
  </si>
  <si>
    <t>ТЕРм10-04-111-11</t>
  </si>
  <si>
    <t>Шкаф коммутации микрофонных линий на стене, количество линий до 10</t>
  </si>
  <si>
    <t>ТЕРм10-04-111-12</t>
  </si>
  <si>
    <t>Шкаф коммутации микрофонных линий на стене, количество линий до 30</t>
  </si>
  <si>
    <t>ТЕРм10-04-111-13</t>
  </si>
  <si>
    <t>Шкаф блоков питания конденсаторных микрофонов на стене, количество блоков до 10</t>
  </si>
  <si>
    <t>ТЕРм10-04-111-14</t>
  </si>
  <si>
    <t>Комплекс звукотехнической театральной стационарно-передвижной аппаратуры в залах вместимостью до 600 мест, тип аппаратуры КЗТСП-1 для обслуживания выездных спектаклей</t>
  </si>
  <si>
    <t>ТЕРм10-04-111-15</t>
  </si>
  <si>
    <t>Комплекс звукотехнической театральной стационарно-передвижной аппаратуры в залах вместимостью до 600 мест, тип аппаратуры КЗТСП-2 для театров различных жанров, клубов, дворцов культуры</t>
  </si>
  <si>
    <t>ТЕРм10-04-111-16</t>
  </si>
  <si>
    <t>Комплекс звукотехнической театральной стационарно-передвижной аппаратуры КЗТС-1 для звукового оформления спектаклей, театральных представлений и прочих мероприятий в театрах вместимостью до 1200 мест, дворцах культуры и других залах вместимостью до 2000 м</t>
  </si>
  <si>
    <t xml:space="preserve">                                   Связь и сигнализация</t>
  </si>
  <si>
    <t>ТЕРм10-04-112-01</t>
  </si>
  <si>
    <t>Шкаф или панель коммутации связи и сигнализации на стене или в нише, количество пар до 20</t>
  </si>
  <si>
    <t>ТЕРм10-04-112-02</t>
  </si>
  <si>
    <t>Шкаф или панель коммутации связи и сигнализации на стене или в нише, количество пар 100</t>
  </si>
  <si>
    <t>ТЕРм10-04-112-03</t>
  </si>
  <si>
    <t>Шкаф или панель коммутации связи и сигнализации на стене или в нише, количество пар 150</t>
  </si>
  <si>
    <t>ТЕРм10-04-112-04</t>
  </si>
  <si>
    <t>Шкаф или панель коммутации связи и сигнализации на стене или в нише, количество пар 300</t>
  </si>
  <si>
    <t>ТЕРм10-04-112-05</t>
  </si>
  <si>
    <t>Шкаф или панель коммутации связи и сигнализации на стене или в нише, количество пар 400</t>
  </si>
  <si>
    <t>ТЕРм10-04-112-06</t>
  </si>
  <si>
    <t>Шкаф или панель коммутации связи и сигнализации на стене или в нише, количество пар свыше 500</t>
  </si>
  <si>
    <t>ТЕРм10-04-112-07</t>
  </si>
  <si>
    <t>Коробка подключения аппаратуры в подпольном люке, количество линий до 5</t>
  </si>
  <si>
    <t>ТЕРм10-04-112-08</t>
  </si>
  <si>
    <t>Коробка подключения аппаратуры в подпольном люке, количество линий до 10</t>
  </si>
  <si>
    <t>ТЕРм10-04-112-09</t>
  </si>
  <si>
    <t>Коробка подключения аппаратуры в подпольном люке, количество линий до 20</t>
  </si>
  <si>
    <t>ТЕРм10-04-112-10</t>
  </si>
  <si>
    <t>Коробка подключения аппаратуры в подпольном люке, количество линий до 40</t>
  </si>
  <si>
    <t>ТЕРм10-04-112-11</t>
  </si>
  <si>
    <t>Коробка подключения гибкой петли на рабочей галерее, количество линий 20</t>
  </si>
  <si>
    <t>ТЕРм10-04-112-12</t>
  </si>
  <si>
    <t>Коробка подключения гибкой петли на рабочей галерее, количество линий 40</t>
  </si>
  <si>
    <t>ТЕРм10-04-112-13</t>
  </si>
  <si>
    <t>Коробка подключения гибкой петли на рабочей галерее, количество линий 60</t>
  </si>
  <si>
    <t>ТЕРм10-04-112-14</t>
  </si>
  <si>
    <t>Коробка подключения гибкой петли на рабочей галерее, количество линий свыше 60</t>
  </si>
  <si>
    <t>ТЕРм10-04-112-15</t>
  </si>
  <si>
    <t>Пульт связи помощника режиссера, до 10 сигналов режиссерской сигнализации, на 1 направление трансляции и оповещения</t>
  </si>
  <si>
    <t>ТЕРм10-04-112-16</t>
  </si>
  <si>
    <t>Пульт связи помощника режиссера, до 30 сигналов режиссерской сигнализации, на 4 направления трансляции и оповещения</t>
  </si>
  <si>
    <t xml:space="preserve">                                   Телевидение</t>
  </si>
  <si>
    <t>ТЕРм10-04-113-01</t>
  </si>
  <si>
    <t>Шкаф питания ПТС на полу</t>
  </si>
  <si>
    <t>ТЕРм10-04-113-02</t>
  </si>
  <si>
    <t>Шкаф подключения ПТС на полу</t>
  </si>
  <si>
    <t xml:space="preserve">                           Раздел 5. ОТДЕЛ 05. АНТЕННЫ, ВОЛНОВОДЫ, ФИДЕРЫ И СИГНАЛЬНОЕ ОСВЕЩЕНИЕ МАЧТ И БАШЕН</t>
  </si>
  <si>
    <t xml:space="preserve">                                   Раздел 1. АНТЕННЫ ПРИЕМНЫЕ КОЛЛЕКТИВНОГО ПОЛЬЗОВАНИЯ</t>
  </si>
  <si>
    <t xml:space="preserve">                                   Настройка крупных систем коллективного приёма телевидения (КСКПТ)</t>
  </si>
  <si>
    <t>ТЕРм10-05-001-01</t>
  </si>
  <si>
    <t>Определение в пределах проектной зоны места установки постоянной антенны, обеспечивающего качественный прием телевидения на 4-х каналах с монтажом и демонтажем измерительной антенны с измерением величины уровня, определением качества телевизионного сигнала на входе головной усилительной станции для канала одного</t>
  </si>
  <si>
    <t>ТЕРм10-05-001-02</t>
  </si>
  <si>
    <t>Определение в пределах проектной зоны места установки постоянной антенны, обеспечивающего качественный прием телевидения на 4-х каналах с монтажом и демонтажем измерительной антенны с измерением величины уровня, определением качества телевизионного сигнала на входе головной усилительной станции для канала каждого последующего</t>
  </si>
  <si>
    <t>ТЕРм10-05-001-03</t>
  </si>
  <si>
    <t>Проверка монтажа системы перед настройкой</t>
  </si>
  <si>
    <t>ТЕРм10-05-001-04</t>
  </si>
  <si>
    <t>Замена существующей антенны с демонтажем ранее установленной антенны и разъема кабеля снижения, подъем и установка мачты и новой антенны, прокладка и разделка кабеля снижения от антенны до головной усилительной станции, полный цикл измерений по каждому каналу качества изображения на антенну, для 1-5 каналов</t>
  </si>
  <si>
    <t>ТЕРм10-05-001-05</t>
  </si>
  <si>
    <t>Замена существующей антенны с демонтажем ранее установленной антенны и разъема кабеля снижения, подъем и установка мачты и новой антенны, прокладка и разделка кабеля снижения от антенны до головной усилительной станции, полный цикл измерений по каждому каналу качества изображения на антенну, для 6-12 каналов</t>
  </si>
  <si>
    <t>ТЕРм10-05-001-06</t>
  </si>
  <si>
    <t>Замена существующей антенны с демонтажем ранее установленной антенны и разъема кабеля снижения, подъем и установка мачты и новой антенны, прокладка и разделка кабеля снижения от антенны до головной усилительной станции, полный цикл измерений по каждому каналу качества изображения на антенну, для 21-69 каналов</t>
  </si>
  <si>
    <t>ТЕРм10-05-001-07</t>
  </si>
  <si>
    <t>Система из нескольких антенн</t>
  </si>
  <si>
    <t>ТЕРм10-05-001-08</t>
  </si>
  <si>
    <t>Измерение на выходе антенны с разделкой и подключением кабеля к антенне и канальному фильтру для одного канала</t>
  </si>
  <si>
    <t>ТЕРм10-05-001-09</t>
  </si>
  <si>
    <t>Измерение на выходе антенны с разделкой и подключением кабеля к антенне и канальному фильтру для каждого последующего канала</t>
  </si>
  <si>
    <t>ТЕРм10-05-001-10</t>
  </si>
  <si>
    <t>Настройка магистральной усилительной станции для одного канала ТВ</t>
  </si>
  <si>
    <t>ТЕРм10-05-001-11</t>
  </si>
  <si>
    <t>Настройка магистральной усилительной станции для каждого последующего канала</t>
  </si>
  <si>
    <t>ТЕРм10-05-001-12</t>
  </si>
  <si>
    <t>Измерение уровня ТВ сигнала на ответвляющем магистральном устройстве для одного канала</t>
  </si>
  <si>
    <t>ТЕРм10-05-001-13</t>
  </si>
  <si>
    <t>Измерение уровня ТВ сигнала на ответвляющем магистральном устройстве для каждого последующего канала</t>
  </si>
  <si>
    <t>ТЕРм10-05-001-14</t>
  </si>
  <si>
    <t>Подключение домовой распределительной сети к магистральной линии с комплексом измерений для одного канала</t>
  </si>
  <si>
    <t>ТЕРм10-05-001-15</t>
  </si>
  <si>
    <t>Подключение домовой распределительной сети к магистральной линии с комплексом измерений для каждого последующего канала</t>
  </si>
  <si>
    <t>ТЕРм10-05-001-16</t>
  </si>
  <si>
    <t>Настройка ТВ усилителя в домовой распределительной сети на один ТВ канал</t>
  </si>
  <si>
    <t>ТЕРм10-05-001-17</t>
  </si>
  <si>
    <t>Сдача работ с контрольными измерениями для одного канала</t>
  </si>
  <si>
    <t>ТЕРм10-05-001-18</t>
  </si>
  <si>
    <t>Сдача работ с контрольными измерениями для каждого последующего канала</t>
  </si>
  <si>
    <t xml:space="preserve">                           Раздел 6. ОТДЕЛ 06. ЛИНИИ СВЯЗИ</t>
  </si>
  <si>
    <t xml:space="preserve">                                   Раздел 1. ЛИНИИ СВЯЗИ КАБЕЛЬНЫЕ МЕЖДУГОРОДНЫЕ</t>
  </si>
  <si>
    <t xml:space="preserve">                                   Кабели и провода, прокладываемые кабелеукладчиком</t>
  </si>
  <si>
    <t>ТЕРм10-06-001-01</t>
  </si>
  <si>
    <t>Кабель, прокладываемый кабелеукладчиком, симметричный на однокабельной линии, глубина прокладки не менее 0,9 м при строительной длине кабеля до 500 м в грунтах групп I, II</t>
  </si>
  <si>
    <t>ТЕРм10-06-001-02</t>
  </si>
  <si>
    <t>Кабель, прокладываемый кабелеукладчиком, симметричный на однокабельной линии, глубина прокладки не менее 0,9 м при строительной длине кабеля до 500 м в грунтах группы III</t>
  </si>
  <si>
    <t>ТЕРм10-06-001-03</t>
  </si>
  <si>
    <t>Кабель, прокладываемый кабелеукладчиком, симметричный на однокабельной линии, глубина прокладки не менее 0,9 м при строительной длине кабеля до 750 м в грунтах групп I, II</t>
  </si>
  <si>
    <t>ТЕРм10-06-001-04</t>
  </si>
  <si>
    <t>Кабель, прокладываемый кабелеукладчиком, симметричный на однокабельной линии, глубина прокладки не менее 0,9 м при строительной длине кабеля до 750 м в грунтах группы III</t>
  </si>
  <si>
    <t>ТЕРм10-06-001-05</t>
  </si>
  <si>
    <t>Кабель, прокладываемый кабелеукладчиком, симметричный на двухкабельной линии, глубина прокладки не менее 0,9 м при строительной длине кабеля до 500 м в грунтах групп I, II</t>
  </si>
  <si>
    <t>ТЕРм10-06-001-06</t>
  </si>
  <si>
    <t>Кабель, прокладываемый кабелеукладчиком, симметричный на двухкабельной линии, глубина прокладки не менее 0,9 м при строительной длине кабеля до 500 м в грунтах группы III</t>
  </si>
  <si>
    <t>ТЕРм10-06-001-07</t>
  </si>
  <si>
    <t>Кабель, прокладываемый кабелеукладчиком, симметричный на двухкабельной линии, глубина прокладки не менее 0,9 м при строительной длине кабеля до 750 м в грунтах групп I, II</t>
  </si>
  <si>
    <t>ТЕРм10-06-001-08</t>
  </si>
  <si>
    <t>Кабель, прокладываемый кабелеукладчиком, симметричный на двухкабельной линии, глубина прокладки не менее 0,9 м при строительной длине кабеля до 750 м в грунтах группы III</t>
  </si>
  <si>
    <t>ТЕРм10-06-001-09</t>
  </si>
  <si>
    <t>Кабель, прокладываемый кабелеукладчиком, симметричный сельской связи и радиофикации на однокабельной линии, глубина прокладки не менее 0,9 м при строительной длине кабеля до 750 м в грунтах группы I, II</t>
  </si>
  <si>
    <t>ТЕРм10-06-001-10</t>
  </si>
  <si>
    <t>Кабель, прокладываемый кабелеукладчиком, симметричный сельской связи и радиофикации на однокабельной линии, глубина прокладки не менее 0,9 м при строительной длине кабеля до 750 м в грунтах группы III</t>
  </si>
  <si>
    <t>ТЕРм10-06-001-11</t>
  </si>
  <si>
    <t>Кабель, прокладываемый кабелеукладчиком, коаксиальный МКТ-4, глубина прокладки не менее 1,2 м при строительной длине кабеля до 500 м в грунтах I, II групп</t>
  </si>
  <si>
    <t>ТЕРм10-06-001-12</t>
  </si>
  <si>
    <t>Кабель, прокладываемый кабелеукладчиком, коаксиальный МКТ-4, глубина прокладки не менее 1,2 м при строительной длине кабеля до 500 м в грунтах III группы</t>
  </si>
  <si>
    <t>ТЕРм10-06-001-13</t>
  </si>
  <si>
    <t>Кабель, прокладываемый кабелеукладчиком, коаксиальный, глубина прокладки не менее 1,2 м при строительной длине кабеля до 600 м, марка кабеля КМ-4 в грунтах I, II групп</t>
  </si>
  <si>
    <t>ТЕРм10-06-001-14</t>
  </si>
  <si>
    <t>Кабель, прокладываемый кабелеукладчиком, коаксиальный, глубина прокладки не менее 1,2 м при строительной длине кабеля до 600 м, марка кабеля КМ-4 в грунтах III группы</t>
  </si>
  <si>
    <t>ТЕРм10-06-001-15</t>
  </si>
  <si>
    <t>Кабель, прокладываемый кабелеукладчиком, коаксиальный, глубина прокладки не менее 1,2 м при строительной длине кабеля до 600 м, марка кабеля КМ-8/6 в грунтах I, II групп</t>
  </si>
  <si>
    <t>ТЕРм10-06-001-16</t>
  </si>
  <si>
    <t>Кабель, прокладываемый кабелеукладчиком, коаксиальный, глубина прокладки не менее 1,2 м при строительной длине кабеля до 600 м, марка кабеля КМ-8/6 в грунтах III группы</t>
  </si>
  <si>
    <t xml:space="preserve">                                   Переходы кабельные кабелеукладчиком через водоемы на выброшенных тросах</t>
  </si>
  <si>
    <t>ТЕРм10-06-002-01</t>
  </si>
  <si>
    <t>Переход однокабельный кабелеукладчиком через водоемы на выброшенных тросах симметричным кабелем, глубина прокладки не менее 0,9 м, при ширине зеркала воды до 100 м</t>
  </si>
  <si>
    <t>ТЕРм10-06-002-02</t>
  </si>
  <si>
    <t>Переход однокабельный кабелеукладчиком через водоемы на выброшенных тросах симметричным кабелем, глубина прокладки не менее 0,9 м, при ширине зеркала воды до 200 м</t>
  </si>
  <si>
    <t>ТЕРм10-06-002-03</t>
  </si>
  <si>
    <t>Переход двухкабельный кабелеукладчиком через водоемы на выброшенных тросах симметричным кабелем, глубина прокладки не менее 0,9 м, при ширине зеркала воды до 100 м</t>
  </si>
  <si>
    <t>ТЕРм10-06-002-04</t>
  </si>
  <si>
    <t>Переход двухкабельный кабелеукладчиком через водоемы на выброшенных тросах симметричным кабелем, глубина прокладки не менее 0,9 м, при ширине зеркала воды до 200 м</t>
  </si>
  <si>
    <t>ТЕРм10-06-002-05</t>
  </si>
  <si>
    <t>Переход проводом радиофикации типа ПРВПМ, глубина прокладки от 0,8 до 0,9 м, при ширине зеркала воды до 100 м</t>
  </si>
  <si>
    <t>ТЕРм10-06-002-06</t>
  </si>
  <si>
    <t>Переход однокабельный кабелеукладчиком через водоемы на выброшенных тросах коаксиальным кабелем типа МКТ-4, глубина прокладки не менее 1,2 м, при ширине зеркала воды до 100 м</t>
  </si>
  <si>
    <t>ТЕРм10-06-002-07</t>
  </si>
  <si>
    <t>Переход однокабельный кабелеукладчиком через водоемы на выброшенных тросах коаксиальным кабелем типа МКТ-4, глубина прокладки не менее 1,2 м, при ширине зеркала воды до 200 м</t>
  </si>
  <si>
    <t>ТЕРм10-06-002-08</t>
  </si>
  <si>
    <t>Переход однокабельный кабелеукладчиком через водоемы на выброшенных тросах коаксиальным кабелем типа КМ-4, глубина прокладки не менее 1,2 м, при ширине зеркала воды до 100 м</t>
  </si>
  <si>
    <t>ТЕРм10-06-002-09</t>
  </si>
  <si>
    <t>Переход однокабельный кабелеукладчиком через водоемы на выброшенных тросах коаксиальным кабелем типа КМ-4, глубина прокладки не менее 1,2 м, при ширине зеркала воды до 200 м</t>
  </si>
  <si>
    <t>ТЕРм10-06-002-10</t>
  </si>
  <si>
    <t>Переход однокабельный кабелеукладчиком через водоемы на выброшенных тросах коаксиальным кабелем типа КМ-8/6, глубина прокладки не менее 1,2 м, при ширине зеркала воды до 100 м</t>
  </si>
  <si>
    <t>ТЕРм10-06-002-11</t>
  </si>
  <si>
    <t>Переход однокабельный кабелеукладчиком через водоемы на выброшенных тросах коаксиальным кабелем типа КМ-8/6, глубина прокладки не менее 1,2 м, при ширине зеркала воды до 200 м</t>
  </si>
  <si>
    <t xml:space="preserve">                                   Кабели и провода, прокладываемые в траншее</t>
  </si>
  <si>
    <t>ТЕРм10-06-003-01</t>
  </si>
  <si>
    <t>Кабель, прокладываемый в траншее, масса 1м кабеля до 0,6 кг</t>
  </si>
  <si>
    <t>ТЕРм10-06-003-02</t>
  </si>
  <si>
    <t>Кабель, прокладываемый в траншее, масса 1м кабеля до 2 кг</t>
  </si>
  <si>
    <t>ТЕРм10-06-003-03</t>
  </si>
  <si>
    <t>Кабель, прокладываемый в траншее, масса 1м кабеля до 3 кг</t>
  </si>
  <si>
    <t>ТЕРм10-06-003-04</t>
  </si>
  <si>
    <t>Кабель, прокладываемый в траншее, масса 1м кабеля до 6 кг</t>
  </si>
  <si>
    <t>ТЕРм10-06-003-05</t>
  </si>
  <si>
    <t>Кабель, прокладываемый в траншее, масса 1м кабеля до 9 кг</t>
  </si>
  <si>
    <t>ТЕРм10-06-003-06</t>
  </si>
  <si>
    <t>Кабель, прокладываемый в траншее, масса 1м кабеля до 13 кг</t>
  </si>
  <si>
    <t>ТЕРм10-06-003-07</t>
  </si>
  <si>
    <t>Кабель, прокладываемый в траншее, масса 1м кабеля до 18 кг</t>
  </si>
  <si>
    <t xml:space="preserve">                                   Муфты прямые на низкочастотном кабеле в котлованах</t>
  </si>
  <si>
    <t>ТЕРм10-06-004-01</t>
  </si>
  <si>
    <t>Муфта прямая на низкочастотном кабеле в котлованах со свинцовой оболочкой, емкость до 4х4</t>
  </si>
  <si>
    <t>ТЕРм10-06-004-02</t>
  </si>
  <si>
    <t>Муфта прямая на низкочастотном кабеле в котлованах со свинцовой оболочкой, емкость до 7х4</t>
  </si>
  <si>
    <t>ТЕРм10-06-004-03</t>
  </si>
  <si>
    <t>Муфта прямая на низкочастотном кабеле в котлованах со свинцовой оболочкой, емкость до 14х4</t>
  </si>
  <si>
    <t>ТЕРм10-06-004-04</t>
  </si>
  <si>
    <t>Муфта прямая на низкочастотном кабеле в котлованах со свинцовой оболочкой, емкость до 19х4</t>
  </si>
  <si>
    <t>ТЕРм10-06-004-05</t>
  </si>
  <si>
    <t>Муфта прямая на низкочастотном кабеле в котлованах со свинцовой оболочкой, емкость до 27х4</t>
  </si>
  <si>
    <t>ТЕРм10-06-004-06</t>
  </si>
  <si>
    <t>Муфта прямая на низкочастотном кабеле в котлованах со свинцовой оболочкой, емкость до 37х4</t>
  </si>
  <si>
    <t>ТЕРм10-06-004-07</t>
  </si>
  <si>
    <t>Муфта прямая на низкочастотном кабеле в котлованах со свинцовой оболочкой, емкость до 52х4</t>
  </si>
  <si>
    <t>ТЕРм10-06-004-08</t>
  </si>
  <si>
    <t>Муфта прямая на низкочастотном кабеле в котлованах со свинцовой оболочкой, емкость до 61х4</t>
  </si>
  <si>
    <t>ТЕРм10-06-004-09</t>
  </si>
  <si>
    <t>Муфта прямая на низкочастотном кабеле в котлованах со свинцовой оболочкой, емкость до 80х4</t>
  </si>
  <si>
    <t>ТЕРм10-06-004-10</t>
  </si>
  <si>
    <t>Муфта прямая на низкочастотном кабеле в котлованах со свинцовой оболочкой, емкость до 114х4</t>
  </si>
  <si>
    <t>ТЕРм10-06-004-11</t>
  </si>
  <si>
    <t>Муфта прямая на низкочастотном кабеле в котлованах с алюминиевой оболочкой, емкость до 4х4</t>
  </si>
  <si>
    <t>ТЕРм10-06-004-12</t>
  </si>
  <si>
    <t>Муфта прямая на низкочастотном кабеле в котлованах с алюминиевой оболочкой, емкость до 7х4</t>
  </si>
  <si>
    <t>ТЕРм10-06-004-13</t>
  </si>
  <si>
    <t>Муфта прямая на низкочастотном кабеле в котлованах с алюминиевой оболочкой, емкость до 14х4</t>
  </si>
  <si>
    <t>ТЕРм10-06-004-14</t>
  </si>
  <si>
    <t>Муфта прямая на низкочастотном кабеле в котлованах с алюминиевой оболочкой, емкость до 19х4</t>
  </si>
  <si>
    <t xml:space="preserve">                                   Муфты прямые на низкочастотном кабеле в колодцах</t>
  </si>
  <si>
    <t>ТЕРм10-06-005-01</t>
  </si>
  <si>
    <t>Муфта прямая на низкочастотном кабеле в колодцах со свинцовой оболочкой, емкость до 4х4</t>
  </si>
  <si>
    <t>ТЕРм10-06-005-02</t>
  </si>
  <si>
    <t>Муфта прямая на низкочастотном кабеле в колодцах со свинцовой оболочкой, емкость до 7х4</t>
  </si>
  <si>
    <t>ТЕРм10-06-005-03</t>
  </si>
  <si>
    <t>Муфта прямая на низкочастотном кабеле в колодцах со свинцовой оболочкой, емкость до 14х4</t>
  </si>
  <si>
    <t>ТЕРм10-06-005-04</t>
  </si>
  <si>
    <t>Муфта прямая на низкочастотном кабеле в колодцах со свинцовой оболочкой, емкость до 19х4</t>
  </si>
  <si>
    <t>ТЕРм10-06-005-05</t>
  </si>
  <si>
    <t>Муфта прямая на низкочастотном кабеле в колодцах со свинцовой оболочкой, емкость до 27х4</t>
  </si>
  <si>
    <t>ТЕРм10-06-005-06</t>
  </si>
  <si>
    <t>Муфта прямая на низкочастотном кабеле в колодцах со свинцовой оболочкой, емкость до 37х4</t>
  </si>
  <si>
    <t>ТЕРм10-06-005-07</t>
  </si>
  <si>
    <t>Муфта прямая на низкочастотном кабеле в колодцах со свинцовой оболочкой, емкость до 52х4</t>
  </si>
  <si>
    <t>ТЕРм10-06-005-08</t>
  </si>
  <si>
    <t>Муфта прямая на низкочастотном кабеле в колодцах со свинцовой оболочкой, емкость до 61х4</t>
  </si>
  <si>
    <t>ТЕРм10-06-005-09</t>
  </si>
  <si>
    <t>Муфта прямая на низкочастотном кабеле в колодцах со свинцовой оболочкой, емкость до 80х4</t>
  </si>
  <si>
    <t>ТЕРм10-06-005-10</t>
  </si>
  <si>
    <t>Муфта прямая на низкочастотном кабеле в колодцах со свинцовой оболочкой, емкость до 114х4</t>
  </si>
  <si>
    <t>ТЕРм10-06-005-11</t>
  </si>
  <si>
    <t>Муфта прямая на низкочастотном кабеле в колодцах с алюминиевой оболочкой, емкость до 4х4</t>
  </si>
  <si>
    <t>ТЕРм10-06-005-12</t>
  </si>
  <si>
    <t>Муфта прямая на низкочастотном кабеле в колодцах с алюминиевой оболочкой, емкость до 7х4</t>
  </si>
  <si>
    <t>ТЕРм10-06-005-13</t>
  </si>
  <si>
    <t>Муфта прямая на низкочастотном кабеле в колодцах с алюминиевой оболочкой, емкость до 14х4</t>
  </si>
  <si>
    <t>ТЕРм10-06-005-14</t>
  </si>
  <si>
    <t>Муфта прямая на низкочастотном кабеле в колодцах с алюминиевой оболочкой, емкость до 19х4</t>
  </si>
  <si>
    <t xml:space="preserve">                                   Муфты симметрирующие на низкочастотном кабеле в котлованах</t>
  </si>
  <si>
    <t>ТЕРм10-06-006-01</t>
  </si>
  <si>
    <t>Муфта симметрирующая на низкочастотном кабеле в котлованах со свинцовой оболочкой, емкость до 4х4</t>
  </si>
  <si>
    <t>ТЕРм10-06-006-02</t>
  </si>
  <si>
    <t>Муфта симметрирующая на низкочастотном кабеле в котлованах со свинцовой оболочкой, емкость до 7х4</t>
  </si>
  <si>
    <t>ТЕРм10-06-006-03</t>
  </si>
  <si>
    <t>Муфта симметрирующая на низкочастотном кабеле в котлованах со свинцовой оболочкой, емкость до 14х4</t>
  </si>
  <si>
    <t>ТЕРм10-06-006-04</t>
  </si>
  <si>
    <t>Муфта симметрирующая на низкочастотном кабеле в котлованах со свинцовой оболочкой, емкость до 19х4</t>
  </si>
  <si>
    <t>ТЕРм10-06-006-05</t>
  </si>
  <si>
    <t>Муфта симметрирующая на низкочастотном кабеле в котлованах со свинцовой оболочкой, емкость до 27х4</t>
  </si>
  <si>
    <t>ТЕРм10-06-006-06</t>
  </si>
  <si>
    <t>Муфта симметрирующая на низкочастотном кабеле в котлованах со свинцовой оболочкой, емкость до 37х4</t>
  </si>
  <si>
    <t>ТЕРм10-06-006-07</t>
  </si>
  <si>
    <t>Муфта симметрирующая на низкочастотном кабеле в котлованах со свинцовой оболочкой, емкость до 52х4</t>
  </si>
  <si>
    <t>ТЕРм10-06-006-08</t>
  </si>
  <si>
    <t>Муфта симметрирующая на низкочастотном кабеле в котлованах со свинцовой оболочкой, емкость до 61х4</t>
  </si>
  <si>
    <t>ТЕРм10-06-006-09</t>
  </si>
  <si>
    <t>Муфта симметрирующая на низкочастотном кабеле в котлованах со свинцовой оболочкой, емкость до 80х4</t>
  </si>
  <si>
    <t>ТЕРм10-06-006-10</t>
  </si>
  <si>
    <t>Муфта симметрирующая на низкочастотном кабеле в котлованах со свинцовой оболочкой, емкость до 114х4</t>
  </si>
  <si>
    <t>ТЕРм10-06-006-11</t>
  </si>
  <si>
    <t>Муфта симметрирующая на низкочастотном кабеле в котлованах с алюминиевой оболочкой, емкость до 4х4</t>
  </si>
  <si>
    <t>ТЕРм10-06-006-12</t>
  </si>
  <si>
    <t>Муфта симметрирующая на низкочастотном кабеле в котлованах с алюминиевой оболочкой, емкость до 7х4</t>
  </si>
  <si>
    <t>ТЕРм10-06-006-13</t>
  </si>
  <si>
    <t>Муфта симметрирующая на низкочастотном кабеле в котлованах с алюминиевой оболочкой, емкость до 14х4</t>
  </si>
  <si>
    <t>ТЕРм10-06-006-14</t>
  </si>
  <si>
    <t>Муфта симметрирующая на низкочастотном кабеле в котлованах с алюминиевой оболочкой, емкость до 19х4</t>
  </si>
  <si>
    <t xml:space="preserve">                                   Муфты симметрирующие на низкочастотном кабеле в колодцах</t>
  </si>
  <si>
    <t>ТЕРм10-06-007-01</t>
  </si>
  <si>
    <t>Муфта симметрирующая на низкочастотном кабеле в колодцах со свинцовой оболочкой, емкость до 4х4</t>
  </si>
  <si>
    <t>ТЕРм10-06-007-02</t>
  </si>
  <si>
    <t>Муфта симметрирующая на низкочастотном кабеле в колодцах со свинцовой оболочкой, емкость до 7х4</t>
  </si>
  <si>
    <t>ТЕРм10-06-007-03</t>
  </si>
  <si>
    <t>Муфта симметрирующая на низкочастотном кабеле в колодцах со свинцовой оболочкой, емкость до 14х4</t>
  </si>
  <si>
    <t>ТЕРм10-06-007-04</t>
  </si>
  <si>
    <t>Муфта симметрирующая на низкочастотном кабеле в колодцах со свинцовой оболочкой, емкость до 19х4</t>
  </si>
  <si>
    <t>ТЕРм10-06-007-05</t>
  </si>
  <si>
    <t>Муфта симметрирующая на низкочастотном кабеле в колодцах со свинцовой оболочкой, емкость до 27х4</t>
  </si>
  <si>
    <t>ТЕРм10-06-007-06</t>
  </si>
  <si>
    <t>Муфта симметрирующая на низкочастотном кабеле в колодцах со свинцовой оболочкой, емкость до 37х4</t>
  </si>
  <si>
    <t>ТЕРм10-06-007-07</t>
  </si>
  <si>
    <t>Муфта симметрирующая на низкочастотном кабеле в колодцах со свинцовой оболочкой, емкость до 52х4</t>
  </si>
  <si>
    <t>ТЕРм10-06-007-08</t>
  </si>
  <si>
    <t>Муфта симметрирующая на низкочастотном кабеле в колодцах со свинцовой оболочкой, емкость до 61х4</t>
  </si>
  <si>
    <t>ТЕРм10-06-007-09</t>
  </si>
  <si>
    <t>Муфта симметрирующая на низкочастотном кабеле в колодцах со свинцовой оболочкой, емкость до 80х4</t>
  </si>
  <si>
    <t>ТЕРм10-06-007-10</t>
  </si>
  <si>
    <t>Муфта симметрирующая на низкочастотном кабеле в колодцах со свинцовой оболочкой, емкость до 114х4</t>
  </si>
  <si>
    <t>ТЕРм10-06-007-11</t>
  </si>
  <si>
    <t>Муфта симметрирующая на низкочастотном кабеле в колодцах с алюминиевой оболочкой, емкость до 4х4</t>
  </si>
  <si>
    <t>ТЕРм10-06-007-12</t>
  </si>
  <si>
    <t>Муфта симметрирующая на низкочастотном кабеле в колодцах с алюминиевой оболочкой, емкость до 7х4</t>
  </si>
  <si>
    <t>ТЕРм10-06-007-13</t>
  </si>
  <si>
    <t>Муфта симметрирующая на низкочастотном кабеле в колодцах с алюминиевой оболочкой, емкость до 14х4</t>
  </si>
  <si>
    <t>ТЕРм10-06-007-14</t>
  </si>
  <si>
    <t>Муфта симметрирующая на низкочастотном кабеле в колодцах с алюминиевой оболочкой, емкость до 19х4</t>
  </si>
  <si>
    <t xml:space="preserve">                                   Муфты на высокочастотном симметричном кабеле в котлованах</t>
  </si>
  <si>
    <t>ТЕРм10-06-008-01</t>
  </si>
  <si>
    <t>Муфта прямая на высокочастотном симметричном кабеле в котлованах, емкость1х4, марки ЗКПБ, ЗКВБ, КСППБ (с полиэтиленовой оболочкой)</t>
  </si>
  <si>
    <t>ТЕРм10-06-008-02</t>
  </si>
  <si>
    <t>Муфта прямая на высокочастотном симметричном кабеле в котлованах, емкость1х4, марки ЗКАБп (с алюминиевой оболочкой)</t>
  </si>
  <si>
    <t>ТЕРм10-06-008-03</t>
  </si>
  <si>
    <t>Муфта прямая на высокочастотном симметричном кабеле в котлованах, емкость1х4, марки ЗКАКпШп (с алюминиевой оболочкой)</t>
  </si>
  <si>
    <t>ТЕРм10-06-008-04</t>
  </si>
  <si>
    <t>Муфта прямая на высокочастотном симметричном кабеле в котлованах со свинцовой оболочкой, емкость 4х4, марки МКСБ, МКБ, МКСБГ, МКБГ, МКСБл</t>
  </si>
  <si>
    <t>ТЕРм10-06-008-05</t>
  </si>
  <si>
    <t>Муфта прямая на высокочастотном симметричном кабеле в котлованах со свинцовой оболочкой, емкость 4х4, марки МКБл</t>
  </si>
  <si>
    <t>ТЕРм10-06-008-06</t>
  </si>
  <si>
    <t>Муфта прямая на высокочастотном симметричном кабеле в котлованах со свинцовой оболочкой, емкость 4х4, марки МКСБШп, МКСБпШп, МКСК, МКК, МКСКл</t>
  </si>
  <si>
    <t>ТЕРм10-06-008-07</t>
  </si>
  <si>
    <t>Муфта прямая на высокочастотном симметричном кабеле в котлованах со свинцовой оболочкой, емкость 7х4, марки МКСБ, МКБ, МКСБГ, МКБГ, МКСБл</t>
  </si>
  <si>
    <t>ТЕРм10-06-008-08</t>
  </si>
  <si>
    <t>Муфта прямая на высокочастотном симметричном кабеле в котлованах со свинцовой оболочкой, емкость 7х4, марки МКБл</t>
  </si>
  <si>
    <t>ТЕРм10-06-008-09</t>
  </si>
  <si>
    <t>Муфта прямая на высокочастотном симметричном кабеле в котлованах со свинцовой оболочкой, емкость 7х4, марки МКСБШп, МКСБпШп, МКСК, МКК, МКСКл</t>
  </si>
  <si>
    <t>ТЕРм10-06-008-10</t>
  </si>
  <si>
    <t>Муфта стыковая на высокочастотном симметричном кабеле в котлованах со свинцовой оболочкой с симметрированием до 252 кГц на дальнем конце, емкость 4х4, марки МКСБ, МКСБГ, МКБ, МКБГ, МКСБл, МКБл</t>
  </si>
  <si>
    <t>ТЕРм10-06-008-11</t>
  </si>
  <si>
    <t>Муфта стыковая на высокочастотном симметричном кабеле в котлованах со свинцовой оболочкой с симметрированием до 252 кГц на дальнем конце, емкость 4х4, марки МКСБШп, МКК, МКСБпШп, МКСК, МКСКл</t>
  </si>
  <si>
    <t>ТЕРм10-06-008-12</t>
  </si>
  <si>
    <t>Муфта стыковая на высокочастотном симметричном кабеле в котлованах со свинцовой оболочкой с симметрированием до 252 кГц на дальнем конце, емкость 7х4, марки МКСБ, МКСБГ, МКБ, МКБГ, МКСБл, МКБл</t>
  </si>
  <si>
    <t>ТЕРм10-06-008-13</t>
  </si>
  <si>
    <t>Муфта стыковая на высокочастотном симметричном кабеле в котлованах со свинцовой оболочкой с симметрированием до 252 кГц на дальнем конце, емкость 7х4, марки МКСБШп, МКК, МКСБпШп, МКСК, МКСКл</t>
  </si>
  <si>
    <t>ТЕРм10-06-008-14</t>
  </si>
  <si>
    <t>Муфта прямая на высокочастотном симметричном кабеле в котлованах с алюминиевой оболочкой, емкость 4х4, марки МКАБп, МКАБпГ, МКСАБпГ, МКСАБп</t>
  </si>
  <si>
    <t>ТЕРм10-06-008-15</t>
  </si>
  <si>
    <t>Муфта прямая на высокочастотном симметричном кабеле в котлованах с алюминиевой оболочкой, емкость 4х4, марки МКСАБпШп, МКАБпШп</t>
  </si>
  <si>
    <t>ТЕРм10-06-008-16</t>
  </si>
  <si>
    <t>Муфта прямая на высокочастотном симметричном кабеле в котлованах с алюминиевой оболочкой, емкость 7х4, марки МКАБп, МКАБпГ, МКСАБпГ, МКСАБп</t>
  </si>
  <si>
    <t>ТЕРм10-06-008-17</t>
  </si>
  <si>
    <t>Муфта прямая на высокочастотном симметричном кабеле в котлованах с алюминиевой оболочкой, емкость 7х4, марки МКСАБпШп, МКАБпШп</t>
  </si>
  <si>
    <t>ТЕРм10-06-008-18</t>
  </si>
  <si>
    <t>Муфта стыковая на высокочастотном симметричном кабеле в котлованах с алюминиевой оболочкой с симметрированием до 252 кГц на дальнем конце, емкость 4х4, марки МКСАБп, МКСАБГ, МКАБп, МКАБпГ</t>
  </si>
  <si>
    <t>ТЕРм10-06-008-19</t>
  </si>
  <si>
    <t>Муфта стыковая на высокочастотном симметричном кабеле в котлованах с алюминиевой оболочкой с симметрированием до 252 кГц на дальнем конце, емкость 4х4, марки МКСАБпШп, МКАБпШп</t>
  </si>
  <si>
    <t>ТЕРм10-06-008-20</t>
  </si>
  <si>
    <t>Муфта стыковая на высокочастотном симметричном кабеле в котлованах с алюминиевой оболочкой с симметрированием до 252 кГц на дальнем конце, емкость 7х4, марки МКСАБп, МКСАБГ, МКАБп, МКАБпГ</t>
  </si>
  <si>
    <t>ТЕРм10-06-008-21</t>
  </si>
  <si>
    <t>Муфта стыковая на высокочастотном симметричном кабеле в котлованах с алюминиевой оболочкой с симметрированием до 252 кГц на дальнем конце, емкость 7х4, марки МКСАБпШп, МКАБпШп</t>
  </si>
  <si>
    <t xml:space="preserve">                                   Муфты на высокочастотном симметричном кабеле в колодцах</t>
  </si>
  <si>
    <t>ТЕРм10-06-009-01</t>
  </si>
  <si>
    <t>Муфта прямая на высокочастотном симметричном кабеле в колодцах, емкость 1х4, марки ЗКП, ЗКВ, КСПП (с полиэтиленовой оболочкой)</t>
  </si>
  <si>
    <t>ТЕРм10-06-009-02</t>
  </si>
  <si>
    <t>Муфта прямая на высокочастотном симметричном кабеле в колодцах, емкость 1х4, марки ЗКПАШП (с алюминиевой оболочкой)</t>
  </si>
  <si>
    <t>ТЕРм10-06-009-03</t>
  </si>
  <si>
    <t>Муфта прямая на высокочастотном симметричном кабеле в колодцах со свинцовой оболочкой, емкость 4х4, марки МКСГ, МКПГ, МКГ</t>
  </si>
  <si>
    <t>ТЕРм10-06-009-04</t>
  </si>
  <si>
    <t>Муфта прямая на высокочастотном симметричном кабеле в колодцах со свинцовой оболочкой, емкость 4х4, марки МКСГШп, МКГШп</t>
  </si>
  <si>
    <t>ТЕРм10-06-009-05</t>
  </si>
  <si>
    <t>Муфта прямая на высокочастотном симметричном кабеле в колодцах со свинцовой оболочкой, емкость 7х4, марки МКСГ, МКПГ, МКГ</t>
  </si>
  <si>
    <t>ТЕРм10-06-009-06</t>
  </si>
  <si>
    <t>Муфта прямая на высокочастотном симметричном кабеле в колодцах со свинцовой оболочкой, емкость 7х4, марки МКСГШп, МКГШп</t>
  </si>
  <si>
    <t>ТЕРм10-06-009-07</t>
  </si>
  <si>
    <t>Муфта стыковая на высокочастотном симметричном кабеле в колодцах с симметрированием до 252 кГц на дальнем конце, емкость 4х4, на кабеле марки МКСГ, МКПГ, МКГ</t>
  </si>
  <si>
    <t>ТЕРм10-06-009-08</t>
  </si>
  <si>
    <t>Муфта стыковая на высокочастотном симметричном кабеле в колодцах с симметрированием до 252 кГц на дальнем конце, емкость 4х4, на кабеле марки МКСГШп, МКГШп</t>
  </si>
  <si>
    <t>ТЕРм10-06-009-09</t>
  </si>
  <si>
    <t>Муфта стыковая на высокочастотном симметричном кабеле в колодцах с симметрированием до 252 кГц на дальнем конце, емкость 7х4, на кабеле марки МКСГ, МКПГ, МКГ</t>
  </si>
  <si>
    <t>ТЕРм10-06-009-10</t>
  </si>
  <si>
    <t>Муфта стыковая на высокочастотном симметричном кабеле в колодцах с симметрированием до 252 кГц на дальнем конце, емкость 7х4, на кабеле марки МКСГШп, МКГШп</t>
  </si>
  <si>
    <t>ТЕРм10-06-009-11</t>
  </si>
  <si>
    <t>Муфта прямая на высокочастотном симметричном кабеле в колодцах с алюминиевой оболочкой, марки МКСАШп, МКАШп, емкость 4х4</t>
  </si>
  <si>
    <t>ТЕРм10-06-009-12</t>
  </si>
  <si>
    <t>Муфта прямая на высокочастотном симметричном кабеле в колодцах с алюминиевой оболочкой, марки МКСАШп, МКАШп, емкость 7х4</t>
  </si>
  <si>
    <t>ТЕРм10-06-009-13</t>
  </si>
  <si>
    <t>Муфта стыковая на высокочастотном симметричном кабеле в колодцах с алюминиевой оболочкой с симметрированием до 252 кГц на дальнем конце, марки МКСАШп, МКАШп, емкость 4х4</t>
  </si>
  <si>
    <t>ТЕРм10-06-009-14</t>
  </si>
  <si>
    <t>Муфта стыковая на высокочастотном симметричном кабеле в колодцах с алюминиевой оболочкой с симметрированием до 252 кГц на дальнем конце, марки МКСАШп, МКАШп, емкость 7х4</t>
  </si>
  <si>
    <t>ТЕРм10-06-009-15</t>
  </si>
  <si>
    <t>Муфта прямая на высокочастотном симметричном кабеле в колодцах в стальной оболочке, марки МКССШп, емкость 4х4</t>
  </si>
  <si>
    <t>ТЕРм10-06-009-16</t>
  </si>
  <si>
    <t>Муфта прямая на высокочастотном симметричном кабеле в колодцах в стальной оболочке, марки МКССШп, емкость 7х4</t>
  </si>
  <si>
    <t>ТЕРм10-06-009-17</t>
  </si>
  <si>
    <t>Муфта стыковая на высокочастотном симметричном кабеле в колодцах в стальной оболочке с симметрированием до 252 кГц на дальнем конце, марки МКССШп, емкость 4х4</t>
  </si>
  <si>
    <t>ТЕРм10-06-009-18</t>
  </si>
  <si>
    <t>Муфта стыковая на высокочастотном симметричном кабеле в колодцах в стальной оболочке с симметрированием до 252 кГц на дальнем конце, марки МКССШп, емкость 7х4</t>
  </si>
  <si>
    <t>ТЕРм10-06-009-19</t>
  </si>
  <si>
    <t>Муфта на кабеле со свинцовой оболочкой марки МКСГ, МКПГ, МКГ стыковая с симметрированием на дальнем конце до 108 кГц, емкость 1х4</t>
  </si>
  <si>
    <t>ТЕРм10-06-009-20</t>
  </si>
  <si>
    <t>Муфта на кабеле со свинцовой оболочкой марки МКСГ, МКПГ, МКГ стыковая с симметрированием на дальнем конце до 108 кГц, емкость 4х4</t>
  </si>
  <si>
    <t>ТЕРм10-06-009-21</t>
  </si>
  <si>
    <t>Муфта на кабеле со свинцовой оболочкой марки МКСГ, МКПГ, МКГ стыковая с симметрированием на дальнем конце до 108 кГц, емкость 7х4</t>
  </si>
  <si>
    <t>ТЕРм10-06-009-22</t>
  </si>
  <si>
    <t>Муфта на кабеле со свинцовой оболочкой марки МКСГ, МКПГ, МКГ стыковая с симметрированием на дальнем конце до 252 кГц, емкость 1х4</t>
  </si>
  <si>
    <t>ТЕРм10-06-009-23</t>
  </si>
  <si>
    <t>Муфта на кабеле со свинцовой оболочкой марки МКСГ, МКПГ, МКГ стыковая с симметрированием на дальнем конце до 552 кГц, емкость 4х4</t>
  </si>
  <si>
    <t>ТЕРм10-06-009-24</t>
  </si>
  <si>
    <t>Муфта на кабеле со свинцовой оболочкой марки МКСГ, МКПГ, МКГ стыковая с симметрированием на дальнем конце до 552 кГц, емкость 7х4</t>
  </si>
  <si>
    <t>ТЕРм10-06-009-25</t>
  </si>
  <si>
    <t>Муфта на кабеле со свинцовой оболочкой марки МКСГ, МКПГ, МКГ стыковая с симметрированием на ближнем конце до 108 кГц, емкость 1х4</t>
  </si>
  <si>
    <t>ТЕРм10-06-009-26</t>
  </si>
  <si>
    <t>Муфта на кабеле со свинцовой оболочкой марки МКСГ, МКПГ, МКГ стыковая с симметрированием на ближнем конце до 108 кГц, емкость 4х4</t>
  </si>
  <si>
    <t>ТЕРм10-06-009-27</t>
  </si>
  <si>
    <t>Муфта на кабеле со свинцовой оболочкой марки МКСГ, МКПГ, МКГ стыковая с симметрированием на ближнем конце до 108 кГц, емкость 7х4</t>
  </si>
  <si>
    <t>ТЕРм10-06-009-28</t>
  </si>
  <si>
    <t>Муфта на кабеле со свинцовой оболочкой марки МКСГ, МКПГ, МКГ стыковая с симметрированием на ближнем конце до 252 кГц, емкость 1х4</t>
  </si>
  <si>
    <t>ТЕРм10-06-009-29</t>
  </si>
  <si>
    <t>Муфта на кабеле со свинцовой оболочкой марки МКСГ, МКПГ, МКГ стыковая с симметрированием на ближнем конце до 252 кГц, емкость 4х4</t>
  </si>
  <si>
    <t>ТЕРм10-06-009-30</t>
  </si>
  <si>
    <t>Муфта на кабеле со свинцовой оболочкой марки МКСГ, МКПГ, МКГ стыковая с симметрированием на ближнем конце до 252 кГц, емкость 7х4</t>
  </si>
  <si>
    <t>ТЕРм10-06-009-31</t>
  </si>
  <si>
    <t>Муфта на кабеле со свинцовой оболочкой марки МКСГ, МКПГ, МКГ стыковая с симметрированием на ближнем конце до 552 кГц, емкость 4х4</t>
  </si>
  <si>
    <t>ТЕРм10-06-009-32</t>
  </si>
  <si>
    <t>Муфта на кабеле со свинцовой оболочкой марки МКСГ, МКПГ, МКГ стыковая с симметрированием на ближнем конце до 552 кГц, емкость 7х4</t>
  </si>
  <si>
    <t>ТЕРм10-06-009-33</t>
  </si>
  <si>
    <t>Муфта на кабеле с алюминевой оболочкой марки МКСАШп, МКАШп стыковая с симметрированием на дальнем конце до 108 кГц, емкость 1х4</t>
  </si>
  <si>
    <t>ТЕРм10-06-009-34</t>
  </si>
  <si>
    <t>Муфта на кабеле с алюминевой оболочкой марки МКСАШп, МКАШп стыковая с симметрированием на дальнем конце до 108 кГц, емкость 4х4</t>
  </si>
  <si>
    <t>ТЕРм10-06-009-35</t>
  </si>
  <si>
    <t>Муфта на кабеле с алюминевой оболочкой марки МКСАШп, МКАШп стыковая с симметрированием на дальнем конце до 108 кГц, емкость 7х4</t>
  </si>
  <si>
    <t>ТЕРм10-06-009-36</t>
  </si>
  <si>
    <t>Муфта на кабеле с алюминевой оболочкой марки МКСАШп, МКАШп стыковая с симметрированием на дальнем конце до 252 кГц, емкость 1х4</t>
  </si>
  <si>
    <t>ТЕРм10-06-009-37</t>
  </si>
  <si>
    <t>Муфта на кабеле с алюминевой оболочкой марки МКСАШп, МКАШп стыковая с симметрированием на дальнем конце до 552 кГц, емкость 4х4</t>
  </si>
  <si>
    <t>ТЕРм10-06-009-38</t>
  </si>
  <si>
    <t>Муфта на кабеле с алюминевой оболочкой марки МКСАШп, МКАШп стыковая с симметрированием на дальнем конце до 552 кГц, емкость 7х4</t>
  </si>
  <si>
    <t>ТЕРм10-06-009-39</t>
  </si>
  <si>
    <t>Муфта на кабеле с алюминевой оболочкой марки МКСАШп, МКАШп стыковая с симметрированием на ближнем конце до 108 кГц, емкость 1х4</t>
  </si>
  <si>
    <t>ТЕРм10-06-009-40</t>
  </si>
  <si>
    <t>Муфта на кабеле с алюминевой оболочкой марки МКСАШп, МКАШп стыковая с симметрированием на ближнем конце до 108 кГц, емкость 4х4</t>
  </si>
  <si>
    <t>ТЕРм10-06-009-41</t>
  </si>
  <si>
    <t>ТЕРм10-06-009-42</t>
  </si>
  <si>
    <t>Муфта на кабеле с алюминевой оболочкой марки МКСАШп, МКАШп стыковая с симметрированием на ближнем конце до 252 кГц, емкость 1х4</t>
  </si>
  <si>
    <t>ТЕРм10-06-009-43</t>
  </si>
  <si>
    <t>Муфта на кабеле с алюминевой оболочкой марки МКСАШп, МКАШп стыковая с симметрированием на ближнем конце до 252 кГц, емкость 4х4</t>
  </si>
  <si>
    <t>ТЕРм10-06-009-44</t>
  </si>
  <si>
    <t>Муфта на кабеле с алюминевой оболочкой марки МКСАШп, МКАШп стыковая с симметрированием на ближнем конце до 252 кГц, емкость 7х4</t>
  </si>
  <si>
    <t>ТЕРм10-06-009-45</t>
  </si>
  <si>
    <t>Муфта на кабеле с алюминевой оболочкой марки МКСАШп, МКАШп стыковая с симметрированием на ближнем конце до 552 кГц, емкость 4х4</t>
  </si>
  <si>
    <t>ТЕРм10-06-009-46</t>
  </si>
  <si>
    <t>Муфта на кабеле с алюминевой оболочкой марки МКСАШп, МКАШп стыковая с симметрированием на ближнем конце до 552 кГц, емкость 7х4</t>
  </si>
  <si>
    <t xml:space="preserve">                                   Муфты на кабеле с коаксиальными парами</t>
  </si>
  <si>
    <t>ТЕРм10-06-010-01</t>
  </si>
  <si>
    <t>Муфта прямая на кабеле со свинцовой оболочкой в котловане, марка кабеля МКТСБ-4</t>
  </si>
  <si>
    <t>ТЕРм10-06-010-02</t>
  </si>
  <si>
    <t>Муфта прямая на кабеле со свинцовой оболочкой в котловане, марка кабеля КМБГ-4, КМБ-4</t>
  </si>
  <si>
    <t>ТЕРм10-06-010-03</t>
  </si>
  <si>
    <t>Муфта прямая на кабеле со свинцовой оболочкой в котловане, марка кабеля КМБГ-8/6, КМБ-8/6</t>
  </si>
  <si>
    <t>ТЕРм10-06-010-04</t>
  </si>
  <si>
    <t>Муфта стыковая на кабеле со свинцовой оболочкой в котловане, марка кабеля КМБГ-4, КМБ-4</t>
  </si>
  <si>
    <t>ТЕРм10-06-010-05</t>
  </si>
  <si>
    <t>Муфта стыковая на кабеле со свинцовой оболочкой в котловане, марка кабеля КМБГ-8/6, КМБ-8/6</t>
  </si>
  <si>
    <t>ТЕРм10-06-010-06</t>
  </si>
  <si>
    <t>Муфта прямая на кабеле со свинцовой оболочкой в колодце, марка кабеля МКТС-4</t>
  </si>
  <si>
    <t>ТЕРм10-06-010-07</t>
  </si>
  <si>
    <t>Муфта прямая на кабеле со свинцовой оболочкой в колодце, марка кабеля КМГ-4</t>
  </si>
  <si>
    <t>ТЕРм10-06-010-08</t>
  </si>
  <si>
    <t>Муфта прямая на кабеле со свинцовой оболочкой в колодце, марка кабеля КМГ-8/6</t>
  </si>
  <si>
    <t>ТЕРм10-06-010-09</t>
  </si>
  <si>
    <t>Муфта стыковая на кабеле со свинцовой оболочкой в колодце, марка кабеля КМГ-4</t>
  </si>
  <si>
    <t>ТЕРм10-06-010-10</t>
  </si>
  <si>
    <t>Муфта стыковая на кабеле со свинцовой оболочкой в колодце, марка кабеля КМГ-8/6</t>
  </si>
  <si>
    <t>ТЕРм10-06-010-11</t>
  </si>
  <si>
    <t>Муфта прямая на кабеле с алюминиевой и полиэтиленовой оболочкой в котловане, марка кабеля ВКПАП</t>
  </si>
  <si>
    <t>ТЕРм10-06-010-12</t>
  </si>
  <si>
    <t>Муфта прямая на кабеле с алюминиевой и полиэтиленовой оболочкой в котловане, марка кабеля МКТАБп-4</t>
  </si>
  <si>
    <t>ТЕРм10-06-010-13</t>
  </si>
  <si>
    <t>Муфта прямая на кабеле с алюминиевой и полиэтиленовой оболочкой в котловане, марка кабеля МКТАБШп-4</t>
  </si>
  <si>
    <t>ТЕРм10-06-010-14</t>
  </si>
  <si>
    <t>Муфта прямая на кабеле с алюминиевой и полиэтиленовой оболочкой в котловане, марка кабеля КМАБпШп-4, КМАБпГ-4, КМАБп-4</t>
  </si>
  <si>
    <t>ТЕРм10-06-010-15</t>
  </si>
  <si>
    <t>Муфта стыковая на кабеле с алюминиевой и полиэтиленовой оболочкой в котловане, марка кабеля КМАБпГ-4, КМАБп-4</t>
  </si>
  <si>
    <t>ТЕРм10-06-010-16</t>
  </si>
  <si>
    <t>Муфта стыковая на кабеле с алюминиевой и полиэтиленовой оболочкой в котловане, марка кабеля КМАБпШп-4</t>
  </si>
  <si>
    <t>ТЕРм10-06-010-17</t>
  </si>
  <si>
    <t>Муфта прямая на кабеле ВКПАП с алюминиевой и полиэтиленовой оболочкой в колодце</t>
  </si>
  <si>
    <t>ТЕРм10-06-010-18</t>
  </si>
  <si>
    <t>Муфта прямая на кабеле МКТП-4 с алюминиевой и полиэтиленовой оболочкой в колодце</t>
  </si>
  <si>
    <t>ТЕРм10-06-010-19</t>
  </si>
  <si>
    <t>Муфта прямая на кабеле с алюминиевой и полиэтиленовой оболочкой в колодце, кабель марки МКТАШп-4</t>
  </si>
  <si>
    <t>ТЕРм10-06-010-20</t>
  </si>
  <si>
    <t>Муфта прямая на кабеле с алюминиевой и полиэтиленовой оболочкой в колодце, кабель марки МКАШп-4</t>
  </si>
  <si>
    <t>ТЕРм10-06-010-21</t>
  </si>
  <si>
    <t>Муфта стыковая на кабеле КМАШп-4 с алюминиевой и полиэтиленовой оболочкой в колодце</t>
  </si>
  <si>
    <t>ТЕРм10-06-010-22</t>
  </si>
  <si>
    <t>Устройство оконечное кабельное УОК</t>
  </si>
  <si>
    <t xml:space="preserve">                                   Муфты газонепроницаемые</t>
  </si>
  <si>
    <t>ТЕРм10-06-011-01</t>
  </si>
  <si>
    <t>Муфта изолирующая марки МИС на симметричных кабелях в котловане, диаметр оболочки кабеля до 20мм</t>
  </si>
  <si>
    <t>ТЕРм10-06-011-02</t>
  </si>
  <si>
    <t>Муфта изолирующая марки МИС на симметричных кабелях в котловане, диаметр оболочки кабеля до 30 мм</t>
  </si>
  <si>
    <t>ТЕРм10-06-011-03</t>
  </si>
  <si>
    <t>Муфта изолирующая марки МИС на симметричных кабелях в котловане, диаметр оболочки кабеля до 40 мм</t>
  </si>
  <si>
    <t>ТЕРм10-06-011-04</t>
  </si>
  <si>
    <t>Муфта изолирующая марки МИС на симметричных кабелях в котловане, диаметр оболочки кабеля до 60 мм</t>
  </si>
  <si>
    <t>ТЕРм10-06-011-05</t>
  </si>
  <si>
    <t>Муфта изолирующая марки МИС на симметричных кабелях в котловане, диаметр оболочки кабеля до 80 мм</t>
  </si>
  <si>
    <t>ТЕРм10-06-011-06</t>
  </si>
  <si>
    <t>Муфта изолирующая марки МИСК на коаксиальном кабеле четырехтрубочном марки КМБ-4 в котловане</t>
  </si>
  <si>
    <t>ТЕРм10-06-011-07</t>
  </si>
  <si>
    <t>Муфта изолирующая марки МИСК на коаксиальном кабеле восьмитрубочном марки КМБ-8/6 в котловане</t>
  </si>
  <si>
    <t>ТЕРм10-06-011-08</t>
  </si>
  <si>
    <t>Муфта газонепроницаемая изолирующая марки ГМС (ГМСИ) на симметричном кабеле в помещении, емкость кабеля 1х4, 4х4</t>
  </si>
  <si>
    <t>ТЕРм10-06-011-09</t>
  </si>
  <si>
    <t>Муфта газонепроницаемая изолирующая марки ГМС (ГМСИ) на симметричном кабеле в помещении, емкость кабеля 7х4</t>
  </si>
  <si>
    <t>ТЕРм10-06-011-10</t>
  </si>
  <si>
    <t>Муфта изолирующая типа МИС на симметричных кабелях в помещении, диаметр оболочки кабеля до 20 мм</t>
  </si>
  <si>
    <t>ТЕРм10-06-011-11</t>
  </si>
  <si>
    <t>Муфта изолирующая типа МИС на симметричных кабелях в помещении, диаметр оболочки кабеля до 30 мм</t>
  </si>
  <si>
    <t>ТЕРм10-06-011-12</t>
  </si>
  <si>
    <t>Муфта изолирующая типа МИС на симметричных кабелях в помещении, диаметр оболочки кабеля до 40 мм</t>
  </si>
  <si>
    <t>ТЕРм10-06-011-13</t>
  </si>
  <si>
    <t>Муфта изолирующая типа МИС на симметричных кабелях в помещении, диаметр оболочки кабеля до 60 мм</t>
  </si>
  <si>
    <t>ТЕРм10-06-011-14</t>
  </si>
  <si>
    <t>Муфта изолирующая типа МИС на симметричных кабелях в помещении, диаметр оболочки кабеля до 80 мм</t>
  </si>
  <si>
    <t>ТЕРм10-06-011-15</t>
  </si>
  <si>
    <t>Муфта разъемная марки ОГКМ (ОГКМ-С) на одну трубку коаксиального кабеля</t>
  </si>
  <si>
    <t xml:space="preserve">                                   Защита кабеля от коррозии</t>
  </si>
  <si>
    <t>ТЕРм10-06-012-01</t>
  </si>
  <si>
    <t>Ящик дренажной защиты на готовом основании</t>
  </si>
  <si>
    <t>ТЕРм10-06-012-02</t>
  </si>
  <si>
    <t>Присоединение дренажного кабеля к электродренажу и рельсам</t>
  </si>
  <si>
    <t>ТЕРм10-06-012-03</t>
  </si>
  <si>
    <t>Защита электродная одного кабеля</t>
  </si>
  <si>
    <t>ТЕРм10-06-012-04</t>
  </si>
  <si>
    <t>Перемычка между кабелями бронированными</t>
  </si>
  <si>
    <t>ТЕРм10-06-012-05</t>
  </si>
  <si>
    <t>Перемычка между кабелями небронированными</t>
  </si>
  <si>
    <t xml:space="preserve">                                   Измерение кабельных линий</t>
  </si>
  <si>
    <t>ТЕРм10-06-013-01</t>
  </si>
  <si>
    <t>Измерение сопротивления изоляции на смонтированном усилительном участке</t>
  </si>
  <si>
    <t>ТЕРм10-06-013-02</t>
  </si>
  <si>
    <t>Измерение переходного затухания на смонтированном усилительном участке на ближнем конце</t>
  </si>
  <si>
    <t>ТЕРм10-06-013-03</t>
  </si>
  <si>
    <t>Измерение переходного затухания на смонтированном усилительном участке на дальнем конце</t>
  </si>
  <si>
    <t>ТЕРм10-06-013-04</t>
  </si>
  <si>
    <t>Испытание электрической прочности изоляции симметричного кабеля на усилительном участке с оконечных устройств на однокабельной линии, емкость 1х4</t>
  </si>
  <si>
    <t>ТЕРм10-06-013-05</t>
  </si>
  <si>
    <t>Испытание электрической прочности изоляции симметричного кабеля на усилительном участке с оконечных устройств на однокабельной линии, емкость 4х4</t>
  </si>
  <si>
    <t>ТЕРм10-06-013-06</t>
  </si>
  <si>
    <t>Испытание электрической прочности изоляции симметричного кабеля на усилительном участке с оконечных устройств на однокабельной линии, емкость 7х4</t>
  </si>
  <si>
    <t>ТЕРм10-06-013-07</t>
  </si>
  <si>
    <t>Испытание электрической прочности изоляции симметричного кабеля на усилительном участке с оконечных устройств на двухкабельной линии, емкость 1х4</t>
  </si>
  <si>
    <t>ТЕРм10-06-013-08</t>
  </si>
  <si>
    <t>Испытание электрической прочности изоляции симметричного кабеля на усилительном участке с оконечных устройств на двухкабельной линии, емкость 4х4</t>
  </si>
  <si>
    <t>ТЕРм10-06-013-09</t>
  </si>
  <si>
    <t>Испытание электрической прочности изоляции симметричного кабеля на усилительном участке с оконечных устройств на двухкабельной линии, емкость 7х4</t>
  </si>
  <si>
    <t>ТЕРм10-06-013-10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</si>
  <si>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однокабельной линии, емкость 1х4</t>
  </si>
  <si>
    <t>ТЕРм10-06-013-11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</si>
  <si>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однокабельной линии, емкость 4х4</t>
  </si>
  <si>
    <t>ТЕРм10-06-013-12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</si>
  <si>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однокабельной линии, емкость 7х4</t>
  </si>
  <si>
    <t>ТЕРм10-06-013-13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</si>
  <si>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двухкабельной линии, емкость 1х4</t>
  </si>
  <si>
    <t>ТЕРм10-06-013-14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</si>
  <si>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двухкабельной линии, емкость 4х4</t>
  </si>
  <si>
    <t>ТЕРм10-06-013-15</t>
  </si>
  <si>
    <t>Испытание электрической прочности изоляции на смонтированном симметричном кабеле - примерно 1/4 усилительного участка, строительная длина проложенного кабеля на двухкабельной линии, емкость 7х4</t>
  </si>
  <si>
    <t>ТЕРм10-06-013-16</t>
  </si>
  <si>
    <t>Испытание электрической прочности изоляции коаксиальных малогабаритных кабелей строительной длины на кабельной площадке</t>
  </si>
  <si>
    <t>ТЕРм10-06-013-17</t>
  </si>
  <si>
    <t>Испытание электрической прочности изоляции коаксиальных малогабаритных кабелей строительной длины после прокладки</t>
  </si>
  <si>
    <t>ТЕРм10-06-013-18</t>
  </si>
  <si>
    <t>Испытание электрической прочности изоляции коаксиальных малогабаритных кабелей строительной длины смонтированного стыкового или усилительного участка</t>
  </si>
  <si>
    <t>ТЕРм10-06-013-19</t>
  </si>
  <si>
    <t>Испытание электрической прочности изоляции четырехтрубочного коаксиального кабеля строительной длины на кабельной площадке</t>
  </si>
  <si>
    <t>ТЕРм10-06-013-20</t>
  </si>
  <si>
    <t>Испытание электрической прочности изоляции четырехтрубочного коаксиального кабеля строительной длины после прокладки</t>
  </si>
  <si>
    <t>ТЕРм10-06-013-21</t>
  </si>
  <si>
    <t>Испытание электрической прочности изоляции четырехтрубочного коаксиального кабеля строительной длины смонтированного стыкового или усилительного участка</t>
  </si>
  <si>
    <t>ТЕРм10-06-013-22</t>
  </si>
  <si>
    <t>Испытание электрической прочности изоляции восьмитрубочного коаксиального кабеля строительной длины на кабельной площадке</t>
  </si>
  <si>
    <t>ТЕРм10-06-013-23</t>
  </si>
  <si>
    <t>Испытание электрической прочности изоляции восьмитрубочного коаксиального кабеля строительной длины после прокладки</t>
  </si>
  <si>
    <t>ТЕРм10-06-013-24</t>
  </si>
  <si>
    <t>Испытание электрической прочности изоляции восьмитрубочного коаксиального кабеля строительной длины смонтированного стыкового или усилительного участка</t>
  </si>
  <si>
    <t>ТЕРм10-06-013-25</t>
  </si>
  <si>
    <t>Измерение сопротивления изоляции и омической асимметрии катушек индуктивности</t>
  </si>
  <si>
    <t xml:space="preserve">                                   Накачивание кабеля сжатым газом</t>
  </si>
  <si>
    <t>ТЕРм10-06-014-01</t>
  </si>
  <si>
    <t>Накачивание кабеля сжатым газом в процессе монтажа муфт смонтированных участков или шагов пупинизации в котловане, диаметр кабеля до 30 мм</t>
  </si>
  <si>
    <t>ТЕРм10-06-014-02</t>
  </si>
  <si>
    <t>Накачивание кабеля сжатым газом в процессе монтажа муфт смонтированных участков или шагов пупинизации в котловане, диаметр кабеля до 45 мм</t>
  </si>
  <si>
    <t>ТЕРм10-06-014-03</t>
  </si>
  <si>
    <t>Накачивание кабеля сжатым газом в процессе монтажа муфт смонтированных участков или шагов пупинизации в котловане, диаметр кабеля до 60 мм</t>
  </si>
  <si>
    <t>ТЕРм10-06-014-04</t>
  </si>
  <si>
    <t>Накачивание кабеля сжатым газом в процессе монтажа муфт смонтированных участков или шагов пупинизации в котловане, диаметр кабеля свыше 60 мм</t>
  </si>
  <si>
    <t>ТЕРм10-06-014-05</t>
  </si>
  <si>
    <t>Накачивание кабеля сжатым газом в процессе монтажа муфт смонтированных участков или шагов пупинизации в колодце, диаметр кабеля до 30 мм</t>
  </si>
  <si>
    <t>ТЕРм10-06-014-06</t>
  </si>
  <si>
    <t>Накачивание кабеля сжатым газом в процессе монтажа муфт смонтированных участков или шагов пупинизации в колодце, диаметр кабеля до 45 мм</t>
  </si>
  <si>
    <t>ТЕРм10-06-014-07</t>
  </si>
  <si>
    <t>Накачивание кабеля сжатым газом в процессе монтажа муфт смонтированных участков или шагов пупинизации в колодце, диаметр кабеля до 60 мм</t>
  </si>
  <si>
    <t>ТЕРм10-06-014-08</t>
  </si>
  <si>
    <t>Накачивание кабеля сжатым газом в процессе монтажа муфт смонтированных участков или шагов пупинизации в колодце, диаметр кабеля свыше 60 мм</t>
  </si>
  <si>
    <t>ТЕРм10-06-014-09</t>
  </si>
  <si>
    <t>Накачивание кабеля сжатым газом на усилительном участке длиной до 5 км, диаметр кабеля до 40 мм</t>
  </si>
  <si>
    <t>ТЕРм10-06-014-10</t>
  </si>
  <si>
    <t>Накачивание кабеля сжатым газом на усилительном участке длиной до 5 км, диаметр кабеля до 60 мм</t>
  </si>
  <si>
    <t>ТЕРм10-06-014-11</t>
  </si>
  <si>
    <t>Накачивание кабеля сжатым газом на усилительном участке длиной до 5 км, диаметр кабеля свыше 60 мм</t>
  </si>
  <si>
    <t>ТЕРм10-06-014-12</t>
  </si>
  <si>
    <t>Накачивание кабеля сжатым газом на усилительном участке длиной до 10 км, диаметр кабеля до 40 мм</t>
  </si>
  <si>
    <t>ТЕРм10-06-014-13</t>
  </si>
  <si>
    <t>Накачивание кабеля сжатым газом на усилительном участке длиной до 10 км, диаметр кабеля до 60 мм</t>
  </si>
  <si>
    <t>ТЕРм10-06-014-14</t>
  </si>
  <si>
    <t>Накачивание кабеля сжатым газом на усилительном участке длиной до 10 км, диаметр кабеля свыше 60 мм</t>
  </si>
  <si>
    <t>ТЕРм10-06-014-15</t>
  </si>
  <si>
    <t>Накачивание кабеля сжатым газом на усилительном участке длиной до 20 км, диаметр кабеля до 40 мм</t>
  </si>
  <si>
    <t>ТЕРм10-06-014-16</t>
  </si>
  <si>
    <t>Накачивание кабеля сжатым газом на усилительном участке длиной до 20 км, диаметр кабеля до 60 мм</t>
  </si>
  <si>
    <t>ТЕРм10-06-014-17</t>
  </si>
  <si>
    <t>Накачивание кабеля сжатым газом на усилительном участке длиной до 20 км, диаметр кабеля свыше 60 мм</t>
  </si>
  <si>
    <t>ТЕРм10-06-014-18</t>
  </si>
  <si>
    <t>Накачивание кабеля сжатым газом на усилительном участке длиной до 40 км, диаметр кабеля до 40 мм</t>
  </si>
  <si>
    <t>ТЕРм10-06-014-19</t>
  </si>
  <si>
    <t>Накачивание кабеля сжатым газом на усилительном участке длиной до 40 км, диаметр кабеля до 60 мм</t>
  </si>
  <si>
    <t>ТЕРм10-06-014-20</t>
  </si>
  <si>
    <t>Накачивание кабеля сжатым газом на усилительном участке длиной до 40 км, диаметр кабеля свыше 60 мм</t>
  </si>
  <si>
    <t xml:space="preserve">                                   Разные работы</t>
  </si>
  <si>
    <t>ТЕРм10-06-015-01</t>
  </si>
  <si>
    <t>Бокс с двумя втулками, емкость жил до 20</t>
  </si>
  <si>
    <t>ТЕРм10-06-015-02</t>
  </si>
  <si>
    <t>Бокс с двумя втулками, емкость жил до 40</t>
  </si>
  <si>
    <t>ТЕРм10-06-015-03</t>
  </si>
  <si>
    <t>Бокс с двумя втулками, емкость жил до 60</t>
  </si>
  <si>
    <t>ТЕРм10-06-015-04</t>
  </si>
  <si>
    <t>Ящик индуктивности</t>
  </si>
  <si>
    <t>ТЕРм10-06-015-05</t>
  </si>
  <si>
    <t>Снятие верхнего джутового покрова с кабеля, масса 1 м кабеля до 9 кг</t>
  </si>
  <si>
    <t>ТЕРм10-06-015-06</t>
  </si>
  <si>
    <t>Снятие верхнего джутового покрова с кабеля, масса 1 м кабеля до 18 кг</t>
  </si>
  <si>
    <t>ТЕРм10-06-015-07</t>
  </si>
  <si>
    <t>Включение цепей и проводов в кабельный ящик</t>
  </si>
  <si>
    <t>ТЕРм10-06-015-08</t>
  </si>
  <si>
    <t>Установка столбика замерного для линии связи</t>
  </si>
  <si>
    <t>ТЕРм10-06-015-09</t>
  </si>
  <si>
    <t>Установка катушки пупиновской</t>
  </si>
  <si>
    <t>ТЕРм10-06-015-10</t>
  </si>
  <si>
    <t>Устройство ввода кабеля в НУП</t>
  </si>
  <si>
    <t xml:space="preserve">                                   Раздел 2. ЛИНИИ СВЯЗИ КАБЕЛЬНЫЕ ГОРОДСКИЕ</t>
  </si>
  <si>
    <t xml:space="preserve">                                   Прокладка кабеля в подземной канализации</t>
  </si>
  <si>
    <t>ТЕРм10-06-026-01</t>
  </si>
  <si>
    <t>Прокладка кабеля в подземной канализации, масса 1 м кабеля до 1 кг</t>
  </si>
  <si>
    <t>ТЕРм10-06-026-02</t>
  </si>
  <si>
    <t>Прокладка кабеля в подземной канализации, масса 1 м кабеля до 2 кг</t>
  </si>
  <si>
    <t>ТЕРм10-06-026-03</t>
  </si>
  <si>
    <t>Прокладка кабеля в подземной канализации, масса 1 м кабеля до 3 кг</t>
  </si>
  <si>
    <t>ТЕРм10-06-026-04</t>
  </si>
  <si>
    <t>Прокладка кабеля в подземной канализации, масса 1 м кабеля до 6 кг</t>
  </si>
  <si>
    <t>ТЕРм10-06-026-05</t>
  </si>
  <si>
    <t>Прокладка кабеля в подземной канализации, масса 1 м кабеля до 9 кг</t>
  </si>
  <si>
    <t>ТЕРм10-06-026-06</t>
  </si>
  <si>
    <t>Прокладка кабеля в подземной канализации, масса 1 м кабеля до 13 кг</t>
  </si>
  <si>
    <t>ТЕРм10-06-026-07</t>
  </si>
  <si>
    <t>Прокладка кабеля в подземной канализации, масса 1 м кабеля до 18 кг</t>
  </si>
  <si>
    <t xml:space="preserve">                                   Прокладка кабеля в коллекторе</t>
  </si>
  <si>
    <t>ТЕРм10-06-027-01</t>
  </si>
  <si>
    <t>Прокладка кабеля в коллекторе, масса 1 м кабеля до 1 кг</t>
  </si>
  <si>
    <t>ТЕРм10-06-027-02</t>
  </si>
  <si>
    <t>Прокладка кабеля в коллекторе, масса 1 м кабеля до 2 кг</t>
  </si>
  <si>
    <t>ТЕРм10-06-027-03</t>
  </si>
  <si>
    <t>Прокладка кабеля в коллекторе, масса 1 м кабеля до 3 кг</t>
  </si>
  <si>
    <t>ТЕРм10-06-027-04</t>
  </si>
  <si>
    <t>Прокладка кабеля в коллекторе, масса 1 м кабеля до 6 кг</t>
  </si>
  <si>
    <t>ТЕРм10-06-027-05</t>
  </si>
  <si>
    <t>Прокладка кабеля в коллекторе, масса 1 м кабеля до 9 кг</t>
  </si>
  <si>
    <t>ТЕРм10-06-027-06</t>
  </si>
  <si>
    <t>Прокладка кабеля в коллекторе, масса 1 м кабеля до 13 кг</t>
  </si>
  <si>
    <t>ТЕРм10-06-027-07</t>
  </si>
  <si>
    <t>Прокладка кабеля в коллекторе, масса 1 м кабеля до 18 кг</t>
  </si>
  <si>
    <t>ТЕРм10-06-027-08</t>
  </si>
  <si>
    <t>Установка консоли в коллекторе одноместной</t>
  </si>
  <si>
    <t>ТЕРм10-06-027-09</t>
  </si>
  <si>
    <t>Установка консоли в коллекторе двухместной</t>
  </si>
  <si>
    <t>ТЕРм10-06-027-10</t>
  </si>
  <si>
    <t>Установка консоли в коллекторе трехместной</t>
  </si>
  <si>
    <t>ТЕРм10-06-027-11</t>
  </si>
  <si>
    <t>Установка консоли в коллекторе четырехместной</t>
  </si>
  <si>
    <t>ТЕРм10-06-027-12</t>
  </si>
  <si>
    <t>Установка консоли в коллекторе пяти-шестиместной</t>
  </si>
  <si>
    <t xml:space="preserve">                                   Муфты прямые парных кабелей в котлованах</t>
  </si>
  <si>
    <t>ТЕРм10-06-028-01</t>
  </si>
  <si>
    <t>Муфта прямая на кабеле в котлованах, емкость до 10х2</t>
  </si>
  <si>
    <t>ТЕРм10-06-028-02</t>
  </si>
  <si>
    <t>Муфта прямая на кабеле в котлованах, емкость до 20х2</t>
  </si>
  <si>
    <t>ТЕРм10-06-028-03</t>
  </si>
  <si>
    <t>Муфта прямая на кабеле в котлованах, емкость до 30х2</t>
  </si>
  <si>
    <t>ТЕРм10-06-028-04</t>
  </si>
  <si>
    <t>Муфта прямая на кабеле в котлованах, емкость до 50х2</t>
  </si>
  <si>
    <t>ТЕРм10-06-028-05</t>
  </si>
  <si>
    <t>Муфта прямая на кабеле в котлованах, емкость до 100х2</t>
  </si>
  <si>
    <t>ТЕРм10-06-028-06</t>
  </si>
  <si>
    <t>Муфта прямая на кабеле в котлованах, емкость до 150х2</t>
  </si>
  <si>
    <t>ТЕРм10-06-028-07</t>
  </si>
  <si>
    <t>Муфта прямая на кабеле в котлованах, емкость до 200х2</t>
  </si>
  <si>
    <t>ТЕРм10-06-028-08</t>
  </si>
  <si>
    <t>Муфта прямая на кабеле в котлованах, емкость до 300х2</t>
  </si>
  <si>
    <t>ТЕРм10-06-028-09</t>
  </si>
  <si>
    <t>Муфта прямая на кабеле в котлованах, емкость до 400х2</t>
  </si>
  <si>
    <t>ТЕРм10-06-028-10</t>
  </si>
  <si>
    <t>Муфта прямая на кабеле в котлованах, емкость до 500х2</t>
  </si>
  <si>
    <t>ТЕРм10-06-028-11</t>
  </si>
  <si>
    <t>Муфта прямая на кабеле в котлованах, емкость до 600х2</t>
  </si>
  <si>
    <t xml:space="preserve">                                   Муфты прямые парных кабелей в колодцах</t>
  </si>
  <si>
    <t>ТЕРм10-06-029-01</t>
  </si>
  <si>
    <t>Муфта прямая на кабеле со свинцовой оболочкой в колодцах, емкость до 10х2</t>
  </si>
  <si>
    <t>ТЕРм10-06-029-02</t>
  </si>
  <si>
    <t>Муфта прямая на кабеле со свинцовой оболочкой в колодцах, емкость до 20х2</t>
  </si>
  <si>
    <t>ТЕРм10-06-029-03</t>
  </si>
  <si>
    <t>Муфта прямая на кабеле со свинцовой оболочкой в колодцах, емкость до 30х2</t>
  </si>
  <si>
    <t>ТЕРм10-06-029-04</t>
  </si>
  <si>
    <t>Муфта прямая на кабеле со свинцовой оболочкой в колодцах, емкость до 50х2</t>
  </si>
  <si>
    <t>ТЕРм10-06-029-05</t>
  </si>
  <si>
    <t>Муфта прямая на кабеле со свинцовой оболочкой в колодцах, емкость до 100х2</t>
  </si>
  <si>
    <t>ТЕРм10-06-029-06</t>
  </si>
  <si>
    <t>Муфта прямая на кабеле со свинцовой оболочкой в колодцах, емкость до 150х2</t>
  </si>
  <si>
    <t>ТЕРм10-06-029-07</t>
  </si>
  <si>
    <t>Муфта прямая на кабеле со свинцовой оболочкой в колодцах, емкость до 200х2</t>
  </si>
  <si>
    <t>ТЕРм10-06-029-08</t>
  </si>
  <si>
    <t>Муфта прямая на кабеле со свинцовой оболочкой в колодцах, емкость до 300х2</t>
  </si>
  <si>
    <t>ТЕРм10-06-029-09</t>
  </si>
  <si>
    <t>Муфта прямая на кабеле со свинцовой оболочкой в колодцах, емкость до 400х2</t>
  </si>
  <si>
    <t>ТЕРм10-06-029-10</t>
  </si>
  <si>
    <t>Муфта прямая на кабеле со свинцовой оболочкой в колодцах, емкость до 500х2</t>
  </si>
  <si>
    <t>ТЕРм10-06-029-11</t>
  </si>
  <si>
    <t>Муфта прямая на кабеле со свинцовой оболочкой в колодцах, емкость до 600х2</t>
  </si>
  <si>
    <t>ТЕРм10-06-029-12</t>
  </si>
  <si>
    <t>Муфта прямая на кабеле со свинцовой оболочкой в колодцах, емкость до 700х2</t>
  </si>
  <si>
    <t>ТЕРм10-06-029-13</t>
  </si>
  <si>
    <t>Муфта прямая на кабеле со свинцовой оболочкой в колодцах, емкость до 800х2</t>
  </si>
  <si>
    <t>ТЕРм10-06-029-14</t>
  </si>
  <si>
    <t>Муфта прямая на кабеле со свинцовой оболочкой в колодцах, емкость до 900х2</t>
  </si>
  <si>
    <t>ТЕРм10-06-029-15</t>
  </si>
  <si>
    <t>Муфта прямая на кабеле со свинцовой оболочкой в колодцах, емкость до 1000х2</t>
  </si>
  <si>
    <t>ТЕРм10-06-029-16</t>
  </si>
  <si>
    <t>Муфта прямая на кабеле со свинцовой оболочкой в колодцах, емкость до 1200х2</t>
  </si>
  <si>
    <t>ТЕРм10-06-029-17</t>
  </si>
  <si>
    <t>Муфта прямая на кабеле с пластиковой или винилитовой оболочкой в колодцах, емкость до 10х2</t>
  </si>
  <si>
    <t>ТЕРм10-06-029-18</t>
  </si>
  <si>
    <t>Муфта прямая на кабеле с пластиковой или винилитовой оболочкой в колодцах, емкость до 20х2</t>
  </si>
  <si>
    <t>ТЕРм10-06-029-19</t>
  </si>
  <si>
    <t>Муфта прямая на кабеле с пластиковой или винилитовой оболочкой в колодцах, емкость до 30х2</t>
  </si>
  <si>
    <t>ТЕРм10-06-029-20</t>
  </si>
  <si>
    <t>Муфта прямая на кабеле с пластиковой или винилитовой оболочкой в колодцах, емкость до 50х2</t>
  </si>
  <si>
    <t>ТЕРм10-06-029-21</t>
  </si>
  <si>
    <t>Муфта прямая на кабеле с пластиковой или винилитовой оболочкой в колодцах, емкость до 100х2</t>
  </si>
  <si>
    <t>ТЕРм10-06-029-22</t>
  </si>
  <si>
    <t>Муфта прямая на кабеле с пластиковой или винилитовой оболочкой в колодцах, емкость до 150х2</t>
  </si>
  <si>
    <t>ТЕРм10-06-029-23</t>
  </si>
  <si>
    <t>Муфта прямая на кабеле с пластиковой или винилитовой оболочкой в колодцах, емкость до 200х2</t>
  </si>
  <si>
    <t>ТЕРм10-06-029-24</t>
  </si>
  <si>
    <t>Муфта прямая на кабеле с пластиковой или винилитовой оболочкой в колодцах, емкость до 300х2</t>
  </si>
  <si>
    <t>ТЕРм10-06-029-25</t>
  </si>
  <si>
    <t>Муфта прямая на кабеле с пластиковой или винилитовой оболочкой в колодцах, емкость до 400х2</t>
  </si>
  <si>
    <t>ТЕРм10-06-029-26</t>
  </si>
  <si>
    <t>Муфта прямая на кабеле с пластиковой или винилитовой оболочкой в колодцах, емкость до 500х2</t>
  </si>
  <si>
    <t>ТЕРм10-06-029-27</t>
  </si>
  <si>
    <t>Муфта прямая на кабеле с пластиковой или винилитовой оболочкой в колодцах, емкость до 600х2</t>
  </si>
  <si>
    <t>ТЕРм10-06-029-28</t>
  </si>
  <si>
    <t>Муфта прямая на кабеле с пластиковой или винилитовой оболочкой в колодцах, емкость до 700х2</t>
  </si>
  <si>
    <t>ТЕРм10-06-029-29</t>
  </si>
  <si>
    <t>Муфта прямая на кабеле с пластиковой или винилитовой оболочкой в колодцах, емкость до 800х2</t>
  </si>
  <si>
    <t>ТЕРм10-06-029-30</t>
  </si>
  <si>
    <t>Муфта прямая на кабеле с пластиковой или винилитовой оболочкой в колодцах, емкость до 900х2</t>
  </si>
  <si>
    <t>ТЕРм10-06-029-31</t>
  </si>
  <si>
    <t>Муфта прямая на кабеле с пластиковой или винилитовой оболочкой в колодцах, емкость до 1000х2</t>
  </si>
  <si>
    <t>ТЕРм10-06-029-32</t>
  </si>
  <si>
    <t>Муфта прямая на кабеле с пластиковой или винилитовой оболочкой в колодцах, емкость до 1200х2</t>
  </si>
  <si>
    <t>ТЕРм10-06-029-33</t>
  </si>
  <si>
    <t>Муфта прямая на кабеле с пластиковой или винилитовой оболочкой в колодцах, емкость до 1400х2</t>
  </si>
  <si>
    <t>ТЕРм10-06-029-34</t>
  </si>
  <si>
    <t>Муфта прямая на кабеле с пластиковой или винилитовой оболочкой в колодцах, емкость до 1600х2</t>
  </si>
  <si>
    <t>ТЕРм10-06-029-35</t>
  </si>
  <si>
    <t>Муфта прямая на кабеле с пластиковой или винилитовой оболочкой в колодцах, емкость до 1800х2</t>
  </si>
  <si>
    <t>ТЕРм10-06-029-36</t>
  </si>
  <si>
    <t>Муфта прямая на кабеле с пластиковой или винилитовой оболочкой в колодцах, емкость до 2000х2</t>
  </si>
  <si>
    <t>ТЕРм10-06-029-37</t>
  </si>
  <si>
    <t>Муфта прямая на кабеле с пластиковой или винилитовой оболочкой в колодцах, емкость до 2400х2</t>
  </si>
  <si>
    <t>ТЕРм10-06-030-01</t>
  </si>
  <si>
    <t>Муфта газонепроницаемая МГНМ на кабеле в помещении, диаметр оболочки кабеля до 20 мм</t>
  </si>
  <si>
    <t>ТЕРм10-06-030-02</t>
  </si>
  <si>
    <t>Муфта газонепроницаемая МГНМ на кабеле в помещении, диаметр оболочки кабеля до 30 мм</t>
  </si>
  <si>
    <t>ТЕРм10-06-030-03</t>
  </si>
  <si>
    <t>Муфта газонепроницаемая МГНМ на кабеле в помещении, диаметр оболочки кабеля до 50 мм</t>
  </si>
  <si>
    <t>ТЕРм10-06-030-04</t>
  </si>
  <si>
    <t>Муфта газонепроницаемая МГНМ на кабеле в помещении, диаметр оболочки кабеля до 70 мм</t>
  </si>
  <si>
    <t>ТЕРм10-06-030-05</t>
  </si>
  <si>
    <t>Муфта газонепроницаемая МСГ на кабеле в помещении, диаметр оболочки кабеля до 30 мм</t>
  </si>
  <si>
    <t>ТЕРм10-06-030-06</t>
  </si>
  <si>
    <t>Муфта газонепроницаемая МСГ на кабеле в помещении, диаметр оболочки кабеля до 40 мм</t>
  </si>
  <si>
    <t>ТЕРм10-06-030-07</t>
  </si>
  <si>
    <t>Муфта газонепроницаемая МСГ на кабеле в помещении, диаметр оболочки кабеля до 50 мм</t>
  </si>
  <si>
    <t>ТЕРм10-06-030-08</t>
  </si>
  <si>
    <t>Муфта газонепроницаемая МСГ на кабеле в помещении, диаметр оболочки кабеля до 60 мм</t>
  </si>
  <si>
    <t>ТЕРм10-06-030-09</t>
  </si>
  <si>
    <t>Муфта газонепроницаемая МСГ на кабеле в помещении, диаметр оболочки кабеля до 70 мм</t>
  </si>
  <si>
    <t>ТЕРм10-06-030-10</t>
  </si>
  <si>
    <t>Муфта газонепроницаемая МСГ на кабеле в помещении, диаметр оболочки кабеля до 80 мм</t>
  </si>
  <si>
    <t>ТЕРм10-06-030-11</t>
  </si>
  <si>
    <t>Муфта газонепроницаемая МГ на кабеле в помещении, диаметр оболочки кабеля до 20 мм</t>
  </si>
  <si>
    <t>ТЕРм10-06-030-12</t>
  </si>
  <si>
    <t>Муфта газонепроницаемая МГ на кабеле в помещении, диаметр оболочки кабеля до 30 мм</t>
  </si>
  <si>
    <t>ТЕРм10-06-030-13</t>
  </si>
  <si>
    <t>Муфта газонепроницаемая МГ на кабеле в помещении, диаметр оболочки кабеля до 40 мм</t>
  </si>
  <si>
    <t>ТЕРм10-06-030-14</t>
  </si>
  <si>
    <t>Муфта газонепроницаемая МГ на кабеле в помещении, диаметр оболочки кабеля до 50 мм</t>
  </si>
  <si>
    <t>ТЕРм10-06-030-15</t>
  </si>
  <si>
    <t>Муфта газонепроницаемая МГ на кабеле в помещении, диаметр оболочки кабеля до 60 мм</t>
  </si>
  <si>
    <t>ТЕРм10-06-030-16</t>
  </si>
  <si>
    <t>Муфта газонепроницаемая МГ на кабеле в помещении, диаметр оболочки кабеля до 70 мм</t>
  </si>
  <si>
    <t>ТЕРм10-06-030-17</t>
  </si>
  <si>
    <t>Муфта газонепроницаемая МГ на кабеле в помещении, диаметр оболочки кабеля до 80 мм</t>
  </si>
  <si>
    <t xml:space="preserve">                                   Пупинизация и симметрирование кабеля</t>
  </si>
  <si>
    <t>ТЕРм10-06-031-01</t>
  </si>
  <si>
    <t>Ящик индуктивности в котловане на кабеле емкостью 100х2</t>
  </si>
  <si>
    <t>ТЕРм10-06-031-02</t>
  </si>
  <si>
    <t>Ящик индуктивности в котловане на кабеле емкостью 200х2</t>
  </si>
  <si>
    <t>ТЕРм10-06-031-03</t>
  </si>
  <si>
    <t>Ящик индуктивности в колодце на кабеле емкостью 100х2</t>
  </si>
  <si>
    <t>ТЕРм10-06-031-04</t>
  </si>
  <si>
    <t>Ящик индуктивности в колодце на кабеле емкостью 200х2</t>
  </si>
  <si>
    <t>ТЕРм10-06-031-05</t>
  </si>
  <si>
    <t>Симметрирование кабеля между оконечными устройствами, расстояние до 5 км</t>
  </si>
  <si>
    <t>ТЕРм10-06-031-06</t>
  </si>
  <si>
    <t>Симметрирование кабеля между оконечными устройствами, расстояние свыше 5 км</t>
  </si>
  <si>
    <t xml:space="preserve">                                   Измерение кабелей</t>
  </si>
  <si>
    <t>ТЕРм10-06-032-01</t>
  </si>
  <si>
    <t>Комплекс измерений постоянным током смонтированных парных кабелей до и после включения в оконечные устройства</t>
  </si>
  <si>
    <t>ТЕРм10-06-032-02</t>
  </si>
  <si>
    <t>Прослушивание и измерение переходных затуханий на парных кабелях, емкость 100х2</t>
  </si>
  <si>
    <t>ТЕРм10-06-032-03</t>
  </si>
  <si>
    <t>Прослушивание и измерение переходных затуханий на парных кабелях, емкость 150х2</t>
  </si>
  <si>
    <t>ТЕРм10-06-032-04</t>
  </si>
  <si>
    <t>Прослушивание и измерение переходных затуханий на парных кабелях, емкость 200х2</t>
  </si>
  <si>
    <t>ТЕРм10-06-032-05</t>
  </si>
  <si>
    <t>Прослушивание и измерение переходных затуханий на парных кабелях, емкость 300х2</t>
  </si>
  <si>
    <t>ТЕРм10-06-032-06</t>
  </si>
  <si>
    <t>Прослушивание и измерение переходных затуханий на парных кабелях, емкость 400х2</t>
  </si>
  <si>
    <t>ТЕРм10-06-032-07</t>
  </si>
  <si>
    <t>Прослушивание и измерение переходных затуханий на парных кабелях, емкость 500х2</t>
  </si>
  <si>
    <t>ТЕРм10-06-032-08</t>
  </si>
  <si>
    <t>Прослушивание и измерение переходных затуханий на парных кабелях, емкость 600х2</t>
  </si>
  <si>
    <t>ТЕРм10-06-032-09</t>
  </si>
  <si>
    <t>Прослушивание и измерение переходных затуханий на парных кабелях, емкость 700х2</t>
  </si>
  <si>
    <t>ТЕРм10-06-032-10</t>
  </si>
  <si>
    <t>Прослушивание и измерение переходных затуханий на парных кабелях, емкость 800х2</t>
  </si>
  <si>
    <t>ТЕРм10-06-032-11</t>
  </si>
  <si>
    <t>Прослушивание и измерение переходных затуханий на парных кабелях, емкость 900х2</t>
  </si>
  <si>
    <t>ТЕРм10-06-032-12</t>
  </si>
  <si>
    <t>Прослушивание и измерение переходных затуханий на парных кабелях, емкость 1000х2</t>
  </si>
  <si>
    <t>ТЕРм10-06-032-13</t>
  </si>
  <si>
    <t>Прослушивание и измерение переходных затуханий на парных кабелях, емкость 1200х2</t>
  </si>
  <si>
    <t>ТЕРм10-06-032-14</t>
  </si>
  <si>
    <t>Прослушивание и измерение переходных затуханий на парных кабелях, емкость 1400х2</t>
  </si>
  <si>
    <t>ТЕРм10-06-032-15</t>
  </si>
  <si>
    <t>Прослушивание и измерение переходных затуханий на парных кабелях, емкость 1600х2</t>
  </si>
  <si>
    <t>ТЕРм10-06-032-16</t>
  </si>
  <si>
    <t>Прослушивание и измерение переходных затуханий на парных кабелях, емкость 1800х2</t>
  </si>
  <si>
    <t>ТЕРм10-06-032-17</t>
  </si>
  <si>
    <t>Прослушивание и измерение переходных затуханий на парных кабелях, емкость 2000х2</t>
  </si>
  <si>
    <t>ТЕРм10-06-032-18</t>
  </si>
  <si>
    <t>Прослушивание и измерение переходных затуханий на парных кабелях, емкость 2400х2</t>
  </si>
  <si>
    <t xml:space="preserve">                                   Реконструкция кабельных линий</t>
  </si>
  <si>
    <t>ТЕРм10-06-033-01</t>
  </si>
  <si>
    <t>Перекладка кабеля в колодцах, диаметр оболочки до 30 мм</t>
  </si>
  <si>
    <t>ТЕРм10-06-033-02</t>
  </si>
  <si>
    <t>Перекладка кабеля в колодцах, диаметр оболочки до 50 мм</t>
  </si>
  <si>
    <t>ТЕРм10-06-033-03</t>
  </si>
  <si>
    <t>Перекладка кабеля в колодцах, диаметр оболочки до 70 мм</t>
  </si>
  <si>
    <t>ТЕРм10-06-033-04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</si>
  <si>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50х2</t>
  </si>
  <si>
    <t>ТЕРм10-06-033-05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</si>
  <si>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100х2</t>
  </si>
  <si>
    <t>ТЕРм10-06-033-06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</si>
  <si>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200х2</t>
  </si>
  <si>
    <t>ТЕРм10-06-033-07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</si>
  <si>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500х2</t>
  </si>
  <si>
    <t>ТЕРм10-06-033-08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</si>
  <si>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700х2</t>
  </si>
  <si>
    <t>ТЕРм10-06-033-09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</si>
  <si>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900х2</t>
  </si>
  <si>
    <t>ТЕРм10-06-033-10</t>
  </si>
  <si>
    <t>Пересоединение действующих кабелей без перерыва действия абонентов на два новых кабеля, включенных в оконечные устройства, емкость кабеля до 1200х2</t>
  </si>
  <si>
    <t>ТЕРм10-06-033-11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</si>
  <si>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50х2</t>
  </si>
  <si>
    <t>ТЕРм10-06-033-12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</si>
  <si>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100х2</t>
  </si>
  <si>
    <t>ТЕРм10-06-033-13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</si>
  <si>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200х2</t>
  </si>
  <si>
    <t>ТЕРм10-06-033-14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</si>
  <si>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500х2</t>
  </si>
  <si>
    <t>ТЕРм10-06-033-15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</si>
  <si>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700х2</t>
  </si>
  <si>
    <t>ТЕРм10-06-033-16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</si>
  <si>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900х2</t>
  </si>
  <si>
    <t>ТЕРм10-06-033-17</t>
  </si>
  <si>
    <t>Пересоединение действующих кабелей без перерыва действия абонентов на один новый кабель, включенный в оконечные устройства, емкость кабеля до 1200х2</t>
  </si>
  <si>
    <t>ТЕРм10-06-033-18</t>
  </si>
  <si>
    <t>Пересоединение действующих кабелей без перерыва действия абонентов на кабельную вставку, емкость кабеля до 50х2</t>
  </si>
  <si>
    <t>ТЕРм10-06-033-19</t>
  </si>
  <si>
    <t>Пересоединение действующих кабелей без перерыва действия абонентов на кабельную вставку, емкость кабеля до 100х2</t>
  </si>
  <si>
    <t>ТЕРм10-06-033-20</t>
  </si>
  <si>
    <t>Пересоединение действующих кабелей без перерыва действия абонентов на кабельную вставку, емкость кабеля до 200х2</t>
  </si>
  <si>
    <t>ТЕРм10-06-033-21</t>
  </si>
  <si>
    <t>Пересоединение действующих кабелей без перерыва действия абонентов на кабельную вставку, емкость кабеля до 500х2</t>
  </si>
  <si>
    <t>ТЕРм10-06-033-22</t>
  </si>
  <si>
    <t>Пересоединение действующих кабелей без перерыва действия абонентов на кабельную вставку, емкость кабеля до 700х2</t>
  </si>
  <si>
    <t>ТЕРм10-06-033-23</t>
  </si>
  <si>
    <t>Пересоединение действующих кабелей без перерыва действия абонентов на кабельную вставку, емкость кабеля до 900х2</t>
  </si>
  <si>
    <t>ТЕРм10-06-033-24</t>
  </si>
  <si>
    <t>Пересоединение действующих кабелей без перерыва действия абонентов на кабельную вставку, емкость кабеля до 1200х2</t>
  </si>
  <si>
    <t>ТЕРм10-06-033-25</t>
  </si>
  <si>
    <t>Вытягивание кабеля из канализации, масса 1 м кабеля до 1 кг</t>
  </si>
  <si>
    <t>ТЕРм10-06-033-26</t>
  </si>
  <si>
    <t>Вытягивание кабеля из канализации, масса 1 м кабеля до 2 кг</t>
  </si>
  <si>
    <t>ТЕРм10-06-033-27</t>
  </si>
  <si>
    <t>Вытягивание кабеля из канализации, масса 1 м кабеля до 3 кг</t>
  </si>
  <si>
    <t>ТЕРм10-06-033-28</t>
  </si>
  <si>
    <t>Вытягивание кабеля из канализации, масса 1 м кабеля до 6 кг</t>
  </si>
  <si>
    <t>ТЕРм10-06-033-29</t>
  </si>
  <si>
    <t>Вытягивание кабеля из канализации, масса 1 м кабеля до 9 кг</t>
  </si>
  <si>
    <t>ТЕРм10-06-033-30</t>
  </si>
  <si>
    <t>Вытягивание кабеля из канализации, масса 1 м кабеля до 13 кг</t>
  </si>
  <si>
    <t>ТЕРм10-06-033-31</t>
  </si>
  <si>
    <t>Вытягивание кабеля из канализации, масса 1 м кабеля до 18 кг</t>
  </si>
  <si>
    <t>ТЕРм10-06-033-32</t>
  </si>
  <si>
    <t>Замена нумерации на кабельном ящике</t>
  </si>
  <si>
    <t>ТЕРм10-06-033-33</t>
  </si>
  <si>
    <t>Замена нумерации на распределительной коробке</t>
  </si>
  <si>
    <t>ТЕРм10-06-033-34</t>
  </si>
  <si>
    <t>Замена нумерации кабелей в колодце</t>
  </si>
  <si>
    <t>ТЕРм10-06-033-35</t>
  </si>
  <si>
    <t>Отборка и вырезка запасных пар в действующих кабелях с прозвонкой, емкость кабеля до 50х2</t>
  </si>
  <si>
    <t>ТЕРм10-06-033-36</t>
  </si>
  <si>
    <t>Отборка и вырезка запасных пар в действующих кабелях с прозвонкой, емкость кабеля до 150х2</t>
  </si>
  <si>
    <t>ТЕРм10-06-033-37</t>
  </si>
  <si>
    <t>Отборка и вырезка запасных пар в действующих кабелях с прозвонкой, емкость кабеля до 300х2</t>
  </si>
  <si>
    <t>ТЕРм10-06-033-38</t>
  </si>
  <si>
    <t>Отборка и вырезка запасных пар в действующих кабелях с прозвонкой, емкость кабеля до 600х2</t>
  </si>
  <si>
    <t>ТЕРм10-06-033-39</t>
  </si>
  <si>
    <t>Отборка и вырезка запасных пар в действующих кабелях с прозвонкой, емкость кабеля до 800х2</t>
  </si>
  <si>
    <t>ТЕРм10-06-033-40</t>
  </si>
  <si>
    <t>Отборка и вырезка запасных пар в действующих кабелях с прозвонкой, емкость кабеля до 1200х2</t>
  </si>
  <si>
    <t>ТЕРм10-06-034-01</t>
  </si>
  <si>
    <t>Шкаф телефонный распределительный емкостью до 600х2 при установке на фундаменте</t>
  </si>
  <si>
    <t>ТЕРм10-06-034-02</t>
  </si>
  <si>
    <t>Шкаф телефонный распределительный емкостью до 600х2 при установке в готовой нише</t>
  </si>
  <si>
    <t>ТЕРм10-06-034-03</t>
  </si>
  <si>
    <t>Шкаф телефонный распределительный емкостью до 1200х2 при установке на фундаменте</t>
  </si>
  <si>
    <t>ТЕРм10-06-034-04</t>
  </si>
  <si>
    <t>Шкаф телефонный распределительный емкостью до 1200х2 при установке в готовой нише</t>
  </si>
  <si>
    <t>ТЕРм10-06-034-05</t>
  </si>
  <si>
    <t>Бокс для телефонных кабелей (зарядка и установка), емкость бокса до 50х2, оболочка кабеля пластмассовая</t>
  </si>
  <si>
    <t>ТЕРм10-06-034-06</t>
  </si>
  <si>
    <t>Бокс для телефонных кабелей (зарядка и установка), емкость бокса до 50х2, оболочка кабеля свинцовая или алюминиевая</t>
  </si>
  <si>
    <t>ТЕРм10-06-034-07</t>
  </si>
  <si>
    <t>Бокс для телефонных кабелей (зарядка и установка), емкость бокса до 100х2 оболочка кабеля, пластмассовая</t>
  </si>
  <si>
    <t>ТЕРм10-06-034-08</t>
  </si>
  <si>
    <t>Бокс для телефонных кабелей (зарядка и установка), емкость бокса до 100х2 оболочка кабеля, свинцовая или алюминиевая</t>
  </si>
  <si>
    <t>ТЕРм10-06-034-09</t>
  </si>
  <si>
    <t>Ящик кабельный емкостью до 10х2 при установке на чердаке</t>
  </si>
  <si>
    <t>ТЕРм10-06-034-10</t>
  </si>
  <si>
    <t>Ящик кабельный емкостью до 10х2 при установке на столбе</t>
  </si>
  <si>
    <t>ТЕРм10-06-034-11</t>
  </si>
  <si>
    <t>Ящик кабельный емкостью до 20х2 при установке на столбе</t>
  </si>
  <si>
    <t>ТЕРм10-06-034-12</t>
  </si>
  <si>
    <t>Коробка распределительная настенная на кабеле с пластмассовой оболочкой</t>
  </si>
  <si>
    <t>ТЕРм10-06-034-13</t>
  </si>
  <si>
    <t>Коробка распределительная настенная на кабеле со свинцовой или алюминиевой оболочкой</t>
  </si>
  <si>
    <t>ТЕРм10-06-034-14</t>
  </si>
  <si>
    <t>Защита кабеля металлическими желобами на стене деревянной или кирпичной</t>
  </si>
  <si>
    <t>ТЕРм10-06-034-15</t>
  </si>
  <si>
    <t>Защита кабеля металлическими желобами на стене бетонной</t>
  </si>
  <si>
    <t>ТЕРм10-06-034-16</t>
  </si>
  <si>
    <t>Защита кабеля металлическими желобами на лестничной клетке с проходом через площадку по стене деревянной или кирпичной</t>
  </si>
  <si>
    <t>ТЕРм10-06-034-17</t>
  </si>
  <si>
    <t>Защита кабеля металлическими желобами на лестничной клетке с проходом через площадку по стене бетонной</t>
  </si>
  <si>
    <t>ТЕРм10-06-034-18</t>
  </si>
  <si>
    <t>Окраска проложенного кабеля</t>
  </si>
  <si>
    <t>ТЕРм10-06-034-19</t>
  </si>
  <si>
    <t>Ввод абонентский или групповой с установкой коробок или АЗУ со столба или стойки на стену</t>
  </si>
  <si>
    <t>ТЕРм10-06-034-20</t>
  </si>
  <si>
    <t>Защитная полоса на оконечном устройстве емкостью 25х2, оболочка кабеля пластмассовая</t>
  </si>
  <si>
    <t>ТЕРм10-06-034-21</t>
  </si>
  <si>
    <t>Защитная полоса на оконечном устройстве емкостью 25х2, оболочка кабеля свинцовая или алюминиевая</t>
  </si>
  <si>
    <t>ТЕРм10-06-034-22</t>
  </si>
  <si>
    <t>Рамка с разделительными пружинами на оконечном устройстве, емкость 40х2, кабель в пластмассовой оболочке</t>
  </si>
  <si>
    <t>ТЕРм10-06-034-23</t>
  </si>
  <si>
    <t>Устройство для вывода кабеля из канализации на стену с рытьем и засыпкой, без прохода через стену</t>
  </si>
  <si>
    <t>ТЕРм10-06-034-24</t>
  </si>
  <si>
    <t>Устройство заземления боксов (под винт) типа БМ 1-1 емкостью 10х2</t>
  </si>
  <si>
    <t>ТЕРм10-06-034-25</t>
  </si>
  <si>
    <t>Устройство заземления боксов (под винт) типа БМ 1-2 емкостью 20х2</t>
  </si>
  <si>
    <t>ТЕРм10-06-034-26</t>
  </si>
  <si>
    <t>Устройство заземления боксов (под винт) типа БМ 1-3 емкостью 30х2</t>
  </si>
  <si>
    <t>ТЕРм10-06-034-27</t>
  </si>
  <si>
    <t>Герметизация канала кабельной канализации свободного</t>
  </si>
  <si>
    <t>ТЕРм10-06-034-28</t>
  </si>
  <si>
    <t>Герметизация канала кабельной канализации занятого</t>
  </si>
  <si>
    <t>ТЕРм10-06-034-29</t>
  </si>
  <si>
    <t>Герметизация канала в помещении ввода кабелей (в шахте АТС) свободного</t>
  </si>
  <si>
    <t>ТЕРм10-06-034-30</t>
  </si>
  <si>
    <t>Герметизация канала в помещении ввода кабелей (в шахте АТС) занятого</t>
  </si>
  <si>
    <t>ТЕРм10-06-034-31</t>
  </si>
  <si>
    <t>Герметизация крышки люка колодца кабельной канализации</t>
  </si>
  <si>
    <t xml:space="preserve">                                   Кабели, подвешиваемые на опорах</t>
  </si>
  <si>
    <t>ТЕРм10-06-035-01</t>
  </si>
  <si>
    <t>Кабель на столбовой линии, масса 1 м до 2 кг</t>
  </si>
  <si>
    <t>ТЕРм10-06-035-02</t>
  </si>
  <si>
    <t>Кабель на столбовой линии, масса 1 м до 4 кг</t>
  </si>
  <si>
    <t>ТЕРм10-06-035-03</t>
  </si>
  <si>
    <t>Кабель на стоечной линии, масса 1 м кабеля до 2 кг</t>
  </si>
  <si>
    <t xml:space="preserve">                                   Трубы стальные для слаботочных сетей, требующих экранирования</t>
  </si>
  <si>
    <t>ТЕРм10-06-036-01</t>
  </si>
  <si>
    <t>Труба стальная для слаботочных сетей, требующих экранирования, в готовых бороздах и перекрытиях, диаметр до 25 мм</t>
  </si>
  <si>
    <t>ТЕРм10-06-036-02</t>
  </si>
  <si>
    <t>Труба стальная для слаботочных сетей, требующих экранирования, в готовых бороздах и перекрытиях, диаметр до 40 мм</t>
  </si>
  <si>
    <t>ТЕРм10-06-036-03</t>
  </si>
  <si>
    <t>Труба стальная для слаботочных сетей, требующих экранирования, в готовых бороздах и перекрытиях, диаметр до 50 мм</t>
  </si>
  <si>
    <t>ТЕРм10-06-036-04</t>
  </si>
  <si>
    <t>Труба стальная для слаботочных сетей, требующих экранирования, в готовых бороздах и перекрытиях, диаметр до 80 мм</t>
  </si>
  <si>
    <t>ТЕРм10-06-036-05</t>
  </si>
  <si>
    <t>Труба стальная для слаботочных сетей, требующих экранирования, в готовых бороздах и перекрытиях, диаметр до 100 мм</t>
  </si>
  <si>
    <t>ТЕРм10-06-036-06</t>
  </si>
  <si>
    <t>Труба стальная для слаботочных сетей, требующих экранирования, с креплением накладными скобами, диаметр до 40 мм</t>
  </si>
  <si>
    <t>ТЕРм10-06-036-07</t>
  </si>
  <si>
    <t>Труба стальная для слаботочных сетей, требующих экранирования, с креплением накладными скобами, диаметр до 50 мм</t>
  </si>
  <si>
    <t>ТЕРм10-06-036-08</t>
  </si>
  <si>
    <t>Труба стальная для слаботочных сетей, требующих экранирования, с креплением накладными скобами, диаметр до 80 мм</t>
  </si>
  <si>
    <t>ТЕРм10-06-036-09</t>
  </si>
  <si>
    <t>Труба стальная для слаботочных сетей, требующих экранирования, с креплением накладными скобами, диаметр до 100 мм</t>
  </si>
  <si>
    <t>ТЕРм10-06-036-10</t>
  </si>
  <si>
    <t>Труба стальная для слаботочных сетей, требующих экранирования, по установленным металлическим конструкциям, диаметр до 25 мм</t>
  </si>
  <si>
    <t>ТЕРм10-06-036-11</t>
  </si>
  <si>
    <t>Труба стальная для слаботочных сетей, требующих экранирования, по установленным металлическим конструкциям, диаметр до 40 мм</t>
  </si>
  <si>
    <t>ТЕРм10-06-036-12</t>
  </si>
  <si>
    <t>Труба стальная для слаботочных сетей, требующих экранирования, по установленным металлическим конструкциям, диаметр до 50 мм</t>
  </si>
  <si>
    <t>ТЕРм10-06-036-13</t>
  </si>
  <si>
    <t>Труба стальная для слаботочных сетей, требующих экранирования, по установленным металлическим конструкциям, диаметр до 80 мм</t>
  </si>
  <si>
    <t>ТЕРм10-06-036-14</t>
  </si>
  <si>
    <t>Труба стальная для слаботочных сетей, требующих экранирования, по установленным металлическим конструкциям, диаметр до 100 мм</t>
  </si>
  <si>
    <t>ТЕРм10-06-036-15</t>
  </si>
  <si>
    <t>Труба стальная для слаботочных сетей, требующих экранирования, в стояке с креплением накладными скобами, диаметр до 50 мм</t>
  </si>
  <si>
    <t>ТЕРм10-06-036-16</t>
  </si>
  <si>
    <t>Труба стальная для слаботочных сетей, требующих экранирования, в стояке с креплением накладными скобами, диаметр до 80 мм</t>
  </si>
  <si>
    <t>ТЕРм10-06-036-17</t>
  </si>
  <si>
    <t>Труба стальная для слаботочных сетей, требующих экранирования, в стояке с креплением накладными скобами, диаметр до 100 мм</t>
  </si>
  <si>
    <t>ТЕРм10-06-036-18</t>
  </si>
  <si>
    <t>Труба стальная для слаботочных сетей, требующих экранирования, в стояке с креплением накладными скобами, диаметр до 125 мм</t>
  </si>
  <si>
    <t>ТЕРм10-06-036-19</t>
  </si>
  <si>
    <t>Труба стальная для слаботочных сетей, требующих экранирования, в стояке по установленным металлическим конструкциям, диаметр до 50 мм</t>
  </si>
  <si>
    <t>ТЕРм10-06-036-20</t>
  </si>
  <si>
    <t>Труба стальная для слаботочных сетей, требующих экранирования, в стояке по установленным металлическим конструкциям, диаметр до 80 мм</t>
  </si>
  <si>
    <t>ТЕРм10-06-036-21</t>
  </si>
  <si>
    <t>Труба стальная для слаботочных сетей, требующих экранирования, в стояке по установленным металлическим конструкциям, диаметр до 100 мм</t>
  </si>
  <si>
    <t>ТЕРм10-06-036-22</t>
  </si>
  <si>
    <t>Труба стальная для слаботочных сетей, требующих экранирования, в стояке по установленным металлическим конструкциям, диаметр до 125 мм</t>
  </si>
  <si>
    <t xml:space="preserve">                                   Шкафы, ящики и коробки для трубных проводок</t>
  </si>
  <si>
    <t>ТЕРм10-06-037-01</t>
  </si>
  <si>
    <t>Шкаф для трубных проводок напольный, размер до 600х600 мм</t>
  </si>
  <si>
    <t>ТЕРм10-06-037-02</t>
  </si>
  <si>
    <t>Шкаф для трубных проводок напольный, размер до 700х1000 мм</t>
  </si>
  <si>
    <t>ТЕРм10-06-037-03</t>
  </si>
  <si>
    <t>Шкаф для трубных проводок напольный, размер до 700х1500 мм</t>
  </si>
  <si>
    <t>ТЕРм10-06-037-04</t>
  </si>
  <si>
    <t>Шкаф для трубных проводок напольный, размер до 800х1800 мм</t>
  </si>
  <si>
    <t>ТЕРм10-06-037-05</t>
  </si>
  <si>
    <t>Шкаф для трубных проводок настенный, размер до 640х840 мм</t>
  </si>
  <si>
    <t>ТЕРм10-06-037-06</t>
  </si>
  <si>
    <t>Шкаф для трубных проводок настенный, размер до 700х1000 мм</t>
  </si>
  <si>
    <t>ТЕРм10-06-037-07</t>
  </si>
  <si>
    <t>Шкаф для трубных проводок настенный, размер до 800х1800 мм</t>
  </si>
  <si>
    <t>ТЕРм10-06-037-08</t>
  </si>
  <si>
    <t>Ящик для трубных проводок протяжной или коробка, размер до 200х200 мм</t>
  </si>
  <si>
    <t>ТЕРм10-06-037-09</t>
  </si>
  <si>
    <t>Ящик для трубных проводок протяжной или коробка, размер до 500х500 мм</t>
  </si>
  <si>
    <t>ТЕРм10-06-037-10</t>
  </si>
  <si>
    <t>Ящик для трубных проводок протяжной, размер до 1000х800 мм</t>
  </si>
  <si>
    <t>ТЕРм10-06-037-11</t>
  </si>
  <si>
    <t>Ящик для трубных проводок протяжной, размер до 1600х1000 мм</t>
  </si>
  <si>
    <t>ТЕРм10-06-037-12</t>
  </si>
  <si>
    <t>Коробка оконечная</t>
  </si>
  <si>
    <t>ТЕРм10-06-037-13</t>
  </si>
  <si>
    <t>Крышка декоративная и другие мелкие изделия (без присоединения проводов)</t>
  </si>
  <si>
    <t xml:space="preserve">                                   Раздел 3. ЛИНИИ СВЯЗИ КАБЕЛЬНЫЕ ВОЛОКОННО-ОПТИЧЕСКИЕ</t>
  </si>
  <si>
    <t xml:space="preserve">                                   Прокладка волоконно-оптических кабелей</t>
  </si>
  <si>
    <t>ТЕРм10-06-048-01</t>
  </si>
  <si>
    <t>Прокладка волоконно-оптических кабелей кабелеукладчиком в грунтах I, II группы</t>
  </si>
  <si>
    <t>ТЕРм10-06-048-02</t>
  </si>
  <si>
    <t>Прокладка волоконно-оптических кабелей кабелеукладчиком в грунтах III группы</t>
  </si>
  <si>
    <t>ТЕРм10-06-048-03</t>
  </si>
  <si>
    <t>Переходы волоконно-оптическим кабелем кабелеукладчиком через водоемы на выброшенных тросах, глубина прокладки до 1,2 м, ширина зеркала водоема до 100 м</t>
  </si>
  <si>
    <t>ТЕРм10-06-048-04</t>
  </si>
  <si>
    <t>Переходы волоконно-оптическим кабелем кабелеукладчиком через водоемы на выброшенных тросах, глубина прокладки до 1,2 м, ширина зеркала водоема до 200 м</t>
  </si>
  <si>
    <t>ТЕРм10-06-048-05</t>
  </si>
  <si>
    <t>Прокладка волоконно-оптических кабелей в траншее</t>
  </si>
  <si>
    <t>ТЕРм10-06-048-06</t>
  </si>
  <si>
    <t>Прокладка волоконно-оптических кабелей в канализации в трубопроводе по свободному каналу</t>
  </si>
  <si>
    <t>ТЕРм10-06-048-07</t>
  </si>
  <si>
    <t>Прокладка волоконно-оптических кабелей в канализации в трубопроводе по занятому каналу</t>
  </si>
  <si>
    <t>ТЕРм10-06-048-08</t>
  </si>
  <si>
    <t>Прокладка волоконно-оптических кабелей в канализации в полиэтиленовой трубе по свободному каналу трубопровода</t>
  </si>
  <si>
    <t>ТЕРм10-06-048-09</t>
  </si>
  <si>
    <t>Прокладка волоконно-оптических кабелей в канализации в полиэтиленовой трубе по занятому каналу трубопровода</t>
  </si>
  <si>
    <t xml:space="preserve">                                   Прокладка полиэтиленовой трубки в канализации</t>
  </si>
  <si>
    <t>ТЕРм10-06-049-01</t>
  </si>
  <si>
    <t>Прокладка полиэтиленовой трубки в канализации по свободному каналу трубопровода в одну нитку</t>
  </si>
  <si>
    <t>ТЕРм10-06-049-02</t>
  </si>
  <si>
    <t>Прокладка полиэтиленовой трубки в канализации по свободному каналу трубопровода в две нитки</t>
  </si>
  <si>
    <t>ТЕРм10-06-049-03</t>
  </si>
  <si>
    <t>Прокладка полиэтиленовой трубки в канализации по занятому каналу трубопровода</t>
  </si>
  <si>
    <t xml:space="preserve">                                   Прокладка, проверка затухания и ввод ШСС в УССЛК</t>
  </si>
  <si>
    <t>ТЕРм10-06-050-01</t>
  </si>
  <si>
    <t>Прокладка, проверка затухания и ввод ШСС в УССЛК</t>
  </si>
  <si>
    <t xml:space="preserve">                                   Муфты прямые на волоконно-оптическом кабеле ГТС в колодце</t>
  </si>
  <si>
    <t>ТЕРм10-06-051-01</t>
  </si>
  <si>
    <t>Муфты прямые с учетом измерений рефлектометром в процессе монтажа на кабеле ГТС в колодце с числом волокон 4</t>
  </si>
  <si>
    <t>ТЕРм10-06-051-02</t>
  </si>
  <si>
    <t>Муфты прямые с учетом измерений рефлектометром в процессе монтажа на кабеле ГТС в колодце с числом волокон 8</t>
  </si>
  <si>
    <t>ТЕРм10-06-051-03</t>
  </si>
  <si>
    <t>Муфты прямые с учетом измерений рефлектометром в процессе монтажа на кабеле ГТС в колодце с числом волокон 12</t>
  </si>
  <si>
    <t>ТЕРм10-06-051-04</t>
  </si>
  <si>
    <t>Муфты прямые с учетом измерений рефлектометром в процессе монтажа на кабеле ГТС в колодце с числом волокон 16</t>
  </si>
  <si>
    <t>ТЕРм10-06-051-05</t>
  </si>
  <si>
    <t>Муфты прямые с учетом измерений рефлектометром в процессе монтажа на кабеле ГТС в колодце с числом волокон 20</t>
  </si>
  <si>
    <t>ТЕРм10-06-051-06</t>
  </si>
  <si>
    <t>Муфты прямые с учетом измерений рефлектометром в процессе монтажа на кабеле ГТС в колодце с числом волокон 24</t>
  </si>
  <si>
    <t>ТЕРм10-06-051-07</t>
  </si>
  <si>
    <t>Муфты прямые с учетом измерений рефлектометром в процессе монтажа на кабеле ГТС в колодце с числом волокон 32</t>
  </si>
  <si>
    <t>ТЕРм10-06-051-08</t>
  </si>
  <si>
    <t>Муфты прямые с учетом измерений рефлектометром в процессе монтажа на кабеле ГТС в колодце с числом волокон 48</t>
  </si>
  <si>
    <t xml:space="preserve">                                   Муфты прямые на зоновом волоконно-оптическом кабеле в котловане</t>
  </si>
  <si>
    <t>ТЕРм10-06-052-01</t>
  </si>
  <si>
    <t>Муфты прямые с учетом измерений рефлектометром в процессе монтажа на зоновом кабеле в котловане с числом волокон 4</t>
  </si>
  <si>
    <t>ТЕРм10-06-052-02</t>
  </si>
  <si>
    <t>Муфты прямые с учетом измерений рефлектометром в процессе монтажа на зоновом кабеле в котловане с числом волокон 8</t>
  </si>
  <si>
    <t>ТЕРм10-06-052-03</t>
  </si>
  <si>
    <t>Муфты прямые с учетом измерений рефлектометром в процессе монтажа на зоновом кабеле в котловане с числом волокон 12</t>
  </si>
  <si>
    <t>ТЕРм10-06-052-04</t>
  </si>
  <si>
    <t>Муфты прямые с учетом измерений рефлектометром в процессе монтажа на зоновом кабеле в котловане с числом волокон 16</t>
  </si>
  <si>
    <t>ТЕРм10-06-052-05</t>
  </si>
  <si>
    <t>Муфты прямые с учетом измерений рефлектометром в процессе монтажа на зоновом кабеле в котловане с числом волокон 20</t>
  </si>
  <si>
    <t>ТЕРм10-06-052-06</t>
  </si>
  <si>
    <t>Муфты прямые с учетом измерений рефлектометром в процессе монтажа на зоновом кабеле в котловане с числом волокон 24</t>
  </si>
  <si>
    <t>ТЕРм10-06-052-07</t>
  </si>
  <si>
    <t>Муфты прямые с учетом измерений рефлектометром в процессе монтажа на зоновом кабеле в котловане с числом волокон 32</t>
  </si>
  <si>
    <t>ТЕРм10-06-052-08</t>
  </si>
  <si>
    <t>Муфты прямые с учетом измерений рефлектометром в процессе монтажа на зоновом кабеле в котловане с числом волокон 48</t>
  </si>
  <si>
    <t xml:space="preserve">                                   Измерение волоконно-оптических кабелей на кабельной площадке</t>
  </si>
  <si>
    <t>ТЕРм10-06-053-01</t>
  </si>
  <si>
    <t>Измерение затухания на кабельной площадке волоконно-оптического кабеля ГТС с числом волокон 4</t>
  </si>
  <si>
    <t>ТЕРм10-06-053-02</t>
  </si>
  <si>
    <t>Измерение затухания на кабельной площадке волоконно-оптического кабеля ГТС с числом волокон 8</t>
  </si>
  <si>
    <t>ТЕРм10-06-053-03</t>
  </si>
  <si>
    <t>Измерение затухания на кабельной площадке волоконно-оптического кабеля ГТС с числом волокон 12</t>
  </si>
  <si>
    <t>ТЕРм10-06-053-04</t>
  </si>
  <si>
    <t>Измерение затухания на кабельной площадке волоконно-оптического кабеля ГТС с числом волокон 16</t>
  </si>
  <si>
    <t>ТЕРм10-06-053-05</t>
  </si>
  <si>
    <t>Измерение затухания на кабельной площадке волоконно-оптического кабеля ГТС с числом волокон 20</t>
  </si>
  <si>
    <t>ТЕРм10-06-053-06</t>
  </si>
  <si>
    <t>Измерение затухания на кабельной площадке волоконно-оптического кабеля ГТС с числом волокон 24</t>
  </si>
  <si>
    <t>ТЕРм10-06-053-07</t>
  </si>
  <si>
    <t>Измерение затухания на кабельной площадке волоконно-оптического кабеля ГТС с числом волокон 32</t>
  </si>
  <si>
    <t>ТЕРм10-06-053-08</t>
  </si>
  <si>
    <t>Измерение затухания на кабельной площадке волоконно-оптического кабеля ГТС с числом волокон 48</t>
  </si>
  <si>
    <t>ТЕРм10-06-053-09</t>
  </si>
  <si>
    <t>Измерение затухания на кабельной площадке волоконно-оптического зонового кабеля с числом волокон 4</t>
  </si>
  <si>
    <t>ТЕРм10-06-053-10</t>
  </si>
  <si>
    <t>Измерение затухания на кабельной площадке волоконно-оптического зонового кабеля с числом волокон 8</t>
  </si>
  <si>
    <t>ТЕРм10-06-053-11</t>
  </si>
  <si>
    <t>Измерение затухания на кабельной площадке волоконно-оптического зонового кабеля с числом волокон 12</t>
  </si>
  <si>
    <t>ТЕРм10-06-053-12</t>
  </si>
  <si>
    <t>Измерение затухания на кабельной площадке волоконно-оптического зонового кабеля с числом волокон 16</t>
  </si>
  <si>
    <t>ТЕРм10-06-053-13</t>
  </si>
  <si>
    <t>Измерение затухания на кабельной площадке волоконно-оптического зонового кабеля с числом волокон 20</t>
  </si>
  <si>
    <t>ТЕРм10-06-053-14</t>
  </si>
  <si>
    <t>Измерение затухания на кабельной площадке волоконно-оптического зонового кабеля с числом волокон 24</t>
  </si>
  <si>
    <t>ТЕРм10-06-053-15</t>
  </si>
  <si>
    <t>Измерение затухания на кабельной площадке волоконно-оптического зонового кабеля с числом волокон 32</t>
  </si>
  <si>
    <t>ТЕРм10-06-053-16</t>
  </si>
  <si>
    <t>Измерение затухания на кабельной площадке волоконно-оптического зонового кабеля с числом волокон 48</t>
  </si>
  <si>
    <t xml:space="preserve">                                   Измерение волоконно-оптических кабелей на смонтированном участке</t>
  </si>
  <si>
    <t>ТЕРм10-06-054-01</t>
  </si>
  <si>
    <t>Измерение на смонтированном участке волоконно-оптического кабеля ГТС в одном направлении с числом волокон 4</t>
  </si>
  <si>
    <t>ТЕРм10-06-054-02</t>
  </si>
  <si>
    <t>Измерение на смонтированном участке волоконно-оптического кабеля ГТС в одном направлении с числом волокон 8</t>
  </si>
  <si>
    <t>ТЕРм10-06-054-03</t>
  </si>
  <si>
    <t>Измерение на смонтированном участке волоконно-оптического кабеля ГТС в одном направлении с числом волокон 12</t>
  </si>
  <si>
    <t>ТЕРм10-06-054-04</t>
  </si>
  <si>
    <t>Измерение на смонтированном участке волоконно-оптического кабеля ГТС в одном направлении с числом волокон 16</t>
  </si>
  <si>
    <t>ТЕРм10-06-054-05</t>
  </si>
  <si>
    <t>Измерение на смонтированном участке волоконно-оптического кабеля ГТС в одном направлении с числом волокон 20</t>
  </si>
  <si>
    <t>ТЕРм10-06-054-06</t>
  </si>
  <si>
    <t>Измерение на смонтированном участке волоконно-оптического кабеля ГТС в одном направлении с числом волокон 24</t>
  </si>
  <si>
    <t>ТЕРм10-06-054-07</t>
  </si>
  <si>
    <t>Измерение на смонтированном участке волоконно-оптического кабеля ГТС в одном направлении с числом волокон 32</t>
  </si>
  <si>
    <t>ТЕРм10-06-054-08</t>
  </si>
  <si>
    <t>Измерение на смонтированном участке волоконно-оптического кабеля ГТС в одном направлении с числом волокон 48</t>
  </si>
  <si>
    <t>ТЕРм10-06-054-09</t>
  </si>
  <si>
    <t>Измерение на смонтированном участке волоконно-оптического зонового кабеля в одном направлении с числом волокон 4</t>
  </si>
  <si>
    <t>ТЕРм10-06-054-10</t>
  </si>
  <si>
    <t>Измерение на смонтированном участке волоконно-оптического зонового кабеля в одном направлении с числом волокон 8</t>
  </si>
  <si>
    <t>ТЕРм10-06-054-11</t>
  </si>
  <si>
    <t>Измерение на смонтированном участке волоконно-оптического зонового кабеля в одном направлении с числом волокон 12</t>
  </si>
  <si>
    <t>ТЕРм10-06-054-12</t>
  </si>
  <si>
    <t>Измерение на смонтированном участке волоконно-оптического зонового кабеля в одном направлении с числом волокон 16</t>
  </si>
  <si>
    <t>ТЕРм10-06-054-13</t>
  </si>
  <si>
    <t>Измерение на смонтированном участке волоконно-оптического зонового кабеля в одном направлении с числом волокон 20</t>
  </si>
  <si>
    <t>ТЕРм10-06-054-14</t>
  </si>
  <si>
    <t>Измерение на смонтированном участке волоконно-оптического зонового кабеля в одном направлении с числом волокон 24</t>
  </si>
  <si>
    <t>ТЕРм10-06-054-15</t>
  </si>
  <si>
    <t>Измерение на смонтированном участке волоконно-оптического зонового кабеля в одном направлении с числом волокон 32</t>
  </si>
  <si>
    <t>ТЕРм10-06-054-16</t>
  </si>
  <si>
    <t>Измерение на смонтированном участке волоконно-оптического зонового кабеля в одном направлении с числом волокон 48</t>
  </si>
  <si>
    <t xml:space="preserve">                                   Монтаж устройства стыковки станционного и линейного кабелей (УССЛК)</t>
  </si>
  <si>
    <t>ТЕРм10-06-055-01</t>
  </si>
  <si>
    <t>Установка, монтаж УССЛК с учетом измерений в процессе монтажа на волоконно-оптическом кабеле ГТС с числом волокон 4</t>
  </si>
  <si>
    <t>ТЕРм10-06-055-02</t>
  </si>
  <si>
    <t>Установка, монтаж УССЛК с учетом измерений в процессе монтажа на волоконно-оптическом кабеле ГТС с числом волокон 8</t>
  </si>
  <si>
    <t>ТЕРм10-06-055-03</t>
  </si>
  <si>
    <t>Установка, монтаж УССЛК с учетом измерений в процессе монтажа на волоконно-оптическом кабеле ГТС с числом волокон 12</t>
  </si>
  <si>
    <t>ТЕРм10-06-055-04</t>
  </si>
  <si>
    <t>Установка, монтаж УССЛК с учетом измерений в процессе монтажа на волоконно-оптическом кабеле ГТС с числом волокон 16</t>
  </si>
  <si>
    <t>ТЕРм10-06-055-05</t>
  </si>
  <si>
    <t>Установка, монтаж УССЛК с учетом измерений в процессе монтажа на волоконно-оптическом кабеле ГТС с числом волокон 20</t>
  </si>
  <si>
    <t>ТЕРм10-06-055-06</t>
  </si>
  <si>
    <t>Установка, монтаж УССЛК с учетом измерений в процессе монтажа на волоконно-оптическом кабеле ГТС с числом волокон 24</t>
  </si>
  <si>
    <t>ТЕРм10-06-055-07</t>
  </si>
  <si>
    <t>Установка, монтаж УССЛК с учетом измерений в процессе монтажа на волоконно-оптическом кабеле ГТС с числом волокон 32</t>
  </si>
  <si>
    <t>ТЕРм10-06-055-08</t>
  </si>
  <si>
    <t>Установка, монтаж УССЛК с учетом измерений в процессе монтажа на волоконно-оптическом кабеле ГТС с числом волокон 48</t>
  </si>
  <si>
    <t>ТЕРм10-06-055-09</t>
  </si>
  <si>
    <t>Установка, монтаж УССЛК с учетом измерений в процессе монтажа на волоконно-оптическом кабеле зоновом с числом волокон 4</t>
  </si>
  <si>
    <t>ТЕРм10-06-055-10</t>
  </si>
  <si>
    <t>Установка, монтаж УССЛК с учетом измерений в процессе монтажа на волоконно-оптическом кабеле зоновом с числом волокон 8</t>
  </si>
  <si>
    <t>ТЕРм10-06-055-11</t>
  </si>
  <si>
    <t>Установка, монтаж УССЛК с учетом измерений в процессе монтажа на волоконно-оптическом кабеле зоновом с числом волокон 12</t>
  </si>
  <si>
    <t>ТЕРм10-06-055-12</t>
  </si>
  <si>
    <t>Установка, монтаж УССЛК с учетом измерений в процессе монтажа на волоконно-оптическом кабеле зоновом с числом волокон 16</t>
  </si>
  <si>
    <t>ТЕРм10-06-055-13</t>
  </si>
  <si>
    <t>Установка, монтаж УССЛК с учетом измерений в процессе монтажа на волоконно-оптическом кабеле зоновом с числом волокон 20</t>
  </si>
  <si>
    <t>ТЕРм10-06-055-14</t>
  </si>
  <si>
    <t>Установка, монтаж УССЛК с учетом измерений в процессе монтажа на волоконно-оптическом кабеле зоновом с числом волокон 24</t>
  </si>
  <si>
    <t>ТЕРм10-06-055-15</t>
  </si>
  <si>
    <t>Установка, монтаж УССЛК с учетом измерений в процессе монтажа на волоконно-оптическом кабеле зоновом с числом волокон 32</t>
  </si>
  <si>
    <t>ТЕРм10-06-055-16</t>
  </si>
  <si>
    <t>Установка, монтаж УССЛК с учетом измерений в процессе монтажа на волоконно-оптическом кабеле зоновом с числом волокон 48</t>
  </si>
  <si>
    <t xml:space="preserve">                                   Инсталляция (прокладка потоком воздуха) волоконно-оптического кабеля в пластмассовой трубке</t>
  </si>
  <si>
    <t>ТЕРм10-06-056-01</t>
  </si>
  <si>
    <t>Прокладка кабеля в пластмассовой трубке потоком воздуха</t>
  </si>
  <si>
    <t>ТЕРм10-06-056-02</t>
  </si>
  <si>
    <t>Монтаж камер на пластмассовой трубке</t>
  </si>
  <si>
    <t>ТЕРм10-06-056-03</t>
  </si>
  <si>
    <t>Проверка проложенной пластмассовой трубки на герметичность</t>
  </si>
  <si>
    <t xml:space="preserve">                                   Раздел 4. НАСТРОЙКА СИНХРОННЫХ ЦИФРОВЫХ СИСТЕМ ПЕРЕДАЧИ</t>
  </si>
  <si>
    <t xml:space="preserve">                                   Настройка синхронных цифровых систем передачи</t>
  </si>
  <si>
    <t>ТЕРм10-06-068-01</t>
  </si>
  <si>
    <t>Электрическая проверка мультиплексора</t>
  </si>
  <si>
    <t>ТЕРм10-06-068-02</t>
  </si>
  <si>
    <t>Электрическая проверка регенератора</t>
  </si>
  <si>
    <t>ТЕРм10-06-068-03</t>
  </si>
  <si>
    <t>Тестирование оборудования оконечной станции (одно оптическое направление, схема «м1+0м» или «м1+1м», или «м1:1м») STM-1</t>
  </si>
  <si>
    <t>ТЕРм10-06-068-04</t>
  </si>
  <si>
    <t>Тестирование оборудования оконечной станции (одно оптическое направление, схема «м1+0м» или «м1+1м», или «м1:1м») STM-4</t>
  </si>
  <si>
    <t>ТЕРм10-06-068-05</t>
  </si>
  <si>
    <t>Тестирование оборудования оконечной станции (одно оптическое направление, схема «м1+0м» или «м1+1м», или «м1:1м») STM-16</t>
  </si>
  <si>
    <t>ТЕРм10-06-068-06</t>
  </si>
  <si>
    <t>Настройка линейного цифрового тракта, ТМ, СС и синхронизации одной системы передачи на одном участке “ввода-вывода” при количестве НРП=0 (схема «м1+0м»)</t>
  </si>
  <si>
    <t>ТЕРм10-06-068-07</t>
  </si>
  <si>
    <t>Настройка линейного цифрового тракта, ТМ, СС и синхронизации одной системы передачи на одном участке “ввода-вывода” при количестве НРП=0 (схема «м1+1м» или «м1:1м»)</t>
  </si>
  <si>
    <t>ТЕРм10-06-068-08</t>
  </si>
  <si>
    <t>Настройка линейного цифрового тракта, ТМ, СС и синхронизации одной системы передачи на одном участке “ввода-вывода” на каждый НРП (схема «м1+0м»)добавлять к расценке 10-06-068-06</t>
  </si>
  <si>
    <t>ТЕРм10-06-068-09</t>
  </si>
  <si>
    <t>Настройка линейного цифрового тракта, ТМ, СС и синхронизации одной системы передачи на одном участке “ввода-вывода” на каждый НРП (схема «м1+1м» или «м1:1м») добавлять к расценке 10-06-068-07</t>
  </si>
  <si>
    <t>ТЕРм10-06-068-10</t>
  </si>
  <si>
    <t>Настройка простых сетевых трактов 2 Мбит/сек. или 34 Мбит/сек., основной</t>
  </si>
  <si>
    <t>ТЕРм10-06-068-11</t>
  </si>
  <si>
    <t>Настройка простых сетевых трактов 2 Мбит/сек. или 34 Мбит/сек., последующий</t>
  </si>
  <si>
    <t>ТЕРм10-06-068-12</t>
  </si>
  <si>
    <t>Настройка простых сетевых трактов 155 Мбит/сек., основной</t>
  </si>
  <si>
    <t>ТЕРм10-06-068-13</t>
  </si>
  <si>
    <t>Настройка простых сетевых трактов 155 Мбит/сек., последующий</t>
  </si>
  <si>
    <t>ТЕРм10-06-068-15</t>
  </si>
  <si>
    <t>Настройка простых сетевых трактов конфигурация и настройка сетевых компонентов (мост, маршрутизатор, модем и т.п.)</t>
  </si>
  <si>
    <t>ТЕРм10-06-068-16</t>
  </si>
  <si>
    <t>Настройка простых сетевых трактов программирование сетевого элемента и отладка его работы (мультиплексор, регенератор)</t>
  </si>
  <si>
    <t>ТЕРм10-06-068-17</t>
  </si>
  <si>
    <t>Сдача объекта, контрольные и приемо-сдаточные испытания</t>
  </si>
  <si>
    <t xml:space="preserve">                                   Раздел 5. ИЗМЕРЕНИЕ ВОЗДУШНЫХ ЛИНИЙ СВЯЗИ</t>
  </si>
  <si>
    <t xml:space="preserve">                                   Измерение цепей постоянным током</t>
  </si>
  <si>
    <t>ТЕРм10-06-079-01</t>
  </si>
  <si>
    <t>Измерение сопротивления шлейфа, сопротивления изоляции и омической асимметрии</t>
  </si>
  <si>
    <t xml:space="preserve">                                   Измерение цепей переменным током</t>
  </si>
  <si>
    <t>ТЕРм10-06-080-01</t>
  </si>
  <si>
    <t>Измерение собственного затухания, входного сопротивления и уровня помех, диапазон частот до 10 кГц</t>
  </si>
  <si>
    <t>ТЕРм10-06-080-02</t>
  </si>
  <si>
    <t>Измерение собственного затухания, входного сопротивления и уровня помех, диапазон частот до 30 кГц</t>
  </si>
  <si>
    <t>ТЕРм10-06-080-03</t>
  </si>
  <si>
    <t>Измерение собственного затухания, входного сопротивления и уровня помех, диапазон частот до 60 кГц</t>
  </si>
  <si>
    <t>ТЕРм10-06-080-04</t>
  </si>
  <si>
    <t>Измерение собственного затухания, входного сопротивления и уровня помех, диапазон частот до 150 кГц</t>
  </si>
  <si>
    <t xml:space="preserve">                                   Измерение переходного затухания между цепями</t>
  </si>
  <si>
    <t>ТЕРм10-06-081-01</t>
  </si>
  <si>
    <t>Измерение переходного затухания между цепями на ближнем и дальнем концах, диапазон частот до 10 кГц</t>
  </si>
  <si>
    <t>ТЕРм10-06-081-02</t>
  </si>
  <si>
    <t>Измерение переходного затухания между цепями на ближнем и дальнем концах, диапазон частот до 30 кГц</t>
  </si>
  <si>
    <t>ТЕРм10-06-081-03</t>
  </si>
  <si>
    <t>Измерение переходного затухания между цепями на ближнем и дальнем концах, диапазон частот до 60 кГц</t>
  </si>
  <si>
    <t>ТЕРм10-06-081-04</t>
  </si>
  <si>
    <t>Измерение переходного затухания между цепями на ближнем и дальнем концах, диапазон частот до 150 кГц</t>
  </si>
  <si>
    <t xml:space="preserve">                           Раздел 7. ОТДЕЛ 07. СВЯЗЬ СЛУЖЕБНАЯ НА ЖЕЛЕЗНОДОРОЖНОМ ТРАНСПОРТЕ</t>
  </si>
  <si>
    <t xml:space="preserve">                                   Раздел 1. РАДИОСВЯЗЬ</t>
  </si>
  <si>
    <t xml:space="preserve">                                   Антенны</t>
  </si>
  <si>
    <t>ТЕРм10-07-001-01</t>
  </si>
  <si>
    <t>Высокочастотное возбуждение волновода</t>
  </si>
  <si>
    <t>ТЕРм10-07-001-02</t>
  </si>
  <si>
    <t>Антенна Г-образная</t>
  </si>
  <si>
    <t xml:space="preserve">                                   Подвеска волноводного провода и установка согласовывающего контура на опорах контактной сети</t>
  </si>
  <si>
    <t>ТЕРм10-07-002-01</t>
  </si>
  <si>
    <t>Подвеска волноводного провода на опорах контактной сети</t>
  </si>
  <si>
    <t>ТЕРм10-07-002-02</t>
  </si>
  <si>
    <t>Установка согласовывающего контура на опорах контактной сети</t>
  </si>
  <si>
    <t xml:space="preserve">                                   Раздел 2. ПРОВОДНАЯ СВЯЗЬ</t>
  </si>
  <si>
    <t xml:space="preserve">                                   Пункты промежуточной диспетчерской или постанционной связи</t>
  </si>
  <si>
    <t>ТЕРм10-07-011-01</t>
  </si>
  <si>
    <t>Пункт промежуточный диспетчерской или постанционной связи</t>
  </si>
  <si>
    <t xml:space="preserve">                                   Включения цепи по станционной связи в РМТС</t>
  </si>
  <si>
    <t>ТЕРм10-07-012-01</t>
  </si>
  <si>
    <t>Включение цепи постанционной связи в РМТС</t>
  </si>
  <si>
    <t xml:space="preserve">                                   Стойки-каркасы для кабельных муфт и стойки дополнительного оборудования</t>
  </si>
  <si>
    <t>ТЕРм10-07-013-01</t>
  </si>
  <si>
    <t>Стойка-каркас для кабельных муфт</t>
  </si>
  <si>
    <t>ТЕРм10-07-013-02</t>
  </si>
  <si>
    <t>Стойка дополнительного оборудования</t>
  </si>
  <si>
    <t xml:space="preserve">                                   Измерения и настройка кругов избирательной связи</t>
  </si>
  <si>
    <t>ТЕРм10-07-014-01</t>
  </si>
  <si>
    <t>Измерение и настройка круга избирательной связи</t>
  </si>
  <si>
    <t xml:space="preserve">                                   Аппаратура магистральной связи</t>
  </si>
  <si>
    <t>ТЕРм10-07-015-01</t>
  </si>
  <si>
    <t>Устройство телефонное переговорной связи типа «Перегон-2КТС»</t>
  </si>
  <si>
    <t>ТЕРм10-07-015-02</t>
  </si>
  <si>
    <t>Стойка перегонной связи (СКПС)</t>
  </si>
  <si>
    <t xml:space="preserve">                                   Пункты переговорные парковой связи</t>
  </si>
  <si>
    <t>ТЕРм10-07-016-01</t>
  </si>
  <si>
    <t>Пункт переговорной парковой связи, наружный совмещенный с громкоговорителем</t>
  </si>
  <si>
    <t>ТЕРм10-07-016-02</t>
  </si>
  <si>
    <t>Пункт переговорной парковой связи, наружный отдельно устанавливаемый</t>
  </si>
  <si>
    <t xml:space="preserve">                                   Коммутаторы технологической связи (КТС)</t>
  </si>
  <si>
    <t>ТЕРм10-07-017-01</t>
  </si>
  <si>
    <t>Коммутатор технологической связи на крупных станциях (два дежурных по станции, маневровый и горочный диспетчеры)</t>
  </si>
  <si>
    <t>ТЕРм10-07-017-02</t>
  </si>
  <si>
    <t>Коммутатор технологической связи на средних станциях (дежурный по станции и маневровый диспетчер)</t>
  </si>
  <si>
    <t>ТЕРм10-07-017-03</t>
  </si>
  <si>
    <t>Коммутатор технологической связи на малых станциях (дежурный по станции и оператор)</t>
  </si>
  <si>
    <t xml:space="preserve">                                   Абонентские устройства стрелочных постов или оперативных абонентов, включаемые в коммутаторы технологической связи (отдельно устанавливаемые)</t>
  </si>
  <si>
    <t>ТЕРм10-07-018-01</t>
  </si>
  <si>
    <t>Абонентское устройство стрелочного поста или оперативного абонента, включаемое в коммутатор технологической связи (отдельно устанавливаемое)</t>
  </si>
  <si>
    <t xml:space="preserve">                                   Абонентские устройства АУ-КТС избирательной связи (отдельно устанавливаемые)</t>
  </si>
  <si>
    <t>ТЕРм10-07-019-01</t>
  </si>
  <si>
    <t>Абонентское устройство АУ-КТС избирательной связи (отдельно устанавливаемое)</t>
  </si>
  <si>
    <t xml:space="preserve">                                   Раздел 3. КАБЕЛЬНЫЕ МАГИСТРАЛЬНЫЕ ЛИНИИ СВЯЗИ</t>
  </si>
  <si>
    <t xml:space="preserve">                                   Муфты соединительные, монтируемые методом горячей пайки</t>
  </si>
  <si>
    <t>ТЕРм10-07-050-01</t>
  </si>
  <si>
    <t>Муфта соединительная, монтируемая методом горячей пайки прямая на кабеле емкостью до 4х4</t>
  </si>
  <si>
    <t>ТЕРм10-07-050-02</t>
  </si>
  <si>
    <t>Муфта соединительная, монтируемая методом горячей пайки прямая на кабеле емкостью до 7х4</t>
  </si>
  <si>
    <t>ТЕРм10-07-050-03</t>
  </si>
  <si>
    <t>Муфта соединительная, монтируемая методом горячей пайки стыковая с симметрированием на ближнем конце на кабеле емкостью, до 4х4</t>
  </si>
  <si>
    <t>ТЕРм10-07-050-04</t>
  </si>
  <si>
    <t>Муфта соединительная, монтируемая методом горячей пайки стыковая с симметрированием на ближнем конце на кабеле емкостью, до 7х4</t>
  </si>
  <si>
    <t>ТЕРм10-07-050-05</t>
  </si>
  <si>
    <t>Муфта соединительная, монтируемая методом горячей пайки стыковая с симметрированием на дальнем конце на кабеля емкостью, до 4х4</t>
  </si>
  <si>
    <t>ТЕРм10-07-050-06</t>
  </si>
  <si>
    <t>Муфта соединительная, монтируемая методом горячей пайки стыковая с симметрированием на дальнем конце на кабеля емкостью, до 7х4</t>
  </si>
  <si>
    <t xml:space="preserve">                                   Муфты соединительные, монтируемые методом сварки</t>
  </si>
  <si>
    <t>ТЕРм10-07-051-01</t>
  </si>
  <si>
    <t>Муфта соединительная, монтируемая методом сварки прямая на кабеле емкостью до 4х4</t>
  </si>
  <si>
    <t>ТЕРм10-07-051-02</t>
  </si>
  <si>
    <t>Муфта соединительная, монтируемая методом сварки прямая на кабеле емкостью до 7х4</t>
  </si>
  <si>
    <t>ТЕРм10-07-051-03</t>
  </si>
  <si>
    <t>Муфта соединительная, монтируемая методом сварки стыковая с симметрированием на ближнем конце на кабеле емкость, до 4х4</t>
  </si>
  <si>
    <t>ТЕРм10-07-051-04</t>
  </si>
  <si>
    <t>Муфта соединительная, монтируемая методом сварки стыковая с симметрированием на ближнем конце на кабеле емкость, до 7х4</t>
  </si>
  <si>
    <t>ТЕРм10-07-051-05</t>
  </si>
  <si>
    <t>Муфта соединительная, монтируемая методом сварки стыковая с симметрированием на дальнем конце на кабеля емкость, до 4х4</t>
  </si>
  <si>
    <t>ТЕРм10-07-051-06</t>
  </si>
  <si>
    <t>Муфта соединительная, монтируемая методом сварки стыковая с симметрированием на дальнем конце на кабеля емкость, до 7х4</t>
  </si>
  <si>
    <t xml:space="preserve">                                   Муфты соединительные, монтируемые методом холодного опрессования</t>
  </si>
  <si>
    <t>ТЕРм10-07-052-01</t>
  </si>
  <si>
    <t>Муфта соединительная, монтируемая методом холодного опрессования прямая на кабеле емкостью до 4х4</t>
  </si>
  <si>
    <t>ТЕРм10-07-052-02</t>
  </si>
  <si>
    <t>Муфта соединительная, монтируемая методом холодного опрессования прямая на кабеле емкостью до 7х4</t>
  </si>
  <si>
    <t>ТЕРм10-07-052-03</t>
  </si>
  <si>
    <t>Муфта соединительная, монтируемая методом холодного опрессования стыковая с симметрированием на ближнем конце на кабеле емкостью, до 4х4</t>
  </si>
  <si>
    <t>ТЕРм10-07-052-04</t>
  </si>
  <si>
    <t>Муфта соединительная, монтируемая методом холодного опрессования стыковая с симметрированием на ближнем конце на кабеле емкостью, до 7х4</t>
  </si>
  <si>
    <t>ТЕРм10-07-052-05</t>
  </si>
  <si>
    <t>Муфта соединительная, монтируемая методом холодного опрессования стыковая с симметрированием на дальнем конце на кабеля емкостью, до 4х4</t>
  </si>
  <si>
    <t>ТЕРм10-07-052-06</t>
  </si>
  <si>
    <t>Муфта соединительная, монтируемая методом холодного опрессования стыковая с симметрированием на дальнем конце на кабеля емкостью, до 7х4</t>
  </si>
  <si>
    <t xml:space="preserve">                                   Муфты соединительные, монтируемые с применением полиуретановых композиций (ВИЛАД)</t>
  </si>
  <si>
    <t>ТЕРм10-07-053-01</t>
  </si>
  <si>
    <t>Муфта соединительная, монтируемая с применением полиуретановых композиций (ВИЛАД) прямая на кабеле емкостью до 1х4</t>
  </si>
  <si>
    <t>ТЕРм10-07-053-02</t>
  </si>
  <si>
    <t>Муфта соединительная, монтируемая с применением полиуретановых композиций (ВИЛАД) прямая на кабеле емкостью до 4х4</t>
  </si>
  <si>
    <t>ТЕРм10-07-053-03</t>
  </si>
  <si>
    <t>Муфта соединительная, монтируемая с применением полиуретановых композиций (ВИЛАД) прямая на кабеле емкостью до 7х4</t>
  </si>
  <si>
    <t>ТЕРм10-07-053-04</t>
  </si>
  <si>
    <t>Муфта соединительная, монтируемая с применением полиуретановых композиций (ВИЛАД) стыковая с симметрированием на ближнем конце на кабеле емкость до 1х4</t>
  </si>
  <si>
    <t>ТЕРм10-07-053-05</t>
  </si>
  <si>
    <t>Муфта соединительная, монтируемая с применением полиуретановых композиций (ВИЛАД) стыковая с симметрированием на ближнем конце на кабеле емкость до 4х4</t>
  </si>
  <si>
    <t>ТЕРм10-07-053-06</t>
  </si>
  <si>
    <t>Муфта соединительная, монтируемая с применением полиуретановых композиций (ВИЛАД) стыковая с симметрированием на ближнем конце на кабеле емкость до 7х4</t>
  </si>
  <si>
    <t>ТЕРм10-07-053-07</t>
  </si>
  <si>
    <t>Муфта соединительная, монтируемая с применением полиуретановых композиций (ВИЛАД) стыковая с симметрированием на дальнем конце на кабеля емкостью до 1х4</t>
  </si>
  <si>
    <t>ТЕРм10-07-053-08</t>
  </si>
  <si>
    <t>Муфта соединительная, монтируемая с применением полиуретановых композиций (ВИЛАД) стыковая с симметрированием на дальнем конце на кабеля емкостью до 4х4</t>
  </si>
  <si>
    <t>ТЕРм10-07-053-09</t>
  </si>
  <si>
    <t>Муфта соединительная, монтируемая с применением полиуретановых композиций (ВИЛАД) стыковая с симметрированием на дальнем конце на кабеля емкостью до 7х4</t>
  </si>
  <si>
    <t xml:space="preserve">                                   Изготовление и монтаж муфт изолирующих алюминиевых для кабелей связи в алюминиевой оболочке</t>
  </si>
  <si>
    <t>ТЕРм10-07-054-01</t>
  </si>
  <si>
    <t>Муфта изолирующая алюминиевая для кабелей связи в алюминиевой оболочке на кабеле емкостью до 4х4</t>
  </si>
  <si>
    <t>ТЕРм10-07-054-02</t>
  </si>
  <si>
    <t>Муфта изолирующая алюминиевая для кабелей связи в алюминиевой оболочке на кабеле емкостью до 7х4</t>
  </si>
  <si>
    <t>ТЕРм10-07-054-03</t>
  </si>
  <si>
    <t>Муфта изолирующая алюминиевая для кабелей связи в алюминиевой оболочке на кабеле емкостью до 12х4</t>
  </si>
  <si>
    <t xml:space="preserve">                                   Муфты ответвления от магистрального кабеля, монтируемые методом горячей пайки</t>
  </si>
  <si>
    <t>ТЕРм10-07-055-01</t>
  </si>
  <si>
    <t>Муфта ответвления от магистрального кабеля, монтируемая методом горячей пайки, ответвление от магистрального кабеля емкостью 4х4 при емкости кабеля ответвления, до 4х4</t>
  </si>
  <si>
    <t>ТЕРм10-07-055-02</t>
  </si>
  <si>
    <t>Муфта ответвления от магистрального кабеля, монтируемая методом горячей пайки, ответвление от магистрального кабеля емкостью 4х4 при емкости кабеля ответвления, до 7х4</t>
  </si>
  <si>
    <t>ТЕРм10-07-055-03</t>
  </si>
  <si>
    <t>Муфта ответвления от магистрального кабеля, монтируемая методом горячей пайки, ответвление от магистрального кабеля емкостью 7х4 при емкости кабеля ответвления, до 4х4</t>
  </si>
  <si>
    <t>ТЕРм10-07-055-04</t>
  </si>
  <si>
    <t>Муфта ответвления от магистрального кабеля, монтируемая методом горячей пайки, ответвление от магистрального кабеля емкостью 7х4 при емкости кабеля ответвления, до 7х4</t>
  </si>
  <si>
    <t>ТЕРм10-07-055-05</t>
  </si>
  <si>
    <t>Муфта ответвления от магистрального кабеля, монтируемая методом горячей пайки, ответвление от магистрального кабеля емкостью 7х4 при емкости кабеля ответвления, до 12х4</t>
  </si>
  <si>
    <t xml:space="preserve">                                   Муфты ответвления от магистрального кабеля, монтируемые методом сварки</t>
  </si>
  <si>
    <t>ТЕРм10-07-056-01</t>
  </si>
  <si>
    <t>Муфта ответвления от магистрального кабеля, монтируемая методом сварки, ответвление от магистрального кабеля емкостью 4х4 при емкости кабеля ответвления, до 4х4</t>
  </si>
  <si>
    <t>ТЕРм10-07-056-02</t>
  </si>
  <si>
    <t>Муфта ответвления от магистрального кабеля, монтируемая методом сварки, ответвление от магистрального кабеля емкостью 4х4 при емкости кабеля ответвления, до 7х4</t>
  </si>
  <si>
    <t>ТЕРм10-07-056-03</t>
  </si>
  <si>
    <t>Муфта ответвления от магистрального кабеля, монтируемая методом сварки, ответвление от магистрального кабеля емкостью 7х4 при емкости кабеля ответвления, до 4х4</t>
  </si>
  <si>
    <t>ТЕРм10-07-056-04</t>
  </si>
  <si>
    <t>Муфта ответвления от магистрального кабеля, монтируемая методом сварки, ответвление от магистрального кабеля емкостью 7х4 при емкости кабеля ответвления, до 7х4</t>
  </si>
  <si>
    <t>ТЕРм10-07-056-05</t>
  </si>
  <si>
    <t>Муфта ответвления от магистрального кабеля, монтируемая методом сварки, ответвление от магистрального кабеля емкостью 7х4 при емкости кабеля ответвления, до 12х4</t>
  </si>
  <si>
    <t xml:space="preserve">                                   Муфты ответвления от магистрального кабеля, монтируемые методом холодного опрессования</t>
  </si>
  <si>
    <t>ТЕРм10-07-057-01</t>
  </si>
  <si>
    <t>Муфта ответвления от магистрального кабеля, монтируемая методом холодного опрессования, ответвление от магистрального кабеля емкостью 4х4 при емкости кабеля ответвления, до 4х4</t>
  </si>
  <si>
    <t>ТЕРм10-07-057-02</t>
  </si>
  <si>
    <t>Муфта ответвления от магистрального кабеля, монтируемая методом холодного опрессования, ответвление от магистрального кабеля емкостью 4х4 при емкости кабеля ответвления, до 7х4</t>
  </si>
  <si>
    <t>ТЕРм10-07-057-03</t>
  </si>
  <si>
    <t>Муфта ответвления от магистрального кабеля, монтируемая методом холодного опрессования, ответвление от магистрального кабеля емкостью 7х4 при емкости кабеля ответвления, до 4х4</t>
  </si>
  <si>
    <t>ТЕРм10-07-057-04</t>
  </si>
  <si>
    <t>Муфта ответвления от магистрального кабеля, монтируемая методом холодного опрессования, ответвление от магистрального кабеля емкостью 7х4 при емкости кабеля ответвления, до 7х4</t>
  </si>
  <si>
    <t>ТЕРм10-07-057-05</t>
  </si>
  <si>
    <t>Муфта ответвления от магистрального кабеля, монтируемая методом холодного опрессования, ответвление от магистрального кабеля емкостью 7х4 при емкости кабеля ответвления, до 12х4</t>
  </si>
  <si>
    <t xml:space="preserve">                                   Вводы кабелей в служебно-технические здания</t>
  </si>
  <si>
    <t>ТЕРм10-07-058-01</t>
  </si>
  <si>
    <t>Ввод кабеля связи в служебно-технические здания, емкость кабеля 4х4</t>
  </si>
  <si>
    <t>ТЕРм10-07-058-02</t>
  </si>
  <si>
    <t>Ввод кабеля связи в служебно-технические здания, емкость кабеля 7х4</t>
  </si>
  <si>
    <t xml:space="preserve">                                   Вводы кабелей в подземные усилительные пункты</t>
  </si>
  <si>
    <t>ТЕРм10-07-059-01</t>
  </si>
  <si>
    <t>Ввод кабеля связи в подземные усилительные пункты, емкость кабеля 4х4</t>
  </si>
  <si>
    <t>ТЕРм10-07-059-02</t>
  </si>
  <si>
    <t>Ввод кабеля связи в подземные усилительные пункты, емкость кабеля 7х4</t>
  </si>
  <si>
    <t xml:space="preserve">                                   Вводы кабелей в наземные усилительные пункты</t>
  </si>
  <si>
    <t>ТЕРм10-07-060-01</t>
  </si>
  <si>
    <t>Ввод кабеля связи в наземные усилительные пункты, емкость кабеля 4х4</t>
  </si>
  <si>
    <t>ТЕРм10-07-060-02</t>
  </si>
  <si>
    <t>Ввод кабеля связи в наземные усилительные пункты, емкость кабеля 7х4</t>
  </si>
  <si>
    <t xml:space="preserve">                                   Вводы кабелей в релейные шкафы</t>
  </si>
  <si>
    <t>ТЕРм10-07-061-01</t>
  </si>
  <si>
    <t>Ввод кабелей связи в релейный шкаф, емкость кабеля 4х4</t>
  </si>
  <si>
    <t>ТЕРм10-07-061-02</t>
  </si>
  <si>
    <t>Ввод кабелей связи в релейный шкаф, емкость кабеля 7х4</t>
  </si>
  <si>
    <t>ТЕРм10-07-061-03</t>
  </si>
  <si>
    <t>Ввод кабелей связи в релейный шкаф, емкость кабеля 12х4</t>
  </si>
  <si>
    <t xml:space="preserve">                                   Контрольно-измерительные пункты, устанавливаемые в теле земляного полотна железных дорог</t>
  </si>
  <si>
    <t>ТЕРм10-07-062-01</t>
  </si>
  <si>
    <t>Контрольно-измерительные пункты, устанавливаемые в теле земляного полотна железных дорог</t>
  </si>
  <si>
    <t xml:space="preserve">                                   Кабели, прокладываемые кабелеукладчиком на железнодорожном ходу в тело земляного полотна железных дорог</t>
  </si>
  <si>
    <t>ТЕРм10-07-063-01</t>
  </si>
  <si>
    <t>Кабель, прокладываемый кабелеукладчиком на железнодорожном ходу, количество одновременно прокладываемых кабелей на действующих линиях с автономной тягой 1</t>
  </si>
  <si>
    <t>ТЕРм10-07-063-02</t>
  </si>
  <si>
    <t>Кабель, прокладываемый кабелеукладчиком на железнодорожном ходу, количество одновременно прокладываемых кабелей на действующих линиях с автономной тягой 2</t>
  </si>
  <si>
    <t>ТЕРм10-07-063-03</t>
  </si>
  <si>
    <t>Кабель, прокладываемый кабелеукладчиком на железнодорожном ходу, количество одновременно прокладываемых кабелей на действующих электрифицированных линиях 1</t>
  </si>
  <si>
    <t>ТЕРм10-07-063-04</t>
  </si>
  <si>
    <t>Кабель, прокладываемый кабелеукладчиком на железнодорожном ходу, количество одновременно прокладываемых кабелей на действующих электрифицированных линиях 2</t>
  </si>
  <si>
    <t>ТЕРм10-07-063-05</t>
  </si>
  <si>
    <t>Кабель, прокладываемый кабелеукладчиком на железнодорожном ходу, количество одновременно прокладываемых кабелей на новостроящихся линиях 1</t>
  </si>
  <si>
    <t>ТЕРм10-07-063-06</t>
  </si>
  <si>
    <t>Кабель, прокладываемый кабелеукладчиком на железнодорожном ходу, количество одновременно прокладываемых кабелей на новостроящихся линиях 2</t>
  </si>
  <si>
    <t xml:space="preserve">                                   Кабели, прокладываемые вручную в теле земляного полотна железной дороги (в готовые траншеи)</t>
  </si>
  <si>
    <t>ТЕРм10-07-064-01</t>
  </si>
  <si>
    <t>Кабель, прокладываемый вручную в теле земляного полотна железной дороги (в готовые траншеи) на действующих линиях</t>
  </si>
  <si>
    <t>ТЕРм10-07-064-02</t>
  </si>
  <si>
    <t>Кабель, прокладываемый вручную в теле земляного полотна железной дороги (в готовые траншеи) на новостроящихся линиях</t>
  </si>
  <si>
    <t xml:space="preserve">                                   Кабели связи, прокладываемые на железнодорожных мостах длиной более 50 м</t>
  </si>
  <si>
    <t>ТЕРм10-07-065-01</t>
  </si>
  <si>
    <t>Кабели связи, прокладываемые на железнодорожных мостах длиной более 50 м, в желобах</t>
  </si>
  <si>
    <t>ТЕРм10-07-065-02</t>
  </si>
  <si>
    <t>Кабели связи, прокладываемые на железнодорожных мостах длиной более 50 м, подвешиваемые на тросах</t>
  </si>
  <si>
    <t xml:space="preserve">                                   Кронштейны, устанавливаемые на конструкциях железнодорожных мостов для прокладки кабелей в желобах</t>
  </si>
  <si>
    <t>ТЕРм10-07-066-01</t>
  </si>
  <si>
    <t>Установка кронштейнов на конструкциях железнодорожных мостов для прокладки желобов</t>
  </si>
  <si>
    <t xml:space="preserve">                                   Кабели, прокладываемые в железнодорожных тоннелях по установленным конструкциям</t>
  </si>
  <si>
    <t>ТЕРм10-07-067-01</t>
  </si>
  <si>
    <t>Кабели связи, прокладываемые в железнодорожных тоннелях по установленным конструкциям</t>
  </si>
  <si>
    <t xml:space="preserve">                                   Кабели и провода в проложенных трубах, каналах и блоках скрытой проводки на пассажирских платформах, тоннелях и в служебно-технических зданиях железных дорог</t>
  </si>
  <si>
    <t>ТЕРм10-07-068-01</t>
  </si>
  <si>
    <t>Кабель и провод в проложенных трубах, каналах и блоках скрытой проводки на пассажирских платформах, тоннелях и в служебно-технических зданиях железных дорог, масса 1 м кабеля до 0,6 кг</t>
  </si>
  <si>
    <t>ТЕРм10-07-068-02</t>
  </si>
  <si>
    <t>Кабель и провод в проложенных трубах, каналах и блоках скрытой проводки на пассажирских платформах, тоннелях и в служебно-технических зданиях железных дорог, масса 1 м кабеля до 1 кг</t>
  </si>
  <si>
    <t>ТЕРм10-07-068-03</t>
  </si>
  <si>
    <t>Кабель и провод в проложенных трубах, каналах и блоках скрытой проводки на пассажирских платформах, тоннелях и в служебно-технических зданиях железных дорог, масса 1 м кабеля до 2 кг</t>
  </si>
  <si>
    <t>ТЕРм10-07-068-04</t>
  </si>
  <si>
    <t>Кабель и провод в проложенных трубах, каналах и блоках скрытой проводки на пассажирских платформах, тоннелях и в служебно-технических зданиях железных дорог, масса 1 м кабеля до 3 кг</t>
  </si>
  <si>
    <t xml:space="preserve">                                   Защита кабелей на мостах и подходах к ним (в готовых траншеях)</t>
  </si>
  <si>
    <t>ТЕРм10-07-069-01</t>
  </si>
  <si>
    <t>Защита кабелей на мостах и подходах к ним (в готовых траншеях) на однокабельных линиях</t>
  </si>
  <si>
    <t>ТЕРм10-07-069-02</t>
  </si>
  <si>
    <t>Защита кабелей на мостах и подходах к ним (в готовых траншеях) на двухкабельных линиях</t>
  </si>
  <si>
    <t>ТЕРм10-07-069-03</t>
  </si>
  <si>
    <t>Защита кабелей на мостах и подходах к ним (в готовых траншеях) на трехкабельных линиях</t>
  </si>
  <si>
    <t xml:space="preserve">                                   Кабели связи, прокладываемые на прижимных участках железных дорог</t>
  </si>
  <si>
    <t>ТЕРм10-07-070-01</t>
  </si>
  <si>
    <t>Кабели связи, прокладываемые на прижимных участках железных дорог на однокабельных линиях</t>
  </si>
  <si>
    <t>ТЕРм10-07-070-02</t>
  </si>
  <si>
    <t>Кабели связи, прокладываемые на прижимных участках железных дорог на двухкабельных линиях</t>
  </si>
  <si>
    <t>ТЕРм10-07-070-03</t>
  </si>
  <si>
    <t>Кабели связи, прокладываемые на прижимных участках железных дорог на трехкабельных линиях</t>
  </si>
  <si>
    <t xml:space="preserve">                                   Переходы кабельные через водоемы на выброшенных тросах в полосе отвода железных дорог</t>
  </si>
  <si>
    <t>ТЕРм10-07-071-01</t>
  </si>
  <si>
    <t>Переходы кабельные через водоемы на выброшенных тросах в полосе отвода железных дорог на однокабельной линии, ширина зеркала водоема до 100 м</t>
  </si>
  <si>
    <t>ТЕРм10-07-071-02</t>
  </si>
  <si>
    <t>Переходы кабельные через водоемы на выброшенных тросах в полосе отвода железных дорог на однокабельной линии, ширина зеркала водоема до 200 м</t>
  </si>
  <si>
    <t>ТЕРм10-07-071-03</t>
  </si>
  <si>
    <t>Переходы кабельные через водоемы на выброшенных тросах в полосе отвода железных дорог на однокабельной линии, ширина зеркала водоема до 300 м</t>
  </si>
  <si>
    <t>ТЕРм10-07-071-04</t>
  </si>
  <si>
    <t>Переходы кабельные через водоемы на выброшенных тросах в полосе отвода железных дорог на двухкабельной линии, ширина зеркала водоема до 100 м</t>
  </si>
  <si>
    <t>ТЕРм10-07-071-05</t>
  </si>
  <si>
    <t>Переходы кабельные через водоемы на выброшенных тросах в полосе отвода железных дорог на двухкабельной линии, ширина зеркала водоема до 200 м</t>
  </si>
  <si>
    <t>ТЕРм10-07-071-06</t>
  </si>
  <si>
    <t>Переходы кабельные через водоемы на выброшенных тросах в полосе отвода железных дорог на двухкабельной линии, ширина зеркала водоема до 300 м</t>
  </si>
  <si>
    <t xml:space="preserve">                                   Бестраншейная прокладка механизированной колонной магистральных кабелей и кабелей вторичной коммутации в полосе отвода железных дорог</t>
  </si>
  <si>
    <t>ТЕРм10-07-072-01</t>
  </si>
  <si>
    <t>Бестраншейная прокладка механизированной колонной в полосе отвода железных дорог магистрального кабеля на однокабельной линии</t>
  </si>
  <si>
    <t>ТЕРм10-07-072-02</t>
  </si>
  <si>
    <t>Бестраншейная прокладка механизированной колонной в полосе отвода железных дорог магистрального кабеля на двухкабельной линии</t>
  </si>
  <si>
    <t>ТЕРм10-07-072-03</t>
  </si>
  <si>
    <t>Бестраншейная прокладка механизированной колонной в полосе отвода железных дорог кабеля вторичной коммутации на однокабельной линии</t>
  </si>
  <si>
    <t>ТЕРм10-07-072-04</t>
  </si>
  <si>
    <t>Бестраншейная прокладка механизированной колонной в полосе отвода железных дорог кабеля вторичной коммутации на двухкабельной линии</t>
  </si>
  <si>
    <t xml:space="preserve">                                   Прокладка кабелей связи вручную при механизированной разработке траншеи в полосе отвода железных дорог</t>
  </si>
  <si>
    <t>ТЕРм10-07-073-01</t>
  </si>
  <si>
    <t>Прокладка кабелей связи вручную с одновременной разработкой траншеи в полосе отвода железных дорог одного кабеля массой 1 м до 1 кг</t>
  </si>
  <si>
    <t>ТЕРм10-07-073-02</t>
  </si>
  <si>
    <t>Прокладка кабелей связи вручную с одновременной разработкой траншеи в полосе отвода железных дорог одного кабеля массой 1 м до 2 кг</t>
  </si>
  <si>
    <t>ТЕРм10-07-073-03</t>
  </si>
  <si>
    <t>Прокладка кабелей связи вручную с одновременной разработкой траншеи в полосе отвода железных дорог одного кабеля массой 1 м до 3 кг</t>
  </si>
  <si>
    <t>ТЕРм10-07-073-04</t>
  </si>
  <si>
    <t>Прокладка кабелей связи вручную с одновременной разработкой траншеи в полосе отвода железных дорог двух кабелей массой 1 м до 1 кг</t>
  </si>
  <si>
    <t>ТЕРм10-07-073-05</t>
  </si>
  <si>
    <t>Прокладка кабелей связи вручную с одновременной разработкой траншеи в полосе отвода железных дорог двух кабелей массой 1 м до 2 кг</t>
  </si>
  <si>
    <t>ТЕРм10-07-073-06</t>
  </si>
  <si>
    <t>Прокладка кабелей связи вручную с одновременной разработкой траншеи в полосе отвода железных дорог двух кабелей массой 1 м до 3 кг</t>
  </si>
  <si>
    <t>ТЕРм10-07-073-07</t>
  </si>
  <si>
    <t>Прокладка кабелей связи вручную с одновременной разработкой траншеи в полосе отвода железных дорог трех кабелей массой 1 м до 1 кг</t>
  </si>
  <si>
    <t>ТЕРм10-07-073-08</t>
  </si>
  <si>
    <t>Прокладка кабелей связи вручную с одновременной разработкой траншеи в полосе отвода железных дорог трех кабелей массой 1 м до 2 кг</t>
  </si>
  <si>
    <t>ТЕРм10-07-073-09</t>
  </si>
  <si>
    <t>Прокладка кабелей связи вручную с одновременной разработкой траншеи в полосе отвода железных дорог трех кабелей массой 1 м до 3 кг</t>
  </si>
  <si>
    <t xml:space="preserve">                                   Прокладка кабелей связи в телефонной канализации на железнодорожных станциях</t>
  </si>
  <si>
    <t>ТЕРм10-07-074-01</t>
  </si>
  <si>
    <t>Прокладка кабелей связи в телефонной канализации на железнодорожных станциях по свободному каналу кабеля массой 1 м до 1 кг</t>
  </si>
  <si>
    <t>ТЕРм10-07-074-02</t>
  </si>
  <si>
    <t>Прокладка кабелей связи в телефонной канализации на железнодорожных станциях по свободному каналу кабеля массой 1 м до 2 кг</t>
  </si>
  <si>
    <t>ТЕРм10-07-074-03</t>
  </si>
  <si>
    <t>Прокладка кабелей связи в телефонной канализации на железнодорожных станциях по свободному каналу кабеля массой 1 м до 3 кг</t>
  </si>
  <si>
    <t>ТЕРм10-07-074-04</t>
  </si>
  <si>
    <t>Прокладка кабелей связи в телефонной канализации на железнодорожных станциях по свободному каналу кабеля массой 1 м до 6 кг</t>
  </si>
  <si>
    <t>ТЕРм10-07-074-05</t>
  </si>
  <si>
    <t>Прокладка кабелей связи в телефонной канализации на железнодорожных станциях по занятому каналу кабеля массой 1 м до 1 кг</t>
  </si>
  <si>
    <t>ТЕРм10-07-074-06</t>
  </si>
  <si>
    <t>Прокладка кабелей связи в телефонной канализации на железнодорожных станциях по занятому каналу кабеля массой 1 м до 2 кг</t>
  </si>
  <si>
    <t>ТЕРм10-07-074-07</t>
  </si>
  <si>
    <t>Прокладка кабелей связи в телефонной канализации на железнодорожных станциях по занятому каналу кабеля массой 1 м до 3 кг</t>
  </si>
  <si>
    <t>ТЕРм10-07-074-08</t>
  </si>
  <si>
    <t>Прокладка кабелей связи в телефонной канализации на железнодорожных станциях по занятому каналу кабеля массой 1 м до 6 кг</t>
  </si>
  <si>
    <t xml:space="preserve">                           Раздел 8. ОТДЕЛ 08. ЭЛЕКТРИЧЕСКАЯ ТРЕВОЖНАЯ, ПОЖАРНАЯ, ВЫЗЫВНАЯ И ДИСТАНЦИОННАЯ СИГНАЛИЗАЦИЯ</t>
  </si>
  <si>
    <t xml:space="preserve">                                   Раздел 1. ЭЛЕКТРИЧЕСКАЯ ТРЕВОЖНАЯ И ПОЖАРНАЯ СИГНАЛИЗАЦИЯ</t>
  </si>
  <si>
    <t xml:space="preserve">                                   Аппараты приемные</t>
  </si>
  <si>
    <t>ТЕРм10-08-001-01</t>
  </si>
  <si>
    <t>Приборы ПС приемно-контрольные, пусковые, концентратор блок базовый на 10 лучей</t>
  </si>
  <si>
    <t>ТЕРм10-08-001-02</t>
  </si>
  <si>
    <t>Приборы ПС приемно-контрольные, пусковые, концентратор блок базовый на 20 лучей</t>
  </si>
  <si>
    <t>ТЕРм10-08-001-03</t>
  </si>
  <si>
    <t>Приборы ПС приемно-контрольные, пусковые, концентратор блок линейный</t>
  </si>
  <si>
    <t>ТЕРм10-08-001-04</t>
  </si>
  <si>
    <t>Приборы ПС на 4 луча</t>
  </si>
  <si>
    <t>ТЕРм10-08-001-05</t>
  </si>
  <si>
    <t>Приборы ПС на 1 луч</t>
  </si>
  <si>
    <t>ТЕРм10-08-001-06</t>
  </si>
  <si>
    <t>Приборы приемно-контрольные сигнальные, концентратор блок базовый на 10 лучей</t>
  </si>
  <si>
    <t>ТЕРм10-08-001-07</t>
  </si>
  <si>
    <t>Приборы приемно-контрольные сигнальные, концентратор блок линейный</t>
  </si>
  <si>
    <t>ТЕРм10-08-001-08</t>
  </si>
  <si>
    <t>Прибор ОПС на 4 луча</t>
  </si>
  <si>
    <t>ТЕРм10-08-001-09</t>
  </si>
  <si>
    <t>Приборы приемно-контрольные объектовые на 2 луча</t>
  </si>
  <si>
    <t>ТЕРм10-08-001-10</t>
  </si>
  <si>
    <t>Приборы приемно-контрольные объектовые на 1 луч</t>
  </si>
  <si>
    <t>ТЕРм10-08-001-11</t>
  </si>
  <si>
    <t>Устройства промежуточные на количество лучей 10</t>
  </si>
  <si>
    <t>ТЕРм10-08-001-12</t>
  </si>
  <si>
    <t>Устройства промежуточные на количество лучей 5</t>
  </si>
  <si>
    <t>ТЕРм10-08-001-13</t>
  </si>
  <si>
    <t>Устройства промежуточные на количество лучей 1</t>
  </si>
  <si>
    <t xml:space="preserve">                                   Извещатели</t>
  </si>
  <si>
    <t>ТЕРм10-08-002-01</t>
  </si>
  <si>
    <t>Извещатель ПС автоматический тепловой электро-контактный, магнитоконтактный в нормальном исполнении</t>
  </si>
  <si>
    <t>ТЕРм10-08-002-02</t>
  </si>
  <si>
    <t>Извещатель ПС автоматический дымовой, фотоэлектрический, радиоизотопный, световой в нормальном исполнении</t>
  </si>
  <si>
    <t>ТЕРм10-08-002-03</t>
  </si>
  <si>
    <t>Извещатель ПС автоматический тепловой, дымовой, световой во взрывозащищенном исполнении</t>
  </si>
  <si>
    <t>ТЕРм10-08-002-04</t>
  </si>
  <si>
    <t>Извещатель ОС автоматический контактный, магнитоконтактный на открывание окон, дверей</t>
  </si>
  <si>
    <t>ТЕРм10-08-002-05</t>
  </si>
  <si>
    <t>Извещатель ОС автоматический ударно-контактный, бесконтактный электромагнитный или пьезоэлектрический, устанавливаемый на стекле</t>
  </si>
  <si>
    <t>ТЕРм10-08-002-06</t>
  </si>
  <si>
    <t>Конструкция для установки извещателя</t>
  </si>
  <si>
    <t xml:space="preserve">                                   Приборы и устройства сигнализирующие объектовые</t>
  </si>
  <si>
    <t>ТЕРм10-08-003-01</t>
  </si>
  <si>
    <t>Прибор сигнализирующий емкостной</t>
  </si>
  <si>
    <t>ТЕРм10-08-003-02</t>
  </si>
  <si>
    <t>Устройство ультразвуковое, прибор ультразвуковой в одноблочном исполнении</t>
  </si>
  <si>
    <t>ТЕРм10-08-003-03</t>
  </si>
  <si>
    <t>Устройство ультразвуковое, блок питания и контроля</t>
  </si>
  <si>
    <t>ТЕРм10-08-003-04</t>
  </si>
  <si>
    <t>Устройство ультразвуковое, преобразователь (излучатель или приемник)</t>
  </si>
  <si>
    <t>ТЕРм10-08-003-05</t>
  </si>
  <si>
    <t>Устройство оптико-(фото)электрическое, прибор оптико-электрический в одноблочном исполнении</t>
  </si>
  <si>
    <t>ТЕРм10-08-003-06</t>
  </si>
  <si>
    <t>Устройство оптико-(фото)электрическое, блок питания и контроля</t>
  </si>
  <si>
    <t>ТЕРм10-08-003-07</t>
  </si>
  <si>
    <t>Устройство оптико-(фото)электрическое, комплект преобразователей (излучатель, фотоприемник)</t>
  </si>
  <si>
    <t>ТЕРм10-08-003-08</t>
  </si>
  <si>
    <t>Устройство оптико-(фото)электрическое, отражатель неподвижный</t>
  </si>
  <si>
    <t>ТЕРм10-08-003-09</t>
  </si>
  <si>
    <t>Устройство оптико-(фото)электрическое, отражатель регулируемый</t>
  </si>
  <si>
    <t xml:space="preserve">                                   Блокировка поверхностей проводом, фольгой</t>
  </si>
  <si>
    <t>ТЕРм10-08-004-01</t>
  </si>
  <si>
    <t>Блокировка стеклянных окон, дверей, витрин проводом или фольгой</t>
  </si>
  <si>
    <t>ТЕРм10-08-004-02</t>
  </si>
  <si>
    <t>Блокировка поверхностей проводом, фольгой строительных конструкций на пролом дверей, перегородок</t>
  </si>
  <si>
    <t>ТЕРм10-08-004-03</t>
  </si>
  <si>
    <t>Блокировка поверхностей проводом, фольгой строительных конструкций на пролом потолков</t>
  </si>
  <si>
    <t>ТЕРм10-08-004-04</t>
  </si>
  <si>
    <t>Блокировка металлических решеток</t>
  </si>
  <si>
    <t xml:space="preserve">                                   Провода при открытой проводке для систем ОПС</t>
  </si>
  <si>
    <t>ТЕРм10-08-005-01</t>
  </si>
  <si>
    <t>Провод двух- и трехжильный с разделительным основанием по стенам и потолкам, прокладываемый по основаниям деревянным</t>
  </si>
  <si>
    <t>ТЕРм10-08-005-02</t>
  </si>
  <si>
    <t>Провод двух- и трехжильный с разделительным основанием по стенам и потолкам, прокладываемый по основаниям кирпичным</t>
  </si>
  <si>
    <t>ТЕРм10-08-005-03</t>
  </si>
  <si>
    <t>Провод двух- и трехжильный с разделительным основанием по стенам и потолкам, прокладываемый по основаниям бетонным и металлическим</t>
  </si>
  <si>
    <t>ТЕРм10-08-005-04</t>
  </si>
  <si>
    <t>Линия (скрутка) из 2-3 одножильных проводов по любому основанию</t>
  </si>
  <si>
    <t xml:space="preserve">                                   Раздел 2. ЭЛЕКТРОЧАСОФИКАЦИЯ</t>
  </si>
  <si>
    <t xml:space="preserve">                                   Электрочасы первичные</t>
  </si>
  <si>
    <t>ТЕРм10-08-015-01</t>
  </si>
  <si>
    <t>Часы первичные электрические показывающие кварцевые типа ПКЧЗ-2-РН-Р24-Р6-1</t>
  </si>
  <si>
    <t xml:space="preserve">                                   Электрочасы вторичные для помещений</t>
  </si>
  <si>
    <t>ТЕРм10-08-016-01</t>
  </si>
  <si>
    <t>Электрочасы вторичные для помещений односторонние на стене</t>
  </si>
  <si>
    <t>ТЕРм10-08-016-02</t>
  </si>
  <si>
    <t>Электрочасы вторичные для помещений односторонние на стене с установкой кронштейна на бетонной стене</t>
  </si>
  <si>
    <t>ТЕРм10-08-016-03</t>
  </si>
  <si>
    <t>Электрочасы вторичные для помещений односторонние на кронштейне с установкой кронштейна на металлоконструкции</t>
  </si>
  <si>
    <t>ТЕРм10-08-016-04</t>
  </si>
  <si>
    <t>Электрочасы вторичные для помещений односторонние на кронштейне с установкой кронштейна на колонне</t>
  </si>
  <si>
    <t>ТЕРм10-08-016-05</t>
  </si>
  <si>
    <t>Электрочасы вторичные для помещений двусторонние на кронштейне с установкой кронштейна на бетонной стене</t>
  </si>
  <si>
    <t>ТЕРм10-08-016-06</t>
  </si>
  <si>
    <t>Электрочасы вторичные для помещений двусторонние на кронштейне с установкой кронштейна на металлической конструкции</t>
  </si>
  <si>
    <t>ТЕРм10-08-016-07</t>
  </si>
  <si>
    <t>Электрочасы вторичные для помещений двусторонние на кронштейне с установкой кронштейна на колонне</t>
  </si>
  <si>
    <t xml:space="preserve">                                   Электрочасы вторичные уличные</t>
  </si>
  <si>
    <t>ТЕРм10-08-017-01</t>
  </si>
  <si>
    <t>Электрочасы вторичные уличные односторонние на стене</t>
  </si>
  <si>
    <t>ТЕРм10-08-017-02</t>
  </si>
  <si>
    <t>Электрочасы вторичные уличные односторонние на кронштейне с установкой кронштейна на бетонной стене</t>
  </si>
  <si>
    <t>ТЕРм10-08-017-03</t>
  </si>
  <si>
    <t>Электрочасы вторичные уличные односторонние на кронштейне с установкой кронштейна на металлической конструкции</t>
  </si>
  <si>
    <t>ТЕРм10-08-017-04</t>
  </si>
  <si>
    <t>Электрочасы вторичные уличные односторонние на кронштейне с установкой кронштейна на колонне</t>
  </si>
  <si>
    <t>ТЕРм10-08-017-05</t>
  </si>
  <si>
    <t>Электрочасы вторичные уличные двусторонние на кронштейне с установкой кронштейна на бетонной колонне</t>
  </si>
  <si>
    <t>ТЕРм10-08-017-06</t>
  </si>
  <si>
    <t>Электрочасы вторичные уличные двусторонние на кронштейне с установкой кронштейна на металлической конструкции</t>
  </si>
  <si>
    <t>ТЕРм10-08-017-07</t>
  </si>
  <si>
    <t>Электрочасы вторичные уличные двусторонние на кронштейне с установкой кронштейна на колонне</t>
  </si>
  <si>
    <t xml:space="preserve">                                   Электрочасы специальные</t>
  </si>
  <si>
    <t>ТЕРм10-08-018-01</t>
  </si>
  <si>
    <t>Часы процедурные физиотерапевтической аппаратуры, тип РВI-30</t>
  </si>
  <si>
    <t>ТЕРм10-08-018-02</t>
  </si>
  <si>
    <t>Механизм часов электровторичных башенных, тип ЭВЧ-15м</t>
  </si>
  <si>
    <t xml:space="preserve">                                   Прочее оборудование электрочасофикации</t>
  </si>
  <si>
    <t>ТЕРм10-08-019-01</t>
  </si>
  <si>
    <t>Коробка ответвительная на стене</t>
  </si>
  <si>
    <t>ТЕРм10-08-019-02</t>
  </si>
  <si>
    <t>Реле трансляции минутных импульсов на стене</t>
  </si>
  <si>
    <t>ТЕРм10-08-019-03</t>
  </si>
  <si>
    <t>Секундомер электронный с таймерным выходом, тип СТЦ-1</t>
  </si>
  <si>
    <t>ТЕРм10-08-019-04</t>
  </si>
  <si>
    <t>Реле времени программное, тип 2РВМ</t>
  </si>
  <si>
    <t xml:space="preserve">                                   Часы электронные</t>
  </si>
  <si>
    <t>ТЕРм10-08-020-01</t>
  </si>
  <si>
    <t>Часы цифровые электронные подвесные</t>
  </si>
  <si>
    <t xml:space="preserve">                           Раздел 9. ОТДЕЛ 09. ПРОМЫШЛЕННЫЕ ТЕЛЕВИЗИОННЫЕ УСТАНОВКИ</t>
  </si>
  <si>
    <t xml:space="preserve">                                   Аппаратура телевизионная</t>
  </si>
  <si>
    <t>ТЕРм10-09-001-01</t>
  </si>
  <si>
    <t>Аппаратура телевизионная прикладная «Дефектоскоп» с 1 камерой</t>
  </si>
  <si>
    <t>ТЕРм10-09-001-02</t>
  </si>
  <si>
    <t>Аппаратура телевизионная с 1 малогабаритной беструбочной камерой</t>
  </si>
  <si>
    <t>ТЕРм-2001-11</t>
  </si>
  <si>
    <t xml:space="preserve">                           Раздел 1. ОТДЕЛ 01. КОНСТРУКЦИИ ДЛЯ УСТАНОВКИ ПРИБОРОВ И СРЕДСТВ АВТОМАТИЗАЦИИ</t>
  </si>
  <si>
    <t xml:space="preserve">                                   Конструкции для установки приборов</t>
  </si>
  <si>
    <t>ТЕРм11-01-001-01</t>
  </si>
  <si>
    <t>Конструкции для установки приборов, масса до 1 кг</t>
  </si>
  <si>
    <t>ТЕРм11-01-001-02</t>
  </si>
  <si>
    <t>Конструкции для установки приборов, масса до 2 кг</t>
  </si>
  <si>
    <t>ТЕРм11-01-001-03</t>
  </si>
  <si>
    <t>Конструкции для установки приборов, масса до 3 кг</t>
  </si>
  <si>
    <t>ТЕРм11-01-001-04</t>
  </si>
  <si>
    <t>Конструкции для установки приборов, масса до 5 кг</t>
  </si>
  <si>
    <t>ТЕРм11-01-001-05</t>
  </si>
  <si>
    <t>Конструкции для установки приборов, масса до 10 кг</t>
  </si>
  <si>
    <t>ТЕРм11-01-001-06</t>
  </si>
  <si>
    <t>Конструкции для установки приборов, масса до 25 кг</t>
  </si>
  <si>
    <t>ТЕРм11-01-001-07</t>
  </si>
  <si>
    <t>Конструкции для установки приборов, масса до 40 кг</t>
  </si>
  <si>
    <t>ТЕРм11-01-001-08</t>
  </si>
  <si>
    <t>Добавлять за каждые 10 кг свыше 40 кг</t>
  </si>
  <si>
    <t xml:space="preserve">                                   Конструкции для установки исполнительных механизмов</t>
  </si>
  <si>
    <t>ТЕРм11-01-002-01</t>
  </si>
  <si>
    <t>Конструкции для установки исполнительных механизмов, устанавливаемые на стене, масса до 20 кг</t>
  </si>
  <si>
    <t>ТЕРм11-01-002-02</t>
  </si>
  <si>
    <t>Конструкции для установки исполнительных механизмов, устанавливаемые на стене, масса до 25 кг</t>
  </si>
  <si>
    <t>ТЕРм11-01-002-03</t>
  </si>
  <si>
    <t>Конструкции для установки исполнительных механизмов, устанавливаемые на стене, масса до 35 кг</t>
  </si>
  <si>
    <t>ТЕРм11-01-002-04</t>
  </si>
  <si>
    <t>Конструкции для установки исполнительных механизмов, устанавливаемые на полу, масса до 20 кг</t>
  </si>
  <si>
    <t>ТЕРм11-01-002-05</t>
  </si>
  <si>
    <t>Конструкции для установки исполнительных механизмов, устанавливаемые на полу, масса до 25 кг</t>
  </si>
  <si>
    <t>ТЕРм11-01-002-06</t>
  </si>
  <si>
    <t>Конструкции для установки исполнительных механизмов, устанавливаемые на полу, масса до 35 кг</t>
  </si>
  <si>
    <t xml:space="preserve">                           Раздел 2. ОТДЕЛ 02. ПРИБОРЫ И СРЕДСТВА АВТОМАТИЗАЦИИ, УСТАНАВЛИВАЕМЫЕ НА ОБОРУДОВАНИИ И КОММУНИКАЦИЯХ</t>
  </si>
  <si>
    <t xml:space="preserve">                                   Раздел 1. ПРИБОРЫ, УСТАНАВЛИВАЕМЫЕ НА ЗАКЛАДНЫХ УСТРОЙСТВАХ</t>
  </si>
  <si>
    <t xml:space="preserve">                                   Приборы, устанавливаемые на резьбовых соединениях</t>
  </si>
  <si>
    <t>ТЕРм11-02-001-01</t>
  </si>
  <si>
    <t>Прибор, устанавливаемый на резьбовых соединениях, масса до 1,5 кг</t>
  </si>
  <si>
    <t>ТЕРм11-02-001-02</t>
  </si>
  <si>
    <t>Прибор, устанавливаемый на резьбовых соединениях, масса до 5 кг</t>
  </si>
  <si>
    <t>ТЕРм11-02-001-03</t>
  </si>
  <si>
    <t>Прибор, устанавливаемый на резьбовых соединениях, масса до 10 кг</t>
  </si>
  <si>
    <t xml:space="preserve">                                   Приборы, устанавливаемые на фланцевых соединениях</t>
  </si>
  <si>
    <t>ТЕРм11-02-002-01</t>
  </si>
  <si>
    <t>Прибор, устанавливаемый на фланцевых соединениях, масса до 1,5 кг</t>
  </si>
  <si>
    <t>ТЕРм11-02-002-02</t>
  </si>
  <si>
    <t>Прибор, устанавливаемый на фланцевых соединениях, масса до 5 кг</t>
  </si>
  <si>
    <t>ТЕРм11-02-002-03</t>
  </si>
  <si>
    <t>Прибор, устанавливаемый на фланцевых соединениях, масса до 10 кг</t>
  </si>
  <si>
    <t xml:space="preserve">                                   Раздел 2. СУЖАЮЩИЕ УСТРОЙСТВА</t>
  </si>
  <si>
    <t xml:space="preserve">                                   Сужающие устройства расходомеров</t>
  </si>
  <si>
    <t>ТЕРм11-02-012-01</t>
  </si>
  <si>
    <t>Сужающие устройства расходомеров, диафрагма камерная, диаметр условного прохода до 125 мм</t>
  </si>
  <si>
    <t>ТЕРм11-02-012-02</t>
  </si>
  <si>
    <t>Сужающие устройства расходомеров, диафрагма камерная, диаметр условного прохода до 200 мм</t>
  </si>
  <si>
    <t>ТЕРм11-02-012-03</t>
  </si>
  <si>
    <t>Сужающие устройства расходомеров, диафрагма камерная, диаметр условного прохода до 500 мм</t>
  </si>
  <si>
    <t>ТЕРм11-02-012-04</t>
  </si>
  <si>
    <t>Сужающие устройства расходомеров, диафрагма бескамерная, диаметр условного прохода до 1000 мм</t>
  </si>
  <si>
    <t>ТЕРм11-02-012-05</t>
  </si>
  <si>
    <t>Сужающие устройства расходомеров, диафрагма бескамерная, диаметр условного прохода до 1600 мм</t>
  </si>
  <si>
    <t xml:space="preserve">                                   Раздел 3. ПРОТОЧНЫЕ ПРЕОБРАЗОВАТЕЛИ</t>
  </si>
  <si>
    <t xml:space="preserve">                                   Приборы, показывающие первичные (проточные) преобразователи, монтируемые на технологическом трубопроводе</t>
  </si>
  <si>
    <t>ТЕРм11-02-022-01</t>
  </si>
  <si>
    <t>Ротаметр показывающий, диаметр условного прохода до 10 мм; счетчик, диаметр условного прохода до 40 мм, устанавливаемые на резьбовых (муфтовых) соединениях</t>
  </si>
  <si>
    <t>ТЕРм11-02-022-02</t>
  </si>
  <si>
    <t>Ротаметр, счетчик, преобразователь, устанавливаемые на фланцевых соединениях, диаметр условного прохода до 20 мм</t>
  </si>
  <si>
    <t>ТЕРм11-02-022-03</t>
  </si>
  <si>
    <t>Ротаметр, счетчик, преобразователь, устанавливаемые на фланцевых соединениях, диаметр условного прохода до 32 мм</t>
  </si>
  <si>
    <t>ТЕРм11-02-022-04</t>
  </si>
  <si>
    <t>Ротаметр, счетчик, преобразователь, устанавливаемые на фланцевых соединениях, диаметр условного прохода до 50 мм</t>
  </si>
  <si>
    <t>ТЕРм11-02-022-05</t>
  </si>
  <si>
    <t>Ротаметр, счетчик, преобразователь, устанавливаемые на фланцевых соединениях, диаметр условного прохода до 80 мм</t>
  </si>
  <si>
    <t>ТЕРм11-02-022-06</t>
  </si>
  <si>
    <t>Ротаметр, счетчик, преобразователь, устанавливаемые на фланцевых соединениях, диаметр условного прохода до 120 мм</t>
  </si>
  <si>
    <t>ТЕРм11-02-022-07</t>
  </si>
  <si>
    <t>Ротаметр, счетчик, преобразователь, устанавливаемые на фланцевых соединениях, диаметр условного прохода до 150 мм</t>
  </si>
  <si>
    <t>ТЕРм11-02-022-08</t>
  </si>
  <si>
    <t>Ротаметр, счетчик, преобразователь, устанавливаемые на фланцевых соединениях, диаметр условного прохода до 200 мм</t>
  </si>
  <si>
    <t>ТЕРм11-02-022-09</t>
  </si>
  <si>
    <t>Ротаметр, счетчик, преобразователь, устанавливаемые на фланцевых соединениях, диаметр условного прохода до 250 мм</t>
  </si>
  <si>
    <t>ТЕРм11-02-022-10</t>
  </si>
  <si>
    <t>Ротаметр, счетчик, преобразователь, устанавливаемые на фланцевых соединениях, диаметр условного прохода до 300 мм</t>
  </si>
  <si>
    <t>ТЕРм11-02-022-11</t>
  </si>
  <si>
    <t>Ротаметр, счетчик, преобразователь, устанавливаемые на фланцевых соединениях, диаметр условного прохода до 350 мм</t>
  </si>
  <si>
    <t>ТЕРм11-02-022-12</t>
  </si>
  <si>
    <t>Ротаметр, счетчик, преобразователь, устанавливаемые на фланцевых соединениях, диаметр условного прохода до 400 мм</t>
  </si>
  <si>
    <t>ТЕРм11-02-022-13</t>
  </si>
  <si>
    <t>Ротаметр, счетчик, преобразователь, устанавливаемые на фланцевых соединениях, диаметр условного прохода до 450 мм</t>
  </si>
  <si>
    <t>ТЕРм11-02-022-14</t>
  </si>
  <si>
    <t>Ротаметр, счетчик, преобразователь, устанавливаемые на фланцевых соединениях, диаметр условного прохода до 500 мм</t>
  </si>
  <si>
    <t xml:space="preserve">                                   Раздел 4. ПЕРВИЧНЫЕ ПРЕОБРАЗОВАТЕЛИ УРОВНЕМЕРОВ</t>
  </si>
  <si>
    <t xml:space="preserve">                                   Первичные преобразователи уровнемеров</t>
  </si>
  <si>
    <t>ТЕРм11-02-032-01</t>
  </si>
  <si>
    <t>Первичный преобразователь уровнемер, устанавливаемый на резервуаре, работающем при атмосферном давлении, масса до 10 кг</t>
  </si>
  <si>
    <t>ТЕРм11-02-032-02</t>
  </si>
  <si>
    <t>Первичный преобразователь уровнемер, устанавливаемый на резервуаре, работающем при атмосферном давлении, масса до 20 кг</t>
  </si>
  <si>
    <t>ТЕРм11-02-032-03</t>
  </si>
  <si>
    <t>Первичный преобразователь уровнемер, устанавливаемый на резервуаре, работающем при атмосферном давлении, масса до 40 кг</t>
  </si>
  <si>
    <t>ТЕРм11-02-032-04</t>
  </si>
  <si>
    <t>Первичный преобразователь уровнемер, устанавливаемый на резервуаре, работающем под давлением до 4 МПа</t>
  </si>
  <si>
    <t>ТЕРм11-02-032-05</t>
  </si>
  <si>
    <t>Первичный преобразователь уровнемер, устанавливаемый на резервуаре, работающем под давлением до 6,3 МПа</t>
  </si>
  <si>
    <t>ТЕРм11-02-032-06</t>
  </si>
  <si>
    <t>Первичный преобразователь уровнемер, устанавливаемый на резервуаре, работающем под давлением до 20 МПа</t>
  </si>
  <si>
    <t xml:space="preserve">                                   Раздел 5. РЕГУЛИРУЮЩИЕ ОРГАНЫ</t>
  </si>
  <si>
    <t xml:space="preserve">                                   Клапаны и заслонки с рычажным приводом</t>
  </si>
  <si>
    <t>ТЕРм11-02-042-01</t>
  </si>
  <si>
    <t>Клапан с рычажным приводом регулирующий, диаметр условного прохода 10 мм</t>
  </si>
  <si>
    <t>ТЕРм11-02-042-02</t>
  </si>
  <si>
    <t>Клапан с рычажным приводом регулирующий, диаметр условного прохода 15; 20 мм</t>
  </si>
  <si>
    <t>ТЕРм11-02-042-03</t>
  </si>
  <si>
    <t>Клапан с рычажным приводом регулирующий, диаметр условного прохода 25; 32 мм</t>
  </si>
  <si>
    <t>ТЕРм11-02-042-04</t>
  </si>
  <si>
    <t>Клапан с рычажным приводом регулирующий, диаметр условного прохода 40; 50 мм</t>
  </si>
  <si>
    <t>ТЕРм11-02-042-05</t>
  </si>
  <si>
    <t>Клапан с рычажным приводом регулирующий, диаметр условного прохода 65; 80 мм</t>
  </si>
  <si>
    <t>ТЕРм11-02-042-06</t>
  </si>
  <si>
    <t>Клапан с рычажным приводом регулирующий, диаметр условного прохода 100; 125 мм</t>
  </si>
  <si>
    <t>ТЕРм11-02-042-07</t>
  </si>
  <si>
    <t>Клапан с рычажным приводом регулирующий, диаметр условного прохода 150; 175 мм</t>
  </si>
  <si>
    <t>ТЕРм11-02-042-08</t>
  </si>
  <si>
    <t>Клапан с рычажным приводом регулирующий, диаметр условного прохода 200; 225 мм</t>
  </si>
  <si>
    <t>ТЕРм11-02-042-09</t>
  </si>
  <si>
    <t>Клапан с рычажным приводом регулирующий, диаметр условного прохода 250 мм</t>
  </si>
  <si>
    <t>ТЕРм11-02-042-10</t>
  </si>
  <si>
    <t>Клапан с рычажным приводом регулирующий, диаметр условного прохода 300 мм</t>
  </si>
  <si>
    <t>ТЕРм11-02-042-11</t>
  </si>
  <si>
    <t>Клапан с рычажным приводом регулирующий, диаметр условного прохода 500 мм</t>
  </si>
  <si>
    <t>ТЕРм11-02-042-12</t>
  </si>
  <si>
    <t>Заслонка с рычажным приводом, диаметр условного прохода 30 мм</t>
  </si>
  <si>
    <t>ТЕРм11-02-042-13</t>
  </si>
  <si>
    <t>Заслонка с рычажным приводом, диаметр условного прохода 40 мм</t>
  </si>
  <si>
    <t>ТЕРм11-02-042-14</t>
  </si>
  <si>
    <t>Заслонка с рычажным приводом, диаметр условного прохода 50 мм</t>
  </si>
  <si>
    <t>ТЕРм11-02-042-15</t>
  </si>
  <si>
    <t>Заслонка с рычажным приводом, диаметр условного прохода 60 мм</t>
  </si>
  <si>
    <t>ТЕРм11-02-042-16</t>
  </si>
  <si>
    <t>Заслонка с рычажным приводом, диаметр условного прохода 70 мм</t>
  </si>
  <si>
    <t>ТЕРм11-02-042-17</t>
  </si>
  <si>
    <t>Заслонка с рычажным приводом, диаметр условного прохода 80 мм</t>
  </si>
  <si>
    <t>ТЕРм11-02-042-18</t>
  </si>
  <si>
    <t>Заслонка с рычажным приводом, диаметр условного прохода 90 мм</t>
  </si>
  <si>
    <t xml:space="preserve">                           Раздел 3. ОТДЕЛ 03. ПРИБОРЫ И СРЕДСТВА АВТОМАТИЗАЦИИ, УСТАНАВЛИВАЕМЫЕ В ПРОИЗВОДСТВЕННЫХ ПОМЕЩЕНИЯХ И ПОМЕЩЕНИЯХ АВТОМАТИКИ</t>
  </si>
  <si>
    <t xml:space="preserve">                                   Раздел 1. ПРИБОРЫ, УСТАНАВЛИВАЕМЫЕ НА МЕТАЛЛОКОНСТРУКЦИЯХ ИЛИ ЩИТАХ</t>
  </si>
  <si>
    <t xml:space="preserve">                                   Приборы, устанавливаемые на металлоконструкциях, щитах и пультах</t>
  </si>
  <si>
    <t>ТЕРм11-03-001-01</t>
  </si>
  <si>
    <t>Приборы, устанавливаемые на металлоконструкциях, щитах и пультах, масса до 5 кг</t>
  </si>
  <si>
    <t>ТЕРм11-03-001-02</t>
  </si>
  <si>
    <t>Приборы, устанавливаемые на металлоконструкциях, щитах и пультах, масса до 10 кг</t>
  </si>
  <si>
    <t>ТЕРм11-03-001-03</t>
  </si>
  <si>
    <t>Добавлять за каждые 5 кг свыше 10 кг</t>
  </si>
  <si>
    <t xml:space="preserve">                                   Раздел 2. ПРИБОРЫ ДЛЯ АНАЛИЗА ФИЗИКО-ХИМИЧЕСКОГО СО-СТАВА ВЕЩЕСТВА И СПЕЦИАЛЬНЫЕ ПРИБОРЫ</t>
  </si>
  <si>
    <t xml:space="preserve">                                   Приборы для анализа физико-химического состава вещества</t>
  </si>
  <si>
    <t>ТЕРм11-03-011-01</t>
  </si>
  <si>
    <t>Прибор для анализа физико-химического состава вещества, категория сложности I</t>
  </si>
  <si>
    <t>ТЕРм11-03-011-02</t>
  </si>
  <si>
    <t>Прибор для анализа физико-химического состава вещества, категория сложности II</t>
  </si>
  <si>
    <t>ТЕРм11-03-011-03</t>
  </si>
  <si>
    <t>Прибор для анализа физико-химического состава вещества, категория сложности III</t>
  </si>
  <si>
    <t xml:space="preserve">                           Раздел 4. ОТДЕЛ 04. УСТРОЙСТВА МИКРОПРОЦЕССОРНОЙ И ВЫЧИСЛИТЕЛЬНОЙ ТЕХНИКИ</t>
  </si>
  <si>
    <t xml:space="preserve">                                   Раздел 1. АППАРАТУРА СДАУ, АСДУ, АИС, АСУТП, ПАЗ</t>
  </si>
  <si>
    <t xml:space="preserve">                                   Рамы под аппаратуру</t>
  </si>
  <si>
    <t>ТЕРм11-04-001-01</t>
  </si>
  <si>
    <t>Рама под аппаратуру, площадь основания оборудования до 0,25 м2</t>
  </si>
  <si>
    <t>ТЕРм11-04-001-02</t>
  </si>
  <si>
    <t>Рама под аппаратуру, площадь основания оборудования до 0,5 м2</t>
  </si>
  <si>
    <t>ТЕРм11-04-001-03</t>
  </si>
  <si>
    <t>Рама под аппаратуру, площадь основания оборудования до 0,75 м2</t>
  </si>
  <si>
    <t>ТЕРм11-04-001-04</t>
  </si>
  <si>
    <t>Рама под аппаратуру, площадь основания оборудования до 1 м2</t>
  </si>
  <si>
    <t>ТЕРм11-04-001-05</t>
  </si>
  <si>
    <t>Рама под аппаратуру, площадь основания оборудования до 1,5 м2</t>
  </si>
  <si>
    <t>ТЕРм11-04-001-06</t>
  </si>
  <si>
    <t>Рама под аппаратуру, площадь основания оборудования до 2 м2</t>
  </si>
  <si>
    <t>ТЕРм11-04-001-07</t>
  </si>
  <si>
    <t>Рама под аппаратуру, площадь основания оборудования до 2,5 м2</t>
  </si>
  <si>
    <t xml:space="preserve">                                   Аппаратура настольная</t>
  </si>
  <si>
    <t>ТЕРм11-04-002-01</t>
  </si>
  <si>
    <t>Аппарат настольный, масса до 0,015 т</t>
  </si>
  <si>
    <t>ТЕРм11-04-002-02</t>
  </si>
  <si>
    <t>Аппарат настольный, масса до 0,03 т</t>
  </si>
  <si>
    <t>ТЕРм11-04-002-03</t>
  </si>
  <si>
    <t>Аппарат настольный, масса до 0,06 т</t>
  </si>
  <si>
    <t>ТЕРм11-04-002-04</t>
  </si>
  <si>
    <t>Аппарат настольный, масса до 0,1 т</t>
  </si>
  <si>
    <t xml:space="preserve">                                   Аппаратура напольная</t>
  </si>
  <si>
    <t>ТЕРм11-04-003-01</t>
  </si>
  <si>
    <t>Аппарат напольный, масса до 0,2 т</t>
  </si>
  <si>
    <t>ТЕРм11-04-003-02</t>
  </si>
  <si>
    <t>Аппарат напольный, масса до 0,3 т</t>
  </si>
  <si>
    <t>ТЕРм11-04-003-03</t>
  </si>
  <si>
    <t>Аппарат напольный, масса до 0,5 т</t>
  </si>
  <si>
    <t>ТЕРм11-04-003-04</t>
  </si>
  <si>
    <t>Аппарат напольный, масса до 0,8 т</t>
  </si>
  <si>
    <t>ТЕРм11-04-003-05</t>
  </si>
  <si>
    <t>Аппарат напольный, масса до 2 т</t>
  </si>
  <si>
    <t xml:space="preserve">                                   Аппаратура настенная</t>
  </si>
  <si>
    <t>ТЕРм11-04-004-01</t>
  </si>
  <si>
    <t>Аппарат настенный, масса от 0,15 т до 0,2 т</t>
  </si>
  <si>
    <t xml:space="preserve">                                   Пульты и рабочие места</t>
  </si>
  <si>
    <t>ТЕРм11-04-005-01</t>
  </si>
  <si>
    <t>Пульт, рабочее место, масса до 0,3 т</t>
  </si>
  <si>
    <t>ТЕРм11-04-005-02</t>
  </si>
  <si>
    <t>Пульт, рабочее место, масса до 0,5 т</t>
  </si>
  <si>
    <t>ТЕРм11-04-005-03</t>
  </si>
  <si>
    <t>Пульт, рабочее место, масса до 0,8 т</t>
  </si>
  <si>
    <t xml:space="preserve">                                   Табло с электронно-лучевыми трубками</t>
  </si>
  <si>
    <t>ТЕРм11-04-006-01</t>
  </si>
  <si>
    <t>Табло с электронно-лучевыми трубками, количество трубок до 4</t>
  </si>
  <si>
    <t>ТЕРм11-04-006-02</t>
  </si>
  <si>
    <t>Табло с электронно-лучевыми трубками, количество трубок до 6</t>
  </si>
  <si>
    <t>ТЕРм11-04-006-03</t>
  </si>
  <si>
    <t>Табло с электронно-лучевыми трубками, количество трубок до 8</t>
  </si>
  <si>
    <t>ТЕРм11-04-007-01</t>
  </si>
  <si>
    <t>Экран проекционный с алюминированным полотном, размер 4х4 м</t>
  </si>
  <si>
    <t>ТЕРм11-04-007-02</t>
  </si>
  <si>
    <t>Экран проекционный с алюминированным полотном, размер 4х8 м</t>
  </si>
  <si>
    <t>ТЕРм11-04-007-03</t>
  </si>
  <si>
    <t>Экран-табло отображения цифровой информации с люминесцентным подсветом до 500 знакомест</t>
  </si>
  <si>
    <t xml:space="preserve">                                   Съемные и выдвижные блоки (модули, ячейки, ТЭЗ)</t>
  </si>
  <si>
    <t>ТЕРм11-04-008-01</t>
  </si>
  <si>
    <t>Съемные и выдвижные блоки (модули, ячейки, ТЭЗ), масса до 5 кг</t>
  </si>
  <si>
    <t>ТЕРм11-04-008-02</t>
  </si>
  <si>
    <t>Съемные и выдвижные блоки (модули, ячейки, ТЭЗ), масса до 10 кг</t>
  </si>
  <si>
    <t>ТЕРм11-04-008-03</t>
  </si>
  <si>
    <t>Съемные и выдвижные блоки (модули, ячейки, ТЭЗ), масса до 20 кг</t>
  </si>
  <si>
    <t>ТЕРм11-04-008-04</t>
  </si>
  <si>
    <t>Съемные и выдвижные блоки (модули, ячейки, ТЭЗ), масса до 30 кг</t>
  </si>
  <si>
    <t>ТЕРм11-04-008-05</t>
  </si>
  <si>
    <t>Съемные и выдвижные блоки (модули, ячейки, ТЭЗ), масса до 50 кг</t>
  </si>
  <si>
    <t>ТЕРм11-04-008-06</t>
  </si>
  <si>
    <t>Съемные и выдвижные блоки (модули, ячейки, ТЭЗ), масса до 75 кг</t>
  </si>
  <si>
    <t>ТЕРм11-04-008-07</t>
  </si>
  <si>
    <t>Съемные и выдвижные блоки (модули, ячейки, ТЭЗ), масса до 100 кг</t>
  </si>
  <si>
    <t xml:space="preserve">                                   Раздел 2. РАЗДЕЛКА КАБЕЛЕЙ И ПРОВОДОВ В РАЗЪЕМЫ</t>
  </si>
  <si>
    <t xml:space="preserve">                                   Разъемы штепсельные с разделкой и включением экранированного кабеля</t>
  </si>
  <si>
    <t>ТЕРм11-04-020-01</t>
  </si>
  <si>
    <t>Разъемы штепсельные с разделкой и включением экранированного кабеля, сечение жилы до 1 мм2, количество подключаемых жил 14 шт.</t>
  </si>
  <si>
    <t>ТЕРм11-04-020-02</t>
  </si>
  <si>
    <t>Разъемы штепсельные с разделкой и включением экранированного кабеля, сечение жилы до 1 мм2, количество подключаемых жил 24 шт.</t>
  </si>
  <si>
    <t>ТЕРм11-04-020-03</t>
  </si>
  <si>
    <t>Разъемы штепсельные с разделкой и включением экранированного кабеля, сечение жилы до 1 мм2, количество подключаемых жил 37 шт.</t>
  </si>
  <si>
    <t>ТЕРм11-04-020-04</t>
  </si>
  <si>
    <t>Разъемы штепсельные с разделкой и включением экранированного кабеля, сечение жилы до 1 мм2, количество подключаемых жил 52 шт.</t>
  </si>
  <si>
    <t>ТЕРм11-04-020-05</t>
  </si>
  <si>
    <t>Разъемы штепсельные с разделкой и включением экранированного кабеля, сечение жилы до 1 мм2, количество подключаемых жил 61 шт.</t>
  </si>
  <si>
    <t>ТЕРм11-04-020-06</t>
  </si>
  <si>
    <t>Разъемы штепсельные с разделкой и включением экранированного кабеля, сечение жилы до 1 мм2, количество подключаемых жил 91 шт.</t>
  </si>
  <si>
    <t>ТЕРм11-04-020-07</t>
  </si>
  <si>
    <t>Разъемы штепсельные с разделкой и включением экранированного кабеля, сечение жилы до 1 мм2, количество подключаемых жил 108 шт.</t>
  </si>
  <si>
    <t xml:space="preserve">                                   Кабель экранированный дополнительно подключаемый в штепсельный разъем (к табл. ТЕРм 11-04-020)</t>
  </si>
  <si>
    <t>ТЕРм11-04-021-01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</si>
  <si>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14 шт.</t>
  </si>
  <si>
    <t>ТЕРм11-04-021-02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</si>
  <si>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24 шт.</t>
  </si>
  <si>
    <t>ТЕРм11-04-021-03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</si>
  <si>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37 шт.</t>
  </si>
  <si>
    <t>ТЕРм11-04-021-04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</si>
  <si>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52 шт.</t>
  </si>
  <si>
    <t>ТЕРм11-04-021-05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</si>
  <si>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61 шт.</t>
  </si>
  <si>
    <t>ТЕРм11-04-021-06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</si>
  <si>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91 шт.</t>
  </si>
  <si>
    <t>ТЕРм11-04-021-07</t>
  </si>
  <si>
    <t>Кабель экранированный дополнительно подключаемый в штепсельный разъем (к табл. ТЕРм 11-04-020), сечение жилы до 1 мм2, количество подключаемых жил 108 шт.</t>
  </si>
  <si>
    <t xml:space="preserve">                                   Разъемы штепсельные с разделкой кабеля с экранированными жилами</t>
  </si>
  <si>
    <t>ТЕРм11-04-022-01</t>
  </si>
  <si>
    <t>Разъемы штепсельные с разделкой кабеля с экранированными жилами, сечение жилы до 1 мм2, количество подключаемых жил 14 шт.</t>
  </si>
  <si>
    <t>ТЕРм11-04-022-02</t>
  </si>
  <si>
    <t>Разъемы штепсельные с разделкой кабеля с экранированными жилами, сечение жилы до 1 мм2, количество подключаемых жил 24 шт.</t>
  </si>
  <si>
    <t>ТЕРм11-04-022-03</t>
  </si>
  <si>
    <t>Разъемы штепсельные с разделкой кабеля с экранированными жилами, сечение жилы до 1 мм2, количество подключаемых жил 37 шт.</t>
  </si>
  <si>
    <t>ТЕРм11-04-022-04</t>
  </si>
  <si>
    <t>Разъемы штепсельные с разделкой кабеля с экранированными жилами, сечение жилы до 1 мм2, количество подключаемых жил 52 шт.</t>
  </si>
  <si>
    <t>ТЕРм11-04-022-05</t>
  </si>
  <si>
    <t>Разъемы штепсельные с разделкой кабеля с экранированными жилами, сечение жилы до 1 мм2, количество подключаемых жил 61 шт.</t>
  </si>
  <si>
    <t>ТЕРм11-04-022-06</t>
  </si>
  <si>
    <t>Разъемы штепсельные с разделкой кабеля с экранированными жилами, сечение жилы до 1 мм2, количество подключаемых жил 91 шт.</t>
  </si>
  <si>
    <t>ТЕРм11-04-022-07</t>
  </si>
  <si>
    <t>Разъемы штепсельные с разделкой кабеля с экранированными жилами, сечение жилы до 1 мм2, количество подключаемых жил 108 шт.</t>
  </si>
  <si>
    <t xml:space="preserve">                                   Кабель с экранированными жилами, дополнительно подключаемый в разъем (к табл. ТЕРм 11-04-022)</t>
  </si>
  <si>
    <t>ТЕРм11-04-023-01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</si>
  <si>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14 шт.</t>
  </si>
  <si>
    <t>ТЕРм11-04-023-02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</si>
  <si>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24 шт.</t>
  </si>
  <si>
    <t>ТЕРм11-04-023-03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</si>
  <si>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37 шт.</t>
  </si>
  <si>
    <t>ТЕРм11-04-023-04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</si>
  <si>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52 шт.</t>
  </si>
  <si>
    <t>ТЕРм11-04-023-05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</si>
  <si>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61 шт.</t>
  </si>
  <si>
    <t>ТЕРм11-04-023-06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</si>
  <si>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91 шт.</t>
  </si>
  <si>
    <t>ТЕРм11-04-023-07</t>
  </si>
  <si>
    <t>Кабель с экранированными жилами, дополнительно подключаемый в разъем (к табл. ТЕРм 11-04-022), сечение жилы до 1 мм2, количество подключаемых жил 108 шт.</t>
  </si>
  <si>
    <t xml:space="preserve">                                   Разъемы штепсельные с разделкой и включением экранированного кабеля с экранированными жилами</t>
  </si>
  <si>
    <t>ТЕРм11-04-024-01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</si>
  <si>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14 шт.</t>
  </si>
  <si>
    <t>ТЕРм11-04-024-02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</si>
  <si>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24 шт.</t>
  </si>
  <si>
    <t>ТЕРм11-04-024-03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</si>
  <si>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37 шт.</t>
  </si>
  <si>
    <t>ТЕРм11-04-024-04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</si>
  <si>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52 шт.</t>
  </si>
  <si>
    <t>ТЕРм11-04-024-05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</si>
  <si>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61 шт.</t>
  </si>
  <si>
    <t>ТЕРм11-04-024-06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</si>
  <si>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91 шт.</t>
  </si>
  <si>
    <t>ТЕРм11-04-024-07</t>
  </si>
  <si>
    <t>Разъемы штепсельные с разделкой и включением экранированного кабеля с экранированными жилами, сечение жилы до 1 мм2, количество подключаемых жил 108 шт.</t>
  </si>
  <si>
    <t xml:space="preserve">                                   Кабель экранированный с экранированными жилами, дополнительно подключаемый в разъем (к табл. ТЕРм 11-04-024)</t>
  </si>
  <si>
    <t>ТЕРм11-04-025-01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</si>
  <si>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14 шт.</t>
  </si>
  <si>
    <t>ТЕРм11-04-025-02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</si>
  <si>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24 шт.</t>
  </si>
  <si>
    <t>ТЕРм11-04-025-03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</si>
  <si>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37 шт.</t>
  </si>
  <si>
    <t>ТЕРм11-04-025-04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</si>
  <si>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52 шт.</t>
  </si>
  <si>
    <t>ТЕРм11-04-025-05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</si>
  <si>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61 шт.</t>
  </si>
  <si>
    <t>ТЕРм11-04-025-06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</si>
  <si>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91 шт.</t>
  </si>
  <si>
    <t>ТЕРм11-04-025-07</t>
  </si>
  <si>
    <t>Кабель экранированный с экранированными жилами, дополнительно подключаемый в разъем (к табл. ТЕРм 11-04-024), сечение жилы до 1 мм2, количество подключаемых жил 108 шт.</t>
  </si>
  <si>
    <t xml:space="preserve">                                   Разъемы штепсельные</t>
  </si>
  <si>
    <t>ТЕРм11-04-026-01</t>
  </si>
  <si>
    <t>Разъемы штепсельные с разделкой и включением кабеля с экранированными парами, емкость 5х2</t>
  </si>
  <si>
    <t>ТЕРм11-04-026-02</t>
  </si>
  <si>
    <t>Разъемы штепсельные с разделкой и включением кабеля с экранированными парами, емкость 10х2</t>
  </si>
  <si>
    <t>ТЕРм11-04-026-03</t>
  </si>
  <si>
    <t>Разъемы штепсельные с разделкой и включением кабеля радиочастотного коаксиального импульсного, диаметр оболочки до 6 мм</t>
  </si>
  <si>
    <t xml:space="preserve">                                   Кабель дополнительно подключаемый в штепсельный разъем (к табл. ТЕРм 11-04-026)</t>
  </si>
  <si>
    <t>ТЕРм11-04-027-01</t>
  </si>
  <si>
    <t>Кабель дополнительно подключаемый в штепсельный разъем (к табл. ТЕРм 11-04-026) с экранированными парами, емкость 5х2</t>
  </si>
  <si>
    <t>ТЕРм11-04-027-02</t>
  </si>
  <si>
    <t>Кабель дополнительно подключаемый в штепсельный разъем (к табл. ТЕРм 11-04-026) с экранированными парами, емкость10х2</t>
  </si>
  <si>
    <t>ТЕРм11-04-027-03</t>
  </si>
  <si>
    <t>Кабель дополнительно подключаемый в штепсельный разъем (к табл. ТЕРм 11-04-026) радиочастотный коаксиальный импульсный, диаметр оболочки до 6 мм</t>
  </si>
  <si>
    <t xml:space="preserve">                                   Включение штепсельных разъемов в аппаратуру</t>
  </si>
  <si>
    <t>ТЕРм11-04-028-01</t>
  </si>
  <si>
    <t>Включение в аппаратуру разъемов штепсельных, количество контактов в разъеме до 14 шт.</t>
  </si>
  <si>
    <t>ТЕРм11-04-028-02</t>
  </si>
  <si>
    <t>Включение в аппаратуру разъемов штепсельных, количество контактов в разъеме до 24 шт.</t>
  </si>
  <si>
    <t>ТЕРм11-04-028-03</t>
  </si>
  <si>
    <t>Включение в аппаратуру разъемов штепсельных, количество контактов в разъеме до 37 шт.</t>
  </si>
  <si>
    <t>ТЕРм11-04-028-04</t>
  </si>
  <si>
    <t>Включение в аппаратуру разъемов штепсельных, количество контактов в разъеме до 52 шт.</t>
  </si>
  <si>
    <t>ТЕРм11-04-028-05</t>
  </si>
  <si>
    <t>Включение в аппаратуру разъемов штепсельных, количество контактов в разъеме до 61 шт.</t>
  </si>
  <si>
    <t>ТЕРм11-04-028-06</t>
  </si>
  <si>
    <t>Включение в аппаратуру разъемов штепсельных, количество контактов в разъеме до 91 шт.</t>
  </si>
  <si>
    <t>ТЕРм11-04-028-07</t>
  </si>
  <si>
    <t>Включение в аппаратуру разъемов штепсельных, количество контактов в разъеме до 108 шт.</t>
  </si>
  <si>
    <t>ТЕРм11-04-029-01</t>
  </si>
  <si>
    <t>Сборка кабеля многожильного в пластикатной трубке, внутренний диаметр трубки до 10 мм</t>
  </si>
  <si>
    <t>ТЕРм11-04-029-02</t>
  </si>
  <si>
    <t>Сборка кабеля многожильного в пластикатной трубке, внутренний диаметр трубки до 20 мм</t>
  </si>
  <si>
    <t>ТЕРм11-04-029-03</t>
  </si>
  <si>
    <t>Сборка кабеля многожильного в пластикатной трубке, внутренний диаметр трубки до 30 мм</t>
  </si>
  <si>
    <t>ТЕРм11-04-029-04</t>
  </si>
  <si>
    <t>Сборка кабеля многожильного в пластикатной трубке, внутренний диаметр трубки до 40 мм</t>
  </si>
  <si>
    <t>ТЕРм11-04-029-05</t>
  </si>
  <si>
    <t>Сборка кабеля многожильного в пластикатной трубке, внутренний диаметр трубки до 50 мм</t>
  </si>
  <si>
    <t>ТЕРм11-04-029-06</t>
  </si>
  <si>
    <t>Сборка кабеля многожильного с надеванием экранной оплетки, внутренний диаметр трубки до 10 мм</t>
  </si>
  <si>
    <t>ТЕРм11-04-029-07</t>
  </si>
  <si>
    <t>Сборка кабеля многожильного с надеванием экранной оплетки, внутренний диаметр трубки до 20 мм</t>
  </si>
  <si>
    <t>ТЕРм11-04-029-08</t>
  </si>
  <si>
    <t>Сборка кабеля многожильного с надеванием экранной оплетки, внутренний диаметр трубки до 30 мм</t>
  </si>
  <si>
    <t>ТЕРм11-04-029-09</t>
  </si>
  <si>
    <t>Сборка кабеля многожильного с надеванием экранной оплетки, внутренний диаметр трубки до 40 мм</t>
  </si>
  <si>
    <t>ТЕРм11-04-029-10</t>
  </si>
  <si>
    <t>Сборка кабеля многожильного с надеванием экранной оплетки, внутренний диаметр трубки до 50 мм</t>
  </si>
  <si>
    <t xml:space="preserve">                           Раздел 5. ОТДЕЛ 05. ИСПОЛНИТЕЛЬНЫЕ УСТРОЙСТВА</t>
  </si>
  <si>
    <t xml:space="preserve">                                   Раздел 1. МЕХАНИЗМЫ ИСПОЛНИТЕЛЬНЫЕ</t>
  </si>
  <si>
    <t xml:space="preserve">                                   Механизмы исполнительные</t>
  </si>
  <si>
    <t>ТЕРм11-05-001-01</t>
  </si>
  <si>
    <t>Механизм исполнительный, масса до 20 кг</t>
  </si>
  <si>
    <t>ТЕРм11-05-001-02</t>
  </si>
  <si>
    <t>Механизм исполнительный, масса до 50 кг</t>
  </si>
  <si>
    <t>ТЕРм11-05-001-03</t>
  </si>
  <si>
    <t>Механизм исполнительный, масса до 100 кг</t>
  </si>
  <si>
    <t>ТЕРм11-05-001-04</t>
  </si>
  <si>
    <t>Механизм исполнительный, масса до 200 кг</t>
  </si>
  <si>
    <t>ТЕРм11-05-001-05</t>
  </si>
  <si>
    <t>Механизм исполнительный, масса до 300 кг</t>
  </si>
  <si>
    <t xml:space="preserve">                                   Узлы сочленения</t>
  </si>
  <si>
    <t>ТЕРм11-05-002-01</t>
  </si>
  <si>
    <t>Узел сочленения для исполнительных механизмов, масса исполнительных механизмов до 20 кг</t>
  </si>
  <si>
    <t>ТЕРм11-05-002-02</t>
  </si>
  <si>
    <t>Узел сочленения для исполнительных механизмов, масса исполнительных механизмов до 200 кг</t>
  </si>
  <si>
    <t>ТЕРм11-05-002-03</t>
  </si>
  <si>
    <t>Узел сочленения для исполнительных механизмов, масса исполнительных механизмов до 300 кг</t>
  </si>
  <si>
    <t xml:space="preserve">                           Раздел 6. ОТДЕЛ 06. КОМПЛЕКТЫ ТЕХНИЧЕСКИХ СРЕДСТВ ОПЕРАТОРСКИХ (ДИСПЕТЧЕРСКИХ) ПОМЕЩЕНИЙ</t>
  </si>
  <si>
    <t xml:space="preserve">                                   Щиты и пульты</t>
  </si>
  <si>
    <t>ТЕРм11-06-001-01</t>
  </si>
  <si>
    <t>Щиты и пульты, масса до 50 кг</t>
  </si>
  <si>
    <t>ТЕРм11-06-001-02</t>
  </si>
  <si>
    <t>Щиты и пульты, масса до 100 кг</t>
  </si>
  <si>
    <t>ТЕРм11-06-001-03</t>
  </si>
  <si>
    <t>Щиты и пульты, масса до 150 кг</t>
  </si>
  <si>
    <t>ТЕРм11-06-001-04</t>
  </si>
  <si>
    <t>Щиты и пульты, масса до 250 кг</t>
  </si>
  <si>
    <t>ТЕРм11-06-001-05</t>
  </si>
  <si>
    <t>Щиты и пульты, масса до 350 кг</t>
  </si>
  <si>
    <t xml:space="preserve">                                   Проводки в щитах и пультах</t>
  </si>
  <si>
    <t>ТЕРм11-06-002-01</t>
  </si>
  <si>
    <t>Электрические проводки в щитах и пультах шкафных и панельных</t>
  </si>
  <si>
    <t>ТЕРм11-06-002-02</t>
  </si>
  <si>
    <t>Электрические проводки в щитах и пультах малогабаритных</t>
  </si>
  <si>
    <t>ТЕРм11-06-002-03</t>
  </si>
  <si>
    <t>Трубные проводки в щитах и пультах из цветных металлов</t>
  </si>
  <si>
    <t>ТЕРм11-06-002-04</t>
  </si>
  <si>
    <t>Трубные проводки в щитах и пультах из стальных труб</t>
  </si>
  <si>
    <t>ТЕРм11-06-002-05</t>
  </si>
  <si>
    <t>Трубные проводки в щитах и пультах из пластмассовых труб</t>
  </si>
  <si>
    <t xml:space="preserve">                           Раздел 7. ОТДЕЛ 07. ВСПОМОГАТЕЛЬНАЯ АППАРАТУРА И УСТРОЙСТВА</t>
  </si>
  <si>
    <t xml:space="preserve">                                   Вспомогательная аппаратура и вспомогательные устройства</t>
  </si>
  <si>
    <t>ТЕРм11-07-001-01</t>
  </si>
  <si>
    <t>Сосуды</t>
  </si>
  <si>
    <t>ТЕРм11-07-001-02</t>
  </si>
  <si>
    <t>Блок питания воздухом</t>
  </si>
  <si>
    <t>ТЕРм11-07-001-03</t>
  </si>
  <si>
    <t>Узел обвязки приборов</t>
  </si>
  <si>
    <t>ТЕРм11-07-001-04</t>
  </si>
  <si>
    <t>Прокладка капилляров манометрических приборов</t>
  </si>
  <si>
    <t xml:space="preserve">                           Раздел 8. ОТДЕЛ 08. ПОДКЛЮЧЕНИЕ ЭЛЕКТРИЧЕСКИХ И ТРУБНЫХ ПРОВОДОК К ТЕХНИЧЕСКИМ СРЕДСТВАМ СИСТЕМ АВТОМАТИЗАЦИИ</t>
  </si>
  <si>
    <t xml:space="preserve">                                   Присоединение к приборам электрических проводок</t>
  </si>
  <si>
    <t>ТЕРм11-08-001-01</t>
  </si>
  <si>
    <t>Присоединение к приборам электрических проводок под винт с оконцеванием наконечником</t>
  </si>
  <si>
    <t>ТЕРм11-08-001-02</t>
  </si>
  <si>
    <t>Присоединение к приборам электрических проводок под винт с изготовлением колец</t>
  </si>
  <si>
    <t>ТЕРм11-08-001-03</t>
  </si>
  <si>
    <t>Присоединение к приборам электрических проводок под винт без изготовления колец с обслуживанием</t>
  </si>
  <si>
    <t>ТЕРм11-08-001-04</t>
  </si>
  <si>
    <t>Присоединение к приборам электрических проводок пайкой</t>
  </si>
  <si>
    <t xml:space="preserve">                                   Присоединение к приборам трубных проводок</t>
  </si>
  <si>
    <t>ТЕРм11-08-002-01</t>
  </si>
  <si>
    <t>Присоединение к приборам трубных проводок из водогазопроводных труб, диаметр условного прохода до 25 мм</t>
  </si>
  <si>
    <t>ТЕРм11-08-002-02</t>
  </si>
  <si>
    <t>Присоединение к приборам трубных проводок из водогазопроводных труб, диаметр условного прохода до 50 мм</t>
  </si>
  <si>
    <t>ТЕРм11-08-002-03</t>
  </si>
  <si>
    <t>Присоединение к приборам трубных проводок из стальных бесшовных труб, диаметр условного прохода до 10 мм</t>
  </si>
  <si>
    <t>ТЕРм11-08-002-04</t>
  </si>
  <si>
    <t>Присоединение к приборам трубных проводок из стальных бесшовных труб, диаметр условного прохода до 22 мм</t>
  </si>
  <si>
    <t>ТЕРм11-08-002-05</t>
  </si>
  <si>
    <t>Присоединение к приборам трубных проводок из пластмассовых и резиновых труб, диаметр до 10 мм</t>
  </si>
  <si>
    <t>ТЕРм11-08-002-06</t>
  </si>
  <si>
    <t>Присоединение к приборам трубных проводок из пластмассовых и резиновых труб, диаметр до 22 мм</t>
  </si>
  <si>
    <t>ТЕРм11-08-002-07</t>
  </si>
  <si>
    <t>Присоединение к приборам трубных проводок из труб цветных металлов, наружный диаметр до 10 мм</t>
  </si>
  <si>
    <t>ТЕРм-2001-12</t>
  </si>
  <si>
    <t xml:space="preserve">                           Раздел 1. ОТДЕЛ 01. ТРУБОПРОВОДЫ ТЕХНОЛОГИЧЕСКИЕ ЦЕХОВЫЕ</t>
  </si>
  <si>
    <t xml:space="preserve">                                   Раздел 1. ТРУБОПРОВОДЫ ИЗ ТРУБ УГЛЕРОДИСТЫХ И КАЧЕСТВЕННЫХ СТАЛЕЙ</t>
  </si>
  <si>
    <t xml:space="preserve">                                   Трубопроводы из водогазопроводных труб с фитингами на резьбе</t>
  </si>
  <si>
    <t>ТЕРм12-01-001-01</t>
  </si>
  <si>
    <t>Трубопровод из водогазопроводных труб с фитингами на резьбе, диаметр условного прохода 15-25 мм</t>
  </si>
  <si>
    <t>ТЕРм12-01-001-02</t>
  </si>
  <si>
    <t>Трубопровод из водогазопроводных труб с фитингами на резьбе, диаметр условного прохода 32-50 мм</t>
  </si>
  <si>
    <t>ТЕРм12-01-001-03</t>
  </si>
  <si>
    <t>Трубопровод из водогазопроводных труб с фитингами на резьбе, диаметр условного прохода 70-80 мм</t>
  </si>
  <si>
    <t>ТЕРм12-01-001-04</t>
  </si>
  <si>
    <t>Трубопровод из водогазопроводных труб с фитингами на резьбе, диаметр условного прохода 100 мм</t>
  </si>
  <si>
    <t>ТЕРм12-01-001-05</t>
  </si>
  <si>
    <t>Трубопровод из водогазопроводных труб с фитингами на резьбе, диаметр условного прохода 125 мм</t>
  </si>
  <si>
    <t>ТЕРм12-01-001-06</t>
  </si>
  <si>
    <t>Трубопровод из водогазопроводных труб с фитингами на резьбе, диаметр условного прохода 150 мм</t>
  </si>
  <si>
    <t xml:space="preserve">                                   Трубопроводы в помещениях или на открытых площадках в пределах цехов, монтируемые из готовых узлов, на условное давление не более 2,5 МПа</t>
  </si>
  <si>
    <t>ТЕРм12-01-002-01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</si>
  <si>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14 мм</t>
  </si>
  <si>
    <t>ТЕРм12-01-002-02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</si>
  <si>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18 мм</t>
  </si>
  <si>
    <t>ТЕРм12-01-002-03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</si>
  <si>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25 мм</t>
  </si>
  <si>
    <t>ТЕРм12-01-002-04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</si>
  <si>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32 мм</t>
  </si>
  <si>
    <t>ТЕРм12-01-002-05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</si>
  <si>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38 мм</t>
  </si>
  <si>
    <t>ТЕРм12-01-002-06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</si>
  <si>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45 мм</t>
  </si>
  <si>
    <t>ТЕРм12-01-002-07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</si>
  <si>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57 мм</t>
  </si>
  <si>
    <t>ТЕРм12-01-002-08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</si>
  <si>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76 мм</t>
  </si>
  <si>
    <t>ТЕРм12-01-002-09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</si>
  <si>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89 мм</t>
  </si>
  <si>
    <t>ТЕРм12-01-002-10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</si>
  <si>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108 мм</t>
  </si>
  <si>
    <t>ТЕРм12-01-002-11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</si>
  <si>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133 мм</t>
  </si>
  <si>
    <t>ТЕРм12-01-002-12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</si>
  <si>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159 мм</t>
  </si>
  <si>
    <t>ТЕРм12-01-002-13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</si>
  <si>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219 мм</t>
  </si>
  <si>
    <t>ТЕРм12-01-002-14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</si>
  <si>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273 мм</t>
  </si>
  <si>
    <t>ТЕРм12-01-002-15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</si>
  <si>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325 мм</t>
  </si>
  <si>
    <t>ТЕРм12-01-002-16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</si>
  <si>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377 мм</t>
  </si>
  <si>
    <t>ТЕРм12-01-002-17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</si>
  <si>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426 мм</t>
  </si>
  <si>
    <t>ТЕРм12-01-002-18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</si>
  <si>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530 мм</t>
  </si>
  <si>
    <t>ТЕРм12-01-002-19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</si>
  <si>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630 мм</t>
  </si>
  <si>
    <t>ТЕРм12-01-002-20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</si>
  <si>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820 мм</t>
  </si>
  <si>
    <t>ТЕРм12-01-002-21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</si>
  <si>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1020 мм</t>
  </si>
  <si>
    <t>ТЕРм12-01-002-22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</si>
  <si>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1220 мм</t>
  </si>
  <si>
    <t>ТЕРм12-01-002-23</t>
  </si>
  <si>
    <t>Трубопровод в помещениях или на открытых площадках в пределах цехов, монтируемый из готовых узлов, на условное давление не более 2,5 МПа, диаметр труб наружный 1420 мм</t>
  </si>
  <si>
    <t xml:space="preserve">                                   Трубопроводы в помещениях или на открытых площадках в пределах цехов, монтируемые из готовых узлов, на условное давление не более 10 МПа</t>
  </si>
  <si>
    <t>ТЕРм12-01-003-01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</si>
  <si>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14 мм</t>
  </si>
  <si>
    <t>ТЕРм12-01-003-02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</si>
  <si>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18 мм</t>
  </si>
  <si>
    <t>ТЕРм12-01-003-03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</si>
  <si>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25 мм</t>
  </si>
  <si>
    <t>ТЕРм12-01-003-04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</si>
  <si>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32 мм</t>
  </si>
  <si>
    <t>ТЕРм12-01-003-05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</si>
  <si>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38 мм</t>
  </si>
  <si>
    <t>ТЕРм12-01-003-06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</si>
  <si>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45 мм</t>
  </si>
  <si>
    <t>ТЕРм12-01-003-07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</si>
  <si>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57 мм</t>
  </si>
  <si>
    <t>ТЕРм12-01-003-08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</si>
  <si>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76 мм</t>
  </si>
  <si>
    <t>ТЕРм12-01-003-09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</si>
  <si>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89 мм</t>
  </si>
  <si>
    <t>ТЕРм12-01-003-10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</si>
  <si>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108 мм</t>
  </si>
  <si>
    <t>ТЕРм12-01-003-11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</si>
  <si>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133 мм</t>
  </si>
  <si>
    <t>ТЕРм12-01-003-12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</si>
  <si>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159 мм</t>
  </si>
  <si>
    <t>ТЕРм12-01-003-13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</si>
  <si>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219 мм</t>
  </si>
  <si>
    <t>ТЕРм12-01-003-14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</si>
  <si>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273 мм</t>
  </si>
  <si>
    <t>ТЕРм12-01-003-15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</si>
  <si>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325 мм</t>
  </si>
  <si>
    <t>ТЕРм12-01-003-16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</si>
  <si>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377 мм</t>
  </si>
  <si>
    <t>ТЕРм12-01-003-17</t>
  </si>
  <si>
    <t>Трубопровод в помещениях или на открытых площадках в пределах цехов, монтируемый из готовых узлов, на условное давление не более 10 МПа, диаметр труб наружный 426 мм</t>
  </si>
  <si>
    <t xml:space="preserve">                                   Трубопроводы в помещениях или на открытых площадках в пределах цехов, монтируемые из труб и готовых деталей, на условное давление не более 2,5 МПа</t>
  </si>
  <si>
    <t>ТЕРм12-01-004-01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</si>
  <si>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14 мм</t>
  </si>
  <si>
    <t>ТЕРм12-01-004-02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</si>
  <si>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18 мм</t>
  </si>
  <si>
    <t>ТЕРм12-01-004-03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</si>
  <si>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25 мм</t>
  </si>
  <si>
    <t>ТЕРм12-01-004-04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</si>
  <si>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32 мм</t>
  </si>
  <si>
    <t>ТЕРм12-01-004-05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</si>
  <si>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38 мм</t>
  </si>
  <si>
    <t>ТЕРм12-01-004-06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</si>
  <si>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45 мм</t>
  </si>
  <si>
    <t>ТЕРм12-01-004-07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</si>
  <si>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57 мм</t>
  </si>
  <si>
    <t>ТЕРм12-01-004-08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</si>
  <si>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76 мм</t>
  </si>
  <si>
    <t>ТЕРм12-01-004-09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</si>
  <si>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89 мм</t>
  </si>
  <si>
    <t>ТЕРм12-01-004-10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</si>
  <si>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108 мм</t>
  </si>
  <si>
    <t>ТЕРм12-01-004-11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</si>
  <si>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133 мм</t>
  </si>
  <si>
    <t>ТЕРм12-01-004-12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</si>
  <si>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159 мм</t>
  </si>
  <si>
    <t>ТЕРм12-01-004-13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</si>
  <si>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219 мм</t>
  </si>
  <si>
    <t>ТЕРм12-01-004-14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</si>
  <si>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273 мм</t>
  </si>
  <si>
    <t>ТЕРм12-01-004-15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</si>
  <si>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325 мм</t>
  </si>
  <si>
    <t>ТЕРм12-01-004-16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</si>
  <si>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377 мм</t>
  </si>
  <si>
    <t>ТЕРм12-01-004-17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</si>
  <si>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426 мм</t>
  </si>
  <si>
    <t>ТЕРм12-01-004-18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</si>
  <si>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530 мм</t>
  </si>
  <si>
    <t>ТЕРм12-01-004-19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</si>
  <si>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630 мм</t>
  </si>
  <si>
    <t>ТЕРм12-01-004-20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</si>
  <si>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820 мм</t>
  </si>
  <si>
    <t>ТЕРм12-01-004-21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</si>
  <si>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1020 мм</t>
  </si>
  <si>
    <t>ТЕРм12-01-004-22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</si>
  <si>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1220 мм</t>
  </si>
  <si>
    <t>ТЕРм12-01-004-23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</si>
  <si>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2,5 МПа, диаметр труб наружный 1420 мм</t>
  </si>
  <si>
    <t xml:space="preserve">                                   Трубопроводы в помещениях или на открытых площадках в пределах цехов, монтируемые из труб и готовых деталей, на условное давление не более 10 МПа</t>
  </si>
  <si>
    <t>ТЕРм12-01-005-01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</si>
  <si>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14 мм</t>
  </si>
  <si>
    <t>ТЕРм12-01-005-02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</si>
  <si>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18 мм</t>
  </si>
  <si>
    <t>ТЕРм12-01-005-03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</si>
  <si>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25 мм</t>
  </si>
  <si>
    <t>ТЕРм12-01-005-04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</si>
  <si>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32 мм</t>
  </si>
  <si>
    <t>ТЕРм12-01-005-05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</si>
  <si>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38 мм</t>
  </si>
  <si>
    <t>ТЕРм12-01-005-06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</si>
  <si>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45 мм</t>
  </si>
  <si>
    <t>ТЕРм12-01-005-07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</si>
  <si>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57 мм</t>
  </si>
  <si>
    <t>ТЕРм12-01-005-08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</si>
  <si>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76 мм</t>
  </si>
  <si>
    <t>ТЕРм12-01-005-09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</si>
  <si>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89 мм</t>
  </si>
  <si>
    <t>ТЕРм12-01-005-10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</si>
  <si>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108 мм</t>
  </si>
  <si>
    <t>ТЕРм12-01-005-11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</si>
  <si>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133 мм</t>
  </si>
  <si>
    <t>ТЕРм12-01-005-12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</si>
  <si>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159 мм</t>
  </si>
  <si>
    <t>ТЕРм12-01-005-13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</si>
  <si>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219 мм</t>
  </si>
  <si>
    <t>ТЕРм12-01-005-14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</si>
  <si>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273 мм</t>
  </si>
  <si>
    <t>ТЕРм12-01-005-15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</si>
  <si>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325 мм</t>
  </si>
  <si>
    <t>ТЕРм12-01-005-16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</si>
  <si>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377 мм</t>
  </si>
  <si>
    <t>ТЕРм12-01-005-17</t>
  </si>
  <si>
    <t>Трубопровод в помещениях или на открытых площадках в пределах цехов, монтируемый из труб и готовых деталей, на условное давление не более 10 МПа, диаметр труб наружный 426 мм</t>
  </si>
  <si>
    <t xml:space="preserve">                                   Трубопроводы в дизельных, насосно-компрессорных, парокотельных и т.п., монтируемые из готовых узлов, на условное давление не более 2,5 МПа</t>
  </si>
  <si>
    <t>ТЕРм12-01-006-01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</si>
  <si>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14 мм</t>
  </si>
  <si>
    <t>ТЕРм12-01-006-02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</si>
  <si>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18 мм</t>
  </si>
  <si>
    <t>ТЕРм12-01-006-03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</si>
  <si>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25 мм</t>
  </si>
  <si>
    <t>ТЕРм12-01-006-04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</si>
  <si>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32 мм</t>
  </si>
  <si>
    <t>ТЕРм12-01-006-05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</si>
  <si>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38 мм</t>
  </si>
  <si>
    <t>ТЕРм12-01-006-06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</si>
  <si>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45 мм</t>
  </si>
  <si>
    <t>ТЕРм12-01-006-07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</si>
  <si>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57 мм</t>
  </si>
  <si>
    <t>ТЕРм12-01-006-08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</si>
  <si>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76 мм</t>
  </si>
  <si>
    <t>ТЕРм12-01-006-09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</si>
  <si>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89 мм</t>
  </si>
  <si>
    <t>ТЕРм12-01-006-10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</si>
  <si>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108 мм</t>
  </si>
  <si>
    <t>ТЕРм12-01-006-11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</si>
  <si>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133 мм</t>
  </si>
  <si>
    <t>ТЕРм12-01-006-12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</si>
  <si>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159 мм</t>
  </si>
  <si>
    <t>ТЕРм12-01-006-13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</si>
  <si>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219 мм</t>
  </si>
  <si>
    <t>ТЕРм12-01-006-14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</si>
  <si>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273 мм</t>
  </si>
  <si>
    <t>ТЕРм12-01-006-15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</si>
  <si>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325 мм</t>
  </si>
  <si>
    <t>ТЕРм12-01-006-16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</si>
  <si>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377 мм</t>
  </si>
  <si>
    <t>ТЕРм12-01-006-17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</si>
  <si>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426 мм</t>
  </si>
  <si>
    <t>ТЕРм12-01-006-18</t>
  </si>
  <si>
    <t>Трубопровод в дизельных, насосно-компрессорных, парокотельных и т.п., монтируемый из готовых узлов, на условное давление не более 2,5 МПа, диаметр труб наружный 530 мм</t>
  </si>
  <si>
    <t xml:space="preserve">                                   Трубопроводы в дизельных, насосно-компрессорных, парокотельных и т.п., монтируемые из готовых узлов, на условное давление не более 10 МПа</t>
  </si>
  <si>
    <t>ТЕРм12-01-007-01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</si>
  <si>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14 мм</t>
  </si>
  <si>
    <t>ТЕРм12-01-007-02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</si>
  <si>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18 мм</t>
  </si>
  <si>
    <t>ТЕРм12-01-007-03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</si>
  <si>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25 мм</t>
  </si>
  <si>
    <t>ТЕРм12-01-007-04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</si>
  <si>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32 мм</t>
  </si>
  <si>
    <t>ТЕРм12-01-007-05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</si>
  <si>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38 мм</t>
  </si>
  <si>
    <t>ТЕРм12-01-007-06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</si>
  <si>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45 мм</t>
  </si>
  <si>
    <t>ТЕРм12-01-007-07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</si>
  <si>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57 мм</t>
  </si>
  <si>
    <t>ТЕРм12-01-007-08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</si>
  <si>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76 мм</t>
  </si>
  <si>
    <t>ТЕРм12-01-007-09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</si>
  <si>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89 мм</t>
  </si>
  <si>
    <t>ТЕРм12-01-007-10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</si>
  <si>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108 мм</t>
  </si>
  <si>
    <t>ТЕРм12-01-007-11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</si>
  <si>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133 мм</t>
  </si>
  <si>
    <t>ТЕРм12-01-007-12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</si>
  <si>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159 мм</t>
  </si>
  <si>
    <t>ТЕРм12-01-007-13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</si>
  <si>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219 мм</t>
  </si>
  <si>
    <t>ТЕРм12-01-007-14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</si>
  <si>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273 мм</t>
  </si>
  <si>
    <t>ТЕРм12-01-007-15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</si>
  <si>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325 мм</t>
  </si>
  <si>
    <t>ТЕРм12-01-007-16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</si>
  <si>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377 мм</t>
  </si>
  <si>
    <t>ТЕРм12-01-007-17</t>
  </si>
  <si>
    <t>Трубопровод в дизельных, насосно-компрессорных, парокотельных и т.п., монтируемый из готовых узлов, на условное давление не более 10 МПа, диаметр труб наружный 426 мм</t>
  </si>
  <si>
    <t xml:space="preserve">                                   Трубопроводы в дизельных, насосно-компрессорных, парокотельных и т.п., монтируемые из труб и готовых деталей, на условное давление не более 2,5 МПа</t>
  </si>
  <si>
    <t>ТЕРм12-01-008-01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</si>
  <si>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14 мм</t>
  </si>
  <si>
    <t>ТЕРм12-01-008-02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</si>
  <si>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18 мм</t>
  </si>
  <si>
    <t>ТЕРм12-01-008-03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</si>
  <si>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25 мм</t>
  </si>
  <si>
    <t>ТЕРм12-01-008-04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</si>
  <si>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32 мм</t>
  </si>
  <si>
    <t>ТЕРм12-01-008-05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</si>
  <si>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38 мм</t>
  </si>
  <si>
    <t>ТЕРм12-01-008-06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</si>
  <si>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45 мм</t>
  </si>
  <si>
    <t>ТЕРм12-01-008-07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</si>
  <si>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57 мм</t>
  </si>
  <si>
    <t>ТЕРм12-01-008-08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</si>
  <si>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76 мм</t>
  </si>
  <si>
    <t>ТЕРм12-01-008-09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</si>
  <si>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89 мм</t>
  </si>
  <si>
    <t>ТЕРм12-01-008-10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</si>
  <si>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108 мм</t>
  </si>
  <si>
    <t>ТЕРм12-01-008-11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</si>
  <si>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133 мм</t>
  </si>
  <si>
    <t>ТЕРм12-01-008-12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</si>
  <si>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159 мм</t>
  </si>
  <si>
    <t>ТЕРм12-01-008-13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</si>
  <si>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219 мм</t>
  </si>
  <si>
    <t>ТЕРм12-01-008-14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</si>
  <si>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273 мм</t>
  </si>
  <si>
    <t>ТЕРм12-01-008-15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</si>
  <si>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325 мм</t>
  </si>
  <si>
    <t>ТЕРм12-01-008-16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</si>
  <si>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377 мм</t>
  </si>
  <si>
    <t>ТЕРм12-01-008-17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</si>
  <si>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426 мм</t>
  </si>
  <si>
    <t>ТЕРм12-01-008-18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</si>
  <si>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2,5 МПа, диаметр труб наружный 530 мм</t>
  </si>
  <si>
    <t xml:space="preserve">                                   Трубопроводы в дизельных, насосно-компрессорных, парокотельных и т.п., монтируемые из труб и готовых деталей, на условное давление не более 10 МПа</t>
  </si>
  <si>
    <t>ТЕРм12-01-009-01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</si>
  <si>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14 мм</t>
  </si>
  <si>
    <t>ТЕРм12-01-009-02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</si>
  <si>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18 мм</t>
  </si>
  <si>
    <t>ТЕРм12-01-009-03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</si>
  <si>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25 мм</t>
  </si>
  <si>
    <t>ТЕРм12-01-009-04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</si>
  <si>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32 мм</t>
  </si>
  <si>
    <t>ТЕРм12-01-009-05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</si>
  <si>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38 мм</t>
  </si>
  <si>
    <t>ТЕРм12-01-009-06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</si>
  <si>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45 мм</t>
  </si>
  <si>
    <t>ТЕРм12-01-009-07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</si>
  <si>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57 мм</t>
  </si>
  <si>
    <t>ТЕРм12-01-009-08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</si>
  <si>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76 мм</t>
  </si>
  <si>
    <t>ТЕРм12-01-009-09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</si>
  <si>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89 мм</t>
  </si>
  <si>
    <t>ТЕРм12-01-009-10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</si>
  <si>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108 мм</t>
  </si>
  <si>
    <t>ТЕРм12-01-009-11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</si>
  <si>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133 мм</t>
  </si>
  <si>
    <t>ТЕРм12-01-009-12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</si>
  <si>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159 мм</t>
  </si>
  <si>
    <t>ТЕРм12-01-009-13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</si>
  <si>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219 мм</t>
  </si>
  <si>
    <t>ТЕРм12-01-009-14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</si>
  <si>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273 мм</t>
  </si>
  <si>
    <t>ТЕРм12-01-009-15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</si>
  <si>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325 мм</t>
  </si>
  <si>
    <t>ТЕРм12-01-009-16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</si>
  <si>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377 мм</t>
  </si>
  <si>
    <t>ТЕРм12-01-009-17</t>
  </si>
  <si>
    <t>Трубопровод в дизельных, насосно-компрессорных, парокотельных и т.п., монтируемый из труб и готовых деталей, на условное давление не более 10 МПа, диаметр труб наружный 426 мм</t>
  </si>
  <si>
    <t xml:space="preserve">                                   Трубопроводы кислородных установок из углеродистых и низколегированных сталей на условное давление 25 МПа</t>
  </si>
  <si>
    <t>ТЕРм12-01-010-01</t>
  </si>
  <si>
    <t>Трубопровод кислородных установок из углеродистых и низколегированных сталей на условное давление 25 МПа, диаметр труб наружный 25 мм</t>
  </si>
  <si>
    <t>ТЕРм12-01-010-02</t>
  </si>
  <si>
    <t>Трубопровод кислородных установок из углеродистых и низколегированных сталей на условное давление 25 МПа, диаметр труб наружный 35 мм</t>
  </si>
  <si>
    <t>ТЕРм12-01-010-03</t>
  </si>
  <si>
    <t>Трубопровод кислородных установок из углеродистых и низколегированных сталей на условное давление 25 МПа, диаметр труб наружный 45 мм</t>
  </si>
  <si>
    <t>ТЕРм12-01-010-04</t>
  </si>
  <si>
    <t>Трубопровод кислородных установок из углеродистых и низколегированных сталей на условное давление 25 МПа, диаметр труб наружный 57 мм</t>
  </si>
  <si>
    <t>ТЕРм12-01-010-05</t>
  </si>
  <si>
    <t>Трубопровод кислородных установок из углеродистых и низколегированных сталей на условное давление 25 МПа, диаметр труб наружный 76 мм</t>
  </si>
  <si>
    <t>ТЕРм12-01-010-06</t>
  </si>
  <si>
    <t>Трубопровод кислородных установок из углеродистых и низколегированных сталей на условное давление 25 МПа, диаметр труб наружный 89 мм</t>
  </si>
  <si>
    <t>ТЕРм12-01-010-07</t>
  </si>
  <si>
    <t>Трубопровод кислородных установок из углеродистых и низколегированных сталей на условное давление 25 МПа, диаметр труб наружный 114 мм</t>
  </si>
  <si>
    <t>ТЕРм12-01-010-08</t>
  </si>
  <si>
    <t>Трубопровод кислородных установок из углеродистых и низколегированных сталей на условное давление 25 МПа, диаметр труб наружный 159 мм</t>
  </si>
  <si>
    <t>ТЕРм12-01-010-09</t>
  </si>
  <si>
    <t>Трубопровод кислородных установок из углеродистых и низколегированных сталей на условное давление 25 МПа, диаметр труб наружный 194 мм</t>
  </si>
  <si>
    <t xml:space="preserve">                                   Трубопроводы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</t>
  </si>
  <si>
    <t>ТЕРм12-01-011-01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</si>
  <si>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15х6 - 25х10 мм</t>
  </si>
  <si>
    <t>ТЕРм12-01-011-02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</si>
  <si>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45х25 - 57х32 мм</t>
  </si>
  <si>
    <t>ТЕРм12-01-011-03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</si>
  <si>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68х40 мм</t>
  </si>
  <si>
    <t>ТЕРм12-01-011-04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</si>
  <si>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102х60 - 114х65 мм</t>
  </si>
  <si>
    <t>ТЕРм12-01-011-05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</si>
  <si>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140х90 - 159х100 мм</t>
  </si>
  <si>
    <t>ТЕРм12-01-011-06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</si>
  <si>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194х125 мм</t>
  </si>
  <si>
    <t>ТЕРм12-01-011-07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</si>
  <si>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245х150 мм</t>
  </si>
  <si>
    <t>ТЕРм12-01-011-08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</si>
  <si>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299х200 мм</t>
  </si>
  <si>
    <t>ТЕРм12-01-011-09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</si>
  <si>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560х402 мм</t>
  </si>
  <si>
    <t>ТЕРм12-01-011-10</t>
  </si>
  <si>
    <t>Трубопровод из стальных труб с фланцевыми соединениями на резьбе с уплотнением на линзе или металлической прокладке или со сварными соединениями на условное давление свыше 10 до 50 МПа, диаметр труб наружный и условный 650х530 мм</t>
  </si>
  <si>
    <t xml:space="preserve">                                   Трубопроводы из стальных труб на условное давление свыше 10 до 50 МПа. Отводы, изготовленные на монтажной площадке</t>
  </si>
  <si>
    <t>ТЕРм12-01-012-01</t>
  </si>
  <si>
    <t>Отвод, изготовленный на монтажной площадке, для трубопроводов из стальных труб на условное давление свыше 10 до 50 МПа, диаметр труб наружный и условный 15х6 - 25х10 мм</t>
  </si>
  <si>
    <t>ТЕРм12-01-012-02</t>
  </si>
  <si>
    <t>Отвод, изготовленный на монтажной площадке, для трубопроводов из стальных труб на условное давление свыше 10 до 50 МПа, диаметр труб наружный и условный 45х25 мм</t>
  </si>
  <si>
    <t>ТЕРм12-01-012-03</t>
  </si>
  <si>
    <t>Отвод, изготовленный на монтажной площадке, для трубопроводов из стальных труб на условное давление свыше 10 до 50 МПа, диаметр труб наружный и условный 57х32 - 68х40 мм</t>
  </si>
  <si>
    <t>ТЕРм12-01-012-04</t>
  </si>
  <si>
    <t>Отвод, изготовленный на монтажной площадке, для трубопроводов из стальных труб на условное давление свыше 10 до 50 МПа, диаметр труб наружный и условный 102х60 - 114х65 мм</t>
  </si>
  <si>
    <t xml:space="preserve">                                   Трубопроводы из стальных труб на условное давление свыше 10 до 50 МПа. Фланцевые соединения на резьбе с уплотнением на линзе или металлической прокладке</t>
  </si>
  <si>
    <t>ТЕРм12-01-013-01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</si>
  <si>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15х6 - 25х10 мм</t>
  </si>
  <si>
    <t>ТЕРм12-01-013-02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</si>
  <si>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45х25 мм</t>
  </si>
  <si>
    <t>ТЕРм12-01-013-03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</si>
  <si>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57х32 - 68х40 мм</t>
  </si>
  <si>
    <t>ТЕРм12-01-013-04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</si>
  <si>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102х60 - 114х65 мм</t>
  </si>
  <si>
    <t>ТЕРм12-01-013-05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</si>
  <si>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140х90 - 159х100 мм</t>
  </si>
  <si>
    <t>ТЕРм12-01-013-06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</si>
  <si>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194х125 мм</t>
  </si>
  <si>
    <t>ТЕРм12-01-013-07</t>
  </si>
  <si>
    <t>Фланцевое соединение на резьбе с уплотнением на линзе или металлической прокладке трубопроводов из стальных труб на условное давление свыше 10 до 50 МПа, диаметр труб наружный и условный 245х150 - 299х200 мм</t>
  </si>
  <si>
    <t xml:space="preserve">                                   Трубопроводы из стальных труб на условное давление свыше 10 до 50 МПа. Сварные соединения</t>
  </si>
  <si>
    <t>ТЕРм12-01-014-01</t>
  </si>
  <si>
    <t>Сварное соединение трубопроводов из стальных труб на условное давление свыше 10 до 50 МПа, диаметр труб наружный и условный 15х6 мм</t>
  </si>
  <si>
    <t>ТЕРм12-01-014-02</t>
  </si>
  <si>
    <t>Сварное соединение трубопроводов из стальных труб на условное давление свыше 10 до 50 МПа, диаметр труб наружный и условный 25х10 мм</t>
  </si>
  <si>
    <t>ТЕРм12-01-014-03</t>
  </si>
  <si>
    <t>Сварное соединение трубопроводов из стальных труб на условное давление свыше 10 до 50 МПа, диаметр труб наружный и условный 45х25 мм</t>
  </si>
  <si>
    <t>ТЕРм12-01-014-04</t>
  </si>
  <si>
    <t>Сварное соединение трубопроводов из стальных труб на условное давление свыше 10 до 50 МПа, диаметр труб наружный и условный 57х32 мм</t>
  </si>
  <si>
    <t>ТЕРм12-01-014-05</t>
  </si>
  <si>
    <t>Сварное соединение трубопроводов из стальных труб на условное давление свыше 10 до 50 МПа, диаметр труб наружный и условный 68х40 мм</t>
  </si>
  <si>
    <t>ТЕРм12-01-014-06</t>
  </si>
  <si>
    <t>Сварное соединение трубопроводов из стальных труб на условное давление свыше 10 до 50 МПа, диаметр труб наружный и условный 102х60 мм</t>
  </si>
  <si>
    <t>ТЕРм12-01-014-07</t>
  </si>
  <si>
    <t>Сварное соединение трубопроводов из стальных труб на условное давление свыше 10 до 50 МПа, диаметр труб наружный и условный 114х65 мм</t>
  </si>
  <si>
    <t>ТЕРм12-01-014-08</t>
  </si>
  <si>
    <t>Сварное соединение трубопроводов из стальных труб на условное давление свыше 10 до 50 МПа, диаметр труб наружный и условный 140х90 - 159х100 мм</t>
  </si>
  <si>
    <t>ТЕРм12-01-014-09</t>
  </si>
  <si>
    <t>Сварное соединение трубопроводов из стальных труб на условное давление свыше 10 до 50 МПа, диаметр труб наружный и условный 194х125 мм</t>
  </si>
  <si>
    <t>ТЕРм12-01-014-10</t>
  </si>
  <si>
    <t>Сварное соединение трубопроводов из стальных труб на условное давление свыше 10 до 50 МПа, диаметр труб наружный и условный 245х150 мм</t>
  </si>
  <si>
    <t>ТЕРм12-01-014-11</t>
  </si>
  <si>
    <t>Сварное соединение трубопроводов из стальных труб на условное давление свыше 10 до 50 МПа, диаметр труб наружный и условный 299х200 мм</t>
  </si>
  <si>
    <t>ТЕРм12-01-014-12</t>
  </si>
  <si>
    <t>Сварное соединение трубопроводов из стальных труб на условное давление свыше 10 до 50 МПа, диаметр труб наружный и условный 402х300 мм</t>
  </si>
  <si>
    <t>ТЕРм12-01-014-13</t>
  </si>
  <si>
    <t>Сварное соединение трубопроводов из стальных труб на условное давление свыше 10 до 50 МПа, диаметр труб наружный и условный 465х350 мм</t>
  </si>
  <si>
    <t>ТЕРм12-01-014-14</t>
  </si>
  <si>
    <t>Сварное соединение трубопроводов из стальных труб на условное давление свыше 10 до 50 МПа, диаметр труб наружный и условный 530х400 мм</t>
  </si>
  <si>
    <t xml:space="preserve">                                   Трубопроводы из стальных труб с фланцевыми соединениями на резьбе с уплотнением на линзе или со сварными соединениями на условное давление свыше 50 до 100 МПа</t>
  </si>
  <si>
    <t>ТЕРм12-01-015-01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</si>
  <si>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15х6 - 35х15 мм</t>
  </si>
  <si>
    <t>ТЕРм12-01-015-02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</si>
  <si>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50х25 - 68х32 мм</t>
  </si>
  <si>
    <t>ТЕРм12-01-015-03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</si>
  <si>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83х40 - 102х60 мм</t>
  </si>
  <si>
    <t>ТЕРм12-01-015-04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</si>
  <si>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127х70 - 159х90 мм</t>
  </si>
  <si>
    <t>ТЕРм12-01-015-05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</si>
  <si>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180х100 мм</t>
  </si>
  <si>
    <t>ТЕРм12-01-015-06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</si>
  <si>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219х125 мм</t>
  </si>
  <si>
    <t>ТЕРм12-01-015-07</t>
  </si>
  <si>
    <t>Трубопровод из стальных труб с фланцевыми соединениями на резьбе с уплотнением на линзе или со сварными соединениями на условное давление свыше 50 до 100 МПа, диаметр труб наружный и условный 273х150 - 299х200 мм</t>
  </si>
  <si>
    <t xml:space="preserve">                                   Трубопроводы из стальных труб на условное давление свыше 50 до 100 МПа. Отводы, изготовленные на монтажной площадке</t>
  </si>
  <si>
    <t>ТЕРм12-01-016-01</t>
  </si>
  <si>
    <t>Отвод, изготовленный на монтажной площадке, для трубопроводов из стальных труб на условное давление свыше 50 до 100 МПа, диаметр труб наружный и условный 15х6 - 35х15 мм</t>
  </si>
  <si>
    <t>ТЕРм12-01-016-02</t>
  </si>
  <si>
    <t>Отвод, изготовленный на монтажной площадке, для трубопроводов из стальных труб на условное давление свыше 50 до 100 МПа, диаметр труб наружный и условный 50х25 мм</t>
  </si>
  <si>
    <t>ТЕРм12-01-016-03</t>
  </si>
  <si>
    <t>Отвод, изготовленный на монтажной площадке, для трубопроводов из стальных труб на условное давление свыше 50 до 100 МПа, диаметр труб наружный и условный 68х32 мм</t>
  </si>
  <si>
    <t>ТЕРм12-01-016-04</t>
  </si>
  <si>
    <t>Отвод, изготовленный на монтажной площадке, для трубопроводов из стальных труб на условное давление свыше 50 до 100 МПа, диаметр труб наружный и условный 83х40 мм</t>
  </si>
  <si>
    <t>ТЕРм12-01-016-05</t>
  </si>
  <si>
    <t>Отвод, изготовленный на монтажной площадке, для трубопроводов из стальных труб на условное давление свыше 50 до 100 МПа, диаметр труб наружный и условный 102х60 мм</t>
  </si>
  <si>
    <t xml:space="preserve">                                   Трубопроводы из стальных труб на условное давление свыше 50 до 100 МПа. Фланцевые соединения на резьбе с уплотнением на линзе</t>
  </si>
  <si>
    <t>ТЕРм12-01-017-01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</si>
  <si>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15х6 мм</t>
  </si>
  <si>
    <t>ТЕРм12-01-017-02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</si>
  <si>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25х10 - 35х15 мм</t>
  </si>
  <si>
    <t>ТЕРм12-01-017-03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</si>
  <si>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50х25 мм</t>
  </si>
  <si>
    <t>ТЕРм12-01-017-04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</si>
  <si>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68х32 мм</t>
  </si>
  <si>
    <t>ТЕРм12-01-017-05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</si>
  <si>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83х40 мм</t>
  </si>
  <si>
    <t>ТЕРм12-01-017-06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</si>
  <si>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102х60 мм</t>
  </si>
  <si>
    <t>ТЕРм12-01-017-07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</si>
  <si>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127х70 мм</t>
  </si>
  <si>
    <t>ТЕРм12-01-017-08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</si>
  <si>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159х90 мм</t>
  </si>
  <si>
    <t>ТЕРм12-01-017-09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</si>
  <si>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180х100 мм</t>
  </si>
  <si>
    <t>ТЕРм12-01-017-10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</si>
  <si>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219х125 мм</t>
  </si>
  <si>
    <t>ТЕРм12-01-017-11</t>
  </si>
  <si>
    <t>Фланцевое соединение на резьбе с уплотнением на линзе трубопроводов из стальных труб на условное давление свыше 50 до 100 МПа, диаметр труб наружный и условный 273х150 - 299х200 мм</t>
  </si>
  <si>
    <t xml:space="preserve">                                   Трубопроводы из стальных труб на условное давление свыше 50 до 100 МПа. Сварные соединения</t>
  </si>
  <si>
    <t>ТЕРм12-01-018-01</t>
  </si>
  <si>
    <t>Сварное соединение трубопроводов из стальных труб на условное давление свыше 50 до 100 МПа, диаметр труб наружный и условный 15х6 мм</t>
  </si>
  <si>
    <t>ТЕРм12-01-018-02</t>
  </si>
  <si>
    <t>Сварное соединение трубопроводов из стальных труб на условное давление свыше 50 до 100 МПа, диаметр труб наружный и условный 25х10 мм</t>
  </si>
  <si>
    <t>ТЕРм12-01-018-03</t>
  </si>
  <si>
    <t>Сварное соединение трубопроводов из стальных труб на условное давление свыше 50 до 100 МПа, диаметр труб наружный и условный 35х15 мм</t>
  </si>
  <si>
    <t>ТЕРм12-01-018-04</t>
  </si>
  <si>
    <t>Сварное соединение трубопроводов из стальных труб на условное давление свыше 50 до 100 МПа, диаметр труб наружный и условный 50х25 мм</t>
  </si>
  <si>
    <t>ТЕРм12-01-018-05</t>
  </si>
  <si>
    <t>Сварное соединение трубопроводов из стальных труб на условное давление свыше 50 до 100 МПа, диаметр труб наружный и условный 68х32 мм</t>
  </si>
  <si>
    <t>ТЕРм12-01-018-06</t>
  </si>
  <si>
    <t>Сварное соединение трубопроводов из стальных труб на условное давление свыше 50 до 100 МПа, диаметр труб наружный и условный 83х40 - 102х60 мм</t>
  </si>
  <si>
    <t>ТЕРм12-01-018-07</t>
  </si>
  <si>
    <t>Сварное соединение трубопроводов из стальных труб на условное давление свыше 50 до 100 МПа, диаметр труб наружный и условный 127х70 мм</t>
  </si>
  <si>
    <t>ТЕРм12-01-018-08</t>
  </si>
  <si>
    <t>Сварное соединение трубопроводов из стальных труб на условное давление свыше 50 до 100 МПа, диаметр труб наружный и условный 159х90 мм</t>
  </si>
  <si>
    <t>ТЕРм12-01-018-09</t>
  </si>
  <si>
    <t>Сварное соединение трубопроводов из стальных труб на условное давление свыше 50 до 100 МПа, диаметр труб наружный и условный 180х100 - 219х125 мм</t>
  </si>
  <si>
    <t>ТЕРм12-01-018-10</t>
  </si>
  <si>
    <t>Сварное соединение трубопроводов из стальных труб на условное давление свыше 50 до 100 МПа, диаметр труб наружный и условный 273х150 - 299х200 мм</t>
  </si>
  <si>
    <t xml:space="preserve">                                   Трубопроводы из стальных гуммированных или фаолитированных труб, монтируемые с применением готовых узлов</t>
  </si>
  <si>
    <t>ТЕРм12-01-019-01</t>
  </si>
  <si>
    <t>Трубопровод из стальных гуммированных или фаолитированных труб, монтируемый с применением готовых узлов, диаметр труб наружный 57 мм</t>
  </si>
  <si>
    <t>ТЕРм12-01-019-02</t>
  </si>
  <si>
    <t>Трубопровод из стальных гуммированных или фаолитированных труб, монтируемый с применением готовых узлов, диаметр труб наружный 76 мм</t>
  </si>
  <si>
    <t>ТЕРм12-01-019-03</t>
  </si>
  <si>
    <t>Трубопровод из стальных гуммированных или фаолитированных труб, монтируемый с применением готовых узлов, диаметр труб наружный 108 мм</t>
  </si>
  <si>
    <t>ТЕРм12-01-019-04</t>
  </si>
  <si>
    <t>Трубопровод из стальных гуммированных или фаолитированных труб, монтируемый с применением готовых узлов, диаметр труб наружный 159 мм</t>
  </si>
  <si>
    <t>ТЕРм12-01-019-05</t>
  </si>
  <si>
    <t>Трубопровод из стальных гуммированных или фаолитированных труб, монтируемый с применением готовых узлов, диаметр труб наружный 219-273 мм</t>
  </si>
  <si>
    <t>ТЕРм12-01-019-06</t>
  </si>
  <si>
    <t>Трубопровод из стальных гуммированных или фаолитированных труб, монтируемый с применением готовых узлов, диаметр труб наружный 325-377 мм</t>
  </si>
  <si>
    <t>ТЕРм12-01-019-07</t>
  </si>
  <si>
    <t>Трубопровод из стальных гуммированных или фаолитированных труб, монтируемый с применением готовых узлов, диаметр труб наружный 426 мм</t>
  </si>
  <si>
    <t>ТЕРм12-01-019-08</t>
  </si>
  <si>
    <t>Трубопровод из стальных гуммированных или фаолитированных труб, монтируемый с применением готовых узлов, диаметр труб наружный 530 мм</t>
  </si>
  <si>
    <t>ТЕРм12-01-019-09</t>
  </si>
  <si>
    <t>Трубопровод из стальных гуммированных или фаолитированных труб, монтируемый с применением готовых узлов, диаметр труб наружный 720 мм</t>
  </si>
  <si>
    <t xml:space="preserve">                                   Трубопроводы из стальных труб, футерованных полиэтиленом или винипластом, с применением готовых деталей</t>
  </si>
  <si>
    <t>ТЕРм12-01-020-01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</si>
  <si>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10х14 - 25х32 мм</t>
  </si>
  <si>
    <t>ТЕРм12-01-020-02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</si>
  <si>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32х38 - 50х57 мм</t>
  </si>
  <si>
    <t>ТЕРм12-01-020-03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</si>
  <si>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65х76 - 80х89 мм</t>
  </si>
  <si>
    <t>ТЕРм12-01-020-04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</si>
  <si>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100х108 - 125х133 мм</t>
  </si>
  <si>
    <t>ТЕРм12-01-020-05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</si>
  <si>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150х159 мм</t>
  </si>
  <si>
    <t>ТЕРм12-01-020-06</t>
  </si>
  <si>
    <t>Трубопровод из стальных труб, футерованных полиэтиленом или винипластом, с применением готовых деталей, диаметр труб наружный и условный 200х219 мм</t>
  </si>
  <si>
    <t xml:space="preserve">                                   Трубопроводы из стальных эмалированных труб и готовых деталей на рабочее давление до 0,6 МПа</t>
  </si>
  <si>
    <t>ТЕРм12-01-021-01</t>
  </si>
  <si>
    <t>Трубопровод из стальных эмалированных труб и готовых деталей на рабочее давление до 0,6 МПа, диаметр труб условный 50 мм</t>
  </si>
  <si>
    <t>ТЕРм12-01-021-02</t>
  </si>
  <si>
    <t>Трубопровод из стальных эмалированных труб и готовых деталей на рабочее давление до 0,6 МПа, диаметр труб условный 80 мм</t>
  </si>
  <si>
    <t>ТЕРм12-01-021-03</t>
  </si>
  <si>
    <t>Трубопровод из стальных эмалированных труб и готовых деталей на рабочее давление до 0,6 МПа, диаметр труб условный 150 мм</t>
  </si>
  <si>
    <t xml:space="preserve">                                   Трубопроводы из стальных труб, футерованных фторопластом с применением готовых деталей на рабочее давление до 0,5 МПа</t>
  </si>
  <si>
    <t>ТЕРм12-01-022-01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</si>
  <si>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25х32 мм</t>
  </si>
  <si>
    <t>ТЕРм12-01-022-02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</si>
  <si>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40х45 - 50х57 мм</t>
  </si>
  <si>
    <t>ТЕРм12-01-022-03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</si>
  <si>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65х76 - 100х108 мм</t>
  </si>
  <si>
    <t>ТЕРм12-01-022-04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</si>
  <si>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125х133 мм</t>
  </si>
  <si>
    <t>ТЕРм12-01-022-05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</si>
  <si>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150х159 мм</t>
  </si>
  <si>
    <t>ТЕРм12-01-022-06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</si>
  <si>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200х219 мм</t>
  </si>
  <si>
    <t>ТЕРм12-01-022-07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</si>
  <si>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300х325 мм</t>
  </si>
  <si>
    <t>ТЕРм12-01-022-08</t>
  </si>
  <si>
    <t>Трубопровод из стальных труб, футерованных фторопластом с применением готовых деталей на рабочее давление до 0,5 МПа, диаметр труб условный и наружный 400х426 мм</t>
  </si>
  <si>
    <t xml:space="preserve">                                   Раздел 2. ТРУБОПРОВОДЫ ИЗ ТРУБ ЛЕГИРОВАННЫХ И ВЫСОКОЛЕГИРОВАННЫХ СТАЛЕЙ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</si>
  <si>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готовых узлов, на условное давление не более 2,5 МПа</t>
  </si>
  <si>
    <t>ТЕРм12-01-048-01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</si>
  <si>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45 мм</t>
  </si>
  <si>
    <t>ТЕРм12-01-048-02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</si>
  <si>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57 мм</t>
  </si>
  <si>
    <t>ТЕРм12-01-048-03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</si>
  <si>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76 мм</t>
  </si>
  <si>
    <t>ТЕРм12-01-048-04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</si>
  <si>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89 мм</t>
  </si>
  <si>
    <t>ТЕРм12-01-048-05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</si>
  <si>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108 мм</t>
  </si>
  <si>
    <t>ТЕРм12-01-048-06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</si>
  <si>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133 мм</t>
  </si>
  <si>
    <t>ТЕРм12-01-048-07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</si>
  <si>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159 мм</t>
  </si>
  <si>
    <t>ТЕРм12-01-048-08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</si>
  <si>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219 мм</t>
  </si>
  <si>
    <t>ТЕРм12-01-048-09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</si>
  <si>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273 мм</t>
  </si>
  <si>
    <t>ТЕРм12-01-048-10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</si>
  <si>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325 мм</t>
  </si>
  <si>
    <t>ТЕРм12-01-048-11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</si>
  <si>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377 мм</t>
  </si>
  <si>
    <t>ТЕРм12-01-048-12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</si>
  <si>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426 мм</t>
  </si>
  <si>
    <t>ТЕРм12-01-048-13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</si>
  <si>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2,5 МПа, диаметр трубопровода наружный 530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</si>
  <si>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готовых узлов, на условное давление не более 4 МПа</t>
  </si>
  <si>
    <t>ТЕРм12-01-049-01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</si>
  <si>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45 мм</t>
  </si>
  <si>
    <t>ТЕРм12-01-049-02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</si>
  <si>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57 мм</t>
  </si>
  <si>
    <t>ТЕРм12-01-049-03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</si>
  <si>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76 мм</t>
  </si>
  <si>
    <t>ТЕРм12-01-049-04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</si>
  <si>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89 мм</t>
  </si>
  <si>
    <t>ТЕРм12-01-049-05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</si>
  <si>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108 мм</t>
  </si>
  <si>
    <t>ТЕРм12-01-049-06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</si>
  <si>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133 мм</t>
  </si>
  <si>
    <t>ТЕРм12-01-049-07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</si>
  <si>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159 мм</t>
  </si>
  <si>
    <t>ТЕРм12-01-049-08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</si>
  <si>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219 мм</t>
  </si>
  <si>
    <t>ТЕРм12-01-049-09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</si>
  <si>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273 мм</t>
  </si>
  <si>
    <t>ТЕРм12-01-049-10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</si>
  <si>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325 мм</t>
  </si>
  <si>
    <t>ТЕРм12-01-049-11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</si>
  <si>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377 мм</t>
  </si>
  <si>
    <t>ТЕРм12-01-049-12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</si>
  <si>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4 МПа, диаметр трубопровода наружный 426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</si>
  <si>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готовых узлов, на условное давление не более 10 МПа</t>
  </si>
  <si>
    <t>ТЕРм12-01-050-01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</si>
  <si>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45 мм</t>
  </si>
  <si>
    <t>ТЕРм12-01-050-02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</si>
  <si>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57 мм</t>
  </si>
  <si>
    <t>ТЕРм12-01-050-03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</si>
  <si>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76 мм</t>
  </si>
  <si>
    <t>ТЕРм12-01-050-04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</si>
  <si>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89 мм</t>
  </si>
  <si>
    <t>ТЕРм12-01-050-05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</si>
  <si>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108 мм</t>
  </si>
  <si>
    <t>ТЕРм12-01-050-06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</si>
  <si>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133 мм</t>
  </si>
  <si>
    <t>ТЕРм12-01-050-07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</si>
  <si>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159 мм</t>
  </si>
  <si>
    <t>ТЕРм12-01-050-08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</si>
  <si>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219 мм</t>
  </si>
  <si>
    <t>ТЕРм12-01-050-09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</si>
  <si>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273 мм</t>
  </si>
  <si>
    <t>ТЕРм12-01-050-10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</si>
  <si>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325 мм</t>
  </si>
  <si>
    <t>ТЕРм12-01-050-11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</si>
  <si>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377 мм</t>
  </si>
  <si>
    <t>ТЕРм12-01-050-12</t>
  </si>
  <si>
    <t>Трубопровод в помещениях или на открытых площадках в пределах цехов из труб легированных сталей, монтируемый из готовых узлов, на условное давление не более 10 МПа, диаметр трубопровода наружный 426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</si>
  <si>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труб и готовых деталей, на условное давление не более 10 МПа наружным диаметром 14-38 мм</t>
  </si>
  <si>
    <t>ТЕРм12-01-051-01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</si>
  <si>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14 мм</t>
  </si>
  <si>
    <t>ТЕРм12-01-051-02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</si>
  <si>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25 мм</t>
  </si>
  <si>
    <t>ТЕРм12-01-051-03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</si>
  <si>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38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</si>
  <si>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труб и готовых деталей, на условное давление не более 2,5 МПа</t>
  </si>
  <si>
    <t>ТЕРм12-01-052-01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</si>
  <si>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45 мм</t>
  </si>
  <si>
    <t>ТЕРм12-01-052-02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</si>
  <si>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57 мм</t>
  </si>
  <si>
    <t>ТЕРм12-01-052-03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</si>
  <si>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76 мм</t>
  </si>
  <si>
    <t>ТЕРм12-01-052-04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</si>
  <si>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89 мм</t>
  </si>
  <si>
    <t>ТЕРм12-01-052-05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</si>
  <si>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108 мм</t>
  </si>
  <si>
    <t>ТЕРм12-01-052-06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</si>
  <si>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133 мм</t>
  </si>
  <si>
    <t>ТЕРм12-01-052-07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</si>
  <si>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159 мм</t>
  </si>
  <si>
    <t>ТЕРм12-01-052-08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</si>
  <si>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219 мм</t>
  </si>
  <si>
    <t>ТЕРм12-01-052-09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</si>
  <si>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273 мм</t>
  </si>
  <si>
    <t>ТЕРм12-01-052-10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</si>
  <si>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325 мм</t>
  </si>
  <si>
    <t>ТЕРм12-01-052-11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</si>
  <si>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377 мм</t>
  </si>
  <si>
    <t>ТЕРм12-01-052-12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</si>
  <si>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426 мм</t>
  </si>
  <si>
    <t>ТЕРм12-01-052-13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</si>
  <si>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2,5 МПа, диаметр трубопровода наружный 530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</si>
  <si>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труб и готовых деталей, на условное давление не более 4 МПа</t>
  </si>
  <si>
    <t>ТЕРм12-01-053-01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</si>
  <si>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45 мм</t>
  </si>
  <si>
    <t>ТЕРм12-01-053-02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</si>
  <si>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57 мм</t>
  </si>
  <si>
    <t>ТЕРм12-01-053-03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</si>
  <si>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76 мм</t>
  </si>
  <si>
    <t>ТЕРм12-01-053-04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</si>
  <si>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89 мм</t>
  </si>
  <si>
    <t>ТЕРм12-01-053-05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</si>
  <si>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108 мм</t>
  </si>
  <si>
    <t>ТЕРм12-01-053-06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</si>
  <si>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133 мм</t>
  </si>
  <si>
    <t>ТЕРм12-01-053-07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</si>
  <si>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159 мм</t>
  </si>
  <si>
    <t>ТЕРм12-01-053-08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</si>
  <si>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219 мм</t>
  </si>
  <si>
    <t>ТЕРм12-01-053-09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</si>
  <si>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273 мм</t>
  </si>
  <si>
    <t>ТЕРм12-01-053-10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</si>
  <si>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325 мм</t>
  </si>
  <si>
    <t>ТЕРм12-01-053-11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</si>
  <si>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377 мм</t>
  </si>
  <si>
    <t>ТЕРм12-01-053-12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</si>
  <si>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4 МПа, диаметр трубопровода наружный 426 мм</t>
  </si>
  <si>
    <t xml:space="preserve">                                   Трубопроводы в помещениях или на открытых площадках в пределах цехов из труб легированных сталей, монтируемые из труб и готовых деталей, на условное давление не более 10 МПа</t>
  </si>
  <si>
    <t>ТЕРм12-01-054-01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</si>
  <si>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45 мм</t>
  </si>
  <si>
    <t>ТЕРм12-01-054-02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</si>
  <si>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57 мм</t>
  </si>
  <si>
    <t>ТЕРм12-01-054-03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</si>
  <si>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76 мм</t>
  </si>
  <si>
    <t>ТЕРм12-01-054-04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</si>
  <si>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89 мм</t>
  </si>
  <si>
    <t>ТЕРм12-01-054-05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</si>
  <si>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108 мм</t>
  </si>
  <si>
    <t>ТЕРм12-01-054-06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</si>
  <si>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133 мм</t>
  </si>
  <si>
    <t>ТЕРм12-01-054-07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</si>
  <si>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159 мм</t>
  </si>
  <si>
    <t>ТЕРм12-01-054-08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</si>
  <si>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219 мм</t>
  </si>
  <si>
    <t>ТЕРм12-01-054-09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</si>
  <si>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273 мм</t>
  </si>
  <si>
    <t>ТЕРм12-01-054-10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</si>
  <si>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325 мм</t>
  </si>
  <si>
    <t>ТЕРм12-01-054-11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</si>
  <si>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377 мм</t>
  </si>
  <si>
    <t>ТЕРм12-01-054-12</t>
  </si>
  <si>
    <t>Трубопровод в помещениях или на открытых площадках в пределах цехов из труб легированных сталей, монтируемый из труб и готовых деталей, на условное давление не более 10 МПа, диаметр трубопровода наружный 426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</si>
  <si>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готовых узлов, на условное давление не более 2,5 МПа</t>
  </si>
  <si>
    <t>ТЕРм12-01-055-01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</si>
  <si>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45 мм</t>
  </si>
  <si>
    <t>ТЕРм12-01-055-02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</si>
  <si>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57 мм</t>
  </si>
  <si>
    <t>ТЕРм12-01-055-03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</si>
  <si>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76 мм</t>
  </si>
  <si>
    <t>ТЕРм12-01-055-04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</si>
  <si>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89 мм</t>
  </si>
  <si>
    <t>ТЕРм12-01-055-05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</si>
  <si>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108 мм</t>
  </si>
  <si>
    <t>ТЕРм12-01-055-06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</si>
  <si>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133 мм</t>
  </si>
  <si>
    <t>ТЕРм12-01-055-07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</si>
  <si>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159 мм</t>
  </si>
  <si>
    <t>ТЕРм12-01-055-08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</si>
  <si>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219 мм</t>
  </si>
  <si>
    <t>ТЕРм12-01-055-09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</si>
  <si>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273 мм</t>
  </si>
  <si>
    <t>ТЕРм12-01-055-10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</si>
  <si>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325 мм</t>
  </si>
  <si>
    <t>ТЕРм12-01-055-11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</si>
  <si>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377 мм</t>
  </si>
  <si>
    <t>ТЕРм12-01-055-12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</si>
  <si>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426 мм</t>
  </si>
  <si>
    <t>ТЕРм12-01-055-13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</si>
  <si>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2,5 МПа, диаметр трубопровода наружный 530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</si>
  <si>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готовых узлов, на условное давление не более 4 МПа</t>
  </si>
  <si>
    <t>ТЕРм12-01-056-01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</si>
  <si>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45 мм</t>
  </si>
  <si>
    <t>ТЕРм12-01-056-02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</si>
  <si>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57 мм</t>
  </si>
  <si>
    <t>ТЕРм12-01-056-03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</si>
  <si>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76 мм</t>
  </si>
  <si>
    <t>ТЕРм12-01-056-04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</si>
  <si>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89 мм</t>
  </si>
  <si>
    <t>ТЕРм12-01-056-05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</si>
  <si>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108 мм</t>
  </si>
  <si>
    <t>ТЕРм12-01-056-06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</si>
  <si>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133 мм</t>
  </si>
  <si>
    <t>ТЕРм12-01-056-07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</si>
  <si>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159 мм</t>
  </si>
  <si>
    <t>ТЕРм12-01-056-08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</si>
  <si>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219 мм</t>
  </si>
  <si>
    <t>ТЕРм12-01-056-09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</si>
  <si>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273 мм</t>
  </si>
  <si>
    <t>ТЕРм12-01-056-10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</si>
  <si>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325 мм</t>
  </si>
  <si>
    <t>ТЕРм12-01-056-11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</si>
  <si>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377 мм</t>
  </si>
  <si>
    <t>ТЕРм12-01-056-12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</si>
  <si>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4 МПа, диаметр трубопровода наружный 426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</si>
  <si>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готовых узлов, на условное давление не более 10 МПа</t>
  </si>
  <si>
    <t>ТЕРм12-01-057-01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</si>
  <si>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45 мм</t>
  </si>
  <si>
    <t>ТЕРм12-01-057-02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</si>
  <si>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57 мм</t>
  </si>
  <si>
    <t>ТЕРм12-01-057-03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</si>
  <si>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76 мм</t>
  </si>
  <si>
    <t>ТЕРм12-01-057-04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</si>
  <si>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89 мм</t>
  </si>
  <si>
    <t>ТЕРм12-01-057-05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</si>
  <si>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108 мм</t>
  </si>
  <si>
    <t>ТЕРм12-01-057-06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</si>
  <si>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133 мм</t>
  </si>
  <si>
    <t>ТЕРм12-01-057-07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</si>
  <si>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159 мм</t>
  </si>
  <si>
    <t>ТЕРм12-01-057-08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</si>
  <si>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219 мм</t>
  </si>
  <si>
    <t>ТЕРм12-01-057-09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</si>
  <si>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273 мм</t>
  </si>
  <si>
    <t>ТЕРм12-01-057-10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</si>
  <si>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325 мм</t>
  </si>
  <si>
    <t>ТЕРм12-01-057-11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</si>
  <si>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377 мм</t>
  </si>
  <si>
    <t>ТЕРм12-01-057-12</t>
  </si>
  <si>
    <t>Трубопровод в дизельных, насосно-компрессорных, парокотельных и т.п. из труб легированных сталей, монтируемый из готовых узлов, на условное давление не более 10 МПа, диаметр трубопровода наружный 426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</si>
  <si>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труб и готовых деталей, на условное давление не более 10 МПа наружным диаметром 14-38 мм</t>
  </si>
  <si>
    <t>ТЕРм12-01-058-01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</si>
  <si>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14 мм</t>
  </si>
  <si>
    <t>ТЕРм12-01-058-02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</si>
  <si>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25 мм</t>
  </si>
  <si>
    <t>ТЕРм12-01-058-03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</si>
  <si>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38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</si>
  <si>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труб и готовых деталей, на условное давление не более 2,5 МПа</t>
  </si>
  <si>
    <t>ТЕРм12-01-059-01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</si>
  <si>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45 мм</t>
  </si>
  <si>
    <t>ТЕРм12-01-059-02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</si>
  <si>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57 мм</t>
  </si>
  <si>
    <t>ТЕРм12-01-059-03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</si>
  <si>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76 мм</t>
  </si>
  <si>
    <t>ТЕРм12-01-059-04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</si>
  <si>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89 мм</t>
  </si>
  <si>
    <t>ТЕРм12-01-059-05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</si>
  <si>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108 мм</t>
  </si>
  <si>
    <t>ТЕРм12-01-059-06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</si>
  <si>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133 мм</t>
  </si>
  <si>
    <t>ТЕРм12-01-059-07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</si>
  <si>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159 мм</t>
  </si>
  <si>
    <t>ТЕРм12-01-059-08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</si>
  <si>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219 мм</t>
  </si>
  <si>
    <t>ТЕРм12-01-059-09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</si>
  <si>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273 мм</t>
  </si>
  <si>
    <t>ТЕРм12-01-059-10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</si>
  <si>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325 мм</t>
  </si>
  <si>
    <t>ТЕРм12-01-059-11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</si>
  <si>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377 мм</t>
  </si>
  <si>
    <t>ТЕРм12-01-059-12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</si>
  <si>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426 мм</t>
  </si>
  <si>
    <t>ТЕРм12-01-059-13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</si>
  <si>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2,5 МПа, диаметр трубопровода наружный 530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</si>
  <si>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труб и готовых деталей, на условное давление не более 4 МПа</t>
  </si>
  <si>
    <t>ТЕРм12-01-060-01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</si>
  <si>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45 мм</t>
  </si>
  <si>
    <t>ТЕРм12-01-060-02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</si>
  <si>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57 мм</t>
  </si>
  <si>
    <t>ТЕРм12-01-060-03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</si>
  <si>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76 мм</t>
  </si>
  <si>
    <t>ТЕРм12-01-060-04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</si>
  <si>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89 мм</t>
  </si>
  <si>
    <t>ТЕРм12-01-060-05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</si>
  <si>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108 мм</t>
  </si>
  <si>
    <t>ТЕРм12-01-060-06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</si>
  <si>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133 мм</t>
  </si>
  <si>
    <t>ТЕРм12-01-060-07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</si>
  <si>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159 мм</t>
  </si>
  <si>
    <t>ТЕРм12-01-060-08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</si>
  <si>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219 мм</t>
  </si>
  <si>
    <t>ТЕРм12-01-060-09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</si>
  <si>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273 мм</t>
  </si>
  <si>
    <t>ТЕРм12-01-060-10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</si>
  <si>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325 мм</t>
  </si>
  <si>
    <t>ТЕРм12-01-060-11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</si>
  <si>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377 мм</t>
  </si>
  <si>
    <t>ТЕРм12-01-060-12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</si>
  <si>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4 МПа, диаметр трубопровода наружный 426 мм</t>
  </si>
  <si>
    <t xml:space="preserve">                                   Трубопроводы в дизельных, насосно-компрессорных, парокотельных и т.п. из труб легированных сталей, монтируемые из труб и готовых деталей, на условное давление не более 10 МПа</t>
  </si>
  <si>
    <t>ТЕРм12-01-061-01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</si>
  <si>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45 мм</t>
  </si>
  <si>
    <t>ТЕРм12-01-061-02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</si>
  <si>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57 мм</t>
  </si>
  <si>
    <t>ТЕРм12-01-061-03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</si>
  <si>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76 мм</t>
  </si>
  <si>
    <t>ТЕРм12-01-061-04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</si>
  <si>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89 мм</t>
  </si>
  <si>
    <t>ТЕРм12-01-061-05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</si>
  <si>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108 мм</t>
  </si>
  <si>
    <t>ТЕРм12-01-061-06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</si>
  <si>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133 мм</t>
  </si>
  <si>
    <t>ТЕРм12-01-061-07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</si>
  <si>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159 мм</t>
  </si>
  <si>
    <t>ТЕРм12-01-061-08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</si>
  <si>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219 мм</t>
  </si>
  <si>
    <t>ТЕРм12-01-061-09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</si>
  <si>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273 мм</t>
  </si>
  <si>
    <t>ТЕРм12-01-061-10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</si>
  <si>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325 мм</t>
  </si>
  <si>
    <t>ТЕРм12-01-061-11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</si>
  <si>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377 мм</t>
  </si>
  <si>
    <t>ТЕРм12-01-061-12</t>
  </si>
  <si>
    <t>Трубопровод в дизельных, насосно-компрессорных, парокотельных и т.п. из труб легированных сталей, монтируемый из труб и готовых деталей, на условное давление не более 10 МПа, диаметр трубопровода наружный 426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</si>
  <si>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готовых узлов, на условное давление не более 2,5 МПа</t>
  </si>
  <si>
    <t>ТЕРм12-01-062-01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</si>
  <si>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45 мм</t>
  </si>
  <si>
    <t>ТЕРм12-01-062-02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</si>
  <si>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57 мм</t>
  </si>
  <si>
    <t>ТЕРм12-01-062-03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</si>
  <si>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76 мм</t>
  </si>
  <si>
    <t>ТЕРм12-01-062-04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</si>
  <si>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89 мм</t>
  </si>
  <si>
    <t>ТЕРм12-01-062-05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</si>
  <si>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108 мм</t>
  </si>
  <si>
    <t>ТЕРм12-01-062-06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</si>
  <si>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133 мм</t>
  </si>
  <si>
    <t>ТЕРм12-01-062-07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</si>
  <si>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159 мм</t>
  </si>
  <si>
    <t>ТЕРм12-01-062-08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</si>
  <si>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219 мм</t>
  </si>
  <si>
    <t>ТЕРм12-01-062-09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</si>
  <si>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273 мм</t>
  </si>
  <si>
    <t>ТЕРм12-01-062-10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</si>
  <si>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2,5 МПа, диаметр трубопровода наружный 325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</si>
  <si>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готовых узлов, на условное давление не более 4 МПа</t>
  </si>
  <si>
    <t>ТЕРм12-01-063-01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</si>
  <si>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45 мм</t>
  </si>
  <si>
    <t>ТЕРм12-01-063-02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</si>
  <si>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57 мм</t>
  </si>
  <si>
    <t>ТЕРм12-01-063-03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</si>
  <si>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76 мм</t>
  </si>
  <si>
    <t>ТЕРм12-01-063-04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</si>
  <si>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89 мм</t>
  </si>
  <si>
    <t>ТЕРм12-01-063-05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</si>
  <si>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108 мм</t>
  </si>
  <si>
    <t>ТЕРм12-01-063-06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</si>
  <si>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133 мм</t>
  </si>
  <si>
    <t>ТЕРм12-01-063-07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</si>
  <si>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159 мм</t>
  </si>
  <si>
    <t>ТЕРм12-01-063-08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</si>
  <si>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219 мм</t>
  </si>
  <si>
    <t>ТЕРм12-01-063-09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</si>
  <si>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273 мм</t>
  </si>
  <si>
    <t>ТЕРм12-01-063-10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</si>
  <si>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4 МПа, диаметр трубопровода наружный 325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</si>
  <si>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готовых узлов, на условное давление не более 10 МПа</t>
  </si>
  <si>
    <t>ТЕРм12-01-064-01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</si>
  <si>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45 мм</t>
  </si>
  <si>
    <t>ТЕРм12-01-064-02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</si>
  <si>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57 мм</t>
  </si>
  <si>
    <t>ТЕРм12-01-064-03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</si>
  <si>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76 мм</t>
  </si>
  <si>
    <t>ТЕРм12-01-064-04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</si>
  <si>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89 мм</t>
  </si>
  <si>
    <t>ТЕРм12-01-064-05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</si>
  <si>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108 мм</t>
  </si>
  <si>
    <t>ТЕРм12-01-064-06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</si>
  <si>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133 мм</t>
  </si>
  <si>
    <t>ТЕРм12-01-064-07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</si>
  <si>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159 мм</t>
  </si>
  <si>
    <t>ТЕРм12-01-064-08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</si>
  <si>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219 мм</t>
  </si>
  <si>
    <t>ТЕРм12-01-064-09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</si>
  <si>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273 мм</t>
  </si>
  <si>
    <t>ТЕРм12-01-064-10</t>
  </si>
  <si>
    <t>Трубопровод в помещениях или на открытых площадках в пределах цехов из труб высоколегированных сталей, монтируемый из готовых узлов, на условное давление не более 10 МПа, диаметр трубопровода наружный 325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</si>
  <si>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труб и готовых деталей, на условное давление не более 10 МПа наружным диаметром 14-38 мм</t>
  </si>
  <si>
    <t>ТЕРм12-01-065-01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</si>
  <si>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14 мм</t>
  </si>
  <si>
    <t>ТЕРм12-01-065-02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</si>
  <si>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25 мм</t>
  </si>
  <si>
    <t>ТЕРм12-01-065-03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</si>
  <si>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38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</si>
  <si>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труб и готовых деталей, на условное давление не более 2,5 МПа</t>
  </si>
  <si>
    <t>ТЕРм12-01-066-01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</si>
  <si>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45 мм</t>
  </si>
  <si>
    <t>ТЕРм12-01-066-02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</si>
  <si>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57 мм</t>
  </si>
  <si>
    <t>ТЕРм12-01-066-03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</si>
  <si>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76 мм</t>
  </si>
  <si>
    <t>ТЕРм12-01-066-04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</si>
  <si>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89 мм</t>
  </si>
  <si>
    <t>ТЕРм12-01-066-05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</si>
  <si>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108 мм</t>
  </si>
  <si>
    <t>ТЕРм12-01-066-06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</si>
  <si>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133 мм</t>
  </si>
  <si>
    <t>ТЕРм12-01-066-07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</si>
  <si>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159 мм</t>
  </si>
  <si>
    <t>ТЕРм12-01-066-08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</si>
  <si>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219 мм</t>
  </si>
  <si>
    <t>ТЕРм12-01-066-09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</si>
  <si>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273 мм</t>
  </si>
  <si>
    <t>ТЕРм12-01-066-10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</si>
  <si>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2,5 МПа, диаметр трубопровода наружный 325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</si>
  <si>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труб и готовых деталей, на условное давление не более 4 МПа</t>
  </si>
  <si>
    <t>ТЕРм12-01-067-01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</si>
  <si>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45 мм</t>
  </si>
  <si>
    <t>ТЕРм12-01-067-02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</si>
  <si>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57 мм</t>
  </si>
  <si>
    <t>ТЕРм12-01-067-03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</si>
  <si>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76 мм</t>
  </si>
  <si>
    <t>ТЕРм12-01-067-04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</si>
  <si>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89 мм</t>
  </si>
  <si>
    <t>ТЕРм12-01-067-05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</si>
  <si>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108 мм</t>
  </si>
  <si>
    <t>ТЕРм12-01-067-06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</si>
  <si>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133 мм</t>
  </si>
  <si>
    <t>ТЕРм12-01-067-07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</si>
  <si>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159 мм</t>
  </si>
  <si>
    <t>ТЕРм12-01-067-08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</si>
  <si>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219 мм</t>
  </si>
  <si>
    <t>ТЕРм12-01-067-09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</si>
  <si>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273 мм</t>
  </si>
  <si>
    <t>ТЕРм12-01-067-10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</si>
  <si>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4 МПа, диаметр трубопровода наружный 325 мм</t>
  </si>
  <si>
    <t xml:space="preserve">                                   Трубопроводы в помещениях или на открытых площадках в пределах цехов из труб высоколегированных сталей, монтируемые из труб и готовых деталей, на условное давление не более 10 МПа</t>
  </si>
  <si>
    <t>ТЕРм12-01-068-01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</si>
  <si>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45 мм</t>
  </si>
  <si>
    <t>ТЕРм12-01-068-02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</si>
  <si>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57 мм</t>
  </si>
  <si>
    <t>ТЕРм12-01-068-03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</si>
  <si>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76 мм</t>
  </si>
  <si>
    <t>ТЕРм12-01-068-04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</si>
  <si>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89 мм</t>
  </si>
  <si>
    <t>ТЕРм12-01-068-05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</si>
  <si>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108 мм</t>
  </si>
  <si>
    <t>ТЕРм12-01-068-06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</si>
  <si>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133 мм</t>
  </si>
  <si>
    <t>ТЕРм12-01-068-07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</si>
  <si>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159 мм</t>
  </si>
  <si>
    <t>ТЕРм12-01-068-08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</si>
  <si>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219 мм</t>
  </si>
  <si>
    <t>ТЕРм12-01-068-09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</si>
  <si>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273 мм</t>
  </si>
  <si>
    <t>ТЕРм12-01-068-10</t>
  </si>
  <si>
    <t>Трубопровод в помещениях или на открытых площадках в пределах цехов из труб высоколегированных сталей, монтируемый из труб и готовых деталей, на условное давление не более 10 МПа, диаметр трубопровода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</si>
  <si>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готовых узлов, на условное давление не более 2,5 МПа</t>
  </si>
  <si>
    <t>ТЕРм12-01-069-01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</si>
  <si>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45 мм</t>
  </si>
  <si>
    <t>ТЕРм12-01-069-02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</si>
  <si>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57 мм</t>
  </si>
  <si>
    <t>ТЕРм12-01-069-03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</si>
  <si>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76 мм</t>
  </si>
  <si>
    <t>ТЕРм12-01-069-04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</si>
  <si>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89 мм</t>
  </si>
  <si>
    <t>ТЕРм12-01-069-05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</si>
  <si>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108 мм</t>
  </si>
  <si>
    <t>ТЕРм12-01-069-06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</si>
  <si>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133 мм</t>
  </si>
  <si>
    <t>ТЕРм12-01-069-07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</si>
  <si>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159 мм</t>
  </si>
  <si>
    <t>ТЕРм12-01-069-08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</si>
  <si>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219 мм</t>
  </si>
  <si>
    <t>ТЕРм12-01-069-09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</si>
  <si>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273 мм</t>
  </si>
  <si>
    <t>ТЕРм12-01-069-10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</si>
  <si>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2,5 МПа, диаметр трубопровода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</si>
  <si>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готовых узлов, на условное давление не более 4 МПа</t>
  </si>
  <si>
    <t>ТЕРм12-01-070-01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</si>
  <si>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45 мм</t>
  </si>
  <si>
    <t>ТЕРм12-01-070-02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</si>
  <si>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57 мм</t>
  </si>
  <si>
    <t>ТЕРм12-01-070-03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</si>
  <si>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76 мм</t>
  </si>
  <si>
    <t>ТЕРм12-01-070-04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</si>
  <si>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89 мм</t>
  </si>
  <si>
    <t>ТЕРм12-01-070-05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</si>
  <si>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108 мм</t>
  </si>
  <si>
    <t>ТЕРм12-01-070-06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</si>
  <si>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133 мм</t>
  </si>
  <si>
    <t>ТЕРм12-01-070-07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</si>
  <si>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159 мм</t>
  </si>
  <si>
    <t>ТЕРм12-01-070-08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</si>
  <si>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219 мм</t>
  </si>
  <si>
    <t>ТЕРм12-01-070-09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</si>
  <si>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273 мм</t>
  </si>
  <si>
    <t>ТЕРм12-01-070-10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</si>
  <si>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4 МПа, диаметр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</si>
  <si>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готовых узлов, на условное давление не более 10 МПа</t>
  </si>
  <si>
    <t>ТЕРм12-01-071-01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</si>
  <si>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45 мм</t>
  </si>
  <si>
    <t>ТЕРм12-01-071-02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</si>
  <si>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57 мм</t>
  </si>
  <si>
    <t>ТЕРм12-01-071-03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</si>
  <si>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76 мм</t>
  </si>
  <si>
    <t>ТЕРм12-01-071-04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</si>
  <si>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89 мм</t>
  </si>
  <si>
    <t>ТЕРм12-01-071-05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</si>
  <si>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108 мм</t>
  </si>
  <si>
    <t>ТЕРм12-01-071-06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</si>
  <si>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133 мм</t>
  </si>
  <si>
    <t>ТЕРм12-01-071-07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</si>
  <si>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159 мм</t>
  </si>
  <si>
    <t>ТЕРм12-01-071-08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</si>
  <si>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219 мм</t>
  </si>
  <si>
    <t>ТЕРм12-01-071-09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</si>
  <si>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273 мм</t>
  </si>
  <si>
    <t>ТЕРм12-01-071-10</t>
  </si>
  <si>
    <t>Трубопровод в дизельных, насосно-компрессорных, парокотельных и т.п. из труб высоколегированных сталей, монтируемый из готовых узлов, на условное давление не более 10 МПа, диаметр трубопровода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</si>
  <si>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труб и готовых деталей, на условное давление не более 10 МПа наружным диаметром 14-38 мм</t>
  </si>
  <si>
    <t>ТЕРм12-01-072-01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</si>
  <si>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14 мм</t>
  </si>
  <si>
    <t>ТЕРм12-01-072-02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</si>
  <si>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25 мм</t>
  </si>
  <si>
    <t>ТЕРм12-01-072-03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</si>
  <si>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38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</si>
  <si>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труб и готовых деталей, на условное давление не более 2,5 МПа</t>
  </si>
  <si>
    <t>ТЕРм12-01-073-01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</si>
  <si>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45 мм</t>
  </si>
  <si>
    <t>ТЕРм12-01-073-02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</si>
  <si>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57 мм</t>
  </si>
  <si>
    <t>ТЕРм12-01-073-03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</si>
  <si>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76 мм</t>
  </si>
  <si>
    <t>ТЕРм12-01-073-04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</si>
  <si>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89 мм</t>
  </si>
  <si>
    <t>ТЕРм12-01-073-05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</si>
  <si>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108 мм</t>
  </si>
  <si>
    <t>ТЕРм12-01-073-06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</si>
  <si>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133 мм</t>
  </si>
  <si>
    <t>ТЕРм12-01-073-07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</si>
  <si>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159 мм</t>
  </si>
  <si>
    <t>ТЕРм12-01-073-08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</si>
  <si>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219 мм</t>
  </si>
  <si>
    <t>ТЕРм12-01-073-09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</si>
  <si>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273 мм</t>
  </si>
  <si>
    <t>ТЕРм12-01-073-10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</si>
  <si>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2,5 МПа, диаметр трубопровода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</si>
  <si>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труб и готовых деталей, на условное давление не более 4 МПа</t>
  </si>
  <si>
    <t>ТЕРм12-01-074-01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</si>
  <si>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45 мм</t>
  </si>
  <si>
    <t>ТЕРм12-01-074-02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</si>
  <si>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57 мм</t>
  </si>
  <si>
    <t>ТЕРм12-01-074-03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</si>
  <si>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76 мм</t>
  </si>
  <si>
    <t>ТЕРм12-01-074-04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</si>
  <si>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89 мм</t>
  </si>
  <si>
    <t>ТЕРм12-01-074-05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</si>
  <si>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108 мм</t>
  </si>
  <si>
    <t>ТЕРм12-01-074-06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</si>
  <si>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133 мм</t>
  </si>
  <si>
    <t>ТЕРм12-01-074-07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</si>
  <si>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159 мм</t>
  </si>
  <si>
    <t>ТЕРм12-01-074-08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</si>
  <si>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219 мм</t>
  </si>
  <si>
    <t>ТЕРм12-01-074-09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</si>
  <si>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273 мм</t>
  </si>
  <si>
    <t>ТЕРм12-01-074-10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</si>
  <si>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4 МПа, диаметр трубопровода наружный 325 мм</t>
  </si>
  <si>
    <t xml:space="preserve">                                   Трубопроводы в дизельных, насосно-компрессорных, парокотельных и т.п. из труб высоколегированных сталей, монтируемые из труб и готовых деталей, на условное давление не более 10 МПа</t>
  </si>
  <si>
    <t>ТЕРм12-01-075-01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</si>
  <si>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45 мм</t>
  </si>
  <si>
    <t>ТЕРм12-01-075-02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</si>
  <si>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57 мм</t>
  </si>
  <si>
    <t>ТЕРм12-01-075-03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</si>
  <si>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76 мм</t>
  </si>
  <si>
    <t>ТЕРм12-01-075-04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</si>
  <si>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89 мм</t>
  </si>
  <si>
    <t>ТЕРм12-01-075-05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</si>
  <si>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108 мм</t>
  </si>
  <si>
    <t>ТЕРм12-01-075-06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</si>
  <si>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133 мм</t>
  </si>
  <si>
    <t>ТЕРм12-01-075-07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</si>
  <si>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159 мм</t>
  </si>
  <si>
    <t>ТЕРм12-01-075-08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</si>
  <si>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219 мм</t>
  </si>
  <si>
    <t>ТЕРм12-01-075-09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</si>
  <si>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273 мм</t>
  </si>
  <si>
    <t>ТЕРм12-01-075-10</t>
  </si>
  <si>
    <t>Трубопровод в дизельных, насосно-компрессорных, парокотельных и т.п. из труб высоколегированных сталей, монтируемый из труб и готовых деталей, на условное давление не более 10 МПа, диаметр трубопровода наружный 325 мм</t>
  </si>
  <si>
    <t xml:space="preserve">                                   Трубопроводы кислородных установок из труб легированных сталей на условное давление 25 МПа</t>
  </si>
  <si>
    <t>ТЕРм12-01-076-01</t>
  </si>
  <si>
    <t>Трубопровод кислородных установок из труб легированных сталей на условное давление 25 МПа, диаметр труб наружный 25 мм</t>
  </si>
  <si>
    <t>ТЕРм12-01-076-02</t>
  </si>
  <si>
    <t>Трубопровод кислородных установок из труб легированных сталей на условное давление 25 МПа, диаметр труб наружный 32 мм</t>
  </si>
  <si>
    <t>ТЕРм12-01-076-03</t>
  </si>
  <si>
    <t>Трубопровод кислородных установок из труб легированных сталей на условное давление 25 МПа, диаметр труб наружный 38 мм</t>
  </si>
  <si>
    <t>ТЕРм12-01-076-04</t>
  </si>
  <si>
    <t>Трубопровод кислородных установок из труб легированных сталей на условное давление 25 МПа, диаметр труб наружный 56 мм</t>
  </si>
  <si>
    <t>ТЕРм12-01-076-05</t>
  </si>
  <si>
    <t>Трубопровод кислородных установок из труб легированных сталей на условное давление 25 МПа, диаметр труб наружный 76 мм</t>
  </si>
  <si>
    <t>ТЕРм12-01-076-06</t>
  </si>
  <si>
    <t>Трубопровод кислородных установок из труб легированных сталей на условное давление 25 МПа, диаметр труб наружный 102 мм</t>
  </si>
  <si>
    <t xml:space="preserve">                                   Трубопроводы криогенные с экранно-вакуумной изоляцией из нержавеющей стали на сварке</t>
  </si>
  <si>
    <t>ТЕРм12-01-077-01</t>
  </si>
  <si>
    <t>Трубопровод криогенный с экранно-вакуумной изоляцией из нержавеющей стали на сварке, диаметр условный внутренних и наружных труб 20х100 мм</t>
  </si>
  <si>
    <t>ТЕРм12-01-077-02</t>
  </si>
  <si>
    <t>Трубопровод криогенный с экранно-вакуумной изоляцией из нержавеющей стали на сварке, диаметр условный внутренних и наружных труб 32х100 мм</t>
  </si>
  <si>
    <t>ТЕРм12-01-077-03</t>
  </si>
  <si>
    <t>Трубопровод криогенный с экранно-вакуумной изоляцией из нержавеющей стали на сварке, диаметр условный внутренних и наружных труб 50х150 мм</t>
  </si>
  <si>
    <t>ТЕРм12-01-077-04</t>
  </si>
  <si>
    <t>Трубопровод криогенный с экранно-вакуумной изоляцией из нержавеющей стали на сварке, диаметр условный внутренних и наружных труб 70х150 мм</t>
  </si>
  <si>
    <t>ТЕРм12-01-077-05</t>
  </si>
  <si>
    <t>Трубопровод криогенный с экранно-вакуумной изоляцией из нержавеющей стали на сварке, диаметр условный внутренних и наружных труб 100х200 мм</t>
  </si>
  <si>
    <t>ТЕРм12-01-077-06</t>
  </si>
  <si>
    <t>Трубопровод криогенный с экранно-вакуумной изоляцией из нержавеющей стали на сварке, диаметр условный внутренних и наружных труб 150х250 мм</t>
  </si>
  <si>
    <t>ТЕРм12-01-077-07</t>
  </si>
  <si>
    <t>Трубопровод криогенный с экранно-вакуумной изоляцией из нержавеющей стали на сварке, диаметр условный внутренних и наружных труб 200х300 мм</t>
  </si>
  <si>
    <t>ТЕРм12-01-077-08</t>
  </si>
  <si>
    <t>Трубопровод криогенный с экранно-вакуумной изоляцией из нержавеющей стали на сварке, диаметр условный внутренних и наружных труб 250х350 мм</t>
  </si>
  <si>
    <t>ТЕРм12-01-077-09</t>
  </si>
  <si>
    <t>Трубопровод криогенный с экранно-вакуумной изоляцией из нержавеющей стали на сварке, диаметр условный внутренних и наружных труб 300х400 мм</t>
  </si>
  <si>
    <t>ТЕРм12-01-077-10</t>
  </si>
  <si>
    <t>Трубопровод криогенный с экранно-вакуумной изоляцией из нержавеющей стали на сварке, диаметр условный внутренних и наружных труб 400х500 мм</t>
  </si>
  <si>
    <t>ТЕРм12-01-077-11</t>
  </si>
  <si>
    <t>Трубопровод криогенный с экранно-вакуумной изоляцией из нержавеющей стали на сварке,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</si>
  <si>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методом «Щупа»</t>
  </si>
  <si>
    <t>ТЕРм12-01-078-01</t>
  </si>
  <si>
    <t>Испытание трубопровода криогенного с экранно-вакуумной изоляцией методом «Щупа», диаметр условный внутренних и наружных труб 20х100 мм</t>
  </si>
  <si>
    <t>ТЕРм12-01-078-02</t>
  </si>
  <si>
    <t>Испытание трубопровода криогенного с экранно-вакуумной изоляцией методом «Щупа», диаметр условный внутренних и наружных труб 32х100 мм</t>
  </si>
  <si>
    <t>ТЕРм12-01-078-03</t>
  </si>
  <si>
    <t>Испытание трубопровода криогенного с экранно-вакуумной изоляцией методом «Щупа», диаметр условный внутренних и наружных труб 50х150 мм</t>
  </si>
  <si>
    <t>ТЕРм12-01-078-04</t>
  </si>
  <si>
    <t>Испытание трубопровода криогенного с экранно-вакуумной изоляцией методом «Щупа», диаметр условный внутренних и наружных труб 70х150 мм</t>
  </si>
  <si>
    <t>ТЕРм12-01-078-05</t>
  </si>
  <si>
    <t>Испытание трубопровода криогенного с экранно-вакуумной изоляцией методом «Щупа», диаметр условный внутренних и наружных труб 100х200 мм</t>
  </si>
  <si>
    <t>ТЕРм12-01-078-06</t>
  </si>
  <si>
    <t>Испытание трубопровода криогенного с экранно-вакуумной изоляцией методом «Щупа», диаметр условный внутренних и наружных труб 150х250 мм</t>
  </si>
  <si>
    <t>ТЕРм12-01-078-07</t>
  </si>
  <si>
    <t>Испытание трубопровода криогенного с экранно-вакуумной изоляцией методом «Щупа», диаметр условный внутренних и наружных труб 200х300 мм</t>
  </si>
  <si>
    <t>ТЕРм12-01-078-08</t>
  </si>
  <si>
    <t>Испытание трубопровода криогенного с экранно-вакуумной изоляцией методом «Щупа», диаметр условный внутренних и наружных труб 250х350 мм</t>
  </si>
  <si>
    <t>ТЕРм12-01-078-09</t>
  </si>
  <si>
    <t>Испытание трубопровода криогенного с экранно-вакуумной изоляцией методом «Щупа», диаметр условный внутренних и наружных труб 300х400 мм</t>
  </si>
  <si>
    <t>ТЕРм12-01-078-10</t>
  </si>
  <si>
    <t>Испытание трубопровода криогенного с экранно-вакуумной изоляцией методом «Щупа», диаметр условный внутренних и наружных труб 400х500 мм</t>
  </si>
  <si>
    <t>ТЕРм12-01-078-11</t>
  </si>
  <si>
    <t>Испытание трубопровода криогенного с экранно-вакуумной изоляцией методом «Щупа»,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</si>
  <si>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методом «Обдува» гелием (двукратное)</t>
  </si>
  <si>
    <t>ТЕРм12-01-079-01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</si>
  <si>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20х100 мм</t>
  </si>
  <si>
    <t>ТЕРм12-01-079-02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</si>
  <si>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32х100 мм</t>
  </si>
  <si>
    <t>ТЕРм12-01-079-03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</si>
  <si>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50х150 мм</t>
  </si>
  <si>
    <t>ТЕРм12-01-079-04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</si>
  <si>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70х150 мм</t>
  </si>
  <si>
    <t>ТЕРм12-01-079-05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</si>
  <si>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100х200 мм</t>
  </si>
  <si>
    <t>ТЕРм12-01-079-06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</si>
  <si>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150х250 мм</t>
  </si>
  <si>
    <t>ТЕРм12-01-079-07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</si>
  <si>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200х300 мм</t>
  </si>
  <si>
    <t>ТЕРм12-01-079-08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</si>
  <si>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250х350 мм</t>
  </si>
  <si>
    <t>ТЕРм12-01-079-09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</si>
  <si>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300х400 мм</t>
  </si>
  <si>
    <t>ТЕРм12-01-079-10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</si>
  <si>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400х500 мм</t>
  </si>
  <si>
    <t>ТЕРм12-01-079-11</t>
  </si>
  <si>
    <t>Испытание трубопровода криогенного с экранно-вакуумной изоляцией методом «Обдува» гелием (двукратное),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</si>
  <si>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методом «Барокамеры»</t>
  </si>
  <si>
    <t>ТЕРм12-01-080-01</t>
  </si>
  <si>
    <t>Испытание трубопровода криогенного с экранно-вакуумной изоляцией методом «Барокамеры», диаметр условный внутренних и наружных труб 20х100 мм</t>
  </si>
  <si>
    <t>ТЕРм12-01-080-02</t>
  </si>
  <si>
    <t>Испытание трубопровода криогенного с экранно-вакуумной изоляцией методом «Барокамеры», диаметр условный внутренних и наружных труб 32х100 мм</t>
  </si>
  <si>
    <t>ТЕРм12-01-080-03</t>
  </si>
  <si>
    <t>Испытание трубопровода криогенного с экранно-вакуумной изоляцией методом «Барокамеры», диаметр условный внутренних и наружных труб 50х150 мм</t>
  </si>
  <si>
    <t>ТЕРм12-01-080-04</t>
  </si>
  <si>
    <t>Испытание трубопровода криогенного с экранно-вакуумной изоляцией методом «Барокамеры», диаметр условный внутренних и наружных труб 70х150 мм</t>
  </si>
  <si>
    <t>ТЕРм12-01-080-05</t>
  </si>
  <si>
    <t>Испытание трубопровода криогенного с экранно-вакуумной изоляцией методом «Барокамеры», диаметр условный внутренних и наружных труб 100х200 мм</t>
  </si>
  <si>
    <t>ТЕРм12-01-080-06</t>
  </si>
  <si>
    <t>Испытание трубопровода криогенного с экранно-вакуумной изоляцией методом «Барокамеры», диаметр условный внутренних и наружных труб 150х250 мм</t>
  </si>
  <si>
    <t>ТЕРм12-01-080-07</t>
  </si>
  <si>
    <t>Испытание трубопровода криогенного с экранно-вакуумной изоляцией методом «Барокамеры», диаметр условный внутренних и наружных труб 200х300 мм</t>
  </si>
  <si>
    <t>ТЕРм12-01-080-08</t>
  </si>
  <si>
    <t>Испытание трубопровода криогенного с экранно-вакуумной изоляцией методом «Барокамеры», диаметр условный внутренних и наружных труб 250х350 мм</t>
  </si>
  <si>
    <t>ТЕРм12-01-080-09</t>
  </si>
  <si>
    <t>Испытание трубопровода криогенного с экранно-вакуумной изоляцией методом «Барокамеры», диаметр условный внутренних и наружных труб 300х400 мм</t>
  </si>
  <si>
    <t>ТЕРм12-01-080-10</t>
  </si>
  <si>
    <t>Испытание трубопровода криогенного с экранно-вакуумной изоляцией методом «Барокамеры», диаметр условный внутренних и наружных труб 400х500 мм</t>
  </si>
  <si>
    <t>ТЕРм12-01-080-11</t>
  </si>
  <si>
    <t>Испытание трубопровода криогенного с экранно-вакуумной изоляцией методом «Барокамеры»,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</si>
  <si>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- поиск внутренних течей</t>
  </si>
  <si>
    <t>ТЕРм12-01-081-01</t>
  </si>
  <si>
    <t>Испытание трубопровода криогенного с экранно-вакуумной изоляцией - поиск внутренних течей, диаметр условный внутренних и наружных труб 20х100 мм</t>
  </si>
  <si>
    <t>ТЕРм12-01-081-02</t>
  </si>
  <si>
    <t>Испытание трубопровода криогенного с экранно-вакуумной изоляцией - поиск внутренних течей, диаметр условный внутренних и наружных труб 32х100 мм</t>
  </si>
  <si>
    <t>ТЕРм12-01-081-03</t>
  </si>
  <si>
    <t>Испытание трубопровода криогенного с экранно-вакуумной изоляцией - поиск внутренних течей, диаметр условный внутренних и наружных труб 50х150 мм</t>
  </si>
  <si>
    <t>ТЕРм12-01-081-04</t>
  </si>
  <si>
    <t>Испытание трубопровода криогенного с экранно-вакуумной изоляцией - поиск внутренних течей, диаметр условный внутренних и наружных труб 70х150 мм</t>
  </si>
  <si>
    <t>ТЕРм12-01-081-05</t>
  </si>
  <si>
    <t>Испытание трубопровода криогенного с экранно-вакуумной изоляцией - поиск внутренних течей, диаметр условный внутренних и наружных труб 100х200 мм</t>
  </si>
  <si>
    <t>ТЕРм12-01-081-06</t>
  </si>
  <si>
    <t>Испытание трубопровода криогенного с экранно-вакуумной изоляцией - поиск внутренних течей, диаметр условный внутренних и наружных труб 150х250 мм</t>
  </si>
  <si>
    <t>ТЕРм12-01-081-07</t>
  </si>
  <si>
    <t>Испытание трубопровода криогенного с экранно-вакуумной изоляцией - поиск внутренних течей, диаметр условный внутренних и наружных труб 200х300 мм</t>
  </si>
  <si>
    <t>ТЕРм12-01-081-08</t>
  </si>
  <si>
    <t>Испытание трубопровода криогенного с экранно-вакуумной изоляцией - поиск внутренних течей, диаметр условный внутренних и наружных труб 250х350 мм</t>
  </si>
  <si>
    <t>ТЕРм12-01-081-09</t>
  </si>
  <si>
    <t>Испытание трубопровода криогенного с экранно-вакуумной изоляцией - поиск внутренних течей, диаметр условный внутренних и наружных труб 300х400 мм</t>
  </si>
  <si>
    <t>ТЕРм12-01-081-10</t>
  </si>
  <si>
    <t>Испытание трубопровода криогенного с экранно-вакуумной изоляцией - поиск внутренних течей, диаметр условный внутренних и наружных труб 400х500 мм</t>
  </si>
  <si>
    <t>ТЕРм12-01-081-11</t>
  </si>
  <si>
    <t>Испытание трубопровода криогенного с экранно-вакуумной изоляцией - поиск внутренних течей,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</si>
  <si>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- регенерация адсорбционных секций</t>
  </si>
  <si>
    <t>ТЕРм12-01-082-01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</si>
  <si>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20х100 мм</t>
  </si>
  <si>
    <t>ТЕРм12-01-082-02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</si>
  <si>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32х100 мм</t>
  </si>
  <si>
    <t>ТЕРм12-01-082-03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</si>
  <si>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50х150 мм</t>
  </si>
  <si>
    <t>ТЕРм12-01-082-04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</si>
  <si>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70х150 мм</t>
  </si>
  <si>
    <t>ТЕРм12-01-082-05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</si>
  <si>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100х200 мм</t>
  </si>
  <si>
    <t>ТЕРм12-01-082-06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</si>
  <si>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150х250 мм</t>
  </si>
  <si>
    <t>ТЕРм12-01-082-07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</si>
  <si>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200х300 мм</t>
  </si>
  <si>
    <t>ТЕРм12-01-082-08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</si>
  <si>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250х350 мм</t>
  </si>
  <si>
    <t>ТЕРм12-01-082-09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</si>
  <si>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300х400 мм</t>
  </si>
  <si>
    <t>ТЕРм12-01-082-10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</si>
  <si>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400х500 мм</t>
  </si>
  <si>
    <t>ТЕРм12-01-082-11</t>
  </si>
  <si>
    <t>Испытание трубопровода криогенного с экранно-вакуумной изоляцией - регенерация адсорбционных секций, диаметр условный внутренних и наружных труб 500х650 мм</t>
  </si>
  <si>
    <t xml:space="preserve">                                   Испытание трубопроводов криогенных с экранно-вакуумной изоляцией - вакуумирование для сдачи секции по натеканию</t>
  </si>
  <si>
    <t>ТЕРм12-01-083-01</t>
  </si>
  <si>
    <t>Испытание трубопровода криогенного с экранно-вакуумной изоляцией - вакуумирование для сдачи секции по натеканию, диаметр условный внутренних и наружных труб 20х100 - 50х150 мм</t>
  </si>
  <si>
    <t>ТЕРм12-01-083-02</t>
  </si>
  <si>
    <t>Испытание трубопровода криогенного с экранно-вакуумной изоляцией - вакуумирование для сдачи секции по натеканию, диаметр условный внутренних и наружных труб 70х150 - 250х350 мм</t>
  </si>
  <si>
    <t>ТЕРм12-01-083-03</t>
  </si>
  <si>
    <t>Испытание трубопровода криогенного с экранно-вакуумной изоляцией - вакуумирование для сдачи секции по натеканию, диаметр условный внутренних и наружных труб 300х400 - 500х650 мм</t>
  </si>
  <si>
    <t xml:space="preserve">                                   Раздел 3. ТРУБОПРОВОДЫ ИЗ АЛЮМИНИЕВЫХ ТРУБ</t>
  </si>
  <si>
    <t xml:space="preserve">                                   Трубопроводы из алюминиевых труб на условное давление 1 МПа</t>
  </si>
  <si>
    <t>ТЕРм12-01-088-01</t>
  </si>
  <si>
    <t>Трубопровод из алюминиевых труб на условное давление 1 МПа, диаметр наружный 25 мм</t>
  </si>
  <si>
    <t>ТЕРм12-01-088-02</t>
  </si>
  <si>
    <t>Трубопровод из алюминиевых труб на условное давление 1 МПа, диаметр наружный 36 мм</t>
  </si>
  <si>
    <t>ТЕРм12-01-088-03</t>
  </si>
  <si>
    <t>Трубопровод из алюминиевых труб на условное давление 1 МПа, диаметр наружный 55 мм</t>
  </si>
  <si>
    <t>ТЕРм12-01-088-04</t>
  </si>
  <si>
    <t>Трубопровод из алюминиевых труб на условное давление 1 МПа, диаметр наружный 85 мм</t>
  </si>
  <si>
    <t>ТЕРм12-01-088-05</t>
  </si>
  <si>
    <t>Трубопровод из алюминиевых труб на условное давление 1 МПа, диаметр наружный 100 мм</t>
  </si>
  <si>
    <t>ТЕРм12-01-088-06</t>
  </si>
  <si>
    <t>Трубопровод из алюминиевых труб на условное давление 1 МПа, диаметр наружный 150 мм</t>
  </si>
  <si>
    <t>ТЕРм12-01-088-07</t>
  </si>
  <si>
    <t>Трубопровод из алюминиевых труб на условное давление 1 МПа, диаметр наружный 200 мм</t>
  </si>
  <si>
    <t xml:space="preserve">                                   Трубопроводы из листового алюминия</t>
  </si>
  <si>
    <t>ТЕРм12-01-089-01</t>
  </si>
  <si>
    <t>Прямые участки трубопровода из листового алюминия, диаметр внутренний 200х4 мм</t>
  </si>
  <si>
    <t>ТЕРм12-01-089-02</t>
  </si>
  <si>
    <t>Прямые участки трубопровода из листового алюминия, диаметр внутренний 800х8 мм</t>
  </si>
  <si>
    <t>ТЕРм12-01-089-03</t>
  </si>
  <si>
    <t>Прямые участки трубопровода из листового алюминия, диаметр внутренний 1400х10 мм</t>
  </si>
  <si>
    <t>ТЕРм12-01-089-04</t>
  </si>
  <si>
    <t>Фасонные детали трубопровода из листового алюминия, диаметр внутренний 200 мм</t>
  </si>
  <si>
    <t>ТЕРм12-01-089-05</t>
  </si>
  <si>
    <t>Фасонные детали трубопровода из листового алюминия, диаметр внутренний 800 мм</t>
  </si>
  <si>
    <t>ТЕРм12-01-089-06</t>
  </si>
  <si>
    <t>Фасонные детали трубопровода из листового алюминия, диаметр внутренний 1400 мм</t>
  </si>
  <si>
    <t xml:space="preserve">                                   Раздел 4. ТРУБОПРОВОДЫ ИЗ МЕДНЫХ И ЛАТУННЫХ ТРУБ</t>
  </si>
  <si>
    <t xml:space="preserve">                                   Трубопроводы из медных труб на условное давление до 2,5 МПа</t>
  </si>
  <si>
    <t>ТЕРм12-01-105-01</t>
  </si>
  <si>
    <t>Трубопровод из медных труб на условное давление до 2,5 МПа, диаметр труб наружный 18 мм</t>
  </si>
  <si>
    <t>ТЕРм12-01-105-02</t>
  </si>
  <si>
    <t>Трубопровод из медных труб на условное давление до 2,5 МПа, диаметр труб наружный 28 мм</t>
  </si>
  <si>
    <t>ТЕРм12-01-105-03</t>
  </si>
  <si>
    <t>Трубопровод из медных труб на условное давление до 2,5 МПа, диаметр труб наружный 35 мм</t>
  </si>
  <si>
    <t>ТЕРм12-01-105-04</t>
  </si>
  <si>
    <t>Трубопровод из медных труб на условное давление до 2,5 МПа, диаметр труб наружный 55 мм</t>
  </si>
  <si>
    <t>ТЕРм12-01-105-05</t>
  </si>
  <si>
    <t>Трубопровод из медных труб на условное давление до 2,5 МПа, диаметр труб наружный 85 мм</t>
  </si>
  <si>
    <t>ТЕРм12-01-105-06</t>
  </si>
  <si>
    <t>Трубопровод из медных труб на условное давление до 2,5 МПа, диаметр труб наружный 100 мм</t>
  </si>
  <si>
    <t xml:space="preserve">                                   Трубопроводы из медных труб на условное давление до 20 Мпа</t>
  </si>
  <si>
    <t>ТЕРм12-01-106-01</t>
  </si>
  <si>
    <t>Трубопровод из медных труб на условное давление до 20 МПа, диаметр труб наружный 30 мм</t>
  </si>
  <si>
    <t xml:space="preserve">                                   Трубопроводы из латунных труб на условное давление до 2,5 МПа</t>
  </si>
  <si>
    <t>ТЕРм12-01-107-01</t>
  </si>
  <si>
    <t>Трубопровод из латунных труб на условное давление до 2,5 МПа, диаметр труб наружный 35 мм</t>
  </si>
  <si>
    <t>ТЕРм12-01-107-02</t>
  </si>
  <si>
    <t>Трубопровод из латунных труб на условное давление до 2,5 МПа, диаметр труб наружный 54 мм</t>
  </si>
  <si>
    <t>ТЕРм12-01-107-03</t>
  </si>
  <si>
    <t>Трубопровод из латунных труб на условное давление до 2,5 МПа, диаметр труб наружный 65 мм</t>
  </si>
  <si>
    <t>ТЕРм12-01-107-04</t>
  </si>
  <si>
    <t>Трубопровод из латунных труб на условное давление до 2,5 МПа, диаметр труб наружный 100 мм</t>
  </si>
  <si>
    <t xml:space="preserve">                                   Трубопроводы из латунных труб на условное давление до 20 МПа</t>
  </si>
  <si>
    <t>ТЕРм12-01-108-01</t>
  </si>
  <si>
    <t>Трубопровод из латунных труб на условное давление до 20 МПа, диаметр труб наружный 22 мм</t>
  </si>
  <si>
    <t>ТЕРм12-01-108-02</t>
  </si>
  <si>
    <t>Трубопровод из латунных труб на условное давление до 20 МПа, диаметр труб наружный 28 мм</t>
  </si>
  <si>
    <t>ТЕРм12-01-108-03</t>
  </si>
  <si>
    <t>Трубопровод из латунных труб на условное давление до 20 МПа, диаметр труб наружный 42 мм</t>
  </si>
  <si>
    <t>ТЕРм12-01-108-04</t>
  </si>
  <si>
    <t>Трубопровод из латунных труб на условное давление до 20 МПа, диаметр труб наружный 55 мм</t>
  </si>
  <si>
    <t xml:space="preserve">                                   Раздел 5. ТРУБОПРОВОДЫ ИЗ СВИНЦОВЫХ ТРУБ</t>
  </si>
  <si>
    <t xml:space="preserve">                                   Трубопроводы из свинцовых труб</t>
  </si>
  <si>
    <t>ТЕРм12-01-124-01</t>
  </si>
  <si>
    <t>Трубопроводы из свинцовых труб, диаметр труб наружный 16х3 - 25х3 мм</t>
  </si>
  <si>
    <t>ТЕРм12-01-124-02</t>
  </si>
  <si>
    <t>Трубопроводы из свинцовых труб, диаметр труб наружный 38х4 - 50х6 мм</t>
  </si>
  <si>
    <t>ТЕРм12-01-124-03</t>
  </si>
  <si>
    <t>Трубопроводы из свинцовых труб, диаметр труб наружный 75х6 мм</t>
  </si>
  <si>
    <t>ТЕРм12-01-124-04</t>
  </si>
  <si>
    <t>Трубопроводы из свинцовых труб, диаметр труб наружный 90х7 - 125х8 мм</t>
  </si>
  <si>
    <t>ТЕРм12-01-124-05</t>
  </si>
  <si>
    <t>Трубопроводы из свинцовых труб, диаметр труб наружный 150х8 мм</t>
  </si>
  <si>
    <t xml:space="preserve">                                   Трубопроводы из труб, изготовленных из листового свинца, с применением готовых деталей</t>
  </si>
  <si>
    <t>ТЕРм12-01-125-01</t>
  </si>
  <si>
    <t>Трубопровод из труб, изготовленных из листового свинца, с применением готовых деталей, диаметр условного прохода 150 мм</t>
  </si>
  <si>
    <t>ТЕРм12-01-125-02</t>
  </si>
  <si>
    <t>Трубопровод из труб, изготовленных из листового свинца, с применением готовых деталей, диаметр условного прохода 300 мм</t>
  </si>
  <si>
    <t>ТЕРм12-01-125-03</t>
  </si>
  <si>
    <t>Трубопровод из труб, изготовленных из листового свинца, с применением готовых деталей, диаметр условного прохода 500 мм</t>
  </si>
  <si>
    <t>ТЕРм12-01-125-04</t>
  </si>
  <si>
    <t>Трубопровод из труб, изготовленных из листового свинца, с применением готовых деталей, диаметр условного прохода 1000-1500 мм</t>
  </si>
  <si>
    <t xml:space="preserve">                                   Раздел 6. ТРУБОПРОВОДЫ ИЗ ЧУГУННЫХ ТРУБ</t>
  </si>
  <si>
    <t xml:space="preserve">                                   Трубопроводы из чугунных фланцевых труб</t>
  </si>
  <si>
    <t>ТЕРм12-01-136-01</t>
  </si>
  <si>
    <t>Трубопровод из чугунных фланцевых труб, диаметр условного прохода 60-125 мм</t>
  </si>
  <si>
    <t>ТЕРм12-01-136-02</t>
  </si>
  <si>
    <t>Трубопровод из чугунных фланцевых труб, диаметр условного прохода 200 мм</t>
  </si>
  <si>
    <t>ТЕРм12-01-136-03</t>
  </si>
  <si>
    <t>Трубопровод из чугунных фланцевых труб, диаметр условного прохода 300-350 мм</t>
  </si>
  <si>
    <t xml:space="preserve">                                   Раздел 7. ТРУБОПРОВОДЫ ИЗ КЕРАМИЧЕСКИХ И ФАРФОРОВЫХ ТРУБ</t>
  </si>
  <si>
    <t xml:space="preserve">                                   Трубопроводы из фарфоровых и керамических труб</t>
  </si>
  <si>
    <t>ТЕРм12-01-147-01</t>
  </si>
  <si>
    <t>Трубопровод из фарфоровых и керамических труб, диаметр условного прохода 25 мм</t>
  </si>
  <si>
    <t>ТЕРм12-01-147-02</t>
  </si>
  <si>
    <t>Трубопровод из фарфоровых и керамических труб, диаметр условного прохода 40 мм</t>
  </si>
  <si>
    <t>ТЕРм12-01-147-03</t>
  </si>
  <si>
    <t>Трубопровод из фарфоровых и керамических труб, диаметр условного прохода 80-100 мм</t>
  </si>
  <si>
    <t>ТЕРм12-01-147-04</t>
  </si>
  <si>
    <t>Трубопровод из фарфоровых и керамических труб, диаметр условного прохода 200 мм</t>
  </si>
  <si>
    <t>ТЕРм12-01-147-05</t>
  </si>
  <si>
    <t>Трубопровод из фарфоровых и керамических труб, диаметр условного прохода 300 мм</t>
  </si>
  <si>
    <t xml:space="preserve">                                   Раздел 8. ТРУБОПРОВОДЫ ИЗ ПЛАСТМАССОВЫХ ТРУБ</t>
  </si>
  <si>
    <t xml:space="preserve">                                   Трубопроводы из винипластовых труб с применением готовых деталей</t>
  </si>
  <si>
    <t>ТЕРм12-01-163-01</t>
  </si>
  <si>
    <t>Трубопровод из винипластовых труб с применением готовых деталей, диаметр труб наружный 20-50 мм</t>
  </si>
  <si>
    <t>ТЕРм12-01-163-02</t>
  </si>
  <si>
    <t>Трубопровод из винипластовых труб с применением готовых деталей, диаметр труб наружный 63-90 мм</t>
  </si>
  <si>
    <t>ТЕРм12-01-163-03</t>
  </si>
  <si>
    <t>Трубопровод из винипластовых труб с применением готовых деталей, диаметр труб наружный 110-140 мм</t>
  </si>
  <si>
    <t>ТЕРм12-01-163-04</t>
  </si>
  <si>
    <t>Трубопровод из винипластовых труб с применением готовых деталей, диаметр труб наружный 160-200 мм</t>
  </si>
  <si>
    <t>ТЕРм12-01-163-05</t>
  </si>
  <si>
    <t>Трубопровод из винипластовых труб с применением готовых деталей, диаметр труб наружный 225-250 мм</t>
  </si>
  <si>
    <t>ТЕРм12-01-163-06</t>
  </si>
  <si>
    <t>Трубопровод из винипластовых труб с применением готовых деталей, диаметр труб наружный 280-315 мм</t>
  </si>
  <si>
    <t xml:space="preserve">                                   Трубопроводы из фаолитовых труб</t>
  </si>
  <si>
    <t>ТЕРм12-01-164-01</t>
  </si>
  <si>
    <t>Трубопровод из фаолитовых труб, рабочее давление до 0,47 Мпа, диаметр условного прохода 32-50 мм</t>
  </si>
  <si>
    <t>ТЕРм12-01-164-02</t>
  </si>
  <si>
    <t>Трубопровод из фаолитовых труб, рабочее давление до 0,47 Мпа, диаметр условного прохода 80-150 мм</t>
  </si>
  <si>
    <t>ТЕРм12-01-164-03</t>
  </si>
  <si>
    <t>Трубопровод из фаолитовых труб, рабочее давление до 0,47 Мпа, диаметр условного прохода 200 мм</t>
  </si>
  <si>
    <t>ТЕРм12-01-164-04</t>
  </si>
  <si>
    <t>Трубопровод из фаолитовых труб, рабочее давление до 0,47 Мпа, диаметр условного прохода 250-300 мм</t>
  </si>
  <si>
    <t>ТЕРм12-01-164-05</t>
  </si>
  <si>
    <t>Трубопровод из фаолитовых труб, рабочее давление до 0,47 Мпа, диаметр условного прохода 350 мм</t>
  </si>
  <si>
    <t xml:space="preserve">                                   Трубопроводы из полиэтиленовых труб с применением готовых деталей</t>
  </si>
  <si>
    <t>ТЕРм12-01-165-01</t>
  </si>
  <si>
    <t>Трубопровод из полиэтиленовых труб с применением готовых деталей, диаметр труб наружный 40-90 мм</t>
  </si>
  <si>
    <t>ТЕРм12-01-165-02</t>
  </si>
  <si>
    <t>Трубопровод из полиэтиленовых труб с применением готовых деталей, диаметр труб наружный 110-140 мм</t>
  </si>
  <si>
    <t>ТЕРм12-01-165-03</t>
  </si>
  <si>
    <t>Трубопровод из полиэтиленовых труб с применением готовых деталей, диаметр труб наружный 160-180 мм</t>
  </si>
  <si>
    <t>ТЕРм12-01-165-04</t>
  </si>
  <si>
    <t>Трубопровод из полиэтиленовых труб с применением готовых деталей, диаметр труб наружный 225 мм</t>
  </si>
  <si>
    <t>ТЕРм12-01-165-05</t>
  </si>
  <si>
    <t>Трубопровод из полиэтиленовых труб с применением готовых деталей, диаметр труб наружный 280-315 мм</t>
  </si>
  <si>
    <t>ТЕРм12-01-165-06</t>
  </si>
  <si>
    <t>Трубопровод из полиэтиленовых труб с применением готовых деталей, диаметр труб наружный 400-450 мм</t>
  </si>
  <si>
    <t>ТЕРм12-01-165-07</t>
  </si>
  <si>
    <t>Трубопровод из полиэтиленовых труб с применением готовых деталей, диаметр труб наружный 560 мм</t>
  </si>
  <si>
    <t>ТЕРм12-01-165-08</t>
  </si>
  <si>
    <t>Трубопровод из полиэтиленовых труб с применением готовых деталей, диаметр труб наружный 630-900 мм</t>
  </si>
  <si>
    <t>ТЕРм12-01-165-09</t>
  </si>
  <si>
    <t>Трубопровод из полиэтиленовых труб с применением готовых деталей, диаметр труб наружный 1000-1200 мм</t>
  </si>
  <si>
    <t xml:space="preserve">                                   Трубопроводы из полипропиленовых труб с применением готовых деталей</t>
  </si>
  <si>
    <t>ТЕРм12-01-166-01</t>
  </si>
  <si>
    <t>Трубопровод из полипропиленовых труб с применением готовых деталей, диаметр труб наружный 32-90 мм</t>
  </si>
  <si>
    <t>ТЕРм12-01-166-02</t>
  </si>
  <si>
    <t>Трубопровод из полипропиленовых труб с применением готовых деталей, диаметр труб наружный 110-140 мм</t>
  </si>
  <si>
    <t>ТЕРм12-01-166-03</t>
  </si>
  <si>
    <t>Трубопровод из полипропиленовых труб с применением готовых деталей, диаметр труб наружный 225 мм</t>
  </si>
  <si>
    <t>ТЕРм12-01-166-04</t>
  </si>
  <si>
    <t>Трубопровод из полипропиленовых труб с применением готовых деталей, диаметр труб наружный 250-315 мм</t>
  </si>
  <si>
    <t xml:space="preserve">                                   Трубопроводы из фторопластовых труб с применением готовых деталей</t>
  </si>
  <si>
    <t>ТЕРм12-01-167-01</t>
  </si>
  <si>
    <t>Трубопровод из фторопластовых труб с применением готовых деталей, диаметр труб наружный 32-87 мм</t>
  </si>
  <si>
    <t>ТЕРм12-01-167-02</t>
  </si>
  <si>
    <t>Трубопровод из фторопластовых труб с применением готовых деталей, диаметр труб наружный 95 мм</t>
  </si>
  <si>
    <t>ТЕРм12-01-167-03</t>
  </si>
  <si>
    <t>Трубопровод из фторопластовых труб с применением готовых деталей, диаметр труб наружный 115-138 мм</t>
  </si>
  <si>
    <t>ТЕРм12-01-167-04</t>
  </si>
  <si>
    <t>Трубопровод из фторопластовых труб с применением готовых деталей, диаметр труб наружный 170 мм</t>
  </si>
  <si>
    <t>ТЕРм12-01-167-05</t>
  </si>
  <si>
    <t>Трубопровод из фторопластовых труб с применением готовых деталей, диаметр труб наружный 187-236 мм</t>
  </si>
  <si>
    <t>ТЕРм12-01-167-06</t>
  </si>
  <si>
    <t>Трубопровод из фторопластовых труб с применением готовых деталей, диаметр труб наружный 290 мм</t>
  </si>
  <si>
    <t>ТЕРм12-01-167-07</t>
  </si>
  <si>
    <t>Трубопровод из фторопластовых труб с применением готовых деталей, диаметр труб наружный 325-430 мм</t>
  </si>
  <si>
    <t xml:space="preserve">                           Раздел 2. ОТДЕЛ 02. ТРУБОПРОВОДЫ ТЕХНОЛОГИЧЕСКИЕ МЕЖЦЕХОВЫЕ</t>
  </si>
  <si>
    <t xml:space="preserve">                                   Трубопроводы из водогазопроводных труб с фитингами на резьбе на эстакадах, кронштейнах и других специальных конструкциях</t>
  </si>
  <si>
    <t>ТЕРм12-02-001-01</t>
  </si>
  <si>
    <t>Трубопровод из водогазопроводных труб с фитингами на резьбе на эстакадах, кронштейнах и других специальных конструкциях, диаметр условного прохода 15-50 мм</t>
  </si>
  <si>
    <t>ТЕРм12-02-001-02</t>
  </si>
  <si>
    <t>Трубопровод из водогазопроводных труб с фитингами на резьбе на эстакадах, кронштейнах и других специальных конструкциях, диаметр условного прохода 70-80 мм</t>
  </si>
  <si>
    <t>ТЕРм12-02-001-03</t>
  </si>
  <si>
    <t>Трубопровод из водогазопроводных труб с фитингами на резьбе на эстакадах, кронштейнах и других специальных конструкциях, диаметр условного прохода 100 мм</t>
  </si>
  <si>
    <t>ТЕРм12-02-001-04</t>
  </si>
  <si>
    <t>Трубопровод из водогазопроводных труб с фитингами на резьбе на эстакадах, кронштейнах и других специальных конструкциях, диаметр условного прохода 125-150 мм</t>
  </si>
  <si>
    <t xml:space="preserve">                                   Трубопроводы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</t>
  </si>
  <si>
    <t>ТЕРм12-02-002-01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</si>
  <si>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14 мм</t>
  </si>
  <si>
    <t>ТЕРм12-02-002-02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</si>
  <si>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18 мм</t>
  </si>
  <si>
    <t>ТЕРм12-02-002-03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</si>
  <si>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25 мм</t>
  </si>
  <si>
    <t>ТЕРм12-02-002-04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</si>
  <si>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32 мм</t>
  </si>
  <si>
    <t>ТЕРм12-02-002-05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</si>
  <si>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38 мм</t>
  </si>
  <si>
    <t>ТЕРм12-02-002-06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</si>
  <si>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45 мм</t>
  </si>
  <si>
    <t>ТЕРм12-02-002-07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</si>
  <si>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57 мм</t>
  </si>
  <si>
    <t>ТЕРм12-02-002-08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</si>
  <si>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76 мм</t>
  </si>
  <si>
    <t>ТЕРм12-02-002-09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</si>
  <si>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89 мм</t>
  </si>
  <si>
    <t>ТЕРм12-02-002-10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</si>
  <si>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108 мм</t>
  </si>
  <si>
    <t>ТЕРм12-02-002-11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</si>
  <si>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133 мм</t>
  </si>
  <si>
    <t>ТЕРм12-02-002-12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</si>
  <si>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159 мм</t>
  </si>
  <si>
    <t>ТЕРм12-02-002-13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</si>
  <si>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219 мм</t>
  </si>
  <si>
    <t>ТЕРм12-02-002-14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</si>
  <si>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273 мм</t>
  </si>
  <si>
    <t>ТЕРм12-02-002-15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</si>
  <si>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325 мм</t>
  </si>
  <si>
    <t>ТЕРм12-02-002-16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</si>
  <si>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377 мм</t>
  </si>
  <si>
    <t>ТЕРм12-02-002-17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</si>
  <si>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426 мм</t>
  </si>
  <si>
    <t>ТЕРм12-02-002-18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</si>
  <si>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530 мм</t>
  </si>
  <si>
    <t>ТЕРм12-02-002-19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</si>
  <si>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630 мм</t>
  </si>
  <si>
    <t>ТЕРм12-02-002-20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</si>
  <si>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820 мм</t>
  </si>
  <si>
    <t>ТЕРм12-02-002-21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</si>
  <si>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1020 мм</t>
  </si>
  <si>
    <t>ТЕРм12-02-002-22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</si>
  <si>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1220 мм</t>
  </si>
  <si>
    <t>ТЕРм12-02-002-23</t>
  </si>
  <si>
    <t>Трубопровод из стальных труб с фланцами и сварными стыками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1420 мм</t>
  </si>
  <si>
    <t xml:space="preserve">                                   Трубопроводы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</t>
  </si>
  <si>
    <t>ТЕРм12-02-003-01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</si>
  <si>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14 мм</t>
  </si>
  <si>
    <t>ТЕРм12-02-003-02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</si>
  <si>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18 мм</t>
  </si>
  <si>
    <t>ТЕРм12-02-003-03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</si>
  <si>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25 мм</t>
  </si>
  <si>
    <t>ТЕРм12-02-003-04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</si>
  <si>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32 мм</t>
  </si>
  <si>
    <t>ТЕРм12-02-003-05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</si>
  <si>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38 мм</t>
  </si>
  <si>
    <t>ТЕРм12-02-003-06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</si>
  <si>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45 мм</t>
  </si>
  <si>
    <t>ТЕРм12-02-003-07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</si>
  <si>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57 мм</t>
  </si>
  <si>
    <t>ТЕРм12-02-003-08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</si>
  <si>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76 мм</t>
  </si>
  <si>
    <t>ТЕРм12-02-003-09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</si>
  <si>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89 мм</t>
  </si>
  <si>
    <t>ТЕРм12-02-003-10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</si>
  <si>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108 мм</t>
  </si>
  <si>
    <t>ТЕРм12-02-003-11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</si>
  <si>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133 мм</t>
  </si>
  <si>
    <t>ТЕРм12-02-003-12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</si>
  <si>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159 мм</t>
  </si>
  <si>
    <t>ТЕРм12-02-003-13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</si>
  <si>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219 мм</t>
  </si>
  <si>
    <t>ТЕРм12-02-003-14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</si>
  <si>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273 мм</t>
  </si>
  <si>
    <t>ТЕРм12-02-003-15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</si>
  <si>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325 мм</t>
  </si>
  <si>
    <t>ТЕРм12-02-003-16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</si>
  <si>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377 мм</t>
  </si>
  <si>
    <t>ТЕРм12-02-003-17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</si>
  <si>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426 мм</t>
  </si>
  <si>
    <t>ТЕРм12-02-003-18</t>
  </si>
  <si>
    <t>Трубопровод из стальных труб с фланцами и сварными стыками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</si>
  <si>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</t>
  </si>
  <si>
    <t>ТЕРм12-02-004-01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</si>
  <si>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14 мм</t>
  </si>
  <si>
    <t>ТЕРм12-02-004-02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</si>
  <si>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18 мм</t>
  </si>
  <si>
    <t>ТЕРм12-02-004-03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</si>
  <si>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25 мм</t>
  </si>
  <si>
    <t>ТЕРм12-02-004-04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</si>
  <si>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32 мм</t>
  </si>
  <si>
    <t>ТЕРм12-02-004-05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</si>
  <si>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38 мм</t>
  </si>
  <si>
    <t>ТЕРм12-02-004-06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</si>
  <si>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45 мм</t>
  </si>
  <si>
    <t>ТЕРм12-02-004-07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</si>
  <si>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57 мм</t>
  </si>
  <si>
    <t>ТЕРм12-02-004-08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</si>
  <si>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76 мм</t>
  </si>
  <si>
    <t>ТЕРм12-02-004-09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</si>
  <si>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89 мм</t>
  </si>
  <si>
    <t>ТЕРм12-02-004-10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</si>
  <si>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108 мм</t>
  </si>
  <si>
    <t>ТЕРм12-02-004-11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</si>
  <si>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133 мм</t>
  </si>
  <si>
    <t>ТЕРм12-02-004-12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</si>
  <si>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159 мм</t>
  </si>
  <si>
    <t>ТЕРм12-02-004-13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</si>
  <si>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219 мм</t>
  </si>
  <si>
    <t>ТЕРм12-02-004-14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</si>
  <si>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273 мм</t>
  </si>
  <si>
    <t>ТЕРм12-02-004-15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</si>
  <si>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325 мм</t>
  </si>
  <si>
    <t>ТЕРм12-02-004-16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</si>
  <si>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377 мм</t>
  </si>
  <si>
    <t>ТЕРм12-02-004-17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</si>
  <si>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426 мм</t>
  </si>
  <si>
    <t>ТЕРм12-02-004-18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</si>
  <si>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530 мм</t>
  </si>
  <si>
    <t>ТЕРм12-02-004-19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</si>
  <si>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630 мм</t>
  </si>
  <si>
    <t>ТЕРм12-02-004-20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</si>
  <si>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820 мм</t>
  </si>
  <si>
    <t>ТЕРм12-02-004-21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</si>
  <si>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1020 мм</t>
  </si>
  <si>
    <t>ТЕРм12-02-004-22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</si>
  <si>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1220 мм</t>
  </si>
  <si>
    <t>ТЕРм12-02-004-23</t>
  </si>
  <si>
    <t>Трубопровод из стальных труб с фланцами и сварными стыками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1420 мм</t>
  </si>
  <si>
    <t xml:space="preserve">                                   Трубопроводы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</t>
  </si>
  <si>
    <t>ТЕРм12-02-005-01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</si>
  <si>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14 мм</t>
  </si>
  <si>
    <t>ТЕРм12-02-005-02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</si>
  <si>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18 мм</t>
  </si>
  <si>
    <t>ТЕРм12-02-005-03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</si>
  <si>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25 мм</t>
  </si>
  <si>
    <t>ТЕРм12-02-005-04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</si>
  <si>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32 мм</t>
  </si>
  <si>
    <t>ТЕРм12-02-005-05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</si>
  <si>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38 мм</t>
  </si>
  <si>
    <t>ТЕРм12-02-005-06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</si>
  <si>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45 мм</t>
  </si>
  <si>
    <t>ТЕРм12-02-005-07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</si>
  <si>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57 мм</t>
  </si>
  <si>
    <t>ТЕРм12-02-005-08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</si>
  <si>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76 мм</t>
  </si>
  <si>
    <t>ТЕРм12-02-005-09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</si>
  <si>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89 мм</t>
  </si>
  <si>
    <t>ТЕРм12-02-005-10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</si>
  <si>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108 мм</t>
  </si>
  <si>
    <t>ТЕРм12-02-005-11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</si>
  <si>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133 мм</t>
  </si>
  <si>
    <t>ТЕРм12-02-005-12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</si>
  <si>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159 мм</t>
  </si>
  <si>
    <t>ТЕРм12-02-005-13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</si>
  <si>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219 мм</t>
  </si>
  <si>
    <t>ТЕРм12-02-005-14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</si>
  <si>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273 мм</t>
  </si>
  <si>
    <t>ТЕРм12-02-005-15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</si>
  <si>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325 мм</t>
  </si>
  <si>
    <t>ТЕРм12-02-005-16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</si>
  <si>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377 мм</t>
  </si>
  <si>
    <t>ТЕРм12-02-005-17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</si>
  <si>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426 мм</t>
  </si>
  <si>
    <t>ТЕРм12-02-005-18</t>
  </si>
  <si>
    <t>Трубопровод из стальных труб с фланцами и сварными стыками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</si>
  <si>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стальных труб с фланцами и сварными стыками на условное давление не более 2,5 МПа из готовых узлов в каналах и траншеях</t>
  </si>
  <si>
    <t>ТЕРм12-02-006-01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</si>
  <si>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14 мм</t>
  </si>
  <si>
    <t>ТЕРм12-02-006-02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</si>
  <si>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18 мм</t>
  </si>
  <si>
    <t>ТЕРм12-02-006-03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</si>
  <si>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25 мм</t>
  </si>
  <si>
    <t>ТЕРм12-02-006-04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</si>
  <si>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32-38 мм</t>
  </si>
  <si>
    <t>ТЕРм12-02-006-05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</si>
  <si>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45 мм</t>
  </si>
  <si>
    <t>ТЕРм12-02-006-06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</si>
  <si>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57 мм</t>
  </si>
  <si>
    <t>ТЕРм12-02-006-07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</si>
  <si>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76 мм</t>
  </si>
  <si>
    <t>ТЕРм12-02-006-08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</si>
  <si>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89 мм</t>
  </si>
  <si>
    <t>ТЕРм12-02-006-09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</si>
  <si>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108 мм</t>
  </si>
  <si>
    <t>ТЕРм12-02-006-10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</si>
  <si>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133 мм</t>
  </si>
  <si>
    <t>ТЕРм12-02-006-11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</si>
  <si>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159 мм</t>
  </si>
  <si>
    <t>ТЕРм12-02-006-12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</si>
  <si>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219-273 мм</t>
  </si>
  <si>
    <t>ТЕРм12-02-006-13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</si>
  <si>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325 мм</t>
  </si>
  <si>
    <t>ТЕРм12-02-006-14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</si>
  <si>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377-426 мм</t>
  </si>
  <si>
    <t>ТЕРм12-02-006-15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</si>
  <si>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530-630 мм</t>
  </si>
  <si>
    <t>ТЕРм12-02-006-16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</si>
  <si>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820 мм</t>
  </si>
  <si>
    <t>ТЕРм12-02-006-17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</si>
  <si>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1020 мм</t>
  </si>
  <si>
    <t>ТЕРм12-02-006-18</t>
  </si>
  <si>
    <t>Трубопровод из стальных труб с фланцами и сварными стыками на условное давление не более 2,5 МПа из готовых узлов в каналах и траншеях, диаметр труб наружный 1200-1420 мм</t>
  </si>
  <si>
    <t xml:space="preserve">                                   Трубопроводы из стальных труб с фланцами и сварными стыками на условное давление не более 10 МПа, из готовых узлов в каналах и траншеях</t>
  </si>
  <si>
    <t>ТЕРм12-02-007-01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</si>
  <si>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14 мм</t>
  </si>
  <si>
    <t>ТЕРм12-02-007-02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</si>
  <si>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18 мм</t>
  </si>
  <si>
    <t>ТЕРм12-02-007-03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</si>
  <si>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25 мм</t>
  </si>
  <si>
    <t>ТЕРм12-02-007-04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</si>
  <si>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32-38 мм</t>
  </si>
  <si>
    <t>ТЕРм12-02-007-05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</si>
  <si>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45 мм</t>
  </si>
  <si>
    <t>ТЕРм12-02-007-06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</si>
  <si>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57 мм</t>
  </si>
  <si>
    <t>ТЕРм12-02-007-07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</si>
  <si>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76 мм</t>
  </si>
  <si>
    <t>ТЕРм12-02-007-08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</si>
  <si>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89 мм</t>
  </si>
  <si>
    <t>ТЕРм12-02-007-09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</si>
  <si>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108 мм</t>
  </si>
  <si>
    <t>ТЕРм12-02-007-10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</si>
  <si>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133 мм</t>
  </si>
  <si>
    <t>ТЕРм12-02-007-11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</si>
  <si>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159 мм</t>
  </si>
  <si>
    <t>ТЕРм12-02-007-12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</si>
  <si>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219 мм</t>
  </si>
  <si>
    <t>ТЕРм12-02-007-13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</si>
  <si>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273 мм</t>
  </si>
  <si>
    <t>ТЕРм12-02-007-14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</si>
  <si>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325 мм</t>
  </si>
  <si>
    <t>ТЕРм12-02-007-15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</si>
  <si>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377 мм</t>
  </si>
  <si>
    <t>ТЕРм12-02-007-16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</si>
  <si>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426 мм</t>
  </si>
  <si>
    <t>ТЕРм12-02-007-17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</si>
  <si>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480 мм</t>
  </si>
  <si>
    <t>ТЕРм12-02-007-18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</si>
  <si>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630 мм</t>
  </si>
  <si>
    <t>ТЕРм12-02-007-19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</si>
  <si>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820 мм</t>
  </si>
  <si>
    <t>ТЕРм12-02-007-20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</si>
  <si>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1020 мм</t>
  </si>
  <si>
    <t>ТЕРм12-02-007-21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</si>
  <si>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1220 мм</t>
  </si>
  <si>
    <t>ТЕРм12-02-007-22</t>
  </si>
  <si>
    <t>Трубопровод из стальных труб с фланцами и сварными стыками на условное давление не более 10 МПа, из готовых узлов в каналах и траншеях, диаметр труб наружный 1420 мм</t>
  </si>
  <si>
    <t xml:space="preserve">                                   Трубопроводы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</t>
  </si>
  <si>
    <t>ТЕРм12-02-008-01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</si>
  <si>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15х6 мм</t>
  </si>
  <si>
    <t>ТЕРм12-02-008-02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</si>
  <si>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25х10 мм</t>
  </si>
  <si>
    <t>ТЕРм12-02-008-03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</si>
  <si>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57х32 мм</t>
  </si>
  <si>
    <t>ТЕРм12-02-008-04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</si>
  <si>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68х40 мм</t>
  </si>
  <si>
    <t>ТЕРм12-02-008-05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</si>
  <si>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102х60 мм</t>
  </si>
  <si>
    <t>ТЕРм12-02-008-06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</si>
  <si>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114х65 мм</t>
  </si>
  <si>
    <t>ТЕРм12-02-008-07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</si>
  <si>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140х90 мм</t>
  </si>
  <si>
    <t>ТЕРм12-02-008-08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</si>
  <si>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159х100 мм</t>
  </si>
  <si>
    <t>ТЕРм12-02-008-09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</si>
  <si>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194х125 мм</t>
  </si>
  <si>
    <t>ТЕРм12-02-008-10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</si>
  <si>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245х150 мм</t>
  </si>
  <si>
    <t>ТЕРм12-02-008-11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</si>
  <si>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299х200 мм</t>
  </si>
  <si>
    <t>ТЕРм12-02-008-12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</si>
  <si>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402х300 мм</t>
  </si>
  <si>
    <t>ТЕРм12-02-008-13</t>
  </si>
  <si>
    <t>Трубопровод из стальных труб и готовых деталей на условное давление свыше 10 до 50 МПа с фланцевыми соединениями на резьбе с уплотнением на линзе или металлической прокладке или со сварными соединениями на эстакаде и других специальных конструкциях, диаметр труб наружный и условный 530х400 мм</t>
  </si>
  <si>
    <t xml:space="preserve">                                   Трубопроводы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</t>
  </si>
  <si>
    <t>ТЕРм12-02-009-01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</si>
  <si>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15х6 - 35х15 мм</t>
  </si>
  <si>
    <t>ТЕРм12-02-009-02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</si>
  <si>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50х25 - 68х32 мм</t>
  </si>
  <si>
    <t>ТЕРм12-02-009-03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</si>
  <si>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83х40 мм</t>
  </si>
  <si>
    <t>ТЕРм12-02-009-04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</si>
  <si>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102х60 мм</t>
  </si>
  <si>
    <t>ТЕРм12-02-009-05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</si>
  <si>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127х70 мм</t>
  </si>
  <si>
    <t>ТЕРм12-02-009-06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</si>
  <si>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159х80 мм</t>
  </si>
  <si>
    <t>ТЕРм12-02-009-07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</si>
  <si>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180х100 мм</t>
  </si>
  <si>
    <t>ТЕРм12-02-009-08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</si>
  <si>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219х125 мм</t>
  </si>
  <si>
    <t>ТЕРм12-02-009-09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</si>
  <si>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273х150 мм</t>
  </si>
  <si>
    <t>ТЕРм12-02-009-10</t>
  </si>
  <si>
    <t>Трубопровод из стальных труб и готовых деталей на условное давление свыше 50 до 100 МПа с фланцевыми соединениями на резьбе с уплотнением на линзе или со сварными соединениями на эстакаде и других специальных конструкциях, диаметр труб наружный и условный 299х200 мм</t>
  </si>
  <si>
    <t xml:space="preserve">                                   Трубопроводы из стальных гуммированных или фаолитированных труб, монтируемые с применением готовых узлов на эстакадах, кронштейнах и других специальных конструкциях</t>
  </si>
  <si>
    <t>ТЕРм12-02-010-01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</si>
  <si>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57 мм</t>
  </si>
  <si>
    <t>ТЕРм12-02-010-02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</si>
  <si>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76-108 мм</t>
  </si>
  <si>
    <t>ТЕРм12-02-010-03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</si>
  <si>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159 мм</t>
  </si>
  <si>
    <t>ТЕРм12-02-010-04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</si>
  <si>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219 мм</t>
  </si>
  <si>
    <t>ТЕРм12-02-010-05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</si>
  <si>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273-325 мм</t>
  </si>
  <si>
    <t>ТЕРм12-02-010-06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</si>
  <si>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377 мм</t>
  </si>
  <si>
    <t>ТЕРм12-02-010-07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</si>
  <si>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426 мм</t>
  </si>
  <si>
    <t>ТЕРм12-02-010-08</t>
  </si>
  <si>
    <t>Трубопровод из стальных гуммированных или фаолитированных труб, монтируемый с применением готовых узлов на эстакадах, кронштейнах и других специальных конструкциях, диаметр труб наружный 530-720 мм</t>
  </si>
  <si>
    <t xml:space="preserve">                                   Трубопроводы из стальных гуммированных или фаолитированных труб, монтируемые с применением готовых узлов в каналах</t>
  </si>
  <si>
    <t>ТЕРм12-02-011-01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</si>
  <si>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57 мм</t>
  </si>
  <si>
    <t>ТЕРм12-02-011-02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</si>
  <si>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76-108 мм</t>
  </si>
  <si>
    <t>ТЕРм12-02-011-03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</si>
  <si>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159 мм</t>
  </si>
  <si>
    <t>ТЕРм12-02-011-04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</si>
  <si>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219 мм</t>
  </si>
  <si>
    <t>ТЕРм12-02-011-05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</si>
  <si>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273 мм</t>
  </si>
  <si>
    <t>ТЕРм12-02-011-06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</si>
  <si>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325 мм</t>
  </si>
  <si>
    <t>ТЕРм12-02-011-07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</si>
  <si>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377 мм</t>
  </si>
  <si>
    <t>ТЕРм12-02-011-08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</si>
  <si>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426 мм</t>
  </si>
  <si>
    <t>ТЕРм12-02-011-09</t>
  </si>
  <si>
    <t>Трубопровод из стальных гуммированных или фаолитированных труб, монтируемый с применением готовых узлов в каналах, диаметр труб наружный 530-720 мм</t>
  </si>
  <si>
    <t xml:space="preserve">                                   Трубопроводы из стальных труб, футерованных полиэтиленом или винипластом, с применением готовых деталей на эстакадах и других специальных конструкциях</t>
  </si>
  <si>
    <t>ТЕРм12-02-012-01</t>
  </si>
  <si>
    <t>Трубопровод из стальных труб, футерованных полиэтиленом или винипластом, с применением готовых деталей на эстакадах и других специальных конструкциях, диаметр труб наружный и условный 14х10 - 45х40 мм</t>
  </si>
  <si>
    <t>ТЕРм12-02-012-02</t>
  </si>
  <si>
    <t>Трубопровод из стальных труб, футерованных полиэтиленом или винипластом, с применением готовых деталей на эстакадах и других специальных конструкциях, диаметр труб наружный и условный 57х50 мм</t>
  </si>
  <si>
    <t>ТЕРм12-02-012-03</t>
  </si>
  <si>
    <t>Трубопровод из стальных труб, футерованных полиэтиленом или винипластом, с применением готовых деталей на эстакадах и других специальных конструкциях, диаметр труб наружный и условный 76х65 - 114х100 мм</t>
  </si>
  <si>
    <t>ТЕРм12-02-012-04</t>
  </si>
  <si>
    <t>Трубопровод из стальных труб, футерованных полиэтиленом или винипластом, с применением готовых деталей на эстакадах и других специальных конструкциях, диаметр труб наружный и условный 140х125 - 165х150 мм</t>
  </si>
  <si>
    <t>ТЕРм12-02-012-05</t>
  </si>
  <si>
    <t>Трубопровод из стальных труб, футерованных полиэтиленом или винипластом, с применением готовых деталей на эстакадах и других специальных конструкциях, диаметр труб наружный и условный 219х200 мм</t>
  </si>
  <si>
    <t xml:space="preserve">                                   Трубопроводы из стальных эмалированных труб и готовых деталей на эстакадах, кронштейнах и других специальных конструкциях на условное давление до 0,6 МПа</t>
  </si>
  <si>
    <t>ТЕРм12-02-013-01</t>
  </si>
  <si>
    <t>Трубопровод из стальных эмалированных труб и готовых деталей на эстакадах, кронштейнах и других специальных конструкциях на условное давление до 0,6 МПа, диаметр труб условный 50 мм</t>
  </si>
  <si>
    <t>ТЕРм12-02-013-02</t>
  </si>
  <si>
    <t>Трубопровод из стальных эмалированных труб и готовых деталей на эстакадах, кронштейнах и других специальных конструкциях на условное давление до 0,6 МПа, диаметр труб условный 65-80 мм</t>
  </si>
  <si>
    <t>ТЕРм12-02-013-03</t>
  </si>
  <si>
    <t>Трубопровод из стальных эмалированных труб и готовых деталей на эстакадах, кронштейнах и других специальных конструкциях на условное давление до 0,6 МПа, диаметр труб условный 150 мм</t>
  </si>
  <si>
    <t xml:space="preserve">                                   Трубопроводы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</t>
  </si>
  <si>
    <t>ТЕРм12-02-014-01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</si>
  <si>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25х32 мм</t>
  </si>
  <si>
    <t>ТЕРм12-02-014-02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</si>
  <si>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40х45 - 50х57 мм</t>
  </si>
  <si>
    <t>ТЕРм12-02-014-03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</si>
  <si>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65х76 мм</t>
  </si>
  <si>
    <t>ТЕРм12-02-014-04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</si>
  <si>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80х89 - 100х108 мм</t>
  </si>
  <si>
    <t>ТЕРм12-02-014-05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</si>
  <si>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125х133 - 150х159 мм</t>
  </si>
  <si>
    <t>ТЕРм12-02-014-06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</si>
  <si>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200х219 мм</t>
  </si>
  <si>
    <t>ТЕРм12-02-014-07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</si>
  <si>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250х273 мм</t>
  </si>
  <si>
    <t>ТЕРм12-02-014-08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</si>
  <si>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300х325 мм</t>
  </si>
  <si>
    <t>ТЕРм12-02-014-09</t>
  </si>
  <si>
    <t>Трубопровод из стальных труб, футерованных фторопластом, с применением готовых деталей на эстакадах и других специальных конструкциях на условное давление до 0,5 МПа, диаметр условного прохода 400х426 мм</t>
  </si>
  <si>
    <t xml:space="preserve">                                   Трубопроводы из стальных труб со сварными соединениями на условное давление не более 2,5 МПа из труб и готовых деталей, монтируемые в каналах и траншеях</t>
  </si>
  <si>
    <t>ТЕРм12-02-015-01</t>
  </si>
  <si>
    <t>Трубопроводы из стальных труб со сварными соединениями на условное давление не более 2,5 МПа из труб и готовых деталей, монтируемые в каналах и траншеях, диаметр наружный 1620-1820 мм</t>
  </si>
  <si>
    <t>ТЕРм12-02-015-02</t>
  </si>
  <si>
    <t>Трубопроводы из стальных труб со сварными соединениями на условное давление не более 2,5 МПа из труб и готовых деталей, монтируемые в каналах и траншеях, диаметр наружный 2240-2440 мм</t>
  </si>
  <si>
    <t xml:space="preserve">                                   Раздел 2. ТРУБОПРОВОДЫ ИЗ АЛЮМИНИЕВЫХ ТРУБ</t>
  </si>
  <si>
    <t xml:space="preserve">                                   Трубопроводы из алюминиевых труб на условное давление до 1 МПа на эстакадах, кронштейнах и других специальных конструкциях</t>
  </si>
  <si>
    <t>ТЕРм12-02-040-01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</si>
  <si>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25 мм</t>
  </si>
  <si>
    <t>ТЕРм12-02-040-02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</si>
  <si>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36 мм</t>
  </si>
  <si>
    <t>ТЕРм12-02-040-03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</si>
  <si>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55 мм</t>
  </si>
  <si>
    <t>ТЕРм12-02-040-04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</si>
  <si>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85 мм</t>
  </si>
  <si>
    <t>ТЕРм12-02-040-05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</si>
  <si>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100 мм</t>
  </si>
  <si>
    <t>ТЕРм12-02-040-06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</si>
  <si>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150 мм</t>
  </si>
  <si>
    <t>ТЕРм12-02-040-07</t>
  </si>
  <si>
    <t>Трубопровод из алюминиевых труб на условное давление до 1 МПа на эстакадах, кронштейнах и других специальных конструкциях, диаметр труб наружный 200 мм</t>
  </si>
  <si>
    <t xml:space="preserve">                                   Трубопроводы из листового алюминия. Прямые участки на эстакадах, кронштейнах и других специальных конструкциях</t>
  </si>
  <si>
    <t>ТЕРм12-02-041-01</t>
  </si>
  <si>
    <t>Прямой участок трубопровода из листового алюминия на эстакадах, кронштейнах и других специальных конструкциях, диаметр труб внутренний 200 мм</t>
  </si>
  <si>
    <t>ТЕРм12-02-041-02</t>
  </si>
  <si>
    <t>Прямой участок трубопровода из листового алюминия на эстакадах, кронштейнах и других специальных конструкциях, диаметр труб внутренний 800 мм</t>
  </si>
  <si>
    <t>ТЕРм12-02-041-03</t>
  </si>
  <si>
    <t>Прямой участок трубопровода из листового алюминия на эстакадах, кронштейнах и других специальных конструкциях, диаметр труб внутренний 1400 мм</t>
  </si>
  <si>
    <t xml:space="preserve">                                   Трубопроводы из листового алюминия. Фасонные детали на эстакадах, кронштейнах и других специальных конструкциях</t>
  </si>
  <si>
    <t>ТЕРм12-02-042-01</t>
  </si>
  <si>
    <t>Фасонные детали трубопроводов из листового алюминия на эстакадах, кронштейнах и других специальных конструкциях, диаметр труб внутренний 200 мм</t>
  </si>
  <si>
    <t>ТЕРм12-02-042-02</t>
  </si>
  <si>
    <t>Фасонные детали трубопроводов из листового алюминия на эстакадах, кронштейнах и других специальных конструкциях, диаметр труб внутренний 800 мм</t>
  </si>
  <si>
    <t>ТЕРм12-02-042-03</t>
  </si>
  <si>
    <t>Фасонные детали трубопроводов из листового алюминия на эстакадах, кронштейнах и других специальных конструкциях, диаметр труб внутренний 1400 мм</t>
  </si>
  <si>
    <t xml:space="preserve">                                   Раздел 3. ТРУБОПРОВОДЫ ИЗ МЕДНЫХ И ЛАТУННЫХ ТРУБ</t>
  </si>
  <si>
    <t xml:space="preserve">                                   Трубопроводы из медных труб на условное давление до 2,5 МПа на эстакадах, кронштейнах и других специальных конструкциях</t>
  </si>
  <si>
    <t>ТЕРм12-02-053-01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</si>
  <si>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18 мм</t>
  </si>
  <si>
    <t>ТЕРм12-02-053-02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</si>
  <si>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28 мм</t>
  </si>
  <si>
    <t>ТЕРм12-02-053-03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</si>
  <si>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35 мм</t>
  </si>
  <si>
    <t>ТЕРм12-02-053-04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</si>
  <si>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55 мм</t>
  </si>
  <si>
    <t>ТЕРм12-02-053-05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</si>
  <si>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85 мм</t>
  </si>
  <si>
    <t>ТЕРм12-02-053-06</t>
  </si>
  <si>
    <t>Трубопровод из медных труб на условное давление до 2,5 МПа на эстакадах, кронштейнах и других специальных конструкциях, диаметр труб наружный 100 мм</t>
  </si>
  <si>
    <t xml:space="preserve">                                   Трубопроводы из медных труб на условное давление до 20 МПа на эстакадах, кронштейнах и других специальных конструкциях</t>
  </si>
  <si>
    <t>ТЕРм12-02-054-01</t>
  </si>
  <si>
    <t>Трубопровод из медных труб на условное давление до 20 МПа на эстакадах, кронштейнах и других специальных конструкциях, диаметр труб наружный 22 мм</t>
  </si>
  <si>
    <t>ТЕРм12-02-054-02</t>
  </si>
  <si>
    <t>Трубопровод из медных труб на условное давление до 20 МПа на эстакадах, кронштейнах и других специальных конструкциях, диаметр труб наружный 30 мм</t>
  </si>
  <si>
    <t xml:space="preserve">                                   Трубопроводы из латунных труб на условное давление до 2,5 МПа на эстакадах, кронштейнах и других специальных конструкциях</t>
  </si>
  <si>
    <t>ТЕРм12-02-055-01</t>
  </si>
  <si>
    <t>Трубопровод из латунных труб на условное давление до 2,5 МПа на эстакадах, кронштейнах и других специальных конструкциях, диаметр труб наружный 35 мм</t>
  </si>
  <si>
    <t>ТЕРм12-02-055-02</t>
  </si>
  <si>
    <t>Трубопровод из латунных труб на условное давление до 2,5 МПа на эстакадах, кронштейнах и других специальных конструкциях, диаметр труб наружный 54 мм</t>
  </si>
  <si>
    <t>ТЕРм12-02-055-03</t>
  </si>
  <si>
    <t>Трубопровод из латунных труб на условное давление до 2,5 МПа на эстакадах, кронштейнах и других специальных конструкциях, диаметр труб наружный 65 мм</t>
  </si>
  <si>
    <t>ТЕРм12-02-055-04</t>
  </si>
  <si>
    <t>Трубопровод из латунных труб на условное давление до 2,5 МПа на эстакадах, кронштейнах и других специальных конструкциях, диаметр труб наружный 100 мм</t>
  </si>
  <si>
    <t xml:space="preserve">                                   Трубопроводы из латунных труб на условное давление до 20 МПа на эстакадах, кронштейнах и других специальных конструкциях</t>
  </si>
  <si>
    <t>ТЕРм12-02-056-01</t>
  </si>
  <si>
    <t>Трубопровод из латунных труб на условное давление до 20 МПа на эстакадах, кронштейнах и других специальных конструкциях, диаметр труб наружный 22 мм</t>
  </si>
  <si>
    <t>ТЕРм12-02-056-02</t>
  </si>
  <si>
    <t>Трубопровод из латунных труб на условное давление до 20 МПа на эстакадах, кронштейнах и других специальных конструкциях, диаметр труб наружный 28 мм</t>
  </si>
  <si>
    <t>ТЕРм12-02-056-03</t>
  </si>
  <si>
    <t>Трубопровод из латунных труб на условное давление до 20 МПа на эстакадах, кронштейнах и других специальных конструкциях, диаметр труб наружный 42 мм</t>
  </si>
  <si>
    <t>ТЕРм12-02-056-04</t>
  </si>
  <si>
    <t>Трубопровод из латунных труб на условное давление до 20 МПа на эстакадах, кронштейнах и других специальных конструкциях, диаметр труб наружный 55 мм</t>
  </si>
  <si>
    <t xml:space="preserve">                                   Раздел 4. ТРУБОПРОВОДЫ ИЗ СВИНЦОВЫХ ТРУБ</t>
  </si>
  <si>
    <t xml:space="preserve">                                   Трубопроводы из свинцовых труб на эстакадах, кронштейнах и других специальных конструкциях</t>
  </si>
  <si>
    <t>ТЕРм12-02-067-01</t>
  </si>
  <si>
    <t>Трубопровод из свинцовых труб на эстакадах, кронштейнах и других специальных конструкциях, диаметр труб наружный 16-25 мм</t>
  </si>
  <si>
    <t>ТЕРм12-02-067-02</t>
  </si>
  <si>
    <t>Трубопровод из свинцовых труб на эстакадах, кронштейнах и других специальных конструкциях, диаметр труб наружный 38-50 мм</t>
  </si>
  <si>
    <t>ТЕРм12-02-067-03</t>
  </si>
  <si>
    <t>Трубопровод из свинцовых труб на эстакадах, кронштейнах и других специальных конструкциях, диаметр труб наружный 80-100 мм</t>
  </si>
  <si>
    <t>ТЕРм12-02-067-04</t>
  </si>
  <si>
    <t>Трубопровод из свинцовых труб на эстакадах, кронштейнах и других специальных конструкциях, диаметр труб наружный 125-150 мм</t>
  </si>
  <si>
    <t xml:space="preserve">                                   Трубопроводы из труб, изготовленных из листового свинца, монтируемые из готовых деталей на эстакадах, кронштейнах и других специальных конструкциях</t>
  </si>
  <si>
    <t>ТЕРм12-02-068-01</t>
  </si>
  <si>
    <t>Трубопровод из труб, изготовленных из листового свинца, монтируемый из готовых деталей на эстакадах, кронштейнах и других специальных конструкциях, диаметр условного прохода 150 мм</t>
  </si>
  <si>
    <t>ТЕРм12-02-068-02</t>
  </si>
  <si>
    <t>Трубопровод из труб, изготовленных из листового свинца, монтируемый из готовых деталей на эстакадах, кронштейнах и других специальных конструкциях, диаметр условного прохода 300 мм</t>
  </si>
  <si>
    <t>ТЕРм12-02-068-03</t>
  </si>
  <si>
    <t>Трубопровод из труб, изготовленных из листового свинца, монтируемый из готовых деталей на эстакадах, кронштейнах и других специальных конструкциях, диаметр условного прохода 500 мм</t>
  </si>
  <si>
    <t>ТЕРм12-02-068-04</t>
  </si>
  <si>
    <t>Трубопровод из труб, изготовленных из листового свинца, монтируемый из готовых деталей на эстакадах, кронштейнах и других специальных конструкциях, диаметр условного прохода 1000 мм</t>
  </si>
  <si>
    <t>ТЕРм12-02-068-05</t>
  </si>
  <si>
    <t>Трубопровод из труб, изготовленных из листового свинца, монтируемый из готовых деталей на эстакадах, кронштейнах и других специальных конструкциях, диаметр условного прохода 1500 мм</t>
  </si>
  <si>
    <t xml:space="preserve">                                   Раздел 5. ТРУБОПРОВОДЫ ИЗ ЧУГУННЫХ ТРУБ</t>
  </si>
  <si>
    <t xml:space="preserve">                                   Трубопроводы из чугунных фланцевых труб на эстакадах, кронштейнах и других специальных конструкциях</t>
  </si>
  <si>
    <t>ТЕРм12-02-079-01</t>
  </si>
  <si>
    <t>Трубопровод из чугунных фланцевых труб на эстакадах, кронштейнах и других специальных конструкциях, диаметр условного прохода 65-100 мм</t>
  </si>
  <si>
    <t>ТЕРм12-02-079-02</t>
  </si>
  <si>
    <t>Трубопровод из чугунных фланцевых труб на эстакадах, кронштейнах и других специальных конструкциях, диаметр условного прохода 125-150 мм</t>
  </si>
  <si>
    <t>ТЕРм12-02-079-03</t>
  </si>
  <si>
    <t>Трубопровод из чугунных фланцевых труб на эстакадах, кронштейнах и других специальных конструкциях, диаметр условного прохода 200 мм</t>
  </si>
  <si>
    <t>ТЕРм12-02-079-04</t>
  </si>
  <si>
    <t>Трубопровод из чугунных фланцевых труб на эстакадах, кронштейнах и других специальных конструкциях, диаметр условного прохода 250 мм</t>
  </si>
  <si>
    <t>ТЕРм12-02-079-05</t>
  </si>
  <si>
    <t>Трубопровод из чугунных фланцевых труб на эстакадах, кронштейнах и других специальных конструкциях, диаметр условного прохода 300 мм</t>
  </si>
  <si>
    <t>ТЕРм12-02-079-06</t>
  </si>
  <si>
    <t>Трубопровод из чугунных фланцевых труб на эстакадах, кронштейнах и других специальных конструкциях, диаметр условного прохода 350 мм</t>
  </si>
  <si>
    <t xml:space="preserve">                                   Трубопроводы из чугунных фланцевых труб в каналах и траншеях</t>
  </si>
  <si>
    <t>ТЕРм12-02-080-01</t>
  </si>
  <si>
    <t>Трубопровод из чугунных фланцевых труб в каналах и траншеях, диаметр условного прохода 65-100 мм</t>
  </si>
  <si>
    <t>ТЕРм12-02-080-02</t>
  </si>
  <si>
    <t>Трубопровод из чугунных фланцевых труб в каналах и траншеях, диаметр условного прохода 125-150 мм</t>
  </si>
  <si>
    <t>ТЕРм12-02-080-03</t>
  </si>
  <si>
    <t>Трубопровод из чугунных фланцевых труб в каналах и траншеях, диаметр условного прохода 200 мм</t>
  </si>
  <si>
    <t>ТЕРм12-02-080-04</t>
  </si>
  <si>
    <t>Трубопровод из чугунных фланцевых труб в каналах и траншеях, диаметр условного прохода 250 мм</t>
  </si>
  <si>
    <t>ТЕРм12-02-080-05</t>
  </si>
  <si>
    <t>Трубопровод из чугунных фланцевых труб в каналах и траншеях, диаметр условного прохода 300-350 мм</t>
  </si>
  <si>
    <t xml:space="preserve">                                   Раздел 6. ТРУБОПРОВОДЫ ИЗ КЕРАМИЧЕСКИХ И ФАРФОРОВЫХ ТРУБ</t>
  </si>
  <si>
    <t xml:space="preserve">                                   Трубопроводы из керамических и фарфоровых труб на эстакадах, кронштейнах и других специальных конструкциях</t>
  </si>
  <si>
    <t>ТЕРм12-02-091-01</t>
  </si>
  <si>
    <t>Трубопровод из керамических и фарфоровых труб на эстакадах, кронштейнах и других специальных конструкциях, диаметр условного прохода 25 мм</t>
  </si>
  <si>
    <t>ТЕРм12-02-091-02</t>
  </si>
  <si>
    <t>Трубопровод из керамических и фарфоровых труб на эстакадах, кронштейнах и других специальных конструкциях, диаметр условного прохода 40-50 мм</t>
  </si>
  <si>
    <t>ТЕРм12-02-091-03</t>
  </si>
  <si>
    <t>Трубопровод из керамических и фарфоровых труб на эстакадах, кронштейнах и других специальных конструкциях, диаметр условного прохода 80-100 мм</t>
  </si>
  <si>
    <t>ТЕРм12-02-091-04</t>
  </si>
  <si>
    <t>Трубопровод из керамических и фарфоровых труб на эстакадах, кронштейнах и других специальных конструкциях, диаметр условного прохода 150 мм</t>
  </si>
  <si>
    <t>ТЕРм12-02-091-05</t>
  </si>
  <si>
    <t>Трубопровод из керамических и фарфоровых труб на эстакадах, кронштейнах и других специальных конструкциях, диаметр условного прохода 200 мм</t>
  </si>
  <si>
    <t>ТЕРм12-02-091-06</t>
  </si>
  <si>
    <t>Трубопровод из керамических и фарфоровых труб на эстакадах, кронштейнах и других специальных конструкциях, диаметр условного прохода 250 мм</t>
  </si>
  <si>
    <t>ТЕРм12-02-091-07</t>
  </si>
  <si>
    <t>Трубопровод из керамических и фарфоровых труб на эстакадах, кронштейнах и других специальных конструкциях, диаметр условного прохода 300 мм</t>
  </si>
  <si>
    <t xml:space="preserve">                                   Раздел 7. ТРУБОПРОВОДЫ ИЗ ПЛАСТМАССОВЫХ ТРУБ</t>
  </si>
  <si>
    <t xml:space="preserve">                                   Трубопроводы из непластифицированного поливинилхлорида с раструбами под резиновое кольцо на эстакадах, кронштейнах и других специальных конструкциях</t>
  </si>
  <si>
    <t>ТЕРм12-02-102-01</t>
  </si>
  <si>
    <t>Трубопровод из непластифицированного поливинилхлорида с раструбами под резиновое кольцо на эстакадах, кронштейнах и других специальных конструкциях, диаметр труб наружный 63-90 мм</t>
  </si>
  <si>
    <t>ТЕРм12-02-102-02</t>
  </si>
  <si>
    <t>Трубопровод из непластифицированного поливинилхлорида с раструбами под резиновое кольцо на эстакадах, кронштейнах и других специальных конструкциях, диаметр труб наружный 110 мм</t>
  </si>
  <si>
    <t>ТЕРм12-02-102-03</t>
  </si>
  <si>
    <t>Трубопровод из непластифицированного поливинилхлорида с раструбами под резиновое кольцо на эстакадах, кронштейнах и других специальных конструкциях, диаметр труб наружный 160 мм</t>
  </si>
  <si>
    <t>ТЕРм12-02-102-04</t>
  </si>
  <si>
    <t>Трубопровод из непластифицированного поливинилхлорида с раструбами под резиновое кольцо на эстакадах, кронштейнах и других специальных конструкциях, диаметр труб наружный 225 мм</t>
  </si>
  <si>
    <t>ТЕРм12-02-102-05</t>
  </si>
  <si>
    <t>Трубопровод из непластифицированного поливинилхлорида с раструбами под резиновое кольцо на эстакадах, кронштейнах и других специальных конструкциях, диаметр труб наружный 280-315 мм</t>
  </si>
  <si>
    <t xml:space="preserve">                                   Трубопроводы из полипропиленовых труб с применением готовых деталей на эстакадах, кронштейнах и других специальных конструкциях</t>
  </si>
  <si>
    <t>ТЕРм12-02-103-01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</si>
  <si>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32 мм</t>
  </si>
  <si>
    <t>ТЕРм12-02-103-02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</si>
  <si>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40-90 мм</t>
  </si>
  <si>
    <t>ТЕРм12-02-103-03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</si>
  <si>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110-140 мм</t>
  </si>
  <si>
    <t>ТЕРм12-02-103-04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</si>
  <si>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160 мм</t>
  </si>
  <si>
    <t>ТЕРм12-02-103-05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</si>
  <si>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180-200 мм</t>
  </si>
  <si>
    <t>ТЕРм12-02-103-06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</si>
  <si>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225 мм</t>
  </si>
  <si>
    <t>ТЕРм12-02-103-07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</si>
  <si>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250 мм</t>
  </si>
  <si>
    <t>ТЕРм12-02-103-08</t>
  </si>
  <si>
    <t>Трубопровод из полипропиленовых труб с применением готовых деталей на эстакадах, кронштейнах и других специальных конструкциях, диаметр труб наружный 280-315 мм</t>
  </si>
  <si>
    <t xml:space="preserve">                                   Раздел 8. ТРУБОПРОВОДЫ ИЗ ТРУБ ЛЕГИРОВАННЫХ И ВЫСОКОЛЕГИРОВАННЫХ СТАЛЕЙ</t>
  </si>
  <si>
    <t xml:space="preserve">                                   Трубопроводы из труб легированных сталей на условное давление не более 2,5 МПа из готовых узлов и секций на эстакадах, кронштейнах и других специальных конструкциях</t>
  </si>
  <si>
    <t>ТЕРм12-02-114-01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</si>
  <si>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45 мм</t>
  </si>
  <si>
    <t>ТЕРм12-02-114-02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</si>
  <si>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57 мм</t>
  </si>
  <si>
    <t>ТЕРм12-02-114-03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</si>
  <si>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76 мм</t>
  </si>
  <si>
    <t>ТЕРм12-02-114-04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</si>
  <si>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89 мм</t>
  </si>
  <si>
    <t>ТЕРм12-02-114-05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</si>
  <si>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108 мм</t>
  </si>
  <si>
    <t>ТЕРм12-02-114-06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</si>
  <si>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133 мм</t>
  </si>
  <si>
    <t>ТЕРм12-02-114-07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</si>
  <si>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159 мм</t>
  </si>
  <si>
    <t>ТЕРм12-02-114-08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</si>
  <si>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219 мм</t>
  </si>
  <si>
    <t>ТЕРм12-02-114-09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</si>
  <si>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273 мм</t>
  </si>
  <si>
    <t>ТЕРм12-02-114-10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</si>
  <si>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325 мм</t>
  </si>
  <si>
    <t>ТЕРм12-02-114-11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</si>
  <si>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377 мм</t>
  </si>
  <si>
    <t>ТЕРм12-02-114-12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</si>
  <si>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426 мм</t>
  </si>
  <si>
    <t>ТЕРм12-02-114-13</t>
  </si>
  <si>
    <t>Трубопровод из труб 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</si>
  <si>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труб легированных сталей на условное давление не более 4 МПа из готовых узлов и секций на эстакадах, кронштейнах и других специальных конструкциях</t>
  </si>
  <si>
    <t>ТЕРм12-02-115-01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</si>
  <si>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45 мм</t>
  </si>
  <si>
    <t>ТЕРм12-02-115-02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</si>
  <si>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57 мм</t>
  </si>
  <si>
    <t>ТЕРм12-02-115-03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</si>
  <si>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76 мм</t>
  </si>
  <si>
    <t>ТЕРм12-02-115-04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</si>
  <si>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89 мм</t>
  </si>
  <si>
    <t>ТЕРм12-02-115-05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</si>
  <si>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108 мм</t>
  </si>
  <si>
    <t>ТЕРм12-02-115-06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</si>
  <si>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133 мм</t>
  </si>
  <si>
    <t>ТЕРм12-02-115-07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</si>
  <si>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159 мм</t>
  </si>
  <si>
    <t>ТЕРм12-02-115-08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</si>
  <si>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219 мм</t>
  </si>
  <si>
    <t>ТЕРм12-02-115-09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</si>
  <si>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273 мм</t>
  </si>
  <si>
    <t>ТЕРм12-02-115-10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</si>
  <si>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325 мм</t>
  </si>
  <si>
    <t>ТЕРм12-02-115-11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</si>
  <si>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377 мм</t>
  </si>
  <si>
    <t>ТЕРм12-02-115-12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</si>
  <si>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426 мм</t>
  </si>
  <si>
    <t>ТЕРм12-02-115-13</t>
  </si>
  <si>
    <t>Трубопровод из труб 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</si>
  <si>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труб легированных сталей на условное давление не более 10 МПа из готовых узлов и секций на эстакадах, кронштейнах и других специальных конструкциях</t>
  </si>
  <si>
    <t>ТЕРм12-02-116-01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</si>
  <si>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45 мм</t>
  </si>
  <si>
    <t>ТЕРм12-02-116-02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</si>
  <si>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57 мм</t>
  </si>
  <si>
    <t>ТЕРм12-02-116-03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</si>
  <si>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76 мм</t>
  </si>
  <si>
    <t>ТЕРм12-02-116-04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</si>
  <si>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89 мм</t>
  </si>
  <si>
    <t>ТЕРм12-02-116-05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</si>
  <si>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108 мм</t>
  </si>
  <si>
    <t>ТЕРм12-02-116-06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</si>
  <si>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133 мм</t>
  </si>
  <si>
    <t>ТЕРм12-02-116-07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</si>
  <si>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159 мм</t>
  </si>
  <si>
    <t>ТЕРм12-02-116-08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</si>
  <si>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219 мм</t>
  </si>
  <si>
    <t>ТЕРм12-02-116-09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</si>
  <si>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273 мм</t>
  </si>
  <si>
    <t>ТЕРм12-02-116-10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</si>
  <si>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325 мм</t>
  </si>
  <si>
    <t>ТЕРм12-02-116-11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</si>
  <si>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377 мм</t>
  </si>
  <si>
    <t>ТЕРм12-02-116-12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</si>
  <si>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426 мм</t>
  </si>
  <si>
    <t>ТЕРм12-02-116-13</t>
  </si>
  <si>
    <t>Трубопровод из труб 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</si>
  <si>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труб легированных сталей на условное давление не более 10 МПа из труб и готовых деталей наружным диаметром 14-38 мм на эстакадах, кронштейнах и других специальных конструкциях</t>
  </si>
  <si>
    <t>ТЕРм12-02-117-01</t>
  </si>
  <si>
    <t>Трубопровод из труб 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14 мм</t>
  </si>
  <si>
    <t>ТЕРм12-02-117-02</t>
  </si>
  <si>
    <t>Трубопровод из труб 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25 мм</t>
  </si>
  <si>
    <t>ТЕРм12-02-117-03</t>
  </si>
  <si>
    <t>Трубопровод из труб 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38 мм</t>
  </si>
  <si>
    <t xml:space="preserve">                                   Трубопроводы из труб легированных сталей на условное давление не более 2,5 МПа из труб и готовых деталей наружным диаметром 45-530 мм на эстакадах, кронштейнах и других специальных конструкциях</t>
  </si>
  <si>
    <t>ТЕРм12-02-118-01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</si>
  <si>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45 мм</t>
  </si>
  <si>
    <t>ТЕРм12-02-118-02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</si>
  <si>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57 мм</t>
  </si>
  <si>
    <t>ТЕРм12-02-118-03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</si>
  <si>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76 мм</t>
  </si>
  <si>
    <t>ТЕРм12-02-118-04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</si>
  <si>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89 мм</t>
  </si>
  <si>
    <t>ТЕРм12-02-118-05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</si>
  <si>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108 мм</t>
  </si>
  <si>
    <t>ТЕРм12-02-118-06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</si>
  <si>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133 мм</t>
  </si>
  <si>
    <t>ТЕРм12-02-118-07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</si>
  <si>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159 мм</t>
  </si>
  <si>
    <t>ТЕРм12-02-118-08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</si>
  <si>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219 мм</t>
  </si>
  <si>
    <t>ТЕРм12-02-118-09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</si>
  <si>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273 мм</t>
  </si>
  <si>
    <t>ТЕРм12-02-118-10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</si>
  <si>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325 мм</t>
  </si>
  <si>
    <t>ТЕРм12-02-118-11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</si>
  <si>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377 мм</t>
  </si>
  <si>
    <t>ТЕРм12-02-118-12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</si>
  <si>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426 мм</t>
  </si>
  <si>
    <t>ТЕРм12-02-118-13</t>
  </si>
  <si>
    <t>Трубопровод из труб 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530 мм</t>
  </si>
  <si>
    <t xml:space="preserve">                                   Трубопроводы из труб легированных сталей на условное давление не более 4 МПа из труб и готовых деталей</t>
  </si>
  <si>
    <t>ТЕРм12-02-119-01</t>
  </si>
  <si>
    <t>Трубопровод из труб легированных сталей на условное давление не более 4 МПа из труб и готовых деталей, диаметр трубопровода наружный 45 мм</t>
  </si>
  <si>
    <t>ТЕРм12-02-119-02</t>
  </si>
  <si>
    <t>Трубопровод из труб легированных сталей на условное давление не более 4 МПа из труб и готовых деталей, диаметр трубопровода наружный 57 мм</t>
  </si>
  <si>
    <t>ТЕРм12-02-119-03</t>
  </si>
  <si>
    <t>Трубопровод из труб легированных сталей на условное давление не более 4 МПа из труб и готовых деталей, диаметр трубопровода наружный 76 мм</t>
  </si>
  <si>
    <t>ТЕРм12-02-119-04</t>
  </si>
  <si>
    <t>Трубопровод из труб легированных сталей на условное давление не более 4 МПа из труб и готовых деталей, диаметр трубопровода наружный 89 мм</t>
  </si>
  <si>
    <t>ТЕРм12-02-119-05</t>
  </si>
  <si>
    <t>Трубопровод из труб легированных сталей на условное давление не более 4 МПа из труб и готовых деталей, диаметр трубопровода наружный 108 мм</t>
  </si>
  <si>
    <t>ТЕРм12-02-119-06</t>
  </si>
  <si>
    <t>Трубопровод из труб легированных сталей на условное давление не более 4 МПа из труб и готовых деталей, диаметр трубопровода наружный 133 мм</t>
  </si>
  <si>
    <t>ТЕРм12-02-119-07</t>
  </si>
  <si>
    <t>Трубопровод из труб легированных сталей на условное давление не более 4 МПа из труб и готовых деталей, диаметр трубопровода наружный 159 мм</t>
  </si>
  <si>
    <t>ТЕРм12-02-119-08</t>
  </si>
  <si>
    <t>Трубопровод из труб легированных сталей на условное давление не более 4 МПа из труб и готовых деталей, диаметр трубопровода наружный 219 мм</t>
  </si>
  <si>
    <t>ТЕРм12-02-119-09</t>
  </si>
  <si>
    <t>Трубопровод из труб легированных сталей на условное давление не более 4 МПа из труб и готовых деталей, диаметр трубопровода наружный 273 мм</t>
  </si>
  <si>
    <t>ТЕРм12-02-119-10</t>
  </si>
  <si>
    <t>Трубопровод из труб легированных сталей на условное давление не более 4 МПа из труб и готовых деталей, диаметр трубопровода наружный 325 мм</t>
  </si>
  <si>
    <t>ТЕРм12-02-119-11</t>
  </si>
  <si>
    <t>Трубопровод из труб легированных сталей на условное давление не более 4 МПа из труб и готовых деталей, диаметр трубопровода наружный 377 мм</t>
  </si>
  <si>
    <t>ТЕРм12-02-119-12</t>
  </si>
  <si>
    <t>Трубопровод из труб легированных сталей на условное давление не более 4 МПа из труб и готовых деталей, диаметр трубопровода наружный 426 мм</t>
  </si>
  <si>
    <t>ТЕРм12-02-119-13</t>
  </si>
  <si>
    <t>Трубопровод из труб легированных сталей на условное давление не более 4 МПа из труб и готовых деталей, диаметр трубопровода наружный 530 мм</t>
  </si>
  <si>
    <t xml:space="preserve">                                   Трубопроводы из труб легированных сталей на условное давление не более 10 МПа из труб и готовых деталей</t>
  </si>
  <si>
    <t>ТЕРм12-02-120-01</t>
  </si>
  <si>
    <t>Трубопровод из труб легированных сталей на условное давление не более 10 МПа из труб и готовых деталей, диаметр трубопровода наружный 45 мм</t>
  </si>
  <si>
    <t>ТЕРм12-02-120-02</t>
  </si>
  <si>
    <t>Трубопровод из труб легированных сталей на условное давление не более 10 МПа из труб и готовых деталей, диаметр трубопровода наружный 57 мм</t>
  </si>
  <si>
    <t>ТЕРм12-02-120-03</t>
  </si>
  <si>
    <t>Трубопровод из труб легированных сталей на условное давление не более 10 МПа из труб и готовых деталей, диаметр трубопровода наружный 76 мм</t>
  </si>
  <si>
    <t>ТЕРм12-02-120-04</t>
  </si>
  <si>
    <t>Трубопровод из труб легированных сталей на условное давление не более 10 МПа из труб и готовых деталей, диаметр трубопровода наружный 89 мм</t>
  </si>
  <si>
    <t>ТЕРм12-02-120-05</t>
  </si>
  <si>
    <t>Трубопровод из труб легированных сталей на условное давление не более 10 МПа из труб и готовых деталей, диаметр трубопровода наружный 108 мм</t>
  </si>
  <si>
    <t>ТЕРм12-02-120-06</t>
  </si>
  <si>
    <t>Трубопровод из труб легированных сталей на условное давление не более 10 МПа из труб и готовых деталей, диаметр трубопровода наружный 133 мм</t>
  </si>
  <si>
    <t>ТЕРм12-02-120-07</t>
  </si>
  <si>
    <t>Трубопровод из труб легированных сталей на условное давление не более 10 МПа из труб и готовых деталей, диаметр трубопровода наружный 159 мм</t>
  </si>
  <si>
    <t>ТЕРм12-02-120-08</t>
  </si>
  <si>
    <t>Трубопровод из труб легированных сталей на условное давление не более 10 МПа из труб и готовых деталей, диаметр трубопровода наружный 219 мм</t>
  </si>
  <si>
    <t>ТЕРм12-02-120-09</t>
  </si>
  <si>
    <t>Трубопровод из труб легированных сталей на условное давление не более 10 МПа из труб и готовых деталей, диаметр трубопровода наружный 273 мм</t>
  </si>
  <si>
    <t>ТЕРм12-02-120-10</t>
  </si>
  <si>
    <t>Трубопровод из труб легированных сталей на условное давление не более 10 МПа из труб и готовых деталей, диаметр трубопровода наружный 325 мм</t>
  </si>
  <si>
    <t>ТЕРм12-02-120-11</t>
  </si>
  <si>
    <t>Трубопровод из труб легированных сталей на условное давление не более 10 МПа из труб и готовых деталей, диаметр трубопровода наружный 377 мм</t>
  </si>
  <si>
    <t>ТЕРм12-02-120-12</t>
  </si>
  <si>
    <t>Трубопровод из труб легированных сталей на условное давление не более 10 МПа из труб и готовых деталей, диаметр трубопровода наружный 426 мм</t>
  </si>
  <si>
    <t>ТЕРм12-02-120-13</t>
  </si>
  <si>
    <t>Трубопровод из труб легированных сталей на условное давление не более 10 МПа из труб и готовых деталей, диаметр трубопровода наружный 530 мм</t>
  </si>
  <si>
    <t xml:space="preserve">                                   Трубопроводы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</t>
  </si>
  <si>
    <t>ТЕРм12-02-121-01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</si>
  <si>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45 мм</t>
  </si>
  <si>
    <t>ТЕРм12-02-121-02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</si>
  <si>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57 мм</t>
  </si>
  <si>
    <t>ТЕРм12-02-121-03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</si>
  <si>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76 мм</t>
  </si>
  <si>
    <t>ТЕРм12-02-121-04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</si>
  <si>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89 мм</t>
  </si>
  <si>
    <t>ТЕРм12-02-121-05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</si>
  <si>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108 мм</t>
  </si>
  <si>
    <t>ТЕРм12-02-121-06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</si>
  <si>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133 мм</t>
  </si>
  <si>
    <t>ТЕРм12-02-121-07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</si>
  <si>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159 мм</t>
  </si>
  <si>
    <t>ТЕРм12-02-121-08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</si>
  <si>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219 мм</t>
  </si>
  <si>
    <t>ТЕРм12-02-121-09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</si>
  <si>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273 мм</t>
  </si>
  <si>
    <t>ТЕРм12-02-121-10</t>
  </si>
  <si>
    <t>Трубопровод из труб высоколегированных сталей на условное давление не более 2,5 МПа из готовых узлов и секций на эстакадах, кронштейнах и других специальных конструкциях, диаметр трубопровода наружный 325 мм</t>
  </si>
  <si>
    <t xml:space="preserve">                                   Трубопроводы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</t>
  </si>
  <si>
    <t>ТЕРм12-02-122-01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</si>
  <si>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45 мм</t>
  </si>
  <si>
    <t>ТЕРм12-02-122-02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</si>
  <si>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57 мм</t>
  </si>
  <si>
    <t>ТЕРм12-02-122-03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</si>
  <si>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76 мм</t>
  </si>
  <si>
    <t>ТЕРм12-02-122-04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</si>
  <si>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89 мм</t>
  </si>
  <si>
    <t>ТЕРм12-02-122-05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</si>
  <si>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108 мм</t>
  </si>
  <si>
    <t>ТЕРм12-02-122-06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</si>
  <si>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133 мм</t>
  </si>
  <si>
    <t>ТЕРм12-02-122-07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</si>
  <si>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159 мм</t>
  </si>
  <si>
    <t>ТЕРм12-02-122-08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</si>
  <si>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219 мм</t>
  </si>
  <si>
    <t>ТЕРм12-02-122-09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</si>
  <si>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273 мм</t>
  </si>
  <si>
    <t>ТЕРм12-02-122-10</t>
  </si>
  <si>
    <t>Трубопровод из труб высоколегированных сталей на условное давление не более 4 МПа из готовых узлов и секций на эстакадах, кронштейнах и других специальных конструкциях, диаметр трубопровода наружный 325 мм</t>
  </si>
  <si>
    <t xml:space="preserve">                                   Трубопроводы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</t>
  </si>
  <si>
    <t>ТЕРм12-02-123-01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</si>
  <si>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45 мм</t>
  </si>
  <si>
    <t>ТЕРм12-02-123-02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</si>
  <si>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57 мм</t>
  </si>
  <si>
    <t>ТЕРм12-02-123-03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</si>
  <si>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76 мм</t>
  </si>
  <si>
    <t>ТЕРм12-02-123-04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</si>
  <si>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89 мм</t>
  </si>
  <si>
    <t>ТЕРм12-02-123-05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</si>
  <si>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108 мм</t>
  </si>
  <si>
    <t>ТЕРм12-02-123-06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</si>
  <si>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133 мм</t>
  </si>
  <si>
    <t>ТЕРм12-02-123-07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</si>
  <si>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159 мм</t>
  </si>
  <si>
    <t>ТЕРм12-02-123-08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</si>
  <si>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219 мм</t>
  </si>
  <si>
    <t>ТЕРм12-02-123-09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</si>
  <si>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273 мм</t>
  </si>
  <si>
    <t>ТЕРм12-02-123-10</t>
  </si>
  <si>
    <t>Трубопровод из труб высоколегированных сталей на условное давление не более 10 МПа из готовых узлов и секций на эстакадах, кронштейнах и других специальных конструкциях, диаметр трубопровода наружный 325 мм</t>
  </si>
  <si>
    <t xml:space="preserve">                                   Трубопроводы из труб высоколегированных сталей на условное давление не более 10 МПа из труб и готовых деталей наружным диаметром 14-38 мм на эстакадах, кронштейнах и других специальных конструкциях</t>
  </si>
  <si>
    <t>ТЕРм12-02-124-01</t>
  </si>
  <si>
    <t>Трубопровод из труб высоколегированных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14 мм</t>
  </si>
  <si>
    <t>ТЕРм12-02-124-02</t>
  </si>
  <si>
    <t>Трубопровод из труб высоколегированных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25 мм</t>
  </si>
  <si>
    <t>ТЕРм12-02-124-03</t>
  </si>
  <si>
    <t>Трубопровод из труб высоколегированных сталей на условное давление не более 10 МПа из труб и готовых деталей на эстакадах, кронштейнах и других специальных конструкциях, диаметр трубопровода наружный 38 мм</t>
  </si>
  <si>
    <t xml:space="preserve">                                   Трубопроводы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</t>
  </si>
  <si>
    <t>ТЕРм12-02-125-01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</si>
  <si>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45 мм</t>
  </si>
  <si>
    <t>ТЕРм12-02-125-02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</si>
  <si>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57 мм</t>
  </si>
  <si>
    <t>ТЕРм12-02-125-03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</si>
  <si>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76 мм</t>
  </si>
  <si>
    <t>ТЕРм12-02-125-04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</si>
  <si>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89 мм</t>
  </si>
  <si>
    <t>ТЕРм12-02-125-05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</si>
  <si>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108 мм</t>
  </si>
  <si>
    <t>ТЕРм12-02-125-06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</si>
  <si>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133 мм</t>
  </si>
  <si>
    <t>ТЕРм12-02-125-07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</si>
  <si>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159 мм</t>
  </si>
  <si>
    <t>ТЕРм12-02-125-08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</si>
  <si>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219 мм</t>
  </si>
  <si>
    <t>ТЕРм12-02-125-09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</si>
  <si>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273 мм</t>
  </si>
  <si>
    <t>ТЕРм12-02-125-10</t>
  </si>
  <si>
    <t>Трубопровод из труб высоколегированных сталей на условное давление не более 2,5 МПа из труб и готовых деталей на эстакадах, кронштейнах и других специальных конструкциях, диаметр трубопровода наружный 325 мм</t>
  </si>
  <si>
    <t xml:space="preserve">                                   Трубопроводы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</t>
  </si>
  <si>
    <t>ТЕРм12-02-126-01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</si>
  <si>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45 мм</t>
  </si>
  <si>
    <t>ТЕРм12-02-126-02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</si>
  <si>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57 мм</t>
  </si>
  <si>
    <t>ТЕРм12-02-126-03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</si>
  <si>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76 мм</t>
  </si>
  <si>
    <t>ТЕРм12-02-126-04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</si>
  <si>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89 мм</t>
  </si>
  <si>
    <t>ТЕРм12-02-126-05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</si>
  <si>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108 мм</t>
  </si>
  <si>
    <t>ТЕРм12-02-126-06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</si>
  <si>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133 мм</t>
  </si>
  <si>
    <t>ТЕРм12-02-126-07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</si>
  <si>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159 мм</t>
  </si>
  <si>
    <t>ТЕРм12-02-126-08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</si>
  <si>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219 мм</t>
  </si>
  <si>
    <t>ТЕРм12-02-126-09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</si>
  <si>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273 мм</t>
  </si>
  <si>
    <t>ТЕРм12-02-126-10</t>
  </si>
  <si>
    <t>Трубопровод из труб высоколегированных сталей на условное давление не более 4 МПа из труб и готовых деталей на эстакадах, кронштейнах и других специальных конструкциях, диаметр трубопровода наружный 325 мм</t>
  </si>
  <si>
    <t xml:space="preserve">                                   Трубопроводы из труб высоколегированных сталей на условное давление не более 10 МПа из труб и готовых деталей</t>
  </si>
  <si>
    <t>ТЕРм12-02-127-01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</si>
  <si>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45 мм</t>
  </si>
  <si>
    <t>ТЕРм12-02-127-02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</si>
  <si>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57 мм</t>
  </si>
  <si>
    <t>ТЕРм12-02-127-03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</si>
  <si>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76 мм</t>
  </si>
  <si>
    <t>ТЕРм12-02-127-04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</si>
  <si>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89 мм</t>
  </si>
  <si>
    <t>ТЕРм12-02-127-05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</si>
  <si>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108 мм</t>
  </si>
  <si>
    <t>ТЕРм12-02-127-06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</si>
  <si>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133 мм</t>
  </si>
  <si>
    <t>ТЕРм12-02-127-07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</si>
  <si>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159 мм</t>
  </si>
  <si>
    <t>ТЕРм12-02-127-08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</si>
  <si>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219 мм</t>
  </si>
  <si>
    <t>ТЕРм12-02-127-09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</si>
  <si>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273 мм</t>
  </si>
  <si>
    <t>ТЕРм12-02-127-10</t>
  </si>
  <si>
    <t>Трубопроводы из труб высоколегированных сталей на условное давление не более 10 МПа из труб и готовых деталей, диаметр трубопровода наружный 325 мм</t>
  </si>
  <si>
    <t xml:space="preserve">                           Раздел 3. ОТДЕЛ 03. ТРУБОПРОВОДЫ ВНУТРИСТАНЦИОННЫЕ ТЕПЛОВЫХ ЭЛЕКТРОСТАНЦИЙ</t>
  </si>
  <si>
    <t xml:space="preserve">                                   Раздел 1. ТРУБОПРОВОДЫ ИЗ ДЕТАЛЕЙ</t>
  </si>
  <si>
    <t xml:space="preserve">                                   Трубопроводы из углеродистой стали для воды, пара и мазута на условное давление до 4 МПа</t>
  </si>
  <si>
    <t>ТЕРм12-03-001-01</t>
  </si>
  <si>
    <t>Трубопровод из углеродистой стали для воды, пара и мазута на условное давление до 4 МПа, диаметр наружный 14-18 мм, толщина стенки 2 мм</t>
  </si>
  <si>
    <t>ТЕРм12-03-001-02</t>
  </si>
  <si>
    <t>Трубопровод из углеродистой стали для воды, пара и мазута на условное давление до 4 МПа, диаметр наружный 25-32 мм, толщина стенки 2 мм</t>
  </si>
  <si>
    <t>ТЕРм12-03-001-03</t>
  </si>
  <si>
    <t>Трубопровод из углеродистой стали для воды, пара и мазута на условное давление до 4 МПа, диаметр наружный 38-45 мм, толщина стенки 2,5 мм</t>
  </si>
  <si>
    <t>ТЕРм12-03-001-04</t>
  </si>
  <si>
    <t>Трубопровод из углеродистой стали для воды, пара и мазута на условное давление до 4 МПа, диаметр наружный 57 мм, толщина стенки 3 мм</t>
  </si>
  <si>
    <t>ТЕРм12-03-001-05</t>
  </si>
  <si>
    <t>Трубопровод из углеродистой стали для воды, пара и мазута на условное давление до 4 МПа, диаметр наружный 76 мм, толщина стенки 3 мм</t>
  </si>
  <si>
    <t xml:space="preserve">                                   Трубопроводы из углеродистой стали для воды и пара на условное давление до 6,3 МПа</t>
  </si>
  <si>
    <t>ТЕРм12-03-002-01</t>
  </si>
  <si>
    <t>Трубопровод из углеродистой стали для воды и пара на условное давление до 6,3 МПа, диаметр наружный 16 мм, толщина стенки 2 мм</t>
  </si>
  <si>
    <t>ТЕРм12-03-002-02</t>
  </si>
  <si>
    <t>Трубопровод из углеродистой стали для воды и пара на условное давление до 6,3 МПа, диаметр наружный 28 мм, толщина стенки 3 мм</t>
  </si>
  <si>
    <t>ТЕРм12-03-002-03</t>
  </si>
  <si>
    <t>Трубопровод из углеродистой стали для воды и пара на условное давление до 6,3 МПа, диаметр наружный 38 мм, толщина стенки 3 мм</t>
  </si>
  <si>
    <t>ТЕРм12-03-002-04</t>
  </si>
  <si>
    <t>Трубопровод из углеродистой стали для воды и пара на условное давление до 6,3 МПа, диаметр наружный 57 мм, толщина стенки 3,5 мм</t>
  </si>
  <si>
    <t>ТЕРм12-03-002-05</t>
  </si>
  <si>
    <t>Трубопровод из углеродистой стали для воды и пара на условное давление до 6,3 МПа, диаметр наружный 76 мм, толщина стенки 3,5 мм</t>
  </si>
  <si>
    <t xml:space="preserve">                                   Трубопроводы из углеродистой стали для воды на условное давление 20 и 25 МПа</t>
  </si>
  <si>
    <t>ТЕРм12-03-003-01</t>
  </si>
  <si>
    <t>Трубопровод из углеродистой стали для воды на условное давление 20 и 25 МПа, диаметр наружный 16 мм, толщина стенки 2 мм</t>
  </si>
  <si>
    <t>ТЕРм12-03-003-02</t>
  </si>
  <si>
    <t>Трубопровод из углеродистой стали для воды на условное давление 20 и 25 МПа, диаметр наружный 28 мм, толщина стенки 3 мм</t>
  </si>
  <si>
    <t xml:space="preserve">                                   Трубопроводы из легированной стали 12Х1МФ для пара на условное давление 10 МПа</t>
  </si>
  <si>
    <t>ТЕРм12-03-004-01</t>
  </si>
  <si>
    <t>Трубопровод из легированной стали 12Х1МФ для пара на условное давление 10 МПа, диаметр наружный 16 мм, толщина стенки 2,5 мм</t>
  </si>
  <si>
    <t>ТЕРм12-03-004-02</t>
  </si>
  <si>
    <t>Трубопровод из легированной стали 12Х1МФ для пара на условное давление 10 МПа, диаметр наружный 28 мм, толщина стенки 3 мм</t>
  </si>
  <si>
    <t>ТЕРм12-03-004-03</t>
  </si>
  <si>
    <t>Трубопровод из легированной стали 12Х1МФ для пара на условное давление 10 МПа, диаметр наружный 57 мм, толщина стенки 3,5 мм</t>
  </si>
  <si>
    <t xml:space="preserve">                                   Трубопроводы из легированной стали 12Х1МФ для пара на условное давление 20 МПа</t>
  </si>
  <si>
    <t>ТЕРм12-03-005-01</t>
  </si>
  <si>
    <t>Трубопровод из легированной стали 12Х1МФ для пара на условное давление 20 МПа, диаметр наружный 16 мм, толщина стенки 2,5 мм</t>
  </si>
  <si>
    <t>ТЕРм12-03-005-02</t>
  </si>
  <si>
    <t>Трубопровод из легированной стали 12Х1МФ для пара на условное давление 20 МПа, диаметр наружный 28 мм, толщина стенки 3 мм</t>
  </si>
  <si>
    <t>ТЕРм12-03-005-03</t>
  </si>
  <si>
    <t>Трубопровод из легированной стали 12Х1МФ для пара на условное давление 20 МПа, диаметр наружный 76 мм, толщина стенки 7 мм</t>
  </si>
  <si>
    <t xml:space="preserve">                                   Трубопроводы из легированной стали 12Х1МФ для пара на условное давление 40 МПа</t>
  </si>
  <si>
    <t>ТЕРм12-03-006-01</t>
  </si>
  <si>
    <t>Трубопровод из легированной стали 12Х1МФ для пара на условное давление 40 МПа, диаметр наружный 16 мм, толщина стенки 2,5 мм</t>
  </si>
  <si>
    <t>ТЕРм12-03-006-02</t>
  </si>
  <si>
    <t>Трубопровод из легированной стали 12Х1МФ для пара на условное давление 40 МПа, диаметр наружный 28 мм, толщина стенки 3 мм</t>
  </si>
  <si>
    <t>ТЕРм12-03-006-03</t>
  </si>
  <si>
    <t>Трубопровод из легированной стали 12Х1МФ для пара на условное давление 40 МПа, диаметр наружный 28 мм, толщина стенки 4,5 мм</t>
  </si>
  <si>
    <t>ТЕРм12-03-006-04</t>
  </si>
  <si>
    <t>Трубопровод из легированной стали 12Х1МФ для пара на условное давление 40 МПа, диаметр наружный 76 мм, толщина стенки 9 мм</t>
  </si>
  <si>
    <t>ТЕРм12-03-006-05</t>
  </si>
  <si>
    <t>Трубопровод из легированной стали 12Х1МФ для пара на условное давление 40 МПа, диаметр наружный 76 мм, толщина стенки 13 мм</t>
  </si>
  <si>
    <t xml:space="preserve">                                   Трубопроводы из легированной стали 12Х1МФ для пара на условное давление 80 МПа</t>
  </si>
  <si>
    <t>ТЕРм12-03-007-01</t>
  </si>
  <si>
    <t>Трубопровод из легированной стали 12Х1МФ для пара на условное давление 80 МПа, диаметр наружный 16 мм, толщина стенки 3,5мм</t>
  </si>
  <si>
    <t>ТЕРм12-03-007-02</t>
  </si>
  <si>
    <t>Трубопровод из легированной стали 12Х1МФ для пара на условное давление 80 МПа, диаметр наружный 28 мм, толщина стенки 6 мм</t>
  </si>
  <si>
    <t>ТЕРм12-03-007-03</t>
  </si>
  <si>
    <t>Трубопровод из легированной стали 12Х1МФ для пара на условное давление 80 МПа, диаметр наружный 57 мм, толщина стенки 13 мм</t>
  </si>
  <si>
    <t xml:space="preserve">                                   Трубопроводы из низколегированной стали 15ГС для воды на условное давление 25 и 50 МПа</t>
  </si>
  <si>
    <t>ТЕРм12-03-008-01</t>
  </si>
  <si>
    <t>Трубопровод из низколегированной стали 15ГС для воды на условное давление 25 и 50 МПа, диаметр наружный 16 мм, толщина стенки 2,5мм</t>
  </si>
  <si>
    <t>ТЕРм12-03-008-02</t>
  </si>
  <si>
    <t>Трубопровод из низколегированной стали 15ГС для воды на условное давление 25 и 50 МПа, диаметр наружный 28 мм, толщина стенки 4 мм</t>
  </si>
  <si>
    <t>ТЕРм12-03-008-03</t>
  </si>
  <si>
    <t>Трубопровод из низколегированной стали 15ГС для воды на условное давление 25 и 50 МПа, диаметр наружный 57 мм, толщина стенки 9 мм</t>
  </si>
  <si>
    <t>ТЕРм12-03-008-04</t>
  </si>
  <si>
    <t>Трубопровод из низколегированной стали 15ГС для воды на условное давление 25 и 50 МПа, диаметр наружный 76 мм, толщина стенки 9 мм</t>
  </si>
  <si>
    <t xml:space="preserve">                                   Трубопроводы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</t>
  </si>
  <si>
    <t>ТЕРм12-03-009-01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</si>
  <si>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14 мм, толщина стенки 2 мм</t>
  </si>
  <si>
    <t>ТЕРм12-03-009-02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</si>
  <si>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18 мм, толщина стенки 2 мм</t>
  </si>
  <si>
    <t>ТЕРм12-03-009-03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</si>
  <si>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25 мм, толщина стенки 2 мм</t>
  </si>
  <si>
    <t>ТЕРм12-03-009-04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</si>
  <si>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32-38 мм, толщина стенки 2 мм</t>
  </si>
  <si>
    <t>ТЕРм12-03-009-05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</si>
  <si>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57 мм, толщина стенки 3 мм</t>
  </si>
  <si>
    <t>ТЕРм12-03-009-06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</si>
  <si>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89 мм, толщина стенки 3,5 мм</t>
  </si>
  <si>
    <t>ТЕРм12-03-009-07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</si>
  <si>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108 мм, толщина стенки 3,5 мм</t>
  </si>
  <si>
    <t>ТЕРм12-03-009-08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</si>
  <si>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133 мм, толщина стенки 4 мм</t>
  </si>
  <si>
    <t>ТЕРм12-03-009-09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</si>
  <si>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159 мм, толщина стенки 4,5 мм</t>
  </si>
  <si>
    <t>ТЕРм12-03-009-10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</si>
  <si>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219 мм, толщина стенки 6 мм</t>
  </si>
  <si>
    <t>ТЕРм12-03-009-11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</si>
  <si>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219 мм, толщина стенки 7 мм</t>
  </si>
  <si>
    <t>ТЕРм12-03-009-12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</si>
  <si>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273 мм, толщина стенки 6 мм</t>
  </si>
  <si>
    <t>ТЕРм12-03-009-13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</si>
  <si>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273 мм, толщина стенки 8 мм</t>
  </si>
  <si>
    <t>ТЕРм12-03-009-14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</si>
  <si>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325 мм, толщина стенки 6 мм</t>
  </si>
  <si>
    <t>ТЕРм12-03-009-15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</si>
  <si>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внутри здания, диаметр наружный 377 мм, толщина стенки 9 мм</t>
  </si>
  <si>
    <t xml:space="preserve">                                   Трубопроводы водоподготовительных установок и химводоочисток из высоколегированной стали с фланцами и сварными соединениями на условное давление не более 2,5 МПа, внутри здания</t>
  </si>
  <si>
    <t>ТЕРм12-03-010-01</t>
  </si>
  <si>
    <t>Трубопровод водоподготовительных установок и химводоочисток из высоколегированной стали с фланцами и сварными соединениями на условное давление не более 2,5 МПа, внутри здания, диаметр наружный 12 мм, толщина стенки 1,4мм</t>
  </si>
  <si>
    <t>ТЕРм12-03-010-02</t>
  </si>
  <si>
    <t>Трубопровод водоподготовительных установок и химводоочисток из высоколегированной стали с фланцами и сварными соединениями на условное давление не более 2,5 МПа, внутри здания, диаметр наружный 14 мм, толщина стенки 2 мм</t>
  </si>
  <si>
    <t>ТЕРм12-03-010-03</t>
  </si>
  <si>
    <t>Трубопровод водоподготовительных установок и химводоочисток из высоколегированной стали с фланцами и сварными соединениями на условное давление не более 2,5 МПа, внутри здания, диаметр наружный 18 мм, толщина стенки 2 мм</t>
  </si>
  <si>
    <t>ТЕРм12-03-010-04</t>
  </si>
  <si>
    <t>Трубопровод водоподготовительных установок и химводоочисток из высоколегированной стали с фланцами и сварными соединениями на условное давление не более 2,5 МПа, внутри здания, диаметр наружный 56 мм, толщина стенки 2 мм</t>
  </si>
  <si>
    <t xml:space="preserve">                                   Трубопроводы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</t>
  </si>
  <si>
    <t>ТЕРм12-03-011-01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</si>
  <si>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25 мм, толщина стенки 2 мм</t>
  </si>
  <si>
    <t>ТЕРм12-03-011-02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</si>
  <si>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32 мм, толщина стенки 2 мм</t>
  </si>
  <si>
    <t>ТЕРм12-03-011-03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</si>
  <si>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45 мм, толщина стенки 2,5 мм</t>
  </si>
  <si>
    <t>ТЕРм12-03-011-04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</si>
  <si>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57 мм, толщина стенки 3 мм</t>
  </si>
  <si>
    <t>ТЕРм12-03-011-05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</si>
  <si>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89 мм, толщина стенки 3,5 мм</t>
  </si>
  <si>
    <t>ТЕРм12-03-011-06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</si>
  <si>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108 мм, толщина стенки 4 мм</t>
  </si>
  <si>
    <t>ТЕРм12-03-011-07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</si>
  <si>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159 мм, толщина стенки 5 мм</t>
  </si>
  <si>
    <t>ТЕРм12-03-011-08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</si>
  <si>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219 мм, толщина стенки 7 мм</t>
  </si>
  <si>
    <t>ТЕРм12-03-011-09</t>
  </si>
  <si>
    <t>Трубопровод водоподготовительных установок и химводоочисток из углеродистой стали с фланцами и сварными соединениями на условное давление не более 2,5 МПа, на эстакадах, диаметр наружный 273 мм, толщина стенки 8 мм</t>
  </si>
  <si>
    <t xml:space="preserve">                                   Раздел 2. ТРУБОПРОВОДЫ ИЗ УЗЛОВ И БЛОКОВ СВАРНЫХ</t>
  </si>
  <si>
    <t>ТЕРм12-03-030-01</t>
  </si>
  <si>
    <t>Трубопровод из углеродистой стали для воды, пара и мазута на условное давление до 4 МПа, диаметр наружный 89 мм, толщина стенки 3,5 мм</t>
  </si>
  <si>
    <t>ТЕРм12-03-030-02</t>
  </si>
  <si>
    <t>Трубопровод из углеродистой стали для воды, пара и мазута на условное давление до 4 МПа, диаметр наружный 108 мм, толщина стенки 4 мм</t>
  </si>
  <si>
    <t>ТЕРм12-03-030-03</t>
  </si>
  <si>
    <t>Трубопровод из углеродистой стали для воды, пара и мазута на условное давление до 4 МПа, диаметр наружный 133 мм, толщина стенки 4 мм</t>
  </si>
  <si>
    <t>ТЕРм12-03-030-04</t>
  </si>
  <si>
    <t>Трубопровод из углеродистой стали для воды, пара и мазута на условное давление до 4 МПа, диаметр наружный 159 мм, толщина стенки 5 мм</t>
  </si>
  <si>
    <t>ТЕРм12-03-030-05</t>
  </si>
  <si>
    <t>Трубопровод из углеродистой стали для воды, пара и мазута на условное давление до 4 МПа, диаметр наружный 219 мм, толщина стенки 6 мм</t>
  </si>
  <si>
    <t>ТЕРм12-03-030-06</t>
  </si>
  <si>
    <t>Трубопровод из углеродистой стали для воды, пара и мазута на условное давление до 4 МПа, диаметр наружный 219 мм, толщина стенки 7 мм</t>
  </si>
  <si>
    <t>ТЕРм12-03-030-07</t>
  </si>
  <si>
    <t>Трубопровод из углеродистой стали для воды, пара и мазута на условное давление до 4 МПа, диаметр наружный 273 мм, толщина стенки 6 мм</t>
  </si>
  <si>
    <t>ТЕРм12-03-030-08</t>
  </si>
  <si>
    <t>Трубопровод из углеродистой стали для воды, пара и мазута на условное давление до 4 МПа, диаметр наружный 273 мм, толщина стенки 8мм</t>
  </si>
  <si>
    <t>ТЕРм12-03-030-09</t>
  </si>
  <si>
    <t>Трубопровод из углеродистой стали для воды, пара и мазута на условное давление до 4 МПа, диаметр наружный 325 мм, толщина стенки 6 мм</t>
  </si>
  <si>
    <t>ТЕРм12-03-030-10</t>
  </si>
  <si>
    <t>Трубопровод из углеродистой стали для воды, пара и мазута на условное давление до 4 МПа, диаметр наружный 325-377 мм, толщина стенки 10 мм</t>
  </si>
  <si>
    <t>ТЕРм12-03-030-11</t>
  </si>
  <si>
    <t>Трубопровод из углеродистой стали для воды, пара и мазута на условное давление до 4 МПа, диаметр наружный 426 мм, толщина стенки 8 мм</t>
  </si>
  <si>
    <t>ТЕРм12-03-030-12</t>
  </si>
  <si>
    <t>Трубопровод из углеродистой стали для воды, пара и мазута на условное давление до 4 МПа, диаметр наружный 426 мм, толщина стенки 9 мм</t>
  </si>
  <si>
    <t>ТЕРм12-03-030-13</t>
  </si>
  <si>
    <t>Трубопровод из углеродистой стали для воды, пара и мазута на условное давление до 4 МПа, диаметр наружный 630 мм, толщина стенки 8 мм</t>
  </si>
  <si>
    <t>ТЕРм12-03-030-14</t>
  </si>
  <si>
    <t>Трубопровод из углеродистой стали для воды, пара и мазута на условное давление до 4 МПа, диаметр наружный 630 мм, толщина стенки 15 мм</t>
  </si>
  <si>
    <t>ТЕРм12-03-030-15</t>
  </si>
  <si>
    <t>Трубопровод из углеродистой стали для воды, пара и мазута на условное давление до 4 МПа, диаметр наружный 1420 мм, толщина стенки 14 мм</t>
  </si>
  <si>
    <t>ТЕРм12-03-030-16</t>
  </si>
  <si>
    <t>Трубопровод из углеродистой стали для воды, пара и мазута на условное давление до 4 МПа, диаметр наружный 1620 мм, толщина стенки 14 мм</t>
  </si>
  <si>
    <t xml:space="preserve">                                   Трубопроводы из углеродистой стали для воды и пара на условное давление 6,3 МПа</t>
  </si>
  <si>
    <t>ТЕРм12-03-031-01</t>
  </si>
  <si>
    <t>Трубопровод из углеродистой стали для воды и пара на условное давление 6,3 МПа, диаметр наружный 89 мм, толщина стенки 4 мм</t>
  </si>
  <si>
    <t>ТЕРм12-03-031-02</t>
  </si>
  <si>
    <t>Трубопровод из углеродистой стали для воды и пара на условное давление 6,3 МПа, диаметр наружный 89 мм, толщина стенки 6 мм</t>
  </si>
  <si>
    <t>ТЕРм12-03-031-03</t>
  </si>
  <si>
    <t>Трубопровод из углеродистой стали для воды и пара на условное давление 6,3 МПа, диаметр наружный 108 мм, толщина стенки 8 мм</t>
  </si>
  <si>
    <t>ТЕРм12-03-031-04</t>
  </si>
  <si>
    <t>Трубопровод из углеродистой стали для воды и пара на условное давление 6,3 МПа, диаметр наружный 133 мм, толщина стенки 5 мм</t>
  </si>
  <si>
    <t>ТЕРм12-03-031-05</t>
  </si>
  <si>
    <t>Трубопровод из углеродистой стали для воды и пара на условное давление 6,3 МПа, диаметр наружный 159 мм, толщина стенки 9 мм</t>
  </si>
  <si>
    <t>ТЕРм12-03-031-06</t>
  </si>
  <si>
    <t>Трубопровод из углеродистой стали для воды и пара на условное давление 6,3 МПа, диаметр наружный 219 мм, толщина стенки 9 мм</t>
  </si>
  <si>
    <t>ТЕРм12-03-031-07</t>
  </si>
  <si>
    <t>Трубопровод из углеродистой стали для воды и пара на условное давление 6,3 МПа, диаметр наружный 219 мм, толщина стенки 13 мм</t>
  </si>
  <si>
    <t>ТЕРм12-03-031-08</t>
  </si>
  <si>
    <t>Трубопровод из углеродистой стали для воды и пара на условное давление 6,3 МПа, диаметр наружный 273 мм, толщина стенки 10 мм</t>
  </si>
  <si>
    <t>ТЕРм12-03-031-09</t>
  </si>
  <si>
    <t>Трубопровод из углеродистой стали для воды и пара на условное давление 6,3 МПа, диаметр наружный 273 мм, толщина стенки 16 мм</t>
  </si>
  <si>
    <t>ТЕРм12-03-031-10</t>
  </si>
  <si>
    <t>Трубопровод из углеродистой стали для воды и пара на условное давление 6,3 МПа, диаметр наружный 325-377 мм, толщина стенки 13 мм</t>
  </si>
  <si>
    <t>ТЕРм12-03-031-11</t>
  </si>
  <si>
    <t>Трубопровод из углеродистой стали для воды и пара на условное давление 6,3 МПа, диаметр наружный 325 мм, толщина стенки 19 мм</t>
  </si>
  <si>
    <t>ТЕРм12-03-031-12</t>
  </si>
  <si>
    <t>Трубопровод из углеродистой стали для воды и пара на условное давление 6,3 МПа, диаметр наружный 426 мм, толщина стенки 14 мм</t>
  </si>
  <si>
    <t>ТЕРм12-03-031-13</t>
  </si>
  <si>
    <t>Трубопровод из углеродистой стали для воды и пара на условное давление 6,3 МПа, диаметр наружный 465 мм, толщина стенки 16 мм</t>
  </si>
  <si>
    <t>ТЕРм12-03-032-01</t>
  </si>
  <si>
    <t>Трубопровод из легированной стали 12Х1МФ для пара на условное давление 10 МПа, диаметр наружный 108 мм, толщина стенки 6 мм</t>
  </si>
  <si>
    <t>ТЕРм12-03-032-02</t>
  </si>
  <si>
    <t>Трубопровод из легированной стали 12Х1МФ для пара на условное давление 10 МПа, диаметр наружный 159 мм, толщина стенки 8 мм</t>
  </si>
  <si>
    <t>ТЕРм12-03-032-03</t>
  </si>
  <si>
    <t>Трубопровод из легированной стали 12Х1МФ для пара на условное давление 10 МПа, диаметр наружный 273 мм, толщина стенки 13 мм</t>
  </si>
  <si>
    <t>ТЕРм12-03-032-04</t>
  </si>
  <si>
    <t>Трубопровод из легированной стали 12Х1МФ для пара на условное давление 10 МПа, диаметр наружный 377 мм, толщина стенки 17 мм</t>
  </si>
  <si>
    <t>ТЕРм12-03-032-05</t>
  </si>
  <si>
    <t>Трубопровод из легированной стали 12Х1МФ для пара на условное давление 10 МПа, диаметр наружный 426 мм, толщина стенки 19 мм</t>
  </si>
  <si>
    <t>ТЕРм12-03-032-06</t>
  </si>
  <si>
    <t>Трубопровод из легированной стали 12Х1МФ для пара на условное давление 10 МПа, диаметр наружный 465 мм, толщина стенки 22 мм</t>
  </si>
  <si>
    <t>ТЕРм12-03-032-07</t>
  </si>
  <si>
    <t>Трубопровод из легированной стали 12Х1МФ для пара на условное давление 10 МПа, диаметр наружный 530 мм, толщина стенки 25 мм</t>
  </si>
  <si>
    <t>ТЕРм12-03-032-08</t>
  </si>
  <si>
    <t>Трубопровод из легированной стали 12Х1МФ для пара на условное давление 10 МПа, диаметр наружный 630 мм, толщина стенки 28 мм</t>
  </si>
  <si>
    <t>ТЕРм12-03-032-09</t>
  </si>
  <si>
    <t>Трубопровод из легированной стали 12Х1МФ для пара на условное давление 10 МПа, диаметр наружный 720 мм, толщина стенки 25 мм</t>
  </si>
  <si>
    <t>ТЕРм12-03-033-01</t>
  </si>
  <si>
    <t>Трубопровод из легированной стали 12Х1МФ для пара на условное давление 20 МПа, диаметр наружный 133 мм, толщина стенки 11 мм</t>
  </si>
  <si>
    <t>ТЕРм12-03-033-02</t>
  </si>
  <si>
    <t>Трубопровод из легированной стали 12Х1МФ для пара на условное давление 20 МПа, диаметр наружный 159 мм, толщина стенки 13 мм</t>
  </si>
  <si>
    <t>ТЕРм12-03-033-03</t>
  </si>
  <si>
    <t>Трубопровод из легированной стали 12Х1МФ для пара на условное давление 20 МПа, диаметр наружный 194 мм, толщина стенки 16 мм</t>
  </si>
  <si>
    <t>ТЕРм12-03-033-04</t>
  </si>
  <si>
    <t>Трубопровод из легированной стали 12Х1МФ для пара на условное давление 20 МПа, диаметр наружный 219 мм, толщина стенки 18 мм</t>
  </si>
  <si>
    <t>ТЕРм12-03-033-05</t>
  </si>
  <si>
    <t>Трубопровод из легированной стали 12Х1МФ для пара на условное давление 20 МПа, диаметр наружный 273 мм, толщина стенки 22 мм</t>
  </si>
  <si>
    <t>ТЕРм12-03-033-06</t>
  </si>
  <si>
    <t>Трубопровод из легированной стали 12Х1МФ для пара на условное давление 20 МПа, диаметр наружный 325 мм, толщина стенки 26 мм</t>
  </si>
  <si>
    <t xml:space="preserve">                                   Трубопроводы из легированной стали 12Х1МФ и 15Х1МФ для пара на условное давление 40 МПа</t>
  </si>
  <si>
    <t>ТЕРм12-03-034-01</t>
  </si>
  <si>
    <t>Трубопровод из легированной стали 12Х1МФ и 15Х1МФ для пара на условное давление 40 МПа, диаметр наружный 133 мм, толщина стенки 14 мм</t>
  </si>
  <si>
    <t>ТЕРм12-03-034-02</t>
  </si>
  <si>
    <t>Трубопровод из легированной стали 12Х1МФ и 15Х1МФ для пара на условное давление 40 МПа, диаметр наружный 133 мм, толщина стенки 20 мм</t>
  </si>
  <si>
    <t>ТЕРм12-03-034-03</t>
  </si>
  <si>
    <t>Трубопровод из легированной стали 12Х1МФ и 15Х1МФ для пара на условное давление 40 МПа, диаметр наружный 159 мм, толщина стенки 16 мм</t>
  </si>
  <si>
    <t>ТЕРм12-03-034-04</t>
  </si>
  <si>
    <t>Трубопровод из легированной стали 12Х1МФ и 15Х1МФ для пара на условное давление 40 МПа, диаметр наружный 194 мм, толщина стенки 20 мм</t>
  </si>
  <si>
    <t>ТЕРм12-03-034-05</t>
  </si>
  <si>
    <t>Трубопровод из легированной стали 12Х1МФ и 15Х1МФ для пара на условное давление 40 МПа, диаметр наружный 219 мм, толщина стенки 28 мм</t>
  </si>
  <si>
    <t>ТЕРм12-03-034-06</t>
  </si>
  <si>
    <t>Трубопровод из легированной стали 12Х1МФ и 15Х1МФ для пара на условное давление 40 МПа, диаметр наружный 219 мм, толщина стенки 32 мм</t>
  </si>
  <si>
    <t>ТЕРм12-03-034-07</t>
  </si>
  <si>
    <t>Трубопровод из легированной стали 12Х1МФ и 15Х1МФ для пара на условное давление 40 МПа, диаметр наружный 273 мм, толщина стенки 26 мм</t>
  </si>
  <si>
    <t>ТЕРм12-03-034-08</t>
  </si>
  <si>
    <t>Трубопровод из легированной стали 12Х1МФ и 15Х1МФ для пара на условное давление 40 МПа, диаметр наружный 273 мм, толщина стенки 36 мм</t>
  </si>
  <si>
    <t>ТЕРм12-03-034-09</t>
  </si>
  <si>
    <t>Трубопровод из легированной стали 12Х1МФ и 15Х1МФ для пара на условное давление 40 МПа, диаметр наружный 325 мм, толщина стенки 38 мм</t>
  </si>
  <si>
    <t>ТЕРм12-03-034-10</t>
  </si>
  <si>
    <t>Трубопровод из легированной стали 12Х1МФ и 15Х1МФ для пара на условное давление 40 МПа, диаметр наружный 377 мм, толщина стенки 50 мм</t>
  </si>
  <si>
    <t>ТЕРм12-03-034-11</t>
  </si>
  <si>
    <t>Трубопровод из легированной стали 12Х1МФ и 15Х1МФ для пара на условное давление 40 МПа, диаметр наружный 426 мм, толщина стенки 38 мм</t>
  </si>
  <si>
    <t xml:space="preserve">                                   Трубопроводы из легированной стали 12Х1МФ и 15Х1МФ для пара на условное давление 80 МПа</t>
  </si>
  <si>
    <t>ТЕРм12-03-035-01</t>
  </si>
  <si>
    <t>Трубопровод из легированной стали 12Х1МФ и 15Х1МФ для пара на условное давление 80 МПа, диаметр наружный 108 мм, толщина стенки 22 мм</t>
  </si>
  <si>
    <t>ТЕРм12-03-035-02</t>
  </si>
  <si>
    <t>Трубопровод из легированной стали 12Х1МФ и 15Х1МФ для пара на условное давление 80 МПа, диаметр наружный 159 мм, толщина стенки 32 мм</t>
  </si>
  <si>
    <t>ТЕРм12-03-035-03</t>
  </si>
  <si>
    <t>Трубопровод из легированной стали 12Х1МФ и 15Х1МФ для пара на условное давление 80 МПа, диаметр наружный 194 мм, толщина стенки 38 мм</t>
  </si>
  <si>
    <t>ТЕРм12-03-035-04</t>
  </si>
  <si>
    <t>Трубопровод из легированной стали 12Х1МФ и 15Х1МФ для пара на условное давление 80 МПа, диаметр наружный 245 мм, толщина стенки 48 мм</t>
  </si>
  <si>
    <t>ТЕРм12-03-035-05</t>
  </si>
  <si>
    <t>Трубопровод из легированной стали 12Х1МФ и 15Х1МФ для пара на условное давление 80 МПа, диаметр наружный 273 мм, толщина стенки 52 мм</t>
  </si>
  <si>
    <t>ТЕРм12-03-035-06</t>
  </si>
  <si>
    <t>Трубопровод из легированной стали 12Х1МФ и 15Х1МФ для пара на условное давление 80 МПа, диаметр наружный 325 мм, толщина стенки 60 мм</t>
  </si>
  <si>
    <t>ТЕРм12-03-035-07</t>
  </si>
  <si>
    <t>Трубопровод из легированной стали 12Х1МФ и 15Х1МФ для пара на условное давление 80 МПа, диаметр наружный 377 мм, толщина стенки 70 мм</t>
  </si>
  <si>
    <t>ТЕРм12-03-035-08</t>
  </si>
  <si>
    <t>Трубопровод из легированной стали 12Х1МФ и 15Х1МФ для пара на условное давление 80 МПа, диаметр наружный 426 мм, толщина стенки 80 мм</t>
  </si>
  <si>
    <t>ТЕРм12-03-035-09</t>
  </si>
  <si>
    <t>Трубопровод из легированной стали 12Х1МФ и 15Х1МФ для пара на условное давление 80 МПа, диаметр наружный 465 мм, толщина стенки 80 мм</t>
  </si>
  <si>
    <t xml:space="preserve">                                   Трубопроводы из низколегированной стали 17ГС для воды на условное давление 2,2 МПа</t>
  </si>
  <si>
    <t>ТЕРм12-03-036-01</t>
  </si>
  <si>
    <t>Трубопровод из низколегированной стали 17ГС для воды на условное давление 2,2 МПа, диаметр наружный 530 мм, толщина стенки 8 мм</t>
  </si>
  <si>
    <t>ТЕРм12-03-036-02</t>
  </si>
  <si>
    <t>Трубопровод из низколегированной стали 17ГС для воды на условное давление 2,2 МПа, диаметр наружный 530 мм, толщина стенки 11 мм</t>
  </si>
  <si>
    <t>ТЕРм12-03-036-03</t>
  </si>
  <si>
    <t>Трубопровод из низколегированной стали 17ГС для воды на условное давление 2,2 МПа, диаметр наружный 720 мм, толщина стенки 9 мм</t>
  </si>
  <si>
    <t>ТЕРм12-03-036-04</t>
  </si>
  <si>
    <t>Трубопровод из низколегированной стали 17ГС для воды на условное давление 2,2 МПа, диаметр наружный 720 мм, толщина стенки11 мм</t>
  </si>
  <si>
    <t>ТЕРм12-03-036-05</t>
  </si>
  <si>
    <t>Трубопровод из низколегированной стали 17ГС для воды на условное давление 2,2 МПа, диаметр наружный 820 мм, толщина стенки 9 мм</t>
  </si>
  <si>
    <t>ТЕРм12-03-036-06</t>
  </si>
  <si>
    <t>Трубопровод из низколегированной стали 17ГС для воды на условное давление 2,2 МПа, диаметр наружный 820 мм, толщина стенки 11 мм</t>
  </si>
  <si>
    <t>ТЕРм12-03-036-07</t>
  </si>
  <si>
    <t>Трубопровод из низколегированной стали 17ГС для воды на условное давление 2,2 МПа, диаметр наружный 1020 мм, толщина стенки10 мм</t>
  </si>
  <si>
    <t>ТЕРм12-03-036-08</t>
  </si>
  <si>
    <t>Трубопровод из низколегированной стали 17ГС для воды на условное давление 2,2 МПа, диаметр наружный 1020 мм, толщина стенки 14 мм</t>
  </si>
  <si>
    <t>ТЕРм12-03-036-09</t>
  </si>
  <si>
    <t>Трубопровод из низколегированной стали 17ГС для воды на условное давление 2,2 МПа, диаметр наружный 1220 мм, толщина стенки 14 мм</t>
  </si>
  <si>
    <t xml:space="preserve">                                   Трубопроводы из низколегированной стали 16ГС для воды на условное давление 6,3 МПа</t>
  </si>
  <si>
    <t>ТЕРм12-03-037-01</t>
  </si>
  <si>
    <t>Трубопровод из низколегированной стали 16ГС для воды на условное давление 6,3 МПа, диаметр наружный 630 мм, толщина стенки 17 мм</t>
  </si>
  <si>
    <t>ТЕРм12-03-037-02</t>
  </si>
  <si>
    <t>Трубопровод из низколегированной стали 16ГС для воды на условное давление 6,3 МПа, диаметр наружный 630 мм, толщина стенки 25 мм</t>
  </si>
  <si>
    <t>ТЕРм12-03-037-03</t>
  </si>
  <si>
    <t>Трубопровод из низколегированной стали 16ГС для воды на условное давление 6,3 МПа, диаметр наружный 720 мм, толщина стенки 22 мм</t>
  </si>
  <si>
    <t xml:space="preserve">                                   Трубопроводы из низколегированной стали 15ГС для воды на условное давление 20 МПа</t>
  </si>
  <si>
    <t>ТЕРм12-03-038-01</t>
  </si>
  <si>
    <t>Трубопровод из низколегированной стали 15ГС для воды на условное давление 20 МПа, диаметр наружный 133 мм, толщина стенки 13 мм</t>
  </si>
  <si>
    <t>ТЕРм12-03-038-02</t>
  </si>
  <si>
    <t>Трубопровод из низколегированной стали 15ГС для воды на условное давление 20 МПа, диаметр наружный 194 мм, толщина стенки 15 мм</t>
  </si>
  <si>
    <t>ТЕРм12-03-038-03</t>
  </si>
  <si>
    <t>Трубопровод из низколегированной стали 15ГС для воды на условное давление 20 МПа, диаметр наружный 219 мм, толщина стенки 16 мм</t>
  </si>
  <si>
    <t>ТЕРм12-03-038-04</t>
  </si>
  <si>
    <t>Трубопровод из низколегированной стали 15ГС для воды на условное давление 20 МПа, диаметр наружный 273 мм, толщина стенки 20 мм</t>
  </si>
  <si>
    <t>ТЕРм12-03-038-05</t>
  </si>
  <si>
    <t>Трубопровод из низколегированной стали 15ГС для воды на условное давление 20 МПа, диаметр наружный 325 мм, толщина стенки 22 мм</t>
  </si>
  <si>
    <t>ТЕРм12-03-038-06</t>
  </si>
  <si>
    <t>Трубопровод из низколегированной стали 15ГС для воды на условное давление 20 МПа, диаметр наружный 377 мм, толщина стенки 26 мм</t>
  </si>
  <si>
    <t xml:space="preserve">                                   Трубопроводы из низколегированной стали 15ГС для воды на условное давление 25 МПа</t>
  </si>
  <si>
    <t>ТЕРм12-03-039-01</t>
  </si>
  <si>
    <t>Трубопровод из низколегированной стали 15ГС для воды на условное давление 25 МПа, диаметр наружный 194 мм, толщина стенки 17 мм</t>
  </si>
  <si>
    <t>ТЕРм12-03-039-02</t>
  </si>
  <si>
    <t>Трубопровод из низколегированной стали 15ГС для воды на условное давление 25 МПа, диаметр наружный 219 мм, толщина стенки 19 мм</t>
  </si>
  <si>
    <t>ТЕРм12-03-039-03</t>
  </si>
  <si>
    <t>Трубопровод из низколегированной стали 15ГС для воды на условное давление 25 МПа, диаметр наружный 273 мм, толщина стенки 24 мм</t>
  </si>
  <si>
    <t>ТЕРм12-03-039-04</t>
  </si>
  <si>
    <t>Трубопровод из низколегированной стали 15ГС для воды на условное давление 25 МПа, диаметр наружный 325 мм, толщина стенки 28 мм</t>
  </si>
  <si>
    <t>ТЕРм12-03-039-05</t>
  </si>
  <si>
    <t>Трубопровод из низколегированной стали 15ГС для воды на условное давление 25 МПа, диаметр наружный 377 мм, толщина стенки 32 мм</t>
  </si>
  <si>
    <t>ТЕРм12-03-039-06</t>
  </si>
  <si>
    <t>Трубопровод из низколегированной стали 15ГС для воды на условное давление 25 МПа, диаметр наружный 426 мм, толщина стенки 36 мм</t>
  </si>
  <si>
    <t xml:space="preserve">                                   Трубопроводы из низколегированной стали 15ГС для воды на условное давление 50 МПа</t>
  </si>
  <si>
    <t>ТЕРм12-03-040-01</t>
  </si>
  <si>
    <t>Трубопровод из низколегированной стали 15ГС для воды на условное давление 50 МПа, диаметр наружный 133 мм, толщина стенки 18 мм</t>
  </si>
  <si>
    <t>ТЕРм12-03-040-02</t>
  </si>
  <si>
    <t>Трубопровод из низколегированной стали 15ГС для воды на условное давление 50 МПа, диаметр наружный 194 мм, толщина стенки 26 мм</t>
  </si>
  <si>
    <t>ТЕРм12-03-040-03</t>
  </si>
  <si>
    <t>Трубопровод из низколегированной стали 15ГС для воды на условное давление 50 МПа, диаметр наружный 273 мм, толщина стенки 36 мм</t>
  </si>
  <si>
    <t>ТЕРм12-03-040-04</t>
  </si>
  <si>
    <t>Трубопровод из низколегированной стали 15ГС для воды на условное давление 50 МПа, диаметр наружный 325 мм, толщина стенки 42 мм</t>
  </si>
  <si>
    <t>ТЕРм12-03-040-05</t>
  </si>
  <si>
    <t>Трубопровод из низколегированной стали 15ГС для воды на условное давление 50 МПа, диаметр наружный 377 мм, толщина стенки 50 мм</t>
  </si>
  <si>
    <t>ТЕРм12-03-040-06</t>
  </si>
  <si>
    <t>Трубопровод из низколегированной стали 15ГС для воды на условное давление 50 МПа, диаметр наружный 465 мм, толщина стенки 60 мм</t>
  </si>
  <si>
    <t>ТЕРм12-03-040-07</t>
  </si>
  <si>
    <t>Трубопровод из низколегированной стали 15ГС для воды на условное давление 50 МПа, диаметр наружный 530 мм, толщина стенки 65 мм</t>
  </si>
  <si>
    <t xml:space="preserve">                                   Трубопроводы водоподготовительных установок и химводоочисток из стальных гуммированных или фаолитированных труб из готовых отводов внутри зданий</t>
  </si>
  <si>
    <t>ТЕРм12-03-041-01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</si>
  <si>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57 мм, толщина стенки 3 мм</t>
  </si>
  <si>
    <t>ТЕРм12-03-041-02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</si>
  <si>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76 мм, толщина стенки 3 мм</t>
  </si>
  <si>
    <t>ТЕРм12-03-041-03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</si>
  <si>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89 мм, толщина стенки 3,5 мм</t>
  </si>
  <si>
    <t>ТЕРм12-03-041-04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</si>
  <si>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108 мм, толщина стенки 4 мм</t>
  </si>
  <si>
    <t>ТЕРм12-03-041-05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</si>
  <si>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133 мм, толщина стенки 4 мм</t>
  </si>
  <si>
    <t>ТЕРм12-03-041-06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</si>
  <si>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159 мм, толщина стенки 4,5 мм</t>
  </si>
  <si>
    <t>ТЕРм12-03-041-07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</si>
  <si>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219 мм, толщина стенки 6 мм</t>
  </si>
  <si>
    <t>ТЕРм12-03-041-08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</si>
  <si>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273 мм, толщина стенки 7 мм</t>
  </si>
  <si>
    <t>ТЕРм12-03-041-09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</si>
  <si>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325 мм, толщина стенки 8 мм</t>
  </si>
  <si>
    <t>ТЕРм12-03-041-10</t>
  </si>
  <si>
    <t>Трубопровод водоподготовительных установок и химводоочисток из стальных гуммированных или фаолитированных труб из готовых отводов внутри зданий, диаметр наружный 377 мм, толщина стенки 9 мм</t>
  </si>
  <si>
    <t xml:space="preserve">                                   Трубопроводы водоподготовительных установок и химводоочисток из стальных гуммированных или фаолитированных труб из готовых отводов на эстакадах</t>
  </si>
  <si>
    <t>ТЕРм12-03-042-01</t>
  </si>
  <si>
    <t>Трубопровод водоподготовительных установок и химводоочисток из стальных гуммированных или фаолитированных труб из готовых отводов на эстакадах, диаметр наружный 108 мм, толщина стенки 4 мм</t>
  </si>
  <si>
    <t>ТЕРм12-03-042-02</t>
  </si>
  <si>
    <t>Трубопровод водоподготовительных установок и химводоочисток из стальных гуммированных или фаолитированных труб из готовых отводов на эстакадах, диаметр наружный 159 мм, толщина стенки 5 мм</t>
  </si>
  <si>
    <t>ТЕРм12-03-042-03</t>
  </si>
  <si>
    <t>Трубопровод водоподготовительных установок и химводоочисток из стальных гуммированных или фаолитированных труб из готовых отводов на эстакадах, диаметр наружный 219 мм, толщина стенки 7 мм</t>
  </si>
  <si>
    <t xml:space="preserve">                           Раздел 4. ОТДЕЛ 04. ТРУБОПРОВОДЫ ШАХТНЫЕ</t>
  </si>
  <si>
    <t xml:space="preserve">                                   Раздел 1. ТРУБОПРОВОДЫ СТАЛЬНЫЕ В СТВОЛЕ ШАХТЫ</t>
  </si>
  <si>
    <t xml:space="preserve">                                   Трубопроводы водоотлива, футерованные бетоном</t>
  </si>
  <si>
    <t>ТЕРм12-04-001-01</t>
  </si>
  <si>
    <t>Трубопровод водоотлива стальной в стволе шахты, футерованный бетоном, диаметр наружный 219 мм, глубина ствола 100-400 м</t>
  </si>
  <si>
    <t>ТЕРм12-04-001-02</t>
  </si>
  <si>
    <t>Трубопровод водоотлива стальной в стволе шахты, футерованный бетоном, диаметр наружный 219 мм, глубина ствола 500-600 м</t>
  </si>
  <si>
    <t>ТЕРм12-04-001-03</t>
  </si>
  <si>
    <t>Трубопровод водоотлива стальной в стволе шахты, футерованный бетоном, диаметр наружный 219 мм, глубина ствола 700-800 м</t>
  </si>
  <si>
    <t>ТЕРм12-04-001-04</t>
  </si>
  <si>
    <t>Трубопровод водоотлива стальной в стволе шахты, футерованный бетоном, диаметр наружный 273 мм, глубина ствола 100-400 м</t>
  </si>
  <si>
    <t>ТЕРм12-04-001-05</t>
  </si>
  <si>
    <t>Трубопровод водоотлива стальной в стволе шахты, футерованный бетоном, диаметр наружный 273 мм, глубина ствола500-800 м</t>
  </si>
  <si>
    <t>ТЕРм12-04-001-06</t>
  </si>
  <si>
    <t>Трубопровод водоотлива стальной в стволе шахты, футерованный бетоном, диаметр наружный 325 мм, глубина ствола 100-200 м</t>
  </si>
  <si>
    <t>ТЕРм12-04-001-07</t>
  </si>
  <si>
    <t>Трубопровод водоотлива стальной в стволе шахты, футерованный бетоном, диаметр наружный 325 мм, глубина ствола 300-400 м</t>
  </si>
  <si>
    <t>ТЕРм12-04-001-08</t>
  </si>
  <si>
    <t>Трубопровод водоотлива стальной в стволе шахты, футерованный бетоном, диаметр наружный 325 мм, глубина ствола 500-600 м</t>
  </si>
  <si>
    <t>ТЕРм12-04-001-09</t>
  </si>
  <si>
    <t>Трубопровод водоотлива стальной в стволе шахты, футерованный бетоном, диаметр наружный 325 мм, глубина ствола 700-800 м</t>
  </si>
  <si>
    <t>ТЕРм12-04-001-10</t>
  </si>
  <si>
    <t>Трубопровод водоотлива стальной в стволе шахты, футерованный бетоном, диаметр наружный 377 мм, глубина ствола 100-400 м</t>
  </si>
  <si>
    <t>ТЕРм12-04-001-11</t>
  </si>
  <si>
    <t>Трубопровод водоотлива стальной в стволе шахты, футерованный бетоном, диаметр наружный 377 мм, глубина ствола 500-800 м</t>
  </si>
  <si>
    <t xml:space="preserve">                                   Трубопроводы из отдельных труб на фланцевых соединениях, диаметр наружный 108 мм</t>
  </si>
  <si>
    <t>ТЕРм12-04-002-01</t>
  </si>
  <si>
    <t>Трубопроводы из отдельных труб на фланцевых соединениях, диаметр наружный 108 мм глубина ствола шахты до 100 м</t>
  </si>
  <si>
    <t>ТЕРм12-04-002-02</t>
  </si>
  <si>
    <t>Трубопроводы из отдельных труб на фланцевых соединениях, диаметр наружный 108 мм глубина ствола шахты до 200 м</t>
  </si>
  <si>
    <t>ТЕРм12-04-002-03</t>
  </si>
  <si>
    <t>Трубопроводы из отдельных труб на фланцевых соединениях, диаметр наружный 108 мм глубина ствола шахты до 300 м</t>
  </si>
  <si>
    <t>ТЕРм12-04-002-04</t>
  </si>
  <si>
    <t>Трубопроводы из отдельных труб на фланцевых соединениях, диаметр наружный 108 мм глубина ствола шахты до 400 м</t>
  </si>
  <si>
    <t>ТЕРм12-04-002-05</t>
  </si>
  <si>
    <t>Трубопроводы из отдельных труб на фланцевых соединениях, диаметр наружный 108 мм глубина ствола шахты до 500 м</t>
  </si>
  <si>
    <t xml:space="preserve">                                   Трубопроводы из отдельных труб на фланцевых соединениях, диаметр наружный 159 мм</t>
  </si>
  <si>
    <t>ТЕРм12-04-003-01</t>
  </si>
  <si>
    <t>Трубопроводы из отдельных труб на фланцевых соединениях, диаметр наружный 159 мм глубина ствола шахты до 100 м</t>
  </si>
  <si>
    <t>ТЕРм12-04-003-02</t>
  </si>
  <si>
    <t>Трубопроводы из отдельных труб на фланцевых соединениях, диаметр наружный 159 мм глубина ствола шахты до 200 м</t>
  </si>
  <si>
    <t>ТЕРм12-04-003-03</t>
  </si>
  <si>
    <t>Трубопроводы из отдельных труб на фланцевых соединениях, диаметр наружный 159 мм глубина ствола шахты до 300 м</t>
  </si>
  <si>
    <t>ТЕРм12-04-003-04</t>
  </si>
  <si>
    <t>Трубопроводы из отдельных труб на фланцевых соединениях, диаметр наружный 159 мм глубина ствола шахты до 400 м</t>
  </si>
  <si>
    <t>ТЕРм12-04-003-05</t>
  </si>
  <si>
    <t>Трубопроводы из отдельных труб на фланцевых соединениях, диаметр наружный 159 мм глубина ствола шахты до 500 м</t>
  </si>
  <si>
    <t>ТЕРм12-04-003-06</t>
  </si>
  <si>
    <t>Трубопроводы из отдельных труб на фланцевых соединениях, диаметр наружный 159 мм глубина ствола шахты до 600 м</t>
  </si>
  <si>
    <t>ТЕРм12-04-003-07</t>
  </si>
  <si>
    <t>Трубопроводы из отдельных труб на фланцевых соединениях, диаметр наружный 159 мм глубина ствола шахты до 700 м</t>
  </si>
  <si>
    <t>ТЕРм12-04-003-08</t>
  </si>
  <si>
    <t>Трубопроводы из отдельных труб на фланцевых соединениях, диаметр наружный 159 мм глубина ствола шахты до 800 м</t>
  </si>
  <si>
    <t>ТЕРм12-04-003-09</t>
  </si>
  <si>
    <t>Трубопроводы из отдельных труб на фланцевых соединениях, диаметр наружный 159 мм глубина ствола шахты до 900 м</t>
  </si>
  <si>
    <t xml:space="preserve">                                   Трубопроводы из отдельных труб на фланцевых соединениях, диаметр наружный 219 мм</t>
  </si>
  <si>
    <t>ТЕРм12-04-004-01</t>
  </si>
  <si>
    <t>Трубопроводы из отдельных труб на фланцевых соединениях, диаметр наружный 219 мм глубина ствола шахты до 100 м</t>
  </si>
  <si>
    <t>ТЕРм12-04-004-02</t>
  </si>
  <si>
    <t>Трубопроводы из отдельных труб на фланцевых соединениях, диаметр наружный 219 мм глубина ствола шахты до 200 м</t>
  </si>
  <si>
    <t>ТЕРм12-04-004-03</t>
  </si>
  <si>
    <t>Трубопроводы из отдельных труб на фланцевых соединениях, диаметр наружный 219 мм глубина ствола шахты до 300 м</t>
  </si>
  <si>
    <t>ТЕРм12-04-004-04</t>
  </si>
  <si>
    <t>Трубопроводы из отдельных труб на фланцевых соединениях, диаметр наружный 219 мм глубина ствола шахты до 400 м</t>
  </si>
  <si>
    <t>ТЕРм12-04-004-05</t>
  </si>
  <si>
    <t>Трубопроводы из отдельных труб на фланцевых соединениях, диаметр наружный 219 мм глубина ствола шахты до 500 м</t>
  </si>
  <si>
    <t>ТЕРм12-04-004-06</t>
  </si>
  <si>
    <t>Трубопроводы из отдельных труб на фланцевых соединениях, диаметр наружный 219 мм глубина ствола шахты до 600 м</t>
  </si>
  <si>
    <t>ТЕРм12-04-004-07</t>
  </si>
  <si>
    <t>Трубопроводы из отдельных труб на фланцевых соединениях, диаметр наружный 219 мм глубина ствола шахты до 700 м</t>
  </si>
  <si>
    <t>ТЕРм12-04-004-08</t>
  </si>
  <si>
    <t>Трубопроводы из отдельных труб на фланцевых соединениях, диаметр наружный 219 мм глубина ствола шахты до 800 м</t>
  </si>
  <si>
    <t>ТЕРм12-04-004-09</t>
  </si>
  <si>
    <t>Трубопроводы из отдельных труб на фланцевых соединениях, диаметр наружный 219 мм глубина ствола шахты до 900 м</t>
  </si>
  <si>
    <t>ТЕРм12-04-004-10</t>
  </si>
  <si>
    <t>Трубопроводы из отдельных труб на фланцевых соединениях, диаметр наружный 219 мм глубина ствола шахты до 1000 м</t>
  </si>
  <si>
    <t>ТЕРм12-04-004-11</t>
  </si>
  <si>
    <t>Трубопроводы из отдельных труб на фланцевых соединениях, диаметр наружный 219 мм глубина ствола шахты до 1200 м</t>
  </si>
  <si>
    <t>ТЕРм12-04-004-12</t>
  </si>
  <si>
    <t>Трубопроводы из отдельных труб на фланцевых соединениях, диаметр наружный 219 мм глубина ствола шахты до 1400 м</t>
  </si>
  <si>
    <t xml:space="preserve">                                   Трубопроводы из отдельных труб на фланцевых соединениях, диаметр наружный 273 мм</t>
  </si>
  <si>
    <t>ТЕРм12-04-005-01</t>
  </si>
  <si>
    <t>Трубопроводы из отдельных труб на фланцевых соединениях, диаметр наружный 273 мм глубина ствола шахты до 100 м</t>
  </si>
  <si>
    <t>ТЕРм12-04-005-02</t>
  </si>
  <si>
    <t>Трубопроводы из отдельных труб на фланцевых соединениях, диаметр наружный 273 мм глубина ствола шахты до 200 м</t>
  </si>
  <si>
    <t>ТЕРм12-04-005-03</t>
  </si>
  <si>
    <t>Трубопроводы из отдельных труб на фланцевых соединениях, диаметр наружный 273 мм глубина ствола шахты до 300 м</t>
  </si>
  <si>
    <t>ТЕРм12-04-005-04</t>
  </si>
  <si>
    <t>Трубопроводы из отдельных труб на фланцевых соединениях, диаметр наружный 273 мм глубина ствола шахты до 400 м</t>
  </si>
  <si>
    <t>ТЕРм12-04-005-05</t>
  </si>
  <si>
    <t>Трубопроводы из отдельных труб на фланцевых соединениях, диаметр наружный 273 мм глубина ствола шахты до 500 м</t>
  </si>
  <si>
    <t>ТЕРм12-04-005-06</t>
  </si>
  <si>
    <t>Трубопроводы из отдельных труб на фланцевых соединениях, диаметр наружный 273 мм глубина ствола шахты до 600 м</t>
  </si>
  <si>
    <t>ТЕРм12-04-005-07</t>
  </si>
  <si>
    <t>Трубопроводы из отдельных труб на фланцевых соединениях, диаметр наружный 273 мм глубина ствола шахты до 700 м</t>
  </si>
  <si>
    <t>ТЕРм12-04-005-08</t>
  </si>
  <si>
    <t>Трубопроводы из отдельных труб на фланцевых соединениях, диаметр наружный 273 мм глубина ствола шахты до 800 м</t>
  </si>
  <si>
    <t>ТЕРм12-04-005-09</t>
  </si>
  <si>
    <t>Трубопроводы из отдельных труб на фланцевых соединениях, диаметр наружный 273 мм глубина ствола шахты до 900 м</t>
  </si>
  <si>
    <t>ТЕРм12-04-005-10</t>
  </si>
  <si>
    <t>Трубопроводы из отдельных труб на фланцевых соединениях, диаметр наружный 273 мм глубина ствола шахты до 1000 м</t>
  </si>
  <si>
    <t>ТЕРм12-04-005-11</t>
  </si>
  <si>
    <t>Трубопроводы из отдельных труб на фланцевых соединениях, диаметр наружный 273 мм глубина ствола шахты до 1200 м</t>
  </si>
  <si>
    <t>ТЕРм12-04-005-12</t>
  </si>
  <si>
    <t>Трубопроводы из отдельных труб на фланцевых соединениях, диаметр наружный 273 мм глубина ствола шахты до 1400 м</t>
  </si>
  <si>
    <t xml:space="preserve">                                   Трубопроводы из отдельных труб на фланцевых соединениях, диаметр наружный 325 мм</t>
  </si>
  <si>
    <t>ТЕРм12-04-006-01</t>
  </si>
  <si>
    <t>Трубопроводы из отдельных труб на фланцевых соединениях, диаметр наружный 325 мм глубина ствола шахты до 100 м</t>
  </si>
  <si>
    <t>ТЕРм12-04-006-02</t>
  </si>
  <si>
    <t>Трубопроводы из отдельных труб на фланцевых соединениях, диаметр наружный 325 мм глубина ствола шахты до 200 м</t>
  </si>
  <si>
    <t>ТЕРм12-04-006-03</t>
  </si>
  <si>
    <t>Трубопроводы из отдельных труб на фланцевых соединениях, диаметр наружный 325 мм глубина ствола шахты до 300 м</t>
  </si>
  <si>
    <t>ТЕРм12-04-006-04</t>
  </si>
  <si>
    <t>Трубопроводы из отдельных труб на фланцевых соединениях, диаметр наружный 325 мм глубина ствола шахты до 400 м</t>
  </si>
  <si>
    <t>ТЕРм12-04-006-05</t>
  </si>
  <si>
    <t>Трубопроводы из отдельных труб на фланцевых соединениях, диаметр наружный 325 мм глубина ствола шахты до 500 м</t>
  </si>
  <si>
    <t>ТЕРм12-04-006-06</t>
  </si>
  <si>
    <t>Трубопроводы из отдельных труб на фланцевых соединениях, диаметр наружный 325 мм глубина ствола шахты до 600 м</t>
  </si>
  <si>
    <t>ТЕРм12-04-006-07</t>
  </si>
  <si>
    <t>Трубопроводы из отдельных труб на фланцевых соединениях, диаметр наружный 325 мм глубина ствола шахты до 700 м</t>
  </si>
  <si>
    <t>ТЕРм12-04-006-08</t>
  </si>
  <si>
    <t>Трубопроводы из отдельных труб на фланцевых соединениях, диаметр наружный 325 мм глубина ствола шахты до 800 м</t>
  </si>
  <si>
    <t>ТЕРм12-04-006-09</t>
  </si>
  <si>
    <t>Трубопроводы из отдельных труб на фланцевых соединениях, диаметр наружный 325 мм глубина ствола шахты до 900 м</t>
  </si>
  <si>
    <t>ТЕРм12-04-006-10</t>
  </si>
  <si>
    <t>Трубопроводы из отдельных труб на фланцевых соединениях, диаметр наружный 325 мм глубина ствола шахты до 1000 м</t>
  </si>
  <si>
    <t>ТЕРм12-04-006-11</t>
  </si>
  <si>
    <t>Трубопроводы из отдельных труб на фланцевых соединениях, диаметр наружный 325 мм глубина ствола шахты до 1100 м</t>
  </si>
  <si>
    <t>ТЕРм12-04-006-12</t>
  </si>
  <si>
    <t>Трубопроводы из отдельных труб на фланцевых соединениях, диаметр наружный 325 мм глубина ствола шахты до 1200 м</t>
  </si>
  <si>
    <t>ТЕРм12-04-006-13</t>
  </si>
  <si>
    <t>Трубопроводы из отдельных труб на фланцевых соединениях, диаметр наружный 325 мм глубина ствола шахты до 1400 м</t>
  </si>
  <si>
    <t xml:space="preserve">                                   Трубопроводы из отдельных труб на фланцевых соединениях, диаметр наружный 377 мм</t>
  </si>
  <si>
    <t>ТЕРм12-04-007-01</t>
  </si>
  <si>
    <t>Трубопроводы из отдельных труб на фланцевых соединениях, диаметр наружный 377 мм глубина ствола шахты до 100 м</t>
  </si>
  <si>
    <t>ТЕРм12-04-007-02</t>
  </si>
  <si>
    <t>Трубопроводы из отдельных труб на фланцевых соединениях, диаметр наружный 377 мм глубина ствола шахты до 200 м</t>
  </si>
  <si>
    <t>ТЕРм12-04-007-03</t>
  </si>
  <si>
    <t>Трубопроводы из отдельных труб на фланцевых соединениях, диаметр наружный 377 мм глубина ствола шахты до 300 м</t>
  </si>
  <si>
    <t>ТЕРм12-04-007-04</t>
  </si>
  <si>
    <t>Трубопроводы из отдельных труб на фланцевых соединениях, диаметр наружный 377 мм глубина ствола шахты до 400 м</t>
  </si>
  <si>
    <t>ТЕРм12-04-007-05</t>
  </si>
  <si>
    <t>Трубопроводы из отдельных труб на фланцевых соединениях, диаметр наружный 377 мм глубина ствола шахты до 500 м</t>
  </si>
  <si>
    <t>ТЕРм12-04-007-06</t>
  </si>
  <si>
    <t>Трубопроводы из отдельных труб на фланцевых соединениях, диаметр наружный 377 мм глубина ствола шахты до 600 м</t>
  </si>
  <si>
    <t>ТЕРм12-04-007-07</t>
  </si>
  <si>
    <t>Трубопроводы из отдельных труб на фланцевых соединениях, диаметр наружный 377 мм глубина ствола шахты до 700 м</t>
  </si>
  <si>
    <t>ТЕРм12-04-007-08</t>
  </si>
  <si>
    <t>Трубопроводы из отдельных труб на фланцевых соединениях, диаметр наружный 377 мм глубина ствола шахты до 800 м</t>
  </si>
  <si>
    <t>ТЕРм12-04-007-09</t>
  </si>
  <si>
    <t>Трубопроводы из отдельных труб на фланцевых соединениях, диаметр наружный 377 мм глубина ствола шахты до 900 м</t>
  </si>
  <si>
    <t>ТЕРм12-04-007-10</t>
  </si>
  <si>
    <t>Трубопроводы из отдельных труб на фланцевых соединениях, диаметр наружный 377 мм глубина ствола шахты до 1000 м</t>
  </si>
  <si>
    <t>ТЕРм12-04-007-11</t>
  </si>
  <si>
    <t>Трубопроводы из отдельных труб на фланцевых соединениях, диаметр наружный 377 мм глубина ствола шахты до 1200 м</t>
  </si>
  <si>
    <t>ТЕРм12-04-007-12</t>
  </si>
  <si>
    <t>Трубопроводы из отдельных труб на фланцевых соединениях, диаметр наружный 377 мм глубина ствола шахты до 1400 м</t>
  </si>
  <si>
    <t xml:space="preserve">                                   Трубопроводы из сварных плетей, диаметр наружный 108 мм</t>
  </si>
  <si>
    <t>ТЕРм12-04-008-01</t>
  </si>
  <si>
    <t>Трубопроводы из сварных плетей, диаметр наружный 108 мм глубина ствола шахты до 100 м</t>
  </si>
  <si>
    <t>ТЕРм12-04-008-02</t>
  </si>
  <si>
    <t>Трубопроводы из сварных плетей, диаметр наружный 108 мм глубина ствола шахты до 200 м</t>
  </si>
  <si>
    <t>ТЕРм12-04-008-03</t>
  </si>
  <si>
    <t>Трубопроводы из сварных плетей, диаметр наружный 108 мм глубина ствола шахты до 300 м</t>
  </si>
  <si>
    <t>ТЕРм12-04-008-04</t>
  </si>
  <si>
    <t>Трубопроводы из сварных плетей, диаметр наружный 108 мм глубина ствола шахты до 400 м</t>
  </si>
  <si>
    <t>ТЕРм12-04-008-05</t>
  </si>
  <si>
    <t>Трубопроводы из сварных плетей, диаметр наружный 108 мм глубина ствола шахты до 500 м</t>
  </si>
  <si>
    <t xml:space="preserve">                                   Трубопроводы из сварных плетей, диаметр наружный 159 мм</t>
  </si>
  <si>
    <t>ТЕРм12-04-009-01</t>
  </si>
  <si>
    <t>Трубопроводы из сварных плетей, диаметр наружный 159 мм глубина ствола шахты до 100 м</t>
  </si>
  <si>
    <t>ТЕРм12-04-009-02</t>
  </si>
  <si>
    <t>Трубопроводы из сварных плетей, диаметр наружный 159 мм глубина ствола шахты до 200 м</t>
  </si>
  <si>
    <t>ТЕРм12-04-009-03</t>
  </si>
  <si>
    <t>Трубопроводы из сварных плетей, диаметр наружный 159 мм глубина ствола шахты до 300 м</t>
  </si>
  <si>
    <t>ТЕРм12-04-009-04</t>
  </si>
  <si>
    <t>Трубопроводы из сварных плетей, диаметр наружный 159 мм глубина ствола шахты до 400 м</t>
  </si>
  <si>
    <t>ТЕРм12-04-009-05</t>
  </si>
  <si>
    <t>Трубопроводы из сварных плетей, диаметр наружный 159 мм глубина ствола шахты до 500 м</t>
  </si>
  <si>
    <t>ТЕРм12-04-009-06</t>
  </si>
  <si>
    <t>Трубопроводы из сварных плетей, диаметр наружный 159 мм глубина ствола шахты до 600 м</t>
  </si>
  <si>
    <t>ТЕРм12-04-009-07</t>
  </si>
  <si>
    <t>Трубопроводы из сварных плетей, диаметр наружный 159 мм глубина ствола шахты до 700 м</t>
  </si>
  <si>
    <t>ТЕРм12-04-009-08</t>
  </si>
  <si>
    <t>Трубопроводы из сварных плетей, диаметр наружный 159 мм глубина ствола шахты до 800 м</t>
  </si>
  <si>
    <t>ТЕРм12-04-009-09</t>
  </si>
  <si>
    <t>Трубопроводы из сварных плетей, диаметр наружный 159 мм глубина ствола шахты до 900 м</t>
  </si>
  <si>
    <t xml:space="preserve">                                   Трубопроводы из сварных плетей, диаметр наружный 219 мм</t>
  </si>
  <si>
    <t>ТЕРм12-04-010-01</t>
  </si>
  <si>
    <t>Трубопроводы из сварных плетей, диаметр наружный 219 мм глубина ствола шахты до 100 м</t>
  </si>
  <si>
    <t>ТЕРм12-04-010-02</t>
  </si>
  <si>
    <t>Трубопроводы из сварных плетей, диаметр наружный 219 мм глубина ствола шахты до 200 м</t>
  </si>
  <si>
    <t>ТЕРм12-04-010-03</t>
  </si>
  <si>
    <t>Трубопроводы из сварных плетей, диаметр наружный 219 мм глубина ствола шахты до 300 м</t>
  </si>
  <si>
    <t>ТЕРм12-04-010-04</t>
  </si>
  <si>
    <t>Трубопроводы из сварных плетей, диаметр наружный 219 мм глубина ствола шахты до 400 м</t>
  </si>
  <si>
    <t>ТЕРм12-04-010-05</t>
  </si>
  <si>
    <t>Трубопроводы из сварных плетей, диаметр наружный 219 мм глубина ствола шахты до 500 м</t>
  </si>
  <si>
    <t>ТЕРм12-04-010-06</t>
  </si>
  <si>
    <t>Трубопроводы из сварных плетей, диаметр наружный 219 мм глубина ствола шахты до 600 м</t>
  </si>
  <si>
    <t>ТЕРм12-04-010-07</t>
  </si>
  <si>
    <t>Трубопроводы из сварных плетей, диаметр наружный 219 мм глубина ствола шахты до 700 м</t>
  </si>
  <si>
    <t>ТЕРм12-04-010-08</t>
  </si>
  <si>
    <t>Трубопроводы из сварных плетей, диаметр наружный 219 мм глубина ствола шахты до 800 м</t>
  </si>
  <si>
    <t>ТЕРм12-04-010-09</t>
  </si>
  <si>
    <t>Трубопроводы из сварных плетей, диаметр наружный 219 мм глубина ствола шахты до 900 м</t>
  </si>
  <si>
    <t>ТЕРм12-04-010-10</t>
  </si>
  <si>
    <t>Трубопроводы из сварных плетей, диаметр наружный 219 мм глубина ствола шахты до 1000 м</t>
  </si>
  <si>
    <t>ТЕРм12-04-010-11</t>
  </si>
  <si>
    <t>Трубопроводы из сварных плетей, диаметр наружный 219 мм глубина ствола шахты до 1200 м</t>
  </si>
  <si>
    <t>ТЕРм12-04-010-12</t>
  </si>
  <si>
    <t>Трубопроводы из сварных плетей, диаметр наружный 219 мм глубина ствола шахты до 1400 м</t>
  </si>
  <si>
    <t xml:space="preserve">                                   Трубопроводы из сварных плетей, диаметр наружный 273 мм</t>
  </si>
  <si>
    <t>ТЕРм12-04-011-01</t>
  </si>
  <si>
    <t>Трубопроводы из сварных плетей, диаметр наружный 273 мм глубина ствола шахты до 100 м</t>
  </si>
  <si>
    <t>ТЕРм12-04-011-02</t>
  </si>
  <si>
    <t>Трубопроводы из сварных плетей, диаметр наружный 273 мм глубина ствола шахты до 200 м</t>
  </si>
  <si>
    <t>ТЕРм12-04-011-03</t>
  </si>
  <si>
    <t>Трубопроводы из сварных плетей, диаметр наружный 273 мм глубина ствола шахты до 300 м</t>
  </si>
  <si>
    <t>ТЕРм12-04-011-04</t>
  </si>
  <si>
    <t>Трубопроводы из сварных плетей, диаметр наружный 273 мм глубина ствола шахты до 400 м</t>
  </si>
  <si>
    <t>ТЕРм12-04-011-05</t>
  </si>
  <si>
    <t>Трубопроводы из сварных плетей, диаметр наружный 273 мм глубина ствола шахты до 500 м</t>
  </si>
  <si>
    <t>ТЕРм12-04-011-06</t>
  </si>
  <si>
    <t>Трубопроводы из сварных плетей, диаметр наружный 273 мм глубина ствола шахты до 600 м</t>
  </si>
  <si>
    <t>ТЕРм12-04-011-07</t>
  </si>
  <si>
    <t>Трубопроводы из сварных плетей, диаметр наружный 273 мм глубина ствола шахты до 700 м</t>
  </si>
  <si>
    <t>ТЕРм12-04-011-08</t>
  </si>
  <si>
    <t>Трубопроводы из сварных плетей, диаметр наружный 273 мм глубина ствола шахты до 800 м</t>
  </si>
  <si>
    <t>ТЕРм12-04-011-09</t>
  </si>
  <si>
    <t>Трубопроводы из сварных плетей, диаметр наружный 273 мм глубина ствола шахты до 900 м</t>
  </si>
  <si>
    <t>ТЕРм12-04-011-10</t>
  </si>
  <si>
    <t>Трубопроводы из сварных плетей, диаметр наружный 273 мм глубина ствола шахты до 1000 м</t>
  </si>
  <si>
    <t>ТЕРм12-04-011-11</t>
  </si>
  <si>
    <t>Трубопроводы из сварных плетей, диаметр наружный 273 мм глубина ствола шахты до 1200 м</t>
  </si>
  <si>
    <t>ТЕРм12-04-011-12</t>
  </si>
  <si>
    <t>Трубопроводы из сварных плетей, диаметр наружный 273 мм глубина ствола шахты до 1400 м</t>
  </si>
  <si>
    <t xml:space="preserve">                                   Трубопроводы из сварных плетей, диаметр наружный 325 мм</t>
  </si>
  <si>
    <t>ТЕРм12-04-012-01</t>
  </si>
  <si>
    <t>Трубопроводы из сварных плетей, диаметр наружный 325 мм глубина ствола шахты до 100 м</t>
  </si>
  <si>
    <t>ТЕРм12-04-012-02</t>
  </si>
  <si>
    <t>Трубопроводы из сварных плетей, диаметр наружный 325 мм глубина ствола шахты до 200 м</t>
  </si>
  <si>
    <t>ТЕРм12-04-012-03</t>
  </si>
  <si>
    <t>Трубопроводы из сварных плетей, диаметр наружный 325 мм глубина ствола шахты до 300 м</t>
  </si>
  <si>
    <t>ТЕРм12-04-012-04</t>
  </si>
  <si>
    <t>Трубопроводы из сварных плетей, диаметр наружный 325 мм глубина ствола шахты до 400 м</t>
  </si>
  <si>
    <t>ТЕРм12-04-012-05</t>
  </si>
  <si>
    <t>Трубопроводы из сварных плетей, диаметр наружный 325 мм глубина ствола шахты до 500 м</t>
  </si>
  <si>
    <t>ТЕРм12-04-012-06</t>
  </si>
  <si>
    <t>Трубопроводы из сварных плетей, диаметр наружный 325 мм глубина ствола шахты до 600 м</t>
  </si>
  <si>
    <t>ТЕРм12-04-012-07</t>
  </si>
  <si>
    <t>Трубопроводы из сварных плетей, диаметр наружный 325 мм глубина ствола шахты до 700 м</t>
  </si>
  <si>
    <t>ТЕРм12-04-012-08</t>
  </si>
  <si>
    <t>Трубопроводы из сварных плетей, диаметр наружный 325 мм глубина ствола шахты до 800 м</t>
  </si>
  <si>
    <t>ТЕРм12-04-012-09</t>
  </si>
  <si>
    <t>Трубопроводы из сварных плетей, диаметр наружный 325 мм глубина ствола шахты до 900 м</t>
  </si>
  <si>
    <t>ТЕРм12-04-012-10</t>
  </si>
  <si>
    <t>Трубопроводы из сварных плетей, диаметр наружный 325 мм глубина ствола шахты до 1000 м</t>
  </si>
  <si>
    <t>ТЕРм12-04-012-11</t>
  </si>
  <si>
    <t>Трубопроводы из сварных плетей, диаметр наружный 325 мм глубина ствола шахты до 1100 м</t>
  </si>
  <si>
    <t>ТЕРм12-04-012-12</t>
  </si>
  <si>
    <t>Трубопроводы из сварных плетей, диаметр наружный 325 мм глубина ствола шахты до 1200 м</t>
  </si>
  <si>
    <t>ТЕРм12-04-012-13</t>
  </si>
  <si>
    <t>Трубопроводы из сварных плетей, диаметр наружный 325 мм глубина ствола шахты до 1400 м</t>
  </si>
  <si>
    <t xml:space="preserve">                                   Трубопроводы из сварных плетей, диаметр наружный 377 мм</t>
  </si>
  <si>
    <t>ТЕРм12-04-013-01</t>
  </si>
  <si>
    <t>ТЕРм12-04-013-02</t>
  </si>
  <si>
    <t>ТЕРм12-04-013-03</t>
  </si>
  <si>
    <t>ТЕРм12-04-013-04</t>
  </si>
  <si>
    <t>ТЕРм12-04-013-05</t>
  </si>
  <si>
    <t>ТЕРм12-04-013-06</t>
  </si>
  <si>
    <t>ТЕРм12-04-013-07</t>
  </si>
  <si>
    <t>ТЕРм12-04-013-08</t>
  </si>
  <si>
    <t>ТЕРм12-04-013-09</t>
  </si>
  <si>
    <t>ТЕРм12-04-013-10</t>
  </si>
  <si>
    <t>ТЕРм12-04-013-11</t>
  </si>
  <si>
    <t>ТЕРм12-04-013-12</t>
  </si>
  <si>
    <t xml:space="preserve">                                   Раздел 2. ТРУБОПРОВОДЫ СТАЛЬНЫЕ В ГОРИЗОНТАЛЬНЫХ И НАКЛОННЫХ ВЫРАБОТКАХ</t>
  </si>
  <si>
    <t>ТЕРм12-04-017-01</t>
  </si>
  <si>
    <t>Трубопровод водоотлива стальной в горизонтальных и наклонных выработках, футерованный бетоном, диаметр труб наружный 219-325 мм</t>
  </si>
  <si>
    <t xml:space="preserve">                                   Трубопроводы на фланцевых соединениях, диаметр условный 100 мм</t>
  </si>
  <si>
    <t>ТЕРм12-04-018-01</t>
  </si>
  <si>
    <t>Трубопроводы в горизонтальных и наклонных выработках на фланцевых соединениях, диаметр условный 100 мм, давление условное до 6,4 МПа, длина труб до 4 м</t>
  </si>
  <si>
    <t>ТЕРм12-04-018-02</t>
  </si>
  <si>
    <t>Трубопроводы в горизонтальных и наклонных выработках на фланцевых соединениях, диаметр условный 100 мм, давление условное до 6,4 МПа, длина труб до 6 м</t>
  </si>
  <si>
    <t>ТЕРм12-04-018-03</t>
  </si>
  <si>
    <t>Трубопроводы в горизонтальных и наклонных выработках на фланцевых соединениях, диаметр условный 100 мм, давление условное до 6,4 МПа, длина труб до 8 м</t>
  </si>
  <si>
    <t>ТЕРм12-04-018-04</t>
  </si>
  <si>
    <t>Трубопроводы в горизонтальных и наклонных выработках на фланцевых соединениях, диаметр условный 100 мм, давление условное до 6,4 МПа, длина труб до 12,5 м</t>
  </si>
  <si>
    <t xml:space="preserve">                                   Трубопроводы на фланцевых соединениях, диаметр условный 150 мм</t>
  </si>
  <si>
    <t>ТЕРм12-04-019-01</t>
  </si>
  <si>
    <t>Трубопроводы в горизонтальных и наклонных выработках на фланцевых соединениях, диаметр условный 150 мм, давление условное до 6,4 МПа, длина труб до 4 м</t>
  </si>
  <si>
    <t>ТЕРм12-04-019-02</t>
  </si>
  <si>
    <t>Трубопроводы в горизонтальных и наклонных выработках на фланцевых соединениях, диаметр условный 150 мм, давление условное до 6,4 МПа, длина труб до 6 м</t>
  </si>
  <si>
    <t>ТЕРм12-04-019-03</t>
  </si>
  <si>
    <t>Трубопроводы в горизонтальных и наклонных выработках на фланцевых соединениях, диаметр условный 150 мм, давление условное до 6,4 МПа, длина труб до 8 м</t>
  </si>
  <si>
    <t>ТЕРм12-04-019-04</t>
  </si>
  <si>
    <t>Трубопроводы в горизонтальных и наклонных выработках на фланцевых соединениях, диаметр условный 150 мм, давление условное до 6,4 МПа, длина труб до 12,5 м</t>
  </si>
  <si>
    <t xml:space="preserve">                                   Трубопроводы на фланцевых соединениях, диаметр условный 200 мм</t>
  </si>
  <si>
    <t>ТЕРм12-04-020-01</t>
  </si>
  <si>
    <t>Трубопроводы в горизонтальных и наклонных выработках на фланцевых соединениях, диаметр условный 200 мм, давление условное до 6,4 МПа, длина труб до 4 м</t>
  </si>
  <si>
    <t>ТЕРм12-04-020-02</t>
  </si>
  <si>
    <t>Трубопроводы в горизонтальных и наклонных выработках на фланцевых соединениях, диаметр условный 200 мм, давление условное до 6,4 МПа, длина труб до 6 м</t>
  </si>
  <si>
    <t>ТЕРм12-04-020-03</t>
  </si>
  <si>
    <t>Трубопроводы в горизонтальных и наклонных выработках на фланцевых соединениях, диаметр условный 200 мм, давление условное до 6,4 МПа, длина труб до 8 м</t>
  </si>
  <si>
    <t>ТЕРм12-04-020-04</t>
  </si>
  <si>
    <t>Трубопроводы в горизонтальных и наклонных выработках на фланцевых соединениях, диаметр условный 200 мм, давление условное до 6,4 МПа, длина труб до 12,5 м</t>
  </si>
  <si>
    <t xml:space="preserve">                                   Трубопроводы на фланцевых соединениях, диаметр условный 250 мм</t>
  </si>
  <si>
    <t>ТЕРм12-04-021-01</t>
  </si>
  <si>
    <t>Трубопроводы в горизонтальных и наклонных выработках на фланцевых соединениях, диаметр условный 250 мм, давление условное до 6,4 МПа, длина труб до 4 м</t>
  </si>
  <si>
    <t>ТЕРм12-04-021-02</t>
  </si>
  <si>
    <t>Трубопроводы в горизонтальных и наклонных выработках на фланцевых соединениях, диаметр условный 250 мм, давление условное до 6,4 МПа, длина труб до 6 м</t>
  </si>
  <si>
    <t>ТЕРм12-04-021-03</t>
  </si>
  <si>
    <t>Трубопроводы в горизонтальных и наклонных выработках на фланцевых соединениях, диаметр условный 250 мм, давление условное до 6,4 МПа, длина труб до 8 м</t>
  </si>
  <si>
    <t>ТЕРм12-04-021-04</t>
  </si>
  <si>
    <t>Трубопроводы в горизонтальных и наклонных выработках на фланцевых соединениях, диаметр условный 250 мм, давление условное до 6,4 МПа, длина труб до 12,5 м</t>
  </si>
  <si>
    <t xml:space="preserve">                                   Трубопроводы на фланцевых соединениях, диаметр условный 300 мм</t>
  </si>
  <si>
    <t>ТЕРм12-04-022-01</t>
  </si>
  <si>
    <t>Трубопроводы в горизонтальных и наклонных выработках на фланцевых соединениях, диаметр условный 300 мм, давление условное до 6,4 МПа, длина труб до 4 м</t>
  </si>
  <si>
    <t>ТЕРм12-04-022-02</t>
  </si>
  <si>
    <t>Трубопроводы в горизонтальных и наклонных выработках на фланцевых соединениях, диаметр условный 300 мм, давление условное до 6,4 МПа, длина труб до 6 м</t>
  </si>
  <si>
    <t>ТЕРм12-04-022-03</t>
  </si>
  <si>
    <t>Трубопроводы в горизонтальных и наклонных выработках на фланцевых соединениях, диаметр условный 300 мм, давление условное до 6,4 МПа, длина труб до 8 м</t>
  </si>
  <si>
    <t>ТЕРм12-04-022-04</t>
  </si>
  <si>
    <t>Трубопроводы в горизонтальных и наклонных выработках на фланцевых соединениях, диаметр условный 300 мм, давление условное до 6,4 МПа, длина труб до 12,5 м</t>
  </si>
  <si>
    <t xml:space="preserve">                                   Трубопроводы на быстроразъемных соединениях, диаметр условный 100 мм</t>
  </si>
  <si>
    <t>ТЕРм12-04-023-01</t>
  </si>
  <si>
    <t>Трубопроводы в горизонтальных и наклонных выработках на быстроразъемных соединениях, диаметр условный 100 мм, давление условное до 4 МПа, длина труб до 6 м</t>
  </si>
  <si>
    <t>ТЕРм12-04-023-02</t>
  </si>
  <si>
    <t>Трубопроводы в горизонтальных и наклонных выработках на быстроразъемных соединениях, диаметр условный 100 мм, давление условное до 4 МПа, длина труб до 12,5 м</t>
  </si>
  <si>
    <t>ТЕРм12-04-023-03</t>
  </si>
  <si>
    <t>Трубопроводы в горизонтальных и наклонных выработках на быстроразъемных соединениях, диаметр условный 100 мм, давление условное до 10 МПа, длина труб до 6 м</t>
  </si>
  <si>
    <t>ТЕРм12-04-023-04</t>
  </si>
  <si>
    <t>Трубопроводы в горизонтальных и наклонных выработках на быстроразъемных соединениях, диаметр условный 100 мм, давление условное до 10 МПа, длина труб до 12,5 м</t>
  </si>
  <si>
    <t xml:space="preserve">                                   Трубопроводы на быстроразъемных соединениях, диаметр условный 150 мм</t>
  </si>
  <si>
    <t>ТЕРм12-04-024-01</t>
  </si>
  <si>
    <t>Трубопроводы в горизонтальных и наклонных выработках на быстроразъемных соединениях, диаметр условный 150 мм, давление условное до 4 МПа, длина труб до 6 м</t>
  </si>
  <si>
    <t>ТЕРм12-04-024-02</t>
  </si>
  <si>
    <t>Трубопроводы в горизонтальных и наклонных выработках на быстроразъемных соединениях, диаметр условный 150 мм, давление условное до 4 МПа, длина труб до 12,5 м</t>
  </si>
  <si>
    <t>ТЕРм12-04-024-03</t>
  </si>
  <si>
    <t>Трубопроводы в горизонтальных и наклонных выработках на быстроразъемных соединениях, диаметр условный 150 мм, давление условное до 10 МПа, длина труб до 6 м</t>
  </si>
  <si>
    <t>ТЕРм12-04-024-04</t>
  </si>
  <si>
    <t>Трубопроводы в горизонтальных и наклонных выработках на быстроразъемных соединениях, диаметр условный 150 мм, давление условное до 10 МПа, длина труб до 12,5 м</t>
  </si>
  <si>
    <t xml:space="preserve">                                   Трубопроводы на быстроразъемных соединениях, диаметр условный 200 мм</t>
  </si>
  <si>
    <t>ТЕРм12-04-025-01</t>
  </si>
  <si>
    <t>Трубопроводы в горизонтальных и наклонных выработках на быстроразъемных соединениях, диаметр условный 200 мм, давление условное до 4 МПа, длина труб до 6 м</t>
  </si>
  <si>
    <t>ТЕРм12-04-025-02</t>
  </si>
  <si>
    <t>Трубопроводы в горизонтальных и наклонных выработках на быстроразъемных соединениях, диаметр условный 200 мм, давление условное до 4 МПа, длина труб до 12,5 м</t>
  </si>
  <si>
    <t>ТЕРм12-04-025-03</t>
  </si>
  <si>
    <t>Трубопроводы в горизонтальных и наклонных выработках на быстроразъемных соединениях, диаметр условный 200 мм, давление условное до 10 МПа, длина труб до 6 м</t>
  </si>
  <si>
    <t>ТЕРм12-04-025-04</t>
  </si>
  <si>
    <t>Трубопроводы в горизонтальных и наклонных выработках на быстроразъемных соединениях, диаметр условный 200 мм, давление условное до 10 МПа, длина труб до 12,5 м</t>
  </si>
  <si>
    <t xml:space="preserve">                                   Трубопроводы на быстроразъемных соединениях, диаметр условный 250 мм</t>
  </si>
  <si>
    <t>ТЕРм12-04-026-01</t>
  </si>
  <si>
    <t>Трубопроводы в горизонтальных и наклонных выработках на быстроразъемных соединениях, диаметр условный 250 мм, давление условное до 4 МПа, длина труб до 6 м</t>
  </si>
  <si>
    <t>ТЕРм12-04-026-02</t>
  </si>
  <si>
    <t>Трубопроводы в горизонтальных и наклонных выработках на быстроразъемных соединениях, диаметр условный 250 мм, давление условное до 4 МПа, длина труб до 12,5 м</t>
  </si>
  <si>
    <t>ТЕРм12-04-026-03</t>
  </si>
  <si>
    <t>Трубопроводы в горизонтальных и наклонных выработках на быстроразъемных соединениях, диаметр условный 250 мм, давление условное до 10 МПа, длина труб до 6 м</t>
  </si>
  <si>
    <t>ТЕРм12-04-026-04</t>
  </si>
  <si>
    <t>Трубопроводы в горизонтальных и наклонных выработках на быстроразъемных соединениях, диаметр условный 250 мм, давление условное до 10 МПа, длина труб до 12,5 м</t>
  </si>
  <si>
    <t xml:space="preserve">                                   Трубопроводы на быстроразъемных соединениях, диаметр условный 300 мм</t>
  </si>
  <si>
    <t>ТЕРм12-04-027-01</t>
  </si>
  <si>
    <t>Трубопроводы в горизонтальных и наклонных выработках на быстроразъемных соединениях, диаметр условный 300 мм, давление условное до 4 МПа, длина труб до 6 м</t>
  </si>
  <si>
    <t>ТЕРм12-04-027-02</t>
  </si>
  <si>
    <t>Трубопроводы в горизонтальных и наклонных выработках на быстроразъемных соединениях, диаметр условный 300 мм, давление условное до 4 МПа, длина труб до 12,5 м</t>
  </si>
  <si>
    <t>ТЕРм12-04-027-03</t>
  </si>
  <si>
    <t>Трубопроводы в горизонтальных и наклонных выработках на быстроразъемных соединениях, диаметр условный 300 мм, давление условное до 10 МПа, длина труб до 6 м</t>
  </si>
  <si>
    <t>ТЕРм12-04-027-04</t>
  </si>
  <si>
    <t>Трубопроводы в горизонтальных и наклонных выработках на быстроразъемных соединениях, диаметр условный 300 мм, давление условное до 10 МПа, длина труб до 12,5 м</t>
  </si>
  <si>
    <t xml:space="preserve">                                   Трубопроводы на быстроразъемных соединениях, диаметр условный 350 мм</t>
  </si>
  <si>
    <t>ТЕРм12-04-028-01</t>
  </si>
  <si>
    <t>Трубопроводы в горизонтальных и наклонных выработках на быстроразъемных соединениях, диаметр условный 350 мм, давление условное до 4 МПа, длина труб до 6 м</t>
  </si>
  <si>
    <t>ТЕРм12-04-028-02</t>
  </si>
  <si>
    <t>Трубопроводы в горизонтальных и наклонных выработках на быстроразъемных соединениях, диаметр условный 350 мм, давление условное до 4 МПа, длина труб до 12,5 м</t>
  </si>
  <si>
    <t>ТЕРм12-04-028-03</t>
  </si>
  <si>
    <t>Трубопроводы в горизонтальных и наклонных выработках на быстроразъемных соединениях, диаметр условный 350 мм, давление условное до 10 МПа, длина труб до 6 м</t>
  </si>
  <si>
    <t>ТЕРм12-04-028-04</t>
  </si>
  <si>
    <t>Трубопроводы в горизонтальных и наклонных выработках на быстроразъемных соединениях, диаметр условный 350 мм, давление условное до 10 МПа, длина труб до 12,5 м</t>
  </si>
  <si>
    <t xml:space="preserve">                                   Раздел 3. ТРУБОПРОВОДЫ СТАЛЬНЫЕ ВОДООТЛИВНЫХ УСТАНОВОК</t>
  </si>
  <si>
    <t xml:space="preserve">                                   Трубопроводы насосной камеры, футерованные бетоном</t>
  </si>
  <si>
    <t>ТЕРм12-04-033-01</t>
  </si>
  <si>
    <t>Трубопровод насосной камеры стальной, футерованный бетоном, диаметр наружный 219-325 мм</t>
  </si>
  <si>
    <t xml:space="preserve">                                   Трубопроводы всасывания, футерованные бетоном, и арматура приемных колодцев</t>
  </si>
  <si>
    <t>ТЕРм12-04-034-01</t>
  </si>
  <si>
    <t>Трубопровод всасывания стальной, футерованный бетоном, и арматура приемных колодцев, диаметр труб наружный 219 мм</t>
  </si>
  <si>
    <t>ТЕРм12-04-034-02</t>
  </si>
  <si>
    <t>Трубопровод всасывания стальной, футерованный бетоном, и арматура приемных колодцев, диаметр труб наружный 273-325 мм</t>
  </si>
  <si>
    <t xml:space="preserve">                                   Трубопроводы водоотливной установки на 5 агрегатов</t>
  </si>
  <si>
    <t>ТЕРм12-04-035-01</t>
  </si>
  <si>
    <t>Трубопроводы водоотливной установки на 5 агрегатов на быстроразъемных соединениях, диаметр условный 100 мм, давление условное 2,5 МПа, масса комплекта 0,41 т, длина 60 м</t>
  </si>
  <si>
    <t>ТЕРм12-04-035-02</t>
  </si>
  <si>
    <t>Трубопроводы водоотливной установки на 5 агрегатов на быстроразъемных соединениях, диаметр условный 100 мм, давление условное 10 МПа, масса комплекта 1,2 т, длина 25 м</t>
  </si>
  <si>
    <t>ТЕРм12-04-035-03</t>
  </si>
  <si>
    <t>Трубопроводы водоотливной установки на 5 агрегатов на быстроразъемных соединениях, диаметр условный 200 мм, давление условное 10 МПа, масса комплекта 11,22 т, длина 55 м</t>
  </si>
  <si>
    <t>ТЕРм12-04-035-04</t>
  </si>
  <si>
    <t>Трубопроводы водоотливной установки на 5 агрегатов на быстроразъемных соединениях, диаметр условный 250 мм, давление условное 10 МПа, масса комплекта 34,47 т, длина 162 м</t>
  </si>
  <si>
    <t>ТЕРм12-04-035-05</t>
  </si>
  <si>
    <t>Трубопроводы водоотливной установки на 5 агрегатов на быстроразъемных соединениях, диаметр условный 600 мм, давление условное 2,5 МПа, масса комплекта 3,86 т, длина 8 м</t>
  </si>
  <si>
    <t xml:space="preserve">                                   Трубопроводы водоотливной установки на 3 агрегата</t>
  </si>
  <si>
    <t>ТЕРм12-04-036-01</t>
  </si>
  <si>
    <t>Трубопроводы водоотливной установки на 3 агрегата на быстроразъемных соединениях, диаметр условный 100 мм, давление условное 2,5 МПа, масса комплекта 0,41 т, длина 60 м</t>
  </si>
  <si>
    <t>ТЕРм12-04-036-02</t>
  </si>
  <si>
    <t>Трубопроводы водоотливной установки на 3 агрегата на быстроразъемных соединениях, диаметр условный 100 мм, давление условное 10 МПа, масса комплекта 1,2 т, длина 25 м</t>
  </si>
  <si>
    <t>ТЕРм12-04-036-03</t>
  </si>
  <si>
    <t>Трубопроводы водоотливной установки на 3 агрегата на быстроразъемных соединениях, диаметр условный 200 мм, давление условное 10 МПа, масса комплекта 11,22 т, длина 55 м</t>
  </si>
  <si>
    <t>ТЕРм12-04-036-04</t>
  </si>
  <si>
    <t>Трубопроводы водоотливной установки на 3 агрегата на быстроразъемных соединениях, диаметр условный 250 мм, давление условное 10 МПа, масса комплекта 34,47 т, длина 162 м</t>
  </si>
  <si>
    <t>ТЕРм12-04-036-05</t>
  </si>
  <si>
    <t>Трубопроводы водоотливной установки на 3 агрегата на быстроразъемных соединениях, диаметр условный 600 мм, давление условное 2,5 МПа, масса комплекта 3,86 т, длина 8 м</t>
  </si>
  <si>
    <t xml:space="preserve">                                   Раздел 4. ТРУБОПРОВОДЫ ПРОХОДЧЕСКИЕ В СТВОЛЕ ШАХТЫ</t>
  </si>
  <si>
    <t xml:space="preserve">                                   Трубопроводы проходческие стальные водоотлива, сжатого воздуха, цементации, спуска бетона, вентиляционные, дегазационные, подвешиваемые в стволе шахты на крепи или расстрелах и канатах</t>
  </si>
  <si>
    <t>ТЕРм12-04-057-01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</si>
  <si>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60-83 мм</t>
  </si>
  <si>
    <t>ТЕРм12-04-057-02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</si>
  <si>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108 мм</t>
  </si>
  <si>
    <t>ТЕРм12-04-057-03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</si>
  <si>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127 мм</t>
  </si>
  <si>
    <t>ТЕРм12-04-057-04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</si>
  <si>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159 мм</t>
  </si>
  <si>
    <t>ТЕРм12-04-057-05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</si>
  <si>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168 мм</t>
  </si>
  <si>
    <t>ТЕРм12-04-057-06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</si>
  <si>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219 мм</t>
  </si>
  <si>
    <t>ТЕРм12-04-057-07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</si>
  <si>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500 мм</t>
  </si>
  <si>
    <t>ТЕРм12-04-057-08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</si>
  <si>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600 мм</t>
  </si>
  <si>
    <t>ТЕРм12-04-057-09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</si>
  <si>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700 мм</t>
  </si>
  <si>
    <t>ТЕРм12-04-057-10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</si>
  <si>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800 мм</t>
  </si>
  <si>
    <t>ТЕРм12-04-057-11</t>
  </si>
  <si>
    <t>Трубопровод проходческий стальной водоотлива, сжатого воздуха, цементации, спуска бетона, вентиляционный, дегазационный, подвешиваемый в стволе шахты на крепи или расстрелах и канатах, диаметр труб наружный 900-1000 мм</t>
  </si>
  <si>
    <t xml:space="preserve">                           Раздел 5. ОТДЕЛ 05. ТРУБОПРОВОДЫ МОЛОЧНЫХ, МОЛОЧНО-КОНСЕРВНЫХ, МАСЛОДЕЛЬНЫХ И СЫРОДЕЛЬНЫХ ЗАВОДОВ НА БЫСТРОРАЗЪЕМНЫХ СОЕДИНЕНИЯХ</t>
  </si>
  <si>
    <t xml:space="preserve">                                   Молокопроводы городских молочных и молочно-консервных заводов из труб коррозионно-стойкой стали с готовыми фасонными деталями, арматурой и средствами крепления на условное давление 0,6 МПа</t>
  </si>
  <si>
    <t>ТЕРм12-05-001-01</t>
  </si>
  <si>
    <t>Молокопровод городских молочных и молочно-консервных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38 мм</t>
  </si>
  <si>
    <t>ТЕРм12-05-001-02</t>
  </si>
  <si>
    <t>Молокопровод городских молочных и молочно-консервных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53 мм</t>
  </si>
  <si>
    <t>ТЕРм12-05-001-03</t>
  </si>
  <si>
    <t>Молокопровод городских молочных и молочно-консервных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80 мм</t>
  </si>
  <si>
    <t xml:space="preserve">                                   Молокопроводы маслодельных заводов из труб коррозионно-стойкой стали с готовыми фасонными деталями, арматурой и средствами крепления на условное давление 0,6 Мпа</t>
  </si>
  <si>
    <t>ТЕРм12-05-002-01</t>
  </si>
  <si>
    <t>Молокопровод маслодельных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38 мм</t>
  </si>
  <si>
    <t>ТЕРм12-05-002-02</t>
  </si>
  <si>
    <t>Молокопровод маслодельных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53 мм</t>
  </si>
  <si>
    <t>ТЕРм12-05-002-03</t>
  </si>
  <si>
    <t>Молокопровод маслодельных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80 мм</t>
  </si>
  <si>
    <t xml:space="preserve">                                   Молокопроводы сыродельных заводов из труб коррозионно-стойкой стали с готовыми фасонными деталями, арматурой и средствами крепления на условное давление 0,6 МПа</t>
  </si>
  <si>
    <t>ТЕРм12-05-003-01</t>
  </si>
  <si>
    <t>Молокопровод сыродельных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38 мм</t>
  </si>
  <si>
    <t>ТЕРм12-05-003-02</t>
  </si>
  <si>
    <t>Молокопровод сыродельных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53 мм</t>
  </si>
  <si>
    <t>ТЕРм12-05-003-03</t>
  </si>
  <si>
    <t>Молокопровод сыродельных заводов из труб коррозионно-стойкой стали с готовыми фасонными деталями, арматурой и средствами крепления на условное давление 0,6 МПа, диаметр труб наружный 80 мм</t>
  </si>
  <si>
    <t xml:space="preserve">                           Раздел 6. ОТДЕЛ 07. ТРУБНЫЕ ПРОВОДКИ СИСТЕМ АВТОМАТИЗАЦИИ</t>
  </si>
  <si>
    <t xml:space="preserve">                                   Раздел 1. ТРУБНЫЕ ПРОВОДКИ ИЗ ТРУБ УГЛЕРОДИСТЫХ И НИЗКОЛЕГИРОВАННЫХ СТАЛЕЙ</t>
  </si>
  <si>
    <t xml:space="preserve">                                   Трубные проводки из водогазопроводных труб</t>
  </si>
  <si>
    <t>ТЕРм12-07-001-01</t>
  </si>
  <si>
    <t>Трубная проводка из водогазопроводных труб углеродистых и низколегированных сталей на соединениях разъемных, диаметр условного прохода 25 мм</t>
  </si>
  <si>
    <t>ТЕРм12-07-001-02</t>
  </si>
  <si>
    <t>Трубная проводка из водогазопроводных труб углеродистых и низколегированных сталей на соединениях разъемных, диаметр условного прохода 50 мм</t>
  </si>
  <si>
    <t>ТЕРм12-07-001-03</t>
  </si>
  <si>
    <t>Трубная проводка из водогазопроводных труб углеродистых и низколегированных сталей на соединениях сварных, диаметр условного прохода 25 мм</t>
  </si>
  <si>
    <t>ТЕРм12-07-001-04</t>
  </si>
  <si>
    <t>Трубная проводка из водогазопроводных труб углеродистых и низколегированных сталей на соединениях сварных, диаметр условного прохода 50 мм</t>
  </si>
  <si>
    <t xml:space="preserve">                                   Трубные проводки из бесшовных труб на условное давление до 10 МПа</t>
  </si>
  <si>
    <t>ТЕРм12-07-002-01</t>
  </si>
  <si>
    <t>Трубная проводка из бесшовных труб углеродистых и низколегированных сталей на условное давление до 10 МПа на соединениях разъемных, диаметр наружный 10 мм</t>
  </si>
  <si>
    <t>ТЕРм12-07-002-02</t>
  </si>
  <si>
    <t>Трубная проводка из бесшовных труб углеродистых и низколегированных сталей на условное давление до 10 МПа на соединениях разъемных, диаметр наружный 22 мм</t>
  </si>
  <si>
    <t>ТЕРм12-07-002-03</t>
  </si>
  <si>
    <t>Трубная проводка из бесшовных труб углеродистых и низколегированных сталей на условное давление до 10 МПа на соединениях сварных, диаметр наружный 10 мм</t>
  </si>
  <si>
    <t>ТЕРм12-07-002-04</t>
  </si>
  <si>
    <t>Трубная проводка из бесшовных труб углеродистых и низколегированных сталей на условное давление до 10 МПа на соединениях сварных, диаметр наружный 22 мм</t>
  </si>
  <si>
    <t xml:space="preserve">                                   Трубные проводки из бесшовных труб на условное давление свыше 10 МПа</t>
  </si>
  <si>
    <t>ТЕРм12-07-003-01</t>
  </si>
  <si>
    <t>Трубная проводка из бесшовных труб углеродистых и низколегированных сталей на условное давление свыше 10 МПа на соединениях разъемных, диаметр наружный 15 мм</t>
  </si>
  <si>
    <t>ТЕРм12-07-003-02</t>
  </si>
  <si>
    <t>Трубная проводка из бесшовных труб углеродистых и низколегированных сталей на условное давление свыше 10 МПа на соединениях разъемных, диаметр наружный 35 мм</t>
  </si>
  <si>
    <t>ТЕРм12-07-003-03</t>
  </si>
  <si>
    <t>Трубная проводка из бесшовных труб углеродистых и низколегированных сталей на условное давление свыше 10 МПа на соединениях сварных, диаметр наружный 15 мм</t>
  </si>
  <si>
    <t>ТЕРм12-07-003-04</t>
  </si>
  <si>
    <t>Трубная проводка из бесшовных труб углеродистых и низколегированных сталей на условное давление свыше 10 МПа на соединениях сварных, диаметр наружный 35 мм</t>
  </si>
  <si>
    <t xml:space="preserve">                                   Трубные проводки из стальных труб и труб из цветных металлов, прокладываемые блоками</t>
  </si>
  <si>
    <t>ТЕРм12-07-004-01</t>
  </si>
  <si>
    <t>Проводка трубная, прокладываемая блоками, из труб диаметром 10 мм стальных из углеродистых и низколегированных сталей</t>
  </si>
  <si>
    <t>ТЕРм12-07-004-02</t>
  </si>
  <si>
    <t>Проводка трубная, прокладываемая блоками, из труб диаметром 10 мм цветных металлов</t>
  </si>
  <si>
    <t xml:space="preserve">                                   Раздел 2. ТРУБНЫЕ ПРОВОДКИ ИЗ ТРУБ ЛЕГИРОВАННЫХ И КОРРОЗИОННО-СТОЙКИХ СТАЛЕЙ</t>
  </si>
  <si>
    <t>ТЕРм12-07-015-01</t>
  </si>
  <si>
    <t>Трубная проводка из бесшовных труб легированных и коррозионно-стойких сталей на условное давление до 10 МПа на соединениях разъемных, диаметр наружный 10 мм</t>
  </si>
  <si>
    <t>ТЕРм12-07-015-02</t>
  </si>
  <si>
    <t>Трубная проводка из бесшовных труб легированных и коррозионно-стойких сталей на условное давление до 10 МПа на соединениях разъемных, диаметр наружный 22 мм</t>
  </si>
  <si>
    <t>ТЕРм12-07-015-03</t>
  </si>
  <si>
    <t>Трубная проводка из бесшовных труб легированных и коррозионно-стойких сталей на условное давление до 10 МПа на соединениях сварных, диаметр наружный 10 мм</t>
  </si>
  <si>
    <t>ТЕРм12-07-015-04</t>
  </si>
  <si>
    <t>Трубная проводка из бесшовных труб легированных и коррозионно-стойких сталей на условное давление до 10 МПа на соединениях сварных, диаметр наружный 22 мм</t>
  </si>
  <si>
    <t xml:space="preserve">                                   Трубные проводки систем обогрева</t>
  </si>
  <si>
    <t>ТЕРм12-07-016-01</t>
  </si>
  <si>
    <t>Проводка трубная систем обогрева из труб легированных и коррозионно-стойких сталей, диаметр наружный 22 мм</t>
  </si>
  <si>
    <t xml:space="preserve">                                   Раздел 3. ТРУБНЫЕ ПРОВОДКИ ИЗ ТРУБ ЦВЕТНЫХ МЕТАЛЛОВ</t>
  </si>
  <si>
    <t xml:space="preserve">                                   Трубные проводки из труб цветных металлов</t>
  </si>
  <si>
    <t>ТЕРм12-07-027-01</t>
  </si>
  <si>
    <t>Проводка трубная из труб цветных металлов, диаметр наружный 10 мм</t>
  </si>
  <si>
    <t xml:space="preserve">                                   Раздел 4. ТРУБНЫЕ ПРОВОДКИ ИЗ ПЛАСТМАССОВЫХ ТРУБ И ПНЕВМАТИЧЕСКИХ КАБЕЛЕЙ, КОРОБКИ СОЕДИНИТЕЛЬНЫЕ ДЛЯ ПНЕВМОКАБЕЛЕЙ КС-7 И КС-14</t>
  </si>
  <si>
    <t xml:space="preserve">                                   Трубные проводки из пластмассовых труб по металлоконструкциям в защитных трубах, по лоткам и в коробах</t>
  </si>
  <si>
    <t>ТЕРм12-07-038-01</t>
  </si>
  <si>
    <t>Трубная проводка из пластмассовых труб по металлоконструкциям в защитных трубах, по лоткам и в коробах, диаметр труб условный 10 мм</t>
  </si>
  <si>
    <t xml:space="preserve">                                   Трубные проводки из пневматических кабелей с пластмассовыми трубами</t>
  </si>
  <si>
    <t>ТЕРм12-07-039-01</t>
  </si>
  <si>
    <t>Проводка трубная из пневматических кабелей с пластмассовыми трубами и с заделкой концов</t>
  </si>
  <si>
    <t xml:space="preserve">                                   Коробки соединительные для пневматических линий</t>
  </si>
  <si>
    <t>ТЕРм12-07-040-01</t>
  </si>
  <si>
    <t>Коробка соединительная для пневматических линий, типа КС-7</t>
  </si>
  <si>
    <t>ТЕРм12-07-040-02</t>
  </si>
  <si>
    <t>Коробка соединительная для пневматических линий, типа КС-14</t>
  </si>
  <si>
    <t xml:space="preserve">                           Раздел 7. ОТДЕЛ 08. ТРУБОПРОВОДЫ И АРМАТУРА УСТАНОВОК АВТОМАТИЧЕСКОГО ПОЖАРОТУШЕНИЯ</t>
  </si>
  <si>
    <t xml:space="preserve">                                   Трубопроводы дренчерных установок водяного и пенного пожаротушения из стальных труб, монтируемые из готовых узлов</t>
  </si>
  <si>
    <t>ТЕРм12-08-001-01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</si>
  <si>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40 мм</t>
  </si>
  <si>
    <t>ТЕРм12-08-001-02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</si>
  <si>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50 мм</t>
  </si>
  <si>
    <t>ТЕРм12-08-001-03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</si>
  <si>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100 мм</t>
  </si>
  <si>
    <t>ТЕРм12-08-001-04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</si>
  <si>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150 мм</t>
  </si>
  <si>
    <t>ТЕРм12-08-001-05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</si>
  <si>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200 мм</t>
  </si>
  <si>
    <t>ТЕРм12-08-001-06</t>
  </si>
  <si>
    <t>Трубопровод дренчерных установок водяного и пенного пожаротушения из стальных труб, монтируемый из готовых узлов, диаметр условного прохода 250 мм</t>
  </si>
  <si>
    <t xml:space="preserve">                                   Трубопроводы спринклерных установок водяного и пенного пожаротушения и побудительный из стальных труб, монтируемые из готовых узлов</t>
  </si>
  <si>
    <t>ТЕРм12-08-002-01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</si>
  <si>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40 мм</t>
  </si>
  <si>
    <t>ТЕРм12-08-002-02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</si>
  <si>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50 мм</t>
  </si>
  <si>
    <t>ТЕРм12-08-002-03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</si>
  <si>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100 мм</t>
  </si>
  <si>
    <t>ТЕРм12-08-002-04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</si>
  <si>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150 мм</t>
  </si>
  <si>
    <t>ТЕРм12-08-002-05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</si>
  <si>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200 мм</t>
  </si>
  <si>
    <t>ТЕРм12-08-002-06</t>
  </si>
  <si>
    <t>Трубопровод спринклерных установок водяного и пенного пожаротушения и побудительный из стальных труб, монтируемый из готовых узлов, диаметр условного прохода 250 мм</t>
  </si>
  <si>
    <t xml:space="preserve">                                   Трубопроводы установок газового пожаротушения из стальных труб, монтируемые из готовых узлов</t>
  </si>
  <si>
    <t>ТЕРм12-08-003-01</t>
  </si>
  <si>
    <t>Трубопровод установок газового пожаротушения из стальных труб, монтируемый из готовых узлов, диаметр условного прохода 10 мм</t>
  </si>
  <si>
    <t>ТЕРм12-08-003-02</t>
  </si>
  <si>
    <t>Трубопровод установок газового пожаротушения из стальных труб, монтируемый из готовых узлов, диаметр условного прохода 32 мм</t>
  </si>
  <si>
    <t>ТЕРм12-08-003-03</t>
  </si>
  <si>
    <t>Трубопровод установок газового пожаротушения из стальных труб, монтируемый из готовых узлов, диаметр условного прохода 50 мм</t>
  </si>
  <si>
    <t>ТЕРм12-08-003-04</t>
  </si>
  <si>
    <t>Трубопровод установок газового пожаротушения из стальных труб, монтируемый из готовых узлов, диаметр условного прохода 80 мм</t>
  </si>
  <si>
    <t xml:space="preserve">                                   Трубопроводы в помещениях с подвесными потолками</t>
  </si>
  <si>
    <t>ТЕРм12-08-004-01</t>
  </si>
  <si>
    <t>Трубопровод спринклерных установок водяного пожаротушения и побудительный из стальных труб, монтируемый из готовых узлов в помещениях с подвесными потолками, диаметр условного прохода до 40 мм</t>
  </si>
  <si>
    <t>ТЕРм12-08-004-02</t>
  </si>
  <si>
    <t>Трубопровод установок газового пожаротушения из стальных труб, монтируемый из готовых узлов в помещениях с подвесными потолками, диаметр условного прохода до 32 мм</t>
  </si>
  <si>
    <t xml:space="preserve">                                   Оросители, насадки, генераторы пены</t>
  </si>
  <si>
    <t>ТЕРм12-08-005-01</t>
  </si>
  <si>
    <t>Оросители, насадки установок водяного и пенного пожаротушения спринклерные</t>
  </si>
  <si>
    <t>ТЕРм12-08-005-02</t>
  </si>
  <si>
    <t>Оросители, насадки установок водяного и пенного пожаротушения спринклерные с декоративной розеткой</t>
  </si>
  <si>
    <t>ТЕРм12-08-005-03</t>
  </si>
  <si>
    <t>Оросители, насадки установок водяного и пенного пожаротушения дренчерные, диаметр условного прохода до 16 мм</t>
  </si>
  <si>
    <t>ТЕРм12-08-005-04</t>
  </si>
  <si>
    <t>Оросители, насадки установок водяного и пенного пожаротушения дренчерные, диаметр условного прохода до 25 мм</t>
  </si>
  <si>
    <t>ТЕРм12-08-005-05</t>
  </si>
  <si>
    <t>Оросители, насадки установок водяного и пенного пожаротушения дренчерные, диаметр условного прохода до 40 мм</t>
  </si>
  <si>
    <t>ТЕРм12-08-005-06</t>
  </si>
  <si>
    <t>Оросители, насадки установок водяного и пенного пожаротушения дренчерные, диаметр условного прохода до 50 мм</t>
  </si>
  <si>
    <t>ТЕРм12-08-005-07</t>
  </si>
  <si>
    <t>Генераторы пены, диаметр условного прохода до 50 мм</t>
  </si>
  <si>
    <t>ТЕРм12-08-005-08</t>
  </si>
  <si>
    <t>Генераторы пены, диаметр условного прохода до 75 мм</t>
  </si>
  <si>
    <t>ТЕРм12-08-005-09</t>
  </si>
  <si>
    <t>Генераторы пены, диаметр условного прохода до 100 мм</t>
  </si>
  <si>
    <t>ТЕРм12-08-005-10</t>
  </si>
  <si>
    <t>Оросители, насадки газового пожаротушения без декоративной розетки</t>
  </si>
  <si>
    <t>ТЕРм12-08-005-11</t>
  </si>
  <si>
    <t>Оросители, насадки газового пожаротушения с декоративной розеткой</t>
  </si>
  <si>
    <t xml:space="preserve">                                   Арматура тросовой побудительной системы</t>
  </si>
  <si>
    <t>ТЕРм12-08-006-01</t>
  </si>
  <si>
    <t>Устройство ручного пуска, приспособление натяжения троса</t>
  </si>
  <si>
    <t>ТЕРм12-08-006-02</t>
  </si>
  <si>
    <t>Ролик натяжения троса</t>
  </si>
  <si>
    <t>ТЕРм12-08-006-03</t>
  </si>
  <si>
    <t>Трос с замками тросовой системы</t>
  </si>
  <si>
    <t>ТЕРм12-08-007-01</t>
  </si>
  <si>
    <t>Приготовление раствора пенообразования и заполнения им пневмобака</t>
  </si>
  <si>
    <t>ТЕРм12-08-007-02</t>
  </si>
  <si>
    <t>Заполнение бака пенообразователем</t>
  </si>
  <si>
    <t xml:space="preserve">                           Раздел 8. ОТДЕЛ 09. КОМПЕНСАТОРЫ И СМОТРОВЫЕ ФОНАРИ</t>
  </si>
  <si>
    <t xml:space="preserve">                                   Раздел 1. КОМПЕНСАТОРЫ СТАЛЬНЫЕ ЛИНЗОВЫЕ И САЛЬНИКОВЫЕ</t>
  </si>
  <si>
    <t xml:space="preserve">                                   Компенсаторы стальные сальниковые двухсторонние на условное давление 1,6 МПа</t>
  </si>
  <si>
    <t>ТЕРм12-09-001-01</t>
  </si>
  <si>
    <t>Компенсатор стальной сальниковый двухсторонний на условное давление 1,6 МПа, диаметр условного прохода 100 мм</t>
  </si>
  <si>
    <t>ТЕРм12-09-001-02</t>
  </si>
  <si>
    <t>Компенсатор стальной сальниковый двухсторонний на условное давление 1,6 МПа, диаметр условного прохода 125-150 мм</t>
  </si>
  <si>
    <t>ТЕРм12-09-001-03</t>
  </si>
  <si>
    <t>Компенсатор стальной сальниковый двухсторонний на условное давление 1,6 МПа, диаметр условного прохода 175-200 мм</t>
  </si>
  <si>
    <t>ТЕРм12-09-001-04</t>
  </si>
  <si>
    <t>Компенсатор стальной сальниковый двухсторонний на условное давление 1,6 МПа, диаметр условного прохода 250-300 мм</t>
  </si>
  <si>
    <t>ТЕРм12-09-001-05</t>
  </si>
  <si>
    <t>Компенсатор стальной сальниковый двухсторонний на условное давление 1,6 МПа, диаметр условного прохода 350 мм</t>
  </si>
  <si>
    <t>ТЕРм12-09-001-06</t>
  </si>
  <si>
    <t>Компенсатор стальной сальниковый двухсторонний на условное давление 1,6 МПа, диаметр условного прохода 400 мм</t>
  </si>
  <si>
    <t>ТЕРм12-09-001-07</t>
  </si>
  <si>
    <t>Компенсатор стальной сальниковый двухсторонний на условное давление 1,6 МПа, диаметр условного прохода 450-500 мм</t>
  </si>
  <si>
    <t>ТЕРм12-09-001-08</t>
  </si>
  <si>
    <t>Компенсатор стальной сальниковый двухсторонний на условное давление 1,6 МПа, диаметр условного прохода 600 мм</t>
  </si>
  <si>
    <t>ТЕРм12-09-001-09</t>
  </si>
  <si>
    <t>Компенсатор стальной сальниковый двухсторонний на условное давление 1,6 МПа, диаметр условного прохода 700-800 мм</t>
  </si>
  <si>
    <t>ТЕРм12-09-001-10</t>
  </si>
  <si>
    <t>Компенсатор стальной сальниковый двухсторонний на условное давление 1,6 МПа, диаметр условного прохода 900 мм</t>
  </si>
  <si>
    <t>ТЕРм12-09-001-11</t>
  </si>
  <si>
    <t>Компенсатор стальной сальниковый двухсторонний на условное давление 1,6 МПа, диаметр условного прохода 1000 мм</t>
  </si>
  <si>
    <t xml:space="preserve">                                   Раздел 2. КОМПЕНСАТОРЫ ВОЛНИСТЫЕ ИЗ УГЛЕРОДИСТЫХ КАЧЕСТВЕННЫХ, ЛЕГИРОВАННЫХ, КОРРОЗИОННО-СТОЙКИХ И ЖАРОСТОЙКИХ СТАЛЕЙ</t>
  </si>
  <si>
    <t xml:space="preserve">                                   Компенсаторы волнистые типа КВПТ из стали 20 на сварке до 3 волн на условное давление 6,4 МПа</t>
  </si>
  <si>
    <t>ТЕРм12-09-022-01</t>
  </si>
  <si>
    <t>Компенсатор волнистый типа КВПТ из стали 20 на сварке до 3 волн на условное давление 6,4 МПа, диаметр условного прохода 150 мм</t>
  </si>
  <si>
    <t>ТЕРм12-09-022-02</t>
  </si>
  <si>
    <t>Компенсатор волнистый типа КВПТ из стали 20 на сварке до 3 волн на условное давление 6,4 МПа, диаметр условного прохода 200 мм</t>
  </si>
  <si>
    <t>ТЕРм12-09-022-03</t>
  </si>
  <si>
    <t>Компенсатор волнистый типа КВПТ из стали 20 на сварке до 3 волн на условное давление 6,4 МПа, диаметр условного прохода 250-300 мм</t>
  </si>
  <si>
    <t>ТЕРм12-09-022-04</t>
  </si>
  <si>
    <t>Компенсатор волнистый типа КВПТ из стали 20 на сварке до 3 волн на условное давление 6,4 МПа, диаметр условного прохода 350-400 мм</t>
  </si>
  <si>
    <t xml:space="preserve">                                   Компенсаторы волнистые типа КВО или КВО5 из стали легированной, коррозионно-стойкой и жаростойкой на сварке до 3 волн на условное давление 2,5 МПа</t>
  </si>
  <si>
    <t>ТЕРм12-09-023-01</t>
  </si>
  <si>
    <t>Компенсатор волнистый типа КВО или КВО5 из стали легированной, коррозионно-стойкой и жаростойкой на сварке до 3 волн на условное давление 2,5 МПа, диаметр условного прохода 200 мм</t>
  </si>
  <si>
    <t>ТЕРм12-09-023-02</t>
  </si>
  <si>
    <t>Компенсатор волнистый типа КВО или КВО5 из стали легированной, коррозионно-стойкой и жаростойкой на сварке до 3 волн на условное давление 2,5 МПа, диаметр условного прохода 300 мм</t>
  </si>
  <si>
    <t>ТЕРм12-09-023-03</t>
  </si>
  <si>
    <t>Компенсатор волнистый типа КВО или КВО5 из стали легированной, коррозионно-стойкой и жаростойкой на сварке до 3 волн на условное давление 2,5 МПа, диаметр условного прохода 400 мм</t>
  </si>
  <si>
    <t xml:space="preserve">                                   Компенсаторы волнистые типа КВО, КВО5 и КВП из стали легированной, коррозионно-стойкой и жаростойкой на сварке от 4 волн на условное давление 2,5 МПа</t>
  </si>
  <si>
    <t>ТЕРм12-09-024-01</t>
  </si>
  <si>
    <t>Компенсатор волнистый типа КВО, КВО5 и КВП из стали легированной, коррозионно-стойкой и жаростойкой на сварке от 4 волн на условное давление 2,5 МПа, диаметр условного прохода 150 мм</t>
  </si>
  <si>
    <t>ТЕРм12-09-024-02</t>
  </si>
  <si>
    <t>Компенсатор волнистый типа КВО, КВО5 и КВП из стали легированной, коррозионно-стойкой и жаростойкой на сварке от 4 волн на условное давление 2,5 МПа, диаметр условного прохода 200 мм</t>
  </si>
  <si>
    <t>ТЕРм12-09-024-03</t>
  </si>
  <si>
    <t>Компенсатор волнистый типа КВО, КВО5 и КВП из стали легированной, коррозионно-стойкой и жаростойкой на сварке от 4 волн на условное давление 2,5 МПа, диаметр условного прохода 250-300 мм</t>
  </si>
  <si>
    <t>ТЕРм12-09-024-04</t>
  </si>
  <si>
    <t>Компенсатор волнистый типа КВО, КВО5 и КВП из стали легированной, коррозионно-стойкой и жаростойкой на сварке от 4 волн на условное давление 2,5 МПа, диаметр условного прохода 350-400 мм</t>
  </si>
  <si>
    <t xml:space="preserve">                                   Компенсаторы волнистые типа КВО или КВУ из стали легированной, коррозионно-стойкой и жаростойкой на сварке до 3 волн на условное давление 6,4 МПа</t>
  </si>
  <si>
    <t>ТЕРм12-09-025-01</t>
  </si>
  <si>
    <t>Компенсатор волнистый типа КВО или КВУ из стали легированной, коррозионно-стойкой и жаростойкой на сварке до 3 волн на условное давление 6,4 МПа, диаметр условного прохода 150 мм</t>
  </si>
  <si>
    <t>ТЕРм12-09-025-02</t>
  </si>
  <si>
    <t>Компенсатор волнистый типа КВО или КВУ из стали легированной, коррозионно-стойкой и жаростойкой на сварке до 3 волн на условное давление 6,4 МПа, диаметр условного прохода 200 мм</t>
  </si>
  <si>
    <t>ТЕРм12-09-025-03</t>
  </si>
  <si>
    <t>Компенсатор волнистый типа КВО или КВУ из стали легированной, коррозионно-стойкой и жаростойкой на сварке до 3 волн на условное давление 6,4 МПа, диаметр условного прохода 250-300 мм</t>
  </si>
  <si>
    <t>ТЕРм12-09-025-04</t>
  </si>
  <si>
    <t>Компенсатор волнистый типа КВО или КВУ из стали легированной, коррозионно-стойкой и жаростойкой на сварке до 3 волн на условное давление 6,4 МПа, диаметр условного прохода 350-400 мм</t>
  </si>
  <si>
    <t xml:space="preserve">                                   Компенсаторы волнистые типа КВО или КВУ из стали 20 на фланцах до 3 волн на условное давление 1 МПа</t>
  </si>
  <si>
    <t>ТЕРм12-09-026-01</t>
  </si>
  <si>
    <t>Компенсатор волнистый типа КВО или КВУ из стали 20 на фланцах до 3 волн на условное давление 1 МПа, диаметр условного прохода 150 мм</t>
  </si>
  <si>
    <t>ТЕРм12-09-026-02</t>
  </si>
  <si>
    <t>Компенсатор волнистый типа КВО или КВУ из стали 20 на фланцах до 3 волн на условное давление 1 МПа, диаметр условного прохода 200 мм</t>
  </si>
  <si>
    <t>ТЕРм12-09-026-03</t>
  </si>
  <si>
    <t>Компенсатор волнистый типа КВО или КВУ из стали 20 на фланцах до 3 волн на условное давление 1 МПа, диаметр условного прохода 250-300 мм</t>
  </si>
  <si>
    <t>ТЕРм12-09-026-04</t>
  </si>
  <si>
    <t>Компенсатор волнистый типа КВО или КВУ из стали 20 на фланцах до 3 волн на условное давление 1 МПа, диаметр условного прохода 350-400 мм</t>
  </si>
  <si>
    <t xml:space="preserve">                                   Компенсаторы волнистые типа КВО и КВО5 из стали 20 на фланцах до 3 волн на условное давление 2,5 МПа</t>
  </si>
  <si>
    <t>ТЕРм12-09-027-01</t>
  </si>
  <si>
    <t>Компенсатор волнистый типа КВО и КВО5 из стали 20 на фланцах до 3 волн на условное давление 2,5 МПа, диаметр условного прохода 150 мм</t>
  </si>
  <si>
    <t>ТЕРм12-09-027-02</t>
  </si>
  <si>
    <t>Компенсатор волнистый типа КВО и КВО5 из стали 20 на фланцах до 3 волн на условное давление 2,5 МПа, диаметр условного прохода 200 мм</t>
  </si>
  <si>
    <t>ТЕРм12-09-027-03</t>
  </si>
  <si>
    <t>Компенсатор волнистый типа КВО и КВО5 из стали 20 на фланцах до 3 волн на условное давление 2,5 МПа, диаметр условного прохода 250-300 мм</t>
  </si>
  <si>
    <t>ТЕРм12-09-027-04</t>
  </si>
  <si>
    <t>Компенсатор волнистый типа КВО и КВО5 из стали 20 на фланцах до 3 волн на условное давление 2,5 МПа, диаметр условного прохода 350-400 мм</t>
  </si>
  <si>
    <t xml:space="preserve">                                   Компенсаторы волнистые типа КВО и КВВ из стали 20 на фланцах до 3 волн на условное давление 6,4 МПа</t>
  </si>
  <si>
    <t>ТЕРм12-09-028-01</t>
  </si>
  <si>
    <t>Компенсатор волнистый типа КВО и КВВ из стали 20 на фланцах до 3 волн на условное давление 6,4 МПа, диаметр условного прохода 150 мм</t>
  </si>
  <si>
    <t>ТЕРм12-09-028-02</t>
  </si>
  <si>
    <t>Компенсатор волнистый типа КВО и КВВ из стали 20 на фланцах до 3 волн на условное давление 6,4 МПа, диаметр условного прохода 200 мм</t>
  </si>
  <si>
    <t>ТЕРм12-09-028-03</t>
  </si>
  <si>
    <t>Компенсатор волнистый типа КВО и КВВ из стали 20 на фланцах до 3 волн на условное давление 6,4 МПа, диаметр условного прохода 250-300 мм</t>
  </si>
  <si>
    <t>ТЕРм12-09-028-04</t>
  </si>
  <si>
    <t>Компенсатор волнистый типа КВО и КВВ из стали 20 на фланцах до 3 волн на условное давление 6,4 МПа, диаметр условного прохода 350-400 мм</t>
  </si>
  <si>
    <t xml:space="preserve">                                   Компенсаторы волнистые типа КВПФ из стали 20 на фланцах до 3 волн на условное давление 6,4 МПа</t>
  </si>
  <si>
    <t>ТЕРм12-09-029-01</t>
  </si>
  <si>
    <t>Компенсатор волнистый типа КВПФ из стали 20 на фланцах до 3 волн на условное давление 6,4 МПа, диаметр условного прохода 300 мм</t>
  </si>
  <si>
    <t>ТЕРм12-09-029-02</t>
  </si>
  <si>
    <t>Компенсатор волнистый типа КВПФ из стали 20 на фланцах до 3 волн на условное давление 6,4 МПа, диаметр условного прохода 400 мм</t>
  </si>
  <si>
    <t xml:space="preserve">                                   Компенсаторы волнистые типа КВО, КВО5, КВВ и КВПФ из стали легированной, коррозионно-стойкой и жаростойкой на фланцах до 3 волн на условное давление 6,4 МПа</t>
  </si>
  <si>
    <t>ТЕРм12-09-030-01</t>
  </si>
  <si>
    <t>Компенсатор волнистый типа КВО, КВО5, КВВ и КВПФ из стали легированной, коррозионно-стойкой и жаростойкой на фланцах до 3 волн на условное давление 6,4 МПа, диаметр условного прохода 150 мм</t>
  </si>
  <si>
    <t>ТЕРм12-09-030-02</t>
  </si>
  <si>
    <t>Компенсатор волнистый типа КВО, КВО5, КВВ и КВПФ из стали легированной, коррозионно-стойкой и жаростойкой на фланцах до 3 волн на условное давление 6,4 МПа, диаметр условного прохода 200 мм</t>
  </si>
  <si>
    <t>ТЕРм12-09-030-03</t>
  </si>
  <si>
    <t>Компенсатор волнистый типа КВО, КВО5, КВВ и КВПФ из стали легированной, коррозионно-стойкой и жаростойкой на фланцах до 3 волн на условное давление 6,4 МПа, диаметр условного прохода 250-300 мм</t>
  </si>
  <si>
    <t>ТЕРм12-09-030-04</t>
  </si>
  <si>
    <t>Компенсатор волнистый типа КВО, КВО5, КВВ и КВПФ из стали легированной, коррозионно-стойкой и жаростойкой на фланцах до 3 волн на условное давление 6,4 МПа, диаметр условного прохода 350-400 мм</t>
  </si>
  <si>
    <t xml:space="preserve">                                   Компенсаторы волнистые типа КВО и КВО5 из стали легированной, коррозионно-стойкой и жаростойкой на фланцах до 3 волн на условное давление 2,5 МПа</t>
  </si>
  <si>
    <t>ТЕРм12-09-031-01</t>
  </si>
  <si>
    <t>Компенсатор волнистый типа КВО и КВО5 из стали легированной, коррозионно-стойкой и жаростойкой на фланцах до 3 волн на условное давление 2,5 МПа, диаметр условного прохода 150 мм</t>
  </si>
  <si>
    <t>ТЕРм12-09-031-02</t>
  </si>
  <si>
    <t>Компенсатор волнистый типа КВО и КВО5 из стали легированной, коррозионно-стойкой и жаростойкой на фланцах до 3 волн на условное давление 2,5 МПа, диаметр условного прохода 200 мм</t>
  </si>
  <si>
    <t>ТЕРм12-09-031-03</t>
  </si>
  <si>
    <t>Компенсатор волнистый типа КВО и КВО5 из стали легированной, коррозионно-стойкой и жаростойкой на фланцах до 3 волн на условное давление 2,5 МПа, диаметр условного прохода 250-300 мм</t>
  </si>
  <si>
    <t>ТЕРм12-09-031-04</t>
  </si>
  <si>
    <t>Компенсатор волнистый типа КВО и КВО5 из стали легированной, коррозионно-стойкой и жаростойкой на фланцах до 3 волн на условное давление 2,5 МПа, диаметр условного прохода 350-400 мм</t>
  </si>
  <si>
    <t xml:space="preserve">                           Раздел 9. ОТДЕЛ 10. ЗАКЛАДНЫЕ И ОТБОРНЫЕ УСТРОЙСТВА СИСТЕМ АВТОМАТИЗАЦИИ</t>
  </si>
  <si>
    <t xml:space="preserve">                                   Раздел 1. ЗАКЛАДНЫЕ УСТРОЙСТВА СИСТЕМ АВТОМАТИЗАЦИИ</t>
  </si>
  <si>
    <t xml:space="preserve">                                   Закладные устройства приборов</t>
  </si>
  <si>
    <t>ТЕРм12-10-001-01</t>
  </si>
  <si>
    <t>Бобышки, штуцеры на условное давление до 10 МПа</t>
  </si>
  <si>
    <t>ТЕРм12-10-001-02</t>
  </si>
  <si>
    <t>Бобышки, штуцеры на условное давление свыше 10 МПа</t>
  </si>
  <si>
    <t>ТЕРм12-10-001-03</t>
  </si>
  <si>
    <t>Расширитель с бобышкой из углеродистой стали, диаметр корпуса расширителя до 108 мм на условное давление до 10 МПа для трубопроводов диаметром до 76 мм</t>
  </si>
  <si>
    <t>ТЕРм12-10-001-04</t>
  </si>
  <si>
    <t>Закладное устройство для установки поверхностных приборов - прижим</t>
  </si>
  <si>
    <t>ТЕРм12-10-001-05</t>
  </si>
  <si>
    <t>Закладное устройство с фланцем на металлической стенке (аппаратов, трубопроводов)</t>
  </si>
  <si>
    <t>ТЕРм12-10-001-06</t>
  </si>
  <si>
    <t>Закладное устройство в кирпичной кладке</t>
  </si>
  <si>
    <t xml:space="preserve">                                   Закладные и отборные устройства для приборов измерения давления и разрежения</t>
  </si>
  <si>
    <t>ТЕРм12-10-002-01</t>
  </si>
  <si>
    <t>Закладное устройство отбора давления идеальных газов</t>
  </si>
  <si>
    <t>ТЕРм12-10-002-02</t>
  </si>
  <si>
    <t>Устройство отборное для измерения разрежения чистых газов</t>
  </si>
  <si>
    <t xml:space="preserve">                           Раздел 10. ОТДЕЛ 11. РАЗНЫЕ РАБОТЫ, СВЯЗАННЫЕ С МОНТАЖОМ ТРУБОПРОВОДОВ</t>
  </si>
  <si>
    <t xml:space="preserve">                                   Предварительный подогрев сварных соединений труб</t>
  </si>
  <si>
    <t>ТЕРм12-11-001-01</t>
  </si>
  <si>
    <t>Предварительный подогрев сварных соединений труб, диаметр наружный 14 мм</t>
  </si>
  <si>
    <t>ТЕРм12-11-001-02</t>
  </si>
  <si>
    <t>Предварительный подогрев сварных соединений труб, диаметр наружный 18 мм</t>
  </si>
  <si>
    <t>ТЕРм12-11-001-03</t>
  </si>
  <si>
    <t>Предварительный подогрев сварных соединений труб, диаметр наружный 25 мм</t>
  </si>
  <si>
    <t>ТЕРм12-11-001-04</t>
  </si>
  <si>
    <t>Предварительный подогрев сварных соединений труб, диаметр наружный 32 мм</t>
  </si>
  <si>
    <t>ТЕРм12-11-001-05</t>
  </si>
  <si>
    <t>Предварительный подогрев сварных соединений труб, диаметр наружный 38 мм</t>
  </si>
  <si>
    <t>ТЕРм12-11-001-06</t>
  </si>
  <si>
    <t>Предварительный подогрев сварных соединений труб, диаметр наружный 45 мм</t>
  </si>
  <si>
    <t>ТЕРм12-11-001-07</t>
  </si>
  <si>
    <t>Предварительный подогрев сварных соединений труб, диаметр наружный 57 мм</t>
  </si>
  <si>
    <t>ТЕРм12-11-001-08</t>
  </si>
  <si>
    <t>Предварительный подогрев сварных соединений труб, диаметр наружный 76 мм</t>
  </si>
  <si>
    <t>ТЕРм12-11-001-09</t>
  </si>
  <si>
    <t>Предварительный подогрев сварных соединений труб, диаметр наружный 89 мм</t>
  </si>
  <si>
    <t>ТЕРм12-11-001-10</t>
  </si>
  <si>
    <t>Предварительный подогрев сварных соединений труб, диаметр наружный 108 мм</t>
  </si>
  <si>
    <t>ТЕРм12-11-001-11</t>
  </si>
  <si>
    <t>Предварительный подогрев сварных соединений труб, диаметр наружный 133 мм</t>
  </si>
  <si>
    <t>ТЕРм12-11-001-12</t>
  </si>
  <si>
    <t>Предварительный подогрев сварных соединений труб, диаметр наружный 159 мм</t>
  </si>
  <si>
    <t>ТЕРм12-11-001-13</t>
  </si>
  <si>
    <t>Предварительный подогрев сварных соединений труб, диаметр наружный 219 мм</t>
  </si>
  <si>
    <t>ТЕРм12-11-001-14</t>
  </si>
  <si>
    <t>Предварительный подогрев сварных соединений труб, диаметр наружный 273 мм</t>
  </si>
  <si>
    <t>ТЕРм12-11-001-15</t>
  </si>
  <si>
    <t>Предварительный подогрев сварных соединений труб, диаметр наружный 325 мм</t>
  </si>
  <si>
    <t>ТЕРм12-11-001-16</t>
  </si>
  <si>
    <t>Предварительный подогрев сварных соединений труб, диаметр наружный 377 мм</t>
  </si>
  <si>
    <t>ТЕРм12-11-001-17</t>
  </si>
  <si>
    <t>Предварительный подогрев сварных соединений труб, диаметр наружный 426 мм</t>
  </si>
  <si>
    <t>ТЕРм12-11-001-18</t>
  </si>
  <si>
    <t>Предварительный подогрев сварных соединений труб, диаметр наружный 530 мм</t>
  </si>
  <si>
    <t>ТЕРм12-11-001-19</t>
  </si>
  <si>
    <t>Предварительный подогрев сварных соединений труб, диаметр наружный 630 мм</t>
  </si>
  <si>
    <t>ТЕРм12-11-001-20</t>
  </si>
  <si>
    <t>Предварительный подогрев сварных соединений труб, диаметр наружный 820 мм</t>
  </si>
  <si>
    <t>ТЕРм12-11-001-21</t>
  </si>
  <si>
    <t>Предварительный подогрев сварных соединений труб, диаметр наружный 1020 мм</t>
  </si>
  <si>
    <t>ТЕРм12-11-001-22</t>
  </si>
  <si>
    <t>Предварительный подогрев сварных соединений труб, диаметр наружный 1220 мм</t>
  </si>
  <si>
    <t xml:space="preserve">                                   Сопутствующий подогрев сварных соединений труб</t>
  </si>
  <si>
    <t>ТЕРм12-11-002-01</t>
  </si>
  <si>
    <t>Сопутствующий подогрев сварных соединений труб, диаметр наружный 14 мм</t>
  </si>
  <si>
    <t>ТЕРм12-11-002-02</t>
  </si>
  <si>
    <t>Сопутствующий подогрев сварных соединений труб, диаметр наружный 18 мм</t>
  </si>
  <si>
    <t>ТЕРм12-11-002-03</t>
  </si>
  <si>
    <t>Сопутствующий подогрев сварных соединений труб, диаметр наружный 25 мм</t>
  </si>
  <si>
    <t>ТЕРм12-11-002-04</t>
  </si>
  <si>
    <t>Сопутствующий подогрев сварных соединений труб, диаметр наружный 32 мм</t>
  </si>
  <si>
    <t>ТЕРм12-11-002-05</t>
  </si>
  <si>
    <t>Сопутствующий подогрев сварных соединений труб, диаметр наружный 38 мм</t>
  </si>
  <si>
    <t>ТЕРм12-11-002-06</t>
  </si>
  <si>
    <t>Сопутствующий подогрев сварных соединений труб, диаметр наружный 45 мм</t>
  </si>
  <si>
    <t>ТЕРм12-11-002-07</t>
  </si>
  <si>
    <t>Сопутствующий подогрев сварных соединений труб, диаметр наружный 57 мм</t>
  </si>
  <si>
    <t>ТЕРм12-11-002-08</t>
  </si>
  <si>
    <t>Сопутствующий подогрев сварных соединений труб, диаметр наружный 76 мм</t>
  </si>
  <si>
    <t>ТЕРм12-11-002-09</t>
  </si>
  <si>
    <t>Сопутствующий подогрев сварных соединений труб, диаметр наружный 89 мм</t>
  </si>
  <si>
    <t>ТЕРм12-11-002-10</t>
  </si>
  <si>
    <t>Сопутствующий подогрев сварных соединений труб, диаметр наружный 108 мм</t>
  </si>
  <si>
    <t>ТЕРм12-11-002-11</t>
  </si>
  <si>
    <t>Сопутствующий подогрев сварных соединений труб, диаметр наружный 133 мм</t>
  </si>
  <si>
    <t>ТЕРм12-11-002-12</t>
  </si>
  <si>
    <t>Сопутствующий подогрев сварных соединений труб, диаметр наружный 159 мм</t>
  </si>
  <si>
    <t>ТЕРм12-11-002-13</t>
  </si>
  <si>
    <t>Сопутствующий подогрев сварных соединений труб, диаметр наружный 219 мм</t>
  </si>
  <si>
    <t>ТЕРм12-11-002-14</t>
  </si>
  <si>
    <t>Сопутствующий подогрев сварных соединений труб, диаметр наружный 273 мм</t>
  </si>
  <si>
    <t>ТЕРм12-11-002-15</t>
  </si>
  <si>
    <t>Сопутствующий подогрев сварных соединений труб, диаметр наружный 325 мм</t>
  </si>
  <si>
    <t>ТЕРм12-11-002-16</t>
  </si>
  <si>
    <t>Сопутствующий подогрев сварных соединений труб, диаметр наружный 377 мм</t>
  </si>
  <si>
    <t>ТЕРм12-11-002-17</t>
  </si>
  <si>
    <t>Сопутствующий подогрев сварных соединений труб, диаметр наружный 426 мм</t>
  </si>
  <si>
    <t>ТЕРм12-11-002-18</t>
  </si>
  <si>
    <t>Сопутствующий подогрев сварных соединений труб, диаметр наружный 530 мм</t>
  </si>
  <si>
    <t>ТЕРм12-11-002-19</t>
  </si>
  <si>
    <t>Сопутствующий подогрев сварных соединений труб, диаметр наружный 630 мм</t>
  </si>
  <si>
    <t>ТЕРм12-11-002-20</t>
  </si>
  <si>
    <t>Сопутствующий подогрев сварных соединений труб, диаметр наружный 820 мм</t>
  </si>
  <si>
    <t>ТЕРм12-11-002-21</t>
  </si>
  <si>
    <t>Сопутствующий подогрев сварных соединений труб, диаметр наружный 1020 мм</t>
  </si>
  <si>
    <t>ТЕРм12-11-002-22</t>
  </si>
  <si>
    <t>Сопутствующий подогрев сварных соединений труб, диаметр наружный 1220 мм</t>
  </si>
  <si>
    <t xml:space="preserve">                                   Термическая обработка сварных стыков трубопроводов</t>
  </si>
  <si>
    <t>ТЕРм12-11-003-01</t>
  </si>
  <si>
    <t>Термическая обработка сварного стыка трубопроводов, диаметр наружный 14 мм</t>
  </si>
  <si>
    <t>ТЕРм12-11-003-02</t>
  </si>
  <si>
    <t>Термическая обработка сварного стыка трубопроводов, диаметр наружный 18 мм</t>
  </si>
  <si>
    <t>ТЕРм12-11-003-03</t>
  </si>
  <si>
    <t>Термическая обработка сварного стыка трубопроводов, диаметр наружный 25 мм</t>
  </si>
  <si>
    <t>ТЕРм12-11-003-04</t>
  </si>
  <si>
    <t>Термическая обработка сварного стыка трубопроводов, диаметр наружный 32 мм</t>
  </si>
  <si>
    <t>ТЕРм12-11-003-05</t>
  </si>
  <si>
    <t>Термическая обработка сварного стыка трубопроводов, диаметр наружный 38 мм</t>
  </si>
  <si>
    <t>ТЕРм12-11-003-06</t>
  </si>
  <si>
    <t>Термическая обработка сварного стыка трубопроводов, диаметр наружный 45 мм</t>
  </si>
  <si>
    <t>ТЕРм12-11-003-07</t>
  </si>
  <si>
    <t>Термическая обработка сварного стыка трубопроводов, диаметр наружный 57 мм</t>
  </si>
  <si>
    <t>ТЕРм12-11-003-08</t>
  </si>
  <si>
    <t>Термическая обработка сварного стыка трубопроводов, диаметр наружный 76 мм</t>
  </si>
  <si>
    <t>ТЕРм12-11-003-09</t>
  </si>
  <si>
    <t>Термическая обработка сварного стыка трубопроводов, диаметр наружный 89 мм</t>
  </si>
  <si>
    <t>ТЕРм12-11-003-10</t>
  </si>
  <si>
    <t>Термическая обработка сварного стыка трубопроводов, диаметр наружный 108 мм</t>
  </si>
  <si>
    <t>ТЕРм12-11-003-11</t>
  </si>
  <si>
    <t>Термическая обработка сварного стыка трубопроводов, диаметр наружный 133 мм</t>
  </si>
  <si>
    <t>ТЕРм12-11-003-12</t>
  </si>
  <si>
    <t>Термическая обработка сварного стыка трубопроводов, диаметр наружный 159 мм</t>
  </si>
  <si>
    <t>ТЕРм12-11-003-13</t>
  </si>
  <si>
    <t>Термическая обработка сварного стыка трубопроводов, диаметр наружный 219 мм</t>
  </si>
  <si>
    <t>ТЕРм12-11-003-14</t>
  </si>
  <si>
    <t>Термическая обработка сварного стыка трубопроводов, диаметр наружный 273 мм</t>
  </si>
  <si>
    <t>ТЕРм12-11-003-15</t>
  </si>
  <si>
    <t>Термическая обработка сварного стыка трубопроводов, диаметр наружный 325 мм</t>
  </si>
  <si>
    <t>ТЕРм12-11-003-16</t>
  </si>
  <si>
    <t>Термическая обработка сварного стыка трубопроводов, диаметр наружный 377 мм</t>
  </si>
  <si>
    <t>ТЕРм12-11-003-17</t>
  </si>
  <si>
    <t>Термическая обработка сварного стыка трубопроводов, диаметр наружный 426 мм</t>
  </si>
  <si>
    <t>ТЕРм12-11-003-18</t>
  </si>
  <si>
    <t>Термическая обработка сварного стыка трубопроводов, диаметр наружный 530 мм</t>
  </si>
  <si>
    <t>ТЕРм12-11-003-19</t>
  </si>
  <si>
    <t>Термическая обработка сварного стыка трубопроводов, диаметр наружный 630 мм</t>
  </si>
  <si>
    <t>ТЕРм12-11-003-20</t>
  </si>
  <si>
    <t>Термическая обработка сварного стыка трубопроводов, диаметр наружный 820 мм</t>
  </si>
  <si>
    <t>ТЕРм12-11-003-21</t>
  </si>
  <si>
    <t>Термическая обработка сварного стыка трубопроводов, диаметр наружный 1020 мм</t>
  </si>
  <si>
    <t>ТЕРм12-11-003-22</t>
  </si>
  <si>
    <t>Термическая обработка сварного стыка трубопроводов, диаметр наружный 1220 мм</t>
  </si>
  <si>
    <t xml:space="preserve">                                   Протравка и промывка труб различными реактивами</t>
  </si>
  <si>
    <t>ТЕРм12-11-004-01</t>
  </si>
  <si>
    <t>Протравка и промывка труб различными реактивами, диаметр труб наружный 15-38 мм</t>
  </si>
  <si>
    <t>ТЕРм12-11-004-02</t>
  </si>
  <si>
    <t>Протравка и промывка труб различными реактивами, диаметр труб наружный 48 мм</t>
  </si>
  <si>
    <t>ТЕРм12-11-004-03</t>
  </si>
  <si>
    <t>Протравка и промывка труб различными реактивами, диаметр труб наружный 57 мм</t>
  </si>
  <si>
    <t>ТЕРм12-11-004-04</t>
  </si>
  <si>
    <t>Протравка и промывка труб различными реактивами, диаметр труб наружный 76 мм</t>
  </si>
  <si>
    <t>ТЕРм12-11-004-05</t>
  </si>
  <si>
    <t>Протравка и промывка труб различными реактивами, диаметр труб наружный 89 мм</t>
  </si>
  <si>
    <t>ТЕРм12-11-004-06</t>
  </si>
  <si>
    <t>Протравка и промывка труб различными реактивами, диаметр труб наружный 108 мм</t>
  </si>
  <si>
    <t>ТЕРм12-11-004-07</t>
  </si>
  <si>
    <t>Протравка и промывка труб различными реактивами, диаметр труб наружный 133-159 мм</t>
  </si>
  <si>
    <t>ТЕРм12-11-004-08</t>
  </si>
  <si>
    <t>Протравка и промывка труб различными реактивами, диаметр труб наружный 219-426 мм</t>
  </si>
  <si>
    <t>ТЕРм12-11-004-09</t>
  </si>
  <si>
    <t>Протравка и промывка труб различными реактивами, диаметр труб наружный 530-630 мм</t>
  </si>
  <si>
    <t xml:space="preserve">                                   Врезка трубопроводов условным давлением 2,5 МПа в действующие магистрали</t>
  </si>
  <si>
    <t>ТЕРм12-11-005-01</t>
  </si>
  <si>
    <t>Врезка трубопровода условным давлением 2,5 МПа в действующие магистрали, диаметр наружный врезаемой трубы 57 мм</t>
  </si>
  <si>
    <t>ТЕРм12-11-005-02</t>
  </si>
  <si>
    <t>Врезка трубопровода условным давлением 2,5 МПа в действующие магистрали, диаметр наружный врезаемой трубы 76 мм</t>
  </si>
  <si>
    <t>ТЕРм12-11-005-03</t>
  </si>
  <si>
    <t>Врезка трубопровода условным давлением 2,5 МПа в действующие магистрали, диаметр наружный врезаемой трубы 89 мм</t>
  </si>
  <si>
    <t>ТЕРм12-11-005-04</t>
  </si>
  <si>
    <t>Врезка трубопровода условным давлением 2,5 МПа в действующие магистрали, диаметр наружный врезаемой трубы 108 мм</t>
  </si>
  <si>
    <t>ТЕРм12-11-005-05</t>
  </si>
  <si>
    <t>Врезка трубопровода условным давлением 2,5 МПа в действующие магистрали, диаметр наружный врезаемой трубы 133 мм</t>
  </si>
  <si>
    <t>ТЕРм12-11-005-06</t>
  </si>
  <si>
    <t>Врезка трубопровода условным давлением 2,5 МПа в действующие магистрали, диаметр наружный врезаемой трубы 159 мм</t>
  </si>
  <si>
    <t>ТЕРм12-11-005-07</t>
  </si>
  <si>
    <t>Врезка трубопровода условным давлением 2,5 МПа в действующие магистрали, диаметр наружный врезаемой трубы 219 мм</t>
  </si>
  <si>
    <t>ТЕРм12-11-005-08</t>
  </si>
  <si>
    <t>Врезка трубопровода условным давлением 2,5 МПа в действующие магистрали, диаметр наружный врезаемой трубы 273 мм</t>
  </si>
  <si>
    <t>ТЕРм12-11-005-09</t>
  </si>
  <si>
    <t>Врезка трубопровода условным давлением 2,5 МПа в действующие магистрали, диаметр наружный врезаемой трубы 325 мм</t>
  </si>
  <si>
    <t>ТЕРм12-11-005-10</t>
  </si>
  <si>
    <t>Врезка трубопровода условным давлением 2,5 МПа в действующие магистрали, диаметр наружный врезаемой трубы 377 мм</t>
  </si>
  <si>
    <t>ТЕРм12-11-005-11</t>
  </si>
  <si>
    <t>Врезка трубопровода условным давлением 2,5 МПа в действующие магистрали, диаметр наружный врезаемой трубы 426 мм</t>
  </si>
  <si>
    <t xml:space="preserve">                                   Присоединение трубопроводов условным давлением до 2,5 МПа к действующей магистрали</t>
  </si>
  <si>
    <t>ТЕРм12-11-006-01</t>
  </si>
  <si>
    <t>Присоединение трубопровода условным давлением до 2,5 МПа к действующей магистрали, диаметр наружный присоединяемой трубы 57 мм</t>
  </si>
  <si>
    <t>ТЕРм12-11-006-02</t>
  </si>
  <si>
    <t>Присоединение трубопровода условным давлением до 2,5 МПа к действующей магистрали, диаметр наружный присоединяемой трубы 76 мм</t>
  </si>
  <si>
    <t>ТЕРм12-11-006-03</t>
  </si>
  <si>
    <t>Присоединение трубопровода условным давлением до 2,5 МПа к действующей магистрали, диаметр наружный присоединяемой трубы 89 мм</t>
  </si>
  <si>
    <t>ТЕРм12-11-006-04</t>
  </si>
  <si>
    <t>Присоединение трубопровода условным давлением до 2,5 МПа к действующей магистрали, диаметр наружный присоединяемой трубы 108 мм</t>
  </si>
  <si>
    <t>ТЕРм12-11-006-05</t>
  </si>
  <si>
    <t>Присоединение трубопровода условным давлением до 2,5 МПа к действующей магистрали, диаметр наружный присоединяемой трубы 133 мм</t>
  </si>
  <si>
    <t>ТЕРм12-11-006-06</t>
  </si>
  <si>
    <t>Присоединение трубопровода условным давлением до 2,5 МПа к действующей магистрали, диаметр наружный присоединяемой трубы 159 мм</t>
  </si>
  <si>
    <t>ТЕРм12-11-006-07</t>
  </si>
  <si>
    <t>Присоединение трубопровода условным давлением до 2,5 МПа к действующей магистрали, диаметр наружный присоединяемой трубы 219 мм</t>
  </si>
  <si>
    <t>ТЕРм12-11-006-08</t>
  </si>
  <si>
    <t>Присоединение трубопровода условным давлением до 2,5 МПа к действующей магистрали, диаметр наружный присоединяемой трубы 273 мм</t>
  </si>
  <si>
    <t>ТЕРм12-11-006-09</t>
  </si>
  <si>
    <t>Присоединение трубопровода условным давлением до 2,5 МПа к действующей магистрали, диаметр наружный присоединяемой трубы 325 мм</t>
  </si>
  <si>
    <t>ТЕРм12-11-006-10</t>
  </si>
  <si>
    <t>Присоединение трубопровода условным давлением до 2,5 МПа к действующей магистрали, диаметр наружный присоединяемой трубы 377 мм</t>
  </si>
  <si>
    <t>ТЕРм12-11-006-11</t>
  </si>
  <si>
    <t>Присоединение трубопровода условным давлением до 2,5 МПа к действующей магистрали, диаметр наружный присоединяемой трубы 426 мм</t>
  </si>
  <si>
    <t>ТЕРм12-11-006-12</t>
  </si>
  <si>
    <t>Присоединение трубопровода условным давлением до 2,5 МПа к действующей магистрали, диаметр наружный присоединяемой трубы 530 мм</t>
  </si>
  <si>
    <t>ТЕРм12-11-006-13</t>
  </si>
  <si>
    <t>Присоединение трубопровода условным давлением до 2,5 МПа к действующей магистрали, диаметр наружный присоединяемой трубы 630 мм</t>
  </si>
  <si>
    <t>ТЕРм12-11-006-14</t>
  </si>
  <si>
    <t>Присоединение трубопровода условным давлением до 2,5 МПа к действующей магистрали, диаметр наружный присоединяемой трубы 720 мм</t>
  </si>
  <si>
    <t>ТЕРм12-11-006-15</t>
  </si>
  <si>
    <t>Присоединение трубопровода условным давлением до 2,5 МПа к действующей магистрали, диаметр наружный присоединяемой трубы 820 мм</t>
  </si>
  <si>
    <t>ТЕРм12-11-006-16</t>
  </si>
  <si>
    <t>Присоединение трубопровода условным давлением до 2,5 МПа к действующей магистрали, диаметр наружный присоединяемой трубы 1020 мм</t>
  </si>
  <si>
    <t>ТЕРм12-11-006-17</t>
  </si>
  <si>
    <t>Присоединение трубопровода условным давлением до 2,5 МПа к действующей магистрали, диаметр наружный присоединяемой трубы 1220 мм</t>
  </si>
  <si>
    <t>ТЕРм12-11-006-18</t>
  </si>
  <si>
    <t>Присоединение трубопровода условным давлением до 2,5 МПа к действующей магистрали, диаметр наружный присоединяемой трубы 1420 мм</t>
  </si>
  <si>
    <t>ТЕРм12-11-006-19</t>
  </si>
  <si>
    <t>Присоединение трубопровода условным давлением до 2,5 МПа к действующей магистрали, диаметр наружный присоединяемой трубы 1620 мм</t>
  </si>
  <si>
    <t xml:space="preserve">                           Раздел 11. ОТДЕЛ 12. АРМАТУРА ОБЩЕГО НАЗНАЧЕНИЯ</t>
  </si>
  <si>
    <t xml:space="preserve">                                   Раздел 1. АРМАТУРА ФЛАНЦЕВАЯ, ПРИВАРНАЯ, МУФТОВАЯ</t>
  </si>
  <si>
    <t xml:space="preserve">                                   Арматура фланцевая с ручным приводом или без привода водопроводная на условное давление до 4 МПа</t>
  </si>
  <si>
    <t>ТЕРм12-12-001-01</t>
  </si>
  <si>
    <t>Арматура фланцевая с ручным приводом или без привода водопроводная на условное давление до 4 МПа, диаметр условного прохода 10 мм</t>
  </si>
  <si>
    <t>ТЕРм12-12-001-02</t>
  </si>
  <si>
    <t>Арматура фланцевая с ручным приводом или без привода водопроводная на условное давление до 4 МПа, диаметр условного прохода 15 мм</t>
  </si>
  <si>
    <t>ТЕРм12-12-001-03</t>
  </si>
  <si>
    <t>Арматура фланцевая с ручным приводом или без привода водопроводная на условное давление до 4 МПа, диаметр условного прохода 20 мм</t>
  </si>
  <si>
    <t>ТЕРм12-12-001-04</t>
  </si>
  <si>
    <t>Арматура фланцевая с ручным приводом или без привода водопроводная на условное давление до 4 МПа, диаметр условного прохода 25 мм</t>
  </si>
  <si>
    <t>ТЕРм12-12-001-05</t>
  </si>
  <si>
    <t>Арматура фланцевая с ручным приводом или без привода водопроводная на условное давление до 4 МПа, диаметр условного прохода 32 мм</t>
  </si>
  <si>
    <t>ТЕРм12-12-001-06</t>
  </si>
  <si>
    <t>Арматура фланцевая с ручным приводом или без привода водопроводная на условное давление до 4 МПа, диаметр условного прохода 40 мм</t>
  </si>
  <si>
    <t>ТЕРм12-12-001-07</t>
  </si>
  <si>
    <t>Арматура фланцевая с ручным приводом или без привода водопроводная на условное давление до 4 МПа, диаметр условного прохода 50 мм</t>
  </si>
  <si>
    <t>ТЕРм12-12-001-08</t>
  </si>
  <si>
    <t>Арматура фланцевая с ручным приводом или без привода водопроводная на условное давление до 4 МПа, диаметр условного прохода 65 мм</t>
  </si>
  <si>
    <t>ТЕРм12-12-001-09</t>
  </si>
  <si>
    <t>Арматура фланцевая с ручным приводом или без привода водопроводная на условное давление до 4 МПа, диаметр условного прохода 80 мм</t>
  </si>
  <si>
    <t>ТЕРм12-12-001-10</t>
  </si>
  <si>
    <t>Арматура фланцевая с ручным приводом или без привода водопроводная на условное давление до 4 МПа, диаметр условного прохода 100 мм</t>
  </si>
  <si>
    <t>ТЕРм12-12-001-11</t>
  </si>
  <si>
    <t>Арматура фланцевая с ручным приводом или без привода водопроводная на условное давление до 4 МПа, диаметр условного прохода 125 мм</t>
  </si>
  <si>
    <t>ТЕРм12-12-001-12</t>
  </si>
  <si>
    <t>Арматура фланцевая с ручным приводом или без привода водопроводная на условное давление до 4 МПа, диаметр условного прохода 150 мм</t>
  </si>
  <si>
    <t>ТЕРм12-12-001-13</t>
  </si>
  <si>
    <t>Арматура фланцевая с ручным приводом или без привода водопроводная на условное давление до 4 МПа, диаметр условного прохода 200 мм</t>
  </si>
  <si>
    <t>ТЕРм12-12-001-14</t>
  </si>
  <si>
    <t>Арматура фланцевая с ручным приводом или без привода водопроводная на условное давление до 4 МПа, диаметр условного прохода 250 мм</t>
  </si>
  <si>
    <t>ТЕРм12-12-001-15</t>
  </si>
  <si>
    <t>Арматура фланцевая с ручным приводом или без привода водопроводная на условное давление до 4 МПа, диаметр условного прохода 300 мм</t>
  </si>
  <si>
    <t>ТЕРм12-12-001-16</t>
  </si>
  <si>
    <t>Арматура фланцевая с ручным приводом или без привода водопроводная на условное давление до 4 МПа, диаметр условного прохода 350 мм</t>
  </si>
  <si>
    <t>ТЕРм12-12-001-17</t>
  </si>
  <si>
    <t>Арматура фланцевая с ручным приводом или без привода водопроводная на условное давление до 4 МПа, диаметр условного прохода 400 мм</t>
  </si>
  <si>
    <t>ТЕРм12-12-001-18</t>
  </si>
  <si>
    <t>Арматура фланцевая с ручным приводом или без привода водопроводная на условное давление до 4 МПа, диаметр условного прохода 500 мм</t>
  </si>
  <si>
    <t>ТЕРм12-12-001-19</t>
  </si>
  <si>
    <t>Арматура фланцевая с ручным приводом или без привода водопроводная на условное давление до 4 МПа, диаметр условного прохода 600 мм</t>
  </si>
  <si>
    <t>ТЕРм12-12-001-20</t>
  </si>
  <si>
    <t>Арматура фланцевая с ручным приводом или без привода водопроводная на условное давление до 4 МПа, диаметр условного прохода 800 мм</t>
  </si>
  <si>
    <t>ТЕРм12-12-001-21</t>
  </si>
  <si>
    <t>Арматура фланцевая с ручным приводом или без привода водопроводная на условное давление до 4 МПа, диаметр условного прохода 1000 мм</t>
  </si>
  <si>
    <t>ТЕРм12-12-001-22</t>
  </si>
  <si>
    <t>Арматура фланцевая с ручным приводом или без привода водопроводная на условное давление до 4 МПа, диаметр условного прохода 1200 мм</t>
  </si>
  <si>
    <t xml:space="preserve">                                   Арматура фланцевая с ручным приводом или без привода водопроводная на условное давление до 10 МПа</t>
  </si>
  <si>
    <t>ТЕРм12-12-002-01</t>
  </si>
  <si>
    <t>Арматура фланцевая с ручным приводом или без привода водопроводная на условное давление до 10 МПа, диаметр условного прохода 10 мм</t>
  </si>
  <si>
    <t>ТЕРм12-12-002-02</t>
  </si>
  <si>
    <t>Арматура фланцевая с ручным приводом или без привода водопроводная на условное давление до 10 МПа, диаметр условного прохода 15 мм</t>
  </si>
  <si>
    <t>ТЕРм12-12-002-03</t>
  </si>
  <si>
    <t>Арматура фланцевая с ручным приводом или без привода водопроводная на условное давление до 10 МПа, диаметр условного прохода 20 мм</t>
  </si>
  <si>
    <t>ТЕРм12-12-002-04</t>
  </si>
  <si>
    <t>Арматура фланцевая с ручным приводом или без привода водопроводная на условное давление до 10 МПа, диаметр условного прохода 25 мм</t>
  </si>
  <si>
    <t>ТЕРм12-12-002-05</t>
  </si>
  <si>
    <t>Арматура фланцевая с ручным приводом или без привода водопроводная на условное давление до 10 МПа, диаметр условного прохода 32 мм</t>
  </si>
  <si>
    <t>ТЕРм12-12-002-06</t>
  </si>
  <si>
    <t>Арматура фланцевая с ручным приводом или без привода водопроводная на условное давление до 10 МПа, диаметр условного прохода 40 мм</t>
  </si>
  <si>
    <t>ТЕРм12-12-002-07</t>
  </si>
  <si>
    <t>Арматура фланцевая с ручным приводом или без привода водопроводная на условное давление до 10 МПа, диаметр условного прохода 50 мм</t>
  </si>
  <si>
    <t>ТЕРм12-12-002-08</t>
  </si>
  <si>
    <t>Арматура фланцевая с ручным приводом или без привода водопроводная на условное давление до 10 МПа, диаметр условного прохода 65 мм</t>
  </si>
  <si>
    <t>ТЕРм12-12-002-09</t>
  </si>
  <si>
    <t>Арматура фланцевая с ручным приводом или без привода водопроводная на условное давление до 10 МПа, диаметр условного прохода 80 мм</t>
  </si>
  <si>
    <t>ТЕРм12-12-002-10</t>
  </si>
  <si>
    <t>Арматура фланцевая с ручным приводом или без привода водопроводная на условное давление до 10 МПа, диаметр условного прохода 100 мм</t>
  </si>
  <si>
    <t>ТЕРм12-12-002-11</t>
  </si>
  <si>
    <t>Арматура фланцевая с ручным приводом или без привода водопроводная на условное давление до 10 МПа, диаметр условного прохода 125 мм</t>
  </si>
  <si>
    <t>ТЕРм12-12-002-12</t>
  </si>
  <si>
    <t>Арматура фланцевая с ручным приводом или без привода водопроводная на условное давление до 10 МПа, диаметр условного прохода 150 мм</t>
  </si>
  <si>
    <t>ТЕРм12-12-002-13</t>
  </si>
  <si>
    <t>Арматура фланцевая с ручным приводом или без привода водопроводная на условное давление до 10 МПа, диаметр условного прохода 200 мм</t>
  </si>
  <si>
    <t>ТЕРм12-12-002-14</t>
  </si>
  <si>
    <t>Арматура фланцевая с ручным приводом или без привода водопроводная на условное давление до 10 МПа, диаметр условного прохода 250 мм</t>
  </si>
  <si>
    <t>ТЕРм12-12-002-15</t>
  </si>
  <si>
    <t>Арматура фланцевая с ручным приводом или без привода водопроводная на условное давление до 10 МПа, диаметр условного прохода 300 мм</t>
  </si>
  <si>
    <t>ТЕРм12-12-002-16</t>
  </si>
  <si>
    <t>Арматура фланцевая с ручным приводом или без привода водопроводная на условное давление до 10 МПа, диаметр условного прохода 350 мм</t>
  </si>
  <si>
    <t>ТЕРм12-12-002-17</t>
  </si>
  <si>
    <t>Арматура фланцевая с ручным приводом или без привода водопроводная на условное давление до 10 МПа, диаметр условного прохода 400 мм</t>
  </si>
  <si>
    <t>ТЕРм12-12-002-18</t>
  </si>
  <si>
    <t>Арматура фланцевая с ручным приводом или без привода водопроводная на условное давление до 10 МПа, диаметр условного прохода 500 мм</t>
  </si>
  <si>
    <t xml:space="preserve">                                   Арматура фланцевая с электрическим приводом на условное давление до 4 МПа</t>
  </si>
  <si>
    <t>ТЕРм12-12-003-01</t>
  </si>
  <si>
    <t>Арматура фланцевая с электрическим приводом на условное давление до 4 МПа, диаметр условного прохода 32 мм</t>
  </si>
  <si>
    <t>ТЕРм12-12-003-02</t>
  </si>
  <si>
    <t>Арматура фланцевая с электрическим приводом на условное давление до 4 МПа, диаметр условного прохода 40 мм</t>
  </si>
  <si>
    <t>ТЕРм12-12-003-03</t>
  </si>
  <si>
    <t>Арматура фланцевая с электрическим приводом на условное давление до 4 МПа, диаметр условного прохода 50 мм</t>
  </si>
  <si>
    <t>ТЕРм12-12-003-04</t>
  </si>
  <si>
    <t>Арматура фланцевая с электрическим приводом на условное давление до 4 МПа, диаметр условного прохода 65 мм</t>
  </si>
  <si>
    <t>ТЕРм12-12-003-05</t>
  </si>
  <si>
    <t>Арматура фланцевая с электрическим приводом на условное давление до 4 МПа, диаметр условного прохода 80 мм</t>
  </si>
  <si>
    <t>ТЕРм12-12-003-06</t>
  </si>
  <si>
    <t>Арматура фланцевая с электрическим приводом на условное давление до 4 МПа, диаметр условного прохода 100 мм</t>
  </si>
  <si>
    <t>ТЕРм12-12-003-07</t>
  </si>
  <si>
    <t>Арматура фланцевая с электрическим приводом на условное давление до 4 МПа, диаметр условного прохода 125 мм</t>
  </si>
  <si>
    <t>ТЕРм12-12-003-08</t>
  </si>
  <si>
    <t>Арматура фланцевая с электрическим приводом на условное давление до 4 МПа, диаметр условного прохода 150 мм</t>
  </si>
  <si>
    <t>ТЕРм12-12-003-09</t>
  </si>
  <si>
    <t>Арматура фланцевая с электрическим приводом на условное давление до 4 МПа, диаметр условного прохода 200 мм</t>
  </si>
  <si>
    <t>ТЕРм12-12-003-10</t>
  </si>
  <si>
    <t>Арматура фланцевая с электрическим приводом на условное давление до 4 МПа, диаметр условного прохода 250 мм</t>
  </si>
  <si>
    <t>ТЕРм12-12-003-11</t>
  </si>
  <si>
    <t>Арматура фланцевая с электрическим приводом на условное давление до 4 МПа, диаметр условного прохода 300 мм</t>
  </si>
  <si>
    <t>ТЕРм12-12-003-12</t>
  </si>
  <si>
    <t>Арматура фланцевая с электрическим приводом на условное давление до 4 МПа, диаметр условного прохода 350 мм</t>
  </si>
  <si>
    <t>ТЕРм12-12-003-13</t>
  </si>
  <si>
    <t>Арматура фланцевая с электрическим приводом на условное давление до 4 МПа, диаметр условного прохода 400 мм</t>
  </si>
  <si>
    <t>ТЕРм12-12-003-14</t>
  </si>
  <si>
    <t>Арматура фланцевая с электрическим приводом на условное давление до 4 МПа, диаметр условного прохода 500 мм</t>
  </si>
  <si>
    <t>ТЕРм12-12-003-15</t>
  </si>
  <si>
    <t>Арматура фланцевая с электрическим приводом на условное давление до 4 МПа, диаметр условного прохода 600 мм</t>
  </si>
  <si>
    <t>ТЕРм12-12-003-16</t>
  </si>
  <si>
    <t>Арматура фланцевая с электрическим приводом на условное давление до 4 МПа, диаметр условного прохода 800 мм</t>
  </si>
  <si>
    <t>ТЕРм12-12-003-17</t>
  </si>
  <si>
    <t>Арматура фланцевая с электрическим приводом на условное давление до 4 МПа, диаметр условного прохода 1000 мм</t>
  </si>
  <si>
    <t>ТЕРм12-12-003-18</t>
  </si>
  <si>
    <t>Арматура фланцевая с электрическим приводом на условное давление до 4 МПа, диаметр условного прохода 1200 мм</t>
  </si>
  <si>
    <t>ТЕРм12-12-003-19</t>
  </si>
  <si>
    <t>Арматура фланцевая с электрическим приводом на условное давление до 4 МПа, диаметр условного прохода 1400 мм</t>
  </si>
  <si>
    <t xml:space="preserve">                                   Арматура фланцевая с электрическим приводом на условное давление до 10 МПа</t>
  </si>
  <si>
    <t>ТЕРм12-12-004-01</t>
  </si>
  <si>
    <t>Арматура фланцевая с электрическим приводом на условное давление до 10 МПа, диаметр условного прохода 32 мм</t>
  </si>
  <si>
    <t>ТЕРм12-12-004-02</t>
  </si>
  <si>
    <t>Арматура фланцевая с электрическим приводом на условное давление до 10 МПа, диаметр условного прохода 40 мм</t>
  </si>
  <si>
    <t>ТЕРм12-12-004-03</t>
  </si>
  <si>
    <t>Арматура фланцевая с электрическим приводом на условное давление до 10 МПа, диаметр условного прохода 50 мм</t>
  </si>
  <si>
    <t>ТЕРм12-12-004-04</t>
  </si>
  <si>
    <t>Арматура фланцевая с электрическим приводом на условное давление до 10 МПа, диаметр условного прохода 65 мм</t>
  </si>
  <si>
    <t>ТЕРм12-12-004-05</t>
  </si>
  <si>
    <t>Арматура фланцевая с электрическим приводом на условное давление до 10 МПа, диаметр условного прохода 80 мм</t>
  </si>
  <si>
    <t>ТЕРм12-12-004-06</t>
  </si>
  <si>
    <t>Арматура фланцевая с электрическим приводом на условное давление до 10 МПа, диаметр условного прохода 100 мм</t>
  </si>
  <si>
    <t>ТЕРм12-12-004-07</t>
  </si>
  <si>
    <t>Арматура фланцевая с электрическим приводом на условное давление до 10 МПа, диаметр условного прохода 125 мм</t>
  </si>
  <si>
    <t>ТЕРм12-12-004-08</t>
  </si>
  <si>
    <t>Арматура фланцевая с электрическим приводом на условное давление до 10 МПа, диаметр условного прохода 150 мм</t>
  </si>
  <si>
    <t>ТЕРм12-12-004-09</t>
  </si>
  <si>
    <t>Арматура фланцевая с электрическим приводом на условное давление до 10 МПа, диаметр условного прохода 200 мм</t>
  </si>
  <si>
    <t>ТЕРм12-12-004-10</t>
  </si>
  <si>
    <t>Арматура фланцевая с электрическим приводом на условное давление до 10 МПа, диаметр условного прохода 250 мм</t>
  </si>
  <si>
    <t>ТЕРм12-12-004-11</t>
  </si>
  <si>
    <t>Арматура фланцевая с электрическим приводом на условное давление до 10 МПа, диаметр условного прохода 300 мм</t>
  </si>
  <si>
    <t>ТЕРм12-12-004-12</t>
  </si>
  <si>
    <t>Арматура фланцевая с электрическим приводом на условное давление до 10 МПа, диаметр условного прохода 350 мм</t>
  </si>
  <si>
    <t>ТЕРм12-12-004-13</t>
  </si>
  <si>
    <t>Арматура фланцевая с электрическим приводом на условное давление до 10 МПа, диаметр условного прохода 400 мм</t>
  </si>
  <si>
    <t>ТЕРм12-12-004-14</t>
  </si>
  <si>
    <t>Арматура фланцевая с электрическим приводом на условное давление до 10 МПа, диаметр условного прохода 500 мм</t>
  </si>
  <si>
    <t xml:space="preserve">                                   Арматура приварная с ручным приводом или без привода водопроводная на условное давление до 4 МПа</t>
  </si>
  <si>
    <t>ТЕРм12-12-005-01</t>
  </si>
  <si>
    <t>Арматура приварная с ручным приводом или без привода водопроводная на условное давление до 4 МПа, диаметр условного прохода 10 мм</t>
  </si>
  <si>
    <t>ТЕРм12-12-005-02</t>
  </si>
  <si>
    <t>Арматура приварная с ручным приводом или без привода водопроводная на условное давление до 4 МПа, диаметр условного прохода 15 мм</t>
  </si>
  <si>
    <t>ТЕРм12-12-005-03</t>
  </si>
  <si>
    <t>Арматура приварная с ручным приводом или без привода водопроводная на условное давление до 4 МПа, диаметр условного прохода 20 мм</t>
  </si>
  <si>
    <t>ТЕРм12-12-005-04</t>
  </si>
  <si>
    <t>Арматура приварная с ручным приводом или без привода водопроводная на условное давление до 4 МПа, диаметр условного прохода 25 мм</t>
  </si>
  <si>
    <t>ТЕРм12-12-005-05</t>
  </si>
  <si>
    <t>Арматура приварная с ручным приводом или без привода водопроводная на условное давление до 4 МПа, диаметр условного прохода 32 мм</t>
  </si>
  <si>
    <t>ТЕРм12-12-005-06</t>
  </si>
  <si>
    <t>Арматура приварная с ручным приводом или без привода водопроводная на условное давление до 4 МПа, диаметр условного прохода 40 мм</t>
  </si>
  <si>
    <t>ТЕРм12-12-005-07</t>
  </si>
  <si>
    <t>Арматура приварная с ручным приводом или без привода водопроводная на условное давление до 4 МПа, диаметр условного прохода 50 мм</t>
  </si>
  <si>
    <t>ТЕРм12-12-005-08</t>
  </si>
  <si>
    <t>Арматура приварная с ручным приводом или без привода водопроводная на условное давление до 4 МПа, диаметр условного прохода 65 мм</t>
  </si>
  <si>
    <t>ТЕРм12-12-005-09</t>
  </si>
  <si>
    <t>Арматура приварная с ручным приводом или без привода водопроводная на условное давление до 4 МПа, диаметр условного прохода 80 мм</t>
  </si>
  <si>
    <t>ТЕРм12-12-005-10</t>
  </si>
  <si>
    <t>Арматура приварная с ручным приводом или без привода водопроводная на условное давление до 4 МПа, диаметр условного прохода 100 мм</t>
  </si>
  <si>
    <t>ТЕРм12-12-005-11</t>
  </si>
  <si>
    <t>Арматура приварная с ручным приводом или без привода водопроводная на условное давление до 4 МПа, диаметр условного прохода 125 мм</t>
  </si>
  <si>
    <t>ТЕРм12-12-005-12</t>
  </si>
  <si>
    <t>Арматура приварная с ручным приводом или без привода водопроводная на условное давление до 4 МПа, диаметр условного прохода 150 мм</t>
  </si>
  <si>
    <t>ТЕРм12-12-005-13</t>
  </si>
  <si>
    <t>Арматура приварная с ручным приводом или без привода водопроводная на условное давление до 4 МПа, диаметр условного прохода 200 мм</t>
  </si>
  <si>
    <t>ТЕРм12-12-005-14</t>
  </si>
  <si>
    <t>Арматура приварная с ручным приводом или без привода водопроводная на условное давление до 4 МПа, диаметр условного прохода 250 мм</t>
  </si>
  <si>
    <t>ТЕРм12-12-005-15</t>
  </si>
  <si>
    <t>Арматура приварная с ручным приводом или без привода водопроводная на условное давление до 4 МПа, диаметр условного прохода 300 мм</t>
  </si>
  <si>
    <t>ТЕРм12-12-005-16</t>
  </si>
  <si>
    <t>Арматура приварная с ручным приводом или без привода водопроводная на условное давление до 4 МПа, диаметр условного прохода 350 мм</t>
  </si>
  <si>
    <t>ТЕРм12-12-005-17</t>
  </si>
  <si>
    <t>Арматура приварная с ручным приводом или без привода водопроводная на условное давление до 4 МПа, диаметр условного прохода 400 мм</t>
  </si>
  <si>
    <t>ТЕРм12-12-005-18</t>
  </si>
  <si>
    <t>Арматура приварная с ручным приводом или без привода водопроводная на условное давление до 4 МПа, диаметр условного прохода 500 мм</t>
  </si>
  <si>
    <t>ТЕРм12-12-005-19</t>
  </si>
  <si>
    <t>Арматура приварная с ручным приводом или без привода водопроводная на условное давление до 4 МПа, диаметр условного прохода 600 мм</t>
  </si>
  <si>
    <t>ТЕРм12-12-005-20</t>
  </si>
  <si>
    <t>Арматура приварная с ручным приводом или без привода водопроводная на условное давление до 4 МПа, диаметр условного прохода 800 мм</t>
  </si>
  <si>
    <t>ТЕРм12-12-005-21</t>
  </si>
  <si>
    <t>Арматура приварная с ручным приводом или без привода водопроводная на условное давление до 4 МПа, диаметр условного прохода 1000 мм</t>
  </si>
  <si>
    <t>ТЕРм12-12-005-22</t>
  </si>
  <si>
    <t>Арматура приварная с ручным приводом или без привода водопроводная на условное давление до 4 МПа, диаметр условного прохода 1200 мм</t>
  </si>
  <si>
    <t>ТЕРм12-12-005-23</t>
  </si>
  <si>
    <t>Арматура приварная с ручным приводом или без привода водопроводная на условное давление до 4 МПа, диаметр условного прохода 1400 мм</t>
  </si>
  <si>
    <t xml:space="preserve">                                   Арматура приварная с ручным приводом или без привода водопроводная на условное давление до 10 МПа</t>
  </si>
  <si>
    <t>ТЕРм12-12-006-01</t>
  </si>
  <si>
    <t>Арматура приварная с ручным приводом или без привода водопроводная на условное давление до 10 МПа, диаметр условного прохода 10 мм</t>
  </si>
  <si>
    <t>ТЕРм12-12-006-02</t>
  </si>
  <si>
    <t>Арматура приварная с ручным приводом или без привода водопроводная на условное давление до 10 МПа, диаметр условного прохода 15 мм</t>
  </si>
  <si>
    <t>ТЕРм12-12-006-03</t>
  </si>
  <si>
    <t>Арматура приварная с ручным приводом или без привода водопроводная на условное давление до 10 МПа, диаметр условного прохода 20 мм</t>
  </si>
  <si>
    <t>ТЕРм12-12-006-04</t>
  </si>
  <si>
    <t>Арматура приварная с ручным приводом или без привода водопроводная на условное давление до 10 МПа, диаметр условного прохода 25 мм</t>
  </si>
  <si>
    <t>ТЕРм12-12-006-05</t>
  </si>
  <si>
    <t>Арматура приварная с ручным приводом или без привода водопроводная на условное давление до 10 МПа, диаметр условного прохода 32 мм</t>
  </si>
  <si>
    <t>ТЕРм12-12-006-06</t>
  </si>
  <si>
    <t>Арматура приварная с ручным приводом или без привода водопроводная на условное давление до 10 МПа, диаметр условного прохода 40 мм</t>
  </si>
  <si>
    <t>ТЕРм12-12-006-07</t>
  </si>
  <si>
    <t>Арматура приварная с ручным приводом или без привода водопроводная на условное давление до 10 МПа, диаметр условного прохода 50 мм</t>
  </si>
  <si>
    <t>ТЕРм12-12-006-08</t>
  </si>
  <si>
    <t>Арматура приварная с ручным приводом или без привода водопроводная на условное давление до 10 МПа, диаметр условного прохода 65 мм</t>
  </si>
  <si>
    <t>ТЕРм12-12-006-09</t>
  </si>
  <si>
    <t>Арматура приварная с ручным приводом или без привода водопроводная на условное давление до 10 МПа, диаметр условного прохода 80 мм</t>
  </si>
  <si>
    <t>ТЕРм12-12-006-10</t>
  </si>
  <si>
    <t>Арматура приварная с ручным приводом или без привода водопроводная на условное давление до 10 МПа, диаметр условного прохода 100 мм</t>
  </si>
  <si>
    <t>ТЕРм12-12-006-11</t>
  </si>
  <si>
    <t>Арматура приварная с ручным приводом или без привода водопроводная на условное давление до 10 МПа, диаметр условного прохода 125 мм</t>
  </si>
  <si>
    <t>ТЕРм12-12-006-12</t>
  </si>
  <si>
    <t>Арматура приварная с ручным приводом или без привода водопроводная на условное давление до 10 МПа, диаметр условного прохода 150 мм</t>
  </si>
  <si>
    <t>ТЕРм12-12-006-13</t>
  </si>
  <si>
    <t>Арматура приварная с ручным приводом или без привода водопроводная на условное давление до 10 МПа, диаметр условного прохода 200 мм</t>
  </si>
  <si>
    <t>ТЕРм12-12-006-14</t>
  </si>
  <si>
    <t>Арматура приварная с ручным приводом или без привода водопроводная на условное давление до 10 МПа, диаметр условного прохода 250 мм</t>
  </si>
  <si>
    <t>ТЕРм12-12-006-15</t>
  </si>
  <si>
    <t>Арматура приварная с ручным приводом или без привода водопроводная на условное давление до 10 МПа, диаметр условного прохода 300 мм</t>
  </si>
  <si>
    <t>ТЕРм12-12-006-16</t>
  </si>
  <si>
    <t>Арматура приварная с ручным приводом или без привода водопроводная на условное давление до 10 МПа, диаметр условного прохода 350 мм</t>
  </si>
  <si>
    <t>ТЕРм12-12-006-17</t>
  </si>
  <si>
    <t>Арматура приварная с ручным приводом или без привода водопроводная на условное давление до 10 МПа, диаметр условного прохода 400 мм</t>
  </si>
  <si>
    <t>ТЕРм12-12-006-18</t>
  </si>
  <si>
    <t>Арматура приварная с ручным приводом или без привода водопроводная на условное давление до 10 МПа, диаметр условного прохода 500 мм</t>
  </si>
  <si>
    <t xml:space="preserve">                                   Арматура приварная с электрическим приводом на условное давление до 4 МПа</t>
  </si>
  <si>
    <t>ТЕРм12-12-007-01</t>
  </si>
  <si>
    <t>Арматура приварная с электрическим приводом на условное давление до 4 МПа, диаметр условного прохода 32 мм</t>
  </si>
  <si>
    <t>ТЕРм12-12-007-02</t>
  </si>
  <si>
    <t>Арматура приварная с электрическим приводом на условное давление до 4 МПа, диаметр условного прохода 40 мм</t>
  </si>
  <si>
    <t>ТЕРм12-12-007-03</t>
  </si>
  <si>
    <t>Арматура приварная с электрическим приводом на условное давление до 4 МПа, диаметр условного прохода 50 мм</t>
  </si>
  <si>
    <t>ТЕРм12-12-007-04</t>
  </si>
  <si>
    <t>Арматура приварная с электрическим приводом на условное давление до 4 МПа, диаметр условного прохода 65 мм</t>
  </si>
  <si>
    <t>ТЕРм12-12-007-05</t>
  </si>
  <si>
    <t>Арматура приварная с электрическим приводом на условное давление до 4 МПа, диаметр условного прохода 80 мм</t>
  </si>
  <si>
    <t>ТЕРм12-12-007-06</t>
  </si>
  <si>
    <t>Арматура приварная с электрическим приводом на условное давление до 4 МПа, диаметр условного прохода 100 мм</t>
  </si>
  <si>
    <t>ТЕРм12-12-007-07</t>
  </si>
  <si>
    <t>Арматура приварная с электрическим приводом на условное давление до 4 МПа, диаметр условного прохода 125 мм</t>
  </si>
  <si>
    <t>ТЕРм12-12-007-08</t>
  </si>
  <si>
    <t>Арматура приварная с электрическим приводом на условное давление до 4 МПа, диаметр условного прохода 150 мм</t>
  </si>
  <si>
    <t>ТЕРм12-12-007-09</t>
  </si>
  <si>
    <t>Арматура приварная с электрическим приводом на условное давление до 4 МПа, диаметр условного прохода 200 мм</t>
  </si>
  <si>
    <t>ТЕРм12-12-007-10</t>
  </si>
  <si>
    <t>Арматура приварная с электрическим приводом на условное давление до 4 МПа, диаметр условного прохода 250 мм</t>
  </si>
  <si>
    <t>ТЕРм12-12-007-11</t>
  </si>
  <si>
    <t>Арматура приварная с электрическим приводом на условное давление до 4 МПа, диаметр условного прохода 300 мм</t>
  </si>
  <si>
    <t>ТЕРм12-12-007-12</t>
  </si>
  <si>
    <t>Арматура приварная с электрическим приводом на условное давление до 4 МПа, диаметр условного прохода 350 мм</t>
  </si>
  <si>
    <t>ТЕРм12-12-007-13</t>
  </si>
  <si>
    <t>Арматура приварная с электрическим приводом на условное давление до 4 МПа, диаметр условного прохода 400 мм</t>
  </si>
  <si>
    <t>ТЕРм12-12-007-14</t>
  </si>
  <si>
    <t>Арматура приварная с электрическим приводом на условное давление до 4 МПа, диаметр условного прохода 500 мм</t>
  </si>
  <si>
    <t>ТЕРм12-12-007-15</t>
  </si>
  <si>
    <t>Арматура приварная с электрическим приводом на условное давление до 4 МПа, диаметр условного прохода 600 мм</t>
  </si>
  <si>
    <t>ТЕРм12-12-007-16</t>
  </si>
  <si>
    <t>Арматура приварная с электрическим приводом на условное давление до 4 МПа, диаметр условного прохода 800 мм</t>
  </si>
  <si>
    <t>ТЕРм12-12-007-17</t>
  </si>
  <si>
    <t>Арматура приварная с электрическим приводом на условное давление до 4 МПа, диаметр условного прохода 1000 мм</t>
  </si>
  <si>
    <t>ТЕРм12-12-007-18</t>
  </si>
  <si>
    <t>Арматура приварная с электрическим приводом на условное давление до 4 МПа, диаметр условного прохода 1200 мм</t>
  </si>
  <si>
    <t>ТЕРм12-12-007-19</t>
  </si>
  <si>
    <t>Арматура приварная с электрическим приводом на условное давление до 4 МПа, диаметр условного прохода 1400 мм</t>
  </si>
  <si>
    <t xml:space="preserve">                                   Арматура приварная с электрическим приводом на условное давление до 10 МПа</t>
  </si>
  <si>
    <t>ТЕРм12-12-008-01</t>
  </si>
  <si>
    <t>Арматура приварная с электрическим приводом на условное давление до 10 МПа, диаметр условного прохода 32 мм</t>
  </si>
  <si>
    <t>ТЕРм12-12-008-02</t>
  </si>
  <si>
    <t>Арматура приварная с электрическим приводом на условное давление до 10 МПа, диаметр условного прохода 40 мм</t>
  </si>
  <si>
    <t>ТЕРм12-12-008-03</t>
  </si>
  <si>
    <t>Арматура приварная с электрическим приводом на условное давление до 10 МПа, диаметр условного прохода 50 мм</t>
  </si>
  <si>
    <t>ТЕРм12-12-008-04</t>
  </si>
  <si>
    <t>Арматура приварная с электрическим приводом на условное давление до 10 МПа, диаметр условного прохода 65 мм</t>
  </si>
  <si>
    <t>ТЕРм12-12-008-05</t>
  </si>
  <si>
    <t>Арматура приварная с электрическим приводом на условное давление до 10 МПа, диаметр условного прохода 80 мм</t>
  </si>
  <si>
    <t>ТЕРм12-12-008-06</t>
  </si>
  <si>
    <t>Арматура приварная с электрическим приводом на условное давление до 10 МПа, диаметр условного прохода 100 мм</t>
  </si>
  <si>
    <t>ТЕРм12-12-008-07</t>
  </si>
  <si>
    <t>Арматура приварная с электрическим приводом на условное давление до 10 МПа, диаметр условного прохода 125 мм</t>
  </si>
  <si>
    <t>ТЕРм12-12-008-08</t>
  </si>
  <si>
    <t>Арматура приварная с электрическим приводом на условное давление до 10 МПа, диаметр условного прохода 150 мм</t>
  </si>
  <si>
    <t>ТЕРм12-12-008-09</t>
  </si>
  <si>
    <t>Арматура приварная с электрическим приводом на условное давление до 10 МПа, диаметр условного прохода 200 мм</t>
  </si>
  <si>
    <t>ТЕРм12-12-008-10</t>
  </si>
  <si>
    <t>Арматура приварная с электрическим приводом на условное давление до 10 МПа, диаметр условного прохода 250 мм</t>
  </si>
  <si>
    <t>ТЕРм12-12-008-11</t>
  </si>
  <si>
    <t>Арматура приварная с электрическим приводом на условное давление до 10 МПа, диаметр условного прохода 300 мм</t>
  </si>
  <si>
    <t>ТЕРм12-12-008-12</t>
  </si>
  <si>
    <t>Арматура приварная с электрическим приводом на условное давление до 10 МПа, диаметр условного прохода 350 мм</t>
  </si>
  <si>
    <t>ТЕРм12-12-008-13</t>
  </si>
  <si>
    <t>Арматура приварная с электрическим приводом на условное давление до 10 МПа, диаметр условного прохода 400 мм</t>
  </si>
  <si>
    <t>ТЕРм12-12-008-14</t>
  </si>
  <si>
    <t>Арматура приварная с электрическим приводом на условное давление до 10 МПа, диаметр условного прохода 500 мм</t>
  </si>
  <si>
    <t xml:space="preserve">                                   Арматура муфтовая с ручным приводом или без привода водопроводная на условное давление до 10 МПа</t>
  </si>
  <si>
    <t>ТЕРм12-12-009-01</t>
  </si>
  <si>
    <t>Арматура муфтовая с ручным приводом или без привода водопроводная на условное давление до 10 МПа, диаметр условного прохода 10 мм</t>
  </si>
  <si>
    <t>ТЕРм12-12-009-02</t>
  </si>
  <si>
    <t>Арматура муфтовая с ручным приводом или без привода водопроводная на условное давление до 10 МПа, диаметр условного прохода 15 мм</t>
  </si>
  <si>
    <t>ТЕРм12-12-009-03</t>
  </si>
  <si>
    <t>Арматура муфтовая с ручным приводом или без привода водопроводная на условное давление до 10 МПа, диаметр условного прохода 20 мм</t>
  </si>
  <si>
    <t>ТЕРм12-12-009-04</t>
  </si>
  <si>
    <t>Арматура муфтовая с ручным приводом или без привода водопроводная на условное давление до 10 МПа, диаметр условного прохода 25 мм</t>
  </si>
  <si>
    <t>ТЕРм12-12-009-05</t>
  </si>
  <si>
    <t>Арматура муфтовая с ручным приводом или без привода водопроводная на условное давление до 10 МПа, диаметр условного прохода 32 мм</t>
  </si>
  <si>
    <t>ТЕРм12-12-009-06</t>
  </si>
  <si>
    <t>Арматура муфтовая с ручным приводом или без привода водопроводная на условное давление до 10 МПа, диаметр условного прохода 40 мм</t>
  </si>
  <si>
    <t>ТЕРм12-12-009-07</t>
  </si>
  <si>
    <t>Арматура муфтовая с ручным приводом или без привода водопроводная на условное давление до 10 МПа, диаметр условного прохода 50 мм</t>
  </si>
  <si>
    <t>ТЕРм12-12-009-08</t>
  </si>
  <si>
    <t>Арматура муфтовая с ручным приводом или без привода водопроводная на условное давление до 10 МПа, диаметр условного прохода 65 мм</t>
  </si>
  <si>
    <t>ТЕРм12-12-009-09</t>
  </si>
  <si>
    <t>Арматура муфтовая с ручным приводом или без привода водопроводная на условное давление до 10 МПа, диаметр условного прохода 80 мм</t>
  </si>
  <si>
    <t xml:space="preserve">                                   Раздел 2. АРМАТУРА ГАЗОВОЙ ПРОМЫШЛЕННОСТИ</t>
  </si>
  <si>
    <t xml:space="preserve">                                   Краны со смазкой бесколодезной установки с концами под приварку на условное давление 6,4 МПа</t>
  </si>
  <si>
    <t>ТЕРм12-12-020-01</t>
  </si>
  <si>
    <t>Кран со смазкой бесколодезной установки с концами под приварку на условное давление 6,4 МПа, диаметр условного прохода 400 мм</t>
  </si>
  <si>
    <t>ТЕРм12-12-020-02</t>
  </si>
  <si>
    <t>Кран со смазкой бесколодезной установки с концами под приварку на условное давление 6,4 МПа, диаметр условного прохода 500 мм</t>
  </si>
  <si>
    <t xml:space="preserve">                                   Краны со смазкой бесколодезной установки с концами под приварку на условное давление 8 МПа</t>
  </si>
  <si>
    <t>ТЕРм12-12-021-01</t>
  </si>
  <si>
    <t>Кран со смазкой бесколодезной установки с концами под приварку на условное давление 8 МПа, диаметр условного прохода 400 мм</t>
  </si>
  <si>
    <t>ТЕРм12-12-021-02</t>
  </si>
  <si>
    <t>Кран со смазкой бесколодезной установки с концами под приварку на условное давление 8 МПа, диаметр условного прохода 500 мм</t>
  </si>
  <si>
    <t>ТЕРм12-12-021-03</t>
  </si>
  <si>
    <t>Кран со смазкой бесколодезной установки с концами под приварку на условное давление 8 МПа, диаметр условного прохода 700 мм</t>
  </si>
  <si>
    <t>ТЕРм12-12-021-04</t>
  </si>
  <si>
    <t>Кран со смазкой бесколодезной установки с концами под приварку на условное давление 8 МПа, диаметр условного прохода 1000 мм</t>
  </si>
  <si>
    <t>ТЕРм12-12-021-05</t>
  </si>
  <si>
    <t>Кран со смазкой бесколодезной установки с концами под приварку на условное давление 8 МПа, диаметр условного прохода 1200 мм</t>
  </si>
  <si>
    <t>ТЕРм12-12-021-06</t>
  </si>
  <si>
    <t>Кран со смазкой бесколодезной установки с концами под приварку на условное давление 8 МПа, диаметр условного прохода 1400 мм</t>
  </si>
  <si>
    <t xml:space="preserve">                                   Раздел 3. АРМАТУРА АММИАЧНАЯ</t>
  </si>
  <si>
    <t xml:space="preserve">                                   Клапаны аммиачные обратные фланцевые на условное давление до 2,5 МПа</t>
  </si>
  <si>
    <t>ТЕРм12-12-037-01</t>
  </si>
  <si>
    <t>Клапан аммиачный обратный фланцевый на условное давление до 2,5 МПа, диаметр условного прохода 32-65 мм</t>
  </si>
  <si>
    <t>ТЕРм12-12-037-02</t>
  </si>
  <si>
    <t>Клапан аммиачный обратный фланцевый на условное давление до 2,5 МПа, диаметр условного прохода 65-80 мм</t>
  </si>
  <si>
    <t>ТЕРм12-12-037-03</t>
  </si>
  <si>
    <t>Клапан аммиачный обратный фланцевый на условное давление до 2,5 МПа, диаметр условного прохода 100 мм</t>
  </si>
  <si>
    <t xml:space="preserve">                                   Фильтры стальные фланцевые для жидкого аммиака на условное давление до 2,5 МПа</t>
  </si>
  <si>
    <t>ТЕРм12-12-038-01</t>
  </si>
  <si>
    <t>Фильтр стальной фланцевый для жидкого аммиака на условное давление до 2,5 МПа, диаметр условного прохода 15-25 мм</t>
  </si>
  <si>
    <t>ТЕРм12-12-038-02</t>
  </si>
  <si>
    <t>Фильтр стальной фланцевый для жидкого аммиака на условное давление до 2,5 МПа, диаметр условного прохода 40-50 мм</t>
  </si>
  <si>
    <t xml:space="preserve">                           Раздел 12. ОТДЕЛ 13. АРМАТУРА ТЕПЛОВЫХ ЭЛЕКТРОСТАНЦИЙ</t>
  </si>
  <si>
    <t xml:space="preserve">                                   Раздел 1. АРМАТУРА ЗАПОРНАЯ, РЕГУЛИРУЮЩАЯ И ДРОССЕЛИРУЮЩАЯ</t>
  </si>
  <si>
    <t xml:space="preserve">                                   Арматура для воды и пара на условное давление до 2,5 МПа с ручным приводом</t>
  </si>
  <si>
    <t>ТЕРм12-13-001-01</t>
  </si>
  <si>
    <t>Арматура для воды и пара на условное давление до 2,5 МПа с ручным приводом, диаметр условного прохода 50 мм</t>
  </si>
  <si>
    <t>ТЕРм12-13-001-02</t>
  </si>
  <si>
    <t>Арматура для воды и пара на условное давление до 2,5 МПа с ручным приводом, диаметр условного прохода 100 мм</t>
  </si>
  <si>
    <t>ТЕРм12-13-001-03</t>
  </si>
  <si>
    <t>Арматура для воды и пара на условное давление до 2,5 МПа с ручным приводом, диаметр условного прохода 150 мм</t>
  </si>
  <si>
    <t>ТЕРм12-13-001-04</t>
  </si>
  <si>
    <t>Арматура для воды и пара на условное давление до 2,5 МПа с ручным приводом, диаметр условного прохода 250 мм</t>
  </si>
  <si>
    <t xml:space="preserve">                                   Арматура для воды и пара на условное давление 6,3 МПа с ручным приводом</t>
  </si>
  <si>
    <t>ТЕРм12-13-002-01</t>
  </si>
  <si>
    <t>Арматура для воды и пара на условное давление 6,3 МПа с ручным приводом, диаметр условного прохода 10 мм</t>
  </si>
  <si>
    <t>ТЕРм12-13-002-02</t>
  </si>
  <si>
    <t>Арматура для воды и пара на условное давление 6,3 МПа с ручным приводом, диаметр условного прохода 20 мм</t>
  </si>
  <si>
    <t>ТЕРм12-13-002-03</t>
  </si>
  <si>
    <t>Арматура для воды и пара на условное давление 6,3 МПа с ручным приводом, диаметр условного прохода 32 мм</t>
  </si>
  <si>
    <t>ТЕРм12-13-002-04</t>
  </si>
  <si>
    <t>Арматура для воды и пара на условное давление 6,3 МПа с ручным приводом, диаметр условного прохода 50 мм</t>
  </si>
  <si>
    <t>ТЕРм12-13-002-05</t>
  </si>
  <si>
    <t>Арматура для воды и пара на условное давление 6,3 МПа с ручным приводом, диаметр условного прохода 80 мм</t>
  </si>
  <si>
    <t>ТЕРм12-13-002-06</t>
  </si>
  <si>
    <t>Арматура для воды и пара на условное давление 6,3 МПа с ручным приводом, диаметр условного прохода 150 мм</t>
  </si>
  <si>
    <t>ТЕРм12-13-002-07</t>
  </si>
  <si>
    <t>Арматура для воды и пара на условное давление 6,3 МПа с ручным приводом, диаметр условного прохода 200 мм</t>
  </si>
  <si>
    <t>ТЕРм12-13-002-08</t>
  </si>
  <si>
    <t>Арматура для воды и пара на условное давление 6,3 МПа с ручным приводом, диаметр условного прохода 250 мм</t>
  </si>
  <si>
    <t>ТЕРм12-13-002-09</t>
  </si>
  <si>
    <t>Арматура для воды и пара на условное давление 6,3 МПа с ручным приводом, диаметр условного прохода 300 мм</t>
  </si>
  <si>
    <t>ТЕРм12-13-002-10</t>
  </si>
  <si>
    <t>Арматура для воды и пара на условное давление 6,3 МПа с ручным приводом, диаметр условного прохода 350 мм</t>
  </si>
  <si>
    <t>ТЕРм12-13-002-11</t>
  </si>
  <si>
    <t>Арматура для воды и пара на условное давление 6,3 МПа с ручным приводом, диаметр условного прохода 400 мм</t>
  </si>
  <si>
    <t xml:space="preserve">                                   Арматура для воды и пара на условное давление 6,3 МПа с электроприводом</t>
  </si>
  <si>
    <t>ТЕРм12-13-003-01</t>
  </si>
  <si>
    <t>Арматура для воды и пара на условное давление 6,3 МПа с электроприводом, диаметр условного прохода 100 мм</t>
  </si>
  <si>
    <t xml:space="preserve">                                   Арматура для воды и пара на условное давление 10 МПа с ручным приводом</t>
  </si>
  <si>
    <t>ТЕРм12-13-004-01</t>
  </si>
  <si>
    <t>Арматура для воды и пара на условное давление 10 МПа с ручным приводом, диаметр условного прохода 10 мм</t>
  </si>
  <si>
    <t>ТЕРм12-13-004-02</t>
  </si>
  <si>
    <t>Арматура для воды и пара на условное давление 10 МПа с ручным приводом, диаметр условного прохода 32 мм</t>
  </si>
  <si>
    <t>ТЕРм12-13-004-03</t>
  </si>
  <si>
    <t>Арматура для воды и пара на условное давление 10 МПа с ручным приводом, диаметр условного прохода 50 мм</t>
  </si>
  <si>
    <t>ТЕРм12-13-004-04</t>
  </si>
  <si>
    <t>Арматура для воды и пара на условное давление 10 МПа с ручным приводом, диаметр условного прохода 80 мм</t>
  </si>
  <si>
    <t>ТЕРм12-13-004-05</t>
  </si>
  <si>
    <t>Арматура для воды и пара на условное давление 10 МПа с ручным приводом, диаметр условного прохода 100 мм</t>
  </si>
  <si>
    <t>ТЕРм12-13-004-06</t>
  </si>
  <si>
    <t>Арматура для воды и пара на условное давление 10 МПа с ручным приводом, диаметр условного прохода 150 мм</t>
  </si>
  <si>
    <t>ТЕРм12-13-004-07</t>
  </si>
  <si>
    <t>Арматура для воды и пара на условное давление 10 МПа с ручным приводом, диаметр условного прохода 200 мм</t>
  </si>
  <si>
    <t>ТЕРм12-13-004-08</t>
  </si>
  <si>
    <t>Арматура для воды и пара на условное давление 10 МПа с ручным приводом, диаметр условного прохода 250 мм</t>
  </si>
  <si>
    <t>ТЕРм12-13-004-09</t>
  </si>
  <si>
    <t>Арматура для воды и пара на условное давление 10 МПа с ручным приводом, диаметр условного прохода 300 мм</t>
  </si>
  <si>
    <t xml:space="preserve">                                   Арматура для воды и пара на условное давление 10 МПа с электроприводом</t>
  </si>
  <si>
    <t>ТЕРм12-13-005-01</t>
  </si>
  <si>
    <t>Арматура для воды и пара на условное давление 10 МПа с электроприводом, диаметр условного прохода 65 мм</t>
  </si>
  <si>
    <t xml:space="preserve">                                   Арматура для пара на условное давление 10 МПа с ручным приводом</t>
  </si>
  <si>
    <t>ТЕРм12-13-006-01</t>
  </si>
  <si>
    <t>Арматура для пара на условное давление 10 МПа с ручным приводом, диаметр условного прохода 150 мм</t>
  </si>
  <si>
    <t>ТЕРм12-13-006-02</t>
  </si>
  <si>
    <t>Арматура для пара на условное давление 10 МПа с ручным приводом, диаметр условного прохода 250 мм</t>
  </si>
  <si>
    <t>ТЕРм12-13-006-03</t>
  </si>
  <si>
    <t>Арматура для пара на условное давление 10 МПа с ручным приводом, диаметр условного прохода 350 мм</t>
  </si>
  <si>
    <t>ТЕРм12-13-006-04</t>
  </si>
  <si>
    <t>Арматура для пара на условное давление 10 МПа с ручным приводом, диаметр условного прохода 400 мм</t>
  </si>
  <si>
    <t>ТЕРм12-13-006-05</t>
  </si>
  <si>
    <t>Арматура для пара на условное давление 10 МПа с ручным приводом, диаметр условного прохода 450 мм</t>
  </si>
  <si>
    <t xml:space="preserve">                                   Арматура для пара на условное давление 10 МПа с электроприводом</t>
  </si>
  <si>
    <t>ТЕРм12-13-007-01</t>
  </si>
  <si>
    <t>Арматура для пара на условное давление 10 МПа с электроприводом, диаметр условного прохода 150 мм</t>
  </si>
  <si>
    <t>ТЕРм12-13-007-02</t>
  </si>
  <si>
    <t>Арматура для пара на условное давление 10 МПа с электроприводом, диаметр условного прохода 250 мм</t>
  </si>
  <si>
    <t>ТЕРм12-13-007-03</t>
  </si>
  <si>
    <t>Арматура для пара на условное давление 10 МПа с электроприводом, диаметр условного прохода 400 мм</t>
  </si>
  <si>
    <t>ТЕРм12-13-007-04</t>
  </si>
  <si>
    <t>Арматура для пара на условное давление 10 МПа с электроприводом, диаметр условного прохода 450 мм</t>
  </si>
  <si>
    <t xml:space="preserve">                                   Арматура для пара на условное давление 20 МПа с ручным приводом</t>
  </si>
  <si>
    <t>ТЕРм12-13-008-01</t>
  </si>
  <si>
    <t>Арматура для пара на условное давление 20 МПа с ручным приводом, диаметр условного прохода 65 мм</t>
  </si>
  <si>
    <t>ТЕРм12-13-008-02</t>
  </si>
  <si>
    <t>Арматура для пара на условное давление 20 МПа с ручным приводом, диаметр условного прохода 100 мм</t>
  </si>
  <si>
    <t>ТЕРм12-13-008-03</t>
  </si>
  <si>
    <t>Арматура для пара на условное давление 20 МПа с ручным приводом, диаметр условного прохода 125 мм</t>
  </si>
  <si>
    <t>ТЕРм12-13-008-04</t>
  </si>
  <si>
    <t>Арматура для пара на условное давление 20 МПа с ручным приводом, диаметр условного прохода 150 мм</t>
  </si>
  <si>
    <t>ТЕРм12-13-008-05</t>
  </si>
  <si>
    <t>Арматура для пара на условное давление 20 МПа с ручным приводом, диаметр условного прохода 175 мм</t>
  </si>
  <si>
    <t>ТЕРм12-13-008-06</t>
  </si>
  <si>
    <t>Арматура для пара на условное давление 20 МПа с ручным приводом, диаметр условного прохода 225 мм</t>
  </si>
  <si>
    <t>ТЕРм12-13-008-07</t>
  </si>
  <si>
    <t>Арматура для пара на условное давление 20 МПа с ручным приводом, диаметр условного прохода 250 мм</t>
  </si>
  <si>
    <t xml:space="preserve">                                   Арматура для пара на условное давление 20 МПа с электроприводом</t>
  </si>
  <si>
    <t>ТЕРм12-13-009-01</t>
  </si>
  <si>
    <t>Арматура для пара на условное давление 20 МПа с электроприводом, диаметр условного прохода 65 мм</t>
  </si>
  <si>
    <t>ТЕРм12-13-009-02</t>
  </si>
  <si>
    <t>Арматура для пара на условное давление 20 МПа с электроприводом, диаметр условного прохода 100 мм</t>
  </si>
  <si>
    <t>ТЕРм12-13-009-03</t>
  </si>
  <si>
    <t>Арматура для пара на условное давление 20 МПа с электроприводом, диаметр условного прохода 150 мм</t>
  </si>
  <si>
    <t>ТЕРм12-13-009-04</t>
  </si>
  <si>
    <t>Арматура для пара на условное давление 20 МПа с электроприводом, диаметр условного прохода 175 мм</t>
  </si>
  <si>
    <t>ТЕРм12-13-009-05</t>
  </si>
  <si>
    <t>Арматура для пара на условное давление 20 МПа с электроприводом, диаметр условного прохода 225 мм</t>
  </si>
  <si>
    <t xml:space="preserve">                                   Арматура для воды на условное давление 20 и 25 МПа с ручным приводом</t>
  </si>
  <si>
    <t>ТЕРм12-13-010-01</t>
  </si>
  <si>
    <t>Арматура для воды на условное давление 20 и 25 МПа с ручным приводом, диаметр условного прохода 65 мм</t>
  </si>
  <si>
    <t>ТЕРм12-13-010-02</t>
  </si>
  <si>
    <t>Арматура для воды на условное давление 20 и 25 МПа с ручным приводом, диаметр условного прохода 100 мм</t>
  </si>
  <si>
    <t>ТЕРм12-13-010-03</t>
  </si>
  <si>
    <t>Арматура для воды на условное давление 20 и 25 МПа с ручным приводом, диаметр условного прохода 150 мм</t>
  </si>
  <si>
    <t>ТЕРм12-13-010-04</t>
  </si>
  <si>
    <t>Арматура для воды на условное давление 20 и 25 МПа с ручным приводом, диаметр условного прохода 175 мм</t>
  </si>
  <si>
    <t>ТЕРм12-13-010-05</t>
  </si>
  <si>
    <t>Арматура для воды на условное давление 20 и 25 МПа с ручным приводом, диаметр условного прохода 225 мм</t>
  </si>
  <si>
    <t>ТЕРм12-13-010-06</t>
  </si>
  <si>
    <t>Арматура для воды на условное давление 20 и 25 МПа с ручным приводом, диаметр условного прохода 250 мм</t>
  </si>
  <si>
    <t>ТЕРм12-13-010-07</t>
  </si>
  <si>
    <t>Арматура для воды на условное давление 20 и 25 МПа с ручным приводом, диаметр условного прохода 300 мм</t>
  </si>
  <si>
    <t xml:space="preserve">                                   Арматура для воды на условное давление 20 и 25 МПа с электроприводом</t>
  </si>
  <si>
    <t>ТЕРм12-13-011-01</t>
  </si>
  <si>
    <t>Арматура для воды на условное давление 20 и 25 МПа с электроприводом, диаметр условного прохода 20 мм</t>
  </si>
  <si>
    <t>ТЕРм12-13-011-02</t>
  </si>
  <si>
    <t>Арматура для воды на условное давление 20 и 25 МПа с электроприводом, диаметр условного прохода 65 мм</t>
  </si>
  <si>
    <t>ТЕРм12-13-011-03</t>
  </si>
  <si>
    <t>Арматура для воды на условное давление 20 и 25 МПа с электроприводом, диаметр условного прохода 100 мм</t>
  </si>
  <si>
    <t>ТЕРм12-13-011-04</t>
  </si>
  <si>
    <t>Арматура для воды на условное давление 20 и 25 МПа с электроприводом, диаметр условного прохода 150 мм</t>
  </si>
  <si>
    <t>ТЕРм12-13-011-05</t>
  </si>
  <si>
    <t>Арматура для воды на условное давление 20 и 25 МПа с электроприводом, диаметр условного прохода 175 мм</t>
  </si>
  <si>
    <t>ТЕРм12-13-011-06</t>
  </si>
  <si>
    <t>Арматура для воды на условное давление 20 и 25 МПа с электроприводом, диаметр условного прохода 225 мм</t>
  </si>
  <si>
    <t>ТЕРм12-13-011-07</t>
  </si>
  <si>
    <t>Арматура для воды на условное давление 20 и 25 МПа с электроприводом, диаметр условного прохода 250 мм</t>
  </si>
  <si>
    <t>ТЕРм12-13-011-08</t>
  </si>
  <si>
    <t>Арматура для воды на условное давление 20 и 25 МПа с электроприводом, диаметр условного прохода 300 мм</t>
  </si>
  <si>
    <t xml:space="preserve">                                   Арматура для пара на условное давление 40 МПа с ручным приводом</t>
  </si>
  <si>
    <t>ТЕРм12-13-012-01</t>
  </si>
  <si>
    <t>Арматура для пара на условное давление 40 МПа с ручным приводом, диаметр условного прохода 10 мм</t>
  </si>
  <si>
    <t>ТЕРм12-13-012-02</t>
  </si>
  <si>
    <t>Арматура для пара на условное давление 40 МПа с ручным приводом, диаметр условного прохода 50 мм</t>
  </si>
  <si>
    <t>ТЕРм12-13-012-03</t>
  </si>
  <si>
    <t>Арматура для пара на условное давление 40 МПа с ручным приводом, диаметр условного прохода 100 мм</t>
  </si>
  <si>
    <t>ТЕРм12-13-012-04</t>
  </si>
  <si>
    <t>Арматура для пара на условное давление 40 МПа с ручным приводом, диаметр условного прохода 175 мм</t>
  </si>
  <si>
    <t>ТЕРм12-13-012-05</t>
  </si>
  <si>
    <t>Арматура для пара на условное давление 40 МПа с ручным приводом, диаметр условного прохода 200 мм</t>
  </si>
  <si>
    <t>ТЕРм12-13-012-06</t>
  </si>
  <si>
    <t>Арматура для пара на условное давление 40 МПа с ручным приводом, диаметр условного прохода 250 мм</t>
  </si>
  <si>
    <t>ТЕРм12-13-012-07</t>
  </si>
  <si>
    <t>Арматура для пара на условное давление 40 МПа с ручным приводом, диаметр условного прохода 300 мм</t>
  </si>
  <si>
    <t xml:space="preserve">                                   Арматура для пара на условное давление 40 МПа с электроприводом</t>
  </si>
  <si>
    <t>ТЕРм12-13-013-01</t>
  </si>
  <si>
    <t>Арматура для пара на условное давление 40 МПа с электроприводом, диаметр условного прохода 100 мм</t>
  </si>
  <si>
    <t>ТЕРм12-13-013-02</t>
  </si>
  <si>
    <t>Арматура для пара на условное давление 40 МПа с электроприводом, диаметр условного прохода 175 мм</t>
  </si>
  <si>
    <t>ТЕРм12-13-013-03</t>
  </si>
  <si>
    <t>Арматура для пара на условное давление 40 МПа с электроприводом, диаметр условного прохода 200 мм</t>
  </si>
  <si>
    <t>ТЕРм12-13-013-04</t>
  </si>
  <si>
    <t>Арматура для пара на условное давление 40 МПа с электроприводом, диаметр условного прохода 250 мм</t>
  </si>
  <si>
    <t>ТЕРм12-13-013-05</t>
  </si>
  <si>
    <t>Арматура для пара на условное давление 40 МПа с электроприводом, диаметр условного прохода 300 мм</t>
  </si>
  <si>
    <t xml:space="preserve">                                   Арматура для воды на условное давление 50 МПа с ручным приводом</t>
  </si>
  <si>
    <t>ТЕРм12-13-014-01</t>
  </si>
  <si>
    <t>Арматура для воды на условное давление 50 МПа с ручным приводом, диаметр условного прохода 10 мм</t>
  </si>
  <si>
    <t>ТЕРм12-13-014-02</t>
  </si>
  <si>
    <t>Арматура для воды на условное давление 50 МПа с ручным приводом, диаметр условного прохода 20 мм</t>
  </si>
  <si>
    <t>ТЕРм12-13-014-03</t>
  </si>
  <si>
    <t>Арматура для воды на условное давление 50 МПа с ручным приводом, диаметр условного прохода 50 мм</t>
  </si>
  <si>
    <t>ТЕРм12-13-014-04</t>
  </si>
  <si>
    <t>Арматура для воды на условное давление 50 МПа с ручным приводом, диаметр условного прохода 100 мм</t>
  </si>
  <si>
    <t>ТЕРм12-13-014-05</t>
  </si>
  <si>
    <t>Арматура для воды на условное давление 50 МПа с ручным приводом, диаметр условного прохода 150 мм</t>
  </si>
  <si>
    <t>ТЕРм12-13-014-06</t>
  </si>
  <si>
    <t>Арматура для воды на условное давление 50 МПа с ручным приводом, диаметр условного прохода 200 мм</t>
  </si>
  <si>
    <t>ТЕРм12-13-014-07</t>
  </si>
  <si>
    <t>Арматура для воды на условное давление 50 МПа с ручным приводом, диаметр условного прохода 250 мм</t>
  </si>
  <si>
    <t>ТЕРм12-13-014-08</t>
  </si>
  <si>
    <t>Арматура для воды на условное давление 50 МПа с ручным приводом, диаметр условного прохода 300 мм</t>
  </si>
  <si>
    <t xml:space="preserve">                                   Арматура для воды на условное давление 50 МПа с электроприводом</t>
  </si>
  <si>
    <t>ТЕРм12-13-015-01</t>
  </si>
  <si>
    <t>Арматура для воды на условное давление 50 МПа с электроприводом, диаметр условного прохода 20 мм</t>
  </si>
  <si>
    <t>ТЕРм12-13-015-02</t>
  </si>
  <si>
    <t>Арматура для воды на условное давление 50 МПа с электроприводом, диаметр условного прохода 50 мм</t>
  </si>
  <si>
    <t>ТЕРм12-13-015-03</t>
  </si>
  <si>
    <t>Арматура для воды на условное давление 50 МПа с электроприводом, диаметр условного прохода 100 мм</t>
  </si>
  <si>
    <t>ТЕРм12-13-015-04</t>
  </si>
  <si>
    <t>Арматура для воды на условное давление 50 МПа с электроприводом, диаметр условного прохода 150 мм</t>
  </si>
  <si>
    <t>ТЕРм12-13-015-05</t>
  </si>
  <si>
    <t>Арматура для воды на условное давление 50 МПа с электроприводом, диаметр условного прохода 200 мм</t>
  </si>
  <si>
    <t>ТЕРм12-13-015-06</t>
  </si>
  <si>
    <t>Арматура для воды на условное давление 50 МПа с электроприводом, диаметр условного прохода 250 мм</t>
  </si>
  <si>
    <t>ТЕРм12-13-015-07</t>
  </si>
  <si>
    <t>Арматура для воды на условное давление 50 МПа с электроприводом, диаметр условного прохода 300 мм</t>
  </si>
  <si>
    <t>ТЕРм12-13-015-08</t>
  </si>
  <si>
    <t>Арматура для воды на условное давление 50 МПа с электроприводом, диаметр условного прохода 350 мм</t>
  </si>
  <si>
    <t>ТЕРм12-13-015-09</t>
  </si>
  <si>
    <t>Арматура для воды на условное давление 50 МПа с электроприводом, диаметр условного прохода 400 мм</t>
  </si>
  <si>
    <t xml:space="preserve">                                   Арматура для пара на условное давление 80 МПа с ручным приводом</t>
  </si>
  <si>
    <t>ТЕРм12-13-016-01</t>
  </si>
  <si>
    <t>Арматура для пара на условное давление 80 МПа с ручным приводом, диаметр условного прохода 10 мм</t>
  </si>
  <si>
    <t>ТЕРм12-13-016-02</t>
  </si>
  <si>
    <t>Арматура для пара на условное давление 80 МПа с ручным приводом, диаметр условного прохода 20 мм</t>
  </si>
  <si>
    <t>ТЕРм12-13-016-03</t>
  </si>
  <si>
    <t>Арматура для пара на условное давление 80 МПа с ручным приводом, диаметр условного прохода 40 мм</t>
  </si>
  <si>
    <t>ТЕРм12-13-016-04</t>
  </si>
  <si>
    <t>Арматура для пара на условное давление 80 МПа с ручным приводом, диаметр условного прохода 100 мм</t>
  </si>
  <si>
    <t>ТЕРм12-13-016-05</t>
  </si>
  <si>
    <t>Арматура для пара на условное давление 80 МПа с ручным приводом, диаметр условного прохода 150 мм</t>
  </si>
  <si>
    <t>ТЕРм12-13-016-06</t>
  </si>
  <si>
    <t>Арматура для пара на условное давление 80 МПа с ручным приводом, диаметр условного прохода 200 мм</t>
  </si>
  <si>
    <t xml:space="preserve">                                   Арматура для пара на условное давление 80 МПа с электроприводом</t>
  </si>
  <si>
    <t>ТЕРм12-13-017-01</t>
  </si>
  <si>
    <t>Арматура для пара на условное давление 80 МПа с электроприводом, диаметр условного прохода 20 мм</t>
  </si>
  <si>
    <t>ТЕРм12-13-017-02</t>
  </si>
  <si>
    <t>Арматура для пара на условное давление 80 МПа с электроприводом, диаметр условного прохода 40 мм</t>
  </si>
  <si>
    <t>ТЕРм12-13-017-03</t>
  </si>
  <si>
    <t>Арматура для пара на условное давление 80 МПа с электроприводом, диаметр условного прохода 100 мм</t>
  </si>
  <si>
    <t>ТЕРм12-13-017-04</t>
  </si>
  <si>
    <t>Арматура для пара на условное давление 80 МПа с электроприводом, диаметр условного прохода 150 мм</t>
  </si>
  <si>
    <t>ТЕРм12-13-017-05</t>
  </si>
  <si>
    <t>Арматура для пара на условное давление 80 МПа с электроприводом, диаметр условного прохода 175 мм</t>
  </si>
  <si>
    <t>ТЕРм12-13-017-06</t>
  </si>
  <si>
    <t>Арматура для пара на условное давление 80 МПа с электроприводом, диаметр условного прохода 200 мм</t>
  </si>
  <si>
    <t>ТЕРм12-13-017-07</t>
  </si>
  <si>
    <t>Арматура для пара на условное давление 80 МПа с электроприводом, диаметр условного прохода 250 мм</t>
  </si>
  <si>
    <t xml:space="preserve">                                   Раздел 2. АРМАТУРА ПРЕДОХРАНИТЕЛЬНАЯ</t>
  </si>
  <si>
    <t xml:space="preserve">                                   Арматура для воды и пара на условное давление 2,5 МПа</t>
  </si>
  <si>
    <t>ТЕРм12-13-050-01</t>
  </si>
  <si>
    <t>Арматура для воды и пара на условное давление 2,5 МПа, диаметр условного прохода 250 мм</t>
  </si>
  <si>
    <t xml:space="preserve">                                   Арматура для воды и пара на условное давление 6,3 МПа</t>
  </si>
  <si>
    <t>ТЕРм12-13-051-01</t>
  </si>
  <si>
    <t>Арматура для воды и пара на условное давление 6,3 МПа, диаметр условного прохода 20 мм</t>
  </si>
  <si>
    <t>ТЕРм12-13-051-02</t>
  </si>
  <si>
    <t>Арматура для воды и пара на условное давление 6,3 МПа, диаметр условного прохода 80 мм</t>
  </si>
  <si>
    <t xml:space="preserve">                                   Арматура для воды и пара на условное давление 10 МПа</t>
  </si>
  <si>
    <t>ТЕРм12-13-052-01</t>
  </si>
  <si>
    <t>Арматура для воды и пара на условное давление 10 МПа, диаметр условного прохода 20-25 мм</t>
  </si>
  <si>
    <t>ТЕРм12-13-052-02</t>
  </si>
  <si>
    <t>Арматура для воды и пара на условное давление 10 МПа, диаметр условного прохода 32 мм</t>
  </si>
  <si>
    <t>ТЕРм12-13-052-03</t>
  </si>
  <si>
    <t>Арматура для воды и пара на условное давление 10 МПа, диаметр условного прохода 80 мм</t>
  </si>
  <si>
    <t>ТЕРм12-13-052-04</t>
  </si>
  <si>
    <t>Арматура для воды и пара на условное давление 10 МПа, диаметр условного прохода 100 мм</t>
  </si>
  <si>
    <t>ТЕРм12-13-052-05</t>
  </si>
  <si>
    <t>Арматура для воды и пара на условное давление 10 МПа, диаметр условного прохода 150 мм</t>
  </si>
  <si>
    <t>ТЕРм12-13-052-06</t>
  </si>
  <si>
    <t>Арматура для воды и пара на условное давление 10 МПа, диаметр условного прохода 200 мм</t>
  </si>
  <si>
    <t xml:space="preserve">                                   Арматура для пара на условное давление 10 МПа</t>
  </si>
  <si>
    <t>ТЕРм12-13-053-01</t>
  </si>
  <si>
    <t>Арматура для пара на условное давление 10 МПа, диаметр условного прохода 20 мм</t>
  </si>
  <si>
    <t>ТЕРм12-13-053-02</t>
  </si>
  <si>
    <t>Арматура для пара на условное давление 10 МПа, диаметр условного прохода 250 мм</t>
  </si>
  <si>
    <t xml:space="preserve">                                   Арматура для пара на условное давление 20 МПа</t>
  </si>
  <si>
    <t>ТЕРм12-13-054-01</t>
  </si>
  <si>
    <t>Арматура для пара на условное давление 20 МПа, диаметр условного прохода 50 мм</t>
  </si>
  <si>
    <t>ТЕРм12-13-054-02</t>
  </si>
  <si>
    <t>Арматура для пара на условное давление 20 МПа, диаметр условного прохода 65 мм</t>
  </si>
  <si>
    <t>ТЕРм12-13-054-03</t>
  </si>
  <si>
    <t>Арматура для пара на условное давление 20 МПа, диаметр условного прохода 100 мм</t>
  </si>
  <si>
    <t>ТЕРм12-13-054-04</t>
  </si>
  <si>
    <t>Арматура для пара на условное давление 20 МПа, диаметр условного прохода 150 мм</t>
  </si>
  <si>
    <t>ТЕРм12-13-054-05</t>
  </si>
  <si>
    <t>Арматура для пара на условное давление 20 МПа, диаметр условного прохода 175 мм</t>
  </si>
  <si>
    <t xml:space="preserve">                                   Арматура для воды на условное давление 20 и 25 МПа</t>
  </si>
  <si>
    <t>ТЕРм12-13-055-01</t>
  </si>
  <si>
    <t>Арматура для воды на условное давление 20 и 25 МПа, диаметр условного прохода 65 мм</t>
  </si>
  <si>
    <t>ТЕРм12-13-055-02</t>
  </si>
  <si>
    <t>Арматура для воды на условное давление 20 и 25 МПа, диаметр условного прохода 100 мм</t>
  </si>
  <si>
    <t>ТЕРм12-13-055-03</t>
  </si>
  <si>
    <t>Арматура для воды на условное давление 20 и 25 МПа, диаметр условного прохода 150 мм</t>
  </si>
  <si>
    <t>ТЕРм12-13-055-04</t>
  </si>
  <si>
    <t>Арматура для воды на условное давление 20 и 25 МПа, диаметр условного прохода 175 мм</t>
  </si>
  <si>
    <t>ТЕРм12-13-055-05</t>
  </si>
  <si>
    <t>Арматура для воды на условное давление 20 и 25 МПа, диаметр условного прохода 225 мм</t>
  </si>
  <si>
    <t>ТЕРм12-13-055-06</t>
  </si>
  <si>
    <t>Арматура для воды на условное давление 20 и 25 МПа, диаметр условного прохода 250 мм</t>
  </si>
  <si>
    <t xml:space="preserve">                                   Арматура для пара на условное давление 40 МПа</t>
  </si>
  <si>
    <t>ТЕРм12-13-056-01</t>
  </si>
  <si>
    <t>Арматура для пара на условное давление 40 МПа, диаметр условного прохода 20 мм</t>
  </si>
  <si>
    <t>ТЕРм12-13-056-02</t>
  </si>
  <si>
    <t>Арматура для пара на условное давление 40 МПа, диаметр условного прохода 175 мм</t>
  </si>
  <si>
    <t xml:space="preserve">                                   Арматура для воды на условное давление 50 МПа</t>
  </si>
  <si>
    <t>ТЕРм12-13-057-01</t>
  </si>
  <si>
    <t>Арматура для воды на условное давление 50 МПа, диаметр условного прохода 20 мм</t>
  </si>
  <si>
    <t>ТЕРм12-13-057-02</t>
  </si>
  <si>
    <t>Арматура для воды на условное давление 50 МПа, диаметр условного прохода 50 мм</t>
  </si>
  <si>
    <t>ТЕРм12-13-057-03</t>
  </si>
  <si>
    <t>Арматура для воды на условное давление 50 МПа, диаметр условного прохода 100 мм</t>
  </si>
  <si>
    <t>ТЕРм12-13-057-04</t>
  </si>
  <si>
    <t>Арматура для воды на условное давление 50 МПа, диаметр условного прохода 150 мм</t>
  </si>
  <si>
    <t>ТЕРм12-13-057-05</t>
  </si>
  <si>
    <t>Арматура для воды на условное давление 50 МПа, диаметр условного прохода 200 мм</t>
  </si>
  <si>
    <t>ТЕРм12-13-057-06</t>
  </si>
  <si>
    <t>Арматура для воды на условное давление 50 МПа, диаметр условного прохода 250 мм</t>
  </si>
  <si>
    <t>ТЕРм12-13-057-07</t>
  </si>
  <si>
    <t>Арматура для воды на условное давление 50 МПа, диаметр условного прохода 300 мм</t>
  </si>
  <si>
    <t>ТЕРм12-13-057-08</t>
  </si>
  <si>
    <t>Арматура для воды на условное давление 50 МПа, диаметр условного прохода 325 мм</t>
  </si>
  <si>
    <t>ТЕРм12-13-057-09</t>
  </si>
  <si>
    <t>Арматура для воды на условное давление 50 МПа, диаметр условного прохода 350 мм</t>
  </si>
  <si>
    <t>ТЕРм12-13-057-10</t>
  </si>
  <si>
    <t>Арматура для воды на условное давление 50 МПа, диаметр условного прохода 400 мм</t>
  </si>
  <si>
    <t xml:space="preserve">                                   Арматура для пара на условное давление 80 МПа</t>
  </si>
  <si>
    <t>ТЕРм12-13-058-01</t>
  </si>
  <si>
    <t>Арматура для пара на условное давление 80 МПа, диаметр условного прохода 20 мм</t>
  </si>
  <si>
    <t>ТЕРм12-13-058-02</t>
  </si>
  <si>
    <t>Арматура для пара на условное давление 80 МПа, диаметр условного прохода 40 мм</t>
  </si>
  <si>
    <t>ТЕРм12-13-058-03</t>
  </si>
  <si>
    <t>Арматура для пара на условное давление 80 МПа, диаметр условного прохода 125 мм</t>
  </si>
  <si>
    <t>ТЕРм12-13-058-04</t>
  </si>
  <si>
    <t>Арматура для пара на условное давление 80 МПа, диаметр условного прохода 200 мм</t>
  </si>
  <si>
    <t>ТЕРм12-13-058-05</t>
  </si>
  <si>
    <t>Арматура для пара на условное давление 80 МПа, диаметр условного прохода 325 мм</t>
  </si>
  <si>
    <t xml:space="preserve">                                   Раздел 3. АРМАТУРА ВОДОПОДГОТОВИТЕЛЬНЫХ УСТАНОВОК И ХИМВОДООЧИСТОК</t>
  </si>
  <si>
    <t xml:space="preserve">                                   Арматура стальная фланцевая на условное давление до 6,4 МПа</t>
  </si>
  <si>
    <t>ТЕРм12-13-070-01</t>
  </si>
  <si>
    <t>Арматура стальная фланцевая на условное давление до 6,4 МПа, диаметр условного прохода 40-50 мм</t>
  </si>
  <si>
    <t>ТЕРм12-13-070-02</t>
  </si>
  <si>
    <t>Арматура стальная фланцевая на условное давление до 6,4 МПа, диаметр условного прохода 80 мм</t>
  </si>
  <si>
    <t>ТЕРм12-13-070-03</t>
  </si>
  <si>
    <t>Арматура стальная фланцевая на условное давление до 6,4 МПа, диаметр условного прохода 100 мм</t>
  </si>
  <si>
    <t xml:space="preserve">                                   Арматура чугунная фланцевая на условное давление до 2,5 МПа</t>
  </si>
  <si>
    <t>ТЕРм12-13-071-01</t>
  </si>
  <si>
    <t>Арматура чугунная фланцевая на условное давление до 2,5 МПа, диаметр условного прохода 25 мм</t>
  </si>
  <si>
    <t>ТЕРм12-13-071-02</t>
  </si>
  <si>
    <t>Арматура чугунная фланцевая на условное давление до 2,5 МПа, диаметр условного прохода 40 мм</t>
  </si>
  <si>
    <t>ТЕРм12-13-071-03</t>
  </si>
  <si>
    <t>Арматура чугунная фланцевая на условное давление до 2,5 МПа, диаметр условного прохода 50 мм</t>
  </si>
  <si>
    <t>ТЕРм12-13-071-04</t>
  </si>
  <si>
    <t>Арматура чугунная фланцевая на условное давление до 2,5 МПа, диаметр условного прохода 80 мм</t>
  </si>
  <si>
    <t>ТЕРм12-13-071-05</t>
  </si>
  <si>
    <t>Арматура чугунная фланцевая на условное давление до 2,5 МПа, диаметр условного прохода 100 мм</t>
  </si>
  <si>
    <t>ТЕРм12-13-071-06</t>
  </si>
  <si>
    <t>Арматура чугунная фланцевая на условное давление до 2,5 МПа, диаметр условного прохода 125 мм</t>
  </si>
  <si>
    <t>ТЕРм12-13-071-07</t>
  </si>
  <si>
    <t>Арматура чугунная фланцевая на условное давление до 2,5 МПа, диаметр условного прохода 150 мм</t>
  </si>
  <si>
    <t>ТЕРм12-13-071-08</t>
  </si>
  <si>
    <t>Арматура чугунная фланцевая на условное давление до 2,5 МПа, диаметр условного прохода 200 мм</t>
  </si>
  <si>
    <t>ТЕРм12-13-071-09</t>
  </si>
  <si>
    <t>Арматура чугунная фланцевая на условное давление до 2,5 МПа, диаметр условного прохода 250 мм</t>
  </si>
  <si>
    <t>ТЕРм12-13-071-10</t>
  </si>
  <si>
    <t>Арматура чугунная фланцевая на условное давление до 2,5 МПа, диаметр условного прохода 300 мм</t>
  </si>
  <si>
    <t xml:space="preserve">                                   Арматура чугунная муфтовая на условное давление до 1 МПа</t>
  </si>
  <si>
    <t>ТЕРм12-13-072-01</t>
  </si>
  <si>
    <t>Арматура чугунная муфтовая на условное давление до 1 МПа, диаметр условного прохода 20-25 мм</t>
  </si>
  <si>
    <t xml:space="preserve">                                   Арматура чугунная фланцевая, гуммированная или футерованная полиэтиленом на условное давление до 1,6 МПа</t>
  </si>
  <si>
    <t>ТЕРм12-13-073-01</t>
  </si>
  <si>
    <t>Арматура чугунная фланцевая, гуммированная или футерованная полиэтиленом на условное давление до 1,6 МПа, диаметр условного прохода 10-25 мм</t>
  </si>
  <si>
    <t>ТЕРм12-13-073-02</t>
  </si>
  <si>
    <t>Арматура чугунная фланцевая, гуммированная или футерованная полиэтиленом на условное давление до 1,6 МПа, диаметр условного прохода 32-42 мм</t>
  </si>
  <si>
    <t>ТЕРм12-13-073-03</t>
  </si>
  <si>
    <t>Арматура чугунная фланцевая, гуммированная или футерованная полиэтиленом на условное давление до 1,6 МПа, диаметр условного прохода 50 мм</t>
  </si>
  <si>
    <t>ТЕРм12-13-073-04</t>
  </si>
  <si>
    <t>Арматура чугунная фланцевая, гуммированная или футерованная полиэтиленом на условное давление до 1,6 МПа, диаметр условного прохода 80 мм</t>
  </si>
  <si>
    <t>ТЕРм12-13-073-05</t>
  </si>
  <si>
    <t>Арматура чугунная фланцевая, гуммированная или футерованная полиэтиленом на условное давление до 1,6 МПа, диаметр условного прохода 100 мм</t>
  </si>
  <si>
    <t>ТЕРм12-13-073-06</t>
  </si>
  <si>
    <t>Арматура чугунная фланцевая, гуммированная или футерованная полиэтиленом на условное давление до 1,6 МПа, диаметр условного прохода 150 мм</t>
  </si>
  <si>
    <t>ТЕРм12-13-073-07</t>
  </si>
  <si>
    <t>Арматура чугунная фланцевая, гуммированная или футерованная полиэтиленом на условное давление до 1,6 МПа, диаметр условного прохода 200 мм</t>
  </si>
  <si>
    <t>ТЕРм12-13-073-08</t>
  </si>
  <si>
    <t>Арматура чугунная фланцевая, гуммированная или футерованная полиэтиленом на условное давление до 1,6 МПа, диаметр условного прохода 250 мм</t>
  </si>
  <si>
    <t>ТЕРм12-13-073-09</t>
  </si>
  <si>
    <t>Арматура чугунная фланцевая, гуммированная или футерованная полиэтиленом на условное давление до 1,6 МПа, диаметр условного прохода 300 мм</t>
  </si>
  <si>
    <t xml:space="preserve">                           Раздел 13. ОТДЕЛ 14. АРМАТУРА ДЛЯ КИСЛОРОДНЫХ УСТАНОВОК</t>
  </si>
  <si>
    <t xml:space="preserve">                                   Раздел 1. ВЕНТИЛИ ЛАТУННЫЕ</t>
  </si>
  <si>
    <t xml:space="preserve">                                   Вентили латунные запорные теплые низкого давления</t>
  </si>
  <si>
    <t>ТЕРм12-14-001-01</t>
  </si>
  <si>
    <t>Вентиль латунный запорный теплый низкого давления, диаметр условного прохода 25 мм</t>
  </si>
  <si>
    <t>ТЕРм12-14-001-02</t>
  </si>
  <si>
    <t>Вентиль латунный запорный теплый низкого давления, диаметр условного прохода 40 мм</t>
  </si>
  <si>
    <t>ТЕРм12-14-001-03</t>
  </si>
  <si>
    <t>Вентиль латунный запорный теплый низкого давления, диаметр условного прохода 60 мм</t>
  </si>
  <si>
    <t>ТЕРм12-14-001-04</t>
  </si>
  <si>
    <t>Вентиль латунный запорный теплый низкого давления, диаметр условного прохода 80 мм</t>
  </si>
  <si>
    <t>ТЕРм12-14-001-05</t>
  </si>
  <si>
    <t>Вентиль латунный запорный теплый низкого давления, диаметр условного прохода 100 мм</t>
  </si>
  <si>
    <t xml:space="preserve">                                   Вентили латунные запорные холодные низкого давления</t>
  </si>
  <si>
    <t>ТЕРм12-14-002-01</t>
  </si>
  <si>
    <t>Вентиль латунный запорный холодный низкого давления, диаметр условного прохода 20 мм</t>
  </si>
  <si>
    <t>ТЕРм12-14-002-02</t>
  </si>
  <si>
    <t>Вентиль латунный запорный холодный низкого давления, диаметр условного прохода 32 мм</t>
  </si>
  <si>
    <t>ТЕРм12-14-002-03</t>
  </si>
  <si>
    <t>Вентиль латунный запорный холодный низкого давления, диаметр условного прохода 50 мм</t>
  </si>
  <si>
    <t xml:space="preserve">                                   Вентили латунные дроссельные холодные высокого давления</t>
  </si>
  <si>
    <t>ТЕРм12-14-003-01</t>
  </si>
  <si>
    <t>Вентиль латунный дроссельный холодный высокого давления, диаметр условного прохода 6 мм</t>
  </si>
  <si>
    <t>ТЕРм12-14-003-02</t>
  </si>
  <si>
    <t>Вентиль латунный дроссельный холодный высокого давления, диаметр условного прохода 12 мм</t>
  </si>
  <si>
    <t xml:space="preserve">                                   Вентили латунные дроссельные холодные низкого давления с электроприводом</t>
  </si>
  <si>
    <t>ТЕРм12-14-004-01</t>
  </si>
  <si>
    <t>Вентиль латунный дроссельный холодный низкого давления с электроприводом, диаметр условного прохода 10 мм</t>
  </si>
  <si>
    <t>ТЕРм12-14-004-02</t>
  </si>
  <si>
    <t>Вентиль латунный дроссельный холодный низкого давления с электроприводом, диаметр условного прохода 40 мм</t>
  </si>
  <si>
    <t xml:space="preserve">                                   Раздел 2. ВЕНТИЛИ СТАЛЬНЫЕ</t>
  </si>
  <si>
    <t xml:space="preserve">                                   Вентили стальные низкого давления</t>
  </si>
  <si>
    <t>ТЕРм12-14-020-01</t>
  </si>
  <si>
    <t>Вентиль стальной низкого давления, диаметр условного прохода 20 мм</t>
  </si>
  <si>
    <t>ТЕРм12-14-020-02</t>
  </si>
  <si>
    <t>Вентиль стальной низкого давления, диаметр условного прохода 32 мм</t>
  </si>
  <si>
    <t>ТЕРм12-14-020-03</t>
  </si>
  <si>
    <t>Вентиль стальной низкого давления, диаметр условного прохода 50 мм</t>
  </si>
  <si>
    <t>ТЕРм12-14-020-04</t>
  </si>
  <si>
    <t>Вентиль стальной низкого давления, диаметр условного прохода 80 мм</t>
  </si>
  <si>
    <t>ТЕРм12-14-020-05</t>
  </si>
  <si>
    <t>Вентиль стальной низкого давления, диаметр условного прохода 100 мм</t>
  </si>
  <si>
    <t>ТЕРм12-14-020-06</t>
  </si>
  <si>
    <t>Вентиль стальной низкого давления, диаметр условного прохода 150 мм</t>
  </si>
  <si>
    <t>ТЕРм12-14-020-07</t>
  </si>
  <si>
    <t>Вентиль стальной низкого давления, диаметр условного прохода 200 мм</t>
  </si>
  <si>
    <t>ТЕРм12-14-020-08</t>
  </si>
  <si>
    <t>Вентиль стальной низкого давления, диаметр условного прохода 250 мм</t>
  </si>
  <si>
    <t xml:space="preserve">                                   Вентили стальные высокого давления</t>
  </si>
  <si>
    <t>ТЕРм12-14-021-01</t>
  </si>
  <si>
    <t>Вентиль стальной высокого давления, диаметр условного прохода 100 мм</t>
  </si>
  <si>
    <t xml:space="preserve">                                   Вентили стальные низкого давления с электроприводом</t>
  </si>
  <si>
    <t>ТЕРм12-14-022-01</t>
  </si>
  <si>
    <t>Вентиль стальной низкого давления с электроприводом, диаметр условного прохода 32 мм</t>
  </si>
  <si>
    <t>ТЕРм12-14-022-02</t>
  </si>
  <si>
    <t>Вентиль стальной низкого давления с электроприводом, диаметр условного прохода 50 мм</t>
  </si>
  <si>
    <t>ТЕРм12-14-022-03</t>
  </si>
  <si>
    <t>Вентиль стальной низкого давления с электроприводом, диаметр условного прохода 80 мм</t>
  </si>
  <si>
    <t>ТЕРм12-14-022-04</t>
  </si>
  <si>
    <t>Вентиль стальной низкого давления с электроприводом, диаметр условного прохода 100 мм</t>
  </si>
  <si>
    <t>ТЕРм12-14-022-05</t>
  </si>
  <si>
    <t>Вентиль стальной низкого давления с электроприводом, диаметр условного прохода 150 мм</t>
  </si>
  <si>
    <t xml:space="preserve">                                   Раздел 3. ЗАДВИЖКИ СТАЛЬНЫЕ</t>
  </si>
  <si>
    <t xml:space="preserve">                                   Задвижки стальные блочные низкого давления с электроприводом</t>
  </si>
  <si>
    <t>ТЕРм12-14-033-01</t>
  </si>
  <si>
    <t>Задвижка стальная блочная низкого давления с электроприводом, диаметр условного прохода 300 мм</t>
  </si>
  <si>
    <t>ТЕРм12-14-033-02</t>
  </si>
  <si>
    <t>Задвижка стальная блочная низкого давления с электроприводом, диаметр условного прохода 400 мм</t>
  </si>
  <si>
    <t>ТЕРм12-14-033-03</t>
  </si>
  <si>
    <t>Задвижка стальная блочная низкого давления с электроприводом, диаметр условного прохода 600 мм</t>
  </si>
  <si>
    <t xml:space="preserve">                                   Раздел 4. ЗАСЛОНКИ СТАЛЬНЫЕ</t>
  </si>
  <si>
    <t xml:space="preserve">                                   Заслонки стальные холодные низкого давления</t>
  </si>
  <si>
    <t>ТЕРм12-14-044-01</t>
  </si>
  <si>
    <t>Заслонка стальная холодная низкого давления, диаметр условного прохода 50 мм</t>
  </si>
  <si>
    <t>ТЕРм12-14-044-02</t>
  </si>
  <si>
    <t>Заслонка стальная холодная низкого давления, диаметр условного прохода 100 мм</t>
  </si>
  <si>
    <t>ТЕРм12-14-044-03</t>
  </si>
  <si>
    <t>Заслонка стальная холодная низкого давления, диаметр условного прохода 160 мм</t>
  </si>
  <si>
    <t>ТЕРм12-14-044-04</t>
  </si>
  <si>
    <t>Заслонка стальная холодная низкого давления, диаметр условного прохода 200 мм</t>
  </si>
  <si>
    <t>ТЕРм12-14-044-05</t>
  </si>
  <si>
    <t>Заслонка стальная холодная низкого давления, диаметр условного прохода 300 мм</t>
  </si>
  <si>
    <t>ТЕРм12-14-044-06</t>
  </si>
  <si>
    <t>Заслонка стальная холодная низкого давления, диаметр условного прохода 400 мм</t>
  </si>
  <si>
    <t>ТЕРм12-14-044-07</t>
  </si>
  <si>
    <t>Заслонка стальная холодная низкого давления, диаметр условного прохода 500 мм</t>
  </si>
  <si>
    <t>ТЕРм12-14-044-08</t>
  </si>
  <si>
    <t>Заслонка стальная холодная низкого давления, диаметр условного прохода 600 мм</t>
  </si>
  <si>
    <t>ТЕРм12-14-044-09</t>
  </si>
  <si>
    <t>Заслонка стальная холодная низкого давления, диаметр условного прохода 800 мм</t>
  </si>
  <si>
    <t xml:space="preserve">                                   Заслонки стальные холодные низкого давления с электроприводом</t>
  </si>
  <si>
    <t>ТЕРм12-14-045-01</t>
  </si>
  <si>
    <t>Заслонка стальная холодная низкого давления с электроприводом, диаметр условного прохода 100 мм</t>
  </si>
  <si>
    <t>ТЕРм12-14-045-02</t>
  </si>
  <si>
    <t>Заслонка стальная холодная низкого давления с электроприводом, диаметр условного прохода 200 мм</t>
  </si>
  <si>
    <t>ТЕРм12-14-045-03</t>
  </si>
  <si>
    <t>Заслонка стальная холодная низкого давления с электроприводом, диаметр условного прохода 300 мм</t>
  </si>
  <si>
    <t>ТЕРм12-14-045-04</t>
  </si>
  <si>
    <t>Заслонка стальная холодная низкого давления с электроприводом, диаметр условного прохода 400 мм</t>
  </si>
  <si>
    <t>ТЕРм12-14-045-05</t>
  </si>
  <si>
    <t>Заслонка стальная холодная низкого давления с электроприводом, диаметр условного прохода 500 мм</t>
  </si>
  <si>
    <t>ТЕРм12-14-045-06</t>
  </si>
  <si>
    <t>Заслонка стальная холодная низкого давления с электроприводом, диаметр условного прохода 600 мм</t>
  </si>
  <si>
    <t xml:space="preserve">                                   Заслонки стальные переключающие низкого давления с пневмоприводом</t>
  </si>
  <si>
    <t>ТЕРм12-14-046-01</t>
  </si>
  <si>
    <t>Заслонка стальная переключающая низкого давления с пневмоприводом, диаметр условного прохода 400 мм</t>
  </si>
  <si>
    <t>ТЕРм12-14-046-02</t>
  </si>
  <si>
    <t>Заслонка стальная переключающая низкого давления с пневмоприводом, диаметр условного прохода 600 мм</t>
  </si>
  <si>
    <t>ТЕРм12-14-046-03</t>
  </si>
  <si>
    <t>Заслонка стальная переключающая низкого давления с пневмоприводом, диаметр условного прохода 1000 мм</t>
  </si>
  <si>
    <t xml:space="preserve">                                   Раздел 5. КЛАПАНЫ ЛАТУННЫЕ, СТАЛЬНЫЕ И ЧУГУННЫЕ</t>
  </si>
  <si>
    <t xml:space="preserve">                                   Клапаны латунные низкого давления</t>
  </si>
  <si>
    <t>ТЕРм12-14-062-01</t>
  </si>
  <si>
    <t>Клапан латунный низкого давления, диаметр условного прохода 25 мм</t>
  </si>
  <si>
    <t>ТЕРм12-14-062-02</t>
  </si>
  <si>
    <t>Клапан латунный низкого давления, диаметр условного прохода 50 мм</t>
  </si>
  <si>
    <t>ТЕРм12-14-062-03</t>
  </si>
  <si>
    <t>Клапан латунный низкого давления, диаметр условного прохода 80 мм</t>
  </si>
  <si>
    <t>ТЕРм12-14-062-04</t>
  </si>
  <si>
    <t>Клапан латунный низкого давления, диаметр условного прохода 150 мм</t>
  </si>
  <si>
    <t>ТЕРм12-14-062-05</t>
  </si>
  <si>
    <t>Клапан латунный низкого давления, диаметр условного прохода 250 мм</t>
  </si>
  <si>
    <t xml:space="preserve">                                   Клапаны латунные высокого давления</t>
  </si>
  <si>
    <t>ТЕРм12-14-063-01</t>
  </si>
  <si>
    <t>Клапан латунный высокого давления, диаметр условного прохода 6 мм</t>
  </si>
  <si>
    <t>ТЕРм12-14-063-02</t>
  </si>
  <si>
    <t>Клапан латунный высокого давления, диаметр условного прохода 10 мм</t>
  </si>
  <si>
    <t>ТЕРм12-14-063-03</t>
  </si>
  <si>
    <t>Клапан латунный высокого давления, диаметр условного прохода 20 мм</t>
  </si>
  <si>
    <t xml:space="preserve">                                   Клапаны стальные низкого давления</t>
  </si>
  <si>
    <t>ТЕРм12-14-064-01</t>
  </si>
  <si>
    <t>Клапан стальной низкого давления, диаметр условного прохода 25 мм</t>
  </si>
  <si>
    <t>ТЕРм12-14-064-02</t>
  </si>
  <si>
    <t>Клапан стальной низкого давления, диаметр условного прохода 50 мм</t>
  </si>
  <si>
    <t>ТЕРм12-14-064-03</t>
  </si>
  <si>
    <t>Клапан стальной низкого давления, диаметр условного прохода 80 мм</t>
  </si>
  <si>
    <t>ТЕРм12-14-064-04</t>
  </si>
  <si>
    <t>Клапан стальной низкого давления, диаметр условного прохода 100 мм</t>
  </si>
  <si>
    <t>ТЕРм12-14-064-05</t>
  </si>
  <si>
    <t>Клапан стальной низкого давления, диаметр условного прохода 150 мм</t>
  </si>
  <si>
    <t>ТЕРм12-14-064-06</t>
  </si>
  <si>
    <t>Клапан стальной низкого давления, диаметр условного прохода 200 мм</t>
  </si>
  <si>
    <t>ТЕРм12-14-064-07</t>
  </si>
  <si>
    <t>Клапан стальной низкого давления, диаметр условного прохода 300 мм</t>
  </si>
  <si>
    <t>ТЕРм12-14-064-08</t>
  </si>
  <si>
    <t>Клапан стальной низкого давления, диаметр условного прохода 400 мм</t>
  </si>
  <si>
    <t>ТЕРм12-14-064-09</t>
  </si>
  <si>
    <t>Клапан стальной низкого давления, диаметр условного прохода 600 мм</t>
  </si>
  <si>
    <t xml:space="preserve">                                   Клапаны чугунные переключающие с пневмоприводом</t>
  </si>
  <si>
    <t>ТЕРм12-14-065-01</t>
  </si>
  <si>
    <t>Клапан чугунный переключающий с пневмоприводом, диаметр условного прохода 80 мм</t>
  </si>
  <si>
    <t>ТЕРм12-14-065-02</t>
  </si>
  <si>
    <t>Клапан чугунный переключающий с пневмоприводом, диаметр условного прохода 100 мм</t>
  </si>
  <si>
    <t>ТЕРм12-14-065-03</t>
  </si>
  <si>
    <t>Клапан чугунный переключающий с пневмоприводом, диаметр условного прохода 150 мм</t>
  </si>
  <si>
    <t>ТЕРм12-14-065-04</t>
  </si>
  <si>
    <t>Клапан чугунный переключающий с пневмоприводом, диаметр условного прохода 250 мм</t>
  </si>
  <si>
    <t>ТЕРм12-14-065-05</t>
  </si>
  <si>
    <t>Клапан чугунный переключающий с пневмоприводом, диаметр условного прохода 300 мм</t>
  </si>
  <si>
    <t>ТЕРм12-14-065-06</t>
  </si>
  <si>
    <t>Клапан чугунный переключающий с пневмоприводом, диаметр условного прохода 400 мм</t>
  </si>
  <si>
    <t>ТЕРм12-14-065-07</t>
  </si>
  <si>
    <t>Клапан чугунный переключающий с пневмоприводом, диаметр условного прохода 500 мм</t>
  </si>
  <si>
    <t>ТЕРм12-14-065-08</t>
  </si>
  <si>
    <t>Клапан чугунный переключающий с пневмоприводом, диаметр условного прохода 600 мм</t>
  </si>
  <si>
    <t>ТЕРм12-14-065-09</t>
  </si>
  <si>
    <t>Клапан чугунный переключающий с пневмоприводом, диаметр условного прохода 800 мм</t>
  </si>
  <si>
    <t xml:space="preserve">                           Раздел 14. ОТДЕЛ 15. ПРИВОДЫ ДИСТАНЦИОННЫЕ</t>
  </si>
  <si>
    <t xml:space="preserve">                                   Приводы одинарные ручные с чугунной колонкой и шарнирными соединениями</t>
  </si>
  <si>
    <t>ТЕРм12-15-001-01</t>
  </si>
  <si>
    <t>Привод одинарный ручной с чугунной колонкой и шарнирным соединением, количество штанг 1</t>
  </si>
  <si>
    <t>ТЕРм12-15-001-02</t>
  </si>
  <si>
    <t>Привод одинарный ручной с чугунной колонкой и шарнирным соединением, количество штанг 2</t>
  </si>
  <si>
    <t>ТЕРм12-15-001-03</t>
  </si>
  <si>
    <t>Привод одинарный ручной с чугунной колонкой и шарнирным соединением, количество штанг 3</t>
  </si>
  <si>
    <t xml:space="preserve">                                   Приводы двойные ручные с чугунной колонкой и шарнирными соединениями</t>
  </si>
  <si>
    <t>ТЕРм12-15-002-01</t>
  </si>
  <si>
    <t>Привод двойной ручной с чугунной колонкой и шарнирным соединением, количество штанг 1</t>
  </si>
  <si>
    <t>ТЕРм12-15-002-02</t>
  </si>
  <si>
    <t>Привод двойной ручной с чугунной колонкой и шарнирным соединением, количество штанг 2</t>
  </si>
  <si>
    <t xml:space="preserve">                                   Электроприводы колонковые</t>
  </si>
  <si>
    <t>ТЕРм12-15-003-01</t>
  </si>
  <si>
    <t>Электропривод колонковый, масса 27 кг</t>
  </si>
  <si>
    <t>ТЕРм12-15-003-02</t>
  </si>
  <si>
    <t>Электропривод колонковый, масса 109 кг</t>
  </si>
  <si>
    <t>ТЕРм12-15-003-03</t>
  </si>
  <si>
    <t>Электропривод колонковый, масса 145 кг</t>
  </si>
  <si>
    <t>ТЕРм12-15-003-04</t>
  </si>
  <si>
    <t>Электропривод колонковый, масса 209 кг</t>
  </si>
  <si>
    <t xml:space="preserve">                           Раздел 15. ОТДЕЛ 16. ТРУБОПРОВОДЫ СИСТЕМ ПЛАСТИЧНОЙ СМАЗКИ</t>
  </si>
  <si>
    <t xml:space="preserve">                                   Узлы централизованной системы пластичной смазки</t>
  </si>
  <si>
    <t>ТЕРм12-16-001-01</t>
  </si>
  <si>
    <t>Узел централизованной системы пластичной смазки, диаметр условного прохода 15 мм</t>
  </si>
  <si>
    <t>ТЕРм12-16-001-02</t>
  </si>
  <si>
    <t>Узел централизованной системы пластичной смазки, диаметр условного прохода 20 мм</t>
  </si>
  <si>
    <t>ТЕРм12-16-001-03</t>
  </si>
  <si>
    <t>Узел централизованной системы пластичной смазки, диаметр условного прохода 25 мм</t>
  </si>
  <si>
    <t>ТЕРм12-16-001-04</t>
  </si>
  <si>
    <t>Узел централизованной системы пластичной смазки, диаметр условного прохода 32 мм</t>
  </si>
  <si>
    <t>ТЕРм12-16-001-05</t>
  </si>
  <si>
    <t>Узел централизованной системы пластичной смазки, диаметр условного прохода 40 мм</t>
  </si>
  <si>
    <t>ТЕРм12-16-001-06</t>
  </si>
  <si>
    <t>Узел централизованной системы пластичной смазки, диаметр условного прохода 50 мм</t>
  </si>
  <si>
    <t>ТЕРм12-16-001-07</t>
  </si>
  <si>
    <t>Узел централизованной системы пластичной смазки, диаметр условного прохода 65 мм</t>
  </si>
  <si>
    <t xml:space="preserve">                                   Аппараты и приборы для систем пластичной смазки</t>
  </si>
  <si>
    <t>ТЕРм12-16-002-01</t>
  </si>
  <si>
    <t>Насос ручной ПРТ-М</t>
  </si>
  <si>
    <t>ТЕРм12-16-002-02</t>
  </si>
  <si>
    <t>Блок переключения смазочный типа БПС-21, БПС-22</t>
  </si>
  <si>
    <t>ТЕРм12-16-002-03</t>
  </si>
  <si>
    <t>Распределитель линейный двух- и четырехходовый типа РРЭ, РЧЭ-11, РЧР</t>
  </si>
  <si>
    <t>ТЕРм12-16-002-04</t>
  </si>
  <si>
    <t>Клапан обратный КОГ-15</t>
  </si>
  <si>
    <t>ТЕРм12-16-002-05</t>
  </si>
  <si>
    <t>Фильтр сетчатый 16-250-2</t>
  </si>
  <si>
    <t xml:space="preserve">                                   Питатели двухлинейные</t>
  </si>
  <si>
    <t>ТЕРм12-16-003-01</t>
  </si>
  <si>
    <t>Питатель двухлинейный с разводящим трубопроводом типа 2-0200-1, 2-0500-1, 2-1000-1, 2-2500-1, одноотводный</t>
  </si>
  <si>
    <t>ТЕРм12-16-003-02</t>
  </si>
  <si>
    <t>Питатель двухлинейный с разводящим трубопроводом типа 2-0200-2, 2-0500-2, 2-1000-2, двухотводный</t>
  </si>
  <si>
    <t>ТЕРм12-16-003-03</t>
  </si>
  <si>
    <t>Питатель двухлинейный с разводящим трубопроводом типа 2-0200-3, 2-0500-3, трехотводный</t>
  </si>
  <si>
    <t>ТЕРм12-16-003-04</t>
  </si>
  <si>
    <t>Питатель двухлинейный с разводящим трубопроводом типа 2-0200-4, 2-0500-4, четырехотводный</t>
  </si>
  <si>
    <t xml:space="preserve">                           Раздел 16. ОТДЕЛ 17. МАСЛОПРОВОДЫ ОБОРУДОВАНИЯ ТЕПЛОВЫХ ЭЛЕКТРОСТАНЦИЙ</t>
  </si>
  <si>
    <t xml:space="preserve">                                   Маслопроводы турбин и генераторов</t>
  </si>
  <si>
    <t>ТЕРм12-17-001-01</t>
  </si>
  <si>
    <t>Маслопровод турбин и генераторов, мощность до 40 тыс. кВт</t>
  </si>
  <si>
    <t>ТЕРм12-17-001-02</t>
  </si>
  <si>
    <t>Маслопровод турбин и генераторов, мощность до 200 тыс. кВт</t>
  </si>
  <si>
    <t>ТЕРм12-17-001-03</t>
  </si>
  <si>
    <t>Маслопровод турбин и генераторов, мощность более 200 тыс. кВт</t>
  </si>
  <si>
    <t xml:space="preserve">                                   Маслопроводы машинного зала</t>
  </si>
  <si>
    <t>ТЕРм12-17-002-01</t>
  </si>
  <si>
    <t>Маслопровод машинного зала</t>
  </si>
  <si>
    <t xml:space="preserve">                           Раздел 17. ОТДЕЛ 18. ИЗГОТОВЛЕНИЕ УЗЛОВ И СЕКЦИЙ ТРУБОПРОВОДОВ</t>
  </si>
  <si>
    <t xml:space="preserve">                                   Раздел 1. ИЗГОТОВЛЕНИЕ УЗЛОВ ТРУБОПРОВОДОВ</t>
  </si>
  <si>
    <t xml:space="preserve">                                   Изготовление узлов трубопроводов из труб углеродистых и качественных сталей, монтируемых в помещениях или на открытых площадках в пределах цехов</t>
  </si>
  <si>
    <t>ТЕРм12-18-001-01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</si>
  <si>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14 мм</t>
  </si>
  <si>
    <t>ТЕРм12-18-001-02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</si>
  <si>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18 мм</t>
  </si>
  <si>
    <t>ТЕРм12-18-001-03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</si>
  <si>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25 мм</t>
  </si>
  <si>
    <t>ТЕРм12-18-001-04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</si>
  <si>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32 мм</t>
  </si>
  <si>
    <t>ТЕРм12-18-001-05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</si>
  <si>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38 мм</t>
  </si>
  <si>
    <t>ТЕРм12-18-001-06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</si>
  <si>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45 мм</t>
  </si>
  <si>
    <t>ТЕРм12-18-001-07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</si>
  <si>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57 мм</t>
  </si>
  <si>
    <t>ТЕРм12-18-001-08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</si>
  <si>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76 мм</t>
  </si>
  <si>
    <t>ТЕРм12-18-001-09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</si>
  <si>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89 мм</t>
  </si>
  <si>
    <t>ТЕРм12-18-001-10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</si>
  <si>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108 мм</t>
  </si>
  <si>
    <t>ТЕРм12-18-001-11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</si>
  <si>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133 мм</t>
  </si>
  <si>
    <t>ТЕРм12-18-001-12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</si>
  <si>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159 мм</t>
  </si>
  <si>
    <t>ТЕРм12-18-001-13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</si>
  <si>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219 мм</t>
  </si>
  <si>
    <t>ТЕРм12-18-001-14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</si>
  <si>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273 мм</t>
  </si>
  <si>
    <t>ТЕРм12-18-001-15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</si>
  <si>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325 мм</t>
  </si>
  <si>
    <t>ТЕРм12-18-001-16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</si>
  <si>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377 мм</t>
  </si>
  <si>
    <t>ТЕРм12-18-001-17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</si>
  <si>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426 мм</t>
  </si>
  <si>
    <t>ТЕРм12-18-001-18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</si>
  <si>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530 мм</t>
  </si>
  <si>
    <t>ТЕРм12-18-001-19</t>
  </si>
  <si>
    <t>Изготовление узла трубопроводов из труб углеродистых и качественных сталей, монтируемого в помещениях или на открытых площадках в пределах цехов, диаметр трубопровода наружный 630 мм</t>
  </si>
  <si>
    <t xml:space="preserve">                                   Изготовление узлов трубопроводов из труб углеродистых и качественных сталей, монтируемых в дизельных, насосно-компрессорных, парокотельных и т.п.</t>
  </si>
  <si>
    <t>ТЕРм12-18-002-01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</si>
  <si>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14 мм</t>
  </si>
  <si>
    <t>ТЕРм12-18-002-02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</si>
  <si>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18 мм</t>
  </si>
  <si>
    <t>ТЕРм12-18-002-03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</si>
  <si>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25 мм</t>
  </si>
  <si>
    <t>ТЕРм12-18-002-04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</si>
  <si>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32 мм</t>
  </si>
  <si>
    <t>ТЕРм12-18-002-05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</si>
  <si>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38 мм</t>
  </si>
  <si>
    <t>ТЕРм12-18-002-06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</si>
  <si>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45 мм</t>
  </si>
  <si>
    <t>ТЕРм12-18-002-07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</si>
  <si>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57 мм</t>
  </si>
  <si>
    <t>ТЕРм12-18-002-08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</si>
  <si>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76 мм</t>
  </si>
  <si>
    <t>ТЕРм12-18-002-09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</si>
  <si>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89 мм</t>
  </si>
  <si>
    <t>ТЕРм12-18-002-10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</si>
  <si>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108 мм</t>
  </si>
  <si>
    <t>ТЕРм12-18-002-11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</si>
  <si>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133 мм</t>
  </si>
  <si>
    <t>ТЕРм12-18-002-12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</si>
  <si>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159 мм</t>
  </si>
  <si>
    <t>ТЕРм12-18-002-13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</si>
  <si>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219 мм</t>
  </si>
  <si>
    <t>ТЕРм12-18-002-14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</si>
  <si>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273 мм</t>
  </si>
  <si>
    <t>ТЕРм12-18-002-15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</si>
  <si>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325 мм</t>
  </si>
  <si>
    <t>ТЕРм12-18-002-16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</si>
  <si>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377 мм</t>
  </si>
  <si>
    <t>ТЕРм12-18-002-17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</si>
  <si>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426 мм</t>
  </si>
  <si>
    <t>ТЕРм12-18-002-18</t>
  </si>
  <si>
    <t>Изготовление узла трубопроводов из труб углеродистых и качественных сталей, монтируемого в дизельных, насосно-компрессорных, парокотельных и т.п., диаметр трубопровода наружный 530 мм</t>
  </si>
  <si>
    <t xml:space="preserve">                                   Изготовление узлов трубопроводов из труб легированных сталей, монтируемых в помещениях или на открытых площадках в пределах цехов</t>
  </si>
  <si>
    <t>ТЕРм12-18-003-01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</si>
  <si>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45 мм</t>
  </si>
  <si>
    <t>ТЕРм12-18-003-02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</si>
  <si>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57 мм</t>
  </si>
  <si>
    <t>ТЕРм12-18-003-03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</si>
  <si>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76 мм</t>
  </si>
  <si>
    <t>ТЕРм12-18-003-04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</si>
  <si>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89 мм</t>
  </si>
  <si>
    <t>ТЕРм12-18-003-05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</si>
  <si>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108 мм</t>
  </si>
  <si>
    <t>ТЕРм12-18-003-06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</si>
  <si>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133 мм</t>
  </si>
  <si>
    <t>ТЕРм12-18-003-07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</si>
  <si>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159 мм</t>
  </si>
  <si>
    <t>ТЕРм12-18-003-08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</si>
  <si>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219 мм</t>
  </si>
  <si>
    <t>ТЕРм12-18-003-09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</si>
  <si>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273 мм</t>
  </si>
  <si>
    <t>ТЕРм12-18-003-10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</si>
  <si>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325 мм</t>
  </si>
  <si>
    <t>ТЕРм12-18-003-11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</si>
  <si>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377 мм</t>
  </si>
  <si>
    <t>ТЕРм12-18-003-12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</si>
  <si>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426 мм</t>
  </si>
  <si>
    <t>ТЕРм12-18-003-13</t>
  </si>
  <si>
    <t>Изготовление узла трубопроводов из труб легированных сталей, монтируемого в помещениях или на открытых площадках в пределах цехов, диаметр трубопровода наружный 530 мм</t>
  </si>
  <si>
    <t xml:space="preserve">                                   Изготовление узлов трубопроводов из труб легированных сталей, монтируемых в дизельных, насосно-компрессорных, парокотельных, и т. п.</t>
  </si>
  <si>
    <t>ТЕРм12-18-004-01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</si>
  <si>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45 мм</t>
  </si>
  <si>
    <t>ТЕРм12-18-004-02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</si>
  <si>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57 мм</t>
  </si>
  <si>
    <t>ТЕРм12-18-004-03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</si>
  <si>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76 мм</t>
  </si>
  <si>
    <t>ТЕРм12-18-004-04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</si>
  <si>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89 мм</t>
  </si>
  <si>
    <t>ТЕРм12-18-004-05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</si>
  <si>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108 мм</t>
  </si>
  <si>
    <t>ТЕРм12-18-004-06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</si>
  <si>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133 мм</t>
  </si>
  <si>
    <t>ТЕРм12-18-004-07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</si>
  <si>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159 мм</t>
  </si>
  <si>
    <t>ТЕРм12-18-004-08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</si>
  <si>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219 мм</t>
  </si>
  <si>
    <t>ТЕРм12-18-004-09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</si>
  <si>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273 мм</t>
  </si>
  <si>
    <t>ТЕРм12-18-004-10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</si>
  <si>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325 мм</t>
  </si>
  <si>
    <t>ТЕРм12-18-004-11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</si>
  <si>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377 мм</t>
  </si>
  <si>
    <t>ТЕРм12-18-004-12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</si>
  <si>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426 мм</t>
  </si>
  <si>
    <t>ТЕРм12-18-004-13</t>
  </si>
  <si>
    <t>Изготовление узла трубопроводов из труб легированных сталей, монтируемого в дизельных, насосно-компрессорных, парокотельных и т. п., диаметр трубопровода наружный 530 мм</t>
  </si>
  <si>
    <t xml:space="preserve">                                   Изготовление узлов трубопроводов из труб высоколегированных сталей, монтируемых в помещениях или на открытых площадках в пределах цехов</t>
  </si>
  <si>
    <t>ТЕРм12-18-005-01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</si>
  <si>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45 мм</t>
  </si>
  <si>
    <t>ТЕРм12-18-005-02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</si>
  <si>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57 мм</t>
  </si>
  <si>
    <t>ТЕРм12-18-005-03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</si>
  <si>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76 мм</t>
  </si>
  <si>
    <t>ТЕРм12-18-005-04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</si>
  <si>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89 мм</t>
  </si>
  <si>
    <t>ТЕРм12-18-005-05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</si>
  <si>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108 мм</t>
  </si>
  <si>
    <t>ТЕРм12-18-005-06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</si>
  <si>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133 мм</t>
  </si>
  <si>
    <t>ТЕРм12-18-005-07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</si>
  <si>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159 мм</t>
  </si>
  <si>
    <t>ТЕРм12-18-005-08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</si>
  <si>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219 мм</t>
  </si>
  <si>
    <t>ТЕРм12-18-005-09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</si>
  <si>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273 мм</t>
  </si>
  <si>
    <t>ТЕРм12-18-005-10</t>
  </si>
  <si>
    <t>Изготовление узла трубопроводов из труб высоколегированных сталей, монтируемого в помещениях или на открытых площадках в пределах цехов, диаметр трубопровода наружный 325 мм</t>
  </si>
  <si>
    <t xml:space="preserve">                                   Изготовление узлов трубопроводов из труб высоколегированных сталей, монтируемых в дизельных, насосно-компрессорных, парокотельных, и т. п.</t>
  </si>
  <si>
    <t>ТЕРм12-18-006-01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</si>
  <si>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45 мм</t>
  </si>
  <si>
    <t>ТЕРм12-18-006-02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</si>
  <si>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57 мм</t>
  </si>
  <si>
    <t>ТЕРм12-18-006-03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</si>
  <si>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76 мм</t>
  </si>
  <si>
    <t>ТЕРм12-18-006-04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</si>
  <si>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89 мм</t>
  </si>
  <si>
    <t>ТЕРм12-18-006-05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</si>
  <si>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108 мм</t>
  </si>
  <si>
    <t>ТЕРм12-18-006-06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</si>
  <si>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133 мм</t>
  </si>
  <si>
    <t>ТЕРм12-18-006-07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</si>
  <si>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159 мм</t>
  </si>
  <si>
    <t>ТЕРм12-18-006-08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</si>
  <si>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219 мм</t>
  </si>
  <si>
    <t>ТЕРм12-18-006-09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</si>
  <si>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273 мм</t>
  </si>
  <si>
    <t>ТЕРм12-18-006-10</t>
  </si>
  <si>
    <t>Изготовление узла трубопроводов из труб высоколегированных сталей, монтируемого в дизельных, насосно-компрессорных, парокотельных и т. п., диаметр трубопровода наружный 325 мм</t>
  </si>
  <si>
    <t xml:space="preserve">                                   Раздел 2. ИЗГОТОВЛЕНИЕ СЕКЦИЙ ТРУБОПРОВОДОВ</t>
  </si>
  <si>
    <t xml:space="preserve">                                   Изготовление секций трубопроводов из труб углеродистых и качественных сталей</t>
  </si>
  <si>
    <t>ТЕРм12-18-022-01</t>
  </si>
  <si>
    <t>Изготовление секций трубопроводов из труб углеродистых и качественных сталей, диаметр трубопровода наружный 14 мм</t>
  </si>
  <si>
    <t>ТЕРм12-18-022-02</t>
  </si>
  <si>
    <t>Изготовление секций трубопроводов из труб углеродистых и качественных сталей, диаметр трубопровода наружный 18 мм</t>
  </si>
  <si>
    <t>ТЕРм12-18-022-03</t>
  </si>
  <si>
    <t>Изготовление секций трубопроводов из труб углеродистых и качественных сталей, диаметр трубопровода наружный 25 мм</t>
  </si>
  <si>
    <t>ТЕРм12-18-022-04</t>
  </si>
  <si>
    <t>Изготовление секций трубопроводов из труб углеродистых и качественных сталей, диаметр трубопровода наружный 32 мм</t>
  </si>
  <si>
    <t>ТЕРм12-18-022-05</t>
  </si>
  <si>
    <t>Изготовление секций трубопроводов из труб углеродистых и качественных сталей, диаметр трубопровода наружный 38 мм</t>
  </si>
  <si>
    <t>ТЕРм12-18-022-06</t>
  </si>
  <si>
    <t>Изготовление секций трубопроводов из труб углеродистых и качественных сталей, диаметр трубопровода наружный 45 мм</t>
  </si>
  <si>
    <t>ТЕРм12-18-022-07</t>
  </si>
  <si>
    <t>Изготовление секций трубопроводов из труб углеродистых и качественных сталей, диаметр трубопровода наружный 57 мм</t>
  </si>
  <si>
    <t>ТЕРм12-18-022-08</t>
  </si>
  <si>
    <t>Изготовление секций трубопроводов из труб углеродистых и качественных сталей, диаметр трубопровода наружный 76 мм</t>
  </si>
  <si>
    <t>ТЕРм12-18-022-09</t>
  </si>
  <si>
    <t>Изготовление секций трубопроводов из труб углеродистых и качественных сталей, диаметр трубопровода наружный 89 мм</t>
  </si>
  <si>
    <t>ТЕРм12-18-022-10</t>
  </si>
  <si>
    <t>Изготовление секций трубопроводов из труб углеродистых и качественных сталей, диаметр трубопровода наружный 108 мм</t>
  </si>
  <si>
    <t>ТЕРм12-18-022-11</t>
  </si>
  <si>
    <t>Изготовление секций трубопроводов из труб углеродистых и качественных сталей, диаметр трубопровода наружный 133 мм</t>
  </si>
  <si>
    <t>ТЕРм12-18-022-12</t>
  </si>
  <si>
    <t>Изготовление секций трубопроводов из труб углеродистых и качественных сталей, диаметр трубопровода наружный 159 мм</t>
  </si>
  <si>
    <t>ТЕРм12-18-022-13</t>
  </si>
  <si>
    <t>Изготовление секций трубопроводов из труб углеродистых и качественных сталей, диаметр трубопровода наружный 219 мм</t>
  </si>
  <si>
    <t>ТЕРм12-18-022-14</t>
  </si>
  <si>
    <t>Изготовление секций трубопроводов из труб углеродистых и качественных сталей, диаметр трубопровода наружный 273 мм</t>
  </si>
  <si>
    <t>ТЕРм12-18-022-15</t>
  </si>
  <si>
    <t>Изготовление секций трубопроводов из труб углеродистых и качественных сталей, диаметр трубопровода наружный 325 мм</t>
  </si>
  <si>
    <t>ТЕРм12-18-022-16</t>
  </si>
  <si>
    <t>Изготовление секций трубопроводов из труб углеродистых и качественных сталей, диаметр трубопровода наружный 377 мм</t>
  </si>
  <si>
    <t>ТЕРм12-18-022-17</t>
  </si>
  <si>
    <t>Изготовление секций трубопроводов из труб углеродистых и качественных сталей, диаметр трубопровода наружный 426 мм</t>
  </si>
  <si>
    <t>ТЕРм12-18-022-18</t>
  </si>
  <si>
    <t>Изготовление секций трубопроводов из труб углеродистых и качественных сталей, диаметр трубопровода наружный 530 мм</t>
  </si>
  <si>
    <t xml:space="preserve">                                   Изготовление секций трубопроводов из труб легированных сталей</t>
  </si>
  <si>
    <t>ТЕРм12-18-023-01</t>
  </si>
  <si>
    <t>Изготовление секций трубопроводов из труб легированных сталей, диаметр трубопровода наружный 45 мм</t>
  </si>
  <si>
    <t>ТЕРм12-18-023-02</t>
  </si>
  <si>
    <t>Изготовление секций трубопроводов из труб легированных сталей, диаметр трубопровода наружный 57 мм</t>
  </si>
  <si>
    <t>ТЕРм12-18-023-03</t>
  </si>
  <si>
    <t>Изготовление секций трубопроводов из труб легированных сталей, диаметр трубопровода наружный 76 мм</t>
  </si>
  <si>
    <t>ТЕРм12-18-023-04</t>
  </si>
  <si>
    <t>Изготовление секций трубопроводов из труб легированных сталей, диаметр трубопровода наружный 89 мм</t>
  </si>
  <si>
    <t>ТЕРм12-18-023-05</t>
  </si>
  <si>
    <t>Изготовление секций трубопроводов из труб легированных сталей, диаметр трубопровода наружный 108 мм</t>
  </si>
  <si>
    <t>ТЕРм12-18-023-06</t>
  </si>
  <si>
    <t>Изготовление секций трубопроводов из труб легированных сталей, диаметр трубопровода наружный 133 мм</t>
  </si>
  <si>
    <t>ТЕРм12-18-023-07</t>
  </si>
  <si>
    <t>Изготовление секций трубопроводов из труб легированных сталей, диаметр трубопровода наружный 159 мм</t>
  </si>
  <si>
    <t>ТЕРм12-18-023-08</t>
  </si>
  <si>
    <t>Изготовление секций трубопроводов из труб легированных сталей, диаметр трубопровода наружный 219 мм</t>
  </si>
  <si>
    <t>ТЕРм12-18-023-09</t>
  </si>
  <si>
    <t>Изготовление секций трубопроводов из труб легированных сталей, диаметр трубопровода наружный 273 мм</t>
  </si>
  <si>
    <t>ТЕРм12-18-023-10</t>
  </si>
  <si>
    <t>Изготовление секций трубопроводов из труб легированных сталей, диаметр трубопровода наружный 325 мм</t>
  </si>
  <si>
    <t>ТЕРм12-18-023-11</t>
  </si>
  <si>
    <t>Изготовление секций трубопроводов из труб легированных сталей, диаметр трубопровода наружный 377 мм</t>
  </si>
  <si>
    <t>ТЕРм12-18-023-12</t>
  </si>
  <si>
    <t>Изготовление секций трубопроводов из труб легированных сталей, диаметр трубопровода наружный 426 мм</t>
  </si>
  <si>
    <t>ТЕРм12-18-023-13</t>
  </si>
  <si>
    <t>Изготовление секций трубопроводов из труб легированных сталей, диаметр трубопровода наружный 530 мм</t>
  </si>
  <si>
    <t xml:space="preserve">                                   Изготовление секций трубопроводов из труб высоколегированных сталей</t>
  </si>
  <si>
    <t>ТЕРм12-18-024-01</t>
  </si>
  <si>
    <t>Изготовление секций трубопроводов из труб высоколегированных сталей, диаметр трубопровода наружный 45 мм</t>
  </si>
  <si>
    <t>ТЕРм12-18-024-02</t>
  </si>
  <si>
    <t>Изготовление секций трубопроводов из труб высоколегированных сталей, диаметр трубопровода наружный 57 мм</t>
  </si>
  <si>
    <t>ТЕРм12-18-024-03</t>
  </si>
  <si>
    <t>Изготовление секций трубопроводов из труб высоколегированных сталей, диаметр трубопровода наружный 76 мм</t>
  </si>
  <si>
    <t>ТЕРм12-18-024-04</t>
  </si>
  <si>
    <t>Изготовление секций трубопроводов из труб высоколегированных сталей, диаметр трубопровода наружный 89 мм</t>
  </si>
  <si>
    <t>ТЕРм12-18-024-05</t>
  </si>
  <si>
    <t>Изготовление секций трубопроводов из труб высоколегированных сталей, диаметр трубопровода наружный 108 мм</t>
  </si>
  <si>
    <t>ТЕРм12-18-024-06</t>
  </si>
  <si>
    <t>Изготовление секций трубопроводов из труб высоколегированных сталей, диаметр трубопровода наружный 133 мм</t>
  </si>
  <si>
    <t>ТЕРм12-18-024-07</t>
  </si>
  <si>
    <t>Изготовление секций трубопроводов из труб высоколегированных сталей, диаметр трубопровода наружный 159 мм</t>
  </si>
  <si>
    <t>ТЕРм12-18-024-08</t>
  </si>
  <si>
    <t>Изготовление секций трубопроводов из труб высоколегированных сталей, диаметр трубопровода наружный 219 мм</t>
  </si>
  <si>
    <t>ТЕРм12-18-024-09</t>
  </si>
  <si>
    <t>Изготовление секций трубопроводов из труб высоколегированных сталей, диаметр трубопровода наружный 273 мм</t>
  </si>
  <si>
    <t>ТЕРм12-18-024-10</t>
  </si>
  <si>
    <t>Изготовление секций трубопроводов из труб высоколегированных сталей, диаметр трубопровода наружный 325 мм</t>
  </si>
  <si>
    <t xml:space="preserve">                           Раздел 18. ОТДЕЛ 20. ТРУБОПРОВОДЫ НЕФТЕГАЗОПЕРЕРАБАТЫВАЮЩЕГО КОМПЛЕКСА</t>
  </si>
  <si>
    <t xml:space="preserve">                                   Раздел 1. ТРУБОПРОВОДЫ ИЗ ТРУБ УГЛЕРОДИСТОЙ И КАЧЕСТВЕННОЙ СТАЛИ</t>
  </si>
  <si>
    <t xml:space="preserve">                                   Трубопроводы в помещениях или на открытых площадках, монтируемые из труб и готовых деталей, на условное давление не более 2,5 МПа.</t>
  </si>
  <si>
    <t>ТЕРм12-20-001-01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</si>
  <si>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14 мм</t>
  </si>
  <si>
    <t>ТЕРм12-20-001-02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</si>
  <si>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18 мм</t>
  </si>
  <si>
    <t>ТЕРм12-20-001-03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</si>
  <si>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25 мм</t>
  </si>
  <si>
    <t>ТЕРм12-20-001-04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</si>
  <si>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32 мм</t>
  </si>
  <si>
    <t>ТЕРм12-20-001-05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</si>
  <si>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38 мм</t>
  </si>
  <si>
    <t>ТЕРм12-20-001-06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</si>
  <si>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45 мм</t>
  </si>
  <si>
    <t>ТЕРм12-20-001-07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</si>
  <si>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57 мм</t>
  </si>
  <si>
    <t>ТЕРм12-20-001-08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</si>
  <si>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76 мм</t>
  </si>
  <si>
    <t>ТЕРм12-20-001-09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</si>
  <si>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89 мм</t>
  </si>
  <si>
    <t>ТЕРм12-20-001-10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</si>
  <si>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108 мм</t>
  </si>
  <si>
    <t>ТЕРм12-20-001-11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</si>
  <si>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133 мм</t>
  </si>
  <si>
    <t>ТЕРм12-20-001-12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</si>
  <si>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159 мм</t>
  </si>
  <si>
    <t>ТЕРм12-20-001-13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</si>
  <si>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219 мм</t>
  </si>
  <si>
    <t>ТЕРм12-20-001-14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</si>
  <si>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273 мм</t>
  </si>
  <si>
    <t>ТЕРм12-20-001-15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</si>
  <si>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325 мм</t>
  </si>
  <si>
    <t>ТЕРм12-20-001-16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</si>
  <si>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377 мм</t>
  </si>
  <si>
    <t>ТЕРм12-20-001-17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</si>
  <si>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426 мм</t>
  </si>
  <si>
    <t>ТЕРм12-20-001-18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</si>
  <si>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530 мм</t>
  </si>
  <si>
    <t>ТЕРм12-20-001-19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</si>
  <si>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630 мм</t>
  </si>
  <si>
    <t>ТЕРм12-20-001-20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</si>
  <si>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820 мм</t>
  </si>
  <si>
    <t>ТЕРм12-20-001-21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</si>
  <si>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1020 мм</t>
  </si>
  <si>
    <t>ТЕРм12-20-001-22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</si>
  <si>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1220 мм</t>
  </si>
  <si>
    <t>ТЕРм12-20-001-23</t>
  </si>
  <si>
    <t>Трубопроводы в помещениях или на открытых площадках, монтируемые из труб и готовых деталей, на условное давление не более 2,5 МПа, диаметр трубопровода наружный до 1420 мм</t>
  </si>
  <si>
    <t>ТЕРм12-20-001-24</t>
  </si>
  <si>
    <t>Добавлять на 1 стык, диаметр трубопровода наружный до 14 мм</t>
  </si>
  <si>
    <t>ТЕРм12-20-001-25</t>
  </si>
  <si>
    <t>Добавлять на 1 стык, диаметр трубопровода наружный до 18 мм</t>
  </si>
  <si>
    <t>ТЕРм12-20-001-26</t>
  </si>
  <si>
    <t>Добавлять на 1 стык, диаметр трубопровода наружный до 25 мм</t>
  </si>
  <si>
    <t>ТЕРм12-20-001-27</t>
  </si>
  <si>
    <t>Добавлять на 1 стык, диаметр трубопровода наружный до 32 мм</t>
  </si>
  <si>
    <t>ТЕРм12-20-001-28</t>
  </si>
  <si>
    <t>Добавлять на 1 стык, диаметр трубопровода наружный до 38 мм</t>
  </si>
  <si>
    <t>ТЕРм12-20-001-29</t>
  </si>
  <si>
    <t>Добавлять на 1 стык, диаметр трубопровода наружный до 45 мм</t>
  </si>
  <si>
    <t>ТЕРм12-20-001-30</t>
  </si>
  <si>
    <t>Добавлять на 1 стык, диаметр трубопровода наружный до 57 мм</t>
  </si>
  <si>
    <t>ТЕРм12-20-001-31</t>
  </si>
  <si>
    <t>Добавлять на 1 стык, диаметр трубопровода наружный до 76 мм</t>
  </si>
  <si>
    <t>ТЕРм12-20-001-32</t>
  </si>
  <si>
    <t>Добавлять на 1 стык, диаметр трубопровода наружный до 89 мм</t>
  </si>
  <si>
    <t>ТЕРм12-20-001-33</t>
  </si>
  <si>
    <t>Добавлять на 1 стык, диаметр трубопровода наружный до 108 мм</t>
  </si>
  <si>
    <t>ТЕРм12-20-001-34</t>
  </si>
  <si>
    <t>Добавлять на 1 стык, диаметр трубопровода наружный до 133 мм</t>
  </si>
  <si>
    <t>ТЕРм12-20-001-35</t>
  </si>
  <si>
    <t>Добавлять на 1 стык, диаметр трубопровода наружный до 159 мм</t>
  </si>
  <si>
    <t>ТЕРм12-20-001-36</t>
  </si>
  <si>
    <t>Добавлять на 1 стык, диаметр трубопровода наружный до 219 мм</t>
  </si>
  <si>
    <t>ТЕРм12-20-001-37</t>
  </si>
  <si>
    <t>Добавлять на 1 стык, диаметр трубопровода наружный до 273 мм</t>
  </si>
  <si>
    <t>ТЕРм12-20-001-38</t>
  </si>
  <si>
    <t>Добавлять на 1 стык, диаметр трубопровода наружный до 325 мм</t>
  </si>
  <si>
    <t>ТЕРм12-20-001-39</t>
  </si>
  <si>
    <t>Добавлять на 1 стык, диаметр трубопровода наружный до 377 мм</t>
  </si>
  <si>
    <t>ТЕРм12-20-001-40</t>
  </si>
  <si>
    <t>Добавлять на 1 стык, диаметр трубопровода наружный до 426 мм</t>
  </si>
  <si>
    <t>ТЕРм12-20-001-41</t>
  </si>
  <si>
    <t>Добавлять на 1 стык, диаметр трубопровода наружный до 530 мм</t>
  </si>
  <si>
    <t>ТЕРм12-20-001-42</t>
  </si>
  <si>
    <t>Добавлять на 1 стык, диаметр трубопровода наружный до 630 мм</t>
  </si>
  <si>
    <t>ТЕРм12-20-001-43</t>
  </si>
  <si>
    <t>Добавлять на 1 стык, диаметр трубопровода наружный до 820 мм</t>
  </si>
  <si>
    <t>ТЕРм12-20-001-44</t>
  </si>
  <si>
    <t>Добавлять на 1 стык, диаметр трубопровода наружный до 1020 мм</t>
  </si>
  <si>
    <t>ТЕРм12-20-001-45</t>
  </si>
  <si>
    <t>Добавлять на 1 стык, диаметр трубопровода наружный до 1220 мм</t>
  </si>
  <si>
    <t>ТЕРм12-20-001-46</t>
  </si>
  <si>
    <t>Добавлять на 1 стык, диаметр трубопровода наружный до 1420 мм</t>
  </si>
  <si>
    <t xml:space="preserve">                                   Трубопроводы в помещениях или на открытых площадках, монтируемые из труб и готовых деталей, на условное давление не более 2,5 МПа в траншеях.</t>
  </si>
  <si>
    <t>ТЕРм12-20-002-01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</si>
  <si>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14 мм</t>
  </si>
  <si>
    <t>ТЕРм12-20-002-02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</si>
  <si>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18 мм</t>
  </si>
  <si>
    <t>ТЕРм12-20-002-03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</si>
  <si>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25 мм</t>
  </si>
  <si>
    <t>ТЕРм12-20-002-04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</si>
  <si>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32 мм</t>
  </si>
  <si>
    <t>ТЕРм12-20-002-05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</si>
  <si>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38 мм</t>
  </si>
  <si>
    <t>ТЕРм12-20-002-06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</si>
  <si>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45 мм</t>
  </si>
  <si>
    <t>ТЕРм12-20-002-07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</si>
  <si>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57 мм</t>
  </si>
  <si>
    <t>ТЕРм12-20-002-08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</si>
  <si>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76 мм</t>
  </si>
  <si>
    <t>ТЕРм12-20-002-09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</si>
  <si>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89 мм</t>
  </si>
  <si>
    <t>ТЕРм12-20-002-10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</si>
  <si>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108 мм</t>
  </si>
  <si>
    <t>ТЕРм12-20-002-11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</si>
  <si>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133 мм</t>
  </si>
  <si>
    <t>ТЕРм12-20-002-12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</si>
  <si>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159 мм</t>
  </si>
  <si>
    <t>ТЕРм12-20-002-13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</si>
  <si>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219 мм</t>
  </si>
  <si>
    <t>ТЕРм12-20-002-14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</si>
  <si>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273 мм</t>
  </si>
  <si>
    <t>ТЕРм12-20-002-15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</si>
  <si>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325 мм</t>
  </si>
  <si>
    <t>ТЕРм12-20-002-16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</si>
  <si>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377 мм</t>
  </si>
  <si>
    <t>ТЕРм12-20-002-17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</si>
  <si>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426 мм</t>
  </si>
  <si>
    <t>ТЕРм12-20-002-18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</si>
  <si>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530 мм</t>
  </si>
  <si>
    <t>ТЕРм12-20-002-19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</si>
  <si>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630 мм</t>
  </si>
  <si>
    <t>ТЕРм12-20-002-20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</si>
  <si>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820 мм</t>
  </si>
  <si>
    <t>ТЕРм12-20-002-21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</si>
  <si>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1020 мм</t>
  </si>
  <si>
    <t>ТЕРм12-20-002-22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</si>
  <si>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1220 мм</t>
  </si>
  <si>
    <t>ТЕРм12-20-002-23</t>
  </si>
  <si>
    <t>Трубопроводы в помещениях или на открытых площадках, монтируемые из труб и готовых деталей, на условное давление не более 2,5 МПа в траншеях, диаметр трубопровода наружный до 1420 мм</t>
  </si>
  <si>
    <t>ТЕРм12-20-002-24</t>
  </si>
  <si>
    <t>ТЕРм12-20-002-25</t>
  </si>
  <si>
    <t>ТЕРм12-20-002-26</t>
  </si>
  <si>
    <t>ТЕРм12-20-002-27</t>
  </si>
  <si>
    <t>ТЕРм12-20-002-28</t>
  </si>
  <si>
    <t>ТЕРм12-20-002-29</t>
  </si>
  <si>
    <t>ТЕРм12-20-002-30</t>
  </si>
  <si>
    <t>ТЕРм12-20-002-31</t>
  </si>
  <si>
    <t>ТЕРм12-20-002-32</t>
  </si>
  <si>
    <t>ТЕРм12-20-002-33</t>
  </si>
  <si>
    <t>ТЕРм12-20-002-34</t>
  </si>
  <si>
    <t>ТЕРм12-20-002-35</t>
  </si>
  <si>
    <t>ТЕРм12-20-002-36</t>
  </si>
  <si>
    <t>ТЕРм12-20-002-37</t>
  </si>
  <si>
    <t>ТЕРм12-20-002-38</t>
  </si>
  <si>
    <t>ТЕРм12-20-002-39</t>
  </si>
  <si>
    <t>ТЕРм12-20-002-40</t>
  </si>
  <si>
    <t>ТЕРм12-20-002-41</t>
  </si>
  <si>
    <t>ТЕРм12-20-002-42</t>
  </si>
  <si>
    <t>ТЕРм12-20-002-43</t>
  </si>
  <si>
    <t>ТЕРм12-20-002-44</t>
  </si>
  <si>
    <t>ТЕРм12-20-002-45</t>
  </si>
  <si>
    <t>ТЕРм12-20-002-46</t>
  </si>
  <si>
    <t xml:space="preserve">                           Раздел 1. ОТДЕЛ 01. ПРОКАТНОЕ ОБОРУДОВАНИЕ</t>
  </si>
  <si>
    <t xml:space="preserve">                                   Раздел 1. СТАНЫ СОРТОПРОКАТНЫЕ</t>
  </si>
  <si>
    <t xml:space="preserve">                                   Станы заготовочные</t>
  </si>
  <si>
    <t>ТЕРм14-01-001-01</t>
  </si>
  <si>
    <t>Стан непрерывный заготовочный 850/700/500 мм</t>
  </si>
  <si>
    <t>ТЕРм14-01-001-02</t>
  </si>
  <si>
    <t>Стан крупносортно-заготовочный 1000/850/630 мм</t>
  </si>
  <si>
    <t>ТЕРм14-01-001-03</t>
  </si>
  <si>
    <t>Стан трубозаготовочный 900/750х3 мм</t>
  </si>
  <si>
    <t xml:space="preserve">                                   Станы крупносортные</t>
  </si>
  <si>
    <t>ТЕРм14-01-002-01</t>
  </si>
  <si>
    <t>Стан универсально-балочный прокатки широкополочных балок</t>
  </si>
  <si>
    <t>ТЕРм14-01-002-02</t>
  </si>
  <si>
    <t>Стан рельсобалочный</t>
  </si>
  <si>
    <t>ТЕРм14-01-002-03</t>
  </si>
  <si>
    <t>Стан крупносортный 650 мм</t>
  </si>
  <si>
    <t xml:space="preserve">                                   Станы среднесортные, мелкосортные и проволочные</t>
  </si>
  <si>
    <t>ТЕРм14-01-003-01</t>
  </si>
  <si>
    <t>Стан среднесортный 550 мм</t>
  </si>
  <si>
    <t>ТЕРм14-01-003-02</t>
  </si>
  <si>
    <t>Стан среднесортный до 450 мм, мелкосортно-проволочный до 300 мм, сортопроволочный 350/250 мм или проволочный 250 мм</t>
  </si>
  <si>
    <t xml:space="preserve">                                   Раздел 2. СТАНЫ ЛИСТОПРОКАТНЫЕ</t>
  </si>
  <si>
    <t xml:space="preserve">                                   Станы толстолистовые горячей прокатки</t>
  </si>
  <si>
    <t>ТЕРм14-01-010-01</t>
  </si>
  <si>
    <t>Стан толстолистовой горячей прокатки 2800 и 3600 мм</t>
  </si>
  <si>
    <t>ТЕРм14-01-010-02</t>
  </si>
  <si>
    <t>Стан толстолистовой горячей прокатки 3000 мм</t>
  </si>
  <si>
    <t xml:space="preserve">                                   Станы среднелистовые и тонколистовые горячей прокатки</t>
  </si>
  <si>
    <t>ТЕРм14-01-011-01</t>
  </si>
  <si>
    <t>Стан непрерывный широкополосовой горячей прокатки 2500 мм</t>
  </si>
  <si>
    <t>ТЕРм14-01-011-02</t>
  </si>
  <si>
    <t>Стан непрерывный широкополосовой горячей прокатки 2000 мм</t>
  </si>
  <si>
    <t>ТЕРм14-01-011-03</t>
  </si>
  <si>
    <t>Стан среднелистовой горячей прокатки 2300 мм</t>
  </si>
  <si>
    <t>ТЕРм14-01-011-04</t>
  </si>
  <si>
    <t>Стан широкополосовой 1700 мм и тонколистовой горячей прокатки 1500 мм</t>
  </si>
  <si>
    <t xml:space="preserve">                                   Станы среднелистовые и тонколистовые холодной прокатки</t>
  </si>
  <si>
    <t>ТЕРм14-01-012-01</t>
  </si>
  <si>
    <t>Стан непрерывный широкополосовой холодной прокатки с агрегатами резки и травления 2500 и 1700 мм</t>
  </si>
  <si>
    <t>ТЕРм14-01-012-02</t>
  </si>
  <si>
    <t>Стан непрерывный широкополосовой холодной прокатки с агрегатами резки и травления 2000 мм</t>
  </si>
  <si>
    <t>ТЕРм14-01-012-03</t>
  </si>
  <si>
    <t>Стан холодной прокатки электротехнической стали</t>
  </si>
  <si>
    <t xml:space="preserve">                                   Агрегаты, станы холодной и горячей прокатки листов и лент, отдельно стоящие в цехе</t>
  </si>
  <si>
    <t>ТЕРм14-01-013-01</t>
  </si>
  <si>
    <t>Агрегат поперечной резки полос 1,2-4х1850; 0,4-1,2х1550 мм</t>
  </si>
  <si>
    <t>ТЕРм14-01-013-02</t>
  </si>
  <si>
    <t>Агрегат продольной резки полос 1,2-8х1850; 1,5-8х1850 мм</t>
  </si>
  <si>
    <t>ТЕРм14-01-013-03</t>
  </si>
  <si>
    <t>Агрегат нанесения электроизоляционного покрытия и непрерывно-травильный</t>
  </si>
  <si>
    <t>ТЕРм14-01-013-04</t>
  </si>
  <si>
    <t>Агрегат термообработки и травления полос</t>
  </si>
  <si>
    <t>ТЕРм14-01-013-05</t>
  </si>
  <si>
    <t>Агрегат упаковки и обвязки пачек листов 4000 мм</t>
  </si>
  <si>
    <t>ТЕРм14-01-013-06</t>
  </si>
  <si>
    <t>Агрегат упаковки широких рулонов 1500 мм</t>
  </si>
  <si>
    <t>ТЕРм14-01-013-07</t>
  </si>
  <si>
    <t>Агрегат электролитической очистки</t>
  </si>
  <si>
    <t>ТЕРм14-01-013-08</t>
  </si>
  <si>
    <t>Стан дрессировочный холодной прокатки 1700 и 2500 мм</t>
  </si>
  <si>
    <t>ТЕРм14-01-013-09</t>
  </si>
  <si>
    <t>Стан холодной прокатки четырехклетьевой 2500 мм и пятиклетьевой 1200 мм, дрессировочный горячей прокатки 2500 мм</t>
  </si>
  <si>
    <t xml:space="preserve">                                   Станы прокатки цветных металлов</t>
  </si>
  <si>
    <t>ТЕРм14-01-014-01</t>
  </si>
  <si>
    <t>Стан пятиклетьевой горячей прокатки алюминиевых листов 2800 мм и теплой и холодной прокатки 2000 мм</t>
  </si>
  <si>
    <t>ТЕРм14-01-014-02</t>
  </si>
  <si>
    <t>Стан фольгопрокатный 230х550 и 320х750 мм двухвалковый</t>
  </si>
  <si>
    <t xml:space="preserve">                                   Раздел 3. ОБОРУДОВАНИЕ ЦЕХОВ МЕТАЛЛИЧЕСКИХ ПОКРЫТИЙ</t>
  </si>
  <si>
    <t xml:space="preserve">                                   Цехи покрытий листов</t>
  </si>
  <si>
    <t>ТЕРм14-01-020-01</t>
  </si>
  <si>
    <t>Агрегат горячего оцинкования и алюминирования АНГА-1700 мм</t>
  </si>
  <si>
    <t>ТЕРм14-01-020-02</t>
  </si>
  <si>
    <t>Цех по производству жести</t>
  </si>
  <si>
    <t xml:space="preserve">                                   Раздел 4. ЦЕХИ ТРУБОПРОКАТНЫЕ И ТРУБОСВАРОЧНЫЕ</t>
  </si>
  <si>
    <t xml:space="preserve">                                   Агрегаты, станы и цехи по производству труб</t>
  </si>
  <si>
    <t>ТЕРм14-01-030-01</t>
  </si>
  <si>
    <t>Агрегат трубопрокатный с двумя прошивными и автоматическими станами 400 мм</t>
  </si>
  <si>
    <t>ТЕРм14-01-030-02</t>
  </si>
  <si>
    <t>Агрегат трубопрокатный 250 мм</t>
  </si>
  <si>
    <t>ТЕРм14-01-030-03</t>
  </si>
  <si>
    <t>Агрегат трубопрокатный 200 мм производства подшипниковых труб, трубопрокатный 80 мм</t>
  </si>
  <si>
    <t>ТЕРм14-01-030-04</t>
  </si>
  <si>
    <t>Агрегат трубопрокатный 140 мм</t>
  </si>
  <si>
    <t>ТЕРм14-01-030-05</t>
  </si>
  <si>
    <t>Агрегат трубоволочильный для труб диаметром 6-114 мм</t>
  </si>
  <si>
    <t>ТЕРм14-01-030-06</t>
  </si>
  <si>
    <t>Стан прокатки двухслойных паяных труб диаметром 5-15 мм</t>
  </si>
  <si>
    <t>ТЕРм14-01-030-07</t>
  </si>
  <si>
    <t>Стан пилигримовой прокатки труб диаметром 159-351 мм</t>
  </si>
  <si>
    <t>ТЕРм14-01-030-08</t>
  </si>
  <si>
    <t>Цех непрерывной прокатки труб диаметром 30-102 мм</t>
  </si>
  <si>
    <t>ТЕРм14-01-030-09</t>
  </si>
  <si>
    <t>Цех прессования труб</t>
  </si>
  <si>
    <t>ТЕРм14-01-030-10</t>
  </si>
  <si>
    <t>Цех производства труб из сплавов и биметаллических труб</t>
  </si>
  <si>
    <t xml:space="preserve">                                   Агрегаты, станы и цехи трубосварочные</t>
  </si>
  <si>
    <t>ТЕРм14-01-031-01</t>
  </si>
  <si>
    <t>Агрегат трубоэлектросварочный для труб диаметром 530-1420 и 2020-2520 мм со спиральным швом; 720-1620 мм</t>
  </si>
  <si>
    <t>ТЕРм14-01-031-02</t>
  </si>
  <si>
    <t>Агрегат трубоэлектросварочный для труб диаметром 426-820 мм, сварка под слоем флюса</t>
  </si>
  <si>
    <t>ТЕРм14-01-031-03</t>
  </si>
  <si>
    <t>Агрегат трубосварочный диаметром 159-529 мм, сварка радиочастотная; диаметром 73-220 мм, сварка сопротивлением</t>
  </si>
  <si>
    <t>ТЕРм14-01-031-04</t>
  </si>
  <si>
    <t>Агрегат трубосварочный для труб диаметром 20-83 или 20-102 мм, сварка радиочастотная</t>
  </si>
  <si>
    <t>ТЕРм14-01-031-05</t>
  </si>
  <si>
    <t>Стан трубоэлектросварочный для труб диаметром 20-76 мм</t>
  </si>
  <si>
    <t>ТЕРм14-01-031-06</t>
  </si>
  <si>
    <t>Стан трубоэлектросварочный для труб диаметром 51-114 мм</t>
  </si>
  <si>
    <t>ТЕРм14-01-031-07</t>
  </si>
  <si>
    <t>Стан трубоэлектросварочный для труб диаметром 203-530 мм и цех трубоэлектросварочный с агрегатами ТЭСА 159-426 мм и ТЭСА 530-1020 мм, со спиральным швом</t>
  </si>
  <si>
    <t xml:space="preserve">                                   Раздел 5. СТАНЫ ОСОБЫХ ВИДОВ ПРОКАТА</t>
  </si>
  <si>
    <t xml:space="preserve">                                   Станы особых видов проката</t>
  </si>
  <si>
    <t>ТЕРм14-01-040-01</t>
  </si>
  <si>
    <t>Стан обжимно-сортовой 220 мм винтовой прокатки; цех по производству колес</t>
  </si>
  <si>
    <t>ТЕРм14-01-040-02</t>
  </si>
  <si>
    <t>Стан периодической прокатки 120 мм</t>
  </si>
  <si>
    <t>ТЕРм14-01-040-03</t>
  </si>
  <si>
    <t>Цех по производству гнутых профилей</t>
  </si>
  <si>
    <t>ТЕРм14-01-040-04</t>
  </si>
  <si>
    <t>Цех по производству колец</t>
  </si>
  <si>
    <t>ТЕРм14-01-040-05</t>
  </si>
  <si>
    <t>Цех углеродистой ленты</t>
  </si>
  <si>
    <t>ТЕРм14-01-040-06</t>
  </si>
  <si>
    <t>Цех по производству баллонов</t>
  </si>
  <si>
    <t xml:space="preserve">                           Раздел 2. ОТДЕЛ 02. УЗЛЫ ПРОКАТНОГО ОБОРУДОВАНИЯ</t>
  </si>
  <si>
    <t xml:space="preserve">                                   Раздел 1. УЗЛЫ СОРТОПРОКАТНЫХ СТАНОВ</t>
  </si>
  <si>
    <t xml:space="preserve">                                   Узлы заготовочных и крупносортных станов</t>
  </si>
  <si>
    <t>ТЕРм14-02-001-01</t>
  </si>
  <si>
    <t>Весы</t>
  </si>
  <si>
    <t>ТЕРм14-02-001-02</t>
  </si>
  <si>
    <t>Кантователь</t>
  </si>
  <si>
    <t>ТЕРм14-02-001-03</t>
  </si>
  <si>
    <t>Клеймитель</t>
  </si>
  <si>
    <t>ТЕРм14-02-001-04</t>
  </si>
  <si>
    <t>Клеть ДУО черновая или чистовая; универсальная; шестеренная и манипулятор</t>
  </si>
  <si>
    <t>ТЕРм14-02-001-05</t>
  </si>
  <si>
    <t>Клеть ТРИО</t>
  </si>
  <si>
    <t>ТЕРм14-02-001-06</t>
  </si>
  <si>
    <t>Конвейер уборки обрезков</t>
  </si>
  <si>
    <t>ТЕРм14-02-001-07</t>
  </si>
  <si>
    <t>Машина сортоправильная</t>
  </si>
  <si>
    <t>ТЕРм14-02-001-08</t>
  </si>
  <si>
    <t>Моталка</t>
  </si>
  <si>
    <t>ТЕРм14-02-001-09</t>
  </si>
  <si>
    <t>Ножницы холодной и горячей резки</t>
  </si>
  <si>
    <t>ТЕРм14-02-001-10</t>
  </si>
  <si>
    <t>Пила холодной и горячей резки</t>
  </si>
  <si>
    <t>ТЕРм14-02-001-11</t>
  </si>
  <si>
    <t>Пресс</t>
  </si>
  <si>
    <t>ТЕРм14-02-001-12</t>
  </si>
  <si>
    <t>Рольганг рабочий транспортный</t>
  </si>
  <si>
    <t>ТЕРм14-02-001-13</t>
  </si>
  <si>
    <t>Стол</t>
  </si>
  <si>
    <t>ТЕРм14-02-001-14</t>
  </si>
  <si>
    <t>Толкатель или сталкиватель</t>
  </si>
  <si>
    <t>ТЕРм14-02-001-15</t>
  </si>
  <si>
    <t>Упор опускающийся или устройство передаточное</t>
  </si>
  <si>
    <t>ТЕРм14-02-001-16</t>
  </si>
  <si>
    <t>Упор передвижной</t>
  </si>
  <si>
    <t>ТЕРм14-02-001-17</t>
  </si>
  <si>
    <t>Упор стационарный</t>
  </si>
  <si>
    <t>ТЕРм14-02-001-18</t>
  </si>
  <si>
    <t>Холодильник цепной, винтовой</t>
  </si>
  <si>
    <t>ТЕРм14-02-001-19</t>
  </si>
  <si>
    <t>Шлеппер цепной, канатный</t>
  </si>
  <si>
    <t xml:space="preserve">                                   Узлы среднесортных, мелкосортных и проволочных станов</t>
  </si>
  <si>
    <t>ТЕРм14-02-002-01</t>
  </si>
  <si>
    <t>ТЕРм14-02-002-02</t>
  </si>
  <si>
    <t>ТЕРм14-02-002-03</t>
  </si>
  <si>
    <t>ТЕРм14-02-002-04</t>
  </si>
  <si>
    <t>Клеть рабочая ДУО</t>
  </si>
  <si>
    <t>ТЕРм14-02-002-05</t>
  </si>
  <si>
    <t>Клеть шестеренная</t>
  </si>
  <si>
    <t>ТЕРм14-02-002-06</t>
  </si>
  <si>
    <t>Конвейер</t>
  </si>
  <si>
    <t>ТЕРм14-02-002-07</t>
  </si>
  <si>
    <t>Манипулятор</t>
  </si>
  <si>
    <t>ТЕРм14-02-002-08</t>
  </si>
  <si>
    <t>ТЕРм14-02-002-09</t>
  </si>
  <si>
    <t>Механизм уборки обрезков</t>
  </si>
  <si>
    <t>ТЕРм14-02-002-10</t>
  </si>
  <si>
    <t>ТЕРм14-02-002-11</t>
  </si>
  <si>
    <t>Ножницы горячей и холодной резки</t>
  </si>
  <si>
    <t>ТЕРм14-02-002-12</t>
  </si>
  <si>
    <t>Пила горячей и холодной резки</t>
  </si>
  <si>
    <t>ТЕРм14-02-002-13</t>
  </si>
  <si>
    <t>Раскладчик</t>
  </si>
  <si>
    <t>ТЕРм14-02-002-14</t>
  </si>
  <si>
    <t>ТЕРм14-02-002-15</t>
  </si>
  <si>
    <t>Сбрасыватель</t>
  </si>
  <si>
    <t>ТЕРм14-02-002-16</t>
  </si>
  <si>
    <t>Сортоукладчик</t>
  </si>
  <si>
    <t>ТЕРм14-02-002-17</t>
  </si>
  <si>
    <t>Стол, тележка передаточная</t>
  </si>
  <si>
    <t>ТЕРм14-02-002-18</t>
  </si>
  <si>
    <t>ТЕРм14-02-002-19</t>
  </si>
  <si>
    <t>Транспортер</t>
  </si>
  <si>
    <t>ТЕРм14-02-002-20</t>
  </si>
  <si>
    <t>Упор исчезающий и передвижной</t>
  </si>
  <si>
    <t>ТЕРм14-02-002-21</t>
  </si>
  <si>
    <t>Холодильник</t>
  </si>
  <si>
    <t>ТЕРм14-02-002-22</t>
  </si>
  <si>
    <t>Шлеппер цепной канатный</t>
  </si>
  <si>
    <t xml:space="preserve">                                   Раздел 2. УЗЛЫ ЛИСТОПРОКАТНЫХ СТАНОВ</t>
  </si>
  <si>
    <t xml:space="preserve">                                   Узлы толстолистовых станов горячей прокатки</t>
  </si>
  <si>
    <t>ТЕРм14-02-010-01</t>
  </si>
  <si>
    <t>Агрегат зачистки листов</t>
  </si>
  <si>
    <t>ТЕРм14-02-010-02</t>
  </si>
  <si>
    <t>Агрегат огневой резки</t>
  </si>
  <si>
    <t>ТЕРм14-02-010-03</t>
  </si>
  <si>
    <t>Агрегат нормализации и отжига</t>
  </si>
  <si>
    <t>ТЕРм14-02-010-04</t>
  </si>
  <si>
    <t>ТЕРм14-02-010-05</t>
  </si>
  <si>
    <t>Кантователь листов</t>
  </si>
  <si>
    <t>ТЕРм14-02-010-06</t>
  </si>
  <si>
    <t>ТЕРм14-02-010-07</t>
  </si>
  <si>
    <t>Клеть с вертикальными валками</t>
  </si>
  <si>
    <t>ТЕРм14-02-010-08</t>
  </si>
  <si>
    <t>Клеть с горизонтальными валками</t>
  </si>
  <si>
    <t>ТЕРм14-02-010-09</t>
  </si>
  <si>
    <t>Клеть КВАРТО реверсивная</t>
  </si>
  <si>
    <t>ТЕРм14-02-010-10</t>
  </si>
  <si>
    <t>Листоукладчик или листораскладчик</t>
  </si>
  <si>
    <t>ТЕРм14-02-010-11</t>
  </si>
  <si>
    <t>ТЕРм14-02-010-12</t>
  </si>
  <si>
    <t>Машина листоправильная</t>
  </si>
  <si>
    <t>ТЕРм14-02-010-13</t>
  </si>
  <si>
    <t>Машина роликовая закалочная</t>
  </si>
  <si>
    <t>ТЕРм14-02-010-14</t>
  </si>
  <si>
    <t>Ножницы холодной и горячей резки, опрокидыватель</t>
  </si>
  <si>
    <t>ТЕРм14-02-010-15</t>
  </si>
  <si>
    <t>Рольганг рабочий или транспортный</t>
  </si>
  <si>
    <t>ТЕРм14-02-010-16</t>
  </si>
  <si>
    <t>Стеллаж для зачистки листов</t>
  </si>
  <si>
    <t>ТЕРм14-02-010-17</t>
  </si>
  <si>
    <t>ТЕРм14-02-010-18</t>
  </si>
  <si>
    <t>ТЕРм14-02-010-19</t>
  </si>
  <si>
    <t>ТЕРм14-02-010-20</t>
  </si>
  <si>
    <t>Упор</t>
  </si>
  <si>
    <t>ТЕРм14-02-010-21</t>
  </si>
  <si>
    <t>Устройство загрузочное</t>
  </si>
  <si>
    <t>ТЕРм14-02-010-22</t>
  </si>
  <si>
    <t>Устройство охлаждения полос</t>
  </si>
  <si>
    <t>ТЕРм14-02-010-23</t>
  </si>
  <si>
    <t>Устройство передаточное</t>
  </si>
  <si>
    <t>ТЕРм14-02-010-24</t>
  </si>
  <si>
    <t>Устройство уборки крупного скрапа</t>
  </si>
  <si>
    <t>ТЕРм14-02-010-25</t>
  </si>
  <si>
    <t>Устройство уборки обрезков</t>
  </si>
  <si>
    <t>ТЕРм14-02-010-26</t>
  </si>
  <si>
    <t>ТЕРм14-02-010-27</t>
  </si>
  <si>
    <t>Шлеппер цепной или канатный</t>
  </si>
  <si>
    <t xml:space="preserve">                                   Узлы среднелистовых и тонколистовых станов горячей прокатки черных и цветных металлов</t>
  </si>
  <si>
    <t>ТЕРм14-02-011-01</t>
  </si>
  <si>
    <t>Ванна травления</t>
  </si>
  <si>
    <t>ТЕРм14-02-011-02</t>
  </si>
  <si>
    <t>Весы платформенные</t>
  </si>
  <si>
    <t>ТЕРм14-02-011-03</t>
  </si>
  <si>
    <t>Кантователь рулонов</t>
  </si>
  <si>
    <t>ТЕРм14-02-011-04</t>
  </si>
  <si>
    <t>Клеймитель рулонов</t>
  </si>
  <si>
    <t>ТЕРм14-02-011-05</t>
  </si>
  <si>
    <t>Клеть вертикальная</t>
  </si>
  <si>
    <t>ТЕРм14-02-011-06</t>
  </si>
  <si>
    <t>Клеть рабочая</t>
  </si>
  <si>
    <t>ТЕРм14-02-011-07</t>
  </si>
  <si>
    <t>ТЕРм14-02-011-08</t>
  </si>
  <si>
    <t>ТЕРм14-02-011-09</t>
  </si>
  <si>
    <t>Линейки направляющие</t>
  </si>
  <si>
    <t>ТЕРм14-02-011-10</t>
  </si>
  <si>
    <t>Листоукладчик</t>
  </si>
  <si>
    <t>ТЕРм14-02-011-11</t>
  </si>
  <si>
    <t>Маркировщик рулонов</t>
  </si>
  <si>
    <t>ТЕРм14-02-011-12</t>
  </si>
  <si>
    <t>Машина правильная</t>
  </si>
  <si>
    <t>ТЕРм14-02-011-13</t>
  </si>
  <si>
    <t>Машина промасливающая</t>
  </si>
  <si>
    <t>ТЕРм14-02-011-14</t>
  </si>
  <si>
    <t>Механизм перевалки валков</t>
  </si>
  <si>
    <t>ТЕРм14-02-011-15</t>
  </si>
  <si>
    <t>ТЕРм14-02-011-16</t>
  </si>
  <si>
    <t>Механизм уборки окалины</t>
  </si>
  <si>
    <t>ТЕРм14-02-011-17</t>
  </si>
  <si>
    <t>ТЕРм14-02-011-18</t>
  </si>
  <si>
    <t>Ножницы гильотинные</t>
  </si>
  <si>
    <t>ТЕРм14-02-011-19</t>
  </si>
  <si>
    <t>Ножницы дисковые</t>
  </si>
  <si>
    <t>ТЕРм14-02-011-20</t>
  </si>
  <si>
    <t>Окалиноломатель</t>
  </si>
  <si>
    <t>ТЕРм14-02-011-21</t>
  </si>
  <si>
    <t>Петледержатель, проводки направляющие</t>
  </si>
  <si>
    <t>ТЕРм14-02-011-22</t>
  </si>
  <si>
    <t>Разматыватель</t>
  </si>
  <si>
    <t>ТЕРм14-02-011-23</t>
  </si>
  <si>
    <t>Рольганг рабочий, транспортный</t>
  </si>
  <si>
    <t>ТЕРм14-02-011-24</t>
  </si>
  <si>
    <t>Ролик тянущий, подающий, регулирующий</t>
  </si>
  <si>
    <t>ТЕРм14-02-011-25</t>
  </si>
  <si>
    <t>ТЕРм14-02-011-26</t>
  </si>
  <si>
    <t>Сталкиватель,толкатель</t>
  </si>
  <si>
    <t>ТЕРм14-02-011-27</t>
  </si>
  <si>
    <t>ТЕРм14-02-011-28</t>
  </si>
  <si>
    <t>Тележка передаточная</t>
  </si>
  <si>
    <t>ТЕРм14-02-011-29</t>
  </si>
  <si>
    <t>ТЕРм14-02-011-30</t>
  </si>
  <si>
    <t>Упор опускающийся</t>
  </si>
  <si>
    <t>ТЕРм14-02-011-31</t>
  </si>
  <si>
    <t>ТЕРм14-02-011-32</t>
  </si>
  <si>
    <t>ТЕРм14-02-011-33</t>
  </si>
  <si>
    <t>Устройство шпиндельное</t>
  </si>
  <si>
    <t xml:space="preserve">                                   Узлы среднелистовых и тонколистовых станов холодной прокатки черных и цветных металлов</t>
  </si>
  <si>
    <t>ТЕРм14-02-012-01</t>
  </si>
  <si>
    <t>ТЕРм14-02-012-02</t>
  </si>
  <si>
    <t>Задаватель полосы</t>
  </si>
  <si>
    <t>ТЕРм14-02-012-03</t>
  </si>
  <si>
    <t>ТЕРм14-02-012-04</t>
  </si>
  <si>
    <t>ТЕРм14-02-012-05</t>
  </si>
  <si>
    <t>ТЕРм14-02-012-06</t>
  </si>
  <si>
    <t>ТЕРм14-02-012-07</t>
  </si>
  <si>
    <t>Машина для обвязки рулонов</t>
  </si>
  <si>
    <t>ТЕРм14-02-012-08</t>
  </si>
  <si>
    <t>ТЕРм14-02-012-09</t>
  </si>
  <si>
    <t>Машина стыкосварочная</t>
  </si>
  <si>
    <t>ТЕРм14-02-012-10</t>
  </si>
  <si>
    <t>Механизм для перевалки валков</t>
  </si>
  <si>
    <t>ТЕРм14-02-012-11</t>
  </si>
  <si>
    <t>ТЕРм14-02-012-12</t>
  </si>
  <si>
    <t>ТЕРм14-02-012-13</t>
  </si>
  <si>
    <t>Ножницы поперечной резки</t>
  </si>
  <si>
    <t>ТЕРм14-02-012-14</t>
  </si>
  <si>
    <t>ТЕРм14-02-012-15</t>
  </si>
  <si>
    <t>ТЕРм14-02-012-16</t>
  </si>
  <si>
    <t>Ролик прижимной</t>
  </si>
  <si>
    <t>ТЕРм14-02-012-17</t>
  </si>
  <si>
    <t>Ролик тянущий</t>
  </si>
  <si>
    <t>ТЕРм14-02-012-18</t>
  </si>
  <si>
    <t>Сортировщик листов</t>
  </si>
  <si>
    <t>ТЕРм14-02-012-19</t>
  </si>
  <si>
    <t>ТЕРм14-02-012-20</t>
  </si>
  <si>
    <t>Транспортер цепной</t>
  </si>
  <si>
    <t>ТЕРм14-02-012-21</t>
  </si>
  <si>
    <t>Устройство маркировки рулонов</t>
  </si>
  <si>
    <t>ТЕРм14-02-012-22</t>
  </si>
  <si>
    <t xml:space="preserve">                                   Раздел 3. УЗЛЫ ЦЕХОВ ПОКРЫТИЙ ЛИСТОВ</t>
  </si>
  <si>
    <t xml:space="preserve">                                   Узлы цехов покрытий листов</t>
  </si>
  <si>
    <t>ТЕРм14-02-020-01</t>
  </si>
  <si>
    <t>Ванна охлаждения оправок</t>
  </si>
  <si>
    <t>ТЕРм14-02-020-02</t>
  </si>
  <si>
    <t>Весы платформенные; захлестыватель</t>
  </si>
  <si>
    <t>ТЕРм14-02-020-03</t>
  </si>
  <si>
    <t>Машина алюминирования</t>
  </si>
  <si>
    <t>ТЕРм14-02-020-04</t>
  </si>
  <si>
    <t>ТЕРм14-02-020-05</t>
  </si>
  <si>
    <t>Машина обвязки рулонов</t>
  </si>
  <si>
    <t>ТЕРм14-02-020-06</t>
  </si>
  <si>
    <t>Машина правки полос</t>
  </si>
  <si>
    <t>ТЕРм14-02-020-07</t>
  </si>
  <si>
    <t>ТЕРм14-02-020-08</t>
  </si>
  <si>
    <t>ТЕРм14-02-020-09</t>
  </si>
  <si>
    <t>ТЕРм14-02-020-10</t>
  </si>
  <si>
    <t>ТЕРм14-02-020-11</t>
  </si>
  <si>
    <t>Ножницы летучие</t>
  </si>
  <si>
    <t>ТЕРм14-02-020-12</t>
  </si>
  <si>
    <t>ТЕРм14-02-020-13</t>
  </si>
  <si>
    <t>Ролик подающий</t>
  </si>
  <si>
    <t>ТЕРм14-02-020-14</t>
  </si>
  <si>
    <t>ТЕРм14-02-020-15</t>
  </si>
  <si>
    <t>ТЕРм14-02-020-16</t>
  </si>
  <si>
    <t>Ролик обводной</t>
  </si>
  <si>
    <t>ТЕРм14-02-020-17</t>
  </si>
  <si>
    <t>Ролик центрирующий</t>
  </si>
  <si>
    <t>ТЕРм14-02-020-18</t>
  </si>
  <si>
    <t>Стол роликовый</t>
  </si>
  <si>
    <t>ТЕРм14-02-020-19</t>
  </si>
  <si>
    <t>ТЕРм14-02-020-20</t>
  </si>
  <si>
    <t>Устройство выравнивающее</t>
  </si>
  <si>
    <t>ТЕРм14-02-020-21</t>
  </si>
  <si>
    <t>ТЕРм14-02-020-22</t>
  </si>
  <si>
    <t>Устройство задающее</t>
  </si>
  <si>
    <t>ТЕРм14-02-020-23</t>
  </si>
  <si>
    <t>Устройство петлевое</t>
  </si>
  <si>
    <t>ТЕРм14-02-020-24</t>
  </si>
  <si>
    <t>Устройство уборочное, центрователь</t>
  </si>
  <si>
    <t xml:space="preserve">                                   Раздел 4. УЗЛЫ ТРУБОПРОКАТНЫХ И ТРУБОСВАРОЧНЫХ ЦЕХОВ</t>
  </si>
  <si>
    <t xml:space="preserve">                                   Узлы агрегатов, станов и цехов по производству труб</t>
  </si>
  <si>
    <t>ТЕРм14-02-030-01</t>
  </si>
  <si>
    <t>Агрегат закалочный</t>
  </si>
  <si>
    <t>ТЕРм14-02-030-02</t>
  </si>
  <si>
    <t>Ванна</t>
  </si>
  <si>
    <t>ТЕРм14-02-030-03</t>
  </si>
  <si>
    <t>ТЕРм14-02-030-04</t>
  </si>
  <si>
    <t>Выбрасыватель</t>
  </si>
  <si>
    <t>ТЕРм14-02-030-05</t>
  </si>
  <si>
    <t>ТЕРм14-02-030-06</t>
  </si>
  <si>
    <t>ТЕРм14-02-030-07</t>
  </si>
  <si>
    <t>ТЕРм14-02-030-08</t>
  </si>
  <si>
    <t>ТЕРм14-02-030-09</t>
  </si>
  <si>
    <t>ТЕРм14-02-030-10</t>
  </si>
  <si>
    <t>ТЕРм14-02-030-11</t>
  </si>
  <si>
    <t>ТЕРм14-02-030-12</t>
  </si>
  <si>
    <t>Пила холодной и горячей резки; пресс</t>
  </si>
  <si>
    <t>ТЕРм14-02-030-13</t>
  </si>
  <si>
    <t>Рольганг рабочий</t>
  </si>
  <si>
    <t>ТЕРм14-02-030-14</t>
  </si>
  <si>
    <t>Стан индукционный</t>
  </si>
  <si>
    <t>ТЕРм14-02-030-15</t>
  </si>
  <si>
    <t>Стан калибровочный</t>
  </si>
  <si>
    <t>ТЕРм14-02-030-16</t>
  </si>
  <si>
    <t>Стан обкатной</t>
  </si>
  <si>
    <t>ТЕРм14-02-030-17</t>
  </si>
  <si>
    <t>Стан прошивной</t>
  </si>
  <si>
    <t>ТЕРм14-02-030-18</t>
  </si>
  <si>
    <t>Стан холодной прокатки, стол</t>
  </si>
  <si>
    <t>ТЕРм14-02-030-19</t>
  </si>
  <si>
    <t>ТЕРм14-02-030-20</t>
  </si>
  <si>
    <t>ТЕРм14-02-030-21</t>
  </si>
  <si>
    <t>ТЕРм14-02-030-22</t>
  </si>
  <si>
    <t>ТЕРм14-02-030-23</t>
  </si>
  <si>
    <t>ТЕРм14-02-030-24</t>
  </si>
  <si>
    <t>Устройство закалочное</t>
  </si>
  <si>
    <t>ТЕРм14-02-030-25</t>
  </si>
  <si>
    <t>ТЕРм14-02-030-26</t>
  </si>
  <si>
    <t>Устройство сбива окалины</t>
  </si>
  <si>
    <t>ТЕРм14-02-030-27</t>
  </si>
  <si>
    <t xml:space="preserve">                                   Узлы агрегатов, станов и цехов трубосварочных</t>
  </si>
  <si>
    <t>ТЕРм14-02-031-01</t>
  </si>
  <si>
    <t>ТЕРм14-02-031-02</t>
  </si>
  <si>
    <t>Выбрасыватель, гратосниматель, дозатор</t>
  </si>
  <si>
    <t>ТЕРм14-02-031-03</t>
  </si>
  <si>
    <t>ТЕРм14-02-031-04</t>
  </si>
  <si>
    <t>ТЕРм14-02-031-05</t>
  </si>
  <si>
    <t>ТЕРм14-02-031-06</t>
  </si>
  <si>
    <t>Устройство охлаждающее</t>
  </si>
  <si>
    <t>ТЕРм14-02-031-07</t>
  </si>
  <si>
    <t>Петлеобразователь</t>
  </si>
  <si>
    <t>ТЕРм14-02-031-08</t>
  </si>
  <si>
    <t>Пила для резки труб</t>
  </si>
  <si>
    <t>ТЕРм14-02-031-09</t>
  </si>
  <si>
    <t>ТЕРм14-02-031-10</t>
  </si>
  <si>
    <t>Разматыватель рулонов</t>
  </si>
  <si>
    <t>ТЕРм14-02-031-11</t>
  </si>
  <si>
    <t>ТЕРм14-02-031-12</t>
  </si>
  <si>
    <t>Рольганг</t>
  </si>
  <si>
    <t>ТЕРм14-02-031-13</t>
  </si>
  <si>
    <t>Стан правильный валковый или редукционный</t>
  </si>
  <si>
    <t>ТЕРм14-02-031-14</t>
  </si>
  <si>
    <t>Стан формовочный или холодной калибровки</t>
  </si>
  <si>
    <t>ТЕРм14-02-031-15</t>
  </si>
  <si>
    <t>ТЕРм14-02-031-16</t>
  </si>
  <si>
    <t>ТЕРм14-02-031-17</t>
  </si>
  <si>
    <t>ТЕРм14-02-031-18</t>
  </si>
  <si>
    <t>Упор или устройство загрузочное</t>
  </si>
  <si>
    <t>ТЕРм14-02-031-19</t>
  </si>
  <si>
    <t>ТЕРм14-02-031-20</t>
  </si>
  <si>
    <t>Шлеппер</t>
  </si>
  <si>
    <t xml:space="preserve">                                   Раздел 5. УЗЛЫ СТАНОВ ОСОБЫХ ВИДОВ ПРОКАТА</t>
  </si>
  <si>
    <t xml:space="preserve">                                   Узлы станов особых видов проката</t>
  </si>
  <si>
    <t>ТЕРм14-02-040-01</t>
  </si>
  <si>
    <t>ТЕРм14-02-040-02</t>
  </si>
  <si>
    <t>ТЕРм14-02-040-03</t>
  </si>
  <si>
    <t>Гратосниматель</t>
  </si>
  <si>
    <t>ТЕРм14-02-040-04</t>
  </si>
  <si>
    <t>Дозатор</t>
  </si>
  <si>
    <t>ТЕРм14-02-040-05</t>
  </si>
  <si>
    <t>ТЕРм14-02-040-06</t>
  </si>
  <si>
    <t>ТЕРм14-02-040-07</t>
  </si>
  <si>
    <t>ТЕРм14-02-040-08</t>
  </si>
  <si>
    <t>ТЕРм14-02-040-09</t>
  </si>
  <si>
    <t>ТЕРм14-02-040-10</t>
  </si>
  <si>
    <t>ТЕРм14-02-040-11</t>
  </si>
  <si>
    <t>ТЕРм14-02-040-12</t>
  </si>
  <si>
    <t>ТЕРм14-02-040-13</t>
  </si>
  <si>
    <t>Накопитель</t>
  </si>
  <si>
    <t>ТЕРм14-02-040-14</t>
  </si>
  <si>
    <t>ТЕРм14-02-040-15</t>
  </si>
  <si>
    <t>Отгибатель</t>
  </si>
  <si>
    <t>ТЕРм14-02-040-16</t>
  </si>
  <si>
    <t>ТЕРм14-02-040-17</t>
  </si>
  <si>
    <t>ТЕРм14-02-040-18</t>
  </si>
  <si>
    <t>ТЕРм14-02-040-19</t>
  </si>
  <si>
    <t>ТЕРм14-02-040-20</t>
  </si>
  <si>
    <t>ТЕРм14-02-040-21</t>
  </si>
  <si>
    <t>Стан формовочный</t>
  </si>
  <si>
    <t>ТЕРм14-02-040-22</t>
  </si>
  <si>
    <t>Стол подъемно-поворотный</t>
  </si>
  <si>
    <t>ТЕРм14-02-040-23</t>
  </si>
  <si>
    <t>ТЕРм14-02-040-24</t>
  </si>
  <si>
    <t>Толкатель, сталкиватель</t>
  </si>
  <si>
    <t>ТЕРм14-02-040-25</t>
  </si>
  <si>
    <t>ТЕРм14-02-040-26</t>
  </si>
  <si>
    <t>Упор опускающийся, передвижной, стационарный</t>
  </si>
  <si>
    <t>ТЕРм14-02-040-27</t>
  </si>
  <si>
    <t>ТЕРм14-02-040-28</t>
  </si>
  <si>
    <t>ТЕРм14-02-040-29</t>
  </si>
  <si>
    <t>ТЕРм14-02-040-30</t>
  </si>
  <si>
    <t>Штабелер</t>
  </si>
  <si>
    <t xml:space="preserve">                                   Раздел 6. СБОРКА ПОДШИПНИКОВ ЖИДКОСТНОГО ТРЕНИЯ</t>
  </si>
  <si>
    <t xml:space="preserve">                                   Сборка подшипников жидкостного трения</t>
  </si>
  <si>
    <t>ТЕРм14-02-050-01</t>
  </si>
  <si>
    <t>Сборка подшипника жидкостного трения комплектно с подушкой диаметром 1000 мм</t>
  </si>
  <si>
    <t>ТЕРм14-02-050-02</t>
  </si>
  <si>
    <t>Сборка подшипника жидкостного трения комплектно с подушкой диаметром 1120 мм</t>
  </si>
  <si>
    <t>ТЕРм14-02-050-03</t>
  </si>
  <si>
    <t>Сборка подшипника жидкостного трения комплектно с подушкой диаметром 1180 мм</t>
  </si>
  <si>
    <t xml:space="preserve">                           Раздел 3. ОТДЕЛ 03. СИСТЕМЫ ГУСТОЙ И ЖИДКОЙ СМАЗКИ</t>
  </si>
  <si>
    <t xml:space="preserve">                                   Раздел 1. СИСТЕМЫ ГУСТОЙ СМАЗКИ</t>
  </si>
  <si>
    <t xml:space="preserve">                                   Системы густой смазки</t>
  </si>
  <si>
    <t>ТЕРм14-03-001-01</t>
  </si>
  <si>
    <t>Смазка автоматическая централизованная</t>
  </si>
  <si>
    <t xml:space="preserve">                                   Раздел 2. УЗЛЫ СИСТЕМ ЖИДКОЙ СМАЗКИ</t>
  </si>
  <si>
    <t xml:space="preserve">                                   Станции систем жидкой смазки с трубопроводами в пределах масляного подвала</t>
  </si>
  <si>
    <t>ТЕРм14-03-009-01</t>
  </si>
  <si>
    <t>Станция системы жидкой смазки с фильтром, резервуаром и теплообменником, производительность до 50 л/мин</t>
  </si>
  <si>
    <t>ТЕРм14-03-009-02</t>
  </si>
  <si>
    <t>Станция системы жидкой смазки с фильтром, резервуаром и теплообменником, производительность до 100 л/мин</t>
  </si>
  <si>
    <t>ТЕРм14-03-009-03</t>
  </si>
  <si>
    <t>Станция системы жидкой смазки с фильтром, резервуаром и теплообменником, производительность до 250 л/мин</t>
  </si>
  <si>
    <t>ТЕРм14-03-009-04</t>
  </si>
  <si>
    <t>Станция системы жидкой смазки с фильтром, резервуаром и теплообменником, производительность до 600 л/мин</t>
  </si>
  <si>
    <t>ТЕРм14-03-009-05</t>
  </si>
  <si>
    <t>Станция системы жидкой смазки с фильтром, резервуаром и теплообменником, производительность до 320 л/мин</t>
  </si>
  <si>
    <t>ТЕРм14-03-009-06</t>
  </si>
  <si>
    <t>Станция системы жидкой смазки с фильтром, резервуаром и теплообменником, производительность до 3000 л/мин</t>
  </si>
  <si>
    <t>ТЕРм14-03-009-07</t>
  </si>
  <si>
    <t>Станция системы жидкой смазки с фильтром и резервуаром, производительность до 100 л/мин.</t>
  </si>
  <si>
    <t xml:space="preserve">                                   Машины маслоочистительные с подогревателем и обслуживающими трубопроводами</t>
  </si>
  <si>
    <t>ТЕРм14-03-010-01</t>
  </si>
  <si>
    <t>Машина маслоочистительная с подогревателем типа СЦ-1,5А</t>
  </si>
  <si>
    <t>ТЕРм14-03-010-02</t>
  </si>
  <si>
    <t>Машина маслоочистительная с подогревателем типа СЦ-3А</t>
  </si>
  <si>
    <t xml:space="preserve">                                   Резервуары дополнительные</t>
  </si>
  <si>
    <t>ТЕРм14-03-011-01</t>
  </si>
  <si>
    <t>Резервуар дополнительный для станций системы смазки объемом до 1 м3</t>
  </si>
  <si>
    <t>ТЕРм14-03-011-02</t>
  </si>
  <si>
    <t>Резервуар дополнительный для станций системы смазки объемом до 3,15 м3</t>
  </si>
  <si>
    <t>ТЕРм14-03-011-03</t>
  </si>
  <si>
    <t>Резервуар дополнительный для станций системы смазки объемом до 6,5 м3</t>
  </si>
  <si>
    <t>ТЕРм14-03-011-04</t>
  </si>
  <si>
    <t>Резервуар дополнительный для станций системы смазки объемом до 10 м3</t>
  </si>
  <si>
    <t>ТЕРм14-03-011-05</t>
  </si>
  <si>
    <t>Резервуар дополнительный для станций системы смазки объемом до 16 м3</t>
  </si>
  <si>
    <t>ТЕРм14-03-011-06</t>
  </si>
  <si>
    <t>Резервуар дополнительный для станций системы смазки объемом до 25 м3</t>
  </si>
  <si>
    <t>ТЕРм14-03-011-07</t>
  </si>
  <si>
    <t>Резервуар дополнительный для станций системы смазки объемом до 31,5 м3</t>
  </si>
  <si>
    <t>ТЕРм14-03-011-08</t>
  </si>
  <si>
    <t>Резервуар дополнительный для станций системы смазки объемом до 40 м3</t>
  </si>
  <si>
    <t>ТЕРм14-03-011-09</t>
  </si>
  <si>
    <t>Резервуар дополнительный для станций системы смазки объемом до 50 м3</t>
  </si>
  <si>
    <t xml:space="preserve">                                   Разводка трубопроводов смазки по оборудованию</t>
  </si>
  <si>
    <t>ТЕРм14-03-012-01</t>
  </si>
  <si>
    <t>Разводка трубопроводов по клетям рабочим</t>
  </si>
  <si>
    <t>ТЕРм14-03-012-02</t>
  </si>
  <si>
    <t>Разводка трубопроводов по клетям рабочим с подшипниками жидкостного трения</t>
  </si>
  <si>
    <t>ТЕРм14-03-012-03</t>
  </si>
  <si>
    <t>Разводка трубопроводов по клетям шестеренным</t>
  </si>
  <si>
    <t>ТЕРм14-03-012-04</t>
  </si>
  <si>
    <t>Разводка трубопроводов по рольгангам с групповым приводом роликов</t>
  </si>
  <si>
    <t>ТЕРм14-03-012-05</t>
  </si>
  <si>
    <t>Разводка трубопроводов по рольгангам с индивидуальным приводом роликов</t>
  </si>
  <si>
    <t>ТЕРм14-03-012-06</t>
  </si>
  <si>
    <t>Разводка трубопроводов по электрическим машинам</t>
  </si>
  <si>
    <t>ТЕРм14-03-012-07</t>
  </si>
  <si>
    <t>Разводка трубопроводов по крупным редукторам (рабочих клетей, ножниц, качающихся столов и др.)</t>
  </si>
  <si>
    <t>ТЕРм14-03-012-08</t>
  </si>
  <si>
    <t>Разводка трубопроводов по средним и мелким редукторам или другим мелким механизмам</t>
  </si>
  <si>
    <t xml:space="preserve">                                   Трубопроводы магистральные</t>
  </si>
  <si>
    <t>ТЕРм14-03-013-01</t>
  </si>
  <si>
    <t>Трубопровод магистральный, условный диаметр 25 мм</t>
  </si>
  <si>
    <t>ТЕРм14-03-013-02</t>
  </si>
  <si>
    <t>Трубопровод магистральный, условный диаметр 40 мм</t>
  </si>
  <si>
    <t>ТЕРм14-03-013-03</t>
  </si>
  <si>
    <t>Трубопровод магистральный, условный диаметр 50 мм</t>
  </si>
  <si>
    <t>ТЕРм14-03-013-04</t>
  </si>
  <si>
    <t>Трубопровод магистральный, условный диаметр 70 мм</t>
  </si>
  <si>
    <t>ТЕРм14-03-013-05</t>
  </si>
  <si>
    <t>Трубопровод магистральный, условный диаметр 80 мм</t>
  </si>
  <si>
    <t>ТЕРм14-03-013-06</t>
  </si>
  <si>
    <t>Трубопровод магистральный, условный диаметр 100 мм</t>
  </si>
  <si>
    <t>ТЕРм14-03-013-07</t>
  </si>
  <si>
    <t>Трубопровод магистральный, условный диаметр 125 мм</t>
  </si>
  <si>
    <t>ТЕРм14-03-013-08</t>
  </si>
  <si>
    <t>Трубопровод магистральный, условный диаметр 150 мм</t>
  </si>
  <si>
    <t>ТЕРм14-03-013-09</t>
  </si>
  <si>
    <t>Трубопровод магистральный, условный диаметр 200 мм</t>
  </si>
  <si>
    <t>ТЕРм14-03-013-10</t>
  </si>
  <si>
    <t>Трубопровод магистральный, условный диаметр 250 мм</t>
  </si>
  <si>
    <t>ТЕРм14-03-013-11</t>
  </si>
  <si>
    <t>Трубопровод магистральный, условный диаметр 300 мм</t>
  </si>
  <si>
    <t>ТЕРм14-03-013-12</t>
  </si>
  <si>
    <t>Трубопровод магистральный, условный диаметр 350 мм</t>
  </si>
  <si>
    <t>ТЕРм-2001-14</t>
  </si>
  <si>
    <t>ТЕРм-2001-15</t>
  </si>
  <si>
    <t xml:space="preserve">                           Раздел 1. ОТДЕЛ 01. ОБОРУДОВАНИЕ ДЛЯ ЭЛЕКТРИЧЕСКОЙ ОЧИСТКИ ГАЗОВ</t>
  </si>
  <si>
    <t xml:space="preserve">                                   Электрофильтры для очистки промышленных газов и аспирационного воздуха от золы и пыли</t>
  </si>
  <si>
    <t>ТЕРм15-01-001-01</t>
  </si>
  <si>
    <t>Электрофильтр горизонтальный односекционный многопольный типа ЭГА, высота электродов 6 м</t>
  </si>
  <si>
    <t>ТЕРм15-01-001-02</t>
  </si>
  <si>
    <t>Электрофильтр горизонтальный односекционный многопольный типа ЭГА, высота электродов 7,5 м</t>
  </si>
  <si>
    <t>ТЕРм15-01-001-03</t>
  </si>
  <si>
    <t>Электрофильтр горизонтальный односекционный многопольный типа ЭГА, высота электродов 9 м</t>
  </si>
  <si>
    <t>ТЕРм15-01-001-04</t>
  </si>
  <si>
    <t>Электрофильтр горизонтальный односекционный многопольный типа ЭГА, высота электродов 12 м</t>
  </si>
  <si>
    <t>ТЕРм15-01-001-05</t>
  </si>
  <si>
    <t>Электрофильтр двухсекционный, двухъярусный, типа ЭГД</t>
  </si>
  <si>
    <t>ТЕРм15-01-001-06</t>
  </si>
  <si>
    <t>Электрофильтр вертикальный во взрывоопасном исполнении типа ЭВВ1-6.1-8</t>
  </si>
  <si>
    <t>ТЕРм15-01-001-07</t>
  </si>
  <si>
    <t>Электрофильтр высокотемпературный типа ЭГТВ-40-4</t>
  </si>
  <si>
    <t xml:space="preserve">                                   Электрофильтры вертикальные с трубчатыми осадительными электродами</t>
  </si>
  <si>
    <t>ТЕРм15-01-002-01</t>
  </si>
  <si>
    <t>Электрофильтр вертикальный с трубчатыми осадительными электродами, типа ПГ-8</t>
  </si>
  <si>
    <t>ТЕРм15-01-002-02</t>
  </si>
  <si>
    <t>Электрофильтр вертикальный с трубчатыми осадительными электродами, типа С-7.2</t>
  </si>
  <si>
    <t xml:space="preserve">                           Раздел 2. ОТДЕЛ 02. ОБОРУДОВАНИЕ ДЛЯ МЕХАНИЧЕСКОЙ ОЧИСТКИ ГАЗОВ</t>
  </si>
  <si>
    <t xml:space="preserve">                                   Циклоны одиночные</t>
  </si>
  <si>
    <t>ТЕРм15-02-001-01</t>
  </si>
  <si>
    <t>Циклон одиночный типа ЦН-15 диаметром 600 мм</t>
  </si>
  <si>
    <t xml:space="preserve">                           Раздел 3. ОТДЕЛ 03. ОБОРУДОВАНИЕ ДЛЯ ОЧИСТКИ ГАЗОВ МЕТОДОМ ФИЛЬТРАЦИИ</t>
  </si>
  <si>
    <t xml:space="preserve">                                   Рукавные фильтры с обратной продувкой</t>
  </si>
  <si>
    <t>ТЕРм15-03-001-01</t>
  </si>
  <si>
    <t>Рукавный фильтр с обратной продувкой для улавливания ценных продуктов из газов ФРОС-20-500</t>
  </si>
  <si>
    <t>ТЕРм-2001-16</t>
  </si>
  <si>
    <t xml:space="preserve">                           Раздел 1. ОТДЕЛ 01. ОБОРУДОВАНИЕ КОКСОВОГО ПРОИЗВОДСТВА</t>
  </si>
  <si>
    <t xml:space="preserve">                                   Раздел 1. ОБОРУДОВАНИЕ УГЛЕПОДГОТОВКИ</t>
  </si>
  <si>
    <t xml:space="preserve">                                   Дозаторы</t>
  </si>
  <si>
    <t>ТЕРм16-01-001-01</t>
  </si>
  <si>
    <t>Дозатор ЛДА-100 т</t>
  </si>
  <si>
    <t xml:space="preserve">                                   Машины углеприемного отделения</t>
  </si>
  <si>
    <t>ТЕРм16-01-002-01</t>
  </si>
  <si>
    <t>Машина дробильно-фрезерная</t>
  </si>
  <si>
    <t>ТЕРм16-01-002-02</t>
  </si>
  <si>
    <t>Устройство маневровое для сбора вагонов</t>
  </si>
  <si>
    <t xml:space="preserve">                                   Оборудование отделения приготовления проб угля и подготовки шихты</t>
  </si>
  <si>
    <t>ТЕРм16-01-003-01</t>
  </si>
  <si>
    <t>Пробоотборник ковшевый механизированный для отбора проб угля и кокса, масса 0,8 т</t>
  </si>
  <si>
    <t>ТЕРм16-01-003-02</t>
  </si>
  <si>
    <t>Пробоотборник ковшевый механизированный для отбора проб угля и кокса, масса 1,58 т</t>
  </si>
  <si>
    <t>ТЕРм16-01-003-03</t>
  </si>
  <si>
    <t>Отделитель мелких классов угля в кипящем слое</t>
  </si>
  <si>
    <t xml:space="preserve">                                   Раздел 2. УСТАНОВКА СУХОГО ТУШЕНИЯ КОКСА</t>
  </si>
  <si>
    <t xml:space="preserve">                                   Установка сухого тушения кокса</t>
  </si>
  <si>
    <t>ТЕРм16-01-021-01</t>
  </si>
  <si>
    <t>Вагон для перевозки раскаленного кокса</t>
  </si>
  <si>
    <t>ТЕРм16-01-021-02</t>
  </si>
  <si>
    <t>Подъемник передвижной для обслуживания УСТК</t>
  </si>
  <si>
    <t>ТЕРм16-01-021-03</t>
  </si>
  <si>
    <t>Устройство загрузочное УСТК с электромеханическим приводом</t>
  </si>
  <si>
    <t>ТЕРм16-01-021-04</t>
  </si>
  <si>
    <t>Устройство разгрузочное УСТК</t>
  </si>
  <si>
    <t>ТЕРм16-01-021-05</t>
  </si>
  <si>
    <t>Устройство дутьевое</t>
  </si>
  <si>
    <t xml:space="preserve">                           Раздел 2. ОТДЕЛ 02. ОБОРУДОВАНИЕ ДОМЕННОГО ПРОИВОДСТВА</t>
  </si>
  <si>
    <t xml:space="preserve">                                   Раздел 1. ОБОРУДОВАНИЕ ДОМЕННЫХ ПЕЧЕЙ И ЛИТЕЙНЫХ ДВОРОВ</t>
  </si>
  <si>
    <t xml:space="preserve">                                   Оборудование печей</t>
  </si>
  <si>
    <t>ТЕРм16-02-001-01</t>
  </si>
  <si>
    <t>Кольцо опорное, колошниковое, масса 4,1 т</t>
  </si>
  <si>
    <t>ТЕРм16-02-001-02</t>
  </si>
  <si>
    <t>Кольцо опорное, колошниковое, масса 6,6 т</t>
  </si>
  <si>
    <t>ТЕРм16-02-001-03</t>
  </si>
  <si>
    <t>Кольцо опорное, колошниковое, масса 7,1 т</t>
  </si>
  <si>
    <t>ТЕРм16-02-001-04</t>
  </si>
  <si>
    <t>Кольцо опорное, колошниковое, масса 18,4 т</t>
  </si>
  <si>
    <t>ТЕРм16-02-001-05</t>
  </si>
  <si>
    <t>Кольцо опорное, колошниковое, масса 32,4 т</t>
  </si>
  <si>
    <t>ТЕРм16-02-001-06</t>
  </si>
  <si>
    <t>Рама летки для чугуна</t>
  </si>
  <si>
    <t>ТЕРм16-02-001-07</t>
  </si>
  <si>
    <t>Прибор фурменный</t>
  </si>
  <si>
    <t>ТЕРм16-02-001-08</t>
  </si>
  <si>
    <t>Прибор шлаковый</t>
  </si>
  <si>
    <t>ТЕРм16-02-001-09</t>
  </si>
  <si>
    <t>Площадка механизированная для смены фуры над чугунной леткой, масса 1,8 т</t>
  </si>
  <si>
    <t>ТЕРм16-02-001-10</t>
  </si>
  <si>
    <t>Машины для вскрытия чугунной летки, масса 1,43 т</t>
  </si>
  <si>
    <t>ТЕРм16-02-001-11</t>
  </si>
  <si>
    <t>Машины для вскрытия чугунной летки, масса 10,53 т</t>
  </si>
  <si>
    <t>ТЕРм16-02-001-12</t>
  </si>
  <si>
    <t>Машины для вскрытия чугунной летки, масса 18,2 т</t>
  </si>
  <si>
    <t>ТЕРм16-02-001-13</t>
  </si>
  <si>
    <t>Пушка электрическая, масса 9,8 т</t>
  </si>
  <si>
    <t>ТЕРм16-02-001-14</t>
  </si>
  <si>
    <t>Пушка электрическая, масса 29 т</t>
  </si>
  <si>
    <t>ТЕРм16-02-001-15</t>
  </si>
  <si>
    <t>Пушка электрическая, масса 50 т</t>
  </si>
  <si>
    <t>ТЕРм16-02-001-16</t>
  </si>
  <si>
    <t>Стопор шлаковый, масса 2,2 т</t>
  </si>
  <si>
    <t>ТЕРм16-02-001-17</t>
  </si>
  <si>
    <t>Стопор шлаковый, масса 3,8 т</t>
  </si>
  <si>
    <t>ТЕРм16-02-001-18</t>
  </si>
  <si>
    <t>Стопор шлаковый, масса 6,4 т</t>
  </si>
  <si>
    <t xml:space="preserve">                                   Оборудование литейных дворов</t>
  </si>
  <si>
    <t>ТЕРм16-02-002-01</t>
  </si>
  <si>
    <t>Желоб для чугуна и шлака, поворотный</t>
  </si>
  <si>
    <t>ТЕРм16-02-002-02</t>
  </si>
  <si>
    <t>Желоб для чугуна, качающийся</t>
  </si>
  <si>
    <t>ТЕРм16-02-002-03</t>
  </si>
  <si>
    <t>Желоб для шлака, качающийся</t>
  </si>
  <si>
    <t>ТЕРм16-02-002-04</t>
  </si>
  <si>
    <t>Устройство отсечное для чугуна и шлака</t>
  </si>
  <si>
    <t>ТЕРм16-02-002-05</t>
  </si>
  <si>
    <t>Укрытие желобов</t>
  </si>
  <si>
    <t>ТЕРм16-02-002-06</t>
  </si>
  <si>
    <t>Окна и двери смотровых укрытий желобов</t>
  </si>
  <si>
    <t>ТЕРм16-02-002-07</t>
  </si>
  <si>
    <t>Устройство для сушки желобов</t>
  </si>
  <si>
    <t>ТЕРм16-02-002-08</t>
  </si>
  <si>
    <t>Зонт над главным желобом откатной</t>
  </si>
  <si>
    <t>ТЕРм16-02-002-09</t>
  </si>
  <si>
    <t>Зонт над главным желобом поворотный</t>
  </si>
  <si>
    <t>ТЕРм16-02-002-10</t>
  </si>
  <si>
    <t>Толкатель стационарный для перемещения чугуновозных и шлаковозных ковшей усилием 73,5 кН (7,4 тс)</t>
  </si>
  <si>
    <t>ТЕРм16-02-002-11</t>
  </si>
  <si>
    <t>Толкатель стационарный для перемещения чугуновозных и шлаковозных ковшей усилием 245 кН (25 тс)</t>
  </si>
  <si>
    <t>ТЕРм16-02-002-12</t>
  </si>
  <si>
    <t>Толкатель тележечный</t>
  </si>
  <si>
    <t>ТЕРм16-02-002-13</t>
  </si>
  <si>
    <t>Кран мостовой кольцевой для обслуживания доменной печи</t>
  </si>
  <si>
    <t xml:space="preserve">                                   Оборудование пунктов управления печами</t>
  </si>
  <si>
    <t>ТЕРм16-02-003-01</t>
  </si>
  <si>
    <t>Фильтр для воды, диаметр условного прохода 250 мм</t>
  </si>
  <si>
    <t>ТЕРм16-02-003-02</t>
  </si>
  <si>
    <t>Фильтр для воды, диаметр условного прохода 600 мм</t>
  </si>
  <si>
    <t>ТЕРм16-02-003-03</t>
  </si>
  <si>
    <t>Фильтр для воды, диаметр условного прохода 700 мм</t>
  </si>
  <si>
    <t xml:space="preserve">                                   Раздел 2. ОБОРУДОВАНИЕ ЗАГРУЗОЧНЫХ УСТРОЙСТВ</t>
  </si>
  <si>
    <t xml:space="preserve">                                   Колошниковые устройства</t>
  </si>
  <si>
    <t>ТЕРм16-02-010-01</t>
  </si>
  <si>
    <t>Аппарат засыпной с распределителем шихты, масса 151,5 т</t>
  </si>
  <si>
    <t>ТЕРм16-02-010-02</t>
  </si>
  <si>
    <t>Аппарат засыпной с распределителем шихты, масса 246 т</t>
  </si>
  <si>
    <t>ТЕРм16-02-010-03</t>
  </si>
  <si>
    <t>Аппарат засыпной с распределителем шихты, масса 324,5 т</t>
  </si>
  <si>
    <t>ТЕРм16-02-010-04</t>
  </si>
  <si>
    <t>Балансиры конусов с подвесками, масса 61,17 т</t>
  </si>
  <si>
    <t>ТЕРм16-02-010-05</t>
  </si>
  <si>
    <t>Балансиры конусов с подвесками, масса 108 т</t>
  </si>
  <si>
    <t>ТЕРм16-02-010-06</t>
  </si>
  <si>
    <t>Зонд цепной, масса 3,5 т</t>
  </si>
  <si>
    <t>ТЕРм16-02-010-07</t>
  </si>
  <si>
    <t>Зонд цепной, масса 7,95 т</t>
  </si>
  <si>
    <t>ТЕРм16-02-010-08</t>
  </si>
  <si>
    <t>Тележка монтажная с крюками, направляющим блоком, грузоподъемность 100 т</t>
  </si>
  <si>
    <t>ТЕРм16-02-010-09</t>
  </si>
  <si>
    <t>Тележка монтажная с крюками, направляющим блоком, грузоподъемность 150 т</t>
  </si>
  <si>
    <t>ТЕРм16-02-010-10</t>
  </si>
  <si>
    <t>Тележка монтажная с крюками, направляющим блоком, грузоподъемность 170 т</t>
  </si>
  <si>
    <t>ТЕРм16-02-010-11</t>
  </si>
  <si>
    <t>Кран полукозловой с лебедкой, грузоподъемность 15 т</t>
  </si>
  <si>
    <t>ТЕРм16-02-010-12</t>
  </si>
  <si>
    <t>Кран консольно-поворотный, грузоподъемность 3 т</t>
  </si>
  <si>
    <t>ТЕРм16-02-010-13</t>
  </si>
  <si>
    <t>Кран консольно-поворотный, грузоподъемность 5 т</t>
  </si>
  <si>
    <t xml:space="preserve">                                   Оборудование здания колошникового подъемника</t>
  </si>
  <si>
    <t>ТЕРм16-02-011-01</t>
  </si>
  <si>
    <t>Лебедка скиповая двухмоторная, масса 71,8 т</t>
  </si>
  <si>
    <t>ТЕРм16-02-011-02</t>
  </si>
  <si>
    <t>Лебедка скиповая двухмоторная, масса 90,2 т</t>
  </si>
  <si>
    <t>ТЕРм16-02-011-03</t>
  </si>
  <si>
    <t>Лебедка скиповая двухмоторная, масса 127,5 т</t>
  </si>
  <si>
    <t>ТЕРм16-02-011-04</t>
  </si>
  <si>
    <t>Механизм предельного натяжения каната, масса 1,4 т</t>
  </si>
  <si>
    <t>ТЕРм16-02-011-05</t>
  </si>
  <si>
    <t>Механизм предельного натяжения каната, масса 7,2 т</t>
  </si>
  <si>
    <t xml:space="preserve">                                   Подъемники коксовой мелочи</t>
  </si>
  <si>
    <t>ТЕРм16-02-012-01</t>
  </si>
  <si>
    <t>Подъемник мелочи коксовой</t>
  </si>
  <si>
    <t>ТЕРм16-02-012-02</t>
  </si>
  <si>
    <t>Подъемник мелочи агломерита</t>
  </si>
  <si>
    <t xml:space="preserve">                                   Раздел 3. ОБОРУДОВАНИЕ БЛОКОВ ВОЗДУХОНАГРЕВАТЕЛЕЙ</t>
  </si>
  <si>
    <t xml:space="preserve">                                   Оборудование блоков воздухонагревателей</t>
  </si>
  <si>
    <t>ТЕРм16-02-020-01</t>
  </si>
  <si>
    <t>Горелка газовая, производительность 75000 м3/ч</t>
  </si>
  <si>
    <t>ТЕРм16-02-020-02</t>
  </si>
  <si>
    <t>Горелка газовая, производительность 120000 м3/ч</t>
  </si>
  <si>
    <t>ТЕРм16-02-020-03</t>
  </si>
  <si>
    <t>Горелка газовая, производительность 200000 м3/ч</t>
  </si>
  <si>
    <t>ТЕРм16-02-020-04</t>
  </si>
  <si>
    <t>Клапан горячего дутья, диаметр 1100 мм</t>
  </si>
  <si>
    <t>ТЕРм16-02-020-05</t>
  </si>
  <si>
    <t>Клапан горячего дутья, диаметр 1300 мм, с гидроприводом</t>
  </si>
  <si>
    <t>ТЕРм16-02-020-06</t>
  </si>
  <si>
    <t>Клапан горячего дутья, диаметр 2000 мм</t>
  </si>
  <si>
    <t>ТЕРм16-02-020-07</t>
  </si>
  <si>
    <t>Клапан отсечной, диаметр 1100 мм</t>
  </si>
  <si>
    <t>ТЕРм16-02-020-08</t>
  </si>
  <si>
    <t>Клапан отсечной, диаметр 1300 мм, с гидроприводом</t>
  </si>
  <si>
    <t>ТЕРм16-02-020-09</t>
  </si>
  <si>
    <t>Клапан отсечной, диаметр 2000 мм</t>
  </si>
  <si>
    <t>ТЕРм16-02-020-10</t>
  </si>
  <si>
    <t>Клапан отсечной холодного дутья, диаметр 1200 мм</t>
  </si>
  <si>
    <t>ТЕРм16-02-020-11</t>
  </si>
  <si>
    <t>Клапан отсечной холодного дутья, диаметр 1400 мм</t>
  </si>
  <si>
    <t>ТЕРм16-02-020-12</t>
  </si>
  <si>
    <t>Клапан отсечной холодного дутья, диаметр 1600 мм, с гидроприводом</t>
  </si>
  <si>
    <t>ТЕРм16-02-020-13</t>
  </si>
  <si>
    <t>Клапан дымовой, диаметр 1100 мм</t>
  </si>
  <si>
    <t>ТЕРм16-02-020-14</t>
  </si>
  <si>
    <t>Клапан дымовой, диаметр 1300 мм</t>
  </si>
  <si>
    <t>ТЕРм16-02-020-15</t>
  </si>
  <si>
    <t>Клапан дымовой, диаметр 2000 мм</t>
  </si>
  <si>
    <t>ТЕРм16-02-020-16</t>
  </si>
  <si>
    <t>Клапан дроссельный газовый, диаметр 1100 мм</t>
  </si>
  <si>
    <t>ТЕРм16-02-020-17</t>
  </si>
  <si>
    <t>Клапан дроссельный газовый, диаметр 1300 мм</t>
  </si>
  <si>
    <t>ТЕРм16-02-020-18</t>
  </si>
  <si>
    <t>Клапан дроссельный газовый, диаметр 1500 мм</t>
  </si>
  <si>
    <t>ТЕРм16-02-020-19</t>
  </si>
  <si>
    <t>Клапан для сброса воздуха, диаметр 900 мм</t>
  </si>
  <si>
    <t>ТЕРм16-02-020-20</t>
  </si>
  <si>
    <t>Клапан для сброса воздуха, диаметр 1500 мм</t>
  </si>
  <si>
    <t>ТЕРм16-02-020-21</t>
  </si>
  <si>
    <t>Клапан перепускной, диаметр 600 мм, с гидроприводом</t>
  </si>
  <si>
    <t>ТЕРм16-02-020-22</t>
  </si>
  <si>
    <t>Клапан перепускной, диаметр 500 мм</t>
  </si>
  <si>
    <t>ТЕРм16-02-020-23</t>
  </si>
  <si>
    <t>Клапан перепускной, диаметр 1800 мм, дроссельный</t>
  </si>
  <si>
    <t>ТЕРм16-02-020-24</t>
  </si>
  <si>
    <t>Привод клапана дымового или горячего дутья</t>
  </si>
  <si>
    <t xml:space="preserve">                                   Раздел 4. ОБОРУДОВАНИЕ ГАЗОПРОВОДОВ, ВОЗДУХОПРОВОДОВ, ПЫЛЕУЛОВИТЕЛЕЙ</t>
  </si>
  <si>
    <t xml:space="preserve">                                   Оборудование газопроводов</t>
  </si>
  <si>
    <t>ТЕРм16-02-030-01</t>
  </si>
  <si>
    <t>Клапан отсекающий, диаметр 2460 мм</t>
  </si>
  <si>
    <t>ТЕРм16-02-030-02</t>
  </si>
  <si>
    <t>Клапан отсекающий, диаметр 3000 мм</t>
  </si>
  <si>
    <t>ТЕРм16-02-030-03</t>
  </si>
  <si>
    <t>Задвижка газовая термическая, диаметр 2000/1700 мм</t>
  </si>
  <si>
    <t xml:space="preserve">                                   Оборудование воздухопроводов</t>
  </si>
  <si>
    <t>ТЕРм16-02-031-01</t>
  </si>
  <si>
    <t>Клапан воздушно-разгрузочный с приводом, диаметр 1400 мм</t>
  </si>
  <si>
    <t>ТЕРм16-02-031-02</t>
  </si>
  <si>
    <t>Клапан воздушно-разгрузочный с приводом, диаметр 1600 мм</t>
  </si>
  <si>
    <t>ТЕРм16-02-031-03</t>
  </si>
  <si>
    <t>Клапан воздушно-разгрузочный с приводом, диаметр 2000 мм</t>
  </si>
  <si>
    <t>ТЕРм16-02-031-04</t>
  </si>
  <si>
    <t>Клапан дроссельный смесительный, диаметр 700 мм</t>
  </si>
  <si>
    <t>ТЕРм16-02-031-05</t>
  </si>
  <si>
    <t>Клапан дроссельный смесительный, диаметр 900 мм</t>
  </si>
  <si>
    <t>ТЕРм16-02-031-06</t>
  </si>
  <si>
    <t>Клапан дроссельный смесительный, диаметр 1200 мм</t>
  </si>
  <si>
    <t>ТЕРм16-02-031-07</t>
  </si>
  <si>
    <t>Клапан дроссельный смесительный, диаметр 1400 мм</t>
  </si>
  <si>
    <t>ТЕРм16-02-031-08</t>
  </si>
  <si>
    <t>Клапан дроссельный отделительный с приводом, диаметр 1200 мм</t>
  </si>
  <si>
    <t xml:space="preserve">                                   Раздел 5. ОБОРУДОВАНИЕ СКЛАДА СЫРЬЕВЫХ МАТЕРИАЛОВ</t>
  </si>
  <si>
    <t xml:space="preserve">                                   Эстакады бункерные</t>
  </si>
  <si>
    <t>ТЕРм16-02-040-01</t>
  </si>
  <si>
    <t>Затвор рудного бункера барабанный с уплотнением</t>
  </si>
  <si>
    <t>ТЕРм16-02-040-02</t>
  </si>
  <si>
    <t>Затвор коксового бункера</t>
  </si>
  <si>
    <t xml:space="preserve">                                   Оборудование рудных дворов и складов кокса</t>
  </si>
  <si>
    <t>ТЕРм16-02-041-01</t>
  </si>
  <si>
    <t>Вагоноопрокидыватель роторный грузоподъемность 60 и 93 т</t>
  </si>
  <si>
    <t>ТЕРм16-02-041-02</t>
  </si>
  <si>
    <t>Вагоноопрокидыватель роторный грузоподъемность 60; 93; 125 т, для загрузки полувагонов</t>
  </si>
  <si>
    <t>ТЕРм16-02-041-03</t>
  </si>
  <si>
    <t>Трансферкар рудный, грузоподъемность 65 т</t>
  </si>
  <si>
    <t xml:space="preserve">                                   Раздел 6. ОБОРУДОВАНИЕ УБОРКИ ПРОДУКТОВ ПЛАВКИ</t>
  </si>
  <si>
    <t xml:space="preserve">                                   Чугуновоз и шлаковоз</t>
  </si>
  <si>
    <t>ТЕРм16-02-050-01</t>
  </si>
  <si>
    <t>Чугуновоз, вместимость 100-140 м3</t>
  </si>
  <si>
    <t>ТЕРм16-02-050-02</t>
  </si>
  <si>
    <t>Чугуновоз, вместимость 300 м3</t>
  </si>
  <si>
    <t>ТЕРм16-02-050-03</t>
  </si>
  <si>
    <t>Шлаковоз, вместимость ковша 16 м3</t>
  </si>
  <si>
    <t>ТЕРм16-02-050-04</t>
  </si>
  <si>
    <t>Устройство для опрыскивания шлаковозных ковшей</t>
  </si>
  <si>
    <t xml:space="preserve">                                   Разливочные машины</t>
  </si>
  <si>
    <t>ТЕРм16-02-051-01</t>
  </si>
  <si>
    <t>Машина чугуноразливочная ленточного типа</t>
  </si>
  <si>
    <t>ТЕРм16-02-051-02</t>
  </si>
  <si>
    <t>Площадка поворотная</t>
  </si>
  <si>
    <t>ТЕРм16-02-051-03</t>
  </si>
  <si>
    <t>Устройство для кантования чугоновозных ковшей</t>
  </si>
  <si>
    <t>ТЕРм16-02-051-04</t>
  </si>
  <si>
    <t>Устройство маневровое для платформ и ковшей</t>
  </si>
  <si>
    <t xml:space="preserve">                                   Установка придоменной грануляции шлака</t>
  </si>
  <si>
    <t>ТЕРм16-02-052-01</t>
  </si>
  <si>
    <t>Обезвоживатель, диаметр 13500 мм</t>
  </si>
  <si>
    <t>ТЕРм16-02-052-02</t>
  </si>
  <si>
    <t>Агрегат гидрожелобный, производительность 15 т/м</t>
  </si>
  <si>
    <t>ТЕРм16-02-052-03</t>
  </si>
  <si>
    <t>Эрлифт шламовый</t>
  </si>
  <si>
    <t>ТЕРм16-02-052-04</t>
  </si>
  <si>
    <t>Эрлифт шлаковый</t>
  </si>
  <si>
    <t>ТЕРм16-02-052-05</t>
  </si>
  <si>
    <t>Эрлифт подачи воды на грануляцию, высота подъема трубы 57 м</t>
  </si>
  <si>
    <t xml:space="preserve">                                   Раздел 7. ИССЛЕДОВАТЕЛЬСКОЕ ОБОРУДОВАНИЕ</t>
  </si>
  <si>
    <t xml:space="preserve">                                   Машина для отбора проб газа и замера температуры через фурму</t>
  </si>
  <si>
    <t>ТЕРм16-02-060-01</t>
  </si>
  <si>
    <t>Машина для отбора проб газа и замера температуры через фурму</t>
  </si>
  <si>
    <t xml:space="preserve">                                   Раздел 8. СИСТЕМА ГУСТОЙ СМАЗКИ</t>
  </si>
  <si>
    <t xml:space="preserve">                                   Точка системы густой смазки доменного производства</t>
  </si>
  <si>
    <t>ТЕРм16-02-070-01</t>
  </si>
  <si>
    <t>Точка системы густой смазки</t>
  </si>
  <si>
    <t xml:space="preserve">                                   Раздел 9. РАЗНОЕ ОБОРУДОВАНИЕ</t>
  </si>
  <si>
    <t>ТЕРм16-02-080-01</t>
  </si>
  <si>
    <t>Канаты управления механизмами доменной печи, диаметр до 39 мм</t>
  </si>
  <si>
    <t>ТЕРм16-02-080-02</t>
  </si>
  <si>
    <t>Канаты управления механизмами доменной печи, диаметр до 53 мм</t>
  </si>
  <si>
    <t xml:space="preserve">                           Раздел 3. ОТДЕЛ 03. ОБОРУДОВАНИЕ СТАЛЕПЛАВИЛЬНОГО ПРОИЗВОДСТВА</t>
  </si>
  <si>
    <t xml:space="preserve">                                   Раздел 1. ОБОРУДОВАНИЕ МАРТЕНОВСКИХ ПЕЧЕЙ</t>
  </si>
  <si>
    <t xml:space="preserve">                                   Миксер</t>
  </si>
  <si>
    <t>ТЕРм16-03-001-01</t>
  </si>
  <si>
    <t>Миксер цилиндрический, вместимость 1300 т</t>
  </si>
  <si>
    <t>ТЕРм16-03-001-02</t>
  </si>
  <si>
    <t>Миксер цилиндрический, вместимость 2500 т</t>
  </si>
  <si>
    <t>ТЕРм16-03-001-03</t>
  </si>
  <si>
    <t>Машина для скачивания шлака из миксера стационарная</t>
  </si>
  <si>
    <t>ТЕРм16-03-001-04</t>
  </si>
  <si>
    <t>Машина для скачивания шлака из миксера консольная или передвижная</t>
  </si>
  <si>
    <t xml:space="preserve">                                   Механизмы транспортные и ковши</t>
  </si>
  <si>
    <t>ТЕРм16-03-002-01</t>
  </si>
  <si>
    <t>Тележка несамоходная для шлаковозного ковша, вместимость 16 м3</t>
  </si>
  <si>
    <t>ТЕРм16-03-002-02</t>
  </si>
  <si>
    <t>Тележка шлаковозная для уборки шлаковых ковшей из-под печи, вместимость ковша 11 м3</t>
  </si>
  <si>
    <t>ТЕРм16-03-002-03</t>
  </si>
  <si>
    <t>Тележка шлаковозная для уборки шлаковых ковшей из-под печи, вместимость ковша 16 м3</t>
  </si>
  <si>
    <t>ТЕРм16-03-002-04</t>
  </si>
  <si>
    <t>Тележка для уборки шлака из-под печи по эстакаде, вместимость ковша 11 м3</t>
  </si>
  <si>
    <t>ТЕРм16-03-002-05</t>
  </si>
  <si>
    <t>Тележка передаточная, грузоподъемность 40 т</t>
  </si>
  <si>
    <t>ТЕРм16-03-002-06</t>
  </si>
  <si>
    <t>Тележка передаточная, грузоподъемность 150 т</t>
  </si>
  <si>
    <t>ТЕРм16-03-002-07</t>
  </si>
  <si>
    <t>Тележка сталеразливочная, вместимость ковша 50 т</t>
  </si>
  <si>
    <t>ТЕРм16-03-002-08</t>
  </si>
  <si>
    <t>Тележка сталеразливочная, вместимость ковша 68 т</t>
  </si>
  <si>
    <t>ТЕРм16-03-002-09</t>
  </si>
  <si>
    <t>Тележка сталеразливочная, вместимость ковша 130 т</t>
  </si>
  <si>
    <t>ТЕРм16-03-002-10</t>
  </si>
  <si>
    <t>Тележка сталеразливочная, вместимость ковша 250-300 т</t>
  </si>
  <si>
    <t>ТЕРм16-03-002-11</t>
  </si>
  <si>
    <t>Толкатель для тележек с изложницами, усилие 98 кН (10 тс)</t>
  </si>
  <si>
    <t>ТЕРм16-03-002-12</t>
  </si>
  <si>
    <t>Толкатель для тележек с изложницами, усилие 245 кН (25 тс)</t>
  </si>
  <si>
    <t>ТЕРм16-03-002-13</t>
  </si>
  <si>
    <t>Толкатель для тележек с изложницами, усилие 1177 кН (120 тс)</t>
  </si>
  <si>
    <t>ТЕРм16-03-002-14</t>
  </si>
  <si>
    <t>Ковш сталеразливочный для разливки с крана, вместимость 15 т</t>
  </si>
  <si>
    <t>ТЕРм16-03-002-15</t>
  </si>
  <si>
    <t>Ковш сталеразливочный для разливки с крана, вместимость 120 т</t>
  </si>
  <si>
    <t>ТЕРм16-03-002-16</t>
  </si>
  <si>
    <t>Ковш сталеразливочный для разливки с крана, вместимость 130-150 т</t>
  </si>
  <si>
    <t>ТЕРм16-03-002-17</t>
  </si>
  <si>
    <t>Ковш сталеразливочный для разливки с крана, вместимость 230 т</t>
  </si>
  <si>
    <t>ТЕРм16-03-002-18</t>
  </si>
  <si>
    <t>Ковш сталеразливочный для разливки стали с двумя стопорами, вместимость 300 т</t>
  </si>
  <si>
    <t>ТЕРм16-03-002-19</t>
  </si>
  <si>
    <t>Ковш сталеразливочный для разливки стали с двумя стопорами, вместимость 330 т</t>
  </si>
  <si>
    <t>ТЕРм16-03-002-20</t>
  </si>
  <si>
    <t>Ковш сталеразливочный для разливки стали с двумя стопорами, вместимость 350 т</t>
  </si>
  <si>
    <t>ТЕРм16-03-002-21</t>
  </si>
  <si>
    <t>Ковш сталеразливочный для разливки стали с двумя стопорами, вместимость 480 т</t>
  </si>
  <si>
    <t>ТЕРм16-03-002-22</t>
  </si>
  <si>
    <t>Шлаковоз самоходный, грузоподъемность 100 т</t>
  </si>
  <si>
    <t>ТЕРм16-03-002-23</t>
  </si>
  <si>
    <t>Шлаковоз самоходный, грузоподъемность 220 т</t>
  </si>
  <si>
    <t>ТЕРм16-03-002-24</t>
  </si>
  <si>
    <t>Шлаковоз несамоходный, вместимость 16 м3</t>
  </si>
  <si>
    <t xml:space="preserve">                                   Стенды</t>
  </si>
  <si>
    <t>ТЕРм16-03-003-01</t>
  </si>
  <si>
    <t>Стенды для установки разливочных, шлаковозных, чугуновозных ковшей, масса до 8 т</t>
  </si>
  <si>
    <t>ТЕРм16-03-003-02</t>
  </si>
  <si>
    <t>Стенды для установки разливочных, шлаковозных, чугуновозных ковшей, масса до 35,5 т</t>
  </si>
  <si>
    <t xml:space="preserve">                                   Устройство для сушки ковшей</t>
  </si>
  <si>
    <t>ТЕРм16-03-004-01</t>
  </si>
  <si>
    <t>Устройство для сушки сталеразливочных ковшей газом, вместимость 130-175 т</t>
  </si>
  <si>
    <t>ТЕРм16-03-004-02</t>
  </si>
  <si>
    <t>Устройство для сушки сталеразливочных ковшей газом, вместимость 350 т</t>
  </si>
  <si>
    <t>ТЕРм16-03-004-03</t>
  </si>
  <si>
    <t>Устройство для сушки чугуновозного ковша</t>
  </si>
  <si>
    <t>ТЕРм16-03-004-04</t>
  </si>
  <si>
    <t>Устройство для охлаждения ковшей (без стенда)</t>
  </si>
  <si>
    <t>ТЕРм16-03-004-05</t>
  </si>
  <si>
    <t>Машина для обрушения футеровки сталеразливочного ковша</t>
  </si>
  <si>
    <t>ТЕРм16-03-004-06</t>
  </si>
  <si>
    <t>Машина для ломки футеровки конвертеров</t>
  </si>
  <si>
    <t>ТЕРм16-03-004-07</t>
  </si>
  <si>
    <t>Подъемник телескопический для ремонта футеровки ковша, вместимость 330 т</t>
  </si>
  <si>
    <t>ТЕРм16-03-004-08</t>
  </si>
  <si>
    <t>Устройство для ремонта ковша</t>
  </si>
  <si>
    <t xml:space="preserve">                                   Механизм мартеновских печей</t>
  </si>
  <si>
    <t>ТЕРм16-03-005-01</t>
  </si>
  <si>
    <t>Механизм наклона качающейся мартеновской печи, вместимость 300-370 т</t>
  </si>
  <si>
    <t>ТЕРм16-03-005-02</t>
  </si>
  <si>
    <t>Механизм подъема заслонок мартеновской печи с числом заколоченных окон 3</t>
  </si>
  <si>
    <t>ТЕРм16-03-005-03</t>
  </si>
  <si>
    <t>Механизм подъема заслонок мартеновской печи с числом заколоченных окон 5</t>
  </si>
  <si>
    <t>ТЕРм16-03-005-04</t>
  </si>
  <si>
    <t>Механизм подъема кислородных фурм</t>
  </si>
  <si>
    <t>ТЕРм16-03-005-05</t>
  </si>
  <si>
    <t>Стопор отсечной на выпускных желобах</t>
  </si>
  <si>
    <t xml:space="preserve">                                   Заправочные машины</t>
  </si>
  <si>
    <t>ТЕРм16-03-006-01</t>
  </si>
  <si>
    <t>Машина заправочная ленточная подвесная, объем бункера 2,5 м3</t>
  </si>
  <si>
    <t>ТЕРм16-03-006-02</t>
  </si>
  <si>
    <t>Машина заправочная ленточная подвесная, объем бункера 4,5 м3</t>
  </si>
  <si>
    <t>ТЕРм16-03-006-03</t>
  </si>
  <si>
    <t>Машина заправочная самоходная, объем бункера 13 м3</t>
  </si>
  <si>
    <t>ТЕРм16-03-006-04</t>
  </si>
  <si>
    <t>Машина заправочная самоходная, объем бункера 19 м3</t>
  </si>
  <si>
    <t xml:space="preserve">                                   Оборудование для раздевания слитков</t>
  </si>
  <si>
    <t>ТЕРм16-03-007-01</t>
  </si>
  <si>
    <t>Машина гидравлическая для раздевания слитков, выталкивающее усилие 6867 кН (700 тс)</t>
  </si>
  <si>
    <t>ТЕРм16-03-007-02</t>
  </si>
  <si>
    <t>Машина гидравлическая для раздевания слитков, выталкивающее усилие 9810 кН (1000 тс)</t>
  </si>
  <si>
    <t xml:space="preserve">                                   Оборудование отделения подготовки составов с изложницами</t>
  </si>
  <si>
    <t>ТЕРм16-03-008-01</t>
  </si>
  <si>
    <t>Машина для чистки изложниц кранового типа, пролет 12 м</t>
  </si>
  <si>
    <t>ТЕРм16-03-008-02</t>
  </si>
  <si>
    <t>Машина для чистки изложниц для гидравлической чистки, смонтированная на мосту</t>
  </si>
  <si>
    <t>ТЕРм16-03-008-03</t>
  </si>
  <si>
    <t>Машина для чистки изложниц под слитки массой 150; 500 и 1000 кг</t>
  </si>
  <si>
    <t>ТЕРм16-03-008-04</t>
  </si>
  <si>
    <t>Машина для смазки изложниц, масса 4,2 т кранового типа</t>
  </si>
  <si>
    <t>ТЕРм16-03-008-05</t>
  </si>
  <si>
    <t>Машина для смазки изложниц, масса 1,6 т стационарная</t>
  </si>
  <si>
    <t>ТЕРм16-03-008-06</t>
  </si>
  <si>
    <t>Машина для смазки изложниц, масса 4,6 т стационарная</t>
  </si>
  <si>
    <t>ТЕРм16-03-008-07</t>
  </si>
  <si>
    <t>Машина для ломки литников, усилие сжатия 44 кН (45 тс)</t>
  </si>
  <si>
    <t>ТЕРм16-03-008-08</t>
  </si>
  <si>
    <t>Машина для сборки центровых</t>
  </si>
  <si>
    <t>ТЕРм16-03-008-09</t>
  </si>
  <si>
    <t>Машина для укладки пробок и манжет в изложницы</t>
  </si>
  <si>
    <t>ТЕРм16-03-008-10</t>
  </si>
  <si>
    <t>Машина для накрывания и снятия крышек с изложниц</t>
  </si>
  <si>
    <t>ТЕРм16-03-008-11</t>
  </si>
  <si>
    <t>Машина для чистки центровых</t>
  </si>
  <si>
    <t>ТЕРм16-03-008-12</t>
  </si>
  <si>
    <t>Площадка передвижения для установки манжет и пробок</t>
  </si>
  <si>
    <t xml:space="preserve">                                   Оборудование системы перекидки и отвода газа</t>
  </si>
  <si>
    <t>ТЕРм16-03-009-01</t>
  </si>
  <si>
    <t>Шиберы дымовые наклонные без привода, размеры 1200х1500 мм</t>
  </si>
  <si>
    <t>ТЕРм16-03-009-02</t>
  </si>
  <si>
    <t>Шиберы дымовые наклонные без привода, размеры 1500х2100 мм</t>
  </si>
  <si>
    <t>ТЕРм16-03-009-03</t>
  </si>
  <si>
    <t>Шиберы дымовые наклонные без привода, размеры 1800х2100 мм</t>
  </si>
  <si>
    <t>ТЕРм16-03-009-04</t>
  </si>
  <si>
    <t>Шиберы дымовые наклонные без привода, размеры 2000х2600 мм</t>
  </si>
  <si>
    <t>ТЕРм16-03-009-05</t>
  </si>
  <si>
    <t>Шиберы дымовые наклонные без привода, размеры 2100х3000 мм</t>
  </si>
  <si>
    <t>ТЕРм16-03-009-06</t>
  </si>
  <si>
    <t>Шиберы дымовые наклонные с индивидуальным электроприводом, размеры 1200х1500 мм</t>
  </si>
  <si>
    <t>ТЕРм16-03-009-07</t>
  </si>
  <si>
    <t>Шиберы дымовые наклонные с индивидуальным электроприводом, размеры 1500х2100 мм</t>
  </si>
  <si>
    <t>ТЕРм16-03-009-08</t>
  </si>
  <si>
    <t>Шиберы дымовые наклонные с индивидуальным электроприводом, размеры 1800х2100 мм</t>
  </si>
  <si>
    <t>ТЕРм16-03-009-09</t>
  </si>
  <si>
    <t>Шиберы дымовые наклонные с индивидуальным электроприводом, размеры 2000х2600 мм</t>
  </si>
  <si>
    <t>ТЕРм16-03-009-10</t>
  </si>
  <si>
    <t>Шиберы дымовые наклонные с индивидуальным электроприводом, размеры 2100х3000 мм</t>
  </si>
  <si>
    <t>ТЕРм16-03-009-11</t>
  </si>
  <si>
    <t>Лебедка для подъема и опускания заслонок регулирующего или наклонного шибера</t>
  </si>
  <si>
    <t>ТЕРм16-03-009-12</t>
  </si>
  <si>
    <t>Лебедка для перекидки клапанов или шиберов</t>
  </si>
  <si>
    <t xml:space="preserve">                                   Раздел 2. ОБОРУДОВАНИЕ КОНВЕРТЕРНЫХ ЦЕХОВ</t>
  </si>
  <si>
    <t xml:space="preserve">                                   Конвертеры</t>
  </si>
  <si>
    <t>ТЕРм16-03-020-01</t>
  </si>
  <si>
    <t>Конвертер кислородный, вместимость 250-300 т</t>
  </si>
  <si>
    <t>ТЕРм16-03-020-02</t>
  </si>
  <si>
    <t>Конвертер кислородный, вместимость 350-400 т</t>
  </si>
  <si>
    <t xml:space="preserve">                                   Оборудование конвертеров</t>
  </si>
  <si>
    <t>ТЕРм16-03-021-01</t>
  </si>
  <si>
    <t>Фурма кислородная с механизмом подъема для конвертеров, вместимость 100 т</t>
  </si>
  <si>
    <t>ТЕРм16-03-021-02</t>
  </si>
  <si>
    <t>Фурма кислородная с механизмом подъема для конвертеров, вместимость 130 т</t>
  </si>
  <si>
    <t>ТЕРм16-03-021-03</t>
  </si>
  <si>
    <t>Фурма кислородная с механизмом подъема для конвертеров, вместимость 250 т</t>
  </si>
  <si>
    <t>ТЕРм16-03-021-04</t>
  </si>
  <si>
    <t>Тележка домкратная для снятия днищ конвертера, грузоподъемность 350 т</t>
  </si>
  <si>
    <t>ТЕРм16-03-021-05</t>
  </si>
  <si>
    <t>Устройство домкратное для подъема конвертера</t>
  </si>
  <si>
    <t>ТЕРм16-03-021-06</t>
  </si>
  <si>
    <t>Механизм стационарный с реечным приводом для поворота совков со скрапом</t>
  </si>
  <si>
    <t>ТЕРм16-03-021-07</t>
  </si>
  <si>
    <t>Машина для загрузки скрапа в конвертер</t>
  </si>
  <si>
    <t>ТЕРм16-03-021-08</t>
  </si>
  <si>
    <t>Круг для поворота совков</t>
  </si>
  <si>
    <t>ТЕРм16-03-021-09</t>
  </si>
  <si>
    <t>Площадка подвижная для взятия пробы и разделки отверстий конвертера, вместимость 100 т</t>
  </si>
  <si>
    <t>ТЕРм16-03-021-10</t>
  </si>
  <si>
    <t>Площадка подвижная для взятия пробы и разделки отверстий конвертера, вместимость 250 т</t>
  </si>
  <si>
    <t>ТЕРм16-03-021-11</t>
  </si>
  <si>
    <t>Установка для охлаждения футеровки конвертера, вместимость 250 т</t>
  </si>
  <si>
    <t>ТЕРм16-03-021-12</t>
  </si>
  <si>
    <t>Машина для ремонта футеровки глуходонного конвертера</t>
  </si>
  <si>
    <t>ТЕРм16-03-021-13</t>
  </si>
  <si>
    <t>Подъемник телескопический для ремонта футеровки конвертера</t>
  </si>
  <si>
    <t>ТЕРм16-03-021-14</t>
  </si>
  <si>
    <t>Установка щитов отбойных под конвертер, вместимость 100 т</t>
  </si>
  <si>
    <t>ТЕРм16-03-021-15</t>
  </si>
  <si>
    <t>Установка щитов отбойных под конвертер, вместимость 250 т</t>
  </si>
  <si>
    <t>ТЕРм16-03-021-16</t>
  </si>
  <si>
    <t>Стенд механизированный для ковша, вместимость 130 т</t>
  </si>
  <si>
    <t>ТЕРм16-03-021-17</t>
  </si>
  <si>
    <t>Стенд механизированный для ковша, вместимость 280 т</t>
  </si>
  <si>
    <t xml:space="preserve">                                   Механизмы транспортные</t>
  </si>
  <si>
    <t>ТЕРм16-03-022-01</t>
  </si>
  <si>
    <t>Сталевоз самоходный для транспортировки ковша, вместимость 180 т</t>
  </si>
  <si>
    <t>ТЕРм16-03-022-02</t>
  </si>
  <si>
    <t>Сталевоз самоходный для транспортировки ковша, вместимость 220 т</t>
  </si>
  <si>
    <t>ТЕРм16-03-022-03</t>
  </si>
  <si>
    <t>Сталевоз самоходный для транспортировки ковша, вместимость 320 т</t>
  </si>
  <si>
    <t>ТЕРм16-03-022-04</t>
  </si>
  <si>
    <t>Сталевоз самоходный для транспортировки ковша, вместимость 500 т</t>
  </si>
  <si>
    <t>ТЕРм16-03-022-05</t>
  </si>
  <si>
    <t>Тележка сталевозная с механизмом передвижения для ковша, вместимость 30-35 т</t>
  </si>
  <si>
    <t>ТЕРм16-03-022-06</t>
  </si>
  <si>
    <t>Тележка сталевозная с механизмом передвижения для ковша, вместимость 130 т</t>
  </si>
  <si>
    <t>ТЕРм16-03-022-07</t>
  </si>
  <si>
    <t>Тележка сталевозная с механизмом передвижения для ковша, вместимость 300 т</t>
  </si>
  <si>
    <t>ТЕРм16-03-022-08</t>
  </si>
  <si>
    <t>Тележка для передачи фурм, грузоподъемность 3 т</t>
  </si>
  <si>
    <t xml:space="preserve">                           Раздел 4. ОТДЕЛ 04. ОБОРУДОВАНИЕ ТРУБОЛИТЕЙНОГО ПРОИВОДСТВА</t>
  </si>
  <si>
    <t xml:space="preserve">                                   Машины центробежные</t>
  </si>
  <si>
    <t>ТЕРм16-04-001-01</t>
  </si>
  <si>
    <t>Машина центробежная для отливки труб диаметром 100-150 мм</t>
  </si>
  <si>
    <t>ТЕРм16-04-001-02</t>
  </si>
  <si>
    <t>Машина центробежная для отливки труб диаметром 200-300 мм</t>
  </si>
  <si>
    <t xml:space="preserve">                           Раздел 5. ОТДЕЛ 05. ОБОРУДОВАНИЕ ФЕРРОСПЛАВНОГО ПРОИЗВОДСТВА</t>
  </si>
  <si>
    <t xml:space="preserve">                                   Машина для разливки ферросплавов</t>
  </si>
  <si>
    <t>ТЕРм16-05-001-01</t>
  </si>
  <si>
    <t>Машина для разливки ферросплавов длиной 40 м, одноленточная</t>
  </si>
  <si>
    <t>ТЕРм16-05-001-02</t>
  </si>
  <si>
    <t>Машина для разливки ферросплавов длиной 70 м, двухленточная</t>
  </si>
  <si>
    <t>ТЕРм-2001-17</t>
  </si>
  <si>
    <t xml:space="preserve">                                   Раздел 1. АППАРАТЫ ПОД ДАВЛЕНИЕМ</t>
  </si>
  <si>
    <t xml:space="preserve">                                   Баки</t>
  </si>
  <si>
    <t>ТЕРм17-01-001-01</t>
  </si>
  <si>
    <t>Бак для пропитки электродов, диаметр 1800 мм, высота 3500 мм</t>
  </si>
  <si>
    <t xml:space="preserve">                                   Раздел 2. ДОЗАТОРЫ</t>
  </si>
  <si>
    <t xml:space="preserve">                                   Дозаторы разные</t>
  </si>
  <si>
    <t>ТЕРм17-01-005-01</t>
  </si>
  <si>
    <t>Дозатор ковшовый, емкость 11 л</t>
  </si>
  <si>
    <t>ТЕРм17-01-005-02</t>
  </si>
  <si>
    <t>Дозатор ковшовый, емкость 21 л</t>
  </si>
  <si>
    <t>ТЕРм17-01-005-03</t>
  </si>
  <si>
    <t>Дозатор ковшовый, емкость 16,7 и 0,85 л, сдвоенный</t>
  </si>
  <si>
    <t>ТЕРм17-01-005-04</t>
  </si>
  <si>
    <t>Дозатор алюминиевого раствора, поток 200-180 м3/ч</t>
  </si>
  <si>
    <t>ТЕРм17-01-005-05</t>
  </si>
  <si>
    <t>Дозатор диафрагмовый</t>
  </si>
  <si>
    <t>ТЕРм17-01-005-06</t>
  </si>
  <si>
    <t>Дозатор диафрагмовый, габариты 1600х2300х1600 мм</t>
  </si>
  <si>
    <t>ТЕРм17-01-005-07</t>
  </si>
  <si>
    <t>Дозатор промводы, поток 600 м3/ч</t>
  </si>
  <si>
    <t>ТЕРм17-01-005-08</t>
  </si>
  <si>
    <t>Дозатор реагентный для трех жидкостей</t>
  </si>
  <si>
    <t>ТЕРм17-01-005-09</t>
  </si>
  <si>
    <t>Дозатор с весовым контролем</t>
  </si>
  <si>
    <t xml:space="preserve">                                   Дозировочные тележки</t>
  </si>
  <si>
    <t>ТЕРм17-01-006-01</t>
  </si>
  <si>
    <t>Тележка электровесовая, ширина колеи 750 мм, грузоподъемность 0,3 т</t>
  </si>
  <si>
    <t>ТЕРм17-01-006-02</t>
  </si>
  <si>
    <t>Тележка электровесовая, ширина колеи 750 мм, грузоподъемность 1,5 т</t>
  </si>
  <si>
    <t xml:space="preserve">                                   Тележки, площадки и платформы разные</t>
  </si>
  <si>
    <t>ТЕРм17-01-007-01</t>
  </si>
  <si>
    <t>Тележка самоходная с опрокидывающимся кузовом, объем 1,7 м3</t>
  </si>
  <si>
    <t>ТЕРм17-01-007-02</t>
  </si>
  <si>
    <t>Тележка самоходная для перевозки трансформатора, грузоподъемность 9,2 т</t>
  </si>
  <si>
    <t>ТЕРм17-01-007-03</t>
  </si>
  <si>
    <t>Тележка полупортальная для открывания люков вагонов</t>
  </si>
  <si>
    <t>ТЕРм17-01-007-04</t>
  </si>
  <si>
    <t>Площадка передвижная для открывания люков вагонов</t>
  </si>
  <si>
    <t>ТЕРм17-01-007-05</t>
  </si>
  <si>
    <t>Платформа для открывания люков вагонов</t>
  </si>
  <si>
    <t>ТЕРм17-01-007-06</t>
  </si>
  <si>
    <t>Тележка для транспортировки ковшей с алюминием ТК-5</t>
  </si>
  <si>
    <t xml:space="preserve">                                   Раздел 3. КОТЛЫ</t>
  </si>
  <si>
    <t xml:space="preserve">                                   Котлы для рафинирования и плавки</t>
  </si>
  <si>
    <t>ТЕРм17-01-015-01</t>
  </si>
  <si>
    <t>Котел рафинировочный для свинца, вместимость 260 т</t>
  </si>
  <si>
    <t>ТЕРм17-01-015-02</t>
  </si>
  <si>
    <t>Котел рафинировочный для свинца, вместимость 310 т</t>
  </si>
  <si>
    <t>ТЕРм17-01-015-03</t>
  </si>
  <si>
    <t>Котел с электрообогревом для плавки и разливки свинца, вместимость 5 т</t>
  </si>
  <si>
    <t>ТЕРм17-01-015-04</t>
  </si>
  <si>
    <t>Котел с электрообогревом для плавки и разливки свинца, вместимость 10 т</t>
  </si>
  <si>
    <t xml:space="preserve">                                   Раздел 4. ОБОРУДОВАНИЕ ДЛЯ ПРОМЫВКИ И ЧИСТКИ</t>
  </si>
  <si>
    <t xml:space="preserve">                                   Машины и стенды для промывки и чистки анодов и катодов</t>
  </si>
  <si>
    <t>ТЕРм17-01-025-01</t>
  </si>
  <si>
    <t>Машина для промывки катодов медеэлектролитного производства, длина 20 м</t>
  </si>
  <si>
    <t>ТЕРм17-01-025-02</t>
  </si>
  <si>
    <t>Машина для промывки катодов медеэлектролитного производства, длина 14 м</t>
  </si>
  <si>
    <t>ТЕРм17-01-025-03</t>
  </si>
  <si>
    <t>Машина катодоочистительная цинкового производства комплектно с оборудованием пылеулавливания</t>
  </si>
  <si>
    <t xml:space="preserve">                                   Станки для чистки тиглей и труб вакуум-ковшей</t>
  </si>
  <si>
    <t>ТЕРм17-01-026-01</t>
  </si>
  <si>
    <t>Станок для чистки тиглей, габариты 6х3 м; 2х3,3 м</t>
  </si>
  <si>
    <t>ТЕРм17-01-026-02</t>
  </si>
  <si>
    <t>Станок для чистки тиглей, вместимость 0,5 т</t>
  </si>
  <si>
    <t>ТЕРм17-01-026-03</t>
  </si>
  <si>
    <t>Станок для чистки тиглей, вместимость 1 т</t>
  </si>
  <si>
    <t>ТЕРм17-01-026-04</t>
  </si>
  <si>
    <t>Станок для чистки труб вакуум-ковшей</t>
  </si>
  <si>
    <t xml:space="preserve">                                   Раздел 5. ОБОРУДОВАНИЕ РАЗЛИВОЧНОЕ</t>
  </si>
  <si>
    <t xml:space="preserve">                                   Машины разливочные карусельного типа</t>
  </si>
  <si>
    <t>ТЕРм17-01-035-01</t>
  </si>
  <si>
    <t>Машина разливочная карусельного типа, диаметр карусели 4000 мм</t>
  </si>
  <si>
    <t>ТЕРм17-01-035-02</t>
  </si>
  <si>
    <t>Машина разливочная карусельного типа, диаметр карусели 5000 мм</t>
  </si>
  <si>
    <t>ТЕРм17-01-035-03</t>
  </si>
  <si>
    <t>Машина разливочная карусельного типа, диаметр карусели 6160 мм</t>
  </si>
  <si>
    <t>ТЕРм17-01-035-04</t>
  </si>
  <si>
    <t>Машина разливочная карусельного типа, диаметр карусели 7000 мм</t>
  </si>
  <si>
    <t>ТЕРм17-01-035-05</t>
  </si>
  <si>
    <t>Машина разливочная карусельная для медных анодов, диаметр карусели 7400 мм</t>
  </si>
  <si>
    <t>ТЕРм17-01-035-06</t>
  </si>
  <si>
    <t>Машина разливочная карусельная для медных анодов, диаметр карусели 10000 мм</t>
  </si>
  <si>
    <t>ТЕРм17-01-035-07</t>
  </si>
  <si>
    <t>Машина разливочная карусельная для медных анодов, диаметр карусели 13000 мм</t>
  </si>
  <si>
    <t>ТЕРм17-01-035-08</t>
  </si>
  <si>
    <t>Машина разливочная карусельная для свинцовых чушек, диаметр карусели 6000 мм</t>
  </si>
  <si>
    <t>ТЕРм17-01-035-09</t>
  </si>
  <si>
    <t>Съемник анодов</t>
  </si>
  <si>
    <t xml:space="preserve">                                   Машины разливочные конвейерного типа</t>
  </si>
  <si>
    <t>ТЕРм17-01-036-01</t>
  </si>
  <si>
    <t>Машина конвейерная для разливки шлака с механизмом опрокидывания ковша, длина 29 м (без ковшей)</t>
  </si>
  <si>
    <t>ТЕРм17-01-036-02</t>
  </si>
  <si>
    <t>Машина разливочная конвейерного типа, расстояние между осями звездочек 15000 мм, ширина ленты 700 мм</t>
  </si>
  <si>
    <t>ТЕРм17-01-036-03</t>
  </si>
  <si>
    <t>Машина разливочная конвейерного типа, расстояние между осями звездочек 12350 мм, ширина ленты 1060 мм</t>
  </si>
  <si>
    <t>ТЕРм17-01-036-04</t>
  </si>
  <si>
    <t>Машина разливочная конвейерного типа, расстояние между осями звездочек 29350 мм, ширина ленты 1060 мм</t>
  </si>
  <si>
    <t>ТЕРм17-01-036-05</t>
  </si>
  <si>
    <t>Машина разливочная конвейерного типа, расстояние между осями звездочек 12350 мм, ширина ленты 1320 мм</t>
  </si>
  <si>
    <t xml:space="preserve">                                   Оборудование непрерывного и полунепрерывного литья</t>
  </si>
  <si>
    <t>ТЕРм17-01-037-01</t>
  </si>
  <si>
    <t>Установка непрерывной разливки меди, тип УНРМ-12</t>
  </si>
  <si>
    <t>ТЕРм17-01-037-02</t>
  </si>
  <si>
    <t>Машина полунепрерывной разливки меди, тип ПНВ7-5,5</t>
  </si>
  <si>
    <t>ТЕРм17-01-037-03</t>
  </si>
  <si>
    <t>Агрегат бесслитковой разливки и прокатки, тип АБП-1600</t>
  </si>
  <si>
    <t>ТЕРм17-01-037-04</t>
  </si>
  <si>
    <t>Установка горизонтального непрерывного литья, тип УГНЛ-650</t>
  </si>
  <si>
    <t>ТЕРм17-01-037-05</t>
  </si>
  <si>
    <t>Агрегат литейно-прокатный, тип ЛПА-650</t>
  </si>
  <si>
    <t>ТЕРм17-01-037-06</t>
  </si>
  <si>
    <t>Установка совмещенного литья и прокатки латунной заготовки</t>
  </si>
  <si>
    <t>ТЕРм17-01-037-07</t>
  </si>
  <si>
    <t>Линия производства катанки из бескислородной меди</t>
  </si>
  <si>
    <t>ТЕРм17-01-037-08</t>
  </si>
  <si>
    <t>Машина полунепрерывного литья алюминия, тип ПНГ-60-7,5 Б, грузоподъемность 60 т</t>
  </si>
  <si>
    <t>ТЕРм17-01-037-09</t>
  </si>
  <si>
    <t>Машина полунепрерывного литья алюминия, тип ПНГ-30-7,5 Б, грузоподъемность 30 т</t>
  </si>
  <si>
    <t>ТЕРм17-01-037-10</t>
  </si>
  <si>
    <t>Конвейер литейный, тип М145-01</t>
  </si>
  <si>
    <t>ТЕРм17-01-037-11</t>
  </si>
  <si>
    <t>Ковш разливочный для алюминия, тип 122-00, вместимость 3 т</t>
  </si>
  <si>
    <t>ТЕРм17-01-037-12</t>
  </si>
  <si>
    <t>Ковш разливочный для алюминия, тип 1248923, вместимость 3 т</t>
  </si>
  <si>
    <t>ТЕРм17-01-037-13</t>
  </si>
  <si>
    <t>Ковш вакуумный для забора алюминия из электролизеров, тип 121-01, вместимость 3 т</t>
  </si>
  <si>
    <t>ТЕРм17-01-037-14</t>
  </si>
  <si>
    <t>Машина полунепрерывного литья магниевых слитков</t>
  </si>
  <si>
    <t>ТЕРм17-01-037-15</t>
  </si>
  <si>
    <t>Установка полунепрерывного литья слитков с направленной кристаллизацией</t>
  </si>
  <si>
    <t>ТЕРм17-01-037-16</t>
  </si>
  <si>
    <t>Установка полунепрерывного литья к печи САН-3Б с двумя гидравлическими подъемниками и давлением 1,5 МПа</t>
  </si>
  <si>
    <t>ТЕРм17-01-037-17</t>
  </si>
  <si>
    <t>Станок для заливки алюминия в чушки массой 6 кг на 12 изложниц</t>
  </si>
  <si>
    <t>ТЕРм17-01-037-18</t>
  </si>
  <si>
    <t>Станок с гидравлическим приводом для опрокидывания ковша с расплавленным алюминием</t>
  </si>
  <si>
    <t>ТЕРм17-01-037-19</t>
  </si>
  <si>
    <t>Конвейер разливочный для чушек алюминия и силумина, ширина ленты 800 мм, длина конвейера 9100 мм</t>
  </si>
  <si>
    <t>ТЕРм17-01-037-20</t>
  </si>
  <si>
    <t>Конвейер для защитной обработки магниевых чушек</t>
  </si>
  <si>
    <t xml:space="preserve">                                   Оборудование разное</t>
  </si>
  <si>
    <t>ТЕРм17-01-038-01</t>
  </si>
  <si>
    <t>Устройство кантовательное для ковша, объем 3,1 м3</t>
  </si>
  <si>
    <t>ТЕРм17-01-038-02</t>
  </si>
  <si>
    <t>Устройство кантовательное для ковша, объем 4 и 5 м3</t>
  </si>
  <si>
    <t xml:space="preserve">                                   Раздел 6. ОТСТОЙНИКИ</t>
  </si>
  <si>
    <t xml:space="preserve">                                   Отстойники для тиглей</t>
  </si>
  <si>
    <t>ТЕРм17-01-050-01</t>
  </si>
  <si>
    <t>Отстойник для тиглей, вместимость 500 кг</t>
  </si>
  <si>
    <t>ТЕРм17-01-050-02</t>
  </si>
  <si>
    <t>Отстойник для тиглей, вместимость 2000 кг</t>
  </si>
  <si>
    <t xml:space="preserve">                                   Раздел 7. ПЕЧИ И НАГРЕВАТЕЛЬНЫЕ УСТАНОВКИ</t>
  </si>
  <si>
    <t xml:space="preserve">                                   Печи</t>
  </si>
  <si>
    <t>ТЕРм17-01-055-01</t>
  </si>
  <si>
    <t>Печь электровакуумная</t>
  </si>
  <si>
    <t>ТЕРм17-01-055-02</t>
  </si>
  <si>
    <t>Печь кипящего слоя, площадь пода 8 м2, габариты 6844х4640х14500 мм</t>
  </si>
  <si>
    <t>ТЕРм17-01-055-03</t>
  </si>
  <si>
    <t>Печь кипящего слоя, площадь пода 20 м2, габариты 8970х8170х13737 мм</t>
  </si>
  <si>
    <t>ТЕРм17-01-055-04</t>
  </si>
  <si>
    <t>Печь анодная наклоняющаяся, тип ПА1-200, вместимость 200 т</t>
  </si>
  <si>
    <t>ТЕРм17-01-055-05</t>
  </si>
  <si>
    <t>Печь шахтная, сечение в области фурм 23,4 м2</t>
  </si>
  <si>
    <t>ТЕРм17-01-055-06</t>
  </si>
  <si>
    <t>Механизм печи для обжига концентратов</t>
  </si>
  <si>
    <t>ТЕРм17-01-055-07</t>
  </si>
  <si>
    <t>Печь индукционная для плавки цинка, вместимость 25 т</t>
  </si>
  <si>
    <t xml:space="preserve">                                   Установки нагревательные</t>
  </si>
  <si>
    <t>ТЕРм17-01-056-01</t>
  </si>
  <si>
    <t>Установка водородного восстановления на 24 стержня, работающая в замкнутом цикле «Поликристалл-24»</t>
  </si>
  <si>
    <t>ТЕРм17-01-056-02</t>
  </si>
  <si>
    <t>Установка для выращивания монокристаллов методом Чохральского «Редмет-10»</t>
  </si>
  <si>
    <t>ТЕРм17-01-056-03</t>
  </si>
  <si>
    <t>Установка для выращивания монокристаллов фосфида галлия методом вытягивания из расплава</t>
  </si>
  <si>
    <t>ТЕРм17-01-056-04</t>
  </si>
  <si>
    <t>Установка индукционная «Кристалл-106»</t>
  </si>
  <si>
    <t>ТЕРм17-01-056-05</t>
  </si>
  <si>
    <t>Установка для синтеза и направленной кристаллизации «Градиент-2»</t>
  </si>
  <si>
    <t>ТЕРм17-01-056-06</t>
  </si>
  <si>
    <t>Установка для получения калиброванных монокристаллов бестигельной зонной плавкой «Зона-1»</t>
  </si>
  <si>
    <t>ТЕРм17-01-057-01</t>
  </si>
  <si>
    <t>Сушилка шнековая с паровой рубашкой</t>
  </si>
  <si>
    <t xml:space="preserve">                                   Раздел 8. СМЕСИТЕЛИ</t>
  </si>
  <si>
    <t xml:space="preserve">                                   Смесители</t>
  </si>
  <si>
    <t>ТЕРм17-01-070-01</t>
  </si>
  <si>
    <t>Машина смесительная двухвалковая с паровым обогревом, вместимость 400 л</t>
  </si>
  <si>
    <t>ТЕРм17-01-070-02</t>
  </si>
  <si>
    <t>Машина смесительная двухвалковая с паровым обогревом, вместимость 500 л</t>
  </si>
  <si>
    <t>ТЕРм17-01-070-03</t>
  </si>
  <si>
    <t>Машина смесительная двухвалковая с паровым обогревом, вместимость 800 л</t>
  </si>
  <si>
    <t>ТЕРм17-01-070-04</t>
  </si>
  <si>
    <t>Машина смесительная двухвалковая с паровым обогревом, вместимость 2000 л</t>
  </si>
  <si>
    <t>ТЕРм17-01-070-05</t>
  </si>
  <si>
    <t>Смеситель двухвалковый с лопастными мешалками, длина 3000 мм, ширина 1276 мм</t>
  </si>
  <si>
    <t>ТЕРм17-01-070-06</t>
  </si>
  <si>
    <t>Смеситель для пресс-порошка, вместимость 1670 л</t>
  </si>
  <si>
    <t>ТЕРм17-01-070-07</t>
  </si>
  <si>
    <t>Установка для замешивания твердосплавной массы, вместимость 13 л</t>
  </si>
  <si>
    <t>ТЕРм17-01-070-08</t>
  </si>
  <si>
    <t>Установка смесительная для получения анодных масс</t>
  </si>
  <si>
    <t xml:space="preserve">                                   Раздел 9. ОБОРУДОВАНИЕ ДЛЯ ОБРАБОТКИ И ОБСЛУЖИВАНИЯ КАТОДОВ И АНОДОВ</t>
  </si>
  <si>
    <t xml:space="preserve">                                   Оборудование для обработки катодов и анодов</t>
  </si>
  <si>
    <t>ТЕРм17-01-080-01</t>
  </si>
  <si>
    <t>Станок для резки ушков у катодных листов</t>
  </si>
  <si>
    <t>ТЕРм17-01-080-02</t>
  </si>
  <si>
    <t>Станок для правки катодных основ</t>
  </si>
  <si>
    <t>ТЕРм17-01-080-03</t>
  </si>
  <si>
    <t>Линия автоматическая сборки медных матричных катодов</t>
  </si>
  <si>
    <t>ТЕРм17-01-080-04</t>
  </si>
  <si>
    <t>Линия автоматизированная пакетирования товарных медных катодов</t>
  </si>
  <si>
    <t>ТЕРм17-01-080-05</t>
  </si>
  <si>
    <t>Линия механизированная транспорта катодов, сдирки и стопирования катодного цинка</t>
  </si>
  <si>
    <t>ТЕРм17-01-080-06</t>
  </si>
  <si>
    <t>Линия резки катодной меди</t>
  </si>
  <si>
    <t xml:space="preserve">                                   Стеллажи для подвески анодов</t>
  </si>
  <si>
    <t>ТЕРм17-01-081-01</t>
  </si>
  <si>
    <t>Стеллаж для подвески анодов, габариты 7140х1160х1000 мм</t>
  </si>
  <si>
    <t>ТЕРм17-01-081-02</t>
  </si>
  <si>
    <t>Стеллаж для подвески анодов, габариты 8500х1160х1000 мм</t>
  </si>
  <si>
    <t>ТЕРм17-01-081-03</t>
  </si>
  <si>
    <t>Стеллаж для подвески анодов, габариты 1000х1160х1000 мм</t>
  </si>
  <si>
    <t>ТЕРм17-01-082-01</t>
  </si>
  <si>
    <t>Стол откидной для анодов</t>
  </si>
  <si>
    <t xml:space="preserve">                                   Раздел 10. КОНВЕРТЕРЫ</t>
  </si>
  <si>
    <t>ТЕРм17-01-090-01</t>
  </si>
  <si>
    <t>Конвертер горизонтальный для продувки штейна, вместимость 20 т</t>
  </si>
  <si>
    <t>ТЕРм17-01-090-02</t>
  </si>
  <si>
    <t>Конвертер горизонтальный для продувки штейна, вместимость 40 т</t>
  </si>
  <si>
    <t>ТЕРм17-01-090-03</t>
  </si>
  <si>
    <t>Конвертер горизонтальный для продувки штейна, вместимость 80 т</t>
  </si>
  <si>
    <t xml:space="preserve">                                   Раздел 11. ОБОРУДОВАНИЕ РАЗНОЕ</t>
  </si>
  <si>
    <t>ТЕРм17-01-095-01</t>
  </si>
  <si>
    <t>Ворота шторные с приводом подъема</t>
  </si>
  <si>
    <t>ТЕРм17-01-095-02</t>
  </si>
  <si>
    <t>Пачук для осаждения карбоната никеля, диаметр 2830 мм, высота 9280 мм</t>
  </si>
  <si>
    <t>ТЕРм17-01-095-03</t>
  </si>
  <si>
    <t>Питатель герметический тарельчатый с вращающимся бункером</t>
  </si>
  <si>
    <t>ТЕРм17-01-095-04</t>
  </si>
  <si>
    <t>Рекуператор радиационный</t>
  </si>
  <si>
    <t>ТЕРм17-01-095-05</t>
  </si>
  <si>
    <t>Мельница валковая на 4 барабана, вместимость барабана 50 л</t>
  </si>
  <si>
    <t>ТЕРм17-01-095-06</t>
  </si>
  <si>
    <t>Блок вакуумный</t>
  </si>
  <si>
    <t>ТЕРм17-01-095-07</t>
  </si>
  <si>
    <t>Установка для экстракции</t>
  </si>
  <si>
    <t>ТЕРм17-01-095-08</t>
  </si>
  <si>
    <t>Кран трансферный, грузоподъемность 40 т</t>
  </si>
  <si>
    <t>ТЕРм17-01-095-09</t>
  </si>
  <si>
    <t>Шибер-мигалка, габариты 290х290х500 мм</t>
  </si>
  <si>
    <t>ТЕРм17-01-095-10</t>
  </si>
  <si>
    <t>Вагонетка для перевозки медных анодов, грузоподъемность 10 т</t>
  </si>
  <si>
    <t>ТЕРм17-01-095-11</t>
  </si>
  <si>
    <t>Вагонетка для перевозки медных катодов, грузоподъемность 6 т</t>
  </si>
  <si>
    <t>ТЕРм17-01-095-12</t>
  </si>
  <si>
    <t>Машина агломерационная площадью спекания 75 м2 с дутьем снизу, тип АКМНД4-75</t>
  </si>
  <si>
    <t xml:space="preserve">                           Раздел 2. ОТДЕЛ 02. ОБОРУДОВАНИЕ ОТДЕЛЬНЫХ ПРОИЗВОДСТВ</t>
  </si>
  <si>
    <t xml:space="preserve">                                   Раздел 1. ОБОРУДОВАНИЕ ДЛЯ ОБРАБОТКИ ЦВЕТНЫХ МЕТАЛЛОВ</t>
  </si>
  <si>
    <t xml:space="preserve">                                   Оборудование для обработки вторичных цветных металлов</t>
  </si>
  <si>
    <t>ТЕРм17-02-001-01</t>
  </si>
  <si>
    <t>Вибропитатель для непрерывной подачи шихты, размеры 7000х2260 мм</t>
  </si>
  <si>
    <t>ТЕРм17-02-001-02</t>
  </si>
  <si>
    <t>Стол поворотный, грузоподъемность 4 т, скорость вращения стола 3 об/мин</t>
  </si>
  <si>
    <t xml:space="preserve">                                   Оборудование для обработки фольги</t>
  </si>
  <si>
    <t>ТЕРм17-02-002-01</t>
  </si>
  <si>
    <t>Машина для тиснения фольги</t>
  </si>
  <si>
    <t>ТЕРм17-02-002-02</t>
  </si>
  <si>
    <t>Машина гелиогравировальная для печатания рисунков</t>
  </si>
  <si>
    <t>ТЕРм17-02-002-03</t>
  </si>
  <si>
    <t>Машина для раздваивания лент фольги</t>
  </si>
  <si>
    <t>ТЕРм17-02-002-04</t>
  </si>
  <si>
    <t>Машина для сдваивания лент фольги</t>
  </si>
  <si>
    <t>ТЕРм17-02-002-05</t>
  </si>
  <si>
    <t>Машина лакировальная для фольги</t>
  </si>
  <si>
    <t>ТЕРм17-02-002-06</t>
  </si>
  <si>
    <t>Машина для каширования фольги воском</t>
  </si>
  <si>
    <t>ТЕРм17-02-002-07</t>
  </si>
  <si>
    <t>Машина для каширования фольги клеем</t>
  </si>
  <si>
    <t>ТЕРм17-02-002-08</t>
  </si>
  <si>
    <t>Машина для ламинирования фольги</t>
  </si>
  <si>
    <t>ТЕРм17-02-002-09</t>
  </si>
  <si>
    <t>Линия продольной резки 0,2-1,2х1600 мм</t>
  </si>
  <si>
    <t>ТЕРм17-02-002-10</t>
  </si>
  <si>
    <t>Линия продольной резки 1-4х1600 мм</t>
  </si>
  <si>
    <t>ТЕРм17-02-002-11</t>
  </si>
  <si>
    <t>Линия непрерывного отжига алюминиевых лент с печью на воздушной подушке</t>
  </si>
  <si>
    <t>ТЕРм17-02-002-12</t>
  </si>
  <si>
    <t>Установка печная электрическая двухкамерная для отжига рулонов алюминия в защитной атмосфере</t>
  </si>
  <si>
    <t>ТЕРм17-02-002-13</t>
  </si>
  <si>
    <t>Машина продольной резки алюминиевой фольги шириной 800 мм</t>
  </si>
  <si>
    <t>ТЕРм17-02-002-14</t>
  </si>
  <si>
    <t>Машина продольной резки алюминиевой фольги шириной 1560 мм</t>
  </si>
  <si>
    <t>ТЕРм17-02-002-15</t>
  </si>
  <si>
    <t>Машина продольной резки гладкой и отделанной фольги</t>
  </si>
  <si>
    <t>ТЕРм17-02-002-16</t>
  </si>
  <si>
    <t>Механизация для группы дисковых ножниц</t>
  </si>
  <si>
    <t>ТЕРм17-02-002-17</t>
  </si>
  <si>
    <t>Машина печатная пятикрасочная</t>
  </si>
  <si>
    <t>ТЕРм17-02-002-18</t>
  </si>
  <si>
    <t>Оборудование для приготовления лаков и красок</t>
  </si>
  <si>
    <t>ТЕРм17-02-002-19</t>
  </si>
  <si>
    <t>Установка дожигания паров растворителей</t>
  </si>
  <si>
    <t xml:space="preserve">                                   Раздел 2. ОБОРУДОВАНИЕ ЭЛЕКТРОЛИТНЫХ ЦЕХОВ</t>
  </si>
  <si>
    <t xml:space="preserve">                                   Разделительные ванны</t>
  </si>
  <si>
    <t>ТЕРм17-02-010-01</t>
  </si>
  <si>
    <t>Ванна разделительная для магния, габариты 3226х2246х2000 мм</t>
  </si>
  <si>
    <t xml:space="preserve">                                   Оборудование электролизеров</t>
  </si>
  <si>
    <t>ТЕРм17-02-011-01</t>
  </si>
  <si>
    <t>Газосборник к электролизеру с верхним токоподводом, число секций 16</t>
  </si>
  <si>
    <t>ТЕРм17-02-011-02</t>
  </si>
  <si>
    <t>Газосборник к электролизеру с верхним токоподводом, число секций 26</t>
  </si>
  <si>
    <t>ТЕРм17-02-011-03</t>
  </si>
  <si>
    <t>Газосборник к электролизеру С-8БМ</t>
  </si>
  <si>
    <t>ТЕРм17-02-011-04</t>
  </si>
  <si>
    <t>Горелка для сжигания газа к электролизеру с верхним токоподводом, тип С-3</t>
  </si>
  <si>
    <t>ТЕРм17-02-011-05</t>
  </si>
  <si>
    <t>Горелка для сжигания газа к электролизеру с верхним токоподводом, тип С-4</t>
  </si>
  <si>
    <t>ТЕРм17-02-011-06</t>
  </si>
  <si>
    <t>Горелка для сжигания газа к электролизеру с верхним токоподводом, тип С-6</t>
  </si>
  <si>
    <t>ТЕРм17-02-011-07</t>
  </si>
  <si>
    <t>Установка горелки к электролизеру С-8БМ; 70-У-40</t>
  </si>
  <si>
    <t>ТЕРм17-02-011-08</t>
  </si>
  <si>
    <t>Механизм подъема анода, масса 16 т, с редуктором и полиспастами на анодной раме</t>
  </si>
  <si>
    <t>ТЕРм17-02-011-09</t>
  </si>
  <si>
    <t>Механизм подъема анода, масса 20 т, винтовой с редуктором</t>
  </si>
  <si>
    <t>ТЕРм17-02-011-10</t>
  </si>
  <si>
    <t>Механизм подъема анода, масса 29 т, винтовой с редуктором</t>
  </si>
  <si>
    <t>ТЕРм17-02-011-11</t>
  </si>
  <si>
    <t>Механизм подъема анода, масса 15 т, винтовой с редуктором</t>
  </si>
  <si>
    <t>ТЕРм17-02-011-12</t>
  </si>
  <si>
    <t>Механизм подъема анода с редуктором и полиспастами, грузоподъемность механизма 36 т</t>
  </si>
  <si>
    <t>ТЕРм17-02-011-13</t>
  </si>
  <si>
    <t>Механизм подъема анода с винтовыми домкратами, грузоподъемностью 20 т и 15 т (по 4 шт.)</t>
  </si>
  <si>
    <t>ТЕРм17-02-011-14</t>
  </si>
  <si>
    <t>Механизм подъема анода со вспомогательными механизмом и тремя приводами</t>
  </si>
  <si>
    <t>ТЕРм17-02-011-15</t>
  </si>
  <si>
    <t>Механизм подъема анода с винтовыми домкратами грузоподъемностью 12 т (4 шт.) электролизера с обожженными анодами</t>
  </si>
  <si>
    <t>ТЕРм17-02-011-16</t>
  </si>
  <si>
    <t>Механизм подъема анода с винтовыми домкратами грузоподъемностью 25 т и 30 т (4 шт.) электролизера с самообжигающимися анодами</t>
  </si>
  <si>
    <t>ТЕРм17-02-011-17</t>
  </si>
  <si>
    <t>Механизм подъема створок электролизера с обожженными анодами</t>
  </si>
  <si>
    <t>ТЕРм17-02-011-18</t>
  </si>
  <si>
    <t>Конструкция электролизера для алюминиевой промышленности</t>
  </si>
  <si>
    <t>ТЕРм17-02-011-19</t>
  </si>
  <si>
    <t>Установка путевых переключателей основного механизма электролизера с верхним токоподводом</t>
  </si>
  <si>
    <t>ТЕРм17-02-011-20</t>
  </si>
  <si>
    <t>Механизм подъема анода, масса 0,61 т</t>
  </si>
  <si>
    <t>ТЕРм17-02-011-21</t>
  </si>
  <si>
    <t>Механизм подъема вспомогательный</t>
  </si>
  <si>
    <t>ТЕРм17-02-011-22</t>
  </si>
  <si>
    <t>Механизм подъема катода</t>
  </si>
  <si>
    <t>ТЕРм17-02-011-23</t>
  </si>
  <si>
    <t>Механизм подъема створок, масса 1,02 т</t>
  </si>
  <si>
    <t>ТЕРм17-02-011-24</t>
  </si>
  <si>
    <t>Механизм подъема анода к электролизеру С-8БМ (2 механизма)</t>
  </si>
  <si>
    <t>ТЕРм17-02-011-25</t>
  </si>
  <si>
    <t>Механизм подъема вспомогательный (комплект) к электролизеру С-8БМ</t>
  </si>
  <si>
    <t>ТЕРм17-02-011-26</t>
  </si>
  <si>
    <t>Механизм подъема анода, масса 1,23т</t>
  </si>
  <si>
    <t>ТЕРм17-02-011-27</t>
  </si>
  <si>
    <t>Механизм подъема створок, масса 0,9 т</t>
  </si>
  <si>
    <t>ТЕРм17-02-011-28</t>
  </si>
  <si>
    <t>Электролизер барабанный БЭЛ-12 с барабаном диаметром 900 мм</t>
  </si>
  <si>
    <t>ТЕРм17-02-011-29</t>
  </si>
  <si>
    <t>Аппарат для обработки фольги, тип АПФ</t>
  </si>
  <si>
    <t xml:space="preserve">                                   Оборудование для непрерывного питания глиноземом</t>
  </si>
  <si>
    <t>ТЕРм17-02-012-01</t>
  </si>
  <si>
    <t>Система непрерывного питания глиноземом для электролизера с боковым токоподводом, состоящая из 8 комплектов загрузочных труб и затворов</t>
  </si>
  <si>
    <t>ТЕРм17-02-012-02</t>
  </si>
  <si>
    <t>Система непрерывного питания глиноземом для электролизера с боковым токоподводом, состоящая из двух аэрожелобов, пневмоцилиндров и мелких деталей</t>
  </si>
  <si>
    <t>ТЕРм17-02-012-03</t>
  </si>
  <si>
    <t>Установка для питания глиноземом</t>
  </si>
  <si>
    <t>ТЕРм17-02-012-04</t>
  </si>
  <si>
    <t>Секция автоматизированного питания глиноземом АПГ</t>
  </si>
  <si>
    <t>ТЕРм17-02-012-05</t>
  </si>
  <si>
    <t>Питатель автоматизированный АПГ с секторным дозатором (точечного типа)</t>
  </si>
  <si>
    <t>ТЕРм17-02-012-06</t>
  </si>
  <si>
    <t>Питатель автоматизированный АПГ балочного типа</t>
  </si>
  <si>
    <t>ТЕРм17-02-012-07</t>
  </si>
  <si>
    <t>Машина напольно-рельсовая МНР-2</t>
  </si>
  <si>
    <t>ТЕРм17-02-012-08</t>
  </si>
  <si>
    <t>Машина для пробивки корки электролита МПТ-2</t>
  </si>
  <si>
    <t>ТЕРм17-02-012-09</t>
  </si>
  <si>
    <t>Машина для раздачи глинозема М408У «Нева»</t>
  </si>
  <si>
    <t>ТЕРм17-02-012-10</t>
  </si>
  <si>
    <t>Машина для перевозки обожженных анодов</t>
  </si>
  <si>
    <t>ТЕРм17-02-012-11</t>
  </si>
  <si>
    <t>Машина пылеуборочная МПУ-2М</t>
  </si>
  <si>
    <t>ТЕРм17-02-012-12</t>
  </si>
  <si>
    <t>Машина пневматическая МПК-75</t>
  </si>
  <si>
    <t xml:space="preserve">                                   Раздел 3. УСТРОЙСТВА ПЕРЕМЕШИВАЮЩИЕ</t>
  </si>
  <si>
    <t xml:space="preserve">                                   Перемешивающие механизмы сгустителей</t>
  </si>
  <si>
    <t>ТЕРм17-02-020-01</t>
  </si>
  <si>
    <t>Механизм перемешивания для одноярусного сгустителя, диаметр 3600 мм</t>
  </si>
  <si>
    <t>ТЕРм17-02-020-02</t>
  </si>
  <si>
    <t>Механизм перемешивания для одноярусного сгустителя, диаметр 7320 мм</t>
  </si>
  <si>
    <t>ТЕРм17-02-020-03</t>
  </si>
  <si>
    <t>Механизм перемешивания для одноярусного сгустителя, диаметр 8000 мм</t>
  </si>
  <si>
    <t>ТЕРм17-02-020-04</t>
  </si>
  <si>
    <t>Механизм перемешивания для одноярусного сгустителя, диаметр 9000 мм</t>
  </si>
  <si>
    <t>ТЕРм17-02-020-05</t>
  </si>
  <si>
    <t>Механизм перемешивания для одноярусного сгустителя, диаметр 15000 мм</t>
  </si>
  <si>
    <t>ТЕРм17-02-020-06</t>
  </si>
  <si>
    <t>Механизм перемешивания для одноярусного сгустителя, диаметр 20000 мм</t>
  </si>
  <si>
    <t>ТЕРм17-02-020-07</t>
  </si>
  <si>
    <t>Механизм перемешивания для одноярусного сгустителя, диаметр 32000 мм</t>
  </si>
  <si>
    <t>ТЕРм17-02-020-08</t>
  </si>
  <si>
    <t>Механизм перемешивания для одноярусного сгустителя, диаметр 40000 мм, масса 61,7 т</t>
  </si>
  <si>
    <t>ТЕРм17-02-020-09</t>
  </si>
  <si>
    <t>Механизм перемешивания для одноярусного сгустителя, диаметр 40000 мм, масса 54,0 т</t>
  </si>
  <si>
    <t>ТЕРм17-02-020-10</t>
  </si>
  <si>
    <t>Механизм перемешивания для двухъярусного сгустителя, диаметр 9000 мм</t>
  </si>
  <si>
    <t>ТЕРм17-02-020-11</t>
  </si>
  <si>
    <t>Механизм перемешивания для двухъярусного сгустителя, диаметр 12000 мм</t>
  </si>
  <si>
    <t>ТЕРм17-02-020-12</t>
  </si>
  <si>
    <t>Механизм перемешивания для двухъярусного сгустителя, диаметр 14000 мм</t>
  </si>
  <si>
    <t>ТЕРм17-02-020-13</t>
  </si>
  <si>
    <t>Механизм перемешивания для двухъярусного сгустителя, диаметр 15000 мм</t>
  </si>
  <si>
    <t>ТЕРм17-02-020-14</t>
  </si>
  <si>
    <t>Механизм перемешивания для двухъярусного сгустителя, диаметр 20000 мм</t>
  </si>
  <si>
    <t>ТЕРм17-02-020-15</t>
  </si>
  <si>
    <t>Механизм перемешивания для трехярусного сгустителя, диаметр 9000 мм</t>
  </si>
  <si>
    <t>ТЕРм17-02-020-16</t>
  </si>
  <si>
    <t>Механизм перемешивания для трехярусного сгустителя, диаметр 11000 мм</t>
  </si>
  <si>
    <t>ТЕРм17-02-020-17</t>
  </si>
  <si>
    <t>Механизм перемешивания для трехярусного сгустителя, диаметр 12000 мм</t>
  </si>
  <si>
    <t>ТЕРм17-02-020-18</t>
  </si>
  <si>
    <t>Механизм перемешивания для трехярусного сгустителя, диаметр 14000 мм</t>
  </si>
  <si>
    <t>ТЕРм17-02-020-19</t>
  </si>
  <si>
    <t>Механизм перемешивания для пятиярусного сгустителя, диаметр 14000 мм</t>
  </si>
  <si>
    <t>ТЕРм17-02-020-20</t>
  </si>
  <si>
    <t>Механизм перемешивания для пятиярусного сгустителя, диаметр 15000 мм</t>
  </si>
  <si>
    <t>ТЕРм17-02-020-21</t>
  </si>
  <si>
    <t>Механизм перемешивания для пятиярусного сгустителя, диаметр 16000 мм</t>
  </si>
  <si>
    <t>ТЕРм17-02-020-22</t>
  </si>
  <si>
    <t>Механизм перемешивания для пятиярусного сгустителя, диаметр 20000 мм, массой 30,4 т</t>
  </si>
  <si>
    <t>ТЕРм17-02-020-23</t>
  </si>
  <si>
    <t>Механизм перемешивания для пятиярусного сгустителя, диаметр 20000 мм, массой 38,1 т</t>
  </si>
  <si>
    <t>ТЕРм17-02-020-24</t>
  </si>
  <si>
    <t>Механизм перемешивания для пятиярусного сгустителя, диаметр 40000 мм, (Г-40)</t>
  </si>
  <si>
    <t>ТЕРм17-02-020-25</t>
  </si>
  <si>
    <t>Холодильник кипящего слоя, площадь пода 73,5 м2</t>
  </si>
  <si>
    <t xml:space="preserve">                                   Раздел 4. ОБОРУДОВАНИЕ МАГНИЕВЫХ ЦЕХОВ</t>
  </si>
  <si>
    <t>ТЕРм17-02-030-01</t>
  </si>
  <si>
    <t>Фильтр для хлора, диаметр 2300 мм</t>
  </si>
  <si>
    <t xml:space="preserve">                                   Раздел 5. ОБОРУДОВАНИЕ ДЛЯ ИЗВЛЕЧЕНИЯ ЗОЛОТА</t>
  </si>
  <si>
    <t xml:space="preserve">                                   Оборудование ионообменных смол</t>
  </si>
  <si>
    <t>ТЕРм17-02-040-01</t>
  </si>
  <si>
    <t>Колонна регенерационная, диаметр 530 мм, высота 10000 мм</t>
  </si>
  <si>
    <t>ТЕРм17-02-040-02</t>
  </si>
  <si>
    <t>Колонна регенерационная, диаметр 1020 мм, высота 7000 мм</t>
  </si>
  <si>
    <t>ТЕРм17-02-040-03</t>
  </si>
  <si>
    <t>Пачук сорбционный диаметр 630 мм, высота 2700 мм</t>
  </si>
  <si>
    <t>ТЕРм17-02-040-04</t>
  </si>
  <si>
    <t>Пачук цианирования, диаметр 1120 мм, высота 4330 мм</t>
  </si>
  <si>
    <t xml:space="preserve">                                   Раздел 6. ОБОРУДОВАНИЕ ТРУБНОЕ И ПРУТКОВО ПРОВОЛОЧНОЕ</t>
  </si>
  <si>
    <t xml:space="preserve">                                   Линии отделки труб</t>
  </si>
  <si>
    <t>ТЕРм17-02-050-01</t>
  </si>
  <si>
    <t>Линия волочения и отделки труб диаметром 6-25 мм</t>
  </si>
  <si>
    <t>ТЕРм17-02-050-02</t>
  </si>
  <si>
    <t>Линия автоматизированная для контроля, счета и увязки труб диаметром 10-30 мм</t>
  </si>
  <si>
    <t>ТЕРм17-02-050-03</t>
  </si>
  <si>
    <t>Линия правки и контроля мельхиоровых труб диаметром 10-30 мм</t>
  </si>
  <si>
    <t>ТЕРм17-02-051-01</t>
  </si>
  <si>
    <t>Станция насосно-аккумуляторная, давление 32 Мпа</t>
  </si>
  <si>
    <t>ТЕРм-2001-18</t>
  </si>
  <si>
    <t xml:space="preserve">                                   Раздел 1. ОБОРУДОВАНИЕ, ПОСТУПАЮЩЕЕ В СОБРАННОМ ВИДЕ</t>
  </si>
  <si>
    <t xml:space="preserve">                                   Аппараты и сосуды горизонтальные или вертикальные без привода</t>
  </si>
  <si>
    <t>ТЕРм18-01-001-01</t>
  </si>
  <si>
    <t>Аппарат или сосуд горизонтальный или вертикальный без привода, монтаж в помещении, масса 35,3 т</t>
  </si>
  <si>
    <t>ТЕРм18-01-001-02</t>
  </si>
  <si>
    <t>Аппарат или сосуд горизонтальный или вертикальный без привода, монтаж в помещении, масса 41,3 т</t>
  </si>
  <si>
    <t>ТЕРм18-01-001-03</t>
  </si>
  <si>
    <t>Аппарат или сосуд горизонтальный или вертикальный без привода, монтаж в помещении, масса 63,3 т</t>
  </si>
  <si>
    <t>ТЕРм18-01-001-04</t>
  </si>
  <si>
    <t>Аппарат или сосуд горизонтальный или вертикальный без привода, монтаж в помещении, масса 83 т</t>
  </si>
  <si>
    <t>ТЕРм18-01-001-05</t>
  </si>
  <si>
    <t>Аппарат или сосуд горизонтальный или вертикальный без привода, монтаж на открытой площадке, масса 36,6 т</t>
  </si>
  <si>
    <t>ТЕРм18-01-001-06</t>
  </si>
  <si>
    <t>Аппарат или сосуд горизонтальный или вертикальный без привода, монтаж на открытой площадке, масса 41,3 т</t>
  </si>
  <si>
    <t>ТЕРм18-01-001-07</t>
  </si>
  <si>
    <t>Аппарат или сосуд горизонтальный или вертикальный без привода, монтаж на открытой площадке, масса 63,3 т</t>
  </si>
  <si>
    <t xml:space="preserve">                                   Аппараты с перемешивающими устройствами</t>
  </si>
  <si>
    <t>ТЕРм18-01-002-01</t>
  </si>
  <si>
    <t>Аппарат вертикальный с перемешивающим устройством, монтаж в помещении, масса 21,8 т</t>
  </si>
  <si>
    <t>ТЕРм18-01-002-02</t>
  </si>
  <si>
    <t>Аппарат вертикальный с перемешивающим устройством, монтаж в помещении, масса 30 т</t>
  </si>
  <si>
    <t>ТЕРм18-01-002-03</t>
  </si>
  <si>
    <t>Аппарат вертикальный с перемешивающим устройством, монтаж в помещении, масса 37,5 т</t>
  </si>
  <si>
    <t>ТЕРм18-01-002-04</t>
  </si>
  <si>
    <t>Аппарат вертикальный с перемешивающим устройством, монтаж на открытой площадке, масса 18,4 т</t>
  </si>
  <si>
    <t>ТЕРм18-01-002-05</t>
  </si>
  <si>
    <t>Аппарат вертикальный с перемешивающим устройством, монтаж на открытой площадке, масса 37,5 т</t>
  </si>
  <si>
    <t xml:space="preserve">                                   Смесители роторные периодического действия</t>
  </si>
  <si>
    <t>ТЕРм18-01-003-01</t>
  </si>
  <si>
    <t>Смеситель роторный периодического действия, монтаж в помещении, масса 6 т</t>
  </si>
  <si>
    <t>ТЕРм18-01-003-02</t>
  </si>
  <si>
    <t>Смеситель роторный периодического действия, монтаж в помещении, масса 7,8 т</t>
  </si>
  <si>
    <t>ТЕРм18-01-003-03</t>
  </si>
  <si>
    <t>Смеситель роторный периодического действия, монтаж на открытой площадке, масса 6 т</t>
  </si>
  <si>
    <t>ТЕРм18-01-003-04</t>
  </si>
  <si>
    <t>Смеситель роторный периодического действия, монтаж на открытой площадке, масса 7,8 т</t>
  </si>
  <si>
    <t>ТЕРм18-01-004-01</t>
  </si>
  <si>
    <t>Сушилка, масса 14 т</t>
  </si>
  <si>
    <t>ТЕРм18-01-004-02</t>
  </si>
  <si>
    <t>Сушилка, масса 18,5 т</t>
  </si>
  <si>
    <t>ТЕРм18-01-005-01</t>
  </si>
  <si>
    <t>Фильтр-пресс с чугунными рамами и ручным приводом, масса 6,5 т</t>
  </si>
  <si>
    <t>ТЕРм18-01-005-02</t>
  </si>
  <si>
    <t>Фильтр-пресс с чугунными рамами и ручным приводом, масса 8,6 т</t>
  </si>
  <si>
    <t xml:space="preserve">                                   Центрифуги</t>
  </si>
  <si>
    <t>ТЕРм18-01-006-01</t>
  </si>
  <si>
    <t>Центрифуга горизонтальная или вертикальная периодического или непрерывного действия, масса 7,8 т</t>
  </si>
  <si>
    <t>ТЕРм18-01-006-02</t>
  </si>
  <si>
    <t>Центрифуга горизонтальная или вертикальная периодического или непрерывного действия, масса 9,9 т</t>
  </si>
  <si>
    <t>ТЕРм18-01-006-03</t>
  </si>
  <si>
    <t>Центрифуга горизонтальная или вертикальная периодического или непрерывного действия, масса 18,3 т</t>
  </si>
  <si>
    <t xml:space="preserve">                                   Раздел 2. ОБОРУДОВАНИЕ, ПОСТУПАЮЩЕЕ УКРУПНЕННЫМИ БЛОКАМИ</t>
  </si>
  <si>
    <t xml:space="preserve">                                   Аппараты выпарные с естественной циркуляцией</t>
  </si>
  <si>
    <t>ТЕРм18-01-018-01</t>
  </si>
  <si>
    <t>Аппарат выпарный с соосной греющей камерой, масса 25 т</t>
  </si>
  <si>
    <t>ТЕРм18-01-018-02</t>
  </si>
  <si>
    <t>Аппарат выпарный с соосной греющей камерой, масса 36,5 т</t>
  </si>
  <si>
    <t>ТЕРм18-01-018-03</t>
  </si>
  <si>
    <t>Аппарат выпарный с выносной греющей камерой, масса 3 т</t>
  </si>
  <si>
    <t>ТЕРм18-01-018-04</t>
  </si>
  <si>
    <t>Аппарат выпарный с выносной греющей камерой, масса 8,5 т</t>
  </si>
  <si>
    <t>ТЕРм18-01-018-05</t>
  </si>
  <si>
    <t>Аппарат выпарный с выносной греющей камерой, масса 15 т</t>
  </si>
  <si>
    <t>ТЕРм18-01-018-06</t>
  </si>
  <si>
    <t>Аппарат выпарный с выносной греющей камерой, масса 21 т</t>
  </si>
  <si>
    <t>ТЕРм18-01-018-07</t>
  </si>
  <si>
    <t>Аппарат выпарный с выносной греющей камерой, масса 33 т</t>
  </si>
  <si>
    <t>ТЕРм18-01-018-08</t>
  </si>
  <si>
    <t>Аппарат выпарный с выносной греющей камерой, масса 40 т</t>
  </si>
  <si>
    <t xml:space="preserve">                                   Аппараты выпарные с принудительной циркуляцией</t>
  </si>
  <si>
    <t>ТЕРм18-01-019-01</t>
  </si>
  <si>
    <t>Аппарат выпарный с греющей камерой соосной, масса 4 т</t>
  </si>
  <si>
    <t>ТЕРм18-01-019-02</t>
  </si>
  <si>
    <t>Аппарат выпарный с греющей камерой соосной, масса 14,5 т</t>
  </si>
  <si>
    <t>ТЕРм18-01-019-03</t>
  </si>
  <si>
    <t>Аппарат выпарный с греющей камерой соосной, масса 20 т</t>
  </si>
  <si>
    <t>ТЕРм18-01-019-04</t>
  </si>
  <si>
    <t>Аппарат выпарный с греющей камерой соосной, масса 28 т</t>
  </si>
  <si>
    <t>ТЕРм18-01-019-05</t>
  </si>
  <si>
    <t>Аппарат выпарный с греющей камерой соосной, масса 36 т</t>
  </si>
  <si>
    <t>ТЕРм18-01-019-06</t>
  </si>
  <si>
    <t>Аппарат выпарный с греющей камерой соосной, масса 44,5 т</t>
  </si>
  <si>
    <t>ТЕРм18-01-019-07</t>
  </si>
  <si>
    <t>Аппарат выпарный с греющей камерой соосной, масса 55,5 т</t>
  </si>
  <si>
    <t>ТЕРм18-01-019-08</t>
  </si>
  <si>
    <t>Аппарат выпарный с греющей камерой выносной, масса 4,5 т</t>
  </si>
  <si>
    <t>ТЕРм18-01-019-09</t>
  </si>
  <si>
    <t>Аппарат выпарный с греющей камерой выносной, масса 13 т</t>
  </si>
  <si>
    <t>ТЕРм18-01-019-10</t>
  </si>
  <si>
    <t>Аппарат выпарный с греющей камерой выносной, масса 19,4 т</t>
  </si>
  <si>
    <t>ТЕРм18-01-019-11</t>
  </si>
  <si>
    <t>Аппарат выпарный с греющей камерой выносной, масса 29,8 т</t>
  </si>
  <si>
    <t>ТЕРм18-01-019-12</t>
  </si>
  <si>
    <t>Аппарат выпарный с греющей камерой выносной, масса 39 т</t>
  </si>
  <si>
    <t>ТЕРм18-01-019-13</t>
  </si>
  <si>
    <t>Аппарат выпарный с греющей камерой выносной, масса 62 т</t>
  </si>
  <si>
    <t>ТЕРм18-01-020-01</t>
  </si>
  <si>
    <t>Смеситель роторный периодического действия, монтаж в помещении, масса 5,9 т</t>
  </si>
  <si>
    <t>ТЕРм18-01-020-02</t>
  </si>
  <si>
    <t>Смеситель роторный периодического действия, монтаж в помещении, масса 8,5 т</t>
  </si>
  <si>
    <t>ТЕРм18-01-020-03</t>
  </si>
  <si>
    <t>Смеситель роторный периодического действия, монтаж на открытой площадке, масса 5,9 т</t>
  </si>
  <si>
    <t>ТЕРм18-01-020-04</t>
  </si>
  <si>
    <t>Смеситель роторный периодического действия, монтаж на открытой площадке, масса 8,5 т</t>
  </si>
  <si>
    <t xml:space="preserve">                                   Сушилки барабанные</t>
  </si>
  <si>
    <t>ТЕРм18-01-021-01</t>
  </si>
  <si>
    <t>Сушилка барабанная непрерывного действия, монтаж в помещении, масса 5,4 т</t>
  </si>
  <si>
    <t>ТЕРм18-01-021-02</t>
  </si>
  <si>
    <t>Сушилка барабанная непрерывного действия, монтаж в помещении, масса 18,7 т</t>
  </si>
  <si>
    <t>ТЕРм18-01-021-03</t>
  </si>
  <si>
    <t>Сушилка барабанная непрерывного действия, монтаж в помещении, масса 28,5 т</t>
  </si>
  <si>
    <t>ТЕРм18-01-021-04</t>
  </si>
  <si>
    <t>Сушилка барабанная непрерывного действия, монтаж в помещении, масса 33,8 т</t>
  </si>
  <si>
    <t>ТЕРм18-01-021-05</t>
  </si>
  <si>
    <t>Сушилка барабанная непрерывного действия, монтаж в помещении, масса 80 т</t>
  </si>
  <si>
    <t>ТЕРм18-01-021-06</t>
  </si>
  <si>
    <t>Сушилка барабанная непрерывного действия, монтаж в помещении, масса 115 т</t>
  </si>
  <si>
    <t>ТЕРм18-01-021-07</t>
  </si>
  <si>
    <t>Сушилка барабанная непрерывного действия, монтаж в помещении, масса 139 т</t>
  </si>
  <si>
    <t>ТЕРм18-01-021-08</t>
  </si>
  <si>
    <t>Сушилка барабанная непрерывного действия, монтаж в помещении, масса 185 т</t>
  </si>
  <si>
    <t>ТЕРм18-01-021-09</t>
  </si>
  <si>
    <t>Сушилка барабанная непрерывного действия, монтаж в помещении, масса 229 т</t>
  </si>
  <si>
    <t>ТЕРм18-01-021-10</t>
  </si>
  <si>
    <t>Сушилка барабанная непрерывного действия, монтаж на открытой площадке, масса 5,4 т</t>
  </si>
  <si>
    <t>ТЕРм18-01-021-11</t>
  </si>
  <si>
    <t>Сушилка барабанная непрерывного действия, монтаж на открытой площадке, масса 18,7 т</t>
  </si>
  <si>
    <t>ТЕРм18-01-021-12</t>
  </si>
  <si>
    <t>Сушилка барабанная непрерывного действия, монтаж на открытой площадке, масса 28,5 т</t>
  </si>
  <si>
    <t>ТЕРм18-01-021-13</t>
  </si>
  <si>
    <t>Сушилка барабанная непрерывного действия, монтаж на открытой площадке, масса 33,8 т</t>
  </si>
  <si>
    <t>ТЕРм18-01-021-14</t>
  </si>
  <si>
    <t>Сушилка барабанная непрерывного действия, монтаж на открытой площадке, масса 80 т</t>
  </si>
  <si>
    <t>ТЕРм18-01-021-15</t>
  </si>
  <si>
    <t>Сушилка барабанная непрерывного действия, монтаж на открытой площадке, масса 115 т</t>
  </si>
  <si>
    <t>ТЕРм18-01-021-16</t>
  </si>
  <si>
    <t>Сушилка барабанная непрерывного действия, монтаж на открытой площадке, масса 139 т</t>
  </si>
  <si>
    <t>ТЕРм18-01-021-17</t>
  </si>
  <si>
    <t>Сушилка барабанная непрерывного действия, монтаж на открытой площадке, масса 185 т</t>
  </si>
  <si>
    <t>ТЕРм18-01-021-18</t>
  </si>
  <si>
    <t>Сушилка барабанная непрерывного действия, монтаж на открытой площадке, масса 229 т</t>
  </si>
  <si>
    <t xml:space="preserve">                                   Сушилки разные</t>
  </si>
  <si>
    <t>ТЕРм18-01-022-01</t>
  </si>
  <si>
    <t>Сушилка вакуумная с реверсивной мешалкой, масса 9,1 т</t>
  </si>
  <si>
    <t>ТЕРм18-01-022-02</t>
  </si>
  <si>
    <t>Сушилка вакуумная с реверсивной мешалкой, масса 12,4 т</t>
  </si>
  <si>
    <t>ТЕРм18-01-022-03</t>
  </si>
  <si>
    <t>Сушилка вальцеленточная, тип СВЛ 600/800-3</t>
  </si>
  <si>
    <t>ТЕРм18-01-022-04</t>
  </si>
  <si>
    <t>Сушилка ленточная, тип ЛС 2000-3</t>
  </si>
  <si>
    <t>ТЕРм18-01-022-05</t>
  </si>
  <si>
    <t>Сушилка ленточная, тип ЛС 2000-4</t>
  </si>
  <si>
    <t xml:space="preserve">                                   Аппараты воздушного охлаждения</t>
  </si>
  <si>
    <t>ТЕРм18-01-023-01</t>
  </si>
  <si>
    <t>Аппарат воздушного охлаждения малопоточный, масса 1,3 т, длина труб 1,5 м</t>
  </si>
  <si>
    <t>ТЕРм18-01-023-02</t>
  </si>
  <si>
    <t>Аппарат воздушного охлаждения малопоточный, масса 3,8 т, длина труб 1,5 м</t>
  </si>
  <si>
    <t>ТЕРм18-01-023-03</t>
  </si>
  <si>
    <t>Аппарат воздушного охлаждения малопоточный, масса 2 т, длина труб 3 м</t>
  </si>
  <si>
    <t>ТЕРм18-01-023-04</t>
  </si>
  <si>
    <t>Аппарат воздушного охлаждения малопоточный, масса 5 т, длина труб 3 м</t>
  </si>
  <si>
    <t>ТЕРм18-01-023-05</t>
  </si>
  <si>
    <t>Аппарат воздушного охлаждения одинарный, масса 11,4 т, длина труб 4 м</t>
  </si>
  <si>
    <t>ТЕРм18-01-023-06</t>
  </si>
  <si>
    <t>Аппарат воздушного охлаждения одинарный, масса 18 т, длина труб 4 м</t>
  </si>
  <si>
    <t>ТЕРм18-01-023-07</t>
  </si>
  <si>
    <t>Аппарат воздушного охлаждения одинарный, масса 14,1 т, длина труб 8 м</t>
  </si>
  <si>
    <t>ТЕРм18-01-023-08</t>
  </si>
  <si>
    <t>Аппарат воздушного охлаждения одинарный, масса 21,4 т, длина труб 8 м</t>
  </si>
  <si>
    <t>ТЕРм18-01-023-09</t>
  </si>
  <si>
    <t>Аппарат воздушного охлаждения одинарный, масса 29,3 т, длина труб 8 м</t>
  </si>
  <si>
    <t>ТЕРм18-01-023-10</t>
  </si>
  <si>
    <t>Аппарат воздушного охлаждения сдвоенный, масса 14,9 т, длина труб 4 м</t>
  </si>
  <si>
    <t>ТЕРм18-01-023-11</t>
  </si>
  <si>
    <t>Аппарат воздушного охлаждения сдвоенный, масса 35,7 т, длина труб 4 м</t>
  </si>
  <si>
    <t>ТЕРм18-01-023-12</t>
  </si>
  <si>
    <t>Аппарат воздушного охлаждения сдвоенный, масса 42,1 т, длина труб 8 м</t>
  </si>
  <si>
    <t>ТЕРм18-01-023-13</t>
  </si>
  <si>
    <t>Аппарат воздушного охлаждения зигзагообразный с одним вентилятором, масса аппарата 25,1 т, длина труб 6 м</t>
  </si>
  <si>
    <t xml:space="preserve">                                   Холодильники барабанные</t>
  </si>
  <si>
    <t>ТЕРм18-01-024-01</t>
  </si>
  <si>
    <t>Холодильник монтируемый в помещении, масса 4,9 т</t>
  </si>
  <si>
    <t>ТЕРм18-01-024-02</t>
  </si>
  <si>
    <t>Холодильник монтируемый в помещении, масса 7,7 т</t>
  </si>
  <si>
    <t>ТЕРм18-01-024-03</t>
  </si>
  <si>
    <t>Холодильник монтируемый в помещении, масса 23,8 т</t>
  </si>
  <si>
    <t>ТЕРм18-01-024-04</t>
  </si>
  <si>
    <t>Холодильник монтируемый в помещении, масса 46,8 т</t>
  </si>
  <si>
    <t>ТЕРм18-01-024-05</t>
  </si>
  <si>
    <t>Холодильник монтируемый в помещении, масса 54 т</t>
  </si>
  <si>
    <t>ТЕРм18-01-024-06</t>
  </si>
  <si>
    <t>Холодильник монтируемый в помещении, масса 88,4 т</t>
  </si>
  <si>
    <t>ТЕРм18-01-024-07</t>
  </si>
  <si>
    <t>Холодильник монтируемый в помещении, масса 141 т</t>
  </si>
  <si>
    <t>ТЕРм18-01-024-08</t>
  </si>
  <si>
    <t>Холодильник монтируемый в помещении, масса 191 т</t>
  </si>
  <si>
    <t>ТЕРм18-01-024-09</t>
  </si>
  <si>
    <t>Холодильник монтируемый на открытой площадке, масса 4,9 т</t>
  </si>
  <si>
    <t>ТЕРм18-01-024-10</t>
  </si>
  <si>
    <t>Холодильник монтируемый на открытой площадке, масса 7,7 т</t>
  </si>
  <si>
    <t>ТЕРм18-01-024-11</t>
  </si>
  <si>
    <t>Холодильник монтируемый на открытой площадке, масса 23,8 т</t>
  </si>
  <si>
    <t>ТЕРм18-01-024-12</t>
  </si>
  <si>
    <t>Холодильник монтируемый на открытой площадке, масса 46,8 т</t>
  </si>
  <si>
    <t>ТЕРм18-01-024-13</t>
  </si>
  <si>
    <t>Холодильник монтируемый на открытой площадке, масса 54 т</t>
  </si>
  <si>
    <t>ТЕРм18-01-024-14</t>
  </si>
  <si>
    <t>Холодильник монтируемый на открытой площадке, масса 88,4 т</t>
  </si>
  <si>
    <t>ТЕРм18-01-024-15</t>
  </si>
  <si>
    <t>Холодильник монтируемый на открытой площадке, масса 141 т</t>
  </si>
  <si>
    <t>ТЕРм18-01-024-16</t>
  </si>
  <si>
    <t>Холодильник монтируемый на открытой площадке, масса 191 т</t>
  </si>
  <si>
    <t xml:space="preserve">                                   Теплообменники оросительные</t>
  </si>
  <si>
    <t>ТЕРм18-01-025-01</t>
  </si>
  <si>
    <t>Теплообменник оросительный чугунный, масса 3,9 т</t>
  </si>
  <si>
    <t>ТЕРм18-01-025-02</t>
  </si>
  <si>
    <t>Теплообменник оросительный чугунный, масса 6,6 т</t>
  </si>
  <si>
    <t>ТЕРм18-01-025-03</t>
  </si>
  <si>
    <t>Теплообменник оросительный чугунный, масса 9,2 т</t>
  </si>
  <si>
    <t>ТЕРм18-01-025-04</t>
  </si>
  <si>
    <t>Теплообменник оросительный чугунный, масса 12 т</t>
  </si>
  <si>
    <t xml:space="preserve">                                   Конденсаторы смешения барометрические</t>
  </si>
  <si>
    <t>ТЕРм18-01-026-01</t>
  </si>
  <si>
    <t>Конденсатор смешения барометрический, монтаж в помещении, масса 0,6 т</t>
  </si>
  <si>
    <t>ТЕРм18-01-026-02</t>
  </si>
  <si>
    <t>Конденсатор смешения барометрический, монтаж в помещении, масса 2,2 т</t>
  </si>
  <si>
    <t>ТЕРм18-01-026-03</t>
  </si>
  <si>
    <t>Конденсатор смешения барометрический, монтаж в помещении, масса 6,9 т</t>
  </si>
  <si>
    <t>ТЕРм18-01-026-04</t>
  </si>
  <si>
    <t>Конденсатор смешения барометрический, монтаж на открытой площадке, масса 0,6 т</t>
  </si>
  <si>
    <t>ТЕРм18-01-026-05</t>
  </si>
  <si>
    <t>Конденсатор смешения барометрический, монтаж на открытой площадке, масса 2,2 т</t>
  </si>
  <si>
    <t>ТЕРм18-01-026-06</t>
  </si>
  <si>
    <t>Конденсатор смешения барометрический, монтаж на открытой площадке, масса 6,9 т</t>
  </si>
  <si>
    <t xml:space="preserve">                                   Кристаллизаторы барабанные</t>
  </si>
  <si>
    <t>ТЕРм18-01-027-01</t>
  </si>
  <si>
    <t>Кристаллизатор барабанный, монтаж в помещении, масса 3,1 т</t>
  </si>
  <si>
    <t>ТЕРм18-01-027-02</t>
  </si>
  <si>
    <t>Кристаллизатор барабанный, монтаж в помещении, масса 10,3 т</t>
  </si>
  <si>
    <t>ТЕРм18-01-027-03</t>
  </si>
  <si>
    <t>Кристаллизатор барабанный, монтаж в помещении, масса 26,5 т</t>
  </si>
  <si>
    <t>ТЕРм18-01-027-04</t>
  </si>
  <si>
    <t>Кристаллизатор барабанный, монтаж на открытой площадке, масса 3,1 т</t>
  </si>
  <si>
    <t>ТЕРм18-01-027-05</t>
  </si>
  <si>
    <t>Кристаллизатор барабанный, монтаж на открытой площадке, масса 10,3 т</t>
  </si>
  <si>
    <t>ТЕРм18-01-027-06</t>
  </si>
  <si>
    <t>Кристаллизатор барабанный, монтаж на открытой площадке, масса 26,5 т</t>
  </si>
  <si>
    <t xml:space="preserve">                                   Печи с вращающимися барабанами</t>
  </si>
  <si>
    <t>ТЕРм18-01-028-01</t>
  </si>
  <si>
    <t>Печь с вращающимся барабаном, монтаж в помещении, масса 6,4 т</t>
  </si>
  <si>
    <t>ТЕРм18-01-028-02</t>
  </si>
  <si>
    <t>Печь с вращающимся барабаном, монтаж в помещении, масса 11,1 т</t>
  </si>
  <si>
    <t>ТЕРм18-01-028-03</t>
  </si>
  <si>
    <t>Печь с вращающимся барабаном, монтаж в помещении, масса 20 т</t>
  </si>
  <si>
    <t>ТЕРм18-01-028-04</t>
  </si>
  <si>
    <t>Печь с вращающимся барабаном, монтаж в помещении, масса 38,6 т</t>
  </si>
  <si>
    <t>ТЕРм18-01-028-05</t>
  </si>
  <si>
    <t>Печь с вращающимся барабаном, монтаж в помещении, масса 71,3 т</t>
  </si>
  <si>
    <t>ТЕРм18-01-028-06</t>
  </si>
  <si>
    <t>Печь с вращающимся барабаном, монтаж в помещении, масса 159 т</t>
  </si>
  <si>
    <t>ТЕРм18-01-028-07</t>
  </si>
  <si>
    <t>Печь с вращающимся барабаном, монтаж в помещении, масса 216 т</t>
  </si>
  <si>
    <t>ТЕРм18-01-028-08</t>
  </si>
  <si>
    <t>Печь с вращающимся барабаном, монтаж в помещении, масса 280 т</t>
  </si>
  <si>
    <t>ТЕРм18-01-028-09</t>
  </si>
  <si>
    <t>Печь с вращающимся барабаном, монтаж на открытой площадке, масса 6,4 т</t>
  </si>
  <si>
    <t>ТЕРм18-01-028-10</t>
  </si>
  <si>
    <t>Печь с вращающимся барабаном, монтаж на открытой площадке, масса 11,1 т</t>
  </si>
  <si>
    <t>ТЕРм18-01-028-11</t>
  </si>
  <si>
    <t>Печь с вращающимся барабаном, монтаж на открытой площадке, масса 20 т</t>
  </si>
  <si>
    <t>ТЕРм18-01-028-12</t>
  </si>
  <si>
    <t>Печь с вращающимся барабаном, монтаж на открытой площадке, масса 38,6 т</t>
  </si>
  <si>
    <t>ТЕРм18-01-028-13</t>
  </si>
  <si>
    <t>Печь с вращающимся барабаном, монтаж на открытой площадке, масса 71,3 т</t>
  </si>
  <si>
    <t>ТЕРм18-01-028-14</t>
  </si>
  <si>
    <t>Печь с вращающимся барабаном, монтаж на открытой площадке, масса 159 т</t>
  </si>
  <si>
    <t>ТЕРм18-01-028-15</t>
  </si>
  <si>
    <t>Печь с вращающимся барабаном, монтаж на открытой площадке, масса 177 т</t>
  </si>
  <si>
    <t>ТЕРм18-01-028-16</t>
  </si>
  <si>
    <t>Печь с вращающимся барабаном, монтаж на открытой площадке, масса 216 т</t>
  </si>
  <si>
    <t>ТЕРм18-01-028-17</t>
  </si>
  <si>
    <t>Печь с вращающимся барабаном, монтаж на открытой площадке, масса 280 т</t>
  </si>
  <si>
    <t>ТЕРм18-01-028-18</t>
  </si>
  <si>
    <t>Печь с вращающимся барабаном, диаметр 3,6 м, длина 100 м</t>
  </si>
  <si>
    <t xml:space="preserve">                                   Аппараты для гашения извести</t>
  </si>
  <si>
    <t>ТЕРм18-01-029-01</t>
  </si>
  <si>
    <t>Аппарат для гашения извести, монтаж в помещении, масса 2,7 т</t>
  </si>
  <si>
    <t>ТЕРм18-01-029-02</t>
  </si>
  <si>
    <t>Аппарат для гашения извести, монтаж в помещении, масса 6,5 т</t>
  </si>
  <si>
    <t>ТЕРм18-01-029-03</t>
  </si>
  <si>
    <t>Аппарат для гашения извести, монтаж в помещении, масса 27,7 т</t>
  </si>
  <si>
    <t>ТЕРм18-01-029-04</t>
  </si>
  <si>
    <t>Аппарат для гашения извести, монтаж в помещении, масса 65,7 т</t>
  </si>
  <si>
    <t>ТЕРм18-01-029-05</t>
  </si>
  <si>
    <t>Аппарат для гашения извести, монтаж на открытой площадке, масса 2,7 т</t>
  </si>
  <si>
    <t>ТЕРм18-01-029-06</t>
  </si>
  <si>
    <t>Аппарат для гашения извести, монтаж на открытой площадке, масса 6,5 т</t>
  </si>
  <si>
    <t>ТЕРм18-01-029-07</t>
  </si>
  <si>
    <t>Аппарат для гашения извести, монтаж на открытой площадке, масса 27,7 т</t>
  </si>
  <si>
    <t>ТЕРм18-01-029-08</t>
  </si>
  <si>
    <t>Аппарат для гашения извести, монтаж на открытой площадке, масса 65,7 т</t>
  </si>
  <si>
    <t xml:space="preserve">                                   Фильтры непрерывного действия</t>
  </si>
  <si>
    <t>ТЕРм18-01-030-01</t>
  </si>
  <si>
    <t>Вакуум-фильтр барабанный, масса 2,5 т</t>
  </si>
  <si>
    <t>ТЕРм18-01-030-02</t>
  </si>
  <si>
    <t>Вакуум-фильтр барабанный, масса 8 т</t>
  </si>
  <si>
    <t>ТЕРм18-01-030-03</t>
  </si>
  <si>
    <t>Вакуум-фильтр барабанный, масса 11,7 т</t>
  </si>
  <si>
    <t>ТЕРм18-01-030-04</t>
  </si>
  <si>
    <t>Вакуум-фильтр барабанный, масса 20 т</t>
  </si>
  <si>
    <t>ТЕРм18-01-030-05</t>
  </si>
  <si>
    <t>Вакуум-фильтр барабанный, масса 31,6 т</t>
  </si>
  <si>
    <t>ТЕРм18-01-030-06</t>
  </si>
  <si>
    <t>Вакуум-фильтр барабанный, масса 40,4 т</t>
  </si>
  <si>
    <t>ТЕРм18-01-030-07</t>
  </si>
  <si>
    <t>Вакуум-фильтр дисковый, масса 8,3 т</t>
  </si>
  <si>
    <t>ТЕРм18-01-030-08</t>
  </si>
  <si>
    <t>Вакуум-фильтр дисковый, масса 12,4 т</t>
  </si>
  <si>
    <t>ТЕРм18-01-030-09</t>
  </si>
  <si>
    <t>Вакуум-фильтр дисковый, масса 17 т</t>
  </si>
  <si>
    <t>ТЕРм18-01-030-10</t>
  </si>
  <si>
    <t>Вакуум-фильтр ленточный, масса 3,4 т</t>
  </si>
  <si>
    <t>ТЕРм18-01-030-11</t>
  </si>
  <si>
    <t>Вакуум-фильтр ленточный, масса 6,2 т</t>
  </si>
  <si>
    <t>ТЕРм18-01-030-12</t>
  </si>
  <si>
    <t>Вакуум-фильтр ленточный, масса 20,8 т</t>
  </si>
  <si>
    <t xml:space="preserve">                                   Фильтры периодического действия</t>
  </si>
  <si>
    <t>ТЕРм18-01-031-01</t>
  </si>
  <si>
    <t>Фильтр листовой горизонтальный, масса 2,9 т</t>
  </si>
  <si>
    <t>ТЕРм18-01-031-02</t>
  </si>
  <si>
    <t>Фильтр листовой горизонтальный, масса 7,7 т</t>
  </si>
  <si>
    <t>ТЕРм18-01-031-03</t>
  </si>
  <si>
    <t>Фильтр листовой вертикальный, тип ЛВЖ-100Р</t>
  </si>
  <si>
    <t>ТЕРм18-01-031-04</t>
  </si>
  <si>
    <t>Фильтр-пресс с чугунными рамами, гидравлическим или электрическим приводом, масса 5,3 т</t>
  </si>
  <si>
    <t>ТЕРм18-01-031-05</t>
  </si>
  <si>
    <t>Фильтр-пресс с чугунными рамами, гидравлическим или электрическим приводом, масса 9,3 т</t>
  </si>
  <si>
    <t>ТЕРм18-01-031-06</t>
  </si>
  <si>
    <t>Фильтр-пресс с чугунными рамами, гидравлическим или электрическим приводом, масса 14,2 т</t>
  </si>
  <si>
    <t>ТЕРм18-01-031-07</t>
  </si>
  <si>
    <t>Фильтр-пресс с деревянными рамами и электрическим приводом, масса 2,6 т</t>
  </si>
  <si>
    <t>ТЕРм18-01-031-08</t>
  </si>
  <si>
    <t>Фильтр-пресс с деревянными рамами и электрическим приводом, масса 3,4 т</t>
  </si>
  <si>
    <t>ТЕРм18-01-031-09</t>
  </si>
  <si>
    <t>Фильтр-пресс автоматический, тип ФПАКМ, масса 11,2 т</t>
  </si>
  <si>
    <t>ТЕРм18-01-031-10</t>
  </si>
  <si>
    <t>Фильтр-пресс автоматический, тип ФПАКМ, масса 15,7 т</t>
  </si>
  <si>
    <t>ТЕРм18-01-031-11</t>
  </si>
  <si>
    <t>Фильтр-пресс автоматический, тип ФПАКМ, масса 24,8 т</t>
  </si>
  <si>
    <t>ТЕРм18-01-032-01</t>
  </si>
  <si>
    <t>Центрифуга непрерывного или периодического действия, масса 3,2 т</t>
  </si>
  <si>
    <t>ТЕРм18-01-032-02</t>
  </si>
  <si>
    <t>Центрифуга непрерывного или периодического действия, масса 5,5 т</t>
  </si>
  <si>
    <t>ТЕРм18-01-032-03</t>
  </si>
  <si>
    <t>Центрифуга непрерывного или периодического действия, масса 10 т</t>
  </si>
  <si>
    <t>ТЕРм18-01-032-04</t>
  </si>
  <si>
    <t>Центрифуга непрерывного или периодического действия, масса 12,9 т</t>
  </si>
  <si>
    <t>ТЕРм18-01-032-05</t>
  </si>
  <si>
    <t>Центрифуга непрерывного или периодического действия, масса 17,6 т</t>
  </si>
  <si>
    <t>ТЕРм18-01-032-06</t>
  </si>
  <si>
    <t>Центрифуга непрерывного или периодического действия, масса 29,3 т</t>
  </si>
  <si>
    <t xml:space="preserve">                                   Раздел 3. НАСАДКИ</t>
  </si>
  <si>
    <t xml:space="preserve">                                   Насадки башен и аппаратов полуфарфоровыми и керамическими кольцами Рашига</t>
  </si>
  <si>
    <t>ТЕРм18-01-044-01</t>
  </si>
  <si>
    <t>Насадка керамическими кольцами Рашига рядами, размер 50х50 мм</t>
  </si>
  <si>
    <t>ТЕРм18-01-044-02</t>
  </si>
  <si>
    <t>Насадка керамическими кольцами Рашига рядами, размер 80х80 мм</t>
  </si>
  <si>
    <t>ТЕРм18-01-044-03</t>
  </si>
  <si>
    <t>Насадка керамическими кольцами Рашига рядами, размер 100х100 мм</t>
  </si>
  <si>
    <t>ТЕРм18-01-044-04</t>
  </si>
  <si>
    <t>Насадка керамическими кольцами Рашига рядами, размер 120х120 мм</t>
  </si>
  <si>
    <t>ТЕРм18-01-044-05</t>
  </si>
  <si>
    <t>Насадка керамическими кольцами Рашига рядами, размер 150х150 мм</t>
  </si>
  <si>
    <t>ТЕРм18-01-044-06</t>
  </si>
  <si>
    <t>Насадка керамическими кольцами Рашига навалом, размер 25х25 мм</t>
  </si>
  <si>
    <t>ТЕРм18-01-044-07</t>
  </si>
  <si>
    <t>Насадка керамическими кольцами Рашига навалом, размер 50х50 мм</t>
  </si>
  <si>
    <t>ТЕРм18-01-044-08</t>
  </si>
  <si>
    <t>Насадка полуфарфоровыми кольцами, размер 16х16 мм</t>
  </si>
  <si>
    <t>ТЕРм18-01-044-09</t>
  </si>
  <si>
    <t>Насадка полуфарфоровыми кольцами, размер 25х25 мм</t>
  </si>
  <si>
    <t xml:space="preserve">                                   Насадки башен и аппаратов кварцем, коксом, контактной массой и кирпичом стабильформатом</t>
  </si>
  <si>
    <t>ТЕРм18-01-045-01</t>
  </si>
  <si>
    <t>Насадка кварцем с заготовкой</t>
  </si>
  <si>
    <t>ТЕРм18-01-045-02</t>
  </si>
  <si>
    <t>Насадка кварцем без заготовки</t>
  </si>
  <si>
    <t>ТЕРм18-01-045-03</t>
  </si>
  <si>
    <t>Насадка коксом</t>
  </si>
  <si>
    <t>ТЕРм18-01-045-04</t>
  </si>
  <si>
    <t>Насадка кирпичом стабильформатом</t>
  </si>
  <si>
    <t>ТЕРм18-01-045-05</t>
  </si>
  <si>
    <t>Насадка контактной массой</t>
  </si>
  <si>
    <t xml:space="preserve">                                   Насадки башен и аппаратов силикагелем, алюминиевыми дисками, базальтовой крошкой, минеральной ватой, перлитовым песком</t>
  </si>
  <si>
    <t>ТЕРм18-01-046-01</t>
  </si>
  <si>
    <t>Насадка башен и аппаратов силикагелем гранулированным, крупнопористым, марка КСМ</t>
  </si>
  <si>
    <t>ТЕРм18-01-046-02</t>
  </si>
  <si>
    <t>Насадка башен и аппаратов дисками из алюминиевых лент</t>
  </si>
  <si>
    <t>ТЕРм18-01-046-03</t>
  </si>
  <si>
    <t>Насадка башен и аппаратов крошкой базальтовой, грануляция 8-12 мм</t>
  </si>
  <si>
    <t>ТЕРм18-01-046-04</t>
  </si>
  <si>
    <t>Насадка башен и аппаратов ватой минеральной марки 100</t>
  </si>
  <si>
    <t>ТЕРм18-01-046-05</t>
  </si>
  <si>
    <t>Насадка башен и аппаратов песком перлитовым вспученным, марка 75, засыпка в хранилище</t>
  </si>
  <si>
    <t>ТЕРм18-01-046-06</t>
  </si>
  <si>
    <t>Насадка башен и аппаратов песком перлитовым вспученным, марка 75, засыпка в блок разделения воздуха</t>
  </si>
  <si>
    <t xml:space="preserve">                                   Раздел 4. РАЗНЫЕ РАБОТЫ</t>
  </si>
  <si>
    <t xml:space="preserve">                                   Снятие и установка крышек люков и крышек или днищ аппарата</t>
  </si>
  <si>
    <t>ТЕРм18-01-066-01</t>
  </si>
  <si>
    <t>Снятие и установка крышек люков, диаметр до 800 мм</t>
  </si>
  <si>
    <t>ТЕРм18-01-066-02</t>
  </si>
  <si>
    <t>Снятие и установка крышек и днищ аппаратов, диаметр до 1000 мм</t>
  </si>
  <si>
    <t>ТЕРм18-01-066-03</t>
  </si>
  <si>
    <t>Снятие и установка крышек и днищ аппаратов, диаметр до 2000 мм</t>
  </si>
  <si>
    <t>ТЕРм18-01-066-04</t>
  </si>
  <si>
    <t>Снятие и установка крышек и днищ аппаратов, диаметр до 3000 мм</t>
  </si>
  <si>
    <t>ТЕРм18-01-066-05</t>
  </si>
  <si>
    <t>Снятие и установка крышек и днищ аппаратов, диаметр до 4000 мм</t>
  </si>
  <si>
    <t xml:space="preserve">                                   Разборка и сборка аппаратов с перемешивающим устройством</t>
  </si>
  <si>
    <t>ТЕРм18-01-067-01</t>
  </si>
  <si>
    <t>Разборка и сборка аппаратов с перемешивающим устройством, масса от 4 до 6 т</t>
  </si>
  <si>
    <t>ТЕРм18-01-067-02</t>
  </si>
  <si>
    <t>Разборка и сборка аппаратов с перемешивающим устройством, масса до 8 т</t>
  </si>
  <si>
    <t>ТЕРм18-01-067-03</t>
  </si>
  <si>
    <t>Разборка и сборка аппаратов с перемешивающим устройством, масса до 10 т</t>
  </si>
  <si>
    <t>ТЕРм18-01-067-04</t>
  </si>
  <si>
    <t>Разборка и сборка аппаратов с перемешивающим устройством, масса до 14 т</t>
  </si>
  <si>
    <t xml:space="preserve">                                   Разборка и сборка корпусов аппаратов из царг</t>
  </si>
  <si>
    <t>ТЕРм18-01-068-01</t>
  </si>
  <si>
    <t>Разборка и сборка корпуса аппарата, состоящего из царг, диаметр до 1000 мм</t>
  </si>
  <si>
    <t>ТЕРм18-01-068-02</t>
  </si>
  <si>
    <t>Разборка и сборка корпуса аппарата, состоящего из царг, диаметр до 2000 мм</t>
  </si>
  <si>
    <t>ТЕРм18-01-068-03</t>
  </si>
  <si>
    <t>Разборка и сборка корпуса аппарата, состоящего из царг, диаметр до 3000 мм</t>
  </si>
  <si>
    <t>ТЕРм18-01-068-04</t>
  </si>
  <si>
    <t>Разборка и сборка корпуса аппарата, состоящего из царг, диаметр до 4000 мм</t>
  </si>
  <si>
    <t xml:space="preserve">                                   Отсоединение и соединение трубопроводов от штуцеров</t>
  </si>
  <si>
    <t>ТЕРм18-01-069-01</t>
  </si>
  <si>
    <t>Отсоединение трубопроводов от штуцеров и соединение, диаметр до 100 мм</t>
  </si>
  <si>
    <t>ТЕРм18-01-069-02</t>
  </si>
  <si>
    <t>Отсоединение трубопроводов от штуцеров и соединение, диаметр до 200 мм</t>
  </si>
  <si>
    <t>ТЕРм18-01-069-03</t>
  </si>
  <si>
    <t>Отсоединение трубопроводов от штуцеров и соединение, диаметр до 400 мм</t>
  </si>
  <si>
    <t>ТЕРм18-01-069-04</t>
  </si>
  <si>
    <t>Отсоединение трубопроводов от штуцеров и соединение, диаметр до 600 мм</t>
  </si>
  <si>
    <t>ТЕРм18-01-069-05</t>
  </si>
  <si>
    <t>Отсоединение трубопроводов от штуцеров и соединение, диаметр до 800 мм</t>
  </si>
  <si>
    <t>ТЕРм18-01-069-06</t>
  </si>
  <si>
    <t>Отсоединение трубопроводов от штуцеров и соединение, диаметр до 1000 мм</t>
  </si>
  <si>
    <t>ТЕРм18-01-069-07</t>
  </si>
  <si>
    <t>Отсоединение трубопроводов от штуцеров и соединение, диаметр до 1200 мм</t>
  </si>
  <si>
    <t>ТЕРм18-01-069-08</t>
  </si>
  <si>
    <t>Отсоединение трубопроводов от штуцеров и соединение, диаметр до 1800 мм</t>
  </si>
  <si>
    <t xml:space="preserve">                                   Снятие змеевиков и установка в аппараты</t>
  </si>
  <si>
    <t>ТЕРм18-01-070-01</t>
  </si>
  <si>
    <t>Снятие и установка змеевика в аппарат, диаметр аппарата до 1000 мм</t>
  </si>
  <si>
    <t>ТЕРм18-01-070-02</t>
  </si>
  <si>
    <t>Снятие и установка змеевика в аппарат, диаметр аппарата до 2000 мм</t>
  </si>
  <si>
    <t>ТЕРм18-01-070-03</t>
  </si>
  <si>
    <t>Снятие и установка змеевика в аппарат, диаметр аппарата до 3000 мм</t>
  </si>
  <si>
    <t>ТЕРм18-01-070-04</t>
  </si>
  <si>
    <t>Снятие и установка змеевика в аппарат, диаметр аппарата до 4000 мм</t>
  </si>
  <si>
    <t xml:space="preserve">                                   Подготовка сварных швов аппаратов, сосудов и трубопроводов под химические покрытия (гуммирование и др.)</t>
  </si>
  <si>
    <t>ТЕРм18-01-071-01</t>
  </si>
  <si>
    <t>Подготовка сварных швов аппаратов, сосудов и трубопроводов под химические покрытия, ширина шва 4 мм</t>
  </si>
  <si>
    <t>ТЕРм18-01-071-02</t>
  </si>
  <si>
    <t>Подготовка сварных швов аппаратов, сосудов и трубопроводов под химические покрытия, ширина шва 8 мм</t>
  </si>
  <si>
    <t>ТЕРм18-01-071-03</t>
  </si>
  <si>
    <t>Подготовка сварных швов аппаратов, сосудов и трубопроводов под химические покрытия, ширина шва 12 мм</t>
  </si>
  <si>
    <t>ТЕРм18-01-071-04</t>
  </si>
  <si>
    <t>Подготовка сварных швов аппаратов, сосудов и трубопроводов под химические покрытия, ширина шва 16 мм</t>
  </si>
  <si>
    <t>ТЕРм18-01-071-05</t>
  </si>
  <si>
    <t>Подготовка сварных швов аппаратов, сосудов и трубопроводов под химические покрытия, ширина шва 20 мм</t>
  </si>
  <si>
    <t>ТЕРм18-01-071-06</t>
  </si>
  <si>
    <t>Подготовка сварных швов аппаратов, сосудов и трубопроводов под химические покрытия, ширина шва 25 мм</t>
  </si>
  <si>
    <t xml:space="preserve">                                   Раздел 5. ВОЗДУХООХЛАДИТЕЛИ АММИАЧНЫЕ И РАССОЛЬНЫЕ, ПОСТАМЕНТНЫЕ И НАВЕСНЫЕ</t>
  </si>
  <si>
    <t xml:space="preserve">                                   Воздухоохладители навесные (подвесные) аммиачные и рассольные, поступающие в собранном виде</t>
  </si>
  <si>
    <t>ТЕРм18-01-090-01</t>
  </si>
  <si>
    <t>Воздухоохладитель аммиачный или рассольный из оребренных труб, масса 0,34 т</t>
  </si>
  <si>
    <t>ТЕРм18-01-090-02</t>
  </si>
  <si>
    <t>Воздухоохладитель аммиачный или рассольный из оребренных труб, масса 0,44 т</t>
  </si>
  <si>
    <t>ТЕРм18-01-090-03</t>
  </si>
  <si>
    <t>Воздухоохладитель аммиачный или рассольный из оребренных труб, масса 0,72 т</t>
  </si>
  <si>
    <t>ТЕРм18-01-090-04</t>
  </si>
  <si>
    <t>Воздухоохладитель аммиачный или рассольный из оребренных труб, масса 0,89 т</t>
  </si>
  <si>
    <t>ТЕРм18-01-090-05</t>
  </si>
  <si>
    <t>Воздухоохладитель аммиачный или рассольный из оребренных труб, масса 1,57 т</t>
  </si>
  <si>
    <t xml:space="preserve">                                   Воздухоохладители постаментные (напольные) аммиачные и рассольные, поступающие в разобранном виде</t>
  </si>
  <si>
    <t>ТЕРм18-01-091-01</t>
  </si>
  <si>
    <t>Воздухоохладитель аммиачный или рассольный из оребренных труб, диаметр 25х2,5 мм, масса 0,64 т</t>
  </si>
  <si>
    <t>ТЕРм18-01-091-02</t>
  </si>
  <si>
    <t>Воздухоохладитель аммиачный или рассольный из оребренных труб, диаметр 25х2,5 мм, масса 0,68 т</t>
  </si>
  <si>
    <t>ТЕРм18-01-091-03</t>
  </si>
  <si>
    <t>Воздухоохладитель аммиачный или рассольный из оребренных труб, диаметр 25х2,5 мм, масса 1,13 т</t>
  </si>
  <si>
    <t>ТЕРм18-01-091-04</t>
  </si>
  <si>
    <t>Воздухоохладитель аммиачный или рассольный из оребренных труб, диаметр 38х3,5 мм, масса 6,8 т</t>
  </si>
  <si>
    <t>ТЕРм18-01-091-05</t>
  </si>
  <si>
    <t>Воздухоохладитель аммиачный или рассольный из оребренных труб, диаметр 38х3,5 мм, масса 7,6 т</t>
  </si>
  <si>
    <t xml:space="preserve">                                   Раздел 6. СТЕКЛЯННАЯ АППАРАТУРА</t>
  </si>
  <si>
    <t xml:space="preserve">                                   Стеклянная аппаратура</t>
  </si>
  <si>
    <t>ТЕРм18-01-100-01</t>
  </si>
  <si>
    <t>Сосуд, вместимость 10 л</t>
  </si>
  <si>
    <t>ТЕРм18-01-100-02</t>
  </si>
  <si>
    <t>Сосуд, вместимость 20 л</t>
  </si>
  <si>
    <t>ТЕРм18-01-100-03</t>
  </si>
  <si>
    <t>Сосуд, вместимость 50 л</t>
  </si>
  <si>
    <t>ТЕРм18-01-100-04</t>
  </si>
  <si>
    <t>Сосуд, вместимость 100 л</t>
  </si>
  <si>
    <t>ТЕРм18-01-100-05</t>
  </si>
  <si>
    <t>Сосуд, вместимость 200 л</t>
  </si>
  <si>
    <t>ТЕРм18-01-100-06</t>
  </si>
  <si>
    <t>Сосуд реакционный с приводом и змеевиком, вместимость 20 л</t>
  </si>
  <si>
    <t>ТЕРм18-01-100-07</t>
  </si>
  <si>
    <t>Сосуд реакционный с приводом и змеевиком, вместимость 50 л</t>
  </si>
  <si>
    <t>ТЕРм18-01-100-08</t>
  </si>
  <si>
    <t>Сосуд реакционный с приводом и змеевиком, вместимость 75 л</t>
  </si>
  <si>
    <t>ТЕРм18-01-100-09</t>
  </si>
  <si>
    <t>Сосуд реакционный с приводом и змеевиком, вместимость 100 л</t>
  </si>
  <si>
    <t>ТЕРм18-01-100-10</t>
  </si>
  <si>
    <t>Аппарат дистилляционный производительность 4 л/ч</t>
  </si>
  <si>
    <t>ТЕРм18-01-100-11</t>
  </si>
  <si>
    <t>Аппарат дистилляционный производительность 12 л/ч</t>
  </si>
  <si>
    <t>ТЕРм18-01-100-12</t>
  </si>
  <si>
    <t>Аппарат дистилляционный производительность 30 л/ч</t>
  </si>
  <si>
    <t>ТЕРм18-01-100-13</t>
  </si>
  <si>
    <t>Аппарат дистилляционный производительность 60 л/ч</t>
  </si>
  <si>
    <t>ТЕРм18-01-100-14</t>
  </si>
  <si>
    <t>Установка ионнообменная с ручным управлением, диаметр 100 мм</t>
  </si>
  <si>
    <t>ТЕРм18-01-100-15</t>
  </si>
  <si>
    <t>Установка ионнообменная с ручным управлением, диаметр 150 мм</t>
  </si>
  <si>
    <t>ТЕРм18-01-100-16</t>
  </si>
  <si>
    <t>Установка ионнообменная с ручным управлением, диаметр 200 мм</t>
  </si>
  <si>
    <t>ТЕРм18-01-100-17</t>
  </si>
  <si>
    <t>Установка ионнообменная с ручным управлением, диаметр 300 мм</t>
  </si>
  <si>
    <t>ТЕРм18-01-100-18</t>
  </si>
  <si>
    <t>Установка вакуумвыпарная, производительность 5 л/ч</t>
  </si>
  <si>
    <t>ТЕРм18-01-100-19</t>
  </si>
  <si>
    <t>Установка вакуумвыпарная, производительность 10 л/ч</t>
  </si>
  <si>
    <t>ТЕРм18-01-100-20</t>
  </si>
  <si>
    <t>Установка вакуумвыпарная, производительность 25 л/ч</t>
  </si>
  <si>
    <t>ТЕРм18-01-100-21</t>
  </si>
  <si>
    <t>Установка вакуумвыпарная, производительность 50 л/ч</t>
  </si>
  <si>
    <t>ТЕРм18-01-100-22</t>
  </si>
  <si>
    <t>Насос дозирующий, производительность 900 л/ч</t>
  </si>
  <si>
    <t xml:space="preserve">                           Раздел 2. ОТДЕЛ 02. ОБОРУДОВАНИЕ ОТДЕЛЬНЫХ ПРОИЗВОДСТВ ХИМИЧЕСКОЙ ПРОМЫШЛЕННОСТИ</t>
  </si>
  <si>
    <t xml:space="preserve">                                   Раздел 1. ОБОРУДОВАНИЕ ПРЕДПРИЯТИЙ АЗОТНОЙ ПРОМЫШЛЕННОСТИ И ПРОДУКТОВ ОРГАНИЧЕСКОГО СИНТЕЗА</t>
  </si>
  <si>
    <t xml:space="preserve">                                   Аппараты вертикальные или горизонтальные со сложными внутренними устройствами</t>
  </si>
  <si>
    <t>ТЕРм18-02-001-01</t>
  </si>
  <si>
    <t>Аппарат охлаждения аммиачной селитры, размер 15000х2400х7400 мм</t>
  </si>
  <si>
    <t>ТЕРм18-02-001-02</t>
  </si>
  <si>
    <t>Аппарат газовой промывки, диаметр 4000 мм, высота 10960 мм</t>
  </si>
  <si>
    <t xml:space="preserve">                                   Аппараты вертикальные со сложными внутренними устройствами, работающие под давлением до 5 МПа (50 ати)</t>
  </si>
  <si>
    <t>ТЕРм18-02-002-01</t>
  </si>
  <si>
    <t>Колонна отбелочная тарельчатая, диаметр 800 мм, высота 9440 мм</t>
  </si>
  <si>
    <t>ТЕРм18-02-002-02</t>
  </si>
  <si>
    <t>Колонна промывочная ферросилидовая, диаметр 1000 мм, высота 3808 мм</t>
  </si>
  <si>
    <t>ТЕРм18-02-002-03</t>
  </si>
  <si>
    <t>Аппарат ИТН, диаметр 1600/3600 мм, высота 11100 мм</t>
  </si>
  <si>
    <t>ТЕРм18-02-002-04</t>
  </si>
  <si>
    <t>Автоклав непрерывного действия с двумя алюминиевыми рубашками, диаметр 1144/1220 мм, высота 9000 мм</t>
  </si>
  <si>
    <t xml:space="preserve">                                   Аппараты контактные</t>
  </si>
  <si>
    <t>ТЕРм18-02-003-01</t>
  </si>
  <si>
    <t>Аппарат контактный, диаметр 4000 мм, высота 14900 мм</t>
  </si>
  <si>
    <t xml:space="preserve">                                   Аппараты выпарные</t>
  </si>
  <si>
    <t>ТЕРм18-02-004-01</t>
  </si>
  <si>
    <t>Аппарат выпарной, комбинированный, диаметр 2800 мм, высота 13900 мм</t>
  </si>
  <si>
    <t xml:space="preserve">                                   Аппараты для очистки воздуха</t>
  </si>
  <si>
    <t>ТЕРм18-02-005-01</t>
  </si>
  <si>
    <t>Фильтр для очистки воздуха, масса 24,3 т</t>
  </si>
  <si>
    <t>ТЕРм18-02-005-02</t>
  </si>
  <si>
    <t>Фильтр для очистки воздуха, масса 39,3 т</t>
  </si>
  <si>
    <t>ТЕРм18-02-005-03</t>
  </si>
  <si>
    <t>Фильтр для очистки воздуха, масса 49 т</t>
  </si>
  <si>
    <t>ТЕРм18-02-005-04</t>
  </si>
  <si>
    <t>Скруббер промывный</t>
  </si>
  <si>
    <t xml:space="preserve">                                   Аппараты кварцевые</t>
  </si>
  <si>
    <t>ТЕРм18-02-006-01</t>
  </si>
  <si>
    <t>Контейнер, диаметр 200 мм, длина 2000 мм</t>
  </si>
  <si>
    <t>ТЕРм18-02-006-02</t>
  </si>
  <si>
    <t>Колонна насадочная, тарельчатая, диаметр 140 мм, высота 4675 мм</t>
  </si>
  <si>
    <t>ТЕРм18-02-006-03</t>
  </si>
  <si>
    <t>Колонна очистки веществ, диаметр 140 мм, высота 2506 мм</t>
  </si>
  <si>
    <t>ТЕРм18-02-006-04</t>
  </si>
  <si>
    <t>Испаритель-конденсатор, диаметр 380 мм, высота 900 мм</t>
  </si>
  <si>
    <t xml:space="preserve">                                   Раздел 2. ОБОРУДОВАНИЕ ПРОИЗВОДСТВА АММИАКА</t>
  </si>
  <si>
    <t xml:space="preserve">                                   Абсорберы</t>
  </si>
  <si>
    <t>ТЕРм18-02-020-01</t>
  </si>
  <si>
    <t>Абсорбер углекислого газа, габаритные размеры диаметр 3560 мм, высота 48650 мм</t>
  </si>
  <si>
    <t>ТЕРм18-02-020-02</t>
  </si>
  <si>
    <t>Абсорбер углекислого газа, габаритные размеры диаметр 3800/4000 мм, высота 55610 мм</t>
  </si>
  <si>
    <t xml:space="preserve">                                   Аппараты сероочистные и метанатор</t>
  </si>
  <si>
    <t>ТЕРм18-02-021-01</t>
  </si>
  <si>
    <t>Аппарат сероочистной, размеры диаметр 2800 мм, высота 12680 мм</t>
  </si>
  <si>
    <t>ТЕРм18-02-021-02</t>
  </si>
  <si>
    <t>Аппарат сероочистной, размеры диаметр 3200 мм, высота 16700 мм</t>
  </si>
  <si>
    <t>ТЕРм18-02-021-03</t>
  </si>
  <si>
    <t>Метанатор, диаметр 3800 мм, высота 7660 мм</t>
  </si>
  <si>
    <t>ТЕРм18-02-022-01</t>
  </si>
  <si>
    <t>Парогазовой смеси 18-секционный зигзагообразный, размеры 18000х13500х7000 мм</t>
  </si>
  <si>
    <t>ТЕРм18-02-022-02</t>
  </si>
  <si>
    <t>Парогазовой смеси 15-секционный горизонтальный, размеры 30000х14400х6400 мм</t>
  </si>
  <si>
    <t>ТЕРм18-02-022-03</t>
  </si>
  <si>
    <t>Для отделения МЭА очистки 30-секционный зигзагообразный, размеры 30000х13400х7500 мм</t>
  </si>
  <si>
    <t>ТЕРм18-02-022-04</t>
  </si>
  <si>
    <t>Азотно-водородной смеси 15-секционный горизонтальный, размеры 36000х13500х7000 мм, масса 313 т</t>
  </si>
  <si>
    <t>ТЕРм18-02-022-05</t>
  </si>
  <si>
    <t>Азотно-водородной смеси 6-секционный зигзагообразный, размеры 36000х13500х7000 мм, масса 338 т</t>
  </si>
  <si>
    <t>ТЕРм18-02-022-06</t>
  </si>
  <si>
    <t>Для отделения МЭА очистки, 30-секционный горизонтальный, размеры 60000х13630х7100 мм</t>
  </si>
  <si>
    <t xml:space="preserve">                                   Колонны конденсационные или синтеза аммиака, работающие под давлением 32 МПа (320 ати)</t>
  </si>
  <si>
    <t>ТЕРм18-02-023-01</t>
  </si>
  <si>
    <t>Колонна конденсационная продувочных газов, диаметр 400 мм, высота 7530 мм</t>
  </si>
  <si>
    <t>ТЕРм18-02-023-02</t>
  </si>
  <si>
    <t>Колонна конденсационная диаметр 2000 мм, высота 21335 мм</t>
  </si>
  <si>
    <t>ТЕРм18-02-023-03</t>
  </si>
  <si>
    <t>Колонна синтеза аммиака, диаметр 2400/1000 мм, высота 32080 мм</t>
  </si>
  <si>
    <t xml:space="preserve">                                   Конверторы метана</t>
  </si>
  <si>
    <t>ТЕРм18-02-024-01</t>
  </si>
  <si>
    <t>Конвертор метана второй ступени, диаметр 4580 мм, высота 17410 мм</t>
  </si>
  <si>
    <t xml:space="preserve">                                   Конверторы окиси углерода</t>
  </si>
  <si>
    <t>ТЕРм18-02-025-01</t>
  </si>
  <si>
    <t>Конвертор окиси углерода второй ступени, диаметр 3800 мм, высота 17450 мм</t>
  </si>
  <si>
    <t>ТЕРм18-02-025-02</t>
  </si>
  <si>
    <t>Конвертор окиси углерода второй ступени, диаметр 3800 мм, высота 24100 мм</t>
  </si>
  <si>
    <t xml:space="preserve">                                   Котлы-утилизаторы</t>
  </si>
  <si>
    <t>ТЕРм18-02-026-01</t>
  </si>
  <si>
    <t>Котел-утилизатор второй ступени, диаметр 1660 мм, высота 7675 мм</t>
  </si>
  <si>
    <t>ТЕРм18-02-026-02</t>
  </si>
  <si>
    <t>Котел-утилизатор первой ступени, диаметр 1880 мм, высота 14633 мм</t>
  </si>
  <si>
    <t xml:space="preserve">                                   Паросборники</t>
  </si>
  <si>
    <t>ТЕРм18-02-027-01</t>
  </si>
  <si>
    <t>Паросборник, диаметр 2100 мм, длина 24620 мм</t>
  </si>
  <si>
    <t xml:space="preserve">                                   Печи вспомогательные конверсии метана</t>
  </si>
  <si>
    <t>ТЕРм18-02-028-01</t>
  </si>
  <si>
    <t>Печь вспомогательная конверсии метана</t>
  </si>
  <si>
    <t xml:space="preserve">                                   Подогреватели и испарители, работающие под давлением 32 МПа (320 ати)</t>
  </si>
  <si>
    <t>ТЕРм18-02-029-01</t>
  </si>
  <si>
    <t>Подогреватель природного газа, диаметр 4680 мм, высота 31500 мм</t>
  </si>
  <si>
    <t>ТЕРм18-02-029-02</t>
  </si>
  <si>
    <t>Подогреватель питательной воды, диаметр 1600 мм, высота 16705 мм</t>
  </si>
  <si>
    <t>ТЕРм18-02-029-03</t>
  </si>
  <si>
    <t>Подогреватель горячей воды, размеры 13550х6000х19670 мм</t>
  </si>
  <si>
    <t>ТЕРм18-02-029-04</t>
  </si>
  <si>
    <t>Испаритель жидкого аммиака, диаметр 1000 мм, длина 6483 мм</t>
  </si>
  <si>
    <t>ТЕРм18-02-029-05</t>
  </si>
  <si>
    <t>Испаритель жидкого аммиака, диаметр 3256 мм, длина 14000 мм</t>
  </si>
  <si>
    <t>ТЕРм18-02-029-06</t>
  </si>
  <si>
    <t>Теплообменник кожухо-трубчатый выносной, диаметр 1600 мм, высота 20075 мм</t>
  </si>
  <si>
    <t xml:space="preserve">                                   Подогреватели и теплообменные установки, работающие под давлением до 3,5 МПа (35 ати)</t>
  </si>
  <si>
    <t>ТЕРм18-02-030-01</t>
  </si>
  <si>
    <t>Подогреватель воды, диаметр 1300 мм, длина 11450 мм</t>
  </si>
  <si>
    <t>ТЕРм18-02-030-02</t>
  </si>
  <si>
    <t>Установка-теплообменник, размеры 30000х4648х11225 мм</t>
  </si>
  <si>
    <t>ТЕРм18-02-030-03</t>
  </si>
  <si>
    <t>Установка-теплообменник, размеры 37900х10000х5250 мм</t>
  </si>
  <si>
    <t xml:space="preserve">                                   Регенераторы</t>
  </si>
  <si>
    <t>ТЕРм18-02-031-01</t>
  </si>
  <si>
    <t>Регенератор, диаметр 4200 мм, высота 59185 мм</t>
  </si>
  <si>
    <t>ТЕРм18-02-031-02</t>
  </si>
  <si>
    <t>Регенератор-рекуператор, диаметр 3600/3000, высота 53600 мм</t>
  </si>
  <si>
    <t xml:space="preserve">                                   Раздел 3. ОБОРУДОВАНИЕ ПРЕДПРИЯТИЙ ПО ПРОИЗВОДСТВУ КИСЛОТ, СОЛЕЙ И МИНЕРАЛЬНЫХ УДОБРЕНИЙ</t>
  </si>
  <si>
    <t>ТЕРм18-02-040-01</t>
  </si>
  <si>
    <t>Аппарат контактный четырехслойный, диаметр 10000 мм, высота 20000 мм</t>
  </si>
  <si>
    <t>ТЕРм18-02-040-02</t>
  </si>
  <si>
    <t>Аппарат контактный пятислойный, диаметр 10000 мм, высота 24500 мм</t>
  </si>
  <si>
    <t xml:space="preserve">                                   Вакуум-фильтры карусельные</t>
  </si>
  <si>
    <t>ТЕРм18-02-041-01</t>
  </si>
  <si>
    <t>Вакуум-фильтр карусельный тип К100-15К-2</t>
  </si>
  <si>
    <t>ТЕРм18-02-042-01</t>
  </si>
  <si>
    <t>Дозатор весовой автоматический непрерывного действия, тип ДН-15М</t>
  </si>
  <si>
    <t>ТЕРм18-02-042-02</t>
  </si>
  <si>
    <t>Разбрасыватель барабанного типа, диаметр 500 мм, длина 600 мм</t>
  </si>
  <si>
    <t xml:space="preserve">                                   Камеры для получения суперфосфата</t>
  </si>
  <si>
    <t>ТЕРм18-02-043-01</t>
  </si>
  <si>
    <t>Камера для получения суперфосфата, диаметр 7100 мм, высота 6515 мм</t>
  </si>
  <si>
    <t xml:space="preserve">                                   Печи для сжигания серы и колчедана</t>
  </si>
  <si>
    <t>ТЕРм18-02-044-01</t>
  </si>
  <si>
    <t>Печь для сжигания серы и колчедана, тип КС-200, диаметр 7200 мм, высота 14500 мм</t>
  </si>
  <si>
    <t>ТЕРм18-02-044-02</t>
  </si>
  <si>
    <t>Печь для сжигания серы и колчедана, тип КС-ЦВ-450, диаметр 10500/9141 мм, высота 15110 мм</t>
  </si>
  <si>
    <t xml:space="preserve">                                   Смесители, экстракторы с мешалками и камеры абсорбционные</t>
  </si>
  <si>
    <t>ТЕРм18-02-045-01</t>
  </si>
  <si>
    <t>Камера абсорбционная, диаметр 2800 мм, длина 6700 мм</t>
  </si>
  <si>
    <t>ТЕРм18-02-045-02</t>
  </si>
  <si>
    <t>Реактор-смеситель вертикальный с четырьмя мешалками, размеры 4970х1678х2450 мм</t>
  </si>
  <si>
    <t>ТЕРм18-02-045-03</t>
  </si>
  <si>
    <t>Экстрактор с мешалкой, диаметр 2250 мм, высотой 5768 мм</t>
  </si>
  <si>
    <t xml:space="preserve">                                   Топки мазутные и газомазутные</t>
  </si>
  <si>
    <t>ТЕРм18-02-046-01</t>
  </si>
  <si>
    <t>Топка мазутная, масса 3,2 т</t>
  </si>
  <si>
    <t>ТЕРм18-02-046-02</t>
  </si>
  <si>
    <t>Топка мазутная, масса 4,2 т</t>
  </si>
  <si>
    <t>ТЕРм18-02-046-03</t>
  </si>
  <si>
    <t>Топка газомазутная к пусковому подогревателю</t>
  </si>
  <si>
    <t xml:space="preserve">                                   Фильтры для расплавленной серы</t>
  </si>
  <si>
    <t>ТЕРм18-02-047-01</t>
  </si>
  <si>
    <t>Фильтр для расплавленной серы</t>
  </si>
  <si>
    <t xml:space="preserve">                                   Холодильники оросительные из антегмитовых труб</t>
  </si>
  <si>
    <t>ТЕРм18-02-048-01</t>
  </si>
  <si>
    <t>Холодильник оросительный из антегмитовых труб, поверхность охлаждения одной секции 114 м2, количество секций 38</t>
  </si>
  <si>
    <t xml:space="preserve">                                   Раздел 4. ОБОРУДОВАНИЕ ПРЕДПРИЯТИЙ СОДОВОЙ ПРОМЫШЛЕННОСТИ</t>
  </si>
  <si>
    <t xml:space="preserve">                                   Аппараты колонные на фланцевом соединении, чугунные</t>
  </si>
  <si>
    <t>ТЕРм18-02-055-01</t>
  </si>
  <si>
    <t>Колонна абсорбционная, диаметр 2800 мм, высота 27538 мм</t>
  </si>
  <si>
    <t>ТЕРм18-02-055-02</t>
  </si>
  <si>
    <t>Колонна абсорбционная, диаметр 2800 мм, высота 51955 мм</t>
  </si>
  <si>
    <t>ТЕРм18-02-055-03</t>
  </si>
  <si>
    <t>ТЕРм18-02-055-04</t>
  </si>
  <si>
    <t>Колонна дистилляционная, размеры диаметр 2200 мм, высота 32055 мм</t>
  </si>
  <si>
    <t>ТЕРм18-02-055-05</t>
  </si>
  <si>
    <t>Колонна дистилляционная, размеры диаметр 2800 мм, высота 38521 мм</t>
  </si>
  <si>
    <t>ТЕРм18-02-055-06</t>
  </si>
  <si>
    <t>Колонна дистилляционная, диаметр 3000/3200 мм, высота 52218 мм</t>
  </si>
  <si>
    <t>ТЕРм18-02-055-07</t>
  </si>
  <si>
    <t>Колонна дистилляционная, диаметр 3000/3200 мм, высота 50889 мм</t>
  </si>
  <si>
    <t>ТЕРм18-02-055-08</t>
  </si>
  <si>
    <t>Колонна карбонизационная, диаметр 2800/3000 мм, высота 28610 мм</t>
  </si>
  <si>
    <t>ТЕРм18-02-055-09</t>
  </si>
  <si>
    <t>Колонна промывателя газа абсорбции и воздуха фильтров, диаметр 2800 мм, высота 13836 мм</t>
  </si>
  <si>
    <t>ТЕРм18-02-055-10</t>
  </si>
  <si>
    <t>Колонна первого промывателя газа колонн с холодильником, диаметр 2800/3000 мм, высота 25958 мм</t>
  </si>
  <si>
    <t>ТЕРм18-02-055-11</t>
  </si>
  <si>
    <t>Колонна первого промывателя газа карбонизации, диаметр 2800/2200 мм, высота 20630 мм</t>
  </si>
  <si>
    <t>ТЕРм18-02-055-12</t>
  </si>
  <si>
    <t>Колонна бикарбонатная, диаметр 2400 мм, высота 28600 мм</t>
  </si>
  <si>
    <t xml:space="preserve">                                   Печи и сушилки</t>
  </si>
  <si>
    <t>ТЕРм18-02-056-01</t>
  </si>
  <si>
    <t>Печь содовая барабанная вращающаяся, диаметр 2800 мм, длина 27000 мм</t>
  </si>
  <si>
    <t>ТЕРм18-02-056-02</t>
  </si>
  <si>
    <t>Кальцинатор паровой, диаметр 3000 мм, длина 30000 мм</t>
  </si>
  <si>
    <t>ТЕРм18-02-057-01</t>
  </si>
  <si>
    <t>Смеситель и испаритель дистилляции с мешалкой, диаметр 3400 мм, высота 29800 мм</t>
  </si>
  <si>
    <t>ТЕРм18-02-057-02</t>
  </si>
  <si>
    <t>Испаритель, диаметр 2200 мм, высота 11650 мм</t>
  </si>
  <si>
    <t>ТЕРм18-02-057-03</t>
  </si>
  <si>
    <t>Конденсатор дистилляции пленочный, диаметр 1800 мм, высота 8288 мм</t>
  </si>
  <si>
    <t>ТЕРм18-02-057-04</t>
  </si>
  <si>
    <t>Аппарат выпарной с вынесенной греющей камерой и брызгоотделителем, диаметр 5000 мм, высота 17650 мм</t>
  </si>
  <si>
    <t>ТЕРм18-02-057-05</t>
  </si>
  <si>
    <t>Обеспыливающая установка для парового кальцинатора, длина 3600 мм, ширина 9600 мм, высота 7575 мм</t>
  </si>
  <si>
    <t xml:space="preserve">                                   Раздел 5. ОБОРУДОВАНИЕ ПРЕДПРИЯТИЙ ПРОМЫШЛЕННОСТИ СИНТЕТИЧЕСКОГО КАУЧУКА И СИНТЕТИЧЕСКОГО СПИРТА</t>
  </si>
  <si>
    <t xml:space="preserve">                                   Агрегаты выделения, сушки формовки и упаковки брикетов синтетического каучука в полиэтиленовую пленку и укладки отдельных брикетов в деревянные или металлические контейнеры</t>
  </si>
  <si>
    <t>ТЕРм18-02-065-01</t>
  </si>
  <si>
    <t>Агрегаты выделения, сушки формовки и упаковки брикетов синтетического каучука в полиэтиленовую пленку и укладки отдельных брикетов в деревянные или металлические контейнеры производительность агрегата 4 т/ч</t>
  </si>
  <si>
    <t>ТЕРм18-02-065-02</t>
  </si>
  <si>
    <t>Агрегаты выделения, сушки формовки и упаковки брикетов синтетического каучука в полиэтиленовую пленку и укладки отдельных брикетов в деревянные или металлические контейнеры производительность агрегата 8 т/ч</t>
  </si>
  <si>
    <t xml:space="preserve">                                   Раздел 6. ОБОРУДОВАНИЕ ПРЕДПРИЯТИЙ РЕЗИНОВОЙ ПРОМЫШЛЕННОСТИ</t>
  </si>
  <si>
    <t xml:space="preserve">                                   Оборудование для подготовки ингредиентов</t>
  </si>
  <si>
    <t>ТЕРм18-02-070-01</t>
  </si>
  <si>
    <t>Нож для резки каучука гидравлический, усилие 0,98 МН (100 тс)</t>
  </si>
  <si>
    <t>ТЕРм18-02-070-02</t>
  </si>
  <si>
    <t>Нож для резки каучука пневматический пластинчатый</t>
  </si>
  <si>
    <t>ТЕРм18-02-070-03</t>
  </si>
  <si>
    <t>Машина для резки каучука с гидравлическим приводом</t>
  </si>
  <si>
    <t>ТЕРм18-02-070-04</t>
  </si>
  <si>
    <t>Мельница вибрационная гуммированная, тип М-200</t>
  </si>
  <si>
    <t>ТЕРм18-02-070-05</t>
  </si>
  <si>
    <t>Сито вибрационное</t>
  </si>
  <si>
    <t xml:space="preserve">                                   Резиносмесители, вальцы и вспомогательное оборудование к ним</t>
  </si>
  <si>
    <t>ТЕРм18-02-071-01</t>
  </si>
  <si>
    <t>Вальцы лабораторные для обработки резиновых смесей, рабочая длина валков 100 мм</t>
  </si>
  <si>
    <t>ТЕРм18-02-071-02</t>
  </si>
  <si>
    <t>Вальцы подогревательные, рабочая длина валков 680 мм, повышенной мощности</t>
  </si>
  <si>
    <t>ТЕРм18-02-071-03</t>
  </si>
  <si>
    <t>Вальцы подогревательные, рабочая длина валков 800 мм, в комплекте с ножами для срезки резины</t>
  </si>
  <si>
    <t>ТЕРм18-02-071-04</t>
  </si>
  <si>
    <t>Вальцы, рабочая длина валков 800 мм смесительные</t>
  </si>
  <si>
    <t>ТЕРм18-02-071-05</t>
  </si>
  <si>
    <t>Вальцы, рабочая длина валков 800 мм рафинирующие</t>
  </si>
  <si>
    <t>ТЕРм18-02-071-06</t>
  </si>
  <si>
    <t>Вальцы, рабочая длина валков 800 мм дробильные</t>
  </si>
  <si>
    <t>ТЕРм18-02-071-07</t>
  </si>
  <si>
    <t>Вальцы-подогревательные, рабочая длина валков 1500 мм</t>
  </si>
  <si>
    <t>ТЕРм18-02-071-08</t>
  </si>
  <si>
    <t>Агрегат вальцов с рабочей длиной валков 2100 мм в количестве вальцов двух, подогревательных</t>
  </si>
  <si>
    <t>ТЕРм18-02-071-09</t>
  </si>
  <si>
    <t>Агрегат вальцов с рабочей длиной валков 2100 мм в количестве вальцов трех, смесительных</t>
  </si>
  <si>
    <t>ТЕРм18-02-071-10</t>
  </si>
  <si>
    <t>Установка для отбора и складирования листовой резины с вальцов (цепного типа)</t>
  </si>
  <si>
    <t>ТЕРм18-02-071-11</t>
  </si>
  <si>
    <t>Резиносмеситель вместимость 4,5 л, лабораторный</t>
  </si>
  <si>
    <t>ТЕРм18-02-071-12</t>
  </si>
  <si>
    <t>Резиносмеситель вместимость 250 л</t>
  </si>
  <si>
    <t>ТЕРм18-02-071-13</t>
  </si>
  <si>
    <t>Резиносмеситель червячный непрерывного действия, диаметр червяка 380/450 мм, с гранулирующей головкой</t>
  </si>
  <si>
    <t>ТЕРм18-02-071-14</t>
  </si>
  <si>
    <t>Резиносмеситель червячный непрерывного действия, диаметр червяка 530/660 мм, с листующей головкой</t>
  </si>
  <si>
    <t xml:space="preserve">                                   Агрегаты каландров, каландровые линии, каландры и вспомогательное оборудование к ним</t>
  </si>
  <si>
    <t>ТЕРм18-02-072-01</t>
  </si>
  <si>
    <t>Каландр резинообрабатывающий пятивалковый, тип 5-200.600</t>
  </si>
  <si>
    <t>ТЕРм18-02-072-02</t>
  </si>
  <si>
    <t>Каландр трехвалковый протекторный, тип 3-500-1250П</t>
  </si>
  <si>
    <t>ТЕРм18-02-072-03</t>
  </si>
  <si>
    <t>Каландр трехвалковый универсальный, тип 3-710-1800Л</t>
  </si>
  <si>
    <t>ТЕРм18-02-072-04</t>
  </si>
  <si>
    <t>Каландр четырехвалковый для металлокорда, тип 4-500-1250Л</t>
  </si>
  <si>
    <t>ТЕРм18-02-072-05</t>
  </si>
  <si>
    <t>Каландр четырехвалковый тип 4-710 кордный -1800Л</t>
  </si>
  <si>
    <t>ТЕРм18-02-072-06</t>
  </si>
  <si>
    <t>Каландр четырехвалковый тип 4-710 кордный -1800П</t>
  </si>
  <si>
    <t>ТЕРм18-02-072-07</t>
  </si>
  <si>
    <t>Установка из двух каландров, тип 3-710-1800</t>
  </si>
  <si>
    <t>ТЕРм18-02-072-08</t>
  </si>
  <si>
    <t>Устройство закаточное</t>
  </si>
  <si>
    <t>ТЕРм18-02-072-09</t>
  </si>
  <si>
    <t>Стойка закаточная для корда и ткани без прокладки</t>
  </si>
  <si>
    <t>ТЕРм18-02-072-10</t>
  </si>
  <si>
    <t>Станок для раскладки ткани и корда без прокладки</t>
  </si>
  <si>
    <t>ТЕРм18-02-072-11</t>
  </si>
  <si>
    <t>Компенсатор двухпетлевой, вместимость 23 л</t>
  </si>
  <si>
    <t xml:space="preserve">                                   Протекторные и камерные агрегаты, шприц-машины и вспомогательное оборудование к ним</t>
  </si>
  <si>
    <t>ТЕРм18-02-073-01</t>
  </si>
  <si>
    <t>Машина одночервячная, диаметр червяка 90 мм</t>
  </si>
  <si>
    <t>ТЕРм18-02-073-02</t>
  </si>
  <si>
    <t>Машина одночервячная, диаметр червяка 125 мм</t>
  </si>
  <si>
    <t>ТЕРм18-02-073-03</t>
  </si>
  <si>
    <t>Машина одночервячная, диаметр червяка 200 мм</t>
  </si>
  <si>
    <t>ТЕРм18-02-073-04</t>
  </si>
  <si>
    <t>Установка из двух шприц-машин 200х200 мм с общей головкой для выпуска двухслойных протекторов</t>
  </si>
  <si>
    <t>ТЕРм18-02-073-05</t>
  </si>
  <si>
    <t>Пресс одночервячный универсальноленточный, диаметр червяка 380х450 мм</t>
  </si>
  <si>
    <t>ТЕРм18-02-073-06</t>
  </si>
  <si>
    <t>Пресс двухчервячный, диаметр червяка 63 мм</t>
  </si>
  <si>
    <t xml:space="preserve">                                   Оборудование клеепромазочное и клеемешательное</t>
  </si>
  <si>
    <t>ТЕРм18-02-074-01</t>
  </si>
  <si>
    <t>Смеситель роторный, вместимость камеры 200 л</t>
  </si>
  <si>
    <t>ТЕРм18-02-074-02</t>
  </si>
  <si>
    <t>Смеситель роторный, вместимость камеры 800 л</t>
  </si>
  <si>
    <t>ТЕРм18-02-074-03</t>
  </si>
  <si>
    <t>Машина для нанесения клея</t>
  </si>
  <si>
    <t xml:space="preserve">                                   Оборудование режущее и вырубное</t>
  </si>
  <si>
    <t>ТЕРм18-02-075-01</t>
  </si>
  <si>
    <t>Агрегат диагонально-резательный для тканей корда</t>
  </si>
  <si>
    <t>ТЕРм18-02-075-02</t>
  </si>
  <si>
    <t>Агрегат диагонально-резательный для металлокорда под углом раскроя 0-62 градусов</t>
  </si>
  <si>
    <t>ТЕРм18-02-075-03</t>
  </si>
  <si>
    <t>Машина продольно-резательная</t>
  </si>
  <si>
    <t>ТЕРм18-02-075-04</t>
  </si>
  <si>
    <t>Пресс ручной вырубной</t>
  </si>
  <si>
    <t>ТЕРм18-02-075-05</t>
  </si>
  <si>
    <t>Пресс электрогидравлический для вырубки деталей низа обуви</t>
  </si>
  <si>
    <t>ТЕРм18-02-075-06</t>
  </si>
  <si>
    <t>Нож циркульный</t>
  </si>
  <si>
    <t xml:space="preserve">                                   Оборудование для вулканизации</t>
  </si>
  <si>
    <t>ТЕРм18-02-076-01</t>
  </si>
  <si>
    <t>Полуавтомат для чистки рабочих поверхностей шинных пресс-форм с тонкими элементами легковых покрышек</t>
  </si>
  <si>
    <t>ТЕРм18-02-076-02</t>
  </si>
  <si>
    <t>Пресс литьевой для изготовления ободных лент крупногабаритных шин</t>
  </si>
  <si>
    <t>ТЕРм18-02-076-03</t>
  </si>
  <si>
    <t>Вулканизатор автоклавного типа усилием 14,7 МН (1500 тс)</t>
  </si>
  <si>
    <t>ТЕРм18-02-076-04</t>
  </si>
  <si>
    <t>Вулканизатор для ездовых камер автошин размером 1400 мм (55")</t>
  </si>
  <si>
    <t>ТЕРм18-02-076-05</t>
  </si>
  <si>
    <t>Вулканизатор для ездовых камер мото- и автошин размером 920 мм (36")</t>
  </si>
  <si>
    <t>ТЕРм18-02-076-06</t>
  </si>
  <si>
    <t>Линия роторная литьевая вулканизационная, тип ЛРЛ-125/63</t>
  </si>
  <si>
    <t>ТЕРм18-02-076-07</t>
  </si>
  <si>
    <t>Установка для охлаждения автопокрышек</t>
  </si>
  <si>
    <t>ТЕРм18-02-076-08</t>
  </si>
  <si>
    <t>Машина для испытания ездовых камер на герметичность</t>
  </si>
  <si>
    <t>ТЕРм18-02-076-09</t>
  </si>
  <si>
    <t>Станок для осмотра грузовых покрышек</t>
  </si>
  <si>
    <t>ТЕРм18-02-076-10</t>
  </si>
  <si>
    <t>Станок для резки заготовок пяток вентилей</t>
  </si>
  <si>
    <t>ТЕРм18-02-076-11</t>
  </si>
  <si>
    <t>Станок для обрезки заготовок автокамер</t>
  </si>
  <si>
    <t>ТЕРм18-02-076-12</t>
  </si>
  <si>
    <t>Станок для обрезки выпрессовок</t>
  </si>
  <si>
    <t>ТЕРм18-02-076-13</t>
  </si>
  <si>
    <t>Станок для сборки вентилей</t>
  </si>
  <si>
    <t xml:space="preserve">                                   Оборудование для чистки и перекатки прокладочной ленты</t>
  </si>
  <si>
    <t>ТЕРм18-02-077-01</t>
  </si>
  <si>
    <t>Агрегат для чистки и переработки прокладки шириной 1200 мм</t>
  </si>
  <si>
    <t>ТЕРм18-02-077-02</t>
  </si>
  <si>
    <t>Станок для чистки и перекатки узкой прокладки шириной 400 мм</t>
  </si>
  <si>
    <t xml:space="preserve">                                   Оборудование для шинного производства</t>
  </si>
  <si>
    <t>ТЕРм18-02-078-01</t>
  </si>
  <si>
    <t>Станок браслетный</t>
  </si>
  <si>
    <t>ТЕРм18-02-078-02</t>
  </si>
  <si>
    <t>Станок для сборки автопокрышек машин легковых</t>
  </si>
  <si>
    <t>ТЕРм18-02-078-03</t>
  </si>
  <si>
    <t>Станок для сборки автопокрышек машин широкопрофильных сельскохозяйственных</t>
  </si>
  <si>
    <t>ТЕРм18-02-078-04</t>
  </si>
  <si>
    <t>Станок для закатки прорезиненной ткани на бобины без прокладки</t>
  </si>
  <si>
    <t>ТЕРм18-02-078-05</t>
  </si>
  <si>
    <t>Станок для обертки бортовых колец</t>
  </si>
  <si>
    <t>ТЕРм18-02-078-06</t>
  </si>
  <si>
    <t>Станок для изготовления витых бортовых колец</t>
  </si>
  <si>
    <t>ТЕРм18-02-078-07</t>
  </si>
  <si>
    <t>Станок для изготовления наполнительного шнура</t>
  </si>
  <si>
    <t>ТЕРм18-02-078-08</t>
  </si>
  <si>
    <t>Питатель к крыльевым и оберточным станкам</t>
  </si>
  <si>
    <t xml:space="preserve">                                   Оборудование для производства приводных ремней и транспортерных лент</t>
  </si>
  <si>
    <t>ТЕРм18-02-079-01</t>
  </si>
  <si>
    <t>Станок закаточный шланговый для лент</t>
  </si>
  <si>
    <t>ТЕРм18-02-079-02</t>
  </si>
  <si>
    <t>Машина сушильная барабанная</t>
  </si>
  <si>
    <t xml:space="preserve">                                   Оборудование для рукавного производства</t>
  </si>
  <si>
    <t>ТЕРм18-02-080-01</t>
  </si>
  <si>
    <t>Устройство отборочное к червячным машинам для наложения резинового слоя на рукава длиной до 5 м</t>
  </si>
  <si>
    <t>ТЕРм18-02-080-02</t>
  </si>
  <si>
    <t>Устройство подающее механизированное, длина рукавов до 10 м</t>
  </si>
  <si>
    <t>ТЕРм18-02-080-03</t>
  </si>
  <si>
    <t>Станок для правки дорнов, диаметр 9-65 мм</t>
  </si>
  <si>
    <t>ТЕРм18-02-080-04</t>
  </si>
  <si>
    <t>Агрегат для охлаждения и усадки камер рукавов, длина 10 м, диаметр 16-76 мм</t>
  </si>
  <si>
    <t>ТЕРм18-02-080-05</t>
  </si>
  <si>
    <t>Устройство охлаждающее для камер, диаметр 4-38 мм</t>
  </si>
  <si>
    <t>ТЕРм18-02-080-06</t>
  </si>
  <si>
    <t>Установка для браковки промера и закатки бездорновых рукавов в бухты</t>
  </si>
  <si>
    <t>ТЕРм18-02-080-07</t>
  </si>
  <si>
    <t>Агрегат для снятия свинцовой оболочки</t>
  </si>
  <si>
    <t>ТЕРм18-02-080-08</t>
  </si>
  <si>
    <t>Агрегат оплетения рукавов нитями на дорнах АОН-24</t>
  </si>
  <si>
    <t>ТЕРм18-02-080-09</t>
  </si>
  <si>
    <t>Агрегат сборки металлонавивочных рукавов, диаметр до 25 мм</t>
  </si>
  <si>
    <t>ТЕРм18-02-080-10</t>
  </si>
  <si>
    <t>Агрегат для разбинтовки рукавов</t>
  </si>
  <si>
    <t>ТЕРм18-02-080-11</t>
  </si>
  <si>
    <t>Станок перемоточный</t>
  </si>
  <si>
    <t xml:space="preserve">                                   Оборудование для производства бесшовных изделий</t>
  </si>
  <si>
    <t>ТЕРм18-02-081-01</t>
  </si>
  <si>
    <t>Аппарат для хранения и гомогенизации латекса</t>
  </si>
  <si>
    <t>ТЕРм18-02-081-02</t>
  </si>
  <si>
    <t>Пресс для вулканизации продольных стыков резинотканевых полос</t>
  </si>
  <si>
    <t>ТЕРм18-02-081-03</t>
  </si>
  <si>
    <t>Котел вулканизационный</t>
  </si>
  <si>
    <t>ТЕРм18-02-081-04</t>
  </si>
  <si>
    <t>Автоклав, размеры диаметр 1100 мм, длина рабочей части 1500 мм</t>
  </si>
  <si>
    <t>ТЕРм18-02-081-05</t>
  </si>
  <si>
    <t>Автоклав, размеры диаметр 1500 мм, длина рабочей части 3000 мм</t>
  </si>
  <si>
    <t>ТЕРм18-02-081-06</t>
  </si>
  <si>
    <t>Автоклав, размеры диаметр 2800 мм, длина рабочей части 10000 мм</t>
  </si>
  <si>
    <t>ТЕРм18-02-081-07</t>
  </si>
  <si>
    <t>Установка для приготовления эмульсии и растворов</t>
  </si>
  <si>
    <t>ТЕРм18-02-081-08</t>
  </si>
  <si>
    <t>Аппарат ультразвуковой проходной</t>
  </si>
  <si>
    <t>ТЕРм18-02-081-09</t>
  </si>
  <si>
    <t>Станок для обрезки заусенцев колец прямоугольного сечения</t>
  </si>
  <si>
    <t xml:space="preserve">                                   Оборудование регенераторного производства</t>
  </si>
  <si>
    <t>ТЕРм18-02-082-01</t>
  </si>
  <si>
    <t>Девулканизатор непрерывного действия, диаметр 3200 мм, с тепловой станцией</t>
  </si>
  <si>
    <t>ТЕРм18-02-082-02</t>
  </si>
  <si>
    <t>Установка реакторно-смесительная для шихты регенератора, производительность 600 кг/ч</t>
  </si>
  <si>
    <t>ТЕРм18-02-082-03</t>
  </si>
  <si>
    <t>Машина для измельчения покрышек (механическим способом) без вырезки бортовых колец</t>
  </si>
  <si>
    <t>ТЕРм18-02-082-04</t>
  </si>
  <si>
    <t>Станок борторезательный универсальный для крупногабаритных шин</t>
  </si>
  <si>
    <t>ТЕРм18-02-082-05</t>
  </si>
  <si>
    <t>Агрегат для измельчения резиновых отходов</t>
  </si>
  <si>
    <t>ТЕРм18-02-082-06</t>
  </si>
  <si>
    <t>Ножницы механические для резки автопокрышек</t>
  </si>
  <si>
    <t>ТЕРм18-02-082-07</t>
  </si>
  <si>
    <t>Девулканизатор червячный лабораторный</t>
  </si>
  <si>
    <t>ТЕРм18-02-082-08</t>
  </si>
  <si>
    <t>Станок для вырубки вентилей из ездовых камер</t>
  </si>
  <si>
    <t xml:space="preserve">                                   Оборудование для производства формовых и неформовых изделий</t>
  </si>
  <si>
    <t>ТЕРм18-02-083-01</t>
  </si>
  <si>
    <t>Пресс вулканизационный гидравлический, усилие 12,5 МН (1250 тс)</t>
  </si>
  <si>
    <t>ТЕРм18-02-083-02</t>
  </si>
  <si>
    <t>Станок для разъема пресс-форм и измельчения уплотнителей превентеров</t>
  </si>
  <si>
    <t>ТЕРм18-02-083-03</t>
  </si>
  <si>
    <t>Станок для вырубки заготовок и обрезки ковриков</t>
  </si>
  <si>
    <t>ТЕРм18-02-083-04</t>
  </si>
  <si>
    <t>Пресс гидравлический вулканизационный</t>
  </si>
  <si>
    <t>ТЕРм18-02-083-05</t>
  </si>
  <si>
    <t>Установка для промазки арматуры клеем</t>
  </si>
  <si>
    <t>ТЕРм18-02-083-06</t>
  </si>
  <si>
    <t>Пресс литьевой плунжерный челюстной для стыковки профилей</t>
  </si>
  <si>
    <t>ТЕРм18-02-083-07</t>
  </si>
  <si>
    <t>Станок для резки лент с бобин на узкие ленточки для питания литьевых машин</t>
  </si>
  <si>
    <t>ТЕРм18-02-083-08</t>
  </si>
  <si>
    <t>Питатель для червячных машин, диаметр от 63 до 1600 мм</t>
  </si>
  <si>
    <t>ТЕРм18-02-083-09</t>
  </si>
  <si>
    <t>Установка щеточная для удаления облоя с ТХМ</t>
  </si>
  <si>
    <t xml:space="preserve">                                   Оборудование для производства клиновых ремней</t>
  </si>
  <si>
    <t>ТЕРм18-02-084-01</t>
  </si>
  <si>
    <t>Станок для снятия заусенцев, измерения длин и маркировки клиновых ремней</t>
  </si>
  <si>
    <t>ТЕРм18-02-084-02</t>
  </si>
  <si>
    <t>Станок для сборки клиновых ремней, длина до 2650 м</t>
  </si>
  <si>
    <t>ТЕРм18-02-084-03</t>
  </si>
  <si>
    <t>Питатель к станкам для сборки заготовок клиновых ремней, длина от 0,63 до 16 м</t>
  </si>
  <si>
    <t>ТЕРм18-02-084-04</t>
  </si>
  <si>
    <t>Вулканизатор полуавтоматический для клиновых ремней</t>
  </si>
  <si>
    <t>ТЕРм18-02-084-05</t>
  </si>
  <si>
    <t>Пресс вулканизационный челюстной гидравлический для клиновых ремней</t>
  </si>
  <si>
    <t>ТЕРм18-02-084-06</t>
  </si>
  <si>
    <t>Станок для обертки сердечников клиновых ремней, длина до 8 м</t>
  </si>
  <si>
    <t xml:space="preserve">                                   Оборудование шиноремонтных заводов</t>
  </si>
  <si>
    <t>ТЕРм18-02-085-01</t>
  </si>
  <si>
    <t>Сушилка терморадиационная непрерывного действия</t>
  </si>
  <si>
    <t>ТЕРм18-02-085-02</t>
  </si>
  <si>
    <t>Сушилка элеваторно-роликовая</t>
  </si>
  <si>
    <t>ТЕРм18-02-085-03</t>
  </si>
  <si>
    <t>Вулканизатор для восстановления покрышек</t>
  </si>
  <si>
    <t>ТЕРм18-02-085-04</t>
  </si>
  <si>
    <t>Вулканизатор секторный для ремонта местных повреждений покрышек с электроподогревом</t>
  </si>
  <si>
    <t>ТЕРм18-02-085-05</t>
  </si>
  <si>
    <t>Агрегат для заполнения резиной местных повреждений</t>
  </si>
  <si>
    <t>ТЕРм18-02-085-06</t>
  </si>
  <si>
    <t>Машина моечная для покрышек, тип 800-01-1</t>
  </si>
  <si>
    <t>ТЕРм18-02-085-07</t>
  </si>
  <si>
    <t>Машина моечная для покрышек, тип 800-02</t>
  </si>
  <si>
    <t>ТЕРм18-02-085-08</t>
  </si>
  <si>
    <t>Установка для замера влажности</t>
  </si>
  <si>
    <t>ТЕРм18-02-085-09</t>
  </si>
  <si>
    <t>Установка для шероховки автопокрышек с гибким валом</t>
  </si>
  <si>
    <t xml:space="preserve">                                   Оборудование для производства асбестовых технических изделий</t>
  </si>
  <si>
    <t>ТЕРм18-02-086-01</t>
  </si>
  <si>
    <t>Измельчитель для распушки асбомасс</t>
  </si>
  <si>
    <t>ТЕРм18-02-086-02</t>
  </si>
  <si>
    <t>Смеситель для резино-асбестовой смеси, вместимость 2 м3</t>
  </si>
  <si>
    <t>ТЕРм18-02-086-03</t>
  </si>
  <si>
    <t>Агрегат ленточно-брикетный тормозных колодок</t>
  </si>
  <si>
    <t>ТЕРм18-02-086-04</t>
  </si>
  <si>
    <t>Станок отрезной вальцованной ленты</t>
  </si>
  <si>
    <t>ТЕРм18-02-086-05</t>
  </si>
  <si>
    <t>Линия формирования тормозных колодок роторная</t>
  </si>
  <si>
    <t>ТЕРм18-02-086-06</t>
  </si>
  <si>
    <t>Установка для брикетирования тормозных накладок</t>
  </si>
  <si>
    <t>ТЕРм18-02-086-07</t>
  </si>
  <si>
    <t>Линия для резки металлической сетки</t>
  </si>
  <si>
    <t>ТЕРм18-02-086-08</t>
  </si>
  <si>
    <t>Линия для пропитки, сушки и намотки нитей</t>
  </si>
  <si>
    <t>ТЕРм18-02-086-09</t>
  </si>
  <si>
    <t>Агрегат рециркуляционный, термический, проходной</t>
  </si>
  <si>
    <t>ТЕРм18-02-086-10</t>
  </si>
  <si>
    <t>Вальцы для паронита, рабочая длина валков 1800 мм</t>
  </si>
  <si>
    <t>ТЕРм18-02-086-11</t>
  </si>
  <si>
    <t>Агрегат для вулканизации изделий из паронита</t>
  </si>
  <si>
    <t>ТЕРм18-02-086-12</t>
  </si>
  <si>
    <t>Станок намотки кольцевых заготовок накладок сцепления</t>
  </si>
  <si>
    <t>ТЕРм18-02-086-13</t>
  </si>
  <si>
    <t>Станок для вязания кольцевых заготовок накладок сцепления</t>
  </si>
  <si>
    <t>ТЕРм18-02-086-14</t>
  </si>
  <si>
    <t>Роторный агрегат для обработки железнодорожных колодок</t>
  </si>
  <si>
    <t>ТЕРм18-02-086-15</t>
  </si>
  <si>
    <t>Станок для шлифовки профилированных тормозных накладок</t>
  </si>
  <si>
    <t>ТЕРм18-02-086-16</t>
  </si>
  <si>
    <t>Дозатор - питатель вальцев</t>
  </si>
  <si>
    <t>ТЕРм18-02-086-17</t>
  </si>
  <si>
    <t>Станок маркировочный</t>
  </si>
  <si>
    <t>ТЕРм18-02-086-18</t>
  </si>
  <si>
    <t>Установка для графитирования асбостальных листов</t>
  </si>
  <si>
    <t xml:space="preserve">                                   Оборудование для производства резиновой обуви</t>
  </si>
  <si>
    <t>ТЕРм18-02-087-01</t>
  </si>
  <si>
    <t>Машина для обрубки верха оболочек обуви из пластизоля ПВХ</t>
  </si>
  <si>
    <t>ТЕРм18-02-087-02</t>
  </si>
  <si>
    <t>Машина обрубочная с индивидуальным аспиратором</t>
  </si>
  <si>
    <t>ТЕРм18-02-087-03</t>
  </si>
  <si>
    <t>Станок плоскорезательный</t>
  </si>
  <si>
    <t>ТЕРм18-02-087-04</t>
  </si>
  <si>
    <t>Агрегат для вырубки деталей резиновой обуви</t>
  </si>
  <si>
    <t>ТЕРм18-02-087-05</t>
  </si>
  <si>
    <t>Установка для каландрования (с приводом ЛДК)</t>
  </si>
  <si>
    <t>ТЕРм18-02-087-06</t>
  </si>
  <si>
    <t>Вулканизатор местного ремонта лакированной обуви</t>
  </si>
  <si>
    <t>ТЕРм18-02-087-07</t>
  </si>
  <si>
    <t>Установка для полимеризации образцов обуви из пластизоля ПВХ</t>
  </si>
  <si>
    <t>ТЕРм18-02-087-08</t>
  </si>
  <si>
    <t>Пресс трехпозиционный для обжима и приклейки подкладки</t>
  </si>
  <si>
    <t>ТЕРм18-02-087-09</t>
  </si>
  <si>
    <t>Агрегат для изготовления эластичных камер для подставки высоких сапог</t>
  </si>
  <si>
    <t>ТЕРм18-02-087-10</t>
  </si>
  <si>
    <t>Комплект оборудования для изготовления деталей низа формовой резиновой обуви</t>
  </si>
  <si>
    <t>ТЕРм18-02-087-11</t>
  </si>
  <si>
    <t>Комплектная линия профилирования и закроя облицовочной резины формовых сапог</t>
  </si>
  <si>
    <t>ТЕРм18-02-087-12</t>
  </si>
  <si>
    <t>Линия для изготовления оболочки обуви из пластизоля ПХВ</t>
  </si>
  <si>
    <t>ТЕРм18-02-087-13</t>
  </si>
  <si>
    <t>Машина для двухразовой намазки и сушки каблуков</t>
  </si>
  <si>
    <t>ТЕРм18-02-087-14</t>
  </si>
  <si>
    <t>Машина с элеватором для намазки деталей</t>
  </si>
  <si>
    <t>ТЕРм18-02-087-15</t>
  </si>
  <si>
    <t>Установка однопозиционная изготовления форм из полиуретана</t>
  </si>
  <si>
    <t>ТЕРм18-02-087-16</t>
  </si>
  <si>
    <t>Агрегат карусельный для изготовления низа обуви из полиуретана</t>
  </si>
  <si>
    <t>ТЕРм18-02-087-17</t>
  </si>
  <si>
    <t>Станок шероховально-обрезной с камерой для осаждения шероховальной пыли</t>
  </si>
  <si>
    <t>ТЕРм18-02-087-18</t>
  </si>
  <si>
    <t>Полуавтомат для лакировки сапожек</t>
  </si>
  <si>
    <t xml:space="preserve">                                   Раздел 7. ОБОРУДОВАНИЕ ПРЕДПРИЯТИЙ ХЛОРНОЙ ПРОМЫШЛЕННОСТИ</t>
  </si>
  <si>
    <t xml:space="preserve">                                   Колонны, теплообменники, абсорберы, конденсаторы графитовые</t>
  </si>
  <si>
    <t>ТЕРм18-02-100-01</t>
  </si>
  <si>
    <t>Колонна графитовая насадочная или колпачковая из отдельных царг, диаметр аппарата 300 мм</t>
  </si>
  <si>
    <t>ТЕРм18-02-100-02</t>
  </si>
  <si>
    <t>Колонна графитовая насадочная или колпачковая из отдельных царг, диаметр аппарата 400 мм</t>
  </si>
  <si>
    <t>ТЕРм18-02-100-03</t>
  </si>
  <si>
    <t>Колонна графитовая насадочная или колпачковая из отдельных царг, диаметр аппарата 500 мм</t>
  </si>
  <si>
    <t>ТЕРм18-02-100-04</t>
  </si>
  <si>
    <t>Колонна графитовая насадочная или колпачковая из отдельных царг, диаметр аппарата 600 мм</t>
  </si>
  <si>
    <t>ТЕРм18-02-100-05</t>
  </si>
  <si>
    <t>Колонна графитовая насадочная или колпачковая из отдельных царг, диаметр аппарата 800 мм</t>
  </si>
  <si>
    <t>ТЕРм18-02-100-06</t>
  </si>
  <si>
    <t>Колонна графитовая насадочная или колпачковая из отдельных царг, диаметр аппарата 900 мм</t>
  </si>
  <si>
    <t>ТЕРм18-02-100-07</t>
  </si>
  <si>
    <t>Колонна графитовая насадочная или колпачковая из отдельных царг, диаметр аппарата 1000 мм</t>
  </si>
  <si>
    <t>ТЕРм18-02-100-08</t>
  </si>
  <si>
    <t>Колонна графитовая насадочная или колпачковая из отдельных царг, диаметр аппарата 1200 мм</t>
  </si>
  <si>
    <t>ТЕРм18-02-100-09</t>
  </si>
  <si>
    <t>Теплообменники, конденсаторы и асбсорберы графитовые крупноблочные, квадратные и кожухотрубные одно- и двухходовые в кожухе из стали, масса аппарата 0,51 т</t>
  </si>
  <si>
    <t>ТЕРм18-02-100-10</t>
  </si>
  <si>
    <t>Теплообменники, конденсаторы и асбсорберы графитовые крупноблочные, квадратные и кожухотрубные одно- и двухходовые в кожухе из стали, масса аппарата 1 т</t>
  </si>
  <si>
    <t>ТЕРм18-02-100-11</t>
  </si>
  <si>
    <t>Теплообменники, конденсаторы и асбсорберы графитовые крупноблочные, квадратные и кожухотрубные одно- и двухходовые в кожухе из стали, масса аппарата 2 т</t>
  </si>
  <si>
    <t>ТЕРм18-02-100-12</t>
  </si>
  <si>
    <t>Теплообменники, конденсаторы и асбсорберы графитовые крупноблочные, квадратные и кожухотрубные одно- и двухходовые в кожухе из стали, масса аппарата 3 т</t>
  </si>
  <si>
    <t>ТЕРм18-02-100-13</t>
  </si>
  <si>
    <t>Теплообменники, конденсаторы и асбсорберы графитовые крупноблочные, квадратные и кожухотрубные одно- и двухходовые в кожухе из стали, масса аппарата 5 т</t>
  </si>
  <si>
    <t xml:space="preserve">                                   Электролизеры диафрагменные с титановыми анодами</t>
  </si>
  <si>
    <t>ТЕРм18-02-101-01</t>
  </si>
  <si>
    <t>Электролизер диафрагменный с титановым анодом, тип БГК-50/25</t>
  </si>
  <si>
    <t>ТЕРм18-02-101-02</t>
  </si>
  <si>
    <t>Электролизер диафрагменный с титановым анодом, тип БГК-75</t>
  </si>
  <si>
    <t>ТЕРм18-02-101-03</t>
  </si>
  <si>
    <t>Электролизер диафрагменный с титановым анодом, тип БГК-100</t>
  </si>
  <si>
    <t xml:space="preserve">                                   Электролизеры диафрагменные с графитовыми анодами</t>
  </si>
  <si>
    <t>ТЕРм18-02-102-01</t>
  </si>
  <si>
    <t>Электролизер диафрагменный с графитовым анодом, тип БГК-50</t>
  </si>
  <si>
    <t>ТЕРм18-02-102-02</t>
  </si>
  <si>
    <t>Электролизер диафрагменный с графитовым анодом, тип БГК-62,5</t>
  </si>
  <si>
    <t xml:space="preserve">                                   Электролизеры диафрагменные монополярные</t>
  </si>
  <si>
    <t>ТЕРм18-02-103-01</t>
  </si>
  <si>
    <t>Электролизер диафрагменный монополярный, тип ДМ-50-17-01</t>
  </si>
  <si>
    <t>ТЕРм18-02-103-02</t>
  </si>
  <si>
    <t>Электролизер диафрагменный монополярный, тип ДМ-62</t>
  </si>
  <si>
    <t>ТЕРм18-02-103-03</t>
  </si>
  <si>
    <t>Электролизер диафрагменный монополярный, тип ДМ-75</t>
  </si>
  <si>
    <t>ТЕРм18-02-103-04</t>
  </si>
  <si>
    <t>Электролизер диафрагменный монополярный, тип ДМ-100</t>
  </si>
  <si>
    <t xml:space="preserve">                                   Раздел 8. ОБОРУДОВАНИЕ ПРЕДПРИЯТИЙ ПРОМЫШЛЕННОСТИ ПЛАСТИЧЕСКИХ МАСС</t>
  </si>
  <si>
    <t xml:space="preserve">                                   Оборудование производства пластических масс и их переработки</t>
  </si>
  <si>
    <t>ТЕРм18-02-110-01</t>
  </si>
  <si>
    <t>Агрегат для переработки отходов из пластмасс, масса 0,3 т</t>
  </si>
  <si>
    <t>ТЕРм18-02-110-02</t>
  </si>
  <si>
    <t>Агрегат для переработки отходов из пластмасс, масса 2,9 т</t>
  </si>
  <si>
    <t>ТЕРм18-02-110-03</t>
  </si>
  <si>
    <t>Агрегат смесителя, тип 40С 200х11</t>
  </si>
  <si>
    <t>ТЕРм18-02-110-04</t>
  </si>
  <si>
    <t>Смеситель с планетарной шнековой мешалкой, вместимость до 10 м3</t>
  </si>
  <si>
    <t>ТЕРм18-02-110-05</t>
  </si>
  <si>
    <t>Линия гранулирования вторичных термопластов</t>
  </si>
  <si>
    <t>ТЕРм18-02-110-06</t>
  </si>
  <si>
    <t>Линия для производства труб, масса 17 т</t>
  </si>
  <si>
    <t>ТЕРм18-02-110-07</t>
  </si>
  <si>
    <t>Линия для производства труб, масса 76,8 т</t>
  </si>
  <si>
    <t>ТЕРм18-02-110-08</t>
  </si>
  <si>
    <t>Линия для производства рукавной пленки для мешков</t>
  </si>
  <si>
    <t>ТЕРм18-02-110-09</t>
  </si>
  <si>
    <t>Установка осушки воздуха, тип УОВ-100</t>
  </si>
  <si>
    <t>ТЕРм18-02-110-10</t>
  </si>
  <si>
    <t>Роботизированный технический модуль, тип «Универсал-60»</t>
  </si>
  <si>
    <t>ТЕРм18-02-110-11</t>
  </si>
  <si>
    <t>Машина таблеточная, масса 1,5 т</t>
  </si>
  <si>
    <t>ТЕРм18-02-110-12</t>
  </si>
  <si>
    <t>Машина таблеточная, масса 2,2 т</t>
  </si>
  <si>
    <t>ТЕРм18-02-110-13</t>
  </si>
  <si>
    <t>Машина таблеточная, масса 2,9 т</t>
  </si>
  <si>
    <t>ТЕРм18-02-110-14</t>
  </si>
  <si>
    <t>Машина таблеточная, масса 3,6 т</t>
  </si>
  <si>
    <t>ТЕРм18-02-110-15</t>
  </si>
  <si>
    <t>Машина пропиточная с дифференциальным обогревом ВПМ-1200ДО</t>
  </si>
  <si>
    <t>ТЕРм18-02-110-16</t>
  </si>
  <si>
    <t>Смеситель пластмасс с пневмоприводом</t>
  </si>
  <si>
    <t>ТЕРм18-02-110-17</t>
  </si>
  <si>
    <t>Измельчитель пластмасс роторный, масса 0,08 т</t>
  </si>
  <si>
    <t>ТЕРм18-02-110-18</t>
  </si>
  <si>
    <t>Измельчитель пластмасс роторный, масса 1,3 т</t>
  </si>
  <si>
    <t>ТЕРм18-02-110-19</t>
  </si>
  <si>
    <t>Гидравлический станок «КАБЕСТАН», тип ГС-300М</t>
  </si>
  <si>
    <t>ТЕРм18-02-110-20</t>
  </si>
  <si>
    <t>Агрегат выдувной, тип АГВ-10</t>
  </si>
  <si>
    <t xml:space="preserve">                                   Раздел 9. ОБОРУДОВАНИЕ ПРЕДПРИЯТИЙ ЛАКОКРАСОЧНОЙ ПРОМЫШЛЕННОСТИ</t>
  </si>
  <si>
    <t xml:space="preserve">                                   Линии фасовки лаков и эмалей</t>
  </si>
  <si>
    <t>ТЕРм18-02-120-01</t>
  </si>
  <si>
    <t>Линия автоматическая фасовки в банки, масса 3,4 т</t>
  </si>
  <si>
    <t>ТЕРм18-02-120-02</t>
  </si>
  <si>
    <t>Линия автоматическая фасовки в банки, масса 6,9 т</t>
  </si>
  <si>
    <t>ТЕРм18-02-120-03</t>
  </si>
  <si>
    <t>Линия автоматическая фасовки в банки, масса 16,7 т</t>
  </si>
  <si>
    <t>ТЕРм18-02-120-04</t>
  </si>
  <si>
    <t>Линия автоматическая фасовки во фляги</t>
  </si>
  <si>
    <t>ТЕРм18-02-120-05</t>
  </si>
  <si>
    <t>Линия автоматическая фасовки в бочки</t>
  </si>
  <si>
    <t>ТЕРм18-02-120-06</t>
  </si>
  <si>
    <t>Установка полуавтоматическая для фасовки в контейнеры</t>
  </si>
  <si>
    <t xml:space="preserve">                                   Измельчители бисерные</t>
  </si>
  <si>
    <t>ТЕРм18-02-121-01</t>
  </si>
  <si>
    <t>Измельчитель бисерный, масса 0,28 т</t>
  </si>
  <si>
    <t>ТЕРм18-02-121-02</t>
  </si>
  <si>
    <t>Измельчитель бисерный, масса 0,9 т</t>
  </si>
  <si>
    <t>ТЕРм18-02-121-03</t>
  </si>
  <si>
    <t>Измельчитель бисерный, масса 1,8 т</t>
  </si>
  <si>
    <t>ТЕРм18-02-121-04</t>
  </si>
  <si>
    <t>Измельчитель бисерный, масса 3,5 т</t>
  </si>
  <si>
    <t>ТЕРм18-02-121-05</t>
  </si>
  <si>
    <t>Измельчитель бисерный, масса 7 т</t>
  </si>
  <si>
    <t xml:space="preserve">                                   Смесители зубчато-дисковые</t>
  </si>
  <si>
    <t>ТЕРм18-02-122-01</t>
  </si>
  <si>
    <t>Смеситель зубчато-дисковый, масса 0,7 т</t>
  </si>
  <si>
    <t>ТЕРм18-02-122-02</t>
  </si>
  <si>
    <t>Смеситель зубчато-дисковый, масса 1 т</t>
  </si>
  <si>
    <t>ТЕРм18-02-122-03</t>
  </si>
  <si>
    <t>Смеситель зубчато-дисковый, масса 1,3 т</t>
  </si>
  <si>
    <t>ТЕРм18-02-122-04</t>
  </si>
  <si>
    <t>Смеситель зубчато-дисковый, масса 2,7 т</t>
  </si>
  <si>
    <t xml:space="preserve">                                   Машины краскотерочные</t>
  </si>
  <si>
    <t>ТЕРм18-02-123-01</t>
  </si>
  <si>
    <t>Машина краскотерочная трехвалковая</t>
  </si>
  <si>
    <t xml:space="preserve">                                   Мельницы шаровые для тонкого мокрого размола пигментов</t>
  </si>
  <si>
    <t>ТЕРм18-02-124-01</t>
  </si>
  <si>
    <t>Мельница шаровая с футеровкой керамической, вместимость 1680 л</t>
  </si>
  <si>
    <t>ТЕРм18-02-124-02</t>
  </si>
  <si>
    <t>Мельница шаровая с футеровкой керамической, вместимость 4400 л</t>
  </si>
  <si>
    <t>ТЕРм18-02-124-03</t>
  </si>
  <si>
    <t>Мельница шаровая с футеровкой металлической, вместимость 1000 л</t>
  </si>
  <si>
    <t>ТЕРм18-02-124-04</t>
  </si>
  <si>
    <t>Мельница шаровая с футеровкой металлической, вместимость 2000 л</t>
  </si>
  <si>
    <t>ТЕРм18-02-124-05</t>
  </si>
  <si>
    <t>Мельница шаровая с футеровкой металлической, вместимость 4000 л</t>
  </si>
  <si>
    <t xml:space="preserve">                                   Установки разбраковки тары</t>
  </si>
  <si>
    <t>ТЕРм18-02-125-01</t>
  </si>
  <si>
    <t>Установка разбраковки барабанов по герметичности</t>
  </si>
  <si>
    <t xml:space="preserve">                                   Устройство для передачи тары с напольного конвейера на подвесной</t>
  </si>
  <si>
    <t>ТЕРм18-02-126-01</t>
  </si>
  <si>
    <t>Устройство погрузочное</t>
  </si>
  <si>
    <t xml:space="preserve">                                   Печи проходные газовые для обжига тары</t>
  </si>
  <si>
    <t>ТЕРм18-02-127-01</t>
  </si>
  <si>
    <t>Печь проходная газовая для обжига фляг</t>
  </si>
  <si>
    <t xml:space="preserve">                                   Камеры сушильные проходные непрерывного действия конвейерного типа</t>
  </si>
  <si>
    <t>ТЕРм18-02-128-01</t>
  </si>
  <si>
    <t>Камера сушильная конвективная паровая</t>
  </si>
  <si>
    <t>ТЕРм18-02-128-02</t>
  </si>
  <si>
    <t>Камера сушильная электрорадиационно-конвективная</t>
  </si>
  <si>
    <t>ТЕРм18-02-128-03</t>
  </si>
  <si>
    <t>Камера сушильная терморадиационно-конвекционная</t>
  </si>
  <si>
    <t xml:space="preserve">                                   Машины для мойки тары роторного типа</t>
  </si>
  <si>
    <t>ТЕРм18-02-129-01</t>
  </si>
  <si>
    <t>Машина моечная для бочек или фляг с механическим удалением шлама, вместимость ванны 9,5 м3</t>
  </si>
  <si>
    <t xml:space="preserve">                                   Машины для мойки тары форсуночного типа</t>
  </si>
  <si>
    <t>ТЕРм18-02-130-01</t>
  </si>
  <si>
    <t>Установка для мойки бочек, вместимость 200 л</t>
  </si>
  <si>
    <t xml:space="preserve">                                   Камеры полиэтиленирования фляг</t>
  </si>
  <si>
    <t>ТЕРм18-02-131-01</t>
  </si>
  <si>
    <t>Камера полиэтиленирования фляг методом осаждения ионизированных частиц полиэтилена</t>
  </si>
  <si>
    <t xml:space="preserve">                                   Агрегаты подготовки поверхности под защитные покрытия</t>
  </si>
  <si>
    <t>ТЕРм18-02-132-01</t>
  </si>
  <si>
    <t>Агрегат подгонки поверхности</t>
  </si>
  <si>
    <t>ТЕРм18-02-132-02</t>
  </si>
  <si>
    <t>Камера для ополаскивания бочек</t>
  </si>
  <si>
    <t xml:space="preserve">                                   Мерники весовые</t>
  </si>
  <si>
    <t>ТЕРм18-02-133-01</t>
  </si>
  <si>
    <t>Мерник весовой, вместимость 0,63 м3</t>
  </si>
  <si>
    <t>ТЕРм18-02-133-02</t>
  </si>
  <si>
    <t>Мерник весовой, вместимость 1 м3</t>
  </si>
  <si>
    <t>ТЕРм18-02-133-03</t>
  </si>
  <si>
    <t>Мерник весовой, вместимость 2,5 м3</t>
  </si>
  <si>
    <t xml:space="preserve">                                   Камеры для разогрева застывающих жидкостей</t>
  </si>
  <si>
    <t>ТЕРм18-02-134-01</t>
  </si>
  <si>
    <t>Камера для разогрева банок и бочек, масса 1 т</t>
  </si>
  <si>
    <t>ТЕРм18-02-134-02</t>
  </si>
  <si>
    <t>Камера для разогрева банок и бочек, масса 3,8 т</t>
  </si>
  <si>
    <t xml:space="preserve">                                   Установки определения места дефекта фляг по герметичности</t>
  </si>
  <si>
    <t>ТЕРм18-02-135-01</t>
  </si>
  <si>
    <t>Тестер</t>
  </si>
  <si>
    <t xml:space="preserve">                                   Конвейеры двухцепные</t>
  </si>
  <si>
    <t>ТЕРм18-02-136-01</t>
  </si>
  <si>
    <t>Конвейер двухцепный напольный длиной 19350 мм</t>
  </si>
  <si>
    <t xml:space="preserve">                                   Раздел 10. ОБОРУДОВАНИЕ ПРЕДПРИЯТИЙ ГОРНО-ХИМИЧЕСКОЙ ПРОМЫШЛЕННОСТИ</t>
  </si>
  <si>
    <t xml:space="preserve">                                   Отстойники жидкой серы</t>
  </si>
  <si>
    <t>ТЕРм18-02-150-01</t>
  </si>
  <si>
    <t>Отстойник жидкой серы, диаметр 10340 мм, высота 8120 мм</t>
  </si>
  <si>
    <t xml:space="preserve">                                   Автоклавы сероплавильные</t>
  </si>
  <si>
    <t>ТЕРм18-02-151-01</t>
  </si>
  <si>
    <t>Автоклав сероплавильный, диаметр 3230 мм, высота 9800 мм</t>
  </si>
  <si>
    <t xml:space="preserve">                                   Оборудование предприятий калийной промышленности</t>
  </si>
  <si>
    <t>ТЕРм18-02-152-01</t>
  </si>
  <si>
    <t>Машина флотационная двухкамерная пневмомеханическая</t>
  </si>
  <si>
    <t>ТЕРм18-02-152-02</t>
  </si>
  <si>
    <t>Машина флотационная двухкамерная механическая</t>
  </si>
  <si>
    <t>ТЕРм18-02-152-03</t>
  </si>
  <si>
    <t>Вакуум-кристаллизатор, размеры 2800 мм, длина 9350 мм</t>
  </si>
  <si>
    <t>ТЕРм18-02-152-04</t>
  </si>
  <si>
    <t>Вакуум-кристаллизатор, размеры 3000 мм, длина 12000 мм</t>
  </si>
  <si>
    <t>ТЕРм18-02-152-05</t>
  </si>
  <si>
    <t>Вакуум-кристаллизатор, размеры 3600 мм, длина 16400 мм</t>
  </si>
  <si>
    <t>ТЕРм18-02-152-06</t>
  </si>
  <si>
    <t>Мешалка горизонтальная лопастная корытообразная</t>
  </si>
  <si>
    <t>ТЕРм18-02-152-07</t>
  </si>
  <si>
    <t>Растворитель шнековый с обезвоживающим наклонным элеватором, масса 144 т</t>
  </si>
  <si>
    <t>ТЕРм18-02-152-08</t>
  </si>
  <si>
    <t>Растворитель шнековый с обезвоживающим наклонным элеватором, масса 345 т</t>
  </si>
  <si>
    <t>ТЕРм18-02-152-09</t>
  </si>
  <si>
    <t>Сушилка кипящего слоя для сушки хлористого калия крупнозернистого</t>
  </si>
  <si>
    <t>ТЕРм18-02-152-10</t>
  </si>
  <si>
    <t>Сушилка кипящего слоя для сушки хлористого калия мелкозернистого</t>
  </si>
  <si>
    <t>ТЕРм18-02-152-11</t>
  </si>
  <si>
    <t>Агрегат погружного горения, тип ПГ-8</t>
  </si>
  <si>
    <t xml:space="preserve">                           Раздел 3. ОТДЕЛ 03. ОБОРУДОВАНИЕ ПРЕДПРИЯТИЙ КИСЛОРОДНОЙ ПРОМЫШЛЕННОСТИ</t>
  </si>
  <si>
    <t xml:space="preserve">                                   Раздел 1. ОБОРУДОВАНИЕ ПРЕДПРИЯТИЙ КИСЛОРОДНОЙ ПРОМЫШЛЕННОСТИ</t>
  </si>
  <si>
    <t xml:space="preserve">                                   Установки разделения воздуха</t>
  </si>
  <si>
    <t>ТЕРм18-03-001-01</t>
  </si>
  <si>
    <t>Установка жидкого и газообразного кислорода и азота, тип КЖАЖ-0,04М</t>
  </si>
  <si>
    <t>ТЕРм18-03-001-02</t>
  </si>
  <si>
    <t>Установка разделения воздуха, тип КЖАЖ-0,25</t>
  </si>
  <si>
    <t>ТЕРм18-03-001-03</t>
  </si>
  <si>
    <t>Установка разделения воздуха, тип АК-1,5</t>
  </si>
  <si>
    <t>ТЕРм18-03-001-04</t>
  </si>
  <si>
    <t>Установка разделения воздуха, тип К-1,4</t>
  </si>
  <si>
    <t>ТЕРм18-03-001-05</t>
  </si>
  <si>
    <t>Установка разделения воздуха, тип К-1,4, в том числе вспомогательные работы</t>
  </si>
  <si>
    <t>ТЕРм18-03-001-06</t>
  </si>
  <si>
    <t>Установка разделения воздуха, тип К-1,4, в том числе аппараты</t>
  </si>
  <si>
    <t>ТЕРм18-03-001-07</t>
  </si>
  <si>
    <t>Установка разделения воздуха, тип К-1,4, в том числе арматура и узлы блока, турбодетандерный агрегат, механизм переключения, блок насосов, разводка труб</t>
  </si>
  <si>
    <t>ТЕРм18-03-001-08</t>
  </si>
  <si>
    <t>Установка разделения воздуха, тип К-1,4, в том числе кожух защитный</t>
  </si>
  <si>
    <t>ТЕРм18-03-001-09</t>
  </si>
  <si>
    <t>Установка разделения воздуха, тип К-1,4, в том числе испытание и продувка</t>
  </si>
  <si>
    <t>ТЕРм18-03-001-10</t>
  </si>
  <si>
    <t>Установка разделения воздуха, тип АЖКЖКААРЖ-2</t>
  </si>
  <si>
    <t>ТЕРм18-03-001-11</t>
  </si>
  <si>
    <t>Установка разделения воздуха, тип АЖКЖКААРЖ-2, в том числе вспомогательные работы</t>
  </si>
  <si>
    <t>ТЕРм18-03-001-12</t>
  </si>
  <si>
    <t>Установка разделения воздуха, тип АЖКЖКААРЖ-2, в том числе аппараты</t>
  </si>
  <si>
    <t>ТЕРм18-03-001-13</t>
  </si>
  <si>
    <t>Установка разделения воздуха, тип АЖКЖКААРЖ-2, в том числе арматура и узлы блока, турбодетандерный агрегат, блок насосов, агрегат смазки</t>
  </si>
  <si>
    <t>ТЕРм18-03-001-14</t>
  </si>
  <si>
    <t>Установка разделения воздуха, тип АЖКЖКААРЖ-2, в том числе кожух защитный</t>
  </si>
  <si>
    <t>ТЕРм18-03-001-15</t>
  </si>
  <si>
    <t>Установка разделения воздуха, тип АЖКЖКААРЖ-2, в том числе испытание и продувка</t>
  </si>
  <si>
    <t>ТЕРм18-03-001-16</t>
  </si>
  <si>
    <t>Установка разделения воздуха, тип А-6, монтаж в здании</t>
  </si>
  <si>
    <t>ТЕРм18-03-001-17</t>
  </si>
  <si>
    <t>Установка разделения воздуха, тип А-6, монтаж в здании, в том числе вспомогательные работы</t>
  </si>
  <si>
    <t>ТЕРм18-03-001-18</t>
  </si>
  <si>
    <t>Установка разделения воздуха, тип А-6, монтаж в здании, в том числе аппараты</t>
  </si>
  <si>
    <t>ТЕРм18-03-001-19</t>
  </si>
  <si>
    <t>Установка разделения воздуха, тип А-6, монтаж в здании, в том числе арматура и узлы блока, турбодетандерный агрегат, механизм переключения, блок насосов, разводка труб</t>
  </si>
  <si>
    <t>ТЕРм18-03-001-20</t>
  </si>
  <si>
    <t>Установка разделения воздуха, тип А-6, монтаж в здании, в том числе кожух защитный</t>
  </si>
  <si>
    <t>ТЕРм18-03-001-21</t>
  </si>
  <si>
    <t>Установка разделения воздуха, тип А-6, монтаж в здании, в том числе испытание и продувка</t>
  </si>
  <si>
    <t>ТЕРм18-03-001-22</t>
  </si>
  <si>
    <t>Установка разделения воздуха, тип А-6-1, монтаж вне здания</t>
  </si>
  <si>
    <t>ТЕРм18-03-001-23</t>
  </si>
  <si>
    <t>Установка разделения воздуха, тип А-6-1, монтаж вне здания, в том числе вспомогательные работы</t>
  </si>
  <si>
    <t>ТЕРм18-03-001-24</t>
  </si>
  <si>
    <t>Установка разделения воздуха, тип А-6-1, монтаж вне здания, в том числе аппараты</t>
  </si>
  <si>
    <t>ТЕРм18-03-001-25</t>
  </si>
  <si>
    <t>Установка разделения воздуха, тип А-6-1, монтаж вне здания, в том числе арматура и узлы блока, турбодетандерный агрегат, механизм переключения, блок насосов, разводка труб</t>
  </si>
  <si>
    <t>ТЕРм18-03-001-26</t>
  </si>
  <si>
    <t>Установка разделения воздуха, тип А-6-1, монтаж вне здания, в том числе кожух защитный</t>
  </si>
  <si>
    <t>ТЕРм18-03-001-27</t>
  </si>
  <si>
    <t>Установка разделения воздуха, тип А-6-1, монтаж вне здания, в том числе испытание и продувка</t>
  </si>
  <si>
    <t>ТЕРм18-03-001-28</t>
  </si>
  <si>
    <t>Установка разделения воздуха, тип КААР-15, монтаж в здании</t>
  </si>
  <si>
    <t>ТЕРм18-03-001-29</t>
  </si>
  <si>
    <t>Установка разделения воздуха, тип КААР-15, монтаж в здании, в том числе вспомогательные работы</t>
  </si>
  <si>
    <t>ТЕРм18-03-001-30</t>
  </si>
  <si>
    <t>Установка разделения воздуха, тип КААР-15, монтаж в здании, в том числе аппараты</t>
  </si>
  <si>
    <t>ТЕРм18-03-001-31</t>
  </si>
  <si>
    <t>Установка разделения воздуха, тип КААР-15, монтаж в здании, в том числе арматура и узлы блока, турбодетандерный агрегат, механизм переключения, блок насосов, разводка труб</t>
  </si>
  <si>
    <t>ТЕРм18-03-001-32</t>
  </si>
  <si>
    <t>Установка разделения воздуха, тип КААР-15, монтаж в здании, в том числе кожух защитный</t>
  </si>
  <si>
    <t>ТЕРм18-03-001-33</t>
  </si>
  <si>
    <t>Установка разделения воздуха, тип КААР-15, монтаж в здании, в том числе испытание и продувка</t>
  </si>
  <si>
    <t>ТЕРм18-03-001-34</t>
  </si>
  <si>
    <t>Установка разделения воздуха, тип КААР-15-3 монтаж вне здания</t>
  </si>
  <si>
    <t>ТЕРм18-03-001-35</t>
  </si>
  <si>
    <t>Установка разделения воздуха, тип КААР-15-3 монтаж вне здания, в том числе вспомогательные работы</t>
  </si>
  <si>
    <t>ТЕРм18-03-001-36</t>
  </si>
  <si>
    <t>Установка разделения воздуха, тип КААР-15-3 монтаж вне здания, в том числе аппараты</t>
  </si>
  <si>
    <t>ТЕРм18-03-001-37</t>
  </si>
  <si>
    <t>Установка разделения воздуха, тип КААР-15-3 монтаж вне здания, в том числе арматура и узлы блока, турбодетандерный агрегат, механизм переключения, блок насосов, разводка труб</t>
  </si>
  <si>
    <t>ТЕРм18-03-001-38</t>
  </si>
  <si>
    <t>Установка разделения воздуха, тип КААР-15-3 монтаж вне здания, в том числе кожух защитный</t>
  </si>
  <si>
    <t>ТЕРм18-03-001-39</t>
  </si>
  <si>
    <t>Установка разделения воздуха, тип КААР-15-3 монтаж вне здания, в том числе испытание и продувка</t>
  </si>
  <si>
    <t>ТЕРм18-03-001-40</t>
  </si>
  <si>
    <t>Установка разделения воздуха, тип КААР-32-2</t>
  </si>
  <si>
    <t>ТЕРм18-03-001-41</t>
  </si>
  <si>
    <t>Установка разделения воздуха, тип КААР-32-2, в том числе вспомогательные работы</t>
  </si>
  <si>
    <t>ТЕРм18-03-001-42</t>
  </si>
  <si>
    <t>Установка разделения воздуха, тип КААР-32-2, в том числе аппараты</t>
  </si>
  <si>
    <t>ТЕРм18-03-001-43</t>
  </si>
  <si>
    <t>Установка разделения воздуха, тип КААР-32-2, в том числе арматура и узлы блока, турбодетандерный агрегат, блок насосов</t>
  </si>
  <si>
    <t>ТЕРм18-03-001-44</t>
  </si>
  <si>
    <t>Установка разделения воздуха, тип КААР-32-2, в том числе кожух защитный</t>
  </si>
  <si>
    <t>ТЕРм18-03-001-45</t>
  </si>
  <si>
    <t>Установка разделения воздуха, тип КААР-32-2, в том числе испытание и продувка</t>
  </si>
  <si>
    <t xml:space="preserve">                                   Фильтры для очистки воздуха от механических примесей</t>
  </si>
  <si>
    <t>ТЕРм18-03-002-01</t>
  </si>
  <si>
    <t>Фильтр рулонный, пропускная способность 40000 м3/ч</t>
  </si>
  <si>
    <t>ТЕРм18-03-002-02</t>
  </si>
  <si>
    <t>Фильтр рулонный, пропускная способность 80000 м3/ч</t>
  </si>
  <si>
    <t>ТЕРм18-03-002-03</t>
  </si>
  <si>
    <t>Фильтр сетчатый, пропускная способность 63000 м3/ч</t>
  </si>
  <si>
    <t>ТЕРм18-03-002-04</t>
  </si>
  <si>
    <t>Фильтр сетчатый, пропускная способность 160000 м3/ч</t>
  </si>
  <si>
    <t>ТЕРм18-03-002-05</t>
  </si>
  <si>
    <t>Фильтр сетчатый, пропускная способность 250000 м3/ч</t>
  </si>
  <si>
    <t xml:space="preserve">                                   Блоки для осушки кислорода</t>
  </si>
  <si>
    <t>ТЕРм18-03-003-01</t>
  </si>
  <si>
    <t>Блок осушки кислорода, тип СК-600/220</t>
  </si>
  <si>
    <t>ТЕРм18-03-003-02</t>
  </si>
  <si>
    <t>Блок осушки кислорода, тип СК-1500/40</t>
  </si>
  <si>
    <t xml:space="preserve">                                   Установки для осушки воздуха</t>
  </si>
  <si>
    <t>ТЕРм18-03-004-01</t>
  </si>
  <si>
    <t>Установка осушки воздуха, тип А 500</t>
  </si>
  <si>
    <t>ТЕРм18-03-004-02</t>
  </si>
  <si>
    <t>Установка осушки воздуха, тип А 800</t>
  </si>
  <si>
    <t xml:space="preserve">                                   Стационарные газификационные установки</t>
  </si>
  <si>
    <t>ТЕРм18-03-005-01</t>
  </si>
  <si>
    <t>Установка газификационная, тип Г-1,6-0,28/40</t>
  </si>
  <si>
    <t>ТЕРм18-03-005-02</t>
  </si>
  <si>
    <t>Установка газификационная, тип Г-7,4-0,5/20</t>
  </si>
  <si>
    <t xml:space="preserve">                                   Раздел 2. ОБОРУДОВАНИЕ КРИОГЕННЫХ УСТАНОВОК</t>
  </si>
  <si>
    <t xml:space="preserve">                                   Газификаторы холодные криогенные</t>
  </si>
  <si>
    <t>ТЕРм18-03-010-01</t>
  </si>
  <si>
    <t>Газификатор холодный криогенный, тип ГХК-3/1,6-200</t>
  </si>
  <si>
    <t>ТЕРм18-03-010-02</t>
  </si>
  <si>
    <t>Газификатор холодный криогенный, тип ГХК-8/1,6-500</t>
  </si>
  <si>
    <t>ТЕРм18-03-010-03</t>
  </si>
  <si>
    <t>Газификатор холодный криогенный, тип ГХК-25/1,6-2000</t>
  </si>
  <si>
    <t xml:space="preserve">                                   Установки криогенные гелиевые</t>
  </si>
  <si>
    <t>ТЕРм18-03-011-01</t>
  </si>
  <si>
    <t>Установка криогенная гелиевая КГУ-600/15-150/4,5-40</t>
  </si>
  <si>
    <t xml:space="preserve">                                   Рампы двухветвевые</t>
  </si>
  <si>
    <t>ТЕРм18-03-012-01</t>
  </si>
  <si>
    <t>Рампа двухветвевая перепускная с количеством баллонов 5</t>
  </si>
  <si>
    <t>ТЕРм18-03-012-02</t>
  </si>
  <si>
    <t>Рампа двухветвевая наполнительная с количеством баллонов 10</t>
  </si>
  <si>
    <t>ТЕРм18-03-012-03</t>
  </si>
  <si>
    <t>Агрегат ремонта и гидроиспытания баллонов</t>
  </si>
  <si>
    <t xml:space="preserve">                                   Раздел 3. ОБОРУДОВАНИЕ ДЛЯ ПРОИЗВОДСТВА АРГОНА</t>
  </si>
  <si>
    <t xml:space="preserve">                                   Установки очистки сырого аргона</t>
  </si>
  <si>
    <t>ТЕРм18-03-020-01</t>
  </si>
  <si>
    <t>Установка очистки сырого аргона, тип АРТ-0,24</t>
  </si>
  <si>
    <t>ТЕРм18-03-020-02</t>
  </si>
  <si>
    <t>Установка очистки сырого аргона, тип АРТ-0,75</t>
  </si>
  <si>
    <t xml:space="preserve">                                   Раздел 4. ОБОРУДОВАНИЕ АЦЕТИЛЕНОВЫХ УСТАНОВОК</t>
  </si>
  <si>
    <t xml:space="preserve">                                   Установки ацетиленовые</t>
  </si>
  <si>
    <t>ТЕРм18-03-030-01</t>
  </si>
  <si>
    <t>Установка ацетиленовая, тип УАС-5</t>
  </si>
  <si>
    <t>ТЕРм18-03-030-02</t>
  </si>
  <si>
    <t>Установка ацетиленовая, тип УСН-20-3</t>
  </si>
  <si>
    <t>ТЕРм18-03-030-03</t>
  </si>
  <si>
    <t>Блок низкого давления для ацетиленовых установок на базе газообразователя ГНД-80</t>
  </si>
  <si>
    <t xml:space="preserve">                           Раздел 4. ОТДЕЛ 04. ОБОРУДОВАНИЕ ХИМИЧЕСКИХ ЦЕХОВ КОКСОХИМИЧЕСКИХ ЗАВОДОВ</t>
  </si>
  <si>
    <t xml:space="preserve">                                   Эвапораторы</t>
  </si>
  <si>
    <t>ТЕРм18-04-001-01</t>
  </si>
  <si>
    <t>Эвапоратор чугунный, размеры диаметр 1000 мм, высота 4850 мм</t>
  </si>
  <si>
    <t>ТЕРм18-04-001-02</t>
  </si>
  <si>
    <t>Эвапоратор чугунный, размеры диаметр 1400 мм, высота 5730 мм</t>
  </si>
  <si>
    <t>ТЕРм18-04-001-03</t>
  </si>
  <si>
    <t>Эвапоратор чугунный, размеры диаметр 1400 мм, высота 9950 мм</t>
  </si>
  <si>
    <t>ТЕРм18-04-001-04</t>
  </si>
  <si>
    <t>Эвапоратор чугунный, размеры диаметр 1800 мм, высота 10760 мм</t>
  </si>
  <si>
    <t xml:space="preserve">                                   Котлы для сжигания сероводородного газа</t>
  </si>
  <si>
    <t>ТЕРм18-04-002-01</t>
  </si>
  <si>
    <t>Котел, тип ПКС-4/12</t>
  </si>
  <si>
    <t>ТЕРм18-04-003-01</t>
  </si>
  <si>
    <t>Осветлитель механизированный (скребковый механизм с приводом), вместимость 210 м3</t>
  </si>
  <si>
    <t>ТЕРм18-04-003-02</t>
  </si>
  <si>
    <t>Осветлитель механизированный (скребковый механизм с приводом), вместимость 650 м3</t>
  </si>
  <si>
    <t>ТЕРм18-04-003-03</t>
  </si>
  <si>
    <t>Устройство газосбросное факельное, тип ГСУФ-45</t>
  </si>
  <si>
    <t>ТЕРм18-04-003-04</t>
  </si>
  <si>
    <t>Машина для зашивки мешков с сульфатом</t>
  </si>
  <si>
    <t>ТЕРм18-04-003-05</t>
  </si>
  <si>
    <t>Пресс гидравлический для нафталина</t>
  </si>
  <si>
    <t>ТЕРм18-04-003-06</t>
  </si>
  <si>
    <t>Устройство разгрузочное для жидких продуктов в цистерны</t>
  </si>
  <si>
    <t>ТЕРм18-04-003-07</t>
  </si>
  <si>
    <t>Устройство для размывки фусов в хранилищах смолы</t>
  </si>
  <si>
    <t xml:space="preserve">                           Раздел 5. ОТДЕЛ 05. ОБОРУДОВАНИЕ ЛЕСОХИМИЧЕСКОЙ ПРОМЫШЛЕННОСТИ</t>
  </si>
  <si>
    <t xml:space="preserve">                                   Газогенераторы</t>
  </si>
  <si>
    <t>ТЕРм18-05-001-01</t>
  </si>
  <si>
    <t>Газогенератор, размерами 4650х4650х9430 мм</t>
  </si>
  <si>
    <t xml:space="preserve">                                   Аппараты колонные титановые (колонны ректификационные, форконденсаторы, экстракторы)</t>
  </si>
  <si>
    <t>ТЕРм18-05-002-01</t>
  </si>
  <si>
    <t>Колонна ректификационная, размеры диаметр 800 мм, высота 32800 мм</t>
  </si>
  <si>
    <t>ТЕРм18-05-002-02</t>
  </si>
  <si>
    <t>Колонна ректификационная, размеры диаметр 1200 мм, высота 24830 мм</t>
  </si>
  <si>
    <t>ТЕРм18-05-002-03</t>
  </si>
  <si>
    <t>Форконденсатор с гидрозатвором, размеры 2230х1500х14500 мм</t>
  </si>
  <si>
    <t>ТЕРм18-05-002-04</t>
  </si>
  <si>
    <t>Экстрактор, размеры диаметр 1200/2000 мм, высота 17400 мм</t>
  </si>
  <si>
    <t>ТЕРм18-05-002-05</t>
  </si>
  <si>
    <t>Экстрактор, размеры диаметр 1200/2000 мм, высота 17660 мм</t>
  </si>
  <si>
    <t>ТЕРм18-05-002-06</t>
  </si>
  <si>
    <t>Экстрактор, размеры диаметр 1400/2000 мм, высота 21454 мм</t>
  </si>
  <si>
    <t>ТЕРм18-05-002-07</t>
  </si>
  <si>
    <t>Экстрактор, размеры диаметр 1600/2000 мм, высота 19320 мм</t>
  </si>
  <si>
    <t xml:space="preserve">                                   Реторты</t>
  </si>
  <si>
    <t>ТЕРм18-05-003-01</t>
  </si>
  <si>
    <t>Реторта пиролиза щепы, диаметр 1600 мм, высота 9360 мм</t>
  </si>
  <si>
    <t>ТЕРм18-05-003-02</t>
  </si>
  <si>
    <t>Реторта для производства древесного угля, производительность 600 кг/ч</t>
  </si>
  <si>
    <t>ТЕРм18-05-003-03</t>
  </si>
  <si>
    <t>Реторта для производства древесного угля, производительность 150000 м3/год</t>
  </si>
  <si>
    <t xml:space="preserve">                                   Установки экстракционные непрерывнодействующие</t>
  </si>
  <si>
    <t>ТЕРм18-05-004-01</t>
  </si>
  <si>
    <t>Установка экстракционная непрерывнодействующая, размеры 5360х1800х5770 мм</t>
  </si>
  <si>
    <t>ТЕРм18-05-004-02</t>
  </si>
  <si>
    <t>Установка экстракционная непрерывнодействующая, размеры 13140х7745х28720 мм</t>
  </si>
  <si>
    <t xml:space="preserve">                           Раздел 6. ОТДЕЛ 06. ОБОРУДОВАНИЕ ДЛЯ ПРОИЗВОДСТВА ХИМИЧЕСКИХ ВОЛОКОН</t>
  </si>
  <si>
    <t xml:space="preserve">                                   Химическое оборудование</t>
  </si>
  <si>
    <t>ТЕРм18-06-001-01</t>
  </si>
  <si>
    <t>Линия каскадного пашамидирования капролактама, производительность 20 т/сут</t>
  </si>
  <si>
    <t>ТЕРм18-06-001-02</t>
  </si>
  <si>
    <t>Линия непрерывной экстракции и сушки крошки, производительность 20 т/сут</t>
  </si>
  <si>
    <t>ТЕРм18-06-001-03</t>
  </si>
  <si>
    <t>Установка непрерывной фильтрации вискозы, производительность 25 м3/ч</t>
  </si>
  <si>
    <t xml:space="preserve">                                   Оборудование для формирования и отделки химических волокон</t>
  </si>
  <si>
    <t>ТЕРм18-06-002-01</t>
  </si>
  <si>
    <t>Машина крутильно-вытяжная, марка КВ-250-К80, количество рабочих мест 72</t>
  </si>
  <si>
    <t>ТЕРм18-06-002-02</t>
  </si>
  <si>
    <t>Машина крутильно-вытяжная, марка КВ-250-К80, количество рабочих мест 80</t>
  </si>
  <si>
    <t>ТЕРм18-06-002-03</t>
  </si>
  <si>
    <t>Машина для скоростного формования полиамидной и полиэфирной текстильной нити на 24 рабочих места</t>
  </si>
  <si>
    <t>ТЕРм18-06-002-04</t>
  </si>
  <si>
    <t>Машина крутильная однопроцессная, тип КО-600-ИК</t>
  </si>
  <si>
    <t xml:space="preserve">                           Раздел 7. ОТДЕЛ 07. ОБОРУДОВАНИЕ ПРЕДПРИЯТИЙ МИКРОБИОЛОГИЧЕСКОЙ ПРОМЫШЛЕННОСТИ</t>
  </si>
  <si>
    <t xml:space="preserve">                                   Раздел 1. ОБОРУДОВАНИЕ ПРЕДПРИЯТИИЙ БЕЛКОВО-ВИТАМИННЫХ КОНЦЕНТРАТОВ, ЛИЗИНА И ФЕРМЕНТОВ</t>
  </si>
  <si>
    <t>ТЕРм18-07-001-01</t>
  </si>
  <si>
    <t>Установка ультрафильтрации</t>
  </si>
  <si>
    <t>ТЕРм18-07-001-02</t>
  </si>
  <si>
    <t>Установка микрокапсулирования</t>
  </si>
  <si>
    <t>ТЕРм18-07-001-03</t>
  </si>
  <si>
    <t>Установка непрерывной стерилизации</t>
  </si>
  <si>
    <t>ТЕРм18-07-001-04</t>
  </si>
  <si>
    <t>Установка непрерывной стерилизации, тип «Труба в трубе»</t>
  </si>
  <si>
    <t>ТЕРм18-07-001-05</t>
  </si>
  <si>
    <t>Установка холодной стерилизации, тип СМР 60-4</t>
  </si>
  <si>
    <t xml:space="preserve">                           Раздел 8. ОТДЕЛ 08. ОБОРУДОВАНИЕ ХИМИКО-ФОТОГРАФИЧЕСКОЙ ПРОМЫШЛЕННОСТИ</t>
  </si>
  <si>
    <t xml:space="preserve">                                   Оборудование кинопленочное</t>
  </si>
  <si>
    <t>ТЕРм18-08-001-01</t>
  </si>
  <si>
    <t>Агрегат поливной</t>
  </si>
  <si>
    <t>ТЕРм18-08-001-02</t>
  </si>
  <si>
    <t>Агрегат для производства основы, длина ленты 50 м</t>
  </si>
  <si>
    <t xml:space="preserve">                                   Оборудование для производства магнитных лент</t>
  </si>
  <si>
    <t>ТЕРм18-08-002-01</t>
  </si>
  <si>
    <t>Установка сушильная вакуумная для смолы лавсан, тип УВПБ-10/25</t>
  </si>
  <si>
    <t>ТЕРм18-08-002-02</t>
  </si>
  <si>
    <t>Агрегат для переработки отходов лавсановой основы</t>
  </si>
  <si>
    <t>ТЕРм18-08-002-03</t>
  </si>
  <si>
    <t>Мельница-мешалка бисерная автоматическая для диспергирования магнитного лака</t>
  </si>
  <si>
    <t>ТЕРм18-08-002-04</t>
  </si>
  <si>
    <t>Линия для производства пленки, рабочая ширина 2400 мм</t>
  </si>
  <si>
    <t>ТЕРм18-08-002-05</t>
  </si>
  <si>
    <t>Машина поливная, тип МП-600</t>
  </si>
  <si>
    <t>ТЕРм18-08-002-06</t>
  </si>
  <si>
    <t>Машина резательная блочная</t>
  </si>
  <si>
    <t>ТЕРм18-08-002-07</t>
  </si>
  <si>
    <t>Машина для разрезания магнитного полотна на полосы</t>
  </si>
  <si>
    <t xml:space="preserve">                                   Оборудование фотобумаги</t>
  </si>
  <si>
    <t>ТЕРм18-08-003-01</t>
  </si>
  <si>
    <t>Машина баритажная для нанесения баритовой краски на фотоподложку-сырец</t>
  </si>
  <si>
    <t>ТЕРм18-08-003-02</t>
  </si>
  <si>
    <t>Станок перемоточно-визитажный</t>
  </si>
  <si>
    <t>ТЕРм18-08-003-03</t>
  </si>
  <si>
    <t>Машина резательная</t>
  </si>
  <si>
    <t xml:space="preserve">                           Раздел 9. ОТДЕЛ 09. ОБОРУДОВАНИЕ АВТОМАТИЧЕСКОГО ХИМИЧЕСКОГО ПОЖАРОТУШЕНИЯ</t>
  </si>
  <si>
    <t xml:space="preserve">                                   Батареи и распределительные устройства</t>
  </si>
  <si>
    <t>ТЕРм18-09-001-01</t>
  </si>
  <si>
    <t>Батарея автоматическая четырехбаллонная</t>
  </si>
  <si>
    <t>ТЕРм18-09-001-02</t>
  </si>
  <si>
    <t>Секция наборная четырехбаллонная</t>
  </si>
  <si>
    <t>ТЕРм18-09-001-03</t>
  </si>
  <si>
    <t>Батарея автоматическая двухбаллонная</t>
  </si>
  <si>
    <t>ТЕРм18-09-001-04</t>
  </si>
  <si>
    <t>Батарея двухбаллонная с катушкой и раструбом (с ручным пуском)</t>
  </si>
  <si>
    <t>ТЕРм18-09-001-05</t>
  </si>
  <si>
    <t>Секция побудительно-пусковая</t>
  </si>
  <si>
    <t>ТЕРм18-09-001-06</t>
  </si>
  <si>
    <t>Устройство распределительное с электропуском, диаметр условного прохода до 32 мм</t>
  </si>
  <si>
    <t>ТЕРм18-09-001-07</t>
  </si>
  <si>
    <t>Устройство распределительное с электропуском, диаметр условного прохода 50 мм</t>
  </si>
  <si>
    <t>ТЕРм18-09-001-08</t>
  </si>
  <si>
    <t>Устройство распределительное с электропуском, диаметр условного прохода 70 мм</t>
  </si>
  <si>
    <t xml:space="preserve">                                   Оборудование вспомогательное</t>
  </si>
  <si>
    <t>ТЕРм18-09-002-01</t>
  </si>
  <si>
    <t>Станция зарядная</t>
  </si>
  <si>
    <t>ТЕРм18-09-002-02</t>
  </si>
  <si>
    <t>Распределитель воздуха</t>
  </si>
  <si>
    <t>ТЕРм18-09-002-03</t>
  </si>
  <si>
    <t>Баллон испытательный</t>
  </si>
  <si>
    <t>ТЕРм18-09-002-04</t>
  </si>
  <si>
    <t>Баллон-ресивер</t>
  </si>
  <si>
    <t>ТЕРм-2001-19</t>
  </si>
  <si>
    <t xml:space="preserve">                           Раздел 1. ОТДЕЛ 01. ШАХТНОЕ ОБОРУДОВАНИЕ</t>
  </si>
  <si>
    <t xml:space="preserve">                                   Раздел 1. ОБОРУДОВАНИЕ ДЛЯ МЕХАНИЗАЦИИ ПОДГОТОВИТЕЛЬНЫХ И ОЧИСТНЫХ РАБОТ</t>
  </si>
  <si>
    <t xml:space="preserve">                                   Комбайны проходческие</t>
  </si>
  <si>
    <t>ТЕРм19-01-001-01</t>
  </si>
  <si>
    <t>Комбайн проходческий с электродвигателем, мощность 86 кВт</t>
  </si>
  <si>
    <t>ТЕРм19-01-001-02</t>
  </si>
  <si>
    <t>Комбайн проходческий с электродвигателем, мощность 365 кВт</t>
  </si>
  <si>
    <t xml:space="preserve">                                   Машины погрузочные с рабочим органом «ковш» на колесном ходу</t>
  </si>
  <si>
    <t>ТЕРм19-01-002-01</t>
  </si>
  <si>
    <t>Машина погрузочная с рабочим органом «ковш» на колесном ходу, масса до 3,8 т</t>
  </si>
  <si>
    <t>ТЕРм19-01-002-02</t>
  </si>
  <si>
    <t>Машина погрузочная с рабочим органом «ковш» на колесном ходу, масса до 6,8 т</t>
  </si>
  <si>
    <t>ТЕРм19-01-002-03</t>
  </si>
  <si>
    <t>Машина погрузочная с рабочим органом «ковш» на колесном ходу, масса до 9 т</t>
  </si>
  <si>
    <t xml:space="preserve">                                   Машины погрузочные с рабочим органом «нагребающая лапа» на гусеничном ходу</t>
  </si>
  <si>
    <t>ТЕРм19-01-003-01</t>
  </si>
  <si>
    <t>Машина погрузочная с рабочим органом «нагребающая лапа» на гусеничном ходу, масса до 7 т</t>
  </si>
  <si>
    <t>ТЕРм19-01-003-02</t>
  </si>
  <si>
    <t>Машина погрузочная с рабочим органом «нагребающая лапа» на гусеничном ходу, масса до 12 т</t>
  </si>
  <si>
    <t>ТЕРм19-01-003-03</t>
  </si>
  <si>
    <t>Машина погрузочная с рабочим органом «нагребающая лапа» на гусеничном ходу, масса до 18 т</t>
  </si>
  <si>
    <t>ТЕРм19-01-003-04</t>
  </si>
  <si>
    <t>Машина погрузочная с рабочим органом «нагребающая лапа» на гусеничном ходу, масса до 25 т</t>
  </si>
  <si>
    <t>ТЕРм19-01-003-05</t>
  </si>
  <si>
    <t>Машина погрузочная с рабочим органом «нагребающая лапа» на гусеничном ходу, масса до 36 т</t>
  </si>
  <si>
    <t xml:space="preserve">                                   Буропогрузочные машины</t>
  </si>
  <si>
    <t>ТЕРм19-01-004-01</t>
  </si>
  <si>
    <t>Машина буропогрузочная</t>
  </si>
  <si>
    <t xml:space="preserve">                                   Сбоечно-буровое оборудование</t>
  </si>
  <si>
    <t>ТЕРм19-01-005-01</t>
  </si>
  <si>
    <t>Установка бурильная самоходная</t>
  </si>
  <si>
    <t xml:space="preserve">                                   Конвейеры ленточные стационарные</t>
  </si>
  <si>
    <t>ТЕРм19-01-006-01</t>
  </si>
  <si>
    <t>Конвейер ленточный, длина 600 м, ширина ленты 800 мм, масса до 30,5 т</t>
  </si>
  <si>
    <t>ТЕРм19-01-006-02</t>
  </si>
  <si>
    <t>Конвейер ленточный, длина 600 м, ширина ленты 800 мм, масса до 56,1 т</t>
  </si>
  <si>
    <t>ТЕРм19-01-006-03</t>
  </si>
  <si>
    <t>Конвейер ленточный, длина 600 м, ширина ленты 1000 мм</t>
  </si>
  <si>
    <t>ТЕРм19-01-006-04</t>
  </si>
  <si>
    <t>Конвейер ленточный, длина 600 м, ширина ленты 1200 мм</t>
  </si>
  <si>
    <t>ТЕРм19-01-006-05</t>
  </si>
  <si>
    <t>Увеличение или уменьшение на каждый метр длины средней части ленточного конвейера, ширина ленты 800 мм</t>
  </si>
  <si>
    <t>ТЕРм19-01-006-06</t>
  </si>
  <si>
    <t>Увеличение или уменьшение на каждый метр длины средней части ленточного конвейера, ширина ленты 1000 мм</t>
  </si>
  <si>
    <t>ТЕРм19-01-006-07</t>
  </si>
  <si>
    <t>Увеличение или уменьшение на каждый метр длины средней части ленточного конвейера, ширина ленты 1200 мм</t>
  </si>
  <si>
    <t xml:space="preserve">                                   Конвейеры скребковые</t>
  </si>
  <si>
    <t>ТЕРм19-01-007-01</t>
  </si>
  <si>
    <t>Конвейер с замыканием скребковой цепи в горизонтальной плоскости, длина 10 м</t>
  </si>
  <si>
    <t>ТЕРм19-01-007-02</t>
  </si>
  <si>
    <t>Увеличение длины конвейера на каждые последующие 10 м (добавлять к расценке 19-01-007-01)</t>
  </si>
  <si>
    <t>ТЕРм19-01-007-03</t>
  </si>
  <si>
    <t>Конвейер с замыканием скребковой цепи в вертикальной плоскости, длина 10 м</t>
  </si>
  <si>
    <t>ТЕРм19-01-007-04</t>
  </si>
  <si>
    <t>Увеличение длины конвейера на каждые последующие 10 м (добавлять к расценке 19-01-007-03)</t>
  </si>
  <si>
    <t xml:space="preserve">                                   Элеваторы ковшовые наклонные ленточные, монтаж на поверхности</t>
  </si>
  <si>
    <t>ТЕРм19-01-008-01</t>
  </si>
  <si>
    <t>Элеватор ковшовый наклонный ленточный, длина 10 м, масса 15 т</t>
  </si>
  <si>
    <t>ТЕРм19-01-008-02</t>
  </si>
  <si>
    <t>Элеватор ковшовый наклонный ленточный, длина 10 м, масса 17 т</t>
  </si>
  <si>
    <t>ТЕРм19-01-008-03</t>
  </si>
  <si>
    <t>Увеличение или уменьшение на 1 м средней части элеватора, масса 0,21 т (добавлять к расценке 19-01-008-01)</t>
  </si>
  <si>
    <t>ТЕРм19-01-008-04</t>
  </si>
  <si>
    <t>Увеличение или уменьшение на 1 м средней части элеватора, масса 0,27 т (добавлять к расценке 19-01-008-02)</t>
  </si>
  <si>
    <t xml:space="preserve">                                   Соединение стыков конвейерных лент</t>
  </si>
  <si>
    <t>ТЕРм19-01-009-01</t>
  </si>
  <si>
    <t>Соединение стыка конвейерной ленты способом вулканизации резинотканевой или капроновой любой ширины</t>
  </si>
  <si>
    <t>ТЕРм19-01-009-02</t>
  </si>
  <si>
    <t>Соединение стыка конвейерной ленты способом вулканизации резинотросовой, ширина до 1000 мм</t>
  </si>
  <si>
    <t>ТЕРм19-01-009-03</t>
  </si>
  <si>
    <t>Соединение стыка конвейерной ленты способом вулканизации резинотросовой, ширина до 1200 мм</t>
  </si>
  <si>
    <t xml:space="preserve">                                   Раздел 2. ОБОРУДОВАНИЕ ДЛЯ ПОДЗЕМНОГО ТРАНСПОРТА</t>
  </si>
  <si>
    <t xml:space="preserve">                                   Аккумуляторы щелочные (железоникелевые) для питания двигателей рудничных электровозов</t>
  </si>
  <si>
    <t>ТЕРм19-01-030-01</t>
  </si>
  <si>
    <t>Аккумулятор щелочной, масса до 0,016 т</t>
  </si>
  <si>
    <t>ТЕРм19-01-030-02</t>
  </si>
  <si>
    <t>Аккумулятор щелочной, масса до 0,024 т</t>
  </si>
  <si>
    <t xml:space="preserve">                                   Батареи аккумуляторные для питания двигателей рудничных электровозов</t>
  </si>
  <si>
    <t>ТЕРм19-01-031-01</t>
  </si>
  <si>
    <t>Батарея аккумуляторная, число элементов 26-36</t>
  </si>
  <si>
    <t>ТЕРм19-01-031-02</t>
  </si>
  <si>
    <t>Батарея аккумуляторная, число элементов 80-96</t>
  </si>
  <si>
    <t>ТЕРм19-01-031-03</t>
  </si>
  <si>
    <t>Батарея аккумуляторная, число элементов 112</t>
  </si>
  <si>
    <t>ТЕРм19-01-031-04</t>
  </si>
  <si>
    <t>Батарея аккумуляторная, число элементов 126-133</t>
  </si>
  <si>
    <t xml:space="preserve">                                   Зарядные устройства</t>
  </si>
  <si>
    <t>ТЕРм19-01-032-01</t>
  </si>
  <si>
    <t>Устройство зарядно-выпрямительное на номинальный ток / напряжение 150 А/80 В</t>
  </si>
  <si>
    <t>ТЕРм19-01-032-02</t>
  </si>
  <si>
    <t>Устройство зарядно-выпрямительное на номинальный ток / напряжение 200 А/230 В</t>
  </si>
  <si>
    <t>ТЕРм19-01-032-03</t>
  </si>
  <si>
    <t>Устройство зарядно-выпрямительное на номинальный ток / напряжение 160 А/320 В</t>
  </si>
  <si>
    <t xml:space="preserve">                                   Столы зарядные</t>
  </si>
  <si>
    <t>ТЕРм19-01-033-01</t>
  </si>
  <si>
    <t>Стол зарядный, размеры длина 2000 мм, ширина 960 мм</t>
  </si>
  <si>
    <t>ТЕРм19-01-033-02</t>
  </si>
  <si>
    <t>Стол зарядный, размеры длина 2000-3000 мм, ширина 960-1250 мм</t>
  </si>
  <si>
    <t>ТЕРм19-01-033-03</t>
  </si>
  <si>
    <t>Стол зарядный, размеры длина 3000-4000 мм, ширина 960-1250 мм</t>
  </si>
  <si>
    <t xml:space="preserve">                                   Краны электровозного депо</t>
  </si>
  <si>
    <t>ТЕРм19-01-034-01</t>
  </si>
  <si>
    <t>Кран электровозного депо, тип КЭД-7, грузоподъемность 7 т, длина пролета 3,08 м</t>
  </si>
  <si>
    <t xml:space="preserve">                                   Выключатели участковые</t>
  </si>
  <si>
    <t>ТЕРм19-01-035-01</t>
  </si>
  <si>
    <t>Выключатель участковый однополюсный на крепи металлической</t>
  </si>
  <si>
    <t>ТЕРм19-01-035-02</t>
  </si>
  <si>
    <t>Выключатель участковый однополюсный на крепи деревянной, из породы или бетона</t>
  </si>
  <si>
    <t xml:space="preserve">                                   Изоляторы участковые</t>
  </si>
  <si>
    <t>ТЕРм19-01-036-01</t>
  </si>
  <si>
    <t>Изолятор участковый на крепи металлической</t>
  </si>
  <si>
    <t>ТЕРм19-01-036-02</t>
  </si>
  <si>
    <t>Изолятор участковый на крепи деревянной, из породы или бетона</t>
  </si>
  <si>
    <t xml:space="preserve">                                   Анкерные крепления контактных проводов</t>
  </si>
  <si>
    <t>ТЕРм19-01-037-01</t>
  </si>
  <si>
    <t>Крепление анкерное контактного провода для сетей однопутевых, на креплении выработок деревянном или бетонном</t>
  </si>
  <si>
    <t>ТЕРм19-01-037-02</t>
  </si>
  <si>
    <t>Крепление анкерное контактного провода для сетей однопутевых, на креплении выработок металлическом</t>
  </si>
  <si>
    <t>ТЕРм19-01-037-03</t>
  </si>
  <si>
    <t>Крепление анкерное контактного провода для сетей двухпутевых, на креплении выработок деревянном</t>
  </si>
  <si>
    <t>ТЕРм19-01-037-04</t>
  </si>
  <si>
    <t>Крепление анкерное контактного провода для сетей двухпутевых, на креплении выработок бетонном</t>
  </si>
  <si>
    <t>ТЕРм19-01-037-05</t>
  </si>
  <si>
    <t>Крепление анкерное контактного провода для сетей двухпутевых, на креплении выработок металлическом</t>
  </si>
  <si>
    <t xml:space="preserve">                                   Сети контактные</t>
  </si>
  <si>
    <t>ТЕРм19-01-038-01</t>
  </si>
  <si>
    <t>Сеть контактная однопутевая на креплении бетонном, на участках прямых</t>
  </si>
  <si>
    <t>ТЕРм19-01-038-02</t>
  </si>
  <si>
    <t>Сеть контактная однопутевая на креплении бетонном, на участках кривых</t>
  </si>
  <si>
    <t>ТЕРм19-01-038-03</t>
  </si>
  <si>
    <t>Сеть контактная однопутевая на креплении деревянном или металлическом, на участках прямых</t>
  </si>
  <si>
    <t>ТЕРм19-01-038-04</t>
  </si>
  <si>
    <t>Сеть контактная однопутевая на креплении деревянном или металлическом, на участках кривых</t>
  </si>
  <si>
    <t>ТЕРм19-01-038-05</t>
  </si>
  <si>
    <t>Сеть контактная двухпутевая на креплении бетонном, на участках прямых</t>
  </si>
  <si>
    <t>ТЕРм19-01-038-06</t>
  </si>
  <si>
    <t>Сеть контактная двухпутевая на креплении бетонном, на участках кривых</t>
  </si>
  <si>
    <t>ТЕРм19-01-038-07</t>
  </si>
  <si>
    <t>Сеть контактная двухпутевая на креплении деревянном или металлическом, на участках прямых</t>
  </si>
  <si>
    <t>ТЕРм19-01-038-08</t>
  </si>
  <si>
    <t>Сеть контактная двухпутевая на креплении деревянном или металлическом, на участках кривых</t>
  </si>
  <si>
    <t>ТЕРм19-01-038-09</t>
  </si>
  <si>
    <t>Сеть контактная над путевой стрелкой при одностороннем съезде при дуговом токоприемнике на креплении бетонном</t>
  </si>
  <si>
    <t>ТЕРм19-01-038-10</t>
  </si>
  <si>
    <t>Сеть контактная над путевой стрелкой при одностороннем съезде при дуговом токоприемнике на креплении деревянном</t>
  </si>
  <si>
    <t>ТЕРм19-01-038-11</t>
  </si>
  <si>
    <t>Сеть контактная над путевой стрелкой при одностороннем съезде при дуговом токоприемнике на креплении металлическом</t>
  </si>
  <si>
    <t xml:space="preserve">                                   Соединения рельсовые</t>
  </si>
  <si>
    <t>ТЕРм19-01-039-01</t>
  </si>
  <si>
    <t>Соединение рельсовое</t>
  </si>
  <si>
    <t xml:space="preserve">                                   Соединения межрельсовые</t>
  </si>
  <si>
    <t>ТЕРм19-01-040-01</t>
  </si>
  <si>
    <t>Соединение межрельсовое однопутевой линии</t>
  </si>
  <si>
    <t xml:space="preserve">                                   Агрегаты для обмена вагонеток в клетях на поверхности</t>
  </si>
  <si>
    <t>ТЕРм19-01-041-01</t>
  </si>
  <si>
    <t>Агрегат для обмена вагонеток в клетях с качающимися площадками, колея 600-900 мм</t>
  </si>
  <si>
    <t xml:space="preserve">                                   Агрегаты для обмена вагонеток в клетях в шахте</t>
  </si>
  <si>
    <t>ТЕРм19-01-042-01</t>
  </si>
  <si>
    <t xml:space="preserve">                                   Раздел 3. ОБОРУДОВАНИЕ ШАХТНЫХ ВЕНТИЛЯЦИОННЫХ УСТАНОВОК</t>
  </si>
  <si>
    <t xml:space="preserve">                                   Вентиляторы шахтные местного проветривания</t>
  </si>
  <si>
    <t>ТЕРм19-01-060-01</t>
  </si>
  <si>
    <t>Вентилятор осевой с пневматическим или электрическим приводом, масса до 0,1 т</t>
  </si>
  <si>
    <t>ТЕРм19-01-060-02</t>
  </si>
  <si>
    <t>Вентилятор осевой с пневматическим или электрическим приводом, масса до 0,25 т</t>
  </si>
  <si>
    <t>ТЕРм19-01-060-03</t>
  </si>
  <si>
    <t>Вентилятор осевой с пневматическим или электрическим приводом, масса до 0,35 т</t>
  </si>
  <si>
    <t>ТЕРм19-01-060-04</t>
  </si>
  <si>
    <t>Вентилятор осевой с пневматическим или электрическим приводом, масса до 0,65 т</t>
  </si>
  <si>
    <t>ТЕРм19-01-060-05</t>
  </si>
  <si>
    <t>Вентилятор центробежный с электрическим приводом, масса до 2 т</t>
  </si>
  <si>
    <t>ТЕРм19-01-060-06</t>
  </si>
  <si>
    <t>Вентилятор центробежный с электрическим приводом, масса до 4,65 т</t>
  </si>
  <si>
    <t xml:space="preserve">                                   Вентиляторы шахтные главного проветривания центробежные без электродвигателей</t>
  </si>
  <si>
    <t>ТЕРм19-01-061-01</t>
  </si>
  <si>
    <t>Вентилятор центробежный одностороннего всасывания без электродвигателя, масса до 2,46 т</t>
  </si>
  <si>
    <t>ТЕРм19-01-061-02</t>
  </si>
  <si>
    <t>Вентилятор центробежный одностороннего всасывания без электродвигателя, масса до 4,5 т</t>
  </si>
  <si>
    <t>ТЕРм19-01-061-03</t>
  </si>
  <si>
    <t>Вентилятор центробежный одностороннего всасывания без электродвигателя, масса до 9,5 т</t>
  </si>
  <si>
    <t>ТЕРм19-01-061-04</t>
  </si>
  <si>
    <t>Вентилятор центробежный одностороннего всасывания без электродвигателя, масса до 16,7 т</t>
  </si>
  <si>
    <t>ТЕРм19-01-061-05</t>
  </si>
  <si>
    <t>Вентилятор центробежный двухстороннего всасывания без электродвигателя, масса до 29 т</t>
  </si>
  <si>
    <t>ТЕРм19-01-061-06</t>
  </si>
  <si>
    <t>Вентилятор центробежный двухстороннего всасывания без электродвигателя, масса до 81 т</t>
  </si>
  <si>
    <t>ТЕРм19-01-061-07</t>
  </si>
  <si>
    <t>Вентиляторы осевые одно- и двухступенчатые без электродвигателя, масса до 4,56 т</t>
  </si>
  <si>
    <t>ТЕРм19-01-061-08</t>
  </si>
  <si>
    <t>Вентиляторы осевые одно- и двухступенчатые без электродвигателя, масса до 11,1 т</t>
  </si>
  <si>
    <t>ТЕРм19-01-061-09</t>
  </si>
  <si>
    <t>Вентиляторы осевые одно- и двухступенчатые без электродвигателя, масса до 13 т</t>
  </si>
  <si>
    <t>ТЕРм19-01-061-10</t>
  </si>
  <si>
    <t>Вентиляторы осевые одно- и двухступенчатые без электродвигателя, масса до 29 т</t>
  </si>
  <si>
    <t>ТЕРм19-01-061-11</t>
  </si>
  <si>
    <t>Вентиляторы осевые одно- и двухступенчатые без электродвигателя, масса до 41 т</t>
  </si>
  <si>
    <t>ТЕРм19-01-061-12</t>
  </si>
  <si>
    <t>Вентиляторы осевые одно- и двухступенчатые без электродвигателя, масса до 74 т</t>
  </si>
  <si>
    <t xml:space="preserve">                                   Оборудование вспомогательное к шахтным вентиляторам главного проветривания</t>
  </si>
  <si>
    <t>ТЕРм19-01-062-01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</si>
  <si>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1</t>
  </si>
  <si>
    <t>ТЕРм19-01-062-02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</si>
  <si>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3</t>
  </si>
  <si>
    <t>ТЕРм19-01-062-03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</si>
  <si>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4</t>
  </si>
  <si>
    <t>ТЕРм19-01-062-04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</si>
  <si>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5</t>
  </si>
  <si>
    <t>ТЕРм19-01-062-05</t>
  </si>
  <si>
    <t>ТЕРм19-01-062-06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</si>
  <si>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6</t>
  </si>
  <si>
    <t>ТЕРм19-01-062-07</t>
  </si>
  <si>
    <t>Оборудование вспомогательное для реверсирования струи воздуха шахтных вентиляторов главного проветривания (направляющие и отводящие блоки, запасовка и крепление каната, установка лебедок, монтаж и уплотнение ляд) при количестве лебедок 12</t>
  </si>
  <si>
    <t xml:space="preserve">                                   Оборудование для кондиционирования воздуха в глубоких шахтах</t>
  </si>
  <si>
    <t>ТЕРм19-01-063-01</t>
  </si>
  <si>
    <t>Кондиционер передвижной шахтный для охлаждения и осушения воздуха горных выработок</t>
  </si>
  <si>
    <t xml:space="preserve">                                   Воздухоохладители агрегатированные</t>
  </si>
  <si>
    <t>ТЕРм19-01-064-01</t>
  </si>
  <si>
    <t>Воздухоохладитель агрегатированный с вентилятором пневматическим</t>
  </si>
  <si>
    <t>ТЕРм19-01-064-02</t>
  </si>
  <si>
    <t>Воздухоохладитель агрегатированный с вентилятором электрическим</t>
  </si>
  <si>
    <t xml:space="preserve">                                   Высоконапорные жидкостные теплообменники</t>
  </si>
  <si>
    <t>ТЕРм19-01-065-01</t>
  </si>
  <si>
    <t>Теплообменник жидкостный высоконапорный</t>
  </si>
  <si>
    <t xml:space="preserve">                                   Холодильные машины</t>
  </si>
  <si>
    <t>ТЕРм19-01-066-01</t>
  </si>
  <si>
    <t>Машина холодильная турбокомпрессорная, фреоновая, монтаж на поверхности</t>
  </si>
  <si>
    <t xml:space="preserve">                                   Раздел 4. ОБОРУДОВАНИЕ ПО ТЕХНИКЕ БЕЗОПАСНОСТИ</t>
  </si>
  <si>
    <t xml:space="preserve">                                   Двери шахтные</t>
  </si>
  <si>
    <t>ТЕРм19-01-080-01</t>
  </si>
  <si>
    <t>Дверь шахтная с электроприводом, монтаж на поверхности</t>
  </si>
  <si>
    <t>ТЕРм19-01-080-02</t>
  </si>
  <si>
    <t>Дверь шахтная с электроприводом, монтаж в шахте</t>
  </si>
  <si>
    <t>ТЕРм19-01-080-03</t>
  </si>
  <si>
    <t>Дверь шахтная с электрогидроприводом, монтаж на поверхности</t>
  </si>
  <si>
    <t>ТЕРм19-01-080-04</t>
  </si>
  <si>
    <t>Дверь шахтная с электрогидроприводом, монтаж в шахте</t>
  </si>
  <si>
    <t xml:space="preserve">                                   Раздел 5. ГОРНОПРОХОДЧЕСКОЕ ОБОРУДОВАНИЕ</t>
  </si>
  <si>
    <t xml:space="preserve">                                   Пневматические грузчики</t>
  </si>
  <si>
    <t>ТЕРм19-01-095-01</t>
  </si>
  <si>
    <t>Грузчик пневматический с ручным вождением грейфера</t>
  </si>
  <si>
    <t xml:space="preserve">                                   Породопогрузочные машины</t>
  </si>
  <si>
    <t>ТЕРм19-01-096-01</t>
  </si>
  <si>
    <t>Машина породопогрузочная стволовая с механизированным вождением грейфера, тип КС-2У/40</t>
  </si>
  <si>
    <t>ТЕРм19-01-096-02</t>
  </si>
  <si>
    <t>Машина породопогрузочная стволовая с механизированным вождением грейфера, тип 2КС-2У/40</t>
  </si>
  <si>
    <t xml:space="preserve">                                   Полки подвесные проходческие</t>
  </si>
  <si>
    <t>ТЕРм19-01-097-01</t>
  </si>
  <si>
    <t>Полок подвесной проходческий для стволов</t>
  </si>
  <si>
    <t xml:space="preserve">                                   Опалубка металлическая</t>
  </si>
  <si>
    <t>ТЕРм19-01-098-01</t>
  </si>
  <si>
    <t>Опалубка металлическая секционная</t>
  </si>
  <si>
    <t xml:space="preserve">                                   Ляды разгрузочных площадок</t>
  </si>
  <si>
    <t>ТЕРм19-01-099-01</t>
  </si>
  <si>
    <t>Ляда разгрузочной площадки для бадей</t>
  </si>
  <si>
    <t xml:space="preserve">                                   Лестницы</t>
  </si>
  <si>
    <t>ТЕРм19-01-100-01</t>
  </si>
  <si>
    <t>Лестница спасательная</t>
  </si>
  <si>
    <t xml:space="preserve">                                   Люльки</t>
  </si>
  <si>
    <t>ТЕРм19-01-101-01</t>
  </si>
  <si>
    <t>Люлька для навески проводников при армировании вертикальных стволов</t>
  </si>
  <si>
    <t xml:space="preserve">                                   Коллекторы из бесшовных труб</t>
  </si>
  <si>
    <t>ТЕРм19-01-102-01</t>
  </si>
  <si>
    <t>Коллектор из бесшовных труб, монтаж на поверхности, диаметр и толщина труб 89х4,5 мм</t>
  </si>
  <si>
    <t>ТЕРм19-01-102-02</t>
  </si>
  <si>
    <t>Коллектор из бесшовных труб, монтаж на поверхности, диаметр и толщина труб 133х4,5 мм</t>
  </si>
  <si>
    <t>ТЕРм19-01-102-03</t>
  </si>
  <si>
    <t>Коллектор из бесшовных труб, монтаж на поверхности, диаметр и толщина труб 159х4,5 мм</t>
  </si>
  <si>
    <t>ТЕРм19-01-102-04</t>
  </si>
  <si>
    <t>Коллектор из бесшовных труб, монтаж на поверхности, диаметр и толщина труб 219х7 мм</t>
  </si>
  <si>
    <t>ТЕРм19-01-102-05</t>
  </si>
  <si>
    <t>Коллектор из бесшовных труб, монтаж на поверхности, диаметр и толщина труб 273х7 мм</t>
  </si>
  <si>
    <t>ТЕРм19-01-102-06</t>
  </si>
  <si>
    <t>Коллектор из бесшовных труб, монтаж на поверхности, диаметр и толщина труб 325х9 мм</t>
  </si>
  <si>
    <t>ТЕРм19-01-102-07</t>
  </si>
  <si>
    <t>Коллектор из бесшовных труб, монтаж в стволе, диаметр и толщина труб 89х4,5 мм</t>
  </si>
  <si>
    <t>ТЕРм19-01-102-08</t>
  </si>
  <si>
    <t>Коллектор из бесшовных труб, монтаж в стволе, диаметр и толщина труб 133х4,5 мм</t>
  </si>
  <si>
    <t>ТЕРм19-01-102-09</t>
  </si>
  <si>
    <t>Коллектор из бесшовных труб, монтаж в стволе, диаметр и толщина труб 159х4,5 мм</t>
  </si>
  <si>
    <t>ТЕРм19-01-102-10</t>
  </si>
  <si>
    <t>Коллектор из бесшовных труб, демонтаж на поверхности, диаметр и толщина труб 89х4,5 мм</t>
  </si>
  <si>
    <t>ТЕРм19-01-102-11</t>
  </si>
  <si>
    <t>Коллектор из бесшовных труб, демонтаж на поверхности, диаметр и толщина труб 133х4,5 мм</t>
  </si>
  <si>
    <t>ТЕРм19-01-102-12</t>
  </si>
  <si>
    <t>Коллектор из бесшовных труб, демонтаж на поверхности, диаметр и толщина труб 159х4,5 мм</t>
  </si>
  <si>
    <t>ТЕРм19-01-102-13</t>
  </si>
  <si>
    <t>Коллектор из бесшовных труб, демонтаж на поверхности, диаметр и толщина труб 219х7 мм</t>
  </si>
  <si>
    <t>ТЕРм19-01-102-14</t>
  </si>
  <si>
    <t>Коллектор из бесшовных труб, демонтаж на поверхности, диаметр и толщина труб 273х7 мм</t>
  </si>
  <si>
    <t>ТЕРм19-01-102-15</t>
  </si>
  <si>
    <t>Коллектор из бесшовных труб, демонтаж на поверхности, диаметр и толщина труб 325х9 мм</t>
  </si>
  <si>
    <t>ТЕРм19-01-102-16</t>
  </si>
  <si>
    <t>Коллектор из бесшовных труб, демонтаж в стволе, диаметр и толщина труб 89х4,5 мм</t>
  </si>
  <si>
    <t>ТЕРм19-01-102-17</t>
  </si>
  <si>
    <t>Коллектор из бесшовных труб, демонтаж в стволе, диаметр и толщина труб 133х4,5 мм</t>
  </si>
  <si>
    <t>ТЕРм19-01-102-18</t>
  </si>
  <si>
    <t>Коллектор из бесшовных труб, демонтаж в стволе, диаметр и толщина труб 159х4,5 мм</t>
  </si>
  <si>
    <t xml:space="preserve">                                   Соединения трубопроводов гибкими шлангами</t>
  </si>
  <si>
    <t>ТЕРм19-01-103-01</t>
  </si>
  <si>
    <t>Соединение трубопроводов гибкими шлангами, диаметр 50 мм, монтаж на поверхности</t>
  </si>
  <si>
    <t>ТЕРм19-01-103-02</t>
  </si>
  <si>
    <t>Соединение трубопроводов гибкими шлангами, диаметр 50 мм, монтаж в стволе</t>
  </si>
  <si>
    <t>ТЕРм19-01-103-03</t>
  </si>
  <si>
    <t>Соединение трубопроводов гибкими шлангами, диаметр 50 мм, демонтаж на поверхности</t>
  </si>
  <si>
    <t>ТЕРм19-01-103-04</t>
  </si>
  <si>
    <t>Соединение трубопроводов гибкими шлангами, диаметр 50 мм, демонтаж в стволе</t>
  </si>
  <si>
    <t xml:space="preserve">                                   Приспособление для тампонажных работ</t>
  </si>
  <si>
    <t>ТЕРм19-01-104-01</t>
  </si>
  <si>
    <t>Приспособление для тампонажных работ монтаж в стволе</t>
  </si>
  <si>
    <t>ТЕРм19-01-104-02</t>
  </si>
  <si>
    <t>Приспособление для тампонажных работ демонтаж в стволе</t>
  </si>
  <si>
    <t xml:space="preserve">                           Раздел 2. ОТДЕЛ 02. ОБОРУДОВАНИЕ ДЛЯ ОТКРЫТЫХ ГОРНЫХ РАЗРАБОТОК</t>
  </si>
  <si>
    <t xml:space="preserve">                                   Раздел 1. ЭКСКАВАТОРЫ</t>
  </si>
  <si>
    <t xml:space="preserve">                                   Экскаваторы одноковшовые</t>
  </si>
  <si>
    <t>ТЕРм19-02-001-01</t>
  </si>
  <si>
    <t>Экскаватор гусеничный ЭКГ-4, масса 365 т</t>
  </si>
  <si>
    <t>ТЕРм19-02-001-02</t>
  </si>
  <si>
    <t>Экскаватор гусеничный ЭКГ-8, масса 337 т</t>
  </si>
  <si>
    <t>ТЕРм19-02-001-03</t>
  </si>
  <si>
    <t>Экскаватор карьерный электрический полноповоротный гусеничный с нормальным рабочим оборудованием, вместимость ковша 12,5 м3, масса 666 т</t>
  </si>
  <si>
    <t>ТЕРм19-02-001-04</t>
  </si>
  <si>
    <t>Экскаватор гусеничный, вместимость ковша 20 м3, масса 950 т</t>
  </si>
  <si>
    <t>ТЕРм19-02-001-05</t>
  </si>
  <si>
    <t>Экскаватор-драглайн, вместимость ковша 10 м3, масса 680 т</t>
  </si>
  <si>
    <t>ТЕРм19-02-001-06</t>
  </si>
  <si>
    <t>Экскаватор-драглайн, вместимость ковша 20 м3, масса 1697 т</t>
  </si>
  <si>
    <t>ТЕРм19-02-001-07</t>
  </si>
  <si>
    <t>Экскаватор-драглайн, вместимость ковша 40 м3, масса 3200 т</t>
  </si>
  <si>
    <t xml:space="preserve">                                   Экскаваторы роторные</t>
  </si>
  <si>
    <t>ТЕРм19-02-002-01</t>
  </si>
  <si>
    <t>Экскаватор с погрузочным устройством, производительность 5000 м3/ч, масса 5760 т</t>
  </si>
  <si>
    <t>ТЕРм19-02-002-02</t>
  </si>
  <si>
    <t>Передвижчик кабельный самоходный, масса 92,5 т</t>
  </si>
  <si>
    <t>ТЕРм19-02-002-03</t>
  </si>
  <si>
    <t>Экскаватор, производительность 2500 м3/ч, масса 1590 т</t>
  </si>
  <si>
    <t>ТЕРм19-02-002-04</t>
  </si>
  <si>
    <t>Машина роторная погрузочная, производительность 2800 т/ч, масса 1470 т</t>
  </si>
  <si>
    <t>ТЕРм19-02-002-05</t>
  </si>
  <si>
    <t>Экскаватор роторный ЭР-1250, масса 692 т</t>
  </si>
  <si>
    <t xml:space="preserve">                                   Раздел 2. ОТВАЛООБРАЗОВАТЕЛИ, ПЕРЕГРУЖАТЕЛИ И ТРАНСПОРТЕРЫ</t>
  </si>
  <si>
    <t xml:space="preserve">                                   Перегружатели</t>
  </si>
  <si>
    <t>ТЕРм19-02-020-01</t>
  </si>
  <si>
    <t>Перегружатель ПКЗ-5250-65, масса 618 т</t>
  </si>
  <si>
    <t xml:space="preserve">                                   Раздел 3. ОБОРУДОВАНИЕ ДЛЯ БУРЕНИЯ СКВАЖИН</t>
  </si>
  <si>
    <t xml:space="preserve">                                   Станки буровые</t>
  </si>
  <si>
    <t>ТЕРм19-02-030-01</t>
  </si>
  <si>
    <t>Станок буровой для вращательного бурения шарошечными долотами</t>
  </si>
  <si>
    <t>ТЕРм19-02-030-02</t>
  </si>
  <si>
    <t>Установка буровая УБЗШ-2-30</t>
  </si>
  <si>
    <t xml:space="preserve">                                   Раздел 4. АВТОСАМОСВАЛЫ</t>
  </si>
  <si>
    <t xml:space="preserve">                                   Автосамосвалы</t>
  </si>
  <si>
    <t>ТЕРм19-02-040-01</t>
  </si>
  <si>
    <t>Автомобиль-самосвал БелАЗ-548</t>
  </si>
  <si>
    <t xml:space="preserve">                           Раздел 3. ОТДЕЛ 03. ТОРФЯНОЕ ОБОРУДОВАНИЕ</t>
  </si>
  <si>
    <t xml:space="preserve">                                   Барабаны фрезерные</t>
  </si>
  <si>
    <t>ТЕРм19-03-001-01</t>
  </si>
  <si>
    <t>Барабан фрезерный прицепной, ширина захвата 9,5 м</t>
  </si>
  <si>
    <t xml:space="preserve">                                   Ворошилки</t>
  </si>
  <si>
    <t>ТЕРм19-03-002-01</t>
  </si>
  <si>
    <t>Ворошилка, ширина захвата 19 м</t>
  </si>
  <si>
    <t>ТЕРм19-03-002-02</t>
  </si>
  <si>
    <t>Ворошилка, ширина захвата 9,6 м</t>
  </si>
  <si>
    <t xml:space="preserve">                                   Валкователи</t>
  </si>
  <si>
    <t>ТЕРм19-03-003-01</t>
  </si>
  <si>
    <t>Валкователь, ширина захвата до 19 м</t>
  </si>
  <si>
    <t>ТЕРм19-03-003-02</t>
  </si>
  <si>
    <t>Фрезер-валкователь, ширина захвата до 5 м</t>
  </si>
  <si>
    <t>ТЕРм19-03-003-03</t>
  </si>
  <si>
    <t>Машина по сушке и валкованию кускового торфа прицепная, ширина захвата 1,9 м</t>
  </si>
  <si>
    <t xml:space="preserve">                                   Машины уборочные бункерные</t>
  </si>
  <si>
    <t>ТЕРм19-03-004-01</t>
  </si>
  <si>
    <t>Машина для уборки торфа кускового, вместимость кузова 20 м3</t>
  </si>
  <si>
    <t>ТЕРм19-03-004-02</t>
  </si>
  <si>
    <t>Машина для уборки торфа фрезерного, вместимость кузова 17 м3</t>
  </si>
  <si>
    <t>ТЕРм19-03-004-03</t>
  </si>
  <si>
    <t>Машина для уборки торфа фрезерного, на подстилку, вместимость кузова 14 м3</t>
  </si>
  <si>
    <t xml:space="preserve">                                   Штабелирующие машины</t>
  </si>
  <si>
    <t>ТЕРм19-03-005-01</t>
  </si>
  <si>
    <t>Машина штабелирующая, высота штабеля до 8 м</t>
  </si>
  <si>
    <t xml:space="preserve">                                   Краны погрузочные, экскаваторы торфяные, машины для сводки леса, погрузчики торфа</t>
  </si>
  <si>
    <t>ТЕРм19-03-006-01</t>
  </si>
  <si>
    <t>Экскаватор торфяной гидравлический, вместимость ковша 1 м3</t>
  </si>
  <si>
    <t>ТЕРм19-03-006-02</t>
  </si>
  <si>
    <t>Экскаватор торфяной гидравлический универсальный, вместимость ковша 0,65 м3</t>
  </si>
  <si>
    <t>ТЕРм19-03-006-03</t>
  </si>
  <si>
    <t>Машина для сводки леса самоходная</t>
  </si>
  <si>
    <t>ТЕРм19-03-006-04</t>
  </si>
  <si>
    <t>Кран гусеничный торфяной, грузоподъемность 10 т</t>
  </si>
  <si>
    <t>ТЕРм19-03-006-05</t>
  </si>
  <si>
    <t>Погрузчик торфа</t>
  </si>
  <si>
    <t>ТЕРм19-03-006-06</t>
  </si>
  <si>
    <t>Машина шнекороторная уборочная для вспомогательных работ</t>
  </si>
  <si>
    <t xml:space="preserve">                                   Машины по подготовке и ремонту полей и осушительной сети, прицепные к трактору, мощность 55 кВт (75 л.с.)</t>
  </si>
  <si>
    <t>ТЕРм19-03-007-01</t>
  </si>
  <si>
    <t>Машина для ремонта картовых каналов, рабочий орган-шнек с ротором</t>
  </si>
  <si>
    <t>ТЕРм19-03-007-02</t>
  </si>
  <si>
    <t>Профилировщик шнековый, рабочий орган – шнек-фреза</t>
  </si>
  <si>
    <t>ТЕРм19-03-007-03</t>
  </si>
  <si>
    <t>Машина для сбора мелких пней, рабочий орган – накалывающие барабаны</t>
  </si>
  <si>
    <t>ТЕРм19-03-007-04</t>
  </si>
  <si>
    <t>Машина для сбора мелких пней в валки из расстила</t>
  </si>
  <si>
    <t xml:space="preserve">                                   Машины по подготовке и ремонту полей и осушительной сети, прицепные к трактору, мощность 80-107 кВт (108-140 л.с.)</t>
  </si>
  <si>
    <t>ТЕРм19-03-008-01</t>
  </si>
  <si>
    <t>Машина для рытья и ремонта картовых каналов, рабочий орган - коническая фреза</t>
  </si>
  <si>
    <t>ТЕРм19-03-008-02</t>
  </si>
  <si>
    <t>Корчеватель пней роторный, прицепной</t>
  </si>
  <si>
    <t>ТЕРм19-03-008-03</t>
  </si>
  <si>
    <t>Машина для глубокого фрезерования, рабочий орган - фреза</t>
  </si>
  <si>
    <t xml:space="preserve">                                   Самоходные машины по уборке пней</t>
  </si>
  <si>
    <t>ТЕРм19-03-009-01</t>
  </si>
  <si>
    <t>Машина для подбора и погрузки пней, самоходная</t>
  </si>
  <si>
    <t xml:space="preserve">                                   Стационарные торфоперегружатели</t>
  </si>
  <si>
    <t>ТЕРм19-03-010-01</t>
  </si>
  <si>
    <t>Торфоперегружатель стационарный, ширина полотна 1500 мм, мощность электродвигателя 55 кВт</t>
  </si>
  <si>
    <t xml:space="preserve">                                   Прессы торфобрикетные, прессы для кипования торфа</t>
  </si>
  <si>
    <t>ТЕРм19-03-011-01</t>
  </si>
  <si>
    <t>Пресс торфобрикетный, мощность электродвигателя 160 кВт</t>
  </si>
  <si>
    <t>ТЕРм19-03-011-02</t>
  </si>
  <si>
    <t>Пресс упаковочный вертикальный для кипования торфа</t>
  </si>
  <si>
    <t xml:space="preserve">                           Раздел 1. ОТДЕЛ 01. ГИДРОЭНЕРГЕТИЧЕСКОЕ ОБОРУДОВАНИЕ</t>
  </si>
  <si>
    <t xml:space="preserve">                                   Раздел 1. ГИДРАВЛИЧЕСКИЕ ТУРБИНЫ</t>
  </si>
  <si>
    <t xml:space="preserve">                                   Гидротурбины вертикальные поворотно-лопастные</t>
  </si>
  <si>
    <t>ТЕРм22-01-001-01</t>
  </si>
  <si>
    <t>Гидротурбина вертикальная поворотно-лопастная с бетонной спиральной камерой, со сварной камерой рабочего колеса, диаметр рабочего колеса 2,8 м, четырехлопастная, мощность 5,75 МВт</t>
  </si>
  <si>
    <t>ТЕРм22-01-001-02</t>
  </si>
  <si>
    <t>Гидротурбина вертикальная поворотно-лопастная с бетонной спиральной камерой, со сварной камерой рабочего колеса, диаметр рабочего колеса 6 м, семилопастная, мощность 130 МВт</t>
  </si>
  <si>
    <t>ТЕРм22-01-001-03</t>
  </si>
  <si>
    <t>Гидротурбина вертикальная поворотно-лопастная с бетонной спиральной камерой, со сварной камерой рабочего колеса, диаметр рабочего колеса 8,5 м, семилопастная, мощность 230 МВт</t>
  </si>
  <si>
    <t xml:space="preserve">                                   Гидротурбины вертикальные радиально-осевые</t>
  </si>
  <si>
    <t>ТЕРм22-01-002-01</t>
  </si>
  <si>
    <t>Гидротурбина вертикальная радиально-осевая с металлической сварной спиральной камерой, статор со спиральной камерой, поставляемый в сборе, диаметр рабочего колеса 1,4 м, мощность 5,2 МВт</t>
  </si>
  <si>
    <t>ТЕРм22-01-002-02</t>
  </si>
  <si>
    <t>Гидротурбина вертикальная радиально-осевая с металлической сварной спиральной камерой, статор со спиральной камерой, поставляемый в сборе, диаметр рабочего колеса 2,2 м, мощность 82 МВт</t>
  </si>
  <si>
    <t>ТЕРм22-01-002-03</t>
  </si>
  <si>
    <t>Гидротурбина вертикальная радиально-осевая с металлической сварной спиральной камерой, статор и спиральная камера, поставляемые частями, диаметр рабочего колеса 4,2 м, мощность 238 МВт, статор с механической обработкой</t>
  </si>
  <si>
    <t>ТЕРм22-01-002-04</t>
  </si>
  <si>
    <t>Гидротурбина вертикальная радиально-осевая с металлической сварной спиральной камерой, статор и спиральная камера, поставляемые частями, диаметр рабочего колеса 5,8 м, мощность 240 МВт, статор без механической обработки</t>
  </si>
  <si>
    <t>ТЕРм22-01-002-05</t>
  </si>
  <si>
    <t>Гидротурбина вертикальная радиально-осевая с металлической сварной спиральной камерой, статор и спиральная камера, поставляемые частями, диаметр рабочего колеса 6,2 м, мощность 340 МВт, статор без механической обработки</t>
  </si>
  <si>
    <t xml:space="preserve">                                   Раздел 2. МЕТАЛЛИЧЕСКИЕ СВАРНЫЕ КАМЕРЫ И МЕТАЛЛИЧЕСКИЕ ОБЛИЦОВКИ ГИДРОТУРБИН</t>
  </si>
  <si>
    <t xml:space="preserve">                                   Камеры металлические сварные спиральные</t>
  </si>
  <si>
    <t>ТЕРм22-01-016-01</t>
  </si>
  <si>
    <t>Камера металлическая сварная спиральная с примыканием обечаек к статору турбины по прямой (статор-многогранник) из сталей углеродистых</t>
  </si>
  <si>
    <t>ТЕРм22-01-016-02</t>
  </si>
  <si>
    <t>Камера металлическая сварная спиральная с примыканием обечаек к статору турбины по прямой (статор-многогранник) из сталей низколегированных</t>
  </si>
  <si>
    <t>ТЕРм22-01-016-03</t>
  </si>
  <si>
    <t>Камера металлическая сварная спиральная с примыканием обечаек к статору турбины по прямой (статор-многогранник) из сталей легированных</t>
  </si>
  <si>
    <t xml:space="preserve">                                   Облицовки металлические конусов отсасывающих труб</t>
  </si>
  <si>
    <t>ТЕРм22-01-017-01</t>
  </si>
  <si>
    <t>Облицовка металлическая конуса отсасывающей трубы из сегментов и звеньев</t>
  </si>
  <si>
    <t xml:space="preserve">                                   Облицовки металлические бетонных спиральных камер</t>
  </si>
  <si>
    <t>ТЕРм22-01-018-01</t>
  </si>
  <si>
    <t>Облицовка металлическая бетонной спиральной камеры из вальцованных листов</t>
  </si>
  <si>
    <t xml:space="preserve">                                   Раздел 3. РЕГУЛЯТОРЫ СКОРОСТИ К ГИДРОТУРБИНАМ</t>
  </si>
  <si>
    <t xml:space="preserve">                                   Регуляторы скорости электрогидравлические без комбинатора</t>
  </si>
  <si>
    <t>ТЕРм22-01-021-01</t>
  </si>
  <si>
    <t>Регулятор скорости электрогидравлический без комбинатора, типа ЭГР-2И1-100-6,3-11</t>
  </si>
  <si>
    <t>ТЕРм22-01-021-02</t>
  </si>
  <si>
    <t>Регулятор скорости электрогидравлический без комбинатора, типа ЭГР-2И1-150-9</t>
  </si>
  <si>
    <t xml:space="preserve">                                   Регуляторы скорости электрогидравлические с электромеханическим комбинатором вне колонки управления</t>
  </si>
  <si>
    <t>ТЕРм22-01-022-01</t>
  </si>
  <si>
    <t>Регулятор скорости электрогидравлический с электромеханическим комбинатором вне колонки управления, типа ЭГРК-2И1-100-8</t>
  </si>
  <si>
    <t>ТЕРм22-01-022-02</t>
  </si>
  <si>
    <t>Регулятор скорости электрогидравлический с электромеханическим комбинатором вне колонки управления, типа ЭГРК-2И1-150-8</t>
  </si>
  <si>
    <t xml:space="preserve">                                   Раздел 4. МАСЛОНАПОРНЫЕ УСТАНОВКИ</t>
  </si>
  <si>
    <t xml:space="preserve">                                   Установки маслонапорные с одним сосудом</t>
  </si>
  <si>
    <t>ТЕРм22-01-031-01</t>
  </si>
  <si>
    <t>Установка маслонапорная с одним сосудом, объем гидроаккумулятора до 8 м3</t>
  </si>
  <si>
    <t>ТЕРм22-01-031-02</t>
  </si>
  <si>
    <t>Установка маслонапорная с одним сосудом, объем гидроаккумулятора до 16 м3</t>
  </si>
  <si>
    <t xml:space="preserve">                                   Установки маслонапорные с двумя сосудами</t>
  </si>
  <si>
    <t>ТЕРм22-01-032-01</t>
  </si>
  <si>
    <t>Установка маслонапорная с двумя сосудами, объем гидроаккумулятора до 20 м3</t>
  </si>
  <si>
    <t>ТЕРм22-01-032-02</t>
  </si>
  <si>
    <t>Установка маслонапорная с двумя сосудами, объем гидроаккумулятора до 36 м3</t>
  </si>
  <si>
    <t xml:space="preserve">                                   Раздел 5. ГЕНЕРАТОРЫ ДЛЯ ЭЛЕКТРОСТАНЦИЙ</t>
  </si>
  <si>
    <t xml:space="preserve">                                   Гидрогенераторы вертикальные подвесные</t>
  </si>
  <si>
    <t>ТЕРм22-01-036-01</t>
  </si>
  <si>
    <t>Гидрогенератор вертикальный подвесной с воздушным охлаждением, диаметр ротора 2,7 м, статор неразъемный, мощность 6,2 МВ·А</t>
  </si>
  <si>
    <t>ТЕРм22-01-036-02</t>
  </si>
  <si>
    <t>Гидрогенератор вертикальный подвесной с воздушным охлаждением, диаметр ротора 5,2 м, статор секторный со стыковым сердечником, мощность 37 МВ·А</t>
  </si>
  <si>
    <t>ТЕРм22-01-036-03</t>
  </si>
  <si>
    <t>Гидрогенератор вертикальный подвесной с воздушным охлаждением, диаметр ротора 6,3 м, статор секторный со стыковым сердечником, мощность 188 МВ·А</t>
  </si>
  <si>
    <t>ТЕРм22-01-036-04</t>
  </si>
  <si>
    <t>Гидрогенератор вертикальный подвесной с воздушным охлаждением, диаметр ротора 7,6 м, статор секторный со стыковым сердечником, мощность 253 МВ·А</t>
  </si>
  <si>
    <t xml:space="preserve">                                   Гидрогенераторы вертикальные зонтичные</t>
  </si>
  <si>
    <t>ТЕРм22-01-037-01</t>
  </si>
  <si>
    <t>Гидрогенератор вертикальный зонтичный с воздушным охлаждением (ротор без монтажного разъема), диаметр ротора 3,7 м, статор со стыковым сердечником, мощность 48 МВ·А</t>
  </si>
  <si>
    <t>ТЕРм22-01-037-02</t>
  </si>
  <si>
    <t>Гидрогенератор вертикальный зонтичный с воздушным охлаждением (ротор без монтажного разъема), диаметр ротора 8,3 м, статор со стыковым сердечником, мощность 53 МВ·А</t>
  </si>
  <si>
    <t>ТЕРм22-01-037-03</t>
  </si>
  <si>
    <t>Гидрогенератор вертикальный зонтичный с воздушным охлаждением (ротор без монтажного разъема), диаметр ротора 10,4 м, статор со стыковым сердечником, мощность 87 МВ·А</t>
  </si>
  <si>
    <t>ТЕРм22-01-037-04</t>
  </si>
  <si>
    <t>Гидрогенератор вертикальный зонтичный с воздушным охлаждением (ротор без монтажного разъема), диаметр ротора 11,9 м, статор со стыковым сердечником, мощность 197 МВ·А</t>
  </si>
  <si>
    <t>ТЕРм22-01-037-05</t>
  </si>
  <si>
    <t>Гидрогенератор вертикальный зонтичный с воздушным охлаждением (ротор без монтажного разъема), диаметр ротора 9,3 м, статор с бесстыковым сердечником, мощность 220 МВ·А</t>
  </si>
  <si>
    <t>ТЕРм22-01-037-06</t>
  </si>
  <si>
    <t>Гидрогенератор вертикальный зонтичный с воздушным охлаждением (ротор без монтажного разъема), диаметр ротора 11,9 м, статор с бесстыковым сердечником, мощность 372 МВ·А</t>
  </si>
  <si>
    <t xml:space="preserve">                           Раздел 2. ОТДЕЛ 02. МЕХАНИЧЕСКОЕ ОБОРУДОВАНИЕ ГИДРОТЕХНИЧЕСКИХ СООРУЖЕНИЙ</t>
  </si>
  <si>
    <t xml:space="preserve">                                   Раздел 1. МЕХАНИЗМЫ ПОДЪЕМНЫЕ СТАЦИОНАРНЫЕ</t>
  </si>
  <si>
    <t xml:space="preserve">                                   Механизмы подъемные с ручным приводом</t>
  </si>
  <si>
    <t>ТЕРм22-02-001-01</t>
  </si>
  <si>
    <t>Механизм подъемный с ручным приводом винтовой, масса комплекта до 0,2 т</t>
  </si>
  <si>
    <t>ТЕРм22-02-001-02</t>
  </si>
  <si>
    <t>Механизм подъемный с ручным приводом винтовой, масса комплекта до 0,3 т</t>
  </si>
  <si>
    <t>ТЕРм22-02-001-03</t>
  </si>
  <si>
    <t>Механизм подъемный с ручным приводом винтовой, масса комплекта до 0,5 т</t>
  </si>
  <si>
    <t xml:space="preserve">                                   Механизмы подъемные с электрическим приводом</t>
  </si>
  <si>
    <t>ТЕРм22-02-002-01</t>
  </si>
  <si>
    <t>Механизм подъемный с электрическим приводом канатный, однобарабанный, масса до 2 т</t>
  </si>
  <si>
    <t>ТЕРм22-02-002-02</t>
  </si>
  <si>
    <t>Механизм подъемный с электрическим приводом канатный, однобарабанный, масса до 5 т</t>
  </si>
  <si>
    <t>ТЕРм22-02-002-03</t>
  </si>
  <si>
    <t>Механизм подъемный с электрическим приводом канатный, однобарабанный, масса до 10 т</t>
  </si>
  <si>
    <t>ТЕРм22-02-002-04</t>
  </si>
  <si>
    <t>Механизм подъемный с электрическим приводом канатный, однобарабанный, масса до 20 т</t>
  </si>
  <si>
    <t>ТЕРм22-02-002-05</t>
  </si>
  <si>
    <t>Механизм подъемный с электрическим приводом канатный, однобарабанный, масса свыше 20 т</t>
  </si>
  <si>
    <t>ТЕРм22-02-002-06</t>
  </si>
  <si>
    <t>Механизм подъемный с электрическим приводом канатный, двухбарабанный масса до 15 т, для обслуживания плоских затворов</t>
  </si>
  <si>
    <t>ТЕРм22-02-002-07</t>
  </si>
  <si>
    <t>Механизм подъемный с электрическим приводом канатный, двухбарабанный масса до 15 т, для обслуживания сегментных затворов</t>
  </si>
  <si>
    <t>ТЕРм22-02-002-08</t>
  </si>
  <si>
    <t>Механизм подъемный с электрическим приводом канатный, двухбарабанный масса свыше 15 т, для обслуживания сегментных затворов</t>
  </si>
  <si>
    <t>ТЕРм22-02-002-09</t>
  </si>
  <si>
    <t>Механизм подъемный с электрическим приводом канатный, двухбарабанный масса до 50 т, для обслуживания плоских затворов</t>
  </si>
  <si>
    <t>ТЕРм22-02-002-10</t>
  </si>
  <si>
    <t>Механизм подъемный с электрическим приводом канатный, двухбарабанный масса свыше 50 т, для обслуживания затворов и решеток</t>
  </si>
  <si>
    <t>ТЕРм22-02-002-11</t>
  </si>
  <si>
    <t>Механизм подъемный с электрическим приводом с пластинчатыми цепями (без учета массы противовесов), грузоподъемность до 20 т</t>
  </si>
  <si>
    <t>ТЕРм22-02-002-12</t>
  </si>
  <si>
    <t>Механизм подъемный с электрическим приводом с пластинчатыми цепями (без учета массы противовесов), грузоподъемность до 100 т</t>
  </si>
  <si>
    <t>ТЕРм22-02-002-13</t>
  </si>
  <si>
    <t>Механизм подъемный с электрическим приводом с пластинчатыми цепями (без учета массы противовесов), грузоподъемность до 150 т</t>
  </si>
  <si>
    <t>ТЕРм22-02-002-14</t>
  </si>
  <si>
    <t>Механизм подъемный с электрическим приводом с пластинчатыми цепями (без учета массы противовесов), грузоподъемность свыше 150 т</t>
  </si>
  <si>
    <t>ТЕРм22-02-002-15</t>
  </si>
  <si>
    <t>Механизм подъемный с электрическим приводом цевочный (реечный), грузоподъемность до 5 т</t>
  </si>
  <si>
    <t>ТЕРм22-02-002-16</t>
  </si>
  <si>
    <t>Механизм подъемный с электрическим приводом цевочный (реечный), грузоподъемность до 25 т</t>
  </si>
  <si>
    <t>ТЕРм22-02-002-17</t>
  </si>
  <si>
    <t>Механизм подъемный с электрическим приводом цевочный (реечный), грузоподъемность свыше 25 т</t>
  </si>
  <si>
    <t>ТЕРм22-02-002-18</t>
  </si>
  <si>
    <t>Механизм подъемный с электрическим приводом винтовой, грузоподъемность до 5 т</t>
  </si>
  <si>
    <t>ТЕРм22-02-002-19</t>
  </si>
  <si>
    <t>Механизм подъемный с электрическим приводом винтовой, грузоподъемность до 10 т</t>
  </si>
  <si>
    <t>ТЕРм22-02-002-20</t>
  </si>
  <si>
    <t>Механизм подъемный с электрическим приводом винтовой, грузоподъемность до 15 т</t>
  </si>
  <si>
    <t>ТЕРм22-02-002-21</t>
  </si>
  <si>
    <t>Механизм подъемный с электрическим приводом винтовой, грузоподъемность до 20 т</t>
  </si>
  <si>
    <t>ТЕРм22-02-002-22</t>
  </si>
  <si>
    <t>Механизм подъемный с электрическим приводом винтовой, грузоподъемность до 40 т</t>
  </si>
  <si>
    <t xml:space="preserve">                                   Механизмы гидравлические подъемные</t>
  </si>
  <si>
    <t>ТЕРм22-02-003-01</t>
  </si>
  <si>
    <t>Механизм гидравлический подъемный, гидравлический привод с вертикальными гидроцилиндрами, количество гидроцилиндров 1, масса до 10 т</t>
  </si>
  <si>
    <t>ТЕРм22-02-003-02</t>
  </si>
  <si>
    <t>Механизм гидравлический подъемный, гидравлический привод с вертикальными гидроцилиндрами, количество гидроцилиндров 1, масса до 30 т</t>
  </si>
  <si>
    <t>ТЕРм22-02-003-03</t>
  </si>
  <si>
    <t>Механизм гидравлический подъемный, гидравлический привод с вертикальными гидроцилиндрами, количество гидроцилиндров до 4, масса до 100 т</t>
  </si>
  <si>
    <t>ТЕРм22-02-003-04</t>
  </si>
  <si>
    <t>Механизм гидравлический подъемный, гидравлический привод с вертикальными гидроцилиндрами, количество гидроцилиндров до 4, масса свыше 100 т</t>
  </si>
  <si>
    <t>ТЕРм22-02-003-05</t>
  </si>
  <si>
    <t>Механизм гидравлический подъемный, гидравлический привод с вертикальными гидроцилиндрами, количество гидроцилиндров до 25, масса 250 т</t>
  </si>
  <si>
    <t>ТЕРм22-02-003-06</t>
  </si>
  <si>
    <t>Механизм гидравлический подъемный, гидравлический привод с горизонтальными цилиндрами</t>
  </si>
  <si>
    <t>ТЕРм22-02-003-07</t>
  </si>
  <si>
    <t>Механизм гидравлический подъемный, гидропривод ленточный</t>
  </si>
  <si>
    <t xml:space="preserve">                                   Раздел 2. ПОДЪЕМНЫЕ ПЕРЕДВИЖНЫЕ МЕХАНИЗМЫ</t>
  </si>
  <si>
    <t xml:space="preserve">                                   Краны специальные гидротехнические козловые и полукозловые</t>
  </si>
  <si>
    <t>ТЕРм22-02-010-01</t>
  </si>
  <si>
    <t>Кран специальный гидротехнический козловой и полукозловой с электрическим приводом (без очистных механизмов), грузоподъемность до 16 т</t>
  </si>
  <si>
    <t>ТЕРм22-02-010-02</t>
  </si>
  <si>
    <t>Кран специальный гидротехнический козловой и полукозловой с электрическим приводом (без очистных механизмов), грузоподъемность до 100 т</t>
  </si>
  <si>
    <t>ТЕРм22-02-010-03</t>
  </si>
  <si>
    <t>Кран специальный гидротехнический козловой и полукозловой с электрическим приводом (без очистных механизмов), грузоподъемность до 150 т</t>
  </si>
  <si>
    <t>ТЕРм22-02-010-04</t>
  </si>
  <si>
    <t>Кран специальный гидротехнический козловой и полукозловой с электрическим приводом (без очистных механизмов), грузоподъемность свыше 150 т</t>
  </si>
  <si>
    <t xml:space="preserve">                                   Механизмы монорельсовые (подвесные тележки)</t>
  </si>
  <si>
    <t>ТЕРм22-02-011-01</t>
  </si>
  <si>
    <t>Механизм монорельсовый, грузоподъемность до 5 т</t>
  </si>
  <si>
    <t>ТЕРм22-02-011-02</t>
  </si>
  <si>
    <t>Механизм монорельсовый, грузоподъемность до 20 т</t>
  </si>
  <si>
    <t>ТЕРм22-02-011-03</t>
  </si>
  <si>
    <t>Механизм монорельсовый, грузоподъемность свыше 20 т</t>
  </si>
  <si>
    <t xml:space="preserve">                                   Раздел 3. МЕХАНИЗМЫ ОЧИСТНЫЕ</t>
  </si>
  <si>
    <t xml:space="preserve">                                   Механизмы очистные, устанавливаемые на кранах</t>
  </si>
  <si>
    <t>ТЕРм22-02-020-01</t>
  </si>
  <si>
    <t>Механизм очистной, устанавливаемый на кране, грейфер электрогидравлический, масса комплекта до 2 т</t>
  </si>
  <si>
    <t>ТЕРм22-02-020-02</t>
  </si>
  <si>
    <t>Механизм очистной, устанавливаемый на кране, грейфер электрогидравлический, масса комплекта до 3 т</t>
  </si>
  <si>
    <t>ТЕРм22-02-020-03</t>
  </si>
  <si>
    <t>Механизм очистной, устанавливаемый на кране, грейфер электрогидравлический, масса комплекта до 10 т</t>
  </si>
  <si>
    <t>ТЕРм22-02-020-04</t>
  </si>
  <si>
    <t>Механизм очистной, устанавливаемый на кране, грейфер электрогидравлический, масса комплекта свыше 10 т</t>
  </si>
  <si>
    <t xml:space="preserve">                                   Машины решеткоочистные</t>
  </si>
  <si>
    <t>ТЕРм22-02-021-01</t>
  </si>
  <si>
    <t>Машина решеткоочистная самоходная, тип РН</t>
  </si>
  <si>
    <t>ТЕРм22-02-021-02</t>
  </si>
  <si>
    <t>Машина решеткоочистная самоходная, тип РВ</t>
  </si>
  <si>
    <t>ТЕРм22-02-021-03</t>
  </si>
  <si>
    <t>Машина решеткоочистная самоходная, тип РТ, подвесная</t>
  </si>
  <si>
    <t xml:space="preserve">                                   Сетки водоочистные, вращающиеся</t>
  </si>
  <si>
    <t>ТЕРм22-02-022-01</t>
  </si>
  <si>
    <t>Сетка водоочистная вращающаяся, габаритная, масса комплекта до 10 т</t>
  </si>
  <si>
    <t>ТЕРм22-02-022-02</t>
  </si>
  <si>
    <t>Сетка водоочистная вращающаяся, габаритная, масса комплекта свыше 10 т</t>
  </si>
  <si>
    <t>ТЕРм22-02-022-03</t>
  </si>
  <si>
    <t>Сетка водоочистная вращающаяся, негабаритная</t>
  </si>
  <si>
    <t xml:space="preserve">                                   Раздел 4. МЕХАНИЧЕСКИЕ УЗЛЫ И ДЕТАЛИ ЗАТВОРОВ, ШЛЮЗОВЫХ ВОРОТ И СОРОУДЕРЖИВАЮЩИХ РЕШЕТОК</t>
  </si>
  <si>
    <t xml:space="preserve">                                   Подвесные устройства и тяговые органы</t>
  </si>
  <si>
    <t>ТЕРм22-02-030-01</t>
  </si>
  <si>
    <t>Подвесное устройство и тяговый орган, балка захватная механическая, грузоподъемность до 10 т</t>
  </si>
  <si>
    <t>ТЕРм22-02-030-02</t>
  </si>
  <si>
    <t>Подвесное устройство и тяговый орган, балка захватная механическая с клещевым захватом</t>
  </si>
  <si>
    <t>ТЕРм22-02-030-03</t>
  </si>
  <si>
    <t>Подвесное устройство и тяговый орган, балка захватная электромеханическая</t>
  </si>
  <si>
    <t>ТЕРм22-02-030-04</t>
  </si>
  <si>
    <t>Подвесное устройство и тяговый орган, балка захватная с электрогидроприводом с одной точкой подвеса, габаритная</t>
  </si>
  <si>
    <t>ТЕРм22-02-030-05</t>
  </si>
  <si>
    <t>Подвесное устройство и тяговый орган, балка захватная с электрогидроприводом с одной точкой подвеса, негабаритная</t>
  </si>
  <si>
    <t>ТЕРм22-02-030-06</t>
  </si>
  <si>
    <t>Подвесное устройство и тяговый орган, балка захватная с электрогидроприводом с двумя точками подвеса</t>
  </si>
  <si>
    <t>ТЕРм22-02-030-07</t>
  </si>
  <si>
    <t>Подвесное устройство и тяговый орган, подхват, грузоподъемность до 10 т</t>
  </si>
  <si>
    <t>ТЕРм22-02-030-08</t>
  </si>
  <si>
    <t>Подвесное устройство и тяговый орган, подхват, грузоподъемность до 20 т</t>
  </si>
  <si>
    <t>ТЕРм22-02-030-09</t>
  </si>
  <si>
    <t>Подвесное устройство и тяговый орган, подхват, грузоподъемность до 60 т</t>
  </si>
  <si>
    <t>ТЕРм22-02-030-10</t>
  </si>
  <si>
    <t>Подвесное устройство и тяговый орган, подхват, грузоподъемность до 100 т</t>
  </si>
  <si>
    <t>ТЕРм22-02-030-11</t>
  </si>
  <si>
    <t>Подвесное устройство и тяговый орган, подхват, грузоподъемность свыше 100 т</t>
  </si>
  <si>
    <t>ТЕРм22-02-030-12</t>
  </si>
  <si>
    <t>Подвесное устройство и тяговый орган, тяга для сегментных затворов</t>
  </si>
  <si>
    <t xml:space="preserve">                                   Шарниры опорные</t>
  </si>
  <si>
    <t>ТЕРм22-02-031-01</t>
  </si>
  <si>
    <t>Шарнир опорный сегментных затворов, масса комплекта на затвор до 10 т</t>
  </si>
  <si>
    <t>ТЕРм22-02-031-02</t>
  </si>
  <si>
    <t>Шарнир опорный сегментных затворов, масса комплекта на затвор свыше 10 т</t>
  </si>
  <si>
    <t xml:space="preserve">                                   Раздел 5. ЗАТВОРЫ</t>
  </si>
  <si>
    <t xml:space="preserve">                                   Затворы плоские габаритные</t>
  </si>
  <si>
    <t>ТЕРм22-02-040-01</t>
  </si>
  <si>
    <t>Затвор плоский габаритный скользящий и колесный, масса до 1 т</t>
  </si>
  <si>
    <t>ТЕРм22-02-040-02</t>
  </si>
  <si>
    <t>Затвор плоский габаритный скользящий и колесный, масса до 2 т</t>
  </si>
  <si>
    <t>ТЕРм22-02-040-03</t>
  </si>
  <si>
    <t>Затвор плоский габаритный скользящий и колесный, масса до 5 т</t>
  </si>
  <si>
    <t xml:space="preserve">                                   Затворы плоские скользящие габаритные и секционные из габаритных секций</t>
  </si>
  <si>
    <t>ТЕРм22-02-041-01</t>
  </si>
  <si>
    <t>Затвор плоский скользящий габаритный и секционный из габаритных секций, масса от 5 до 30 т</t>
  </si>
  <si>
    <t>ТЕРм22-02-041-02</t>
  </si>
  <si>
    <t>Затвор плоский скользящий габаритный и секционный из габаритных секций, масса свыше 30 т</t>
  </si>
  <si>
    <t xml:space="preserve">                                   Затворы плоские колесные габаритные и секционные из габаритных секций</t>
  </si>
  <si>
    <t>ТЕРм22-02-042-01</t>
  </si>
  <si>
    <t>Затвор плоский колесный габаритный и секционный из габаритных секций, масса от 5 до 10 т</t>
  </si>
  <si>
    <t>ТЕРм22-02-042-02</t>
  </si>
  <si>
    <t>Затвор плоский колесный габаритный и секционный из габаритных секций, масса свыше 10 т</t>
  </si>
  <si>
    <t xml:space="preserve">                                   Затворы негабаритные и из негабаритных секций плоские скользящие и колесные</t>
  </si>
  <si>
    <t>ТЕРм22-02-043-01</t>
  </si>
  <si>
    <t>Затвор негабаритный и из негабаритных секций плоский скользящий, масса до 70 т</t>
  </si>
  <si>
    <t>ТЕРм22-02-043-02</t>
  </si>
  <si>
    <t>Затвор негабаритный и из негабаритных секций плоский скользящий, масса свыше 70 т</t>
  </si>
  <si>
    <t>ТЕРм22-02-043-03</t>
  </si>
  <si>
    <t>Затвор негабаритный и из негабаритных секций плоский колесный</t>
  </si>
  <si>
    <t xml:space="preserve">                                   Затворы сегментные (без опорных шарниров)</t>
  </si>
  <si>
    <t>ТЕРм22-02-044-01</t>
  </si>
  <si>
    <t>Затвор сегментный (без опорных шарниров) поверхностный негабаритный</t>
  </si>
  <si>
    <t>ТЕРм22-02-044-02</t>
  </si>
  <si>
    <t>Затвор сегментный (без опорных шарниров) уравновешенный (полноповоротный)</t>
  </si>
  <si>
    <t>ТЕРм22-02-044-03</t>
  </si>
  <si>
    <t>Затвор сегментный (без опорных шарниров) глубинный негабаритный</t>
  </si>
  <si>
    <t xml:space="preserve">                                   Затворы напорные трубопроводов</t>
  </si>
  <si>
    <t>ТЕРм22-02-045-01</t>
  </si>
  <si>
    <t>Затвор конусный напорный трубопроводов, масса до 20 т</t>
  </si>
  <si>
    <t>ТЕРм22-02-045-02</t>
  </si>
  <si>
    <t>Затвор конусный напорный трубопроводов, масса свыше 20 т</t>
  </si>
  <si>
    <t xml:space="preserve">                                   Раздел 6. СОРОУДЕРЖИВАЮЩИЕ РЕШЕТКИ</t>
  </si>
  <si>
    <t xml:space="preserve">                                   Решетки сороудерживающие габаритные глубинных отверстий</t>
  </si>
  <si>
    <t>ТЕРм22-02-050-01</t>
  </si>
  <si>
    <t>Решетка сороудерживающая глубинных отверстий, масса до 1 т</t>
  </si>
  <si>
    <t>ТЕРм22-02-050-02</t>
  </si>
  <si>
    <t>Решетка сороудерживающая глубинных отверстий, масса до 5 т</t>
  </si>
  <si>
    <t xml:space="preserve">                                   Решетки сороудерживающие габаритные и секционные из габаритных секций</t>
  </si>
  <si>
    <t>ТЕРм22-02-051-01</t>
  </si>
  <si>
    <t>Решетка сороудерживающая габаритная и секционная из габаритных секций, масса от 5 до 30 т</t>
  </si>
  <si>
    <t>ТЕРм22-02-051-02</t>
  </si>
  <si>
    <t>Решетка сороудерживающая габаритная и секционная из габаритных секций, масса свыше 30 т</t>
  </si>
  <si>
    <t xml:space="preserve">                                   Решетки сороудерживающие негабаритные и из негабаритных секций</t>
  </si>
  <si>
    <t>ТЕРм22-02-052-01</t>
  </si>
  <si>
    <t>Решетка сороудерживающая негабаритная и из негабаритных секций, масса до 50 т</t>
  </si>
  <si>
    <t>ТЕРм22-02-052-02</t>
  </si>
  <si>
    <t>Решетка сороудерживающая негабаритная и из негабаритных секций, масса свыше 50 т</t>
  </si>
  <si>
    <t xml:space="preserve">                                   Раздел 7. ШЛЮЗНЫЕ ВОРОТА</t>
  </si>
  <si>
    <t xml:space="preserve">                                   Ворота шлюзные двустворчатые</t>
  </si>
  <si>
    <t>ТЕРм22-02-060-01</t>
  </si>
  <si>
    <t>Ворота шлюзные двустворчатые стоечные, ригельные и стоечно-ригельные, масса до 100 т</t>
  </si>
  <si>
    <t>ТЕРм22-02-060-02</t>
  </si>
  <si>
    <t>Ворота шлюзные двустворчатые стоечные, ригельные и стоечно-ригельные, масса свыше 100 т</t>
  </si>
  <si>
    <t xml:space="preserve">                                   Ворота шлюзные опускные</t>
  </si>
  <si>
    <t>ТЕРм22-02-061-01</t>
  </si>
  <si>
    <t>Ворота шлюзные опускные, масса до 300 т</t>
  </si>
  <si>
    <t xml:space="preserve">                                   Раздел 8. РАЗНОЕ ОБОРУДОВАНИЕ И РАБОТЫ</t>
  </si>
  <si>
    <t xml:space="preserve">                                   Система воздухообдува затворов и ворот</t>
  </si>
  <si>
    <t>ТЕРм22-02-070-01</t>
  </si>
  <si>
    <t>Система пневматическая воздухообдува затворов и ворот для поддержания майны, ширина камеры шлюза 14 м</t>
  </si>
  <si>
    <t>ТЕРм22-02-070-02</t>
  </si>
  <si>
    <t>Система пневматическая воздухообдува затворов и ворот для поддержания майны, ширина камеры шлюза 30 м</t>
  </si>
  <si>
    <t xml:space="preserve">                                   Устройства смазочные</t>
  </si>
  <si>
    <t>ТЕРм22-02-071-01</t>
  </si>
  <si>
    <t>Устройство смазочное пяты и оси гальсбанта двустворчатых ворот</t>
  </si>
  <si>
    <t xml:space="preserve">                                   Противовесы и балласты</t>
  </si>
  <si>
    <t>ТЕРм22-02-072-01</t>
  </si>
  <si>
    <t>Противовес к механизмам с пластинчатыми цепями, масса комплекта до 6 т</t>
  </si>
  <si>
    <t>ТЕРм22-02-072-02</t>
  </si>
  <si>
    <t>Противовес к механизмам с пластинчатыми цепями, масса комплекта свыше 6 т</t>
  </si>
  <si>
    <t>ТЕРм22-02-072-03</t>
  </si>
  <si>
    <t>Балласт чугунный плоских глубинных затворов</t>
  </si>
  <si>
    <t xml:space="preserve">                                   Тележки для перевозки оборудования</t>
  </si>
  <si>
    <t>ТЕРм22-02-073-01</t>
  </si>
  <si>
    <t>Тележка для перевозки оборудования самоходная, масса до 2 т</t>
  </si>
  <si>
    <t>ТЕРм22-02-073-02</t>
  </si>
  <si>
    <t>Тележка для перевозки оборудования самоходная, масса свыше 2 т</t>
  </si>
  <si>
    <t xml:space="preserve">                                   Рымы плавучие, поплавковые устройства, устройства измерения уровня воды</t>
  </si>
  <si>
    <t>ТЕРм22-02-074-01</t>
  </si>
  <si>
    <t>Рым плавучий, швартовое усилие 10 т</t>
  </si>
  <si>
    <t>ТЕРм22-02-074-02</t>
  </si>
  <si>
    <t>Рым плавучий, швартовое усилие 30 т</t>
  </si>
  <si>
    <t>ТЕРм22-02-074-03</t>
  </si>
  <si>
    <t>Устройство поплавковое</t>
  </si>
  <si>
    <t>ТЕРм22-02-074-04</t>
  </si>
  <si>
    <t>Устройство измерения уровня воды с уровнемером мембранного типа</t>
  </si>
  <si>
    <t>ТЕРм22-02-074-05</t>
  </si>
  <si>
    <t>Устройство измерения уровня воды с уровнемером типа УБ-Э</t>
  </si>
  <si>
    <t xml:space="preserve">                                   Заливка вкладышей</t>
  </si>
  <si>
    <t>ТЕРм22-02-075-01</t>
  </si>
  <si>
    <t>Заливка вкладышей баббитом</t>
  </si>
  <si>
    <t xml:space="preserve">                                   Механические узлы и тяговые органы (при перестановке и замене износившихся)</t>
  </si>
  <si>
    <t>ТЕРм22-02-076-01</t>
  </si>
  <si>
    <t>Механические узлы и тяговые органы (при перестановке и замене износившихся), в т.ч. цепи шарнирно-пластинчатые для цепных механизмов, масса комплекта до 0,5 т</t>
  </si>
  <si>
    <t>ТЕРм22-02-076-02</t>
  </si>
  <si>
    <t>Механические узлы и тяговые органы (при перестановке и замене износившихся), в т.ч. цепи шарнирно-пластинчатые для цепных механизмов, масса комплекта до 3 т</t>
  </si>
  <si>
    <t>ТЕРм22-02-076-03</t>
  </si>
  <si>
    <t>Механические узлы и тяговые органы (при перестановке и замене износившихся), в т.ч. цепи шарнирно-пластинчатые для цепных механизмов, масса комплекта до 20 т</t>
  </si>
  <si>
    <t>ТЕРм22-02-076-04</t>
  </si>
  <si>
    <t>Механические узлы и тяговые органы (при перестановке и замене износившихся), в т.ч. цепи шарнирно-пластинчатые для цепных механизмов, масса комплекта свыше 20 т</t>
  </si>
  <si>
    <t>ТЕРм22-02-076-05</t>
  </si>
  <si>
    <t>Механические узлы и тяговые органы (при перестановке и замене износившихся), в т.ч. штанги, подвески и сцепы, масса комплекта на затвор до 0,5 т</t>
  </si>
  <si>
    <t>ТЕРм22-02-076-06</t>
  </si>
  <si>
    <t>Механические узлы и тяговые органы (при перестановке и замене износившихся), в т.ч. штанги, подвески и сцепы, масса комплекта на затвор до 1 т</t>
  </si>
  <si>
    <t>ТЕРм22-02-076-07</t>
  </si>
  <si>
    <t>Механические узлы и тяговые органы (при перестановке и замене износившихся), в т.ч. штанги, подвески и сцепы, масса комплекта на затвор до 5 т</t>
  </si>
  <si>
    <t>ТЕРм22-02-076-08</t>
  </si>
  <si>
    <t>Механические узлы и тяговые органы (при перестановке и замене износившихся), в т.ч. штанги, подвески и сцепы, масса комплекта на затвор до 10 т</t>
  </si>
  <si>
    <t>ТЕРм22-02-076-09</t>
  </si>
  <si>
    <t>Механические узлы и тяговые органы (при перестановке и замене износившихся), в т.ч. штанги, подвески и сцепы, масса комплекта на затвор свыше 10 т</t>
  </si>
  <si>
    <t>ТЕРм22-02-076-10</t>
  </si>
  <si>
    <t>Механические узлы и тяговые органы (при перестановке и замене износившихся), в т.ч. опорные и опорно-ходовые части шлюзовых ворот устройство пятовое</t>
  </si>
  <si>
    <t>ТЕРм22-02-076-11</t>
  </si>
  <si>
    <t>Механические узлы и тяговые органы (при перестановке и замене износившихся), в т.ч. опорные и опорно-ходовые части шлюзовых ворот гальсбанты</t>
  </si>
  <si>
    <t>ТЕРм22-02-076-12</t>
  </si>
  <si>
    <t>Механические узлы и тяговые органы (при перестановке и замене износившихся), в т.ч. опорные и опорно-ходовые части шлюзовых ворот подушки упорные и опорные</t>
  </si>
  <si>
    <t>ТЕРм22-02-076-13</t>
  </si>
  <si>
    <t>Механические узлы и тяговые органы (при перестановке и замене износившихся), в т.ч. опорные и опорно-ходовые части шлюзовых ворот части опорно-ходовые откатных ворот</t>
  </si>
  <si>
    <t>ТЕРм22-02-076-14</t>
  </si>
  <si>
    <t>Механические узлы и тяговые органы (при перестановке и замене износившихся), в т.ч. опорные и опорно-ходовые части шлюзовых ворот части опорно-ходовые плоских скользящих затворов (кроме полозьев)</t>
  </si>
  <si>
    <t>ТЕРм22-02-076-15</t>
  </si>
  <si>
    <t>Механические узлы и тяговые органы (при перестановке и замене износившихся), в т.ч. части опорно-ходовые плоских колесных затворов, масса комплекта до 3 т</t>
  </si>
  <si>
    <t>ТЕРм22-02-076-16</t>
  </si>
  <si>
    <t>Механические узлы и тяговые органы (при перестановке и замене износившихся), в т.ч. части опорно-ходовые плоских колесных затворов, масса комплекта до 5 т</t>
  </si>
  <si>
    <t>ТЕРм22-02-076-17</t>
  </si>
  <si>
    <t>Механические узлы и тяговые органы (при перестановке и замене износившихся), в т.ч. части опорно-ходовые плоских колесных затворов, масса комплекта до 10 т</t>
  </si>
  <si>
    <t>ТЕРм22-02-076-18</t>
  </si>
  <si>
    <t>Механические узлы и тяговые органы (при перестановке и замене износившихся), в т.ч. части опорно-ходовые плоских колесных затворов, масса комплекта свыше 10 т</t>
  </si>
  <si>
    <t>ТЕРм22-02-076-19</t>
  </si>
  <si>
    <t>Механические узлы и тяговые органы (при перестановке и замене износившихся), в т.ч. полозья опорные затворов плоских скользящих габаритных и из габаритных секций с подливкой эпоксидным компаундом в горизонтальном положении</t>
  </si>
  <si>
    <t>ТЕРм22-02-076-20</t>
  </si>
  <si>
    <t>Механические узлы и тяговые органы (при перестановке и замене износившихся), в т.ч. полозья опорные затворов скользящих негабаритных и секционных из негабаритных секций с подливкой эпоксидным компаундом в вертикальном положении</t>
  </si>
  <si>
    <t>ТЕРм-2001-22</t>
  </si>
  <si>
    <t xml:space="preserve">                           Раздел 1. ОТДЕЛ 01. КАБЕЛЬНОЕ ОБОРУДОВАНИЕ</t>
  </si>
  <si>
    <t xml:space="preserve">                                   Раздел 1. МАШИНЫ КРУТИЛЬНЫЕ</t>
  </si>
  <si>
    <t xml:space="preserve">                                   Машины крутильные рамочные</t>
  </si>
  <si>
    <t>ТЕРм23-01-001-01</t>
  </si>
  <si>
    <t>Машина литцекрутильная рамочная двойной скрутки с приемной катушкой, диаметр щеки 200 мм</t>
  </si>
  <si>
    <t>ТЕРм23-01-001-02</t>
  </si>
  <si>
    <t>Машина литцекрутильная рамочная двойной скрутки с приемной катушкой, диаметр щеки 400 мм</t>
  </si>
  <si>
    <t>ТЕРм23-01-001-03</t>
  </si>
  <si>
    <t>Машина литцекрутильная рамочная двойной скрутки с приемной катушкой, диаметр щеки 630 мм</t>
  </si>
  <si>
    <t>ТЕРм23-01-001-04</t>
  </si>
  <si>
    <t>Машина литцекрутильная рамочная двойной скрутки с приемной катушкой, диаметр щеки 1250 мм</t>
  </si>
  <si>
    <t xml:space="preserve">                                   Машины крутильные сигарного типа</t>
  </si>
  <si>
    <t>ТЕРм23-01-002-01</t>
  </si>
  <si>
    <t>Машина крутильная сигарного типа, диаметр щеки отдающей катушки 100 мм шестикатушечная</t>
  </si>
  <si>
    <t>ТЕРм23-01-002-02</t>
  </si>
  <si>
    <t>Машина крутильная сигарного типа, диаметр щеки отдающей катушки 100 мм двенадцатикатушечная</t>
  </si>
  <si>
    <t>ТЕРм23-01-002-03</t>
  </si>
  <si>
    <t>Машина крутильная сигарного типа двухроторная, шестикатушечная, диаметр щеки отдающей катушки 200 мм</t>
  </si>
  <si>
    <t>ТЕРм23-01-002-04</t>
  </si>
  <si>
    <t>Машина крутильная сигарного типа шестикатушечная, диаметр щеки отдающей катушки 400 мм</t>
  </si>
  <si>
    <t>ТЕРм23-01-002-05</t>
  </si>
  <si>
    <t>Машина крутильная сигарного типа шестикатушечная, диаметр щеки отдающей катушки 500 мм</t>
  </si>
  <si>
    <t>ТЕРм23-01-002-06</t>
  </si>
  <si>
    <t>Машина крутильная сигарного типа шестикатушечная, диаметр щеки отдающей катушки 630 мм</t>
  </si>
  <si>
    <t>ТЕРм23-01-002-07</t>
  </si>
  <si>
    <t>Машина крутильная сигарного типа двенадцатикатушечная, диаметр щеки отдающей катушки 400 мм</t>
  </si>
  <si>
    <t>ТЕРм23-01-002-08</t>
  </si>
  <si>
    <t>Машина крутильная сигарного типа двенадцатикатушечная, диаметр щеки отдающей катушки 500 мм</t>
  </si>
  <si>
    <t>ТЕРм23-01-002-09</t>
  </si>
  <si>
    <t>Машина крутильная сигарного типа для скрутки изолированной жилы, диаметр щеки отдающего барабана 1000 мм</t>
  </si>
  <si>
    <t xml:space="preserve">                                   Машины крутильные клетьевые</t>
  </si>
  <si>
    <t>ТЕРм23-01-003-01</t>
  </si>
  <si>
    <t>Машина крутильная клетьевая без открутки, диаметр щеки отдающей катушки 500 мм, число клетей 12+18</t>
  </si>
  <si>
    <t>ТЕРм23-01-003-02</t>
  </si>
  <si>
    <t>Машина крутильная клетьевая без открутки, диаметр щеки отдающей катушки 500 мм, число клетей 6+12+18</t>
  </si>
  <si>
    <t>ТЕРм23-01-003-03</t>
  </si>
  <si>
    <t>Машина крутильная клетьевая без открутки, диаметр щеки отдающей катушки 500 мм, число клетей 12+18+24</t>
  </si>
  <si>
    <t>ТЕРм23-01-003-04</t>
  </si>
  <si>
    <t>Машина крутильная клетьевая с откруткой, диаметр щеки отдающей катушки 400 мм, число клетей 6+12+18</t>
  </si>
  <si>
    <t>ТЕРм23-01-003-05</t>
  </si>
  <si>
    <t>Машина крутильная клетьевая с откруткой, диаметр щеки отдающей катушки 400 мм, число клетей 6+12+18, для телефонных кабелей</t>
  </si>
  <si>
    <t>ТЕРм23-01-003-06</t>
  </si>
  <si>
    <t>Машина крутильная клетьевая с откруткой, диаметр щеки отдающей катушки 400 мм, число клетей 6+12+18+24, для телефонных кабелей</t>
  </si>
  <si>
    <t>ТЕРм23-01-003-07</t>
  </si>
  <si>
    <t>Машина крутильная клетьевая с откруткой, диаметр щеки отдающей катушки 500 мм, число клетей 6+12+18</t>
  </si>
  <si>
    <t>ТЕРм23-01-003-08</t>
  </si>
  <si>
    <t>Машина крутильная клетьевая с откруткой, диаметр щеки отдающей катушки 630 мм, число клетей 18+24</t>
  </si>
  <si>
    <t xml:space="preserve">                                   Машины общей скрутки</t>
  </si>
  <si>
    <t>ТЕРм23-01-004-01</t>
  </si>
  <si>
    <t>Машина общей скрутки, диаметр отдающего барабана 1600 мм 3-х жильного кабеля</t>
  </si>
  <si>
    <t>ТЕРм23-01-004-02</t>
  </si>
  <si>
    <t>Машина общей скрутки, диаметр отдающего барабана 1600 мм 4-х жильного кабеля</t>
  </si>
  <si>
    <t xml:space="preserve">                                   Машины и линии для скрутки кабелей связи</t>
  </si>
  <si>
    <t>ТЕРм23-01-005-01</t>
  </si>
  <si>
    <t>Машина для скрутки жил четверок со стирофлексной изоляцией</t>
  </si>
  <si>
    <t>ТЕРм23-01-005-02</t>
  </si>
  <si>
    <t>Машина для скрутки жил из 7 четверок в сердечник с кордельно-полистирольной изоляцией</t>
  </si>
  <si>
    <t>ТЕРм23-01-005-03</t>
  </si>
  <si>
    <t>Линия разнонаправленной скрутки жил в пары и пучки</t>
  </si>
  <si>
    <t>ТЕРм23-01-005-04</t>
  </si>
  <si>
    <t>Линия разнонаправленной скрутки пучков в кабель и наложения оболочки</t>
  </si>
  <si>
    <t xml:space="preserve">                                   Раздел 2. МАШИНЫ ИЗОЛИРОВОЧНЫЕ</t>
  </si>
  <si>
    <t xml:space="preserve">                                   Машины изолировочные вертикальные</t>
  </si>
  <si>
    <t>ТЕРм23-01-021-01</t>
  </si>
  <si>
    <t>Машина вертикальная для наложения кордельно-стирофлексной изоляции на жилы кабелей дальней связи</t>
  </si>
  <si>
    <t xml:space="preserve">                                   Машины изолировочные горизонтальные</t>
  </si>
  <si>
    <t>ТЕРм23-01-022-01</t>
  </si>
  <si>
    <t>Машина горизонтальная для наложения бумажной изоляции на жилы силовых кабелей напряжением 1-10 кВ</t>
  </si>
  <si>
    <t>ТЕРм23-01-022-02</t>
  </si>
  <si>
    <t>Машина горизонтальная для наложения бумажной изоляции на жилы силовых кабелей напряжением 35 кВ</t>
  </si>
  <si>
    <t>ТЕРм23-01-022-03</t>
  </si>
  <si>
    <t>Машина горизонтальная для наложения на круглую и прямоугольную проволоку сечением 2,5-12,5 мм2 изоляции из бумажных или пластмассовых лент</t>
  </si>
  <si>
    <t>ТЕРм23-01-022-04</t>
  </si>
  <si>
    <t>Машина горизонтальная для наложения изоляции из кабельной или телефонной бумаги на жилы сечением 13-80 мм2</t>
  </si>
  <si>
    <t>ТЕРм23-01-022-05</t>
  </si>
  <si>
    <t>Машина горизонтальная для наложения пленочной изоляции из фторопласта на провода диаметром 0,18-2,0 мм</t>
  </si>
  <si>
    <t>ТЕРм23-01-022-06</t>
  </si>
  <si>
    <t>Машина горизонтальная для наложения ленточной изоляции из фторопласта на провода диаметром 4-15 мм</t>
  </si>
  <si>
    <t>ТЕРм23-01-022-07</t>
  </si>
  <si>
    <t>Машина горизонтальная для наложения ленточной изоляции из фторопласта на провода диаметром 1-10 мм</t>
  </si>
  <si>
    <t>ТЕРм23-01-022-08</t>
  </si>
  <si>
    <t>Машина горизонтальная для наложения стекловолокнистой изоляции на медные провода диаметром 1-2,5 мм</t>
  </si>
  <si>
    <t xml:space="preserve">                                   Машины лентобронировочные</t>
  </si>
  <si>
    <t>ТЕРм23-01-023-01</t>
  </si>
  <si>
    <t>Машина для наложения ленточной брони на кабель диаметром до 40 мм</t>
  </si>
  <si>
    <t>ТЕРм23-01-023-02</t>
  </si>
  <si>
    <t>Машина для наложения ленточной брони на кабель диаметром до 60 мм</t>
  </si>
  <si>
    <t>ТЕРм23-01-023-03</t>
  </si>
  <si>
    <t>Машина для наложения ленточной брони на кабель диаметром до 120 мм</t>
  </si>
  <si>
    <t xml:space="preserve">                                   Линии экструзионные для наложения на кабельные изделия пластмассовой, фторопластовой или резиновой изоляции</t>
  </si>
  <si>
    <t>ТЕРм23-01-024-01</t>
  </si>
  <si>
    <t>Линия экструзионная для наложения поливинилхлоридной или полиэтиленовой изоляции на кабельные изделия, диаметр червяка 45 мм</t>
  </si>
  <si>
    <t>ТЕРм23-01-024-02</t>
  </si>
  <si>
    <t>Линия экструзионная для наложения поливинилхлоридной или полиэтиленовой изоляции на кабельные изделия, диаметр червяка 63 мм</t>
  </si>
  <si>
    <t>ТЕРм23-01-024-03</t>
  </si>
  <si>
    <t>ТЕРм23-01-024-04</t>
  </si>
  <si>
    <t>Линия экструзионная для наложения поливинилхлоридной или полиэтиленовой изоляции на кабельные изделия, диаметр червяка 90 мм</t>
  </si>
  <si>
    <t>ТЕРм23-01-024-05</t>
  </si>
  <si>
    <t>Линия экструзионная для наложения поливинилхлоридной или полиэтиленовой изоляции на кабельные изделия, диаметр червяка 125 мм</t>
  </si>
  <si>
    <t>ТЕРм23-01-024-06</t>
  </si>
  <si>
    <t>Линия экструзионная для наложения поливинилхлоридной или полиэтиленовой изоляции на кабельные изделия, диаметр червяка 160 мм</t>
  </si>
  <si>
    <t xml:space="preserve">                                   Линии экструзионные автоматические для волочения медной проволоки с непрерывным отжигом и наложением пластмассовой изоляции на кабельные изделия</t>
  </si>
  <si>
    <t>ТЕРм23-01-025-01</t>
  </si>
  <si>
    <t>Линия экструзионная автоматическая диаметр изолируемой проволоки 0,32-0,8 мм</t>
  </si>
  <si>
    <t>ТЕРм23-01-025-02</t>
  </si>
  <si>
    <t>Линия экструзионная автоматическая диаметр изолированной жилы 1,44 мм</t>
  </si>
  <si>
    <t xml:space="preserve">                                   Линии непрерывной вулканизации для наложения резиновой изоляции на кабельные изделия</t>
  </si>
  <si>
    <t>ТЕРм23-01-026-01</t>
  </si>
  <si>
    <t>Линия непрерывной вулканизации, диаметр червяка 125 мм</t>
  </si>
  <si>
    <t>ТЕРм23-01-026-02</t>
  </si>
  <si>
    <t>Линия непрерывной вулканизации, диаметр червяка 160 мм</t>
  </si>
  <si>
    <t>ТЕРм23-01-026-03</t>
  </si>
  <si>
    <t>Линия непрерывной вулканизации с двойным наклонным червяком, диаметр червяка 160х160 мм</t>
  </si>
  <si>
    <t xml:space="preserve">                                   Машины горизонтальные катушечного типа для оплетки проволокой</t>
  </si>
  <si>
    <t>ТЕРм23-01-027-01</t>
  </si>
  <si>
    <t>Машина горизонтальная катушечного типа для оплетки проволокой, количество катушек 24</t>
  </si>
  <si>
    <t xml:space="preserve">                                   Эмальагрегаты горизонтальные и вертикальные</t>
  </si>
  <si>
    <t>ТЕРм23-01-028-01</t>
  </si>
  <si>
    <t>Эмальагрегат для эмалирования проволоки горизонтальный двухходовой, диаметр проволоки 0,02-0,05 мм</t>
  </si>
  <si>
    <t>ТЕРм23-01-028-02</t>
  </si>
  <si>
    <t>Эмальагрегат для эмалирования проволоки горизонтальный двухходовой, диаметр проволоки 0,04-0,09 мм</t>
  </si>
  <si>
    <t>ТЕРм23-01-028-03</t>
  </si>
  <si>
    <t>Эмальагрегат для эмалирования проволоки горизонтальный восемнадцатиходовой, диаметр проволоки 0,05-0,15 мм</t>
  </si>
  <si>
    <t>ТЕРм23-01-028-04</t>
  </si>
  <si>
    <t>Эмальагрегат для эмалирования проволоки горизонтальный восемнадцатиходовой, диаметр проволоки 0,15-0,40 мм</t>
  </si>
  <si>
    <t>ТЕРм23-01-028-05</t>
  </si>
  <si>
    <t>Эмальагрегат для эмалирования проволоки вертикальный, диаметр проволоки 0,3-1,1 мм</t>
  </si>
  <si>
    <t>ТЕРм23-01-028-06</t>
  </si>
  <si>
    <t>Эмальагрегат для эмалирования проволоки вертикальный, диаметр проволоки 0,6-1,8 мм</t>
  </si>
  <si>
    <t>ТЕРм23-01-028-07</t>
  </si>
  <si>
    <t>Эмальагрегат для эмалирования проволоки вертикальный, диаметр проволоки 0,4-2,5 мм</t>
  </si>
  <si>
    <t xml:space="preserve">                                   Раздел 3. РАЗНОЕ ОБОРУДОВАНИЕ</t>
  </si>
  <si>
    <t xml:space="preserve">                                   Машины тростильные</t>
  </si>
  <si>
    <t>ТЕРм23-01-043-01</t>
  </si>
  <si>
    <t>Машина тростильная трехходовая</t>
  </si>
  <si>
    <t xml:space="preserve">                                   Установки гальванического покрытия</t>
  </si>
  <si>
    <t>ТЕРм23-01-044-01</t>
  </si>
  <si>
    <t>Установка гальванического покрытия</t>
  </si>
  <si>
    <t xml:space="preserve">                                   Оборудование для термообработки проводов</t>
  </si>
  <si>
    <t>ТЕРм23-01-045-01</t>
  </si>
  <si>
    <t>Агрегат запечки фторопласта</t>
  </si>
  <si>
    <t>ТЕРм23-01-045-02</t>
  </si>
  <si>
    <t>Агрегат двухходовой для термообработки теплостойких проводов</t>
  </si>
  <si>
    <t xml:space="preserve">                                   Станки перемоточные</t>
  </si>
  <si>
    <t>ТЕРм23-01-046-01</t>
  </si>
  <si>
    <t>Станок перемоточный для проводов диаметром 0,3-2 мм</t>
  </si>
  <si>
    <t>ТЕРм23-01-046-02</t>
  </si>
  <si>
    <t>Станок перемоточный для проволоки диаметром 0,2-1,2 мм</t>
  </si>
  <si>
    <t xml:space="preserve">                           Раздел 2. ОТДЕЛ 02. ОБОРУДОВАНИЕ ДЛЯ ЭЛЕКТРОМАШИНОСТРОЕНИЯ</t>
  </si>
  <si>
    <t xml:space="preserve">                                   Раздел 1. ОБОРУДОВАНИЕ ЗАГОТОВИТЕЛЬНОЕ</t>
  </si>
  <si>
    <t xml:space="preserve">                                   Оборудование для штамповки и выдавливания</t>
  </si>
  <si>
    <t>ТЕРм23-02-001-01</t>
  </si>
  <si>
    <t>Пресс-автомат штамповки контактных элементов</t>
  </si>
  <si>
    <t xml:space="preserve">                                   Оборудование для подготовки проводов</t>
  </si>
  <si>
    <t>ТЕРм23-02-002-01</t>
  </si>
  <si>
    <t>Автомат для изготовления выводных проводов электродвигателей</t>
  </si>
  <si>
    <t>ТЕРм23-02-002-02</t>
  </si>
  <si>
    <t>Полуавтомат для соединения и оконцевания пучков обмоточных токопроводов</t>
  </si>
  <si>
    <t>ТЕРм23-02-002-03</t>
  </si>
  <si>
    <t>Станок для резки и рихтовки медных проводов каплевидного и прямоугольного сечения</t>
  </si>
  <si>
    <t>ТЕРм23-02-002-04</t>
  </si>
  <si>
    <t>Станок для резки и рихтовки медных проводов прямоугольного сечения</t>
  </si>
  <si>
    <t>ТЕРм23-02-002-05</t>
  </si>
  <si>
    <t>Станок для зачистки изоляции выводных концов секций, стержней</t>
  </si>
  <si>
    <t>ТЕРм23-02-002-06</t>
  </si>
  <si>
    <t>Установка для соединения проводов методом опрессовки</t>
  </si>
  <si>
    <t xml:space="preserve">                                   Оборудование для резки изоляционных материалов и проводов</t>
  </si>
  <si>
    <t>ТЕРм23-02-003-01</t>
  </si>
  <si>
    <t>Станок для резки изоляционных материалов</t>
  </si>
  <si>
    <t>ТЕРм23-02-003-02</t>
  </si>
  <si>
    <t>Станок для мерной резки и маркировки изоляционных трубок</t>
  </si>
  <si>
    <t>ТЕРм23-02-003-03</t>
  </si>
  <si>
    <t>Ножницы для резки изоляционных материалов на полосы</t>
  </si>
  <si>
    <t>ТЕРм23-02-003-04</t>
  </si>
  <si>
    <t>Ножницы дисковые, для резки рулонных изоляционных материалов на полосы с одновременной намоткой на бобины</t>
  </si>
  <si>
    <t>ТЕРм23-02-004-01</t>
  </si>
  <si>
    <t>Устройство для нагрева клея-расплава</t>
  </si>
  <si>
    <t>ТЕРм23-02-004-02</t>
  </si>
  <si>
    <t>Станок для изготовления изоляционных коробов</t>
  </si>
  <si>
    <t>ТЕРм23-02-004-03</t>
  </si>
  <si>
    <t>Устройство поштучной подачи сердечников статоров</t>
  </si>
  <si>
    <t xml:space="preserve">                                   Раздел 2. ОБОРУДОВАНИЕ НАМОТОЧНОЕ, БАНДАЖИРОВОЧНОЕ, ПАЗОИЗОЛИРОВОЧНОЕ И ФОРМОВОЧНОЕ</t>
  </si>
  <si>
    <t xml:space="preserve">                                   Оборудование намоточное</t>
  </si>
  <si>
    <t>ТЕРм23-02-020-01</t>
  </si>
  <si>
    <t>Станок агрегатный для намотки, втягивания и заклинивания пазовыми клиньями катушечных групп статоров</t>
  </si>
  <si>
    <t>ТЕРм23-02-020-02</t>
  </si>
  <si>
    <t>Станок для намотки катушечных групп всыпной обмотки</t>
  </si>
  <si>
    <t>ТЕРм23-02-020-03</t>
  </si>
  <si>
    <t>Станок для намотки катушек из проводов круглого и прямоугольного сечения без механической раскладки витков</t>
  </si>
  <si>
    <t>ТЕРм23-02-020-04</t>
  </si>
  <si>
    <t>Станок для намотки катушек изолированными проводами с механической раскладкой витков</t>
  </si>
  <si>
    <t>ТЕРм23-02-020-05</t>
  </si>
  <si>
    <t>Станок для намотки катушек неизолированными проводами на «ребро»</t>
  </si>
  <si>
    <t>ТЕРм23-02-020-06</t>
  </si>
  <si>
    <t>Станок якоренамоточный</t>
  </si>
  <si>
    <t xml:space="preserve">                                   Станки для бандажировки</t>
  </si>
  <si>
    <t>ТЕРм23-02-021-01</t>
  </si>
  <si>
    <t>Станок для бандажировки лобовых частей всыпных обмоток сердечников статоров</t>
  </si>
  <si>
    <t>ТЕРм23-02-021-02</t>
  </si>
  <si>
    <t>Станок для бандажировки роторов (якорей) стеклолентой и проволокой</t>
  </si>
  <si>
    <t xml:space="preserve">                                   Оборудование формовочное</t>
  </si>
  <si>
    <t>ТЕРм23-02-022-01</t>
  </si>
  <si>
    <t>Станок для предварительного и окончательного формирования лобовых частей обмотки статоров электродвигателей с распределенной обмоткой</t>
  </si>
  <si>
    <t xml:space="preserve">                                   Раздел 3. ОБОРУДОВАНИЕ ДЛЯ ОБРАБОТКИ ЛИСТОВ РОТОРА И СТАТОРА И СБОРКИ ПАКЕТОВ</t>
  </si>
  <si>
    <t xml:space="preserve">                                   Оборудование для шихтовки и сборки пакетов</t>
  </si>
  <si>
    <t>ТЕРм23-02-040-01</t>
  </si>
  <si>
    <t>Полуавтомат для сборки и сварки сердечников статоров, наружный диаметр 40-120 мм, марка ВСС-5</t>
  </si>
  <si>
    <t>ТЕРм23-02-040-02</t>
  </si>
  <si>
    <t>Полуавтомат для сборки и сварки сердечников статоров, наружный диаметр 150-250 мм, марка СС-250</t>
  </si>
  <si>
    <t>ТЕРм23-02-040-03</t>
  </si>
  <si>
    <t>Полуавтомат для сборки и сварки сердечников статоров, наружный диаметр 230-360 мм, марка СС-360</t>
  </si>
  <si>
    <t>ТЕРм23-02-040-04</t>
  </si>
  <si>
    <t>Полуавтомат для сборки и сварки сердечников статоров, наружный диаметр 360-500 мм, марка СС-500</t>
  </si>
  <si>
    <t>ТЕРм23-02-040-05</t>
  </si>
  <si>
    <t>Полуавтомат для сборки и сварки сердечников роторов, наружный диаметр 50-80 мм, марка ВСР-10</t>
  </si>
  <si>
    <t>ТЕРм23-02-040-06</t>
  </si>
  <si>
    <t>Полуавтомат для сборки и сварки сердечников роторов, наружный диаметр 60-180 мм, марка СР-180</t>
  </si>
  <si>
    <t xml:space="preserve">                                   Раздел 4. ОБОРУДОВАНИЕ ДЛЯ ОБРАБОТКИ КОЛЛЕКТОРОВ</t>
  </si>
  <si>
    <t xml:space="preserve">                                   Станки динамической формовки и контроля монолитности коллекторов</t>
  </si>
  <si>
    <t>ТЕРм23-02-050-01</t>
  </si>
  <si>
    <t>Станок динамической формовки и контроля монолитности коллекторов, диаметр до 700 мм</t>
  </si>
  <si>
    <t xml:space="preserve">                                   Раздел 5. ОБОРУДОВАНИЕ ДЛЯ ОПРЕССОВКИ СТАТОРНЫХ И ЯКОРНЫХ СЕКЦИЙ</t>
  </si>
  <si>
    <t xml:space="preserve">                                   Оборудование для опрессовки</t>
  </si>
  <si>
    <t>ТЕРм23-02-060-01</t>
  </si>
  <si>
    <t>Пресс гидравлический для горячей опрессовки лодочек, катушек, стержней обмотки статоров турбогенераторов и гидрогенераторов</t>
  </si>
  <si>
    <t>ТЕРм23-02-060-02</t>
  </si>
  <si>
    <t>Пресс гидравлический для горячей опрессовки стержней и крупных катушек статорной обмотки генераторов</t>
  </si>
  <si>
    <t xml:space="preserve">                                   Раздел 6. ЛИНИИ АВТОМАТИЧЕСКИЕ И МЕХАНИЗИРОВАННЫЕ</t>
  </si>
  <si>
    <t xml:space="preserve">                                   Линии сборки и механической обработки электродвигателей</t>
  </si>
  <si>
    <t>ТЕРм23-02-070-01</t>
  </si>
  <si>
    <t>Линия тепловой сборки роторов электродвигателей, высота оси вращения 71-100 мм</t>
  </si>
  <si>
    <t>ТЕРм23-02-070-02</t>
  </si>
  <si>
    <t>Линия тепловой сборки роторов электродвигателей, высота оси вращения 112,132 мм</t>
  </si>
  <si>
    <t>ТЕРм23-02-070-03</t>
  </si>
  <si>
    <t>Линия тепловой сборки роторов электродвигателей, высота оси вращения 160-225 мм</t>
  </si>
  <si>
    <t>ТЕРм23-02-070-04</t>
  </si>
  <si>
    <t>Линия сборки и механической обработки статоров электродвигателей, высота оси вращения 71-100 мм</t>
  </si>
  <si>
    <t>ТЕРм23-02-070-05</t>
  </si>
  <si>
    <t>Линия сборки и механической обработки статоров электродвигателей, высота оси вращения 112, 132 мм</t>
  </si>
  <si>
    <t>ТЕРм23-02-070-06</t>
  </si>
  <si>
    <t>Линия сборки и механической обработки статоров электродвигателей, высота оси вращения 160, 180 мм</t>
  </si>
  <si>
    <t>ТЕРм23-02-070-07</t>
  </si>
  <si>
    <t>Линия сборки и механической обработки статоров электродвигателей, высота оси вращения 200, 225 мм</t>
  </si>
  <si>
    <t>ТЕРм23-02-070-08</t>
  </si>
  <si>
    <t>Линия общей сборки электродвигателей, высота оси вращения 112, 132 мм</t>
  </si>
  <si>
    <t xml:space="preserve">                                   Линии сборки электродвигателей комплексно-механизированные поточные</t>
  </si>
  <si>
    <t>ТЕРм23-02-071-01</t>
  </si>
  <si>
    <t>Линия сборки электродвигателей комплексно-механизированная поточная, высота оси вращения 160-280 мм</t>
  </si>
  <si>
    <t>ТЕРм23-02-071-02</t>
  </si>
  <si>
    <t>Линия сборки электродвигателей комплексно-механизированная поточная, высота оси вращения 315-450 мм</t>
  </si>
  <si>
    <t xml:space="preserve">                                   Раздел 7. ОБОРУДОВАНИЕ ДЛЯ ПРОИЗВОДСТВА ХИМИЧЕСКИХ ИСТОЧНИКОВ ТОКА</t>
  </si>
  <si>
    <t xml:space="preserve">                                   Оборудование для производства свинцовых аккумуляторов</t>
  </si>
  <si>
    <t>ТЕРм23-02-085-01</t>
  </si>
  <si>
    <t>Установка мельничная окисловая</t>
  </si>
  <si>
    <t>ТЕРм23-02-085-02</t>
  </si>
  <si>
    <t>Установка отливки токоотводов</t>
  </si>
  <si>
    <t>ТЕРм23-02-085-03</t>
  </si>
  <si>
    <t>Установка отливки сдвоенных токоотводов</t>
  </si>
  <si>
    <t>ТЕРм23-02-085-04</t>
  </si>
  <si>
    <t>Автомат карусельный для отливки мелких деталей</t>
  </si>
  <si>
    <t>ТЕРм23-02-085-05</t>
  </si>
  <si>
    <t>Автомат для отливки паяльных и формационных прутков</t>
  </si>
  <si>
    <t>ТЕРм23-02-085-06</t>
  </si>
  <si>
    <t>Установка для обмывки и сушки батарей</t>
  </si>
  <si>
    <t>ТЕРм23-02-085-07</t>
  </si>
  <si>
    <t>Установка для контроля батарей высоким напряжением</t>
  </si>
  <si>
    <t>ТЕРм23-02-085-08</t>
  </si>
  <si>
    <t>Установка отливки токоведущих частей блока</t>
  </si>
  <si>
    <t>ТЕРм23-02-085-09</t>
  </si>
  <si>
    <t>Установка набора блоков электродов</t>
  </si>
  <si>
    <t>ТЕРм23-02-085-10</t>
  </si>
  <si>
    <t>Установка контроля блоков на отсутствие коротких замыканий</t>
  </si>
  <si>
    <t>ТЕРм23-02-085-11</t>
  </si>
  <si>
    <t>Установка точечная многоэлектродная сварки борнов через перегородку моноблока</t>
  </si>
  <si>
    <t>ТЕРм23-02-085-12</t>
  </si>
  <si>
    <t>Установка сварки крышки с моноблоком</t>
  </si>
  <si>
    <t>ТЕРм23-02-085-15</t>
  </si>
  <si>
    <t>Установка конвертирования электродов</t>
  </si>
  <si>
    <t>ТЕРм23-02-085-18</t>
  </si>
  <si>
    <t>Установка контактной сушки электродов</t>
  </si>
  <si>
    <t>ТЕРм23-02-085-13</t>
  </si>
  <si>
    <t>Станок полуавтоматический для сборки и пайки блоков</t>
  </si>
  <si>
    <t>ТЕРм23-02-085-14</t>
  </si>
  <si>
    <t>Полуавтомат сборки блоков</t>
  </si>
  <si>
    <t>ТЕРм23-02-085-16</t>
  </si>
  <si>
    <t>Электропечь для приготовления свинцово-сурьмянистого сплава</t>
  </si>
  <si>
    <t>ТЕРм23-02-085-17</t>
  </si>
  <si>
    <t>Камера выдержки электродов</t>
  </si>
  <si>
    <t>ТЕРм23-02-085-19</t>
  </si>
  <si>
    <t>Сушило сухозаряженных пластин</t>
  </si>
  <si>
    <t>ТЕРм23-02-085-20</t>
  </si>
  <si>
    <t>Сушилка свеженамазанных пластин после пастирования</t>
  </si>
  <si>
    <t>ТЕРм23-02-085-21</t>
  </si>
  <si>
    <t>Линия пастоприготовления</t>
  </si>
  <si>
    <t xml:space="preserve">                                   Оборудование для производства щелочных аккумуляторов</t>
  </si>
  <si>
    <t>ТЕРм23-02-086-01</t>
  </si>
  <si>
    <t>Линия полуавтоматическая для обработки положительных безламельных электродов</t>
  </si>
  <si>
    <t>ТЕРм23-02-086-02</t>
  </si>
  <si>
    <t>Линия автоматическая намазки и сушки электродов</t>
  </si>
  <si>
    <t>ТЕРм23-02-086-03</t>
  </si>
  <si>
    <t>Линия продольно-поперечной резки</t>
  </si>
  <si>
    <t>ТЕРм23-02-086-04</t>
  </si>
  <si>
    <t>Линия автоматическая кадмирования ленты</t>
  </si>
  <si>
    <t>ТЕРм23-02-086-05</t>
  </si>
  <si>
    <t>Линия механизированная пропитки никелем положительной ленты</t>
  </si>
  <si>
    <t>ТЕРм23-02-086-06</t>
  </si>
  <si>
    <t>Линия автоматизированная для пропитки положительных электродов</t>
  </si>
  <si>
    <t>ТЕРм23-02-086-07</t>
  </si>
  <si>
    <t>Линия отмывки положительных заготовок</t>
  </si>
  <si>
    <t>ТЕРм23-02-086-08</t>
  </si>
  <si>
    <t>Линия автоматизированная производства корпусов</t>
  </si>
  <si>
    <t>ТЕРм23-02-086-09</t>
  </si>
  <si>
    <t>Автомат вырубки карточек аккумуляторов</t>
  </si>
  <si>
    <t>ТЕРм23-02-086-10</t>
  </si>
  <si>
    <t>Автомат изготовления дна аккумулятора</t>
  </si>
  <si>
    <t>ТЕРм23-02-086-11</t>
  </si>
  <si>
    <t>Автомат изготовления крышки аккумулятора, тип НКГЦ-11Д</t>
  </si>
  <si>
    <t>ТЕРм23-02-086-12</t>
  </si>
  <si>
    <t>Автомат штамповки мостиков аккумулятора</t>
  </si>
  <si>
    <t>ТЕРм23-02-086-13</t>
  </si>
  <si>
    <t>Автомат штамповки шин аккумулятора</t>
  </si>
  <si>
    <t>ТЕРм23-02-086-14</t>
  </si>
  <si>
    <t>Автомат сварки борна с крышкой аккумулятора</t>
  </si>
  <si>
    <t>ТЕРм23-02-086-15</t>
  </si>
  <si>
    <t>Автомат сварки борна с мостиком аккумулятора</t>
  </si>
  <si>
    <t>ТЕРм23-02-086-16</t>
  </si>
  <si>
    <t>Автомат сварки токосъемника аккумулятора</t>
  </si>
  <si>
    <t>ТЕРм23-02-086-18</t>
  </si>
  <si>
    <t>Автомат сварки крышки с баком аккумулятора</t>
  </si>
  <si>
    <t>ТЕРм23-02-086-17</t>
  </si>
  <si>
    <t>Автомат изготовления крышки аккумулятора, тип МКГЦ</t>
  </si>
  <si>
    <t>ТЕРм23-02-086-19</t>
  </si>
  <si>
    <t>Стенд универсальный формировочно-испытательный аккумуляторов</t>
  </si>
  <si>
    <t>ТЕРм23-02-086-20</t>
  </si>
  <si>
    <t>Устройство для заливки электролита в аккумулятор</t>
  </si>
  <si>
    <t>ТЕРм23-02-086-21</t>
  </si>
  <si>
    <t>Кантователь слива электролита из аккумулятора</t>
  </si>
  <si>
    <t>ТЕРм23-02-086-22</t>
  </si>
  <si>
    <t>Комплект вакуумной заливки и формировки аккумулятора</t>
  </si>
  <si>
    <t>ТЕРм23-02-086-23</t>
  </si>
  <si>
    <t>Автомат одевания сепарации на электрод</t>
  </si>
  <si>
    <t>ТЕРм23-02-086-24</t>
  </si>
  <si>
    <t>Установка засыпки и дозировки щелочи</t>
  </si>
  <si>
    <t>ТЕРм23-02-086-25</t>
  </si>
  <si>
    <t>Установка для вырубки контактной планки</t>
  </si>
  <si>
    <t>ТЕРм23-02-086-26</t>
  </si>
  <si>
    <t>Стан прокатный для электродов</t>
  </si>
  <si>
    <t>ТЕРм23-02-086-27</t>
  </si>
  <si>
    <t>Установка для пропитки в аммиаке отрицательных электродов</t>
  </si>
  <si>
    <t>ТЕРм23-02-086-28</t>
  </si>
  <si>
    <t>Установка изготовления минусовых электродов методом электрофореза</t>
  </si>
  <si>
    <t>ТЕРм23-02-086-29</t>
  </si>
  <si>
    <t>Установка для сушки электродов</t>
  </si>
  <si>
    <t>ТЕРм23-02-086-30</t>
  </si>
  <si>
    <t>Стенд для формирования заготовок электродов</t>
  </si>
  <si>
    <t>ТЕРм23-02-086-31</t>
  </si>
  <si>
    <t>Машина двухбункерная с механической засыпкой в ламели</t>
  </si>
  <si>
    <t>ТЕРм23-02-086-32</t>
  </si>
  <si>
    <t>Станок для приема ламелей</t>
  </si>
  <si>
    <t>ТЕРм23-02-086-33</t>
  </si>
  <si>
    <t>Установка выбивки анодной массы из отходов ламелей</t>
  </si>
  <si>
    <t>ТЕРм23-02-086-34</t>
  </si>
  <si>
    <t>Машина роликового брикетирования ламелей</t>
  </si>
  <si>
    <t>ТЕРм23-02-086-35</t>
  </si>
  <si>
    <t>Автомат изготовления и резки ремня</t>
  </si>
  <si>
    <t>ТЕРм23-02-086-36</t>
  </si>
  <si>
    <t>Станок гибки контактных планок</t>
  </si>
  <si>
    <t>ТЕРм23-02-086-37</t>
  </si>
  <si>
    <t>Станок гибки концов контактных пластин</t>
  </si>
  <si>
    <t>ТЕРм23-02-086-38</t>
  </si>
  <si>
    <t>Автомат профилирования и одевания ребер на заготовки</t>
  </si>
  <si>
    <t xml:space="preserve">                                   Машины для резки сепараторной пленки и обработки картона</t>
  </si>
  <si>
    <t>ТЕРм23-02-087-01</t>
  </si>
  <si>
    <t>Машина для резки сепараторной пленки</t>
  </si>
  <si>
    <t>ТЕРм23-02-087-02</t>
  </si>
  <si>
    <t>Машина для обработки картона</t>
  </si>
  <si>
    <t xml:space="preserve">                                   Оборудование для производства литиевых аккумуляторов</t>
  </si>
  <si>
    <t>ТЕРм23-02-088-01</t>
  </si>
  <si>
    <t>Комплекс автоматизированный растаривания, хранения, дозирования и транспортирования активной массы на смешение</t>
  </si>
  <si>
    <t>ТЕРм23-02-088-02</t>
  </si>
  <si>
    <t>Пост механизированный для резки и плавки литья</t>
  </si>
  <si>
    <t>ТЕРм23-02-088-03</t>
  </si>
  <si>
    <t>Линия изготовления карточек положительного электрода</t>
  </si>
  <si>
    <t>ТЕРм23-02-088-04</t>
  </si>
  <si>
    <t>Линия по сборке источников тока</t>
  </si>
  <si>
    <t>ТЕРм23-02-088-05</t>
  </si>
  <si>
    <t>Установка заливки источника электролитом</t>
  </si>
  <si>
    <t>ТЕРм23-02-088-06</t>
  </si>
  <si>
    <t>Установка заливки компаунда батарей</t>
  </si>
  <si>
    <t>ТЕРм23-02-088-07</t>
  </si>
  <si>
    <t>Установка изготовления отрицательного электрода</t>
  </si>
  <si>
    <t>ТЕРм23-02-088-08</t>
  </si>
  <si>
    <t>Установка испытания источника тока</t>
  </si>
  <si>
    <t xml:space="preserve">                                   Оборудование для производства элементов</t>
  </si>
  <si>
    <t>ТЕРм23-02-089-01</t>
  </si>
  <si>
    <t>Автомат для изготовления футляров</t>
  </si>
  <si>
    <t>ТЕРм23-02-089-02</t>
  </si>
  <si>
    <t>Пресс для запрессовки агломератов</t>
  </si>
  <si>
    <t>ТЕРм23-02-089-03</t>
  </si>
  <si>
    <t>Автомат ротационный для изготовления и укладки отрицательного электрода, заливки пасты, прессования и укладки положительного электрода</t>
  </si>
  <si>
    <t xml:space="preserve">                                   Оборудование для производства хлормедных источников тока</t>
  </si>
  <si>
    <t>ТЕРм23-02-090-01</t>
  </si>
  <si>
    <t>Линия автоматического нанесения сепарации на электрод</t>
  </si>
  <si>
    <t>ТЕРм23-02-090-02</t>
  </si>
  <si>
    <t>Линия контроля электродов по толщине и по весу</t>
  </si>
  <si>
    <t>ТЕРм23-02-090-03</t>
  </si>
  <si>
    <t>Линия технического обслуживания готового изделия</t>
  </si>
  <si>
    <t>ТЕРм23-02-090-04</t>
  </si>
  <si>
    <t>Установка автоматизированной плавки монохлорида меди</t>
  </si>
  <si>
    <t>ТЕРм23-02-090-05</t>
  </si>
  <si>
    <t>Установка бесслитковой прокатки хлористомедной ленты</t>
  </si>
  <si>
    <t>ТЕРм23-02-090-06</t>
  </si>
  <si>
    <t>Установка сухой активации медью</t>
  </si>
  <si>
    <t xml:space="preserve">                                   Раздел 8. ОБОРУДОВАНИЕ ДЛЯ ИСПЫТАНИЙ</t>
  </si>
  <si>
    <t xml:space="preserve">                                   Установки для испытания материалов</t>
  </si>
  <si>
    <t>ТЕРм23-02-100-01</t>
  </si>
  <si>
    <t>Установка для испытания магнитно-твердых материалов</t>
  </si>
  <si>
    <t xml:space="preserve">                                   Стенды для контроля и испытания статоров электродвигателей</t>
  </si>
  <si>
    <t>ТЕРм23-02-101-01</t>
  </si>
  <si>
    <t>Стенд для контроля и испытания статоров электродвигателей, высота оси вращения 71-132 мм</t>
  </si>
  <si>
    <t>ТЕРм23-02-101-02</t>
  </si>
  <si>
    <t>Стенд для контроля и испытания статоров электродвигателей, высота оси вращения 160-180 мм</t>
  </si>
  <si>
    <t>ТЕРм23-02-101-03</t>
  </si>
  <si>
    <t>Стенд для контроля и испытания статоров электродвигателей, высота оси вращения 200-250 мм</t>
  </si>
  <si>
    <t>ТЕРм23-02-101-04</t>
  </si>
  <si>
    <t>Стенд для контроля и испытания статоров электродвигателей, высота оси вращения 225-355 мм</t>
  </si>
  <si>
    <t xml:space="preserve">                                   Установки контроля вибрации электродвигателей</t>
  </si>
  <si>
    <t>ТЕРм23-02-102-01</t>
  </si>
  <si>
    <t>Установка контроля вибрации с автооператором электродвигателей с высотой оси вращения 71-100 мм</t>
  </si>
  <si>
    <t>ТЕРм23-02-102-02</t>
  </si>
  <si>
    <t>Установка контроля вибрации с автооператором электродвигателей с высотой оси вращения 160-180 мм</t>
  </si>
  <si>
    <t>ТЕРм23-02-102-03</t>
  </si>
  <si>
    <t>Установка контроля вибрации с автооператором электродвигателей с высотой оси вращения 112, 132 мм</t>
  </si>
  <si>
    <t xml:space="preserve">                                   Оборудование приемо-сдаточных испытаний асинхронных электродвигателей</t>
  </si>
  <si>
    <t>ТЕРм23-02-103-01</t>
  </si>
  <si>
    <t>Комплекс испытательный автоматизированный для электродвигателей с высотой оси вращения 71-100 мм</t>
  </si>
  <si>
    <t>ТЕРм23-02-103-02</t>
  </si>
  <si>
    <t>Комплекс испытательный автоматизированный для электродвигателей с высотой оси вращения 112, 132 мм</t>
  </si>
  <si>
    <t>ТЕРм23-02-103-03</t>
  </si>
  <si>
    <t>Комплекс испытательный автоматизированный для электродвигателей с высотой оси вращения 160, 180 мм</t>
  </si>
  <si>
    <t>ТЕРм23-02-103-04</t>
  </si>
  <si>
    <t>Комплекс испытательный механизированный для электродвигателей с высотой оси вращения 280-355 мм</t>
  </si>
  <si>
    <t>ТЕРм23-02-103-05</t>
  </si>
  <si>
    <t>Станция контроля параметров электродвигателей с высотой оси вращения 200-250 мм</t>
  </si>
  <si>
    <t>ТЕРм23-02-103-06</t>
  </si>
  <si>
    <t>Стенд испытательный для модификации электродвигателей с высотой оси вращения 160-180 мм</t>
  </si>
  <si>
    <t xml:space="preserve">                                   Раздел 9. ОБОРУДОВАНИЕ ДЛЯ ОКРАСКИ ИЗДЕЛИЙ</t>
  </si>
  <si>
    <t xml:space="preserve">                                   Оборудование для подготовки изделий к окраске</t>
  </si>
  <si>
    <t>ТЕРм23-02-115-01</t>
  </si>
  <si>
    <t>Камера вытяжная тупиковая, периодического действия</t>
  </si>
  <si>
    <t>ТЕРм23-02-115-02</t>
  </si>
  <si>
    <t>Камера вытяжная проходная, непрерывного действия</t>
  </si>
  <si>
    <t>ТЕРм23-02-115-03</t>
  </si>
  <si>
    <t>Агрегат подготовки поверхности, пропускная способность 50 м2/ч</t>
  </si>
  <si>
    <t>ТЕРм23-02-115-04</t>
  </si>
  <si>
    <t>Агрегат подготовки поверхности, пропускная способность 150 м2/ч</t>
  </si>
  <si>
    <t xml:space="preserve">                                   Оборудование для окраски изделий</t>
  </si>
  <si>
    <t>ТЕРм23-02-116-01</t>
  </si>
  <si>
    <t>Камера распылительная для окраски изделий</t>
  </si>
  <si>
    <t>ТЕРм23-02-116-02</t>
  </si>
  <si>
    <t>Камера для окраски пневмораспылением</t>
  </si>
  <si>
    <t>ТЕРм23-02-116-03</t>
  </si>
  <si>
    <t>Камера для окраски распылением</t>
  </si>
  <si>
    <t>ТЕРм23-02-116-04</t>
  </si>
  <si>
    <t>Установка для окраски пневмораспылением, роботизированная</t>
  </si>
  <si>
    <t>ТЕРм23-02-116-05</t>
  </si>
  <si>
    <t>Робот окрасочный</t>
  </si>
  <si>
    <t xml:space="preserve">                                   Оборудование сушильно-пропиточное</t>
  </si>
  <si>
    <t>ТЕРм23-02-117-01</t>
  </si>
  <si>
    <t>Установка пропитки и токовой сушки статоров электродвигателей</t>
  </si>
  <si>
    <t>ТЕРм23-02-117-02</t>
  </si>
  <si>
    <t>Установка автоматическая вакуумной пропитки АВБ-512</t>
  </si>
  <si>
    <t>ТЕРм23-02-117-03</t>
  </si>
  <si>
    <t>Установка автоматическая вакуумной пропитки АВБ-915</t>
  </si>
  <si>
    <t>ТЕРм23-02-117-04</t>
  </si>
  <si>
    <t>Шкаф сушильный</t>
  </si>
  <si>
    <t>ТЕРм23-02-117-05</t>
  </si>
  <si>
    <t>Камера сушильная конвекционная тупиковая</t>
  </si>
  <si>
    <t>ТЕРм23-02-117-06</t>
  </si>
  <si>
    <t>Камера сушильная терморадиационно-конвекционная с электрическим обогревом, масса 10 т</t>
  </si>
  <si>
    <t>ТЕРм23-02-117-07</t>
  </si>
  <si>
    <t>Камера сушильная терморадиационно-конвекционная с электрическим обогревом, масса 12 т</t>
  </si>
  <si>
    <t>ТЕРм23-02-117-08</t>
  </si>
  <si>
    <t>Камера сушильная конвекционная для осушки от влаги, с электрическим обогревом</t>
  </si>
  <si>
    <t xml:space="preserve">                           Раздел 3. ОТДЕЛ 03. ОБОРУДОВАНИЕ ЭЛЕКТРОКЕРАМИЧЕСКОЙ ПРОМЫШЛЕННОСТИ</t>
  </si>
  <si>
    <t xml:space="preserve">                                   Раздел 1. ОБОРУДОВАНИЕ ДЛЯ ПРОИЗВОДСТВА ИЗОЛЯТОРОВ</t>
  </si>
  <si>
    <t xml:space="preserve">                                   Оборудование для формовки изоляторов</t>
  </si>
  <si>
    <t>ТЕРм23-03-001-01</t>
  </si>
  <si>
    <t>Линия механизированная для протяжки, резки и укладки заготовок на поддоны</t>
  </si>
  <si>
    <t>ТЕРм23-03-001-02</t>
  </si>
  <si>
    <t>Машина для обточки изоляторов</t>
  </si>
  <si>
    <t>ТЕРм23-03-001-03</t>
  </si>
  <si>
    <t>Станок вертикальный для обточки изделий по фотокопиру со специальным устройством для приема заготовок</t>
  </si>
  <si>
    <t>ТЕРм23-03-001-04</t>
  </si>
  <si>
    <t>Станок фотокопировальный с гидроподъемником для установки заготовок</t>
  </si>
  <si>
    <t xml:space="preserve">                                   Станки для обточки изоляторов</t>
  </si>
  <si>
    <t>ТЕРм23-03-002-01</t>
  </si>
  <si>
    <t>Станок для обточки заготовок изоляторов со сменными оправками</t>
  </si>
  <si>
    <t xml:space="preserve">                                   Устройства транспортные межоперационные</t>
  </si>
  <si>
    <t>ТЕРм23-03-003-01</t>
  </si>
  <si>
    <t>Опрокидыватель, грузоподъемность 0,2 т</t>
  </si>
  <si>
    <t>ТЕРм23-03-003-02</t>
  </si>
  <si>
    <t>Опрокидыватель, грузоподъемность 3 т</t>
  </si>
  <si>
    <t xml:space="preserve">                                   Оборудование для обрезки</t>
  </si>
  <si>
    <t>ТЕРм23-03-004-01</t>
  </si>
  <si>
    <t>Станок для обрезки бомз</t>
  </si>
  <si>
    <t xml:space="preserve">                                   Оборудование для окраски и глазуровки</t>
  </si>
  <si>
    <t>ТЕРм23-03-005-01</t>
  </si>
  <si>
    <t>Автомат для окраски и сушки арматуры</t>
  </si>
  <si>
    <t>ТЕРм23-03-005-02</t>
  </si>
  <si>
    <t>Машина для глазуровки покрышек методом окунания</t>
  </si>
  <si>
    <t>ТЕРм23-03-005-03</t>
  </si>
  <si>
    <t>Машина для глазуровки проходных изоляторов</t>
  </si>
  <si>
    <t>ТЕРм23-03-005-04</t>
  </si>
  <si>
    <t>Машина для глазуровки штыревых изоляторов, конвейерная</t>
  </si>
  <si>
    <t xml:space="preserve">                                   Оборудование для армирования изоляторов</t>
  </si>
  <si>
    <t>ТЕРм23-03-006-01</t>
  </si>
  <si>
    <t>Вибростанок для армирования изоляторов</t>
  </si>
  <si>
    <t xml:space="preserve">                                   Стенды для гидроиспытаний</t>
  </si>
  <si>
    <t>ТЕРм23-03-007-01</t>
  </si>
  <si>
    <t>Стенд для гидравлических испытаний одновременно до десяти изделий</t>
  </si>
  <si>
    <t xml:space="preserve">                                   Оборудование для намотки остовов и сборки вводов напряжением до 500 кВ</t>
  </si>
  <si>
    <t>ТЕРм23-03-008-01</t>
  </si>
  <si>
    <t>Станок для резки и намотки рулонов шириной 500-750 мм</t>
  </si>
  <si>
    <t>ТЕРм23-03-008-02</t>
  </si>
  <si>
    <t>Станок для намотки остовов вводов напряжением 110 кВ</t>
  </si>
  <si>
    <t>ТЕРм23-03-008-03</t>
  </si>
  <si>
    <t>Станок для намотки остовов вводов напряжением 220 кВ</t>
  </si>
  <si>
    <t>ТЕРм23-03-008-06</t>
  </si>
  <si>
    <t>Станок для намотки остовов вводов напряжением 500 кВ</t>
  </si>
  <si>
    <t>ТЕРм23-03-008-04</t>
  </si>
  <si>
    <t>Стенд для сборки вводов напряжением 220 кВ</t>
  </si>
  <si>
    <t>ТЕРм23-03-008-05</t>
  </si>
  <si>
    <t>Конвейер с каретками для сборки вводов напряжением 110 кВ</t>
  </si>
  <si>
    <t xml:space="preserve">                                   Машины протирочные для грануляции</t>
  </si>
  <si>
    <t>ТЕРм23-03-009-01</t>
  </si>
  <si>
    <t>Машина протирочная для грануляции битума</t>
  </si>
  <si>
    <t>ТЕРм23-03-010-01</t>
  </si>
  <si>
    <t>Установка для испытания изоляторов непрерывным потоком искр</t>
  </si>
  <si>
    <t xml:space="preserve">                           Раздел 4. ОТДЕЛ 04. ОБОРУДОВАНИЕ ДЛЯ ПРОИЗВОДСТВА ЭЛЕКТРОИЗОЛЯЦИОННЫХ МАТЕРИАЛОВ</t>
  </si>
  <si>
    <t xml:space="preserve">                                   Раздел 1. ОБОРУДОВАНИЕ ПРОПИТОЧНОЕ И ЛАКИРОВАЛЬНОЕ</t>
  </si>
  <si>
    <t xml:space="preserve">                                   Оборудование для пропитки бумаги и ткани</t>
  </si>
  <si>
    <t>ТЕРм23-04-001-01</t>
  </si>
  <si>
    <t>Линия пропитки стеклонаполнителя полимерными смолами</t>
  </si>
  <si>
    <t>ТЕРм23-04-001-02</t>
  </si>
  <si>
    <t>Машина вертикальная для пропитки бумаги и ткани, с паровым обогревом</t>
  </si>
  <si>
    <t>ТЕРм23-04-001-03</t>
  </si>
  <si>
    <t>Машина горизонтальная для пропитки бумаги слюдинитовой</t>
  </si>
  <si>
    <t>ТЕРм23-04-001-04</t>
  </si>
  <si>
    <t>Машина горизонтальная для пропитки бумаги с паровым обогревом</t>
  </si>
  <si>
    <t>ТЕРм23-04-001-05</t>
  </si>
  <si>
    <t>Машина вертикальная для изготовления лакотканей, с паровым обогревом</t>
  </si>
  <si>
    <t xml:space="preserve">                                   Машины для лакирования бумаги</t>
  </si>
  <si>
    <t>ТЕРм23-04-002-01</t>
  </si>
  <si>
    <t>Машина для лакирования и сушки фольги, горизонтальная</t>
  </si>
  <si>
    <t xml:space="preserve">                           Раздел 5. ОТДЕЛ 05. ОБОРУДОВАНИЕ ДЛЯ ПРОИЗВОДСТВА ИСТОЧНИКОВ СВЕТА</t>
  </si>
  <si>
    <t xml:space="preserve">                                   Раздел 1. ОБОРУДОВАНИЕ СБОРОЧНОЕ ДЛЯ МАССОВОГО И СЕРИЙНОГО ПРОИЗВОДСТВА ИСТОЧНИКОВ СВЕТА</t>
  </si>
  <si>
    <t xml:space="preserve">                                   Линии сборки нормальных осветительных ламп накаливания</t>
  </si>
  <si>
    <t>ТЕРм23-05-001-01</t>
  </si>
  <si>
    <t>Линия сборки нормальных осветительных ламп накаливания</t>
  </si>
  <si>
    <t>ТЕРм23-05-001-02</t>
  </si>
  <si>
    <t>Линия сборки нормальных осветительных ламп накаливания общего назначения, мощность 60, 150, 200 кВ</t>
  </si>
  <si>
    <t>ТЕРм23-05-001-03</t>
  </si>
  <si>
    <t>Линия сборки нормальных осветительных ламп накаливания общего назначения, мощность 60, 75, 100 кВ</t>
  </si>
  <si>
    <t xml:space="preserve">                                   Линии сборки автомобильных и иллюминационных ламп</t>
  </si>
  <si>
    <t>ТЕРм23-05-002-01</t>
  </si>
  <si>
    <t>Линия сборки ламп софитных автомобильных</t>
  </si>
  <si>
    <t>ТЕРм23-05-002-02</t>
  </si>
  <si>
    <t>Линия сборки ламп односветных автомобильных</t>
  </si>
  <si>
    <t>ТЕРм23-05-002-03</t>
  </si>
  <si>
    <t>Линия сборки ламп двухсветных автомобильных, производительность 1200 шт/ч</t>
  </si>
  <si>
    <t>ТЕРм23-05-002-04</t>
  </si>
  <si>
    <t>Линия сборки ламп иллюминационных</t>
  </si>
  <si>
    <t>ТЕРм23-05-002-05</t>
  </si>
  <si>
    <t>Линия сборки ламп автомобильных типа «стоп-сигнал»</t>
  </si>
  <si>
    <t>ТЕРм23-05-002-06</t>
  </si>
  <si>
    <t>Линия сборки ламп ассиметричных автомобильных</t>
  </si>
  <si>
    <t xml:space="preserve">                                   Линии сборки миниатюрных и коммутаторных ламп</t>
  </si>
  <si>
    <t>ТЕРм23-05-003-01</t>
  </si>
  <si>
    <t>Линия сборки ламп коммутаторных накаливания, механизированная, поточная</t>
  </si>
  <si>
    <t>ТЕРм23-05-003-02</t>
  </si>
  <si>
    <t>Линия сборки ламп миниатюрных с прямой спиралью, полуавтоматическая</t>
  </si>
  <si>
    <t>ТЕРм23-05-003-03</t>
  </si>
  <si>
    <t>Линия сборки ламп миниатюрных со спиралью углом с поддержкой, полуавтоматическая</t>
  </si>
  <si>
    <t xml:space="preserve">                                   Линии сборки газоразрядных люминесцентных ламп</t>
  </si>
  <si>
    <t>ТЕРм23-05-004-01</t>
  </si>
  <si>
    <t>Линия сборки газоразрядных люминесцентных ламп, роторно-конвейерная</t>
  </si>
  <si>
    <t xml:space="preserve">                                   Линии сборки дуговых люминесцентных ламп</t>
  </si>
  <si>
    <t>ТЕРм23-05-005-01</t>
  </si>
  <si>
    <t>Линия производства ртутно-кварцевых ламп «ДРЛ», полуавтоматическая</t>
  </si>
  <si>
    <t>ТЕРм23-05-005-02</t>
  </si>
  <si>
    <t>Линия производства кварцевых горелок для ртутных ламп, полуавтоматическая</t>
  </si>
  <si>
    <t xml:space="preserve">                                   Линии сборки маломощных натриевых ламп</t>
  </si>
  <si>
    <t>ТЕРм23-05-006-01</t>
  </si>
  <si>
    <t>Линия сборки натриевых ламп, производительность 500 шт/ч</t>
  </si>
  <si>
    <t xml:space="preserve">                                   Линии сборки кварцево-галогенных ламп</t>
  </si>
  <si>
    <t>ТЕРм23-05-007-01</t>
  </si>
  <si>
    <t>Линия сборки кварцево-галогенных ламп</t>
  </si>
  <si>
    <t xml:space="preserve">                                   Линии сборки стартеров для люминесцентных ламп</t>
  </si>
  <si>
    <t>ТЕРм23-05-008-01</t>
  </si>
  <si>
    <t>Линия сборки стартеров для люминесцентных ламп, механизированная</t>
  </si>
  <si>
    <t xml:space="preserve">                                   Раздел 2. ОБОРУДОВАНИЕ ДЛЯ ВЫРАБОТКИ СТЕКЛЯННЫХ ДЕТАЛЕЙ</t>
  </si>
  <si>
    <t xml:space="preserve">                                   Линии для выработки колб ламп накаливания и радиоламп</t>
  </si>
  <si>
    <t>ТЕРм23-05-020-01</t>
  </si>
  <si>
    <t>Линия автоматическая с вакуумным набором стекломассы для выработки колб диаметром 30-120 мм</t>
  </si>
  <si>
    <t>ТЕРм23-05-020-02</t>
  </si>
  <si>
    <t>Линия автоматическая конвейерная с непрерывной подачей ленты стекломассы для выработки стеклянных колб диаметром 19-65 мм, производительность 100 млн. шт. в год</t>
  </si>
  <si>
    <t>ТЕРм23-05-020-03</t>
  </si>
  <si>
    <t>Линия автоматическая конвейерная с непрерывной подачей ленты стекломассы для выработки стеклянных колб диаметром 19-65 мм, производительность 400 млн. шт. в год</t>
  </si>
  <si>
    <t xml:space="preserve">                                   Линии автоматические горизонтального вытягивания трубок со сливом стекла из выработочной части стекловаренной печи</t>
  </si>
  <si>
    <t>ТЕРм23-05-021-01</t>
  </si>
  <si>
    <t>Линия автоматическая горизонтального вытягивания трубок со сливом стекла из выработочной части стекловаренной печи диаметром 2-8 мм</t>
  </si>
  <si>
    <t>ТЕРм23-05-021-02</t>
  </si>
  <si>
    <t>Линия автоматическая горизонтального вытягивания трубок со сливом стекла из выработочной части стекловаренной печи диаметром 8-50 мм, с обрезкой и оплавкой концов трубок</t>
  </si>
  <si>
    <t xml:space="preserve">                                   Линии автоматические горизонтального вытягивания трубок с подачей стекломассы фидером</t>
  </si>
  <si>
    <t>ТЕРм23-05-022-01</t>
  </si>
  <si>
    <t>Линия автоматическая горизонтального вытягивания трубок с подачей стекломассы фидером диаметром 2-8 мм</t>
  </si>
  <si>
    <t>ТЕРм23-05-022-02</t>
  </si>
  <si>
    <t>Линия автоматическая горизонтального вытягивания трубок с подачей стекломассы фидером диаметром 8-50 мм, с обрезкой и оплавкой концов трубок</t>
  </si>
  <si>
    <t xml:space="preserve">                                   Автоматы для оплавки и калибровки штабиков и штангелей</t>
  </si>
  <si>
    <t>ТЕРм23-05-023-01</t>
  </si>
  <si>
    <t>Автомат резки и сортировки штангелей и штабиков</t>
  </si>
  <si>
    <t xml:space="preserve">                                   Раздел 3. ОБОРУДОВАНИЕ ДЛЯ ПРОИЗВОДСТВА ЭЛЕКТРОДОВ, КАТОДОВ И СПИРАЛЕЙ</t>
  </si>
  <si>
    <t xml:space="preserve">                                   Автоматы для навивки поддержек</t>
  </si>
  <si>
    <t>ТЕРм23-05-035-01</t>
  </si>
  <si>
    <t>Автомат для навивки поддержек</t>
  </si>
  <si>
    <t xml:space="preserve">                                   Печи для отжига спиралей</t>
  </si>
  <si>
    <t>ТЕРм23-05-036-01</t>
  </si>
  <si>
    <t>Печь для отжига спиралей автомобильных и специальных ламп</t>
  </si>
  <si>
    <t xml:space="preserve">                                   Оборудование для перемотки проволоки</t>
  </si>
  <si>
    <t>ТЕРм23-05-037-01</t>
  </si>
  <si>
    <t>Установка для перемотки проволоки</t>
  </si>
  <si>
    <t>ТЕРм23-05-038-01</t>
  </si>
  <si>
    <t>Стол контрольный</t>
  </si>
  <si>
    <t>ТЕРм23-05-038-02</t>
  </si>
  <si>
    <t>Преобразователь частоты</t>
  </si>
  <si>
    <t xml:space="preserve">                                   Раздел 4. ОБОРУДОВАНИЕ ДЛЯ ПРОИЗВОДСТВА ЦОКОЛЕЙ И АРМАТУРЫ</t>
  </si>
  <si>
    <t xml:space="preserve">                                   Оборудование для обработки цоколей</t>
  </si>
  <si>
    <t>ТЕРм23-05-050-01</t>
  </si>
  <si>
    <t>Автомат заливки цоколей, производительность 3600 шт/ч</t>
  </si>
  <si>
    <t>ТЕРм23-05-050-02</t>
  </si>
  <si>
    <t>Автомат заливки цоколей, производительность 6000 шт/ч</t>
  </si>
  <si>
    <t xml:space="preserve">                                   Оборудование для изготовления штырьков люминесцентных ламп и стартеров</t>
  </si>
  <si>
    <t>ТЕРм23-05-051-01</t>
  </si>
  <si>
    <t>Автомат для изготовления штырьков люминесцентных ламп</t>
  </si>
  <si>
    <t>ТЕРм23-05-051-02</t>
  </si>
  <si>
    <t>Автомат для изготовления штырьков стартеров люминесцентных ламп</t>
  </si>
  <si>
    <t xml:space="preserve">                                   Раздел 5. ОБОРУДОВАНИЕ ДЛЯ ПРОИЗВОДСТВА ТЕХНО-ХИМИЧЕСКИХ ПОЛУФАБРИКАТОВ И ОБРАБОТКИ КОЛБ</t>
  </si>
  <si>
    <t xml:space="preserve">                                   Автоматы несерийные для обработки колб</t>
  </si>
  <si>
    <t>ТЕРм23-05-060-01</t>
  </si>
  <si>
    <t>Полуавтомат алюминирования колб</t>
  </si>
  <si>
    <t>ТЕРм23-05-060-02</t>
  </si>
  <si>
    <t>Автомат покрытия колб светорассеивающим слоем</t>
  </si>
  <si>
    <t>ТЕРм23-05-060-03</t>
  </si>
  <si>
    <t>Автомат алюминирования колб</t>
  </si>
  <si>
    <t>ТЕРм23-05-060-04</t>
  </si>
  <si>
    <t>Полуавтомат стравливания алюминия в колбах диаметром 120-180 мм</t>
  </si>
  <si>
    <t>ТЕРм23-05-060-05</t>
  </si>
  <si>
    <t>Полуавтомат мойки колб</t>
  </si>
  <si>
    <t>ТЕРм23-05-060-06</t>
  </si>
  <si>
    <t>Полуавтомат стравливания алюминия в колбах диаметром 70-130 мм</t>
  </si>
  <si>
    <t>ТЕРм23-05-060-07</t>
  </si>
  <si>
    <t>Полуавтомат мойки и матирования колб</t>
  </si>
  <si>
    <t xml:space="preserve">                                   Печи карусельные для обжига матированных колб</t>
  </si>
  <si>
    <t>ТЕРм23-05-061-01</t>
  </si>
  <si>
    <t>Печь карусельная для обжига матированных колб</t>
  </si>
  <si>
    <t xml:space="preserve">                                   Раздел 6. ОБОРУДОВАНИЕ ИСПЫТАТЕЛЬНОЕ</t>
  </si>
  <si>
    <t xml:space="preserve">                                   Оборудование для испытания ламп</t>
  </si>
  <si>
    <t>ТЕРм23-05-070-01</t>
  </si>
  <si>
    <t>Линия автоматическая для приемосдаточных испытаний спецламп</t>
  </si>
  <si>
    <t>ТЕРм23-05-070-02</t>
  </si>
  <si>
    <t>Стенд полуавтоматический для испытания на ударопрочность автомобильных ламп</t>
  </si>
  <si>
    <t>ТЕРм23-05-070-03</t>
  </si>
  <si>
    <t>Фотометр распределительный</t>
  </si>
  <si>
    <t>ТЕРм23-05-070-04</t>
  </si>
  <si>
    <t>Фотометр шаровой</t>
  </si>
  <si>
    <t>ТЕРм-2001-23</t>
  </si>
  <si>
    <t>ТЕРм-2001-24</t>
  </si>
  <si>
    <t xml:space="preserve">                                   Раздел 1. СМЕСИТЕЛЬНОЕ И РАЗДАТОЧНОЕ ОБОРУДОВАНИЕ</t>
  </si>
  <si>
    <t xml:space="preserve">                                   Смесители растворов</t>
  </si>
  <si>
    <t>ТЕРм24-01-001-01</t>
  </si>
  <si>
    <t>Бегуны смесительные, диаметр катков 1600 мм</t>
  </si>
  <si>
    <t xml:space="preserve">                                   Болтушки</t>
  </si>
  <si>
    <t>ТЕРм24-01-002-01</t>
  </si>
  <si>
    <t>Глиноболтушка, диаметр бассейна 12 м</t>
  </si>
  <si>
    <t xml:space="preserve">                                   Цепные, лопастные и пневматические мешалки</t>
  </si>
  <si>
    <t>ТЕРм24-01-003-01</t>
  </si>
  <si>
    <t>Мешалка цепная для поддерживания нефелинового шлама во взвешенном состоянии, диаметр 4 м</t>
  </si>
  <si>
    <t>ТЕРм24-01-003-02</t>
  </si>
  <si>
    <t>Мешалка крановая с односторонним мостом для хранения и усреднения шлама, полезная емкость бассейна 5700 м3, диаметр бассейна 25 м</t>
  </si>
  <si>
    <t>ТЕРм24-01-003-03</t>
  </si>
  <si>
    <t>Мешалка крановая с односторонним мостом для хранения и усреднения шлама, полезная емкость бассейна 5700 м3, диаметр бассейна 35 м</t>
  </si>
  <si>
    <t>ТЕРм24-01-003-04</t>
  </si>
  <si>
    <t>Мешалка крановая с двухсторонним мостом для перемешивания твердых частиц нефелинового шлама во взвешенном состоянии, диаметр бассейна 25 м, полезная емкость бассейна 2500 м3</t>
  </si>
  <si>
    <t>ТЕРм24-01-003-05</t>
  </si>
  <si>
    <t>Мешалка лопастная с двухсторонним мостом для перемешивания и усреднения грубомолотого шлама, диаметр бассейна 35 м, полезная емкость бассейна 6000 м3</t>
  </si>
  <si>
    <t>ТЕРм24-01-003-06</t>
  </si>
  <si>
    <t>Смеситель шламовый для пневматического перемешивания и усреднения шлама, диаметр бассейна 25 м, полезная емкость бассейна 2500 м3</t>
  </si>
  <si>
    <t xml:space="preserve">                                   Мешалки разные</t>
  </si>
  <si>
    <t>ТЕРм24-01-004-01</t>
  </si>
  <si>
    <t>Мешалка ковшовая для асбестоцементной массы, производительность 50 м3/ч, вместимость ванны 7 м3</t>
  </si>
  <si>
    <t xml:space="preserve">                                   Бетоноукладчики</t>
  </si>
  <si>
    <t>ТЕРм24-01-005-01</t>
  </si>
  <si>
    <t>Бетоноукладчик для производства железобетонных напорных труб, шнековый, с бункером, вместимость 0,82 м3</t>
  </si>
  <si>
    <t>ТЕРм24-01-005-02</t>
  </si>
  <si>
    <t>Бетоноукладчик для поточного производства промышленных железобетонных изделий с бункером, вместимость 2 м3</t>
  </si>
  <si>
    <t>ТЕРм24-01-005-03</t>
  </si>
  <si>
    <t>Бетоноукладчик для выдачи бетона в формы, вместимость 1,8 м3</t>
  </si>
  <si>
    <t>ТЕРм24-01-005-04</t>
  </si>
  <si>
    <t>Бетоноукладчик для изготовления изделий из тяжелого бетона, вместимость 2,5 м3</t>
  </si>
  <si>
    <t xml:space="preserve">                                   Бункеры для бетона</t>
  </si>
  <si>
    <t>ТЕРм24-01-006-01</t>
  </si>
  <si>
    <t>Бункер раздаточный</t>
  </si>
  <si>
    <t>ТЕРм24-01-006-02</t>
  </si>
  <si>
    <t>Бункер раздаточный с прицепом, вместимость 2,4 м3, масса 2,8 т</t>
  </si>
  <si>
    <t>ТЕРм24-01-006-03</t>
  </si>
  <si>
    <t>Бункер раздаточный с прицепом, вместимость 2,4 м3, масса 3,45 т</t>
  </si>
  <si>
    <t xml:space="preserve">                                   Раздел 2. ПРЕССОВОЕ ОБОРУДОВАНИЕ</t>
  </si>
  <si>
    <t xml:space="preserve">                                   Ленточные прессы</t>
  </si>
  <si>
    <t>ТЕРм24-01-016-01</t>
  </si>
  <si>
    <t>Пресс шнековый безвакуумный для формования керамических изделий</t>
  </si>
  <si>
    <t>ТЕРм24-01-016-02</t>
  </si>
  <si>
    <t>Пресс шнековый вакуумный для формования глиняного кирпича</t>
  </si>
  <si>
    <t>ТЕРм24-01-016-03</t>
  </si>
  <si>
    <t>Пресс шнековый вакуумный для формования керамических изделий</t>
  </si>
  <si>
    <t xml:space="preserve">                                   Фрикционные прессы</t>
  </si>
  <si>
    <t>ТЕРм24-01-017-01</t>
  </si>
  <si>
    <t>Пресс винтовой фрикционный, усилие 980 кН (100 тс)</t>
  </si>
  <si>
    <t xml:space="preserve">                                   Гидравлические прессы</t>
  </si>
  <si>
    <t>ТЕРм24-01-018-01</t>
  </si>
  <si>
    <t>Пресс гидравлический для керамических плиток, усилие 1568 кН (160 тс)</t>
  </si>
  <si>
    <t xml:space="preserve">                                   Трубные прессы</t>
  </si>
  <si>
    <t>ТЕРм24-01-019-01</t>
  </si>
  <si>
    <t>Пресс вертикальный вакуумный для изготовления керамических труб, диаметр до 300 мм</t>
  </si>
  <si>
    <t>ТЕРм24-01-019-02</t>
  </si>
  <si>
    <t>Установка для гидравлического испытания керамических труб</t>
  </si>
  <si>
    <t xml:space="preserve">                                   Прессы разные</t>
  </si>
  <si>
    <t>ТЕРм24-01-020-01</t>
  </si>
  <si>
    <t>Пресс автоматический карусельный для изготовления стеклоблоков</t>
  </si>
  <si>
    <t>ТЕРм24-01-020-02</t>
  </si>
  <si>
    <t>Пресс коленно-рычажный для полусухого прессования кирпича, производительность 2280 шт/ч</t>
  </si>
  <si>
    <t>ТЕРм24-01-020-03</t>
  </si>
  <si>
    <t>Пресс револьверный кривошипно-рычажного типа для силикатного кирпича, производительность 3070 шт/ч</t>
  </si>
  <si>
    <t xml:space="preserve">                                   Оборудование для резки</t>
  </si>
  <si>
    <t>ТЕРм24-01-021-01</t>
  </si>
  <si>
    <t>Машина глинорезательная, производительность 25 т/ч</t>
  </si>
  <si>
    <t xml:space="preserve">                                   Раздел 3. ПОДЪЕМНО-ТРАНСПОРТНОЕ ОБОРУДОВАНИЕ</t>
  </si>
  <si>
    <t xml:space="preserve">                                   Вагонетки</t>
  </si>
  <si>
    <t>ТЕРм24-01-030-01</t>
  </si>
  <si>
    <t>Вагонетка сушильная, вместимость по кирпичу 240 шт.</t>
  </si>
  <si>
    <t>ТЕРм24-01-030-02</t>
  </si>
  <si>
    <t>Вагонетка печная, грузоподъемность 17 т</t>
  </si>
  <si>
    <t xml:space="preserve">                                   Передаточные тележки</t>
  </si>
  <si>
    <t>ТЕРм24-01-031-01</t>
  </si>
  <si>
    <t>Тележка электропередаточная, грузоподъемность 8 т, ширина колеи 1800 мм</t>
  </si>
  <si>
    <t>ТЕРм24-01-031-02</t>
  </si>
  <si>
    <t>Тележка электропередаточная, грузоподъемность 20 т, ширина колеи 3000-3840 мм</t>
  </si>
  <si>
    <t xml:space="preserve">                                   Толкатели</t>
  </si>
  <si>
    <t>ТЕРм24-01-032-01</t>
  </si>
  <si>
    <t>Толкатель канатный, усилие толкания 9,8 кН (1 тс), длина пути 18 м</t>
  </si>
  <si>
    <t>ТЕРм24-01-032-02</t>
  </si>
  <si>
    <t>Толкатель канатный, усилие толкания 9,8 кН (1 тс), длина пути 36 м</t>
  </si>
  <si>
    <t>ТЕРм24-01-032-03</t>
  </si>
  <si>
    <t>Подаватель вагонеток канатный, усилие 2,45 кН (0,25 тс), длина пути 1,5 м</t>
  </si>
  <si>
    <t>ТЕРм24-01-032-04</t>
  </si>
  <si>
    <t>Подаватель вагонеток канатный, усилие 2,45 кН (0,25 тс), длина пути 8 м</t>
  </si>
  <si>
    <t>ТЕРм24-01-032-05</t>
  </si>
  <si>
    <t>Круг поворотный, ширина колеи 750 мм с ручным приводом</t>
  </si>
  <si>
    <t>ТЕРм24-01-032-06</t>
  </si>
  <si>
    <t>Круг поворотный, ширина колеи 750 мм автоматизированный</t>
  </si>
  <si>
    <t xml:space="preserve">                                   Конвейеры</t>
  </si>
  <si>
    <t>ТЕРм24-01-033-01</t>
  </si>
  <si>
    <t>Транспортер подающий пластинчатый для транспортировки стеклянных изделий</t>
  </si>
  <si>
    <t>ТЕРм24-01-033-02</t>
  </si>
  <si>
    <t>Откатчик листов стекла</t>
  </si>
  <si>
    <t>ТЕРм24-01-033-03</t>
  </si>
  <si>
    <t>Установка визуального контроля качества стеклоизделий</t>
  </si>
  <si>
    <t xml:space="preserve">                                   Пневможелоба</t>
  </si>
  <si>
    <t>ТЕРм24-01-034-01</t>
  </si>
  <si>
    <t>Желоб пневмотранспортный</t>
  </si>
  <si>
    <t xml:space="preserve">                                   Раздел 4. ПОГРУЗОЧНО-РАЗГРУЗОЧНЫЕ УСТРОЙСТВА</t>
  </si>
  <si>
    <t xml:space="preserve">                                   Загрузочные устройства</t>
  </si>
  <si>
    <t>ТЕРм24-01-040-01</t>
  </si>
  <si>
    <t>Загрузчик конвейерного типа для загрузки стеклоблоков в печь отжига</t>
  </si>
  <si>
    <t>ТЕРм24-01-040-02</t>
  </si>
  <si>
    <t>Загрузчик роторный двухсекционный для подачи шихты в ванную печь</t>
  </si>
  <si>
    <t xml:space="preserve">                                   Разгрузочные устройства</t>
  </si>
  <si>
    <t>ТЕРм24-01-041-01</t>
  </si>
  <si>
    <t>Разгружатель толкающий двухсторонний скреперный, грузоподъемность 60 т</t>
  </si>
  <si>
    <t>ТЕРм24-01-041-02</t>
  </si>
  <si>
    <t>Разгрузчик нерудных материалов из открытого подвижного состава, производительность 320 м3/ч</t>
  </si>
  <si>
    <t xml:space="preserve">                                   Переставители</t>
  </si>
  <si>
    <t>ТЕРм24-01-042-01</t>
  </si>
  <si>
    <t>Переставитель стеклоизделий с конвейера в печь отжига</t>
  </si>
  <si>
    <t>ТЕРм24-01-042-02</t>
  </si>
  <si>
    <t>Установка съема стеклоизделий с печи отжига</t>
  </si>
  <si>
    <t>ТЕРм24-01-042-03</t>
  </si>
  <si>
    <t>Круг-накопитель поворотный</t>
  </si>
  <si>
    <t xml:space="preserve">                           Раздел 2. ОТДЕЛ 02. ОБОРУДОВАНИЕ СПЕЦИАЛЬНЫХ ПРОИЗВОДСТВ</t>
  </si>
  <si>
    <t xml:space="preserve">                                   Раздел 1. ОБОРУДОВАНИЕ ДЛЯ ПРОИЗВОДСТВА ЦЕМЕНТА</t>
  </si>
  <si>
    <t xml:space="preserve">                                   Печи для производства цемента</t>
  </si>
  <si>
    <t>ТЕРм24-02-001-01</t>
  </si>
  <si>
    <t>Печь вращающаяся для обжига клинкера по мокрому способу, диаметр 4 м, длина 150 м</t>
  </si>
  <si>
    <t>ТЕРм24-02-001-02</t>
  </si>
  <si>
    <t>Печь вращающаяся для обжига клинкера по мокрому способу, диаметр 4,5 м, длина 170 м</t>
  </si>
  <si>
    <t>ТЕРм24-02-001-03</t>
  </si>
  <si>
    <t>Печь вращающаяся для обжига клинкера по мокрому способу, диаметр 5 м, длина 185 м</t>
  </si>
  <si>
    <t>ТЕРм24-02-001-04</t>
  </si>
  <si>
    <t>Печь вращающаяся для обжига клинкера по сухому способу, без циклонных теплообменников, диаметр 6,4-7 м, длина 95 м</t>
  </si>
  <si>
    <t>ТЕРм24-02-001-05</t>
  </si>
  <si>
    <t>Печь вращающаяся для получения клинкера по сухому способу, диаметр 4,5 м, длина 80 м</t>
  </si>
  <si>
    <t xml:space="preserve">                                   Холодильники</t>
  </si>
  <si>
    <t>ТЕРм24-02-002-01</t>
  </si>
  <si>
    <t>Холодильник колосниковый для охлаждения цементного клинкера и других сыпучих материалов, выходящих из вращающихся печей, производительность 35 т/ч</t>
  </si>
  <si>
    <t>ТЕРм24-02-002-02</t>
  </si>
  <si>
    <t>Холодильник колосниковый для охлаждения цементного клинкера и других сыпучих материалов, выходящих из вращающихся печей, производительность 50 т/ч</t>
  </si>
  <si>
    <t>ТЕРм24-02-002-03</t>
  </si>
  <si>
    <t>Холодильник колосниковый для охлаждения цементного клинкера и других сыпучих материалов, выходящих из вращающихся печей, производительность 75 т/ч</t>
  </si>
  <si>
    <t>ТЕРм24-02-002-04</t>
  </si>
  <si>
    <t>Холодильник колосниковый для охлаждения цементного клинкера и других сыпучих материалов, выходящих из вращающихся печей, производительность 150 т/ч</t>
  </si>
  <si>
    <t xml:space="preserve">                                   Теплообменники</t>
  </si>
  <si>
    <t>ТЕРм24-02-003-01</t>
  </si>
  <si>
    <t>Теплообменник циклонный к печному агрегату, диаметр 6,4-7 м, длина 95 м</t>
  </si>
  <si>
    <t>ТЕРм24-02-003-02</t>
  </si>
  <si>
    <t>Теплообменник циклонный к печному агрегату, диаметр 4,5 м, длина 80 м с декарбонизатором</t>
  </si>
  <si>
    <t xml:space="preserve">                                   Упаковочные машины</t>
  </si>
  <si>
    <t>ТЕРм24-02-004-01</t>
  </si>
  <si>
    <t>Машина упаковочная ротационная четырнадцатиштуцерная</t>
  </si>
  <si>
    <t xml:space="preserve">                                   Пневмотранспортные установки</t>
  </si>
  <si>
    <t>ТЕРм24-02-005-01</t>
  </si>
  <si>
    <t>Разгружатель пневматический боковой, производительность 45-120 т/ч</t>
  </si>
  <si>
    <t>ТЕРм24-02-005-02</t>
  </si>
  <si>
    <t>Подъемник пневматический винтовой, масса 0,64 т</t>
  </si>
  <si>
    <t>ТЕРм24-02-005-03</t>
  </si>
  <si>
    <t>Подъемник пневматический винтовой, масса 0,9 т</t>
  </si>
  <si>
    <t>ТЕРм24-02-005-04</t>
  </si>
  <si>
    <t>Насос двухкамерный, пневматический, масса 7,76 т</t>
  </si>
  <si>
    <t>ТЕРм24-02-005-05</t>
  </si>
  <si>
    <t>Насос двухкамерный, пневматический, масса 14,55 т</t>
  </si>
  <si>
    <t>ТЕРм24-02-005-06</t>
  </si>
  <si>
    <t>Разгрузчик цемента пневматический с самоходным заборным устройством, производительность до 50 т/ч</t>
  </si>
  <si>
    <t>ТЕРм24-02-005-07</t>
  </si>
  <si>
    <t>Разгрузчик цемента пневматический с самоходным заборным устройством, производительность до 90 т/ч</t>
  </si>
  <si>
    <t xml:space="preserve">                                   Шламовые задвижки</t>
  </si>
  <si>
    <t>ТЕРм24-02-006-01</t>
  </si>
  <si>
    <t>Задвижка шламовая с электроприводом, диаметр 250 мм</t>
  </si>
  <si>
    <t>ТЕРм24-02-006-02</t>
  </si>
  <si>
    <t>Задвижка шламовая с электроприводом, диаметр 300 мм</t>
  </si>
  <si>
    <t>ТЕРм24-02-006-03</t>
  </si>
  <si>
    <t>Задвижка шламовая с электроприводом, диаметр 400 мм</t>
  </si>
  <si>
    <t xml:space="preserve">                                   Вспомогательное оборудование</t>
  </si>
  <si>
    <t>ТЕРм24-02-007-01</t>
  </si>
  <si>
    <t>Затвор отсекающий с электроприводом, диаметр 200 мм</t>
  </si>
  <si>
    <t xml:space="preserve">                                   Раздел 2. ОБОРУДОВАНИЕ ДЛЯ ПРОИЗВОДСТВА ЛЕГКИХ ЗАПОЛНИТЕЛЕЙ</t>
  </si>
  <si>
    <t xml:space="preserve">                                   Вращающиеся печи</t>
  </si>
  <si>
    <t>ТЕРм24-02-017-01</t>
  </si>
  <si>
    <t>Печь вращающаяся для обжига керамзита, диаметр 2,5 м, длина 40 м</t>
  </si>
  <si>
    <t>ТЕРм24-02-017-02</t>
  </si>
  <si>
    <t>Печь вращающаяся для обжига керамзита, диаметр 2,8 м, длина 20 м</t>
  </si>
  <si>
    <t xml:space="preserve">                                   Сушильные барабаны</t>
  </si>
  <si>
    <t>ТЕРм24-02-018-01</t>
  </si>
  <si>
    <t>Барабан сушильный, диаметр 1,6 м, длина 8 м</t>
  </si>
  <si>
    <t>ТЕРм24-02-018-02</t>
  </si>
  <si>
    <t>Барабан сушильный, диаметр 2,2 м, длина 14 м</t>
  </si>
  <si>
    <t>ТЕРм24-02-018-03</t>
  </si>
  <si>
    <t>Барабан сушильный, диаметр 2,8 м, длина 14 м</t>
  </si>
  <si>
    <t>ТЕРм24-02-018-04</t>
  </si>
  <si>
    <t>Барабан сушильный, диаметр 2,8 м, длина 20 м</t>
  </si>
  <si>
    <t xml:space="preserve">                                   Холодильники, подготовители</t>
  </si>
  <si>
    <t>ТЕРм24-02-019-01</t>
  </si>
  <si>
    <t>Холодильник слоевой, производительность 7 т/ч</t>
  </si>
  <si>
    <t>ТЕРм24-02-019-02</t>
  </si>
  <si>
    <t>Подготовитель слоевой, с бункером для сушки и нагревания сырцовых гранул</t>
  </si>
  <si>
    <t xml:space="preserve">                                   Раздел 3. ОБОРУДОВАНИЕ ДЛЯ ПРОИЗВОДСТВА СТЕКЛА СОРТОВОЙ ПОСУДЫ И СТЕКЛОВОЛОКНА</t>
  </si>
  <si>
    <t xml:space="preserve">                                   Прокатные и тянульные машины</t>
  </si>
  <si>
    <t>ТЕРм24-02-030-01</t>
  </si>
  <si>
    <t>Машина вертикального вытягивания листового стекла лодочным способом, высота шахты 7,8 м, ширина ленты 2000 мм</t>
  </si>
  <si>
    <t>ТЕРм24-02-030-02</t>
  </si>
  <si>
    <t>Машина вертикального вытягивания листового стекла безлодочным способом, высота шахты 12 м, ширина ленты 2000 мм</t>
  </si>
  <si>
    <t>ТЕРм24-02-030-03</t>
  </si>
  <si>
    <t>Машина вертикального вытягивания листового стекла безлодочным спобобом, высота шахты 12 м, ширина ленты 3000 мм</t>
  </si>
  <si>
    <t>ТЕРм24-02-030-04</t>
  </si>
  <si>
    <t>Привод выносной для машин вертикального вытягивания листового стекла</t>
  </si>
  <si>
    <t>ТЕРм24-02-030-05</t>
  </si>
  <si>
    <t>Машина прокатная непрерывной ленты стекла, ширина 1600 мм</t>
  </si>
  <si>
    <t xml:space="preserve">                                   Переводные клапаны стекловаренных печей</t>
  </si>
  <si>
    <t>ТЕРм24-02-031-01</t>
  </si>
  <si>
    <t>Клапан переводной дымовоздушный шиберный с автоматическим приводом, размеры окна 800х900 мм</t>
  </si>
  <si>
    <t>ТЕРм24-02-031-02</t>
  </si>
  <si>
    <t>Клапан переводной дымовоздушный шиберный с автоматическим приводом, размеры окна 1400х1400, 1700х1700 мм</t>
  </si>
  <si>
    <t xml:space="preserve">                                   Станки для фацетировки, отрезки и отломки</t>
  </si>
  <si>
    <t>ТЕРм24-02-032-01</t>
  </si>
  <si>
    <t>Отломщик рамный</t>
  </si>
  <si>
    <t>ТЕРм24-02-032-02</t>
  </si>
  <si>
    <t>Секция отломки бортов</t>
  </si>
  <si>
    <t>ТЕРм24-02-032-03</t>
  </si>
  <si>
    <t>Подрезчик листов стекла автоматический</t>
  </si>
  <si>
    <t>ТЕРм24-02-032-04</t>
  </si>
  <si>
    <t>Секция резки листов</t>
  </si>
  <si>
    <t>ТЕРм24-02-032-05</t>
  </si>
  <si>
    <t>Стол ручной резки</t>
  </si>
  <si>
    <t>ТЕРм24-02-032-06</t>
  </si>
  <si>
    <t>Станок для шлифования поверхностей стеклоизделий</t>
  </si>
  <si>
    <t>ТЕРм24-02-032-07</t>
  </si>
  <si>
    <t>Машина для шлифовки края стаканов</t>
  </si>
  <si>
    <t xml:space="preserve">                                   Стекломоечные машины</t>
  </si>
  <si>
    <t>ТЕРм24-02-033-01</t>
  </si>
  <si>
    <t>Машина моечная для стеклобоя барабанного типа диаметр 800 мм, длина 3,5 м</t>
  </si>
  <si>
    <t>ТЕРм24-02-033-02</t>
  </si>
  <si>
    <t>Машина моечно-сушильная для листового стекла, масса 4 т</t>
  </si>
  <si>
    <t>ТЕРм24-02-033-03</t>
  </si>
  <si>
    <t>Машина моечно-сушильная для листового стекла, масса 8 т</t>
  </si>
  <si>
    <t>ТЕРм24-02-034-01</t>
  </si>
  <si>
    <t>Автомат карусельный для сварки стеклоблоков</t>
  </si>
  <si>
    <t>ТЕРм24-02-034-02</t>
  </si>
  <si>
    <t>Станок (пресс) гидравлический для запрессовки асбестовых колец на валы машин вертикального вытягивания стекла</t>
  </si>
  <si>
    <t>ТЕРм24-02-034-03</t>
  </si>
  <si>
    <t>Стол рольный к прокатной машине непрерывной ленты стекла шириной 1600 мм</t>
  </si>
  <si>
    <t>ТЕРм24-02-034-04</t>
  </si>
  <si>
    <t>Установка для нанесения защитных покрытий</t>
  </si>
  <si>
    <t xml:space="preserve">                                   Механические питатели</t>
  </si>
  <si>
    <t>ТЕРм24-02-035-01</t>
  </si>
  <si>
    <t>Питатель механический для автоматического питания стеклоформующих машин, масса 5 т</t>
  </si>
  <si>
    <t>ТЕРм24-02-035-02</t>
  </si>
  <si>
    <t>Питатель механический для автоматического питания стеклоформующих машин, масса 8 т</t>
  </si>
  <si>
    <t xml:space="preserve">                                   Выдувное оборудование</t>
  </si>
  <si>
    <t>ТЕРм24-02-036-01</t>
  </si>
  <si>
    <t>Машина прессо-выдувная для изготовления узкогорлой стеклянной тары</t>
  </si>
  <si>
    <t>ТЕРм24-02-036-02</t>
  </si>
  <si>
    <t>Автомат вакуумно-выдувной для изготовления узкогорлой стеклянной тары</t>
  </si>
  <si>
    <t>ТЕРм24-02-036-03</t>
  </si>
  <si>
    <t>Машина прессово-выдувная для изготовления консервных банок</t>
  </si>
  <si>
    <t xml:space="preserve">                                   Оборудование для отжига</t>
  </si>
  <si>
    <t>ТЕРм24-02-037-01</t>
  </si>
  <si>
    <t>Печь для отжига стеклоизделий конвейерная, непрерывного действия, на жидком и газообразном топливе</t>
  </si>
  <si>
    <t xml:space="preserve">                                   Отопочные машины</t>
  </si>
  <si>
    <t>ТЕРм24-02-038-01</t>
  </si>
  <si>
    <t>Машина отопочная конвейерная для оплавления краев стеклянных изделий</t>
  </si>
  <si>
    <t xml:space="preserve">                                   Оборудование для упаковки</t>
  </si>
  <si>
    <t>ТЕРм24-02-039-01</t>
  </si>
  <si>
    <t>Укладчик стеклотары в пакет-поддоны</t>
  </si>
  <si>
    <t xml:space="preserve">                                   Перемоточное оборудование</t>
  </si>
  <si>
    <t>ТЕРм24-02-040-01</t>
  </si>
  <si>
    <t>Машина перемоточная бобинажная для кордного волокна</t>
  </si>
  <si>
    <t xml:space="preserve">                                   Сновальное и проборное оборудование</t>
  </si>
  <si>
    <t>ТЕРм24-02-041-01</t>
  </si>
  <si>
    <t>Машина сновальная партионная</t>
  </si>
  <si>
    <t>ТЕРм24-02-041-02</t>
  </si>
  <si>
    <t>Машина сновальная ленточная</t>
  </si>
  <si>
    <t>ТЕРм24-02-041-03</t>
  </si>
  <si>
    <t>Шпулярник для стеклонитей, количество упаковок 600</t>
  </si>
  <si>
    <t>ТЕРм24-02-041-04</t>
  </si>
  <si>
    <t>Шпулярник для стеклонитей, количество упаковок 800</t>
  </si>
  <si>
    <t>ТЕРм24-02-041-05</t>
  </si>
  <si>
    <t>Станок проборный</t>
  </si>
  <si>
    <t xml:space="preserve">                                   Приготовительное оборудование для ткацкого производства</t>
  </si>
  <si>
    <t>ТЕРм24-02-042-01</t>
  </si>
  <si>
    <t>Машина браковочная</t>
  </si>
  <si>
    <t xml:space="preserve">                                   Раздел 4. ОБОРУДОВАНИЕ ДЛЯ ПРОИЗВОДСТВА АСБОЦЕМЕНТНЫХ ИЗДЕЛИЙ</t>
  </si>
  <si>
    <t xml:space="preserve">                                   Оборудование массоприготовления</t>
  </si>
  <si>
    <t>ТЕРм24-02-052-01</t>
  </si>
  <si>
    <t>Турбосмеситель</t>
  </si>
  <si>
    <t>ТЕРм24-02-052-02</t>
  </si>
  <si>
    <t>Гидропушитель</t>
  </si>
  <si>
    <t>ТЕРм24-02-052-03</t>
  </si>
  <si>
    <t>Рекуператор с механизмом пеносъема</t>
  </si>
  <si>
    <t>ТЕРм24-02-052-04</t>
  </si>
  <si>
    <t>Бегуны</t>
  </si>
  <si>
    <t xml:space="preserve">                                   Оборудование формовочного отделения</t>
  </si>
  <si>
    <t>ТЕРм24-02-053-01</t>
  </si>
  <si>
    <t>Машина листоформовочная</t>
  </si>
  <si>
    <t>ТЕРм24-02-053-02</t>
  </si>
  <si>
    <t>Ножницы раскроя листов</t>
  </si>
  <si>
    <t>ТЕРм24-02-053-03</t>
  </si>
  <si>
    <t>Укладчик листов, масса 8,37 т</t>
  </si>
  <si>
    <t>ТЕРм24-02-053-04</t>
  </si>
  <si>
    <t>Укладчик листов, масса 7,4 т</t>
  </si>
  <si>
    <t>ТЕРм24-02-053-05</t>
  </si>
  <si>
    <t>Конвейер твердения листов</t>
  </si>
  <si>
    <t>ТЕРм24-02-053-06</t>
  </si>
  <si>
    <t>Съемник стоп-листов</t>
  </si>
  <si>
    <t>ТЕРм24-02-053-07</t>
  </si>
  <si>
    <t>Переборщик листов</t>
  </si>
  <si>
    <t>ТЕРм24-02-053-08</t>
  </si>
  <si>
    <t>Увлажнитель листов</t>
  </si>
  <si>
    <t>ТЕРм24-02-053-09</t>
  </si>
  <si>
    <t>Машина трубоформовочная для производства труб длиной 4 м</t>
  </si>
  <si>
    <t>ТЕРм24-02-053-10</t>
  </si>
  <si>
    <t>Машина трубоформовочная для производства труб длиной 5 м</t>
  </si>
  <si>
    <t>ТЕРм24-02-053-11</t>
  </si>
  <si>
    <t>Конвейер для комбинированного воздушно-водного твердения труб длиной 4 м</t>
  </si>
  <si>
    <t>ТЕРм24-02-053-12</t>
  </si>
  <si>
    <t>Конвейер для окончательного твердения труб длиной 5 м</t>
  </si>
  <si>
    <t>ТЕРм24-02-053-13</t>
  </si>
  <si>
    <t>Волнировщик листов</t>
  </si>
  <si>
    <t>ТЕРм24-02-053-14</t>
  </si>
  <si>
    <t>Машина раскроя наката</t>
  </si>
  <si>
    <t xml:space="preserve">                                   Оборудование для обработки и испытания труб</t>
  </si>
  <si>
    <t>ТЕРм24-02-054-01</t>
  </si>
  <si>
    <t>Станок трубообточный для труб длиной 4 м</t>
  </si>
  <si>
    <t>ТЕРм24-02-054-02</t>
  </si>
  <si>
    <t>Станок трубообточный для труб длиной 5 м</t>
  </si>
  <si>
    <t>ТЕРм24-02-054-03</t>
  </si>
  <si>
    <t>Станок муфтофрезерный для труб диаметром 100-500 мм</t>
  </si>
  <si>
    <t>ТЕРм24-02-054-04</t>
  </si>
  <si>
    <t>Гидропресс-автомат для испытания асбестоцементных труб длиной до 5 м</t>
  </si>
  <si>
    <t>ТЕРм24-02-055-01</t>
  </si>
  <si>
    <t>Станок для обтяжки сетчатых цилиндров машин листоформовочных</t>
  </si>
  <si>
    <t>ТЕРм24-02-055-02</t>
  </si>
  <si>
    <t>Станок для обтяжки сетчатых цилиндров машин трубоформовочных</t>
  </si>
  <si>
    <t>ТЕРм24-02-055-03</t>
  </si>
  <si>
    <t>Гидропресс-автомат для испытания муфт</t>
  </si>
  <si>
    <t xml:space="preserve">                                   Раздел 5. ОБОРУДОВАНИЕ ДЛЯ ПРОИЗВОДСТВА КИРПИЧА, ЧЕРЕПИЦЫ И КЕРАМИЧЕСКИХ ИЗДЕЛИЙ</t>
  </si>
  <si>
    <t xml:space="preserve">                                   Автоматы для производства кирпича</t>
  </si>
  <si>
    <t>ТЕРм24-02-065-01</t>
  </si>
  <si>
    <t>Автомат для резки, отбора и укладки кирпича-сырца, производительность 10800 шт/ч</t>
  </si>
  <si>
    <t>ТЕРм24-02-065-02</t>
  </si>
  <si>
    <t>Автомат-садчик для разгрузки и укладки кирпича с сушильных вагонеток на печные, производительность 10000 шт/ч</t>
  </si>
  <si>
    <t>ТЕРм24-02-065-03</t>
  </si>
  <si>
    <t>Автомат-садчик силикатного кирпича, производительность 3400 шт/ч</t>
  </si>
  <si>
    <t xml:space="preserve">                                   Автоклавы</t>
  </si>
  <si>
    <t>ТЕРм24-02-066-01</t>
  </si>
  <si>
    <t>Автоклав проходной, диаметр 2000 мм, длина 17 м</t>
  </si>
  <si>
    <t>ТЕРм24-02-066-02</t>
  </si>
  <si>
    <t>Автоклав проходной, диаметр 2000 мм, длина 19 м</t>
  </si>
  <si>
    <t>ТЕРм24-02-066-03</t>
  </si>
  <si>
    <t>Автоклав проходной, диаметр 2600 мм, длина 19 м</t>
  </si>
  <si>
    <t>ТЕРм24-02-066-04</t>
  </si>
  <si>
    <t>Автоклав проходной, диаметр 3600 мм, длина 27 м</t>
  </si>
  <si>
    <t>ТЕРм24-02-066-05</t>
  </si>
  <si>
    <t>Автоклав тупиковый, диаметр 2000 мм, длина 17 м</t>
  </si>
  <si>
    <t>ТЕРм24-02-066-06</t>
  </si>
  <si>
    <t>Автоклав тупиковый, диаметр 2000 мм, длина 19 м</t>
  </si>
  <si>
    <t>ТЕРм24-02-066-07</t>
  </si>
  <si>
    <t>Автоклав тупиковый, диаметр 2600 мм, длина 19 м</t>
  </si>
  <si>
    <t>ТЕРм24-02-066-08</t>
  </si>
  <si>
    <t>Автоклав тупиковый, диаметр 3600 мм, длина 27 м</t>
  </si>
  <si>
    <t xml:space="preserve">                                   Оборудование для производства керамических изделий</t>
  </si>
  <si>
    <t>ТЕРм24-02-067-01</t>
  </si>
  <si>
    <t>Устройство глазуровочное</t>
  </si>
  <si>
    <t>ТЕРм24-02-067-02</t>
  </si>
  <si>
    <t>Мельница шаровая мокрого помола, диаметр барабана 1610 мм, длина 1,69 м</t>
  </si>
  <si>
    <t>ТЕРм24-02-067-03</t>
  </si>
  <si>
    <t>Мельница шаровая мокрого помола, диаметр барабана 890 мм, длина 0,81 м</t>
  </si>
  <si>
    <t>ТЕРм24-02-067-04</t>
  </si>
  <si>
    <t>Шпатомойка, производительность 3 т/ч</t>
  </si>
  <si>
    <t>ТЕРм24-02-068-01</t>
  </si>
  <si>
    <t>Дверь подъемная для туннельной печи, ширина канала 2 м</t>
  </si>
  <si>
    <t>ТЕРм24-02-068-02</t>
  </si>
  <si>
    <t>Дверь подъемная для туннельной печи, ширина канала 4,7 м</t>
  </si>
  <si>
    <t>ТЕРм24-02-068-03</t>
  </si>
  <si>
    <t>Дверь подъемная с противовесом для туннельных и камерных сушил, размер проема 980х1480 мм</t>
  </si>
  <si>
    <t>ТЕРм24-02-068-04</t>
  </si>
  <si>
    <t>Дверь подъемная с противовесом для туннельных и камерных сушил, размер проема 1300х1800 мм</t>
  </si>
  <si>
    <t>ТЕРм24-02-068-05</t>
  </si>
  <si>
    <t>Дверь подъемная с электромеханическим приводом для туннельных и камерных сушил, размер проема 1300х1800 мм</t>
  </si>
  <si>
    <t>ТЕРм24-02-068-06</t>
  </si>
  <si>
    <t>Дверь подъемная с электромеханическим приводом для туннельных и камерных сушил, размер проема 6600х3120 мм</t>
  </si>
  <si>
    <t xml:space="preserve">                                   Раздел 6. ОБОРУДОВАНИЕ ДЛЯ ПРОИЗВОДСТВА ГИПСА И ГИПСОВЫХ ИЗДЕЛИЙ</t>
  </si>
  <si>
    <t xml:space="preserve">                                   Гипсоварочные котлы и гипсопрокатные установки</t>
  </si>
  <si>
    <t>ТЕРм24-02-078-01</t>
  </si>
  <si>
    <t>Котел гипсоварочный, вместимость 15,2 м3</t>
  </si>
  <si>
    <t>ТЕРм24-02-078-02</t>
  </si>
  <si>
    <t>Комплект оборудования гипсопрокатной установки, производительность 264 м2/ч</t>
  </si>
  <si>
    <t>ТЕРм24-02-078-03</t>
  </si>
  <si>
    <t>Комплект оборудования гипсопрокатной установки, производительность 264 м2/ч, в том числе стол приемный</t>
  </si>
  <si>
    <t>ТЕРм24-02-078-04</t>
  </si>
  <si>
    <t>Комплект оборудования гипсопрокатной установки, производительность 264 м2/ч, в том числе стан прокатный</t>
  </si>
  <si>
    <t>ТЕРм24-02-078-05</t>
  </si>
  <si>
    <t>Комплект оборудования гипсопрокатной установки, производительность 264 м2/ч, в том числе установка гипсобетономешалки</t>
  </si>
  <si>
    <t>ТЕРм24-02-078-06</t>
  </si>
  <si>
    <t>Комплект оборудования гипсопрокатной установки, производительность 264 м2/ч, в том числе рольганг</t>
  </si>
  <si>
    <t>ТЕРм24-02-078-07</t>
  </si>
  <si>
    <t>Комплект оборудования гипсопрокатной установки, производительность 264 м2/ч, в том числе кантователь, грузоподъемность 4 т</t>
  </si>
  <si>
    <t>ТЕРм24-02-078-08</t>
  </si>
  <si>
    <t>Комплект оборудования гипсопрокатной установки, производительность 264 м2/ч, в том числе установка возврата отходов</t>
  </si>
  <si>
    <t>ТЕРм24-02-078-09</t>
  </si>
  <si>
    <t>Комплект оборудования гипсопрокатной установки, производительность 264 м2/ч, в том числе отделение дозировочное</t>
  </si>
  <si>
    <t>ТЕРм24-02-078-10</t>
  </si>
  <si>
    <t>Комплект оборудования гипсопрокатной установки, производительность 264 м2/ч, в том числе отделение вододозировочное</t>
  </si>
  <si>
    <t xml:space="preserve">                                   Раздел 7. ОБОРУДОВАНИЕ ДЛЯ ПРОИЗВОДСТВА ШЛАКОБЛОКОВ</t>
  </si>
  <si>
    <t xml:space="preserve">                                   Оборудование для производства шлакоблоков</t>
  </si>
  <si>
    <t>ТЕРм24-02-085-01</t>
  </si>
  <si>
    <t>Станок вибрационный для шлакоблоков, производительность 160 шт/ч</t>
  </si>
  <si>
    <t>ТЕРм24-02-085-02</t>
  </si>
  <si>
    <t>Станок вибрационный для шлакоблоков, производительность 360 шт/ч</t>
  </si>
  <si>
    <t>ТЕРм24-02-085-03</t>
  </si>
  <si>
    <t>Станок вибрационный для шлакоблоков, производительность 700 шт/ч</t>
  </si>
  <si>
    <t>ТЕРм24-02-085-04</t>
  </si>
  <si>
    <t>Станок-автомат для изготовления шлакобетонных камней, производительность 600 шт/ч</t>
  </si>
  <si>
    <t>ТЕРм24-02-085-05</t>
  </si>
  <si>
    <t>Съемник камней пневматический, грузоподъемность 60 кг</t>
  </si>
  <si>
    <t>ТЕРм24-02-085-06</t>
  </si>
  <si>
    <t>Съемник камней пневматический, грузоподъемность 80 кг</t>
  </si>
  <si>
    <t xml:space="preserve">                                   Раздел 9. ОБОРУДОВАНИЕ ДЛЯ ДОБЫЧИ И ОБРАБОТКИ ОБЛИЦОВОЧНОГО КАМНЯ</t>
  </si>
  <si>
    <t xml:space="preserve">                                   Камнерезные машины</t>
  </si>
  <si>
    <t>ТЕРм24-02-090-01</t>
  </si>
  <si>
    <t>Машина камнерезная баровая для выпиливания стеновых камней или блоков из массива горных пород, производительность 1,6 м3/ч, для подземных разработок</t>
  </si>
  <si>
    <t>ТЕРм24-02-090-02</t>
  </si>
  <si>
    <t>Машина камнерезная баровая для выпиливания стеновых камней или блоков из массива горных пород, производительность 4,6 м3/ч, для разработок открытым способом</t>
  </si>
  <si>
    <t>ТЕРм24-02-090-03</t>
  </si>
  <si>
    <t>Машина камнерезная для выпиливания стеновых камней или блоков, производительность 2 м3/ч, в подземных разработках, дисковая</t>
  </si>
  <si>
    <t>ТЕРм24-02-090-04</t>
  </si>
  <si>
    <t>Машина камнерезная для выпиливания стеновых камней или блоков, производительность 4,1 м3/ч, планировочная</t>
  </si>
  <si>
    <t>ТЕРм24-02-090-05</t>
  </si>
  <si>
    <t>Машина камнерезная для выпиливания стеновых камней или блоков, производительность 4 м3/ч, крупноблочная</t>
  </si>
  <si>
    <t>ТЕРм24-02-090-06</t>
  </si>
  <si>
    <t>Машина камнерезная для выпиливания стеновых камней или блоков, производительность 6,1 м3/ч, крупноблочная</t>
  </si>
  <si>
    <t>ТЕРм24-02-090-07</t>
  </si>
  <si>
    <t>Машина камнерезная алмазно-канатная для вырезки и пассировки крупных монолитов стенового камня, производительность до 8,87 м3/ч</t>
  </si>
  <si>
    <t xml:space="preserve">                                   Распиловочные и раскройные станки</t>
  </si>
  <si>
    <t>ТЕРм24-02-091-01</t>
  </si>
  <si>
    <t>Станок окантовочный для окантовки плит, производительность 2 м2/ч</t>
  </si>
  <si>
    <t>ТЕРм24-02-091-02</t>
  </si>
  <si>
    <t>Станок окантовочный для окантовки плит, производительность 12 м2/ч</t>
  </si>
  <si>
    <t>ТЕРм24-02-091-03</t>
  </si>
  <si>
    <t>Станок окантовочный для окантовки плит, производительность 19 м2/ч</t>
  </si>
  <si>
    <t>ТЕРм24-02-091-04</t>
  </si>
  <si>
    <t>Станок окантовочный для окантовки плит, производительность 86 м2/ч</t>
  </si>
  <si>
    <t>ТЕРм24-02-091-05</t>
  </si>
  <si>
    <t>Станок распиловочный для распиловки блоков и заготовок на облицовочные плиты, производительность 85 м2/ч, семидисковый</t>
  </si>
  <si>
    <t>ТЕРм24-02-091-06</t>
  </si>
  <si>
    <t>Станок распиловочный для распиловки блоков и заготовок на облицовочные плиты, производительность 202 м2/ч, многопильный</t>
  </si>
  <si>
    <t>ТЕРм24-02-091-07</t>
  </si>
  <si>
    <t>Станок распиловочный для распиловки блоков и заготовок на облицовочные плиты, производительность 32 м2/ч, с алмазными дисками</t>
  </si>
  <si>
    <t>ТЕРм24-02-091-08</t>
  </si>
  <si>
    <t>Станок распиловочный для распиловки блоков и заготовок на облицовочные плиты, производительность до 40 м2/ч</t>
  </si>
  <si>
    <t>ТЕРм24-02-091-09</t>
  </si>
  <si>
    <t>Станок распиловочный для распиловки блоков облицовочного камня алмазными штрипсами, производительность 27 м2/ч</t>
  </si>
  <si>
    <t>ТЕРм24-02-091-10</t>
  </si>
  <si>
    <t>Станок распиловочный для распиловки блоков облицовочного камня алмазными штрипсами, производительность 8,3 м2/ч</t>
  </si>
  <si>
    <t>ТЕРм24-02-091-11</t>
  </si>
  <si>
    <t>Станок камнеотрезной универсальный, производительность до 10,8 м2/ч</t>
  </si>
  <si>
    <t xml:space="preserve">                                   Фрезерные станки</t>
  </si>
  <si>
    <t>ТЕРм24-02-092-01</t>
  </si>
  <si>
    <t>Станок фрезерный для обработки грубоколотых камней из туфа и других пород, производительность 17 м2/ч, туфофрезерный</t>
  </si>
  <si>
    <t>ТЕРм24-02-092-02</t>
  </si>
  <si>
    <t>Станок фрезерный для обработки грубоколотых камней из туфа и других пород, производительность 2,9 м2/ч, камнефрезерный</t>
  </si>
  <si>
    <t>ТЕРм24-02-092-03</t>
  </si>
  <si>
    <t>Станок фрезерный для раскроя и окантовки плит, обработки фигурных изделий из природного камня, производительность 17,5 м2/ч</t>
  </si>
  <si>
    <t xml:space="preserve">                                   Шлифовальные станки</t>
  </si>
  <si>
    <t>ТЕРм24-02-093-01</t>
  </si>
  <si>
    <t>Станок шлифовальный коленно-рычажный, производительность 1,7 м2/ч</t>
  </si>
  <si>
    <t>ТЕРм24-02-093-02</t>
  </si>
  <si>
    <t>Станок шлифовальный коленно-рычажный, производительность 1,4 м2/ч</t>
  </si>
  <si>
    <t>ТЕРм24-02-093-03</t>
  </si>
  <si>
    <t>Конвейер шлифовально-полировальный для обработки облицовочных плит из камня декоративных пород, производительность 7,2 м2/ч</t>
  </si>
  <si>
    <t>ТЕРм24-02-093-04</t>
  </si>
  <si>
    <t>Конвейер шлифовально-полировальный для обработки облицовочных плит из камня декоративных пород, производительность 25 м2/ч</t>
  </si>
  <si>
    <t xml:space="preserve">                                   Технологические поточные линии</t>
  </si>
  <si>
    <t>ТЕРм24-02-094-01</t>
  </si>
  <si>
    <t>Линия поточная для распиловки, окантовки и упаковки облицовочных плит, производительность 200 тыс. м2 плит в год</t>
  </si>
  <si>
    <t>ТЕРм24-02-095-01</t>
  </si>
  <si>
    <t>Установка гидроклиновая для отделения блоков природного камня от массива, а также для дробления негабарита в карьерах</t>
  </si>
  <si>
    <t xml:space="preserve">                                   Раздел 9. ОБОРУДОВАНИЕ ДЛЯ ПРОИЗВОДСТВА АГЛОПОРИТА</t>
  </si>
  <si>
    <t xml:space="preserve">                                   Оборудование для производства аглопорита</t>
  </si>
  <si>
    <t>ТЕРм24-02-105-01</t>
  </si>
  <si>
    <t>Шихтосмеситель</t>
  </si>
  <si>
    <t>ТЕРм24-02-105-02</t>
  </si>
  <si>
    <t>Гранулятор барабанный</t>
  </si>
  <si>
    <t>ТЕРм24-02-105-03</t>
  </si>
  <si>
    <t>Дробилка первичного дробления, марка СМ-962</t>
  </si>
  <si>
    <t>ТЕРм24-02-105-04</t>
  </si>
  <si>
    <t>Машина агломерационная, марка СМ-961</t>
  </si>
  <si>
    <t xml:space="preserve">                                   Раздел 10. ОБОРУДОВАНИЕ ДЛЯ ПРОИЗВОДСТВА ПРЕДМЕТОВ ОТОПИТЕЛЬНЫХ И САНИТАРНО-ТЕХНИЧЕСКИХ УСТРОЙСТВ</t>
  </si>
  <si>
    <t xml:space="preserve">                                   Оборудование для изготовления секций радиаторов и котлов</t>
  </si>
  <si>
    <t>ТЕРм24-02-110-01</t>
  </si>
  <si>
    <t>Устройство для разгрузки секций радиаторов с подвесного конвейера</t>
  </si>
  <si>
    <t>ТЕРм24-02-111-01</t>
  </si>
  <si>
    <t>Механизм подъема заслонки</t>
  </si>
  <si>
    <t>ТЕРм24-02-111-02</t>
  </si>
  <si>
    <t>Плужок двухсторонний с пневмоприводом</t>
  </si>
  <si>
    <t>ТЕРм24-02-111-03</t>
  </si>
  <si>
    <t>Рольганг приводной</t>
  </si>
  <si>
    <t>ТЕРм24-02-111-04</t>
  </si>
  <si>
    <t>Устройство для окунания труб в битум</t>
  </si>
  <si>
    <t>ТЕРм24-02-111-05</t>
  </si>
  <si>
    <t>Камера стока битума</t>
  </si>
  <si>
    <t>ТЕРм24-02-111-06</t>
  </si>
  <si>
    <t>Автооператор</t>
  </si>
  <si>
    <t>ТЕРм24-02-111-07</t>
  </si>
  <si>
    <t>Вращатель ванн</t>
  </si>
  <si>
    <t>ТЕРм24-02-111-08</t>
  </si>
  <si>
    <t>Машина посадочная для ванн</t>
  </si>
  <si>
    <t>ТЕРм24-02-111-09</t>
  </si>
  <si>
    <t>Камера распыления краски</t>
  </si>
  <si>
    <t>ТЕРм24-02-111-10</t>
  </si>
  <si>
    <t>Устройство подъемно-поворотное для навешивания и съема ванн</t>
  </si>
  <si>
    <t>ТЕРм24-02-111-11</t>
  </si>
  <si>
    <t>Вагранка, производительность 20 т/ч</t>
  </si>
  <si>
    <t xml:space="preserve">                                   Раздел 11. ОБОРУДОВАНИЕ ДЛЯ ПРОИЗВОДСТВА ЖЕЛЕЗОБЕТОННЫХ ИЗДЕЛИЙ</t>
  </si>
  <si>
    <t xml:space="preserve">                                   Приводы, транспортные линии и кантователи</t>
  </si>
  <si>
    <t>ТЕРм24-02-115-01</t>
  </si>
  <si>
    <t>Привод для перемещения форм по постам технологического потока, количество перемещаемых форм 5</t>
  </si>
  <si>
    <t>ТЕРм24-02-115-02</t>
  </si>
  <si>
    <t>Кантователь для поворота форм для труб</t>
  </si>
  <si>
    <t>ТЕРм24-02-115-03</t>
  </si>
  <si>
    <t>Кантователь для механизированного поворота изделий из наклонного в горизонтальное положение, грузоподъемность 13 т</t>
  </si>
  <si>
    <t>ТЕРм24-02-115-04</t>
  </si>
  <si>
    <t>Кантователь для поворота форм с изделиями в наклонное положение, грузоподъемность 20 т</t>
  </si>
  <si>
    <t>ТЕРм24-02-115-05</t>
  </si>
  <si>
    <t>Кантователь для механизированного поворота железобетонных изделий из наклонного положения в горизонтальное, а также из горизонтального положения на 180 град.</t>
  </si>
  <si>
    <t>ТЕРм24-02-115-06</t>
  </si>
  <si>
    <t>Устройство передаточное для поперечного перемещения форм на двухъярусном стане</t>
  </si>
  <si>
    <t>ТЕРм24-02-115-07</t>
  </si>
  <si>
    <t>Подъемник для подъема и опускания передаточной тележки</t>
  </si>
  <si>
    <t>ТЕРм24-02-115-08</t>
  </si>
  <si>
    <t>Установка для вращения форм для труб</t>
  </si>
  <si>
    <t>ТЕРм24-02-115-09</t>
  </si>
  <si>
    <t>Линия транспортная для перемещения по технологическим постам отделки панелей, количество постов 5</t>
  </si>
  <si>
    <t>ТЕРм24-02-115-10</t>
  </si>
  <si>
    <t>Линия транспортная для перемещения по технологическим постам отделки панелей, количество постов 7</t>
  </si>
  <si>
    <t>ТЕРм24-02-115-11</t>
  </si>
  <si>
    <t>Линия транспортная для перемещения по технологическим постам отделки сантехкабин, количество постов 8</t>
  </si>
  <si>
    <t>ТЕРм24-02-115-12</t>
  </si>
  <si>
    <t>Линия транспортная для перемещения по технологическим постам отделки сантехкабин, количество постов 11</t>
  </si>
  <si>
    <t>ТЕРм24-02-115-13</t>
  </si>
  <si>
    <t>Линия транспортная для перемещения по технологическим постам отделки сантехкабин, количество постов 14</t>
  </si>
  <si>
    <t>ТЕРм24-02-115-14</t>
  </si>
  <si>
    <t>Линия транспортная для перемещения по технологическим постам отделки сантехкабин, количество постов 16</t>
  </si>
  <si>
    <t>ТЕРм24-02-115-15</t>
  </si>
  <si>
    <t>Линия транспортная для перемещения по технологическим постам отделки сантехкабин, количество постов 20</t>
  </si>
  <si>
    <t xml:space="preserve">                                   Вибромашины</t>
  </si>
  <si>
    <t>ТЕРм24-02-116-01</t>
  </si>
  <si>
    <t>Виброплощадка, грузоподъемность 10 т</t>
  </si>
  <si>
    <t>ТЕРм24-02-116-02</t>
  </si>
  <si>
    <t>Виброплощадка, грузоподъемность 15 т</t>
  </si>
  <si>
    <t>ТЕРм24-02-116-03</t>
  </si>
  <si>
    <t>Виброплощадка, грузоподъемность 18 т</t>
  </si>
  <si>
    <t>ТЕРм24-02-116-04</t>
  </si>
  <si>
    <t>Виброплощадка, грузоподъемность 20 т</t>
  </si>
  <si>
    <t>ТЕРм24-02-116-05</t>
  </si>
  <si>
    <t>Виброплощадка, грузоподъемность 30 т</t>
  </si>
  <si>
    <t xml:space="preserve">                                   Оборудование для изготовления каркасов из арматурной стали</t>
  </si>
  <si>
    <t>ТЕРм24-02-117-01</t>
  </si>
  <si>
    <t>Установка для перемотки проволоки с заводских бухт на специальную катушку</t>
  </si>
  <si>
    <t>ТЕРм24-02-117-02</t>
  </si>
  <si>
    <t>Машина для упрочнения стержней методом вытяжки, длина стержней 6 м</t>
  </si>
  <si>
    <t>ТЕРм24-02-117-03</t>
  </si>
  <si>
    <t>Машина для упрочнения стержней методом вытяжки, длина стержней 12 м</t>
  </si>
  <si>
    <t>ТЕРм24-02-117-04</t>
  </si>
  <si>
    <t>Машина для упрочнения стержней методом вытяжки, длина стержней 18 м</t>
  </si>
  <si>
    <t>ТЕРм24-02-117-05</t>
  </si>
  <si>
    <t>Машина для упрочнения стержней методом вытяжки, длина стержней 24 м</t>
  </si>
  <si>
    <t>ТЕРм24-02-117-06</t>
  </si>
  <si>
    <t>Установка для правки и резки арматурной стали</t>
  </si>
  <si>
    <t>ТЕРм24-02-117-07</t>
  </si>
  <si>
    <t>Станок для изготовления арматурных каркасов методом гибки плоских сеток головная секция</t>
  </si>
  <si>
    <t>ТЕРм24-02-117-08</t>
  </si>
  <si>
    <t>Станок для изготовления арматурных каркасов методом гибки плоских сеток дополнительная секция</t>
  </si>
  <si>
    <t>ТЕРм24-02-117-09</t>
  </si>
  <si>
    <t>Станок для гибки арматурной стали до 80 мм</t>
  </si>
  <si>
    <t>ТЕРм24-02-117-10</t>
  </si>
  <si>
    <t>Станок для изготовления спиральных каркасов для напорных железобетонных труб</t>
  </si>
  <si>
    <t>ТЕРм24-02-117-11</t>
  </si>
  <si>
    <t>Установка для штамповки полос</t>
  </si>
  <si>
    <t>ТЕРм24-02-117-12</t>
  </si>
  <si>
    <t>Установка для удлинения арматурных стержней методом электронагрева</t>
  </si>
  <si>
    <t>ТЕРм24-02-117-13</t>
  </si>
  <si>
    <t>Машина для высадки анкеров на стержневой арматуре</t>
  </si>
  <si>
    <t>ТЕРм24-02-117-14</t>
  </si>
  <si>
    <t>Комплект оборудования для изготовления арматурных сеток железобетонных изделий шириной до 800 мм бухтодержатель</t>
  </si>
  <si>
    <t>ТЕРм24-02-117-15</t>
  </si>
  <si>
    <t>Комплект оборудования для изготовления арматурных сеток железобетонных изделий шириной до 800 мм устройство правильное</t>
  </si>
  <si>
    <t>ТЕРм24-02-117-16</t>
  </si>
  <si>
    <t>Комплект оборудования для изготовления арматурных сеток железобетонных изделий шириной до 800 мм пакетировщик сеток</t>
  </si>
  <si>
    <t>ТЕРм24-02-117-17</t>
  </si>
  <si>
    <t>Комплект оборудования для изготовления арматурных сеток железобетонных изделий шириной до 800 мм механизм досылки сеток</t>
  </si>
  <si>
    <t xml:space="preserve">                                   Оборудование для сварки арматурных каркасов</t>
  </si>
  <si>
    <t>ТЕРм24-02-118-01</t>
  </si>
  <si>
    <t>Машина сварочная точечная многоэлектродная для сварки сеток, ширина до 3800 мм</t>
  </si>
  <si>
    <t>ТЕРм24-02-118-02</t>
  </si>
  <si>
    <t>Установка для сварки стержневых плетей длиной до 12,5 м</t>
  </si>
  <si>
    <t>ТЕРм24-02-118-03</t>
  </si>
  <si>
    <t>Установка для сварки стержневых плетей длиной до 18,5 м</t>
  </si>
  <si>
    <t>ТЕРм24-02-118-04</t>
  </si>
  <si>
    <t>Установка для сварки стержневых плетей длиной до 24,5 м</t>
  </si>
  <si>
    <t>ТЕРм24-02-118-05</t>
  </si>
  <si>
    <t>Установка вертикальная для сварки арматурных каркасов с двумя сварочными машинами</t>
  </si>
  <si>
    <t>ТЕРм24-02-118-06</t>
  </si>
  <si>
    <t>Установка вертикальная для сварки арматурных каркасов с четырьмя сварочными машинами</t>
  </si>
  <si>
    <t>ТЕРм24-02-118-07</t>
  </si>
  <si>
    <t>Установка горизонтальная для сварки арматурных каркасов</t>
  </si>
  <si>
    <t xml:space="preserve">                                   Формовочное оборудование</t>
  </si>
  <si>
    <t>ТЕРм24-02-119-01</t>
  </si>
  <si>
    <t>Машина для распалубки и сборки кассет, с гидроприводом, масса 12,8 т</t>
  </si>
  <si>
    <t>ТЕРм24-02-119-02</t>
  </si>
  <si>
    <t>Машина для распалубки и сборки кассет, с гидроприводом, масса 25,3 т</t>
  </si>
  <si>
    <t>ТЕРм24-02-119-03</t>
  </si>
  <si>
    <t>Портал самоходный с бортоснасткой и виброщитом</t>
  </si>
  <si>
    <t>ТЕРм24-02-119-04</t>
  </si>
  <si>
    <t>Машина формовочная для образования пустот в панелях перекрытия</t>
  </si>
  <si>
    <t>ТЕРм24-02-119-05</t>
  </si>
  <si>
    <t>Станок для изготовления железобетонных колец методом радиального прессования</t>
  </si>
  <si>
    <t>ТЕРм24-02-119-06</t>
  </si>
  <si>
    <t>Станок для изготовления безнапорных труб методом радиального прессования, диаметр 300-600 мм</t>
  </si>
  <si>
    <t>ТЕРм24-02-119-07</t>
  </si>
  <si>
    <t>Станок для изготовления безнапорных труб методом радиального прессования, диаметр 800-1200 мм</t>
  </si>
  <si>
    <t>ТЕРм24-02-119-08</t>
  </si>
  <si>
    <t>Установка для формования сантехкабин</t>
  </si>
  <si>
    <t>ТЕРм24-02-119-09</t>
  </si>
  <si>
    <t>Установка для формования шахт лифтов</t>
  </si>
  <si>
    <t>ТЕРм24-02-119-10</t>
  </si>
  <si>
    <t>Установка для формования вентиляционных блоков</t>
  </si>
  <si>
    <t xml:space="preserve">                                   Оборудование для испытания</t>
  </si>
  <si>
    <t>ТЕРм24-02-120-01</t>
  </si>
  <si>
    <t>Установка для гидроиспытания железобетонных труб безнапорных, диаметром 300-1400 мм</t>
  </si>
  <si>
    <t>ТЕРм24-02-120-02</t>
  </si>
  <si>
    <t>Установка для гидроиспытания железобетонных труб напорных, диаметром 1400; 1600 мм</t>
  </si>
  <si>
    <t>ТЕРм24-02-120-03</t>
  </si>
  <si>
    <t>Установка для гидроиспытания труб диаметром 500-1200 мм</t>
  </si>
  <si>
    <t xml:space="preserve">                                   Оборудование для заводской отделки панелей объемных блоков</t>
  </si>
  <si>
    <t>ТЕРм24-02-121-01</t>
  </si>
  <si>
    <t>Машина для шлифовки раструбов</t>
  </si>
  <si>
    <t>ТЕРм24-02-121-02</t>
  </si>
  <si>
    <t>Машина шпаклевочная</t>
  </si>
  <si>
    <t>ТЕРм24-02-121-03</t>
  </si>
  <si>
    <t>Машина отделочная</t>
  </si>
  <si>
    <t>ТЕРм24-02-121-04</t>
  </si>
  <si>
    <t>Машина моечная</t>
  </si>
  <si>
    <t>ТЕРм24-02-121-05</t>
  </si>
  <si>
    <t>Машина для окраски</t>
  </si>
  <si>
    <t>ТЕРм24-02-121-06</t>
  </si>
  <si>
    <t>Установка для нанесения грунта</t>
  </si>
  <si>
    <t>ТЕРм24-02-121-07</t>
  </si>
  <si>
    <t>Устройство для сушки панелей</t>
  </si>
  <si>
    <t xml:space="preserve">                                   Поворотные воронки и желоба</t>
  </si>
  <si>
    <t>ТЕРм24-02-122-01</t>
  </si>
  <si>
    <t>Воронка поворотная приводная</t>
  </si>
  <si>
    <t>ТЕРм24-02-122-02</t>
  </si>
  <si>
    <t>Желоб поворотный приводной</t>
  </si>
  <si>
    <t xml:space="preserve">                                   Автоматические захваты и траверсы</t>
  </si>
  <si>
    <t>ТЕРм24-02-123-01</t>
  </si>
  <si>
    <t>Захват автоматический, масса 0,74 т</t>
  </si>
  <si>
    <t>ТЕРм24-02-123-02</t>
  </si>
  <si>
    <t>Захват автоматический, масса 1,5 т</t>
  </si>
  <si>
    <t>ТЕРм24-02-123-03</t>
  </si>
  <si>
    <t>Траверса, грузоподъемность 5 т</t>
  </si>
  <si>
    <t>ТЕРм24-02-123-04</t>
  </si>
  <si>
    <t>Траверса, грузоподъемность 10 т</t>
  </si>
  <si>
    <t>ТЕРм24-02-123-05</t>
  </si>
  <si>
    <t>Траверса, грузоподъемность 12 т</t>
  </si>
  <si>
    <t>ТЕРм24-02-123-06</t>
  </si>
  <si>
    <t>Траверса, грузоподъемность 25 т</t>
  </si>
  <si>
    <t xml:space="preserve">                                   Формы</t>
  </si>
  <si>
    <t>ТЕРм24-02-124-01</t>
  </si>
  <si>
    <t>Форма для изготовления железобетонных изделий негабаритная, переналаживаемая</t>
  </si>
  <si>
    <t>ТЕРм24-02-124-02</t>
  </si>
  <si>
    <t>Форма для изготовления железобетонных изделий стендовая</t>
  </si>
  <si>
    <t>ТЕРм24-02-125-01</t>
  </si>
  <si>
    <t>Обрушитель сводов песка</t>
  </si>
  <si>
    <t>ТЕРм24-02-125-02</t>
  </si>
  <si>
    <t>Пакетировщик для удержания форм с изменениями в ямных камерах, количество этажей 5</t>
  </si>
  <si>
    <t>ТЕРм24-02-125-03</t>
  </si>
  <si>
    <t>Пакетировщик для удержания форм с изменениями в ямных камерах, количество этажей 7</t>
  </si>
  <si>
    <t>ТЕРм24-02-125-04</t>
  </si>
  <si>
    <t>Устройство для открывания и закрывания бортов</t>
  </si>
  <si>
    <t>ТЕРм24-02-125-05</t>
  </si>
  <si>
    <t>Оборудование для щелевых камер</t>
  </si>
  <si>
    <t>ТЕРм24-02-125-06</t>
  </si>
  <si>
    <t>Установка для приготовления эмульсионной смазки</t>
  </si>
  <si>
    <t xml:space="preserve">                                   Раздел 12. ОБОРУДОВАНИЕ ДЛЯ ПРОИЗВОДСТВА ИЗДЕЛИЙ ИЗ ЯЧЕИСТОГО БЕТОНА</t>
  </si>
  <si>
    <t xml:space="preserve">                                   Оборудование для производства изделий из ячеистого бетона</t>
  </si>
  <si>
    <t>ТЕРм24-02-135-01</t>
  </si>
  <si>
    <t>Виброгазобетономешалка</t>
  </si>
  <si>
    <t>ТЕРм24-02-135-02</t>
  </si>
  <si>
    <t>Мост электропередаточный</t>
  </si>
  <si>
    <t>ТЕРм24-02-135-03</t>
  </si>
  <si>
    <t>Тележка автоклавная</t>
  </si>
  <si>
    <t>ТЕРм24-02-135-04</t>
  </si>
  <si>
    <t>Площадка ударная</t>
  </si>
  <si>
    <t xml:space="preserve">                                   Раздел 13. ОБОРУДОВАНИЕ ДЛЯ ПРОИЗВОДСТВА ИЗВЕСТИ</t>
  </si>
  <si>
    <t xml:space="preserve">                                   Механизмы загрузки печей</t>
  </si>
  <si>
    <t>ТЕРм24-02-140-01</t>
  </si>
  <si>
    <t>Устройство загрузочное известеобжигательных печей, производительность 50 т/сут</t>
  </si>
  <si>
    <t>ТЕРм24-02-140-02</t>
  </si>
  <si>
    <t>Устройство загрузочное известеобжигательных печей, производительность 100 т/сут</t>
  </si>
  <si>
    <t>ТЕРм24-02-140-03</t>
  </si>
  <si>
    <t>Устройство загрузочное известеобжигательных печей, производительность 200 т/сут</t>
  </si>
  <si>
    <t>ТЕРм24-02-140-04</t>
  </si>
  <si>
    <t>Устройство загрузочное бесповоротной чаши и отбойного панциря известеобжигательных печей, производительность 500 т/сут</t>
  </si>
  <si>
    <t xml:space="preserve">                                   Механизмы выгрузки печей</t>
  </si>
  <si>
    <t>ТЕРм24-02-141-01</t>
  </si>
  <si>
    <t>Устройство выгрузочное кареточного типа известеобжигательных печей, производительность 50 т/сут</t>
  </si>
  <si>
    <t>ТЕРм24-02-141-02</t>
  </si>
  <si>
    <t>Устройство выгрузочное кареточного типа известеобжигательных печей, производительность 100 т/сут</t>
  </si>
  <si>
    <t>ТЕРм24-02-141-03</t>
  </si>
  <si>
    <t>Устройство выгрузочное кареточного типа известеобжигательных печей, производительность 200 т/сут</t>
  </si>
  <si>
    <t>ТЕРм24-02-141-04</t>
  </si>
  <si>
    <t>Устройство выгрузочное кареточного типа известеобжигательных печей, производительность 500 т/сут</t>
  </si>
  <si>
    <t xml:space="preserve">                                   Шлюзовые и барабанные затворы</t>
  </si>
  <si>
    <t>ТЕРм24-02-142-01</t>
  </si>
  <si>
    <t>Затвор шлюзовый к выгрузочным устройствам известеобжигательных печей, производительность 50-200 т/сут</t>
  </si>
  <si>
    <t>ТЕРм24-02-142-02</t>
  </si>
  <si>
    <t>Затвор шлюзовый к выгрузочным устройствам известеобжигательных печей, производительность 500 т/сут</t>
  </si>
  <si>
    <t>ТЕРм24-02-142-03</t>
  </si>
  <si>
    <t>Затвор барабанного типа к выгрузочным устройствам шахтных печей, производительность 50-200 т/сут</t>
  </si>
  <si>
    <t xml:space="preserve">                                   Клапаны, шиберы, заслонки</t>
  </si>
  <si>
    <t>ТЕРм24-02-143-01</t>
  </si>
  <si>
    <t>Клапан взрывной предохранительный, диаметр 800 мм</t>
  </si>
  <si>
    <t>ТЕРм24-02-143-02</t>
  </si>
  <si>
    <t>Шибер поворотный автоматический, диаметр 500 мм</t>
  </si>
  <si>
    <t>ТЕРм24-02-143-03</t>
  </si>
  <si>
    <t>Шибер поворотный автоматический, диаметр 800 мм</t>
  </si>
  <si>
    <t>ТЕРм24-02-143-04</t>
  </si>
  <si>
    <t>Шибер поворотный автоматический, диаметр 1000 мм</t>
  </si>
  <si>
    <t>ТЕРм24-02-143-05</t>
  </si>
  <si>
    <t>Шибер поворотный автоматический, диаметр 1200 мм</t>
  </si>
  <si>
    <t>ТЕРм24-02-143-06</t>
  </si>
  <si>
    <t>Шибер поворотный автоматический, диаметр 1500 мм</t>
  </si>
  <si>
    <t>ТЕРм24-02-143-07</t>
  </si>
  <si>
    <t>Заслонка дроссельная поворотная, диаметр 500 мм</t>
  </si>
  <si>
    <t>ТЕРм24-02-143-08</t>
  </si>
  <si>
    <t>Заслонка дроссельная поворотная, диаметр 700 мм</t>
  </si>
  <si>
    <t>ТЕРм24-02-143-09</t>
  </si>
  <si>
    <t>Заслонка дроссельная поворотная, диаметр 1000 мм</t>
  </si>
  <si>
    <t>ТЕРм24-02-143-10</t>
  </si>
  <si>
    <t>Заслонка дроссельная поворотная, диаметр 1200 мм</t>
  </si>
  <si>
    <t xml:space="preserve">                                   Раздел 14. ОБОРУДОВАНИЕ ДЛЯ ОБРАБОТКИ СЛЮДЫ И СЛЮДНОЙ ПУЛЬПЫ</t>
  </si>
  <si>
    <t xml:space="preserve">                                   Оборудование для обработки слюды</t>
  </si>
  <si>
    <t>ТЕРм24-02-148-01</t>
  </si>
  <si>
    <t>Машина для производства рулонного слюдопласта шириной 940 мм</t>
  </si>
  <si>
    <t>ТЕРм24-02-148-02</t>
  </si>
  <si>
    <t>Станок прокатный многовалковый</t>
  </si>
  <si>
    <t>ТЕРм24-02-148-03</t>
  </si>
  <si>
    <t>Машина моечная непрерывного действия</t>
  </si>
  <si>
    <t>ТЕРм24-02-148-04</t>
  </si>
  <si>
    <t>Машина ударная</t>
  </si>
  <si>
    <t>ТЕРм24-02-148-05</t>
  </si>
  <si>
    <t>Машина универсальная для производства электроизоляционных материалов</t>
  </si>
  <si>
    <t>ТЕРм24-02-148-06</t>
  </si>
  <si>
    <t>Мельница роторная быстроходная, диаметр 430 мм</t>
  </si>
  <si>
    <t>ТЕРм24-02-148-07</t>
  </si>
  <si>
    <t>Мельница роторная быстроходная, диаметр 750 мм</t>
  </si>
  <si>
    <t>ТЕРм24-02-148-08</t>
  </si>
  <si>
    <t>Классификатор вихревой циркуляционный, масса 0,99 т</t>
  </si>
  <si>
    <t>ТЕРм24-02-148-09</t>
  </si>
  <si>
    <t>Классификатор вихревой циркуляционный, масса 3,78 т</t>
  </si>
  <si>
    <t>ТЕРм24-02-148-10</t>
  </si>
  <si>
    <t>Бункер-накопитель</t>
  </si>
  <si>
    <t>ТЕРм24-02-148-11</t>
  </si>
  <si>
    <t>Диспергатор обойной слюды</t>
  </si>
  <si>
    <t>ТЕРм24-02-148-12</t>
  </si>
  <si>
    <t>Диспергатор комков слюды после сушила</t>
  </si>
  <si>
    <t>ТЕРм24-02-148-13</t>
  </si>
  <si>
    <t>Разгрузчик-смеситель</t>
  </si>
  <si>
    <t>ТЕРм24-02-148-14</t>
  </si>
  <si>
    <t>Сепаратор барабанный вакуумный</t>
  </si>
  <si>
    <t>ТЕРм24-02-148-15</t>
  </si>
  <si>
    <t>Дезинтегратор центробежный вертикальный</t>
  </si>
  <si>
    <t>ТЕРм24-02-148-16</t>
  </si>
  <si>
    <t>Грохот барабанный спирально-щелевой</t>
  </si>
  <si>
    <t xml:space="preserve">                                   Оборудование для обработки слюдяной пульпы</t>
  </si>
  <si>
    <t>ТЕРм24-02-149-01</t>
  </si>
  <si>
    <t>Бассейн мешальный</t>
  </si>
  <si>
    <t>ТЕРм24-02-149-02</t>
  </si>
  <si>
    <t>Сгуститель цилиндрический</t>
  </si>
  <si>
    <t>ТЕРм24-02-149-03</t>
  </si>
  <si>
    <t>Сгуститель-накопитель</t>
  </si>
  <si>
    <t>ТЕРм24-02-149-04</t>
  </si>
  <si>
    <t>Классификатор гидравлический</t>
  </si>
  <si>
    <t>ТЕРм24-02-149-05</t>
  </si>
  <si>
    <t>Дезинтегратор</t>
  </si>
  <si>
    <t xml:space="preserve">                                   Раздел 15. ОБОРУДОВАНИЕ ДЛЯ ПРОИЗВОДСТВА ДРЕВЕСНО-СТРУЖЕЧНЫХ ПЛИТ</t>
  </si>
  <si>
    <t xml:space="preserve">                                   Стружечные форматные и круглопильные станки</t>
  </si>
  <si>
    <t>ТЕРм24-02-154-01</t>
  </si>
  <si>
    <t>Станок стружечный, масса 6 т</t>
  </si>
  <si>
    <t>ТЕРм24-02-154-02</t>
  </si>
  <si>
    <t>Станок стружечный, масса 11 т</t>
  </si>
  <si>
    <t>ТЕРм24-02-154-03</t>
  </si>
  <si>
    <t>Станок стружечный, масса 18 т</t>
  </si>
  <si>
    <t>ТЕРм24-02-154-04</t>
  </si>
  <si>
    <t>Станок форматный</t>
  </si>
  <si>
    <t>ТЕРм24-02-154-05</t>
  </si>
  <si>
    <t>Станок круглопильный</t>
  </si>
  <si>
    <t>ТЕРм24-02-155-01</t>
  </si>
  <si>
    <t>Смеситель для стружки и пыли, масса 5 т</t>
  </si>
  <si>
    <t>ТЕРм24-02-155-02</t>
  </si>
  <si>
    <t>Смеситель для стружки и пыли, масса 10 т</t>
  </si>
  <si>
    <t xml:space="preserve">                                   Формирующие машины</t>
  </si>
  <si>
    <t>ТЕРм24-02-156-01</t>
  </si>
  <si>
    <t>Машина формирующая для пыли и стружки</t>
  </si>
  <si>
    <t xml:space="preserve">                                   Рассевы для стружки</t>
  </si>
  <si>
    <t>ТЕРм24-02-157-01</t>
  </si>
  <si>
    <t>Рассев для сортировки стружки, масса 1,5 т</t>
  </si>
  <si>
    <t>ТЕРм24-02-157-02</t>
  </si>
  <si>
    <t>Рассев для сортировки стружки, масса 5 т</t>
  </si>
  <si>
    <t xml:space="preserve">                                   Бункеры</t>
  </si>
  <si>
    <t>ТЕРм24-02-158-01</t>
  </si>
  <si>
    <t>Бункер горизонтальный, с весовым дозатором стружки, масса 14 т</t>
  </si>
  <si>
    <t>ТЕРм24-02-158-02</t>
  </si>
  <si>
    <t>Бункер вертикальный, для стружки и пыли, масса 24 т</t>
  </si>
  <si>
    <t xml:space="preserve">                                   Дробилки</t>
  </si>
  <si>
    <t>ТЕРм24-02-159-01</t>
  </si>
  <si>
    <t>Дробилка молотковая, масса 3 т</t>
  </si>
  <si>
    <t>ТЕРм24-02-159-02</t>
  </si>
  <si>
    <t>Дробилка молотковая, масса 7,5 т</t>
  </si>
  <si>
    <t>ТЕРм24-02-159-03</t>
  </si>
  <si>
    <t>Дробилка молотковая, масса 10 т</t>
  </si>
  <si>
    <t xml:space="preserve">                                   Автоматические линии</t>
  </si>
  <si>
    <t>ТЕРм24-02-160-01</t>
  </si>
  <si>
    <t>Линия автоматическая шлифования плит, марка ДЛШ-50М, масса 83 т</t>
  </si>
  <si>
    <t xml:space="preserve">                                   Раздел 16. ОБОРУДОВАНИЕ ДЛЯ ПРОИЗВОДСТВА АСБЕСТА</t>
  </si>
  <si>
    <t xml:space="preserve">                                   Оборудование для производства асбеста</t>
  </si>
  <si>
    <t>ТЕРм24-02-164-01</t>
  </si>
  <si>
    <t>Распушитель вентиляторный</t>
  </si>
  <si>
    <t>ТЕРм24-02-164-02</t>
  </si>
  <si>
    <t>Распушитель бечевой, со смазочной станцией</t>
  </si>
  <si>
    <t>ТЕРм24-02-164-03</t>
  </si>
  <si>
    <t>Классификатор барабанный</t>
  </si>
  <si>
    <t>ТЕРм-2001-25</t>
  </si>
  <si>
    <t xml:space="preserve">                           Раздел 1. ОТДЕЛ 01. ОБОРУДОВАНИЕ ДЛЯ ПОДГОТОВКИ ДРЕВЕСНОГО СЫРЬЯ К ПЕРЕРАБОТКЕ</t>
  </si>
  <si>
    <t xml:space="preserve">                                   Раздел 1. ОБОРУДОВАНИЕ ДЛЯ ПРИЕМА И РАСПИЛОВКИ ДЛИННОМЕРНОЙ ДРЕВЕСИНЫ</t>
  </si>
  <si>
    <t xml:space="preserve">                                   Устройства для приема и роспуска пучков древесины</t>
  </si>
  <si>
    <t>ТЕРм25-01-001-01</t>
  </si>
  <si>
    <t>Устройство для приема и роспуска пучков древесины</t>
  </si>
  <si>
    <t xml:space="preserve">                                   Устройства для приема и распиловки длинномерной древесины</t>
  </si>
  <si>
    <t>ТЕРм25-01-002-01</t>
  </si>
  <si>
    <t>Устройство для приема и распиловки длинномерной древесины</t>
  </si>
  <si>
    <t xml:space="preserve">                                   Раздел 2. ОБОРУДОВАНИЕ ДЛЯ ПРИЕМА КОРОТЬЯ И КУЧЕУКЛАДЧИКИ</t>
  </si>
  <si>
    <t xml:space="preserve">                                   Питатели для короткометражной древесины автомобильной и железнодорожной поставки</t>
  </si>
  <si>
    <t>ТЕРм25-01-012-01</t>
  </si>
  <si>
    <t>Питатель коротья тарельчатый</t>
  </si>
  <si>
    <t>ТЕРм25-01-012-02</t>
  </si>
  <si>
    <t>Питатель коротья цепной стационарный</t>
  </si>
  <si>
    <t>ТЕРм25-01-012-03</t>
  </si>
  <si>
    <t>Питатель коротья цепной передвижной</t>
  </si>
  <si>
    <t xml:space="preserve">                                   Кучеукладчики</t>
  </si>
  <si>
    <t>ТЕРм25-01-013-01</t>
  </si>
  <si>
    <t>Стакер для формирования и разборки штабелей (куч) баланса</t>
  </si>
  <si>
    <t xml:space="preserve">                                   Раздел 3. ОБОРУДОВАНИЕ ДЛЯ ДРЕВЕСНО-ПОДГОТОВИТЕЛЬНЫХ ЦЕХОВ</t>
  </si>
  <si>
    <t xml:space="preserve">                                   Оборудование для окорки древесины</t>
  </si>
  <si>
    <t>ТЕРм25-01-023-01</t>
  </si>
  <si>
    <t>Барабан корообдирочный секционный</t>
  </si>
  <si>
    <t xml:space="preserve">                                   Машины для рубки балансовой древесины и измельчения щепы</t>
  </si>
  <si>
    <t>ТЕРм25-01-024-01</t>
  </si>
  <si>
    <t>Машина рубительная дисковая, масса до 30 т</t>
  </si>
  <si>
    <t>ТЕРм25-01-024-02</t>
  </si>
  <si>
    <t>Машина рубительная дисковая, масса до 60 т</t>
  </si>
  <si>
    <t xml:space="preserve">                                   Сортировки щепы</t>
  </si>
  <si>
    <t>ТЕРм25-01-025-01</t>
  </si>
  <si>
    <t>Сортировка щепы вибрационная</t>
  </si>
  <si>
    <t>ТЕРм25-01-025-02</t>
  </si>
  <si>
    <t>Сортировка щепы плоская подвесная</t>
  </si>
  <si>
    <t xml:space="preserve">                                   Оборудование для переработки коры</t>
  </si>
  <si>
    <t>ТЕРм25-01-026-01</t>
  </si>
  <si>
    <t>Корорубка роторная ножевая, производительность по коре 12 т/ч</t>
  </si>
  <si>
    <t>ТЕРм25-01-026-02</t>
  </si>
  <si>
    <t>Корорубка роторная ножевая, производительность по коре 25 т/ч</t>
  </si>
  <si>
    <t>ТЕРм25-01-026-03</t>
  </si>
  <si>
    <t>Распределитель коры по прессам</t>
  </si>
  <si>
    <t>ТЕРм25-01-026-04</t>
  </si>
  <si>
    <t>Пресс гидравлический короотжимной поршневой</t>
  </si>
  <si>
    <t xml:space="preserve">                                   Оборудование для отделения и очистки оборотной воды от коры</t>
  </si>
  <si>
    <t>ТЕРм25-01-027-01</t>
  </si>
  <si>
    <t>Конвейер дренирующий для транспортирования и обезвоживания коры</t>
  </si>
  <si>
    <t>ТЕРм25-01-027-02</t>
  </si>
  <si>
    <t>Фильтр барабанный для очистки воды коросодержащих стоков</t>
  </si>
  <si>
    <t xml:space="preserve">                                   Раздел 4. ОБОРУДОВАНИЕ ПНЕВМОТРАНСПОРТА ЩЕПЫ</t>
  </si>
  <si>
    <t xml:space="preserve">                                   Агрегаты нагнетания воздуха</t>
  </si>
  <si>
    <t>ТЕРм25-01-037-01</t>
  </si>
  <si>
    <t>Агрегат нагнетания воздуха</t>
  </si>
  <si>
    <t xml:space="preserve">                                   Питатели роторные</t>
  </si>
  <si>
    <t>ТЕРм25-01-038-01</t>
  </si>
  <si>
    <t>Питатель роторный</t>
  </si>
  <si>
    <t xml:space="preserve">                                   Раздел 5. ОБОРУДОВАНИЕ ОТКРЫТЫХ И ЗАКРЫТЫХ СКЛАДОВ ЩЕПЫ</t>
  </si>
  <si>
    <t xml:space="preserve">                                   Установки бурорыхлительные для разгрузки щепы из вагонов</t>
  </si>
  <si>
    <t>ТЕРм25-01-048-01</t>
  </si>
  <si>
    <t>Установка бурорыхлительная для разгрузки щепы из вагонов</t>
  </si>
  <si>
    <t xml:space="preserve">                                   Разгрузчики щепы из бункеров и силосов</t>
  </si>
  <si>
    <t>ТЕРм25-01-049-01</t>
  </si>
  <si>
    <t>Питатель тарельчатый</t>
  </si>
  <si>
    <t>ТЕРм25-01-049-02</t>
  </si>
  <si>
    <t>Разгрузчик шнековый передвижной</t>
  </si>
  <si>
    <t xml:space="preserve">                                   Устройства для складирования щепы в кучи</t>
  </si>
  <si>
    <t>ТЕРм25-01-050-01</t>
  </si>
  <si>
    <t>Устройство для формирования куч щепы прямоугольных</t>
  </si>
  <si>
    <t>ТЕРм25-01-050-02</t>
  </si>
  <si>
    <t>Устройство для формирования куч щепы кольцевых</t>
  </si>
  <si>
    <t xml:space="preserve">                           Раздел 2. ОТДЕЛ 02. ОБОРУДОВАНИЕ ДЛЯ ПРОИЗВОДСТВА ЦЕЛЛЮЛОЗЫ И ПОЛУЦЕЛЛЮЛОЗЫ</t>
  </si>
  <si>
    <t xml:space="preserve">                                   Раздел 1. ОБОРУДОВАНИЕ ДЛЯ ПЕРИОДИЧЕСКОЙ И НЕПРЕРЫВНОЙ ВАРКИ ЦЕЛЛЮЛОЗЫ</t>
  </si>
  <si>
    <t xml:space="preserve">                                   Котлы варочные периодической варки</t>
  </si>
  <si>
    <t>ТЕРм25-02-001-01</t>
  </si>
  <si>
    <t>Котел варочный для целлюлозы, вместимость до 160 м3</t>
  </si>
  <si>
    <t>ТЕРм25-02-001-02</t>
  </si>
  <si>
    <t>Котел варочный для целлюлозы, вместимость до 320 м3</t>
  </si>
  <si>
    <t xml:space="preserve">                                   Комплектующее оборудование установки непрерывной варки</t>
  </si>
  <si>
    <t>ТЕРм25-02-002-01</t>
  </si>
  <si>
    <t>Питатель низкого давления роторного типа, вместимость до 300 л</t>
  </si>
  <si>
    <t>ТЕРм25-02-002-02</t>
  </si>
  <si>
    <t>Цистерна для пропитки щепы растворами с перемешивающим устройством</t>
  </si>
  <si>
    <t>ТЕРм25-02-002-03</t>
  </si>
  <si>
    <t>Устройство разгрузочное для выпуска массы из варочного котла</t>
  </si>
  <si>
    <t xml:space="preserve">                                   Раздел 2. ОБОРУДОВАНИЕ ДЛЯ ПРИЕМА И ХРАНЕНИЯ ЦЕЛЛЮЛОЗНОЙ МАССЫ</t>
  </si>
  <si>
    <t xml:space="preserve">                                   Бассейны и резервуары для приема массы от варочных котлов</t>
  </si>
  <si>
    <t>ТЕРм25-02-012-01</t>
  </si>
  <si>
    <t>Бассейн вымывной</t>
  </si>
  <si>
    <t>ТЕРм25-02-012-02</t>
  </si>
  <si>
    <t>Резервуар выдувной с перемешивающим устройством</t>
  </si>
  <si>
    <t xml:space="preserve">                                   Раздел 3. ОБОРУДОВАНИЕ ДЛЯ ПРОМЫВКИ ЦЕЛЛЮЛОЗЫ</t>
  </si>
  <si>
    <t xml:space="preserve">                                   Прессы для промывки целлюлозы</t>
  </si>
  <si>
    <t>ТЕРм25-02-022-01</t>
  </si>
  <si>
    <t>Пресс для промывки целлюлозы</t>
  </si>
  <si>
    <t xml:space="preserve">                                   Установки промывочные многоступенчатые</t>
  </si>
  <si>
    <t>ТЕРм25-02-023-01</t>
  </si>
  <si>
    <t>Установка промывочная многоступенчатая</t>
  </si>
  <si>
    <t xml:space="preserve">                                   Фильтры барабанные вакуумные для промывки массы</t>
  </si>
  <si>
    <t>ТЕРм25-02-024-01</t>
  </si>
  <si>
    <t>Фильтр барабанный вакуумный для промывки массы</t>
  </si>
  <si>
    <t xml:space="preserve">                                   Раздел 4. ОБОРУДОВАНИЕ ДЛЯ ОЧИСТКИ И СОРТИРОВАНИЯ ЦЕЛЛЮЛОЗНОЙ МАССЫ</t>
  </si>
  <si>
    <t xml:space="preserve">                                   Оборудование для очистки массы</t>
  </si>
  <si>
    <t>ТЕРм25-02-034-01</t>
  </si>
  <si>
    <t>Сучколовитель вибрационный плоский</t>
  </si>
  <si>
    <t>ТЕРм25-02-034-02</t>
  </si>
  <si>
    <t>Аппарат для очистки массы от металлических включений</t>
  </si>
  <si>
    <t>ТЕРм25-02-034-03</t>
  </si>
  <si>
    <t>Установка вихревых очистителей массы</t>
  </si>
  <si>
    <t xml:space="preserve">                                   Оборудование для сортировки целлюлозы</t>
  </si>
  <si>
    <t>ТЕРм25-02-035-01</t>
  </si>
  <si>
    <t>Сортировка центробежная</t>
  </si>
  <si>
    <t>ТЕРм25-02-035-02</t>
  </si>
  <si>
    <t>Сортировка напорная</t>
  </si>
  <si>
    <t xml:space="preserve">                                   Раздел 5. ОБОРУДОВАНИЕ ДЛЯ ОТБЕЛИВАНИЯ МАССЫ</t>
  </si>
  <si>
    <t xml:space="preserve">                                   Башни отбельные</t>
  </si>
  <si>
    <t>ТЕРм25-02-045-01</t>
  </si>
  <si>
    <t>Башня отбельная, биметаллическая, вместимость до 200 м3</t>
  </si>
  <si>
    <t>ТЕРм25-02-045-02</t>
  </si>
  <si>
    <t>Башня отбельная, биметаллическая, вместимость до 300 м3</t>
  </si>
  <si>
    <t>ТЕРм25-02-045-03</t>
  </si>
  <si>
    <t>Башня отбельная, биметаллическая, вместимость до 400 м3</t>
  </si>
  <si>
    <t>ТЕРм25-02-045-04</t>
  </si>
  <si>
    <t>Башня отбельная, биметаллическая, вместимость до 500 м3</t>
  </si>
  <si>
    <t xml:space="preserve">                                   Гарнитура отбельных башен</t>
  </si>
  <si>
    <t>ТЕРм25-02-046-01</t>
  </si>
  <si>
    <t>Устройство скребковое (шабер перегрузочный)</t>
  </si>
  <si>
    <t>ТЕРм25-02-046-02</t>
  </si>
  <si>
    <t>Мешалка пропеллерная</t>
  </si>
  <si>
    <t xml:space="preserve">                           Раздел 3. ОТДЕЛ 03. ОБОРУДОВАНИЕ ДЛЯ ВЫРАБОТКИ ТЕРМОМЕХАНИЧЕСКОЙ, МАКУЛАТУРНОЙ И ДРЕВЕСНОЙ МАССЫ</t>
  </si>
  <si>
    <t xml:space="preserve">                                   Раздел 1. ОБОРУДОВАНИЕ ДЛЯ ВЫРАБОТКИ ТЕРМОМЕХАНИЧЕСКОЙ МАССЫ</t>
  </si>
  <si>
    <t xml:space="preserve">                                   Оборудование для размола щепы</t>
  </si>
  <si>
    <t>ТЕРм25-03-001-01</t>
  </si>
  <si>
    <t>Мельница дисковая для размола щепы</t>
  </si>
  <si>
    <t xml:space="preserve">                                   Раздел 2. ОБОРУДОВАНИЕ ДЛЯ ВЫРАБОТКИ МАКУЛАТУРНОЙ МАССЫ</t>
  </si>
  <si>
    <t xml:space="preserve">                                   Установки для тепловой обработки макулатуры</t>
  </si>
  <si>
    <t>ТЕРм25-03-011-01</t>
  </si>
  <si>
    <t>Установка для тепловой обработки макулатуры</t>
  </si>
  <si>
    <t>ТЕРм25-03-011-02</t>
  </si>
  <si>
    <t>Сортировка макулатурной массы</t>
  </si>
  <si>
    <t xml:space="preserve">                                   Установки для пропаривания и горячего размола щепы</t>
  </si>
  <si>
    <t>ТЕРм25-03-012-01</t>
  </si>
  <si>
    <t>Установка для пропаривания и горячего размола щепы</t>
  </si>
  <si>
    <t xml:space="preserve">                           Раздел 4. ОТДЕЛ 04. ОБОРУДОВАНИЕ ДЛЯ РОСПУСКА И РАЗМОЛА ВОЛОКНИСТЫХ МАТЕРИАЛОВ</t>
  </si>
  <si>
    <t xml:space="preserve">                                   Раздел 1. ОБОРУДОВАНИЕ ДЛЯ РОСПУСКА И РАЗМОЛА ПОЛУФАБРИКАТОВ И ОТХОДОВ ИЗ ВОЛОКНИСТЫХ МАТЕРИАЛОВ</t>
  </si>
  <si>
    <t xml:space="preserve">                                   Гидроразбиватели</t>
  </si>
  <si>
    <t>ТЕРм25-04-001-01</t>
  </si>
  <si>
    <t>Гидроразбиватель вместимость до 6 м3</t>
  </si>
  <si>
    <t>ТЕРм25-04-001-02</t>
  </si>
  <si>
    <t>Гидроразбиватель вместимость до 12 м3</t>
  </si>
  <si>
    <t>ТЕРм25-04-001-03</t>
  </si>
  <si>
    <t>Гидроразбиватель вместимость до 16-32 м3</t>
  </si>
  <si>
    <t xml:space="preserve">                                   Мельницы для размола волокнистых материалов</t>
  </si>
  <si>
    <t>ТЕРм25-04-002-01</t>
  </si>
  <si>
    <t>Мельница дисковая диаметр диска 630-800 мм</t>
  </si>
  <si>
    <t>ТЕРм25-04-002-02</t>
  </si>
  <si>
    <t>Мельница дисковая диаметр диска 1000 мм</t>
  </si>
  <si>
    <t>ТЕРм25-04-002-03</t>
  </si>
  <si>
    <t>Мельница дисковая диаметр диска 1250 мм</t>
  </si>
  <si>
    <t xml:space="preserve">                                   Раздел 2. РАЗНОЕ ОБОРУДОВАНИЕ</t>
  </si>
  <si>
    <t xml:space="preserve">                                   Ролл массный</t>
  </si>
  <si>
    <t>ТЕРм25-04-012-01</t>
  </si>
  <si>
    <t>Ролл массный</t>
  </si>
  <si>
    <t xml:space="preserve">                           Раздел 5. ОТДЕЛ 05. ОБОРУДОВАНИЕ ДЛЯ СГУЩЕНИЯ МАССЫ</t>
  </si>
  <si>
    <t xml:space="preserve">                                   Раздел 1. ФИЛЬТРЫ БАРАБАННЫЕ И СГУСТИТЕЛИ</t>
  </si>
  <si>
    <t xml:space="preserve">                                   Фильтры массные</t>
  </si>
  <si>
    <t>ТЕРм25-05-001-01</t>
  </si>
  <si>
    <t>Фильтр барабанный для сгущения массы</t>
  </si>
  <si>
    <t>ТЕРм25-05-001-02</t>
  </si>
  <si>
    <t>Фильтр дисковой</t>
  </si>
  <si>
    <t>ТЕРм25-05-001-03</t>
  </si>
  <si>
    <t>Фильтр с волокнистым подслоем</t>
  </si>
  <si>
    <t xml:space="preserve">                           Раздел 6. ОТДЕЛ 06. ОБОРУДОВАНИЕ ДЛЯ ХРАНЕНИЯ, ПЕРЕМЕШИВАНИЯ И ТРАНСПОРТИРОВАНИЯ МАССЫ</t>
  </si>
  <si>
    <t xml:space="preserve">                                   Раздел 1. БАССЕЙНЫ МАССЫ ВЫСОКОЙ И НИЗКОЙ КОНЦЕНТРАЦИИ</t>
  </si>
  <si>
    <t xml:space="preserve">                                   Бассейны массные</t>
  </si>
  <si>
    <t>ТЕРм25-06-001-01</t>
  </si>
  <si>
    <t>Бассейн массы высокой концентрации с перемешивающим устройством, вместимость до 630 м3</t>
  </si>
  <si>
    <t>ТЕРм25-06-001-02</t>
  </si>
  <si>
    <t>Бассейн массы высокой концентрации с перемешивающим устройством, вместимость до 1250 м3</t>
  </si>
  <si>
    <t>ТЕРм25-06-001-03</t>
  </si>
  <si>
    <t>Бассейн массы высокой концентрации с перемешивающим устройством, вместимость до 2000 м3</t>
  </si>
  <si>
    <t xml:space="preserve">                                   Раздел 2. ОБОРУДОВАНИЕ ДЛЯ ПЕРЕМЕШИВАНИЯ МАССЫ</t>
  </si>
  <si>
    <t xml:space="preserve">                                   Устройства циркуляционные</t>
  </si>
  <si>
    <t>ТЕРм25-06-011-01</t>
  </si>
  <si>
    <t>Устройство циркуляционное, диаметр лопастей 750 мм</t>
  </si>
  <si>
    <t>ТЕРм25-06-011-02</t>
  </si>
  <si>
    <t>Устройство циркуляционное, диаметр лопастей 1000-1800 мм</t>
  </si>
  <si>
    <t xml:space="preserve">                                   Мешалки вертикальные</t>
  </si>
  <si>
    <t>ТЕРм25-06-012-01</t>
  </si>
  <si>
    <t>Мешалка вертикальная лопастная к емкости вместимость до 16 м3</t>
  </si>
  <si>
    <t>ТЕРм25-06-012-02</t>
  </si>
  <si>
    <t>Мешалка вертикальная лопастная к емкости вместимость до 32 м3</t>
  </si>
  <si>
    <t xml:space="preserve">                           Раздел 7. ОТДЕЛ 07. ОБОРУДОВАНИЕ ДЛЯ ОЧИСТКИ БУМАЖНОЙ И КАРТОННОЙ МАССЫ</t>
  </si>
  <si>
    <t xml:space="preserve">                                   Раздел 1. ПОДГОТОВКА МАССЫ ПЕРЕД ПОДАЧЕЙ НА БУМАГО- ИЛИ КАРТОНОДЕЛАТЕЛЬНЫЕ МАШИНЫ</t>
  </si>
  <si>
    <t xml:space="preserve">                                   Установки вихревых очистителей</t>
  </si>
  <si>
    <t>ТЕРм25-07-001-01</t>
  </si>
  <si>
    <t>Установка для тонкой очистки волокнистых материалов, тип УВК, производительность 90 т/сутки</t>
  </si>
  <si>
    <t>ТЕРм25-07-001-02</t>
  </si>
  <si>
    <t>Установка для тонкой очистки волокнистых материалов, тип УВК, производительность 180 т/сутки</t>
  </si>
  <si>
    <t>ТЕРм25-07-001-03</t>
  </si>
  <si>
    <t>Установка для тонкой очистки волокнистых материалов, тип УВК, производительность 300 т/сутки</t>
  </si>
  <si>
    <t xml:space="preserve">                           Раздел 8. ОТДЕЛ 08. ОБОРУДОВАНИЕ ДЛЯ ПРОИЗВОДСТВА БУМАГИ, КАРТОНА, ТОВАРНОЙ ЦЕЛЛЮЛОЗЫ И ТОВАРНОЙ ДРЕВЕСНОЙ МАССЫ</t>
  </si>
  <si>
    <t xml:space="preserve">                                   Раздел 1. БУМАГОДЕЛАТЕЛЬНЫЕ, КАРТОНОДЕЛАТЕЛЬНЫЕ И СУШИЛЬНЫЕ МАШИНЫ</t>
  </si>
  <si>
    <t xml:space="preserve">                                   Приводы многодвигательные</t>
  </si>
  <si>
    <t>ТЕРм25-08-001-01</t>
  </si>
  <si>
    <t>Привод механический, массой 3 т</t>
  </si>
  <si>
    <t>ТЕРм25-08-001-02</t>
  </si>
  <si>
    <t>Привод механический, массой 6-9 т</t>
  </si>
  <si>
    <t xml:space="preserve">                                   Раздел 2. СИСТЕМЫ ЦЕНТРАЛИЗОВАННОЙ СМАЗКИ</t>
  </si>
  <si>
    <t xml:space="preserve">                                   Станции смазочные жидкой смазки с трубопроводами в пределах станции</t>
  </si>
  <si>
    <t>ТЕРм25-08-011-01</t>
  </si>
  <si>
    <t>Станции смазочные, производительность 80-160 л/мин</t>
  </si>
  <si>
    <t>ТЕРм25-08-011-02</t>
  </si>
  <si>
    <t>Станции смазочные, производительность 320-630 л/мин</t>
  </si>
  <si>
    <t xml:space="preserve">                                   Раздел 3. ОБОРУДОВАНИЕ ДЛЯ ПЕРЕРАБОТКИ БРАКА</t>
  </si>
  <si>
    <t xml:space="preserve">                                   Установки для переработки брака</t>
  </si>
  <si>
    <t>ТЕРм25-08-021-01</t>
  </si>
  <si>
    <t>Установки для переработки брака с консольным ротором диаметром 850-1060 мм</t>
  </si>
  <si>
    <t>ТЕРм25-08-021-02</t>
  </si>
  <si>
    <t>Установки для переработки брака с консольным ротором диаметром 1250 мм</t>
  </si>
  <si>
    <t>ТЕРм25-08-021-03</t>
  </si>
  <si>
    <t>Установки для переработки брака с консольным ротором диаметром 1700 мм</t>
  </si>
  <si>
    <t>ТЕРм25-08-021-04</t>
  </si>
  <si>
    <t>Установки для переработки брака с ротором шнекового типа, машина обрезной ширины 2520 мм</t>
  </si>
  <si>
    <t>ТЕРм25-08-021-05</t>
  </si>
  <si>
    <t>Установки для переработки брака с ротором шнекового типа, машина обрезной ширины 4200 мм</t>
  </si>
  <si>
    <t>ТЕРм25-08-021-06</t>
  </si>
  <si>
    <t>Установки для переработки брака комбинированная, машина обрезной ширины 2520 мм</t>
  </si>
  <si>
    <t>ТЕРм25-08-021-07</t>
  </si>
  <si>
    <t>Установки для переработки брака комбинированная, машина обрезной ширины 4200 мм</t>
  </si>
  <si>
    <t xml:space="preserve">                           Раздел 9. ОТДЕЛ 11. ОБОРУДОВАНИЕ ДЛЯ УПАКОВКИ И ТРАНСПОРТИРОВАНИЯ БУМАГИ, КАРТОНА И ЦЕЛЛЮЛОЗЫ</t>
  </si>
  <si>
    <t xml:space="preserve">                                   Раздел 1. ОБОРУДОВАНИЕ ДЛЯ УПАКОВКИ БУМАГИ И КАРТОНА В РУЛОНАХ</t>
  </si>
  <si>
    <t xml:space="preserve">                                   Оборудование для упаковки рулонов в оберточную бумагу</t>
  </si>
  <si>
    <t>ТЕРм25-11-001-01</t>
  </si>
  <si>
    <t>Станок рулоноупаковочный</t>
  </si>
  <si>
    <t xml:space="preserve">                                   Раздел 2. ОБОРУДОВАНИЕ ДЛЯ УПАКОВКИ КАРТОНА И ЦЕЛЛЮЛОЗЫ В КИПЫ</t>
  </si>
  <si>
    <t xml:space="preserve">                                   Прессы гидравлические для прессования кип картона и целлюлозы</t>
  </si>
  <si>
    <t>ТЕРм25-11-011-01</t>
  </si>
  <si>
    <t>Пресс гидравлический для прессования кип картона и целлюлозы</t>
  </si>
  <si>
    <t xml:space="preserve">                                   Оборудование для упаковки кип в оберточную бумагу</t>
  </si>
  <si>
    <t>ТЕРм25-11-012-01</t>
  </si>
  <si>
    <t>Станок кипоупаковочный</t>
  </si>
  <si>
    <t>ТЕРм25-11-012-02</t>
  </si>
  <si>
    <t>Устройство для обвязки кип</t>
  </si>
  <si>
    <t xml:space="preserve">                                   Раздел 3. ОБОРУДОВАНИЕ ДЛЯ ТРАНСПОРТИРОВАНИЯ РУЛОНОВ И КИП</t>
  </si>
  <si>
    <t xml:space="preserve">                                   Тележки</t>
  </si>
  <si>
    <t>ТЕРм25-11-022-01</t>
  </si>
  <si>
    <t>Тележка передаточная для рулонов и кип</t>
  </si>
  <si>
    <t xml:space="preserve">                                   Оборудование вертикального транспорта</t>
  </si>
  <si>
    <t>ТЕРм25-11-023-01</t>
  </si>
  <si>
    <t>Устройство для спуска рулонов</t>
  </si>
  <si>
    <t>ТЕРм25-11-023-02</t>
  </si>
  <si>
    <t>Элеватор для спуска рулонов люлечный</t>
  </si>
  <si>
    <t>ТЕРм25-11-023-03</t>
  </si>
  <si>
    <t>Подъёмник рулонов</t>
  </si>
  <si>
    <t xml:space="preserve">                                   Кантователи, пакетировщики</t>
  </si>
  <si>
    <t>ТЕРм25-11-024-01</t>
  </si>
  <si>
    <t>Кантователь для установки рулонов на торец</t>
  </si>
  <si>
    <t>ТЕРм25-11-024-02</t>
  </si>
  <si>
    <t>Лифт-кантователь</t>
  </si>
  <si>
    <t>ТЕРм25-11-024-03</t>
  </si>
  <si>
    <t>Пакетировщик кип</t>
  </si>
  <si>
    <t>ТЕРм25-11-024-04</t>
  </si>
  <si>
    <t>Спускник-пакетировщик</t>
  </si>
  <si>
    <t>ТЕРм25-11-024-05</t>
  </si>
  <si>
    <t>Штабелёр</t>
  </si>
  <si>
    <t xml:space="preserve">                                   Раздел 4. РАЗНОЕ ОБОРУДОВАНИЕ ДЛЯ УПАКОВКИ БУМАГИ, КАРТОНА и ЦЕЛЛЮЛОЗЫ</t>
  </si>
  <si>
    <t xml:space="preserve">                                   Станки для резки бракованных рулонов</t>
  </si>
  <si>
    <t>ТЕРм25-11-034-01</t>
  </si>
  <si>
    <t>Станок для резки бракованных рулонов</t>
  </si>
  <si>
    <t xml:space="preserve">                           Раздел 10. ОТДЕЛ 12. ОБОРУДОВАНИЕ ДЛЯ НАНЕСЕНИЯ ВОДНО-ДИСПЕРСНЫХ И ПЛЕНОЧНЫХ ПОКРЫТИЙ НА БУМАГУ И КАРТОН</t>
  </si>
  <si>
    <t xml:space="preserve">                                   Раздел 1. ОБОРУДОВАНИЕ ВОДНО-ДИСПЕРСНЫХ ПОКРЫТИЙ</t>
  </si>
  <si>
    <t xml:space="preserve">                                   Установки для нанесения водно-дисперсных покрытий</t>
  </si>
  <si>
    <t>ТЕРм25-12-001-01</t>
  </si>
  <si>
    <t>Установка для нанесения силикона</t>
  </si>
  <si>
    <t xml:space="preserve">                                   Раздел 2. ОБОРУДОВАНИЕ ПЛЕНОЧНЫХ ПОКРЫТИЙ</t>
  </si>
  <si>
    <t xml:space="preserve">                                   Установки полиэтиленового и воскового покрытия</t>
  </si>
  <si>
    <t>ТЕРм25-12-011-01</t>
  </si>
  <si>
    <t>Установка для нанесения полиэтилена</t>
  </si>
  <si>
    <t>ТЕРм25-12-011-02</t>
  </si>
  <si>
    <t>Установка для нанесения воскового покрытия</t>
  </si>
  <si>
    <t xml:space="preserve">                           Раздел 11. ОТДЕЛ 13. ОБОРУДОВАНИЕ ДЛЯ ПЕРЕРАБОТКИ БУМАГИ И КАРТОНА В ИЗДЕЛИЯ</t>
  </si>
  <si>
    <t xml:space="preserve">                                   Раздел 1. ОБОРУДОВАНИЕ ДЛЯ ПЕРЕРАБОТКИ САНИТАРНО-БЫТОВЫХ БУМАГ</t>
  </si>
  <si>
    <t xml:space="preserve">                                   Линии поточные автоматизированные для производства изделий в рулончиках</t>
  </si>
  <si>
    <t>ТЕРм25-13-001-01</t>
  </si>
  <si>
    <t>Линия поточная автоматизированная для производства туалетной бумаги и полотенец в рулончиках</t>
  </si>
  <si>
    <t xml:space="preserve">                                   Линии поточные автоматизированные для производства листовых полотенец</t>
  </si>
  <si>
    <t>ТЕРм25-13-002-01</t>
  </si>
  <si>
    <t>Линия поточная автоматизированная для производства листовых полотенец</t>
  </si>
  <si>
    <t xml:space="preserve">                                   Линии поточные для производства салфеток</t>
  </si>
  <si>
    <t>ТЕРм25-13-003-01</t>
  </si>
  <si>
    <t>Линия поточная автоматизированная с упаковочным станком для производства салфеток без печати</t>
  </si>
  <si>
    <t>ТЕРм25-13-003-02</t>
  </si>
  <si>
    <t>Линия поточная автоматизированная с упаковочным станком для производства салфеток с печатью</t>
  </si>
  <si>
    <t xml:space="preserve">                                   Линии поточные для производства детских пелёнок и женских гигиенических пакетов</t>
  </si>
  <si>
    <t>ТЕРм25-13-004-01</t>
  </si>
  <si>
    <t>Линия поточная автоматизированная с упаковочным станком для производства детских пеленок</t>
  </si>
  <si>
    <t>ТЕРм25-13-004-02</t>
  </si>
  <si>
    <t>Линия поточная автоматизированная с упаковочным станком для производства женских гигиенических пакетов</t>
  </si>
  <si>
    <t xml:space="preserve">                                   Оборудование для упаковки и транспортирования изделий санитарно-бытовых бумаг</t>
  </si>
  <si>
    <t>ТЕРм25-13-005-01</t>
  </si>
  <si>
    <t>Станок для заклейки картонных ящиков</t>
  </si>
  <si>
    <t>ТЕРм25-13-005-02</t>
  </si>
  <si>
    <t>Конвейер транспортёрный для изделий санитарно-бытовых бумаг</t>
  </si>
  <si>
    <t xml:space="preserve">                                   Раздел 2. ОБОРУДОВАНИЕ ДЛЯ ИЗГОТОВЛЕНИЯ БУМАЖНЫХ МЕШКОВ</t>
  </si>
  <si>
    <t xml:space="preserve">                                   Машины мешочные</t>
  </si>
  <si>
    <t>ТЕРм25-13-015-01</t>
  </si>
  <si>
    <t>Машина для выработки бумажных мешков</t>
  </si>
  <si>
    <t xml:space="preserve">                                   Раздел 3. ОБОРУДОВАНИЕ ДЛЯ ВЫРАБОТКИ ГОФРИРОВАННОГО КАРТОНА</t>
  </si>
  <si>
    <t xml:space="preserve">                                   Агрегаты гофрировальные</t>
  </si>
  <si>
    <t>ТЕРм25-13-025-01</t>
  </si>
  <si>
    <t>Агрегат гофрировальный для выработки многослойного гофрированного картона, обрезная ширина 1250 мм</t>
  </si>
  <si>
    <t>ТЕРм25-13-025-02</t>
  </si>
  <si>
    <t>Агрегат гофрировальный для выработки многослойного гофрированного картона, обрезная ширина 2100 мм</t>
  </si>
  <si>
    <t xml:space="preserve">                                   Раздел 4. РАЗНОЕ ОБОРУДОВАНИЕ</t>
  </si>
  <si>
    <t xml:space="preserve">                                   Станки для изготовления гильз и труб</t>
  </si>
  <si>
    <t>ТЕРм25-13-035-01</t>
  </si>
  <si>
    <t>Станок гильзоклеильный</t>
  </si>
  <si>
    <t>ТЕРм25-13-035-02</t>
  </si>
  <si>
    <t>Станок для изготовления труб из картона и бумаги</t>
  </si>
  <si>
    <t xml:space="preserve">                           Раздел 12. ОТДЕЛ 14. ПРИГОТОВЛЕНИЕ ЩЁЛОКОВ И ХИМИЧЕСКИХ РЕАГЕНТОВ</t>
  </si>
  <si>
    <t xml:space="preserve">                                   Раздел 1. ОБОРУДОВАНИЕ ДЛЯ ПРИГОТОВЛЕНИЯ ЩЁЛОКОВ</t>
  </si>
  <si>
    <t>ТЕРм25-14-001-01</t>
  </si>
  <si>
    <t>Испаритель каскадный</t>
  </si>
  <si>
    <t xml:space="preserve">                                   Промыватели и осветлители</t>
  </si>
  <si>
    <t>ТЕРм25-14-002-01</t>
  </si>
  <si>
    <t>Промыватель или осветлитель, площадь осветления до 150 м2</t>
  </si>
  <si>
    <t>ТЕРм25-14-002-02</t>
  </si>
  <si>
    <t>Промыватель или осветлитель, площадь осветления до 300-600 м2</t>
  </si>
  <si>
    <t xml:space="preserve">                                   Гасители извести</t>
  </si>
  <si>
    <t>ТЕРм25-14-003-01</t>
  </si>
  <si>
    <t>Гаситель-классификатор для гашения извести</t>
  </si>
  <si>
    <t xml:space="preserve">                           Раздел 13. ОТДЕЛ 15. ОБОРУДОВАНИЕ ДЛЯ УЛАВЛИВАНИЯ ВОЛОКНА И ОЧИСТКИ ПРОМСТОКОВ</t>
  </si>
  <si>
    <t xml:space="preserve">                                   Раздел 1. ОБОРУДОВАНИЕ ДЛЯ УЛАВЛИВАНИЯ ВОЛОКНА</t>
  </si>
  <si>
    <t xml:space="preserve">                                   Ловушки флотационные</t>
  </si>
  <si>
    <t>ТЕРм25-15-001-01</t>
  </si>
  <si>
    <t>Ловушка флотационная, масса до 2 т</t>
  </si>
  <si>
    <t>ТЕРм25-15-001-02</t>
  </si>
  <si>
    <t>Ловушка флотационная, масса до 3 т</t>
  </si>
  <si>
    <t xml:space="preserve">                                   Раздел 2. ОБОРУДОВАНИЕ ДЛЯ ОЧИСТКИ ПРОМСТОКОВ</t>
  </si>
  <si>
    <t xml:space="preserve">                                   Илососы и илоскрёбы</t>
  </si>
  <si>
    <t>ТЕРм25-15-011-01</t>
  </si>
  <si>
    <t>Илосос, диаметр ванн до 16 м</t>
  </si>
  <si>
    <t>ТЕРм25-15-011-02</t>
  </si>
  <si>
    <t>Илосос, диаметр ванн до 40 м</t>
  </si>
  <si>
    <t>ТЕРм25-15-011-03</t>
  </si>
  <si>
    <t>Илоскрёб, диаметр ванн до 18 м</t>
  </si>
  <si>
    <t>ТЕРм25-15-011-04</t>
  </si>
  <si>
    <t>Илоскрёб, диаметр ванн до 40-54 м</t>
  </si>
  <si>
    <t>ТЕРм-2001-26</t>
  </si>
  <si>
    <t xml:space="preserve">                           Раздел 1. Оборудование предприятий текстильной промышленности</t>
  </si>
  <si>
    <t xml:space="preserve">                                   Раздел 1. ОБОРУДОВАНИЕ ПРЯДИЛЬНЫХ ПРОИЗВОДСТВ</t>
  </si>
  <si>
    <t xml:space="preserve">                                   Питатели</t>
  </si>
  <si>
    <t>ТЕРм26-01-001-01</t>
  </si>
  <si>
    <t>Питатель, тип АП, АПК, масса 5,6-7,9 т</t>
  </si>
  <si>
    <t>ТЕРм26-01-001-02</t>
  </si>
  <si>
    <t>Питатель, тип АПС, П, масса 0,6-1,5 т</t>
  </si>
  <si>
    <t>ТЕРм26-01-001-03</t>
  </si>
  <si>
    <t>Питатель, тип ПРЧ, масса 2 т</t>
  </si>
  <si>
    <t xml:space="preserve">                                   Разрыхлители и очистители</t>
  </si>
  <si>
    <t>ТЕРм26-01-002-01</t>
  </si>
  <si>
    <t>Разрыхлитель, рыхлитель, тип ГР, РГ, масса 1,7-2 т</t>
  </si>
  <si>
    <t>ТЕРм26-01-002-02</t>
  </si>
  <si>
    <t>Разрыхлитель, рыхлитель, тип РКА, масса 2,3-2,6 т</t>
  </si>
  <si>
    <t>ТЕРм26-01-002-03</t>
  </si>
  <si>
    <t>Разрыхлитель, рыхлитель, тип РПХ, масса 1,2 т</t>
  </si>
  <si>
    <t>ТЕРм26-01-002-04</t>
  </si>
  <si>
    <t>Очиститель, чиститель, тип ОН-6, масса 1,6-3,8 т</t>
  </si>
  <si>
    <t>ТЕРм26-01-002-05</t>
  </si>
  <si>
    <t>Очиститель, чиститель, тип ЧО, масса 1,3-1,8 т</t>
  </si>
  <si>
    <t xml:space="preserve">                                   Оборудование угароочищающее</t>
  </si>
  <si>
    <t>ТЕРм26-01-003-01</t>
  </si>
  <si>
    <t>Агрегат угароочищающий, тип УОА-2, масса 7,6-9 т</t>
  </si>
  <si>
    <t>ТЕРм26-01-003-02</t>
  </si>
  <si>
    <t>Машина угароочищающая, тип УОШ, УОМП, масса 2,8-3,4 т</t>
  </si>
  <si>
    <t>ТЕРм26-01-003-03</t>
  </si>
  <si>
    <t>Машина угароочищающая, тип УТМ, масса 2,2 т</t>
  </si>
  <si>
    <t xml:space="preserve">                                   Машины волокноотделительные</t>
  </si>
  <si>
    <t>ТЕРм26-01-004-01</t>
  </si>
  <si>
    <t>Машина волокноотделительная, тип ВОМ, масса 1,5 т</t>
  </si>
  <si>
    <t xml:space="preserve">                                   Машины смесовые, смешивающие, смесители</t>
  </si>
  <si>
    <t>ТЕРм26-01-005-01</t>
  </si>
  <si>
    <t>Машина смесовая, смешивающая, смеситель, тип МСП, масса 4,5-9,5 т</t>
  </si>
  <si>
    <t>ТЕРм26-01-005-02</t>
  </si>
  <si>
    <t>Машина смесовая, смешивающая, смеситель, тип СН, С-12, масса 2,6-9 т</t>
  </si>
  <si>
    <t>ТЕРм26-01-005-03</t>
  </si>
  <si>
    <t>Машина смесовая, смешивающая, смеситель, тип УСВМ, масса 28,5 т</t>
  </si>
  <si>
    <t xml:space="preserve">                                   Лабазы и транспортеры</t>
  </si>
  <si>
    <t>ТЕРм26-01-006-01</t>
  </si>
  <si>
    <t>Лабаз, тип ЛРМ, масса 5,8-10,9 т</t>
  </si>
  <si>
    <t>ТЕРм26-01-006-02</t>
  </si>
  <si>
    <t>Транспортер компонентов шерстяной смеси, тип ТК, питающий, тип ТП, масса 1,3 т</t>
  </si>
  <si>
    <t xml:space="preserve">                                   Конденсеры и распределители</t>
  </si>
  <si>
    <t>ТЕРм26-01-007-01</t>
  </si>
  <si>
    <t>Конденсер, тип КБ, масса 0,7 т</t>
  </si>
  <si>
    <t>ТЕРм26-01-007-02</t>
  </si>
  <si>
    <t>Распределитель волокна, тип РВП-2, масса 1,4-1,5 т</t>
  </si>
  <si>
    <t xml:space="preserve">                                   Оборудование щипальное и замасливающее</t>
  </si>
  <si>
    <t>ТЕРм26-01-008-01</t>
  </si>
  <si>
    <t>Машина щипальная, щипально-замасливающая, тип МЩ, СЩ, ЩЗ-140, масса 1,2-6,1 т</t>
  </si>
  <si>
    <t>ТЕРм26-01-008-02</t>
  </si>
  <si>
    <t>Устройство замасливающее, парозамасливающее, тип ЗУ, ПЗУ, масса 0,6-1,3 т</t>
  </si>
  <si>
    <t xml:space="preserve">                                   Оборудование трепальное</t>
  </si>
  <si>
    <t>ТЕРм26-01-009-01</t>
  </si>
  <si>
    <t>Агрегат и машина трепальные, тип АPT (С КП), масса 4,7 т</t>
  </si>
  <si>
    <t>ТЕРм26-01-009-02</t>
  </si>
  <si>
    <t>Агрегат и машина трепальные, тип АPT (С ПУ-120-Ш), масса 2,7-4,7 т</t>
  </si>
  <si>
    <t>ТЕРм26-01-009-03</t>
  </si>
  <si>
    <t>Агрегат и машина трепальные, тип 2БТ, ТПШ, масса 2,7-4,7 т</t>
  </si>
  <si>
    <t>ТЕРм26-01-009-04</t>
  </si>
  <si>
    <t>Агрегат и машина трепальные, тип МТБ, МТИ, МТМ, масса 3,5-8,7 т</t>
  </si>
  <si>
    <t xml:space="preserve">                                   Оборудование чесальное</t>
  </si>
  <si>
    <t>ТЕРм26-01-010-01</t>
  </si>
  <si>
    <t>Машина чесальная, тип ЧММ-14, масса 3-3,5 т</t>
  </si>
  <si>
    <t>ТЕРм26-01-010-02</t>
  </si>
  <si>
    <t>Машина чесальная, тип Ч-11, модель 1453/3, масса 4,4-18,5 т</t>
  </si>
  <si>
    <t>ТЕРм26-01-010-03</t>
  </si>
  <si>
    <t>Машина чесальная, тип ЧМ, масса 3,2-4,8 т</t>
  </si>
  <si>
    <t>ТЕРм26-01-010-04</t>
  </si>
  <si>
    <t>Машина чесальная, тип ЧМД, масса 5,5 т</t>
  </si>
  <si>
    <t>ТЕРм26-01-010-05</t>
  </si>
  <si>
    <t>Машина чесальная, тип Ч-600-Л, масса 14 т</t>
  </si>
  <si>
    <t>ТЕРм26-01-010-06</t>
  </si>
  <si>
    <t>Машина чесальная, тип ЧГ-150-П, масса 10,6 т</t>
  </si>
  <si>
    <t>ТЕРм26-01-010-07</t>
  </si>
  <si>
    <t>Аппарат чесальный, тип АЧ, масса 19,8-32,4 т</t>
  </si>
  <si>
    <t>ТЕРм26-01-010-08</t>
  </si>
  <si>
    <t>Аппарат чесальный, тип БЕФАМА, 2-х прочесный, масса 29,4 т</t>
  </si>
  <si>
    <t>ТЕРм26-01-010-09</t>
  </si>
  <si>
    <t>Аппарат чесальный, тип БЕФАМА, 3-х прочесный, масса 26,8 т</t>
  </si>
  <si>
    <t>ТЕРм26-01-010-10</t>
  </si>
  <si>
    <t>Машина гребнечесальная, тип мод. 1532, 1604, масса 2,8-4,5 т</t>
  </si>
  <si>
    <t>ТЕРм26-01-010-11</t>
  </si>
  <si>
    <t>Машина гребнечесальная, тип ГК-485-П1, масса 2,2 т</t>
  </si>
  <si>
    <t>ТЕРм26-01-010-12</t>
  </si>
  <si>
    <t>Устройство выпускное для чесальных машин и аппаратов, тип ВУЧ, масса 2,13 т</t>
  </si>
  <si>
    <t xml:space="preserve">                                   Оборудование ленточное, лентосоединительное, лентосмешивающее</t>
  </si>
  <si>
    <t>ТЕРм26-01-011-01</t>
  </si>
  <si>
    <t>Машина ленточная, лентосоединительная, тип ЛА, масса 1,9-2,5 т</t>
  </si>
  <si>
    <t>ТЕРм26-01-011-02</t>
  </si>
  <si>
    <t>Машина ленточная, лентосоединительная, тип Л2, НОВПОС, мод. 1576, 1625/2, 1629/2, масса 1,5-3,5 т</t>
  </si>
  <si>
    <t>ТЕРм26-01-011-03</t>
  </si>
  <si>
    <t>Машина ленточная, лентосоединительная, тип ЛЧ-ЗПД на 6-8 головок, ЛЛ, ЛЧ-Л, масса 1,8-7,5 т</t>
  </si>
  <si>
    <t>ТЕРм26-01-011-04</t>
  </si>
  <si>
    <t>Машина ленточная, лентосоединительная, тип ЛЦ-ПД, масса 1,6-1,85 т</t>
  </si>
  <si>
    <t>ТЕРм26-01-011-05</t>
  </si>
  <si>
    <t>Агрегат лентосмешивающий, тип АС-600-Л, масса 4,1 т</t>
  </si>
  <si>
    <t xml:space="preserve">                                   Линии поточные для подготовки волокна и очесов</t>
  </si>
  <si>
    <t>ТЕРм26-01-012-01</t>
  </si>
  <si>
    <t>Линия поточная для подготовки волокна и очесов, типы ПЛ-КЛ, ПЛ-150-П, масса 18-48,7 т</t>
  </si>
  <si>
    <t xml:space="preserve">                                   Машины ровничные</t>
  </si>
  <si>
    <t>ТЕРм26-01-013-01</t>
  </si>
  <si>
    <t>Машина ровничная, тип Р-168-3, Р-192-5 на 132 веретена, масса 7,8-9 т</t>
  </si>
  <si>
    <t>ТЕРм26-01-013-02</t>
  </si>
  <si>
    <t>Машина ровничная, тип Р-260-5 на 92 веретена, масса 7,5 т</t>
  </si>
  <si>
    <t>ТЕРм26-01-013-03</t>
  </si>
  <si>
    <t>Машина ровничная, тип РСК-Ш, масса 2,2 т</t>
  </si>
  <si>
    <t>ТЕРм26-01-013-04</t>
  </si>
  <si>
    <t>Машина ровничная, тип мод. 1505/6, масса 8,4-11 т</t>
  </si>
  <si>
    <t>ТЕРм26-01-013-05</t>
  </si>
  <si>
    <t>Машина ровничная, тип Р-216, масса 11,6-12,7 т</t>
  </si>
  <si>
    <t>ТЕРм26-01-013-06</t>
  </si>
  <si>
    <t>При изменении количества веретен ровничных машин добавлять или исключать за 1 секцию в 4 веретена к расценке 26-01-013-02 и в 6 веретен к расценке 26-01-013-01, масса до 1 т</t>
  </si>
  <si>
    <t xml:space="preserve">                                   Машины прядильные</t>
  </si>
  <si>
    <t>ТЕРм26-01-014-01</t>
  </si>
  <si>
    <t>Машина прядильная, тип БДА, масса 5 т</t>
  </si>
  <si>
    <t>ТЕРм26-01-014-02</t>
  </si>
  <si>
    <t>Машина прядильная, тип ПБ-114-Ш на 300 веретен, ПБ-132-Ш на 240 веретен, масса 10-10,6 т</t>
  </si>
  <si>
    <t>ТЕРм26-01-014-03</t>
  </si>
  <si>
    <t>Машина прядильная, тип П-76-ШГ на 408 веретен, масса 9,2 т</t>
  </si>
  <si>
    <t>ТЕРм26-01-014-04</t>
  </si>
  <si>
    <t>Машина прядильная, тип П-76-5М6 на 336 веретен, масса 6,6 т</t>
  </si>
  <si>
    <t>ТЕРм26-01-014-05</t>
  </si>
  <si>
    <t>Машина прядильная, тип П-70, ПУ-66 на 400 веретен, П-75 на 336 веретен, масса 7-7,5 т</t>
  </si>
  <si>
    <t>ТЕРм26-01-014-06</t>
  </si>
  <si>
    <t>Машина прядильная, тип ПМ-88Л на 256 веретен, масса 9,5 т</t>
  </si>
  <si>
    <t>ТЕРм26-01-014-07</t>
  </si>
  <si>
    <t>Машина прядильная, тип ППМ-120, масса 6,5 т</t>
  </si>
  <si>
    <t>ТЕРм26-01-014-08</t>
  </si>
  <si>
    <t>Машина прядильная, тип ППМ-240, масса 10 т</t>
  </si>
  <si>
    <t>ТЕРм26-01-014-09</t>
  </si>
  <si>
    <t>Машина прядильная, тип ППМ-114Л на 184 веретена, ПС(ПСЛ)-132-ПД на 104 веретена, масса 8,8-9,6 т</t>
  </si>
  <si>
    <t>ТЕРм26-01-014-10</t>
  </si>
  <si>
    <t>Машина прядильная, тип ПС(ПСЛ)-100-ЛО на 100 веретен, масса 8,4 т</t>
  </si>
  <si>
    <t>ТЕРм26-01-014-11</t>
  </si>
  <si>
    <t>При изменении количества веретен прядильных машин добавлять или исключать за 1 секцию массой до 1 т в 8 веретен к расценке 26-01-014-09, в 10 веретен к расценке 26-01-014-10, в 16 веретен к расценкам 26-01-014-06 и 26-01-014-09</t>
  </si>
  <si>
    <t>ТЕРм26-01-014-12</t>
  </si>
  <si>
    <t>При изменении количества веретен прядильных машин добавлять или исключать за 1 секцию массой до 1 т в 16 веретен к расценке 26-01-014-05</t>
  </si>
  <si>
    <t>ТЕРм26-01-014-13</t>
  </si>
  <si>
    <t>При изменении количества веретен прядильных машин добавлять или исключать за 1 секцию массой до 1 т в 20 веретен к расценке 26-01-014-02</t>
  </si>
  <si>
    <t>ТЕРм26-01-014-14</t>
  </si>
  <si>
    <t>При изменении количества веретен прядильных машин добавлять или исключать за 1 секцию массой до 1 т в 24 веретена к расценке 26-01-014-03</t>
  </si>
  <si>
    <t>ТЕРм26-01-014-15</t>
  </si>
  <si>
    <t>При изменении количества веретен прядильных машин добавлять или исключать за 1 секцию массой до 1 т в 32 веретена к расценке 26-01-014-02</t>
  </si>
  <si>
    <t>ТЕРм26-01-014-16</t>
  </si>
  <si>
    <t>При изменении количества веретен прядильных машин добавлять или исключать за 1 секцию массой до 1 т в 48 веретен к расценке 26-01-014-05</t>
  </si>
  <si>
    <t xml:space="preserve">                                   Прессы</t>
  </si>
  <si>
    <t>ТЕРм26-01-015-01</t>
  </si>
  <si>
    <t>Пресс, тип АРО, масса 6,2 т</t>
  </si>
  <si>
    <t>ТЕРм26-01-015-02</t>
  </si>
  <si>
    <t>Пресс, тип ПУ, масса 1,8-1,9 т</t>
  </si>
  <si>
    <t>ТЕРм26-01-015-03</t>
  </si>
  <si>
    <t>Пресс, тип РП-5-УМ, масса 3,2 т</t>
  </si>
  <si>
    <t xml:space="preserve">                                   Оборудование вспомогательное в прядильных производствах</t>
  </si>
  <si>
    <t>ТЕРм26-01-016-01</t>
  </si>
  <si>
    <t>Оборудование вспомогательное в прядильных производствах (станки для точки шляпок, обтяжки чесальных машин, гарнитуров, шлифовки эластичных покрытий и др.), масса до 1,2 т</t>
  </si>
  <si>
    <t xml:space="preserve">                                   Раздел 2. ОБОРУДОВАНИЕ КРУТИЛЬНЫХ ПРОИЗВОДСТВ</t>
  </si>
  <si>
    <t xml:space="preserve">                                   Машины тростильно-крутильные и крутильные</t>
  </si>
  <si>
    <t>ТЕРм26-01-030-01</t>
  </si>
  <si>
    <t>Машина тростильно-крутильная, тип ТК-136, ТК2-160, масса 3,2-6,2 т</t>
  </si>
  <si>
    <t>ТЕРм26-01-030-02</t>
  </si>
  <si>
    <t>Машина тростильно-крутильная, тип ТКД-400, ТКДП-615, масса 2-8 т</t>
  </si>
  <si>
    <t>ТЕРм26-01-030-03</t>
  </si>
  <si>
    <t>Машина крутильная, тип К-132, К-176, масса 4,7-5,3 т</t>
  </si>
  <si>
    <t>ТЕРм26-01-030-04</t>
  </si>
  <si>
    <t>Машина крутильная, тип КОФ, КЭ-160, КОЭ-315, масса 4,6-12 т</t>
  </si>
  <si>
    <t>ТЕРм26-01-030-05</t>
  </si>
  <si>
    <t>Машина крутильная, тип КВШ-250, масса 3,2 т</t>
  </si>
  <si>
    <t xml:space="preserve">                                   Машины свивальные веревочные</t>
  </si>
  <si>
    <t>ТЕРм26-01-031-01</t>
  </si>
  <si>
    <t>Машина свивальная веревочная, тип К-710-ИП, масса 4,5-6 т</t>
  </si>
  <si>
    <t xml:space="preserve">                                   Машины прядильно-крутильные</t>
  </si>
  <si>
    <t>ТЕРм26-01-032-01</t>
  </si>
  <si>
    <t>Машина прядильно-крутильная, тип ПК-100 на 288 веретен, ПК-114 на 272 веретена, ПК-132 на 240 веретен, масса 8,4-9 т</t>
  </si>
  <si>
    <t>ТЕРм26-01-032-02</t>
  </si>
  <si>
    <t>При изменении количества веретен прядильно-крутильных машин добавлять или исключать к расценке 26-01-032-01 за 1 секцию в 16 веретен к ПК-114</t>
  </si>
  <si>
    <t>ТЕРм26-01-032-03</t>
  </si>
  <si>
    <t>При изменении количества веретен прядильно-крутильных машин добавлять или исключать к расценке 26-01-032-01 за 1 секцию в 24 веретена к ПК-100, в 30 веретен к ПК-132</t>
  </si>
  <si>
    <t xml:space="preserve">                                   Раздел 3. ОБОРУДОВАНИЕ ТКАЦКИХ ПРОИЗВОДСТВ</t>
  </si>
  <si>
    <t xml:space="preserve">                                   Оборудование мотальное</t>
  </si>
  <si>
    <t>ТЕРм26-01-033-01</t>
  </si>
  <si>
    <t>Машина мотальная, тип ММ, M-2M, МТ, масса 4,7-5,6 т</t>
  </si>
  <si>
    <t>ТЕРм26-01-033-02</t>
  </si>
  <si>
    <t>Машина мотальная, тип М-170, масса 2-2,5 т</t>
  </si>
  <si>
    <t>ТЕРм26-01-033-03</t>
  </si>
  <si>
    <t>Машина мотальная, тип МЛМ-2, МЛС-2, масса 2,2-4,6 т</t>
  </si>
  <si>
    <t>ТЕРм26-01-033-04</t>
  </si>
  <si>
    <t>Автомат мотальный, тип Тексконер на 32 головки, масса 5 т</t>
  </si>
  <si>
    <t>ТЕРм26-01-033-05</t>
  </si>
  <si>
    <t>Машина крестомотальная, тип КШ-4, масса 1,7 т</t>
  </si>
  <si>
    <t>ТЕРм26-01-033-06</t>
  </si>
  <si>
    <t>Машина куфтомотальная, тип ДМ, масса 1,4 т</t>
  </si>
  <si>
    <t>ТЕРм26-01-033-07</t>
  </si>
  <si>
    <t>Машина перемоточная, тип МП, МТ, масса 0,6 т</t>
  </si>
  <si>
    <t>ТЕРм26-01-033-08</t>
  </si>
  <si>
    <t>Машина бобинажно-перемоточная, тип БП, масса 1,1-1,6 т</t>
  </si>
  <si>
    <t>ТЕРм26-01-033-09</t>
  </si>
  <si>
    <t>Машина уточно-перемоточные, тип УА-300, УПМ, масса 1,1-1,7 т</t>
  </si>
  <si>
    <t>ТЕРм26-01-033-10</t>
  </si>
  <si>
    <t>Машина сновальные (без шпулярника), тип СЛ, СП, СП-Л, масса 1,9-6 т</t>
  </si>
  <si>
    <t>ТЕРм26-01-033-11</t>
  </si>
  <si>
    <t>Шпулярник, тип Ш к машинам сновальным, тип СЛ, СП, масса 1,35-2,5 т</t>
  </si>
  <si>
    <t>ТЕРм26-01-033-12</t>
  </si>
  <si>
    <t>Шпулярник, тип Ш к машинам сновальным, тип СП-Л, масса 1,9-2,65 т</t>
  </si>
  <si>
    <t xml:space="preserve">                                   Машины шлихтовальные</t>
  </si>
  <si>
    <t>ТЕРм26-01-034-01</t>
  </si>
  <si>
    <t>Машина шлихтовальная, тип ШБ, масса 16,2-23 т</t>
  </si>
  <si>
    <t>ТЕРм26-01-034-02</t>
  </si>
  <si>
    <t>Машина шлихтовальная, тип ШБ-Л, масса 17,8-19 т</t>
  </si>
  <si>
    <t xml:space="preserve">                                   Машины перегонно-эмульсирующие</t>
  </si>
  <si>
    <t>ТЕРм26-01-035-01</t>
  </si>
  <si>
    <t>Машина перегонно-эмульсирующая, тип МПЭ, масса 8,4-10,8 т</t>
  </si>
  <si>
    <t xml:space="preserve">                                   Машины узловязальные</t>
  </si>
  <si>
    <t>ТЕРм26-01-036-01</t>
  </si>
  <si>
    <t>Машина узловязальная, тип УП, масса 0,3-0,44 т</t>
  </si>
  <si>
    <t xml:space="preserve">                                   Станки и машины ткацкие</t>
  </si>
  <si>
    <t>ТЕРм26-01-037-01</t>
  </si>
  <si>
    <t>Станок ткацкий, тип СТБ (бесчелночный), масса 2,6-4,4 т</t>
  </si>
  <si>
    <t>ТЕРм26-01-037-02</t>
  </si>
  <si>
    <t>Машина ткацкая многозевная, тип ТММ, масса 5,4 т</t>
  </si>
  <si>
    <t>ТЕРм26-01-037-03</t>
  </si>
  <si>
    <t>Машина жаккардовая, тип Ж-13, масса 0,5-0,6 т</t>
  </si>
  <si>
    <t>ТЕРм26-01-037-04</t>
  </si>
  <si>
    <t>Машина жаккардовая, тип Ж2-1344, 2Ж2-1344, масса 1,4-2,4 т</t>
  </si>
  <si>
    <t xml:space="preserve">                                   Раздел 4. ОБОРУДОВАНИЕ ОТДЕЛОЧНЫХ ПРОИЗВОДСТВ</t>
  </si>
  <si>
    <t xml:space="preserve">                                   Оборудование для беления, отварки, крашения, промывки, мерсеризации</t>
  </si>
  <si>
    <t>ТЕРм26-01-050-01</t>
  </si>
  <si>
    <t>Машина тканеопаливающая, тип МТО, масса 7-10 т</t>
  </si>
  <si>
    <t>ТЕРм26-01-050-02</t>
  </si>
  <si>
    <t>Линия беления, отварки и расшлихтовки тканей, тип ЛБ-140, ЛБЖ, ЛЖО, ЛОБ, масса 68-180 т</t>
  </si>
  <si>
    <t>ТЕРм26-01-050-03</t>
  </si>
  <si>
    <t>Линия беления, отварки и расшлихтовки тканей, тип ЛОР-140, масса 113 т</t>
  </si>
  <si>
    <t>ТЕРм26-01-050-04</t>
  </si>
  <si>
    <t>Линия отварки и крепирования, тип ЛКО-140 (180) ШЛ, масса 35-75 т</t>
  </si>
  <si>
    <t>ТЕРм26-01-050-05</t>
  </si>
  <si>
    <t>Линия беления, крашения и мерсеризации, тип ЛБК-140, ЛМО-140, масса 74-76 т</t>
  </si>
  <si>
    <t>ТЕРм26-01-050-06</t>
  </si>
  <si>
    <t>Линия заварки и промывки, тип ЛЗ-180, ЛЗП-180, масса 29-33 т</t>
  </si>
  <si>
    <t>ТЕРм26-01-050-07</t>
  </si>
  <si>
    <t>Линия промывки тканей, тип ЛПЖ, ЛПН, ЛРП, масса 29-33 т</t>
  </si>
  <si>
    <t>ТЕРм26-01-050-08</t>
  </si>
  <si>
    <t>Ванна мойная, тип ВЦП, ВРП, плюсовка, тип ПД, ПТ, масса 0,5-5,5 т</t>
  </si>
  <si>
    <t>ТЕРм26-01-050-09</t>
  </si>
  <si>
    <t>Машина промывная, валяльно-промывная, пропиточная, тип МП, масса 9-15 т</t>
  </si>
  <si>
    <t>ТЕРм26-01-050-10</t>
  </si>
  <si>
    <t>Машина промывная, валяльно-промывная, пропиточная, тип МПВ, МПЖ, масса 3,6-7,3 т</t>
  </si>
  <si>
    <t>ТЕРм26-01-050-11</t>
  </si>
  <si>
    <t>Машина промывная, валяльно-промывная, пропиточная, тип МВП, масса 9,7-11,4 т</t>
  </si>
  <si>
    <t>ТЕРм26-01-050-12</t>
  </si>
  <si>
    <t>Машина мойно-материальная, тип MM, MC, масса 6-7,3 т</t>
  </si>
  <si>
    <t>ТЕРм26-01-050-13</t>
  </si>
  <si>
    <t>Машина красильно-промывная, тип МКП, МКПШ, масса 3,4-3,7 т</t>
  </si>
  <si>
    <t>ТЕРм26-01-050-14</t>
  </si>
  <si>
    <t>Линия красильная, тип ЛКК (кубозолевое крашение), масса 64-72 т</t>
  </si>
  <si>
    <t>ТЕРм26-01-050-15</t>
  </si>
  <si>
    <t>Линия красильная, тип ЛТК (термозольное крашение), масса 70-123 т</t>
  </si>
  <si>
    <t>ТЕРм26-01-050-16</t>
  </si>
  <si>
    <t>Линия для пропитки и крашения, тип ЛПК-Л, масса 140 т</t>
  </si>
  <si>
    <t>ТЕРм26-01-050-17</t>
  </si>
  <si>
    <t>Линия красильно-сушильная, тип ЛКС, масса 49-82 т</t>
  </si>
  <si>
    <t>ТЕРм26-01-050-18</t>
  </si>
  <si>
    <t>Линия промывки-сушки (мойно-сушильная), тип ЛПС, ЛПСС, масса 38-45 т</t>
  </si>
  <si>
    <t>ТЕРм26-01-050-19</t>
  </si>
  <si>
    <t>Линия промывки-сушки (мойно-сушильная), тип ЛМС, масса 53-65 т</t>
  </si>
  <si>
    <t>ТЕРм26-01-050-20</t>
  </si>
  <si>
    <t>Линия мерсеризационная цепная, тип ЛМЦ, масса 91,5т</t>
  </si>
  <si>
    <t>ТЕРм26-01-050-21</t>
  </si>
  <si>
    <t>Линия мерсеризационная бесцепная, масса 90-114 т</t>
  </si>
  <si>
    <t xml:space="preserve">                                   Оборудование для расправки, отжима и сушки</t>
  </si>
  <si>
    <t>ТЕРм26-01-051-01</t>
  </si>
  <si>
    <t>Линия нафтольно-сушильная, тип ЛНС, масса 22,5 т</t>
  </si>
  <si>
    <t>ТЕРм26-01-051-02</t>
  </si>
  <si>
    <t>Линия карбонизации шерсти, тип ЛК-180Ш, масса 51 т</t>
  </si>
  <si>
    <t>ТЕРм26-01-051-03</t>
  </si>
  <si>
    <t>Линия расправки, отжима и сушки, тип ЛРО, ЛРС, масса 7,7-8,7 т</t>
  </si>
  <si>
    <t>ТЕРм26-01-051-04</t>
  </si>
  <si>
    <t>Машина сушильная, тип МСБ, МСВР, СБМО, масса 5,8-32 т</t>
  </si>
  <si>
    <t>ТЕРм26-01-051-05</t>
  </si>
  <si>
    <t>Жгуторасправитель, тип ЖР, масса 1,8 т</t>
  </si>
  <si>
    <t>ТЕРм26-01-051-06</t>
  </si>
  <si>
    <t>Машина отсосно-вакуумная, тип MOB, масса 1,4-3 т</t>
  </si>
  <si>
    <t xml:space="preserve">                                   Оборудование стригально-ворсовальное</t>
  </si>
  <si>
    <t>ТЕРм26-01-052-01</t>
  </si>
  <si>
    <t>Оборудование стригально-ворсовальное, тип ВСА, ВСЛ, ВШЗ, ИВ, ИВА, СВЧ, СПН, масса 3,9-13,7 т</t>
  </si>
  <si>
    <t xml:space="preserve">                                   Машины чесально-отколоточные, наждачные, чистильные, раскатные, печатные, зрельники</t>
  </si>
  <si>
    <t>ТЕРм26-01-053-01</t>
  </si>
  <si>
    <t>Машина чесально-отколоточная, тип ЧОМ-3, масса 4,5 т</t>
  </si>
  <si>
    <t>ТЕРм26-01-053-02</t>
  </si>
  <si>
    <t>Машина наждачная и чистильная, тип НМ-2, ЧМ-3, масса 2-4,6 т</t>
  </si>
  <si>
    <t>ТЕРм26-01-053-03</t>
  </si>
  <si>
    <t>Машина раскатная периферическая, тип МРП, масса 1,4-1,7 т</t>
  </si>
  <si>
    <t>ТЕРм26-01-053-04</t>
  </si>
  <si>
    <t>Машина печатная многовальная, тип 4430, масса 11-25 т</t>
  </si>
  <si>
    <t>ТЕРм26-01-053-05</t>
  </si>
  <si>
    <t>Зрельник, тип 3В, ЗМП, масса 23-33 т</t>
  </si>
  <si>
    <t xml:space="preserve">                                   Машины и линии ширильные, сушильно-ширильные и стабилизационные</t>
  </si>
  <si>
    <t>ТЕРм26-01-054-01</t>
  </si>
  <si>
    <t>Машина и линия ширильная, сушильно-ширильная и стабилизационная, тип МШС7, «Элитекс», масса 41-43 т</t>
  </si>
  <si>
    <t>ТЕРм26-01-054-02</t>
  </si>
  <si>
    <t>Машина и линия ширильная, сушильно-ширильная и стабилизационная, тип ЛАШС, масса 76 т</t>
  </si>
  <si>
    <t>ТЕРм26-01-054-03</t>
  </si>
  <si>
    <t>Машина и линия ширильная, сушильно-ширильная и стабилизационная, тип ЛПШС, масса 54-58 т</t>
  </si>
  <si>
    <t>ТЕРм26-01-054-04</t>
  </si>
  <si>
    <t>Машина и линия ширильная, сушильно-ширильная и стабилизационная, тип ШЦ, масса 7,6-9,3 т</t>
  </si>
  <si>
    <t xml:space="preserve">                                   Оборудование термической обработки</t>
  </si>
  <si>
    <t>ТЕРм26-01-055-01</t>
  </si>
  <si>
    <t>Линия термической обработки, тип ЛТ, масса 15 т</t>
  </si>
  <si>
    <t>ТЕРм26-01-055-02</t>
  </si>
  <si>
    <t>Линия термической обработки, тип МВРТ, масса 21 т</t>
  </si>
  <si>
    <t>ТЕРм26-01-055-03</t>
  </si>
  <si>
    <t>Термокамера радиационная, тип УРТК, масса 1,7-2,3 т</t>
  </si>
  <si>
    <t>ТЕРм26-01-055-04</t>
  </si>
  <si>
    <t>Линия каландрирования и термической обработки, тип ЛКТ, масса 17-18,2 т</t>
  </si>
  <si>
    <t xml:space="preserve">                                   Каландры, декатиры</t>
  </si>
  <si>
    <t>ТЕРм26-01-056-01</t>
  </si>
  <si>
    <t>Каландр отделочный, тип К, КО, КОЭ, КСЭ, КФЭ, масса 6-15 т</t>
  </si>
  <si>
    <t>ТЕРм26-01-056-02</t>
  </si>
  <si>
    <t>Декатир, тип Д-220, масса 8,9 т</t>
  </si>
  <si>
    <t>ТЕРм26-01-056-03</t>
  </si>
  <si>
    <t>Декатир, тип ДЗН, масса 12,6 т</t>
  </si>
  <si>
    <t xml:space="preserve">                                   Машины ратинирующие, для кондиционирования и увлажнения, линии усадочные</t>
  </si>
  <si>
    <t>ТЕРм26-01-057-01</t>
  </si>
  <si>
    <t>Машина ратинирующая, тип РМ, масса 3,3 т</t>
  </si>
  <si>
    <t>ТЕРм26-01-057-02</t>
  </si>
  <si>
    <t>Машина для кондиционирования и увлажнения, тип МКУ, масса 3,5 т</t>
  </si>
  <si>
    <t>ТЕРм26-01-057-03</t>
  </si>
  <si>
    <t>Линия усадочная, тип ЛУ, масса 19-24,7 т</t>
  </si>
  <si>
    <t xml:space="preserve">                                   Линии аппретурно-отделочные и заключительной отделки</t>
  </si>
  <si>
    <t>ТЕРм26-01-058-01</t>
  </si>
  <si>
    <t>Линия аппретурно-отделочная, тип ЛАУ, масса 50-55 т</t>
  </si>
  <si>
    <t>ТЕРм26-01-058-02</t>
  </si>
  <si>
    <t>Линия заключительной отделки, тип ЛЗО, масса 61-75 т</t>
  </si>
  <si>
    <t xml:space="preserve">                                   Оборудование мерильное и укладочное</t>
  </si>
  <si>
    <t>ТЕРм26-01-059-01</t>
  </si>
  <si>
    <t>Машина мерильно-двоильно-накатная и контрольно-мерильная, тип МДН, масса 2,7 т</t>
  </si>
  <si>
    <t>ТЕРм26-01-059-02</t>
  </si>
  <si>
    <t>Укладчик ткани в жгуте, тип УЖ-4, масса 1,2-2 т</t>
  </si>
  <si>
    <t xml:space="preserve">                                   Оборудование вспомогательное в отделочных производствах</t>
  </si>
  <si>
    <t>ТЕРм26-01-060-01</t>
  </si>
  <si>
    <t>Оборудование вспомогательное в отделочных производствах (компенсатор, укладчик ткани и др.), масса до 2,7 т</t>
  </si>
  <si>
    <t xml:space="preserve">                                   Раздел 5. ОБОРУДОВАНИЕ ЦЕХОВ КРАШЕНИЯ ВОЛОКНА, ЛЕНТЫ, ПРЯЖИ</t>
  </si>
  <si>
    <t xml:space="preserve">                                   Аппараты красильные</t>
  </si>
  <si>
    <t>ТЕРм26-01-080-01</t>
  </si>
  <si>
    <t>Аппарат красильный, тип АКД, АКДС, масса 6,4-13,7 т</t>
  </si>
  <si>
    <t>ТЕРм26-01-080-02</t>
  </si>
  <si>
    <t>Аппарат красильный, тип АКДС-Л, масса 10,8 т</t>
  </si>
  <si>
    <t>ТЕРм26-01-080-03</t>
  </si>
  <si>
    <t>Аппарат красильный, тип АПК-100, масса 3,6 т</t>
  </si>
  <si>
    <t>ТЕРм26-01-080-04</t>
  </si>
  <si>
    <t>Аппарат красильный, тип КМ-10, масса 1,3 т</t>
  </si>
  <si>
    <t>ТЕРм26-01-080-05</t>
  </si>
  <si>
    <t>Аппарат красильный, тип КПМ-10, масса 2 т</t>
  </si>
  <si>
    <t>ТЕРм26-01-080-06</t>
  </si>
  <si>
    <t>Аппарат красильный, тип ЛКА, масса 0,4 т</t>
  </si>
  <si>
    <t xml:space="preserve">                                   Оборудование сушильное и гладильно-сушильное</t>
  </si>
  <si>
    <t>ТЕРм26-01-081-01</t>
  </si>
  <si>
    <t>Аппарат сушильный, тип АСВ-120, масса 29 т</t>
  </si>
  <si>
    <t>ТЕРм26-01-081-02</t>
  </si>
  <si>
    <t>Аппарат сушильный, тип КС, МКС, СПМ-2, масса 2,4-14,3 т</t>
  </si>
  <si>
    <t>ТЕРм26-01-081-03</t>
  </si>
  <si>
    <t>Аппарат сушильный, тип СКД, СП8-Л, масса 19-23,6 т</t>
  </si>
  <si>
    <t>ТЕРм26-01-081-04</t>
  </si>
  <si>
    <t>Линия гладильно-сушильная, тип ЛГС, масса 24,2 т</t>
  </si>
  <si>
    <t xml:space="preserve">                                   Машины для набивки волокна</t>
  </si>
  <si>
    <t>ТЕРм26-01-082-01</t>
  </si>
  <si>
    <t>Машина для набивки волокна, тип НВ, масса 1,9 т</t>
  </si>
  <si>
    <t xml:space="preserve">                                   Прессы, центрифуги</t>
  </si>
  <si>
    <t>ТЕРм26-01-083-01</t>
  </si>
  <si>
    <t>Пресс, тип ПГ-4, масса 1,6 т</t>
  </si>
  <si>
    <t>ТЕРм26-01-083-02</t>
  </si>
  <si>
    <t>Пресс, тип ПГВ-10, масса 3,9 т</t>
  </si>
  <si>
    <t>ТЕРм26-01-083-03</t>
  </si>
  <si>
    <t>Центрифуга, тип ФМД, масса 4,1 т</t>
  </si>
  <si>
    <t xml:space="preserve">                                   Раздел 6. ОБОРУДОВАНИЕ НЕТКАНЫХ МАТЕРИАЛОВ</t>
  </si>
  <si>
    <t xml:space="preserve">                                   Оборудование для производства нетканых материалов</t>
  </si>
  <si>
    <t>ТЕРм26-01-093-01</t>
  </si>
  <si>
    <t>Машина и агрегат иглопробивные и чесально-вязальные, типы АЧВ, АЧВШВ, АИН, ИМ, масса 4,3-50,6 т</t>
  </si>
  <si>
    <t>ТЕРм26-01-093-02</t>
  </si>
  <si>
    <t>Агрегат для термоусадки, тип АТУ, масса 8,5-12 т</t>
  </si>
  <si>
    <t>ТЕРм26-01-093-03</t>
  </si>
  <si>
    <t>Устройство раскатное, тип УР-1800, масса 0,6 т</t>
  </si>
  <si>
    <t>ТЕРм-2001-27</t>
  </si>
  <si>
    <t xml:space="preserve">                           Раздел 1. ОТДЕЛ 01 ФОРМНОЕ ОБОРУДОВАНИЕ</t>
  </si>
  <si>
    <t xml:space="preserve">                                   Раздел 1. ОБОРУДОВАНИЕ ДЛЯ ИЗГОТОВЛЕНИЯ ТЕКСТОВЫХ ФОРМ</t>
  </si>
  <si>
    <t xml:space="preserve">                                   Оборудование для отливки шрифтов</t>
  </si>
  <si>
    <t>ТЕРм27-01-001-01</t>
  </si>
  <si>
    <t>Автомат шрифтолитейный мелкокегельный</t>
  </si>
  <si>
    <t>ТЕРм27-01-001-02</t>
  </si>
  <si>
    <t>Машина шрифтолитейная крупнокегельная</t>
  </si>
  <si>
    <t xml:space="preserve">                                   Автоматы для отливки линеечно-пробельного материала</t>
  </si>
  <si>
    <t>ТЕРм27-01-002-01</t>
  </si>
  <si>
    <t>Автомат линеечно-пробельный</t>
  </si>
  <si>
    <t xml:space="preserve">                                   Машины наборные строкоотливные</t>
  </si>
  <si>
    <t>ТЕРм27-01-003-01</t>
  </si>
  <si>
    <t>Машина наборная строкоотливная автоматическая с одновременным набором знаков 360</t>
  </si>
  <si>
    <t>ТЕРм27-01-003-02</t>
  </si>
  <si>
    <t>Машина наборная строкоотливная автоматическая с одновременным набором знаков 248</t>
  </si>
  <si>
    <t>ТЕРм27-01-003-03</t>
  </si>
  <si>
    <t>Машина наборная строкоотливная автоматическая с одновременным набором знаков 180</t>
  </si>
  <si>
    <t>ТЕРм27-01-003-04</t>
  </si>
  <si>
    <t>Машина наборная крупнокегельная</t>
  </si>
  <si>
    <t xml:space="preserve">                                   Автоматы фотонаборные</t>
  </si>
  <si>
    <t>ТЕРм27-01-004-01</t>
  </si>
  <si>
    <t>Автомат для усложненного вида печати</t>
  </si>
  <si>
    <t xml:space="preserve">                                   Машины фотонаборные</t>
  </si>
  <si>
    <t>ТЕРм27-01-005-01</t>
  </si>
  <si>
    <t>Машина фотонаборная крупнокегельная</t>
  </si>
  <si>
    <t xml:space="preserve">                                   Полуавтоматы для литья чушек</t>
  </si>
  <si>
    <t>ТЕРм27-01-006-01</t>
  </si>
  <si>
    <t>Полуавтомат для литья чушек к строкоотливным машинам</t>
  </si>
  <si>
    <t>ТЕРм27-01-007-01</t>
  </si>
  <si>
    <t>Аппарат наборно-корректурный</t>
  </si>
  <si>
    <t>ТЕРм27-01-007-02</t>
  </si>
  <si>
    <t>Аппарат верстальный</t>
  </si>
  <si>
    <t>ТЕРм27-01-007-03</t>
  </si>
  <si>
    <t>Устройство для вывода информации</t>
  </si>
  <si>
    <t>ТЕРм27-01-007-04</t>
  </si>
  <si>
    <t>Устройство для получения корректурных отпечатков</t>
  </si>
  <si>
    <t>ТЕРм27-01-007-05</t>
  </si>
  <si>
    <t>Устройство ввода черно-белых иллюстраций и шрифтов</t>
  </si>
  <si>
    <t xml:space="preserve">                                   Раздел 2. ОБОРУДОВАНИЕ ДЛЯ ИЗГОТОВЛЕНИЯ ФОТОФОРМ, ИЛЛЮСТРАЦИЙ И МОНТАЖЕЙ</t>
  </si>
  <si>
    <t xml:space="preserve">                                   Оборудование электронно-гравировальное</t>
  </si>
  <si>
    <t>ТЕРм27-01-017-01</t>
  </si>
  <si>
    <t>Машина электронно-гравировальная</t>
  </si>
  <si>
    <t>ТЕРм27-01-017-02</t>
  </si>
  <si>
    <t>Цветоделитель-цветокорректор</t>
  </si>
  <si>
    <t xml:space="preserve">                                   Фотоаппараты репродукционные вертикальные</t>
  </si>
  <si>
    <t>ТЕРм27-01-018-01</t>
  </si>
  <si>
    <t>Фотоаппарат репродукционный вертикальный двухкомнатный, формат 50х60 см</t>
  </si>
  <si>
    <t xml:space="preserve">                                   Фотоаппараты репродукционные горизонтальные</t>
  </si>
  <si>
    <t>ТЕРм27-01-019-01</t>
  </si>
  <si>
    <t>Фотоаппарат репродукционный горизонтальный двухкомнатный, формат 70х80 см</t>
  </si>
  <si>
    <t>ТЕРм27-01-019-02</t>
  </si>
  <si>
    <t>Фотоаппарат репродукционный горизонтальный двухкомнатный, формат 50х65 см</t>
  </si>
  <si>
    <t xml:space="preserve">                                   Фотоаппараты картографические</t>
  </si>
  <si>
    <t>ТЕРм27-01-020-01</t>
  </si>
  <si>
    <t>Фотоаппарат репродукционный горизонтальный двухкомнатный картографический</t>
  </si>
  <si>
    <t xml:space="preserve">                                   Оборудование проявочное для пленки</t>
  </si>
  <si>
    <t>ТЕРм27-01-021-01</t>
  </si>
  <si>
    <t>Установка проявочная, формат 70х80 см</t>
  </si>
  <si>
    <t>ТЕРм27-01-021-02</t>
  </si>
  <si>
    <t>Установка проявочная, формат 50х65 см</t>
  </si>
  <si>
    <t xml:space="preserve">                                   Станки контактно-копировальные</t>
  </si>
  <si>
    <t>ТЕРм27-01-022-01</t>
  </si>
  <si>
    <t>Станок контактно-копировальный, формат 66х37 см</t>
  </si>
  <si>
    <t>ТЕРм27-01-022-02</t>
  </si>
  <si>
    <t>Станок контактно-копировальный, формат 70х80 см</t>
  </si>
  <si>
    <t>ТЕРм27-01-022-03</t>
  </si>
  <si>
    <t>Станок контактно-копировальный, формат 116х142 см</t>
  </si>
  <si>
    <t xml:space="preserve">                                   Раздел 3. ОБОРУДОВАНИЕ ДЛЯ ИЗГОТОВЛЕНИЯ ФОРМ</t>
  </si>
  <si>
    <t xml:space="preserve">                                   Машины копировально-множительные</t>
  </si>
  <si>
    <t>ТЕРм27-01-032-01</t>
  </si>
  <si>
    <t>Машина копировально-множительная</t>
  </si>
  <si>
    <t xml:space="preserve">                                   Рамы копировальные</t>
  </si>
  <si>
    <t>ТЕРм27-01-033-01</t>
  </si>
  <si>
    <t>Рама копировальная, формат 66х73 см</t>
  </si>
  <si>
    <t>ТЕРм27-01-033-02</t>
  </si>
  <si>
    <t>Рама копировальная, формат 115х140 см</t>
  </si>
  <si>
    <t>ТЕРм27-01-034-01</t>
  </si>
  <si>
    <t>Центрифуга вертикальная, формат 66х73 см</t>
  </si>
  <si>
    <t>ТЕРм27-01-034-02</t>
  </si>
  <si>
    <t>Центрифуга вертикальная, формат 115х140 см</t>
  </si>
  <si>
    <t xml:space="preserve">                                   Шкафы сушильные</t>
  </si>
  <si>
    <t>ТЕРм27-01-035-01</t>
  </si>
  <si>
    <t>Шкаф сушильный, формат 50х65 см</t>
  </si>
  <si>
    <t>ТЕРм27-01-035-02</t>
  </si>
  <si>
    <t>Шкаф сушильный, формат 120х140 см</t>
  </si>
  <si>
    <t xml:space="preserve">                                   Установки для обработки офсетных форм</t>
  </si>
  <si>
    <t>ТЕРм27-01-036-01</t>
  </si>
  <si>
    <t>Установка для проявления биметаллических офсетных форм</t>
  </si>
  <si>
    <t>ТЕРм27-01-036-02</t>
  </si>
  <si>
    <t>Установка для обработки биметаллических офсетных форм</t>
  </si>
  <si>
    <t>ТЕРм27-01-036-03</t>
  </si>
  <si>
    <t>Установка для нанесения защитного слоя</t>
  </si>
  <si>
    <t>ТЕРм27-01-036-04</t>
  </si>
  <si>
    <t>Установка для термообработки монометаллических офсетных форм</t>
  </si>
  <si>
    <t>ТЕРм27-01-036-05</t>
  </si>
  <si>
    <t>Установка для изготовления монометаллических офсетных форм</t>
  </si>
  <si>
    <t xml:space="preserve">                                   Оборудование для изготовления фотополимерных форм</t>
  </si>
  <si>
    <t>ТЕРм27-01-037-01</t>
  </si>
  <si>
    <t>Установка для изготовления фотополимерных форм экспонирующая</t>
  </si>
  <si>
    <t>ТЕРм27-01-037-02</t>
  </si>
  <si>
    <t>Установка для изготовления фотополимерных форм вымывная</t>
  </si>
  <si>
    <t xml:space="preserve">                                   Оборудование для изготовления клише</t>
  </si>
  <si>
    <t>ТЕРм27-01-038-01</t>
  </si>
  <si>
    <t>Машина травильная</t>
  </si>
  <si>
    <t>ТЕРм27-01-038-02</t>
  </si>
  <si>
    <t>Станок цинкорубильный</t>
  </si>
  <si>
    <t>ТЕРм27-01-038-03</t>
  </si>
  <si>
    <t>Станок универсальный для обработки плоских стереотипов и клише</t>
  </si>
  <si>
    <t xml:space="preserve">                                   Раздел 4. СТЕРЕОТИПНОЕ ОБОРУДОВАНИЕ</t>
  </si>
  <si>
    <t xml:space="preserve">                                   Прессы матричные</t>
  </si>
  <si>
    <t>ТЕРм27-01-050-01</t>
  </si>
  <si>
    <t>Пресс матричный гидравлический для тиснения, наибольшее усилие 2000 кН</t>
  </si>
  <si>
    <t>ТЕРм27-01-050-02</t>
  </si>
  <si>
    <t>Пресс матричный гидравлический для тиснения, наибольшее усилие 4000 кН</t>
  </si>
  <si>
    <t xml:space="preserve">                                   Нагревательные устройства к прессам</t>
  </si>
  <si>
    <t>ТЕРм27-01-051-01</t>
  </si>
  <si>
    <t>Устройство нагревательное к прессу</t>
  </si>
  <si>
    <t xml:space="preserve">                                   Автоматы стереотипные круглоотливные</t>
  </si>
  <si>
    <t>ТЕРм27-01-052-01</t>
  </si>
  <si>
    <t>Автомат стереотипный отливной к газетным ротациям</t>
  </si>
  <si>
    <t xml:space="preserve">                                   Полуавтоматы стереотипные отливные</t>
  </si>
  <si>
    <t>ТЕРм27-01-053-01</t>
  </si>
  <si>
    <t>Полуавтомат стереотипный</t>
  </si>
  <si>
    <t>ТЕРм27-01-053-02</t>
  </si>
  <si>
    <t>Полуавтомат стереотипный литейный</t>
  </si>
  <si>
    <t xml:space="preserve">                                   Разное отливное оборудование</t>
  </si>
  <si>
    <t>ТЕРм27-01-054-01</t>
  </si>
  <si>
    <t>Станок для отливки плоских стереотипов</t>
  </si>
  <si>
    <t>ТЕРм27-01-054-02</t>
  </si>
  <si>
    <t>Элеватор загрузочный</t>
  </si>
  <si>
    <t xml:space="preserve">                                   Автоматы стереотипные отделочные</t>
  </si>
  <si>
    <t>ТЕРм27-01-055-01</t>
  </si>
  <si>
    <t>Автомат отделочный комбинированный для стереотипов к газетным ротационным машинам</t>
  </si>
  <si>
    <t xml:space="preserve">                                   Станки для отделки стереотипов</t>
  </si>
  <si>
    <t>ТЕРм27-01-056-01</t>
  </si>
  <si>
    <t>Станок фрезерно-отделочный к газетным ротациям</t>
  </si>
  <si>
    <t>ТЕРм27-01-056-02</t>
  </si>
  <si>
    <t>Станок для отрезки прилива и снятия фацета</t>
  </si>
  <si>
    <t>ТЕРм27-01-056-03</t>
  </si>
  <si>
    <t>Станок ростовой для круглых стереотипов</t>
  </si>
  <si>
    <t>ТЕРм27-01-056-04</t>
  </si>
  <si>
    <t>Станок для отрезки гузки</t>
  </si>
  <si>
    <t xml:space="preserve">                           Раздел 2. ОТДЕЛ 02. ПЕЧАТНОЕ ОБОРУДОВАНИЕ</t>
  </si>
  <si>
    <t xml:space="preserve">                                   Раздел 1. ОБОРУДОВАНИЕ ДЛЯ ВЫСОКОЙ ПЕЧАТИ</t>
  </si>
  <si>
    <t xml:space="preserve">                                   Машины плоскопечатные малоформатные</t>
  </si>
  <si>
    <t>ТЕРм27-02-001-01</t>
  </si>
  <si>
    <t>Машина плоскопечатная малая</t>
  </si>
  <si>
    <t>ТЕРм27-02-001-02</t>
  </si>
  <si>
    <t>Автомат плоскопечатный, формат 46х60 см</t>
  </si>
  <si>
    <t xml:space="preserve">                                   Машины ротационные ролевые</t>
  </si>
  <si>
    <t>ТЕРм27-02-002-01</t>
  </si>
  <si>
    <t>Машина ротационная ролевая газетная, ширина бумажного рулона 84 см однорольная</t>
  </si>
  <si>
    <t>ТЕРм27-02-002-02</t>
  </si>
  <si>
    <t>Машина ротационная ролевая газетная, ширина бумажного рулона 84 см двухрольная</t>
  </si>
  <si>
    <t xml:space="preserve">                                   Раздел 2. ОБОРУДОВАНИЕ ДЛЯ ОФСЕТНОЙ ПЕЧАТИ</t>
  </si>
  <si>
    <t xml:space="preserve">                                   Машины офсетные малые</t>
  </si>
  <si>
    <t>ТЕРм27-02-012-01</t>
  </si>
  <si>
    <t>Машина офсетная малая однокрасочная</t>
  </si>
  <si>
    <t>ТЕРм27-02-012-02</t>
  </si>
  <si>
    <t>Машина офсетная малая ротационная однокрасочная листовая, формат 56х76 см</t>
  </si>
  <si>
    <t>ТЕРм27-02-012-03</t>
  </si>
  <si>
    <t>Машина офсетная малая ротационная однокрасочная листовая, формат 48,5х66 см</t>
  </si>
  <si>
    <t>ТЕРм27-02-012-04</t>
  </si>
  <si>
    <t>Машина офсетная малая ротационная двухкрасочная листовая, формат 56х76 см</t>
  </si>
  <si>
    <t xml:space="preserve">                                   Машины офсетные листовые</t>
  </si>
  <si>
    <t>ТЕРм27-02-013-01</t>
  </si>
  <si>
    <t>Машина офсетная листовая, формат 90х126 см, однокрасочная</t>
  </si>
  <si>
    <t>ТЕРм27-02-013-02</t>
  </si>
  <si>
    <t>Машина офсетная листовая, формат 70х 100 см, двухкрасочная</t>
  </si>
  <si>
    <t>ТЕРм27-02-013-03</t>
  </si>
  <si>
    <t>Машина офсетная листовая, формат 90х 120 см, двухкрасочная</t>
  </si>
  <si>
    <t>ТЕРм27-02-013-04</t>
  </si>
  <si>
    <t>Машина офсетная листовая, формат 90х126 см, двухкрасочная</t>
  </si>
  <si>
    <t>ТЕРм27-02-013-05</t>
  </si>
  <si>
    <t>Машина офсетная листовая, формат 100х140 см, двухкрасочная</t>
  </si>
  <si>
    <t>ТЕРм27-02-013-06</t>
  </si>
  <si>
    <t>Машина офсетная листовая, формат 70х 100 см, четырехкрасочная</t>
  </si>
  <si>
    <t>ТЕРм27-02-013-07</t>
  </si>
  <si>
    <t>Машина офсетная листовая, формат 90х 126 см, четырехкрасочная</t>
  </si>
  <si>
    <t>ТЕРм27-02-013-08</t>
  </si>
  <si>
    <t>Машина офсетная листовая, формат 100х140 см, четырехкрасочная</t>
  </si>
  <si>
    <t>ТЕРм27-02-013-09</t>
  </si>
  <si>
    <t>Машина офсетная листовая, формат 70х 100 см, шестикрасочная</t>
  </si>
  <si>
    <t xml:space="preserve">                                   Машины офсетные рулонные</t>
  </si>
  <si>
    <t>ТЕРм27-02-014-01</t>
  </si>
  <si>
    <t>Машина офсетная ротационная рулонная газетная, формат 62х42 см</t>
  </si>
  <si>
    <t>ТЕРм27-02-014-02</t>
  </si>
  <si>
    <t>Машина офсетная ротационная рулонная газетная, формат 59,4х42 см, однорулонная</t>
  </si>
  <si>
    <t>ТЕРм27-02-014-03</t>
  </si>
  <si>
    <t>Машина офсетная ротационная рулонная газетная, формат 59,4х42 см, двухрулонная</t>
  </si>
  <si>
    <t>ТЕРм27-02-014-04</t>
  </si>
  <si>
    <t>Машина офсетная ротационная рулонная, ширина бумажного полотна 66 см, четырехкрасочная</t>
  </si>
  <si>
    <t xml:space="preserve">                                   Машины офсетные ролевые многокрасочные</t>
  </si>
  <si>
    <t>ТЕРм27-02-015-01</t>
  </si>
  <si>
    <t>Машина офсетная ролевая многокрасочная ротационная газетная, ширина бумажного полотна 168 см (двухрольная секция)</t>
  </si>
  <si>
    <t xml:space="preserve">                                   Раздел 3. СТАНКИ КОРРЕКТУРНЫЕ, ПРОБОПЕЧАТНЫЕ</t>
  </si>
  <si>
    <t xml:space="preserve">                                   Станки пробопечатные офсетные</t>
  </si>
  <si>
    <t>ТЕРм27-02-025-01</t>
  </si>
  <si>
    <t>Станок пробопечатный офсетный, формат 70х104 см</t>
  </si>
  <si>
    <t>ТЕРм27-02-025-02</t>
  </si>
  <si>
    <t>Станок офсетно-переводной, формат 92х126 см</t>
  </si>
  <si>
    <t xml:space="preserve">                                   Раздел 4. ВСПОМОГАТЕЛЬНОЕ ОБОРУДОВАНИЕ</t>
  </si>
  <si>
    <t>ТЕРм27-02-030-01</t>
  </si>
  <si>
    <t>Машина краскотерочная</t>
  </si>
  <si>
    <t xml:space="preserve">                                   Оборудование специальное</t>
  </si>
  <si>
    <t>ТЕРм27-02-031-01</t>
  </si>
  <si>
    <t>Устройство счетно-комплектующее</t>
  </si>
  <si>
    <t>ТЕРм27-02-031-02</t>
  </si>
  <si>
    <t>Устройство приемно-комплектующее, автоматическое</t>
  </si>
  <si>
    <t>ТЕРм27-02-031-03</t>
  </si>
  <si>
    <t>Устройство распределительно-транспортирующее</t>
  </si>
  <si>
    <t xml:space="preserve">                                   Транспортеры газетные</t>
  </si>
  <si>
    <t>ТЕРм27-02-032-01</t>
  </si>
  <si>
    <t>Станция приемная</t>
  </si>
  <si>
    <t>ТЕРм27-02-032-02</t>
  </si>
  <si>
    <t>Станция выводная</t>
  </si>
  <si>
    <t>ТЕРм27-02-032-03</t>
  </si>
  <si>
    <t>Колея транспортера</t>
  </si>
  <si>
    <t xml:space="preserve">                                   Оборудование вспомогательное к офсетным печатным машинам</t>
  </si>
  <si>
    <t>ТЕРм27-02-033-01</t>
  </si>
  <si>
    <t>Установка для приготовления увлажняющего раствора</t>
  </si>
  <si>
    <t>ТЕРм27-02-033-02</t>
  </si>
  <si>
    <t>Машина пневматическая для загибки офсетных печатных форм</t>
  </si>
  <si>
    <t>ТЕРм27-02-033-03</t>
  </si>
  <si>
    <t>Станок для пробивки отверстий в офсетных печатных пластинах</t>
  </si>
  <si>
    <t>ТЕРм27-02-033-04</t>
  </si>
  <si>
    <t>Станок для крепления планок к офсетной резине</t>
  </si>
  <si>
    <t xml:space="preserve">                           Раздел 3. ОТДЕЛ 03. БРОШЮРОВОЧНО-ПЕРЕПЛЕТНОЕ ОБОРУДОВАНИЕ</t>
  </si>
  <si>
    <t xml:space="preserve">                                   Раздел 1. МАШИНЫ РЕЗАЛЬНЫЕ</t>
  </si>
  <si>
    <t xml:space="preserve">                                   Машины листорезальные</t>
  </si>
  <si>
    <t>ТЕРм27-03-001-01</t>
  </si>
  <si>
    <t>Машина листорезальная для рулонов, количество рулонов 1</t>
  </si>
  <si>
    <t>ТЕРм27-03-001-02</t>
  </si>
  <si>
    <t>Машина листорезальная для рулонов, количество рулонов 2</t>
  </si>
  <si>
    <t>ТЕРм27-03-001-03</t>
  </si>
  <si>
    <t>Машина листорезальная для рулонов, количество рулонов 4</t>
  </si>
  <si>
    <t>ТЕРм27-03-001-04</t>
  </si>
  <si>
    <t>Машина листорезальная</t>
  </si>
  <si>
    <t xml:space="preserve">                                   Машины бумагорезальные одноножевые</t>
  </si>
  <si>
    <t>ТЕРм27-03-002-01</t>
  </si>
  <si>
    <t>Машина бумагорезальная одноножевая, длина резания 720 мм</t>
  </si>
  <si>
    <t>ТЕРм27-03-002-02</t>
  </si>
  <si>
    <t>Машина бумагорезальная одноножевая, длина резания 1250 мм</t>
  </si>
  <si>
    <t>ТЕРм27-03-002-03</t>
  </si>
  <si>
    <t>Машина бумагорезальная одноножевая, длина резания 1390 мм</t>
  </si>
  <si>
    <t xml:space="preserve">                                   Машины бумагорезальные с программным управлением</t>
  </si>
  <si>
    <t>ТЕРм27-03-003-01</t>
  </si>
  <si>
    <t>Машина бумагорезальная с программным управлением, длина резания 1320 мм</t>
  </si>
  <si>
    <t>ТЕРм27-03-003-02</t>
  </si>
  <si>
    <t>Машина бумагорезальная с программным управлением, длина резания 1680 мм</t>
  </si>
  <si>
    <t xml:space="preserve">                                   Машины бумагорезальные трехножевые</t>
  </si>
  <si>
    <t>ТЕРм27-03-004-01</t>
  </si>
  <si>
    <t>Машина бумагорезальная трехножевая, наибольший размер обрезаемых блоков 245х340 мм, автоматическая</t>
  </si>
  <si>
    <t>ТЕРм27-03-004-02</t>
  </si>
  <si>
    <t>Машина бумагорезальная трехножевая, наибольший размер обрезаемых блоков 315х450 мм, полуавтоматическая</t>
  </si>
  <si>
    <t>ТЕРм27-03-004-03</t>
  </si>
  <si>
    <t>Машина бумагорезальная трехножевая, наибольший размер обрезаемых блоков 430х300 мм, автоматическая</t>
  </si>
  <si>
    <t xml:space="preserve">                                   Разные резальные машины и станки</t>
  </si>
  <si>
    <t>ТЕРм27-03-005-01</t>
  </si>
  <si>
    <t>Машина бобинорезальная</t>
  </si>
  <si>
    <t>ТЕРм27-03-005-02</t>
  </si>
  <si>
    <t>Машина картонорезальная</t>
  </si>
  <si>
    <t>ТЕРм27-03-005-03</t>
  </si>
  <si>
    <t>Станок картонорезальный</t>
  </si>
  <si>
    <t xml:space="preserve">                                   Раздел 2.ОБОРУДОВАНИЕ ДЛЯ ФАЛЬЦОВКИ, КОМПЛЕКТОВКИ И СКРЕПЛЕНИЯ КНИЖНЫХ БЛОКОВ</t>
  </si>
  <si>
    <t xml:space="preserve">                                   Машины фальцевальные малоформатные</t>
  </si>
  <si>
    <t>ТЕРм27-03-015-01</t>
  </si>
  <si>
    <t>Автомат фальцевальный кассетный, формат до 30х45 см</t>
  </si>
  <si>
    <t>ТЕРм27-03-015-02</t>
  </si>
  <si>
    <t>Машина фальцевальная комбинированная, формат до 45х60 см</t>
  </si>
  <si>
    <t xml:space="preserve">                                   Машины фальцевальные</t>
  </si>
  <si>
    <t>ТЕРм27-03-016-01</t>
  </si>
  <si>
    <t>Машина фальцевальная комбинированная с устройством для скрепления тетрадей термонитями</t>
  </si>
  <si>
    <t>ТЕРм27-03-016-02</t>
  </si>
  <si>
    <t>Машина фальцевальная комбинированная формат до 71х105 см</t>
  </si>
  <si>
    <t>ТЕРм27-03-016-03</t>
  </si>
  <si>
    <t>Машина фальцевальная кассетная, формат 45х84 см</t>
  </si>
  <si>
    <t>ТЕРм27-03-016-04</t>
  </si>
  <si>
    <t>Машина фальцевальная кассетная, формат 71х108 см</t>
  </si>
  <si>
    <t>ТЕРм27-03-016-05</t>
  </si>
  <si>
    <t>Машина фальцевальная кассетная, формат 90х125 см</t>
  </si>
  <si>
    <t xml:space="preserve">                                   Линии для бесшвейного скрепления блоков</t>
  </si>
  <si>
    <t>ТЕРм27-03-017-01</t>
  </si>
  <si>
    <t>Линия поточная для бесшвейного скрепления книжных блоков</t>
  </si>
  <si>
    <t xml:space="preserve">                                   Машины листоподборочные</t>
  </si>
  <si>
    <t>ТЕРм27-03-018-01</t>
  </si>
  <si>
    <t>Машина листоподборочная с числом станций 12</t>
  </si>
  <si>
    <t>ТЕРм27-03-018-02</t>
  </si>
  <si>
    <t>Машина листоподборочная с числом станций 18</t>
  </si>
  <si>
    <t>ТЕРм27-03-018-03</t>
  </si>
  <si>
    <t>Машина листоподборочная с числом станций 24</t>
  </si>
  <si>
    <t>ТЕРм27-03-018-04</t>
  </si>
  <si>
    <t>Машина листоподборочная с числом станций 12, швейная</t>
  </si>
  <si>
    <t>ТЕРм27-03-018-05</t>
  </si>
  <si>
    <t>Машина листоподборочная с числом станций 18, швейная</t>
  </si>
  <si>
    <t>ТЕРм27-03-018-06</t>
  </si>
  <si>
    <t>Машина листоподборочная с числом станций 24, швейная</t>
  </si>
  <si>
    <t xml:space="preserve">                                   Агрегаты вкладочно-швейно-резальные</t>
  </si>
  <si>
    <t>ТЕРм27-03-019-01</t>
  </si>
  <si>
    <t>Агрегат вкладочно-швейно-резальный, формат до 32х48 см</t>
  </si>
  <si>
    <t xml:space="preserve">                                   Машины ниткошвейные и форзацприклеечные</t>
  </si>
  <si>
    <t>ТЕРм27-03-020-01</t>
  </si>
  <si>
    <t>Машина для приклейки форзацев</t>
  </si>
  <si>
    <t>ТЕРм27-03-020-02</t>
  </si>
  <si>
    <t>Автомат ниткошвейный</t>
  </si>
  <si>
    <t>ТЕРм27-03-020-03</t>
  </si>
  <si>
    <t>Машина ниткошвейная полуавтоматическая</t>
  </si>
  <si>
    <t>ТЕРм27-03-020-04</t>
  </si>
  <si>
    <t>Полуавтомат ниткошвейный</t>
  </si>
  <si>
    <t xml:space="preserve">                                   Раздел 3. ОБОРУДОВАНИЕ ДЛЯ ОБРАБОТКИ КНИЖНЫХ БЛОКОВ</t>
  </si>
  <si>
    <t xml:space="preserve">                                   Агрегаты блокообрабатывающие</t>
  </si>
  <si>
    <t>ТЕРм27-03-030-01</t>
  </si>
  <si>
    <t>Агрегат заклеечно-резальный</t>
  </si>
  <si>
    <t>ТЕРм27-03-030-02</t>
  </si>
  <si>
    <t>Агрегат блокообрабатывающий</t>
  </si>
  <si>
    <t xml:space="preserve">                                   Машины для обработки книжных блоков</t>
  </si>
  <si>
    <t>ТЕРм27-03-031-01</t>
  </si>
  <si>
    <t>Машина книговставочная</t>
  </si>
  <si>
    <t>ТЕРм27-03-031-02</t>
  </si>
  <si>
    <t>Устройство сушильно-передающее</t>
  </si>
  <si>
    <t>ТЕРм27-03-031-03</t>
  </si>
  <si>
    <t>Машина для обработки книжных блоков оклеечно-каптальная</t>
  </si>
  <si>
    <t>ТЕРм27-03-031-04</t>
  </si>
  <si>
    <t>Машина для обработки книжных блоков круглильно-кашировальная</t>
  </si>
  <si>
    <t>ТЕРм27-03-031-05</t>
  </si>
  <si>
    <t>Машина для обработки книжных блоков прессовально-штриховальная</t>
  </si>
  <si>
    <t xml:space="preserve">                                   Станки для обработки книжных блоков</t>
  </si>
  <si>
    <t>ТЕРм27-03-032-01</t>
  </si>
  <si>
    <t>Станок для обработки книжных блоков блокозаклеечный</t>
  </si>
  <si>
    <t>ТЕРм27-03-032-02</t>
  </si>
  <si>
    <t>Станок для обработки книжных блоков круглильный</t>
  </si>
  <si>
    <t>ТЕРм27-03-032-03</t>
  </si>
  <si>
    <t>Станок для обработки книжных блоков для проклейки каптала</t>
  </si>
  <si>
    <t>ТЕРм27-03-032-04</t>
  </si>
  <si>
    <t>Станок для обработки книжных блоков гидравлический для обжима корешков книжных блоков</t>
  </si>
  <si>
    <t xml:space="preserve">                                   Устройства транспортно-передающие</t>
  </si>
  <si>
    <t>ТЕРм27-03-033-01</t>
  </si>
  <si>
    <t>Устройство транспортно-синхронизирующее</t>
  </si>
  <si>
    <t>ТЕРм27-03-033-02</t>
  </si>
  <si>
    <t>Транспортер удлинительный</t>
  </si>
  <si>
    <t>ТЕРм27-03-033-03</t>
  </si>
  <si>
    <t>Транспортер поворотный</t>
  </si>
  <si>
    <t>ТЕРм27-03-033-04</t>
  </si>
  <si>
    <t>Транспортер загрузочный</t>
  </si>
  <si>
    <t xml:space="preserve">                                   Раздел 4.ОБОРУДОВАНИЕ ДЛЯ ИЗГОТОВЛЕНИЯ ПЕРЕПЛЕТНЫХ КРЫШЕК</t>
  </si>
  <si>
    <t xml:space="preserve">                                   Машины крышкоделательные</t>
  </si>
  <si>
    <t>ТЕРм27-03-040-01</t>
  </si>
  <si>
    <t>Машина крышкоделательная</t>
  </si>
  <si>
    <t>ТЕРм27-03-040-02</t>
  </si>
  <si>
    <t>Машина крышкоделательная универсальная</t>
  </si>
  <si>
    <t xml:space="preserve">                                   Машины для изготовления переплетных крышек</t>
  </si>
  <si>
    <t>ТЕРм27-03-041-01</t>
  </si>
  <si>
    <t>Машина для изготовления штуковок переплета</t>
  </si>
  <si>
    <t>ТЕРм27-03-041-02</t>
  </si>
  <si>
    <t>Пресс печатно-позолотный тигельный</t>
  </si>
  <si>
    <t>ТЕРм27-03-041-03</t>
  </si>
  <si>
    <t>Пресс печатно-позолотный автоматический</t>
  </si>
  <si>
    <t>ТЕРм27-03-041-04</t>
  </si>
  <si>
    <t>Пресс печатно-позолотный полуавтоматический</t>
  </si>
  <si>
    <t>ТЕРм27-03-041-05</t>
  </si>
  <si>
    <t>Пресс печатно-позолотный ручной</t>
  </si>
  <si>
    <t xml:space="preserve">                                   Станки для переплетных крышек</t>
  </si>
  <si>
    <t>ТЕРм27-03-042-01</t>
  </si>
  <si>
    <t>Машина клеемазальная универсальная</t>
  </si>
  <si>
    <t>ТЕРм27-03-042-02</t>
  </si>
  <si>
    <t>Станок для каландрирования переплетных крышек</t>
  </si>
  <si>
    <t xml:space="preserve">                                   Раздел 5. ОБОРУДОВАНИЕ ДЛЯ ВСТАВКИ БЛОКОВ В ПЕРЕПЛЕТНЫЕ КРЫШКИ И ОТДЕЛКИ КНИГ</t>
  </si>
  <si>
    <t xml:space="preserve">                                   Линии для обработки книжных блоков</t>
  </si>
  <si>
    <t>ТЕРм27-03-050-01</t>
  </si>
  <si>
    <t>Самонаклад к автомату</t>
  </si>
  <si>
    <t>ТЕРм27-03-050-02</t>
  </si>
  <si>
    <t>Пресс для обжима книжных блоков</t>
  </si>
  <si>
    <t>ТЕРм27-03-050-03</t>
  </si>
  <si>
    <t>Машина для заклейки и сушки корешков блоков</t>
  </si>
  <si>
    <t>ТЕРм27-03-050-04</t>
  </si>
  <si>
    <t>Устройство для формирования стопы блоков</t>
  </si>
  <si>
    <t>ТЕРм27-03-050-05</t>
  </si>
  <si>
    <t>Машина круглильно-кашировальная</t>
  </si>
  <si>
    <t>ТЕРм27-03-050-06</t>
  </si>
  <si>
    <t>Машина оклеечно-каптальная</t>
  </si>
  <si>
    <t>ТЕРм27-03-050-07</t>
  </si>
  <si>
    <t>Машина книговставочная автоматическая</t>
  </si>
  <si>
    <t>ТЕРм27-03-050-08</t>
  </si>
  <si>
    <t>Машина для штриховки и обжима книг</t>
  </si>
  <si>
    <t>ТЕРм27-03-050-09</t>
  </si>
  <si>
    <t>Транспортер криволинейный</t>
  </si>
  <si>
    <t>ТЕРм27-03-050-10</t>
  </si>
  <si>
    <t>Транспортер прямолинейный</t>
  </si>
  <si>
    <t xml:space="preserve">                                   Оборудование для вставки блоков в переплетные крышки</t>
  </si>
  <si>
    <t>ТЕРм27-03-051-01</t>
  </si>
  <si>
    <t>Машина для крытья мягкой обложкой</t>
  </si>
  <si>
    <t>ТЕРм27-03-051-02</t>
  </si>
  <si>
    <t>Станок штриховальный</t>
  </si>
  <si>
    <t xml:space="preserve">                                   Раздел 6. ПРЕССЫ ДЛЯ ПЕРЕПЛЕТНО-БРОШЮРОВОЧНЫХ ЦЕХОВ</t>
  </si>
  <si>
    <t xml:space="preserve">                                   Машины для упаковки</t>
  </si>
  <si>
    <t>ТЕРм27-03-056-01</t>
  </si>
  <si>
    <t>Машина для упаковки пачек</t>
  </si>
  <si>
    <t>ТЕРм27-03-056-02</t>
  </si>
  <si>
    <t>Машина для упаковки книг и журналов</t>
  </si>
  <si>
    <t xml:space="preserve">                           Раздел 4. ОТДЕЛ 04. ОБОРУДОВАНИЕ ДЛЯ ИЗГОТОВЛЕНИЯ И ОТДЕЛКИ КАРТОНАЖНЫХ И БЕЛОВЫХ ИЗДЕЛИЙ</t>
  </si>
  <si>
    <t xml:space="preserve">                                   Раздел 1. ОБОРУДОВАНИЕ ДЛЯ ОТДЕЛКИ ПЕЧАТНОЙ ПРОДУКЦИИ КАРТОНАЖНЫХ И БЕЛОВЫХ ИЗДЕЛИЙ</t>
  </si>
  <si>
    <t xml:space="preserve">                                   Машины для отделки продукции</t>
  </si>
  <si>
    <t>ТЕРм27-04-001-01</t>
  </si>
  <si>
    <t>Машина для отделки продукции бронзировальная комбинированная</t>
  </si>
  <si>
    <t>ТЕРм27-04-001-02</t>
  </si>
  <si>
    <t>Машина для отделки продукции лакировальная</t>
  </si>
  <si>
    <t>ТЕРм27-04-001-03</t>
  </si>
  <si>
    <t>Машина для отделки продукции для целлофанирования</t>
  </si>
  <si>
    <t xml:space="preserve">                                   Раздел 2. ОБОРУДОВАНИЕ КОПИРОВАЛЬНО-МНОЖИТЕЛЬНОЕ</t>
  </si>
  <si>
    <t xml:space="preserve">                                   Машины копировальные</t>
  </si>
  <si>
    <t>ТЕРм27-04-006-01</t>
  </si>
  <si>
    <t>Машина копировальная ротационная электрографическая</t>
  </si>
  <si>
    <t>ТЕРм27-04-006-02</t>
  </si>
  <si>
    <t>Машина копировальная электрографическая копировально-множительная</t>
  </si>
  <si>
    <t>ТЕРм27-04-006-03</t>
  </si>
  <si>
    <t>Аппарат светокопировальный</t>
  </si>
  <si>
    <t>ТЕРм27-04-006-04</t>
  </si>
  <si>
    <t>Станок для обрезки светокопий</t>
  </si>
  <si>
    <t>ТЕРм-2001-29</t>
  </si>
  <si>
    <t xml:space="preserve">                           Раздел 1. ОТДЕЛ 01. ОБОРУДОВАНИЕ ПРЕДПРИЯТИЙ ХЛЕБОПЕКАРНОЙ ПРОМЫШЛЕННОСТИ</t>
  </si>
  <si>
    <t xml:space="preserve">                                   Раздел 1. ОБОРУДОВАНИЕ ДЛЯ БЕСТАРНОГО И ТАРНОГО ХРАНЕНИЯ МУКИ И ДЛЯ ВНУТРИЗАВОДСКОГО ТРАНСПОРТА</t>
  </si>
  <si>
    <t xml:space="preserve">                                   Приемные устройства</t>
  </si>
  <si>
    <t>ТЕРм28-01-001-01</t>
  </si>
  <si>
    <t>Приемник муки с мешковыколачивателем, производительность 60 меш/ч</t>
  </si>
  <si>
    <t>ТЕРм28-01-001-02</t>
  </si>
  <si>
    <t>Щиток приемный для подключения автомуковозов</t>
  </si>
  <si>
    <t xml:space="preserve">                                   Переключатели направления муки</t>
  </si>
  <si>
    <t>ТЕРм28-01-002-01</t>
  </si>
  <si>
    <t>Переключатель направления потоков муки в трубопроводы</t>
  </si>
  <si>
    <t xml:space="preserve">                                   Питатели и дозаторы муки</t>
  </si>
  <si>
    <t>ТЕРм28-01-003-01</t>
  </si>
  <si>
    <t>Питатель для подачи или разгрузки муки в материалопровод системы аэрозольтранспорта</t>
  </si>
  <si>
    <t>ТЕРм28-01-003-02</t>
  </si>
  <si>
    <t>Дозатор муки, объем 0,25 м3</t>
  </si>
  <si>
    <t xml:space="preserve">                                   Бункеры складские для муки</t>
  </si>
  <si>
    <t>ТЕРм28-01-004-01</t>
  </si>
  <si>
    <t>Бункер секционный для бестарного хранения муки, объем 58,9 м3</t>
  </si>
  <si>
    <t>ТЕРм28-01-004-02</t>
  </si>
  <si>
    <t>Секция дополнительная для увеличения объема бункера, вместимость 11,1 м3</t>
  </si>
  <si>
    <t>ТЕРм28-01-004-03</t>
  </si>
  <si>
    <t>Бункер, объем 39 м3</t>
  </si>
  <si>
    <t>ТЕРм28-01-004-04</t>
  </si>
  <si>
    <t>Силос (бункер) вертикальный, объем 50,7 м3</t>
  </si>
  <si>
    <t xml:space="preserve">                                   Оборудование пневмотранспорта муки</t>
  </si>
  <si>
    <t>ТЕРм28-01-005-01</t>
  </si>
  <si>
    <t>Воздухоочиститель с водомаслоотделителем и фильтром, производительность 6 м3/мин</t>
  </si>
  <si>
    <t>ТЕРм28-01-006-01</t>
  </si>
  <si>
    <t>Фильтр-разгрузитель, площадь фильтрующей поверхности 0,33 м2</t>
  </si>
  <si>
    <t>ТЕРм28-01-006-02</t>
  </si>
  <si>
    <t>Фильтр для тонкой очистки воздуха от муки и мучной пыли, площадь фильтрующей поверхности 3,4 м2</t>
  </si>
  <si>
    <t>ТЕРм28-01-006-03</t>
  </si>
  <si>
    <t>Фильтр для тонкой очистки воздуха от муки и мучной пыли, площадь фильтрующей поверхности 9 м2</t>
  </si>
  <si>
    <t xml:space="preserve">                                   Вентиляционные и компрессорные установки</t>
  </si>
  <si>
    <t>ТЕРм28-01-007-01</t>
  </si>
  <si>
    <t>Установка вентиляторная для подачи воздуха под аэрированные днища бункеров, производительность 3000 м3/ч</t>
  </si>
  <si>
    <t>ТЕРм28-01-007-02</t>
  </si>
  <si>
    <t>Питатель для питания сжатым воздухом кондиционеров, производительность 30 м3/ч</t>
  </si>
  <si>
    <t>ТЕРм28-01-007-03</t>
  </si>
  <si>
    <t>Станция компрессорная для подачи сжатого воздуха, производительность 6 м3/мин</t>
  </si>
  <si>
    <t xml:space="preserve">                                   Раздел 2. ОБОРУДОВАНИЕ ДЛЯ ПОДГОТОВКИ СЫРЬЯ И ЕГО ДОЗИРОВАНИЯ</t>
  </si>
  <si>
    <t xml:space="preserve">                                   Машины для смешивания муки</t>
  </si>
  <si>
    <t>ТЕРм28-01-020-01</t>
  </si>
  <si>
    <t>Мукосмеситель для составления смеси из двух сортов муки, производительность 3 т/ч</t>
  </si>
  <si>
    <t xml:space="preserve">                                   Машины для просеивания муки</t>
  </si>
  <si>
    <t>ТЕРм28-01-021-01</t>
  </si>
  <si>
    <t>Просеиватель для контрольного просеивания муки, производительность 1,5-3 т/ч</t>
  </si>
  <si>
    <t>ТЕРм28-01-021-02</t>
  </si>
  <si>
    <t>Агрегат просеивательный для очистки муки от посторонних примесей, производительность 270 кг/ч</t>
  </si>
  <si>
    <t>ТЕРм28-01-021-03</t>
  </si>
  <si>
    <t>Просеиватель для просеивания, разрыхления и аэрации муки, производительность 1,6 т/ч</t>
  </si>
  <si>
    <t xml:space="preserve">                                   Оборудование для подготовки и дозировки жидких ингредиентов</t>
  </si>
  <si>
    <t>ТЕРм28-01-022-01</t>
  </si>
  <si>
    <t>Сахарожирорастворитель, объем 0,2 м3</t>
  </si>
  <si>
    <t>ТЕРм28-01-022-02</t>
  </si>
  <si>
    <t>Установка для приготовления водно-жировых эмульсий, производительность 85 л/ч</t>
  </si>
  <si>
    <t>ТЕРм28-01-022-03</t>
  </si>
  <si>
    <t>Солерастворитель, объем 0,53 м3</t>
  </si>
  <si>
    <t>ТЕРм28-01-022-04</t>
  </si>
  <si>
    <t>Солерастворитель, объем 1 м3</t>
  </si>
  <si>
    <t>ТЕРм28-01-022-05</t>
  </si>
  <si>
    <t>Станция дозировочная для подогрева воды и дозирования жидких компонентов</t>
  </si>
  <si>
    <t>ТЕРм28-01-022-06</t>
  </si>
  <si>
    <t>Установка насосная для перекачивания и дозирования жидких полуфабрикатов, производительность 600 л/мин</t>
  </si>
  <si>
    <t xml:space="preserve">                                   Машины для приготовления заварки и закваски</t>
  </si>
  <si>
    <t>ТЕРм28-01-023-01</t>
  </si>
  <si>
    <t>Машина для приготовления мучной заварки с последующим охлаждением, производительность 300 кг/ч</t>
  </si>
  <si>
    <t xml:space="preserve">                                   Дозаторы опары</t>
  </si>
  <si>
    <t>ТЕРм28-01-024-01</t>
  </si>
  <si>
    <t>Дозатор для подачи опары в тестомесильную машину</t>
  </si>
  <si>
    <t xml:space="preserve">                                   Бункеры для опары</t>
  </si>
  <si>
    <t>ТЕРм28-01-025-01</t>
  </si>
  <si>
    <t>Бункер для опары вместимостью 12 м3</t>
  </si>
  <si>
    <t xml:space="preserve">                                   Раздел 3. ОБОРУДОВАНИЕ ДЛЯ ПРИГОТОВЛЕНИЯ ДРОЖЖЕЙ</t>
  </si>
  <si>
    <t xml:space="preserve">                                   Оборудование для приготовления дрожжей</t>
  </si>
  <si>
    <t>ТЕРм28-01-035-01</t>
  </si>
  <si>
    <t>Чан дрожжевой из нержавеющей стали объемом 1000 л</t>
  </si>
  <si>
    <t xml:space="preserve">                                   Раздел 4. ОБОРУДОВАНИЕ ТЕСТОПРИГОТОВИТЕЛЬНОЕ</t>
  </si>
  <si>
    <t xml:space="preserve">                                   Машины тестомесильные</t>
  </si>
  <si>
    <t>ТЕРм28-01-040-01</t>
  </si>
  <si>
    <t>Машина тестомесильная, число качаний месильного рычага 26,9 об/мин</t>
  </si>
  <si>
    <t>ТЕРм28-01-040-02</t>
  </si>
  <si>
    <t>Машина тестомесильная, производительность 0,9 т/ч</t>
  </si>
  <si>
    <t>ТЕРм28-01-040-03</t>
  </si>
  <si>
    <t>Машина тестомесильная, производительность 0,8 т/ч</t>
  </si>
  <si>
    <t>ТЕРм28-01-040-04</t>
  </si>
  <si>
    <t>Машина тестомесильная, производительность 1,2 т/ч</t>
  </si>
  <si>
    <t xml:space="preserve">                                   Дежи</t>
  </si>
  <si>
    <t>ТЕРм28-01-041-01</t>
  </si>
  <si>
    <t>Дежа для периодического замеса и брожения опары и теста, объем 330 л</t>
  </si>
  <si>
    <t xml:space="preserve">                                   Агрегаты тестоприготовительные</t>
  </si>
  <si>
    <t>ТЕРм28-01-042-01</t>
  </si>
  <si>
    <t>Агрегат тестоприготовительный бункерный производительностью до 30 т/сут</t>
  </si>
  <si>
    <t>ТЕРм28-01-042-02</t>
  </si>
  <si>
    <t>Агрегат тестоприготовительный бункерный производительностью до 30 т/сут, в том числе машина тестомесильная производительностью 30 т/сут</t>
  </si>
  <si>
    <t>ТЕРм28-01-042-03</t>
  </si>
  <si>
    <t>Агрегат тестоприготовительный бункерный производительностью до 30 т/сут, в том числе нагнетатель опары производительностью 60 л/мин</t>
  </si>
  <si>
    <t>ТЕРм28-01-042-04</t>
  </si>
  <si>
    <t>Агрегат тестоприготовительный бункерный производительностью до 30 т/сут, в том числе бункер для брожения теста объемом 400 л</t>
  </si>
  <si>
    <t>ТЕРм28-01-042-05</t>
  </si>
  <si>
    <t>Агрегат тестоприготовительный бункерный производительностью до 30 т/сут, в том числе нагнетатель теста</t>
  </si>
  <si>
    <t>ТЕРм28-01-042-06</t>
  </si>
  <si>
    <t>Агрегат тестоприготовительный бункерный производительностью до 30 т/сут, в том числе дозатор для подачи опары в тестомесильную машину</t>
  </si>
  <si>
    <t>ТЕРм28-01-042-07</t>
  </si>
  <si>
    <t>Агрегат тестоприготовительный бункерный производительностью до 30 т/сут, в том числе бункер для опары вместимостью 12 м3</t>
  </si>
  <si>
    <t xml:space="preserve">                                   Раздел 5. ОБОРУДОВАНИЕ ДЛЯ РАЗГРУЗКИ ТЕСТА</t>
  </si>
  <si>
    <t xml:space="preserve">                                   Дежеопрокидыватели</t>
  </si>
  <si>
    <t>ТЕРм28-01-052-01</t>
  </si>
  <si>
    <t>Дежеопрокидыватель для подъема и опрокидывания дежей</t>
  </si>
  <si>
    <t xml:space="preserve">                                   Раздел 6. ОБОРУДОВАНИЕ ТЕСТОРАЗДЕЛОЧНОЕ</t>
  </si>
  <si>
    <t xml:space="preserve">                                   Машины тестоделительные</t>
  </si>
  <si>
    <t>ТЕРм28-01-060-01</t>
  </si>
  <si>
    <t>Машина универсальная тестоделительная</t>
  </si>
  <si>
    <t>ТЕРм28-01-060-02</t>
  </si>
  <si>
    <t>Тестоделитель для ржаной муки</t>
  </si>
  <si>
    <t>ТЕРм28-01-060-03</t>
  </si>
  <si>
    <t>Автомат тестоделительный для пшеничной муки</t>
  </si>
  <si>
    <t>ТЕРм28-01-060-04</t>
  </si>
  <si>
    <t>Машина тестоокруглительная для пшеничной муки</t>
  </si>
  <si>
    <t>ТЕРм28-01-060-05</t>
  </si>
  <si>
    <t>Транспортер для перемещения тестовых заготовок</t>
  </si>
  <si>
    <t>ТЕРм28-01-060-06</t>
  </si>
  <si>
    <t>Укладчик-делитель, производительность 16 шт./мин</t>
  </si>
  <si>
    <t>ТЕРм28-01-060-07</t>
  </si>
  <si>
    <t>Автомат делительно-округлительный для мелкоштучных булочных изделий, производительность 40-100 шт./мин</t>
  </si>
  <si>
    <t xml:space="preserve">                                   Машины тестозакаточные</t>
  </si>
  <si>
    <t>ТЕРм28-01-061-01</t>
  </si>
  <si>
    <t>Машина для закатки кусков теста, производительность до 3600 кусков/ч</t>
  </si>
  <si>
    <t xml:space="preserve">                                   Машины тестоформующие для баранок, сухарей и других изделий</t>
  </si>
  <si>
    <t>ТЕРм28-01-062-01</t>
  </si>
  <si>
    <t>Машина для деления и формования заготовок бараночных изделий</t>
  </si>
  <si>
    <t>ТЕРм28-01-062-02</t>
  </si>
  <si>
    <t>Машина натирочная для уплотнения теста производительностью 600 кг/ч</t>
  </si>
  <si>
    <t>ТЕРм28-01-062-03</t>
  </si>
  <si>
    <t>Машина для изготовления сухарных плит производительностью 12 т/сут</t>
  </si>
  <si>
    <t>ТЕРм28-01-062-04</t>
  </si>
  <si>
    <t>Машина для формования рогаликов</t>
  </si>
  <si>
    <t xml:space="preserve">                                   Раздел 7. ОБОРУДОВАНИЕ ДЛЯ РАССТОЙКИ ТЕСТА</t>
  </si>
  <si>
    <t xml:space="preserve">                                   Оборудование для расстойки теста</t>
  </si>
  <si>
    <t>ТЕРм28-01-072-01</t>
  </si>
  <si>
    <t>Конвейер окончательной расстойки тестовых заготовок, количество люлек 30 шт.</t>
  </si>
  <si>
    <t>ТЕРм28-01-072-02</t>
  </si>
  <si>
    <t>Агрегат расстойный, количество люлек 120 шт.</t>
  </si>
  <si>
    <t>ТЕРм28-01-072-03</t>
  </si>
  <si>
    <t>Шкаф расстойный к печам с сетчатым подом</t>
  </si>
  <si>
    <t xml:space="preserve">                                   Раздел 8. ОБОРУДОВАНИЕ ДЛЯ ИЗГОТОВЛЕНИЯ СУХАРЕЙ</t>
  </si>
  <si>
    <t xml:space="preserve">                                   Машины хлеборезные</t>
  </si>
  <si>
    <t>ТЕРм28-01-080-01</t>
  </si>
  <si>
    <t>Машина хлеборезная, производительность 1000 кг/ч</t>
  </si>
  <si>
    <t xml:space="preserve">                                   Сушилки для сухарей</t>
  </si>
  <si>
    <t>ТЕРм28-01-081-01</t>
  </si>
  <si>
    <t>Сушилка для сухарей, производительность до 2 т/сут</t>
  </si>
  <si>
    <t xml:space="preserve">                                   Раздел 9. ОБОРУДОВАНИЕ РАЗНОЕ</t>
  </si>
  <si>
    <t>ТЕРм28-01-090-01</t>
  </si>
  <si>
    <t>Машина автоматическая для смазки хлебных форм</t>
  </si>
  <si>
    <t>ТЕРм28-01-090-02</t>
  </si>
  <si>
    <t>Машина для очистки и смазки металлических листов, производительность 200 листов/ч</t>
  </si>
  <si>
    <t>ТЕРм28-01-090-03</t>
  </si>
  <si>
    <t>Механизм стыковки автомобиля</t>
  </si>
  <si>
    <t>ТЕРм28-01-090-04</t>
  </si>
  <si>
    <t>Машина для завертывания хлеба в полимерную пленку, производительность 40 упаковок/мин</t>
  </si>
  <si>
    <t>ТЕРм28-01-090-05</t>
  </si>
  <si>
    <t>Комплекс для очистки тканевых мешков от мучной пыли и тестовой корки, производительность 200 мешков/ч</t>
  </si>
  <si>
    <t>ТЕРм28-01-090-06</t>
  </si>
  <si>
    <t>Машина для переработки хлебных отходов, производительность 1000 кг/ч</t>
  </si>
  <si>
    <t xml:space="preserve">                           Раздел 2. ОТДЕЛ 02. ОБОРУДОВАНИЕ ПРЕДПРИЯТИЙ САХАРНОЙ ПРОМЫШЛЕННОСТИ</t>
  </si>
  <si>
    <t xml:space="preserve">                                   Раздел 1. МЕХАНИЗМЫ ТРАНСПОРТНЫЕ СПЕЦИАЛЬНЫЕ</t>
  </si>
  <si>
    <t xml:space="preserve">                                   Механизмы транспортные специальные</t>
  </si>
  <si>
    <t>ТЕРм28-02-001-01</t>
  </si>
  <si>
    <t>Комкоотделитель ротационный</t>
  </si>
  <si>
    <t>ТЕРм28-02-001-02</t>
  </si>
  <si>
    <t>Конвейер качающийся для белого сахара, ширина желоба 1000 мм, длина конвейера 7,5 м</t>
  </si>
  <si>
    <t>ТЕРм28-02-001-03</t>
  </si>
  <si>
    <t>Конвейер качающийся для белого сахара, ширина желоба 1000 мм, длина конвейера 8,5 м</t>
  </si>
  <si>
    <t>ТЕРм28-02-001-04</t>
  </si>
  <si>
    <t>Конвейер качающийся для белого сахара, ширина желоба 14300 мм, длина конвейера 16 м</t>
  </si>
  <si>
    <t xml:space="preserve">                                   Раздел 2. СВЕКЛОРЕЗКИ</t>
  </si>
  <si>
    <t xml:space="preserve">                                   Свеклорезки</t>
  </si>
  <si>
    <t>ТЕРм28-02-007-01</t>
  </si>
  <si>
    <t>Свеклорезка центробежная, количество ножевых рам 12</t>
  </si>
  <si>
    <t>ТЕРм28-02-007-02</t>
  </si>
  <si>
    <t>Свеклорезка центробежная, количество ножевых рам 16</t>
  </si>
  <si>
    <t xml:space="preserve">                                   Раздел 3. ОБОРУДОВАНИЕ РАСФАСОВКИ И УПАКОВКИ САХАРА-РАФИНАДА И ПЕСКА</t>
  </si>
  <si>
    <t xml:space="preserve">                                   Оборудование для расфасовки и упаковки сахара-рафинада и песка</t>
  </si>
  <si>
    <t>ТЕРм28-02-012-01</t>
  </si>
  <si>
    <t>Линия для расфасовки сахара-песка в пакеты</t>
  </si>
  <si>
    <t>ТЕРм28-02-012-02</t>
  </si>
  <si>
    <t>Линия для расфасовки сахара-песка в пакеты, в том числе автомат фасовочный</t>
  </si>
  <si>
    <t>ТЕРм28-02-012-03</t>
  </si>
  <si>
    <t>Линия для расфасовки сахара-песка в пакеты, в том числе устройство штабелирующее</t>
  </si>
  <si>
    <t>ТЕРм28-02-012-04</t>
  </si>
  <si>
    <t>Линия для расфасовки сахара-песка в пакеты, в том числе автомат завертки штабеля в бумагу</t>
  </si>
  <si>
    <t>ТЕРм28-02-012-05</t>
  </si>
  <si>
    <t>Автомат упаковочный для коробок или пакетов</t>
  </si>
  <si>
    <t>ТЕРм28-02-012-06</t>
  </si>
  <si>
    <t>Автомат для завертки сахара-рафинада по 2 шт.</t>
  </si>
  <si>
    <t xml:space="preserve">                                   Раздел 4. ОБОРУДОВАНИЕ ДЛЯ МОЙКИ СЫРЬЯ</t>
  </si>
  <si>
    <t xml:space="preserve">                                   Хвостикоулавливатели</t>
  </si>
  <si>
    <t>ТЕРм28-02-017-01</t>
  </si>
  <si>
    <t>Хвостикоулавливатель-классификатор, тип РХК-3М</t>
  </si>
  <si>
    <t>ТЕРм28-02-017-02</t>
  </si>
  <si>
    <t>Хвостикоулавливатель-классификатор, тип РХК-4,5</t>
  </si>
  <si>
    <t xml:space="preserve">                                   Водоотделители</t>
  </si>
  <si>
    <t>ТЕРм28-02-018-01</t>
  </si>
  <si>
    <t>Водоотделитель дисковый, производительность (по свекле) 3000 т/сут</t>
  </si>
  <si>
    <t>ТЕРм28-02-018-02</t>
  </si>
  <si>
    <t>Водоотделитель дисковый, производительность (по свекле) 6000 т/сут</t>
  </si>
  <si>
    <t xml:space="preserve">                                   Свекломойки</t>
  </si>
  <si>
    <t>ТЕРм28-02-019-01</t>
  </si>
  <si>
    <t>Линия для мойки и доочистки свеклы, производительность (по свекле) 3000 т/сут</t>
  </si>
  <si>
    <t>ТЕРм28-02-019-02</t>
  </si>
  <si>
    <t>Линия для мойки и доочистки свеклы, производительность (по свекле) 3000 т/сут, в том числе мойка барабанная</t>
  </si>
  <si>
    <t>ТЕРм28-02-019-03</t>
  </si>
  <si>
    <t>Линия для мойки и доочистки свеклы, производительность (по свекле) 3000 т/сут, в том числе свеклоополаскиватель</t>
  </si>
  <si>
    <t>ТЕРм28-02-019-04</t>
  </si>
  <si>
    <t>Линия для мойки и доочистки свеклы, производительность (по свекле) 6000 т/сут</t>
  </si>
  <si>
    <t>ТЕРм28-02-019-05</t>
  </si>
  <si>
    <t>Линия для мойки и доочистки свеклы, производительность (по свекле) 6000 т/сут, в том числе мойка барабанная</t>
  </si>
  <si>
    <t>ТЕРм28-02-019-06</t>
  </si>
  <si>
    <t>Линия для мойки и доочистки свеклы, производительность (по свекле) 6000 т/сут, в том числе свеклоополаскиватель</t>
  </si>
  <si>
    <t>ТЕРм28-02-019-07</t>
  </si>
  <si>
    <t>Свекломойка производительность (по свекле) 1500 т/сут</t>
  </si>
  <si>
    <t>ТЕРм28-02-019-08</t>
  </si>
  <si>
    <t>Свекломойка производительность (по свекле) 3000 т/сут</t>
  </si>
  <si>
    <t xml:space="preserve">                                   Раздел 5. ОБОРУДОВАНИЕ МЕШАЛЬНОЕ</t>
  </si>
  <si>
    <t>ТЕРм28-02-025-01</t>
  </si>
  <si>
    <t>Мешалка аффинационная</t>
  </si>
  <si>
    <t>ТЕРм28-02-025-02</t>
  </si>
  <si>
    <t>Утфелемешалка-кристаллизатор, полезный объем 30 м3</t>
  </si>
  <si>
    <t>ТЕРм28-02-025-03</t>
  </si>
  <si>
    <t>Утфелемешалка-кристаллизатор, полезный объем 45 м3</t>
  </si>
  <si>
    <t>ТЕРм28-02-025-04</t>
  </si>
  <si>
    <t>Утфелемешалка для перемешивания утфеля 1-го продукта</t>
  </si>
  <si>
    <t>ТЕРм28-02-025-05</t>
  </si>
  <si>
    <t>Утфелемешалка приемная, объем 65 м3</t>
  </si>
  <si>
    <t>ТЕРм28-02-025-06</t>
  </si>
  <si>
    <t>Утфелемешалка кристаллизатор, вертикальная автоматизированная</t>
  </si>
  <si>
    <t xml:space="preserve">                                   Утфелераспределители</t>
  </si>
  <si>
    <t>ТЕРм28-02-026-01</t>
  </si>
  <si>
    <t>Утфелераспределитель для подачи утфеля в центрифуги, количество центрифуг 3</t>
  </si>
  <si>
    <t>ТЕРм28-02-026-02</t>
  </si>
  <si>
    <t>Утфелераспределитель для подачи утфеля в центрифуги, количество центрифуг 4</t>
  </si>
  <si>
    <t>ТЕРм28-02-027-01</t>
  </si>
  <si>
    <t>Центрифуга непрерывного действия, тип ФПИ-1321К-01</t>
  </si>
  <si>
    <t>ТЕРм28-02-027-02</t>
  </si>
  <si>
    <t>Центрифуга непрерывного действия, тип ФПН-1321Л-01</t>
  </si>
  <si>
    <t>ТЕРм28-02-027-03</t>
  </si>
  <si>
    <t>Центрифуга непрерывного действия, тип ФПН-1251Л-02</t>
  </si>
  <si>
    <t>ТЕРм28-02-027-04</t>
  </si>
  <si>
    <t>Центрифуга непрерывного действия, тип ФПН-1251Л-07</t>
  </si>
  <si>
    <t xml:space="preserve">                                   Раздел 6. ОБОРУДОВАНИЕ ФИЛЬТРАЦИОННОЕ</t>
  </si>
  <si>
    <t xml:space="preserve">                                   Оборудование фильтрационное</t>
  </si>
  <si>
    <t>ТЕРм28-02-035-01</t>
  </si>
  <si>
    <t>Фильтр с пневмогидравлической выгрузкой осадка, поверхность фильтрации 60 м2</t>
  </si>
  <si>
    <t>ТЕРм28-02-035-02</t>
  </si>
  <si>
    <t>Фильтр с пневмогидравлической выгрузкой осадка, поверхность фильтрации 100 м2</t>
  </si>
  <si>
    <t>ТЕРм28-02-035-03</t>
  </si>
  <si>
    <t>Фильтр дисковый, поверхность фильтрации 80 м2</t>
  </si>
  <si>
    <t>ТЕРм28-02-035-04</t>
  </si>
  <si>
    <t>Фильтр дисковый, поверхность фильтрации 150 м2</t>
  </si>
  <si>
    <t xml:space="preserve">                                   Раздел 7. ЛОВУШКИ</t>
  </si>
  <si>
    <t xml:space="preserve">                                   Камнеловушки</t>
  </si>
  <si>
    <t>ТЕРм28-02-040-01</t>
  </si>
  <si>
    <t>Ловушка тяжелых примесей, производительность (по свекле) 3000 т/сут</t>
  </si>
  <si>
    <t>ТЕРм28-02-040-02</t>
  </si>
  <si>
    <t>Ловушка тяжелых примесей, производительность (по свекле) 6000 т/сут</t>
  </si>
  <si>
    <t xml:space="preserve">                                   Пульполовушки</t>
  </si>
  <si>
    <t>ТЕРм28-02-041-01</t>
  </si>
  <si>
    <t>Пульполовушка ротационная к диффузионным аппаратам КДА20</t>
  </si>
  <si>
    <t>ТЕРм28-02-041-02</t>
  </si>
  <si>
    <t>Пульполовушка ротационная к диффузионным аппаратам КДА30</t>
  </si>
  <si>
    <t>ТЕРм28-02-041-03</t>
  </si>
  <si>
    <t>Пульполовушки с прессом к диффузионным аппаратам КДА20</t>
  </si>
  <si>
    <t>ТЕРм28-02-041-04</t>
  </si>
  <si>
    <t>Пульполовушки с прессом к диффузионным аппаратам КДА30</t>
  </si>
  <si>
    <t xml:space="preserve">                                   Песколовушки</t>
  </si>
  <si>
    <t>ТЕРм28-02-042-01</t>
  </si>
  <si>
    <t>Песколовушка системы Руссель-Дорошенко</t>
  </si>
  <si>
    <t xml:space="preserve">                                   Соломоловушки</t>
  </si>
  <si>
    <t>ТЕРм28-02-043-01</t>
  </si>
  <si>
    <t>Соломоловушка горизонтальная, тип СБГМ-700</t>
  </si>
  <si>
    <t>ТЕРм28-02-043-02</t>
  </si>
  <si>
    <t>Соломоловушка горизонтальная, тип СБГМ-1060</t>
  </si>
  <si>
    <t xml:space="preserve">                                   Ловушки разные</t>
  </si>
  <si>
    <t>ТЕРм28-02-044-01</t>
  </si>
  <si>
    <t>Ловушка к выпарным аппаратам 1-го продукта</t>
  </si>
  <si>
    <t>ТЕРм28-02-044-02</t>
  </si>
  <si>
    <t>Ловушка к выпарным аппаратам 2-го продукта</t>
  </si>
  <si>
    <t>ТЕРм28-02-044-03</t>
  </si>
  <si>
    <t>Ловушка перед лавером</t>
  </si>
  <si>
    <t>ТЕРм28-02-044-04</t>
  </si>
  <si>
    <t>Ловушка перед газовыми компрессорами</t>
  </si>
  <si>
    <t xml:space="preserve">                                   Раздел 8. ВОДООТДЕЛТЕЛИ И ВОДООТВОДЧИКИ</t>
  </si>
  <si>
    <t>ТЕРм28-02-050-01</t>
  </si>
  <si>
    <t>Колонки для конденсата с двумя циркуляционными контурами, высота до 7000 мм для вакуум - аппаратов Д100-200</t>
  </si>
  <si>
    <t>ТЕРм28-02-050-02</t>
  </si>
  <si>
    <t>Колонки для конденсата с двумя циркуляционными контурами, высота до 7000 мм для выпарных аппаратов Д150</t>
  </si>
  <si>
    <t>ТЕРм28-02-050-03</t>
  </si>
  <si>
    <t>Колонки для конденсата с двумя циркуляционными контурами, высота до 7000 мм для выпарных аппаратов Д250</t>
  </si>
  <si>
    <t>ТЕРм28-02-050-04</t>
  </si>
  <si>
    <t>Колонки для конденсата с двумя циркуляционными контурами, высота до 7000 мм для выпарных аппаратов Д400</t>
  </si>
  <si>
    <t xml:space="preserve">                                   Водоотводчики</t>
  </si>
  <si>
    <t>ТЕРм28-02-051-01</t>
  </si>
  <si>
    <t>Водоотводчик-автомат, диаметр штуцера 50 мм</t>
  </si>
  <si>
    <t>ТЕРм28-02-051-02</t>
  </si>
  <si>
    <t>Водоотводчик-автомат, диаметр штуцера 150 мм</t>
  </si>
  <si>
    <t xml:space="preserve">                                   Раздел 9. ПРЕССЫ</t>
  </si>
  <si>
    <t xml:space="preserve">                                   Прессы для жома</t>
  </si>
  <si>
    <t>ТЕРм28-02-055-01</t>
  </si>
  <si>
    <t>Пресс для жома наклонный, производительность до 1500 т/сут</t>
  </si>
  <si>
    <t>ТЕРм28-02-055-02</t>
  </si>
  <si>
    <t>Пресс для жома вертикальный, производительность до 700 т/сут</t>
  </si>
  <si>
    <t xml:space="preserve">                                   Раздел 10. ДИФФУЗИОННОЕ ОБОРУДОВАНИЕ</t>
  </si>
  <si>
    <t xml:space="preserve">                                   Диффузионное оборудование</t>
  </si>
  <si>
    <t>ТЕРм28-02-060-01</t>
  </si>
  <si>
    <t>Ошпариватель стружки к диффузионному аппарату</t>
  </si>
  <si>
    <t>ТЕРм28-02-060-02</t>
  </si>
  <si>
    <t>Диффузия колонная, производительность (по свекле) 1500 т/сут</t>
  </si>
  <si>
    <t>ТЕРм28-02-060-03</t>
  </si>
  <si>
    <t>Диффузия колонная, производительность (по свекле) 2000 т/сут</t>
  </si>
  <si>
    <t>ТЕРм28-02-060-04</t>
  </si>
  <si>
    <t>Диффузия колонная, производительность (по свекле) 3000 т/сут</t>
  </si>
  <si>
    <t>ТЕРм28-02-060-05</t>
  </si>
  <si>
    <t>Диффузия наклонная шнековая, производительность (по свекле) 2000 т/сут</t>
  </si>
  <si>
    <t>ТЕРм28-02-060-06</t>
  </si>
  <si>
    <t>Диффузия наклонная шнековая, производительность (по свекле) 3000 т/сут</t>
  </si>
  <si>
    <t xml:space="preserve">                                   Раздел 11. ПЕЧИ</t>
  </si>
  <si>
    <t>ТЕРм28-02-065-01</t>
  </si>
  <si>
    <t>Установка для производства сернистого газа</t>
  </si>
  <si>
    <t>ТЕРм28-02-065-02</t>
  </si>
  <si>
    <t>Печь для сжигания серы</t>
  </si>
  <si>
    <t xml:space="preserve">                                   Раздел 12. ВАКУУМ-АППАРАТЫ</t>
  </si>
  <si>
    <t xml:space="preserve">                                   Вакуум-аппараты</t>
  </si>
  <si>
    <t>ТЕРм28-02-068-01</t>
  </si>
  <si>
    <t>Вентиль шаровой для регулирования вакуума на вакуум-аппаратах, диаметр 350 мм</t>
  </si>
  <si>
    <t>ТЕРм28-02-068-02</t>
  </si>
  <si>
    <t>Вентиль шаровой для регулирования вакуума на вакуум-аппаратах, диаметр 450 мм</t>
  </si>
  <si>
    <t>ТЕРм28-02-068-03</t>
  </si>
  <si>
    <t>Вентиль шаровой для регулирования вакуума на вакуум-аппаратах, диаметр 600 мм</t>
  </si>
  <si>
    <t>ТЕРм28-02-068-04</t>
  </si>
  <si>
    <t>Вакуум-аппарат с механическим циркулятором, производительность (по уваренному утфелю) 15 т</t>
  </si>
  <si>
    <t>ТЕРм28-02-068-05</t>
  </si>
  <si>
    <t>Вакуум-аппарат с механическим циркулятором, производительность (по уваренному утфелю) 30 т</t>
  </si>
  <si>
    <t>ТЕРм28-02-068-06</t>
  </si>
  <si>
    <t>Вакуум-аппарат с механическим циркулятором, производительность (по уваренному утфелю) 40 т</t>
  </si>
  <si>
    <t>ТЕРм28-02-068-07</t>
  </si>
  <si>
    <t>Вакуум-аппарат периодического действия со средствами автоматизации</t>
  </si>
  <si>
    <t>ТЕРм28-02-068-08</t>
  </si>
  <si>
    <t>Вакуум-аппарат для уваривания утфелей из сиропов и паток</t>
  </si>
  <si>
    <t xml:space="preserve">                                   Раздел 13. ОБОРУДОВАНИЕ МЕХАНИЗАЦИИ НАРУЖНЫХ РАБОТ</t>
  </si>
  <si>
    <t xml:space="preserve">                                   Оборудование механизации наружных работ</t>
  </si>
  <si>
    <t>ТЕРм28-02-072-01</t>
  </si>
  <si>
    <t>Шибер для количественного регулирования свекловичной смеси</t>
  </si>
  <si>
    <t xml:space="preserve">                                   Раздел 14. ОБОРУДОВАНИЕ СОКООЧИСТИТЕЛЬНОГО ЦЕХА</t>
  </si>
  <si>
    <t xml:space="preserve">                                   Оборудование сокоочистительного цеха</t>
  </si>
  <si>
    <t>ТЕРм28-02-078-01</t>
  </si>
  <si>
    <t>Лавер для очистки и охлаждения сатурационного газа, диаметр корпуса 1600 мм</t>
  </si>
  <si>
    <t>ТЕРм28-02-078-02</t>
  </si>
  <si>
    <t>Аппарат автоматизированный прогрессивной преддефекации, производительность 2000 т/сут</t>
  </si>
  <si>
    <t>ТЕРм28-02-078-03</t>
  </si>
  <si>
    <t>Аппарат автоматизированный прогрессивной преддефекации, производительность 3000 т/сут</t>
  </si>
  <si>
    <t>ТЕРм28-02-078-04</t>
  </si>
  <si>
    <t>Аппарат автоматизированный прогрессивной преддефекации, производительность 4000 т/сут</t>
  </si>
  <si>
    <t>ТЕРм28-02-078-05</t>
  </si>
  <si>
    <t>Аппарат предварительной дефекации, производительность 1500 т/сут</t>
  </si>
  <si>
    <t>ТЕРм28-02-078-06</t>
  </si>
  <si>
    <t>Аппарат предварительной дефекации, производительность 3000 т/сут</t>
  </si>
  <si>
    <t>ТЕРм28-02-078-07</t>
  </si>
  <si>
    <t>Аппарат холодной ступени основной дефекации, производительность 3000 т/сут</t>
  </si>
  <si>
    <t>ТЕРм28-02-078-08</t>
  </si>
  <si>
    <t>Аппарат холодной ступени основной дефекации, производительность 6000 т/сут</t>
  </si>
  <si>
    <t>ТЕРм28-02-078-09</t>
  </si>
  <si>
    <t>Аппарат горячей ступени основной дефекации, производительность 3000 т/сут</t>
  </si>
  <si>
    <t>ТЕРм28-02-078-10</t>
  </si>
  <si>
    <t>Аппарат горячей ступени основной дефекации, производительность 6000 т/сут</t>
  </si>
  <si>
    <t>ТЕРм28-02-078-11</t>
  </si>
  <si>
    <t>Аппарат основной дефекации для окончательной обработки сока известью, производительность переработки свеклы 1500 т/сут</t>
  </si>
  <si>
    <t>ТЕРм28-02-078-12</t>
  </si>
  <si>
    <t>Аппарат основной дефекации для окончательной обработки сока известью, производительность переработки свеклы 2000 т/сут</t>
  </si>
  <si>
    <t>ТЕРм28-02-078-13</t>
  </si>
  <si>
    <t>Аппарат основной дефекации для окончательной обработки сока известью, производительность переработки свеклы 3000 т/сут</t>
  </si>
  <si>
    <t>ТЕРм28-02-078-14</t>
  </si>
  <si>
    <t>Аппарат основной дефекации для окончательной обработки сока известью, производительность переработки свеклы 4500 т/сут</t>
  </si>
  <si>
    <t>ТЕРм28-02-078-15</t>
  </si>
  <si>
    <t>Аппарат основной дефекации для окончательной обработки сока известью, производительность переработки свеклы 6000 т/сут</t>
  </si>
  <si>
    <t>ТЕРм28-02-078-16</t>
  </si>
  <si>
    <t>Аппарат 1-й сатурации для обработки дефекованного сока, производительность переработки свеклы 1500 т/сут</t>
  </si>
  <si>
    <t>ТЕРм28-02-078-17</t>
  </si>
  <si>
    <t>Аппарат 1-й сатурации для обработки дефекованного сока, производительность переработки свеклы 2000 т/сут</t>
  </si>
  <si>
    <t>ТЕРм28-02-078-18</t>
  </si>
  <si>
    <t>Аппарат 1-й сатурации для обработки дефекованного сока, производительность переработки свеклы 2500 т/сут</t>
  </si>
  <si>
    <t>ТЕРм28-02-078-19</t>
  </si>
  <si>
    <t>Аппарат 1-й сатурации для обработки дефекованного сока, производительность переработки свеклы 4500 т/сут</t>
  </si>
  <si>
    <t>ТЕРм28-02-078-20</t>
  </si>
  <si>
    <t>Аппарат 1-й сатурации для обработки дефекованного сока, производительность переработки свеклы 6000 т/сут</t>
  </si>
  <si>
    <t>ТЕРм28-02-078-21</t>
  </si>
  <si>
    <t>Аппарат сока 1-й сатурации, производительность 3000 т/сут</t>
  </si>
  <si>
    <t>ТЕРм28-02-078-22</t>
  </si>
  <si>
    <t>Аппарат сока 1-й сатурации, производительность 6000 т/сут</t>
  </si>
  <si>
    <t>ТЕРм28-02-078-23</t>
  </si>
  <si>
    <t>Отстойник-осветлитель сока, производительность 1500 т/сут</t>
  </si>
  <si>
    <t>ТЕРм28-02-078-24</t>
  </si>
  <si>
    <t>Отстойник-осветлитель сока, производительность 3000 т/сут</t>
  </si>
  <si>
    <t>ТЕРм28-02-078-25</t>
  </si>
  <si>
    <t>Аппарат 2-й сатурации, производительность переработки свеклы 2000 т/сут</t>
  </si>
  <si>
    <t>ТЕРм28-02-078-26</t>
  </si>
  <si>
    <t>Аппарат 2-й сатурации, производительность переработки свеклы 3000 т/сут</t>
  </si>
  <si>
    <t>ТЕРм28-02-078-27</t>
  </si>
  <si>
    <t>Аппарат 2-й сатурации, производительность переработки свеклы 4500 т/сут</t>
  </si>
  <si>
    <t>ТЕРм28-02-078-28</t>
  </si>
  <si>
    <t>Аппарат 2-й сатурации, производительность переработки свеклы 6000 т/сут</t>
  </si>
  <si>
    <t>ТЕРм28-02-078-29</t>
  </si>
  <si>
    <t>Установка для обработки сока 2-й сатурации, производительность переработки свеклы 3000 т/сут</t>
  </si>
  <si>
    <t>ТЕРм28-02-078-30</t>
  </si>
  <si>
    <t>Установка для обработки сока 2-й сатурации, производительность переработки свеклы 6000 т/сут</t>
  </si>
  <si>
    <t>ТЕРм28-02-078-31</t>
  </si>
  <si>
    <t>Сульфитатор сока, производительность 3000 т/сут</t>
  </si>
  <si>
    <t>ТЕРм28-02-078-32</t>
  </si>
  <si>
    <t>Сульфитатор сока, производительность 6000 т/сут</t>
  </si>
  <si>
    <t>ТЕРм28-02-078-33</t>
  </si>
  <si>
    <t>Аппарат для гашения извести, тип АИ-1,8МГ</t>
  </si>
  <si>
    <t>ТЕРм28-02-078-34</t>
  </si>
  <si>
    <t>Аппарат для гашения извести, тип АИ-2-4,5</t>
  </si>
  <si>
    <t xml:space="preserve">                           Раздел 3. ОТДЕЛ 03. ОБОРУДОВАНИЕ ПРЕДПРИЯТИЙ МЯСОПЕРЕРАБАТЫВАЮЩЕЙ ПРОМЫШЛЕННОСТИ</t>
  </si>
  <si>
    <t xml:space="preserve">                                   Раздел 1. ОБОРУДОВАНИЕ ДЛЯ УБОЯ СКОТА И СНЯТИЯ ШКУР</t>
  </si>
  <si>
    <t xml:space="preserve">                                   Оборудование для снятия и обработки шкур</t>
  </si>
  <si>
    <t>ТЕРм28-03-001-01</t>
  </si>
  <si>
    <t>Установка механического снятия шкур с туш крупного рогатого скота, производительность до 60 туш/ч</t>
  </si>
  <si>
    <t>ТЕРм28-03-001-02</t>
  </si>
  <si>
    <t>Агрегат для снятия шкур и крупонов, производительность 100-200 туш/ч</t>
  </si>
  <si>
    <t xml:space="preserve">                                   Раздел 2. ОБОРУДОВАНИЕ ДЛЯ РАЗДЕЛКИ ТУШ</t>
  </si>
  <si>
    <t xml:space="preserve">                                   Элеваторы для подъема туш</t>
  </si>
  <si>
    <t>ТЕРм28-03-008-01</t>
  </si>
  <si>
    <t>Элеватор роликовый для подъема туш, производительность до 21 туш/мин</t>
  </si>
  <si>
    <t>ТЕРм28-03-008-02</t>
  </si>
  <si>
    <t>Элеватор роликовый для подъема туш, производительность до 19 туш/мин</t>
  </si>
  <si>
    <t>ТЕРм28-03-008-03</t>
  </si>
  <si>
    <t>Элеватор цепной, производительность 440 туш/ч</t>
  </si>
  <si>
    <t xml:space="preserve">                                   Столы конвейерные для инспекции внутренностей скота</t>
  </si>
  <si>
    <t>ТЕРм28-03-009-01</t>
  </si>
  <si>
    <t>Стол конвейерный комплектный для разборки и инспекции внутренностей крупного рогатого скота, производительность 250 туш/смену</t>
  </si>
  <si>
    <t>ТЕРм28-03-009-02</t>
  </si>
  <si>
    <t>Стол конвейерный комплектный для разборки и инспекции внутренностей крупного рогатого скота, производительность 500-750 туш/смену</t>
  </si>
  <si>
    <t>ТЕРм28-03-009-03</t>
  </si>
  <si>
    <t>Стол конвейерный комплектный для разборки и инспекции внутренностей крупного рогатого скота, производительность 1000 туш/смену</t>
  </si>
  <si>
    <t>ТЕРм28-03-009-04</t>
  </si>
  <si>
    <t>Стол конвейерный комплектный для разборки и инспекции внутренностей свиней и баранов, производительность свиней 500 туш/смену, баранов 1000 туш/смену</t>
  </si>
  <si>
    <t>ТЕРм28-03-009-05</t>
  </si>
  <si>
    <t>Стол конвейерный комплектный для разборки и инспекции внутренностей свиней и баранов, производительность свиней 1000-1500 туш/смену, баранов 1500-2000 туш/смену</t>
  </si>
  <si>
    <t>ТЕРм28-03-009-06</t>
  </si>
  <si>
    <t>Стол конвейерный комплектный для разборки и инспекции внутренностей свиней и баранов, производительность свиней 2000 туш/смену, баранов 2500 туш/смену</t>
  </si>
  <si>
    <t xml:space="preserve">                                   Столы для приема и доскребки туш</t>
  </si>
  <si>
    <t>ТЕРм28-03-010-01</t>
  </si>
  <si>
    <t>Стол приема туш, рабочая площадь 1,3 м2</t>
  </si>
  <si>
    <t>ТЕРм28-03-010-02</t>
  </si>
  <si>
    <t>Стол для доскребки свиных туш, рабочая площадь 3,6 м2</t>
  </si>
  <si>
    <t xml:space="preserve">                                   Печи опалочные</t>
  </si>
  <si>
    <t>ТЕРм28-03-011-01</t>
  </si>
  <si>
    <t>Установка для опаливания туш свиней в шкуре, производительность 240 туш/ч</t>
  </si>
  <si>
    <t>ТЕРм28-03-011-02</t>
  </si>
  <si>
    <t>Печь для опаливания шерстных субпродуктов, барабанная, производительность 500 кг/ч</t>
  </si>
  <si>
    <t xml:space="preserve">                                   Пилы</t>
  </si>
  <si>
    <t>ТЕРм28-03-012-01</t>
  </si>
  <si>
    <t>Электропила для распиловки грудной кости туш крупного рогатого скота и свиней, производительность 160 туш/ч</t>
  </si>
  <si>
    <t>ТЕРм28-03-012-02</t>
  </si>
  <si>
    <t>Машины для распиловки туш производительность 65 шт./ч</t>
  </si>
  <si>
    <t>ТЕРм28-03-012-03</t>
  </si>
  <si>
    <t>Устройство отрезное для опиловки кулаков трубчатых костей, производительность 1000 шт./ч</t>
  </si>
  <si>
    <t xml:space="preserve">                                   Раздел 3. ОБОРУДОВАНИЕ ДЛЯ ОБРАБОТКИ СУБПРОДУКТОВ</t>
  </si>
  <si>
    <t xml:space="preserve">                                   Агрегаты и машины для обработки голов скота</t>
  </si>
  <si>
    <t>ТЕРм28-03-020-01</t>
  </si>
  <si>
    <t>Агрегат для обработки свиных голов, производительность 100 голов/ч</t>
  </si>
  <si>
    <t xml:space="preserve">                                   Раздел 4. ОБОРУДОВАНИЕ ДЛЯ ПРОИЗВОДСТВА ТЕХНИЧЕСКИХ ФАБРИКАТОВ</t>
  </si>
  <si>
    <t xml:space="preserve">                                   Котлы для перетопки технического сырья</t>
  </si>
  <si>
    <t>ТЕРм28-03-030-01</t>
  </si>
  <si>
    <t>Котел вакуумный для получения сухих животных кормов и технического жира, объем 4,6 м3</t>
  </si>
  <si>
    <t xml:space="preserve">                                   Раздел 5. ОБОРУДОВАНИЕ ДЛЯ ПРОИЗВОДСТВА КОЛБАСНЫХ ИЗДЕЛИЙ</t>
  </si>
  <si>
    <t xml:space="preserve">                                   Машины для измельчения мяса</t>
  </si>
  <si>
    <t>ТЕРм28-03-040-01</t>
  </si>
  <si>
    <t>Куттер для измельчения мяса, объем чаши 125 л</t>
  </si>
  <si>
    <t>ТЕРм28-03-040-02</t>
  </si>
  <si>
    <t>Куттер для измельчения мяса, объем чаши 250 л</t>
  </si>
  <si>
    <t xml:space="preserve">                                   Оборудование для термической обработки колбас</t>
  </si>
  <si>
    <t>ТЕРм28-03-041-01</t>
  </si>
  <si>
    <t>Автокоптилка малая для копчения колбас и свинокопченостей, конвейерная вертикальная, максимальная нагрузка 12420 кг</t>
  </si>
  <si>
    <t xml:space="preserve">                           Раздел 4. ОТДЕЛ 04. ОБОРУДОВАНИЕ ПРЕДПРИЯТИЙ РЫБНОЙ ПРОМЫШЛЕННОСТИ</t>
  </si>
  <si>
    <t xml:space="preserve">                                   Раздел 1. МАШИНЫ СОРТИРОВОЧНЫЕ</t>
  </si>
  <si>
    <t xml:space="preserve">                                   Машины сортировочные</t>
  </si>
  <si>
    <t>ТЕРм28-04-001-01</t>
  </si>
  <si>
    <t>Машина для сортировки мелкой рыбы по толщине</t>
  </si>
  <si>
    <t>ТЕРм28-04-001-02</t>
  </si>
  <si>
    <t>Машина для сортировки воблы по длине</t>
  </si>
  <si>
    <t xml:space="preserve">                                   Раздел 2. МАШИНЫ ПОРЦИОНИРУЮЩИЕ</t>
  </si>
  <si>
    <t xml:space="preserve">                                   Машины порционирующие</t>
  </si>
  <si>
    <t>ТЕРм28-04-006-01</t>
  </si>
  <si>
    <t>Агрегат для разделки и укладки целой тушки сардины в банки</t>
  </si>
  <si>
    <t xml:space="preserve">                                   Раздел 3. ЛЬДОГЕНЕРАТОРЫ ЧЕШУЙЧАТОГО И ТРУБЧАТОГО ЛЬДА</t>
  </si>
  <si>
    <t xml:space="preserve">                                   Льдогенераторы чешуйчатого и трубчатого льда</t>
  </si>
  <si>
    <t>ТЕРм28-04-010-01</t>
  </si>
  <si>
    <t>Льдогенератор трубчатого блочного льда, производительность 5 т/сут</t>
  </si>
  <si>
    <t>ТЕРм28-04-010-02</t>
  </si>
  <si>
    <t>Льдогенератор трубчатого блочного льда, производительность 10 т/сут</t>
  </si>
  <si>
    <t>ТЕРм28-04-010-03</t>
  </si>
  <si>
    <t>Льдогенератор трубчатого блочного льда, производительность 20 т/сут</t>
  </si>
  <si>
    <t>ТЕРм28-04-010-04</t>
  </si>
  <si>
    <t>Льдогенератор трубчатого блочного льда, производительность 40 т/сут</t>
  </si>
  <si>
    <t xml:space="preserve">                                   Раздел 4. АППАРАТЫ МОРОЗИЛЬНЫЕ</t>
  </si>
  <si>
    <t xml:space="preserve">                                   Аппараты морозильные</t>
  </si>
  <si>
    <t>ТЕРм28-04-015-01</t>
  </si>
  <si>
    <t>Аппарат скороморозильный для замораживания в стандартных блоках</t>
  </si>
  <si>
    <t xml:space="preserve">                                   Раздел 5. ОБОРУДОВАНИЕ ОТТАИВАТЕЛЬНО-ГЛАЗУРОВОЧНОЕ</t>
  </si>
  <si>
    <t xml:space="preserve">                                   Оборудование оттаивательно-глазуровочное</t>
  </si>
  <si>
    <t>ТЕРм28-04-020-01</t>
  </si>
  <si>
    <t>Дефростер, производительность 4200 кг/см</t>
  </si>
  <si>
    <t>ТЕРм28-04-020-02</t>
  </si>
  <si>
    <t>Дефростер, производительность 8400 кг/см</t>
  </si>
  <si>
    <t xml:space="preserve">                                   Раздел 6. ОБОРУДОВАНИЕ ПОСОЛЬНОЕ</t>
  </si>
  <si>
    <t xml:space="preserve">                                   Оборудование посольное</t>
  </si>
  <si>
    <t>ТЕРм28-04-025-01</t>
  </si>
  <si>
    <t>Машина посольная для вкусового посола рыбы и закрепления полуфабриката</t>
  </si>
  <si>
    <t>ТЕРм28-04-025-02</t>
  </si>
  <si>
    <t>Установка для дефростации и посола рыбы в тузлуке</t>
  </si>
  <si>
    <t xml:space="preserve">                                   Раздел 7. ОБОРУДОВАНИЕ ДЛЯ ПРОИЗВОДСТВА КОНСЕРВОВ И КУЛИНАРИИ</t>
  </si>
  <si>
    <t xml:space="preserve">                                   Машины набивочные</t>
  </si>
  <si>
    <t>ТЕРм28-04-030-01</t>
  </si>
  <si>
    <t>Машина для укладки кильки в банки</t>
  </si>
  <si>
    <t xml:space="preserve">                                   Оборудование варочное и обжарочное</t>
  </si>
  <si>
    <t>ТЕРм28-04-031-01</t>
  </si>
  <si>
    <t>Крабоварка для варки и последующего охлаждения крабовых конечностей</t>
  </si>
  <si>
    <t xml:space="preserve">                           Раздел 5. ОТДЕЛ 05. ОБОРУДОВАНИЕ ПРЕДПРИЯТИЙ МАСЛОЖИРОВОЙ ПРОМЫШЛЕННОСТИ</t>
  </si>
  <si>
    <t xml:space="preserve">                                   Раздел 1. ОБОРУДОВАНИЕ МАСЛОДОБЫВАЮЩЕЙ ПРОМЫШЛЕННОСТИ</t>
  </si>
  <si>
    <t xml:space="preserve">                                   Оборудование обжарочное</t>
  </si>
  <si>
    <t>ТЕРм28-05-001-01</t>
  </si>
  <si>
    <t>Агрегат маслоотжимной РЗ-МОА</t>
  </si>
  <si>
    <t>ТЕРм28-05-001-02</t>
  </si>
  <si>
    <t>Жаровня шестичанная колонного типа</t>
  </si>
  <si>
    <t>ТЕРм28-05-001-03</t>
  </si>
  <si>
    <t>Пресс шнековый маслоотжимной</t>
  </si>
  <si>
    <t xml:space="preserve">                                   Семеновейки</t>
  </si>
  <si>
    <t>ТЕРм28-05-002-01</t>
  </si>
  <si>
    <t>Семеновейка</t>
  </si>
  <si>
    <t xml:space="preserve">                                   Машины для обрушивания и калибровки семян</t>
  </si>
  <si>
    <t>ТЕРм28-05-003-01</t>
  </si>
  <si>
    <t>Машина для обрушивания подсолнечных семян</t>
  </si>
  <si>
    <t xml:space="preserve">                                   Установки для влаготермической обработки шрота</t>
  </si>
  <si>
    <t>ТЕРм28-05-004-01</t>
  </si>
  <si>
    <t>Установка для влаготермической обработки шрота</t>
  </si>
  <si>
    <t xml:space="preserve">                                   Оборудование экстракционное</t>
  </si>
  <si>
    <t>ТЕРм28-05-005-01</t>
  </si>
  <si>
    <t>Экстрактор горизонтальный непрерывнодействующий со специальным транспортером, насосами и сборниками</t>
  </si>
  <si>
    <t xml:space="preserve">                                   Раздел 2. ОБОРУДОВАНИЕ ЖИРОПЕРЕРАБАТЫВАЮЩЕЙ ПРОМЫШЛЕННОСТИ</t>
  </si>
  <si>
    <t xml:space="preserve">                                   Оборудование для производства мыла</t>
  </si>
  <si>
    <t>ТЕРм28-05-010-01</t>
  </si>
  <si>
    <t>Охладитель туалетного мыла</t>
  </si>
  <si>
    <t xml:space="preserve">                                   Раздел 3. ОБОРУДОВАНИЕ МАРГАРИНОВОЙ ПРОМЫШЛЕННОСТИ</t>
  </si>
  <si>
    <t xml:space="preserve">                                   Дезодораторы</t>
  </si>
  <si>
    <t>ТЕРм28-05-015-01</t>
  </si>
  <si>
    <t>Дезодоратор непрерывного действия, производительность 80 т/сут</t>
  </si>
  <si>
    <t xml:space="preserve">                                   Оборудование фасовочно-упаковочное</t>
  </si>
  <si>
    <t>ТЕРм28-05-016-01</t>
  </si>
  <si>
    <t>Автомат для расфасовки и упаковки маргарина</t>
  </si>
  <si>
    <t xml:space="preserve">                                   Раздел 4. ОБОРУДОВАНИЕ ПАРФЮМЕРНО-КОСМЕТИЧЕСКОЙ ПРОМЫШЛЕННОСТИ</t>
  </si>
  <si>
    <t xml:space="preserve">                                   Оборудование разливочно-фасовочное</t>
  </si>
  <si>
    <t>ТЕРм28-05-021-01</t>
  </si>
  <si>
    <t>Автомат для расфасовки зубного порошка и пудры в коробки</t>
  </si>
  <si>
    <t>ТЕРм28-05-021-02</t>
  </si>
  <si>
    <t>Автомат для расфасовки парфюмерных жидкостей</t>
  </si>
  <si>
    <t xml:space="preserve">                                   Раздел 5. ОБОРУДОВАНИЕ ЭФИРОМАСЛИЧНОЙ ПРОМЫШЛЕННОСТИ</t>
  </si>
  <si>
    <t>ТЕРм28-05-026-01</t>
  </si>
  <si>
    <t>Установка переработки эфиромасличного сырья</t>
  </si>
  <si>
    <t>ТЕРм28-05-026-02</t>
  </si>
  <si>
    <t>Экстрактор для переработки цветов розы, производительность 200 кг/ч</t>
  </si>
  <si>
    <t xml:space="preserve">                           Раздел 6. ОТДЕЛ 06. ОБОРУДОВАНИЕ ПРЕДПРИЯТИЙ МОЛОЧНОЙ ПРОМЫШЛЕННОСТИ</t>
  </si>
  <si>
    <t xml:space="preserve">                                   Раздел 1. ТАНКИ ДЛЯ МОЛОКА И МОЛОЧНЫХ ПРОДУКТОВ</t>
  </si>
  <si>
    <t xml:space="preserve">                                   Танки (резервуары)</t>
  </si>
  <si>
    <t>ТЕРм28-06-001-01</t>
  </si>
  <si>
    <t>Резервуар для хранения кефира</t>
  </si>
  <si>
    <t xml:space="preserve">                                   Раздел 2. ОБОРУДОВАНИЕ ДЛЯ МОЙКИ И СТЕРИЛИЗАЦИИ</t>
  </si>
  <si>
    <t xml:space="preserve">                                   Пропариватели и стерилизаторы</t>
  </si>
  <si>
    <t>ТЕРм28-06-005-01</t>
  </si>
  <si>
    <t>Стерилизатор с ванной, объем 400 л</t>
  </si>
  <si>
    <t xml:space="preserve">                                   Машины для мойки фляг, ящиков, танков и молокопроводов</t>
  </si>
  <si>
    <t>ТЕРм28-06-006-01</t>
  </si>
  <si>
    <t>Установка для мойки технологического оборудования</t>
  </si>
  <si>
    <t>ТЕРм28-06-006-02</t>
  </si>
  <si>
    <t>Установка для мойки танков и молокопроводов</t>
  </si>
  <si>
    <t xml:space="preserve">                                   Раздел 3. ОБОРУДОВАНИЕ ДЛЯ ТЕРМИЧЕСКОЙ ОБРАБОТКИ МОЛОКА И СЛИВОК</t>
  </si>
  <si>
    <t xml:space="preserve">                                   Охладители и охладительные установки</t>
  </si>
  <si>
    <t>ТЕРм28-06-010-01</t>
  </si>
  <si>
    <t>Установка автоматизированная пастеризационно-охладительная, производительность 3000 л/ч</t>
  </si>
  <si>
    <t>ТЕРм28-06-010-02</t>
  </si>
  <si>
    <t>Установка автоматизированная пастеризационно-охладительная, производительность 10000 л/ч</t>
  </si>
  <si>
    <t xml:space="preserve">                                   Ванны и заквасочники</t>
  </si>
  <si>
    <t>ТЕРм28-06-011-01</t>
  </si>
  <si>
    <t>Ванна сливкосозревательная, объем 600 л</t>
  </si>
  <si>
    <t>ТЕРм28-06-011-02</t>
  </si>
  <si>
    <t>Установка заквасочная с автоматическим управлением, объем 300 л</t>
  </si>
  <si>
    <t>ТЕРм28-06-011-03</t>
  </si>
  <si>
    <t>Установка заквасочная с автоматическим управлением, объем 600 л</t>
  </si>
  <si>
    <t xml:space="preserve">                                   Раздел 4. ОБОРУДОВАНИЕ ДЛЯ МОЙКИ СТЕКЛЯННОЙ ПОСУДЫ И РОЗЛИВА МОЛОЧНЫХ ПРОДУКТОВ</t>
  </si>
  <si>
    <t xml:space="preserve">                                   Машины моечные</t>
  </si>
  <si>
    <t>ТЕРм28-06-016-01</t>
  </si>
  <si>
    <t>Машина бутылкомоечная, производительность 6000 бутылок/ч</t>
  </si>
  <si>
    <t>ТЕРм28-06-016-02</t>
  </si>
  <si>
    <t>Машина бутылкомоечная, производительность 12000 бутылок/ч</t>
  </si>
  <si>
    <t xml:space="preserve">                                   Оборудование разливочное и разливочно-укупорочное</t>
  </si>
  <si>
    <t>ТЕРм28-06-017-01</t>
  </si>
  <si>
    <t>Автомат для розлива молока и кефира в полиэтиленовые пакеты, производительность 22 пакета/мин</t>
  </si>
  <si>
    <t xml:space="preserve">                                   Раздел 5. ОБОРУДОВАНИЕ ДЛЯ ПРОИЗВОДСТВА, ОХЛАЖДЕНИЯ И ФАСОВКИ ТВОРОГА И СЫРКОВОЙ МАССЫ</t>
  </si>
  <si>
    <t xml:space="preserve">                                   Оборудование для получения творога</t>
  </si>
  <si>
    <t>ТЕРм28-06-022-01</t>
  </si>
  <si>
    <t>Линия производства творога раздельным способом, производительность 450 кг/ч</t>
  </si>
  <si>
    <t>ТЕРм28-06-022-02</t>
  </si>
  <si>
    <t>Линия производства творога раздельным способом, производительность 450 кг/ч, в том числе резервуар для кисломолочных продуктов (4 шт.)</t>
  </si>
  <si>
    <t>ТЕРм28-06-022-03</t>
  </si>
  <si>
    <t>Линия производства творога раздельным способом, производительность 450 кг/ч, в том числе резервуар для кефира</t>
  </si>
  <si>
    <t>ТЕРм28-06-022-04</t>
  </si>
  <si>
    <t>Линия производства творога раздельным способом, производительность 450 кг/ч, в том числе бак для исходных сливок объем 0,25 м3</t>
  </si>
  <si>
    <t>ТЕРм28-06-022-05</t>
  </si>
  <si>
    <t>Линия производства творога раздельным способом, производительность 450 кг/ч, в том числе сепаратор для разделения сквашенного молока на творог и сыворотку, производительность 5,5 м3/ч (2 шт.)</t>
  </si>
  <si>
    <t>ТЕРм28-06-022-06</t>
  </si>
  <si>
    <t>Линия производства творога раздельным способом, производительность 450 кг/ч, в том числе фильтр для фильтрации молока перед сепарированием (2 шт.)</t>
  </si>
  <si>
    <t>ТЕРм28-06-022-07</t>
  </si>
  <si>
    <t>Линия производства творога раздельным способом, производительность 450 кг/ч, в том числе установка насосная для перекачивания творожного сгустка, производительность 800 кг/ч</t>
  </si>
  <si>
    <t>ТЕРм28-06-022-08</t>
  </si>
  <si>
    <t>Линия производства творога раздельным способом, производительность 450 кг/ч, в том числе агрегат электронасосный (3 шт.)</t>
  </si>
  <si>
    <t>ТЕРм28-06-022-09</t>
  </si>
  <si>
    <t>Линия производства творога раздельным способом, производительность 450 кг/ч, в том числе насос мембранный, производительность 500 кг/ч (2 шт.)</t>
  </si>
  <si>
    <t>ТЕРм28-06-022-10</t>
  </si>
  <si>
    <t>Линия производства творога раздельным способом, производительность 450 кг/ч, в том числе смеситель с дозаторами обезжиренного творога и сливок, производительность 850 кг/ч</t>
  </si>
  <si>
    <t>ТЕРм28-06-022-11</t>
  </si>
  <si>
    <t>Линия производства творога раздельным способом, производительность 450 кг/ч, в том числе охладитель творога двухцилиндровый, производительность 600 кг/ч</t>
  </si>
  <si>
    <t>ТЕРм28-06-022-12</t>
  </si>
  <si>
    <t>Линия производства творога раздельным способом, производительность 450 кг/ч, в том числе лоток творожного сгустка</t>
  </si>
  <si>
    <t>ТЕРм28-06-022-13</t>
  </si>
  <si>
    <t>Линия производства творога раздельным способом, производительность 450 кг/ч, в том числе комплект элементов молочной арматуры</t>
  </si>
  <si>
    <t>ТЕРм28-06-022-14</t>
  </si>
  <si>
    <t>Линия производства творога раздельным способом, производительность 450 кг/ч, в том числе ванна сливкосозревательная объемом 600 л (2 шт.)</t>
  </si>
  <si>
    <t>ТЕРм28-06-022-15</t>
  </si>
  <si>
    <t>Линия производства творога раздельным способом, производительность 450 кг/ч, в том числе автомат расфасовочно-упаковочный производительность 36-72 упаковок/мин</t>
  </si>
  <si>
    <t>ТЕРм28-06-022-16</t>
  </si>
  <si>
    <t>Линия производства творога раздельным способом, производительность 450 кг/ч, в том числе маслообразователь, производительность 700 кг/ч</t>
  </si>
  <si>
    <t xml:space="preserve">                                   Машины расфасовочно-упаковочные</t>
  </si>
  <si>
    <t>ТЕРм28-06-023-01</t>
  </si>
  <si>
    <t>Автомат расфасовочно-упаковочный, производительность 36-72 упаковок/мин</t>
  </si>
  <si>
    <t xml:space="preserve">                                   Раздел 6. ОБОРУДОВАНИЕ ДЛЯ ПРОИЗВОДСТВА МАСЛА</t>
  </si>
  <si>
    <t xml:space="preserve">                                   Маслообразователи</t>
  </si>
  <si>
    <t>ТЕРм28-06-028-01</t>
  </si>
  <si>
    <t>Маслообразователь, производительность 700 кг/ч</t>
  </si>
  <si>
    <t>ТЕРм28-06-028-02</t>
  </si>
  <si>
    <t>Маслоизготовитель, объем 2 м3</t>
  </si>
  <si>
    <t xml:space="preserve">                                   Автоматы и машины для расфасовки и упаковки масла</t>
  </si>
  <si>
    <t>ТЕРм28-06-029-01</t>
  </si>
  <si>
    <t>Автомат расфасовочно-упаковочный, производительность 700 брикетов/мин</t>
  </si>
  <si>
    <t>ТЕРм28-06-029-02</t>
  </si>
  <si>
    <t>Машина расфасовочная, производительность 64 ящика/ч</t>
  </si>
  <si>
    <t>ТЕРм28-06-029-03</t>
  </si>
  <si>
    <t>Полуавтомат для укладки брикетов масла, производительность 93 брикета/мин</t>
  </si>
  <si>
    <t xml:space="preserve">                                   Линии производства сливочного масла</t>
  </si>
  <si>
    <t>ТЕРм28-06-030-01</t>
  </si>
  <si>
    <t>Линия производства сливочного масла, производительность 1000 кг/ч</t>
  </si>
  <si>
    <t>ТЕРм28-06-030-02</t>
  </si>
  <si>
    <t>Линия производства сливочного масла, производительность 1000 кг/ч, в том числе установка пастеризационно-охладительная, производительность 3000 л/ч</t>
  </si>
  <si>
    <t>ТЕРм28-06-030-03</t>
  </si>
  <si>
    <t>Линия производства сливочного масла, производительность 1000 кг/ч, в том числе танк сливкосозревательный, объем 5000 л (5 шт.)</t>
  </si>
  <si>
    <t>ТЕРм28-06-030-04</t>
  </si>
  <si>
    <t>Линия производства сливочного масла, производительность 1000 кг/ч, в том числе насос для перекачки молочных продуктов роторный</t>
  </si>
  <si>
    <t>ТЕРм28-06-030-05</t>
  </si>
  <si>
    <t>Линия производства сливочного масла, производительность 1000 кг/ч, в том числе насос для перекачки молочных продуктов центробежный</t>
  </si>
  <si>
    <t>ТЕРм28-06-030-06</t>
  </si>
  <si>
    <t>Линия производства сливочного масла, производительность 1000 кг/ч, в том числе маслоизготовитель непрерывного действия, производительность 1000 кг/ч (2 шт.)</t>
  </si>
  <si>
    <t>ТЕРм28-06-030-07</t>
  </si>
  <si>
    <t>Линия производства сливочного масла, производительность 1000 кг/ч, в том числе устройство для обандероливания коробов</t>
  </si>
  <si>
    <t>ТЕРм28-06-030-08</t>
  </si>
  <si>
    <t>Линия производства сливочного масла, производительность 1000 кг/ч, в том числе весы для взвешивания продуктов и товаров циферблатные</t>
  </si>
  <si>
    <t>ТЕРм28-06-030-09</t>
  </si>
  <si>
    <t>Линия производства сливочного масла, производительность 1000 кг/ч, в том числе весы для взвешивания продуктов и товаров шкальные</t>
  </si>
  <si>
    <t>ТЕРм28-06-030-10</t>
  </si>
  <si>
    <t>Линия производства сливочного масла, производительность 1000 кг/ч, в том числе комплект молочной арматуры</t>
  </si>
  <si>
    <t>ТЕРм28-06-030-11</t>
  </si>
  <si>
    <t>Линия производства сливочного масла, производительность 1000 кг/ч, в том числе резервуар для хранения молочных продуктов (2 шт.)</t>
  </si>
  <si>
    <t>ТЕРм28-06-030-12</t>
  </si>
  <si>
    <t>Линия производства сливочного масла, производительность 1000 кг/ч, в том числе установка вакуумдезодорационная, производительность 3000 л/ч</t>
  </si>
  <si>
    <t>ТЕРм28-06-030-13</t>
  </si>
  <si>
    <t>Линия производства сливочного масла, производительность 1000 кг/ч, в том числе установка заквасочная с автоматическим управлением, объем 300 л (3 шт.)</t>
  </si>
  <si>
    <t>ТЕРм28-06-030-14</t>
  </si>
  <si>
    <t>Линия производства сливочного масла, производительность 1000 кг/ч, в том числе машина расфасовочная, производительность 64 ящика/ч</t>
  </si>
  <si>
    <t>ТЕРм28-06-030-15</t>
  </si>
  <si>
    <t>Линия производства сливочного масла, производительность 1000 кг/ч, в том числе автомат расфасовочно-упаковочный, производительность 700 брикетов/мин</t>
  </si>
  <si>
    <t>ТЕРм28-06-030-16</t>
  </si>
  <si>
    <t>Линия производства сливочного масла, производительность 1000 кг/ч, в том числе полуавтомат для укладки брикетов масла, производительность 93 брикета/мин</t>
  </si>
  <si>
    <t>ТЕРм28-06-030-17</t>
  </si>
  <si>
    <t>Линия производства сливочного масла, производительность 1000 кг/ч, в том числе установка для мойки танков и молокопроводов</t>
  </si>
  <si>
    <t xml:space="preserve">                                   Раздел 7. ОБОРУДОВАНИЕ ДЛЯ ПРОИЗВОДСТВА СЫРА</t>
  </si>
  <si>
    <t>ТЕРм28-06-040-01</t>
  </si>
  <si>
    <t>Машина вакуум-упаковочная, производительность 400-500 упаковок/ч</t>
  </si>
  <si>
    <t xml:space="preserve">                                   Раздел 8. ОБОРУДОВАНИЕ ДЛЯ ПРОИЗВОДСТВА МОЛОЧНЫХ КОНСЕРВОВ</t>
  </si>
  <si>
    <t xml:space="preserve">                                   Оборудование для расфасовки сухого молока</t>
  </si>
  <si>
    <t>ТЕРм28-06-050-01</t>
  </si>
  <si>
    <t>Автомат расфасовочный линейный периодического действия</t>
  </si>
  <si>
    <t xml:space="preserve">                                   Сушилки для молока</t>
  </si>
  <si>
    <t>ТЕРм28-06-051-01</t>
  </si>
  <si>
    <t>Агрегат сушильно-дробильный, производительность 250 кг/ч</t>
  </si>
  <si>
    <t xml:space="preserve">                                   Раздел 9. ОБОРУДОВАНИЕ ДЛЯ ПРОИЗВОДСТВА МОРОЖЕНОГО</t>
  </si>
  <si>
    <t xml:space="preserve">                                   Аппараты скороморозильные</t>
  </si>
  <si>
    <t>ТЕРм28-06-060-01</t>
  </si>
  <si>
    <t>Аппарат скороморозильный, производительность 220 кг/ч</t>
  </si>
  <si>
    <t xml:space="preserve">                                   Эскимогенераторы</t>
  </si>
  <si>
    <t>ТЕРм28-06-061-01</t>
  </si>
  <si>
    <t>Эскимогенератор, производительность 500 кг/ч</t>
  </si>
  <si>
    <t xml:space="preserve">                                   Линии производства мороженого</t>
  </si>
  <si>
    <t>ТЕРм28-06-062-01</t>
  </si>
  <si>
    <t>Линия производства и фасовки мороженого в вафельных стаканчиках, производительность 400 кг/ч</t>
  </si>
  <si>
    <t>ТЕРм28-06-062-02</t>
  </si>
  <si>
    <t>Линия производства и фасовки мороженого в вафельных стаканчиках, производительность 400 кг/ч, в том числе автомат фасовочный, производительность 450 кг/ч</t>
  </si>
  <si>
    <t>ТЕРм28-06-062-03</t>
  </si>
  <si>
    <t>Линия производства и фасовки мороженого в вафельных стаканчиках, производительность 400 кг/ч, в том числе аппарат скороморозильный, производительность 220 кг/ч</t>
  </si>
  <si>
    <t>ТЕРм28-06-062-04</t>
  </si>
  <si>
    <t>Линия производства и фасовки брикетного мороженого</t>
  </si>
  <si>
    <t>ТЕРм28-06-062-05</t>
  </si>
  <si>
    <t>Линия производства и фасовки брикетного мороженого, в том числе автомат расфасовочно-упаковочный, производительность 60 брикетов/мин</t>
  </si>
  <si>
    <t>ТЕРм28-06-062-06</t>
  </si>
  <si>
    <t>Линия производства и фасовки брикетного мороженого, в том числе полуавтомат для укладки брикетов, производительность 93 брикета/мин</t>
  </si>
  <si>
    <t xml:space="preserve">                                   Раздел 10. ОБОРУДОВАНИЕ ДЛЯ ПРОИЗВОДСТВА МОЛОЧНОГО САХАРА И КАЗЕИНА</t>
  </si>
  <si>
    <t xml:space="preserve">                                   Оборудование для производства молочного сахара</t>
  </si>
  <si>
    <t>ТЕРм28-06-070-01</t>
  </si>
  <si>
    <t>Установка для сушки молочного сахара, производительность 250 кг/ч</t>
  </si>
  <si>
    <t>ТЕРм28-06-070-02</t>
  </si>
  <si>
    <t>Танк для альбумина, объем 5000 л</t>
  </si>
  <si>
    <t>ТЕРм28-06-075-01</t>
  </si>
  <si>
    <t>Установка вакуум-дезодорационная, производительность 3000 л/ч</t>
  </si>
  <si>
    <t>ТЕРм28-06-075-02</t>
  </si>
  <si>
    <t>Транспортер, производительность 1500 корзин/ч</t>
  </si>
  <si>
    <t>ТЕРм28-06-075-03</t>
  </si>
  <si>
    <t>Транспортер, производительность 600 корзин/ч</t>
  </si>
  <si>
    <t>ТЕРм28-06-075-04</t>
  </si>
  <si>
    <t>Машина для санитарной обработки сырных форм, производительность 350 шт./ч</t>
  </si>
  <si>
    <t xml:space="preserve">                           Раздел 7. ОТДЕЛ 07. ОБОРУДОВАНИЕ ПРЕДПРИЯТИЙ КОНСЕРВНОЙ, ПИЩЕКОНЦЕНТРАТНОЙ И ОВОЩЕСУШИЛЬНОЙ ПРОМЫШЛЕННОСТИ</t>
  </si>
  <si>
    <t xml:space="preserve">                                   Раздел 1. МАШИНЫ МОЕЧНЫЕ</t>
  </si>
  <si>
    <t xml:space="preserve">                                   Машины для мойки овощей, фруктов, ягод и бобовых культур</t>
  </si>
  <si>
    <t>ТЕРм28-07-001-01</t>
  </si>
  <si>
    <t>Машина моечная, производительность 4 т/ч</t>
  </si>
  <si>
    <t>ТЕРм28-07-001-02</t>
  </si>
  <si>
    <t>Машина моечная, производительность 5 т/ч</t>
  </si>
  <si>
    <t>ТЕРм28-07-001-03</t>
  </si>
  <si>
    <t>Машина моечная, производительность 12 т/ч</t>
  </si>
  <si>
    <t>ТЕРм28-07-001-04</t>
  </si>
  <si>
    <t>Машина щеточно-моечная, производительность 4 т/ч</t>
  </si>
  <si>
    <t xml:space="preserve">                                   Раздел 2. ОБОРУДОВАНИЕ КОЛИБРОЧНОЕ, СОРТИРОВОЧНОЕ И ОЧИСТИТЕЛЬНОЕ</t>
  </si>
  <si>
    <t xml:space="preserve">                                   Машины косточковыбивальные</t>
  </si>
  <si>
    <t>ТЕРм28-07-006-01</t>
  </si>
  <si>
    <t>Машина косточковыбивальная, производительность 50 кг/ч</t>
  </si>
  <si>
    <t>ТЕРм28-07-006-02</t>
  </si>
  <si>
    <t>Машина косточковыбивальная, производительность 625 кг/ч</t>
  </si>
  <si>
    <t xml:space="preserve">                                   Машины для отделения плодоножек</t>
  </si>
  <si>
    <t>ТЕРм28-07-007-01</t>
  </si>
  <si>
    <t>Машина для отделения плодоножек, производительность 2 т/ч</t>
  </si>
  <si>
    <t xml:space="preserve">                                   Машины для очистки плодов и овощей</t>
  </si>
  <si>
    <t>ТЕРм28-07-008-01</t>
  </si>
  <si>
    <t>Машина для очистки и резки яблок, производительность 27 шт./мин</t>
  </si>
  <si>
    <t>ТЕРм28-07-008-02</t>
  </si>
  <si>
    <t>Машина для высверливания кочерыг, производительность 660 кочанов/мин</t>
  </si>
  <si>
    <t>ТЕРм28-07-008-03</t>
  </si>
  <si>
    <t>Аппарат для паровой очистки овощей, производительность 6 т/ч</t>
  </si>
  <si>
    <t>ТЕРм28-07-008-04</t>
  </si>
  <si>
    <t>Картофелечистка, производительность 800 кг/ч</t>
  </si>
  <si>
    <t>ТЕРм28-07-008-05</t>
  </si>
  <si>
    <t>Сепаратор для очистки соков, мелассы, производительность 2,5 т/ч</t>
  </si>
  <si>
    <t>ТЕРм28-07-008-06</t>
  </si>
  <si>
    <t>Сепаратор для очистки соков, мелассы, производительность 8,5 т/ч</t>
  </si>
  <si>
    <t>ТЕРм28-07-008-07</t>
  </si>
  <si>
    <t>Механизм режущий для подрезки плодов перца, производительность 150 кг/ч</t>
  </si>
  <si>
    <t>ТЕРм28-07-008-08</t>
  </si>
  <si>
    <t>Машина для очистки чеснока</t>
  </si>
  <si>
    <t>ТЕРм28-07-008-09</t>
  </si>
  <si>
    <t>Машина для очистки лука</t>
  </si>
  <si>
    <t>ТЕРм28-07-008-10</t>
  </si>
  <si>
    <t>Машина для очистки картофеля</t>
  </si>
  <si>
    <t xml:space="preserve">                                   Машины для накалывания</t>
  </si>
  <si>
    <t>ТЕРм28-07-009-01</t>
  </si>
  <si>
    <t>Машина для накалывания слив при варке варенья, производительность 4000 кг/ч</t>
  </si>
  <si>
    <t xml:space="preserve">                                   Машины калибровочные</t>
  </si>
  <si>
    <t>ТЕРм28-07-010-01</t>
  </si>
  <si>
    <t>Калиброватель универсальный, производительность 3000 кг/ч</t>
  </si>
  <si>
    <t xml:space="preserve">                                   Раздел 3. ОБОРУДОВАНИЕ ИЗМЕЛЬЧИТЕЛЬНОЕ И РАЗДЕЛОЧНОЕ</t>
  </si>
  <si>
    <t xml:space="preserve">                                   Машины протирочные</t>
  </si>
  <si>
    <t>ТЕРм28-07-020-01</t>
  </si>
  <si>
    <t>Машина протирочная, производительность 5-7 т/ч</t>
  </si>
  <si>
    <t>ТЕРм28-07-020-02</t>
  </si>
  <si>
    <t>Машина протирочная, производительность 1 т/ч</t>
  </si>
  <si>
    <t>ТЕРм28-07-020-03</t>
  </si>
  <si>
    <t>Машина протирочная, производительность 3,5 т/ч</t>
  </si>
  <si>
    <t>ТЕРм28-07-020-04</t>
  </si>
  <si>
    <t>Машина протирочная, производительность 2 т/ч</t>
  </si>
  <si>
    <t>ТЕРм28-07-020-05</t>
  </si>
  <si>
    <t>Машина протирочная, производительность 10 т/ч</t>
  </si>
  <si>
    <t xml:space="preserve">                                   Семяотделители</t>
  </si>
  <si>
    <t>ТЕРм28-07-021-01</t>
  </si>
  <si>
    <t>Семяотделитель, производительность 12 т/ч</t>
  </si>
  <si>
    <t>ТЕРм28-07-021-02</t>
  </si>
  <si>
    <t>Дробилка-семяотделитель, производительность 7,5 т/ч</t>
  </si>
  <si>
    <t>ТЕРм28-07-022-01</t>
  </si>
  <si>
    <t>Дробилка для измельчения бескосточковых плодов и овощей, производительность 8 т/ч</t>
  </si>
  <si>
    <t>ТЕРм28-07-022-02</t>
  </si>
  <si>
    <t>Дробилка для измельчения бескосточковых плодов и овощей, производительность 3 т/ч</t>
  </si>
  <si>
    <t xml:space="preserve">                                   Перцемолки</t>
  </si>
  <si>
    <t>ТЕРм28-07-023-01</t>
  </si>
  <si>
    <t>Перцемолка, производительность 20 кг/ч</t>
  </si>
  <si>
    <t xml:space="preserve">                                   Машины резательные</t>
  </si>
  <si>
    <t>ТЕРм28-07-024-01</t>
  </si>
  <si>
    <t>Машина для резки овощей и фруктов, производительность 5 т/ч</t>
  </si>
  <si>
    <t>ТЕРм28-07-024-02</t>
  </si>
  <si>
    <t>Машина для шинкования капусты</t>
  </si>
  <si>
    <t xml:space="preserve">                                   Раздел 4. АППАРАТЫ ТЕПЛОВЫЕ</t>
  </si>
  <si>
    <t xml:space="preserve">                                   Бланширователи</t>
  </si>
  <si>
    <t>ТЕРм28-07-030-01</t>
  </si>
  <si>
    <t>Бланширователь, производительность 0,4 т/ч</t>
  </si>
  <si>
    <t>ТЕРм28-07-030-02</t>
  </si>
  <si>
    <t>ТЕРм28-07-030-03</t>
  </si>
  <si>
    <t>Бланширователь, производительность 0,95 т/ч</t>
  </si>
  <si>
    <t>ТЕРм28-07-030-04</t>
  </si>
  <si>
    <t>Бланширователь, производительность 0,8 т/ч</t>
  </si>
  <si>
    <t xml:space="preserve">                                   Аппараты теплообменные</t>
  </si>
  <si>
    <t>ТЕРм28-07-031-01</t>
  </si>
  <si>
    <t>Реактор, объем 500 л</t>
  </si>
  <si>
    <t>ТЕРм28-07-031-02</t>
  </si>
  <si>
    <t>Реактор, объем 1000 л</t>
  </si>
  <si>
    <t>ТЕРм28-07-031-03</t>
  </si>
  <si>
    <t>Подогреватель фруктовых и томатных соков, производительность 4200 л/ч</t>
  </si>
  <si>
    <t>ТЕРм28-07-031-04</t>
  </si>
  <si>
    <t>Аппарат выпарной, объем 500 л</t>
  </si>
  <si>
    <t>ТЕРм28-07-031-05</t>
  </si>
  <si>
    <t>Аппарат выпарной, объем 1000 л</t>
  </si>
  <si>
    <t>ТЕРм28-07-031-06</t>
  </si>
  <si>
    <t>Установка выпарная, объем 500 л</t>
  </si>
  <si>
    <t>ТЕРм28-07-031-07</t>
  </si>
  <si>
    <t>Установка выпарная, объем 1000 л</t>
  </si>
  <si>
    <t>ТЕРм28-07-031-08</t>
  </si>
  <si>
    <t>Сульфитатор для сульфитации пюре после шпарки, производительность 2,5 т/ч</t>
  </si>
  <si>
    <t xml:space="preserve">                                   Печи, плиты, жаровни, котлы</t>
  </si>
  <si>
    <t>ТЕРм28-07-032-01</t>
  </si>
  <si>
    <t>Печь для обжаривания овощей, производительность 2000 кг/ч</t>
  </si>
  <si>
    <t>ТЕРм28-07-032-02</t>
  </si>
  <si>
    <t>Плита пароварочная, производительность 75 кг/ч</t>
  </si>
  <si>
    <t>ТЕРм28-07-032-03</t>
  </si>
  <si>
    <t>Автоклав для стерилизации консервов, количество корзин 4 шт.</t>
  </si>
  <si>
    <t>ТЕРм28-07-032-04</t>
  </si>
  <si>
    <t>Автоклав для стерилизации консервов, количество корзин 8 шт.</t>
  </si>
  <si>
    <t>ТЕРм28-07-032-05</t>
  </si>
  <si>
    <t>Котел для варки и выпаривания овощефруктов</t>
  </si>
  <si>
    <t>ТЕРм28-07-032-06</t>
  </si>
  <si>
    <t>Аппарат для варки круп и зерен, производительность 800 кг/ч</t>
  </si>
  <si>
    <t>ТЕРм28-07-032-07</t>
  </si>
  <si>
    <t>Печь паромасляная, производительность 400 кг/ч</t>
  </si>
  <si>
    <t>ТЕРм28-07-033-01</t>
  </si>
  <si>
    <t>Сушилка для сушки картофеля, овощей, производительность 35 кг/ч</t>
  </si>
  <si>
    <t>ТЕРм28-07-033-02</t>
  </si>
  <si>
    <t>Сушилка для сушки картофеля, овощей, производительность 70 кг/ч</t>
  </si>
  <si>
    <t>ТЕРм28-07-033-03</t>
  </si>
  <si>
    <t>Сушилка для сушки картофеля, овощей, производительность 100 кг/ч</t>
  </si>
  <si>
    <t xml:space="preserve">                                   Раздел 5. НАПОЛНИТЕЛИ-ДОЗАТОРЫ</t>
  </si>
  <si>
    <t xml:space="preserve">                                   Машины заливочные и наполнители</t>
  </si>
  <si>
    <t>ТЕРм28-07-040-01</t>
  </si>
  <si>
    <t>Автомат маслозаливочный, производительность 80 банок/мин</t>
  </si>
  <si>
    <t>ТЕРм28-07-040-02</t>
  </si>
  <si>
    <t>Наполнитель для заливки соусов и сиропов, производительность 160 банок/мин</t>
  </si>
  <si>
    <t>ТЕРм28-07-040-03</t>
  </si>
  <si>
    <t>Наполнитель для заливки густых и пюреобразных продуктов, производительность 60 банок/мин</t>
  </si>
  <si>
    <t>ТЕРм28-07-040-04</t>
  </si>
  <si>
    <t>Автомат для наполнения металлических банок мясом, производительность 100 банок/мин</t>
  </si>
  <si>
    <t>ТЕРм28-07-040-05</t>
  </si>
  <si>
    <t>Фаршенаполнитель для овощей, производительность 60 шт./мин</t>
  </si>
  <si>
    <t xml:space="preserve">                                   Раздел 6. ОБОРУДОВАНИЕ УКУПОРОЧНОЕ</t>
  </si>
  <si>
    <t xml:space="preserve">                                   Автоматы и машины вакуум-закаточные</t>
  </si>
  <si>
    <t>ТЕРм28-07-045-01</t>
  </si>
  <si>
    <t>Автомат закаточный пароварочный, производительность 80 банок/мин</t>
  </si>
  <si>
    <t>ТЕРм28-07-045-02</t>
  </si>
  <si>
    <t>Автомат закаточный пароварочный, производительность 160 банок/мин</t>
  </si>
  <si>
    <t>ТЕРм28-07-045-03</t>
  </si>
  <si>
    <t>Машина вакуум-закаточная, производительность 160 банок/мин</t>
  </si>
  <si>
    <t xml:space="preserve">                                   Автоматы и машины закаточные</t>
  </si>
  <si>
    <t>ТЕРм28-07-046-01</t>
  </si>
  <si>
    <t>Автомат закаточный, производительность 160 банок/мин</t>
  </si>
  <si>
    <t>ТЕРм28-07-046-02</t>
  </si>
  <si>
    <t>Машина закаточная для укупоривания стеклянных банок, производительность 16 банок/мин</t>
  </si>
  <si>
    <t>ТЕРм28-07-046-03</t>
  </si>
  <si>
    <t>Машина закаточная для укупоривания стеклянных банок, производительность 30 банок/мин</t>
  </si>
  <si>
    <t>ТЕРм28-07-046-04</t>
  </si>
  <si>
    <t>Машина закаточная для укупоривания стеклянных банок, производительность 25 банок/мин</t>
  </si>
  <si>
    <t>ТЕРм28-07-046-05</t>
  </si>
  <si>
    <t xml:space="preserve">                                   Раздел 7. ОБОРУДОВАНИЕ ТРАНСПОРТНОЕ И ЗАГРУЗОЧНО-РАЗГРУЗОЧНОЕ</t>
  </si>
  <si>
    <t xml:space="preserve">                                   Элеваторы</t>
  </si>
  <si>
    <t>ТЕРм28-07-051-01</t>
  </si>
  <si>
    <t>Элеватор типа «Гусиная шея»</t>
  </si>
  <si>
    <t xml:space="preserve">                                   Транспортеры</t>
  </si>
  <si>
    <t>ТЕРм28-07-052-01</t>
  </si>
  <si>
    <t>Транспортер для транспортирования стеклянных банок и плодоовощного сырья пластинчатый</t>
  </si>
  <si>
    <t>ТЕРм28-07-052-02</t>
  </si>
  <si>
    <t>Транспортер для транспортирования стеклянных банок и плодоовощного сырья ленточный</t>
  </si>
  <si>
    <t xml:space="preserve">                                   Оборудование загрузочно-разгрузочное</t>
  </si>
  <si>
    <t>ТЕРм28-07-053-01</t>
  </si>
  <si>
    <t>Устройство загрузочно-разгрузочное автоклавных корзин, производительность 128 банок/мин</t>
  </si>
  <si>
    <t>ТЕРм28-07-053-02</t>
  </si>
  <si>
    <t>Машина разгрузочная, производительность 50 туб/мин</t>
  </si>
  <si>
    <t xml:space="preserve">                                   Насосы</t>
  </si>
  <si>
    <t>ТЕРм28-07-054-01</t>
  </si>
  <si>
    <t>Насос для перекачки томатной массы, производительность 20 м3/ч</t>
  </si>
  <si>
    <t>ТЕРм28-07-054-02</t>
  </si>
  <si>
    <t>Насос для перекачки томатной массы, производительность 40 м3/ч</t>
  </si>
  <si>
    <t xml:space="preserve">                                   Раздел 8. ОБОРУДОВАНИЕ ПРЕССОВОЕ И ЭКСТРАКЦИОННОЕ</t>
  </si>
  <si>
    <t xml:space="preserve">                                   Прессы для соков</t>
  </si>
  <si>
    <t>ТЕРм28-07-060-01</t>
  </si>
  <si>
    <t>Пресс гидравлический, производительность 1,35 т/ч</t>
  </si>
  <si>
    <t xml:space="preserve">                                   Прессы для концентратов</t>
  </si>
  <si>
    <t>ТЕРм28-07-061-01</t>
  </si>
  <si>
    <t>Пресс для брикетирования пищевых концентратов, производительность 5200 брикетов/ч</t>
  </si>
  <si>
    <t>ТЕРм28-07-061-02</t>
  </si>
  <si>
    <t>Машина для формования кукурузных палочек, производительность 80 кг/ч</t>
  </si>
  <si>
    <t xml:space="preserve">                                   Агрегаты томатно-соковые</t>
  </si>
  <si>
    <t>ТЕРм28-07-062-01</t>
  </si>
  <si>
    <t>Агрегат томатно-соковый, производительность 4200 л/ч</t>
  </si>
  <si>
    <t xml:space="preserve">                                   Раздел 9. ОБОРУДОВАНИЕ РАСФАСОВОЧНО-УПАКОВОЧНОЕ</t>
  </si>
  <si>
    <t xml:space="preserve">                                   Оборудование расфасовочно-упаковочное</t>
  </si>
  <si>
    <t>ТЕРм28-07-067-01</t>
  </si>
  <si>
    <t>Автомат расфасовочно-упаковочный, производительность 70 пакетов/мин</t>
  </si>
  <si>
    <t>ТЕРм28-07-067-02</t>
  </si>
  <si>
    <t>Автомат расфасовочно-упаковочный, производительность 50 пакетов/мин</t>
  </si>
  <si>
    <t>ТЕРм28-07-067-03</t>
  </si>
  <si>
    <t>ТЕРм28-07-067-04</t>
  </si>
  <si>
    <t>Автомат расфасовочно-упаковочный для кукурузных и овсяных хлопьев, производительность 1,53 т/ч</t>
  </si>
  <si>
    <t>ТЕРм28-07-067-05</t>
  </si>
  <si>
    <t>Автомат расфасовочно-упаковочный для хрустящего картофеля, производительность 48 пакетов/мин</t>
  </si>
  <si>
    <t xml:space="preserve">                                   Раздел 10. ОБОРУДОВАНИЕ ДЛЯ ОБРАБОТКИ ПУСТЫХ И НАПОЛНЕННЫХ БАНОК</t>
  </si>
  <si>
    <t>ТЕРм28-07-072-01</t>
  </si>
  <si>
    <t>Машина моечная для жестяных банок, производительность 125 банок/мин</t>
  </si>
  <si>
    <t>ТЕРм28-07-072-02</t>
  </si>
  <si>
    <t>Машина моечная для стеклянных банок, производительность, 3000 банок/ч</t>
  </si>
  <si>
    <t>ТЕРм28-07-072-03</t>
  </si>
  <si>
    <t>Машина моечная для стеклянных банок, производительность, 6000 банок/ч</t>
  </si>
  <si>
    <t>ТЕРм28-07-072-04</t>
  </si>
  <si>
    <t>Машина для мойки сушки наполненных стеклянных банок «Тайфун», производительность 120 банок/мин</t>
  </si>
  <si>
    <t xml:space="preserve">                                   Машины маркировочные, этикетировочные и укладочные</t>
  </si>
  <si>
    <t>ТЕРм28-07-073-01</t>
  </si>
  <si>
    <t>Машина для заделки и обандероливания ящиков, производительность 18 ящиков/мин</t>
  </si>
  <si>
    <t>ТЕРм28-07-073-02</t>
  </si>
  <si>
    <t>Машина для укладки жестяных банок в ящики, производительность 130 банок/мин</t>
  </si>
  <si>
    <t>ТЕРм28-07-073-03</t>
  </si>
  <si>
    <t>Машина этикетировочная для наклейки этикеток на жестяные банки, производительность 150 банок/мин</t>
  </si>
  <si>
    <t>ТЕРм28-07-073-04</t>
  </si>
  <si>
    <t>Накопитель стеклянных банок в линии готовой продукции, производительность 100 банок/мин</t>
  </si>
  <si>
    <t>ТЕРм28-07-073-05</t>
  </si>
  <si>
    <t>Машина для сушки этикеток</t>
  </si>
  <si>
    <t xml:space="preserve">                                   Сборники, мерники, монжусы</t>
  </si>
  <si>
    <t>ТЕРм28-07-074-01</t>
  </si>
  <si>
    <t>Сборник-мерник-монжус, объем 100 л</t>
  </si>
  <si>
    <t>ТЕРм28-07-074-02</t>
  </si>
  <si>
    <t>Сборник-мерник-монжус, объем 1000 л</t>
  </si>
  <si>
    <t>ТЕРм28-07-074-03</t>
  </si>
  <si>
    <t>Машина для вспучивания зерен, производительность 35 кг/ч</t>
  </si>
  <si>
    <t xml:space="preserve">                           Раздел 8. ОТДЕЛ 08. ОБОРУДОВАНИЕ ПРЕДПРИЯТИЙ МАКАРОННОЙ ПРОМЫШЛЕННОСТИ</t>
  </si>
  <si>
    <t xml:space="preserve">                                   Установки для подготовки сырья</t>
  </si>
  <si>
    <t>ТЕРм28-08-001-01</t>
  </si>
  <si>
    <t>Установка для просеивания муки, приготовления мучной смеси, и подачи ее к прессу, производительность 0,5 т/ч</t>
  </si>
  <si>
    <t xml:space="preserve">                                   Оборудование прессовое</t>
  </si>
  <si>
    <t>ТЕРм28-08-002-01</t>
  </si>
  <si>
    <t>Пресс шнековый для формования сырых макаронных изделий, производительность 9 т/сут</t>
  </si>
  <si>
    <t>ТЕРм28-08-002-02</t>
  </si>
  <si>
    <t>Машина для мойки матриц макаронных прессов</t>
  </si>
  <si>
    <t xml:space="preserve">                                   Оборудование сушильное</t>
  </si>
  <si>
    <t>ТЕРм28-08-003-01</t>
  </si>
  <si>
    <t>Сушилка для сушки короткорезаных макаронных изделий, шахтного типа, непрерывного действия, производительность до 3 т/сут</t>
  </si>
  <si>
    <t xml:space="preserve">                                   Оборудование резательно-раскладочное</t>
  </si>
  <si>
    <t>ТЕРм28-08-004-01</t>
  </si>
  <si>
    <t>Механизм режущий для изготовления короткорезаных и фигурных изделий, универсальный, производительность 300 кг/ч</t>
  </si>
  <si>
    <t>ТЕРм28-08-004-02</t>
  </si>
  <si>
    <t>Механизм режущий для резки макаронных изделий (типа вермишели и лапши) в подвесном состоянии, производительность 70 рез/мин</t>
  </si>
  <si>
    <t>ТЕРм28-08-004-03</t>
  </si>
  <si>
    <t>Машина раскладочно-резательная для трубчатых макарон, производительность 250-300 кг/ч</t>
  </si>
  <si>
    <t>ТЕРм28-08-005-01</t>
  </si>
  <si>
    <t>Автомат расфасовочно-упаковочный, производительность до 30 пакетов/мин</t>
  </si>
  <si>
    <t xml:space="preserve">                                   Линии для производства макаронных изделий</t>
  </si>
  <si>
    <t>ТЕРм28-08-006-01</t>
  </si>
  <si>
    <t>Линия автоматизированная для производства длинных макаронных изделий, производительность 12 т/сут</t>
  </si>
  <si>
    <t>ТЕРм28-08-006-02</t>
  </si>
  <si>
    <t>Линия автоматизированная для производства длинных макаронных изделий, производительность 12 т/сут, в том числе линия для смешивания, просева и транспортировки муки пневматическим способом</t>
  </si>
  <si>
    <t>ТЕРм28-08-006-03</t>
  </si>
  <si>
    <t>Линия автоматизированная для производства длинных макаронных изделий, производительность 12 т/сут, в том числе пресс для формования макаронных изделий</t>
  </si>
  <si>
    <t>ТЕРм28-08-006-04</t>
  </si>
  <si>
    <t>Линия автоматизированная для производства длинных макаронных изделий, производительность 12 т/сут, в том числе весы автоматические двойные с пневмоустановкой</t>
  </si>
  <si>
    <t>ТЕРм28-08-006-05</t>
  </si>
  <si>
    <t>Линия автоматизированная для производства длинных макаронных изделий, производительность 12 т/сут, в том числе сушилка для предварительной сушки длинных макаронных изделий</t>
  </si>
  <si>
    <t>ТЕРм28-08-006-06</t>
  </si>
  <si>
    <t>Линия автоматизированная для производства длинных макаронных изделий, производительность 12 т/сут, в том числе сушилка окончательной сушки длинных макаронных изделий на бастунах</t>
  </si>
  <si>
    <t>ТЕРм28-08-006-07</t>
  </si>
  <si>
    <t>Линия автоматизированная для производства длинных макаронных изделий, производительность 12 т/сут, в том числе машина для съема и резки макарон</t>
  </si>
  <si>
    <t>ТЕРм28-08-006-08</t>
  </si>
  <si>
    <t>Линия для производства короткорезаных макаронных изделий</t>
  </si>
  <si>
    <t>ТЕРм28-08-006-09</t>
  </si>
  <si>
    <t>Линия для производства короткорезаных макаронных изделий, в том числе линия для смешивания, просева и транспортировки муки</t>
  </si>
  <si>
    <t>ТЕРм28-08-006-10</t>
  </si>
  <si>
    <t>Линия для производства короткорезаных макаронных изделий, в том числе пресс для формирования макаронных изделий</t>
  </si>
  <si>
    <t>ТЕРм28-08-006-11</t>
  </si>
  <si>
    <t>Линия для производства короткорезаных макаронных изделий, в том числе сушилка конвейерная 3-ленточная</t>
  </si>
  <si>
    <t>ТЕРм28-08-006-12</t>
  </si>
  <si>
    <t>Линия для производства короткорезаных макаронных изделий, в том числе машина для раскладки мотков</t>
  </si>
  <si>
    <t>ТЕРм28-08-006-13</t>
  </si>
  <si>
    <t>Линия для производства короткорезаных макаронных изделий, в том числе раструсчик с механизмом для резки перьев</t>
  </si>
  <si>
    <t>ТЕРм28-08-006-14</t>
  </si>
  <si>
    <t>Линия для производства короткорезаных макаронных изделий, в том числе подъемник</t>
  </si>
  <si>
    <t>ТЕРм28-08-006-15</t>
  </si>
  <si>
    <t>Линия для производства короткорезаных макаронных изделий, в том числе штамп-машина для непрерывного производства сырых макаронных изделий</t>
  </si>
  <si>
    <t>ТЕРм28-08-006-16</t>
  </si>
  <si>
    <t>Линия для производства короткорезаных макаронных изделий, в том числе машина для мойки тубусных и круглых матриц</t>
  </si>
  <si>
    <t xml:space="preserve">                           Раздел 9. ОТДЕЛ 09. ОБОРУДОВАНИЕ ПРЕДПРИЯТИЙ КОНДИТЕРСКОЙ ПРОМЫШЛЕННОСТИ</t>
  </si>
  <si>
    <t xml:space="preserve">                                   Раздел 1. ОБОРУДОВАНИЕ ДЛЯ ОБРАБОТКИ КАКАО-БОБОВ</t>
  </si>
  <si>
    <t xml:space="preserve">                                   Оборудование сортировочное, дробильное и измельчающее</t>
  </si>
  <si>
    <t>ТЕРм28-09-001-01</t>
  </si>
  <si>
    <t>Машина для очистки и сортировки какао-бобов</t>
  </si>
  <si>
    <t>ТЕРм28-09-001-02</t>
  </si>
  <si>
    <t>Машина для дробления какао-бобов и сортировки крупки</t>
  </si>
  <si>
    <t>ТЕРм28-09-001-03</t>
  </si>
  <si>
    <t>Машина размольная восьмивалковая</t>
  </si>
  <si>
    <t>ТЕРм28-09-001-04</t>
  </si>
  <si>
    <t>Установка для размола и просеивания какао-порошка производительностью 300 т/ч</t>
  </si>
  <si>
    <t>ТЕРм28-09-002-01</t>
  </si>
  <si>
    <t>Пресс гидравлический вертикальный полуавтоматический 6-чашечный</t>
  </si>
  <si>
    <t>ТЕРм28-09-002-02</t>
  </si>
  <si>
    <t>Пресс гидравлический горизонтальный автоматический 12-чашечный</t>
  </si>
  <si>
    <t xml:space="preserve">                                   Раздел 2. МАШИНЫ МЕСИЛЬНО-СБИВАЛЬНЫЕ И ТЕМПЕРИРУЮЩИЕ</t>
  </si>
  <si>
    <t xml:space="preserve">                                   Машины месильно-сбивальные</t>
  </si>
  <si>
    <t>ТЕРм28-09-007-01</t>
  </si>
  <si>
    <t>Машина тестомесильная темперирующая, объем 500 л</t>
  </si>
  <si>
    <t>ТЕРм28-09-007-02</t>
  </si>
  <si>
    <t>Машина помадосбивальная, производительность 800 кг/ч</t>
  </si>
  <si>
    <t xml:space="preserve">                                   Машины шоколадно-отделочные</t>
  </si>
  <si>
    <t>ТЕРм28-09-008-01</t>
  </si>
  <si>
    <t>Машина шоколадно-отделочная (конш-машина), объем 2,4 т</t>
  </si>
  <si>
    <t>ТЕРм28-09-008-02</t>
  </si>
  <si>
    <t>Машина шоколадно-отделочная (конш-машина), объем 4 т</t>
  </si>
  <si>
    <t xml:space="preserve">                                   Машины темперирующие</t>
  </si>
  <si>
    <t>ТЕРм28-09-009-01</t>
  </si>
  <si>
    <t>Машина темперирующая, производительность 300 кг/ч</t>
  </si>
  <si>
    <t>ТЕРм28-09-009-02</t>
  </si>
  <si>
    <t>Сборник темперирующий с мешалкой, объем 3 т</t>
  </si>
  <si>
    <t xml:space="preserve">                                   Раздел 3. ОБОРУДОВАНИЕ ТЯНУЛЬНО-РАЗДЕЛОЧНОЕ, ФОРМОВОЧНОЕ И РЕЗАТЕЛЬНОЕ</t>
  </si>
  <si>
    <t xml:space="preserve">                                   Оборудование для формования печенья, бисквита и вафель</t>
  </si>
  <si>
    <t>ТЕРм28-09-015-01</t>
  </si>
  <si>
    <t>Машина бисквитно-ротационная, производительность 20 т/сут</t>
  </si>
  <si>
    <t xml:space="preserve">                                   Машины тянульно-подкатывающие</t>
  </si>
  <si>
    <t>ТЕРм28-09-016-01</t>
  </si>
  <si>
    <t>Машина катально-растягивающая, производительность до 210 кг/ч</t>
  </si>
  <si>
    <t xml:space="preserve">                                   Оборудование разливочно-отсадочное</t>
  </si>
  <si>
    <t>ТЕРм28-09-017-01</t>
  </si>
  <si>
    <t>Линия автоматическая для отливки шоколадных плиток, производительность 500 кг/ч</t>
  </si>
  <si>
    <t>ТЕРм28-09-017-02</t>
  </si>
  <si>
    <t>Линия автоматическая для отливки шоколадных плиток, производительность 1000 кг/ч</t>
  </si>
  <si>
    <t>ТЕРм28-09-017-03</t>
  </si>
  <si>
    <t>Линия автоматическая для отливки шоколадных плиток, производительность 1500 кг/ч</t>
  </si>
  <si>
    <t>ТЕРм28-09-017-04</t>
  </si>
  <si>
    <t>Машина-могуль, производительность 3 т/смену</t>
  </si>
  <si>
    <t>ТЕРм28-09-018-01</t>
  </si>
  <si>
    <t>Машина резательная для мармелада, производительность до 500 кг/ч</t>
  </si>
  <si>
    <t xml:space="preserve">                                   Раздел 5. ОБОРУДОВАНИЕ ГЛАЗУРОВОЧНОЕ И ОТДЕЛОЧНОЕ</t>
  </si>
  <si>
    <t xml:space="preserve">                                   Оборудование глянцево-отделочное</t>
  </si>
  <si>
    <t>ТЕРм28-09-025-01</t>
  </si>
  <si>
    <t>Установка для непрерывного глянцевания карамели, производительность 7 т/смену</t>
  </si>
  <si>
    <t xml:space="preserve">                                   Оборудование глазуровочное</t>
  </si>
  <si>
    <t>ТЕРм28-09-026-01</t>
  </si>
  <si>
    <t>Агрегат глазуровочный, производительность 500 кг/ч</t>
  </si>
  <si>
    <t xml:space="preserve">                                   Раздел 6. ОБОРУДОВАНИЕ ДЛЯ ПОДОГРЕВА И ОХЛАЖДЕНИЯ КАРАМЕЛЬНОЙ МАССЫ</t>
  </si>
  <si>
    <t xml:space="preserve">                                   Оборудование охлаждающее</t>
  </si>
  <si>
    <t>ТЕРм28-09-032-01</t>
  </si>
  <si>
    <t>Агрегат охлаждающий, производительность 1200 кг/ч</t>
  </si>
  <si>
    <t>ТЕРм28-09-032-02</t>
  </si>
  <si>
    <t>Машина охлаждающая, производительность до 800 кг/ч</t>
  </si>
  <si>
    <t>ТЕРм28-09-032-03</t>
  </si>
  <si>
    <t>Транспортер-охладитель, производительность 1100 кг/ч</t>
  </si>
  <si>
    <t xml:space="preserve">                                   Раздел 7. ПЕЧИ И СУШИЛКИ</t>
  </si>
  <si>
    <t>ТЕРм28-09-038-01</t>
  </si>
  <si>
    <t>Печь кондитерская газовая, производительность 1000 кг/ч</t>
  </si>
  <si>
    <t>ТЕРм28-09-038-02</t>
  </si>
  <si>
    <t>Печь кондитерская газовая, производительность 300 кг/ч</t>
  </si>
  <si>
    <t>ТЕРм28-09-039-01</t>
  </si>
  <si>
    <t>Сушилка шахтная, непрерывного действия, производительность 600 кг/ч</t>
  </si>
  <si>
    <t xml:space="preserve">                                   Раздел 8. ОБОРУДОВАНИЕ ЗАВЕРТОЧНО-ФАСОВОЧНОЕ</t>
  </si>
  <si>
    <t xml:space="preserve">                                   Автоматы для завертки конфет и карамели</t>
  </si>
  <si>
    <t>ТЕРм28-09-045-01</t>
  </si>
  <si>
    <t>Автомат формующе-заверточный, производительность 600 шт/мин</t>
  </si>
  <si>
    <t xml:space="preserve">                                   Оборудование для упаковки зефира, завертки бисквита и вафель</t>
  </si>
  <si>
    <t>ТЕРм28-09-046-01</t>
  </si>
  <si>
    <t>Автомат для упаковки зефира в пачки, производительность 45 пачек/мин</t>
  </si>
  <si>
    <t>ТЕРм28-09-047-01</t>
  </si>
  <si>
    <t>Автомат для расфасовки и упаковки мелкой карамели в пакеты из целлофана, производительность 60 пакетов/мин</t>
  </si>
  <si>
    <t>ТЕРм28-09-047-02</t>
  </si>
  <si>
    <t>Автомат расфасовочно-упаковочный, производительность 60 пачек/мин</t>
  </si>
  <si>
    <t xml:space="preserve">                                   Раздел 9. ПОТОЧНЫЕ ЛИНИИ, СТАНЦИИ, АГРЕГАТЫ</t>
  </si>
  <si>
    <t xml:space="preserve">                                   Поточные линии, станции, агрегаты</t>
  </si>
  <si>
    <t>ТЕРм28-09-053-01</t>
  </si>
  <si>
    <t>Линия производства сахарных сортов печенья, производительность 1000 кг/ч</t>
  </si>
  <si>
    <t>ТЕРм28-09-053-02</t>
  </si>
  <si>
    <t>Линия производства сахарных сортов печенья, производительность 1000 кг/ч, в том числе дозатор муки, производительность до 900 кг/ч</t>
  </si>
  <si>
    <t>ТЕРм28-09-053-03</t>
  </si>
  <si>
    <t>Линия производства сахарных сортов печенья, производительность 1000 кг/ч, в том числе машина формовочная ротационная, производительность 1000 кг/ч</t>
  </si>
  <si>
    <t>ТЕРм28-09-053-04</t>
  </si>
  <si>
    <t>Линия производства сахарных сортов печенья, производительность 1000 кг/ч, в том числе машина тестомесильная, производительность 1300 кг/ч</t>
  </si>
  <si>
    <t>ТЕРм28-09-053-05</t>
  </si>
  <si>
    <t>Линия производства сахарных сортов печенья, производительность 1000 кг/ч, в том числе питатель тестовый, производительность 1200 кг/ч</t>
  </si>
  <si>
    <t>ТЕРм28-09-053-06</t>
  </si>
  <si>
    <t>Линия производства сахарных сортов печенья, производительность 1000 кг/ч, в том числе стеккер бисквита, производительность 1000 кг/ч</t>
  </si>
  <si>
    <t>ТЕРм28-09-053-07</t>
  </si>
  <si>
    <t>Линия производства сахарных сортов печенья, производительность 1000 кг/ч, в том числе конвейер охлаждающий, производительность 1000 кг/ч</t>
  </si>
  <si>
    <t>ТЕРм28-09-053-08</t>
  </si>
  <si>
    <t>Линия производства сахарных сортов печенья, производительность 1000 кг/ч, в том числе конвейер П-образный, производительность 1000 кг/ч</t>
  </si>
  <si>
    <t>ТЕРм28-09-053-09</t>
  </si>
  <si>
    <t>Линия производства сахарных сортов печенья, производительность 1000 кг/ч, в том числе дозатор эмульсии, производительность 630 л/ч</t>
  </si>
  <si>
    <t>ТЕРм28-09-053-10</t>
  </si>
  <si>
    <t>Линия производства сахарных сортов печенья, производительность 1000 кг/ч, в том числе бак эмульсий, объем 0,61 м3</t>
  </si>
  <si>
    <t>ТЕРм28-09-053-11</t>
  </si>
  <si>
    <t>Линия производства сахарных сортов печенья, производительность 1000 кг/ч, в том числе установка для приготовления эмульсии, производительность 600 кг/ч</t>
  </si>
  <si>
    <t>ТЕРм28-09-053-12</t>
  </si>
  <si>
    <t>Линия производства сахарных сортов печенья, производительность 1000 кг/ч, в том числе печь газовая кондитерская, производительность 1000 кг/ч</t>
  </si>
  <si>
    <t>ТЕРм28-09-053-13</t>
  </si>
  <si>
    <t>Линия производства ириса, производительность 400 кг/ч</t>
  </si>
  <si>
    <t>ТЕРм28-09-053-14</t>
  </si>
  <si>
    <t>Линия производства ириса, производительность 400 кг/ч, в том числе машина охлаждающая, производительность 400 кг/ч</t>
  </si>
  <si>
    <t>ТЕРм28-09-053-15</t>
  </si>
  <si>
    <t>Линия производства ириса, производительность 400 кг/ч, в том числе транспортер ирисной массы для резки</t>
  </si>
  <si>
    <t>ТЕРм28-09-053-16</t>
  </si>
  <si>
    <t>Линия производства ириса, производительность 400 кг/ч, в том числе транспортер ирисной массы для совмещения</t>
  </si>
  <si>
    <t>ТЕРм28-09-053-17</t>
  </si>
  <si>
    <t>Линия производства ириса, производительность 400 кг/ч, в том числе транспортер ирисной массы отводной (4 шт.)</t>
  </si>
  <si>
    <t>ТЕРм28-09-053-18</t>
  </si>
  <si>
    <t>Линия производства ириса, производительность 400 кг/ч, в том числе установка для уваривания мармеладных масс, производительность 400 кг/ч</t>
  </si>
  <si>
    <t>ТЕРм28-09-053-19</t>
  </si>
  <si>
    <t>Линия производства ириса, производительность 400 кг/ч, в том числе машина катально-растягивающая, производительность до 210 кг/ч (4 шт.)</t>
  </si>
  <si>
    <t>ТЕРм28-09-053-20</t>
  </si>
  <si>
    <t>Линия производства ириса, производительность 400 кг/ч, в том числе автомат формующе-заверточный, производительность 60 шт./мин (4 шт.)</t>
  </si>
  <si>
    <t>ТЕРм28-09-053-21</t>
  </si>
  <si>
    <t>Линия поточно-механизированная для производства конфет «Трюфель»</t>
  </si>
  <si>
    <t>ТЕРм28-09-053-22</t>
  </si>
  <si>
    <t>Линия поточно-механизированная для производства конфет «Трюфель», в том числе машина автоматическая для темперирования шоколадных масс</t>
  </si>
  <si>
    <t>ТЕРм28-09-053-23</t>
  </si>
  <si>
    <t>Линия поточно-механизированная для производства конфет «Трюфель», в том числе машина отсадочная</t>
  </si>
  <si>
    <t>ТЕРм28-09-053-24</t>
  </si>
  <si>
    <t>Линия поточно-механизированная для производства конфет «Трюфель», в том числе машина сбивальная</t>
  </si>
  <si>
    <t>ТЕРм28-09-053-25</t>
  </si>
  <si>
    <t>Линия поточно-механизированная для производства конфет «Трюфель», в том числе транспортер отборочный</t>
  </si>
  <si>
    <t>ТЕРм28-09-053-26</t>
  </si>
  <si>
    <t>Линия поточно-механизированная для производства конфет «Трюфель», в том числе барабан обкаточный</t>
  </si>
  <si>
    <t>ТЕРм28-09-053-27</t>
  </si>
  <si>
    <t>Агрегат вафельный, производительность 750 листов/ч</t>
  </si>
  <si>
    <t>ТЕРм28-09-053-28</t>
  </si>
  <si>
    <t>Агрегат вафельный, производительность 750 листов/ч, в том числе печь газовая на 24 формы, производительность 750 листов/ч</t>
  </si>
  <si>
    <t>ТЕРм28-09-053-29</t>
  </si>
  <si>
    <t>Агрегат вафельный, производительность 750 листов/ч, в том числе машина намазочная</t>
  </si>
  <si>
    <t>ТЕРм28-09-053-30</t>
  </si>
  <si>
    <t>Агрегат вафельный, производительность 750 листов/ч, в том числе машина резательная, производительность 2300 листов/ч</t>
  </si>
  <si>
    <t>ТЕРм28-09-053-31</t>
  </si>
  <si>
    <t>Станция непрерывного замеса теста, производительность 1000 кг/ч</t>
  </si>
  <si>
    <t>ТЕРм28-09-053-32</t>
  </si>
  <si>
    <t>Станция непрерывного замеса теста, производительность 1000 кг/ч, в том числе дозатор муки, производительность 900 кг/ч</t>
  </si>
  <si>
    <t>ТЕРм28-09-053-33</t>
  </si>
  <si>
    <t>Станция непрерывного замеса теста, производительность 1000 кг/ч, в том числе машина тестомесильная, производительность 1300 кг/ч</t>
  </si>
  <si>
    <t>ТЕРм28-09-053-34</t>
  </si>
  <si>
    <t>Станция непрерывного замеса теста, производительность 1000 кг/ч, в том числе бак горячей воды, объем 0,34 м3</t>
  </si>
  <si>
    <t>ТЕРм28-09-053-35</t>
  </si>
  <si>
    <t>Станция непрерывного замеса теста, производительность 1000 кг/ч, в том числе смеситель, объем 470 л</t>
  </si>
  <si>
    <t>ТЕРм28-09-053-36</t>
  </si>
  <si>
    <t>Станция непрерывного замеса теста, производительность 1000 кг/ч, в том числе насос-эмульсатор, производительность 2800 л/ч</t>
  </si>
  <si>
    <t>ТЕРм28-09-053-37</t>
  </si>
  <si>
    <t>Станция непрерывного замеса теста, производительность 1000 кг/ч, в том числе насос-дозировщик, производительность 35 л/мин</t>
  </si>
  <si>
    <t>ТЕРм28-09-053-38</t>
  </si>
  <si>
    <t>Агрегат для изготовления зефира, производительность 290 кг/ч</t>
  </si>
  <si>
    <t xml:space="preserve">                           Раздел 10. ОТДЕЛ 10. ОБОРУДОВАНИЕ ПРЕДПРИЯТИЙ ДРОЖЖЕВОЙ И КРАХМАЛЬНО-ПАТОЧНОЙ ПРОМЫШЛЕННОСТИ</t>
  </si>
  <si>
    <t xml:space="preserve">                                   Раздел 1. ОБОРУДОВАНИЕ ДРОЖЖЕВОЙ ПРОМЫШЛЕННОСТИ</t>
  </si>
  <si>
    <t xml:space="preserve">                                   Оборудование для формовки и упаковки дрожжей</t>
  </si>
  <si>
    <t>ТЕРм28-10-001-01</t>
  </si>
  <si>
    <t>Линия для резки и завертки прессованных дрожжей, производительность 95 брикетов/мин</t>
  </si>
  <si>
    <t>ТЕРм28-10-001-02</t>
  </si>
  <si>
    <t>Линия для резки и завертки прессованных дрожжей, производительность 95 брикетов/мин, в том числе машина для формования прессованных дрожжей</t>
  </si>
  <si>
    <t>ТЕРм28-10-001-03</t>
  </si>
  <si>
    <t>Линия для резки и завертки прессованных дрожжей, производительность 95 брикетов/мин, в том числе автомат для резки и завертки прессованных дрожжей</t>
  </si>
  <si>
    <t>ТЕРм28-10-001-04</t>
  </si>
  <si>
    <t>Автомат для формовки и завертки дрожжей, производительность 2400 брусков/ч</t>
  </si>
  <si>
    <t xml:space="preserve">                                   Раздел 2. ОБОРУДОВАНИЕ КРАХМАЛЬНО-ПАТОЧНОЙ ПРОМЫШЛЕННОСТИ</t>
  </si>
  <si>
    <t xml:space="preserve">                                   Картофелемойки</t>
  </si>
  <si>
    <t>ТЕРм28-10-010-01</t>
  </si>
  <si>
    <t>Картофелемойка, производительность 60 т/сутки</t>
  </si>
  <si>
    <t xml:space="preserve">                                   Механизмы мешальные к сборникам</t>
  </si>
  <si>
    <t>ТЕРм28-10-011-01</t>
  </si>
  <si>
    <t>Механизм мешальный</t>
  </si>
  <si>
    <t xml:space="preserve">                                   Сушилки для крахмала</t>
  </si>
  <si>
    <t>ТЕРм28-10-012-01</t>
  </si>
  <si>
    <t>Сушилка для крахмала центробежная, производительность 200 кг/ч</t>
  </si>
  <si>
    <t>ТЕРм28-10-012-02</t>
  </si>
  <si>
    <t>Сушилка для крахмала пневматическая, производительность 25 т/сутки</t>
  </si>
  <si>
    <t xml:space="preserve">                           Раздел 11. ОТДЕЛ 11. ОБОРУДОВАНИЕ ПРЕДПРИЯТИЙ ВИНОДЕЛЬЧЕСКОЙ, СПИРТНОЙ, ЛИКЕРОВОДОЧНОЙ, ПИВОВАРЕНОЙ, БЕЗАЛКОГОЛЬНОЙ, ТАБАЧНОЙ ОТРАСЛЕЙ ПРОМЫШЛЕННОСТИ</t>
  </si>
  <si>
    <t xml:space="preserve">                                   Раздел 1. ОБОРУДОВАНИЕ ДЛЯ ПРОИЗВОДСТВА ВИНА</t>
  </si>
  <si>
    <t xml:space="preserve">                                   Оборудование для переработки винограда</t>
  </si>
  <si>
    <t>ТЕРм28-11-001-01</t>
  </si>
  <si>
    <t>Дробилка-гребнеотделитель центробежная с мезгонасосом</t>
  </si>
  <si>
    <t>ТЕРм28-11-001-02</t>
  </si>
  <si>
    <t>Пресс шнековый непрерывного действия, производительность 10 т/ч</t>
  </si>
  <si>
    <t>ТЕРм28-11-001-03</t>
  </si>
  <si>
    <t>Питатель шнековый</t>
  </si>
  <si>
    <t xml:space="preserve">                                   Оборудование для приготовления виноматериалов</t>
  </si>
  <si>
    <t>ТЕРм28-11-002-01</t>
  </si>
  <si>
    <t>Аппарат бродильный непрерывного действия, производительность 70000 л/сут</t>
  </si>
  <si>
    <t>ТЕРм28-11-002-02</t>
  </si>
  <si>
    <t>Установка для приготовления виноматериалов с термической обработкой мезги</t>
  </si>
  <si>
    <t>ТЕРм28-11-002-03</t>
  </si>
  <si>
    <t>Экстрактор, производительность 5 т/ч</t>
  </si>
  <si>
    <t xml:space="preserve">                                   Раздел 2. ОБОРУДОВАНИЕ ДЛЯ ПРОИЗВОДСТВА ПИВА</t>
  </si>
  <si>
    <t xml:space="preserve">                                   Оборудование для приготовления солода</t>
  </si>
  <si>
    <t>ТЕРм28-11-010-01</t>
  </si>
  <si>
    <t>Ворошитель солода ковшовый</t>
  </si>
  <si>
    <t xml:space="preserve">                                   Агрегаты варочные для приготовления пивного сусла</t>
  </si>
  <si>
    <t>ТЕРм28-11-011-01</t>
  </si>
  <si>
    <t>Котел заторный или сусловарочный, засыпь 1,5 т</t>
  </si>
  <si>
    <t>ТЕРм28-11-011-02</t>
  </si>
  <si>
    <t>Котел заторный или сусловарочный, засыпь 3 т</t>
  </si>
  <si>
    <t>ТЕРм28-11-011-03</t>
  </si>
  <si>
    <t>Котел заторный или сусловарочный, засыпь 5 т</t>
  </si>
  <si>
    <t>ТЕРм28-11-011-04</t>
  </si>
  <si>
    <t>Чан фильтрационный к варочному порядку, засыпь 1,5 т</t>
  </si>
  <si>
    <t>ТЕРм28-11-011-05</t>
  </si>
  <si>
    <t>Чан фильтрационный к варочному порядку, засыпь 3 т</t>
  </si>
  <si>
    <t>ТЕРм28-11-011-06</t>
  </si>
  <si>
    <t>Чан фильтрационный к варочному порядку, засыпь 5 т</t>
  </si>
  <si>
    <t>ТЕРм28-11-011-07</t>
  </si>
  <si>
    <t>Чан хмелеотборный, рабочий объем 4,8 м3</t>
  </si>
  <si>
    <t xml:space="preserve">                                   Раздел 3. ОБОРУДОВАНИЕ ДЛЯ ПРОИЗВОДСТВА СПИРТА</t>
  </si>
  <si>
    <t xml:space="preserve">                                   Оборудование для обработки крахмалистого сырья</t>
  </si>
  <si>
    <t>ТЕРм28-11-020-01</t>
  </si>
  <si>
    <t>Агрегат непрерывного разваривания крахмалистого сырья, производительность 8000-12000 л/сут</t>
  </si>
  <si>
    <t>ТЕРм28-11-020-02</t>
  </si>
  <si>
    <t>Разварник</t>
  </si>
  <si>
    <t xml:space="preserve">                                   Оборудование перегонное</t>
  </si>
  <si>
    <t>ТЕРм28-11-021-01</t>
  </si>
  <si>
    <t>Установка перегонная ароматических спиртов</t>
  </si>
  <si>
    <t>ТЕРм28-11-021-02</t>
  </si>
  <si>
    <t>Установка перегонная этилового спирта</t>
  </si>
  <si>
    <t>ТЕРм28-11-021-03</t>
  </si>
  <si>
    <t>Установка перегонная коньячного спирта</t>
  </si>
  <si>
    <t xml:space="preserve">                                   Раздел 4. ОБОРУДОВАНИЕ ОБЩЕЕ ДЛЯ ВИНОДЕЛЬЧЕСКОЙ ПИВО-БЕЗАЛКОГОЛЬНОЙ И СПИРТОВОЙ ОТРАСЛЕЙ ПИЩЕВОЙ ПРОМЫШЛЕННОСТИ</t>
  </si>
  <si>
    <t>ТЕРм28-11-030-01</t>
  </si>
  <si>
    <t>Установка охладительная пластинчатая автоматизированная для вина</t>
  </si>
  <si>
    <t>ТЕРм28-11-030-02</t>
  </si>
  <si>
    <t>Установка охладительная пластинчатая автоматизированная для пивного сусла</t>
  </si>
  <si>
    <t>ТЕРм28-11-030-03</t>
  </si>
  <si>
    <t>Установка пастеризационно-охладительная для вина, производительность 500 дал/ч</t>
  </si>
  <si>
    <t>ТЕРм28-11-030-04</t>
  </si>
  <si>
    <t>Установка непосредственного охлаждения вина</t>
  </si>
  <si>
    <t>ТЕРм28-11-031-01</t>
  </si>
  <si>
    <t>Сепаратор-осветлитель</t>
  </si>
  <si>
    <t xml:space="preserve">                                   Оборудование емкостное</t>
  </si>
  <si>
    <t>ТЕРм28-11-032-01</t>
  </si>
  <si>
    <t>Резервуар стальной, объем 16 м3, горизонтальный,</t>
  </si>
  <si>
    <t>ТЕРм28-11-032-02</t>
  </si>
  <si>
    <t>Резервуар стальной, объем 16 м3, вертикальный с рубашкой охлаждения</t>
  </si>
  <si>
    <t>ТЕРм28-11-032-03</t>
  </si>
  <si>
    <t>Резервуар стальной, объем 25 м3, горизонтальный</t>
  </si>
  <si>
    <t>ТЕРм28-11-032-04</t>
  </si>
  <si>
    <t>Резервуар стальной, объем 32 м3, горизонтальный</t>
  </si>
  <si>
    <t>ТЕРм28-11-032-05</t>
  </si>
  <si>
    <t>Резервуар стальной, объем 50 м3, горизонтальный</t>
  </si>
  <si>
    <t>ТЕРм28-11-032-06</t>
  </si>
  <si>
    <t>Резервуар алюминиевый горизонтальный на стальных опорах, объем 20 м3</t>
  </si>
  <si>
    <t>ТЕРм28-11-032-07</t>
  </si>
  <si>
    <t>Резервуар алюминиевый горизонтальный на стальных опорах, объем 41,3 м3</t>
  </si>
  <si>
    <t xml:space="preserve">                                   Мерники</t>
  </si>
  <si>
    <t>ТЕРм28-11-033-01</t>
  </si>
  <si>
    <t>Мерник стальной технический вертикальный, объем 0,75 м3</t>
  </si>
  <si>
    <t>ТЕРм28-11-033-02</t>
  </si>
  <si>
    <t>Мерник стальной технический горизонтальный, объем 10 м3</t>
  </si>
  <si>
    <t xml:space="preserve">                                   Оборудование дозировочно-разливочно-укупорочное</t>
  </si>
  <si>
    <t>ТЕРм28-11-034-01</t>
  </si>
  <si>
    <t>Автомат дозировочно-разливочно-укупорочный, производительность 1500 бутылок/ч</t>
  </si>
  <si>
    <t>ТЕРм28-11-034-02</t>
  </si>
  <si>
    <t>Автомат дозировочно-разливочно-укупорочный, производительность 6000 бутылок/ч</t>
  </si>
  <si>
    <t>ТЕРм28-11-034-03</t>
  </si>
  <si>
    <t>Автомат укупорочный для пива</t>
  </si>
  <si>
    <t>ТЕРм28-11-034-04</t>
  </si>
  <si>
    <t>Автомат штамповочный, производительность 10000 шт/ч</t>
  </si>
  <si>
    <t xml:space="preserve">                                   Машины бутылкомоечные</t>
  </si>
  <si>
    <t>ТЕРм28-11-035-01</t>
  </si>
  <si>
    <t>Машина бутылкомоечная, производительность 2000 бутылок/ч</t>
  </si>
  <si>
    <t>ТЕРм28-11-035-02</t>
  </si>
  <si>
    <t>Машина бутылкомоечная, производительность 3000 бутылок/ч</t>
  </si>
  <si>
    <t>ТЕРм28-11-035-03</t>
  </si>
  <si>
    <t xml:space="preserve">                                   Оборудование для укладки и выемки бутылок</t>
  </si>
  <si>
    <t>ТЕРм28-11-036-01</t>
  </si>
  <si>
    <t>Автомат для извлечения бутылок из ящиков</t>
  </si>
  <si>
    <t>ТЕРм28-11-036-02</t>
  </si>
  <si>
    <t>Автомат для укладки бутылок в ящики</t>
  </si>
  <si>
    <t xml:space="preserve">                                   Прочее оборудование винодельческой промышленности</t>
  </si>
  <si>
    <t>ТЕРм28-11-037-01</t>
  </si>
  <si>
    <t>Пресс шнековый непрерывного действия для яблок</t>
  </si>
  <si>
    <t>ТЕРм28-11-037-02</t>
  </si>
  <si>
    <t>Пробоотборник для винограда стационарный</t>
  </si>
  <si>
    <t>ТЕРм28-11-037-03</t>
  </si>
  <si>
    <t>Установка сульфитодозирующая автоматизированная</t>
  </si>
  <si>
    <t xml:space="preserve">                                   Прочее оборудование пиво-безалкогольной промышленности</t>
  </si>
  <si>
    <t>ТЕРм28-11-038-01</t>
  </si>
  <si>
    <t>Аппарат бродильно-купажный</t>
  </si>
  <si>
    <t>ТЕРм28-11-038-02</t>
  </si>
  <si>
    <t>Карбонизатор для насыщения пива углекислотой</t>
  </si>
  <si>
    <t xml:space="preserve">                                   Раздел 5. ОБОРУДОВАНИЕ ДЛЯ ПРОИЗВОДСТВА ТАБАЧНЫХ ИЗДЕЛИЙ</t>
  </si>
  <si>
    <t xml:space="preserve">                                   Оборудование для подготовки табака к набивке папирос и сигарет</t>
  </si>
  <si>
    <t>ТЕРм28-11-050-01</t>
  </si>
  <si>
    <t>Станок табакорезательный</t>
  </si>
  <si>
    <t xml:space="preserve">                                   Оборудование для изготовления папирос и сигарет</t>
  </si>
  <si>
    <t>ТЕРм28-11-051-01</t>
  </si>
  <si>
    <t>Машина гильзовая</t>
  </si>
  <si>
    <t>ТЕРм28-11-051-02</t>
  </si>
  <si>
    <t>Машина для переработки дефектных папирос</t>
  </si>
  <si>
    <t xml:space="preserve">                                   Оборудование упаковочное</t>
  </si>
  <si>
    <t>ТЕРм28-11-052-01</t>
  </si>
  <si>
    <t>Автомат для упаковки и обвязки овальных сигарет</t>
  </si>
  <si>
    <t xml:space="preserve">                                   Раздел 6. ОБОРУДОВАНИЕ ЧАЙНОЙ ПРОМЫШЛЕННОСТИ</t>
  </si>
  <si>
    <t xml:space="preserve">                                   Оборудование для производства чая</t>
  </si>
  <si>
    <t>ТЕРм28-11-060-01</t>
  </si>
  <si>
    <t>Машина для фиксации зеленого чайного листа, производительность 1400 кг/ч</t>
  </si>
  <si>
    <t>ТЕРм28-11-060-02</t>
  </si>
  <si>
    <t>Машина фиксационно-завялочная, производительность 1300 кг/ч</t>
  </si>
  <si>
    <t>ТЕРм28-11-060-03</t>
  </si>
  <si>
    <t>Машина для завяливания зеленого чайного листа, производительность 960 кг/ч</t>
  </si>
  <si>
    <t>ТЕРм28-11-060-04</t>
  </si>
  <si>
    <t>Машина чаеутрусочная, производительность 1200 кг/ч</t>
  </si>
  <si>
    <t>ТЕРм28-11-060-05</t>
  </si>
  <si>
    <t>Роллер открытого типа, производительность 200 кг/ч</t>
  </si>
  <si>
    <t xml:space="preserve">                                   Барабаны обжарочные</t>
  </si>
  <si>
    <t>ТЕРм28-11-061-01</t>
  </si>
  <si>
    <t>Барабан обжарочный, производительность 1200 кг/ч</t>
  </si>
  <si>
    <t xml:space="preserve">                                   Печи чаесушильные</t>
  </si>
  <si>
    <t>ТЕРм28-11-062-01</t>
  </si>
  <si>
    <t>Печь чаесушильная, производительность 1100 кг/ч</t>
  </si>
  <si>
    <t>ТЕРм28-11-062-02</t>
  </si>
  <si>
    <t>Калорифер чаесушильный, производительность 25000 м3/ч</t>
  </si>
  <si>
    <t xml:space="preserve">                                   Оборудование смешивающее</t>
  </si>
  <si>
    <t>ТЕРм28-11-063-01</t>
  </si>
  <si>
    <t>Барабан купажный, производительность 2500 кг/ч</t>
  </si>
  <si>
    <t xml:space="preserve">                                   Оборудование сортировочное</t>
  </si>
  <si>
    <t>ТЕРм28-11-064-01</t>
  </si>
  <si>
    <t>Комбайн чаесортировочный, производительность 700-800 кг/ч</t>
  </si>
  <si>
    <t>ТЕРм28-11-064-02</t>
  </si>
  <si>
    <t>Машина для сортировки скрученного зеленого чайного листа, производительность 2200-2400 кг/ч</t>
  </si>
  <si>
    <t>ТЕРм28-11-064-03</t>
  </si>
  <si>
    <t>Машина чаесортировочная, производительность 1000 кг/ч</t>
  </si>
  <si>
    <t>ТЕРм28-11-064-04</t>
  </si>
  <si>
    <t>Машина чаесортировочная, производительность 1400 кг/ч</t>
  </si>
  <si>
    <t>ТЕРм28-11-065-01</t>
  </si>
  <si>
    <t>Ванна грейферная, загрузка 250 кг</t>
  </si>
  <si>
    <t>ТЕРм28-11-065-02</t>
  </si>
  <si>
    <t>Установка для хранения чайного листа, вместимость 8000 кг</t>
  </si>
  <si>
    <t xml:space="preserve">                           Раздел 12. ОТДЕЛ 12. ОБОРУДОВАНИЕ ПРЕДПРИЯТИЙ ТОРГОВЛИ И ОБЩЕСТВЕННОГО ПИТАНИЯ</t>
  </si>
  <si>
    <t xml:space="preserve">                                   Раздел 1. ОБОРУДОВАНИЕ ПРЕДПРИЯТИЙ ТОРГОВЛИ</t>
  </si>
  <si>
    <t xml:space="preserve">                                   Оборудование для комплектации заказов</t>
  </si>
  <si>
    <t>ТЕРм28-12-001-01</t>
  </si>
  <si>
    <t>Линия комплектации заказов</t>
  </si>
  <si>
    <t>ТЕРм28-12-001-02</t>
  </si>
  <si>
    <t>Линия комплектации заказов, в том числе устройство для раскрытия полиэтиленовых пакетов</t>
  </si>
  <si>
    <t>ТЕРм28-12-001-03</t>
  </si>
  <si>
    <t>Линия комплектации заказов, в том числе конвейер комплектовочный</t>
  </si>
  <si>
    <t>ТЕРм28-12-001-04</t>
  </si>
  <si>
    <t>Линия комплектации заказов, в том числе устройство вертикального перемещения тары-оборудования</t>
  </si>
  <si>
    <t xml:space="preserve">                                   Раздел 2. ОБОРУДОВАНИЕ ПРЕДПРИЯТИЙ ОБЩЕСТВЕННОГО ПИТАНИЯ</t>
  </si>
  <si>
    <t xml:space="preserve">                                   Машины для обработки овощей</t>
  </si>
  <si>
    <t>ТЕРм28-12-011-01</t>
  </si>
  <si>
    <t>Линия поточная для выпуска очищенного сульфитированного картофеля</t>
  </si>
  <si>
    <t>ТЕРм28-12-011-02</t>
  </si>
  <si>
    <t>Линия поточная для выпуска очищенного сульфитированного картофеля, в том числе бункер загрузочный</t>
  </si>
  <si>
    <t>ТЕРм28-12-011-03</t>
  </si>
  <si>
    <t>Линия поточная для выпуска очищенного сульфитированного картофеля, в том числе транспортер бункера</t>
  </si>
  <si>
    <t>ТЕРм28-12-011-04</t>
  </si>
  <si>
    <t>Линия поточная для выпуска очищенного сульфитированного картофеля, в том числе транспортер наклонный</t>
  </si>
  <si>
    <t>ТЕРм28-12-011-05</t>
  </si>
  <si>
    <t>Линия поточная для выпуска очищенного сульфитированного картофеля, в том числе машина моечная</t>
  </si>
  <si>
    <t>ТЕРм28-12-011-06</t>
  </si>
  <si>
    <t>Линия поточная для выпуска очищенного сульфитированного картофеля, в том числе камнеловушка</t>
  </si>
  <si>
    <t>ТЕРм28-12-011-07</t>
  </si>
  <si>
    <t>Линия поточная для выпуска очищенного сульфитированного картофеля, в том числе картофелечистка</t>
  </si>
  <si>
    <t>ТЕРм28-12-011-08</t>
  </si>
  <si>
    <t>Линия поточная для выпуска очищенного сульфитированного картофеля, в том числе конвейер инспекции и доочистки</t>
  </si>
  <si>
    <t>ТЕРм28-12-011-09</t>
  </si>
  <si>
    <t>Линия поточная для выпуска очищенного сульфитированного картофеля, в том числе машина для сульфитации картофеля</t>
  </si>
  <si>
    <t>ТЕРм28-12-011-10</t>
  </si>
  <si>
    <t>Линия поточная для выпуска очищенного сульфитированного картофеля, в том числе машина для переработки картофеля</t>
  </si>
  <si>
    <t xml:space="preserve">                                   Машины посудомоечные</t>
  </si>
  <si>
    <t>ТЕРм28-12-012-01</t>
  </si>
  <si>
    <t>Машина посудомоечная</t>
  </si>
  <si>
    <t xml:space="preserve">                                   Фермы</t>
  </si>
  <si>
    <t>ТЕРм28-12-013-01</t>
  </si>
  <si>
    <t>Ферма, масса 0,115 т</t>
  </si>
  <si>
    <t>ТЕРм28-12-013-02</t>
  </si>
  <si>
    <t>Ферма, масса 0,33 т</t>
  </si>
  <si>
    <t xml:space="preserve">                           Раздел 13. ОТДЕЛ 13. ОБОРУДОВАНИЕ КАРТОНАЖНОГО ПРОИЗВОДСТВА</t>
  </si>
  <si>
    <t xml:space="preserve">                                   Оборудование резательное и просекательное</t>
  </si>
  <si>
    <t>ТЕРм28-13-001-01</t>
  </si>
  <si>
    <t>Автомат печатно-высекательный пятикрасочный, производительность 100 ударов/мин</t>
  </si>
  <si>
    <t>ТЕРм28-13-001-02</t>
  </si>
  <si>
    <t>Машина ротационная для разрезания рулонной бумаги и картона на листы, производительность 50-100 резов/мин</t>
  </si>
  <si>
    <t>ТЕРм28-13-001-03</t>
  </si>
  <si>
    <t>Машина резательная для бумаги</t>
  </si>
  <si>
    <t>ТЕРм28-13-001-04</t>
  </si>
  <si>
    <t>Машина резательная для бумаги, текстильного материала, дермантина, картона, производительность 30 резов/мин</t>
  </si>
  <si>
    <t>ТЕРм28-13-001-05</t>
  </si>
  <si>
    <t>Машина чертильно-резательная, производительность 100 резов/мин</t>
  </si>
  <si>
    <t xml:space="preserve">                                   Оборудование для изготовления коробок</t>
  </si>
  <si>
    <t>ТЕРм28-13-002-01</t>
  </si>
  <si>
    <t>Пресс формующий для изготовления складных коробок, производительность 600-2400 деталей/ч</t>
  </si>
  <si>
    <t>ТЕРм28-13-002-02</t>
  </si>
  <si>
    <t>Машина складывательно-клеильная, производительность 400 м/мин</t>
  </si>
  <si>
    <t>ТЕРм28-13-002-03</t>
  </si>
  <si>
    <t>Автомат плинтусоприклеечный для изготовления складных коробок, производительность 40-60 деталей/мин</t>
  </si>
  <si>
    <t xml:space="preserve">                           Раздел 14. ОТДЕЛ 14. ОБОРУДОВАНИЕ ДЛЯ ПРОИЗВОДСТВА ЖЕСТЯНОЙ ТАРЫ</t>
  </si>
  <si>
    <t>ТЕРм28-14-001-01</t>
  </si>
  <si>
    <t>Пресс для производства донышек и крышек из рулонной жести, ширина 100-300 мм, производительность 400 крышек/мин</t>
  </si>
  <si>
    <t>ТЕРм28-14-001-02</t>
  </si>
  <si>
    <t>Пресс эксцентриковый полуавтоматический для изготовления цилиндрических и фигурных банок, производительность 45 банок/мин</t>
  </si>
  <si>
    <t>ТЕРм28-14-001-03</t>
  </si>
  <si>
    <t>Пресс автоматический для производства штампованных консервных банок, производительность120 банок/мин</t>
  </si>
  <si>
    <t>ТЕРм28-14-001-04</t>
  </si>
  <si>
    <t>Пресс концевой автоматический для штамповки крышек, производительность до 300 концов/мин</t>
  </si>
  <si>
    <t xml:space="preserve">                                   Оборудование корпусообразующее</t>
  </si>
  <si>
    <t>ТЕРм28-14-002-01</t>
  </si>
  <si>
    <t>Автомат корпусообразующий, производительность 300 корпусов/мин</t>
  </si>
  <si>
    <t>ТЕРм28-14-003-01</t>
  </si>
  <si>
    <t>Печь для сушки листовой лакированной жести, производительность 20000 листов/ч</t>
  </si>
  <si>
    <t>ТЕРм28-14-003-02</t>
  </si>
  <si>
    <t>Печь сушильная, производительность 18 листов/смену</t>
  </si>
  <si>
    <t>ТЕРм28-14-003-03</t>
  </si>
  <si>
    <t>Автомат сушильный башенный, производительность 500 шт./мин</t>
  </si>
  <si>
    <t xml:space="preserve">                                   Оборудование транспортирующее</t>
  </si>
  <si>
    <t>ТЕРм28-14-004-01</t>
  </si>
  <si>
    <t>Устройство транспортное для автоматического транспортирования цилиндрических жестяных банок, производительность до 300 банок/мин</t>
  </si>
  <si>
    <t xml:space="preserve">                                   Оборудование испытательное</t>
  </si>
  <si>
    <t>ТЕРм28-14-005-01</t>
  </si>
  <si>
    <t>Автомат испытательный для консервных банок, производительность 450 шт./мин</t>
  </si>
  <si>
    <t xml:space="preserve">                                   Оборудование лакировочное</t>
  </si>
  <si>
    <t>ТЕРм28-14-006-01</t>
  </si>
  <si>
    <t>Линия лакирования и сушки жестяных банок, производительность 4500 банок/ч</t>
  </si>
  <si>
    <t>ТЕРм28-14-006-02</t>
  </si>
  <si>
    <t>Машина лакирования листовой жести, производительность 1750 листов/ч</t>
  </si>
  <si>
    <t>ТЕРм28-14-007-01</t>
  </si>
  <si>
    <t>Ножницы фигурные, для однорядной полосы, производительность 120 заготовок/мин</t>
  </si>
  <si>
    <t>ТЕРм28-14-007-02</t>
  </si>
  <si>
    <t>Ножницы нарезки заготовок для корпусов, производительность 40 листов/мин</t>
  </si>
  <si>
    <t>ТЕРм28-14-007-03</t>
  </si>
  <si>
    <t>Ножницы нарезки заготовок для концов, производительность 30 листов/мин</t>
  </si>
  <si>
    <t>ТЕРм28-14-007-04</t>
  </si>
  <si>
    <t>Автомат паяльный, производительность 450 шт./мин</t>
  </si>
  <si>
    <t>ТЕРм-2001-28</t>
  </si>
  <si>
    <t xml:space="preserve">                           Раздел 1. Оборудование театрально-зрелищных предприятий</t>
  </si>
  <si>
    <t xml:space="preserve">                                   Раздел 1. ЛЕБЕДКИ И ПРИВОДЫ</t>
  </si>
  <si>
    <t xml:space="preserve">                                   Лебедки и приводы электрические</t>
  </si>
  <si>
    <t>ТЕРм29-01-001-01</t>
  </si>
  <si>
    <t>Лебедка электрическая: театральная для сценических подъемов С-20</t>
  </si>
  <si>
    <t>ТЕРм29-01-001-02</t>
  </si>
  <si>
    <t>Лебедка электрическая: антрактно-раздвижного занавеса М276А</t>
  </si>
  <si>
    <t>ТЕРм29-01-001-03</t>
  </si>
  <si>
    <t>Лебедка электрическая: антрактно-раздвижного занавеса М1ОУ</t>
  </si>
  <si>
    <t>ТЕРм29-01-001-04</t>
  </si>
  <si>
    <t>Лебедка электрическая: противопожарного занавеса С-14А</t>
  </si>
  <si>
    <t>ТЕРм29-01-001-05</t>
  </si>
  <si>
    <t>Лебедка электрическая: театральная для сценических подъемов С-21</t>
  </si>
  <si>
    <t>ТЕРм29-01-001-06</t>
  </si>
  <si>
    <t>Лебедка электрическая: софитных подъемов</t>
  </si>
  <si>
    <t>ТЕРм29-01-001-07</t>
  </si>
  <si>
    <t>Привод электрический: вращающегося круга</t>
  </si>
  <si>
    <t>ТЕРм29-01-001-08</t>
  </si>
  <si>
    <t>Привод электрический: горизонта или панорамы с коническим барабаном</t>
  </si>
  <si>
    <t xml:space="preserve">                                   Лебедки и приводы ручные</t>
  </si>
  <si>
    <t>ТЕРм29-01-002-01</t>
  </si>
  <si>
    <t>Лебедка дымовых люков ручная: двухбарабанная</t>
  </si>
  <si>
    <t>ТЕРм29-01-002-02</t>
  </si>
  <si>
    <t>Лебедка дымовых люков ручная: четырехбарабанная</t>
  </si>
  <si>
    <t>ТЕРм29-01-002-03</t>
  </si>
  <si>
    <t>Лебедка дымовых люков ручная: шестибарабанная</t>
  </si>
  <si>
    <t>ТЕРм29-01-002-04</t>
  </si>
  <si>
    <t>Привод портальной кулисы ручной</t>
  </si>
  <si>
    <t>ТЕРм29-01-002-05</t>
  </si>
  <si>
    <t>Блок нижний ручного привода</t>
  </si>
  <si>
    <t>ТЕРм29-01-002-06</t>
  </si>
  <si>
    <t>Лебедка сценических подъемов ручная</t>
  </si>
  <si>
    <t xml:space="preserve">                                   Раздел 2. ПОДВЕСНОЕ ОБОРУДОВАНИЕ И ОПОРЫ</t>
  </si>
  <si>
    <t xml:space="preserve">                                   Блоки</t>
  </si>
  <si>
    <t>ТЕРм29-01-020-01</t>
  </si>
  <si>
    <t>Блок одинарный, масса: до 50 кг</t>
  </si>
  <si>
    <t>ТЕРм29-01-020-02</t>
  </si>
  <si>
    <t>Блок одинарный, масса: до 100 кг</t>
  </si>
  <si>
    <t>ТЕРм29-01-020-03</t>
  </si>
  <si>
    <t>Блок парный, масса более 100 кг</t>
  </si>
  <si>
    <t xml:space="preserve">                                   Противовесы</t>
  </si>
  <si>
    <t>ТЕРм29-01-021-01</t>
  </si>
  <si>
    <t>Плита противовеса чугунная</t>
  </si>
  <si>
    <t>ТЕРм29-01-021-02</t>
  </si>
  <si>
    <t>Рама противовеса, масса: до 3 т</t>
  </si>
  <si>
    <t>ТЕРм29-01-021-03</t>
  </si>
  <si>
    <t>Рама противовеса, масса: до 5 т</t>
  </si>
  <si>
    <t xml:space="preserve">                                   Оборудование сценических подъемов</t>
  </si>
  <si>
    <t>ТЕРм29-01-022-01</t>
  </si>
  <si>
    <t>Оборудование сценических подъемов,: механизм изменения длины каната индивидуального подъема</t>
  </si>
  <si>
    <t>ТЕРм29-01-022-02</t>
  </si>
  <si>
    <t>Оборудование сценических подъемов,: дорога попланного занавеса</t>
  </si>
  <si>
    <t>ТЕРм29-01-022-03</t>
  </si>
  <si>
    <t>Оборудование сценических подъемов,: дорога антрактно-раздвижного занавеса</t>
  </si>
  <si>
    <t>ТЕРм29-01-022-04</t>
  </si>
  <si>
    <t>Оборудование сценических подъемов,: подвеска для штанги сценических подъемов</t>
  </si>
  <si>
    <t>ТЕРм29-01-022-05</t>
  </si>
  <si>
    <t>Оборудование сценических подъемов,: рама подъемного горизонта</t>
  </si>
  <si>
    <t>ТЕРм29-01-022-06</t>
  </si>
  <si>
    <t>Оборудование сценических подъемов,: траверса</t>
  </si>
  <si>
    <t>ТЕРм29-01-022-07</t>
  </si>
  <si>
    <t>Оборудование сценических подъемов,: устройство натяжное</t>
  </si>
  <si>
    <t>ТЕРм29-01-022-08</t>
  </si>
  <si>
    <t>Оборудование сценических подъемов,: штанга сценических подъемов</t>
  </si>
  <si>
    <t xml:space="preserve">                                   Опоры</t>
  </si>
  <si>
    <t>ТЕРм29-01-023-01</t>
  </si>
  <si>
    <t>Пята центральная вращающегося круга</t>
  </si>
  <si>
    <t>ТЕРм29-01-023-02</t>
  </si>
  <si>
    <t>Шарнир клапана дымовых люков</t>
  </si>
  <si>
    <t xml:space="preserve">                                   Стяжки</t>
  </si>
  <si>
    <t>ТЕРм29-01-024-01</t>
  </si>
  <si>
    <t>Стяжка винтовая, грузоподъемность: до 0,5 т</t>
  </si>
  <si>
    <t>ТЕРм29-01-024-02</t>
  </si>
  <si>
    <t>Стяжка винтовая, грузоподъемность: до 3 т</t>
  </si>
  <si>
    <t>ТЕРм29-01-025-01</t>
  </si>
  <si>
    <t>Колодка деревянная для тягового каната вращающегося круга</t>
  </si>
  <si>
    <t>ТЕРм29-01-025-02</t>
  </si>
  <si>
    <t>Узел: крепления грузовых и тяговых канатов полиспастных подъемов</t>
  </si>
  <si>
    <t>ТЕРм29-01-025-03</t>
  </si>
  <si>
    <t>Узел: направляющий подъемно-опускного занавеса</t>
  </si>
  <si>
    <t>ТЕРм29-01-025-04</t>
  </si>
  <si>
    <t>Узел: мертвого крепления дороги антрактно-раздвижного занавеса или люстры зрительного зала</t>
  </si>
  <si>
    <t>ТЕРм29-01-025-05</t>
  </si>
  <si>
    <t>Узел: сцепления круга с кольцом</t>
  </si>
  <si>
    <t>ТЕРм29-01-025-06</t>
  </si>
  <si>
    <t>Узлы и детали с механической обработкой массой до 50 кг</t>
  </si>
  <si>
    <t>ТЕРм29-01-025-07</t>
  </si>
  <si>
    <t>Выключатель блокировочный лебедки противопожарного занавеса</t>
  </si>
  <si>
    <t>ТЕРм29-01-025-08</t>
  </si>
  <si>
    <t>Рукоятка безмоторного спуска противопожарного занавеса</t>
  </si>
  <si>
    <t>ТЕРм29-01-025-09</t>
  </si>
  <si>
    <t>Тележка прожекторная</t>
  </si>
  <si>
    <t xml:space="preserve">                                   Ролики, катки, каретки и ходовые колеса</t>
  </si>
  <si>
    <t>ТЕРм29-01-026-01</t>
  </si>
  <si>
    <t>Балансир с двумя вулканизированными катками</t>
  </si>
  <si>
    <t>ТЕРм29-01-026-02</t>
  </si>
  <si>
    <t>Каретка: гибкого кабеля</t>
  </si>
  <si>
    <t>ТЕРм29-01-026-03</t>
  </si>
  <si>
    <t>Каретка: двух или четырехроликовая дороги антрактно-раздвижного занавеса</t>
  </si>
  <si>
    <t>ТЕРм29-01-026-04</t>
  </si>
  <si>
    <t>Каретка: для раздвижных дверей</t>
  </si>
  <si>
    <t>ТЕРм29-01-026-05</t>
  </si>
  <si>
    <t>Каретка: полетов с жесткой дорогой</t>
  </si>
  <si>
    <t>ТЕРм29-01-026-06</t>
  </si>
  <si>
    <t>Колесо ходовое для портальных кулис</t>
  </si>
  <si>
    <t>ТЕРм29-01-026-07</t>
  </si>
  <si>
    <t>Каток: для фурок</t>
  </si>
  <si>
    <t>ТЕРм29-01-026-08</t>
  </si>
  <si>
    <t>Каток: упорный вращающегося круга</t>
  </si>
  <si>
    <t>ТЕРм29-01-026-09</t>
  </si>
  <si>
    <t>Каток: одинарный вращающегося круга</t>
  </si>
  <si>
    <t>ТЕРм29-01-026-10</t>
  </si>
  <si>
    <t>Ролик: парный дороги горизонта или панорамы</t>
  </si>
  <si>
    <t>ТЕРм29-01-026-11</t>
  </si>
  <si>
    <t>Ролик: направляющий портальных кулис или безмоторного спуска противопожарного занавеса</t>
  </si>
  <si>
    <t>ТЕРм29-01-026-12</t>
  </si>
  <si>
    <t>Катушки на дороге занавеса</t>
  </si>
  <si>
    <t xml:space="preserve">                                   Раздел 3. ОСНАЩЕНИЕ КАНАТАМИ</t>
  </si>
  <si>
    <t xml:space="preserve">                                   Навеска стальных канатов</t>
  </si>
  <si>
    <t>ТЕРм29-01-050-01</t>
  </si>
  <si>
    <t>Навеска стального каната для: полетов с резиновым амортизатором</t>
  </si>
  <si>
    <t>ТЕРм29-01-050-02</t>
  </si>
  <si>
    <t>Навеска стального каната для: дымовых люков, комплект одного клапана</t>
  </si>
  <si>
    <t>ТЕРм29-01-050-03</t>
  </si>
  <si>
    <t>Навеска стального каната для вращающегося круга, канат тяговый, диаметр: до 17 мм</t>
  </si>
  <si>
    <t>ТЕРм29-01-050-04</t>
  </si>
  <si>
    <t>Навеска стального каната для вращающегося круга, канат тяговый, диаметр: до 24 мм</t>
  </si>
  <si>
    <t>ТЕРм29-01-050-05</t>
  </si>
  <si>
    <t>Навеска стального каната для: управления безмоторным спуском противопожарного занавеса</t>
  </si>
  <si>
    <t>ТЕРм29-01-050-06</t>
  </si>
  <si>
    <t>Навеска стального каната для: противопожарного занавеса, канат тяговый и грузовой, диаметр до 19,5 мм</t>
  </si>
  <si>
    <t>ТЕРм29-01-050-07</t>
  </si>
  <si>
    <t>Навеска стального каната для: подъемно-опускного занавеса направляющий</t>
  </si>
  <si>
    <t>ТЕРм29-01-050-08</t>
  </si>
  <si>
    <t>Навеска стального каната для: индивидуальных подъемов на 4 точки</t>
  </si>
  <si>
    <t>ТЕРм29-01-050-09</t>
  </si>
  <si>
    <t>Навеска стального каната диаметром до 12 мм для сценических подъемов, высота навески: прямой системы до 25 м, количество подвесок 3</t>
  </si>
  <si>
    <t>ТЕРм29-01-050-10</t>
  </si>
  <si>
    <t>Навеска стального каната диаметром до 12 мм для сценических подъемов, высота навески: прямой системы до 25 м, количество подвесок 4</t>
  </si>
  <si>
    <t>ТЕРм29-01-050-11</t>
  </si>
  <si>
    <t>Навеска стального каната диаметром до 12 мм для сценических подъемов, высота навески: прямой системы до 25 м, количество подвесок 5</t>
  </si>
  <si>
    <t>ТЕРм29-01-050-12</t>
  </si>
  <si>
    <t>Навеска стального каната диаметром до 12 мм для сценических подъемов, высота навески: полиспастной системы до 25 м, количество подвесок 4</t>
  </si>
  <si>
    <t>ТЕРм29-01-050-13</t>
  </si>
  <si>
    <t>Навеска стального каната диаметром до 12 мм для сценических подъемов, высота навески: полиспастной системы до 25 м, количество подвесок 5</t>
  </si>
  <si>
    <t>ТЕРм29-01-050-14</t>
  </si>
  <si>
    <t>Навеска стального каната диаметром до 12 мм для софитных подъемов, высота навески: прямой системы до 25 м, количество подвесок 8</t>
  </si>
  <si>
    <t>ТЕРм29-01-050-15</t>
  </si>
  <si>
    <t>Навеска стального каната диаметром до 12 мм для софитных подъемов, высота навески: прямой системы до 25 м, количество подвесок 10</t>
  </si>
  <si>
    <t>ТЕРм29-01-050-16</t>
  </si>
  <si>
    <t>Навеска стального каната диаметром до 12 мм для софитных подъемов, высота навески: полиспастной системы до 25 м, количество подвесок 8</t>
  </si>
  <si>
    <t>ТЕРм29-01-050-17</t>
  </si>
  <si>
    <t>Навеска стального каната диаметром до 12 мм для софитных подъемов, высота навески: полиспастной системы до 25 м, количество подвесок 10</t>
  </si>
  <si>
    <t xml:space="preserve">                                   Оснащение канатами стальными</t>
  </si>
  <si>
    <t>ТЕРм29-01-051-01</t>
  </si>
  <si>
    <t>Канат стальной тяговый для лебедок: ручных</t>
  </si>
  <si>
    <t>ТЕРм29-01-051-02</t>
  </si>
  <si>
    <t>Канат стальной тяговый для лебедок: электрических</t>
  </si>
  <si>
    <t xml:space="preserve">                                   Навеска канатов пеньковых</t>
  </si>
  <si>
    <t>ТЕРм29-01-052-01</t>
  </si>
  <si>
    <t>Навеска каната пенькового для: ручного привода антрактно-раздвижного занавеса</t>
  </si>
  <si>
    <t>ТЕРм29-01-052-02</t>
  </si>
  <si>
    <t>Навеска каната пенькового для: ручного привода декорационного, индивидуального или софитного подъема</t>
  </si>
  <si>
    <t>ТЕРм29-01-052-03</t>
  </si>
  <si>
    <t>Навеска каната пенькового для: дорог попланного занавеса, горизонта или панорамы</t>
  </si>
  <si>
    <t xml:space="preserve">                                   Раздел 4. ОБОРУДОВАНИЕ ПЛАНШЕТА СЦЕНЫ</t>
  </si>
  <si>
    <t xml:space="preserve">                                   Оборудование планшета сцены</t>
  </si>
  <si>
    <t>ТЕРм29-01-062-01</t>
  </si>
  <si>
    <t>Оборудование планшета сцены (подъемно-опускные площадки, сейфы, подъемники, люки провала, площадки передвижения)</t>
  </si>
  <si>
    <t xml:space="preserve">                                   Раздел 5. ОГРАЖДЕНИЯ</t>
  </si>
  <si>
    <t xml:space="preserve">                                   Ограждение сеткой или трубами стальными</t>
  </si>
  <si>
    <t>ТЕРм29-01-070-01</t>
  </si>
  <si>
    <t>Ограждение: сеткой металлической шахт направляющих противовесов, софитных ферм</t>
  </si>
  <si>
    <t>ТЕРм29-01-070-02</t>
  </si>
  <si>
    <t>Ограждение: трубой стального каната дымовых люков</t>
  </si>
  <si>
    <t>ТЕРм-2001-30</t>
  </si>
  <si>
    <t xml:space="preserve">                           Раздел 1. Оборудование зернохранилищ и предприятий по переработке зерна</t>
  </si>
  <si>
    <t xml:space="preserve">                                   Раздел 1. ОБОРУДОВАНИЕ ДЛЯ ОЧИСТКИ, СУШКИ И ОБРАБОТКИ ЗЕРНА</t>
  </si>
  <si>
    <t xml:space="preserve">                                   Сепараторы зерноочистительные</t>
  </si>
  <si>
    <t>ТЕРм30-01-001-01</t>
  </si>
  <si>
    <t>Сепаратор зерноочистительный, тип А1-БМС-6</t>
  </si>
  <si>
    <t>ТЕРм30-01-001-02</t>
  </si>
  <si>
    <t>Сепаратор зерноочистительный, тип А1-БИС, производительность 12 т/ч</t>
  </si>
  <si>
    <t>ТЕРм30-01-001-03</t>
  </si>
  <si>
    <t>Сепаратор зерноочистительный, тип А1-БИС, производительность 100 т/ч</t>
  </si>
  <si>
    <t>ТЕРм30-01-001-04</t>
  </si>
  <si>
    <t>Сепаратор зерноочистительный, тип А1-БЛС, производительность 12 т/ч</t>
  </si>
  <si>
    <t>ТЕРм30-01-001-05</t>
  </si>
  <si>
    <t>Сепаратор зерноочистительный, тип А1-БЛС, производительность 16 т/ч</t>
  </si>
  <si>
    <t>ТЕРм30-01-001-06</t>
  </si>
  <si>
    <t>Сепаратор зерноочистительный, тип А1-БЛС, производительность 100 т/ч</t>
  </si>
  <si>
    <t>ТЕРм30-01-001-07</t>
  </si>
  <si>
    <t>Сепаратор зерноочистительный, тип А1-БЛС, производительность 150 т/ч</t>
  </si>
  <si>
    <t>ТЕРм30-01-001-08</t>
  </si>
  <si>
    <t>Сепаратор зерноочистительный, тип А1-БЦС, производительность 100 т/ч</t>
  </si>
  <si>
    <t>ТЕРм30-01-001-09</t>
  </si>
  <si>
    <t>Сепаратор зерноочистительный, тип А1-БСФ, для разделения зерна на фракции, производительность 50 т/ч</t>
  </si>
  <si>
    <t>ТЕРм30-01-001-10</t>
  </si>
  <si>
    <t>Скальператор барабанный, тип А1-Б32-О, производительность 100 т/ч</t>
  </si>
  <si>
    <t xml:space="preserve">                                   Концентраторы</t>
  </si>
  <si>
    <t>ТЕРм30-01-002-01</t>
  </si>
  <si>
    <t>Концентратор, тип А1-БЗК-9</t>
  </si>
  <si>
    <t>ТЕРм30-01-002-02</t>
  </si>
  <si>
    <t>Концентратор, тип А1-БЗК-18</t>
  </si>
  <si>
    <t xml:space="preserve">                                   Аспираторы и колонки аспирационные</t>
  </si>
  <si>
    <t>ТЕРм30-01-003-01</t>
  </si>
  <si>
    <t>Аспиратор с замкнутым циклом воздуха, тип А1-БДЗ, производительность 6 т/ч</t>
  </si>
  <si>
    <t>ТЕРм30-01-003-02</t>
  </si>
  <si>
    <t>Аспиратор с замкнутым циклом воздуха, тип А1-БДЗ, производительность 12 т/ч</t>
  </si>
  <si>
    <t>ТЕРм30-01-003-03</t>
  </si>
  <si>
    <t>Аспиратор зерновой, тип РЗ-БАБ</t>
  </si>
  <si>
    <t>ТЕРм30-01-003-04</t>
  </si>
  <si>
    <t>Колонка аспирационная, тип А1-БКА</t>
  </si>
  <si>
    <t>ТЕРм30-01-003-05</t>
  </si>
  <si>
    <t>Колонка аспирационная, тип У1-БКА</t>
  </si>
  <si>
    <t>ТЕРм30-01-003-06</t>
  </si>
  <si>
    <t>Пневмосепаратор тип Р3-БСД, производительность 7 т/ч</t>
  </si>
  <si>
    <t>ТЕРм30-01-003-07</t>
  </si>
  <si>
    <t>Циклон горизонтальный тип А1-БЛЦ</t>
  </si>
  <si>
    <t xml:space="preserve">                                   Триеры дисковые</t>
  </si>
  <si>
    <t>ТЕРм30-01-004-01</t>
  </si>
  <si>
    <t>Триер дисковый овсюгоотборник тип А9-УТО-6</t>
  </si>
  <si>
    <t>ТЕРм30-01-004-02</t>
  </si>
  <si>
    <t>Триер дисковый куколеотборник тип А9-УТК-6</t>
  </si>
  <si>
    <t xml:space="preserve">                                   Камнеотборники</t>
  </si>
  <si>
    <t>ТЕРм30-01-005-01</t>
  </si>
  <si>
    <t>Камнеотборник, тип Р3-БКТ, производительность 100 т/ч</t>
  </si>
  <si>
    <t>ТЕРм30-01-005-02</t>
  </si>
  <si>
    <t>Камнеотборник, тип Р3-БКТ, производительность 150 т/ч</t>
  </si>
  <si>
    <t xml:space="preserve">                                   Машины обоечные и щеточные</t>
  </si>
  <si>
    <t>ТЕРм30-01-006-01</t>
  </si>
  <si>
    <t>Машина обоечная вертикальная, тип Р3-БМО, производительность 6 т/ч</t>
  </si>
  <si>
    <t>ТЕРм30-01-006-02</t>
  </si>
  <si>
    <t>Машина обоечная вертикальная, тип Р3-БМО, производительность 12 т/ч</t>
  </si>
  <si>
    <t>ТЕРм30-01-006-03</t>
  </si>
  <si>
    <t>Машина обоечная с продольными бичами, тип ЗНМ, производительность 5 т/ч</t>
  </si>
  <si>
    <t>ТЕРм30-01-006-04</t>
  </si>
  <si>
    <t>Машина щеточная, тип А1-БЩМ, производительность 6 т/ч</t>
  </si>
  <si>
    <t>ТЕРм30-01-006-05</t>
  </si>
  <si>
    <t>Машина щеточная, тип А1-БЩМ, производительность 12 т/ч</t>
  </si>
  <si>
    <t xml:space="preserve">                                   Машины для обработки зерна водой</t>
  </si>
  <si>
    <t>ТЕРм30-01-007-01</t>
  </si>
  <si>
    <t>Машина для мокрого шелушения, тип А1-БМШ</t>
  </si>
  <si>
    <t>ТЕРм30-01-007-02</t>
  </si>
  <si>
    <t>Аппарат увлажнительный, тип А1-БУЗ</t>
  </si>
  <si>
    <t>ТЕРм30-01-007-03</t>
  </si>
  <si>
    <t>Аппарат увлажнительный, тип А1-БАЗ</t>
  </si>
  <si>
    <t>ТЕРм30-01-007-04</t>
  </si>
  <si>
    <t>Машина для увлажнения зерна, тип А1-БШУ, производительность 6 т/ч</t>
  </si>
  <si>
    <t>ТЕРм30-01-007-05</t>
  </si>
  <si>
    <t>Машина для увлажнения зерна, тип А1-БШУ, производительность 12 т/ч</t>
  </si>
  <si>
    <t>ТЕРм30-01-007-06</t>
  </si>
  <si>
    <t>Машина моечная, тип Ж9-БМБ</t>
  </si>
  <si>
    <t xml:space="preserve">                                   Бураты для контроля отходов</t>
  </si>
  <si>
    <t>ТЕРм30-01-008-01</t>
  </si>
  <si>
    <t>Бурат цельнометаллический, тип ЦМБ-3</t>
  </si>
  <si>
    <t xml:space="preserve">                                   Подогреватели зерна</t>
  </si>
  <si>
    <t>ТЕРм30-01-009-01</t>
  </si>
  <si>
    <t>Подогреватель зерна, тип БПЗ</t>
  </si>
  <si>
    <t xml:space="preserve">                                   Сушилки паровые</t>
  </si>
  <si>
    <t>ТЕРм30-01-010-01</t>
  </si>
  <si>
    <t>Сушилка вертикальная паровая для крупяных культур из 10 секций марки ВС-10-49М</t>
  </si>
  <si>
    <t>ТЕРм30-01-010-02</t>
  </si>
  <si>
    <t>При увеличении количества секций на каждые 2 секции, добавлять к расценке 30-01-010-01</t>
  </si>
  <si>
    <t xml:space="preserve">                                   Установки рециркуляционные для газации зерна</t>
  </si>
  <si>
    <t>ТЕРм30-01-011-01</t>
  </si>
  <si>
    <t>Установка рециркуляционная для газации зерна в трех силосах элеватора</t>
  </si>
  <si>
    <t>ТЕРм30-01-011-02</t>
  </si>
  <si>
    <t>При увеличении количества силосов на каждый 1 силос добавлять к расценке 30-01-011-01</t>
  </si>
  <si>
    <t xml:space="preserve">                                   Раздел 2. ОБОРУДОВАНИЕ ДЛЯ ВЫРАБОТКИ МУКИ, КРУПЫ И КОМБИКОРМОВ</t>
  </si>
  <si>
    <t xml:space="preserve">                                   Станки вальцовые</t>
  </si>
  <si>
    <t>ТЕРм30-01-025-01</t>
  </si>
  <si>
    <t>Станок вальцовый четырехвалковый, размер валков 185х400 мм, тип ВМ-2-П</t>
  </si>
  <si>
    <t>ТЕРм30-01-025-02</t>
  </si>
  <si>
    <t>Станок вальцовый четырехвалковый, размер валков 250х600 мм, тип ЗМ2</t>
  </si>
  <si>
    <t>ТЕРм30-01-025-03</t>
  </si>
  <si>
    <t>Станок вальцовый четырехвалковый, размер валков 250х800 мм, 250х1000, тип БВ2</t>
  </si>
  <si>
    <t>ТЕРм30-01-025-04</t>
  </si>
  <si>
    <t>Станок вальцовый четырехвалковый, размер валков 250х1000 мм, тип А1-БЗН</t>
  </si>
  <si>
    <t xml:space="preserve">                                   Рассевы</t>
  </si>
  <si>
    <t>ТЕРм30-01-026-01</t>
  </si>
  <si>
    <t>Рассев для муки, тип ЗРШ, число приемов 4</t>
  </si>
  <si>
    <t>ТЕРм30-01-026-02</t>
  </si>
  <si>
    <t>Рассев для муки, тип ЗРШ, число приемов 6</t>
  </si>
  <si>
    <t>ТЕРм30-01-026-03</t>
  </si>
  <si>
    <t>Рассев для муки, тип Р3-БРВ, число приемов 4</t>
  </si>
  <si>
    <t>ТЕРм30-01-026-04</t>
  </si>
  <si>
    <t>Рассев для муки, тип Р3-БРБ, число приемов 6</t>
  </si>
  <si>
    <t>ТЕРм30-01-026-05</t>
  </si>
  <si>
    <t>Рассев для крупы, тип А1-БРУ</t>
  </si>
  <si>
    <t xml:space="preserve">                                   Машины ситовеечные</t>
  </si>
  <si>
    <t>ТЕРм30-01-027-01</t>
  </si>
  <si>
    <t>Машина ситовеечная, тип А1-БС2-О</t>
  </si>
  <si>
    <t xml:space="preserve">                                   Машины вымольные</t>
  </si>
  <si>
    <t>ТЕРм30-01-028-01</t>
  </si>
  <si>
    <t>Машина бичевая однороторная, тип МБО</t>
  </si>
  <si>
    <t>ТЕРм30-01-028-02</t>
  </si>
  <si>
    <t>Машина вымольная, тип А1-БВГ</t>
  </si>
  <si>
    <t xml:space="preserve">                                   Установки автоматизированные для витаминизации муки</t>
  </si>
  <si>
    <t>ТЕРм30-01-029-01</t>
  </si>
  <si>
    <t>Установка для витаминизации муки, тип А5-АУВМ-1</t>
  </si>
  <si>
    <t xml:space="preserve">                                   Машины шелушильно-шлифовальные</t>
  </si>
  <si>
    <t>ТЕРм30-01-030-01</t>
  </si>
  <si>
    <t>Машина шлифовальная для риса, тип А1-БШМ-2,5</t>
  </si>
  <si>
    <t>ТЕРм30-01-030-02</t>
  </si>
  <si>
    <t>Машина шелушильно-шлифовальная для зерна, тип А1-ЗШН-3</t>
  </si>
  <si>
    <t>ТЕРм30-01-030-03</t>
  </si>
  <si>
    <t>Станок шелушильный двухдековый, тип 2ДШС-3А</t>
  </si>
  <si>
    <t>ТЕРм30-01-030-04</t>
  </si>
  <si>
    <t>Машина для шелушения овса, тип А1-ДШЦ</t>
  </si>
  <si>
    <t>ТЕРм30-01-030-05</t>
  </si>
  <si>
    <t>Шелушитель валковый для риса, тип У1-БШВ</t>
  </si>
  <si>
    <t xml:space="preserve">                                   Крупосортировки</t>
  </si>
  <si>
    <t>ТЕРм30-01-031-01</t>
  </si>
  <si>
    <t>Крупосортировка двухъярусная</t>
  </si>
  <si>
    <t xml:space="preserve">                                   Столы пневмосортировальные</t>
  </si>
  <si>
    <t>ТЕРм30-01-032-01</t>
  </si>
  <si>
    <t>Стол пневмосортировальный для зерна</t>
  </si>
  <si>
    <t>ТЕРм30-01-033-01</t>
  </si>
  <si>
    <t>Дробилка молотковая для измельчения зерна и отходов, производительность 2 т/ч</t>
  </si>
  <si>
    <t>ТЕРм30-01-033-02</t>
  </si>
  <si>
    <t>Дробилка молотковая для измельчения зерна и отходов, производительность 6 т/ч</t>
  </si>
  <si>
    <t>ТЕРм30-01-033-03</t>
  </si>
  <si>
    <t>Дробилка молотковая для измельчения зерна и отходов, производительность 12 т/ч</t>
  </si>
  <si>
    <t>ТЕРм30-01-033-04</t>
  </si>
  <si>
    <t>Дробилка молотковая для измельчения зерна и отходов, производительность 20 т/ч</t>
  </si>
  <si>
    <t xml:space="preserve">                                   Установки для гранулирования комбикормов</t>
  </si>
  <si>
    <t>ТЕРм30-01-034-01</t>
  </si>
  <si>
    <t>Установка для гранулирования комбикормов, состоящая из гранулятора, охладителя и измельчителя, производительность 10 т/ч</t>
  </si>
  <si>
    <t>ТЕРм30-01-034-02</t>
  </si>
  <si>
    <t>Пресс-экструдер</t>
  </si>
  <si>
    <t xml:space="preserve">                                   Машины просеивающие для выработки муки и комбикормов</t>
  </si>
  <si>
    <t>ТЕРм30-01-035-01</t>
  </si>
  <si>
    <t>Машина просеивающая для соли и мела, тип А1-ДСМ</t>
  </si>
  <si>
    <t>ТЕРм30-01-035-02</t>
  </si>
  <si>
    <t>Машина просеивающая для муки, тип А1-БП2-К</t>
  </si>
  <si>
    <t>ТЕРм30-01-035-03</t>
  </si>
  <si>
    <t>Машина контрольного просеивания муки, тип А1-БПК</t>
  </si>
  <si>
    <t>ТЕРм30-01-035-04</t>
  </si>
  <si>
    <t>Вибросито цилиндрическое, тип Р3-БЦА</t>
  </si>
  <si>
    <t xml:space="preserve">                                   Питатели шнековые для многокомпонентных весов</t>
  </si>
  <si>
    <t>ТЕРм30-01-036-01</t>
  </si>
  <si>
    <t>Питатель шнековый для многокомпонентных весов, предел взвешивания до 100 кг</t>
  </si>
  <si>
    <t>ТЕРм30-01-036-02</t>
  </si>
  <si>
    <t>Питатель шнековый для многокомпонентных весов, предел взвешивания до 1000 кг</t>
  </si>
  <si>
    <t>ТЕРм30-01-036-03</t>
  </si>
  <si>
    <t>Питатель шнековый для многокомпонентных весов, предел взвешивания до 2500 кг</t>
  </si>
  <si>
    <t xml:space="preserve">                                   Агрегат для мелассирования комбикормов</t>
  </si>
  <si>
    <t>ТЕРм30-01-037-01</t>
  </si>
  <si>
    <t>Агрегат для мелассирования комбикормов</t>
  </si>
  <si>
    <t xml:space="preserve">                                   Установки для ввода жира</t>
  </si>
  <si>
    <t>ТЕРм30-01-038-01</t>
  </si>
  <si>
    <t>Установка для ввода жира в рассыпные комбикорма, производительность 10 т/ч</t>
  </si>
  <si>
    <t xml:space="preserve">                                   Деташеры</t>
  </si>
  <si>
    <t>ТЕРм30-01-039-01</t>
  </si>
  <si>
    <t>Деташер, тип А1-БДГ</t>
  </si>
  <si>
    <t xml:space="preserve">                                   Энтолейторы</t>
  </si>
  <si>
    <t>ТЕРм30-01-040-01</t>
  </si>
  <si>
    <t>Энтолейтор для стерилизации зерна</t>
  </si>
  <si>
    <t>ТЕРм30-01-040-02</t>
  </si>
  <si>
    <t>Энтолейтор для стерилизации муки</t>
  </si>
  <si>
    <t>ТЕРм30-01-040-03</t>
  </si>
  <si>
    <t>Энтолейтор для размола крупок и дунстов</t>
  </si>
  <si>
    <t xml:space="preserve">                                   Раздел 3. ОБОРУДОВАНИЕ ДОЗИРОВОЧНОЕ, СМЕСИТЕЛЬНОЕ, ЗАШИВОЧНОЕ ДЛЯ ХРАНЕНИЯ И ОТПУСКА ГОТОВОЙ ПРОДУКЦИИ</t>
  </si>
  <si>
    <t xml:space="preserve">                                   Дозаторы тарельчатые</t>
  </si>
  <si>
    <t>ТЕРм30-01-050-01</t>
  </si>
  <si>
    <t>Дозатор тарельчатый, производительность до 0,3 т/ч</t>
  </si>
  <si>
    <t>ТЕРм30-01-050-02</t>
  </si>
  <si>
    <t>Дозатор тарельчатый, производительность до 0,6 т/ч</t>
  </si>
  <si>
    <t>ТЕРм30-01-050-03</t>
  </si>
  <si>
    <t>Дозатор тарельчатый, производительность до 0,8 т/ч</t>
  </si>
  <si>
    <t xml:space="preserve">                                   Смесители переодического и непрерывного действия</t>
  </si>
  <si>
    <t>ТЕРм30-01-051-01</t>
  </si>
  <si>
    <t>Смеситель периодического действия вертикальный</t>
  </si>
  <si>
    <t>ТЕРм30-01-051-02</t>
  </si>
  <si>
    <t>Смеситель периодического действия горизонтальный, вместимость ковша до 0,1 т</t>
  </si>
  <si>
    <t>ТЕРм30-01-051-03</t>
  </si>
  <si>
    <t>Смеситель периодического действия горизонтальный, вместимость ковша до 0,2 т</t>
  </si>
  <si>
    <t>ТЕРм30-01-051-04</t>
  </si>
  <si>
    <t>Смеситель периодического действия горизонтальный, вместимость ковша до 0,5 т</t>
  </si>
  <si>
    <t>ТЕРм30-01-051-05</t>
  </si>
  <si>
    <t>Смеситель периодического действия горизонтальный, вместимость ковша до 1 т</t>
  </si>
  <si>
    <t>ТЕРм30-01-051-06</t>
  </si>
  <si>
    <t>Смеситель периодического действия горизонтальный, вместимость ковша до 1,5 т</t>
  </si>
  <si>
    <t>ТЕРм30-01-051-07</t>
  </si>
  <si>
    <t>Смеситель периодического действия горизонтальный, вместимость ковша до 2,5 т</t>
  </si>
  <si>
    <t>ТЕРм30-01-051-08</t>
  </si>
  <si>
    <t>Смеситель периодического действия горизонтальный, вместимость ковша до 3 т</t>
  </si>
  <si>
    <t>ТЕРм30-01-051-09</t>
  </si>
  <si>
    <t>Смеситель непрерывного действия</t>
  </si>
  <si>
    <t xml:space="preserve">                                   Распределители продукта</t>
  </si>
  <si>
    <t>ТЕРм30-01-052-01</t>
  </si>
  <si>
    <t>Распределитель продукта трубчатый вращающийся на 6 направлений, тип Р3-БРТ</t>
  </si>
  <si>
    <t>ТЕРм30-01-052-02</t>
  </si>
  <si>
    <t>Распределитель продукта автоматический тип Р3-БРД</t>
  </si>
  <si>
    <t>ТЕРм30-01-053-01</t>
  </si>
  <si>
    <t>Питатель шнековый, масса до 250 кг</t>
  </si>
  <si>
    <t>ТЕРм30-01-053-02</t>
  </si>
  <si>
    <t>Питатель шнековый, масса до 400 кг</t>
  </si>
  <si>
    <t>ТЕРм30-01-053-03</t>
  </si>
  <si>
    <t>Питатель шнековый, масса до 700 кг</t>
  </si>
  <si>
    <t xml:space="preserve">                                   Машины мешкозашивочные</t>
  </si>
  <si>
    <t>ТЕРм30-01-054-01</t>
  </si>
  <si>
    <t>Машина мешкозашивочная</t>
  </si>
  <si>
    <t xml:space="preserve">                                   Машины проволокошвейные</t>
  </si>
  <si>
    <t>ТЕРм30-01-055-01</t>
  </si>
  <si>
    <t>Машина проволокошвейная</t>
  </si>
  <si>
    <t xml:space="preserve">                                   Машины пакетоформирующие</t>
  </si>
  <si>
    <t>ТЕРм30-01-056-01</t>
  </si>
  <si>
    <t>Машина пакетоформирующая</t>
  </si>
  <si>
    <t xml:space="preserve">                                   Спуски винтовые</t>
  </si>
  <si>
    <t>ТЕРм30-01-057-01</t>
  </si>
  <si>
    <t>Спуск винтовой металлический</t>
  </si>
  <si>
    <t xml:space="preserve">                                   Раздел 4. ОБОРУДОВАНИЕ РАСПРЕДЕЛИТЕЛЬНОЕ</t>
  </si>
  <si>
    <t xml:space="preserve">                                   Лотки насыпные</t>
  </si>
  <si>
    <t>ТЕРм30-01-070-01</t>
  </si>
  <si>
    <t>Лоток насыпной к конвейеру, тип У1-УНЛ</t>
  </si>
  <si>
    <t>ТЕРм30-01-070-02</t>
  </si>
  <si>
    <t>Лоток насыпной к конвейеру, тип ЛД</t>
  </si>
  <si>
    <t xml:space="preserve">                                   Коробки сбрасывающие к ленточным конвеерам</t>
  </si>
  <si>
    <t>ТЕРм30-01-071-01</t>
  </si>
  <si>
    <t>Коробка сбрасывающая к ленточному конвейеру без патрубка</t>
  </si>
  <si>
    <t>ТЕРм30-01-071-02</t>
  </si>
  <si>
    <t>Коробка сбрасывающая к ленточному конвейеру с патрубком</t>
  </si>
  <si>
    <t>ТЕРм30-01-071-03</t>
  </si>
  <si>
    <t>Коробка сбрасывающая к ленточному конвейеру с перекидным клапаном</t>
  </si>
  <si>
    <t>ТЕРм30-01-071-04</t>
  </si>
  <si>
    <t>Коробка сбрасывающая к ленточному конвейеру с электрифицированным перекидным клапаном</t>
  </si>
  <si>
    <t xml:space="preserve">                                   Клапаны перекидные с электроприводом</t>
  </si>
  <si>
    <t>ТЕРм30-01-072-01</t>
  </si>
  <si>
    <t>Клапан перекидной с электроприводом, тип У17-КО, У17-КД, сечение до 220х220 мм</t>
  </si>
  <si>
    <t>ТЕРм30-01-072-02</t>
  </si>
  <si>
    <t>Клапан перекидной с электроприводом, тип У17-КО, У17-КД, сечение до 300х300 мм</t>
  </si>
  <si>
    <t>ТЕРм30-01-072-03</t>
  </si>
  <si>
    <t>Клапан перекидной с электроприводом, тип У17-КО, У17-КД, сечение до 380х380 мм</t>
  </si>
  <si>
    <t xml:space="preserve">                                   Клапаны поворотные и отводящие с пневмоприводом</t>
  </si>
  <si>
    <t>ТЕРм30-01-073-01</t>
  </si>
  <si>
    <t>Клапан с пневмоприводом диаметром до 120 мм поворотный, тип Р3-БКП</t>
  </si>
  <si>
    <t>ТЕРм30-01-073-02</t>
  </si>
  <si>
    <t>Клапан с пневмоприводом диаметром до 120 мм отводящий, тип РЗ-БКЕ</t>
  </si>
  <si>
    <t xml:space="preserve">                                   Задвижки реечные с ручным приводом</t>
  </si>
  <si>
    <t>ТЕРм30-01-074-01</t>
  </si>
  <si>
    <t>Задвижка реечная с ручным приводом, масса до 0,03 т</t>
  </si>
  <si>
    <t>ТЕРм30-01-074-02</t>
  </si>
  <si>
    <t>Задвижка реечная с ручным приводом, масса до 0,06 т</t>
  </si>
  <si>
    <t>ТЕРм30-01-074-03</t>
  </si>
  <si>
    <t>Задвижка реечная с ручным приводом, масса до 0,12 т</t>
  </si>
  <si>
    <t xml:space="preserve">                                   Задвижки реечные с электроприводом</t>
  </si>
  <si>
    <t>ТЕРм30-01-075-01</t>
  </si>
  <si>
    <t>Задвижка реечная с электроприводом, масса до 0,046 т</t>
  </si>
  <si>
    <t>ТЕРм30-01-075-02</t>
  </si>
  <si>
    <t>Задвижка реечная с электроприводом, масса до 0,05 т</t>
  </si>
  <si>
    <t>ТЕРм30-01-075-03</t>
  </si>
  <si>
    <t>Задвижка реечная с электроприводом, масса до 0,06 т</t>
  </si>
  <si>
    <t xml:space="preserve">                                   Задвижки приемного устройства</t>
  </si>
  <si>
    <t>ТЕРм30-01-076-01</t>
  </si>
  <si>
    <t>Задвижка приемного устройства с электроприводом, длина 3,3 м</t>
  </si>
  <si>
    <t>ТЕРм30-01-076-02</t>
  </si>
  <si>
    <t>Секция промежуточная длиной 1 м, добавлять к расценке 30-01-076-01</t>
  </si>
  <si>
    <t xml:space="preserve">                                   Устройства выпускные подсилосные роторного типа</t>
  </si>
  <si>
    <t>ТЕРм30-01-077-01</t>
  </si>
  <si>
    <t>Питатель роторный подсилосный, тип Б6-ДПК</t>
  </si>
  <si>
    <t xml:space="preserve">                                   Разгрузители</t>
  </si>
  <si>
    <t>ТЕРм30-01-078-01</t>
  </si>
  <si>
    <t>Разгрузитель винтовой, тип А1-ДРВ</t>
  </si>
  <si>
    <t>ТЕРм30-01-078-02</t>
  </si>
  <si>
    <t>Разгрузитель шнековый для соли и мела, тип А1-ДП2Ш</t>
  </si>
  <si>
    <t>ТЕРм30-01-078-03</t>
  </si>
  <si>
    <t>Виброразгрузчик, тип Р3-БВА, производительность 25 т/ч</t>
  </si>
  <si>
    <t>ТЕРм30-01-078-04</t>
  </si>
  <si>
    <t>Виброразгрузчик, тип Р3-БВА, производительность 40 т/ч</t>
  </si>
  <si>
    <t>ТЕРм30-01-078-05</t>
  </si>
  <si>
    <t>Разгрузчик аэрационный, тип Р3-БАА</t>
  </si>
  <si>
    <t xml:space="preserve">                                   Трубы распределительные с электроприводом</t>
  </si>
  <si>
    <t>ТЕРм30-01-079-01</t>
  </si>
  <si>
    <t>Труба поворотная для зернопровода, диаметр до 380 мм, с электроприводом, количество направлений 8</t>
  </si>
  <si>
    <t>ТЕРм30-01-079-02</t>
  </si>
  <si>
    <t>Труба поворотная для зернопровода, диаметр до 380 мм, с электроприводом, количество направлений 12</t>
  </si>
  <si>
    <t>ТЕРм30-01-079-03</t>
  </si>
  <si>
    <t>Распределитель самотечный на 9 направлений</t>
  </si>
  <si>
    <t xml:space="preserve">                                   Вибротранспортеры</t>
  </si>
  <si>
    <t>ТЕРм30-01-080-01</t>
  </si>
  <si>
    <t>Вибротранспортер, тип У1-БВТ длина 22 м</t>
  </si>
  <si>
    <t>ТЕРм30-01-080-02</t>
  </si>
  <si>
    <t>Секция промежуточная длиной 2 м, добавлять к расценке 30-01-080-01</t>
  </si>
  <si>
    <t xml:space="preserve">                                   Раздел 5. ОБОРУДОВАНИЕ СПЕЦИАЛЬНОЕ ДЛЯ ТРАНСПОРТА И АСПИРАЦИИ</t>
  </si>
  <si>
    <t xml:space="preserve">                                   Пневмоприемники</t>
  </si>
  <si>
    <t>ТЕРм30-01-095-01</t>
  </si>
  <si>
    <t>Пневмоприемник-тройник</t>
  </si>
  <si>
    <t>ТЕРм30-01-095-02</t>
  </si>
  <si>
    <t>Пневмоприемник-отвод</t>
  </si>
  <si>
    <t xml:space="preserve">                                   Пылеотделители (циклоны)</t>
  </si>
  <si>
    <t>ТЕРм30-01-096-01</t>
  </si>
  <si>
    <t>Пылеотделитель (циклон), тип ЦОЛ-1,5</t>
  </si>
  <si>
    <t>ТЕРм30-01-096-02</t>
  </si>
  <si>
    <t>Пылеотделитель (циклон), тип ЦОЛ-3; 4,5</t>
  </si>
  <si>
    <t>ТЕРм30-01-096-03</t>
  </si>
  <si>
    <t>Пылеотделитель (циклон), тип ЦОЛ-6</t>
  </si>
  <si>
    <t>ТЕРм30-01-096-04</t>
  </si>
  <si>
    <t>Пылеотделитель (циклон), тип ЦОЛ-9, 12</t>
  </si>
  <si>
    <t>ТЕРм30-01-096-05</t>
  </si>
  <si>
    <t>Пылеотделитель (циклон), тип ЦОЛ-18</t>
  </si>
  <si>
    <t>ТЕРм30-01-096-06</t>
  </si>
  <si>
    <t>Пылеотделитель (циклон) батарейный 2УЦ</t>
  </si>
  <si>
    <t>ТЕРм30-01-096-07</t>
  </si>
  <si>
    <t>Пылеотделитель (циклон) батарейный 3УЦ</t>
  </si>
  <si>
    <t>ТЕРм30-01-096-08</t>
  </si>
  <si>
    <t>Пылеотделитель (циклон) батарейный 4УЦ</t>
  </si>
  <si>
    <t>ТЕРм30-01-096-09</t>
  </si>
  <si>
    <t>Пылеотделитель (циклон) батарейный 2х3УЦ</t>
  </si>
  <si>
    <t>ТЕРм30-01-096-10</t>
  </si>
  <si>
    <t>Пылеотделитель (циклон) батарейный 2х4УЦ</t>
  </si>
  <si>
    <t>ТЕРм30-01-096-11</t>
  </si>
  <si>
    <t>Пылеотделитель (циклон) батарейный 4БЦШ</t>
  </si>
  <si>
    <t>ТЕРм30-01-096-12</t>
  </si>
  <si>
    <t>Пылеотделитель (циклон) батарейный У21-ББЦ</t>
  </si>
  <si>
    <t xml:space="preserve">                                   Циклоны-разгрузители</t>
  </si>
  <si>
    <t>ТЕРм30-01-097-01</t>
  </si>
  <si>
    <t>Циклон-разгрузитель, тип У2-БЦР, диаметр 220-340 мм</t>
  </si>
  <si>
    <t>ТЕРм30-01-097-02</t>
  </si>
  <si>
    <t>Циклон-разгрузитель, тип У2-БЦР, диаметр 450 мм</t>
  </si>
  <si>
    <t>ТЕРм30-01-097-03</t>
  </si>
  <si>
    <t>Циклон-разгрузитель, тип У2-БЦР, диаметр 675 мм</t>
  </si>
  <si>
    <t xml:space="preserve">                                   Фильтры всасывающие</t>
  </si>
  <si>
    <t>ТЕРм30-01-098-01</t>
  </si>
  <si>
    <t>Фильтр всасывающий, поверхность фильтрующая 30 м2</t>
  </si>
  <si>
    <t>ТЕРм30-01-098-02</t>
  </si>
  <si>
    <t>Фильтр всасывающий, поверхность фильтрующая 45 м2</t>
  </si>
  <si>
    <t>ТЕРм30-01-098-03</t>
  </si>
  <si>
    <t>Фильтр всасывающий, поверхность фильтрующая 60 м2</t>
  </si>
  <si>
    <t>ТЕРм30-01-098-04</t>
  </si>
  <si>
    <t>Фильтр всасывающий, поверхность фильтрующая 90 м2</t>
  </si>
  <si>
    <t xml:space="preserve">                                   Фильтры всасывающие высоковакуумные</t>
  </si>
  <si>
    <t>ТЕРм30-01-099-01</t>
  </si>
  <si>
    <t>Фильтр всасывающий высоковакуумный, поверхность фильтрующая 60 м2</t>
  </si>
  <si>
    <t>ТЕРм30-01-099-02</t>
  </si>
  <si>
    <t>Фильтр всасывающий высоковакуумный, поверхность фильтрующая 90 м2</t>
  </si>
  <si>
    <t xml:space="preserve">                                   Фильтры-циклоны</t>
  </si>
  <si>
    <t>ТЕРм30-01-100-01</t>
  </si>
  <si>
    <t>Фильтр-циклон, число рукавов до 9</t>
  </si>
  <si>
    <t>ТЕРм30-01-100-02</t>
  </si>
  <si>
    <t>Фильтр-циклон, число рукавов до 16</t>
  </si>
  <si>
    <t>ТЕРм30-01-100-03</t>
  </si>
  <si>
    <t>Фильтр-циклон, число рукавов до 36</t>
  </si>
  <si>
    <t>ТЕРм30-01-100-04</t>
  </si>
  <si>
    <t>Фильтр-циклон, число рукавов до 48</t>
  </si>
  <si>
    <t>ТЕРм30-01-100-05</t>
  </si>
  <si>
    <t>Фильтр-циклон, число рукавов до 72</t>
  </si>
  <si>
    <t xml:space="preserve">                                   Затворы шлюзовые</t>
  </si>
  <si>
    <t>ТЕРм30-01-101-01</t>
  </si>
  <si>
    <t>Затвор шлюзовой вместимостью 15 л</t>
  </si>
  <si>
    <t>ТЕРм30-01-101-02</t>
  </si>
  <si>
    <t>Сборка из шлюзовых затворов тип Р3-БШМ с электроприводом, количество затворов 1</t>
  </si>
  <si>
    <t>ТЕРм30-01-101-03</t>
  </si>
  <si>
    <t>Сборка из шлюзовых затворов тип Р3-БШМ с электроприводом, количество затворов 2</t>
  </si>
  <si>
    <t>ТЕРм30-01-101-04</t>
  </si>
  <si>
    <t>Сборка из шлюзовых затворов тип Р3-БШМ с электроприводом, количество затворов 4</t>
  </si>
  <si>
    <t>ТЕРм30-01-101-05</t>
  </si>
  <si>
    <t>Сборка из шлюзовых затворов тип Р3-БШМ с электроприводом, количество затворов 6</t>
  </si>
  <si>
    <t>ТЕРм30-01-101-06</t>
  </si>
  <si>
    <t>Сборка из шлюзовых затворов тип Р3-БШМ с электроприводом, количество затворов 7</t>
  </si>
  <si>
    <t>ТЕРм30-01-101-07</t>
  </si>
  <si>
    <t>Сборка из шлюзовых затворов тип Р3-БШМ с электроприводом, количество затворов 8</t>
  </si>
  <si>
    <t>ТЕРм30-01-101-08</t>
  </si>
  <si>
    <t>Агрегат шлюзового затвора, тип У1-21-БШЗ масса до 250 кг</t>
  </si>
  <si>
    <t>ТЕРм30-01-101-09</t>
  </si>
  <si>
    <t>Агрегат шлюзового затвора, тип У1-21-БШЗ масса до 350 кг</t>
  </si>
  <si>
    <t>ТЕРм30-01-101-10</t>
  </si>
  <si>
    <t>Агрегат шлюзового затвора, тип У1-21-БШЗ масса до 500 кг</t>
  </si>
  <si>
    <t>ТЕРм30-01-101-11</t>
  </si>
  <si>
    <t>Агрегат шлюзового затвора, тип У1-21-БШЗ масса до 700 кг</t>
  </si>
  <si>
    <t>ТЕРм30-01-101-12</t>
  </si>
  <si>
    <t>Агрегат шлюзового затвора, тип У1-21-БШЗ масса до 1000 кг</t>
  </si>
  <si>
    <t xml:space="preserve">                                   Трубопроводы самотечные из листовой стали</t>
  </si>
  <si>
    <t>ТЕРм30-01-102-01</t>
  </si>
  <si>
    <t>Трубопровод самотечный мельничный, диаметр до 140 мм, из листовой стали толщиной до 0,7 мм</t>
  </si>
  <si>
    <t>ТЕРм30-01-102-02</t>
  </si>
  <si>
    <t>Трубопровод самотечный мельничный, диаметр до 140 мм, из листовой стали толщиной до 1 мм</t>
  </si>
  <si>
    <t>ТЕРм30-01-102-03</t>
  </si>
  <si>
    <t>Трубопровод самотечный мельничный, диаметр до 140 мм, из листовой стали толщиной до 1,2 мм</t>
  </si>
  <si>
    <t>ТЕРм30-01-102-04</t>
  </si>
  <si>
    <t>Трубопровод самотечный мельничный, диаметр до 200 мм, из листовой стали толщиной до 1 мм</t>
  </si>
  <si>
    <t>ТЕРм30-01-102-05</t>
  </si>
  <si>
    <t>Трубопровод самотечный мельничный, диаметр до 200 мм, из листовой стали толщиной до 1,2 мм</t>
  </si>
  <si>
    <t>ТЕРм30-01-102-06</t>
  </si>
  <si>
    <t>Трубопровод самотечный мельничный, диаметр 220 мм, из листовой оцинкованной стали толщиной до 1,4 мм</t>
  </si>
  <si>
    <t>ТЕРм30-01-102-07</t>
  </si>
  <si>
    <t>Трубопровод самотечный мельничный, диаметр 300 мм, из листовой оцинкованной стали толщиной до 1,4 мм</t>
  </si>
  <si>
    <t>ТЕРм30-01-102-08</t>
  </si>
  <si>
    <t>Трубопровод самотечный элеваторный из листовой стали толщиной до 3 мм внутри здания</t>
  </si>
  <si>
    <t>ТЕРм30-01-102-09</t>
  </si>
  <si>
    <t>Трубопровод самотечный элеваторный из листовой стали толщиной до 3 мм снаружи здания</t>
  </si>
  <si>
    <t xml:space="preserve">                                   Трубопроводы гравитационого транспорта для мельзавода на высокопроизводительном оборудовании</t>
  </si>
  <si>
    <t>ТЕРм30-01-103-01</t>
  </si>
  <si>
    <t>Трубопровод гравитационного транспорта из стальных труб, диаметр до 100 мм, толщина стенки 1,4 мм</t>
  </si>
  <si>
    <t>ТЕРм30-01-103-02</t>
  </si>
  <si>
    <t>Трубопровод гравитационного транспорта из стальных труб, диаметр до 120 мм, толщина стенки 1,4 мм</t>
  </si>
  <si>
    <t>ТЕРм30-01-103-03</t>
  </si>
  <si>
    <t>Трубопровод гравитационного транспорта из стальных труб, диаметр до 150 мм, толщина стенки 1,4 мм</t>
  </si>
  <si>
    <t>ТЕРм30-01-103-04</t>
  </si>
  <si>
    <t>Трубопровод гравитационного транспорта из стальных труб, диаметр до 200 мм, толщина стенки 1,4 мм</t>
  </si>
  <si>
    <t>ТЕРм30-01-103-05</t>
  </si>
  <si>
    <t>Трубопровод гравитационного транспорта из стальных труб, диаметр до 300 мм, толщина стенки 1,4 мм</t>
  </si>
  <si>
    <t>ТЕРм30-01-103-06</t>
  </si>
  <si>
    <t>Трубопровод гравитационного транспорта из стальных труб, диаметр 120 мм, толщина стенки 3 мм</t>
  </si>
  <si>
    <t xml:space="preserve">                                   Материалопроводы пневмо- и аэрозольтранспорта для мельзавода на высокопроизводительном оборудовании</t>
  </si>
  <si>
    <t>ТЕРм30-01-104-01</t>
  </si>
  <si>
    <t>Материалопровод пневмо- и аэрозольтранспорта из стальных труб, диаметр до 80 мм</t>
  </si>
  <si>
    <t>ТЕРм30-01-104-02</t>
  </si>
  <si>
    <t>Материалопровод пневмо- и аэрозольтранспорта из стальных труб, диаметр до 90 мм</t>
  </si>
  <si>
    <t>ТЕРм30-01-104-03</t>
  </si>
  <si>
    <t>Материалопровод пневмо- и аэрозольтранспорта из стальных труб, диаметр до 120 мм</t>
  </si>
  <si>
    <t>ТЕРм30-01-104-04</t>
  </si>
  <si>
    <t>Материалопровод пневмо- и аэрозольтранспорта из стальных труб, диаметр до 140 мм</t>
  </si>
  <si>
    <t>ТЕРм30-01-104-05</t>
  </si>
  <si>
    <t>Материалопровод пневмо- и аэрозольтранспорта из стальных труб, диаметр до 159 мм</t>
  </si>
  <si>
    <t>ТЕРм30-01-104-06</t>
  </si>
  <si>
    <t>Материалопровод пневмо- и аэрозольтранспорта из стальных труб, диаметр до 194 мм</t>
  </si>
  <si>
    <t xml:space="preserve">                                   Коллекторы пневмотранспортные</t>
  </si>
  <si>
    <t>ТЕРм30-01-105-01</t>
  </si>
  <si>
    <t>Коллектор пневмотранспортный, диаметр до 160 мм</t>
  </si>
  <si>
    <t>ТЕРм30-01-105-02</t>
  </si>
  <si>
    <t>Коллектор пневмотранспортный, диаметр до 315 мм</t>
  </si>
  <si>
    <t>ТЕРм30-01-105-03</t>
  </si>
  <si>
    <t>Коллектор пневмотранспортный, диаметр до 500 мм</t>
  </si>
  <si>
    <t xml:space="preserve">                                   Патрубки смотровые</t>
  </si>
  <si>
    <t>ТЕРм30-01-106-01</t>
  </si>
  <si>
    <t>Патрубок смотровой из оргстекла к шлюзовому затвору диаметром до 225 мм</t>
  </si>
  <si>
    <t xml:space="preserve">                                   Пылеуловители</t>
  </si>
  <si>
    <t>ТЕРм30-01-107-01</t>
  </si>
  <si>
    <t>Пылеуловитель</t>
  </si>
  <si>
    <t xml:space="preserve">                                   Установки нагнетательные</t>
  </si>
  <si>
    <t>ТЕРм30-01-108-01</t>
  </si>
  <si>
    <t>Нагнетатель винтовой, тип Р3-БНВ</t>
  </si>
  <si>
    <t xml:space="preserve">                                   Воздуходувки кольцевые</t>
  </si>
  <si>
    <t>ТЕРм30-01-109-01</t>
  </si>
  <si>
    <t>Воздуходувка кольцевая, тип Р3-БВК</t>
  </si>
  <si>
    <t xml:space="preserve">                                   Раздел 6. ОБОРУДОВАНИЕ СПЕЦИАЛЬНОЕ ПОГРУЗОЧНО-РАЗГРУЗОЧНОЕ</t>
  </si>
  <si>
    <t xml:space="preserve">                                   Установки для выгрузки сыпучих материалов</t>
  </si>
  <si>
    <t>ТЕРм30-01-119-01</t>
  </si>
  <si>
    <t>Установка для выгрузки сыпучих материалов, тип У8-УУ-75</t>
  </si>
  <si>
    <t xml:space="preserve">                                   Разгрузчики автомобильные</t>
  </si>
  <si>
    <t>ТЕРм30-01-120-01</t>
  </si>
  <si>
    <t>Разгрузчик автомобильный, грузоподъемность 50 т</t>
  </si>
  <si>
    <t xml:space="preserve">                                   Вагонозагрузчики</t>
  </si>
  <si>
    <t>ТЕРм30-01-121-01</t>
  </si>
  <si>
    <t>Устройство для загрузки зерна в железнодорожные вагоны</t>
  </si>
  <si>
    <t xml:space="preserve">                                   Трубы отпускные</t>
  </si>
  <si>
    <t>ТЕРм30-01-122-01</t>
  </si>
  <si>
    <t>Труба отпускная гибкая, диаметр до 300 мм</t>
  </si>
  <si>
    <t xml:space="preserve">                                   Раздел 7. ОБОРУДОВАНИЕ РАЗНОЕ</t>
  </si>
  <si>
    <t xml:space="preserve">                                   Колонки магнитные</t>
  </si>
  <si>
    <t>ТЕРм30-01-130-01</t>
  </si>
  <si>
    <t>Колонка магнитная, длина магнитной линии до 600 мм</t>
  </si>
  <si>
    <t>ТЕРм30-01-130-02</t>
  </si>
  <si>
    <t>Колонка магнитная, длина магнитной линии до 1000 мм</t>
  </si>
  <si>
    <t>ТЕРм30-01-130-03</t>
  </si>
  <si>
    <t>Колонка магнитная, длина магнитной линии до 2100 мм</t>
  </si>
  <si>
    <t xml:space="preserve">                                   Сепараторы магнитные и электромагнитные</t>
  </si>
  <si>
    <t>ТЕРм30-01-131-01</t>
  </si>
  <si>
    <t>Сепаратор магнитный, тип У1-БМЗ</t>
  </si>
  <si>
    <t>ТЕРм30-01-131-02</t>
  </si>
  <si>
    <t>Сепаратор магнитный, тип У1-БМП</t>
  </si>
  <si>
    <t>ТЕРм30-01-131-03</t>
  </si>
  <si>
    <t>Сепаратор магнитный, тип У1-БММ</t>
  </si>
  <si>
    <t>ТЕРм30-01-131-04</t>
  </si>
  <si>
    <t>Сепаратор электромагнитный, тип А1-ДЭС</t>
  </si>
  <si>
    <t xml:space="preserve">                                   Пробоотборники автоматические</t>
  </si>
  <si>
    <t>ТЕРм30-01-132-01</t>
  </si>
  <si>
    <t>Пробоотборник автоматический, тип А1-БПА</t>
  </si>
  <si>
    <t>ТЕРм30-01-132-02</t>
  </si>
  <si>
    <t>Пробоотборник автоматический, тип У1-БПБ</t>
  </si>
  <si>
    <t xml:space="preserve">                                   Установки для отбора проб</t>
  </si>
  <si>
    <t>ТЕРм30-01-133-01</t>
  </si>
  <si>
    <t>Установка для отбора проб из кузова автомобиля</t>
  </si>
  <si>
    <t xml:space="preserve">                                   Детали индивидуального привода</t>
  </si>
  <si>
    <t>ТЕРм30-01-134-01</t>
  </si>
  <si>
    <t>Муфта, шкив, звездочка, подшипник, вал и т.п., масса детали до 10 кг</t>
  </si>
  <si>
    <t>ТЕРм30-01-134-02</t>
  </si>
  <si>
    <t>Муфта, шкив, звездочка, подшипник, вал и т.п., масса детали до 35 кг</t>
  </si>
  <si>
    <t>ТЕРм30-01-134-03</t>
  </si>
  <si>
    <t>Муфта, шкив, звездочка, подшипник, вал и т.п., масса детали до 100 кг</t>
  </si>
  <si>
    <t xml:space="preserve">                                   Редукторы</t>
  </si>
  <si>
    <t>ТЕРм30-01-135-01</t>
  </si>
  <si>
    <t>Редуктор червячный, масса до 50 кг</t>
  </si>
  <si>
    <t>ТЕРм30-01-135-02</t>
  </si>
  <si>
    <t>Редуктор червячный, масса до 80 кг</t>
  </si>
  <si>
    <t xml:space="preserve">                                   Люки</t>
  </si>
  <si>
    <t>ТЕРм30-01-136-01</t>
  </si>
  <si>
    <t>Люк для сметок</t>
  </si>
  <si>
    <t>ТЕРм30-01-136-02</t>
  </si>
  <si>
    <t>Люк загрузочный и лазовый, масса до 20 кг</t>
  </si>
  <si>
    <t>ТЕРм30-01-136-03</t>
  </si>
  <si>
    <t>Люк загрузочный и лазовый, масса до 45 кг</t>
  </si>
  <si>
    <t xml:space="preserve">                                   Клапаны противопожарные</t>
  </si>
  <si>
    <t>ТЕРм30-01-137-01</t>
  </si>
  <si>
    <t>Клапан противопожарный</t>
  </si>
  <si>
    <t xml:space="preserve">                                   Клапаны противопыльные</t>
  </si>
  <si>
    <t>ТЕРм30-01-138-01</t>
  </si>
  <si>
    <t>Клапан противопыльный, тип ЛВ-10</t>
  </si>
  <si>
    <t>ТЕРм30-01-138-02</t>
  </si>
  <si>
    <t>Клапан противопыльный, тип ЛВ-11</t>
  </si>
  <si>
    <t xml:space="preserve">                                   Раздел 8. КОНВЕЙЕРЫ ДЛЯ ЗЕРНА И ПРОДУКТОВ ЕГО ПЕРЕРАБОТКИ</t>
  </si>
  <si>
    <t xml:space="preserve">                                   Конвейеры ленточные безроликовые в закрытом металлическом кожухе</t>
  </si>
  <si>
    <t>ТЕРм30-01-150-01</t>
  </si>
  <si>
    <t>Конвейер, тип У9-УКБ длина 30 м, ширина ленты 300-400 мм</t>
  </si>
  <si>
    <t>ТЕРм30-01-150-02</t>
  </si>
  <si>
    <t>Конвейер, тип У9-УКБ длина 30 м, ширина ленты 500-650 мм</t>
  </si>
  <si>
    <t>ТЕРм30-01-150-03</t>
  </si>
  <si>
    <t>Увеличение или уменьшение длины конвейера типа У9-УКБ на каждые 5 м, ширина ленты 300-400 мм, добавлять к расценке 30-01-150-01</t>
  </si>
  <si>
    <t>ТЕРм30-01-150-04</t>
  </si>
  <si>
    <t>Увеличение или уменьшение длины конвейера типа У9-УКБ на каждые 5 м, ширина ленты 500-650 мм, добавлять к расценке 30-01-150-02</t>
  </si>
  <si>
    <t xml:space="preserve">                                   Конвейеры ленточные стационарные для сыпучих грузов</t>
  </si>
  <si>
    <t>ТЕРм30-01-151-01</t>
  </si>
  <si>
    <t>Конвейер, тип У2-УКЛ, длина 50 м, ширина ленты 650 мм</t>
  </si>
  <si>
    <t>ТЕРм30-01-151-02</t>
  </si>
  <si>
    <t>Конвейер, тип У2-УКЛ, длина 50 м, ширина ленты 800 мм</t>
  </si>
  <si>
    <t>ТЕРм30-01-151-03</t>
  </si>
  <si>
    <t>Увеличение или уменьшение длины конвейера типа У2-УКЛ на каждые 5 м, ширина ленты 650 мм, добавлять к расценке 30-01-151-01</t>
  </si>
  <si>
    <t>ТЕРм30-01-151-04</t>
  </si>
  <si>
    <t>Увеличение или уменьшение длины конвейера типа У2-УКЛ на каждые 5 м, ширина ленты 800 мм, добавлять к расценке 30-01-151-02</t>
  </si>
  <si>
    <t xml:space="preserve">                                   Конвейеры винтовые (шнеки) для мукомольно-крупяной промышленности</t>
  </si>
  <si>
    <t>ТЕРм30-01-152-01</t>
  </si>
  <si>
    <t>Конвейер, тип У21-БКВ, длина 10 м, диаметр винта 200 мм</t>
  </si>
  <si>
    <t>ТЕРм30-01-152-02</t>
  </si>
  <si>
    <t>Конвейер, тип У21-БКВ, длина 10 м, диаметр винта 250 мм</t>
  </si>
  <si>
    <t>ТЕРм30-01-152-03</t>
  </si>
  <si>
    <t>Конвейер, тип У21-БКВ, длина 10 м, диаметр винта 320 мм</t>
  </si>
  <si>
    <t>ТЕРм30-01-152-04</t>
  </si>
  <si>
    <t>Увеличение или уменьшение длины конвейера типа У21-БКВ на каждые 5 м, диаметр винта 200 мм, добавлять к расценке 30-01-152-01</t>
  </si>
  <si>
    <t>ТЕРм30-01-152-05</t>
  </si>
  <si>
    <t>Увеличение или уменьшение длины конвейера типа У21-БКВ на каждые 5 м, диаметр винта 250 мм, добавлять к расценке 30-01-152-02</t>
  </si>
  <si>
    <t>ТЕРм30-01-152-06</t>
  </si>
  <si>
    <t>Увеличение или уменьшение длины конвейера типа У21-БКВ на каждые 5 м, диаметр винта 320 мм, добавлять к расценке 30-01-152-03</t>
  </si>
  <si>
    <t>ТЕРм30-01-152-07</t>
  </si>
  <si>
    <t>Конвейер, тип РЗ-БКШ, длина 10 м, диаметр винта 200 мм</t>
  </si>
  <si>
    <t>ТЕРм30-01-152-08</t>
  </si>
  <si>
    <t>Конвейер, тип РЗ-БКШ, длина 10 м, диаметр винта 315 мм</t>
  </si>
  <si>
    <t>ТЕРм30-01-152-09</t>
  </si>
  <si>
    <t>Конвейер, тип РЗ-БКШ, длина 10 м, диаметр винта 400 мм</t>
  </si>
  <si>
    <t>ТЕРм30-01-152-10</t>
  </si>
  <si>
    <t>Увеличение или уменьшение длины конвейера типа Р3-БКШ на каждые 5 м, диаметр винта 200 мм, добавлять к расценке 30-01-152-07</t>
  </si>
  <si>
    <t>ТЕРм30-01-152-11</t>
  </si>
  <si>
    <t>Увеличение или уменьшение длины конвейера типа Р3-БКШ на каждые 5 м, диаметр винта 250 мм, добавлять к расценке 30-01-152-08</t>
  </si>
  <si>
    <t>ТЕРм30-01-152-12</t>
  </si>
  <si>
    <t>Увеличение или уменьшение длины конвейера типа Р3-БКШ на каждые 5 м, диаметр винта 320 мм, добавлять к расценке 30-01-152-09</t>
  </si>
  <si>
    <t xml:space="preserve">                                   Конвейеры цепные с металлическим желобом и погруженными скребками для зерна и продуктов его переработки</t>
  </si>
  <si>
    <t>ТЕРм30-01-153-01</t>
  </si>
  <si>
    <t>Конвейер, тип КЦМ, длина 25 м, производительность 12 т/ч</t>
  </si>
  <si>
    <t>ТЕРм30-01-153-02</t>
  </si>
  <si>
    <t>Конвейер, тип КЦМ, длина 25 м, производительность 30 т/ч</t>
  </si>
  <si>
    <t>ТЕРм30-01-153-03</t>
  </si>
  <si>
    <t>Увеличение или уменьшение длины конвейера типа КЦМ на каждые 5 м, производительность 12 т/ч, к расценке 30-01-153-01</t>
  </si>
  <si>
    <t>ТЕРм30-01-153-04</t>
  </si>
  <si>
    <t>Увеличение или уменьшение длины конвейера типа КЦМ на каждые 5 м, производительность 30 т/ч, к расценке 30-01-153-02</t>
  </si>
  <si>
    <t>ТЕРм30-01-153-05</t>
  </si>
  <si>
    <t>Конвейер, тип К4-УТФ с одной загрузочной и одной разгрузочной секциями, производительность 50 т/ч, длина 25 м</t>
  </si>
  <si>
    <t>ТЕРм30-01-153-06</t>
  </si>
  <si>
    <t>Конвейер, тип К4-УТФ с одной загрузочной и одной разгрузочной секциями, производительность 100 т/ч, длина 25 м</t>
  </si>
  <si>
    <t>ТЕРм30-01-153-07</t>
  </si>
  <si>
    <t>Конвейер, тип К4-УТФ с одной загрузочной и одной разгрузочной секциями, производительность 175 т/ч, длина 50 м</t>
  </si>
  <si>
    <t>ТЕРм30-01-153-08</t>
  </si>
  <si>
    <t>Увеличение или уменьшение длины конвейера типа К4-УТФ на каждые 5 м, производительность 50 т/ч, к расценке 30-01-153-05</t>
  </si>
  <si>
    <t>ТЕРм30-01-153-09</t>
  </si>
  <si>
    <t>Увеличение или уменьшение длины конвейера типа К4-УТФ на каждые 5 м, производительность 100 т/ч, к расценке 30-01-153-06</t>
  </si>
  <si>
    <t>ТЕРм30-01-153-10</t>
  </si>
  <si>
    <t>Увеличение или уменьшение длины конвейера типа К4-УТФ на каждые 5 м, производительность 175 т/ч, к расценке 30-01-153-07</t>
  </si>
  <si>
    <t>ТЕРм30-01-153-11</t>
  </si>
  <si>
    <t>За каждую дополнительную загрузочную секцию добавлять к расценкам 30-01-153-05, 30-01-153-06, 30-01-153-07</t>
  </si>
  <si>
    <t>ТЕРм30-01-153-12</t>
  </si>
  <si>
    <t>За каждую дополнительную разгрузочную секцию с электроприводной задвижкой добавлять, производительность конвейера 50 т/ч, к расценке 30-01-153-05</t>
  </si>
  <si>
    <t>ТЕРм30-01-153-13</t>
  </si>
  <si>
    <t>За каждую дополнительную разгрузочную секцию с электроприводной задвижкой добавлять, производительность конвейера 100 т/ч, к расценке 30-01-153-06</t>
  </si>
  <si>
    <t>ТЕРм30-01-153-14</t>
  </si>
  <si>
    <t>За каждую дополнительную разгрузочную секцию с электроприводной задвижкой добавлять, производительность конвейера 175 т/ч, к расценке 30-01-153-07</t>
  </si>
  <si>
    <t>ТЕРм30-01-153-15</t>
  </si>
  <si>
    <t>Конвейер тип КПС (3), длина 25 м, производительность, т/ч 150 т/ч</t>
  </si>
  <si>
    <t>ТЕРм30-01-153-16</t>
  </si>
  <si>
    <t>Конвейер тип КПС (3), длина 25 м, производительность, т/ч 300 т/ч</t>
  </si>
  <si>
    <t>ТЕРм30-01-153-17</t>
  </si>
  <si>
    <t>Увеличение или уменьшение длины конвейера типа КПС (3), производительность 150 т/ч, к расценке 30-01-153-015</t>
  </si>
  <si>
    <t>ТЕРм30-01-153-18</t>
  </si>
  <si>
    <t>Увеличение или уменьшение длины конвейера типа КПС (3), производительность 300 т/ч, к расценке 30-01-153-016</t>
  </si>
  <si>
    <t>ТЕРм30-01-153-19</t>
  </si>
  <si>
    <t>Конвейер, тип А9-УТЦ-400 с одной загрузочной и одной разгрузочной секциями, длина 20 м</t>
  </si>
  <si>
    <t>ТЕРм30-01-153-20</t>
  </si>
  <si>
    <t>Конвейер, тип А9-УТЦ-400 с одной загрузочной и одной разгрузочной секциями, длина 30 м</t>
  </si>
  <si>
    <t>ТЕРм30-01-153-21</t>
  </si>
  <si>
    <t>Конвейер, тип А9-УТЦ-400 с одной загрузочной и одной разгрузочной секциями, длина 40 м</t>
  </si>
  <si>
    <t>ТЕРм30-01-153-22</t>
  </si>
  <si>
    <t>Конвейер, тип А9-УТЦ-400 с одной загрузочной и одной разгрузочной секциями, длина 60 м</t>
  </si>
  <si>
    <t>ТЕРм30-01-153-23</t>
  </si>
  <si>
    <t>Увеличение или уменьшение длины конвейера типа А9-УТЦ-400 (к расценкам 30-01-153-19, 30-01-153-20, 30-01-153-21, 30-01-153-22)</t>
  </si>
  <si>
    <t>ТЕРм30-01-153-24</t>
  </si>
  <si>
    <t>За каждую дополнительную секцию добавлять (к расценкам 30-01-153-19, 30-01-153-20, 30-01-153-21, 30-01-153-22) секция загрузочная</t>
  </si>
  <si>
    <t>ТЕРм30-01-153-25</t>
  </si>
  <si>
    <t>За каждую дополнительную секцию добавлять (к расценкам 30-01-153-19, 30-01-153-20, 30-01-153-21, 30-01-153-22) секция разгрузочная с электроприводной задвижкой</t>
  </si>
  <si>
    <t>ТЕРм30-01-153-26</t>
  </si>
  <si>
    <t>Конвейер горизонтально-наклонный, тип ТСЦ, длина 25 м</t>
  </si>
  <si>
    <t>ТЕРм30-01-153-27</t>
  </si>
  <si>
    <t>Увеличение или уменьшение длины конвейера на каждые 5 м (к расценке 30-01-153-26)</t>
  </si>
  <si>
    <t xml:space="preserve">                                   Раздел 9. НОРИИ ЛЕНТОЧНЫЕ ВЕРТИКАЛЬНЫЕ В МЕТАЛЛИЧЕСКОМ КОЖУХЕ ДЛЯ ЗЕРНА И ПРОДУКТОВ ЕГО ПЕРЕРАБОТКИ</t>
  </si>
  <si>
    <t xml:space="preserve">                                   Нории с лентами шириной до 175 мм</t>
  </si>
  <si>
    <t>ТЕРм30-01-163-01</t>
  </si>
  <si>
    <t>Нория одинарная с лентой шириной 150 мм, тип 1-10, высота 20 м</t>
  </si>
  <si>
    <t>ТЕРм30-01-163-02</t>
  </si>
  <si>
    <t>Нория одинарная с лентой шириной 150 мм, тип 1-10, высота 45 м</t>
  </si>
  <si>
    <t>ТЕРм30-01-163-03</t>
  </si>
  <si>
    <t>Увеличение или уменьшение высоты нории на каждые 5 м (к расценкам 30-01-163-01 и 30-01-163-02)</t>
  </si>
  <si>
    <t>ТЕРм30-01-163-04</t>
  </si>
  <si>
    <t>Нория одинарная с лентой шириной 175 мм, тип У16-1-20, высота 20 м</t>
  </si>
  <si>
    <t>ТЕРм30-01-163-05</t>
  </si>
  <si>
    <t>Нория одинарная с лентой шириной 175 мм, тип У16-1-20, высота 45 м</t>
  </si>
  <si>
    <t>ТЕРм30-01-163-06</t>
  </si>
  <si>
    <t>Увеличение или уменьшение высоты нории на каждые 5 м (к расценкам 30-01-163-04 и 30-01-163-05)</t>
  </si>
  <si>
    <t>ТЕРм30-01-163-07</t>
  </si>
  <si>
    <t>Нория сдвоенная с лентами шириной 150 мм каждая, тип 1-2х10, высота 20 м</t>
  </si>
  <si>
    <t>ТЕРм30-01-163-08</t>
  </si>
  <si>
    <t>Нория сдвоенная с лентами шириной 150 мм каждая, тип 1-2х10, высота 45 м</t>
  </si>
  <si>
    <t>ТЕРм30-01-163-09</t>
  </si>
  <si>
    <t>Увеличение или уменьшение высоты нории на каждые 5 м (к расценкам 30-01-163-07 и 30-01-163-08)</t>
  </si>
  <si>
    <t>ТЕРм30-01-163-10</t>
  </si>
  <si>
    <t>Нория сдвоенная с лентами шириной 175 мм каждая, тип У21-1-2х20, высота 20 м</t>
  </si>
  <si>
    <t>ТЕРм30-01-163-11</t>
  </si>
  <si>
    <t>Нория сдвоенная с лентами шириной 175 мм каждая, тип У21-1-2х20, высота 45 м</t>
  </si>
  <si>
    <t>ТЕРм30-01-163-12</t>
  </si>
  <si>
    <t>Увеличение или уменьшение высоты нории на каждые 5 м (к расценкам 30-01-163-10 и 30-01-163-11)</t>
  </si>
  <si>
    <t xml:space="preserve">                                   Нории с лентами шириной от 175 до 300 мм</t>
  </si>
  <si>
    <t>ТЕРм30-01-164-01</t>
  </si>
  <si>
    <t>Нория одинарная с лентой шириной 200 мм, высота 30 м</t>
  </si>
  <si>
    <t>ТЕРм30-01-164-02</t>
  </si>
  <si>
    <t>Нория одинарная с лентой шириной 200 мм, высота 60 м</t>
  </si>
  <si>
    <t>ТЕРм30-01-164-03</t>
  </si>
  <si>
    <t>Увеличение или уменьшение высоты нории на каждые 5 м (к расценкам 30-01-164-01 и 30-01-164-02)</t>
  </si>
  <si>
    <t>ТЕРм30-01-164-04</t>
  </si>
  <si>
    <t>Нория одинарная с лентой шириной 300 мм, высота 30 м</t>
  </si>
  <si>
    <t>ТЕРм30-01-164-05</t>
  </si>
  <si>
    <t>Нория одинарная с лентой шириной 300 мм, высота 60 м</t>
  </si>
  <si>
    <t>ТЕРм30-01-164-06</t>
  </si>
  <si>
    <t>Увеличение или уменьшение высоты нории на каждые 5 м (к расценкам 30-01-164-04 и 30-01-164-05)</t>
  </si>
  <si>
    <t>ТЕРм30-01-164-07</t>
  </si>
  <si>
    <t>Нория сдвоенная с лентой шириной 300 мм, высота 30 м</t>
  </si>
  <si>
    <t>ТЕРм30-01-164-08</t>
  </si>
  <si>
    <t>Нория сдвоенная с лентой шириной 300 мм, высота 60 м</t>
  </si>
  <si>
    <t>ТЕРм30-01-164-09</t>
  </si>
  <si>
    <t>Увеличение или уменьшение высоты нории на каждые 5 м (к расценкам 30-01-164-07 и 30-01-164-08)</t>
  </si>
  <si>
    <t>ТЕРм30-01-164-10</t>
  </si>
  <si>
    <t>Нория одинарная с лентой шириной 300 мм, тип У2-У11-175, высота 30 м</t>
  </si>
  <si>
    <t>ТЕРм30-01-164-11</t>
  </si>
  <si>
    <t>Нория одинарная с лентой шириной 300 мм, тип У2-У11-175, высота 60 м</t>
  </si>
  <si>
    <t>ТЕРм30-01-164-12</t>
  </si>
  <si>
    <t>Увеличение или уменьшение высоты нории на каждые 5 м (к расценкам 30-01-164-10 и 30-01-164-11)</t>
  </si>
  <si>
    <t xml:space="preserve">                                   Нории с лентами шириной свыше 300 мм</t>
  </si>
  <si>
    <t>ТЕРм30-01-165-01</t>
  </si>
  <si>
    <t>Нория одинарная с лентой шириной 400 мм, тип У2-У11-250, высота 30 м</t>
  </si>
  <si>
    <t>ТЕРм30-01-165-02</t>
  </si>
  <si>
    <t>Нория одинарная с лентой шириной 400 мм, тип У2-У11-250, высота 60 м</t>
  </si>
  <si>
    <t>ТЕРм30-01-165-03</t>
  </si>
  <si>
    <t>Увеличение или уменьшение высоты нории на каждые 5 м (к расценкам 30-01-165-01 и 30-01-165-02)</t>
  </si>
  <si>
    <t>ТЕРм30-01-165-04</t>
  </si>
  <si>
    <t>Нория одинарная с лентой шириной 800 мм, тип П-350, высота 30 м</t>
  </si>
  <si>
    <t>ТЕРм30-01-165-05</t>
  </si>
  <si>
    <t>Нория одинарная с лентой шириной 800 мм, тип П-350, высота 60 м</t>
  </si>
  <si>
    <t>ТЕРм30-01-165-06</t>
  </si>
  <si>
    <t>Увеличение или уменьшение высоты нории на каждые 5 м (к расценкам 30-01-165-04 и 30-01-165-05)</t>
  </si>
  <si>
    <t xml:space="preserve">                                   Раздел 10. УЗЛЫ КОНВЕЙЕРОВ И РОЛЬГАНГОВ</t>
  </si>
  <si>
    <t xml:space="preserve">                                   Узлы ленточных конвейеров</t>
  </si>
  <si>
    <t>ТЕРм30-01-166-01</t>
  </si>
  <si>
    <t>Тележка разгрузочная для ленты шириной 500 мм, с ручным передвижением и крыльчаткой</t>
  </si>
  <si>
    <t>ТЕРм30-01-166-02</t>
  </si>
  <si>
    <t>Тележка разгрузочная для ленты шириной 500-800 мм, автоматическая с электроприводом</t>
  </si>
  <si>
    <t xml:space="preserve">                                   Раздел 11. ВЕСОВОЕ ОБОРУДОВАНИЕ</t>
  </si>
  <si>
    <t xml:space="preserve">                                   Весы автоматические для мельзаводов</t>
  </si>
  <si>
    <t>ТЕРм30-01-171-01</t>
  </si>
  <si>
    <t>Весы автоматические порционные для зерна, тип 6.142АД-50-ЗЭ</t>
  </si>
  <si>
    <t>ТЕРм30-01-171-02</t>
  </si>
  <si>
    <t>Весы автоматические порционные для зерна, тип 6.143АД-50-МЭ</t>
  </si>
  <si>
    <t xml:space="preserve">                                   Весы автоматические для элеваторов</t>
  </si>
  <si>
    <t>ТЕРм30-01-172-01</t>
  </si>
  <si>
    <t>Весы автоматические порционные, тип ДН-500</t>
  </si>
  <si>
    <t>ТЕРм30-01-172-02</t>
  </si>
  <si>
    <t>Весы автоматические порционные, тип ДН-1000-2</t>
  </si>
  <si>
    <t>ТЕРм30-01-172-03</t>
  </si>
  <si>
    <t>Весы автоматические порционные, тип ДН-2000</t>
  </si>
  <si>
    <t>ТЕРм30-01-173-01</t>
  </si>
  <si>
    <t>Дозатор, тип 6.139АД-10ВД</t>
  </si>
  <si>
    <t>ТЕРм30-01-173-02</t>
  </si>
  <si>
    <t>Дозатор, тип 6.047АД-500-2К</t>
  </si>
  <si>
    <t>ТЕРм30-01-173-03</t>
  </si>
  <si>
    <t>Дозатор, тип 6.048АД-2000-2К</t>
  </si>
  <si>
    <t>ТЕРм30-01-173-04</t>
  </si>
  <si>
    <t>Дозатор, тип 6.049АД-3000-ГКМ</t>
  </si>
  <si>
    <t>ТЕРм30-01-173-05</t>
  </si>
  <si>
    <t>Дозатор, тип 6.140АД-300-М</t>
  </si>
  <si>
    <t xml:space="preserve">                                   Устройства весовые для фасовки и упаковки муки</t>
  </si>
  <si>
    <t>ТЕРм30-01-174-01</t>
  </si>
  <si>
    <t>Устройство весовое карусельное для фасовки и упаковки муки в мешки, тип 6.055 АДК-50-ЗВМ</t>
  </si>
  <si>
    <t>ТЕРм-2001-31</t>
  </si>
  <si>
    <t xml:space="preserve">                           Раздел 1. ОТДЕЛ 01. ОБОРУДОВАНИЕ КИНОПРЕДПРИЯТИЙ</t>
  </si>
  <si>
    <t xml:space="preserve">                                   Раздел 1. КИНОТЕХНОЛОГИЧЕСКОЕ ОБОРУДОВАНИЕ</t>
  </si>
  <si>
    <t xml:space="preserve">                                   Устройства распределительные</t>
  </si>
  <si>
    <t>ТЕРм31-01-001-01</t>
  </si>
  <si>
    <t>Устройство распределительное, тип РУК 2-1</t>
  </si>
  <si>
    <t>ТЕРм31-01-001-02</t>
  </si>
  <si>
    <t>Устройство распределительное, тип РУК 5-3</t>
  </si>
  <si>
    <t>ТЕРм31-01-001-03</t>
  </si>
  <si>
    <t>Устройство распределительное, тип РУК 10-7</t>
  </si>
  <si>
    <t>ТЕРм31-01-001-04</t>
  </si>
  <si>
    <t>Щит распределительный, тип 7К-48</t>
  </si>
  <si>
    <t>ТЕРм31-01-001-05</t>
  </si>
  <si>
    <t>Щит распределительный, тип 7К-52</t>
  </si>
  <si>
    <t xml:space="preserve">                                   Устройства электропитающие</t>
  </si>
  <si>
    <t>ТЕРм31-01-002-01</t>
  </si>
  <si>
    <t>Устройство электропитающее, тип 12ЭПУ-1</t>
  </si>
  <si>
    <t>ТЕРм31-01-002-02</t>
  </si>
  <si>
    <t>Шкаф питания и контроля, тип 40К75</t>
  </si>
  <si>
    <t>ТЕРм31-01-002-03</t>
  </si>
  <si>
    <t>Стойка питания, тип 15М93; шкаф питания, тип 15М89</t>
  </si>
  <si>
    <t xml:space="preserve">                                   Выпрямители</t>
  </si>
  <si>
    <t>ТЕРм31-01-003-01</t>
  </si>
  <si>
    <t>Устройство выпрямительное, тип 53ВУК-50</t>
  </si>
  <si>
    <t>ТЕРм31-01-003-02</t>
  </si>
  <si>
    <t>Устройство выпрямительное, тип 50ВУК-120-1</t>
  </si>
  <si>
    <t>ТЕРм31-01-003-03</t>
  </si>
  <si>
    <t>Устройство выпрямительное, тип ВКТ-2</t>
  </si>
  <si>
    <t>ТЕРм31-01-003-04</t>
  </si>
  <si>
    <t>Устройство выпрямительное, тип ВКТ-3, ВКТ-5, ВКТ-10</t>
  </si>
  <si>
    <t xml:space="preserve">                                   Преобразователи частоты</t>
  </si>
  <si>
    <t>ТЕРм31-01-004-01</t>
  </si>
  <si>
    <t>Преобразователь частоты, тип 40В-5, 40В-7</t>
  </si>
  <si>
    <t>ТЕРм31-01-004-02</t>
  </si>
  <si>
    <t>Преобразователь частоты, тип КВУ-16</t>
  </si>
  <si>
    <t xml:space="preserve">                                   Заслонки противопожарные</t>
  </si>
  <si>
    <t>ТЕРм31-01-005-01</t>
  </si>
  <si>
    <t>Комплект заслонок противопожарных тип ЗПКУ-1</t>
  </si>
  <si>
    <t>ТЕРм31-01-005-02</t>
  </si>
  <si>
    <t>Комплект заслонок противопожарных автоматических массой до 0,06 т</t>
  </si>
  <si>
    <t xml:space="preserve">                                   Устройства коммутации</t>
  </si>
  <si>
    <t>ТЕРм31-01-006-01</t>
  </si>
  <si>
    <t>Панель коммутации, тип Ю.43.56.483 (15x12)</t>
  </si>
  <si>
    <t>ТЕРм31-01-006-02</t>
  </si>
  <si>
    <t>Панель коммутации, тип Ю.45.15.832 (9x12)</t>
  </si>
  <si>
    <t>ТЕРм31-01-006-03</t>
  </si>
  <si>
    <t>Стойка коммутации, тип 5ОК-19</t>
  </si>
  <si>
    <t xml:space="preserve">                                   Табло сигнальные</t>
  </si>
  <si>
    <t>ТЕРм31-01-007-01</t>
  </si>
  <si>
    <t>Табло сигнальное, тип: 11К33-3; 11К33-4; 11К33-5; 11К33-7; 11К33-8</t>
  </si>
  <si>
    <t xml:space="preserve">                                   Пульты управления</t>
  </si>
  <si>
    <t>ТЕРм31-01-008-01</t>
  </si>
  <si>
    <t>Пульт программного управления, тип З0К-18</t>
  </si>
  <si>
    <t>ТЕРм31-01-008-02</t>
  </si>
  <si>
    <t>Пульт управления, тип 80К-49</t>
  </si>
  <si>
    <t>ТЕРм31-01-008-03</t>
  </si>
  <si>
    <t>Пульт оперативного управления, тип 90К-49; дистанционного управления, тип 55ПДУ</t>
  </si>
  <si>
    <t xml:space="preserve">                                   Пульты микшерские</t>
  </si>
  <si>
    <t>ТЕРм31-01-009-01</t>
  </si>
  <si>
    <t>Пульт микшерский, тип: 100К-33; 100К-35</t>
  </si>
  <si>
    <t xml:space="preserve">                                   Пульты перезаписи</t>
  </si>
  <si>
    <t>ТЕРм31-01-010-01</t>
  </si>
  <si>
    <t>Пульт звукооператора универсальный, тип 70К-31</t>
  </si>
  <si>
    <t>ТЕРм31-01-010-02</t>
  </si>
  <si>
    <t>Пульт перезаписи монофонических фонограмм, тип 70К-23</t>
  </si>
  <si>
    <t>ТЕРм31-01-010-03</t>
  </si>
  <si>
    <t>Комплекс пульта звукооператора универсального, тип К70К-31</t>
  </si>
  <si>
    <t>ТЕРм31-01-010-04</t>
  </si>
  <si>
    <t>Комплекс пульта перезаписи, тип К70К-23</t>
  </si>
  <si>
    <t xml:space="preserve">                                   Пульты разные</t>
  </si>
  <si>
    <t>ТЕРм31-01-011-01</t>
  </si>
  <si>
    <t>Пульт актера, тип 45К-12</t>
  </si>
  <si>
    <t>ТЕРм31-01-011-02</t>
  </si>
  <si>
    <t>Пульт диктора, тип 11К-20, 11К-23; звукооператора, тип 100К-47</t>
  </si>
  <si>
    <t xml:space="preserve">                                   Кинопроекторы и киноустановки</t>
  </si>
  <si>
    <t>ТЕРм31-01-012-01</t>
  </si>
  <si>
    <t>Кинопроектор, тип 35КСА-11, 35КСА-12, 35КСА-14</t>
  </si>
  <si>
    <t>ТЕРм31-01-012-02</t>
  </si>
  <si>
    <t>Кинопроектор, тип КП-З0К</t>
  </si>
  <si>
    <t>ТЕРм31-01-012-03</t>
  </si>
  <si>
    <t>Кинопроектор, тип А-164А</t>
  </si>
  <si>
    <t xml:space="preserve">                                   Усилители</t>
  </si>
  <si>
    <t>ТЕРм31-01-013-01</t>
  </si>
  <si>
    <t>Шкаф предварительных усилителей, тип 50У-165</t>
  </si>
  <si>
    <t>ТЕРм31-01-013-02</t>
  </si>
  <si>
    <t>Шкаф предварительных усилителей, тип 50У-51</t>
  </si>
  <si>
    <t>ТЕРм31-01-013-03</t>
  </si>
  <si>
    <t>Шкаф предварительных усилителей, тип 50У-155</t>
  </si>
  <si>
    <t>ТЕРм31-01-013-04</t>
  </si>
  <si>
    <t>Шкаф оконечных усилителей, тип 50У-46</t>
  </si>
  <si>
    <t>ТЕРм31-01-013-05</t>
  </si>
  <si>
    <t>Шкаф оконечных усилителей, тип 50У-47, 50У-52, 50У-54</t>
  </si>
  <si>
    <t>ТЕРм31-01-013-06</t>
  </si>
  <si>
    <t>Шкаф оконечных усилителей, тип 50У-62,50У-64</t>
  </si>
  <si>
    <t>ТЕРм31-01-013-07</t>
  </si>
  <si>
    <t>Шкаф оконечного усиления и питания, тип 50У-263</t>
  </si>
  <si>
    <t>ТЕРм31-01-013-08</t>
  </si>
  <si>
    <t>Шкаф усилителей, тип 50У-157</t>
  </si>
  <si>
    <t>ТЕРм31-01-013-09</t>
  </si>
  <si>
    <t>Шкаф микрофонных усилителей, тип 50У-251</t>
  </si>
  <si>
    <t xml:space="preserve">                                   Громкоговорители</t>
  </si>
  <si>
    <t>ТЕРм31-01-014-01</t>
  </si>
  <si>
    <t>Комплекс громкоговорителя контрольного малогабаритного, тип К30А-162</t>
  </si>
  <si>
    <t>ТЕРм31-01-014-02</t>
  </si>
  <si>
    <t>Громкоговоритель, тип 25А-44Т, 25А-46М, 30А-46, 35ГД-4Т</t>
  </si>
  <si>
    <t>ТЕРм31-01-014-03</t>
  </si>
  <si>
    <t>Громкоговоритель, тип 25А-96</t>
  </si>
  <si>
    <t>ТЕРм31-01-014-04</t>
  </si>
  <si>
    <t>Громкоговоритель, тип 30А-62-1</t>
  </si>
  <si>
    <t>ТЕРм31-01-014-05</t>
  </si>
  <si>
    <t>Громкоговоритель, тип 30А-66-1</t>
  </si>
  <si>
    <t>ТЕРм31-01-014-06</t>
  </si>
  <si>
    <t>Громкоговоритель, тип 30A-130, 30A-138</t>
  </si>
  <si>
    <t>ТЕРм31-01-014-07</t>
  </si>
  <si>
    <t>Громкоговоритель, тип 30А-118, 30А-140, 30А-172</t>
  </si>
  <si>
    <t xml:space="preserve">                                   Аппаратура воспроизведения магнитных фонограмм</t>
  </si>
  <si>
    <t>ТЕРм31-01-015-01</t>
  </si>
  <si>
    <t>Аппарат воспроизведения магнитных фонограмм, тип 12Д-28, 12Д-36</t>
  </si>
  <si>
    <t>ТЕРм31-01-015-02</t>
  </si>
  <si>
    <t>Аппарат воспроизведения магнитных фонограмм, тип 12Д-34</t>
  </si>
  <si>
    <t>ТЕРм31-01-015-03</t>
  </si>
  <si>
    <t>Аппарат воспроизведения магнитных фонограмм, тип 12Д-32</t>
  </si>
  <si>
    <t xml:space="preserve">                                   Аппаратура магнитной записи звука</t>
  </si>
  <si>
    <t>ТЕРм31-01-016-01</t>
  </si>
  <si>
    <t>Магнитофон для записи многодорожечных фонограмм, тип 25Д-36</t>
  </si>
  <si>
    <t>ТЕРм31-01-016-02</t>
  </si>
  <si>
    <t>Магнитофон для записи многодорожечных фонограмм, тип 25Д-34</t>
  </si>
  <si>
    <t>ТЕРм31-01-016-03</t>
  </si>
  <si>
    <t>Магнитофон, тип 25Д-32</t>
  </si>
  <si>
    <t xml:space="preserve">                                   Аппаратура звуковоспроизводящая кинотеатральная</t>
  </si>
  <si>
    <t>ТЕРм31-01-017-01</t>
  </si>
  <si>
    <t>Комплекс звуковоспроизводящей аппаратуры «Звук», тип Т2х25</t>
  </si>
  <si>
    <t>ТЕРм31-01-017-02</t>
  </si>
  <si>
    <t>Комплекс звуковоспроизводящей аппаратуры «Звук», тип Т2х25-2, Т2х50, Т2х50-2</t>
  </si>
  <si>
    <t>ТЕРм31-01-017-03</t>
  </si>
  <si>
    <t>Комплекс звуковоспроизводящей аппаратуры «Звук», тип Т2х100С</t>
  </si>
  <si>
    <t>ТЕРм31-01-017-04</t>
  </si>
  <si>
    <t>Комплекс звуковоспроизводящей аппаратуры «Звук», тип 6x50-1</t>
  </si>
  <si>
    <t>ТЕРм31-01-017-05</t>
  </si>
  <si>
    <t>Комплекс звуковоспроизводящей аппаратуры «Звук», тип 6x50-2, Т2х50К1, Т2х50К2</t>
  </si>
  <si>
    <t>ТЕРм31-01-017-06</t>
  </si>
  <si>
    <t>Комплекс звуковоспроизводящей аппаратуры «Звук», тип 6x100-1</t>
  </si>
  <si>
    <t xml:space="preserve">                                   Аппаратура копирования фонограмм</t>
  </si>
  <si>
    <t>ТЕРм31-01-018-01</t>
  </si>
  <si>
    <t>Комплекс копирования магнитных фонограмм, тип КМП-10</t>
  </si>
  <si>
    <t>ТЕРм31-01-018-02</t>
  </si>
  <si>
    <t>Комплекс копирования магнитных фонограмм, тип КМП-17</t>
  </si>
  <si>
    <t>ТЕРм31-01-018-03</t>
  </si>
  <si>
    <t>Комплекс тиражирования магнитных фонограмм, тип КМП-19</t>
  </si>
  <si>
    <t xml:space="preserve">                                   Оборудование для комбинирования съемок</t>
  </si>
  <si>
    <t>ТЕРм31-01-019-01</t>
  </si>
  <si>
    <t>Мультстанок, тип А542А</t>
  </si>
  <si>
    <t xml:space="preserve">                                   Столы монтажные и проверочные</t>
  </si>
  <si>
    <t>ТЕРм31-01-020-01</t>
  </si>
  <si>
    <t>Стол фильмопроверочный, тип РСФ-8</t>
  </si>
  <si>
    <t>ТЕРм31-01-020-02</t>
  </si>
  <si>
    <t>Стол фильморемонтный, тип 35СФ-21, 16СФ-21</t>
  </si>
  <si>
    <t>ТЕРм31-01-021-01</t>
  </si>
  <si>
    <t>Устройство автоматического кинопоказа, тип АКП-6М</t>
  </si>
  <si>
    <t>ТЕРм31-01-021-02</t>
  </si>
  <si>
    <t>Регулятор громкости, тип 60К-45</t>
  </si>
  <si>
    <t>ТЕРм31-01-021-03</t>
  </si>
  <si>
    <t>Фильмостат, тип ФС-35К</t>
  </si>
  <si>
    <t>ТЕРм31-01-021-04</t>
  </si>
  <si>
    <t>Коммутатор выходной, тип 35К-2М</t>
  </si>
  <si>
    <t>ТЕРм31-01-021-05</t>
  </si>
  <si>
    <t>Метромер, типы: 16ММ-4, 35ММ-4</t>
  </si>
  <si>
    <t>ТЕРм31-01-021-06</t>
  </si>
  <si>
    <t>Устройство размагничивающее, тип 20У-4</t>
  </si>
  <si>
    <t>ТЕРм31-01-021-07</t>
  </si>
  <si>
    <t>Устройство предупреждения по звуку, тип 8Э-89</t>
  </si>
  <si>
    <t>ТЕРм31-01-021-08</t>
  </si>
  <si>
    <t>Комплект связи, тип ПГУ-2-2</t>
  </si>
  <si>
    <t>ТЕРм31-01-021-09</t>
  </si>
  <si>
    <t>Указатель уровня подэкранный, тип 20Д-39</t>
  </si>
  <si>
    <t>ТЕРм31-01-021-10</t>
  </si>
  <si>
    <t>Электроперематыватель, тип А-342А, А-344Б</t>
  </si>
  <si>
    <t>ТЕРм31-01-021-11</t>
  </si>
  <si>
    <t>Блок согласующих трансформаторов, тип 37БС-1</t>
  </si>
  <si>
    <t>ТЕРм31-01-021-12</t>
  </si>
  <si>
    <t>Приставка кинопроекционная, унифицированная 16 мм, тип А221В</t>
  </si>
  <si>
    <t>ТЕРм31-01-021-13</t>
  </si>
  <si>
    <t>Фильмостат, тип ФС-35</t>
  </si>
  <si>
    <t>ТЕРм31-01-021-14</t>
  </si>
  <si>
    <t>Полуавтомат склеечный, тип 35СА</t>
  </si>
  <si>
    <t>ТЕРм31-01-021-15</t>
  </si>
  <si>
    <t>Машинка паспортная, тип ПМД-3</t>
  </si>
  <si>
    <t>ТЕРм31-01-021-16</t>
  </si>
  <si>
    <t>Установка водяного охлаждения, тип В-10</t>
  </si>
  <si>
    <t>ТЕРм31-01-021-17</t>
  </si>
  <si>
    <t>Стойка электронно-лучевого индикатора, тип 50У-175</t>
  </si>
  <si>
    <t>ТЕРм31-01-021-18</t>
  </si>
  <si>
    <t>Стойка контроля, тип 50У-243</t>
  </si>
  <si>
    <t>ТЕРм31-01-021-19</t>
  </si>
  <si>
    <t>Коробка переходная, тип 6К179; коробка включения микрофонов, тип 6К205, 6К205М, 6К208</t>
  </si>
  <si>
    <t xml:space="preserve">                                   Экраны кинопроекционные</t>
  </si>
  <si>
    <t>ТЕРм31-01-022-01</t>
  </si>
  <si>
    <t>Изготовление и монтаж рамы экрана</t>
  </si>
  <si>
    <t>ТЕРм31-01-022-02</t>
  </si>
  <si>
    <t>Натяжка экрана</t>
  </si>
  <si>
    <t>ТЕРм31-01-022-03</t>
  </si>
  <si>
    <t>Обрамление экрана</t>
  </si>
  <si>
    <t>ТЕРм31-01-022-04</t>
  </si>
  <si>
    <t>Экран бело-матовый перфорированный, убирающийся, тип ЭМБ-ПУ</t>
  </si>
  <si>
    <t xml:space="preserve">                                   Кашетирование экрана</t>
  </si>
  <si>
    <t>ТЕРм31-01-023-01</t>
  </si>
  <si>
    <t>Механизм предэкранного занавеса, тип МПЗ-1 с электролебедкой и монорельсовой дорогой, длина дороги 10 м</t>
  </si>
  <si>
    <t>ТЕРм31-01-023-02</t>
  </si>
  <si>
    <t>Механизм предэкранного занавеса, тип МПЗ-1 с электролебедкой и монорельсовой дорогой, длина дороги 15 м</t>
  </si>
  <si>
    <t>ТЕРм31-01-023-03</t>
  </si>
  <si>
    <t>Механизм предэкранного занавеса, тип МПЗ-1 с электролебедкой и монорельсовой дорогой, длина дороги 20 м</t>
  </si>
  <si>
    <t>ТЕРм31-01-023-04</t>
  </si>
  <si>
    <t>При длине монорельсовой дороги более 20 м за каждые дополнительные 5 м добавлять к расценке 31-01-023-03</t>
  </si>
  <si>
    <t>ТЕРм31-01-023-05</t>
  </si>
  <si>
    <t>Механизм предэкранного занавеса, тип МПЗ-1К с электролебедкой и монорельсовой дорогой длиной 20 м</t>
  </si>
  <si>
    <t>ТЕРм31-01-023-06</t>
  </si>
  <si>
    <t>Устройство для зашторивания, полуавтоматическое, тип УЗП-1</t>
  </si>
  <si>
    <t xml:space="preserve">                                   Раздел 2. КИНОКОПИРОВАЛЬНОЕ ОБОРУДОВАНИЕ</t>
  </si>
  <si>
    <t xml:space="preserve">                                   Проявочные и реставрационные машины</t>
  </si>
  <si>
    <t>ТЕРм31-01-040-01</t>
  </si>
  <si>
    <t>Комплекс машины проявочной, тип К47П-7</t>
  </si>
  <si>
    <t>ТЕРм31-01-040-02</t>
  </si>
  <si>
    <t>Комплекс машины проявочной, тип К47П-5</t>
  </si>
  <si>
    <t>ТЕРм31-01-040-03</t>
  </si>
  <si>
    <t>Комплекс машины проявочной, тип К43П-1</t>
  </si>
  <si>
    <t>ТЕРм31-01-040-04</t>
  </si>
  <si>
    <t>Машина реставрационная, тип РМ2</t>
  </si>
  <si>
    <t>ТЕРм31-01-040-05</t>
  </si>
  <si>
    <t>Машина реставрационная, тип РМЗ, РМ5</t>
  </si>
  <si>
    <t xml:space="preserve">                                   Электролитическое оборудование</t>
  </si>
  <si>
    <t>ТЕРм31-01-041-01</t>
  </si>
  <si>
    <t>Ванна электролитическая пятисекционная</t>
  </si>
  <si>
    <t xml:space="preserve">                                   Машины фильмоочистительные</t>
  </si>
  <si>
    <t>ТЕРм31-01-042-01</t>
  </si>
  <si>
    <t>Машина фильмоочистительная, ультразвуковая, тип УФМ-1</t>
  </si>
  <si>
    <t>ТЕРм31-01-043-01</t>
  </si>
  <si>
    <t>Машина резательная, тип РУП-1</t>
  </si>
  <si>
    <t>ТЕРм31-01-043-02</t>
  </si>
  <si>
    <t>Насос винипластовый, тип 25П-24; 25П-13</t>
  </si>
  <si>
    <t>ТЕРм31-01-043-03</t>
  </si>
  <si>
    <t>Бак напорный винипластовый, тип 8П-17</t>
  </si>
  <si>
    <t>ТЕРм31-01-043-04</t>
  </si>
  <si>
    <t>Бак напорный винипластовый, тип 8П-7, 8П-18</t>
  </si>
  <si>
    <t>ТЕРм31-01-043-05</t>
  </si>
  <si>
    <t>Бак сливной винипластовый, тип 8П-19, 8П-28</t>
  </si>
  <si>
    <t>ТЕРм31-01-043-06</t>
  </si>
  <si>
    <t>Бак сливной винипластовый, тип 8П-30</t>
  </si>
  <si>
    <t>ТЕРм31-01-043-07</t>
  </si>
  <si>
    <t>Теплообменник, тип 2П-29; 2П-31; 2П-33; 2П-35; 2П-77; 2П-79</t>
  </si>
  <si>
    <t>ТЕРм31-01-043-08</t>
  </si>
  <si>
    <t>Фильтр винипластовый, тип 1П-13</t>
  </si>
  <si>
    <t>ТЕРм31-01-043-09</t>
  </si>
  <si>
    <t>Устройство роторное экстрагирования серебра, тип РЭС-1</t>
  </si>
  <si>
    <t>ТЕРм31-01-043-10</t>
  </si>
  <si>
    <t>Машина эмульсионно-смывочная, тип ЭСМ-1</t>
  </si>
  <si>
    <t xml:space="preserve">                                   Раздел 3. КИНОСТУДИЙНОЕ ОБОРУДОВАНИЕ</t>
  </si>
  <si>
    <t xml:space="preserve">                                   Телескопы</t>
  </si>
  <si>
    <t>ТЕРм31-01-056-01</t>
  </si>
  <si>
    <t>Подвес электромеханический, тип ПЭМ</t>
  </si>
  <si>
    <t xml:space="preserve">                           Раздел 2. ОТДЕЛ 02. ОБОРУДОВАНИЕ ЛАБОРАТОРНОЕ</t>
  </si>
  <si>
    <t xml:space="preserve">                                   Раздел 1. ПРИБОРЫ ЛАБОРАТОРНЫЕ</t>
  </si>
  <si>
    <t xml:space="preserve">                                   Приборы лабораторные</t>
  </si>
  <si>
    <t>ТЕРм31-02-001-01</t>
  </si>
  <si>
    <t>Сенситометр цветной, тип ЦС-2М</t>
  </si>
  <si>
    <t>ТЕРм31-02-001-02</t>
  </si>
  <si>
    <t>Прибор для сушки и глянцевания фотоотпечатков автоматический, тип АПСО-5М</t>
  </si>
  <si>
    <t>ТЕРм-2001-32</t>
  </si>
  <si>
    <t xml:space="preserve">                           Раздел 1. ОТДЕЛ 01. ОБОРУДОВАНИЕ ПРЕДПРИЯТИЙ ЭЛЕКТРОННОЙ ПРОМЫШЛЕННОСТИ</t>
  </si>
  <si>
    <t xml:space="preserve">                                   Раздел 1. ВАКУУМНОЕ ОБОРУДОВАНИЕ</t>
  </si>
  <si>
    <t xml:space="preserve">                                   Агрегаты откачные вакуумные</t>
  </si>
  <si>
    <t>ТЕРм32-01-001-01</t>
  </si>
  <si>
    <t>Агрегат откачной вакуумный</t>
  </si>
  <si>
    <t xml:space="preserve">                                   Вакуумное напылительное оборудование</t>
  </si>
  <si>
    <t>ТЕРм32-01-002-01</t>
  </si>
  <si>
    <t>Установка вакуумного напыления</t>
  </si>
  <si>
    <t>ТЕРм32-01-002-02</t>
  </si>
  <si>
    <t>Система автоматизированного осаждения слоев кремния при пониженном давлении</t>
  </si>
  <si>
    <t xml:space="preserve">                                   Вакуумные насосы</t>
  </si>
  <si>
    <t>ТЕРм32-01-003-01</t>
  </si>
  <si>
    <t>Насос механический вакуумный</t>
  </si>
  <si>
    <t xml:space="preserve">                                   Раздел 2. ТЕРМИЧЕСКОЕ ОБОРУДОВАНИЕ</t>
  </si>
  <si>
    <t xml:space="preserve">                                   Печи с контролируемой средой</t>
  </si>
  <si>
    <t>ТЕРм32-01-020-01</t>
  </si>
  <si>
    <t>Печь электрическая сопротивления конвейерная водородная</t>
  </si>
  <si>
    <t xml:space="preserve">                                   Оборудование для эпитаксии</t>
  </si>
  <si>
    <t>ТЕРм32-01-021-01</t>
  </si>
  <si>
    <t>Установка выращивания эпитаксиальных структур гидридным методом при пониженном давлении, СВЧ обогревом</t>
  </si>
  <si>
    <t>ТЕРм32-01-021-02</t>
  </si>
  <si>
    <t>Установка эпитаксиального наращивания пленок монокристаллов</t>
  </si>
  <si>
    <t>ТЕРм32-01-021-03</t>
  </si>
  <si>
    <t>Установка наращивания эпитаксиальных слоев</t>
  </si>
  <si>
    <t>ТЕРм32-01-021-04</t>
  </si>
  <si>
    <t>Установка для изготовления многослойных гетероэпитаксиальных структур</t>
  </si>
  <si>
    <t xml:space="preserve">                                   Оборудование для вплавления и диффузии</t>
  </si>
  <si>
    <t>ТЕРм32-01-022-01</t>
  </si>
  <si>
    <t>Установка ионно-лучевая, масса 3,2 т</t>
  </si>
  <si>
    <t>ТЕРм32-01-022-02</t>
  </si>
  <si>
    <t>Установка ионно-лучевая, масса 4,0 т</t>
  </si>
  <si>
    <t>ТЕРм32-01-022-03</t>
  </si>
  <si>
    <t>Установка ионно-лучевая, масса 5,5 т</t>
  </si>
  <si>
    <t>ТЕРм32-01-022-04</t>
  </si>
  <si>
    <t>Система диффузионная однозонная многотрубная</t>
  </si>
  <si>
    <t xml:space="preserve">                                   Прочее термическое оборудование</t>
  </si>
  <si>
    <t>ТЕРм32-01-023-01</t>
  </si>
  <si>
    <t>Установка спекания микроканальных блоков с размерами сечения до 70х90 мм</t>
  </si>
  <si>
    <t>ТЕРм32-01-023-02</t>
  </si>
  <si>
    <t>Установка выращивания кристаллов</t>
  </si>
  <si>
    <t xml:space="preserve">                                   Раздел 3. СВАРОЧНОЕ ОБОРУДОВАНИЕ</t>
  </si>
  <si>
    <t xml:space="preserve">                                   Оборудование для сварки электронным лучом</t>
  </si>
  <si>
    <t>ТЕРм32-01-035-01</t>
  </si>
  <si>
    <t>Установка для лазерной сварки и термообработки металлов</t>
  </si>
  <si>
    <t>ТЕРм32-01-035-02</t>
  </si>
  <si>
    <t>Установка для обработки металлов непрерывным излучением твердотельного лазера</t>
  </si>
  <si>
    <t xml:space="preserve">                                   Оборудование для микросварки</t>
  </si>
  <si>
    <t>ТЕРм32-01-036-01</t>
  </si>
  <si>
    <t>Установка ультразвуковой сварки</t>
  </si>
  <si>
    <t xml:space="preserve">                                   Прочее оборудование для сварки</t>
  </si>
  <si>
    <t>ТЕРм32-01-037-01</t>
  </si>
  <si>
    <t>Машина заварки ЭОС компланарного типа в баллоны ЦЭЛТ</t>
  </si>
  <si>
    <t>ТЕРм32-01-037-02</t>
  </si>
  <si>
    <t>Установка приварки маски к раме ЦЭЛТ, масса 0,69 т</t>
  </si>
  <si>
    <t>ТЕРм32-01-037-03</t>
  </si>
  <si>
    <t>Установка приварки маски к раме ЦЭЛТ, масса 1,13 т</t>
  </si>
  <si>
    <t>ТЕРм32-01-037-04</t>
  </si>
  <si>
    <t>Установка приварки маски к раме ЦЭЛТ, масса 1,34 т</t>
  </si>
  <si>
    <t>ТЕРм32-01-037-05</t>
  </si>
  <si>
    <t>Установка сварки пружин с рамой ЦЭЛТ, масса 0,68 т</t>
  </si>
  <si>
    <t>ТЕРм32-01-037-06</t>
  </si>
  <si>
    <t>Установка сварки пружин с рамой ЦЭЛТ, масса 1,08 т</t>
  </si>
  <si>
    <t>ТЕРм32-01-037-07</t>
  </si>
  <si>
    <t>Установка приварки держателей к раме ЦЭЛТ, масса 0,945 т</t>
  </si>
  <si>
    <t>ТЕРм32-01-037-08</t>
  </si>
  <si>
    <t>Установка приварки держателей к раме ЦЭЛТ, масса 1,025 т</t>
  </si>
  <si>
    <t>ТЕРм32-01-037-09</t>
  </si>
  <si>
    <t>Установка приварки накладок к раме собранной ЦЭЛТ-42</t>
  </si>
  <si>
    <t>ТЕРм32-01-037-10</t>
  </si>
  <si>
    <t>Установка сварки заготовки световодов</t>
  </si>
  <si>
    <t xml:space="preserve">                                   Раздел 4. ОБОРУДОВАНИЕ ДЛЯ МЕХАНИЧЕСКОЙ ОБРАБОТКИ</t>
  </si>
  <si>
    <t xml:space="preserve">                                   Оборудование для обработки металлических деталей и кремниевых пластин</t>
  </si>
  <si>
    <t>ТЕРм32-01-050-01</t>
  </si>
  <si>
    <t>Полуавтомат для резки полупроводниковых пластин</t>
  </si>
  <si>
    <t>ТЕРм32-01-050-02</t>
  </si>
  <si>
    <t>Агрегат автоматизированный резки слитков на пластины</t>
  </si>
  <si>
    <t xml:space="preserve">                                   Шлифовальное и доводочное оборудование</t>
  </si>
  <si>
    <t>ТЕРм32-01-051-01</t>
  </si>
  <si>
    <t>Станок доводочный однодисковый</t>
  </si>
  <si>
    <t>ТЕРм32-01-051-02</t>
  </si>
  <si>
    <t>Станок для ручной шлифовки</t>
  </si>
  <si>
    <t>ТЕРм32-01-051-03</t>
  </si>
  <si>
    <t>Станок шлифовальный доводочный</t>
  </si>
  <si>
    <t>ТЕРм32-01-051-04</t>
  </si>
  <si>
    <t>Станок грубой шлифовки стекол фотошаблонов</t>
  </si>
  <si>
    <t xml:space="preserve">                                   Раздел 5. ОБОРУДОВАНИЕ СТЕКОЛЬНОГО КЕРАМИЧЕСКОГО ПРОИЗВОДСТВА</t>
  </si>
  <si>
    <t>ТЕРм32-01-061-01</t>
  </si>
  <si>
    <t>Мельница шаровая, масса 1 т</t>
  </si>
  <si>
    <t>ТЕРм32-01-061-02</t>
  </si>
  <si>
    <t>Мельница шаровая, масса 4,2 т</t>
  </si>
  <si>
    <t xml:space="preserve">                                   Сита</t>
  </si>
  <si>
    <t>ТЕРм32-01-062-01</t>
  </si>
  <si>
    <t xml:space="preserve">                                   Транспортные и загрузочные устройства</t>
  </si>
  <si>
    <t>ТЕРм32-01-063-01</t>
  </si>
  <si>
    <t>Конвейер сборки горизонтально-замкнутый</t>
  </si>
  <si>
    <t xml:space="preserve">                                   Прочее оборудование для обработки изделий из стекла</t>
  </si>
  <si>
    <t>ТЕРм32-01-064-01</t>
  </si>
  <si>
    <t>Установка для изготовления заготовок световодов</t>
  </si>
  <si>
    <t>ТЕРм32-01-064-02</t>
  </si>
  <si>
    <t>Установка для изготовления стеклянных штабиков, автоматическая</t>
  </si>
  <si>
    <t>ТЕРм32-01-064-03</t>
  </si>
  <si>
    <t>Станок штрипсовый</t>
  </si>
  <si>
    <t>ТЕРм32-01-064-04</t>
  </si>
  <si>
    <t>Установка для вытягивания световодного волокна</t>
  </si>
  <si>
    <t>ТЕРм32-01-064-05</t>
  </si>
  <si>
    <t>Полуавтомат алмазно-отрезной</t>
  </si>
  <si>
    <t xml:space="preserve">                                   Раздел 6. ОБОРУДОВАНИЕ ХИМИЧЕСКИХ ПРОЦЕССОВ</t>
  </si>
  <si>
    <t xml:space="preserve">                                   Оборудование для нанесения специальных покрытий</t>
  </si>
  <si>
    <t>ТЕРм32-01-070-01</t>
  </si>
  <si>
    <t>Автомат эмалирования чашечного вывода анода ЦЭЛТ</t>
  </si>
  <si>
    <t>ТЕРм32-01-070-02</t>
  </si>
  <si>
    <t>Установка для нанесения шликера на конусы ЦЭЛТ</t>
  </si>
  <si>
    <t xml:space="preserve">                                   Оборудование для химической обработки поверхности</t>
  </si>
  <si>
    <t>ТЕРм32-01-071-01</t>
  </si>
  <si>
    <t>Установка химического травления многожильных жестких световодов</t>
  </si>
  <si>
    <t>ТЕРм32-01-071-02</t>
  </si>
  <si>
    <t>Установка химического травления заготовок микроканальных пластин автоматическая</t>
  </si>
  <si>
    <t>ТЕРм32-01-071-03</t>
  </si>
  <si>
    <t>Установка химической очистки заготовок микроканальных пластин, автоматическая</t>
  </si>
  <si>
    <t>ТЕРм32-01-071-04</t>
  </si>
  <si>
    <t>Автомат плазмохимического удаления фоторезиста</t>
  </si>
  <si>
    <t xml:space="preserve">                                   Раздел 7. ОБОРУДОВАНИЕ СБОРОЧНОЕ</t>
  </si>
  <si>
    <t xml:space="preserve">                                   Оборудование для сборки ЦЭЛТ</t>
  </si>
  <si>
    <t>ТЕРм32-01-080-01</t>
  </si>
  <si>
    <t>Станок бандажирования цветных кинескопов</t>
  </si>
  <si>
    <t xml:space="preserve">                                   Раздел 8. ОБОРУДОВАНИЕ ОПТИЧЕСКОЙ И ТОЧНОЙ МЕХАНИКИ</t>
  </si>
  <si>
    <t xml:space="preserve">                                   Оборудование для фотопроцессов</t>
  </si>
  <si>
    <t>ТЕРм32-01-086-01</t>
  </si>
  <si>
    <t>Установка совмещения и мультипликации</t>
  </si>
  <si>
    <t>ТЕРм32-01-086-02</t>
  </si>
  <si>
    <t>Генератор изображения</t>
  </si>
  <si>
    <t>ТЕРм32-01-086-03</t>
  </si>
  <si>
    <t>Оже-спектрометр электронный, масса 0,2 т</t>
  </si>
  <si>
    <t>ТЕРм32-01-086-04</t>
  </si>
  <si>
    <t>Оже-спектрометр электронный, масса 1,624 т</t>
  </si>
  <si>
    <t>ТЕРм32-01-086-05</t>
  </si>
  <si>
    <t>Спектрометр рентгеновский трехканальный</t>
  </si>
  <si>
    <t>ТЕРм32-01-086-06</t>
  </si>
  <si>
    <t>Установка совмещения экспонирования</t>
  </si>
  <si>
    <t xml:space="preserve">                                   Раздел 9. ОБОРУДОВАНИЕ ОБЩЕГО НАЗНАЧЕНИЯ</t>
  </si>
  <si>
    <t xml:space="preserve">                                   Оборудование для очистки воды</t>
  </si>
  <si>
    <t>ТЕРм32-01-092-01</t>
  </si>
  <si>
    <t>Установка для очистки воды, автоматизированная</t>
  </si>
  <si>
    <t>ТЕРм32-01-092-02</t>
  </si>
  <si>
    <t>Установка для умягчения воды</t>
  </si>
  <si>
    <t xml:space="preserve">                                   Раздел 10. ИСПЫТАТЕЛЬНО-ТРЕНИРОВОЧНОЕ ОБОРУДОВАНИЕ</t>
  </si>
  <si>
    <t xml:space="preserve">                                   Оборудование для климатических испытаний</t>
  </si>
  <si>
    <t>ТЕРм32-01-098-01</t>
  </si>
  <si>
    <t>Термобарокамера, масса 1,6 т</t>
  </si>
  <si>
    <t>ТЕРм32-01-098-02</t>
  </si>
  <si>
    <t>Термобарокамера, масса 2,2 т</t>
  </si>
  <si>
    <t>ТЕРм32-01-098-03</t>
  </si>
  <si>
    <t>Камера тепла, масса 0,19 т</t>
  </si>
  <si>
    <t>ТЕРм32-01-098-04</t>
  </si>
  <si>
    <t>Камера тепла, масса 0,76 т</t>
  </si>
  <si>
    <t>ТЕРм32-01-098-05</t>
  </si>
  <si>
    <t>Камера тепла, влаги и грибообразования</t>
  </si>
  <si>
    <t>ТЕРм32-01-098-06</t>
  </si>
  <si>
    <t>Камера холода, тепла и влаги</t>
  </si>
  <si>
    <t>ТЕРм32-01-098-07</t>
  </si>
  <si>
    <t>Стенд электротермотренировки</t>
  </si>
  <si>
    <t>ТЕРм32-01-098-08</t>
  </si>
  <si>
    <t>Камера микроклиматическая</t>
  </si>
  <si>
    <t xml:space="preserve">                                   Оборудование для механических испытаний</t>
  </si>
  <si>
    <t>ТЕРм32-01-099-01</t>
  </si>
  <si>
    <t>Установка вибрационная механическая</t>
  </si>
  <si>
    <t>ТЕРм32-01-099-02</t>
  </si>
  <si>
    <t>Установка вибрационная</t>
  </si>
  <si>
    <t>ТЕРм32-01-099-03</t>
  </si>
  <si>
    <t>Установка вибрационная электродинамическая, масса 2,1 т</t>
  </si>
  <si>
    <t>ТЕРм32-01-099-04</t>
  </si>
  <si>
    <t>Установка вибрационная электродинамическая, масса 4,875 т</t>
  </si>
  <si>
    <t>ТЕРм32-01-099-05</t>
  </si>
  <si>
    <t>Установка ударная</t>
  </si>
  <si>
    <t>ТЕРм32-01-099-06</t>
  </si>
  <si>
    <t>Установка для испытаний на воздействие линейных ускорений</t>
  </si>
  <si>
    <t>ТЕРм32-01-099-07</t>
  </si>
  <si>
    <t>Стенд для испытания на воздействие линейных нагрузок</t>
  </si>
  <si>
    <t xml:space="preserve">                                   Измерительное оборудование</t>
  </si>
  <si>
    <t>ТЕРм32-01-100-01</t>
  </si>
  <si>
    <t>Установка измерения электрических параметров ЦЭЛТ-32</t>
  </si>
  <si>
    <t xml:space="preserve">                                   Оборудование для контроля</t>
  </si>
  <si>
    <t>ТЕРм32-01-101-01</t>
  </si>
  <si>
    <t>Установка визуального контроля качества проявления и качества поверхности полупроводниковых пластин</t>
  </si>
  <si>
    <t>ТЕРм32-01-101-02</t>
  </si>
  <si>
    <t>Машина для определения глубины залегания Р-П перехода</t>
  </si>
  <si>
    <t>ТЕРм32-01-101-03</t>
  </si>
  <si>
    <t>Установка функционального контроля</t>
  </si>
  <si>
    <t>ТЕРм32-01-101-04</t>
  </si>
  <si>
    <t>Установка двухпозиционная для визуального контроля масок</t>
  </si>
  <si>
    <t>ТЕРм32-01-101-05</t>
  </si>
  <si>
    <t>Установка контроля сферы маски</t>
  </si>
  <si>
    <t>ТЕРм32-01-101-06</t>
  </si>
  <si>
    <t>Система параметрического функционального контроля полупроводниковых ЗУ и БИС микропроцессоров</t>
  </si>
  <si>
    <t>ТЕРм32-01-101-07</t>
  </si>
  <si>
    <t>Установка контроля прозрачности сферизованных масок ЦЭЛТ</t>
  </si>
  <si>
    <t>ТЕРм32-01-101-08</t>
  </si>
  <si>
    <t>Система контроля микроканальных пластин по структурным параметрам лазерная с управлением от ЭВМ</t>
  </si>
  <si>
    <t>ТЕРм32-01-101-09</t>
  </si>
  <si>
    <t>Установка контроля параметров микроканальных пластин</t>
  </si>
  <si>
    <t>ТЕРм32-01-101-10</t>
  </si>
  <si>
    <t>Установка контроля параметров катодолюминофоров</t>
  </si>
  <si>
    <t xml:space="preserve">                           Раздел 2. ОТДЕЛ 02. ОБОРУДОВАНИЕ ПРЕДПРИЯТИЙ ПРОМЫШЛЕННОСТИ СРЕДСТВ СВЯЗИ</t>
  </si>
  <si>
    <t xml:space="preserve">                                   Оборудование для резки, скрутки, закатки, зачистки и обжига</t>
  </si>
  <si>
    <t>ТЕРм32-02-001-01</t>
  </si>
  <si>
    <t>Автомат для изготовления перемычек</t>
  </si>
  <si>
    <t>ТЕРм32-02-001-02</t>
  </si>
  <si>
    <t>Автомат для подготовки проводов</t>
  </si>
  <si>
    <t>ТЕРм32-02-001-03</t>
  </si>
  <si>
    <t>Автомат для подготовки монтажных проводов</t>
  </si>
  <si>
    <t>ТЕРм32-02-001-04</t>
  </si>
  <si>
    <t>Полуавтомат комплексной обработки ленточных проводов</t>
  </si>
  <si>
    <t>ТЕРм32-02-001-05</t>
  </si>
  <si>
    <t>Полуавтомат подготовки к монтажу ленточных проводов типа ПВП</t>
  </si>
  <si>
    <t>ТЕРм32-02-001-06</t>
  </si>
  <si>
    <t>Автомат мерной резки ленточных проводов</t>
  </si>
  <si>
    <t xml:space="preserve">                                   Оборудование для намотки проводов</t>
  </si>
  <si>
    <t>ТЕРм32-02-002-01</t>
  </si>
  <si>
    <t>Станок намоточный</t>
  </si>
  <si>
    <t>ТЕРм32-02-002-02</t>
  </si>
  <si>
    <t>Станок рядовой намотки, масса 0,07 т</t>
  </si>
  <si>
    <t>ТЕРм32-02-002-03</t>
  </si>
  <si>
    <t>Станок рядовой намотки, масса 0,13 т</t>
  </si>
  <si>
    <t xml:space="preserve">                                   Оборудование для пропитки и сушки моточных изделий</t>
  </si>
  <si>
    <t>ТЕРм32-02-003-01</t>
  </si>
  <si>
    <t>Смеситель для приготовления эпоксидных компаундов</t>
  </si>
  <si>
    <t>ТЕРм32-02-003-02</t>
  </si>
  <si>
    <t>Установка для пропитки</t>
  </si>
  <si>
    <t>ТЕРм32-02-003-03</t>
  </si>
  <si>
    <t>Установка для заливки радиоизделий в вакууме</t>
  </si>
  <si>
    <t xml:space="preserve">                                   Оборудование для пайки и лужения печатных плат и радиоэлементов</t>
  </si>
  <si>
    <t>ТЕРм32-02-004-01</t>
  </si>
  <si>
    <t>Автомат пайки интегральных схем на МПП</t>
  </si>
  <si>
    <t>ТЕРм32-02-004-02</t>
  </si>
  <si>
    <t>Установка пайки малогабаритная</t>
  </si>
  <si>
    <t>ТЕРм32-02-004-03</t>
  </si>
  <si>
    <t>Установка пайки</t>
  </si>
  <si>
    <t xml:space="preserve">                                   Раздел 2. ОБОРУДОВАНИЕ ДЛЯ ИЗГОТОВЛЕНИЯ ПЕЧАТНЫХ ПЛАТ</t>
  </si>
  <si>
    <t xml:space="preserve">                                   Оборудование для механической обработки печатных плат</t>
  </si>
  <si>
    <t>ТЕРм32-02-010-01</t>
  </si>
  <si>
    <t>ТЕРм32-02-010-02</t>
  </si>
  <si>
    <t>Установка раскроя листового материала</t>
  </si>
  <si>
    <t>ТЕРм32-02-010-03</t>
  </si>
  <si>
    <t>Установка для сверления и штифтовки пакетов печатных плат</t>
  </si>
  <si>
    <t>ТЕРм32-02-010-04</t>
  </si>
  <si>
    <t>Станок полуавтоматический с нижним шпинделем</t>
  </si>
  <si>
    <t>ТЕРм32-02-010-05</t>
  </si>
  <si>
    <t>Модуль гибкий производственный ГПМ для сверления</t>
  </si>
  <si>
    <t>ТЕРм32-02-010-06</t>
  </si>
  <si>
    <t>Станок фрезерный 2-х шпиндельный с ЧПУ</t>
  </si>
  <si>
    <t>ТЕРм32-02-010-07</t>
  </si>
  <si>
    <t>Линия механизированной зачистки</t>
  </si>
  <si>
    <t>ТЕРм32-02-010-08</t>
  </si>
  <si>
    <t>Линия гидроабразивной обработки</t>
  </si>
  <si>
    <t>ТЕРм32-02-010-09</t>
  </si>
  <si>
    <t>Установка гидроабразивной зачистки</t>
  </si>
  <si>
    <t>ТЕРм32-02-010-10</t>
  </si>
  <si>
    <t>Линия автоматическая изготовления заготовок</t>
  </si>
  <si>
    <t xml:space="preserve">                                   Оборудование для нанесения и получения рисунка схемы на местах</t>
  </si>
  <si>
    <t>ТЕРм32-02-011-01</t>
  </si>
  <si>
    <t>Установка для нанесения фоторезиста</t>
  </si>
  <si>
    <t>ТЕРм32-02-011-02</t>
  </si>
  <si>
    <t>Установка экспонирования, масса 0,46 т</t>
  </si>
  <si>
    <t>ТЕРм32-02-011-03</t>
  </si>
  <si>
    <t>Установка экспонирования, масса 0,65 т</t>
  </si>
  <si>
    <t>ТЕРм32-02-011-04</t>
  </si>
  <si>
    <t>Установка экспонирования сетчатых трафаретов</t>
  </si>
  <si>
    <t>ТЕРм32-02-011-05</t>
  </si>
  <si>
    <t>Установка проявления трафаретных форм</t>
  </si>
  <si>
    <t>ТЕРм32-02-011-06</t>
  </si>
  <si>
    <t>Линия проявления СПФ</t>
  </si>
  <si>
    <t>ТЕРм32-02-011-07</t>
  </si>
  <si>
    <t>Установка проявления СПФ</t>
  </si>
  <si>
    <t>ТЕРм32-02-011-08</t>
  </si>
  <si>
    <t>Установка ультрафиолетового отверждения</t>
  </si>
  <si>
    <t>ТЕРм32-02-011-09</t>
  </si>
  <si>
    <t>Установка для снятия фоторезиста</t>
  </si>
  <si>
    <t>ТЕРм32-02-011-10</t>
  </si>
  <si>
    <t>Линия снятия фоторезиста</t>
  </si>
  <si>
    <t>ТЕРм32-02-011-11</t>
  </si>
  <si>
    <t>Установка снятия СПФ</t>
  </si>
  <si>
    <t xml:space="preserve">                                   Оборудование для изготовления многослойных печатных плат</t>
  </si>
  <si>
    <t>ТЕРм32-02-012-01</t>
  </si>
  <si>
    <t>Комплекс оборудования для травления и снятия краски</t>
  </si>
  <si>
    <t>ТЕРм32-02-012-02</t>
  </si>
  <si>
    <t>Линия механической подготовки поверхности заготовок</t>
  </si>
  <si>
    <t>ТЕРм32-02-012-03</t>
  </si>
  <si>
    <t>Линия конвейерная ультразвуковая промывки ПП</t>
  </si>
  <si>
    <t>ТЕРм32-02-012-04</t>
  </si>
  <si>
    <t>Линия отмывки печатных плат деионизированной водой</t>
  </si>
  <si>
    <t>ТЕРм32-02-012-05</t>
  </si>
  <si>
    <t>Линия химической подготовки</t>
  </si>
  <si>
    <t xml:space="preserve">                                   Раздел 3. ОБОРУДОВАНИЕ ДЛЯ ИЗГОТОВЛЕНИЯ МАГНИТОПРОВОДОВ И ВОЛНОВОДОВ</t>
  </si>
  <si>
    <t xml:space="preserve">                                   Оборудование для изготовления магнитопроводов</t>
  </si>
  <si>
    <t>ТЕРм32-02-018-01</t>
  </si>
  <si>
    <t>Установка для навивки магнитопроводов из лент железоникелевых сплавов</t>
  </si>
  <si>
    <t>ТЕРм32-02-018-02</t>
  </si>
  <si>
    <t>Полуавтомат для навивки ленточных сердечников</t>
  </si>
  <si>
    <t>ТЕРм32-02-018-03</t>
  </si>
  <si>
    <t>Станок намотки сердечников тороидальных трансформаторов</t>
  </si>
  <si>
    <t>ТЕРм32-02-018-04</t>
  </si>
  <si>
    <t>Установка электрофорезная с электродинамическим натяжением ленты</t>
  </si>
  <si>
    <t xml:space="preserve">                                   Раздел 4. ОБОРУДОВАНИЕ ДЛЯ СОРТИРОВКИ, КОНТРОЛЯ, СБОРКИ, ТРЕНИРОВКИ, МЕХАНИЧЕСКИХ И КЛИМАТИЧЕСКИХ ИСПЫТАНИЙ</t>
  </si>
  <si>
    <t xml:space="preserve">                                   Оборудование для разбраковки и проверки</t>
  </si>
  <si>
    <t>ТЕРм32-02-024-01</t>
  </si>
  <si>
    <t>Пост автоматический контроля транзисторов и радиоэлементов</t>
  </si>
  <si>
    <t>ТЕРм32-02-024-02</t>
  </si>
  <si>
    <t>Установка испытательная пробойная</t>
  </si>
  <si>
    <t>ТЕРм32-02-024-03</t>
  </si>
  <si>
    <t>Установка испытательная высоковольтная</t>
  </si>
  <si>
    <t xml:space="preserve">                                   Оборудование для установки и сборки радиоэлементов</t>
  </si>
  <si>
    <t>ТЕРм32-02-025-01</t>
  </si>
  <si>
    <t>Автомат подготовки радиоэлементов</t>
  </si>
  <si>
    <t>ТЕРм32-02-025-02</t>
  </si>
  <si>
    <t>Полуавтомат обработки выводов радиоэлементов</t>
  </si>
  <si>
    <t>ТЕРм32-02-025-03</t>
  </si>
  <si>
    <t>Полуавтомат установки радиоэлементов</t>
  </si>
  <si>
    <t>ТЕРм32-02-025-04</t>
  </si>
  <si>
    <t>Автомат установки радиоэлементов с осевыми выводами</t>
  </si>
  <si>
    <t>ТЕРм32-02-025-05</t>
  </si>
  <si>
    <t>Автомат вклеивания в ленту радиоэлементов</t>
  </si>
  <si>
    <t>ТЕРм32-02-025-06</t>
  </si>
  <si>
    <t>Автомат установки микросхем на печатные платы</t>
  </si>
  <si>
    <t>ТЕРм32-02-025-07</t>
  </si>
  <si>
    <t>Автомат установки транзисторов</t>
  </si>
  <si>
    <t>ТЕРм32-02-025-08</t>
  </si>
  <si>
    <t>Автомат сборки и пайки микросхем</t>
  </si>
  <si>
    <t xml:space="preserve">                                   Оборудование контрольно-испытательное и тренировочное</t>
  </si>
  <si>
    <t>ТЕРм32-02-026-01</t>
  </si>
  <si>
    <t>Стенд вибрационный механический</t>
  </si>
  <si>
    <t>ТЕРм32-02-026-02</t>
  </si>
  <si>
    <t>Установка вибрационная электродинамическая</t>
  </si>
  <si>
    <t>ТЕРм32-02-026-03</t>
  </si>
  <si>
    <t>ТЕРм32-02-026-04</t>
  </si>
  <si>
    <t>Копер ударный</t>
  </si>
  <si>
    <t>ТЕРм32-02-026-05</t>
  </si>
  <si>
    <t>Центрифуга, стенд центробежных перегрузок</t>
  </si>
  <si>
    <t>ТЕРм32-02-026-06</t>
  </si>
  <si>
    <t>Стенд имитации транспортирования</t>
  </si>
  <si>
    <t>ТЕРм32-02-026-07</t>
  </si>
  <si>
    <t>Камера тепла и холода</t>
  </si>
  <si>
    <t>ТЕРм32-02-026-08</t>
  </si>
  <si>
    <t>Камера тепла и влаги</t>
  </si>
  <si>
    <t>ТЕРм32-02-026-09</t>
  </si>
  <si>
    <t>Термобарокамера</t>
  </si>
  <si>
    <t xml:space="preserve">                                   Оборудование для контроля печатных плат и электрических параметров телевизоров и радиоприемников</t>
  </si>
  <si>
    <t>ТЕРм32-02-027-01</t>
  </si>
  <si>
    <t>Стенд для контроля кабелей и плат</t>
  </si>
  <si>
    <t>ТЕРм32-02-027-02</t>
  </si>
  <si>
    <t>Контрольно-испытательная телевизионная установка</t>
  </si>
  <si>
    <t>ТЕРм-2001-33</t>
  </si>
  <si>
    <t xml:space="preserve">                           Раздел 1. ОТДЕЛ 01. ОБОРУДОВАНИЕ ДУБИЛЬНО-ЭКСТРАКТОВОЙ ПРОМЫШЛЕННОСТИ</t>
  </si>
  <si>
    <t xml:space="preserve">                                   Раздел 1. ОБОРУДОВАНИЕ ДЛЯ ИЗМЕЛЬЧЕНИЯ ДУБОВОЙ ДРЕВЕСИНЫ И КОРЬЯ</t>
  </si>
  <si>
    <t xml:space="preserve">                                   Корьерезки, машины дробильные</t>
  </si>
  <si>
    <t>ТЕРм33-01-001-01</t>
  </si>
  <si>
    <t>Корьерезка барабанного типа</t>
  </si>
  <si>
    <t>ТЕРм33-01-001-02</t>
  </si>
  <si>
    <t>Машина (станок) дробильная для дополнительного измельчения древесины</t>
  </si>
  <si>
    <t xml:space="preserve">                                   Раздел 2. ОБОРУДОВАНИЕ ДИФФУЗИОННОЕ</t>
  </si>
  <si>
    <t xml:space="preserve">                                   Диффузоры</t>
  </si>
  <si>
    <t>ТЕРм33-01-011-01</t>
  </si>
  <si>
    <t>Диффузор вместимостью 21 м3</t>
  </si>
  <si>
    <t xml:space="preserve">                                   Раздел 3. ОБОРУДОВАНИЕ ДЛЯ ПОДОГРЕВАНИЯ, ВЫПАРИВАНИЯ СОКОВ И СУШЕНИЯ ЭКСТРАКТОВ</t>
  </si>
  <si>
    <t>ТЕРм33-01-021-01</t>
  </si>
  <si>
    <t>Теплообменник, поверхность нагрева 40 м2</t>
  </si>
  <si>
    <t xml:space="preserve">                                   Аппараты выпарные, прямоточные</t>
  </si>
  <si>
    <t>ТЕРм33-01-022-01</t>
  </si>
  <si>
    <t>Аппарат выпарной с 4-ходовым кожухотрубным теплообменником, поверхность нагрева 18 м2</t>
  </si>
  <si>
    <t>ТЕРм33-01-022-02</t>
  </si>
  <si>
    <t>Аппарат прямоточный для получения экстракта в глыбах, поверхность нагрева 25 м2</t>
  </si>
  <si>
    <t xml:space="preserve">                                   Камеры распылительной сушилки</t>
  </si>
  <si>
    <t>ТЕРм33-01-023-01</t>
  </si>
  <si>
    <t>Камера распылительной сушилки для выпаривания экстракта</t>
  </si>
  <si>
    <t xml:space="preserve">                                   Раздел 4. ОБОРУДОВАНИЕ ПРЕССОВОЕ</t>
  </si>
  <si>
    <t xml:space="preserve">                                   Прессы шнековые для отжима и одубины</t>
  </si>
  <si>
    <t>ТЕРм33-01-033-01</t>
  </si>
  <si>
    <t>Пресс шнековый для отжима и одубины, производительность до 1,5 т/ч</t>
  </si>
  <si>
    <t>ТЕРм33-01-033-02</t>
  </si>
  <si>
    <t>Пресс шнековый для отжима и одубины, производительность до 5 т/ч</t>
  </si>
  <si>
    <t xml:space="preserve">                           Раздел 2. ОТДЕЛ 02. ОБОРУДОВАНИЕ ДЛЯ ПРОИЗВОДСТВА КАБЛУКОВ, КОЛОДОК, МЕТИЗОВ И ФУРНИТУРЫ</t>
  </si>
  <si>
    <t xml:space="preserve">                                   Раздел 1. ОБОРУДОВАНИЕ ДЛЯ ПРОИЗВОДСТВА ДЕРЕВЯННЫХ КАБЛУКОВ И КОЛОДОК</t>
  </si>
  <si>
    <t xml:space="preserve">                                   Станки, завертки, кусачки</t>
  </si>
  <si>
    <t>ТЕРм33-02-001-01</t>
  </si>
  <si>
    <t>Станок шлифовальный для каблуков и колодок</t>
  </si>
  <si>
    <t>ТЕРм33-02-001-02</t>
  </si>
  <si>
    <t>Завертка для колодок настольная, приводная</t>
  </si>
  <si>
    <t>ТЕРм33-02-001-03</t>
  </si>
  <si>
    <t>Кусачки механические для заклепок, настольные</t>
  </si>
  <si>
    <t>ТЕРм33-02-001-04</t>
  </si>
  <si>
    <t>Станок фрезерный для выемки фронта пятки, замка каблука и срезки набойки</t>
  </si>
  <si>
    <t>ТЕРм33-02-001-05</t>
  </si>
  <si>
    <t>Станок каблучно-копировальный</t>
  </si>
  <si>
    <t>ТЕРм33-02-001-06</t>
  </si>
  <si>
    <t>Станок колодочно-копировальный для обдирки</t>
  </si>
  <si>
    <t>ТЕРм33-02-001-07</t>
  </si>
  <si>
    <t>Станок колодочно-копировальный для чистовой обработки</t>
  </si>
  <si>
    <t xml:space="preserve">                                   Раздел 2. ОБОРУДОВАНИЕ МЕТИЗНОЕ</t>
  </si>
  <si>
    <t xml:space="preserve">                                   Машины, вибромельницы, печи, барабаны, автоматы, агрегаты, станки</t>
  </si>
  <si>
    <t>ТЕРм33-02-010-01</t>
  </si>
  <si>
    <t>Машина сортировочная на два сита для машинного текса и крупного обувного гвоздя</t>
  </si>
  <si>
    <t>ТЕРм33-02-010-02</t>
  </si>
  <si>
    <t>Вибромельница для отделки машинного текса и крупного обувного гвоздя</t>
  </si>
  <si>
    <t>ТЕРм33-02-010-03</t>
  </si>
  <si>
    <t>Печь барабанного типа с внутренним обогревом для термообработки гвоздей</t>
  </si>
  <si>
    <t>ТЕРм33-02-010-04</t>
  </si>
  <si>
    <t>Барабан голтовочный для отделки машинного текса и крупного обувного гвоздя</t>
  </si>
  <si>
    <t>ТЕРм33-02-010-05</t>
  </si>
  <si>
    <t>Автомат гвоздильный прессового действия для изготовления крупного обувного гвоздя</t>
  </si>
  <si>
    <t>ТЕРм33-02-010-06</t>
  </si>
  <si>
    <t>Автомат гвоздильный прессового действия для изготовления машинного текса из проволоки</t>
  </si>
  <si>
    <t>ТЕРм33-02-010-07</t>
  </si>
  <si>
    <t>Автомат гвоздильный прессового действия для изготовления ручного текса из ленты</t>
  </si>
  <si>
    <t>ТЕРм33-02-010-08</t>
  </si>
  <si>
    <t>Машина винтонакатная</t>
  </si>
  <si>
    <t>ТЕРм33-02-010-09</t>
  </si>
  <si>
    <t>Полуавтомат для сборки пряжек с крючками</t>
  </si>
  <si>
    <t>ТЕРм33-02-010-10</t>
  </si>
  <si>
    <t>Станок выгибательный для спиральных ножей</t>
  </si>
  <si>
    <t>ТЕРм33-02-010-11</t>
  </si>
  <si>
    <t>Агрегат колокольный для оцинкования обувных гвоздей</t>
  </si>
  <si>
    <t>ТЕРм33-02-010-12</t>
  </si>
  <si>
    <t>Станок вальцовочный для плоских спиралей</t>
  </si>
  <si>
    <t>ТЕРм33-02-010-13</t>
  </si>
  <si>
    <t>Автомат для сборки форменных металлических пуговиц</t>
  </si>
  <si>
    <t xml:space="preserve">                                   Раздел 3. ОБОРУДОВАНИЕ ДЛЯ ПРОИЗВОДСТВА ПЛАСТМАССОВЫХ КАБЛУКОВ И КОЛОДОК</t>
  </si>
  <si>
    <t xml:space="preserve">                                   Измельчители, агрегаты для переработки отходов</t>
  </si>
  <si>
    <t>ТЕРм33-02-020-01</t>
  </si>
  <si>
    <t>Измельчитель роторный для пластмасс, марка ИПР-150М</t>
  </si>
  <si>
    <t>ТЕРм33-02-020-02</t>
  </si>
  <si>
    <t>Измельчитель роторный для пластмасс, марка ИПР-300</t>
  </si>
  <si>
    <t>ТЕРм33-02-020-03</t>
  </si>
  <si>
    <t>Агрегат для переработки кусковых отходов полиэтиленовых изделий в гранулы</t>
  </si>
  <si>
    <t>ТЕРм33-02-021-01</t>
  </si>
  <si>
    <t>Смеситель ленточный для порошкообразных и гранулированных материалов</t>
  </si>
  <si>
    <t>ТЕРм33-02-022-01</t>
  </si>
  <si>
    <t>Пресс червячный</t>
  </si>
  <si>
    <t xml:space="preserve">                                   Сушилки, шкафы сушильные</t>
  </si>
  <si>
    <t>ТЕРм33-02-023-01</t>
  </si>
  <si>
    <t>Сушилка для сушки гранул термостатов, производительность 50 кг/ч</t>
  </si>
  <si>
    <t>ТЕРм33-02-023-02</t>
  </si>
  <si>
    <t>Сушилка для сушки гранул термостатов, производительность 100 кг/ч</t>
  </si>
  <si>
    <t>ТЕРм33-02-023-03</t>
  </si>
  <si>
    <t>Сушилка для сушки гранул термостатов, производительность 450 кг/ч</t>
  </si>
  <si>
    <t>ТЕРм33-02-023-04</t>
  </si>
  <si>
    <t>Шкаф сушильный вакуумный</t>
  </si>
  <si>
    <t xml:space="preserve">                                   Оборудование для переработки термопластических материалов</t>
  </si>
  <si>
    <t>ТЕРм33-02-024-01</t>
  </si>
  <si>
    <t>Термопластоавтомат, марка ТП-32</t>
  </si>
  <si>
    <t>ТЕРм33-02-024-02</t>
  </si>
  <si>
    <t>Термопластоавтомат, марка Д-3328</t>
  </si>
  <si>
    <t>ТЕРм33-02-024-03</t>
  </si>
  <si>
    <t>Термопластоавтомат, марка Д-3234</t>
  </si>
  <si>
    <t>ТЕРм33-02-024-04</t>
  </si>
  <si>
    <t>Машина литьевая, марка ДБ-3328</t>
  </si>
  <si>
    <t>ТЕРм33-02-024-05</t>
  </si>
  <si>
    <t>Машина литьевая, марка ДГ-3231</t>
  </si>
  <si>
    <t>ТЕРм33-02-024-06</t>
  </si>
  <si>
    <t>Машина литьевая, марка Д-3931</t>
  </si>
  <si>
    <t>ТЕРм33-02-024-07</t>
  </si>
  <si>
    <t>Автомат гидравлический для литья под давлением</t>
  </si>
  <si>
    <t xml:space="preserve">                           Раздел 3. ОТДЕЛ 03. ОБОРУДОВАНИЕ ДЛЯ ПРОИЗВОДСТВА ВСПОМОГАТЕЛЬНЫХ ДЕТАЛЕЙ</t>
  </si>
  <si>
    <t xml:space="preserve">                                   Раздел 1. ОБОРУДОВАНИЕ ДЛЯ ПРОИЗВОДСТВА ШПУЛЬ, КАТУШЕК, ЧЕЛНОКОВ</t>
  </si>
  <si>
    <t xml:space="preserve">                                   Оборудование для производства шпуль</t>
  </si>
  <si>
    <t>ТЕРм33-03-001-01</t>
  </si>
  <si>
    <t>Машина для ориентировочной укладки шпуль</t>
  </si>
  <si>
    <t>ТЕРм33-03-001-02</t>
  </si>
  <si>
    <t>Машина для покрытия шпуль лаком</t>
  </si>
  <si>
    <t>ТЕРм33-03-001-03</t>
  </si>
  <si>
    <t>Пресс для натяжки стальных колец на шпули</t>
  </si>
  <si>
    <t>ТЕРм33-03-001-04</t>
  </si>
  <si>
    <t>Пресс горизонтальный для окончательной гибки шпуледержателей</t>
  </si>
  <si>
    <t>ТЕРм33-03-001-05</t>
  </si>
  <si>
    <t>Станок операционный для обработки ширинок</t>
  </si>
  <si>
    <t>ТЕРм33-03-001-06</t>
  </si>
  <si>
    <t>Станок обрезной для обрезки краев жестяных колец, шпуль, катушек</t>
  </si>
  <si>
    <t>ТЕРм33-03-001-07</t>
  </si>
  <si>
    <t>Станок закаточный для закатки и разгонки стальных колец</t>
  </si>
  <si>
    <t>ТЕРм33-03-001-08</t>
  </si>
  <si>
    <t>Станок токарный для обточки шпуль</t>
  </si>
  <si>
    <t>ТЕРм33-03-001-09</t>
  </si>
  <si>
    <t>Станок пильный для поперечного раскроя бруска</t>
  </si>
  <si>
    <t>ТЕРм33-03-001-10</t>
  </si>
  <si>
    <t>Автомат сверлильный многошпиндельный</t>
  </si>
  <si>
    <t xml:space="preserve">                                   Оборудование для производства катушек</t>
  </si>
  <si>
    <t>ТЕРм33-03-002-01</t>
  </si>
  <si>
    <t>Станок двухконечная бабка-расправка для ошнуровки и полировки катушек</t>
  </si>
  <si>
    <t>ТЕРм33-03-002-02</t>
  </si>
  <si>
    <t>Станок токарный по дереву для обточки катушек</t>
  </si>
  <si>
    <t>ТЕРм33-03-002-03</t>
  </si>
  <si>
    <t>Станок расправочно-закаточный для распределения отверстий заката нижнего кольца</t>
  </si>
  <si>
    <t>ТЕРм33-03-002-04</t>
  </si>
  <si>
    <t>Станок одноконечный, бабка с полозками для сверления отверстий в заготовках</t>
  </si>
  <si>
    <t>ТЕРм33-03-002-05</t>
  </si>
  <si>
    <t>Станок шлифовально-цилиндрический</t>
  </si>
  <si>
    <t xml:space="preserve">                                   Оборудование для производства челноков</t>
  </si>
  <si>
    <t>ТЕРм33-03-003-01</t>
  </si>
  <si>
    <t>Станок двухшпиндельный горизонтальный для сверления отверстий в торцах заготовки челнока</t>
  </si>
  <si>
    <t>ТЕРм33-03-003-02</t>
  </si>
  <si>
    <t>Полуавтомат сверлильный трехшпиндельный для сверления отверстий в челночной заготовке</t>
  </si>
  <si>
    <t>ТЕРм33-03-003-03</t>
  </si>
  <si>
    <t>Пресс горизонтальный для запрессовки носков в заготовку челнока</t>
  </si>
  <si>
    <t>ТЕРм33-03-003-04</t>
  </si>
  <si>
    <t>Станок шлифовальный для челнока наружной поверхности</t>
  </si>
  <si>
    <t>ТЕРм33-03-003-05</t>
  </si>
  <si>
    <t>Станок шлифовальный для челнока корпуса</t>
  </si>
  <si>
    <t>ТЕРм33-03-003-06</t>
  </si>
  <si>
    <t>Станок шлифовальный для челнока лобков</t>
  </si>
  <si>
    <t>ТЕРм33-03-003-07</t>
  </si>
  <si>
    <t>Станок вертикально-фрезерный специальный для фрезерования фасок початочной коробки челноков</t>
  </si>
  <si>
    <t>ТЕРм33-03-003-08</t>
  </si>
  <si>
    <t>Станок токарный с копиром для обточки лобковых частей челнока</t>
  </si>
  <si>
    <t>ТЕРм33-03-003-09</t>
  </si>
  <si>
    <t>Полуавтомат горизонтально-фрезерный для фрезерования початочной коробки челноков</t>
  </si>
  <si>
    <t>ТЕРм33-03-003-10</t>
  </si>
  <si>
    <t>Полуавтомат для фрезерования прямых ребер в челноках</t>
  </si>
  <si>
    <t>ТЕРм33-03-003-11</t>
  </si>
  <si>
    <t>Станок горизонтально-фрезерный для фрезерования пазов во всех типах челноков</t>
  </si>
  <si>
    <t xml:space="preserve">                                   Раздел 2. ОБОРУДОВАНИЕ ДЛЯ ПРОИЗВОДСТВА ИГОЛЬЧАТЫХ ДЕТАЛЕЙ</t>
  </si>
  <si>
    <t xml:space="preserve">                                   Оборудование для производства игольчатой ленты</t>
  </si>
  <si>
    <t>ТЕРм33-03-010-01</t>
  </si>
  <si>
    <t>Автомат для набора ленты игольчатой</t>
  </si>
  <si>
    <t>ТЕРм33-03-010-02</t>
  </si>
  <si>
    <t>Автомат для набора ленты бегунной, колковой</t>
  </si>
  <si>
    <t>ТЕРм33-03-010-03</t>
  </si>
  <si>
    <t>Автомат проволокорубильный</t>
  </si>
  <si>
    <t>ТЕРм33-03-010-04</t>
  </si>
  <si>
    <t>Машина обрезальная для игольчатой ленты</t>
  </si>
  <si>
    <t>ТЕРм33-03-010-05</t>
  </si>
  <si>
    <t>Машина кроильная для раскроя основания игольчатых лент и пластин</t>
  </si>
  <si>
    <t>ТЕРм33-03-010-06</t>
  </si>
  <si>
    <t>Барабан точильный для игольчатых лент и пластин</t>
  </si>
  <si>
    <t xml:space="preserve">                                   Оборудование для производства игольчатых шляпок, пластин и деталей</t>
  </si>
  <si>
    <t>ТЕРм33-03-011-01</t>
  </si>
  <si>
    <t>Автомат кардошляпный для набора игольчатых, чистильных пластин и шляпочных щеток</t>
  </si>
  <si>
    <t>ТЕРм33-03-011-02</t>
  </si>
  <si>
    <t>Машина для резки шляпок</t>
  </si>
  <si>
    <t xml:space="preserve">                                   Оборудование для производства пильчатой ленты</t>
  </si>
  <si>
    <t>ТЕРм33-03-012-01</t>
  </si>
  <si>
    <t>Автомат зубопросечный для штамповки ленты</t>
  </si>
  <si>
    <t>ТЕРм33-03-012-02</t>
  </si>
  <si>
    <t>Электропечь сопротивления</t>
  </si>
  <si>
    <t>ТЕРм33-03-012-03</t>
  </si>
  <si>
    <t>Станок закалочный для закалки зуба</t>
  </si>
  <si>
    <t>ТЕРм33-03-012-04</t>
  </si>
  <si>
    <t>Станок контрольно-перемоточный</t>
  </si>
  <si>
    <t>ТЕРм33-03-012-05</t>
  </si>
  <si>
    <t>Станок для обрезки кромок</t>
  </si>
  <si>
    <t xml:space="preserve">                                   Оборудование для производства клипсов</t>
  </si>
  <si>
    <t>ТЕРм33-03-013-01</t>
  </si>
  <si>
    <t>Станок вальцовочный</t>
  </si>
  <si>
    <t>ТЕРм33-03-013-02</t>
  </si>
  <si>
    <t>Станок для закатки шляпок крепления «Б»</t>
  </si>
  <si>
    <t>ТЕРм33-03-013-03</t>
  </si>
  <si>
    <t>Станок вальцовочно-гибочный для формования профиля продольных клипсов</t>
  </si>
  <si>
    <t>ТЕРм33-03-013-04</t>
  </si>
  <si>
    <t>Станок для насечки зубьев на продольных клипсах</t>
  </si>
  <si>
    <t>ТЕРм33-03-013-05</t>
  </si>
  <si>
    <t>Пресс для резки стали на продольные клипсы</t>
  </si>
  <si>
    <t xml:space="preserve">                                   Раздел 3. ОБОРУДОВАНИЕ ДЛЯ ПРОИЗВОДСТВА БУМАЖНЫХ ИЗДЕЛИЙ</t>
  </si>
  <si>
    <t xml:space="preserve">                                   Оборудование для резки и шлифования кромок бумаги</t>
  </si>
  <si>
    <t>ТЕРм33-03-020-01</t>
  </si>
  <si>
    <t>Машина резательная для рулонов бумаги</t>
  </si>
  <si>
    <t>ТЕРм33-03-020-02</t>
  </si>
  <si>
    <t>Станок рулонный для сматывания бумаги и кальки</t>
  </si>
  <si>
    <t>ТЕРм33-03-020-03</t>
  </si>
  <si>
    <t>Машина для шлифовки края бумаги</t>
  </si>
  <si>
    <t xml:space="preserve">                                   Оборудование для изготовления уточных патронов</t>
  </si>
  <si>
    <t>ТЕРм33-03-021-01</t>
  </si>
  <si>
    <t>Станок операционный для обработки патронов</t>
  </si>
  <si>
    <t>ТЕРм33-03-021-02</t>
  </si>
  <si>
    <t>Машина шпулезаверточная для изготовления патронов</t>
  </si>
  <si>
    <t>ТЕРм33-03-021-03</t>
  </si>
  <si>
    <t>Станок сортировочный</t>
  </si>
  <si>
    <t>ТЕРм33-03-021-04</t>
  </si>
  <si>
    <t>Установка для пропитки патронов лаком</t>
  </si>
  <si>
    <t>ТЕРм33-03-021-05</t>
  </si>
  <si>
    <t>Агрегат для приготовления пропиточного сплава</t>
  </si>
  <si>
    <t>ТЕРм33-03-021-06</t>
  </si>
  <si>
    <t>Машина армировочная для одевания колец на патрон</t>
  </si>
  <si>
    <t>ТЕРм33-03-021-07</t>
  </si>
  <si>
    <t>Пресс механический для штамповки армировочных колец</t>
  </si>
  <si>
    <t xml:space="preserve">                                   Оборудование для изготовления конусов и цилиндров</t>
  </si>
  <si>
    <t>ТЕРм33-03-022-01</t>
  </si>
  <si>
    <t>Станок операционный для обработки патронов, конусов, цилиндров</t>
  </si>
  <si>
    <t>ТЕРм33-03-022-02</t>
  </si>
  <si>
    <t>Станок для конусов армирования</t>
  </si>
  <si>
    <t>ТЕРм33-03-022-03</t>
  </si>
  <si>
    <t>Станок для конусов обортовки колец и горловины</t>
  </si>
  <si>
    <t>ТЕРм33-03-022-04</t>
  </si>
  <si>
    <t>Станок для конусов отделочный</t>
  </si>
  <si>
    <t>ТЕРм33-03-022-05</t>
  </si>
  <si>
    <t>Машина для изготовления цилиндров цилиндриковая</t>
  </si>
  <si>
    <t>ТЕРм33-03-022-06</t>
  </si>
  <si>
    <t>Машина для изготовления цилиндров цилиндрозаверточная</t>
  </si>
  <si>
    <t>ТЕРм33-03-022-07</t>
  </si>
  <si>
    <t>Комбайн конусозаверточный для изготовления конусов</t>
  </si>
  <si>
    <t xml:space="preserve">                                   Оборудование для производства фибровых тазов</t>
  </si>
  <si>
    <t>ТЕРм33-03-023-01</t>
  </si>
  <si>
    <t>Станок для резки жести, шлифования фибры, соединения швов и сборки фибровых тазов</t>
  </si>
  <si>
    <t xml:space="preserve">                                   Раздел 4. ОБОРУДОВАНИЕ ДЛЯ ПРОИЗВОДСТВА РЕМИЗ И БЕРД</t>
  </si>
  <si>
    <t xml:space="preserve">                                   Оборудование для производства ремиз</t>
  </si>
  <si>
    <t>ТЕРм33-03-030-01</t>
  </si>
  <si>
    <t>Автомат глазковый для изготовления металлических ремиз</t>
  </si>
  <si>
    <t>ТЕРм33-03-030-02</t>
  </si>
  <si>
    <t>Машина ремиз-вязальная</t>
  </si>
  <si>
    <t>ТЕРм33-03-030-03</t>
  </si>
  <si>
    <t>Машина перемоточная для перемотки пряжи</t>
  </si>
  <si>
    <t>ТЕРм33-03-030-04</t>
  </si>
  <si>
    <t>Станок калибровочный</t>
  </si>
  <si>
    <t>ТЕРм33-03-030-05</t>
  </si>
  <si>
    <t>Автомат ремизный для изготовления и пайки проволочных талов</t>
  </si>
  <si>
    <t>ТЕРм33-03-030-06</t>
  </si>
  <si>
    <t>Станок для лужения глазковой проволоки</t>
  </si>
  <si>
    <t>ТЕРм33-03-030-07</t>
  </si>
  <si>
    <t>Станок для рубки накладок в заданный размер</t>
  </si>
  <si>
    <t>ТЕРм33-03-030-08</t>
  </si>
  <si>
    <t>Станок вальцовочный для глазковой проволоки</t>
  </si>
  <si>
    <t>ТЕРм33-03-030-09</t>
  </si>
  <si>
    <t>Машина крахмально-лачильная для ремиз</t>
  </si>
  <si>
    <t xml:space="preserve">                                   Оборудование для производства берд</t>
  </si>
  <si>
    <t>ТЕРм33-03-031-01</t>
  </si>
  <si>
    <t>Машина бердовивочная для вивки берда</t>
  </si>
  <si>
    <t>ТЕРм33-03-031-02</t>
  </si>
  <si>
    <t>Машина для крутки бердочного шнура</t>
  </si>
  <si>
    <t>ТЕРм33-03-031-03</t>
  </si>
  <si>
    <t>Машина для перемотки бердочного шнура</t>
  </si>
  <si>
    <t>ТЕРм33-03-031-04</t>
  </si>
  <si>
    <t>Станок для берды круглопильный для смоления</t>
  </si>
  <si>
    <t>ТЕРм33-03-031-05</t>
  </si>
  <si>
    <t>Станок для берды срезки пряжи с заготовок</t>
  </si>
  <si>
    <t>ТЕРм33-03-031-06</t>
  </si>
  <si>
    <t>Станок для берды чистки</t>
  </si>
  <si>
    <t>ТЕРм33-03-031-07</t>
  </si>
  <si>
    <t>Машина для производства слачков</t>
  </si>
  <si>
    <t>ТЕРм33-03-031-08</t>
  </si>
  <si>
    <t>Станок плющильный для проволоки бердочного зуба, марки ЛПС-1</t>
  </si>
  <si>
    <t>ТЕРм33-03-031-09</t>
  </si>
  <si>
    <t>Станок плющильный для проволоки бердочного зуба, марки ЛС-3</t>
  </si>
  <si>
    <t>ТЕРм33-03-031-10</t>
  </si>
  <si>
    <t>Станок плющильный для проволоки бердочного зуба, марки СППТ-1</t>
  </si>
  <si>
    <t>ТЕРм33-03-031-11</t>
  </si>
  <si>
    <t>Машина зубодельная для изготовления зуба берда</t>
  </si>
  <si>
    <t xml:space="preserve">                                   Раздел 5. ОБОРУДОВАНИЕ ДЛЯ ПРОИЗВОДСТВА ПЛАНОЧНЫХ ДЕТАЛЕЙ</t>
  </si>
  <si>
    <t>ТЕРм33-03-040-01</t>
  </si>
  <si>
    <t>Станок концеточильный</t>
  </si>
  <si>
    <t xml:space="preserve">                                   Раздел 6. ОБОРУДОВАНИЕ ДЛЯ ПРОИЗВОДСТВА ТЕХНИЧЕСКИХ ИЗДЕЛИЙ ИЗ КОЖИ И ЗАМЕНИТЕЛЕЙ КОЖИ</t>
  </si>
  <si>
    <t xml:space="preserve">                                   Оборудование для производства технических изделий из кожи</t>
  </si>
  <si>
    <t>ТЕРм33-03-045-01</t>
  </si>
  <si>
    <t>Машина раскройная для раскроя технических кож на полосы</t>
  </si>
  <si>
    <t>ТЕРм33-03-045-02</t>
  </si>
  <si>
    <t>Станок для раскроя делительных ремешков</t>
  </si>
  <si>
    <t>ТЕРм33-03-045-03</t>
  </si>
  <si>
    <t>Машина для раскроя пергаментных кож</t>
  </si>
  <si>
    <t>ТЕРм33-03-045-04</t>
  </si>
  <si>
    <t>Машина двоильная для срезки кожаных полос по толщине</t>
  </si>
  <si>
    <t>ТЕРм33-03-045-05</t>
  </si>
  <si>
    <t>Станок для растяжки кожаных полос</t>
  </si>
  <si>
    <t>ТЕРм33-03-045-06</t>
  </si>
  <si>
    <t>Станок для предварительной вытяжки делительных ремешков</t>
  </si>
  <si>
    <t>ТЕРм33-03-045-07</t>
  </si>
  <si>
    <t>Пресс гидравлический для склеивания делительных ремешков</t>
  </si>
  <si>
    <t>ТЕРм33-03-045-08</t>
  </si>
  <si>
    <t>Пресс гидравлический для прессования кожаных ремешков и манжет</t>
  </si>
  <si>
    <t>ТЕРм33-03-045-09</t>
  </si>
  <si>
    <t>Пресс гидравлический для склеивания кожаных ремешков и манжет</t>
  </si>
  <si>
    <t>ТЕРм33-03-045-10</t>
  </si>
  <si>
    <t>Пресс механический для изготовления амортизаторов</t>
  </si>
  <si>
    <t>ТЕРм33-03-045-11</t>
  </si>
  <si>
    <t>Пресс эксцентриковый</t>
  </si>
  <si>
    <t>ТЕРм33-03-045-12</t>
  </si>
  <si>
    <t>Пресс для пробивки отверстий в кожаных изделиях и постановки фурнитуры</t>
  </si>
  <si>
    <t>ТЕРм33-03-045-13</t>
  </si>
  <si>
    <t>Станок карусельный для склеивания кожаных ремешков на заклейку при изготовлении гонков и выталкивания гонков из кассет</t>
  </si>
  <si>
    <t>ТЕРм33-03-045-14</t>
  </si>
  <si>
    <t>Станок для срезки фаски у кожаных ремешков, зачистки муфточек, насадки шайб</t>
  </si>
  <si>
    <t>ТЕРм33-03-045-15</t>
  </si>
  <si>
    <t>Станок горизонтально-сверлильный для сверления пергаментных гонков</t>
  </si>
  <si>
    <t>ТЕРм33-03-045-16</t>
  </si>
  <si>
    <t>Станок голтовочный для очистки пергаментных гонков, заклепок от масла и заусенцев</t>
  </si>
  <si>
    <t>ТЕРм33-03-045-17</t>
  </si>
  <si>
    <t>Станок для зачистки гонков</t>
  </si>
  <si>
    <t>ТЕРм33-03-045-18</t>
  </si>
  <si>
    <t>Шкаф сушильный для сушки пергаментных гонков</t>
  </si>
  <si>
    <t xml:space="preserve">                                   Оборудование для производства технических изделий из заменителей кожи</t>
  </si>
  <si>
    <t>ТЕРм33-03-046-01</t>
  </si>
  <si>
    <t>Полуавтомат для литья бегунков из анида для отливки пресс-форм</t>
  </si>
  <si>
    <t>ТЕРм33-03-046-02</t>
  </si>
  <si>
    <t>Пресс для размыкания пресс-форм полиэтиленовых гонков</t>
  </si>
  <si>
    <t>ТЕРм33-03-046-03</t>
  </si>
  <si>
    <t>Пресс гидравлический</t>
  </si>
  <si>
    <t>ТЕРм33-03-046-04</t>
  </si>
  <si>
    <t>Станок заточный для промышленных ножей</t>
  </si>
  <si>
    <t>ТЕРм33-03-046-05</t>
  </si>
  <si>
    <t>Станок резательный для резиновых изделий</t>
  </si>
  <si>
    <t>ТЕРм33-03-046-06</t>
  </si>
  <si>
    <t>Ванна пропиточная для хлопчатобумажной ленты</t>
  </si>
  <si>
    <t>ТЕРм33-03-046-07</t>
  </si>
  <si>
    <t>Станок рифлевальный для нанесения спиральных рифлей на резиновые рукава и муфты</t>
  </si>
  <si>
    <t>ТЕРм33-03-046-08</t>
  </si>
  <si>
    <t>Станок для сборки коноидных ремней и гонков из ленты</t>
  </si>
  <si>
    <t>ТЕРм33-03-046-09</t>
  </si>
  <si>
    <t>Станок для сборки сучильных рукавов</t>
  </si>
  <si>
    <t>ТЕРм33-03-046-10</t>
  </si>
  <si>
    <t>Станок сборочный для муфточек</t>
  </si>
  <si>
    <t>ТЕРм33-03-046-11</t>
  </si>
  <si>
    <t>Станок для склеивания капроновых ремней</t>
  </si>
  <si>
    <t>ТЕРм33-03-046-12</t>
  </si>
  <si>
    <t>Станок никелевочный для наматывания никелевочной тесьмы</t>
  </si>
  <si>
    <t>ТЕРм33-03-046-13</t>
  </si>
  <si>
    <t>Станок по съему рукавчиков с металлических форм</t>
  </si>
  <si>
    <t>ТЕРм33-03-046-14</t>
  </si>
  <si>
    <t>Станок для вывертывания сучильных рукавов после их шлифования</t>
  </si>
  <si>
    <t>ТЕРм33-03-046-15</t>
  </si>
  <si>
    <t>Станок-барабан для очистки валиков от резиновой стружки</t>
  </si>
  <si>
    <t>ТЕРм33-03-046-16</t>
  </si>
  <si>
    <t>Тележка с конвейером для загрузки вулканизационных котлов</t>
  </si>
  <si>
    <t>ТЕРм33-03-046-17</t>
  </si>
  <si>
    <t>Сушилка для сушки гонтин</t>
  </si>
  <si>
    <t>ТЕРм33-03-046-18</t>
  </si>
  <si>
    <t>Агрегат сушильно-пропиточный для пропитки и сушки капроновой ленты</t>
  </si>
  <si>
    <t>ТЕРм33-03-046-19</t>
  </si>
  <si>
    <t>Машина измерительная для измерения ремней</t>
  </si>
  <si>
    <t xml:space="preserve">                           Раздел 4. ОТДЕЛ 04. ОБОРУДОВАНИЕ ТРИКОТАЖНОЙ ПРОМЫШЛЕННОСТИ</t>
  </si>
  <si>
    <t xml:space="preserve">                                   Раздел 1. ВЯЗАЛЬНОЕ ОБОРУДОВАНИЕ</t>
  </si>
  <si>
    <t xml:space="preserve">                                   Кругловязальные автоматы для чулочно-носочных и перчаточных изделий</t>
  </si>
  <si>
    <t>ТЕРм33-04-001-01</t>
  </si>
  <si>
    <t>Автомат чулочно-носочный двухцилиндровый, количество систем 2</t>
  </si>
  <si>
    <t>ТЕРм33-04-001-02</t>
  </si>
  <si>
    <t>Автомат чулочно-носочный одно- и двухцилиндровый, количество систем 2-3 с рисунчатым аппаратом и программным управлением</t>
  </si>
  <si>
    <t>ТЕРм33-04-001-03</t>
  </si>
  <si>
    <t>Автомат чулочно-носочный одно- и двухцилиндровый, количество систем 2-3 с приставным шпулярником</t>
  </si>
  <si>
    <t xml:space="preserve">                                   Кругловязальные машины для полотна и купонов</t>
  </si>
  <si>
    <t>ТЕРм33-04-002-01</t>
  </si>
  <si>
    <t>Машина круглотрикотажная однофонтурная, количество систем 5-16, для выработки простого и начесного полотна, диаметр цилиндра 450-550 мм</t>
  </si>
  <si>
    <t>ТЕРм33-04-002-02</t>
  </si>
  <si>
    <t>Машина круглотрикотажная однофонтурная, количество систем 5-16, для выработки простого и начесного полотна, диаметр цилиндра 750 мм</t>
  </si>
  <si>
    <t>ТЕРм33-04-002-03</t>
  </si>
  <si>
    <t>Машина круглотрикотажная однофонтурная, количество систем 5-16, для выработки простого и начесного полотна, диаметр цилиндра 900 мм</t>
  </si>
  <si>
    <t>ТЕРм33-04-002-04</t>
  </si>
  <si>
    <t>Машина кругловязальная однофонтурная с напольным шпулярником для изготовления гладкого, платированного кулирного полотна, диаметр цилиндра 350–500 мм, количество систем 40</t>
  </si>
  <si>
    <t>ТЕРм33-04-002-05</t>
  </si>
  <si>
    <t>Машина кругловязальная однофонтурная с напольным шпулярником для изготовления гладкого, платированного кулирного полотна, диаметр цилиндра 650 мм, количество систем 60</t>
  </si>
  <si>
    <t>ТЕРм33-04-002-06</t>
  </si>
  <si>
    <t>Машина кругловязальная однофонтурная с напольным шпулярником для изготовления гладкого, платированного кулирного полотна, диаметр цилиндра 750 мм, количество систем 72</t>
  </si>
  <si>
    <t>ТЕРм33-04-002-07</t>
  </si>
  <si>
    <t>Добавлять к расценке 33-04-002-04 при изменении количества систем на каждые 2 системы</t>
  </si>
  <si>
    <t>ТЕРм33-04-002-08</t>
  </si>
  <si>
    <t>Машина тканевязальная жаккардовая однофонтурная для вязания тканеподобного полотна, количество систем 26, диаметр цилиндра 650 мм</t>
  </si>
  <si>
    <t>ТЕРм33-04-002-09</t>
  </si>
  <si>
    <t>Машина кругловязальная двухфонтурная «Интерлок» для вязания полотна бельевого и спортивного ассортимента количество систем 28 - 36, диаметр цилиндра 450-500 мм</t>
  </si>
  <si>
    <t>ТЕРм33-04-002-10</t>
  </si>
  <si>
    <t>Машина кругловязальная двухфонтурная «Интерлок» для вязания полотна бельевого и спортивного ассортимента с напольным шпулярником, количество систем 84, диаметр цилиндра 760 (750) мм</t>
  </si>
  <si>
    <t>ТЕРм33-04-002-11</t>
  </si>
  <si>
    <t>Машина кругловязальная двухфонтурная ластичная с рисунчатым механизмом (жаккард) для выработки купонов верхнего трикотажа, количество систем 6-12, диаметр цилиндра 500, 550 мм</t>
  </si>
  <si>
    <t>ТЕРм33-04-002-12</t>
  </si>
  <si>
    <t>Машина кругловязальная двухфонтурная ластичная с рисунчатым механизмом (жаккард) для выработки купонов верхнего трикотажа, количество систем 24, диаметр цилиндра 760 (750) мм</t>
  </si>
  <si>
    <t xml:space="preserve">                                   Плоскофанговые машины для изготовления верхнего трикотажа, перчаточных изделий</t>
  </si>
  <si>
    <t>ТЕРм33-04-003-01</t>
  </si>
  <si>
    <t>Автомат, полуавтомат и машина плоскофанговые для вязания деталей верхнего трикотажа, ширина игольницы до 1200 мм с рисунчатым аппаратом, с программным управлением типов АПО, ПВРК, ПВЖ, МПФ</t>
  </si>
  <si>
    <t>ТЕРм33-04-003-02</t>
  </si>
  <si>
    <t>Автомат плосковязальный перчаточный, ширина игольницы до 500 мм с рисунчатым аппаратом</t>
  </si>
  <si>
    <t>ТЕРм33-04-003-03</t>
  </si>
  <si>
    <t>Машина перчаточная плоскофанговая, универсальная для надвязывания пальцев и выработки ладоней перчаток и варежек, ширина игольницы 200 мм</t>
  </si>
  <si>
    <t>ТЕРм33-04-003-04</t>
  </si>
  <si>
    <t>Автомат плосковязальный для вязания деталей верхнего трикотажа по заданному контуру, ширина игольницы 2100 мм</t>
  </si>
  <si>
    <t xml:space="preserve">                                   Котонные машины для изделий верхнего трикотажа</t>
  </si>
  <si>
    <t>ТЕРм33-04-004-01</t>
  </si>
  <si>
    <t>Машина котонная однофонтурная с программным управлением, для вязания деталей регулярного верхнего трикотажа, класс 6, количество игольниц 12</t>
  </si>
  <si>
    <t xml:space="preserve">                                   Основовязальные машины</t>
  </si>
  <si>
    <t>ТЕРм33-04-005-01</t>
  </si>
  <si>
    <t>Автомат основовязальный баечный для выработки бейки, бахромы, класс 10, 15, число гребенок 7 с напольным шпулярником</t>
  </si>
  <si>
    <t>ТЕРм33-04-005-02</t>
  </si>
  <si>
    <t>Машина основовязальная плоская двухфонтурная, класс 12, число гребенок 6 для вязания эластичных бинтов</t>
  </si>
  <si>
    <t>ТЕРм33-04-005-03</t>
  </si>
  <si>
    <t>Машина основовязальная плоская двухфонтурная, класс 12, число гребенок 6 для выработки трикотажных и текстильно-галантерейных изделий с длиннораппортным узорообразующим механизмом</t>
  </si>
  <si>
    <t>ТЕРм33-04-006-01</t>
  </si>
  <si>
    <t>Машина резиноокруточная, двухсторонняя, количество выпускных барабанчиков 40</t>
  </si>
  <si>
    <t>ТЕРм33-04-006-02</t>
  </si>
  <si>
    <t>Станок катушконаматывающий перегонно-мотального типа, односторонний, количество катушек 4</t>
  </si>
  <si>
    <t xml:space="preserve">                                   Раздел 2. КРАСИЛЬНОЕ И ОТДЕЛОЧНОЕ ОБОРУДОВАНИЕ</t>
  </si>
  <si>
    <t xml:space="preserve">                                   Красильное и отделочное оборудование для чулочно-носочных и перчаточных изделий</t>
  </si>
  <si>
    <t>ТЕРм33-04-010-01</t>
  </si>
  <si>
    <t>Аппарат красильный для чулочно-носочных и перчаточных изделий</t>
  </si>
  <si>
    <t>ТЕРм33-04-010-02</t>
  </si>
  <si>
    <t>Машина для отделки детских рейтуз со следом</t>
  </si>
  <si>
    <t>ТЕРм33-04-010-03</t>
  </si>
  <si>
    <t>Машина для отделки чулочно-носочных изделий</t>
  </si>
  <si>
    <t xml:space="preserve">                                   Красильное и отделочное оборудование для трикотажного полотна и изделий</t>
  </si>
  <si>
    <t>ТЕРм33-04-011-01</t>
  </si>
  <si>
    <t>Машина для промывки и других мокрых обработок трикотажного полотна</t>
  </si>
  <si>
    <t>ТЕРм33-04-011-02</t>
  </si>
  <si>
    <t>Аппарат красильный для крашения и беления в навоях трикотажного полотна</t>
  </si>
  <si>
    <t>ТЕРм33-04-011-03</t>
  </si>
  <si>
    <t>Машина барабанного типа для сушки полотна с круглотрикотажных машин</t>
  </si>
  <si>
    <t>ТЕРм33-04-011-04</t>
  </si>
  <si>
    <t>Машина эжекторная красильная</t>
  </si>
  <si>
    <t>ТЕРм33-04-011-05</t>
  </si>
  <si>
    <t>Машина для отделки круглого трикотажного полотна</t>
  </si>
  <si>
    <t>ТЕРм33-04-011-06</t>
  </si>
  <si>
    <t>Машина для стабилизации кругловязального полотна</t>
  </si>
  <si>
    <t>ТЕРм33-04-011-07</t>
  </si>
  <si>
    <t>Аппарат котловой для терморелаксации лент, пряжи, нитей и штучных трикотажных изделий</t>
  </si>
  <si>
    <t xml:space="preserve">                                   Браковочно-накатное и упаковочное оборудование</t>
  </si>
  <si>
    <t>ТЕРм33-04-012-01</t>
  </si>
  <si>
    <t>Машина раскатная укладывающая</t>
  </si>
  <si>
    <t>ТЕРм33-04-012-02</t>
  </si>
  <si>
    <t>Жгуторасправитель для кругловязанного полотна</t>
  </si>
  <si>
    <t>ТЕРм33-04-012-03</t>
  </si>
  <si>
    <t>Машина накатная для красильных навоев</t>
  </si>
  <si>
    <t>ТЕРм33-04-012-04</t>
  </si>
  <si>
    <t>Машина раскатная для красильных навоев</t>
  </si>
  <si>
    <t>ТЕРм33-04-012-05</t>
  </si>
  <si>
    <t>Машина контрольная для трикотажного полотна, ширина 1200 мм</t>
  </si>
  <si>
    <t>ТЕРм33-04-012-06</t>
  </si>
  <si>
    <t>Машина контрольная для трикотажного полотна, ширина 2200 мм</t>
  </si>
  <si>
    <t>ТЕРм33-04-013-01</t>
  </si>
  <si>
    <t>Машина вертикальная выворотная для трикотажного полотна</t>
  </si>
  <si>
    <t xml:space="preserve">                           Раздел 5. ОТДЕЛ 05. ОБОРУДОВАНИЕ ДЛЯ ТЕКСТИЛЬНО-ГАЛАНТЕРЕЙНОЙ ПРОМЫШЛЕННОСТИ</t>
  </si>
  <si>
    <t xml:space="preserve">                                   Раздел 1. ПРИГОТОВИТЕЛЬНОЕ ОБОРУДОВАНИЕ</t>
  </si>
  <si>
    <t xml:space="preserve">                                   Шпульно-мотальное оборудование</t>
  </si>
  <si>
    <t>ТЕРм33-05-001-01</t>
  </si>
  <si>
    <t>Автомат перемоточный на 12 веретен для перемотки пряжи с бобин на шпули</t>
  </si>
  <si>
    <t>ТЕРм33-05-001-02</t>
  </si>
  <si>
    <t>Машина прецизионная на 10 веретен для крестовой намотки пряжи</t>
  </si>
  <si>
    <t xml:space="preserve">                                   Сновальное оборудование</t>
  </si>
  <si>
    <t>ТЕРм33-05-002-01</t>
  </si>
  <si>
    <t>Машина сновальная секционная универсальная без шпулярника для натуральных и химических волокон, рабочая ширина 110-350 мм</t>
  </si>
  <si>
    <t>ТЕРм33-05-002-02</t>
  </si>
  <si>
    <t>Шпулярник двухсторонний к сновальной машине на 406 рабочих паковок (к расценке 33-05-002-01)</t>
  </si>
  <si>
    <t>ТЕРм33-05-002-03</t>
  </si>
  <si>
    <t>Машина сновальная со шпулярником для натуральной и синтетической основной нити на новых гардинно-кружевных машинах, длина раскладки нитей 535 мм</t>
  </si>
  <si>
    <t xml:space="preserve">                                   Раздел 2. ЛЕНТОТКАЦКОЕ ОБОРУДОВАНИЕ</t>
  </si>
  <si>
    <t xml:space="preserve">                                   Лентоткацкое оборудование</t>
  </si>
  <si>
    <t>ТЕРм33-05-010-01</t>
  </si>
  <si>
    <t>Станок лентоткацкий бесчелночный, количество концов 10, заправочная ширина 40 мм</t>
  </si>
  <si>
    <t>ТЕРм33-05-010-02</t>
  </si>
  <si>
    <t>Станок лентоткацкий бесчелночный, количество концов 8, заправочная ширина 80 мм</t>
  </si>
  <si>
    <t>ТЕРм33-05-010-03</t>
  </si>
  <si>
    <t>Станок лентоткацкий бесчелночный автоматический, количество концов 2, заправочная ширина до 40 мм, с пухообдувом и механизмом всасывания пыли</t>
  </si>
  <si>
    <t>ТЕРм33-05-010-04</t>
  </si>
  <si>
    <t>Станок лентоткацкий бесчелночный автоматический, количество концов 2, заправочная ширина 80 мм</t>
  </si>
  <si>
    <t xml:space="preserve">                                   Раздел 3. ПЛЕТЕЛЬНОЕ ОБОРУДОВАНИЕ</t>
  </si>
  <si>
    <t xml:space="preserve">                                   Лентоплетельное оборудование</t>
  </si>
  <si>
    <t>ТЕРм33-05-015-01</t>
  </si>
  <si>
    <t>Машина лентоплетельная, количество концов 1-2, число веретен до 66</t>
  </si>
  <si>
    <t xml:space="preserve">                                   Шнуроплетельное оборудование</t>
  </si>
  <si>
    <t>ТЕРм33-05-016-01</t>
  </si>
  <si>
    <t>Машина шнуроплетельная, класс 16-52</t>
  </si>
  <si>
    <t>ТЕРм33-05-016-02</t>
  </si>
  <si>
    <t>Машина шнуровязальная для изготовления нераспускаемых вязанных шнуров, количество головок - 2, систем - одна, диаметр цилиндра 8 мм</t>
  </si>
  <si>
    <t xml:space="preserve">                                   Тесьмоплетельное оборудование</t>
  </si>
  <si>
    <t>ТЕРм33-05-017-01</t>
  </si>
  <si>
    <t>Машина тесьмоплетельная трехконцовая, количество веретен 63 (51)</t>
  </si>
  <si>
    <t xml:space="preserve">                                   Раздел 4. ГАРДИННО-ТЮЛЕВОЕ, КРУЖЕВНОЕ И ВЫШИВАЛЬНОЕ ОБОРУДОВАНИЕ</t>
  </si>
  <si>
    <t xml:space="preserve">                                   Гардинно-тюлевые и кружевные машины</t>
  </si>
  <si>
    <t>ТЕРм33-05-025-01</t>
  </si>
  <si>
    <t>Машина основовязальная для гардинного полотна рашель со шпулярником, класс до 12, количество гребенок 13</t>
  </si>
  <si>
    <t>ТЕРм33-05-025-02</t>
  </si>
  <si>
    <t>Машина основовязальная для гардинного полотна плоская, класс до 18, количество гребенок 18</t>
  </si>
  <si>
    <t xml:space="preserve">                                   Вышивальные машины</t>
  </si>
  <si>
    <t>ТЕРм33-05-026-01</t>
  </si>
  <si>
    <t>Машина вышивальная двухигольная со столом</t>
  </si>
  <si>
    <t>ТЕРм33-05-026-02</t>
  </si>
  <si>
    <t>Автомат вышивальный многоголовочный, количество головок 4</t>
  </si>
  <si>
    <t>ТЕРм33-05-026-03</t>
  </si>
  <si>
    <t>Автомат вышивальный многоголовочный, количество головок 6</t>
  </si>
  <si>
    <t>ТЕРм33-05-027-01</t>
  </si>
  <si>
    <t>Машина к вышивальному автомату картонасекальная</t>
  </si>
  <si>
    <t>ТЕРм33-05-027-02</t>
  </si>
  <si>
    <t>Машина к вышивальному автомату копировально-множительная</t>
  </si>
  <si>
    <t>ТЕРм33-05-027-03</t>
  </si>
  <si>
    <t>Станок для сортировки по номерам (высоте) звеньев узорной цепи</t>
  </si>
  <si>
    <t>ТЕРм33-05-027-04</t>
  </si>
  <si>
    <t>Станок для шлифовки уклонов звеньев рисунчатых цепей</t>
  </si>
  <si>
    <t xml:space="preserve">                                   Раздел 5. ОБОРУДОВАНИЕ ДЛЯ КРАШЕНИЯ, ОТДЕЛКИ И УБОРКИ</t>
  </si>
  <si>
    <t xml:space="preserve">                                   Красильно-отделочное оборудование для гардинно-тюлевых изделий и лент</t>
  </si>
  <si>
    <t>ТЕРм33-05-035-01</t>
  </si>
  <si>
    <t>Линия для непрерывного крашения, промывки, сушки лент из вискозных волокон</t>
  </si>
  <si>
    <t>ТЕРм33-05-035-02</t>
  </si>
  <si>
    <t>Линия для непрерывного крашения, промывки, сушки хлопчатобумажных лент</t>
  </si>
  <si>
    <t>ТЕРм33-05-035-03</t>
  </si>
  <si>
    <t>Аппарат красильный для крашения и беления гардинно-кружевного полотна в навоях под давлением</t>
  </si>
  <si>
    <t>ТЕРм33-05-035-04</t>
  </si>
  <si>
    <t>Машина для накатывания гардинно-кружевных полотен на навой перед крашением, рабочая ширина 3600 мм</t>
  </si>
  <si>
    <t>ТЕРм33-05-035-05</t>
  </si>
  <si>
    <t>Машина для раскатывания гардиннокружевных полотен после крашения, рабочая ширина 3600 мм</t>
  </si>
  <si>
    <t xml:space="preserve">                                   Уборочные и браковочные машины</t>
  </si>
  <si>
    <t>ТЕРм33-05-036-01</t>
  </si>
  <si>
    <t>Машина уборочная для браковки, промера и накатки суровых лент</t>
  </si>
  <si>
    <t xml:space="preserve">                           Раздел 6. ОТДЕЛ 06. ОБОРУДОВАНИЕ ШВЕЙНЫХ И ШВЕЙНО-ТРИКОТАЖНЫХ ПРЕДПРИЯТИЙ И ПРОИЗВОДСТВ</t>
  </si>
  <si>
    <t xml:space="preserve">                                   Раздел 1. ОБОРУДОВАНИЕ ЭКСПЕРИМЕНТАЛЬНЫХ ЦЕХОВ И ПОДГОТОВИТЕЛЬНО-РАСКРОЙНОГО ПРОИЗВОДСТВА</t>
  </si>
  <si>
    <t xml:space="preserve">                                   Оборудование экспериментальных цехов</t>
  </si>
  <si>
    <t>ТЕРм33-06-001-01</t>
  </si>
  <si>
    <t>Установка передвижная для скоростного копирования раскладок лекал</t>
  </si>
  <si>
    <t>ТЕРм33-06-001-02</t>
  </si>
  <si>
    <t>Машина для измерения площади лекал, фотоэлектронная</t>
  </si>
  <si>
    <t>ТЕРм33-06-001-03</t>
  </si>
  <si>
    <t>Машина для высекания внутренних контуров лекал из картона</t>
  </si>
  <si>
    <t>ТЕРм33-06-001-04</t>
  </si>
  <si>
    <t>Машина для высекания фигурных отверстий на лекалах из картона</t>
  </si>
  <si>
    <t>ТЕРм33-06-001-05</t>
  </si>
  <si>
    <t>Станок для клеймения срезов лекал из картона</t>
  </si>
  <si>
    <t>ТЕРм33-06-001-06</t>
  </si>
  <si>
    <t>Машина для вырезания наружных контуров лекал из картона</t>
  </si>
  <si>
    <t>ТЕРм33-06-001-07</t>
  </si>
  <si>
    <t>Машина швейная для скрепления листов картона</t>
  </si>
  <si>
    <t xml:space="preserve">                                   Браковочно-промерочное и расчетное оборудование</t>
  </si>
  <si>
    <t>ТЕРм33-06-002-01</t>
  </si>
  <si>
    <t>Машина контрольно-мерильная</t>
  </si>
  <si>
    <t>ТЕРм33-06-002-02</t>
  </si>
  <si>
    <t>Стол для контрольного промера ткани, с электроприводом и электромеханическим отбойником, габариты 1600х3000 мм</t>
  </si>
  <si>
    <t>ТЕРм33-06-002-03</t>
  </si>
  <si>
    <t>Машина вычислительная «Искра»</t>
  </si>
  <si>
    <t xml:space="preserve">                                   Настилочно-раскройное оборудование</t>
  </si>
  <si>
    <t>ТЕРм33-06-003-01</t>
  </si>
  <si>
    <t>Машина настилочная для трикотажного полотна, габариты 9000х1830 мм</t>
  </si>
  <si>
    <t>ТЕРм33-06-003-02</t>
  </si>
  <si>
    <t>Секция настилочного стола к машине (к расценке 33-06-003-01)</t>
  </si>
  <si>
    <t>ТЕРм33-06-003-03</t>
  </si>
  <si>
    <t>Машина для настилания в книжку основовязанных полотен, габариты 19620х2550 мм</t>
  </si>
  <si>
    <t>ТЕРм33-06-003-04</t>
  </si>
  <si>
    <t>Стол настилочный двухплоскостной механизированный, габариты 6500х1650 мм</t>
  </si>
  <si>
    <t>ТЕРм33-06-003-05</t>
  </si>
  <si>
    <t>Машина электрозакройная дисковая</t>
  </si>
  <si>
    <t>ТЕРм33-06-003-06</t>
  </si>
  <si>
    <t>Машина раскройная ленточная РЛ-6</t>
  </si>
  <si>
    <t>ТЕРм33-06-003-07</t>
  </si>
  <si>
    <t>Машина раскройная ленточная РЛ-1000, РЛ-1250</t>
  </si>
  <si>
    <t>ТЕРм33-06-003-08</t>
  </si>
  <si>
    <t>Машина электрозакройная передвижная с вертикальным ножом</t>
  </si>
  <si>
    <t>ТЕРм33-06-003-09</t>
  </si>
  <si>
    <t>Линейка прижимная</t>
  </si>
  <si>
    <t>ТЕРм33-06-003-10</t>
  </si>
  <si>
    <t>Линейка концевая механическая для отрезания и крепления концов полотен настила</t>
  </si>
  <si>
    <t>ТЕРм33-06-003-11</t>
  </si>
  <si>
    <t>Стол для комплектовки кроя, габариты 6000х1000х850 мм</t>
  </si>
  <si>
    <t>ТЕРм33-06-003-12</t>
  </si>
  <si>
    <t>Стол для настилания ткани, габариты 12000х1600х850 мм</t>
  </si>
  <si>
    <t>ТЕРм33-06-004-01</t>
  </si>
  <si>
    <t>Машина для продольного разрезания рулона трикотажного полотна по сгибу и намотке в рулон</t>
  </si>
  <si>
    <t>ТЕРм33-06-004-02</t>
  </si>
  <si>
    <t>Машина для нарезания продольной бейки из рулона трикотажного полотна</t>
  </si>
  <si>
    <t>ТЕРм33-06-004-03</t>
  </si>
  <si>
    <t>Машина для нарезания поперечной бейки по спирали</t>
  </si>
  <si>
    <t>ТЕРм33-06-004-04</t>
  </si>
  <si>
    <t>Автомат для печатания текста навесных ярлыков</t>
  </si>
  <si>
    <t>ТЕРм33-06-004-05</t>
  </si>
  <si>
    <t>Устройство для точечного спекания слоев настила</t>
  </si>
  <si>
    <t>ТЕРм33-06-004-06</t>
  </si>
  <si>
    <t>Полуавтомат для печатания и пришивания номеров к деталям кроя</t>
  </si>
  <si>
    <t>ТЕРм33-06-004-07</t>
  </si>
  <si>
    <t>Агрегат для дублирования и сшивания ткани</t>
  </si>
  <si>
    <t>ТЕРм33-06-004-08</t>
  </si>
  <si>
    <t>Машина для разрезания ткани под углом 45°</t>
  </si>
  <si>
    <t>ТЕРм33-06-004-09</t>
  </si>
  <si>
    <t>Машина для заполнения реквизитов на текстильной ленте</t>
  </si>
  <si>
    <t xml:space="preserve">                                   Раздел 2. ШВЕЙНОЕ ОБОРУДОВАНИЕ</t>
  </si>
  <si>
    <t xml:space="preserve">                                   Кеттельные машины</t>
  </si>
  <si>
    <t>ТЕРм33-06-010-01</t>
  </si>
  <si>
    <t>Машина кеттельная для кеттлевки беек к верхнему трикотажу</t>
  </si>
  <si>
    <t>ТЕРм33-06-010-02</t>
  </si>
  <si>
    <t>Машина кеттельная для чулочно-носочных изделий</t>
  </si>
  <si>
    <t>ТЕРм33-06-010-03</t>
  </si>
  <si>
    <t>Машина кеттельная для кеттлевки изделий из кулирного трикотажа</t>
  </si>
  <si>
    <t xml:space="preserve">                                   Универсальные и специальные машины с промышленными столами</t>
  </si>
  <si>
    <t>ТЕРм33-06-011-01</t>
  </si>
  <si>
    <t>Машина швейная универсальная специальная</t>
  </si>
  <si>
    <t>ТЕРм33-06-011-02</t>
  </si>
  <si>
    <t>Машина швейная для обработки верха брюк с устройством для отрезания пояса</t>
  </si>
  <si>
    <t>ТЕРм33-06-011-03</t>
  </si>
  <si>
    <t>Машина швейная специальная двухигольная для притачивания тесьмы молнии</t>
  </si>
  <si>
    <t>ТЕРм33-06-011-04</t>
  </si>
  <si>
    <t>Машина для изготовления шлевок</t>
  </si>
  <si>
    <t>ТЕРм33-06-011-05</t>
  </si>
  <si>
    <t>Машина швейная четырехигольная для одновременного выполнения четырех складок, защипов</t>
  </si>
  <si>
    <t>ТЕРм33-06-011-06</t>
  </si>
  <si>
    <t>Машина швейная одноигольная для обработки изделий больших габаритов</t>
  </si>
  <si>
    <t>ТЕРм33-06-011-07</t>
  </si>
  <si>
    <t>Машина швейная ультразвуковая безниточная</t>
  </si>
  <si>
    <t>ТЕРм33-06-011-08</t>
  </si>
  <si>
    <t>Машина одноигольная для пиковки матрацев</t>
  </si>
  <si>
    <t>ТЕРм33-06-011-09</t>
  </si>
  <si>
    <t>Штабелеукладчик</t>
  </si>
  <si>
    <t>ТЕРм33-06-011-10</t>
  </si>
  <si>
    <t>Машина швейная специальная двенадцатиигольная для стежки ватных настилов</t>
  </si>
  <si>
    <t>ТЕРм33-06-011-11</t>
  </si>
  <si>
    <t>Машина швейная для сшивания концов тканей в красильно-отделочном производстве</t>
  </si>
  <si>
    <t xml:space="preserve">                                   Швейные машины, полуавтоматы и автоматы</t>
  </si>
  <si>
    <t>ТЕРм33-06-012-01</t>
  </si>
  <si>
    <t>Машина швейная-полуавтомат для изготовления прямых петель</t>
  </si>
  <si>
    <t>ТЕРм33-06-012-02</t>
  </si>
  <si>
    <t>Машина швейная-полуавтомат для изготовления прямых петель, с автоматическим съемом и укладкой изделий</t>
  </si>
  <si>
    <t>ТЕРм33-06-012-03</t>
  </si>
  <si>
    <t>Автомат швейный для изготовления петель с глазком</t>
  </si>
  <si>
    <t>ТЕРм33-06-012-04</t>
  </si>
  <si>
    <t>Машина швейная-полуавтомат для изготовления заклепок</t>
  </si>
  <si>
    <t>ТЕРм33-06-012-05</t>
  </si>
  <si>
    <t>Машина швейная-полуавтомат для пришивания пуговиц</t>
  </si>
  <si>
    <t>ТЕРм33-06-012-06</t>
  </si>
  <si>
    <t>Машина швейная-полуавтомат для пришивания этикеток</t>
  </si>
  <si>
    <t>ТЕРм33-06-012-07</t>
  </si>
  <si>
    <t>Машина швейная-полуавтомат для стачивания внутреннего среза подборта с прикладом</t>
  </si>
  <si>
    <t>ТЕРм33-06-012-08</t>
  </si>
  <si>
    <t>Машина швейная-полуавтомат для выполнения строчек сложной конфигурации</t>
  </si>
  <si>
    <t>ТЕРм33-06-012-09</t>
  </si>
  <si>
    <t>Машина швейная-полуавтомат для пришивания накладок на петли</t>
  </si>
  <si>
    <t>ТЕРм33-06-012-10</t>
  </si>
  <si>
    <t>Машина швейная для стачивания деталей сложной конфигурации</t>
  </si>
  <si>
    <t>ТЕРм33-06-012-11</t>
  </si>
  <si>
    <t>Машина швейная-полуавтомат для обработки прорезных карманов</t>
  </si>
  <si>
    <t>ТЕРм33-06-012-12</t>
  </si>
  <si>
    <t>Машина швейная-полуавтомат для изготовления коротких прямых швов</t>
  </si>
  <si>
    <t>ТЕРм33-06-012-13</t>
  </si>
  <si>
    <t>Машина швейная-полуавтомат для стачивания длинных криволинейных швов</t>
  </si>
  <si>
    <t>ТЕРм33-06-012-14</t>
  </si>
  <si>
    <t>Машина швейная-полуавтомат для прокладывания строчки по сгибу</t>
  </si>
  <si>
    <t>ТЕРм33-06-012-15</t>
  </si>
  <si>
    <t>Автомат швейный для стачивания длинных швов</t>
  </si>
  <si>
    <t>ТЕРм33-06-013-01</t>
  </si>
  <si>
    <t>Стол для ручных работ с приспособлением</t>
  </si>
  <si>
    <t xml:space="preserve">                                   Раздел 3. ОБОРУДОВАНИЕ ВЛАЖНО-ТЕПЛОВОЙ ОБРАБОТКИ</t>
  </si>
  <si>
    <t>ТЕРм33-06-020-01</t>
  </si>
  <si>
    <t>Пресс гидравлический типа СПРГ для сутюжки посадки проймы рукавов</t>
  </si>
  <si>
    <t>ТЕРм33-06-020-02</t>
  </si>
  <si>
    <t>Пресс легкий специальный типа ПЛГС для обработки окатов рукавов</t>
  </si>
  <si>
    <t>ТЕРм33-06-020-03</t>
  </si>
  <si>
    <t>Пресс универсальный типа ПГУ для влажно-тепловой обработки швейных изделий</t>
  </si>
  <si>
    <t>ТЕРм33-06-020-04</t>
  </si>
  <si>
    <t>Пресс двухпозиционный типа ПГА для нанесения клеевой аппликации</t>
  </si>
  <si>
    <t>ТЕРм33-06-020-05</t>
  </si>
  <si>
    <t>Пресс гладильный универсальный комбинированный типа ППК для влажно-тепловой обработки одежды после химчистки</t>
  </si>
  <si>
    <t>ТЕРм33-06-020-06</t>
  </si>
  <si>
    <t>Пресс пневматический типа СПР для сутюжки посадки проймы рукавов</t>
  </si>
  <si>
    <t>ТЕРм33-06-020-07</t>
  </si>
  <si>
    <t>Пресс паровой типа ПП для влажно-тепловой обработки швейных изделий</t>
  </si>
  <si>
    <t>ТЕРм33-06-020-08</t>
  </si>
  <si>
    <t>Пресс легкий типа CS 351 для влажно-тепловой обработки швейных изделий и деталей</t>
  </si>
  <si>
    <t>ТЕРм33-06-020-09</t>
  </si>
  <si>
    <t>Пресс электропневматический гладильный с программным управлением типа CS 371 для влажно-тепловой обработки изделий и деталей</t>
  </si>
  <si>
    <t>ТЕРм33-06-020-10</t>
  </si>
  <si>
    <t>Пресс электропневматический клеевой для тепловой фиксации трикотажных изделий</t>
  </si>
  <si>
    <t>ТЕРм33-06-020-11</t>
  </si>
  <si>
    <t>Пресс электропневматический типа КДРВ для обработки стана мужских сорочек</t>
  </si>
  <si>
    <t>ТЕРм33-06-020-12</t>
  </si>
  <si>
    <t>Пресс электромеханический гладильный типа CS 361 для влажно-тепловой обработки изделий</t>
  </si>
  <si>
    <t>ТЕРм33-06-020-13</t>
  </si>
  <si>
    <t>Пресс с парогенератором и вакуум-отсосом типа CS 363 для глажения швейных изделий и деталей</t>
  </si>
  <si>
    <t>ТЕРм33-06-020-15</t>
  </si>
  <si>
    <t>Пресс плоский для клеевого соединения деталей одежды типа 19102</t>
  </si>
  <si>
    <t>ТЕРм33-06-020-19</t>
  </si>
  <si>
    <t>Пресс электропневматический точечный для соединения прокладки и деталей воротника</t>
  </si>
  <si>
    <t>ТЕРм33-06-020-20</t>
  </si>
  <si>
    <t>Пресс электрогидравлический с ленточным транспортером для склеивания прокладки воротников</t>
  </si>
  <si>
    <t>ТЕРм33-06-020-14</t>
  </si>
  <si>
    <t>Установка для точечного спекания деталей воротников, манжет типа CS 321</t>
  </si>
  <si>
    <t>ТЕРм33-06-020-16</t>
  </si>
  <si>
    <t>Установка непрерывного действия для дублирования типа РГS</t>
  </si>
  <si>
    <t>ТЕРм33-06-020-17</t>
  </si>
  <si>
    <t>Линия влажно-тепловой обработки мужских сорочек (в составе оборудования по расценкам с 33-06-020-18 по 33-06-020-31)</t>
  </si>
  <si>
    <t>ТЕРм33-06-020-18</t>
  </si>
  <si>
    <t>Аппарат загрузочный к прессу для склеивания заготовок воротника</t>
  </si>
  <si>
    <t>ТЕРм33-06-020-21</t>
  </si>
  <si>
    <t>Пресс электропневматический для межпроцессной утюжки заготовок воротников</t>
  </si>
  <si>
    <t>ТЕРм33-06-020-22</t>
  </si>
  <si>
    <t>Пресс электропневматический для межпроцессной утюжки заготовок манжет</t>
  </si>
  <si>
    <t>ТЕРм33-06-020-23</t>
  </si>
  <si>
    <t>Пресс электропневматический для окончательной утюжки воротников</t>
  </si>
  <si>
    <t>ТЕРм33-06-020-24</t>
  </si>
  <si>
    <t>Пресс электропневматический для окончательной утюжки манжет</t>
  </si>
  <si>
    <t>ТЕРм33-06-020-25</t>
  </si>
  <si>
    <t>Пресс электропневматический с тремя плоскими манекенами для окончательной обработки строчек</t>
  </si>
  <si>
    <t>ТЕРм33-06-020-26</t>
  </si>
  <si>
    <t>Турбина вакуумная к прессу электропневматическому (к расценке 33-06-020-25)</t>
  </si>
  <si>
    <t>ТЕРм33-06-020-27</t>
  </si>
  <si>
    <t>Стол складальный электропневматический</t>
  </si>
  <si>
    <t>ТЕРм33-06-020-28</t>
  </si>
  <si>
    <t>Конвейер цепной горизонтальный замкнутый для подачи сорочек к прессу окончательной обработки сорочек</t>
  </si>
  <si>
    <t>ТЕРм33-06-020-29</t>
  </si>
  <si>
    <t>Конвейер цепной горизонтально замкнутый для подачи сорочек с межстольем в цехах влажно-тепловой обработки</t>
  </si>
  <si>
    <t>ТЕРм33-06-020-30</t>
  </si>
  <si>
    <t>Установка компрессорная с воздушным охлаждением машин</t>
  </si>
  <si>
    <t>ТЕРм33-06-020-31</t>
  </si>
  <si>
    <t>Машина для упаковки изделий в полиэтиленовые пакеты</t>
  </si>
  <si>
    <t>ТЕРм33-06-020-32</t>
  </si>
  <si>
    <t>Линия влажно-тепловой обработки мужских костюмов (в составе оборудования по расценкам с 33-06-020-32 по 33-06-020-43)</t>
  </si>
  <si>
    <t>ТЕРм33-06-020-33</t>
  </si>
  <si>
    <t>Пресс пневматический для приутюживания отворотов и мелких деталей пиджака</t>
  </si>
  <si>
    <t>ТЕРм33-06-020-34</t>
  </si>
  <si>
    <t>Пресс электропневматический для разутюживания швов пиджаков и брюк</t>
  </si>
  <si>
    <t>ТЕРм33-06-020-35</t>
  </si>
  <si>
    <t>Пресс электропневматический для окончательной влажно-тепловой обработки пиджаков и брюк</t>
  </si>
  <si>
    <t>ТЕРм33-06-020-36</t>
  </si>
  <si>
    <t>Пресс электропневматический для приутюживания низков брюк</t>
  </si>
  <si>
    <t>ТЕРм33-06-020-37</t>
  </si>
  <si>
    <t>Пресс электропневматический с программным управлением для внутрипроцессной влажно-тепловой обработки пиджаков</t>
  </si>
  <si>
    <t>ТЕРм33-06-020-38</t>
  </si>
  <si>
    <t>Пресс электропневматический с программным управлением для для приутюживания полочек, бортовых швов и спинки пиджака</t>
  </si>
  <si>
    <t>ТЕРм33-06-020-39</t>
  </si>
  <si>
    <t>Пресс электропневматический с программным управлением для внутрипроцессной и окончательной влажно-тепловой обработки брюк</t>
  </si>
  <si>
    <t>ТЕРм33-06-020-40</t>
  </si>
  <si>
    <t>Машина электропневматическая с программным управлением для глажения плеч и рукавов пиджака</t>
  </si>
  <si>
    <t>ТЕРм33-06-020-41</t>
  </si>
  <si>
    <t>Стол гладильный универсальный с электропаровым утюгом и разбрызгивателями воды</t>
  </si>
  <si>
    <t>ТЕРм33-06-020-42</t>
  </si>
  <si>
    <t>Стол гладильный универсальный с паровым утюгом</t>
  </si>
  <si>
    <t>ТЕРм33-06-020-43</t>
  </si>
  <si>
    <t>Аппарат вакуумный для обеспечения вакуумотсосом линии влажно-тепловой обработки</t>
  </si>
  <si>
    <t>ТЕРм33-06-020-44</t>
  </si>
  <si>
    <t>Пресс пневматический для влажно-тепловой обработки трикотажа в автоматическом цикле</t>
  </si>
  <si>
    <t xml:space="preserve">                                   Паровоздушные манекены и отпариватели</t>
  </si>
  <si>
    <t>ТЕРм33-06-021-01</t>
  </si>
  <si>
    <t>Аппарат отпарочный</t>
  </si>
  <si>
    <t>ТЕРм33-06-022-01</t>
  </si>
  <si>
    <t>Линия влажно-тепловой обработки женского платья типа Л1-СУМ</t>
  </si>
  <si>
    <t>ТЕРм33-06-022-02</t>
  </si>
  <si>
    <t>Стол утюжильный типа СУ</t>
  </si>
  <si>
    <t>ТЕРм33-06-022-03</t>
  </si>
  <si>
    <t>Парогенератор</t>
  </si>
  <si>
    <t>ТЕРм33-06-022-04</t>
  </si>
  <si>
    <t>Воздуходувка</t>
  </si>
  <si>
    <t>ТЕРм33-06-022-05</t>
  </si>
  <si>
    <t>Водоумягчитель катионовый</t>
  </si>
  <si>
    <t xml:space="preserve">                                   Раздел 4. КОНВЕЙЕРЫ</t>
  </si>
  <si>
    <t>ТЕРм33-06-030-01</t>
  </si>
  <si>
    <t>Конвейер одноленточный типа КО-1, число рабочих мест 25</t>
  </si>
  <si>
    <t>ТЕРм33-06-030-02</t>
  </si>
  <si>
    <t>Секция (рабочее место) к конвейеру (к расценке 33-06-030-01)</t>
  </si>
  <si>
    <t>ТЕРм33-06-030-03</t>
  </si>
  <si>
    <t>Транспортер механический типа ТМ одноярусный нижний</t>
  </si>
  <si>
    <t>ТЕРм33-06-030-04</t>
  </si>
  <si>
    <t>Транспортер механический типа ТМ одноярусный верхний</t>
  </si>
  <si>
    <t>ТЕРм33-06-030-05</t>
  </si>
  <si>
    <t>Транспортер механический типа ТМ двухярусный</t>
  </si>
  <si>
    <t>ТЕРм33-06-030-06</t>
  </si>
  <si>
    <t>Конвейер трикотажный одноленточный, число рабочих мест 30</t>
  </si>
  <si>
    <t>ТЕРм33-06-030-07</t>
  </si>
  <si>
    <t>Конвейер трикотажный одноленточный двухсторонний, число рабочих мест 60</t>
  </si>
  <si>
    <t>ТЕРм33-06-030-08</t>
  </si>
  <si>
    <t>Конвейер трикотажный двухленточный, число рабочих мест 60</t>
  </si>
  <si>
    <t>ТЕРм33-06-030-09</t>
  </si>
  <si>
    <t>Секция (рабочее место) к конвейерам (к расценкам 33-06-030-06, 33-06-030-07, 33-06-030-08)</t>
  </si>
  <si>
    <t>ТЕРм33-06-030-10</t>
  </si>
  <si>
    <t>Транспортер ленточный типа ТКТ</t>
  </si>
  <si>
    <t>ТЕРм33-06-030-11</t>
  </si>
  <si>
    <t>Секция (2 рабочих места) к транспортеру (к расценке 33-06-030-10)</t>
  </si>
  <si>
    <t>ТЕРм33-06-035-01</t>
  </si>
  <si>
    <t>Пресс малогабаритный механический</t>
  </si>
  <si>
    <t>ТЕРм33-06-035-02</t>
  </si>
  <si>
    <t>Машина упаковочная</t>
  </si>
  <si>
    <t xml:space="preserve">                           Раздел 7. ОТДЕЛ 07. ОБОРУДОВАНИЕ ШОРНО-СЕДЕЛЬНОГО ПРОИЗВОДСТВА</t>
  </si>
  <si>
    <t xml:space="preserve">                                   Машины, прессы, станки</t>
  </si>
  <si>
    <t>ТЕРм33-07-001-01</t>
  </si>
  <si>
    <t>Машина дыропробивная для ремней</t>
  </si>
  <si>
    <t>ТЕРм33-07-001-02</t>
  </si>
  <si>
    <t>Машина для шитья супоней</t>
  </si>
  <si>
    <t>ТЕРм33-07-001-03</t>
  </si>
  <si>
    <t>Машина рифельная для накатки дорожек на кожаных ремнях</t>
  </si>
  <si>
    <t>ТЕРм33-07-001-04</t>
  </si>
  <si>
    <t>Машина для обмотки соломенной верчанки и навивки хомутины</t>
  </si>
  <si>
    <t>ТЕРм33-07-001-05</t>
  </si>
  <si>
    <t>Станок для протягивания сшивки при сборе горбатых седелок</t>
  </si>
  <si>
    <t>ТЕРм33-07-001-06</t>
  </si>
  <si>
    <t>Машина для раскроя кожи на ремни и сшивки</t>
  </si>
  <si>
    <t>ТЕРм33-07-001-07</t>
  </si>
  <si>
    <t>Машина для складывания и вытяжки гужей</t>
  </si>
  <si>
    <t>ТЕРм33-07-001-08</t>
  </si>
  <si>
    <t>Машина посадочная пятироликовая для одновременной окраски</t>
  </si>
  <si>
    <t>ТЕРм33-07-001-09</t>
  </si>
  <si>
    <t>Пресс со штампом для замысовки ремней</t>
  </si>
  <si>
    <t>ТЕРм33-07-001-10</t>
  </si>
  <si>
    <t>Машина разводная для отжима влаги и разводки лап сыромяти и кожи</t>
  </si>
  <si>
    <t>ТЕРм33-07-001-11</t>
  </si>
  <si>
    <t>Машина кожестрогальная, марка ЛСВ-7</t>
  </si>
  <si>
    <t>ТЕРм33-07-001-12</t>
  </si>
  <si>
    <t>Машина кожестрогальная, марка Е-450</t>
  </si>
  <si>
    <t xml:space="preserve">                           Раздел 8. ОТДЕЛ 08. ОБОРУДОВАНИЕ ЩЕТИННО-ЩЕТОЧНОЙ ПРОМЫШЛЕННОСТИ</t>
  </si>
  <si>
    <t xml:space="preserve">                                   Раздел 1. ОБОРУДОВАНИЕ ПОДГОТОВИТЕЛЬНОЕ</t>
  </si>
  <si>
    <t xml:space="preserve">                                   Машины, установки</t>
  </si>
  <si>
    <t>ТЕРм33-08-001-01</t>
  </si>
  <si>
    <t>Машина прочесочно-раздвигательная</t>
  </si>
  <si>
    <t>ТЕРм33-08-001-02</t>
  </si>
  <si>
    <t>Установка для параллельной кладки, прочески, выголавливания и выравнивания щетины</t>
  </si>
  <si>
    <t>ТЕРм33-08-001-03</t>
  </si>
  <si>
    <t>Машина для щетины подравнивающая</t>
  </si>
  <si>
    <t>ТЕРм33-08-001-04</t>
  </si>
  <si>
    <t>Машина для щетины вытягивающая</t>
  </si>
  <si>
    <t>ТЕРм33-08-001-05</t>
  </si>
  <si>
    <t>Машина для щетины выголавливающая</t>
  </si>
  <si>
    <t>ТЕРм33-08-001-06</t>
  </si>
  <si>
    <t>Машина для щетины выколачивающая</t>
  </si>
  <si>
    <t>ТЕРм33-08-001-07</t>
  </si>
  <si>
    <t>Машина для щетины мешальная</t>
  </si>
  <si>
    <t xml:space="preserve">                                   Раздел 2. ОБОРУДОВАНИЕ ДЛЯ ПРИГОТОВЛЕНИЯ ЗУБНЫХ ЩЕТОК</t>
  </si>
  <si>
    <t xml:space="preserve">                                   Станки, автоматы</t>
  </si>
  <si>
    <t>ТЕРм33-08-010-01</t>
  </si>
  <si>
    <t>Станок для зубных щеток подстригальный</t>
  </si>
  <si>
    <t>ТЕРм33-08-010-02</t>
  </si>
  <si>
    <t>Станок для зубных щеток фрезерный</t>
  </si>
  <si>
    <t>ТЕРм33-08-010-03</t>
  </si>
  <si>
    <t>Станок для зубных щеток шлифовальный для колодок</t>
  </si>
  <si>
    <t>ТЕРм33-08-010-04</t>
  </si>
  <si>
    <t>Станок для зубных щеток полировочный</t>
  </si>
  <si>
    <t>ТЕРм33-08-010-05</t>
  </si>
  <si>
    <t>Автомат кустопосадочный</t>
  </si>
  <si>
    <t>ТЕРм33-08-010-06</t>
  </si>
  <si>
    <t>Станок-автомат сверлильно-кустопосадочный</t>
  </si>
  <si>
    <t xml:space="preserve">                                   Раздел 3. ОБОРУДОВАНИЕ ДЛЯ ПРОИЗВОДСТВА РАЗНЫХ ЩЕТОК</t>
  </si>
  <si>
    <t xml:space="preserve">                                   Станки, полуавтоматы</t>
  </si>
  <si>
    <t>ТЕРм33-08-015-01</t>
  </si>
  <si>
    <t>Станок зубчато-стригальный для подрезки пучков щетины</t>
  </si>
  <si>
    <t>ТЕРм33-08-015-02</t>
  </si>
  <si>
    <t>Полуавтомат кустопосадочный для забивки кустов из волос и щетины в технические щетки</t>
  </si>
  <si>
    <t>ТЕРм33-08-015-03</t>
  </si>
  <si>
    <t>Полуавтомат сверлильно-кустопосадочный для одновременной сверловки и посадки кустов в щетки</t>
  </si>
  <si>
    <t xml:space="preserve">                                   Раздел 4. ОБОРУДОВАНИЕ РАЗНОЕ</t>
  </si>
  <si>
    <t xml:space="preserve">                                   Станки, машины</t>
  </si>
  <si>
    <t>ТЕРм33-08-020-01</t>
  </si>
  <si>
    <t>Станок для резки капрона</t>
  </si>
  <si>
    <t>ТЕРм33-08-020-02</t>
  </si>
  <si>
    <t>Станок ершеизготовительный</t>
  </si>
  <si>
    <t>ТЕРм33-08-020-03</t>
  </si>
  <si>
    <t>Станок обжимной для капсюльных и филенчатых кистей</t>
  </si>
  <si>
    <t>ТЕРм33-08-020-04</t>
  </si>
  <si>
    <t>Машина разбивочная для разбрасывания щетины</t>
  </si>
  <si>
    <t xml:space="preserve">                           Раздел 9. ОТДЕЛ 09. ОБОРУДОВАНИЕ ДЛЯ ПРОИЗВОДСТВА ПРЯЖИ «ЭЛАСТИК»</t>
  </si>
  <si>
    <t xml:space="preserve">                                   Раздел 1. КРУТИЛЬНОЕ ОБОРУДОВАНИЕ</t>
  </si>
  <si>
    <t xml:space="preserve">                                   Крутильное оборудование</t>
  </si>
  <si>
    <t>ТЕРм33-09-001-01</t>
  </si>
  <si>
    <t>Машина крутильная однопроцессная двухсторонняя для получения текстурированных нитей</t>
  </si>
  <si>
    <t>ТЕРм33-09-001-02</t>
  </si>
  <si>
    <t>Секция (16 мотальных мест) к машине крутильной однопроцессной двухсторонней</t>
  </si>
  <si>
    <t xml:space="preserve">                           Раздел 10. ОТДЕЛ 10. ОБОРУДОВАНИЕ ВАЛЯЛЬНО-ВОЙЛОЧНОЙ ПРОМЫШЛЕННОСТИ</t>
  </si>
  <si>
    <t xml:space="preserve">                                   Раздел 1. ОБОРУДОВАНИЕ ПРЕДВАРИТЕЛЬНО-ЧЕСАЛЬНОГО ПРОИЗВОДСТВА ВАЛЯНОЙ ОБУВИ, ВОЙЛОКОВ И ШЕРСТЯНЫХ ШЛЯП</t>
  </si>
  <si>
    <t xml:space="preserve">                                   Машины, барабаны, аппараты</t>
  </si>
  <si>
    <t>ТЕРм33-10-001-01</t>
  </si>
  <si>
    <t>Машина смесовая для шерсти</t>
  </si>
  <si>
    <t>ТЕРм33-10-001-02</t>
  </si>
  <si>
    <t>Барабан конусный для валяного сапога</t>
  </si>
  <si>
    <t>ТЕРм33-10-001-03</t>
  </si>
  <si>
    <t>Барабан для навивки ваты</t>
  </si>
  <si>
    <t>ТЕРм33-10-001-04</t>
  </si>
  <si>
    <t>Машина длинноватная для навивки ваты</t>
  </si>
  <si>
    <t>ТЕРм33-10-001-05</t>
  </si>
  <si>
    <t>Аппарат карбонизационный для колпаков</t>
  </si>
  <si>
    <t>ТЕРм33-10-001-06</t>
  </si>
  <si>
    <t>Машина для разработки войлочного лоскута в волокно</t>
  </si>
  <si>
    <t xml:space="preserve">                                   Раздел 2. ОБОРУДОВАНИЕ ПУХОВОГО ПРОИЗВОДСТВА</t>
  </si>
  <si>
    <t xml:space="preserve">                                   Прессы, машины, станки, барабаны, смесители</t>
  </si>
  <si>
    <t>ТЕРм33-10-010-01</t>
  </si>
  <si>
    <t>Пресс расправочный винтовой ручной для шкурок</t>
  </si>
  <si>
    <t>ТЕРм33-10-010-02</t>
  </si>
  <si>
    <t>Машина колотильная для шкурок</t>
  </si>
  <si>
    <t>ТЕРм33-10-010-03</t>
  </si>
  <si>
    <t>Станок сортировочно-очистной для шкурки</t>
  </si>
  <si>
    <t>ТЕРм33-10-010-04</t>
  </si>
  <si>
    <t>Барабан для перемешивания пуха</t>
  </si>
  <si>
    <t>ТЕРм33-10-010-05</t>
  </si>
  <si>
    <t>Машина щипальная (стригальная) для шкурок</t>
  </si>
  <si>
    <t>ТЕРм33-10-010-06</t>
  </si>
  <si>
    <t>Машина стригальная для песика</t>
  </si>
  <si>
    <t>ТЕРм33-10-010-07</t>
  </si>
  <si>
    <t>Машина стригальная для шкурок</t>
  </si>
  <si>
    <t>ТЕРм33-10-010-08</t>
  </si>
  <si>
    <t>Смеситель конусный для пуха</t>
  </si>
  <si>
    <t>ТЕРм33-10-010-09</t>
  </si>
  <si>
    <t>Машина пушильная восьмисекционная для пуха</t>
  </si>
  <si>
    <t xml:space="preserve">                                   Раздел 3. ОБОРУДОВАНИЕ ОСНОВОУПЛОТНЯЮЩЕГО ВАЛЯЛЬНО-ОБУВНОГО ПРОИЗВОДСТВА</t>
  </si>
  <si>
    <t xml:space="preserve">                                   Плиты притирочные, машины, аппараты, станки, ножи ленточные, плиты свойлачивающие, полуавтоматы, барки красильные, агрегаты, прессы</t>
  </si>
  <si>
    <t>ТЕРм33-10-015-01</t>
  </si>
  <si>
    <t>Плита притирочная для колпаков фетровых, шерстяных шляп</t>
  </si>
  <si>
    <t>ТЕРм33-10-015-02</t>
  </si>
  <si>
    <t>Плита притирочная для шерстяных конусов валяной обуви</t>
  </si>
  <si>
    <t>ТЕРм33-10-015-03</t>
  </si>
  <si>
    <t>Машина для растяжки головки шляп</t>
  </si>
  <si>
    <t>ТЕРм33-10-015-04</t>
  </si>
  <si>
    <t>Аппарат красильный для колпаков шляп</t>
  </si>
  <si>
    <t>ТЕРм33-10-015-05</t>
  </si>
  <si>
    <t>Станок кольцерезный для цилиндрических деталей</t>
  </si>
  <si>
    <t>ТЕРм33-10-015-06</t>
  </si>
  <si>
    <t>Машина намазная для шкурок</t>
  </si>
  <si>
    <t>ТЕРм33-10-015-07</t>
  </si>
  <si>
    <t>Нож ленточный для раскроя войлочного холста на ленты</t>
  </si>
  <si>
    <t>ТЕРм33-10-015-08</t>
  </si>
  <si>
    <t>Машина уплотняющая для ватных пластов валяной обуви</t>
  </si>
  <si>
    <t>ТЕРм33-10-015-09</t>
  </si>
  <si>
    <t>Машина катальная для конусов валяной обуви и основы войлока</t>
  </si>
  <si>
    <t>ТЕРм33-10-015-10</t>
  </si>
  <si>
    <t>Машина катальная для конусов и колпаков валяной обуви</t>
  </si>
  <si>
    <t>ТЕРм33-10-015-11</t>
  </si>
  <si>
    <t>Полуавтомат свойлачивающий для конусов валяной обуви</t>
  </si>
  <si>
    <t>ТЕРм33-10-015-12</t>
  </si>
  <si>
    <t>Плита свойлачивающая для конусов валяной обуви</t>
  </si>
  <si>
    <t>ТЕРм33-10-015-13</t>
  </si>
  <si>
    <t>Машина кисловочная для замачивания основ валяной обуви в растворе серной кислоты</t>
  </si>
  <si>
    <t>ТЕРм33-10-015-14</t>
  </si>
  <si>
    <t>Машина свойлачивающая для уплотнения основы мужской валяной обуви</t>
  </si>
  <si>
    <t>ТЕРм33-10-015-15</t>
  </si>
  <si>
    <t>Машина молотовая для валяной обуви</t>
  </si>
  <si>
    <t>ТЕРм33-10-015-16</t>
  </si>
  <si>
    <t>Машина молотовая для валки войлока</t>
  </si>
  <si>
    <t>ТЕРм33-10-015-17</t>
  </si>
  <si>
    <t>Барка красильная для валяной обуви</t>
  </si>
  <si>
    <t>ТЕРм33-10-015-18</t>
  </si>
  <si>
    <t>Станок для моншон растяжной</t>
  </si>
  <si>
    <t>ТЕРм33-10-015-19</t>
  </si>
  <si>
    <t>Станок для моншон чистильный</t>
  </si>
  <si>
    <t>ТЕРм33-10-015-20</t>
  </si>
  <si>
    <t>Агрегат навивочный для навивки моншон</t>
  </si>
  <si>
    <t>ТЕРм33-10-015-21</t>
  </si>
  <si>
    <t>Машина для войлока стригальная</t>
  </si>
  <si>
    <t>ТЕРм33-10-015-22</t>
  </si>
  <si>
    <t>Машина для войлока промывная</t>
  </si>
  <si>
    <t>ТЕРм33-10-015-23</t>
  </si>
  <si>
    <t>Машина для войлока двоильно-ленточная</t>
  </si>
  <si>
    <t>ТЕРм33-10-015-24</t>
  </si>
  <si>
    <t>Пресс одноударного действия для вырубки войлочных деталей</t>
  </si>
  <si>
    <t>ТЕРм33-10-015-25</t>
  </si>
  <si>
    <t>Самопресс для войлока</t>
  </si>
  <si>
    <t>ТЕРм33-10-015-26</t>
  </si>
  <si>
    <t>Пресс гидравлический для войлочных шлифовальных кругов</t>
  </si>
  <si>
    <t>ТЕРм33-10-015-27</t>
  </si>
  <si>
    <t>Машина свойлачивающая универсальная</t>
  </si>
  <si>
    <t>ТЕРм33-10-015-28</t>
  </si>
  <si>
    <t>Агрегат для сушки плотных войлоков</t>
  </si>
  <si>
    <t>ТЕРм33-10-015-29</t>
  </si>
  <si>
    <t>Машина катальная для валяной обуви</t>
  </si>
  <si>
    <t xml:space="preserve">                                   Раздел 4. ОБОРУДОВАНИЕ ОСНОВОУПЛОТНЯЮЩЕГО ФЕТРОВОГО ПРОИЗВОДСТВА</t>
  </si>
  <si>
    <t xml:space="preserve">                                   Машины</t>
  </si>
  <si>
    <t>ТЕРм33-10-020-01</t>
  </si>
  <si>
    <t>Машина свойлачивающая для пуховых колпаков</t>
  </si>
  <si>
    <t>ТЕРм33-10-020-02</t>
  </si>
  <si>
    <t>Машина основовальная для формы пухового колпака</t>
  </si>
  <si>
    <t>ТЕРм33-10-020-03</t>
  </si>
  <si>
    <t>Машина многоваличная для валки колпаков</t>
  </si>
  <si>
    <t xml:space="preserve">                                   Раздел 5. ОБОРУДОВАНИЕ ВАЛЯЛЬНО-ПОСАДОЧНОГО ОБУВНОГО ПРОИЗВОДСТВА</t>
  </si>
  <si>
    <t xml:space="preserve">                                   Станки, машины, полуавтоматы, аппараты</t>
  </si>
  <si>
    <t>ТЕРм33-10-025-01</t>
  </si>
  <si>
    <t>Станок для расправки основ валяной обуви</t>
  </si>
  <si>
    <t>ТЕРм33-10-025-02</t>
  </si>
  <si>
    <t>Машина ролико-растяжная для валяной обуви</t>
  </si>
  <si>
    <t>ТЕРм33-10-025-03</t>
  </si>
  <si>
    <t>Станок рычажно-растяжной четырехколковый для основ валяной обуви</t>
  </si>
  <si>
    <t>ТЕРм33-10-025-04</t>
  </si>
  <si>
    <t>Машина насадочная для валяной обуви</t>
  </si>
  <si>
    <t>ТЕРм33-10-025-05</t>
  </si>
  <si>
    <t>Полуавтомат насадочный для заготовок валяной обуви</t>
  </si>
  <si>
    <t>ТЕРм33-10-025-06</t>
  </si>
  <si>
    <t>Аппарат расправочный для носка валяной обуви</t>
  </si>
  <si>
    <t>ТЕРм33-10-025-07</t>
  </si>
  <si>
    <t>Станок выравнивающий для валяного сапога</t>
  </si>
  <si>
    <t>ТЕРм33-10-025-08</t>
  </si>
  <si>
    <t>Станок клиновгоночный</t>
  </si>
  <si>
    <t>ТЕРм33-10-025-09</t>
  </si>
  <si>
    <t>Полуавтомат расколодочный</t>
  </si>
  <si>
    <t>ТЕРм33-10-025-10</t>
  </si>
  <si>
    <t>Станок расколодочный</t>
  </si>
  <si>
    <t>ТЕРм33-10-025-11</t>
  </si>
  <si>
    <t>Машина параллельно-растяжная для валяной обуви</t>
  </si>
  <si>
    <t>ТЕРм33-10-025-12</t>
  </si>
  <si>
    <t>Машина горизонтального боя для валяной обуви</t>
  </si>
  <si>
    <t xml:space="preserve">                                   Раздел 6. ОБОРУДОВАНИЕ ВАЛЯЛЬНО-ВОЙЛОЧНОГО ПРОИЗВОДСТВА</t>
  </si>
  <si>
    <t xml:space="preserve">                                   Оборудование валяльно-войлочного производства</t>
  </si>
  <si>
    <t>ТЕРм33-10-030-01</t>
  </si>
  <si>
    <t>Машина фитильная для притирки фитиля</t>
  </si>
  <si>
    <t>ТЕРм33-10-030-02</t>
  </si>
  <si>
    <t>Машина маятноковая для войлочных полировальных кругов</t>
  </si>
  <si>
    <t>ТЕРм33-10-030-03</t>
  </si>
  <si>
    <t>Машина кружковая для валки и расправки войлочных кругов</t>
  </si>
  <si>
    <t>ТЕРм33-10-030-04</t>
  </si>
  <si>
    <t>Машина валяльно-стригальная двухкулачковая для войлока</t>
  </si>
  <si>
    <t>ТЕРм33-10-030-05</t>
  </si>
  <si>
    <t>Машина молотовая для войлока с подвесным молотом</t>
  </si>
  <si>
    <t>ТЕРм33-10-030-06</t>
  </si>
  <si>
    <t>Машина молотовая для войлока с качающимися опорами молота</t>
  </si>
  <si>
    <t>ТЕРм33-10-030-07</t>
  </si>
  <si>
    <t>Машина валяльная многоваличная для предварительной валки войлока</t>
  </si>
  <si>
    <t>ТЕРм33-10-030-08</t>
  </si>
  <si>
    <t>Машина расправочная для войлока</t>
  </si>
  <si>
    <t>ТЕРм33-10-030-09</t>
  </si>
  <si>
    <t>Машина кисловочная для войлока</t>
  </si>
  <si>
    <t>ТЕРм33-10-030-10</t>
  </si>
  <si>
    <t>Полуавтомат сдвоенный расправочный для заготовок валяной обуви</t>
  </si>
  <si>
    <t xml:space="preserve">                                   Раздел 7. ОБОРУДОВАНИЕ ВАЛЯЛЬНО-ФОРМОВОЧНОГО ФЕТРОВОГО ПРОИЗВОДСТВА</t>
  </si>
  <si>
    <t xml:space="preserve">                                   Оборудование валяльно-формовочного фетрового производства</t>
  </si>
  <si>
    <t>ТЕРм33-10-035-01</t>
  </si>
  <si>
    <t>Колокол паровой для колпаков</t>
  </si>
  <si>
    <t>ТЕРм33-10-035-02</t>
  </si>
  <si>
    <t>Машина щеточно-ворсовальная для шляп</t>
  </si>
  <si>
    <t>ТЕРм33-10-035-03</t>
  </si>
  <si>
    <t>Машина для растяжки головок колпаков</t>
  </si>
  <si>
    <t>ТЕРм33-10-035-04</t>
  </si>
  <si>
    <t>Машина для растяжки полей шляп</t>
  </si>
  <si>
    <t>ТЕРм33-10-035-05</t>
  </si>
  <si>
    <t>Машина валяльная или канатно-валяльная для фетровых колпаков</t>
  </si>
  <si>
    <t>ТЕРм33-10-035-06</t>
  </si>
  <si>
    <t>Машина барабанно-валяльная для колпаков</t>
  </si>
  <si>
    <t>ТЕРм33-10-035-07</t>
  </si>
  <si>
    <t>Машина молотовая для колпаков</t>
  </si>
  <si>
    <t>ТЕРм33-10-035-08</t>
  </si>
  <si>
    <t>Машина валяльная для колпаков трехвальная</t>
  </si>
  <si>
    <t>ТЕРм33-10-035-09</t>
  </si>
  <si>
    <t>Машина валяльная для колпаков кольцевая</t>
  </si>
  <si>
    <t xml:space="preserve">                                   Раздел 8. ОБОРУДОВАНИЕ ДЛЯ ОКОНЧАТЕЛЬНОЙ ОТДЕЛКИ ВАЛЯЛЬНО-ОБУВНОГО ПРОИЗВОДСТВА</t>
  </si>
  <si>
    <t xml:space="preserve">                                   Оборудование для окончательной отделки валяльно-обувного производства</t>
  </si>
  <si>
    <t>ТЕРм33-10-040-01</t>
  </si>
  <si>
    <t>Станок расколодочный для валяной обуви</t>
  </si>
  <si>
    <t>ТЕРм33-10-040-02</t>
  </si>
  <si>
    <t>Полуавтомат чистильный для голенищ валяной обуви</t>
  </si>
  <si>
    <t>ТЕРм33-10-040-03</t>
  </si>
  <si>
    <t>Станок обрезной для войлока</t>
  </si>
  <si>
    <t>ТЕРм33-10-040-04</t>
  </si>
  <si>
    <t>Машина полосорезная для войлока</t>
  </si>
  <si>
    <t>ТЕРм33-10-040-05</t>
  </si>
  <si>
    <t>Машина чистильно-шлифовальная для тонкого войлока</t>
  </si>
  <si>
    <t>ТЕРм33-10-040-06</t>
  </si>
  <si>
    <t>Машина для комплексной отделки наружной поверхности валяной обуви</t>
  </si>
  <si>
    <t xml:space="preserve">                                   Раздел 9. ОБОРУДОВАНИЕ ДЛЯ ОКОНЧАТЕЛЬНОЙ ОТДЕЛКИ ФЕТРОВОГО ПРОИЗВОДСТВА</t>
  </si>
  <si>
    <t xml:space="preserve">                                   Оборудование для окончательной отделки фетрового производства</t>
  </si>
  <si>
    <t>ТЕРм33-10-045-01</t>
  </si>
  <si>
    <t>Станок для колпаков шляп чистильный</t>
  </si>
  <si>
    <t>ТЕРм33-10-045-02</t>
  </si>
  <si>
    <t>Станок для колпаков шляп ворсовыравнивающий</t>
  </si>
  <si>
    <t>ТЕРм33-10-045-03</t>
  </si>
  <si>
    <t>Станок для колпаков шляп ворсоначесный</t>
  </si>
  <si>
    <t>ТЕРм33-10-045-04</t>
  </si>
  <si>
    <t>Машина пылевыколачивающая ремешковая</t>
  </si>
  <si>
    <t>ТЕРм33-10-045-05</t>
  </si>
  <si>
    <t>Машина пылевыколачивающая барабанная</t>
  </si>
  <si>
    <t>ТЕРм33-10-045-06</t>
  </si>
  <si>
    <t>Машина стригальная со спиральными ножами для велюровых колпаков</t>
  </si>
  <si>
    <t>ТЕРм33-10-045-07</t>
  </si>
  <si>
    <t>Машина выравнивающая на две головки</t>
  </si>
  <si>
    <t xml:space="preserve">                                   Раздел 10. ОБОРУДОВАНИЕ ДЛЯ ОТДЕЛКИ ГОЛОВНЫХ УБОРОВ</t>
  </si>
  <si>
    <t xml:space="preserve">                                   Оборудование для отделки головных уборов</t>
  </si>
  <si>
    <t>ТЕРм33-10-050-01</t>
  </si>
  <si>
    <t>Машина ранторазмягчающая</t>
  </si>
  <si>
    <t>ТЕРм33-10-050-02</t>
  </si>
  <si>
    <t>Станок пропиточный для шляп</t>
  </si>
  <si>
    <t>ТЕРм33-10-050-03</t>
  </si>
  <si>
    <t>Машина пропиточная для полей шляп</t>
  </si>
  <si>
    <t>ТЕРм33-10-050-04</t>
  </si>
  <si>
    <t>Машина отделочная для шляп</t>
  </si>
  <si>
    <t>ТЕРм33-10-050-05</t>
  </si>
  <si>
    <t>Автомат чистильно-шлифовальный для верха шляп</t>
  </si>
  <si>
    <t>ТЕРм33-10-050-06</t>
  </si>
  <si>
    <t>Автомат чистильно-шлифовальный для полей шляп</t>
  </si>
  <si>
    <t>ТЕРм33-10-050-07</t>
  </si>
  <si>
    <t>Пресс для шляп механический</t>
  </si>
  <si>
    <t>ТЕРм33-10-050-08</t>
  </si>
  <si>
    <t>Пресс для шляп гидравлический</t>
  </si>
  <si>
    <t>ТЕРм33-10-050-09</t>
  </si>
  <si>
    <t>Машина формовочная для шляп</t>
  </si>
  <si>
    <t>ТЕРм33-10-050-10</t>
  </si>
  <si>
    <t>Аккумулятор гидравлический для питания шляпных прессов</t>
  </si>
  <si>
    <t>ТЕРм33-10-050-11</t>
  </si>
  <si>
    <t>Аппарат сушильный декатировочный для шляп</t>
  </si>
  <si>
    <t>ТЕРм33-10-050-12</t>
  </si>
  <si>
    <t>Котел декатировочный для шляп</t>
  </si>
  <si>
    <t xml:space="preserve">                           Раздел 11. ОТДЕЛ 11. ОБОРУДОВАНИЕ ПО ПЕРЕРАБОТКЕ ВТОРИЧНОГО СЫРЬЯ</t>
  </si>
  <si>
    <t xml:space="preserve">                                   Раздел 1. ОБОРУДОВАНИЕ ДЛЯ СТИРКИ</t>
  </si>
  <si>
    <t xml:space="preserve">                                   Оборудование для стирки</t>
  </si>
  <si>
    <t>ТЕРм33-11-001-01</t>
  </si>
  <si>
    <t>Машина стиральная для тряпья, загрузка 25 кг</t>
  </si>
  <si>
    <t>ТЕРм33-11-001-02</t>
  </si>
  <si>
    <t>Машина стиральная для тряпья, загрузка 50 кг</t>
  </si>
  <si>
    <t>ТЕРм33-11-001-03</t>
  </si>
  <si>
    <t>Машина стиральная для тряпья, загрузка 100 кг</t>
  </si>
  <si>
    <t xml:space="preserve">                                   Раздел 2. ОБОРУДОВАНИЕ СУШИЛЬНОЕ</t>
  </si>
  <si>
    <t>ТЕРм33-11-005-01</t>
  </si>
  <si>
    <t>Барабан сушильный для тряпья с торцевой загрузкой 25 кг</t>
  </si>
  <si>
    <t>ТЕРм33-11-005-02</t>
  </si>
  <si>
    <t>Барабан сушильный для тряпья с торцевой загрузкой 50 кг</t>
  </si>
  <si>
    <t xml:space="preserve">                                   Раздел 3. ОБОРУДОВАНИЕ ДЛЯ ПРЕССОВАНИЯ</t>
  </si>
  <si>
    <t xml:space="preserve">                                   Оборудование для прессования</t>
  </si>
  <si>
    <t>ТЕРм33-11-010-01</t>
  </si>
  <si>
    <t>Пресс для тряпья малогабаритный</t>
  </si>
  <si>
    <t>ТЕРм33-11-010-02</t>
  </si>
  <si>
    <t>Пресс для тряпья механический</t>
  </si>
  <si>
    <t>ТЕРм33-11-010-03</t>
  </si>
  <si>
    <t>Пресс для текстильных и волокнистых материалов</t>
  </si>
  <si>
    <t xml:space="preserve">                                   Раздел 4. ОБОРУДОВАНИЕ ДЕЗИНФЕКЦИОННОЕ</t>
  </si>
  <si>
    <t xml:space="preserve">                                   Оборудование дезинфекционное</t>
  </si>
  <si>
    <t>ТЕРм33-11-015-01</t>
  </si>
  <si>
    <t>Камера дезинфекционная системы Крупина, объем 10 м3</t>
  </si>
  <si>
    <t>ТЕРм33-11-015-02</t>
  </si>
  <si>
    <t>Камера дезинфекционная системы Крупина, объем 14 м3</t>
  </si>
  <si>
    <t xml:space="preserve">                                   Раздел 5. ОБОРУДОВАНИЕ ДЛЯ ОБЕСПЫЛЕВАНИЯ</t>
  </si>
  <si>
    <t xml:space="preserve">                                   Оборудование для обеспыливания</t>
  </si>
  <si>
    <t>ТЕРм33-11-020-01</t>
  </si>
  <si>
    <t>Машина для обеспыливания текстильного вторсырья</t>
  </si>
  <si>
    <t>ТЕРм33-11-020-02</t>
  </si>
  <si>
    <t>Дрешер четырехбарабанный для обеспыливания тряпья</t>
  </si>
  <si>
    <t xml:space="preserve">                                   Раздел 6. ОБОРУДОВАНИЕ РАЗНОЕ</t>
  </si>
  <si>
    <t>ТЕРм33-11-025-01</t>
  </si>
  <si>
    <t>Машина резательная для вторичного сырья</t>
  </si>
  <si>
    <t>ТЕРм33-11-025-02</t>
  </si>
  <si>
    <t>Машина концервальная для отходов текстильного производства</t>
  </si>
  <si>
    <t>ТЕРм-2001-34</t>
  </si>
  <si>
    <t xml:space="preserve">                           Раздел 1. ОТДЕЛ 01. ОБОРУДОВАНИЕ УЧРЕЖДЕНИЙ ЗДРАВООХРАНЕНИЯ</t>
  </si>
  <si>
    <t xml:space="preserve">                                   Раздел 1. СТЕРИЛИЗАЦИОННОЕ ОБОРУДОВАНИЕ</t>
  </si>
  <si>
    <t xml:space="preserve">                                   Паровые стерилизаторы</t>
  </si>
  <si>
    <t>ТЕРм34-01-001-01</t>
  </si>
  <si>
    <t>Стерилизатор вертикальный круглый электрический, вместимость рабочей камеры 30 л</t>
  </si>
  <si>
    <t>ТЕРм34-01-001-02</t>
  </si>
  <si>
    <t>Стерилизатор вертикальный круглый электрический, вместимость рабочей камеры 50 л, электроогневой</t>
  </si>
  <si>
    <t>ТЕРм34-01-001-03</t>
  </si>
  <si>
    <t>Стерилизатор горизонтальный электрический прямоугольный односторонний, вместимость рабочей камеры 400 л</t>
  </si>
  <si>
    <t>ТЕРм34-01-001-04</t>
  </si>
  <si>
    <t>Стерилизатор горизонтальный электрический прямоугольный односторонний, вместимость рабочей камеры 560 л</t>
  </si>
  <si>
    <t>ТЕРм34-01-001-05</t>
  </si>
  <si>
    <t>Стерилизатор горизонтальный электрический прямоугольный односторонний, вместимость рабочей камеры 560 л, паросетевой</t>
  </si>
  <si>
    <t>ТЕРм34-01-001-06</t>
  </si>
  <si>
    <t>Стерилизатор горизонтальный электрический прямоугольный двухсторонний, вместимость рабочей камеры 560 л</t>
  </si>
  <si>
    <t>ТЕРм34-01-001-07</t>
  </si>
  <si>
    <t>Установка централизованная стерилизационная трехкамерная (1-е исполнение)</t>
  </si>
  <si>
    <t xml:space="preserve">                                   Разные стерилизаторы</t>
  </si>
  <si>
    <t>ТЕРм34-01-002-01</t>
  </si>
  <si>
    <t>Стерилизатор воздушный, вместимость рабочей камеры 20, 40, 80 дм3, масса до 0,065 т</t>
  </si>
  <si>
    <t xml:space="preserve">                                   Раздел 2. ОБОРУДОВАНИЕ АПТЕК</t>
  </si>
  <si>
    <t xml:space="preserve">                                   Аппараты для фильтрования растворов</t>
  </si>
  <si>
    <t>ТЕРм34-01-022-01</t>
  </si>
  <si>
    <t>Аппарат для фильтрования растворов</t>
  </si>
  <si>
    <t>ТЕРм34-01-023-01</t>
  </si>
  <si>
    <t>Машина для мойки рецептурной посуды</t>
  </si>
  <si>
    <t>ТЕРм34-01-023-02</t>
  </si>
  <si>
    <t>Сборник для дистиллированной или обессоленной воды, вместимость 40, 100 л, масса до 0,023 т</t>
  </si>
  <si>
    <t xml:space="preserve">                                   Раздел 3. ОТОРИНОЛАРИНГОЛОГИЧЕСКОЕ ОБОРУДОВАНИЕ</t>
  </si>
  <si>
    <t xml:space="preserve">                                   Аэрозольные ингаляторы</t>
  </si>
  <si>
    <t>ТЕРм34-01-035-01</t>
  </si>
  <si>
    <t>Ингалятор универсальный</t>
  </si>
  <si>
    <t>ТЕРм34-01-035-02</t>
  </si>
  <si>
    <t>Установка ингаляционная стационарная</t>
  </si>
  <si>
    <t xml:space="preserve">                                   Оториноларингологические кресла</t>
  </si>
  <si>
    <t>ТЕРм34-01-036-01</t>
  </si>
  <si>
    <t>Кресло вращающееся</t>
  </si>
  <si>
    <t>ТЕРм34-01-036-02</t>
  </si>
  <si>
    <t>Кресло оториноларингологическое детское</t>
  </si>
  <si>
    <t>ТЕРм34-01-036-03</t>
  </si>
  <si>
    <t>Кресло для бронхоэзофагоскопии</t>
  </si>
  <si>
    <t xml:space="preserve">                                   Аппараты ультразвуковые для лечения тонзиллита и исследования слуха</t>
  </si>
  <si>
    <t>ТЕРм34-01-037-01</t>
  </si>
  <si>
    <t>Аудиометр диагностический</t>
  </si>
  <si>
    <t>ТЕРм34-01-037-02</t>
  </si>
  <si>
    <t>Бронхоэзофагоскоп Мезрина</t>
  </si>
  <si>
    <t>ТЕРм34-01-037-03</t>
  </si>
  <si>
    <t>Ларингостробоскоп электронный</t>
  </si>
  <si>
    <t xml:space="preserve">                                   Раздел 4. СТОМАТОЛОГИЧЕСКОЕ ОБОРУДОВАНИЕ</t>
  </si>
  <si>
    <t xml:space="preserve">                                   Бормашины</t>
  </si>
  <si>
    <t>ТЕРм34-01-055-01</t>
  </si>
  <si>
    <t>Бормашина пневматическая со встроенным компрессором</t>
  </si>
  <si>
    <t>ТЕРм34-01-055-02</t>
  </si>
  <si>
    <t>Бормашина пневматическая с питанием от пневмосети</t>
  </si>
  <si>
    <t>ТЕРм34-01-055-03</t>
  </si>
  <si>
    <t>Бормашина электрическая зубоврачебная портативная безрукавная</t>
  </si>
  <si>
    <t>ТЕРм34-01-055-04</t>
  </si>
  <si>
    <t>Бормашина электрическая стационарная с гибким рукавом</t>
  </si>
  <si>
    <t xml:space="preserve">                                   Зубоврачебные кресла</t>
  </si>
  <si>
    <t>ТЕРм34-01-056-01</t>
  </si>
  <si>
    <t>Кресло зубоврачебное легкого типа</t>
  </si>
  <si>
    <t>ТЕРм34-01-056-02</t>
  </si>
  <si>
    <t>Кресло стоматологическое с электромеханическим приводом</t>
  </si>
  <si>
    <t xml:space="preserve">                                   Стоматологические установки</t>
  </si>
  <si>
    <t>ТЕРм34-01-057-01</t>
  </si>
  <si>
    <t>Комплект оборудования рабочего места стоматолога</t>
  </si>
  <si>
    <t>ТЕРм34-01-057-02</t>
  </si>
  <si>
    <t>Комплект оборудования рабочего места стоматолога, в том числе гидроблок стоматологический, масса до 0,08 т</t>
  </si>
  <si>
    <t>ТЕРм34-01-057-03</t>
  </si>
  <si>
    <t>Комплект оборудования рабочего места стоматолога, в том числе светильник стоматологический</t>
  </si>
  <si>
    <t>ТЕРм34-01-057-04</t>
  </si>
  <si>
    <t>Комплект оборудования рабочего места стоматолога, в том числе стол для стоматолога</t>
  </si>
  <si>
    <t>ТЕРм34-01-057-05</t>
  </si>
  <si>
    <t>Комплект оборудования рабочего места стоматолога, в том числе стул для стоматолога</t>
  </si>
  <si>
    <t>ТЕРм34-01-057-06</t>
  </si>
  <si>
    <t>Комплект оборудования рабочего места стоматолога, в том числе установка стоматологическая УС-10/300-1</t>
  </si>
  <si>
    <t>ТЕРм34-01-057-07</t>
  </si>
  <si>
    <t>Установка стоматологическая универсальная, масса до 0,15 т, тип УС-30, «Пробамат», УС-10/100</t>
  </si>
  <si>
    <t>ТЕРм34-01-057-08</t>
  </si>
  <si>
    <t>Установка стоматологическая универсальная, масса до 0,15 т, тип «Хирадент»</t>
  </si>
  <si>
    <t xml:space="preserve">                                   Установки для литья стоматологических изделий</t>
  </si>
  <si>
    <t>ТЕРм34-01-058-01</t>
  </si>
  <si>
    <t>Пресс гидравлический для опрессовки зубных коронок</t>
  </si>
  <si>
    <t>ТЕРм34-01-058-02</t>
  </si>
  <si>
    <t>Шлифмашина скоростная</t>
  </si>
  <si>
    <t xml:space="preserve">                                   Стоматологические аппараты и приборы</t>
  </si>
  <si>
    <t>ТЕРм34-01-059-01</t>
  </si>
  <si>
    <t>Аппарат гидромассажный стоматологический</t>
  </si>
  <si>
    <t>ТЕРм34-01-059-02</t>
  </si>
  <si>
    <t>Аппарат для снятия зубного камня с помощью ультразвука</t>
  </si>
  <si>
    <t>ТЕРм34-01-059-03</t>
  </si>
  <si>
    <t>Аппарат паяльный зуботехнический</t>
  </si>
  <si>
    <t>ТЕРм34-01-059-04</t>
  </si>
  <si>
    <t>Вибростол вакуумный зуботехнический</t>
  </si>
  <si>
    <t>ТЕРм34-01-059-05</t>
  </si>
  <si>
    <t>Гидроблок стоматологический</t>
  </si>
  <si>
    <t>ТЕРм34-01-059-06</t>
  </si>
  <si>
    <t>Диатермокоагулятор стоматологический</t>
  </si>
  <si>
    <t>ТЕРм34-01-059-07</t>
  </si>
  <si>
    <t>Золотопылеулавливатель</t>
  </si>
  <si>
    <t>ТЕРм34-01-059-08</t>
  </si>
  <si>
    <t>Компрессор</t>
  </si>
  <si>
    <t xml:space="preserve">                                   Раздел 5. СВЕТИЛЬНИКИ</t>
  </si>
  <si>
    <t xml:space="preserve">                                   Передвижные светильники</t>
  </si>
  <si>
    <t>ТЕРм34-01-070-01</t>
  </si>
  <si>
    <t>Светильник передвижной без аварийного питания двух- и четырехрефлекторный, масса до 0,06 т</t>
  </si>
  <si>
    <t xml:space="preserve">                                   Стационарные светильники</t>
  </si>
  <si>
    <t>ТЕРм34-01-071-01</t>
  </si>
  <si>
    <t>Светильник стационарный с аварийным питанием, с регулируемым освещением шестирефлекторный</t>
  </si>
  <si>
    <t>ТЕРм34-01-071-02</t>
  </si>
  <si>
    <t>Светильник стационарный стоматологический настенный</t>
  </si>
  <si>
    <t>ТЕРм34-01-071-03</t>
  </si>
  <si>
    <t>Светильник стационарный медицинский двенадцатирефлекторный</t>
  </si>
  <si>
    <t xml:space="preserve">                                   Раздел 6. ОБОРУДОВАНИЕ ФИЗИОТЕРАПЕВТИЧЕСКИХ КАБИНЕТОВ</t>
  </si>
  <si>
    <t xml:space="preserve">                                   Аппараты и приборы для электролечения</t>
  </si>
  <si>
    <t>ТЕРм34-01-080-01</t>
  </si>
  <si>
    <t>Аппарат для ДЦВ-терапии передвижной</t>
  </si>
  <si>
    <t>ТЕРм34-01-080-02</t>
  </si>
  <si>
    <t>Аппарат для индуктотермии коротковолновый</t>
  </si>
  <si>
    <t>ТЕРм34-01-080-03</t>
  </si>
  <si>
    <t>Аппарат для лечения током надтональной частоты</t>
  </si>
  <si>
    <t>ТЕРм34-01-080-04</t>
  </si>
  <si>
    <t>Аппарат для местной дарсонвализации ламповый</t>
  </si>
  <si>
    <t>ТЕРм34-01-080-05</t>
  </si>
  <si>
    <t>Аппарат для низкочастотной магнитотерапии</t>
  </si>
  <si>
    <t>ТЕРм34-01-080-06</t>
  </si>
  <si>
    <t>Аппарат для низкочастотной терапии</t>
  </si>
  <si>
    <t>ТЕРм34-01-080-07</t>
  </si>
  <si>
    <t>Аппарат для СМВ-терапии</t>
  </si>
  <si>
    <t>ТЕРм34-01-080-08</t>
  </si>
  <si>
    <t>Устройство для проведения гальванизации в четырехкамерных ваннах</t>
  </si>
  <si>
    <t xml:space="preserve">                                   Аппараты и приборы для свето- и теплолечения</t>
  </si>
  <si>
    <t>ТЕРм34-01-081-01</t>
  </si>
  <si>
    <t>Лампа инфракрасных лучей на штативе</t>
  </si>
  <si>
    <t>ТЕРм34-01-081-02</t>
  </si>
  <si>
    <t>Лампа «Соллюкс» стационарная</t>
  </si>
  <si>
    <t>ТЕРм34-01-081-03</t>
  </si>
  <si>
    <t>Облучатель видимой области спектра для лечения желтухи новорожденных</t>
  </si>
  <si>
    <t>ТЕРм34-01-081-04</t>
  </si>
  <si>
    <t>Облучатель ультрафиолетовый коротковолновый для местных облучений</t>
  </si>
  <si>
    <t>ТЕРм34-01-081-05</t>
  </si>
  <si>
    <t>Облучатель ультрафиолетовый коротковолновый для одиночных и групповых локализованных облучений, переносной и стационарный, масса до 0,01 т</t>
  </si>
  <si>
    <t>ТЕРм34-01-081-06</t>
  </si>
  <si>
    <t>Облучатель ультрафиолетовый длинноволновый для групповых облучений, передвижной</t>
  </si>
  <si>
    <t>ТЕРм34-01-081-07</t>
  </si>
  <si>
    <t>Облучатель ультрафиолетовый длинноволновый для общих индивидуальных облучений</t>
  </si>
  <si>
    <t>ТЕРм34-01-081-08</t>
  </si>
  <si>
    <t>Облучатель ртутно-кварцевый на штативе</t>
  </si>
  <si>
    <t xml:space="preserve">                                   Аппараты и установки для водолечения</t>
  </si>
  <si>
    <t>ТЕРм34-01-082-01</t>
  </si>
  <si>
    <t>Аппарат для насыщения воды углекислым газом</t>
  </si>
  <si>
    <t>ТЕРм34-01-082-02</t>
  </si>
  <si>
    <t>Аппарат подводных кишечных промываний</t>
  </si>
  <si>
    <t>ТЕРм34-01-082-03</t>
  </si>
  <si>
    <t>Ванна бальнеологическая</t>
  </si>
  <si>
    <t>ТЕРм34-01-082-04</t>
  </si>
  <si>
    <t>Кафедра водолечебная с душами</t>
  </si>
  <si>
    <t>ТЕРм34-01-082-05</t>
  </si>
  <si>
    <t>Массаж подводный</t>
  </si>
  <si>
    <t>ТЕРм34-01-082-06</t>
  </si>
  <si>
    <t>Аппарат для глубокого кишечного орошения</t>
  </si>
  <si>
    <t xml:space="preserve">                                   Аппараты, приборы и установки разного назначения</t>
  </si>
  <si>
    <t>ТЕРм34-01-083-01</t>
  </si>
  <si>
    <t>Барокамера активной гиперемии В.А.Кравченко</t>
  </si>
  <si>
    <t>ТЕРм34-01-083-02</t>
  </si>
  <si>
    <t>Установка лазерная физиотерапевтическая на базе «Ягода»</t>
  </si>
  <si>
    <t>ТЕРм34-01-083-03</t>
  </si>
  <si>
    <t>Установка ультрафиолетовая длинноволновая для групповых облучений</t>
  </si>
  <si>
    <t>ТЕРм34-01-083-04</t>
  </si>
  <si>
    <t>Шкаф сушильно-вытяжной</t>
  </si>
  <si>
    <t xml:space="preserve">                                   Раздел 7. ОБОРУДОВАНИЕ РЕНТГЕНОВСКИХ КАБИНЕТОВ</t>
  </si>
  <si>
    <t xml:space="preserve">                                   Аппараты и комплексы рентгеновские</t>
  </si>
  <si>
    <t>ТЕРм34-01-100-01</t>
  </si>
  <si>
    <t>Аппарат рентгеновский стационарный терапевтический РУМ-21м</t>
  </si>
  <si>
    <t>ТЕРм34-01-100-02</t>
  </si>
  <si>
    <t>Комплекс рентгеновский диагностический стационарный, тип РУМ-20 СГ-312</t>
  </si>
  <si>
    <t>ТЕРм34-01-100-03</t>
  </si>
  <si>
    <t>Комплекс рентгеновский диагностический стационарный, тип РУМ-20м СГ-312</t>
  </si>
  <si>
    <t>ТЕРм34-01-100-04</t>
  </si>
  <si>
    <t>Комплекс рентгеновский диагностический стационарный, тип РУМ-20МП СГ-312-2П2</t>
  </si>
  <si>
    <t>ТЕРм34-01-100-05</t>
  </si>
  <si>
    <t>Комплекс рентгеновский диагностический стационарный, тип РУМ-20МП СГ-312-2ПФ</t>
  </si>
  <si>
    <t>ТЕРм34-01-100-06</t>
  </si>
  <si>
    <t>Комплекс рентгеновский диагностический стационарный, тип ТУР-Д-800</t>
  </si>
  <si>
    <t>ТЕРм34-01-100-07</t>
  </si>
  <si>
    <t>Комплекс рентгеновский диагностический стационарный, тип ЕДР-750В, фирма «Медикон»</t>
  </si>
  <si>
    <t>ТЕРм34-01-100-08</t>
  </si>
  <si>
    <t>Комплекс рентгеновский диагностический для педиатрии с УРИ «Рентген-Д»</t>
  </si>
  <si>
    <t>ТЕРм34-01-100-09</t>
  </si>
  <si>
    <t>Комплекс рентгеновский диагностический «Рентген-50-2»</t>
  </si>
  <si>
    <t>ТЕРм34-01-100-10</t>
  </si>
  <si>
    <t>Комплекс рентгеновский диагностический, в том числе излучатель</t>
  </si>
  <si>
    <t>ТЕРм34-01-100-11</t>
  </si>
  <si>
    <t>Комплекс рентгеновский диагностический, в том числе система стабилизации яркости</t>
  </si>
  <si>
    <t>ТЕРм34-01-100-12</t>
  </si>
  <si>
    <t>Комплекс рентгеновский диагностический, в том числе стойка снимков</t>
  </si>
  <si>
    <t>ТЕРм34-01-100-13</t>
  </si>
  <si>
    <t>Комплекс рентгеновский диагностический, в том числе стол снимков</t>
  </si>
  <si>
    <t>ТЕРм34-01-100-14</t>
  </si>
  <si>
    <t>Комплекс рентгеновский диагностический, в том числе стол-штатив поворотный</t>
  </si>
  <si>
    <t>ТЕРм34-01-100-15</t>
  </si>
  <si>
    <t>Комплекс рентгеновский диагностический, в том числе устройство для усиления яркости</t>
  </si>
  <si>
    <t>ТЕРм34-01-100-16</t>
  </si>
  <si>
    <t>Комплекс рентгеновский диагностический, в том числе устройство потолочное</t>
  </si>
  <si>
    <t>ТЕРм34-01-100-17</t>
  </si>
  <si>
    <t>Комплекс рентгеновский диагностический, в том числе устройство рентгеновское питающее</t>
  </si>
  <si>
    <t>ТЕРм34-01-100-18</t>
  </si>
  <si>
    <t>Комплекс рентгеновский диагностический, в том числе штатив снимков</t>
  </si>
  <si>
    <t>ТЕРм34-01-100-19</t>
  </si>
  <si>
    <t>Комплекс рентгеновский диагностический «Рентген-40»</t>
  </si>
  <si>
    <t xml:space="preserve">                                   Дентальные аппараты</t>
  </si>
  <si>
    <t>ТЕРм34-01-101-01</t>
  </si>
  <si>
    <t>Аппарат рентгеновский дентальный стационарный «Минидент»</t>
  </si>
  <si>
    <t xml:space="preserve">                                   Диагностические и терапевтические передвижные аппараты</t>
  </si>
  <si>
    <t>ТЕРм34-01-102-01</t>
  </si>
  <si>
    <t>Аппарат рентгеновский для маммографии АРС 50МА</t>
  </si>
  <si>
    <t>ТЕРм34-01-102-02</t>
  </si>
  <si>
    <t>Аппарат рентгеновский диагностический передвижной палатный 12П5</t>
  </si>
  <si>
    <t>ТЕРм34-01-102-03</t>
  </si>
  <si>
    <t>Аппарат рентгеновский диагностический разборный РУМ-24</t>
  </si>
  <si>
    <t xml:space="preserve">                                   Флюорографические аппараты</t>
  </si>
  <si>
    <t>ТЕРм34-01-103-01</t>
  </si>
  <si>
    <t>Аппарат рентгеновский флюорографический стационарный 12Ф7Ц</t>
  </si>
  <si>
    <t>ТЕРм34-01-104-01</t>
  </si>
  <si>
    <t>Бак для обработки рентгенограмм</t>
  </si>
  <si>
    <t>ТЕРм34-01-104-02</t>
  </si>
  <si>
    <t>Инъектор медицинский для ангиографии</t>
  </si>
  <si>
    <t>ТЕРм34-01-104-03</t>
  </si>
  <si>
    <t>Прибор для снимков черепа</t>
  </si>
  <si>
    <t>ТЕРм34-01-104-04</t>
  </si>
  <si>
    <t>Рентгенокимограф защищенный с комплектом принадлежностей для исследования детей</t>
  </si>
  <si>
    <t>ТЕРм34-01-104-05</t>
  </si>
  <si>
    <t>Стол-кресло для полипозиционного рентгеновского обследования</t>
  </si>
  <si>
    <t>ТЕРм34-01-104-06</t>
  </si>
  <si>
    <t>Стол рентгеноурологический</t>
  </si>
  <si>
    <t>ТЕРм34-01-104-07</t>
  </si>
  <si>
    <t>Стойка рентгенополиграфическая «Рентполиграф»</t>
  </si>
  <si>
    <t>ТЕРм34-01-104-08</t>
  </si>
  <si>
    <t>Томограф панорамный</t>
  </si>
  <si>
    <t>ТЕРм34-01-104-09</t>
  </si>
  <si>
    <t>Устройство для рентгеновского исследования детей раннего возраста</t>
  </si>
  <si>
    <t>ТЕРм34-01-104-10</t>
  </si>
  <si>
    <t>Устройство полипозиционное детское</t>
  </si>
  <si>
    <t>ТЕРм34-01-104-11</t>
  </si>
  <si>
    <t>Шкаф сушильный для рентгенопленок, электрический</t>
  </si>
  <si>
    <t>ТЕРм34-01-104-12</t>
  </si>
  <si>
    <t>Электрорентгенограф универсальный</t>
  </si>
  <si>
    <t xml:space="preserve">                                   Раздел 8. ДЕЗИНФЕКЦИОННОЕ И ДЕЗИНСЕКЦИОННОЕ ОБОРУДОВАНИЕ</t>
  </si>
  <si>
    <t xml:space="preserve">                                   Дезинфекционные камеры</t>
  </si>
  <si>
    <t>ТЕРм34-01-135-01</t>
  </si>
  <si>
    <t>Камера дезинфекционная стационарная пароформалиновая, вместимость камеры 1,8 м3 с паровым котлом</t>
  </si>
  <si>
    <t>ТЕРм34-01-135-02</t>
  </si>
  <si>
    <t>Камера дезинфекционная стационарная пароформалиновая, вместимость камеры 3 м3</t>
  </si>
  <si>
    <t>ТЕРм34-01-135-03</t>
  </si>
  <si>
    <t>Камера дезинфекционная стационарная пароформалиновая, вместимость камеры 1,8 м3 без парового котла</t>
  </si>
  <si>
    <t>ТЕРм34-01-135-04</t>
  </si>
  <si>
    <t>Камера дезинфекционная электрическая ЦНИДИ</t>
  </si>
  <si>
    <t>ТЕРм34-01-135-05</t>
  </si>
  <si>
    <t>Камера дезинфекционная для наркознодыхательной аппаратуры</t>
  </si>
  <si>
    <t>ТЕРм34-01-135-06</t>
  </si>
  <si>
    <t>Комплект деталей и узлов для дезинфекционной камеры, вместимость камеры 5 м3</t>
  </si>
  <si>
    <t>ТЕРм34-01-135-07</t>
  </si>
  <si>
    <t>Комплект деталей и узлов для дезинфекционной камеры, вместимость камеры 10 м3</t>
  </si>
  <si>
    <t xml:space="preserve">                                   Бактерицидные облучатели</t>
  </si>
  <si>
    <t>ТЕРм34-01-136-01</t>
  </si>
  <si>
    <t>Облучатель бактерицидный настенный</t>
  </si>
  <si>
    <t>ТЕРм34-01-136-02</t>
  </si>
  <si>
    <t>Облучатель бактерицидный потолочный, передвижной на штативе, масса до 0,025 т</t>
  </si>
  <si>
    <t>ТЕРм34-01-137-01</t>
  </si>
  <si>
    <t>Воздухоочиститель передвижной рециркуляционный</t>
  </si>
  <si>
    <t>ТЕРм34-01-137-02</t>
  </si>
  <si>
    <t>Парогенератор электрический</t>
  </si>
  <si>
    <t xml:space="preserve">                                   Раздел 9. ОБЩЕХИРУРГИЧЕСКОЕ ОБОРУДОВАНИЕ</t>
  </si>
  <si>
    <t xml:space="preserve">                                   Хирургические аппараты и приборы</t>
  </si>
  <si>
    <t>ТЕРм34-01-150-01</t>
  </si>
  <si>
    <t>Аппарат для высокочастотной электрохирургии</t>
  </si>
  <si>
    <t>ТЕРм34-01-150-02</t>
  </si>
  <si>
    <t>Аппарат для обработки костей</t>
  </si>
  <si>
    <t>ТЕРм34-01-150-03</t>
  </si>
  <si>
    <t>Аппарат локальной гипотермии</t>
  </si>
  <si>
    <t>ТЕРм34-01-150-04</t>
  </si>
  <si>
    <t>Аппарат трансфузионный</t>
  </si>
  <si>
    <t>ТЕРм34-01-150-05</t>
  </si>
  <si>
    <t>Коагулятор высокочастотный для микрохирургии</t>
  </si>
  <si>
    <t>ТЕРм34-01-150-06</t>
  </si>
  <si>
    <t>Установка «Скальпель-1»</t>
  </si>
  <si>
    <t>ТЕРм34-01-150-07</t>
  </si>
  <si>
    <t>Установка хирургическая лазерная «Ромашка-1»</t>
  </si>
  <si>
    <t xml:space="preserve">                                   Операционные микроскопы</t>
  </si>
  <si>
    <t>ТЕРм34-01-151-01</t>
  </si>
  <si>
    <t>Видеомикроскоп операционный</t>
  </si>
  <si>
    <t>ТЕРм34-01-151-02</t>
  </si>
  <si>
    <t>Микроскоп операционный</t>
  </si>
  <si>
    <t xml:space="preserve">                                   Оборудование для хирургических кабинетов и палат</t>
  </si>
  <si>
    <t>ТЕРм34-01-152-01</t>
  </si>
  <si>
    <t>Установка для наблюдения за пациентом с 6 электрокардиотахографами, 6 биометрами и 6 сигнальными устройствами</t>
  </si>
  <si>
    <t>ТЕРм34-01-152-02</t>
  </si>
  <si>
    <t>Установка криохирургическая «Криоэлектроника-2»</t>
  </si>
  <si>
    <t xml:space="preserve">                                   Раздел 10. ОФТАЛЬМОЛОГИЧЕСКОЕ ОБОРУДОВАНИЕ</t>
  </si>
  <si>
    <t xml:space="preserve">                                   Офтальмологические аппараты и приборы</t>
  </si>
  <si>
    <t>ТЕРм34-01-170-01</t>
  </si>
  <si>
    <t>Адаптометр</t>
  </si>
  <si>
    <t>ТЕРм34-01-170-02</t>
  </si>
  <si>
    <t>Аккомовергенцтренер</t>
  </si>
  <si>
    <t>ТЕРм34-01-170-03</t>
  </si>
  <si>
    <t>Аппарат для удаления катаракты</t>
  </si>
  <si>
    <t>ТЕРм34-01-170-04</t>
  </si>
  <si>
    <t>Аппарат для ультразвуковой хирургии</t>
  </si>
  <si>
    <t>ТЕРм34-01-170-05</t>
  </si>
  <si>
    <t>Аппарат для фотографирования глазного дна</t>
  </si>
  <si>
    <t>ТЕРм34-01-170-06</t>
  </si>
  <si>
    <t>Диатермокоагулятор глазной</t>
  </si>
  <si>
    <t>ТЕРм34-01-170-07</t>
  </si>
  <si>
    <t>Лампа щелевая без тонометра</t>
  </si>
  <si>
    <t>ТЕРм34-01-170-08</t>
  </si>
  <si>
    <t>Офтальмокоагулятор квантовый</t>
  </si>
  <si>
    <t>ТЕРм34-01-170-09</t>
  </si>
  <si>
    <t>Офтальмометр</t>
  </si>
  <si>
    <t>ТЕРм34-01-170-10</t>
  </si>
  <si>
    <t>Офтальмоскоп электрический Водовозова</t>
  </si>
  <si>
    <t>ТЕРм34-01-170-11</t>
  </si>
  <si>
    <t>Периграф проекционный универсальный</t>
  </si>
  <si>
    <t>ТЕРм34-01-170-12</t>
  </si>
  <si>
    <t>Прибор для исследования ночного зрения</t>
  </si>
  <si>
    <t>ТЕРм34-01-170-13</t>
  </si>
  <si>
    <t>Синоптофор</t>
  </si>
  <si>
    <t>ТЕРм34-01-170-14</t>
  </si>
  <si>
    <t>Эхоофтальмоскоп без самописца</t>
  </si>
  <si>
    <t>ТЕРм34-01-170-15</t>
  </si>
  <si>
    <t>Эхоофтальмоскоп с самописцем</t>
  </si>
  <si>
    <t xml:space="preserve">                                   Установки офтальмологические</t>
  </si>
  <si>
    <t>ТЕРм34-01-171-01</t>
  </si>
  <si>
    <t>Установка офтальмологическая</t>
  </si>
  <si>
    <t xml:space="preserve">                                   Раздел 11. АКУШЕРСКО-ГИНЕКОЛОГИЧЕСКОЕ ОБОРУДОВАНИЕ</t>
  </si>
  <si>
    <t xml:space="preserve">                                   Гинекологические кресла</t>
  </si>
  <si>
    <t>ТЕРм34-01-185-01</t>
  </si>
  <si>
    <t>Кресло гинекологическое с ручным приводом</t>
  </si>
  <si>
    <t>ТЕРм34-01-185-02</t>
  </si>
  <si>
    <t>Кресло гинекологическое с гидравлическим приводом</t>
  </si>
  <si>
    <t xml:space="preserve">                                   Инкубаторы и кувезы для недоношенных детей</t>
  </si>
  <si>
    <t>ТЕРм34-01-186-01</t>
  </si>
  <si>
    <t>Инкубатор для недоношенных детей</t>
  </si>
  <si>
    <t>ТЕРм34-01-186-02</t>
  </si>
  <si>
    <t>Кувез для недоношенных детей</t>
  </si>
  <si>
    <t>ТЕРм34-01-187-01</t>
  </si>
  <si>
    <t>Аппарат для прерывания беременности</t>
  </si>
  <si>
    <t>ТЕРм34-01-187-02</t>
  </si>
  <si>
    <t>Аппарат для электроанестезии</t>
  </si>
  <si>
    <t>ТЕРм34-01-187-03</t>
  </si>
  <si>
    <t>Кольпоскоп</t>
  </si>
  <si>
    <t>ТЕРм34-01-187-04</t>
  </si>
  <si>
    <t>Кровать акушерская типа Романова</t>
  </si>
  <si>
    <t>ТЕРм34-01-187-05</t>
  </si>
  <si>
    <t>Эхоскоп медицинский акушерский</t>
  </si>
  <si>
    <t xml:space="preserve">                                   Раздел 12. ОБОРУДОВАНИЕ ДЛЯ УРОЛОГИЧЕСКИХ ОТДЕЛЕНИЙ</t>
  </si>
  <si>
    <t xml:space="preserve">                                   Аппараты для урологических отделений</t>
  </si>
  <si>
    <t>ТЕРм34-01-200-01</t>
  </si>
  <si>
    <t>Аппарат для дробления камней в мочевом пузыре</t>
  </si>
  <si>
    <t>ТЕРм34-01-200-02</t>
  </si>
  <si>
    <t>Комплекс урологический</t>
  </si>
  <si>
    <t>ТЕРм34-01-201-01</t>
  </si>
  <si>
    <t>Деминерализатор</t>
  </si>
  <si>
    <t>ТЕРм34-01-201-02</t>
  </si>
  <si>
    <t>Установка для перитониального диализа</t>
  </si>
  <si>
    <t>ТЕРм34-01-201-03</t>
  </si>
  <si>
    <t>Фотоцистоскоп</t>
  </si>
  <si>
    <t xml:space="preserve">                                   Раздел 13. ОБОРУДОВАНИЕ ДЛЯ АНЕСТЕЗИИ, ИСКУССТВЕННОГО ДЫХАНИЯ И КИСЛОРОДНОЙ ТЕРАПИИ</t>
  </si>
  <si>
    <t xml:space="preserve">                                   Аппараты для наркоза и искусственного дыхания</t>
  </si>
  <si>
    <t>ТЕРм34-01-210-01</t>
  </si>
  <si>
    <t>Анализатор кислорода дыхательных газов показывающий</t>
  </si>
  <si>
    <t>ТЕРм34-01-210-02</t>
  </si>
  <si>
    <t>Аппарат для дыхания под избыточным давлением легких</t>
  </si>
  <si>
    <t>ТЕРм34-01-210-03</t>
  </si>
  <si>
    <t>Аппарат для ингаляционного наркоза прерывистого потока, тип НАПП-4 «Спиронаркон-П»</t>
  </si>
  <si>
    <t>ТЕРм34-01-210-04</t>
  </si>
  <si>
    <t>Аппарат для ингаляционного наркоза прерывистого потока, тип «Полинаркон-4»</t>
  </si>
  <si>
    <t>ТЕРм34-01-210-05</t>
  </si>
  <si>
    <t>Аппарат для ингаляционного наркоза прерывистого потока, тип «Полинаркон-2П» и переносной «Наркон-2», тип 4</t>
  </si>
  <si>
    <t>ТЕРм34-01-210-06</t>
  </si>
  <si>
    <t>Аппарат искусственной вентиляции легких для бронхоскопии</t>
  </si>
  <si>
    <t>ТЕРм34-01-210-07</t>
  </si>
  <si>
    <t>Аппарат искусственной вентиляции легких вдох</t>
  </si>
  <si>
    <t>ТЕРм34-01-210-08</t>
  </si>
  <si>
    <t>Аппарат искусственной вентиляции легких у грудных детей «Млада»</t>
  </si>
  <si>
    <t>ТЕРм34-01-210-09</t>
  </si>
  <si>
    <t>Аппарат искусственной вентиляции легких во время наркоза</t>
  </si>
  <si>
    <t>ТЕРм34-01-210-10</t>
  </si>
  <si>
    <t>Аппарат искусственного дыхания</t>
  </si>
  <si>
    <t>ТЕРм34-01-210-11</t>
  </si>
  <si>
    <t>Аппарат искусственного кашля</t>
  </si>
  <si>
    <t>ТЕРм34-01-210-12</t>
  </si>
  <si>
    <t>Пневматопрессовазометр</t>
  </si>
  <si>
    <t>ТЕРм34-01-210-13</t>
  </si>
  <si>
    <t>Респиратор объемный</t>
  </si>
  <si>
    <t>ТЕРм34-01-210-14</t>
  </si>
  <si>
    <t>Респиратор объемно-частотный детский</t>
  </si>
  <si>
    <t>ТЕРм34-01-210-15</t>
  </si>
  <si>
    <t>Спиромонитор</t>
  </si>
  <si>
    <t>ТЕРм34-01-210-16</t>
  </si>
  <si>
    <t>Устройство для проведения ингаляционного наркоза у детей, тип «Наркон-Д»</t>
  </si>
  <si>
    <t xml:space="preserve">                                   Аппараты и приборы для кислородной терапии</t>
  </si>
  <si>
    <t>ТЕРм34-01-211-01</t>
  </si>
  <si>
    <t>Аппарат кислородной терапии для детей</t>
  </si>
  <si>
    <t>ТЕРм34-01-212-01</t>
  </si>
  <si>
    <t>Комплект оборудования для централизованной подачи кислорода, закиси азота и вакуума</t>
  </si>
  <si>
    <t>ТЕРм34-01-212-02</t>
  </si>
  <si>
    <t>Комплект оборудования для централизованной подачи кислорода, закиси азота и вакуума, в том числе блок арматурный</t>
  </si>
  <si>
    <t>ТЕРм34-01-212-03</t>
  </si>
  <si>
    <t>Комплект оборудования для централизованной подачи кислорода, закиси азота и вакуума, в том числе клапан запорный для кислорода, закиси азота и вакуума</t>
  </si>
  <si>
    <t>ТЕРм34-01-212-04</t>
  </si>
  <si>
    <t>Комплект оборудования для централизованной подачи кислорода, закиси азота и вакуума, в том числе ловушка отсасываемых масс (ловушка вакуумная)</t>
  </si>
  <si>
    <t>ТЕРм34-01-212-05</t>
  </si>
  <si>
    <t>Комплект оборудования для централизованной подачи кислорода, закиси азота и вакуума, в том числе панель сигнальная (панель дублирующей сигнализации)</t>
  </si>
  <si>
    <t>ТЕРм34-01-212-06</t>
  </si>
  <si>
    <t>Комплект оборудования для централизованной подачи кислорода, закиси азота и вакуума, в том числе приставка для отсасывания</t>
  </si>
  <si>
    <t>ТЕРм34-01-212-07</t>
  </si>
  <si>
    <t>Комплект оборудования для централизованной подачи кислорода, закиси азота и вакуума, в том числе рампа для кислорода пятибалонная</t>
  </si>
  <si>
    <t>ТЕРм34-01-212-08</t>
  </si>
  <si>
    <t>Комплект оборудования для централизованной подачи кислорода, закиси азота и вакуума, в том числе рампа для кислорода трехбалонная</t>
  </si>
  <si>
    <t>ТЕРм34-01-212-09</t>
  </si>
  <si>
    <t>Комплект оборудования для централизованной подачи кислорода, закиси азота и вакуума, в том числе рампа для закиси азота трехбалонная</t>
  </si>
  <si>
    <t>ТЕРм34-01-212-10</t>
  </si>
  <si>
    <t>Комплект оборудования для централизованной подачи кислорода, закиси азота и вакуума, в том числе регулятор вакуумный</t>
  </si>
  <si>
    <t>ТЕРм34-01-212-11</t>
  </si>
  <si>
    <t>Комплект оборудования для централизованной подачи кислорода, закиси азота и вакуума, в том числе установка вакуумная</t>
  </si>
  <si>
    <t>ТЕРм34-01-212-12</t>
  </si>
  <si>
    <t>Станция кислородная ингаляционная</t>
  </si>
  <si>
    <t>ТЕРм34-01-212-13</t>
  </si>
  <si>
    <t>Станция кислородная стационарная</t>
  </si>
  <si>
    <t>ТЕРм34-01-212-14</t>
  </si>
  <si>
    <t>Станция кислородная стационарная, в том числе аспиратор</t>
  </si>
  <si>
    <t>ТЕРм34-01-212-15</t>
  </si>
  <si>
    <t>Станция кислородная стационарная, в том числе вентиль расходный</t>
  </si>
  <si>
    <t>ТЕРм34-01-212-16</t>
  </si>
  <si>
    <t>Станция кислородная стационарная, в том числе вентиль магистральный</t>
  </si>
  <si>
    <t>ТЕРм34-01-212-17</t>
  </si>
  <si>
    <t>Станция кислородная стационарная, в том числе ингалятор</t>
  </si>
  <si>
    <t>ТЕРм34-01-212-18</t>
  </si>
  <si>
    <t>Станция кислородная стационарная, в том числе колпак с холодильником</t>
  </si>
  <si>
    <t>ТЕРм34-01-212-19</t>
  </si>
  <si>
    <t>Станция кислородная стационарная, в том числе рампа кислородной станции</t>
  </si>
  <si>
    <t>ТЕРм34-01-212-20</t>
  </si>
  <si>
    <t>Станция кислородная стационарная, в том числе распылитель для антибиотиков</t>
  </si>
  <si>
    <t xml:space="preserve">                                   Раздел 14. ОБОРУДОВАНИЕ ДЛЯ ДИГНОСТИЧЕСКИХ ИССЛЕДОВАНИЙ</t>
  </si>
  <si>
    <t xml:space="preserve">                                   Оборудование для диагностики сердечно-сосудистых заболеваний</t>
  </si>
  <si>
    <t>ТЕРм34-01-220-01</t>
  </si>
  <si>
    <t>Индикатор восьмиканальный</t>
  </si>
  <si>
    <t>ТЕРм34-01-220-02</t>
  </si>
  <si>
    <t>Кардиокомплекс</t>
  </si>
  <si>
    <t>ТЕРм34-01-220-03</t>
  </si>
  <si>
    <t>Кардиомонитор</t>
  </si>
  <si>
    <t>ТЕРм34-01-220-04</t>
  </si>
  <si>
    <t>Кардиоэнцефалоскоп</t>
  </si>
  <si>
    <t>ТЕРм34-01-220-05</t>
  </si>
  <si>
    <t>Осциллоскоп с дискретной памятью</t>
  </si>
  <si>
    <t>ТЕРм34-01-220-06</t>
  </si>
  <si>
    <t>Осциллоскоп четырехканальный без усилителя биопотенциалов</t>
  </si>
  <si>
    <t>ТЕРм34-01-220-07</t>
  </si>
  <si>
    <t>Осциллоскоп четырехканальный с усилителем биопотенциалов</t>
  </si>
  <si>
    <t>ТЕРм34-01-220-08</t>
  </si>
  <si>
    <t>Полианализатор</t>
  </si>
  <si>
    <t>ТЕРм34-01-220-09</t>
  </si>
  <si>
    <t>Полиграф «Мингограф-82» (Швеция)</t>
  </si>
  <si>
    <t>ТЕРм34-01-220-10</t>
  </si>
  <si>
    <t>Ректомикроскоп</t>
  </si>
  <si>
    <t>ТЕРм34-01-220-11</t>
  </si>
  <si>
    <t>Реоплетизмограф</t>
  </si>
  <si>
    <t>ТЕРм34-01-220-12</t>
  </si>
  <si>
    <t>Ритмовазометр</t>
  </si>
  <si>
    <t>ТЕРм34-01-220-13</t>
  </si>
  <si>
    <t>Ритмокардиоанализатор</t>
  </si>
  <si>
    <t>ТЕРм34-01-220-14</t>
  </si>
  <si>
    <t>Ритмокардиоэнцефалоскоп</t>
  </si>
  <si>
    <t>ТЕРм34-01-220-15</t>
  </si>
  <si>
    <t>Система кардиомониторная на четыре пациента</t>
  </si>
  <si>
    <t>ТЕРм34-01-220-16</t>
  </si>
  <si>
    <t>Система кардиомониторная на шесть пациентов</t>
  </si>
  <si>
    <t>ТЕРм34-01-220-17</t>
  </si>
  <si>
    <t>Блок дополнительный к системе кардиомониторной</t>
  </si>
  <si>
    <t>ТЕРм34-01-220-18</t>
  </si>
  <si>
    <t>Система передачи электрокардиосигнала по телефонному каналу связи с количеством блоков передачи 1</t>
  </si>
  <si>
    <t>ТЕРм34-01-220-19</t>
  </si>
  <si>
    <t>Система передачи электрокардиосигнала по телефонному каналу связи с количеством блоков передачи 3</t>
  </si>
  <si>
    <t>ТЕРм34-01-220-20</t>
  </si>
  <si>
    <t>Система передачи электрокардиосигнала по телефонному каналу связи с количеством блоков передачи 6</t>
  </si>
  <si>
    <t>ТЕРм34-01-220-21</t>
  </si>
  <si>
    <t>Система передачи электрокардиосигнала по телефонному каналу связи с количеством блоков передачи 9</t>
  </si>
  <si>
    <t>ТЕРм34-01-220-22</t>
  </si>
  <si>
    <t>Экспресс-анализатор электрокардиограмм</t>
  </si>
  <si>
    <t>ТЕРм34-01-220-23</t>
  </si>
  <si>
    <t>Экспресс-анализатор электрокардиосигналов</t>
  </si>
  <si>
    <t>ТЕРм34-01-220-24</t>
  </si>
  <si>
    <t>Электрокардиоанализатор (с блоком записи электрографическим)</t>
  </si>
  <si>
    <t>ТЕРм34-01-220-25</t>
  </si>
  <si>
    <t>Электрокардиограф 6 NЕК-401</t>
  </si>
  <si>
    <t>ТЕРм34-01-220-26</t>
  </si>
  <si>
    <t>Электрокардиограф (с комбинированным питанием)</t>
  </si>
  <si>
    <t>ТЕРм34-01-220-27</t>
  </si>
  <si>
    <t>Эхокардиоскоп</t>
  </si>
  <si>
    <t>ТЕРм34-01-220-28</t>
  </si>
  <si>
    <t>Эхотахокардиограф, масса до 0,01 т</t>
  </si>
  <si>
    <t>ТЕРм34-01-220-29</t>
  </si>
  <si>
    <t>Эхотахокардиограф УЗКАР-3</t>
  </si>
  <si>
    <t xml:space="preserve">                                   Оборудование для нерводиагностики</t>
  </si>
  <si>
    <t>ТЕРм34-01-221-01</t>
  </si>
  <si>
    <t>Анализатор состояния нервномышечной передачи</t>
  </si>
  <si>
    <t>ТЕРм34-01-221-02</t>
  </si>
  <si>
    <t>Измеритель последовательных реакций</t>
  </si>
  <si>
    <t>ТЕРм34-01-221-03</t>
  </si>
  <si>
    <t>Электромиорефлексометр</t>
  </si>
  <si>
    <t>ТЕРм34-01-221-04</t>
  </si>
  <si>
    <t>Электроэнцефалограф «Биоскрипт» БСТ-112</t>
  </si>
  <si>
    <t>ТЕРм34-01-221-05</t>
  </si>
  <si>
    <t>Электроэнцефалограф 16-ти канальный (Венгрия)</t>
  </si>
  <si>
    <t xml:space="preserve">                                   Оборудование для определения основного газообмена</t>
  </si>
  <si>
    <t>ТЕРм34-01-222-01</t>
  </si>
  <si>
    <t>Педиметатест</t>
  </si>
  <si>
    <t>ТЕРм34-01-222-02</t>
  </si>
  <si>
    <t>Спирограф открытого типа переносный «Спиро 2-25»</t>
  </si>
  <si>
    <t>ТЕРм34-01-223-01</t>
  </si>
  <si>
    <t>Велоэргометр</t>
  </si>
  <si>
    <t>ТЕРм34-01-223-02</t>
  </si>
  <si>
    <t>Капилляроскоп телевизионный (установка для исследования периферического кровообращения)</t>
  </si>
  <si>
    <t>ТЕРм34-01-223-03</t>
  </si>
  <si>
    <t>Тепловизор</t>
  </si>
  <si>
    <t>ТЕРм34-01-223-04</t>
  </si>
  <si>
    <t>Установка стереотаксическая для микроэлектродных исследований спинного и головного мозга животных</t>
  </si>
  <si>
    <t>ТЕРм34-01-223-05</t>
  </si>
  <si>
    <t>Эзофагогастродуоденоскоп биопсийный с волоконной оптикой</t>
  </si>
  <si>
    <t>ТЕРм34-01-223-06</t>
  </si>
  <si>
    <t>Электрогастрограф</t>
  </si>
  <si>
    <t>ТЕРм34-01-223-07</t>
  </si>
  <si>
    <t>Эргометр для детей</t>
  </si>
  <si>
    <t>ТЕРм34-01-223-08</t>
  </si>
  <si>
    <t>Эхотомоскоп</t>
  </si>
  <si>
    <t>ТЕРм34-01-223-09</t>
  </si>
  <si>
    <t>Эхоэнцефалоскоп без стола</t>
  </si>
  <si>
    <t xml:space="preserve">                                   Раздел 15. БОЛЬНИЧНОЕ ОБОРУДОВАНИЕ</t>
  </si>
  <si>
    <t xml:space="preserve">                                   Медицинские кровати</t>
  </si>
  <si>
    <t>ТЕРм34-01-230-01</t>
  </si>
  <si>
    <t>Кровать для больных костносуставным туберкулезом для детей и взрослых, травматологических больных, функциональная для взрослых, масса до 0,12 т</t>
  </si>
  <si>
    <t xml:space="preserve">                                   Столы</t>
  </si>
  <si>
    <t>ТЕРм34-01-231-01</t>
  </si>
  <si>
    <t>Стол анатомический</t>
  </si>
  <si>
    <t>ТЕРм34-01-231-02</t>
  </si>
  <si>
    <t>Стол операционный полевой</t>
  </si>
  <si>
    <t>ТЕРм34-01-231-03</t>
  </si>
  <si>
    <t>Стол операционный универсальный с моторным приводом</t>
  </si>
  <si>
    <t>ТЕРм34-01-231-04</t>
  </si>
  <si>
    <t>Стол операционный универсальный с автоматическим управлением</t>
  </si>
  <si>
    <t xml:space="preserve">                                   Оборудование молочных кухонь</t>
  </si>
  <si>
    <t>ТЕРм34-01-232-01</t>
  </si>
  <si>
    <t>Машина для дозировки детских молочных продуктов</t>
  </si>
  <si>
    <t>ТЕРм34-01-232-02</t>
  </si>
  <si>
    <t>Машина для мойки детских молочных бутылок</t>
  </si>
  <si>
    <t>ТЕРм34-01-233-01</t>
  </si>
  <si>
    <t>Машина моечная для игл и шприцев</t>
  </si>
  <si>
    <t>ТЕРм34-01-233-02</t>
  </si>
  <si>
    <t>Тележка внутрикорпусная универсальная и межкорпусная для патологоанатомических отделений, масса до 0,08 т</t>
  </si>
  <si>
    <t>ТЕРм34-01-233-03</t>
  </si>
  <si>
    <t>Тележка реанимационная для травматологических больных</t>
  </si>
  <si>
    <t>ТЕРм34-01-233-04</t>
  </si>
  <si>
    <t>Установка аэротерапевтическая, тип АТУ-1</t>
  </si>
  <si>
    <t>ТЕРм34-01-233-05</t>
  </si>
  <si>
    <t>Установка аэротерапевтическая, тип АТУ-3</t>
  </si>
  <si>
    <t>ТЕРм34-01-233-06</t>
  </si>
  <si>
    <t>Установка для предотвращения пролежней</t>
  </si>
  <si>
    <t>ТЕРм34-01-233-07</t>
  </si>
  <si>
    <t>Устройство весоизмерительное электротензометрическое</t>
  </si>
  <si>
    <t xml:space="preserve">                                   Раздел 16. ЛАБОРАТОРНОЕ ОБОРУДОВАНИЕ</t>
  </si>
  <si>
    <t xml:space="preserve">                                   Аппараты и приборы для гистологической обработки тканей</t>
  </si>
  <si>
    <t>ТЕРм34-01-240-01</t>
  </si>
  <si>
    <t>Автомат универсальный для гистологической обработки и окраски тканей</t>
  </si>
  <si>
    <t>ТЕРм34-01-240-02</t>
  </si>
  <si>
    <t>Макротом</t>
  </si>
  <si>
    <t>ТЕРм34-01-240-03</t>
  </si>
  <si>
    <t>Микротом для больших и парафиновых срезов и санный, масса до 0,06 т</t>
  </si>
  <si>
    <t>ТЕРм34-01-240-04</t>
  </si>
  <si>
    <t>Микротом-криостат</t>
  </si>
  <si>
    <t xml:space="preserve">                                   Аппараты и приборы с оптическим устройством</t>
  </si>
  <si>
    <t>ТЕРм34-01-241-01</t>
  </si>
  <si>
    <t>Гемоцитометр кондуктометрический</t>
  </si>
  <si>
    <t>ТЕРм34-01-241-02</t>
  </si>
  <si>
    <t>Колориметр типа «БИАН-120»</t>
  </si>
  <si>
    <t>ТЕРм34-01-241-03</t>
  </si>
  <si>
    <t>Комплекс гематологический, комплект 1</t>
  </si>
  <si>
    <t>ТЕРм34-01-241-04</t>
  </si>
  <si>
    <t>Комплекс гематологический, комплект 3</t>
  </si>
  <si>
    <t>ТЕРм34-01-241-05</t>
  </si>
  <si>
    <t>Комплекс гематологический, комплект 5</t>
  </si>
  <si>
    <t>ТЕРм34-01-241-06</t>
  </si>
  <si>
    <t>Микроколориметр фотоэлектрический</t>
  </si>
  <si>
    <t>ТЕРм34-01-241-07</t>
  </si>
  <si>
    <t>Осмометр</t>
  </si>
  <si>
    <t>ТЕРм34-01-241-08</t>
  </si>
  <si>
    <t>Рефрактометр</t>
  </si>
  <si>
    <t>ТЕРм34-01-241-09</t>
  </si>
  <si>
    <t>Спектрофотометр, тип СФ-16</t>
  </si>
  <si>
    <t>ТЕРм34-01-241-10</t>
  </si>
  <si>
    <t>Спектрофотометр, тип ИСК-22</t>
  </si>
  <si>
    <t>ТЕРм34-01-241-11</t>
  </si>
  <si>
    <t>Фотометр пламенный</t>
  </si>
  <si>
    <t>ТЕРм34-01-241-12</t>
  </si>
  <si>
    <t>Фракционатор</t>
  </si>
  <si>
    <t xml:space="preserve">                                   Термостаты и термостатирующие устройства</t>
  </si>
  <si>
    <t>ТЕРм34-01-242-01</t>
  </si>
  <si>
    <t>Термобаня ТБ-110</t>
  </si>
  <si>
    <t>ТЕРм34-01-242-02</t>
  </si>
  <si>
    <t>Термостат водяной 1ТЖ-0-03</t>
  </si>
  <si>
    <t>ТЕРм34-01-242-03</t>
  </si>
  <si>
    <t>Термостат для автолабораторий</t>
  </si>
  <si>
    <t>ТЕРм34-01-242-04</t>
  </si>
  <si>
    <t>Термостат для исследования гемокоагуляции с прозрачными стенками и для парафиновой заливки, масса до 0,07 т</t>
  </si>
  <si>
    <t>ТЕРм34-01-242-05</t>
  </si>
  <si>
    <t>Устройство термостатирующее</t>
  </si>
  <si>
    <t>ТЕРм34-01-243-01</t>
  </si>
  <si>
    <t>Центрифуга лабораторная клиническая и медицинская, масса до 0,018 т</t>
  </si>
  <si>
    <t>ТЕРм34-01-243-02</t>
  </si>
  <si>
    <t>Центрифуга лабораторная медицинская</t>
  </si>
  <si>
    <t>ТЕРм34-01-243-03</t>
  </si>
  <si>
    <t>Центрифуга рефрижераторная (Австрия)</t>
  </si>
  <si>
    <t>ТЕРм34-01-243-04</t>
  </si>
  <si>
    <t>Центрифуга рефрижераторная</t>
  </si>
  <si>
    <t xml:space="preserve">                                   Сушильные шкафы</t>
  </si>
  <si>
    <t>ТЕРм34-01-244-01</t>
  </si>
  <si>
    <t>Шкаф сушильный вакуумный и сушильно-стерилизационный, масса до 0,35 т</t>
  </si>
  <si>
    <t>ТЕРм34-01-244-02</t>
  </si>
  <si>
    <t>Шкаф сушильно-стерилизационный проходной, масса до 0,5 т</t>
  </si>
  <si>
    <t>ТЕРм34-01-245-01</t>
  </si>
  <si>
    <t>Анализатор агрегации тромбоцитов</t>
  </si>
  <si>
    <t>ТЕРм34-01-245-02</t>
  </si>
  <si>
    <t>Анализатор растворенного в воде кислорода</t>
  </si>
  <si>
    <t>ТЕРм34-01-245-03</t>
  </si>
  <si>
    <t>Аппарат для культивирования тканей во вращающихся пробирках</t>
  </si>
  <si>
    <t>ТЕРм34-01-245-04</t>
  </si>
  <si>
    <t>Аппарат для обессоливания биологических жидкостей</t>
  </si>
  <si>
    <t>ТЕРм34-01-245-05</t>
  </si>
  <si>
    <t>Аппарат для свертывания и инактивирования сыворотки</t>
  </si>
  <si>
    <t>ТЕРм34-01-245-06</t>
  </si>
  <si>
    <t>Аппарат для встряхивания жидкости, универсальный</t>
  </si>
  <si>
    <t>ТЕРм34-01-245-07</t>
  </si>
  <si>
    <t>Вращатель биохимический</t>
  </si>
  <si>
    <t>ТЕРм34-01-245-08</t>
  </si>
  <si>
    <t>Генератор электроаэрозолей групповой</t>
  </si>
  <si>
    <t>ТЕРм34-01-245-09</t>
  </si>
  <si>
    <t>Генератор электроаэрозолей индивидуальный - комплект 3 и 4, масса до 0,01 т</t>
  </si>
  <si>
    <t>ТЕРм34-01-245-10</t>
  </si>
  <si>
    <t>Люминоскоп</t>
  </si>
  <si>
    <t>ТЕРм34-01-245-11</t>
  </si>
  <si>
    <t>Машина моечная для больничной лабораторной посуды</t>
  </si>
  <si>
    <t>ТЕРм34-01-245-12</t>
  </si>
  <si>
    <t>Машина моечная для хирургического инструмента, двухсторонняя</t>
  </si>
  <si>
    <t>ТЕРм34-01-245-13</t>
  </si>
  <si>
    <t>Микроанализатор (Венгрия)</t>
  </si>
  <si>
    <t>ТЕРм34-01-245-14</t>
  </si>
  <si>
    <t>Микроанализатор (Дания)</t>
  </si>
  <si>
    <t>ТЕРм34-01-245-15</t>
  </si>
  <si>
    <t>Облучатель ультрафиолетовый для обнаружения витаминов в растворе</t>
  </si>
  <si>
    <t>ТЕРм34-01-245-16</t>
  </si>
  <si>
    <t>Прибор для отбора проб воздуха</t>
  </si>
  <si>
    <t>ТЕРм34-01-245-17</t>
  </si>
  <si>
    <t>Прибор для электрофореза</t>
  </si>
  <si>
    <t>ТЕРм34-01-245-18</t>
  </si>
  <si>
    <t>Приспособление для вакуумной заливки препаратов в парафин (без термостата)</t>
  </si>
  <si>
    <t>ТЕРм34-01-245-19</t>
  </si>
  <si>
    <t>Пробоотборник аэрозоля бактериологический</t>
  </si>
  <si>
    <t>ТЕРм34-01-245-20</t>
  </si>
  <si>
    <t>Установка компрессорная</t>
  </si>
  <si>
    <t xml:space="preserve">                                   Раздел 17. АППАРАТЫ, ПРИБОРЫ И ОБОРУДОВАНИЕ ДЛЯ СЛУЖБЫ КРОВИ</t>
  </si>
  <si>
    <t xml:space="preserve">                                   Сублимационные установки</t>
  </si>
  <si>
    <t>ТЕРм34-01-255-01</t>
  </si>
  <si>
    <t>Оборудование фирмы «Фригер» прилавок низкотемпературный</t>
  </si>
  <si>
    <t>ТЕРм34-01-255-02</t>
  </si>
  <si>
    <t>Оборудование фирмы «Фригер» установка сублимационная LZ-9.2</t>
  </si>
  <si>
    <t>ТЕРм34-01-255-03</t>
  </si>
  <si>
    <t>Оборудование фирмы «Фригер» установка сублимационная LZ-45.2; LZ-30.2</t>
  </si>
  <si>
    <t>ТЕРм34-01-256-01</t>
  </si>
  <si>
    <t>Аппарат для плазмофореза транспортабельный</t>
  </si>
  <si>
    <t>ТЕРм34-01-256-02</t>
  </si>
  <si>
    <t>Аппарат для разделения и обработки крови</t>
  </si>
  <si>
    <t xml:space="preserve">                                   Раздел 18. АППАРАТЫ, ПРИБОРЫ И ОБОРУДОВАНИЕ ДЛЯ МЕДИЦИНСКОЙ РАДИОЛОГИИ</t>
  </si>
  <si>
    <t xml:space="preserve">                                   Оборудование для радиологической лаборатории фирмы «Гамма»</t>
  </si>
  <si>
    <t>ТЕРм34-01-260-01</t>
  </si>
  <si>
    <t>Измеритель скорости счета, тип NР-352</t>
  </si>
  <si>
    <t>ТЕРм34-01-260-02</t>
  </si>
  <si>
    <t>Измеритель скорости счета, тип NР-356</t>
  </si>
  <si>
    <t>ТЕРм34-01-260-03</t>
  </si>
  <si>
    <t>Кровать диагностическая NZ-320</t>
  </si>
  <si>
    <t>ТЕРм34-01-260-04</t>
  </si>
  <si>
    <t>Прибор пересчетный двухканальный NР-354</t>
  </si>
  <si>
    <t>ТЕРм34-01-260-05</t>
  </si>
  <si>
    <t>Регистратор двухканальный NМ-302</t>
  </si>
  <si>
    <t>ТЕРм34-01-260-06</t>
  </si>
  <si>
    <t>Скенер профильный, тип МВ-7500</t>
  </si>
  <si>
    <t>ТЕРм34-01-260-07</t>
  </si>
  <si>
    <t>Скенер профильный, тип МВ-8100 «СЦИНЦИКАРТ-М»</t>
  </si>
  <si>
    <t>ТЕРм34-01-260-08</t>
  </si>
  <si>
    <t>Сменщик проб автоматический, тип NZ-310</t>
  </si>
  <si>
    <t>ТЕРм34-01-260-09</t>
  </si>
  <si>
    <t>Сменщик проб автоматический, тип NZ-322</t>
  </si>
  <si>
    <t>ТЕРм34-01-260-10</t>
  </si>
  <si>
    <t>Спектрометр NК-350</t>
  </si>
  <si>
    <t>ТЕРм34-01-260-11</t>
  </si>
  <si>
    <t>Устройство измерительное для полостного сцинтиллятора NZ-138А</t>
  </si>
  <si>
    <t>ТЕРм34-01-260-12</t>
  </si>
  <si>
    <t>Устройство цифропечатающее, с электронным блоком</t>
  </si>
  <si>
    <t>ТЕРм34-01-260-13</t>
  </si>
  <si>
    <t>Штатив для одной головки, тип NZ-267</t>
  </si>
  <si>
    <t>ТЕРм34-01-260-14</t>
  </si>
  <si>
    <t>Штатив для двух головок, тип NZ-268</t>
  </si>
  <si>
    <t xml:space="preserve">                                   Аппараты для радиоактивной диагностики и терапии</t>
  </si>
  <si>
    <t>ТЕРм34-01-261-01</t>
  </si>
  <si>
    <t>Гамма-топограф среднеэнергетический с двумя блоками детектирования</t>
  </si>
  <si>
    <t>ТЕРм34-01-261-02</t>
  </si>
  <si>
    <t>Комплекс приборов для исследования вентиляции и кровотока легких</t>
  </si>
  <si>
    <t>ТЕРм34-01-261-03</t>
  </si>
  <si>
    <t>Комплекс приборов для радиоизотопных динамических исследований объемного кровотока и скорости кровотока головного мозга</t>
  </si>
  <si>
    <t>ТЕРм34-01-261-04</t>
  </si>
  <si>
    <t>Комплекс приборов для радиоизотопных динамических исследований функций почек, печени и сердечно-сосудистой системы, тип КП-РДИ-3</t>
  </si>
  <si>
    <t xml:space="preserve">                                   Защитное оборудование</t>
  </si>
  <si>
    <t>ТЕРм34-01-262-01</t>
  </si>
  <si>
    <t>Установка для дезинфекции закрытых радиоактивных источников</t>
  </si>
  <si>
    <t>ТЕРм34-01-262-02</t>
  </si>
  <si>
    <t>Ширма защитная палатная (правая)</t>
  </si>
  <si>
    <t xml:space="preserve">                           Раздел 2. ОТДЕЛ 02. ОБОРУДОВАНИЕ ПРЕДПРИЯТИЙ МЕДИЦИНСКОЙ ПРОМЫШЛЕННОСТИ</t>
  </si>
  <si>
    <t xml:space="preserve">                                   Оборудование для изготовления таблеток</t>
  </si>
  <si>
    <t>ТЕРм34-02-001-01</t>
  </si>
  <si>
    <t>Гранулятор универсальный, производительность 100-600 кг/ч</t>
  </si>
  <si>
    <t>ТЕРм34-02-001-02</t>
  </si>
  <si>
    <t>Гранулятор универсальный, производительность 150-180 кг/ч</t>
  </si>
  <si>
    <t>ТЕРм34-02-001-03</t>
  </si>
  <si>
    <t>Машина роторная, таблеточная</t>
  </si>
  <si>
    <t>ТЕРм34-02-001-04</t>
  </si>
  <si>
    <t>Сито вращательно-вибрационное</t>
  </si>
  <si>
    <t>ТЕРм34-02-001-05</t>
  </si>
  <si>
    <t>Сушилка порционная с загрузкой до 2 кг</t>
  </si>
  <si>
    <t>ТЕРм34-02-001-06</t>
  </si>
  <si>
    <t>Сушилка порционная с загрузкой до 60 кг</t>
  </si>
  <si>
    <t>ТЕРм34-02-001-07</t>
  </si>
  <si>
    <t>Сушилка порционная с загрузкой до 200 кг</t>
  </si>
  <si>
    <t>ТЕРм34-02-001-08</t>
  </si>
  <si>
    <t>Установка для обеспыливания таблеток</t>
  </si>
  <si>
    <t>ТЕРм34-02-001-09</t>
  </si>
  <si>
    <t>Установка для покрытия таблеток защитными оболочками в кипящем слое</t>
  </si>
  <si>
    <t>ТЕРм34-02-001-11</t>
  </si>
  <si>
    <t>Установка для смешивания порошкообразных веществ</t>
  </si>
  <si>
    <t>ТЕРм34-02-001-10</t>
  </si>
  <si>
    <t>Автомат роторный</t>
  </si>
  <si>
    <t xml:space="preserve">                                   Оборудование для фасовки таблеток</t>
  </si>
  <si>
    <t>ТЕРм34-02-002-01</t>
  </si>
  <si>
    <t>Аппарат для гранулирования и сушки таблеточных смесей</t>
  </si>
  <si>
    <t>ТЕРм34-02-002-02</t>
  </si>
  <si>
    <t>Линия автоматическая для фасовки и упаковки таблеток и драже в полимерную пленку и фольгу</t>
  </si>
  <si>
    <t>ТЕРм34-02-002-03</t>
  </si>
  <si>
    <t>Автомат для фасовки таблеток в стеклянные трубки</t>
  </si>
  <si>
    <t>ТЕРм34-02-002-04</t>
  </si>
  <si>
    <t>Автомат для наклеивания этикеток</t>
  </si>
  <si>
    <t>ТЕРм34-02-002-05</t>
  </si>
  <si>
    <t>Автомат для укладки стеклянных трубок</t>
  </si>
  <si>
    <t>ТЕРм34-02-002-06</t>
  </si>
  <si>
    <t>Установка для сбора потерь таблето-массы</t>
  </si>
  <si>
    <t>ТЕРм34-02-002-07</t>
  </si>
  <si>
    <t>Машина для фасовки сухих порошков в ампулы</t>
  </si>
  <si>
    <t xml:space="preserve">                                   Оборудование для упаковки таблеток</t>
  </si>
  <si>
    <t>ТЕРм34-02-003-01</t>
  </si>
  <si>
    <t>Автомат для упаковки таблеток и драже в полимерную пленку и фольгу</t>
  </si>
  <si>
    <t>ТЕРм34-02-003-02</t>
  </si>
  <si>
    <t>Автомат для укладывания упаковок из полимерной пленки и фольги в пеналы</t>
  </si>
  <si>
    <t>ТЕРм34-02-003-03</t>
  </si>
  <si>
    <t>Автомат для упаковки таблеток в микропачки</t>
  </si>
  <si>
    <t>ТЕРм34-02-003-04</t>
  </si>
  <si>
    <t>Автомат для обандероливания микропачек целлофановой лентой</t>
  </si>
  <si>
    <t>ТЕРм34-02-003-05</t>
  </si>
  <si>
    <t>Автомат для укладывания микропачек в коробки</t>
  </si>
  <si>
    <t>ТЕРм34-02-003-06</t>
  </si>
  <si>
    <t>Автомат для упаковки таблеток в пеналы</t>
  </si>
  <si>
    <t>ТЕРм34-02-003-07</t>
  </si>
  <si>
    <t>Автомат упаковки таблеток</t>
  </si>
  <si>
    <t>ТЕРм34-02-003-08</t>
  </si>
  <si>
    <t>Установка для загрузки таблеточных прессов</t>
  </si>
  <si>
    <t>ТЕРм34-02-003-09</t>
  </si>
  <si>
    <t>Устройство для упаковки шипучих таблеток</t>
  </si>
  <si>
    <t xml:space="preserve">                                   Оборудование для расфасовки, стерилизации и упаковки кровезаменителей</t>
  </si>
  <si>
    <t>ТЕРм34-02-004-01</t>
  </si>
  <si>
    <t>Автомат для упаковки в картонные коробки</t>
  </si>
  <si>
    <t>ТЕРм34-02-004-02</t>
  </si>
  <si>
    <t>Автомат для комплектования и загибания резиновых и алюминиевых прокладок</t>
  </si>
  <si>
    <t>ТЕРм34-02-004-03</t>
  </si>
  <si>
    <t>Автомат для стерилизации резиновых пробок со стеклянной трубкой</t>
  </si>
  <si>
    <t>ТЕРм34-02-004-04</t>
  </si>
  <si>
    <t>Агрегат для охлаждения воздуха к автоматической установке</t>
  </si>
  <si>
    <t>ТЕРм34-02-004-05</t>
  </si>
  <si>
    <t>Излучатель ультрафиолетовый для стерилизации помещения</t>
  </si>
  <si>
    <t>ТЕРм34-02-004-06</t>
  </si>
  <si>
    <t>Машина круглоглицевальная бесщеточная</t>
  </si>
  <si>
    <t>ТЕРм34-02-004-07</t>
  </si>
  <si>
    <t>Машина полуавтоматическая для отвинчивания колпачков</t>
  </si>
  <si>
    <t>ТЕРм34-02-004-08</t>
  </si>
  <si>
    <t>Машина для проставления печатей на колпачках-затворах бутылок</t>
  </si>
  <si>
    <t>ТЕРм34-02-004-09</t>
  </si>
  <si>
    <t>Машина для обезжиривания колпачков</t>
  </si>
  <si>
    <t>ТЕРм34-02-004-10</t>
  </si>
  <si>
    <t>Машина автоматическая моечная</t>
  </si>
  <si>
    <t>ТЕРм34-02-004-11</t>
  </si>
  <si>
    <t>Машина для мойки пробок шприцеванием</t>
  </si>
  <si>
    <t>ТЕРм34-02-004-12</t>
  </si>
  <si>
    <t>Машина для прикатки уплотнительных шайб</t>
  </si>
  <si>
    <t>ТЕРм34-02-004-13</t>
  </si>
  <si>
    <t>Машина автоматическая этикетировочная для сдвижных коробок</t>
  </si>
  <si>
    <t>ТЕРм34-02-004-14</t>
  </si>
  <si>
    <t>Машина автоматическая для нанесения надписей на этикетки</t>
  </si>
  <si>
    <t>ТЕРм34-02-004-15</t>
  </si>
  <si>
    <t>Сушилка для бутылок</t>
  </si>
  <si>
    <t>ТЕРм34-02-004-16</t>
  </si>
  <si>
    <t>Установка для чистки, силикатирования, стерилизации, наполнения и закупорки бутылок, автоматическая</t>
  </si>
  <si>
    <t>ТЕРм34-02-004-17</t>
  </si>
  <si>
    <t>Установка для просвечивания бутылок</t>
  </si>
  <si>
    <t>ТЕРм34-02-004-18</t>
  </si>
  <si>
    <t>Установка для производства дистиллированной воды</t>
  </si>
  <si>
    <t>ТЕРм34-02-004-19</t>
  </si>
  <si>
    <t>Установка для транспорта загрузочных корзин в автоклав, грузоподъемность 1 т</t>
  </si>
  <si>
    <t>ТЕРм34-02-004-20</t>
  </si>
  <si>
    <t>Установка для амортизирования и сборки бутылок</t>
  </si>
  <si>
    <t>ТЕРм34-02-004-21</t>
  </si>
  <si>
    <t>Установка для обрызгивания бутылок</t>
  </si>
  <si>
    <t>ТЕРм34-02-004-22</t>
  </si>
  <si>
    <t>Установка вентиляционная для помещения стерильного розлива</t>
  </si>
  <si>
    <t>ТЕРм34-02-004-23</t>
  </si>
  <si>
    <t>Транспортер ленточный длиной до 4 м</t>
  </si>
  <si>
    <t>ТЕРм34-02-004-24</t>
  </si>
  <si>
    <t>Транспортер ленточный длиной до 8 м</t>
  </si>
  <si>
    <t>ТЕРм34-02-004-25</t>
  </si>
  <si>
    <t>Транспортер ленточный длиной до 11 м</t>
  </si>
  <si>
    <t>ТЕРм34-02-004-26</t>
  </si>
  <si>
    <t>Шкаф сушильный и стерилизационный для кровезаменителей</t>
  </si>
  <si>
    <t>ТЕРм34-02-004-27</t>
  </si>
  <si>
    <t>Стерилизатор непрерывного действия</t>
  </si>
  <si>
    <t xml:space="preserve">                                   Оборудование для ампулирования инъекционных растворов</t>
  </si>
  <si>
    <t>ТЕРм34-02-005-01</t>
  </si>
  <si>
    <t>Автомат для резки, оплавления и набора ампул</t>
  </si>
  <si>
    <t>ТЕРм34-02-005-02</t>
  </si>
  <si>
    <t>Автомат для упаковки ампул в полимерную пленку и фольгу</t>
  </si>
  <si>
    <t>ТЕРм34-02-005-03</t>
  </si>
  <si>
    <t>Линия автоматическая кассетного ампулирования</t>
  </si>
  <si>
    <t>ТЕРм34-02-005-04</t>
  </si>
  <si>
    <t>Линия автоматическая упаковки ампул в десятиместные коробки</t>
  </si>
  <si>
    <t>ТЕРм34-02-005-05</t>
  </si>
  <si>
    <t>Машина для запайки ампул</t>
  </si>
  <si>
    <t>ТЕРм34-02-005-06</t>
  </si>
  <si>
    <t>Машина для маркировки ампул</t>
  </si>
  <si>
    <t>ТЕРм34-02-005-07</t>
  </si>
  <si>
    <t>Машина для очистки капилляров ампул</t>
  </si>
  <si>
    <t>ТЕРм34-02-005-08</t>
  </si>
  <si>
    <t>Машина для укладки малоемких ампул в кассеты</t>
  </si>
  <si>
    <t>ТЕРм34-02-005-09</t>
  </si>
  <si>
    <t>Машина для визуального контроля ампул</t>
  </si>
  <si>
    <t>ТЕРм34-02-005-10</t>
  </si>
  <si>
    <t>Приставка к стеклоформующему полуавтомату</t>
  </si>
  <si>
    <t>ТЕРм34-02-005-11</t>
  </si>
  <si>
    <t>Печь для отжига ампул</t>
  </si>
  <si>
    <t>ТЕРм34-02-005-12</t>
  </si>
  <si>
    <t>Полуавтомат для пароконденсационной мойки ампул</t>
  </si>
  <si>
    <t>ТЕРм34-02-005-13</t>
  </si>
  <si>
    <t>Полуавтомат для внутренней мойки ампул</t>
  </si>
  <si>
    <t>ТЕРм34-02-005-14</t>
  </si>
  <si>
    <t>Полуавтомат для наполнения ампул</t>
  </si>
  <si>
    <t>ТЕРм34-02-005-15</t>
  </si>
  <si>
    <t>Полуавтомат для продавливания раствора из капилляров в ампулы с газовой защитой</t>
  </si>
  <si>
    <t>ТЕРм34-02-005-16</t>
  </si>
  <si>
    <t>Полуавтомат для групповой запайки ампул</t>
  </si>
  <si>
    <t>ТЕРм34-02-005-17</t>
  </si>
  <si>
    <t>Полуавтомат для откоса раствора из незаполненных ампул</t>
  </si>
  <si>
    <t>ТЕРм34-02-005-18</t>
  </si>
  <si>
    <t>Теплообменник пенный (дистиллятор)</t>
  </si>
  <si>
    <t>ТЕРм34-02-005-19</t>
  </si>
  <si>
    <t>Стол просмотровый</t>
  </si>
  <si>
    <t>ТЕРм34-02-005-20</t>
  </si>
  <si>
    <t>Установка для сушки ампул</t>
  </si>
  <si>
    <t>ТЕРм34-02-005-21</t>
  </si>
  <si>
    <t>Установка регенерации раствора из забракованных ампул</t>
  </si>
  <si>
    <t>ТЕРм34-02-005-22</t>
  </si>
  <si>
    <t>Установка фильтрационная</t>
  </si>
  <si>
    <t>ТЕРм34-02-005-23</t>
  </si>
  <si>
    <t>Установка для резки спаренных ампул и укладка в кассеты</t>
  </si>
  <si>
    <t>ТЕРм34-02-005-24</t>
  </si>
  <si>
    <t>Автомат упаковки ампул в коробки</t>
  </si>
  <si>
    <t xml:space="preserve">                                   Оборудование розлива и укупорки жидких медикаментов</t>
  </si>
  <si>
    <t>ТЕРм34-02-006-01</t>
  </si>
  <si>
    <t>Стол загрузочный или передаточный</t>
  </si>
  <si>
    <t>ТЕРм34-02-006-02</t>
  </si>
  <si>
    <t>Машина для дозирования жидких лекарственных средств</t>
  </si>
  <si>
    <t>ТЕРм34-02-006-03</t>
  </si>
  <si>
    <t>Автомат для укупорки флаконов</t>
  </si>
  <si>
    <t>ТЕРм34-02-006-04</t>
  </si>
  <si>
    <t>Полуавтомат для отбраковки</t>
  </si>
  <si>
    <t>ТЕРм34-02-006-05</t>
  </si>
  <si>
    <t>Автомат для наклейки этикеток на флаконы</t>
  </si>
  <si>
    <t>ТЕРм34-02-006-06</t>
  </si>
  <si>
    <t>Машина для печати серий и срока годности на этикетках</t>
  </si>
  <si>
    <t>ТЕРм34-02-006-07</t>
  </si>
  <si>
    <t>Автомат для оцеллофанирования пеналов</t>
  </si>
  <si>
    <t>ТЕРм34-02-006-08</t>
  </si>
  <si>
    <t>Автомат для укупорки стеклотары резьбовыми крышками</t>
  </si>
  <si>
    <t>ТЕРм34-02-006-09</t>
  </si>
  <si>
    <t>Автомат для укупорки стеклотары тампоном-уплотнителем</t>
  </si>
  <si>
    <t>ТЕРм34-02-006-10</t>
  </si>
  <si>
    <t>Автомат этикетировочный</t>
  </si>
  <si>
    <t>ТЕРм34-02-006-11</t>
  </si>
  <si>
    <t>Машина для мойки и сушки флаконов</t>
  </si>
  <si>
    <t xml:space="preserve">                                   Оборудование для стерилизации и дезинфекции ампул</t>
  </si>
  <si>
    <t>ТЕРм34-02-007-01</t>
  </si>
  <si>
    <t>Автоклав-стерилизатор</t>
  </si>
  <si>
    <t>ТЕРм34-02-007-02</t>
  </si>
  <si>
    <t>Установка для стерилизации и контроля ампул на герметичность</t>
  </si>
  <si>
    <t>ТЕРм34-02-008-01</t>
  </si>
  <si>
    <t>Кантователь емкости</t>
  </si>
  <si>
    <t>ТЕРм34-02-008-02</t>
  </si>
  <si>
    <t>Машина для турбулентной мойки и сушки стеклянной тары</t>
  </si>
  <si>
    <t>ТЕРм34-02-008-03</t>
  </si>
  <si>
    <t>Машина универсальная фасовочная для жидкостей и мазей</t>
  </si>
  <si>
    <t>ТЕРм34-02-008-04</t>
  </si>
  <si>
    <t>Сушилка непрерывного действия системы ИТМО</t>
  </si>
  <si>
    <t>ТЕРм34-02-008-05</t>
  </si>
  <si>
    <t>Установка для мойки и сушки стеклодрота с загрузкой дрота до 350 кг</t>
  </si>
  <si>
    <t>ТЕРм34-02-008-06</t>
  </si>
  <si>
    <t>Установка для обезвоживания водных растворов и экстрактов в аппарате кипящего слоя</t>
  </si>
  <si>
    <t>ТЕРм34-02-008-07</t>
  </si>
  <si>
    <t>Фильтр патронный с механическим съемом сухого осадка</t>
  </si>
  <si>
    <t>ТЕРм34-02-008-08</t>
  </si>
  <si>
    <t>Агрегат автоматический для сортировки клапанов</t>
  </si>
  <si>
    <t>ТЕРм34-02-008-09</t>
  </si>
  <si>
    <t>Установка автоматическая для насадки вертикальных распылительных головок</t>
  </si>
  <si>
    <t>ТЕРм34-02-008-10</t>
  </si>
  <si>
    <t>Ванна автоматическая универсальная испытательная</t>
  </si>
  <si>
    <t>ТЕРм34-02-008-11</t>
  </si>
  <si>
    <t>Установка автоматическая для укладки коробок в картонные ящики</t>
  </si>
  <si>
    <t>ТЕРм34-02-008-12</t>
  </si>
  <si>
    <t>Установка автоматическая шелкографическая непрерывного действия</t>
  </si>
  <si>
    <t>ТЕРм34-02-008-13</t>
  </si>
  <si>
    <t>Бункер колпачков (или распылителей)</t>
  </si>
  <si>
    <t>ТЕРм34-02-008-14</t>
  </si>
  <si>
    <t>Детектор двадцатичетырехпозиционный</t>
  </si>
  <si>
    <t>ТЕРм34-02-008-15</t>
  </si>
  <si>
    <t>Устройство кодирующее</t>
  </si>
  <si>
    <t>ТЕРм34-02-008-16</t>
  </si>
  <si>
    <t>Установка компрессорная, масса до 0,4 т</t>
  </si>
  <si>
    <t>ТЕРм34-02-008-17</t>
  </si>
  <si>
    <t>Установка компрессорная, масса до 1,5 т</t>
  </si>
  <si>
    <t>ТЕРм34-02-008-18</t>
  </si>
  <si>
    <t>Установка компрессорная, масса до 2 т</t>
  </si>
  <si>
    <t>ТЕРм34-02-008-19</t>
  </si>
  <si>
    <t>Машина для мойки баллонов с фильтрами для воды и сжатого воздуха</t>
  </si>
  <si>
    <t>ТЕРм34-02-008-20</t>
  </si>
  <si>
    <t>Машина для отбраковки наполненных баллонов</t>
  </si>
  <si>
    <t>ТЕРм34-02-008-21</t>
  </si>
  <si>
    <t>Машина для упаковки в картонные коробки</t>
  </si>
  <si>
    <t>ТЕРм34-02-008-22</t>
  </si>
  <si>
    <t>Насос перекачки</t>
  </si>
  <si>
    <t>ТЕРм34-02-008-23</t>
  </si>
  <si>
    <t>Селектор</t>
  </si>
  <si>
    <t>ТЕРм34-02-008-24</t>
  </si>
  <si>
    <t>Транспортер многодорожечный специальный</t>
  </si>
  <si>
    <t>ТЕРм34-02-008-25</t>
  </si>
  <si>
    <t>Специальная сушильная печь</t>
  </si>
  <si>
    <t>ТЕРм34-02-008-26</t>
  </si>
  <si>
    <t>Стол поворотный</t>
  </si>
  <si>
    <t>ТЕРм34-02-008-27</t>
  </si>
  <si>
    <t>Конвейер (сушильная лента)</t>
  </si>
  <si>
    <t>ТЕРм34-02-008-28</t>
  </si>
  <si>
    <t>Устройство транспортное с механическим манипулятором</t>
  </si>
  <si>
    <t>ТЕРм34-02-008-29</t>
  </si>
  <si>
    <t>Автомат для упаковки инъекционных игл</t>
  </si>
  <si>
    <t>ТЕРм34-02-008-30</t>
  </si>
  <si>
    <t>Автомат для индивидуальной упаковки нестерильных бинтов в полимерную пленку</t>
  </si>
  <si>
    <t>ТЕРм34-02-008-31</t>
  </si>
  <si>
    <t>Автомат роторно-пульсационный для приготовления ряда мягких лекарственных форм</t>
  </si>
  <si>
    <t>ТЕРм34-02-008-32</t>
  </si>
  <si>
    <t>Машина для намотки марлевых рулонов</t>
  </si>
  <si>
    <t>ТЕРм34-02-008-33</t>
  </si>
  <si>
    <t>Пресс валковый с растяжным устройством</t>
  </si>
  <si>
    <t>ТЕРм34-02-008-34</t>
  </si>
  <si>
    <t>Автомат для единой упаковки мазей</t>
  </si>
  <si>
    <t>ТЕРм34-02-008-35</t>
  </si>
  <si>
    <t>Автомат для упаковки лейкопластырей в безъячейковую контурную тару</t>
  </si>
  <si>
    <t>ТЕРм34-02-008-36</t>
  </si>
  <si>
    <t>Автомат для упаковки лейкопластырей в пакеты</t>
  </si>
  <si>
    <t>ТЕРм34-02-008-37</t>
  </si>
  <si>
    <t>Автомат роторный для прессования лекарственных трав</t>
  </si>
  <si>
    <t>ТЕРм34-02-008-38</t>
  </si>
  <si>
    <t>Автомат роторный для прессования лекарственных трав, с транспортером</t>
  </si>
  <si>
    <t>ТЕРм34-02-008-39</t>
  </si>
  <si>
    <t>Полуавтомат для изготовления флаконов из дрота</t>
  </si>
  <si>
    <t>ТЕРм34-02-008-40</t>
  </si>
  <si>
    <t>Установка для нанесения и сушки грунта</t>
  </si>
  <si>
    <t>ТЕРм34-02-008-41</t>
  </si>
  <si>
    <t>Установка для упаривания водных экстрактов в пенном режиме</t>
  </si>
  <si>
    <t>ТЕРм34-02-008-42</t>
  </si>
  <si>
    <t>Машина для склейки пачек</t>
  </si>
  <si>
    <t>ТЕРм34-02-008-43</t>
  </si>
  <si>
    <t>Фильтр-пресс для инъекционных растворов</t>
  </si>
  <si>
    <t>ТЕРм34-02-008-44</t>
  </si>
  <si>
    <t>Гомогенизатор роликовый</t>
  </si>
  <si>
    <t>ТЕРм34-02-008-45</t>
  </si>
  <si>
    <t>Аппарат розлива суппозиториев и губных карандашей</t>
  </si>
  <si>
    <t>ТЕРм34-02-008-46</t>
  </si>
  <si>
    <t>Вибросито лабораторное</t>
  </si>
  <si>
    <t>ТЕРм34-02-008-47</t>
  </si>
  <si>
    <t>Дробилка лабораторная</t>
  </si>
  <si>
    <t>ТЕРм34-02-008-48</t>
  </si>
  <si>
    <t>Мазетерка трехвалковая</t>
  </si>
  <si>
    <t>ТЕРм34-02-008-49</t>
  </si>
  <si>
    <t>Машина месильная</t>
  </si>
  <si>
    <t>ТЕРм34-02-008-50</t>
  </si>
  <si>
    <t>Мельница шаровая</t>
  </si>
  <si>
    <t>ТЕРм34-02-008-51</t>
  </si>
  <si>
    <t>Идентификатор лабораторный</t>
  </si>
  <si>
    <t>ТЕРм34-02-008-52</t>
  </si>
  <si>
    <t>Прибор для истирания таблеток</t>
  </si>
  <si>
    <t>ТЕРм34-02-008-53</t>
  </si>
  <si>
    <t>Прибор для вибрационного уплотнения таблеток</t>
  </si>
  <si>
    <t>ТЕРм34-02-008-54</t>
  </si>
  <si>
    <t>Прибор для автоматического контроля таблеток</t>
  </si>
  <si>
    <t>ТЕРм34-02-008-55</t>
  </si>
  <si>
    <t>Прибор для смешения и дражирования лекарственных веществ</t>
  </si>
  <si>
    <t>ТЕРм34-02-008-56</t>
  </si>
  <si>
    <t>Прибор для растворения лекарственных веществ</t>
  </si>
  <si>
    <t>ТЕРм34-02-008-57</t>
  </si>
  <si>
    <t>Автомат для групповой укладки ячейковых упаковок</t>
  </si>
  <si>
    <t>ТЕРм34-02-008-58</t>
  </si>
  <si>
    <t>Автомат для групповой упаковки пачек</t>
  </si>
  <si>
    <t>ТЕРм34-02-008-59</t>
  </si>
  <si>
    <t>Автомат для складывания салфеток</t>
  </si>
  <si>
    <t>ТЕРм34-02-008-63</t>
  </si>
  <si>
    <t>Автомат для изготовления и индивидуальной упаковки липких пленок</t>
  </si>
  <si>
    <t>ТЕРм34-02-008-60</t>
  </si>
  <si>
    <t>Пресс таблеточный</t>
  </si>
  <si>
    <t>ТЕРм34-02-008-61</t>
  </si>
  <si>
    <t>Приставка к таблеточному прессу</t>
  </si>
  <si>
    <t>ТЕРм34-02-008-62</t>
  </si>
  <si>
    <t>Установка ламинарного потока</t>
  </si>
  <si>
    <t>ТЕРм34-02-008-64</t>
  </si>
  <si>
    <t>Машина для разрезания рулона марли на рулончики</t>
  </si>
  <si>
    <t>ТЕРм34-02-008-65</t>
  </si>
  <si>
    <t>Машина для укладки флаконов в 20-местные коробки</t>
  </si>
  <si>
    <t>ТЕРм34-02-008-66</t>
  </si>
  <si>
    <t>ТЕРм34-02-008-67</t>
  </si>
  <si>
    <t>Машина для укладки флаконов в пачки</t>
  </si>
  <si>
    <t>ТЕРм34-02-008-68</t>
  </si>
  <si>
    <t>Приставка для извлечения таблеток с металлическими включениями</t>
  </si>
  <si>
    <t>ТЕРм34-02-008-69</t>
  </si>
  <si>
    <t>Установка для изготовления и наполнения полимерных емкостей</t>
  </si>
  <si>
    <t>ТЕРм34-02-008-70</t>
  </si>
  <si>
    <t>Экстрактор с водным экстрагеном</t>
  </si>
  <si>
    <t xml:space="preserve">                           Раздел 1. ОТДЕЛ 01. ОБОРУДОВАНИЕ СЕЛЬСКОХОЗЯЙСТВЕННЫХ ПРОИЗВОДСТВ</t>
  </si>
  <si>
    <t xml:space="preserve">                                   Раздел 1. ОБОРУДОВАНИЕ ФЕРМ ДЛЯ СОДЕРЖАНИЯ КРУПНОГО РОГАТОГО СКОТА</t>
  </si>
  <si>
    <t xml:space="preserve">                                   Доильные установки</t>
  </si>
  <si>
    <t>ТЕРм35-01-001-01</t>
  </si>
  <si>
    <t>Установка доильная со станками «Тандем» на 8 мест, тип УДТ-8</t>
  </si>
  <si>
    <t>ТЕРм35-01-001-02</t>
  </si>
  <si>
    <t>Установка доильная со станками «Елочка» на 16 мест, тип УДЕ-8А</t>
  </si>
  <si>
    <t>ТЕРм35-01-001-03</t>
  </si>
  <si>
    <t>Установка для доения коров в центральный молокопровод, тип «Молокопровод-100»</t>
  </si>
  <si>
    <t>ТЕРм35-01-001-04</t>
  </si>
  <si>
    <t>Установка для доения коров в центральный молокопровод, тип «Молокопровод-200»</t>
  </si>
  <si>
    <t>ТЕРм35-01-001-05</t>
  </si>
  <si>
    <t>Установка для доения коров в центральный молокопровод, тип фирмы «Импульс»</t>
  </si>
  <si>
    <t>ТЕРм35-01-001-06</t>
  </si>
  <si>
    <t>Агрегат для доения коров в переносные ведра, тип ДАС-2В</t>
  </si>
  <si>
    <t>ТЕРм35-01-001-07</t>
  </si>
  <si>
    <t>Установка универсальная доильная, тип УДС-3Б (передвижная)</t>
  </si>
  <si>
    <t>ТЕРм35-01-001-08</t>
  </si>
  <si>
    <t>Молокопровод из стеклянных труб диаметром 40 мм для дополнительных участков доильных установок</t>
  </si>
  <si>
    <t>ТЕРм35-01-001-09</t>
  </si>
  <si>
    <t>Вакуумпровод из стальных труб диаметром 25 мм для дополнительных участков доильных установок</t>
  </si>
  <si>
    <t>ТЕРм35-01-001-10</t>
  </si>
  <si>
    <t>Агрегат доильный с молокопроводом, тип АДМ-8-100</t>
  </si>
  <si>
    <t>ТЕРм35-01-001-11</t>
  </si>
  <si>
    <t>Агрегат доильный с молокопроводом, тип АДМ-8-200</t>
  </si>
  <si>
    <t>ТЕРм35-01-001-12</t>
  </si>
  <si>
    <t>Агрегат доильный, тип АД-100Б</t>
  </si>
  <si>
    <t>ТЕРм35-01-001-13</t>
  </si>
  <si>
    <t>Установка доильная автоматизированная «Елочка» на 16 мест, тип УДА-16</t>
  </si>
  <si>
    <t>ТЕРм35-01-001-14</t>
  </si>
  <si>
    <t>Установка доильная автоматизированная «Тандем» на 8 мест, тип УДА-8</t>
  </si>
  <si>
    <t xml:space="preserve">                                   Транспортеры и погрузчики</t>
  </si>
  <si>
    <t>ТЕРм35-01-002-01</t>
  </si>
  <si>
    <t>Транспортер-раздатчик кормов длиной 77,5 м с деревянными кормушками, тип ТВК-80А</t>
  </si>
  <si>
    <t>ТЕРм35-01-002-02</t>
  </si>
  <si>
    <t>При изменении длины транспортера с деревянными кормушками типа ТВК-80А добавлять или исключать на каждый 1 м</t>
  </si>
  <si>
    <t>ТЕРм35-01-002-03</t>
  </si>
  <si>
    <t>Транспортер-раздатчик кормов длиной 77,5 м без деревянных кормушек, тип ТВК-80А</t>
  </si>
  <si>
    <t>ТЕРм35-01-002-04</t>
  </si>
  <si>
    <t>При изменении длины транспортера без деревянных кормушек типа ТВК-80А добавлять или исключать на каждый 1 м</t>
  </si>
  <si>
    <t>ТЕРм35-01-002-05</t>
  </si>
  <si>
    <t>Транспортер кормов ступенчатый, рабочая длина горизонтального транспортера 41,62 м горизонтально-наклонного 14,77 м, тип ТКС-6</t>
  </si>
  <si>
    <t>ТЕРм35-01-002-06</t>
  </si>
  <si>
    <t>При изменении рабочей длины транспортера кормов ступенчатого типа ТКС-6 добавлять или исключать на каждый 1 м</t>
  </si>
  <si>
    <t>ТЕРм35-01-002-07</t>
  </si>
  <si>
    <t>Транспортер тюков, рабочая длина горизонтального транспортера 66,2 м, наклонного -10,27 м, тип ТТ-4</t>
  </si>
  <si>
    <t>ТЕРм35-01-002-08</t>
  </si>
  <si>
    <t>При изменении рабочей длины транспортера на промежуточную секцию длиной 1,75 м, добавлять или исключать на каждую 1 секцию</t>
  </si>
  <si>
    <t>ТЕРм35-01-002-09</t>
  </si>
  <si>
    <t>Кормораздатчик стационарный внутри кормушек длиной 75 м, тип ТВК-80Б</t>
  </si>
  <si>
    <t>ТЕРм35-01-002-10</t>
  </si>
  <si>
    <t>При изменении длины кормораздатчика типа ТВК-80Б добавлять или исключать на каждый 1 м</t>
  </si>
  <si>
    <t>ТЕРм35-01-002-11</t>
  </si>
  <si>
    <t>Раздатчик кормов стационарный, тип РК-50</t>
  </si>
  <si>
    <t xml:space="preserve">                                   Навозоуборочное оборудование</t>
  </si>
  <si>
    <t>ТЕРм35-01-003-01</t>
  </si>
  <si>
    <t>Транспортер штанговый, длина горизонтального транспортера 170 м, наклонного 6,8 м тип ТШ-30А</t>
  </si>
  <si>
    <t>ТЕРм35-01-003-02</t>
  </si>
  <si>
    <t>При изменении длины транспортера типа ТШ-30А добавлять или исключать на каждый 1 м</t>
  </si>
  <si>
    <t>ТЕРм35-01-003-03</t>
  </si>
  <si>
    <t>Транспортер скребковый, длина цепи горизонтального 170 м, наклонного 13,2 м, тип ТСН-3Б</t>
  </si>
  <si>
    <t>ТЕРм35-01-003-04</t>
  </si>
  <si>
    <t>При изменении длины цепи транспортера типа ТСН-3Б добавлять или исключать на каждый 1 м</t>
  </si>
  <si>
    <t>ТЕРм35-01-003-05</t>
  </si>
  <si>
    <t>Транспортер скребковый, длина цепи 170 м, ТСН-2Б</t>
  </si>
  <si>
    <t>ТЕРм35-01-003-06</t>
  </si>
  <si>
    <t>При изменении длины цепи транспортера типа ТСН-2Б добавлять или исключать на каждый 1 м</t>
  </si>
  <si>
    <t>ТЕРм35-01-003-07</t>
  </si>
  <si>
    <t>Транспортер скребковый, длина цепи горизонтального 50 м, наклонного 13,04 м, тип ТСН-160А</t>
  </si>
  <si>
    <t>ТЕРм35-01-003-08</t>
  </si>
  <si>
    <t>При изменении длины транспортера типа ТСН-160А добавлять или исключать на каждый 1 м</t>
  </si>
  <si>
    <t>ТЕРм35-01-003-09</t>
  </si>
  <si>
    <t>Вагонетка для навоза электрифицированная, тип ВНЭ-1-Б</t>
  </si>
  <si>
    <t>ТЕРм35-01-003-10</t>
  </si>
  <si>
    <t>Установка скреперная для уборки навоза, тип УСН-8</t>
  </si>
  <si>
    <t>ТЕРм35-01-003-11</t>
  </si>
  <si>
    <t>Скрепер цепной при длине цепи 170 м, тип УС-15</t>
  </si>
  <si>
    <t>ТЕРм35-01-003-12</t>
  </si>
  <si>
    <t>При изменении длины цепи скрепера типа УС-15 добавлять или исключать на каждый 1 м</t>
  </si>
  <si>
    <t>ТЕРм35-01-003-13</t>
  </si>
  <si>
    <t>Установка пневматической транспортировки навоза, тип УПН-15, на число помещений 2</t>
  </si>
  <si>
    <t>ТЕРм35-01-003-14</t>
  </si>
  <si>
    <t>Установка пневматической транспортировки навоза, тип УПН-15, на число помещений 4</t>
  </si>
  <si>
    <t>ТЕРм35-01-003-15</t>
  </si>
  <si>
    <t>Установка пневматической транспортировки навоза, тип УПН-15, на число помещений 6</t>
  </si>
  <si>
    <t>ТЕРм35-01-003-16</t>
  </si>
  <si>
    <t>Установка для транспортировки навоза по трубопроводу, тип УТН-10</t>
  </si>
  <si>
    <t>ТЕРм35-01-003-17</t>
  </si>
  <si>
    <t>Установка для выгрузки и загрузки навоза, тип УВН-800</t>
  </si>
  <si>
    <t>ТЕРм35-01-003-18</t>
  </si>
  <si>
    <t>Установка скреперная для уборки навоза, тип УС-250</t>
  </si>
  <si>
    <t xml:space="preserve">                                   Танки-охладители молока</t>
  </si>
  <si>
    <t>ТЕРм35-01-004-01</t>
  </si>
  <si>
    <t>Танк - охладитель молока, тип ТОВ-1</t>
  </si>
  <si>
    <t>ТЕРм35-01-004-02</t>
  </si>
  <si>
    <t>Танк - охладитель молока, тип ТО-2</t>
  </si>
  <si>
    <t>ТЕРм35-01-004-03</t>
  </si>
  <si>
    <t>Танк - охладитель молока, тип ТОМ-2А</t>
  </si>
  <si>
    <t>ТЕРм35-01-004-04</t>
  </si>
  <si>
    <t>Резервуар-охладитель молока, тип РПО-2,5</t>
  </si>
  <si>
    <t>ТЕРм35-01-004-05</t>
  </si>
  <si>
    <t>Резервуар-охладитель молока, тип РПО-1,6</t>
  </si>
  <si>
    <t>ТЕРм35-01-004-06</t>
  </si>
  <si>
    <t>Резервуар-охладитель молока, тип МКА-2000Л</t>
  </si>
  <si>
    <t>ТЕРм35-01-005-01</t>
  </si>
  <si>
    <t>Очиститель-охладитель молока, тип ОМ-1</t>
  </si>
  <si>
    <t>ТЕРм35-01-005-02</t>
  </si>
  <si>
    <t>Электроизгородь тип ЭК-1М</t>
  </si>
  <si>
    <t>ТЕРм35-01-005-03</t>
  </si>
  <si>
    <t>Установка водоохлаждающая, тип АВ-30</t>
  </si>
  <si>
    <t>ТЕРм35-01-005-04</t>
  </si>
  <si>
    <t>Установка водоохлаждающая, тип УВ-10</t>
  </si>
  <si>
    <t>ТЕРм35-01-005-05</t>
  </si>
  <si>
    <t>Отделитель механических включений для очистки жидкого навоза, тип ОМВ-200</t>
  </si>
  <si>
    <t>ТЕРм35-01-005-06</t>
  </si>
  <si>
    <t>Оборудование стойловое для коров, тип ОСК-25А</t>
  </si>
  <si>
    <t>ТЕРм35-01-005-07</t>
  </si>
  <si>
    <t>Установка приточно-вытяжная, тип ПВУ-4</t>
  </si>
  <si>
    <t>ТЕРм35-01-005-08</t>
  </si>
  <si>
    <t>Оборудование для содержания телят, тип ОСТ-50</t>
  </si>
  <si>
    <t>ТЕРм35-01-005-09</t>
  </si>
  <si>
    <t>Комплект оборудования для содержания телят в возрасте до 90 дней, тип КИТ-00.000</t>
  </si>
  <si>
    <t xml:space="preserve">                                   Раздел 2. ОБОРУДОВАНИЕ ФЕРМ ДЛЯ СОДЕРЖАНИЯ СВИНЕЙ</t>
  </si>
  <si>
    <t xml:space="preserve">                                   Раздатчики кормов</t>
  </si>
  <si>
    <t>ТЕРм35-01-024-01</t>
  </si>
  <si>
    <t>Кормораздатчик с кормопроводом-дозатором и бункером-накопителем объемом 10 м3, тип КДС-2, длина кормопровода 88 м</t>
  </si>
  <si>
    <t>ТЕРм35-01-024-02</t>
  </si>
  <si>
    <t>При изменении длины кормопровода на промежуточную секцию (длиной 4 м) добавлять или исключать на каждую секцию</t>
  </si>
  <si>
    <t>ТЕРм35-01-024-03</t>
  </si>
  <si>
    <t>Раздатчик кормов, длина линии раздачи 65,44 м, тип РКС-3000М</t>
  </si>
  <si>
    <t>ТЕРм35-01-024-04</t>
  </si>
  <si>
    <t>При изменении длины линии раздачи кормов типа РКС-3000М добавлять или исключать на каждый 1м</t>
  </si>
  <si>
    <t>ТЕРм35-01-024-05</t>
  </si>
  <si>
    <t>Раздатчик кормов, длина линии раздачи 65,44 м, тип РКС-3000М-П</t>
  </si>
  <si>
    <t>ТЕРм35-01-024-06</t>
  </si>
  <si>
    <t>При изменении длины линии раздачи кормов типа РКС-3000М-П добавлять или исключать на каждый 1 м</t>
  </si>
  <si>
    <t>ТЕРм35-01-024-07</t>
  </si>
  <si>
    <t>Раздатчик кормов автоматический, длина линии раздачи 88 м, тип РКА-1000</t>
  </si>
  <si>
    <t>ТЕРм35-01-024-08</t>
  </si>
  <si>
    <t>При изменении длины линии раздачи кормов типа РКА-1000 добавлять или исключать на каждый 1 м</t>
  </si>
  <si>
    <t>ТЕРм35-01-024-09</t>
  </si>
  <si>
    <t>Раздатчик кормов автоматический, длина линии раздачи 88 м, тип РКА-2000</t>
  </si>
  <si>
    <t>ТЕРм35-01-024-10</t>
  </si>
  <si>
    <t>При изменении длины линии раздачи кормов типа РКА-2000 добавлять или исключать на каждый 1 м</t>
  </si>
  <si>
    <t>ТЕРм35-01-024-11</t>
  </si>
  <si>
    <t>Раздатчик кормов, тип КЭС-1,7</t>
  </si>
  <si>
    <t>ТЕРм35-01-025-01</t>
  </si>
  <si>
    <t>Транспортер скребковый продольный, длина 96 м, тип ТС-1-01</t>
  </si>
  <si>
    <t>ТЕРм35-01-025-02</t>
  </si>
  <si>
    <t>При изменении длины транспортера типа ТС-1-01 на промежуточную секцию длиной 22 м добавлять или исключать на каждую секцию</t>
  </si>
  <si>
    <t>ТЕРм35-01-025-03</t>
  </si>
  <si>
    <t>Транспортер скребковый поперечный, длина 120 м, тип ТС-1-02</t>
  </si>
  <si>
    <t>ТЕРм35-01-025-04</t>
  </si>
  <si>
    <t>При изменении длины транспортера типа ТС-1-02 на промежуточную секцию длиной 22 м добавлять или исключать на каждую секцию</t>
  </si>
  <si>
    <t>ТЕРм35-01-025-05</t>
  </si>
  <si>
    <t>Навозопогрузчик ковшовый с цепной передачей, тип НПК-30</t>
  </si>
  <si>
    <t>ТЕРм35-01-025-06</t>
  </si>
  <si>
    <t>Насос шнековый стационарный, тип НШ-50-1</t>
  </si>
  <si>
    <t>ТЕРм35-01-025-07</t>
  </si>
  <si>
    <t>Установка скреперная для уборки навоза, тип УС-12</t>
  </si>
  <si>
    <t xml:space="preserve">                                   Кормушки</t>
  </si>
  <si>
    <t>ТЕРм35-01-026-01</t>
  </si>
  <si>
    <t>Кормушка для сухих кормов односторонняя на 5 мест, тип СМ-1</t>
  </si>
  <si>
    <t>ТЕРм35-01-026-02</t>
  </si>
  <si>
    <t>Кормушка для сухих кормов двухсторонняя на 12 мест, тип АКТ</t>
  </si>
  <si>
    <t>ТЕРм35-01-026-03</t>
  </si>
  <si>
    <t>Кормушка унифицированная бункерная для поросят, тип КУБ-4</t>
  </si>
  <si>
    <t xml:space="preserve">                                   Автопоилки</t>
  </si>
  <si>
    <t>ТЕРм35-01-027-01</t>
  </si>
  <si>
    <t>Автопоилка групповая для свиней, тип АГС-24</t>
  </si>
  <si>
    <t>ТЕРм35-01-027-02</t>
  </si>
  <si>
    <t>Автопоилка двухчашечная для свиней, тип ПАС-2А</t>
  </si>
  <si>
    <t>ТЕРм35-01-027-03</t>
  </si>
  <si>
    <t>Автопоилка самоочищающаяся, тип ПСС-1</t>
  </si>
  <si>
    <t>ТЕРм35-01-027-04</t>
  </si>
  <si>
    <t>Автопоилка сосковая для свиней, тип ПБС-1</t>
  </si>
  <si>
    <t>ТЕРм35-01-027-05</t>
  </si>
  <si>
    <t>Автопоилка бесчашечная сосковая для поросят-сосунков, тип ПБП-1</t>
  </si>
  <si>
    <t>ТЕРм35-01-028-01</t>
  </si>
  <si>
    <t>Станок для свиноматок, тип ССИ-2</t>
  </si>
  <si>
    <t>ТЕРм35-01-028-02</t>
  </si>
  <si>
    <t>Оборудование станочное для 60 подсосных свиноматок, тип ОСМ-60-1</t>
  </si>
  <si>
    <t>ТЕРм35-01-028-03</t>
  </si>
  <si>
    <t>Блок станков для свиней на откорме, тип ОСК 54.02.000</t>
  </si>
  <si>
    <t>ТЕРм35-01-028-04</t>
  </si>
  <si>
    <t>Блок станков для хряков, тип КПС-108.13.00.000</t>
  </si>
  <si>
    <t>ТЕРм35-01-029-01</t>
  </si>
  <si>
    <t>Установка для приготовления искусственного молока из порошка, тип КПС 108.49.00.000</t>
  </si>
  <si>
    <t xml:space="preserve">                                   Раздел 3. ОБОРУДОВАНИЕ КОРМОЦЕХОВ</t>
  </si>
  <si>
    <t xml:space="preserve">                                   Оборудование для приготовления кормов</t>
  </si>
  <si>
    <t>ТЕРм35-01-050-01</t>
  </si>
  <si>
    <t>Агрегат для приготовления комбикормов, тип АКН-1М</t>
  </si>
  <si>
    <t>ТЕРм35-01-050-02</t>
  </si>
  <si>
    <t>Агрегат для приготовления комбикормов, тип АПК-10А</t>
  </si>
  <si>
    <t>ТЕРм35-01-050-03</t>
  </si>
  <si>
    <t>Агрегат комбикормовый автоматизированный, тип ОКЦ-30</t>
  </si>
  <si>
    <t>ТЕРм35-01-050-04</t>
  </si>
  <si>
    <t>Агрегат комбикормовый автоматизированный, тип ОКЦ-15</t>
  </si>
  <si>
    <t>ТЕРм35-01-050-05</t>
  </si>
  <si>
    <t>Агрегат кормоприготовительный, тип ЗПК-4</t>
  </si>
  <si>
    <t>ТЕРм35-01-050-06</t>
  </si>
  <si>
    <t>Агрегат для приготовления заменителя молока, тип АЗМ-0,8</t>
  </si>
  <si>
    <t>ТЕРм35-01-050-07</t>
  </si>
  <si>
    <t>Комплект оборудования кормоцеха, тип «Маяк-6»</t>
  </si>
  <si>
    <t>ТЕРм35-01-050-08</t>
  </si>
  <si>
    <t>Комплект оборудования для приготовления рассыпных кормосмесей, тип КОРК-15</t>
  </si>
  <si>
    <t>ТЕРм35-01-050-09</t>
  </si>
  <si>
    <t>Оборудование для гранулирования комбикормов, тип ОКГ-3</t>
  </si>
  <si>
    <t>ТЕРм35-01-050-10</t>
  </si>
  <si>
    <t>Агрегат для приготовления хлопьев из зерна, тип ПЗ-3</t>
  </si>
  <si>
    <t>ТЕРм35-01-050-11</t>
  </si>
  <si>
    <t>Комплект оборудования кормоцеха для обработки пищевых отходов, тип КПО-150</t>
  </si>
  <si>
    <t>ТЕРм35-01-050-12</t>
  </si>
  <si>
    <t>Оборудование цеха комбикормов, тип ОЦК-4-1</t>
  </si>
  <si>
    <t>ТЕРм35-01-050-13</t>
  </si>
  <si>
    <t>Агрегат картофелезапарочный, тип АЗК-3</t>
  </si>
  <si>
    <t xml:space="preserve">                                   Измельчители кормов</t>
  </si>
  <si>
    <t>ТЕРм35-01-051-01</t>
  </si>
  <si>
    <t>Измельчитель кормов универсальный, тип «Волгарь-5»</t>
  </si>
  <si>
    <t>ТЕРм35-01-051-02</t>
  </si>
  <si>
    <t>Измельчитель-камнеуловитель тип ИКМ-5</t>
  </si>
  <si>
    <t>ТЕРм35-01-051-03</t>
  </si>
  <si>
    <t>Дробилка кормов, тип КДУ-2.0-1</t>
  </si>
  <si>
    <t>ТЕРм35-01-051-04</t>
  </si>
  <si>
    <t>Дробилка зерна, тип ДБ-5-1</t>
  </si>
  <si>
    <t>ТЕРм35-01-051-05</t>
  </si>
  <si>
    <t>Дробилка зерна, тип Ф-1М</t>
  </si>
  <si>
    <t>ТЕРм35-01-051-06</t>
  </si>
  <si>
    <t>Измельчитель кормов повышенной влажности, тип ИРТ-165</t>
  </si>
  <si>
    <t xml:space="preserve">                                   Оборудование для приготовления и гранулирования травяной муки</t>
  </si>
  <si>
    <t>ТЕРм35-01-052-01</t>
  </si>
  <si>
    <t>Агрегат для приготовления витаминной муки, тип АВМ-0,4</t>
  </si>
  <si>
    <t>ТЕРм35-01-052-02</t>
  </si>
  <si>
    <t>Агрегат для приготовления витаминной муки, тип АВМ-1,5</t>
  </si>
  <si>
    <t>ТЕРм35-01-052-03</t>
  </si>
  <si>
    <t>Агрегат для приготовления витаминной муки, тип АВМ-0,65Р</t>
  </si>
  <si>
    <t>ТЕРм35-01-052-04</t>
  </si>
  <si>
    <t>Агрегат для приготовления витаминной муки, тип АВМ-3</t>
  </si>
  <si>
    <t>ТЕРм35-01-052-05</t>
  </si>
  <si>
    <t>Установка для гранулирования травяной муки, тип ОГМ-0,8А</t>
  </si>
  <si>
    <t>ТЕРм35-01-052-06</t>
  </si>
  <si>
    <t>Установка для гранулирования травяной муки, тип ОГМ-1,5</t>
  </si>
  <si>
    <t>ТЕРм35-01-052-07</t>
  </si>
  <si>
    <t>Агрегат для приготовления травяной муки, тип М804/0-1,5</t>
  </si>
  <si>
    <t>ТЕРм35-01-052-08</t>
  </si>
  <si>
    <t>Оборудование для прессования кормов, тип ОПК-2</t>
  </si>
  <si>
    <t>ТЕРм35-01-052-09</t>
  </si>
  <si>
    <t>Оборудование для прессования кормов, тип ОПК-3</t>
  </si>
  <si>
    <t>ТЕРм35-01-053-01</t>
  </si>
  <si>
    <t>Смеситель-запарник кормов, тип С-2</t>
  </si>
  <si>
    <t>ТЕРм35-01-053-02</t>
  </si>
  <si>
    <t>Смеситель-запарник кормов, тип С-12</t>
  </si>
  <si>
    <t>ТЕРм35-01-053-03</t>
  </si>
  <si>
    <t>Агрегат для приготовления кормовых смесей, тип АПС-6</t>
  </si>
  <si>
    <t>ТЕРм35-01-053-04</t>
  </si>
  <si>
    <t>Котел-парообразователь, тип КВ-300М</t>
  </si>
  <si>
    <t>ТЕРм35-01-053-05</t>
  </si>
  <si>
    <t>Парообразователь, тип Д721А</t>
  </si>
  <si>
    <t>ТЕРм35-01-053-06</t>
  </si>
  <si>
    <t>Оборудование с пультом управления, тип ПНГ-2</t>
  </si>
  <si>
    <t>ТЕРм35-01-053-07</t>
  </si>
  <si>
    <t>Установка для смешивания мелассы с карбамидом, тип СМ-1,7</t>
  </si>
  <si>
    <t>ТЕРм35-01-053-08</t>
  </si>
  <si>
    <t>Оборудование для накопления кормов, тип ОНК-1,5</t>
  </si>
  <si>
    <t>ТЕРм35-01-053-09</t>
  </si>
  <si>
    <t>Оборудование для накопления кормов, тип ОНК-3</t>
  </si>
  <si>
    <t xml:space="preserve">                                   Транспортеры, питатели, элеваторы</t>
  </si>
  <si>
    <t>ТЕРм35-01-054-01</t>
  </si>
  <si>
    <t>Транспортер скребковый, тип ТС-40М</t>
  </si>
  <si>
    <t>ТЕРм35-01-054-02</t>
  </si>
  <si>
    <t>Транспортер для корнеплодов, тип ТК-3</t>
  </si>
  <si>
    <t>ТЕРм35-01-054-03</t>
  </si>
  <si>
    <t>Транспортер для корнеплодов, тип ТК-5</t>
  </si>
  <si>
    <t>ТЕРм35-01-054-04</t>
  </si>
  <si>
    <t>Питатель концентрированных кормов, тип ПК-6</t>
  </si>
  <si>
    <t>ТЕРм35-01-054-05</t>
  </si>
  <si>
    <t>Питатель-дозатор кормов, тип КПГ-10.46.15.000</t>
  </si>
  <si>
    <t xml:space="preserve">                                   Раздел 4. ОБОРУДОВАНИЕ ФЕРМ ДЛЯ СОДЕРЖАНИЯ ПТИЦ</t>
  </si>
  <si>
    <t xml:space="preserve">                                   Комплекты оборудования для напольного содержания птиц</t>
  </si>
  <si>
    <t>ТЕРм35-01-070-01</t>
  </si>
  <si>
    <t>Комплект оборудования для выращивания 10 тыс. цыплят (бройлеров), рабочая длина 80 м, тип ЦБК-10В</t>
  </si>
  <si>
    <t>ТЕРм35-01-070-02</t>
  </si>
  <si>
    <t>При изменении рабочей длины оборудования типа ЦБК-10В добавлять или исключать на каждый 1 м</t>
  </si>
  <si>
    <t>ТЕРм35-01-070-03</t>
  </si>
  <si>
    <t>Комплект оборудования для выращивания 20 тыс. цыплят (бройлеров), рабочая длина 89 м, тип ЦБК-20В</t>
  </si>
  <si>
    <t>ТЕРм35-01-070-04</t>
  </si>
  <si>
    <t>При изменении рабочей длины оборудования типа ЦБК-208 добавлять или исключать на каждый 1 м</t>
  </si>
  <si>
    <t>ТЕРм35-01-070-05</t>
  </si>
  <si>
    <t>Комплект оборудования для содержания кур-несушек, тип КМК-4 (в зданиях 12х84 м)</t>
  </si>
  <si>
    <t>ТЕРм35-01-070-06</t>
  </si>
  <si>
    <t>Комплект оборудования для содержания кур-несушек, тип КМК-7 (в зданиях 18х96 м)</t>
  </si>
  <si>
    <t>ТЕРм35-01-070-07</t>
  </si>
  <si>
    <t>Комплект оборудования для выращивания ремонтного молодняка кур, тип КРМ-11 (в зданиях 18х96 м)</t>
  </si>
  <si>
    <t>ТЕРм35-01-070-08</t>
  </si>
  <si>
    <t>Комплект оборудования для выращивания ремонтного молодняка кур, тип КРМ-18,5</t>
  </si>
  <si>
    <t>ТЕРм35-01-070-09</t>
  </si>
  <si>
    <t>Комплект оборудования для содержания маточного стада индеек, тип ИВС-1.8А, рабочая длина 90 м</t>
  </si>
  <si>
    <t>ТЕРм35-01-070-10</t>
  </si>
  <si>
    <t>При изменении рабочей длины оборудования типа ИВС-1.8А добавлять или исключать на каждый 1 м</t>
  </si>
  <si>
    <t>ТЕРм35-01-070-11</t>
  </si>
  <si>
    <t>Комплект оборудования для выращивания индюшат на 4500 голов, тип ИМС-4,5В, рабочая длина 90 м</t>
  </si>
  <si>
    <t>ТЕРм35-01-070-12</t>
  </si>
  <si>
    <t>При изменении рабочей длины оборудования типа ИМС-4,5В добавлять или исключать на каждый 1 м</t>
  </si>
  <si>
    <t>ТЕРм35-01-070-13</t>
  </si>
  <si>
    <t>Комплект оборудования для выращивания ремонтного молодняка индеек, тип ИРС-2.3В, рабочая длина 90 м</t>
  </si>
  <si>
    <t>ТЕРм35-01-070-14</t>
  </si>
  <si>
    <t>При изменении рабочей длины оборудования типа ИРС-2.3В добавлять или исключать на каждый 1 м</t>
  </si>
  <si>
    <t>ТЕРм35-01-070-15</t>
  </si>
  <si>
    <t>Комплект оборудования, для выращивания ремонтного молодняка уток, тип КРУ-3.5</t>
  </si>
  <si>
    <t>ТЕРм35-01-070-16</t>
  </si>
  <si>
    <t>Комплект оборудования, для содержания маточного стада уток, тип КНУ-3</t>
  </si>
  <si>
    <t>ТЕРм35-01-070-17</t>
  </si>
  <si>
    <t>Комплект оборудования, для выращивания утят на мясо, тип КМУ-10</t>
  </si>
  <si>
    <t>ТЕРм35-01-070-18</t>
  </si>
  <si>
    <t>Комплект оборудования, для выращивания 30 тыс. цыплят (бройлеров) в зданиях 18х96 м, тип ЦБК-30</t>
  </si>
  <si>
    <t xml:space="preserve">                                   Узлы оборудования для напольного содержания птиц</t>
  </si>
  <si>
    <t>ТЕРм35-01-071-01</t>
  </si>
  <si>
    <t>Автопоилка чашечная, тип П-4А</t>
  </si>
  <si>
    <t>ТЕРм35-01-071-02</t>
  </si>
  <si>
    <t>Брудер пожаробезопасный электрический, тип БП-1А</t>
  </si>
  <si>
    <t>ТЕРм35-01-071-03</t>
  </si>
  <si>
    <t>Транспортер универсальный и унифицированный, длина 16,65 м, тип ТУУ-2</t>
  </si>
  <si>
    <t>ТЕРм35-01-071-04</t>
  </si>
  <si>
    <t>При изменении длины транспортера типа ТТУ-2 добавлять или исключать на каждый 1 м</t>
  </si>
  <si>
    <t xml:space="preserve">                                   Батареи клеточные</t>
  </si>
  <si>
    <t>ТЕРм35-01-072-01</t>
  </si>
  <si>
    <t>Комплект оборудования для выращивания молодняка кур от 1 до 140 дней в одноярусных клеточных батареях, тип БГО-140-6</t>
  </si>
  <si>
    <t>ТЕРм35-01-072-02</t>
  </si>
  <si>
    <t>Батарея каскадная 3-ступенчатая, тип БКМ-3, длина 87,5 м</t>
  </si>
  <si>
    <t>ТЕРм35-01-072-03</t>
  </si>
  <si>
    <t>Комплект оборудования для содержания кур-несушек в одноярусных горизонтальных механизированных клеточных батареях, тип ОБН-1 (на 4 батареи), рабочая длина 85,4 м</t>
  </si>
  <si>
    <t>ТЕРм35-01-072-04</t>
  </si>
  <si>
    <t>При изменении рабочей длины батареи типа ОБН-1 (на 4 батареи) на промежуточную секцию длиной 2,44 м добавлять или исключать на каждую секцию</t>
  </si>
  <si>
    <t>ТЕРм35-01-072-05</t>
  </si>
  <si>
    <t>Комплект оборудования для содержания кур-несушек в одноярусных горизонтальных механизированных клеточных батареях, тип ОБН-1 (на 6 батарей), рабочая длина 85,4 м</t>
  </si>
  <si>
    <t>ТЕРм35-01-072-06</t>
  </si>
  <si>
    <t>При изменении рабочей длины батареи типа ОБН-1 (на 6 батарей) на промежуточную секцию длиной 2,44 м добавлять или исключать на каждую секцию</t>
  </si>
  <si>
    <t>ТЕРм35-01-072-07</t>
  </si>
  <si>
    <t>Батарея клеточная, трехступенчатая каскадная для содержания кур-несушек тип БКН-3, рабочая длина 92,9 м</t>
  </si>
  <si>
    <t>ТЕРм35-01-072-08</t>
  </si>
  <si>
    <t>При изменении рабочей длины батареи на промежуточную секцию длиной 1,8 м добавлять или исключать на каждую секцию</t>
  </si>
  <si>
    <t>ТЕРм35-01-072-09</t>
  </si>
  <si>
    <t>Батарея клеточная двухъярусная для выращивания молодняка кур-несушек, тип 2Б-3, рабочая длина 62,3 м</t>
  </si>
  <si>
    <t>ТЕРм35-01-072-10</t>
  </si>
  <si>
    <t>При изменении рабочей длины батареи на промежуточную секцию длиной 1,04 м добавлять или исключать на каждую секцию</t>
  </si>
  <si>
    <t>ТЕРм35-01-072-11</t>
  </si>
  <si>
    <t>Батарея клеточная механизированная для беспересадочного выращивания молодняка кур, тип КБУ-3, рабочая длина 38,6 м</t>
  </si>
  <si>
    <t>ТЕРм35-01-072-12</t>
  </si>
  <si>
    <t>ТЕРм35-01-072-13</t>
  </si>
  <si>
    <t>Батарея клеточная механизированная двухъярусная длина 81,2 м, тип КБР-2</t>
  </si>
  <si>
    <t xml:space="preserve">                                   Вспомогательное оборудование клеточных батарей</t>
  </si>
  <si>
    <t>ТЕРм35-01-073-01</t>
  </si>
  <si>
    <t>Бункер-хранилище, тип БСК-10</t>
  </si>
  <si>
    <t>ТЕРм35-01-073-02</t>
  </si>
  <si>
    <t>Бункер для хранения кормов, тип БСК-25</t>
  </si>
  <si>
    <t>ТЕРм35-01-073-03</t>
  </si>
  <si>
    <t>Бункер вентилируемый, тип БВ-25</t>
  </si>
  <si>
    <t xml:space="preserve">                                   Инкубаторы</t>
  </si>
  <si>
    <t>ТЕРм35-01-074-01</t>
  </si>
  <si>
    <t>Инкубатор «Универсал-55»</t>
  </si>
  <si>
    <t>ТЕРм35-01-074-02</t>
  </si>
  <si>
    <t>Инкубатор тип ЦКП-90 «Кавказ»</t>
  </si>
  <si>
    <t>ТЕРм35-01-075-01</t>
  </si>
  <si>
    <t>Линия для обработки яиц, тип ЛОЯ-7.2</t>
  </si>
  <si>
    <t>ТЕРм35-01-075-02</t>
  </si>
  <si>
    <t>Комплект вентиляционного оборудования, тип «Климат-2»</t>
  </si>
  <si>
    <t>ТЕРм35-01-075-03</t>
  </si>
  <si>
    <t>Машина яйцесортировочная, тип ЯС-1</t>
  </si>
  <si>
    <t>ТЕРм35-01-075-04</t>
  </si>
  <si>
    <t>Стол-овоскоп, тип СМУ-4</t>
  </si>
  <si>
    <t xml:space="preserve">                                   Раздел 5. ОБОРУДОВАНИЕ ПУНКТОВ ДЛЯ СТРИЖКИ ОВЕЦ</t>
  </si>
  <si>
    <t xml:space="preserve">                                   Оборудование для стрижки овец</t>
  </si>
  <si>
    <t>ТЕРм35-01-090-01</t>
  </si>
  <si>
    <t>Комплект технологического оборудования стригального пункта, тип КТО-24</t>
  </si>
  <si>
    <t>ТЕРм35-01-090-02</t>
  </si>
  <si>
    <t>Комплект технологического оборудования стригального пункта, тип КТО-48</t>
  </si>
  <si>
    <t>ТЕРм35-01-090-03</t>
  </si>
  <si>
    <t>Агрегат электростригальный, тип ЭСА-12-Г</t>
  </si>
  <si>
    <t>ТЕРм35-01-090-04</t>
  </si>
  <si>
    <t>Агрегат для стрижки овец, тип АСТ-36</t>
  </si>
  <si>
    <t>ТЕРм35-01-090-05</t>
  </si>
  <si>
    <t>Цех выносной стригальный, тип ВСЦ-24/200</t>
  </si>
  <si>
    <t xml:space="preserve">                                   Групповые поилки для овец</t>
  </si>
  <si>
    <t>ТЕРм35-01-091-01</t>
  </si>
  <si>
    <t>Автопоилка, тип АО-3</t>
  </si>
  <si>
    <t>ТЕРм35-01-091-02</t>
  </si>
  <si>
    <t>Автопоилка, тип ГАО-4А</t>
  </si>
  <si>
    <t xml:space="preserve">                                   Оборудование для мойки овец</t>
  </si>
  <si>
    <t>ТЕРм35-01-092-01</t>
  </si>
  <si>
    <t>Установка для купания овец, тип КУП-1</t>
  </si>
  <si>
    <t>ТЕРм35-01-092-02</t>
  </si>
  <si>
    <t>Ванна осевая купочная, тип ОКВ</t>
  </si>
  <si>
    <t xml:space="preserve">                                   Раздел 6. ОБОРУДОВАНИЕ ВОДОПОДЪЕМНОЕ</t>
  </si>
  <si>
    <t xml:space="preserve">                                   Оборудование водоподъемное</t>
  </si>
  <si>
    <t>ТЕРм35-01-100-01</t>
  </si>
  <si>
    <t>Установка водоподъемная автоматическая, тип ВУ-10-30</t>
  </si>
  <si>
    <t>ТЕРм35-01-100-02</t>
  </si>
  <si>
    <t>Водоподъемник дифрагменный пастбищный, тип ВДП-50</t>
  </si>
  <si>
    <t>ТЕРм35-01-100-03</t>
  </si>
  <si>
    <t>Башня водонапорная стальная, тип БР-15У</t>
  </si>
  <si>
    <t>ТЕРм35-01-100-04</t>
  </si>
  <si>
    <t>Установка для водоснабжения с гидроаккумулятором, тип ВУ-6.3-85</t>
  </si>
  <si>
    <t xml:space="preserve">                                   Раздел 7. ОБОРУДОВАНИЕ ФЕРМ ДЛЯ СОДЕРЖАНИЯ КРОЛИКОВ</t>
  </si>
  <si>
    <t>ТЕРм35-01-105-01</t>
  </si>
  <si>
    <t>Оборудование кролеферм, рабочая длина 86,3 м, тип ОКФ-1</t>
  </si>
  <si>
    <t>ТЕРм35-01-105-02</t>
  </si>
  <si>
    <t>При изменении рабочей длины оборудования добавлять или исключать на каждый 1 м</t>
  </si>
  <si>
    <t xml:space="preserve">                           Раздел 2. ОТДЕЛ 02. МАШИНЫ И ОБОРУДОВАНИЕ МЕЛИОРАТИВНЫХ И ВОДОХОЗЯЙСТВЕННЫХ ОБЪЕКТОВ</t>
  </si>
  <si>
    <t xml:space="preserve">                                   Раздел 1. ДОЖДЕВАЛЬНЫЕ МАШИНЫ ФРОНТАЛЬНОГО ДЕЙСТВИЯ</t>
  </si>
  <si>
    <t xml:space="preserve">                                   Машины дождевальные фронтального действия «Волжанка» (широкозахватные колесные дождевальные трубопроводы)</t>
  </si>
  <si>
    <t>ТЕРм35-02-001-01</t>
  </si>
  <si>
    <t>Машина дождевальная «Волжанка», ширина захвата 792 м, количество секций 60 шт.</t>
  </si>
  <si>
    <t xml:space="preserve">                                   Секции машины дождевальной «Волжанка»</t>
  </si>
  <si>
    <t>ТЕРм35-02-002-01</t>
  </si>
  <si>
    <t>Секция машины дождевальной «Волжанка»</t>
  </si>
  <si>
    <t xml:space="preserve">                                   Раздел 2. ДОЖДЕВАЛЬНЫЕ МАШИНЫ КРУГОВОГО ДЕЙСТВИЯ</t>
  </si>
  <si>
    <t xml:space="preserve">                                   Машины дождевальные кругового действия «Фрегат» (колесные, многоопорные, самодвижущиеся)</t>
  </si>
  <si>
    <t>ТЕРм35-02-013-01</t>
  </si>
  <si>
    <t>Машина дождевальная «Фрегат», ширина захвата 572 м, количество тележек 16 шт.</t>
  </si>
  <si>
    <t xml:space="preserve">                                   Тележки машины дождевальной «Фрегат»</t>
  </si>
  <si>
    <t>ТЕРм35-02-014-01</t>
  </si>
  <si>
    <t>Тележка машины дождевальной «Фрегат»</t>
  </si>
  <si>
    <t xml:space="preserve">                                   Раздел 3. ДОЖДЕВАЛЬНЫЕ АГРЕГАТЫ, КОМПЛЕКТЫ, ШЛЕЙФЫ</t>
  </si>
  <si>
    <t xml:space="preserve">                                   Агрегаты дождевальные двухконсольные ДДА-100МА</t>
  </si>
  <si>
    <t>ТЕРм35-02-025-01</t>
  </si>
  <si>
    <t>Агрегат дождевальный ДДА-100 МА, ширина захвата 120 м</t>
  </si>
  <si>
    <t xml:space="preserve">                                   Комплекты ирригационного оборудования КИ-50 «Радуга»</t>
  </si>
  <si>
    <t>ТЕРм35-02-026-01</t>
  </si>
  <si>
    <t>Комплект оборудования КИ-50 «Радуга»</t>
  </si>
  <si>
    <t xml:space="preserve">                                   Шлейфы дождевальные ШД-25/300</t>
  </si>
  <si>
    <t>ТЕРм35-02-027-01</t>
  </si>
  <si>
    <t>Шлейф дождевальный ШД-25/300</t>
  </si>
  <si>
    <t xml:space="preserve">                                   Поливальщики передвижные агрегатные ППА-165 У</t>
  </si>
  <si>
    <t>ТЕРм35-02-028-01</t>
  </si>
  <si>
    <t>Поливальщик передвижной агрегатный ППА-165 У</t>
  </si>
  <si>
    <t xml:space="preserve">                                   Раздел 4. МЕЛИОРАТИВНОЕ ОБОРУДОВАНИЕ</t>
  </si>
  <si>
    <t xml:space="preserve">                                   Трубопроводы из труб стальных спиральношовных быстроразборных РТ-180 (РТШ-180)</t>
  </si>
  <si>
    <t>ТЕРм35-02-040-01</t>
  </si>
  <si>
    <t>Трубопровод из труб РТ-180 (РТШ-180)</t>
  </si>
  <si>
    <t xml:space="preserve">                                   Агрегаты ветроэлектрические, унифицированные АВЭУ-6-4 м, диаметр колеса 6 м</t>
  </si>
  <si>
    <t>ТЕРм35-02-041-01</t>
  </si>
  <si>
    <t>Агрегат ветроэлектрический унифицированный АВЭУ-6-4м, диаметр колеса 6 м</t>
  </si>
  <si>
    <t>ТЕРм-2001-35</t>
  </si>
  <si>
    <t>ТЕРм-2001-36</t>
  </si>
  <si>
    <t xml:space="preserve">                           Раздел 1. ОТДЕЛ 01. ОБОРУДОВАНИЕ ПРАЧЕЧНЫХ</t>
  </si>
  <si>
    <t xml:space="preserve">                                   Центрифуги автоматизированные</t>
  </si>
  <si>
    <t>ТЕРм36-01-001-01</t>
  </si>
  <si>
    <t>Центрифуги автоматизированные, масса до 0,2 т</t>
  </si>
  <si>
    <t>ТЕРм36-01-001-02</t>
  </si>
  <si>
    <t>Центрифуги автоматизированные, масса до 0,5 т</t>
  </si>
  <si>
    <t>ТЕРм36-01-001-03</t>
  </si>
  <si>
    <t>Центрифуги автоматизированные, масса до 2 т</t>
  </si>
  <si>
    <t xml:space="preserve">                                   Машины или установки стиральные</t>
  </si>
  <si>
    <t>ТЕРм36-01-002-01</t>
  </si>
  <si>
    <t>Машина стиральная автоматизированная, масса от 1 до 2 т</t>
  </si>
  <si>
    <t>ТЕРм36-01-002-02</t>
  </si>
  <si>
    <t>Машина стиральная автоматизированная, масса до 4 т</t>
  </si>
  <si>
    <t>ТЕРм36-01-002-03</t>
  </si>
  <si>
    <t>Установка стиральная, масса 6,5 т</t>
  </si>
  <si>
    <t xml:space="preserve">                                   Катки сушильно-гладильные вакуумные</t>
  </si>
  <si>
    <t>ТЕРм36-01-003-01</t>
  </si>
  <si>
    <t>Катки сушильно-гладильные вакуумные, масса от 5 до 10 т</t>
  </si>
  <si>
    <t xml:space="preserve">                                   Прессы гладильные полуавтоматические</t>
  </si>
  <si>
    <t>ТЕРм36-01-004-01</t>
  </si>
  <si>
    <t>Пресс гладильный полуавтоматический, масса от 0,5 до 1 т</t>
  </si>
  <si>
    <t xml:space="preserve">                                   Машины сушильно-растрясочные</t>
  </si>
  <si>
    <t>ТЕРм36-01-005-01</t>
  </si>
  <si>
    <t>Машина сушильно-растрясочная, масса 6,3 т</t>
  </si>
  <si>
    <t xml:space="preserve">                                   Оборудование для отжима, загрузки и замачивания белья</t>
  </si>
  <si>
    <t>ТЕРм36-01-006-01</t>
  </si>
  <si>
    <t>Устройство отжимное, масса 3,5 т</t>
  </si>
  <si>
    <t>ТЕРм36-01-006-02</t>
  </si>
  <si>
    <t>Устройство для загрузки и замачивания белья, масса 1 т</t>
  </si>
  <si>
    <t xml:space="preserve">                           Раздел 2. ОТДЕЛ 02. ОБОРУДОВАНИЕ ПРЕДПРИЯТИЙ ХИМИЧЕСКОЙ ЧИСТКИ И КРАШЕНИЯ</t>
  </si>
  <si>
    <t xml:space="preserve">                                   Машины для химической чистки</t>
  </si>
  <si>
    <t>ТЕРм36-02-001-01</t>
  </si>
  <si>
    <t>Машина для химической чистки одежды автоматизированная, масса 2,9 т</t>
  </si>
  <si>
    <t>ТЕРм36-02-001-02</t>
  </si>
  <si>
    <t>Машина для химической чистки ковров, ковровых изделий и одежды автоматизированная, масса 6 т</t>
  </si>
  <si>
    <t xml:space="preserve">                                   Станки пятновыводные</t>
  </si>
  <si>
    <t>ТЕРм36-02-002-01</t>
  </si>
  <si>
    <t>Станок пятновыводной, масса 0,33 т</t>
  </si>
  <si>
    <t xml:space="preserve">                                   Оборудование сушильно-гладильное</t>
  </si>
  <si>
    <t>ТЕРм36-02-003-01</t>
  </si>
  <si>
    <t>Установка для растяжки и сушки гардинно-тюлевых изделий, масса 1,5 т</t>
  </si>
  <si>
    <t>ТЕРм36-02-003-02</t>
  </si>
  <si>
    <t>Машина гладильная, масса 0,75 т</t>
  </si>
  <si>
    <t>ТЕРм36-02-004-01</t>
  </si>
  <si>
    <t>Установка компрессорная, масса 0,63 т</t>
  </si>
  <si>
    <t>ТЕРм36-02-004-02</t>
  </si>
  <si>
    <t>Установка конвейерная, масса 0,33 т</t>
  </si>
  <si>
    <t>ТЕРм36-02-004-03</t>
  </si>
  <si>
    <t>Установка конвейерная, масса 0,65 т</t>
  </si>
  <si>
    <t>ТЕРм36-02-004-04</t>
  </si>
  <si>
    <t>Установка конвейерная, масса 0,29 т, в базовом исполнении</t>
  </si>
  <si>
    <t>ТЕРм36-02-004-05</t>
  </si>
  <si>
    <t>Установка конвейерная, масса 0,71 т, в модульном исполнении</t>
  </si>
  <si>
    <t xml:space="preserve">                           Раздел 3. ОТДЕЛ 03. ОБОРУДОВАНИЕ ПРЕДПРИЯТИЙ РЕМОНТА БЫТОВЫХ МАШИН И ПРИБОРОВ</t>
  </si>
  <si>
    <t xml:space="preserve">                                   Оборудование для ремонта бытовых машин и приборов</t>
  </si>
  <si>
    <t>ТЕРм36-03-001-01</t>
  </si>
  <si>
    <t>Установка для испытания холодильных агрегатов бытовых холодильников на герметичность, масса 0,51 т</t>
  </si>
  <si>
    <t>ТЕРм36-03-001-02</t>
  </si>
  <si>
    <t>Печь вакуумная универсальная, масса 0,36 т</t>
  </si>
  <si>
    <t>ТЕРм36-03-001-03</t>
  </si>
  <si>
    <t>Камера окрасочная, масса 0,71 т</t>
  </si>
  <si>
    <t>ТЕРм36-03-001-04</t>
  </si>
  <si>
    <t>Камера сушильная, масса 1,45 т</t>
  </si>
  <si>
    <t>ТЕРм-2001-37</t>
  </si>
  <si>
    <t xml:space="preserve">                           Раздел 1. ОТДЕЛ 01. МОНТАЖ ОБОРУДОВАНИЯ</t>
  </si>
  <si>
    <t xml:space="preserve">                                   Раздел 1. СОСУДЫ И АППАРАТЫ БЕЗ МЕХАНИЗМОВ</t>
  </si>
  <si>
    <t xml:space="preserve">                                   Монтаж оборудования на открытой площадке</t>
  </si>
  <si>
    <t>ТЕРм37-01-001-01</t>
  </si>
  <si>
    <t>Монтаж оборудования без механизмов на открытой площадке, масса оборудования 0,03 т</t>
  </si>
  <si>
    <t>ТЕРм37-01-001-02</t>
  </si>
  <si>
    <t>Монтаж оборудования без механизмов на открытой площадке, масса оборудования 0,05 т</t>
  </si>
  <si>
    <t>ТЕРм37-01-001-03</t>
  </si>
  <si>
    <t>Монтаж оборудования без механизмов на открытой площадке, масса оборудования 0,1 т</t>
  </si>
  <si>
    <t>ТЕРм37-01-001-04</t>
  </si>
  <si>
    <t>Монтаж оборудования без механизмов на открытой площадке, масса оборудования 0,5 т</t>
  </si>
  <si>
    <t>ТЕРм37-01-001-05</t>
  </si>
  <si>
    <t>Монтаж оборудования без механизмов на открытой площадке, масса оборудования 1 т</t>
  </si>
  <si>
    <t>ТЕРм37-01-001-06</t>
  </si>
  <si>
    <t>Монтаж оборудования без механизмов на открытой площадке, масса оборудования 1,5 т</t>
  </si>
  <si>
    <t>ТЕРм37-01-001-07</t>
  </si>
  <si>
    <t>Монтаж оборудования без механизмов на открытой площадке, масса оборудования 2 т</t>
  </si>
  <si>
    <t>ТЕРм37-01-001-08</t>
  </si>
  <si>
    <t>Монтаж оборудования без механизмов на открытой площадке, масса оборудования 3 т</t>
  </si>
  <si>
    <t>ТЕРм37-01-001-09</t>
  </si>
  <si>
    <t>Монтаж оборудования без механизмов на открытой площадке, масса оборудования 5 т</t>
  </si>
  <si>
    <t>ТЕРм37-01-001-10</t>
  </si>
  <si>
    <t>Монтаж оборудования без механизмов на открытой площадке, масса оборудования 8 т</t>
  </si>
  <si>
    <t>ТЕРм37-01-001-11</t>
  </si>
  <si>
    <t>Монтаж оборудования без механизмов на открытой площадке, масса оборудования 13 т</t>
  </si>
  <si>
    <t>ТЕРм37-01-001-12</t>
  </si>
  <si>
    <t>Монтаж оборудования без механизмов на открытой площадке, масса оборудования 18 т</t>
  </si>
  <si>
    <t>ТЕРм37-01-001-13</t>
  </si>
  <si>
    <t>Монтаж оборудования без механизмов на открытой площадке, масса оборудования 27 т</t>
  </si>
  <si>
    <t>ТЕРм37-01-001-14</t>
  </si>
  <si>
    <t>Монтаж оборудования без механизмов на открытой площадке, масса оборудования 40 т</t>
  </si>
  <si>
    <t>ТЕРм37-01-001-15</t>
  </si>
  <si>
    <t>Монтаж оборудования без механизмов на открытой площадке, масса оборудования 60 т</t>
  </si>
  <si>
    <t>ТЕРм37-01-001-16</t>
  </si>
  <si>
    <t>Монтаж оборудования без механизмов на открытой площадке, масса оборудования 90 т</t>
  </si>
  <si>
    <t>ТЕРм37-01-001-17</t>
  </si>
  <si>
    <t>Монтаж оборудования без механизмов на открытой площадке, масса оборудования 125 т</t>
  </si>
  <si>
    <t>ТЕРм37-01-001-18</t>
  </si>
  <si>
    <t>Монтаж оборудования без механизмов на открытой площадке, масса оборудования 180 т</t>
  </si>
  <si>
    <t>ТЕРм37-01-001-19</t>
  </si>
  <si>
    <t>Монтаж оборудования без механизмов на открытой площадке, масса оборудования 250 т</t>
  </si>
  <si>
    <t xml:space="preserve">                                   Монтаж оборудования в помещении</t>
  </si>
  <si>
    <t>ТЕРм37-01-002-01</t>
  </si>
  <si>
    <t>Монтаж оборудования без механизмов в помещении, масса оборудования 0,03 т</t>
  </si>
  <si>
    <t>ТЕРм37-01-002-02</t>
  </si>
  <si>
    <t>Монтаж оборудования без механизмов в помещении, масса оборудования 0,05 т</t>
  </si>
  <si>
    <t>ТЕРм37-01-002-03</t>
  </si>
  <si>
    <t>Монтаж оборудования без механизмов в помещении, масса оборудования 0,1 т</t>
  </si>
  <si>
    <t>ТЕРм37-01-002-04</t>
  </si>
  <si>
    <t>Монтаж оборудования без механизмов в помещении, масса оборудования 0,5 т</t>
  </si>
  <si>
    <t>ТЕРм37-01-002-05</t>
  </si>
  <si>
    <t>Монтаж оборудования без механизмов в помещении, масса оборудования 1 т</t>
  </si>
  <si>
    <t>ТЕРм37-01-002-06</t>
  </si>
  <si>
    <t>Монтаж оборудования без механизмов в помещении, масса оборудования 1,5 т</t>
  </si>
  <si>
    <t>ТЕРм37-01-002-07</t>
  </si>
  <si>
    <t>Монтаж оборудования без механизмов в помещении, масса оборудования 2 т</t>
  </si>
  <si>
    <t>ТЕРм37-01-002-08</t>
  </si>
  <si>
    <t>Монтаж оборудования без механизмов в помещении, масса оборудования 3 т</t>
  </si>
  <si>
    <t>ТЕРм37-01-002-09</t>
  </si>
  <si>
    <t>Монтаж оборудования без механизмов в помещении, масса оборудования 5 т</t>
  </si>
  <si>
    <t>ТЕРм37-01-002-10</t>
  </si>
  <si>
    <t>Монтаж оборудования без механизмов в помещении, масса оборудования 8 т</t>
  </si>
  <si>
    <t>ТЕРм37-01-002-11</t>
  </si>
  <si>
    <t>Монтаж оборудования без механизмов в помещении, масса оборудования 13 т</t>
  </si>
  <si>
    <t>ТЕРм37-01-002-12</t>
  </si>
  <si>
    <t>Монтаж оборудования без механизмов в помещении, масса оборудования 18 т</t>
  </si>
  <si>
    <t>ТЕРм37-01-002-13</t>
  </si>
  <si>
    <t>Монтаж оборудования без механизмов в помещении, масса оборудования 27 т</t>
  </si>
  <si>
    <t>ТЕРм37-01-002-14</t>
  </si>
  <si>
    <t>Монтаж оборудования без механизмов в помещении, масса оборудования 40 т</t>
  </si>
  <si>
    <t>ТЕРм37-01-002-15</t>
  </si>
  <si>
    <t>Монтаж оборудования без механизмов в помещении, масса оборудования 60 т</t>
  </si>
  <si>
    <t>ТЕРм37-01-002-16</t>
  </si>
  <si>
    <t>Монтаж оборудования без механизмов в помещении, масса оборудования 90 т</t>
  </si>
  <si>
    <t xml:space="preserve">                                   Раздел 2. МАШИНЫ И МЕХАНИЗМЫ</t>
  </si>
  <si>
    <t>ТЕРм37-01-013-01</t>
  </si>
  <si>
    <t>Монтаж оборудования на открытой площадке, масса оборудования 0,03 т</t>
  </si>
  <si>
    <t>ТЕРм37-01-013-02</t>
  </si>
  <si>
    <t>Монтаж оборудования на открытой площадке, масса оборудования 0,05 т</t>
  </si>
  <si>
    <t>ТЕРм37-01-013-03</t>
  </si>
  <si>
    <t>Монтаж оборудования на открытой площадке, масса оборудования 0,1 т</t>
  </si>
  <si>
    <t>ТЕРм37-01-013-04</t>
  </si>
  <si>
    <t>Монтаж оборудования на открытой площадке, масса оборудования 0,5 т</t>
  </si>
  <si>
    <t>ТЕРм37-01-013-05</t>
  </si>
  <si>
    <t>Монтаж оборудования на открытой площадке, масса оборудования 1 т</t>
  </si>
  <si>
    <t>ТЕРм37-01-013-06</t>
  </si>
  <si>
    <t>Монтаж оборудования на открытой площадке, масса оборудования 1,5 т</t>
  </si>
  <si>
    <t>ТЕРм37-01-013-07</t>
  </si>
  <si>
    <t>Монтаж оборудования на открытой площадке, масса оборудования 2 т</t>
  </si>
  <si>
    <t>ТЕРм37-01-013-08</t>
  </si>
  <si>
    <t>Монтаж оборудования на открытой площадке, масса оборудования 3 т</t>
  </si>
  <si>
    <t>ТЕРм37-01-013-09</t>
  </si>
  <si>
    <t>Монтаж оборудования на открытой площадке, масса оборудования 5 т</t>
  </si>
  <si>
    <t>ТЕРм37-01-013-10</t>
  </si>
  <si>
    <t>Монтаж оборудования на открытой площадке, масса оборудования 8 т</t>
  </si>
  <si>
    <t>ТЕРм37-01-013-11</t>
  </si>
  <si>
    <t>Монтаж оборудования на открытой площадке, масса оборудования 13 т</t>
  </si>
  <si>
    <t>ТЕРм37-01-013-12</t>
  </si>
  <si>
    <t>Монтаж оборудования на открытой площадке, масса оборудования 18 т</t>
  </si>
  <si>
    <t>ТЕРм37-01-013-13</t>
  </si>
  <si>
    <t>Монтаж оборудования на открытой площадке, масса оборудования 27 т</t>
  </si>
  <si>
    <t>ТЕРм37-01-013-14</t>
  </si>
  <si>
    <t>Монтаж оборудования на открытой площадке, масса оборудования 40 т</t>
  </si>
  <si>
    <t>ТЕРм37-01-013-15</t>
  </si>
  <si>
    <t>Монтаж оборудования на открытой площадке, масса оборудования 60 т</t>
  </si>
  <si>
    <t>ТЕРм37-01-013-16</t>
  </si>
  <si>
    <t>Монтаж оборудования на открытой площадке, масса оборудования 90 т</t>
  </si>
  <si>
    <t>ТЕРм37-01-013-17</t>
  </si>
  <si>
    <t>Монтаж оборудования на открытой площадке, масса оборудования 125 т</t>
  </si>
  <si>
    <t>ТЕРм37-01-014-01</t>
  </si>
  <si>
    <t>Монтаж оборудования в помещении, масса оборудования 0,03 т</t>
  </si>
  <si>
    <t>ТЕРм37-01-014-02</t>
  </si>
  <si>
    <t>Монтаж оборудования в помещении, масса оборудования 0,05 т</t>
  </si>
  <si>
    <t>ТЕРм37-01-014-03</t>
  </si>
  <si>
    <t>Монтаж оборудования в помещении, масса оборудования 0,1 т</t>
  </si>
  <si>
    <t>ТЕРм37-01-014-04</t>
  </si>
  <si>
    <t>Монтаж оборудования в помещении, масса оборудования 0,5 т</t>
  </si>
  <si>
    <t>ТЕРм37-01-014-05</t>
  </si>
  <si>
    <t>Монтаж оборудования в помещении, масса оборудования 1 т</t>
  </si>
  <si>
    <t>ТЕРм37-01-014-06</t>
  </si>
  <si>
    <t>Монтаж оборудования в помещении, масса оборудования 1,5 т</t>
  </si>
  <si>
    <t>ТЕРм37-01-014-07</t>
  </si>
  <si>
    <t>Монтаж оборудования в помещении, масса оборудования 2 т</t>
  </si>
  <si>
    <t>ТЕРм37-01-014-08</t>
  </si>
  <si>
    <t>Монтаж оборудования в помещении, масса оборудования 3 т</t>
  </si>
  <si>
    <t>ТЕРм37-01-014-09</t>
  </si>
  <si>
    <t>Монтаж оборудования в помещении, масса оборудования 5 т</t>
  </si>
  <si>
    <t>ТЕРм37-01-014-10</t>
  </si>
  <si>
    <t>Монтаж оборудования в помещении, масса оборудования 8 т</t>
  </si>
  <si>
    <t>ТЕРм37-01-014-11</t>
  </si>
  <si>
    <t>Монтаж оборудования в помещении, масса оборудования 13 т</t>
  </si>
  <si>
    <t>ТЕРм37-01-014-12</t>
  </si>
  <si>
    <t>Монтаж оборудования в помещении, масса оборудования 18 т</t>
  </si>
  <si>
    <t>ТЕРм37-01-014-13</t>
  </si>
  <si>
    <t>Монтаж оборудования в помещении, масса оборудования 27 т</t>
  </si>
  <si>
    <t>ТЕРм37-01-014-14</t>
  </si>
  <si>
    <t>Монтаж оборудования в помещении, масса оборудования 40 т</t>
  </si>
  <si>
    <t>ТЕРм37-01-014-15</t>
  </si>
  <si>
    <t>Монтаж оборудования в помещении, масса оборудования 60 т</t>
  </si>
  <si>
    <t>ТЕРм37-01-014-16</t>
  </si>
  <si>
    <t>Монтаж оборудования в помещении, масса оборудования 90 т</t>
  </si>
  <si>
    <t xml:space="preserve">                                   Раздел 3. ГИДРАВЛИЧЕСКОЕ ИСПЫТАНИЕ СОСУДОВ И АППАРАТОВ</t>
  </si>
  <si>
    <t xml:space="preserve">                                   Гидравлическое испытание сосудов и аппаратов</t>
  </si>
  <si>
    <t>ТЕРм37-01-025-01</t>
  </si>
  <si>
    <t>Гидравлическое испытание аппарата с внутренней трубчаткой, вместимость 0,2 м3</t>
  </si>
  <si>
    <t>ТЕРм37-01-025-02</t>
  </si>
  <si>
    <t>Гидравлическое испытание аппарата с внутренней трубчаткой, вместимость 1 м3</t>
  </si>
  <si>
    <t>ТЕРм37-01-025-03</t>
  </si>
  <si>
    <t>Гидравлическое испытание аппарата с внутренней трубчаткой, вместимость 5 м3</t>
  </si>
  <si>
    <t>ТЕРм37-01-025-04</t>
  </si>
  <si>
    <t>Гидравлическое испытание аппарата с внутренней трубчаткой, вместимость 10 м3</t>
  </si>
  <si>
    <t>ТЕРм37-01-025-05</t>
  </si>
  <si>
    <t>Гидравлическое испытание аппарата с внутренней трубчаткой, вместимость 20 м3</t>
  </si>
  <si>
    <t>ТЕРм37-01-025-06</t>
  </si>
  <si>
    <t>Гидравлическое испытание аппарата с внутренней трубчаткой, вместимость 30 м3</t>
  </si>
  <si>
    <t>ТЕРм37-01-025-07</t>
  </si>
  <si>
    <t>Гидравлическое испытание аппарата с внутренней трубчаткой, вместимость 50 м3</t>
  </si>
  <si>
    <t>ТЕРм37-01-025-08</t>
  </si>
  <si>
    <t>Гидравлическое испытание аппарата с внутренней трубчаткой, вместимость 70 м3</t>
  </si>
  <si>
    <t>ТЕРм37-01-025-09</t>
  </si>
  <si>
    <t>Гидравлическое испытание аппарата или сосуда горизонтального или вертикального, работающего без давления, вместимость 0,3 м3</t>
  </si>
  <si>
    <t>ТЕРм37-01-025-10</t>
  </si>
  <si>
    <t>Гидравлическое испытание аппарата или сосуда горизонтального или вертикального, работающего без давления, вместимость 1 м3</t>
  </si>
  <si>
    <t>ТЕРм37-01-025-11</t>
  </si>
  <si>
    <t>Гидравлическое испытание аппарата или сосуда горизонтального или вертикального, работающего без давления, вместимость 2 м3</t>
  </si>
  <si>
    <t>ТЕРм37-01-025-12</t>
  </si>
  <si>
    <t>Гидравлическое испытание аппарата или сосуда горизонтального или вертикального, работающего без давления, вместимость 5 м3</t>
  </si>
  <si>
    <t>ТЕРм37-01-025-13</t>
  </si>
  <si>
    <t>Гидравлическое испытание аппарата или сосуда горизонтального или вертикального, работающего без давления, вместимость 10 м3</t>
  </si>
  <si>
    <t>ТЕРм37-01-025-14</t>
  </si>
  <si>
    <t>Гидравлическое испытание аппарата или сосуда горизонтального или вертикального, работающего без давления, вместимость 15 м3</t>
  </si>
  <si>
    <t>ТЕРм37-01-025-15</t>
  </si>
  <si>
    <t>Гидравлическое испытание аппарата или сосуда горизонтального или вертикального, работающего без давления, вместимость 20 м3</t>
  </si>
  <si>
    <t>ТЕРм37-01-025-16</t>
  </si>
  <si>
    <t>Гидравлическое испытание аппарата или сосуда горизонтального или вертикального, работающего без давления, вместимость 25 м3</t>
  </si>
  <si>
    <t>ТЕРм37-01-025-17</t>
  </si>
  <si>
    <t>Гидравлическое испытание аппарата или сосуда горизонтального или вертикального, работающего без давления, вместимость 50 м3</t>
  </si>
  <si>
    <t>ТЕРм37-01-025-18</t>
  </si>
  <si>
    <t>Гидравлическое испытание аппарата или сосуда горизонтального или вертикального, работающего под давлением, вместимость 0,2 м3</t>
  </si>
  <si>
    <t>ТЕРм37-01-025-19</t>
  </si>
  <si>
    <t>Гидравлическое испытание аппарата или сосуда горизонтального или вертикального, работающего под давлением, вместимость 0,5 м3</t>
  </si>
  <si>
    <t>ТЕРм37-01-025-20</t>
  </si>
  <si>
    <t>Гидравлическое испытание аппарата или сосуда горизонтального или вертикального, работающего под давлением, вместимость 0,8 м3</t>
  </si>
  <si>
    <t>ТЕРм37-01-025-21</t>
  </si>
  <si>
    <t>Гидравлическое испытание аппарата или сосуда горизонтального или вертикального, работающего под давлением, вместимость 1,2 м3</t>
  </si>
  <si>
    <t>ТЕРм37-01-025-22</t>
  </si>
  <si>
    <t>Гидравлическое испытание аппарата или сосуда горизонтального или вертикального, работающего под давлением, вместимость 5 м3</t>
  </si>
  <si>
    <t>ТЕРм37-01-025-23</t>
  </si>
  <si>
    <t>Гидравлическое испытание аппарата или сосуда горизонтального или вертикального, работающего под давлением, вместимость 10 м3</t>
  </si>
  <si>
    <t>ТЕРм37-01-025-24</t>
  </si>
  <si>
    <t>Гидравлическое испытание аппарата или сосуда горизонтального или вертикального, работающего под давлением, вместимость 15 м3</t>
  </si>
  <si>
    <t>ТЕРм37-01-025-25</t>
  </si>
  <si>
    <t>Гидравлическое испытание аппарата или сосуда горизонтального или вертикального, работающего под давлением, вместимость 25 м3</t>
  </si>
  <si>
    <t>ТЕРм37-01-025-26</t>
  </si>
  <si>
    <t>Гидравлическое испытание аппарата или сосуда горизонтального или вертикального, работающего под давлением, вместимость 40 м3</t>
  </si>
  <si>
    <t>ТЕРм37-01-025-27</t>
  </si>
  <si>
    <t>Гидравлическое испытание аппарата или сосуда горизонтального или вертикального, работающего под давлением, вместимость 50 м3</t>
  </si>
  <si>
    <t>ТЕРм37-01-025-28</t>
  </si>
  <si>
    <t>Гидравлическое испытание аппарата или сосуда горизонтального или вертикального, работающего под давлением, вместимость 100 м3</t>
  </si>
  <si>
    <t>ТЕРм37-01-025-29</t>
  </si>
  <si>
    <t>Гидравлическое испытание аппарата или сосуда горизонтального или вертикального, работающего под давлением, вместимость 200 м3</t>
  </si>
  <si>
    <t xml:space="preserve">                                   Раздел 4. ИСПЫТАНИЕ МАШИН И МЕХАНИЗМОВ С ЭЛЕКТРОПРИВОДОМ НА ХОЛОСТОМ ХОДУ</t>
  </si>
  <si>
    <t xml:space="preserve">                                   Испытание машин и механизмов с электроприводом на холостом ходу</t>
  </si>
  <si>
    <t>ТЕРм37-01-036-01</t>
  </si>
  <si>
    <t>Испытание машин и механизмов с электроприводом на холостом ходу массой до 1 т в течение 1 часа при мощности электродвигателя 2 кВт</t>
  </si>
  <si>
    <t>ТЕРм37-01-036-02</t>
  </si>
  <si>
    <t>Испытание машин и механизмов с электроприводом на холостом ходу массой до 1 т в течение 1 часа при мощности электродвигателя 5 кВт</t>
  </si>
  <si>
    <t>ТЕРм37-01-036-03</t>
  </si>
  <si>
    <t>Испытание машин и механизмов с электроприводом на холостом ходу массой до 1 т в течение 1 часа при мощности электродвигателя 10 кВт</t>
  </si>
  <si>
    <t>ТЕРм37-01-036-04</t>
  </si>
  <si>
    <t>Испытание машин и механизмов с электроприводом на холостом ходу массой до 1 т в течение 1 часа при мощности электродвигателя 20 кВт</t>
  </si>
  <si>
    <t>ТЕРм37-01-036-05</t>
  </si>
  <si>
    <t>Испытание машин и механизмов с электроприводом на холостом ходу массой до 1 т в течение 1 часа при мощности электродвигателя 30 кВт</t>
  </si>
  <si>
    <t>ТЕРм37-01-036-06</t>
  </si>
  <si>
    <t>Испытание машин и механизмов с электроприводом на холостом ходу массой до 1 т в течение 1 часа при мощности электродвигателя 40 кВт</t>
  </si>
  <si>
    <t>ТЕРм37-01-036-07</t>
  </si>
  <si>
    <t>Испытание машин и механизмов с электроприводом на холостом ходу массой до 1 т в течение 1 часа при мощности электродвигателя 50 кВт</t>
  </si>
  <si>
    <t>ТЕРм37-01-036-08</t>
  </si>
  <si>
    <t>Испытание машин и механизмов с электроприводом на холостом ходу массой свыше 1 т до 15 т в течение 2 часов при мощности электродвигателя 50 кВт</t>
  </si>
  <si>
    <t>ТЕРм37-01-036-09</t>
  </si>
  <si>
    <t>Испытание машин и механизмов с электроприводом на холостом ходу массой свыше 1 т до 15 т в течение 2 часов при мощности электродвигателя 80 кВт</t>
  </si>
  <si>
    <t>ТЕРм37-01-036-10</t>
  </si>
  <si>
    <t>Испытание машин и механизмов с электроприводом на холостом ходу массой свыше 1 т до 15 т в течение 2 часов при мощности электродвигателя 100 кВт</t>
  </si>
  <si>
    <t>ТЕРм37-01-036-11</t>
  </si>
  <si>
    <t>Испытание машин и механизмов с электроприводом на холостом ходу массой свыше 1 т до 15 т в течение 2 часов при мощности электродвигателя 200 кВт</t>
  </si>
  <si>
    <t>ТЕРм37-01-036-12</t>
  </si>
  <si>
    <t>Испытание машин и механизмов с электроприводом на холостом ходу массой свыше 1 т до 15 т в течение 2 часов при мощности электродвигателя 400 кВт</t>
  </si>
  <si>
    <t>ТЕРм37-01-036-13</t>
  </si>
  <si>
    <t>Испытание машин и механизмов с электроприводом на холостом ходу массой свыше 1 т до 15 т в течение 2 часов при мощности электродвигателя 700 кВт</t>
  </si>
  <si>
    <t>ТЕРм37-01-036-14</t>
  </si>
  <si>
    <t>Испытание машин и механизмов с электроприводом на холостом ходу массой свыше 1 т до 15 т в течение 2 часов при мощности электродвигателя 800 кВт</t>
  </si>
  <si>
    <t>ТЕРм37-01-036-15</t>
  </si>
  <si>
    <t>Испытание машин и механизмов с электроприводом на холостом ходу массой свыше 1 т до 15 т в течение 2 часов при мощности электродвигателя 1000 кВт</t>
  </si>
  <si>
    <t>ТЕРм37-01-036-16</t>
  </si>
  <si>
    <t>Испытание машин и механизмов с электроприводом на холостом ходу массой свыше 1 т до 15 т в течение 2 часов при мощности электродвигателя 1250 кВт</t>
  </si>
  <si>
    <t>ТЕРм37-01-036-17</t>
  </si>
  <si>
    <t>Испытание машин и механизмов с электроприводом на холостом ходу массой свыше 1 т до 15 т в течение 2 часов при мощности электродвигателя 2000 кВт</t>
  </si>
  <si>
    <t>ТЕРм37-01-036-18</t>
  </si>
  <si>
    <t>Испытание машин и механизмов с электроприводом на холостом ходу массой свыше 1 т до 15 т в течение 2 часов при мощности электродвигателя 2500 кВт</t>
  </si>
  <si>
    <t>ТЕРм37-01-036-19</t>
  </si>
  <si>
    <t>Испытание машин и механизмов с электроприводом на холостом ходу массой свыше 1 т до 15 т в течение 2 часов при мощности электродвигателя 5000 кВт</t>
  </si>
  <si>
    <t>ТЕРм37-01-036-20</t>
  </si>
  <si>
    <t>Испытание машин и механизмов с электроприводом на холостом ходу массой свыше 1 т до 15 т в течение 2 часов при мощности электродвигателя 6300 кВт</t>
  </si>
  <si>
    <t>ТЕРм37-01-036-21</t>
  </si>
  <si>
    <t>Испытание машин и механизмов с электроприводом на холостом ходу массой свыше 15 т в течение 8 часов при мощности электродвигателя 630 кВт</t>
  </si>
  <si>
    <t>ТЕРм37-01-036-22</t>
  </si>
  <si>
    <t>Испытание машин и механизмов с электроприводом на холостом ходу массой свыше 15 т в течение 8 часов при мощности электродвигателя 1250 кВт</t>
  </si>
  <si>
    <t>ТЕРм37-01-036-23</t>
  </si>
  <si>
    <t>Испытание машин и механизмов с электроприводом на холостом ходу массой свыше 15 т в течение 8 часов при мощности электродвигателя 1500 кВт</t>
  </si>
  <si>
    <t>ТЕРм37-01-036-24</t>
  </si>
  <si>
    <t>Испытание машин и механизмов с электроприводом на холостом ходу массой свыше 15 т в течение 8 часов при мощности электродвигателя 2000 кВт</t>
  </si>
  <si>
    <t>ТЕРм37-01-036-25</t>
  </si>
  <si>
    <t>Испытание машин и механизмов с электроприводом на холостом ходу массой свыше 15 т в течение 8 часов при мощности электродвигателя 2500 кВт</t>
  </si>
  <si>
    <t>ТЕРм37-01-036-26</t>
  </si>
  <si>
    <t>Испытание машин и механизмов с электроприводом на холостом ходу массой свыше 15 т в течение 8 часов при мощности электродвигателя 3500 кВт</t>
  </si>
  <si>
    <t>ТЕРм37-01-036-27</t>
  </si>
  <si>
    <t>Испытание машин и механизмов с электроприводом на холостом ходу массой свыше 15 т в течение 8 часов при мощности электродвигателя 5000 кВт</t>
  </si>
  <si>
    <t>ТЕРм37-01-036-28</t>
  </si>
  <si>
    <t>Испытание машин и механизмов с электроприводом на холостом ходу массой свыше 15 т в течение 8 часов при мощности электродвигателя 6300 кВт</t>
  </si>
  <si>
    <t>ТЕРм37-01-036-29</t>
  </si>
  <si>
    <t>Испытание машин и механизмов с электроприводом на холостом ходу массой свыше 15 т в течение 8 часов при мощности электродвигателя 9000 кВт</t>
  </si>
  <si>
    <t>ТЕРм37-01-036-30</t>
  </si>
  <si>
    <t>Испытание машин и механизмов с электроприводом на холостом ходу массой свыше 15 т в течение 8 часов при мощности электродвигателя 12500 кВт</t>
  </si>
  <si>
    <t xml:space="preserve">                           Раздел 2. ОТДЕЛ 02. ТАКЕЛАЖНЫЕ РАБОТЫ</t>
  </si>
  <si>
    <t xml:space="preserve">                                   Раздел 1. УСТРОЙСТВО И РАЗБОРКА ЯКОРЕЙ</t>
  </si>
  <si>
    <t xml:space="preserve">                                   Устройство и разборка наземных якорей</t>
  </si>
  <si>
    <t>ТЕРм37-02-001-01</t>
  </si>
  <si>
    <t>Устройство наземного якоря, усилие до 150 кН (15 тс)</t>
  </si>
  <si>
    <t>ТЕРм37-02-001-02</t>
  </si>
  <si>
    <t>Устройство наземного якоря, усилие до 200 кН (20 тс)</t>
  </si>
  <si>
    <t>ТЕРм37-02-001-03</t>
  </si>
  <si>
    <t>Устройство наземного якоря, усилие до 250 кН (25 тс)</t>
  </si>
  <si>
    <t>ТЕРм37-02-001-04</t>
  </si>
  <si>
    <t>Устройство наземного якоря, усилие до 300 кН (30 тс)</t>
  </si>
  <si>
    <t>ТЕРм37-02-001-05</t>
  </si>
  <si>
    <t>Устройство наземного якоря, усилие до 400 кН (40 тс)</t>
  </si>
  <si>
    <t>ТЕРм37-02-001-06</t>
  </si>
  <si>
    <t>Устройство наземного якоря, усилие до 500 кН (50 тс)</t>
  </si>
  <si>
    <t>ТЕРм37-02-001-07</t>
  </si>
  <si>
    <t>Устройство наземного якоря, усилие до 600 кН (60 тс)</t>
  </si>
  <si>
    <t>ТЕРм37-02-001-08</t>
  </si>
  <si>
    <t>Устройство наземного якоря, усилие до 1000 кН (100 тс)</t>
  </si>
  <si>
    <t>ТЕРм37-02-001-09</t>
  </si>
  <si>
    <t>Разборка наземного якоря, усилие до 150 кН (15 тс)</t>
  </si>
  <si>
    <t>ТЕРм37-02-001-10</t>
  </si>
  <si>
    <t>Разборка наземного якоря, усилие до 200 кН (20 тс)</t>
  </si>
  <si>
    <t>ТЕРм37-02-001-11</t>
  </si>
  <si>
    <t>Разборка наземного якоря, усилие до 250 кН (25 тс)</t>
  </si>
  <si>
    <t>ТЕРм37-02-001-12</t>
  </si>
  <si>
    <t>Разборка наземного якоря, усилие до 300 кН (30 тс)</t>
  </si>
  <si>
    <t>ТЕРм37-02-001-13</t>
  </si>
  <si>
    <t>Разборка наземного якоря, усилие до 400 кН (40 тс)</t>
  </si>
  <si>
    <t>ТЕРм37-02-001-14</t>
  </si>
  <si>
    <t>Разборка наземного якоря, усилие до 500 кН (50 тс)</t>
  </si>
  <si>
    <t>ТЕРм37-02-001-15</t>
  </si>
  <si>
    <t>Разборка наземного якоря, усилие до 600 кН (60 тс)</t>
  </si>
  <si>
    <t>ТЕРм37-02-001-16</t>
  </si>
  <si>
    <t>Разборка наземного якоря, усилие до 1000 кН (100 тс)</t>
  </si>
  <si>
    <t xml:space="preserve">                                   Устройство и разборка полузаглубленных якорей</t>
  </si>
  <si>
    <t>ТЕРм37-02-002-01</t>
  </si>
  <si>
    <t>Устройство полузаглубленного якоря, усилие 200 кН (20 тс)</t>
  </si>
  <si>
    <t>ТЕРм37-02-002-02</t>
  </si>
  <si>
    <t>Устройство полузаглубленного якоря, усилие 300 кН (30 тс)</t>
  </si>
  <si>
    <t>ТЕРм37-02-002-03</t>
  </si>
  <si>
    <t>Устройство полузаглубленного якоря, усилие 400 кН (40 тс)</t>
  </si>
  <si>
    <t>ТЕРм37-02-002-04</t>
  </si>
  <si>
    <t>Устройство полузаглубленного якоря, усилие 600 кН (60 тс)</t>
  </si>
  <si>
    <t>ТЕРм37-02-002-05</t>
  </si>
  <si>
    <t>Устройство полузаглубленного якоря, усилие 800 кН (80 тс)</t>
  </si>
  <si>
    <t>ТЕРм37-02-002-06</t>
  </si>
  <si>
    <t>Устройство полузаглубленного якоря, усилие 1500 кН (150 тс)</t>
  </si>
  <si>
    <t>ТЕРм37-02-002-07</t>
  </si>
  <si>
    <t>Разборка полузаглубленного якоря, усилие 200 кН (20 тс)</t>
  </si>
  <si>
    <t>ТЕРм37-02-002-08</t>
  </si>
  <si>
    <t>Разборка полузаглубленного якоря, усилие 300 кН (30 тс)</t>
  </si>
  <si>
    <t>ТЕРм37-02-002-09</t>
  </si>
  <si>
    <t>Разборка полузаглубленного якоря, усилие 400 кН (40 тс)</t>
  </si>
  <si>
    <t>ТЕРм37-02-002-10</t>
  </si>
  <si>
    <t>Разборка полузаглубленного якоря, усилие 600 кН (60 тс)</t>
  </si>
  <si>
    <t>ТЕРм37-02-002-11</t>
  </si>
  <si>
    <t>Разборка полузаглубленного якоря, усилие 800 кН (80 тс)</t>
  </si>
  <si>
    <t>ТЕРм37-02-002-12</t>
  </si>
  <si>
    <t>Разборка полузаглубленного якоря, усилие 1500 кН (150 тс)</t>
  </si>
  <si>
    <t xml:space="preserve">                                   Раздел 2. УСТАНОВКА И СНЯТИЕ ТАЛЕЙ И ЛЕБЕДОК БЕЗ УСТРОЙСТВА ЯКОРЕЙ</t>
  </si>
  <si>
    <t xml:space="preserve">                                   Установка и снятие электролебедок</t>
  </si>
  <si>
    <t>ТЕРм37-02-013-01</t>
  </si>
  <si>
    <t>Установка электролебедки без подъема, тяговое усилие 12,5 кН (1,25 тс)</t>
  </si>
  <si>
    <t>ТЕРм37-02-013-02</t>
  </si>
  <si>
    <t>Установка электролебедки без подъема, тяговое усилие 15 кН (1,5 тс)</t>
  </si>
  <si>
    <t>ТЕРм37-02-013-03</t>
  </si>
  <si>
    <t>Установка электролебедки без подъема, тяговое усилие 20 кН (2 тс)</t>
  </si>
  <si>
    <t>ТЕРм37-02-013-04</t>
  </si>
  <si>
    <t>Установка электролебедки без подъема, тяговое усилие 25 кН (2,5 тс)</t>
  </si>
  <si>
    <t>ТЕРм37-02-013-05</t>
  </si>
  <si>
    <t>Установка электролебедки без подъема, тяговое усилие 32 кН (3,2 тс)</t>
  </si>
  <si>
    <t>ТЕРм37-02-013-06</t>
  </si>
  <si>
    <t>Установка электролебедки без подъема, тяговое усилие 50 кН (5 тс)</t>
  </si>
  <si>
    <t>ТЕРм37-02-013-07</t>
  </si>
  <si>
    <t>Установка электролебедки без подъема, тяговое усилие 70 кН (7 тс)</t>
  </si>
  <si>
    <t>ТЕРм37-02-013-08</t>
  </si>
  <si>
    <t>Установка электролебедки без подъема, тяговое усилие 80 кН (8 тс)</t>
  </si>
  <si>
    <t>ТЕРм37-02-013-09</t>
  </si>
  <si>
    <t>Установка электролебедки без подъема, тяговое усилие 100 кН (10 тс)</t>
  </si>
  <si>
    <t>ТЕРм37-02-013-10</t>
  </si>
  <si>
    <t>Установка электролебедки без подъема, тяговое усилие 125 кН (12,5 тс)</t>
  </si>
  <si>
    <t>ТЕРм37-02-013-11</t>
  </si>
  <si>
    <t>Установка электролебедки без подъема, тяговое усилие 160 кН (16 тс)</t>
  </si>
  <si>
    <t>ТЕРм37-02-013-12</t>
  </si>
  <si>
    <t>Установка электролебедки без подъема, тяговое усилие 320 кН (32 тс)</t>
  </si>
  <si>
    <t>ТЕРм37-02-013-13</t>
  </si>
  <si>
    <t>Установка электролебедки с подъемом на высоту до 3 м, тяговое усилие 12,5 кН (1,25 тс)</t>
  </si>
  <si>
    <t>ТЕРм37-02-013-14</t>
  </si>
  <si>
    <t>Установка электролебедки с подъемом на высоту до 3 м, тяговое усилие 15 кН (1,5 тс)</t>
  </si>
  <si>
    <t>ТЕРм37-02-013-15</t>
  </si>
  <si>
    <t>Установка электролебедки с подъемом на высоту до 3 м, тяговое усилие 20 кН (2 тс)</t>
  </si>
  <si>
    <t>ТЕРм37-02-013-16</t>
  </si>
  <si>
    <t>Установка электролебедки с подъемом на высоту до 3 м, тяговое усилие 25 кН (2,5 тс)</t>
  </si>
  <si>
    <t>ТЕРм37-02-013-17</t>
  </si>
  <si>
    <t>Установка электролебедки с подъемом на высоту до 3 м, тяговое усилие 32 кН (3,2 тс)</t>
  </si>
  <si>
    <t>ТЕРм37-02-013-18</t>
  </si>
  <si>
    <t>Установка электролебедки с подъемом на высоту до 3 м, тяговое усилие 50 кН (5 тс)</t>
  </si>
  <si>
    <t>ТЕРм37-02-013-19</t>
  </si>
  <si>
    <t>Установка электролебедки с подъемом на высоту до 3 м, тяговое усилие 70 кН (7 тс)</t>
  </si>
  <si>
    <t>ТЕРм37-02-013-20</t>
  </si>
  <si>
    <t>Установка электролебедки с подъемом на высоту до 3 м, тяговое усилие 80 кН (8 тс)</t>
  </si>
  <si>
    <t>ТЕРм37-02-013-21</t>
  </si>
  <si>
    <t>Установка электролебедки с подъемом на высоту до 3 м, тяговое усилие 100 кН (10 тс)</t>
  </si>
  <si>
    <t>ТЕРм37-02-013-22</t>
  </si>
  <si>
    <t>Установка электролебедки с подъемом на высоту до 3 м, тяговое усилие 125 кН (12,5 тс)</t>
  </si>
  <si>
    <t>ТЕРм37-02-013-23</t>
  </si>
  <si>
    <t>Установка электролебедки с подъемом на высоту до 3 м, тяговое усилие 160 кН (16 тс)</t>
  </si>
  <si>
    <t>ТЕРм37-02-013-24</t>
  </si>
  <si>
    <t>Добавлять на каждый следующий 1 м подъема на отметку свыше 3 м, тяговое усилие 12,5 кН (1,25 тс)</t>
  </si>
  <si>
    <t>ТЕРм37-02-013-25</t>
  </si>
  <si>
    <t>Добавлять на каждый следующий 1 м подъема на отметку свыше 3 м, тяговое усилие 15 кН (1,5 тс)</t>
  </si>
  <si>
    <t>ТЕРм37-02-013-26</t>
  </si>
  <si>
    <t>Добавлять на каждый следующий 1 м подъема на отметку свыше 3 м, тяговое усилие 20 кН (2 тс)</t>
  </si>
  <si>
    <t>ТЕРм37-02-013-27</t>
  </si>
  <si>
    <t>Добавлять на каждый следующий 1 м подъема на отметку свыше 3 м, тяговое усилие 25 кН (2,5 тс)</t>
  </si>
  <si>
    <t>ТЕРм37-02-013-28</t>
  </si>
  <si>
    <t>Добавлять на каждый следующий 1 м подъема на отметку свыше 3 м, тяговое усилие 32 кН (3,2 тс)</t>
  </si>
  <si>
    <t>ТЕРм37-02-013-29</t>
  </si>
  <si>
    <t>Добавлять на каждый следующий 1 м подъема на отметку свыше 3 м, тяговое усилие 50 кН (5 тс)</t>
  </si>
  <si>
    <t>ТЕРм37-02-013-30</t>
  </si>
  <si>
    <t>Добавлять на каждый следующий 1 м подъема на отметку свыше 3 м, тяговое усилие 70 кН (7 тс)</t>
  </si>
  <si>
    <t>ТЕРм37-02-013-31</t>
  </si>
  <si>
    <t>Добавлять на каждый следующий 1 м подъема на отметку свыше 3 м, тяговое усилие 80 кН (8 тс)</t>
  </si>
  <si>
    <t>ТЕРм37-02-013-32</t>
  </si>
  <si>
    <t>Добавлять на каждый следующий 1 м подъема на отметку свыше 3 м, тяговое усилие 100 кН (10 тс)</t>
  </si>
  <si>
    <t>ТЕРм37-02-013-33</t>
  </si>
  <si>
    <t>Добавлять на каждый следующий 1 м подъема на отметку свыше 3 м, тяговое усилие 125 кН (12,5 тс)</t>
  </si>
  <si>
    <t>ТЕРм37-02-013-34</t>
  </si>
  <si>
    <t>Добавлять на каждый следующий 1 м подъема на отметку свыше 3 м, тяговое усилие 160 кН (16 тс)</t>
  </si>
  <si>
    <t>ТЕРм37-02-013-35</t>
  </si>
  <si>
    <t>Снятие электролебедки, тяговое усилие 12,5 кН (1,25 тс)</t>
  </si>
  <si>
    <t>ТЕРм37-02-013-36</t>
  </si>
  <si>
    <t>Снятие электролебедки, тяговое усилие 15 кН (1,5 тс)</t>
  </si>
  <si>
    <t>ТЕРм37-02-013-37</t>
  </si>
  <si>
    <t>Снятие электролебедки, тяговое усилие 20 кН (2 тс)</t>
  </si>
  <si>
    <t>ТЕРм37-02-013-38</t>
  </si>
  <si>
    <t>Снятие электролебедки, тяговое усилие 25 кН (2,5 тс)</t>
  </si>
  <si>
    <t>ТЕРм37-02-013-39</t>
  </si>
  <si>
    <t>Снятие электролебедки, тяговое усилие 32 кН (3,2 тс)</t>
  </si>
  <si>
    <t>ТЕРм37-02-013-40</t>
  </si>
  <si>
    <t>Снятие электролебедки, тяговое усилие 50 кН (5 тс)</t>
  </si>
  <si>
    <t>ТЕРм37-02-013-41</t>
  </si>
  <si>
    <t>Снятие электролебедки, тяговое усилие 70 кН (7 тс)</t>
  </si>
  <si>
    <t>ТЕРм37-02-013-42</t>
  </si>
  <si>
    <t>Снятие электролебедки, тяговое усилие 80 кН (8 тс)</t>
  </si>
  <si>
    <t>ТЕРм37-02-013-43</t>
  </si>
  <si>
    <t>Снятие электролебедки, тяговое усилие 100 кН (10 тс)</t>
  </si>
  <si>
    <t>ТЕРм37-02-013-44</t>
  </si>
  <si>
    <t>Снятие электролебедки, тяговое усилие 125 кН (12,5 тс)</t>
  </si>
  <si>
    <t>ТЕРм37-02-013-45</t>
  </si>
  <si>
    <t>Снятие электролебедки, тяговое усилие 160 кН (16 тс)</t>
  </si>
  <si>
    <t>ТЕРм37-02-013-46</t>
  </si>
  <si>
    <t>Снятие электролебедки, тяговое усилие 320 кН (32 тс)</t>
  </si>
  <si>
    <t>ТЕРм37-02-013-47</t>
  </si>
  <si>
    <t>Снятие электролебедки с высоты до 3 м, тяговое усилие 12,5 кН (1,25 тс)</t>
  </si>
  <si>
    <t>ТЕРм37-02-013-48</t>
  </si>
  <si>
    <t>Снятие электролебедки с высоты до 3 м, тяговое усилие 15 кН (1,5 тс)</t>
  </si>
  <si>
    <t>ТЕРм37-02-013-49</t>
  </si>
  <si>
    <t>Снятие электролебедки с высоты до 3 м, тяговое усилие 20 кН (2 тс)</t>
  </si>
  <si>
    <t>ТЕРм37-02-013-50</t>
  </si>
  <si>
    <t>Снятие электролебедки с высоты до 3 м, тяговое усилие 25 кН (2,5 тс)</t>
  </si>
  <si>
    <t>ТЕРм37-02-013-51</t>
  </si>
  <si>
    <t>Снятие электролебедки с высоты до 3 м, тяговое усилие 32 кН (3,2 тс)</t>
  </si>
  <si>
    <t>ТЕРм37-02-013-52</t>
  </si>
  <si>
    <t>Снятие электролебедки с высоты до 3 м, тяговое усилие 50 кН (5 тс)</t>
  </si>
  <si>
    <t>ТЕРм37-02-013-53</t>
  </si>
  <si>
    <t>Снятие электролебедки с высоты до 3 м, тяговое усилие 70 кН (7 тс)</t>
  </si>
  <si>
    <t>ТЕРм37-02-013-54</t>
  </si>
  <si>
    <t>Снятие электролебедки с высоты до 3 м, тяговое усилие 80 кН (8 тс)</t>
  </si>
  <si>
    <t>ТЕРм37-02-013-55</t>
  </si>
  <si>
    <t>Снятие электролебедки с высоты до 3 м, тяговое усилие 100 кН (10 тс)</t>
  </si>
  <si>
    <t>ТЕРм37-02-013-56</t>
  </si>
  <si>
    <t>Снятие электролебедки с высоты до 3 м, тяговое усилие 125 кН (12,5 тс)</t>
  </si>
  <si>
    <t>ТЕРм37-02-013-57</t>
  </si>
  <si>
    <t>Снятие электролебедки с высоты до 3 м, тяговое усилие 160 кН (16 тс)</t>
  </si>
  <si>
    <t>ТЕРм37-02-013-58</t>
  </si>
  <si>
    <t>Добавлять на каждый следующий 1 м при снятии с отметки свыше 3 м, тяговое усилие 12,5 кН (1,25 тс)</t>
  </si>
  <si>
    <t>ТЕРм37-02-013-59</t>
  </si>
  <si>
    <t>Добавлять на каждый следующий 1 м при снятии с отметки свыше 3 м, тяговое усилие 15 кН (1,5 тс)</t>
  </si>
  <si>
    <t>ТЕРм37-02-013-60</t>
  </si>
  <si>
    <t>Добавлять на каждый следующий 1 м при снятии с отметки свыше 3 м, тяговое усилие 20 кН (2 тс)</t>
  </si>
  <si>
    <t>ТЕРм37-02-013-61</t>
  </si>
  <si>
    <t>Добавлять на каждый следующий 1 м при снятии с отметки свыше 3 м, тяговое усилие 25 кН (2,5 тс)</t>
  </si>
  <si>
    <t>ТЕРм37-02-013-62</t>
  </si>
  <si>
    <t>Добавлять на каждый следующий 1 м при снятии с отметки свыше 3 м, тяговое усилие 32 кН (3,2 тс)</t>
  </si>
  <si>
    <t>ТЕРм37-02-013-63</t>
  </si>
  <si>
    <t>Добавлять на каждый следующий 1 м при снятии с отметки свыше 3 м, тяговое усилие 50 кН (5 тс)</t>
  </si>
  <si>
    <t>ТЕРм37-02-013-64</t>
  </si>
  <si>
    <t>Добавлять на каждый следующий 1 м при снятии с отметки свыше 3 м, тяговое усилие 70 кН (7 тс)</t>
  </si>
  <si>
    <t>ТЕРм37-02-013-65</t>
  </si>
  <si>
    <t>Добавлять на каждый следующий 1 м при снятии с отметки свыше 3 м, тяговое усилие 80 кН (8 тс)</t>
  </si>
  <si>
    <t>ТЕРм37-02-013-66</t>
  </si>
  <si>
    <t>Добавлять на каждый следующий 1 м при снятии с отметки свыше 3 м, тяговое усилие 100 кН (10 тс)</t>
  </si>
  <si>
    <t>ТЕРм37-02-013-67</t>
  </si>
  <si>
    <t>Добавлять на каждый следующий 1 м при снятии с отметки свыше 3 м, тяговое усилие 125 кН (12,5 тс)</t>
  </si>
  <si>
    <t>ТЕРм37-02-013-68</t>
  </si>
  <si>
    <t>Добавлять на каждый следующий 1 м при снятии с отметки свыше 3 м, тяговое усилие 160 кН (16 тс)</t>
  </si>
  <si>
    <t xml:space="preserve">                                   Установка и снятие ручных лебедок</t>
  </si>
  <si>
    <t>ТЕРм37-02-014-01</t>
  </si>
  <si>
    <t>Установка ручных лебедок без подъема, тяговое усилие 12,5 кН (1,25 тс)</t>
  </si>
  <si>
    <t>ТЕРм37-02-014-02</t>
  </si>
  <si>
    <t>Установка ручных лебедок без подъема, тяговое усилие 15 кН (1,5 тс)</t>
  </si>
  <si>
    <t>ТЕРм37-02-014-03</t>
  </si>
  <si>
    <t>Установка ручных лебедок без подъема, тяговое усилие 20 кН (2 тс)</t>
  </si>
  <si>
    <t>ТЕРм37-02-014-04</t>
  </si>
  <si>
    <t>Установка ручных лебедок без подъема, тяговое усилие 25 кН (2,5 тс)</t>
  </si>
  <si>
    <t>ТЕРм37-02-014-05</t>
  </si>
  <si>
    <t>Установка ручных лебедок без подъема, тяговое усилие 32 кН (3,2 тс)</t>
  </si>
  <si>
    <t>ТЕРм37-02-014-06</t>
  </si>
  <si>
    <t>Установка ручных лебедок без подъема, тяговое усилие 50 кН (5 тс)</t>
  </si>
  <si>
    <t>ТЕРм37-02-014-07</t>
  </si>
  <si>
    <t>Установка ручных лебедок без подъема, тяговое усилие 70 кН (7 тс)</t>
  </si>
  <si>
    <t>ТЕРм37-02-014-08</t>
  </si>
  <si>
    <t>Установка ручных лебедок без подъема, тяговое усилие 80 кН (8 тс)</t>
  </si>
  <si>
    <t>ТЕРм37-02-014-09</t>
  </si>
  <si>
    <t>Установка ручных лебедок без подъема, тяговое усилие 100 кН (10 тс)</t>
  </si>
  <si>
    <t>ТЕРм37-02-014-10</t>
  </si>
  <si>
    <t>Установка ручных лебедок с подъемом на высоту до 3 м, тяговое усилие 12,5 кН (1,25 тс)</t>
  </si>
  <si>
    <t>ТЕРм37-02-014-11</t>
  </si>
  <si>
    <t>Установка ручных лебедок с подъемом на высоту до 3 м, тяговое усилие 15 кН (1,5 тс)</t>
  </si>
  <si>
    <t>ТЕРм37-02-014-12</t>
  </si>
  <si>
    <t>Установка ручных лебедок с подъемом на высоту до 3 м, тяговое усилие 20 кН (2 тс)</t>
  </si>
  <si>
    <t>ТЕРм37-02-014-13</t>
  </si>
  <si>
    <t>Установка ручных лебедок с подъемом на высоту до 3 м, тяговое усилие 25 кН (2,5 тс)</t>
  </si>
  <si>
    <t>ТЕРм37-02-014-14</t>
  </si>
  <si>
    <t>Установка ручных лебедок с подъемом на высоту до 3 м, тяговое усилие 32 кН (3,2 тс)</t>
  </si>
  <si>
    <t>ТЕРм37-02-014-15</t>
  </si>
  <si>
    <t>Установка ручных лебедок с подъемом на высоту до 3 м, тяговое усилие 50 кН (5 тс)</t>
  </si>
  <si>
    <t>ТЕРм37-02-014-16</t>
  </si>
  <si>
    <t>Установка ручных лебедок с подъемом на высоту до 3 м, тяговое усилие 70 кН (7 тс)</t>
  </si>
  <si>
    <t>ТЕРм37-02-014-17</t>
  </si>
  <si>
    <t>Установка ручных лебедок с подъемом на высоту до 3 м, тяговое усилие 80 кН (8 тс)</t>
  </si>
  <si>
    <t>ТЕРм37-02-014-18</t>
  </si>
  <si>
    <t>Установка ручных лебедок с подъемом на высоту до 3 м, тяговое усилие 100 кН (10 тс)</t>
  </si>
  <si>
    <t>ТЕРм37-02-014-19</t>
  </si>
  <si>
    <t>Добавлять на каждый следующий 1 м подъема при установке лебедки на отметку свыше 3 м, тяговое усилие 12,5 кН (1,25 тс)</t>
  </si>
  <si>
    <t>ТЕРм37-02-014-20</t>
  </si>
  <si>
    <t>Добавлять на каждый следующий 1 м подъема при установке лебедки на отметку свыше 3 м, тяговое усилие 15 кН (1,5 тс)</t>
  </si>
  <si>
    <t>ТЕРм37-02-014-21</t>
  </si>
  <si>
    <t>Добавлять на каждый следующий 1 м подъема при установке лебедки на отметку свыше 3 м, тяговое усилие 20 кН (2 тс)</t>
  </si>
  <si>
    <t>ТЕРм37-02-014-22</t>
  </si>
  <si>
    <t>Добавлять на каждый следующий 1 м подъема при установке лебедки на отметку свыше 3 м, тяговое усилие 25 кН (2,5 тс)</t>
  </si>
  <si>
    <t>ТЕРм37-02-014-23</t>
  </si>
  <si>
    <t>Добавлять на каждый следующий 1 м подъема при установке лебедки на отметку свыше 3 м, тяговое усилие 32 кН (3,2 тс)</t>
  </si>
  <si>
    <t>ТЕРм37-02-014-24</t>
  </si>
  <si>
    <t>Добавлять на каждый следующий 1 м подъема при установке лебедки на отметку свыше 3 м, тяговое усилие 50 кН (5 тс)</t>
  </si>
  <si>
    <t>ТЕРм37-02-014-25</t>
  </si>
  <si>
    <t>Добавлять на каждый следующий 1 м подъема при установке лебедки на отметку свыше 3 м, тяговое усилие 70 кН (7 тс)</t>
  </si>
  <si>
    <t>ТЕРм37-02-014-26</t>
  </si>
  <si>
    <t>Добавлять на каждый следующий 1 м подъема при установке лебедки на отметку свыше 3 м, тяговое усилие 80 кН (8 тс)</t>
  </si>
  <si>
    <t>ТЕРм37-02-014-27</t>
  </si>
  <si>
    <t>Добавлять на каждый следующий 1 м подъема при установке лебедки на отметку свыше 3 м, тяговое усилие 100 кН (10 тс)</t>
  </si>
  <si>
    <t>ТЕРм37-02-014-28</t>
  </si>
  <si>
    <t>Снятие ручных лебедок, тяговое усилие 12,5 кН (1,25 тс)</t>
  </si>
  <si>
    <t>ТЕРм37-02-014-29</t>
  </si>
  <si>
    <t>Снятие ручных лебедок, тяговое усилие 15 кН (1,5 тс)</t>
  </si>
  <si>
    <t>ТЕРм37-02-014-30</t>
  </si>
  <si>
    <t>Снятие ручных лебедок, тяговое усилие 20 кН (2 тс)</t>
  </si>
  <si>
    <t>ТЕРм37-02-014-31</t>
  </si>
  <si>
    <t>Снятие ручных лебедок, тяговое усилие 25 кН (2,5 тс)</t>
  </si>
  <si>
    <t>ТЕРм37-02-014-32</t>
  </si>
  <si>
    <t>Снятие ручных лебедок, тяговое усилие 32 кН (3,2 тс)</t>
  </si>
  <si>
    <t>ТЕРм37-02-014-33</t>
  </si>
  <si>
    <t>Снятие ручных лебедок, тяговое усилие 50 кН (5 тс)</t>
  </si>
  <si>
    <t>ТЕРм37-02-014-34</t>
  </si>
  <si>
    <t>Снятие ручных лебедок, тяговое усилие 70 кН (7 тс)</t>
  </si>
  <si>
    <t>ТЕРм37-02-014-35</t>
  </si>
  <si>
    <t>Снятие ручных лебедок, тяговое усилие 80 кН (8 тс)</t>
  </si>
  <si>
    <t>ТЕРм37-02-014-36</t>
  </si>
  <si>
    <t>Снятие ручных лебедок, тяговое усилие 100 кН (10 тс)</t>
  </si>
  <si>
    <t>ТЕРм37-02-014-37</t>
  </si>
  <si>
    <t>Снятие ручных лебедок с отметки до 3 м, тяговое усилие 12,5 кН (1,25 тс)</t>
  </si>
  <si>
    <t>ТЕРм37-02-014-38</t>
  </si>
  <si>
    <t>Снятие ручных лебедок с отметки до 3 м, тяговое усилие 15 кН (1,5 тс)</t>
  </si>
  <si>
    <t>ТЕРм37-02-014-39</t>
  </si>
  <si>
    <t>Снятие ручных лебедок с отметки до 3 м, тяговое усилие 20 кН (2 тс)</t>
  </si>
  <si>
    <t>ТЕРм37-02-014-40</t>
  </si>
  <si>
    <t>Снятие ручных лебедок с отметки до 3 м, тяговое усилие 25 кН (2,5 тс)</t>
  </si>
  <si>
    <t>ТЕРм37-02-014-41</t>
  </si>
  <si>
    <t>Снятие ручных лебедок с отметки до 3 м, тяговое усилие 32 кН (3,2 тс)</t>
  </si>
  <si>
    <t>ТЕРм37-02-014-42</t>
  </si>
  <si>
    <t>Снятие ручных лебедок с отметки до 3 м, тяговое усилие 50 кН (5 тс)</t>
  </si>
  <si>
    <t>ТЕРм37-02-014-43</t>
  </si>
  <si>
    <t>Снятие ручных лебедок с отметки до 3 м, тяговое усилие 70 кН (7 тс)</t>
  </si>
  <si>
    <t>ТЕРм37-02-014-44</t>
  </si>
  <si>
    <t>Снятие ручных лебедок с отметки до 3 м, тяговое усилие 80 кН (8 тс)</t>
  </si>
  <si>
    <t>ТЕРм37-02-014-45</t>
  </si>
  <si>
    <t>Снятие ручных лебедок с отметки до 3 м, тяговое усилие 100 кН (10 тс)</t>
  </si>
  <si>
    <t>ТЕРм37-02-014-46</t>
  </si>
  <si>
    <t>Добавлять на каждый следующий 1 м снятия с отметки свыше 3 м, тяговое усилие 12,5 кН (1,25 тс)</t>
  </si>
  <si>
    <t>ТЕРм37-02-014-47</t>
  </si>
  <si>
    <t>Добавлять на каждый следующий 1 м снятия с отметки свыше 3 м, тяговое усилие 15 кН (1,5 тс)</t>
  </si>
  <si>
    <t>ТЕРм37-02-014-48</t>
  </si>
  <si>
    <t>Добавлять на каждый следующий 1 м снятия с отметки свыше 3 м, тяговое усилие 20 кН (2 тс)</t>
  </si>
  <si>
    <t>ТЕРм37-02-014-49</t>
  </si>
  <si>
    <t>Добавлять на каждый следующий 1 м снятия с отметки свыше 3 м, тяговое усилие 25 кН (2,5 тс)</t>
  </si>
  <si>
    <t>ТЕРм37-02-014-50</t>
  </si>
  <si>
    <t>Добавлять на каждый следующий 1 м снятия с отметки свыше 3 м, тяговое усилие 32 кН (3,2 тс)</t>
  </si>
  <si>
    <t>ТЕРм37-02-014-51</t>
  </si>
  <si>
    <t>Добавлять на каждый следующий 1 м снятия с отметки свыше 3 м, тяговое усилие 50 кН (5 тс)</t>
  </si>
  <si>
    <t>ТЕРм37-02-014-52</t>
  </si>
  <si>
    <t>Добавлять на каждый следующий 1 м снятия с отметки свыше 3 м, тяговое усилие 70 кН (7 тс)</t>
  </si>
  <si>
    <t>ТЕРм37-02-014-53</t>
  </si>
  <si>
    <t>Добавлять на каждый следующий 1 м снятия с отметки свыше 3 м, тяговое усилие 80 кН (8 тс)</t>
  </si>
  <si>
    <t>ТЕРм37-02-014-54</t>
  </si>
  <si>
    <t>Добавлять на каждый следующий 1 м снятия с отметки свыше 3 м, тяговое усилие 100 кН (10 тс)</t>
  </si>
  <si>
    <t xml:space="preserve">                                   Подвешивание и снятие талей и ручных рычажных лебедок</t>
  </si>
  <si>
    <t>ТЕРм37-02-015-01</t>
  </si>
  <si>
    <t>Подвешивание тали на высоте до 3 м, грузоподъемность тали 2 т</t>
  </si>
  <si>
    <t>ТЕРм37-02-015-02</t>
  </si>
  <si>
    <t>Подвешивание тали на высоте до 3 м, грузоподъемность тали 3 т</t>
  </si>
  <si>
    <t>ТЕРм37-02-015-03</t>
  </si>
  <si>
    <t>Подвешивание тали на высоте до 3 м, грузоподъемность тали 5 т</t>
  </si>
  <si>
    <t>ТЕРм37-02-015-04</t>
  </si>
  <si>
    <t>Подвешивание тали на высоте до 3 м, грузоподъемность тали 10 т</t>
  </si>
  <si>
    <t>ТЕРм37-02-015-05</t>
  </si>
  <si>
    <t>Снятие тали с высоты до 3 м, грузоподъемность тали 2 т</t>
  </si>
  <si>
    <t>ТЕРм37-02-015-06</t>
  </si>
  <si>
    <t>Снятие тали с высоты до 3 м, грузоподъемность тали 3 т</t>
  </si>
  <si>
    <t>ТЕРм37-02-015-07</t>
  </si>
  <si>
    <t>Снятие тали с высоты до 3 м, грузоподъемность тали 5 т</t>
  </si>
  <si>
    <t>ТЕРм37-02-015-08</t>
  </si>
  <si>
    <t>Снятие тали с высоты до 3 м, грузоподъемность тали 10 т</t>
  </si>
  <si>
    <t>ТЕРм37-02-015-09</t>
  </si>
  <si>
    <t>Подвешивание тали на высоте до 5 м, грузоподъемность тали 2 т</t>
  </si>
  <si>
    <t>ТЕРм37-02-015-10</t>
  </si>
  <si>
    <t>Подвешивание тали на высоте до 5 м, грузоподъемность тали 3 т</t>
  </si>
  <si>
    <t>ТЕРм37-02-015-11</t>
  </si>
  <si>
    <t>Подвешивание тали на высоте до 5 м, грузоподъемность тали 5 т</t>
  </si>
  <si>
    <t>ТЕРм37-02-015-12</t>
  </si>
  <si>
    <t>Подвешивание тали на высоте до 5 м, грузоподъемность тали 10 т</t>
  </si>
  <si>
    <t>ТЕРм37-02-015-13</t>
  </si>
  <si>
    <t>Снятие тали с высоты до 5 м, грузоподъемность тали 2 т</t>
  </si>
  <si>
    <t>ТЕРм37-02-015-14</t>
  </si>
  <si>
    <t>Снятие тали с высоты до 5 м, грузоподъемность тали 3 т</t>
  </si>
  <si>
    <t>ТЕРм37-02-015-15</t>
  </si>
  <si>
    <t>Снятие тали с высоты до 5 м, грузоподъемность тали 5 т</t>
  </si>
  <si>
    <t>ТЕРм37-02-015-16</t>
  </si>
  <si>
    <t>Снятие тали с высоты до 5 м, грузоподъемность тали 10 т</t>
  </si>
  <si>
    <t>ТЕРм37-02-015-17</t>
  </si>
  <si>
    <t>Добавлять на каждый 1 м высоты свыше 5 м, подвешивание тали, грузоподъемность тали 2 т</t>
  </si>
  <si>
    <t>ТЕРм37-02-015-18</t>
  </si>
  <si>
    <t>Добавлять на каждый 1 м высоты свыше 5 м, подвешивание тали, грузоподъемность тали 3 т</t>
  </si>
  <si>
    <t>ТЕРм37-02-015-19</t>
  </si>
  <si>
    <t>Добавлять на каждый 1 м высоты свыше 5 м, подвешивание тали, грузоподъемность тали 5 т</t>
  </si>
  <si>
    <t>ТЕРм37-02-015-20</t>
  </si>
  <si>
    <t>Добавлять на каждый 1 м высоты свыше 5 м, подвешивание тали, грузоподъемность тали 10 т</t>
  </si>
  <si>
    <t>ТЕРм37-02-015-21</t>
  </si>
  <si>
    <t>Добавлять на каждый 1 м высоты свыше 5 м, снятие тали, грузоподъемность тали 2 т</t>
  </si>
  <si>
    <t>ТЕРм37-02-015-22</t>
  </si>
  <si>
    <t>Добавлять на каждый 1 м высоты свыше 5 м, снятие тали, грузоподъемность тали 3 т</t>
  </si>
  <si>
    <t>ТЕРм37-02-015-23</t>
  </si>
  <si>
    <t>Добавлять на каждый 1 м высоты свыше 5 м, снятие тали, грузоподъемность тали 5 т</t>
  </si>
  <si>
    <t>ТЕРм37-02-015-24</t>
  </si>
  <si>
    <t>Добавлять на каждый 1 м высоты свыше 5 м, снятие тали, грузоподъемность тали 10 т</t>
  </si>
  <si>
    <t>ТЕРм37-02-015-25</t>
  </si>
  <si>
    <t>Подвешивание на высоте до 5 м рычажных лебедок тяговым усилием до 16 кН (1,6 тс)</t>
  </si>
  <si>
    <t>ТЕРм37-02-015-26</t>
  </si>
  <si>
    <t>Подвешивание на высоте до 5 м рычажных лебедок тяговым усилием до 32 кН (3,2 тс)</t>
  </si>
  <si>
    <t>ТЕРм37-02-015-27</t>
  </si>
  <si>
    <t>Снятие на высоте до 5 м рычажных лебедок тяговым усилием до 16 кН (1,6 тс)</t>
  </si>
  <si>
    <t>ТЕРм37-02-015-28</t>
  </si>
  <si>
    <t>Снятие на высоте до 5 м рычажных лебедок тяговым усилием до 32 кН (3,2 тс)</t>
  </si>
  <si>
    <t>ТЕРм37-02-015-29</t>
  </si>
  <si>
    <t>Подвешивание на высоте свыше 5 м до 10 м рычажных лебедок тяговым усилием до 16 кН (1,6 тс)</t>
  </si>
  <si>
    <t>ТЕРм37-02-015-30</t>
  </si>
  <si>
    <t>Подвешивание на высоте свыше 5 м до 10 м рычажных лебедок тяговым усилием до 32 кН (3,2 тс)</t>
  </si>
  <si>
    <t>ТЕРм37-02-015-31</t>
  </si>
  <si>
    <t>Снятие на высоте свыше 5 м до 10 м рычажных лебедок тяговым усилием до 16 кН (1,6 тс)</t>
  </si>
  <si>
    <t>ТЕРм37-02-015-32</t>
  </si>
  <si>
    <t>Снятие на высоте свыше 5 м до 10 м рычажных лебедок тяговым усилием до 32 кН (3,2 тс)</t>
  </si>
  <si>
    <t>ТЕРм37-02-015-33</t>
  </si>
  <si>
    <t>Добавлять на каждый 1 м высоты свыше 10 м, подвешивание рычажной лебедки, тяговое усилие лебедки до 16 кН (1,6 тс)</t>
  </si>
  <si>
    <t>ТЕРм37-02-015-34</t>
  </si>
  <si>
    <t>Добавлять на каждый 1 м высоты свыше 10 м, подвешивание рычажной лебедки, тяговое усилие лебедки до 32 кН (3,2 тс)</t>
  </si>
  <si>
    <t>ТЕРм37-02-015-35</t>
  </si>
  <si>
    <t>Добавлять на каждый 1 м высоты свыше 10 м, снятие рычажной лебедки, тяговое усилие лебедки до 16 кН (1,6 тс)</t>
  </si>
  <si>
    <t>ТЕРм37-02-015-36</t>
  </si>
  <si>
    <t>Добавлять на каждый 1 м высоты свыше 10 м, снятие рычажной лебедки, тяговое усилие лебедки до 32 кН (3,2 тс)</t>
  </si>
  <si>
    <t xml:space="preserve">                                   Раздел 3. УСТАНОВКА И СНЯТИЕ МОНТАЖНЫХ БЛОКОВ И ПОЛИСПАСТОВ</t>
  </si>
  <si>
    <t xml:space="preserve">                                   Разматывание, наматывание и перемещение стального каната</t>
  </si>
  <si>
    <t>ТЕРм37-02-026-01</t>
  </si>
  <si>
    <t>Разматывание стального каната диаметром до 20 мм</t>
  </si>
  <si>
    <t>ТЕРм37-02-026-02</t>
  </si>
  <si>
    <t>Разматывание стального каната диаметром до 28 мм</t>
  </si>
  <si>
    <t>ТЕРм37-02-026-03</t>
  </si>
  <si>
    <t>Разматывание стального каната диаметром до 40 мм</t>
  </si>
  <si>
    <t>ТЕРм37-02-026-04</t>
  </si>
  <si>
    <t>Разматывание стального каната диаметром до 44 мм</t>
  </si>
  <si>
    <t>ТЕРм37-02-026-05</t>
  </si>
  <si>
    <t>Разматывание стального каната диаметром до 52 мм</t>
  </si>
  <si>
    <t>ТЕРм37-02-026-06</t>
  </si>
  <si>
    <t>Наматывание стального каната диаметром до 20 мм</t>
  </si>
  <si>
    <t>ТЕРм37-02-026-07</t>
  </si>
  <si>
    <t>Наматывание стального каната диаметром до 28 мм</t>
  </si>
  <si>
    <t>ТЕРм37-02-026-08</t>
  </si>
  <si>
    <t>Наматывание стального каната диаметром до 40 мм</t>
  </si>
  <si>
    <t>ТЕРм37-02-026-09</t>
  </si>
  <si>
    <t>Наматывание стального каната диаметром до 44 мм</t>
  </si>
  <si>
    <t>ТЕРм37-02-026-10</t>
  </si>
  <si>
    <t>Наматывание стального каната диаметром до 52 мм</t>
  </si>
  <si>
    <t>ТЕРм37-02-026-11</t>
  </si>
  <si>
    <t>Перемещение на расстояние 50 м стального каната диаметром до 20 мм</t>
  </si>
  <si>
    <t>ТЕРм37-02-026-12</t>
  </si>
  <si>
    <t>Перемещение на расстояние 50 м стального каната диаметром до 28 мм</t>
  </si>
  <si>
    <t>ТЕРм37-02-026-13</t>
  </si>
  <si>
    <t>Перемещение на расстояние 50 м стального каната диаметром до 40 мм</t>
  </si>
  <si>
    <t>ТЕРм37-02-026-14</t>
  </si>
  <si>
    <t>Перемещение на расстояние 50 м стального каната диаметром до 44 мм</t>
  </si>
  <si>
    <t>ТЕРм37-02-026-15</t>
  </si>
  <si>
    <t>Перемещение на расстояние 50 м стального каната диаметром до 52 мм</t>
  </si>
  <si>
    <t>ТЕРм37-02-026-16</t>
  </si>
  <si>
    <t>Добавлять или уменьшать на каждые 10 м перемещения более или менее 50 м, диаметр каната до 20 мм</t>
  </si>
  <si>
    <t>ТЕРм37-02-026-17</t>
  </si>
  <si>
    <t>Добавлять или уменьшать на каждые 10 м перемещения более или менее 50 м, диаметр каната до 28 мм</t>
  </si>
  <si>
    <t>ТЕРм37-02-026-18</t>
  </si>
  <si>
    <t>Добавлять или уменьшать на каждые 10 м перемещения более или менее 50 м, диаметр каната до 40 мм</t>
  </si>
  <si>
    <t>ТЕРм37-02-026-19</t>
  </si>
  <si>
    <t>Добавлять или уменьшать на каждые 10 м перемещения более или менее 50 м, диаметр каната до 44 мм</t>
  </si>
  <si>
    <t>ТЕРм37-02-026-20</t>
  </si>
  <si>
    <t>Добавлять или уменьшать на каждые 10 м перемещения более или менее 50 м, диаметр каната до 52 мм</t>
  </si>
  <si>
    <t xml:space="preserve">                                   Установка и снятие монтажных блоков</t>
  </si>
  <si>
    <t>ТЕРм37-02-027-01</t>
  </si>
  <si>
    <t>Установка внизу блока монтажного грузоподъемностью до 1,5 т</t>
  </si>
  <si>
    <t>ТЕРм37-02-027-02</t>
  </si>
  <si>
    <t>Установка внизу блока монтажного грузоподъемностью до 3 т</t>
  </si>
  <si>
    <t>ТЕРм37-02-027-03</t>
  </si>
  <si>
    <t>Установка внизу блока монтажного грузоподъемностью до 5 т</t>
  </si>
  <si>
    <t>ТЕРм37-02-027-04</t>
  </si>
  <si>
    <t>Установка внизу блока монтажного грузоподъемностью до 10 т</t>
  </si>
  <si>
    <t>ТЕРм37-02-027-05</t>
  </si>
  <si>
    <t>Установка внизу блока монтажного грузоподъемностью до 15 т</t>
  </si>
  <si>
    <t>ТЕРм37-02-027-06</t>
  </si>
  <si>
    <t>Установка внизу блока монтажного грузоподъемностью до 20 т</t>
  </si>
  <si>
    <t>ТЕРм37-02-027-07</t>
  </si>
  <si>
    <t>Установка внизу блока монтажного грузоподъемностью до 25 т</t>
  </si>
  <si>
    <t>ТЕРм37-02-027-08</t>
  </si>
  <si>
    <t>Снятие внизу блока монтажного грузоподъемностью до 1,5 т</t>
  </si>
  <si>
    <t>ТЕРм37-02-027-09</t>
  </si>
  <si>
    <t>Снятие внизу блока монтажного грузоподъемностью до 3 т</t>
  </si>
  <si>
    <t>ТЕРм37-02-027-10</t>
  </si>
  <si>
    <t>Снятие внизу блока монтажного грузоподъемностью до 5 т</t>
  </si>
  <si>
    <t>ТЕРм37-02-027-11</t>
  </si>
  <si>
    <t>Снятие внизу блока монтажного грузоподъемностью до 10 т</t>
  </si>
  <si>
    <t>ТЕРм37-02-027-12</t>
  </si>
  <si>
    <t>Снятие внизу блока монтажного грузоподъемностью до 15 т</t>
  </si>
  <si>
    <t>ТЕРм37-02-027-13</t>
  </si>
  <si>
    <t>Снятие внизу блока монтажного грузоподъемностью до 20 т</t>
  </si>
  <si>
    <t>ТЕРм37-02-027-14</t>
  </si>
  <si>
    <t>Снятие внизу блока монтажного грузоподъемностью до 25 т</t>
  </si>
  <si>
    <t>ТЕРм37-02-027-15</t>
  </si>
  <si>
    <t>Установка на высоте до 10 м блока монтажного грузоподъемностью до 1,5 т</t>
  </si>
  <si>
    <t>ТЕРм37-02-027-16</t>
  </si>
  <si>
    <t>Установка на высоте до 10 м блока монтажного грузоподъемностью до 3 т</t>
  </si>
  <si>
    <t>ТЕРм37-02-027-17</t>
  </si>
  <si>
    <t>Установка на высоте до 10 м блока монтажного грузоподъемностью до 5 т</t>
  </si>
  <si>
    <t>ТЕРм37-02-027-18</t>
  </si>
  <si>
    <t>Установка на высоте до 10 м блока монтажного грузоподъемностью до 10 т</t>
  </si>
  <si>
    <t>ТЕРм37-02-027-19</t>
  </si>
  <si>
    <t>Установка на высоте до 10 м блока монтажного грузоподъемностью до 15 т</t>
  </si>
  <si>
    <t>ТЕРм37-02-027-20</t>
  </si>
  <si>
    <t>Установка на высоте до 10 м блока монтажного грузоподъемностью до 20 т</t>
  </si>
  <si>
    <t>ТЕРм37-02-027-21</t>
  </si>
  <si>
    <t>Установка на высоте до 10 м блока монтажного грузоподъемностью до 25 т</t>
  </si>
  <si>
    <t>ТЕРм37-02-027-22</t>
  </si>
  <si>
    <t>Снятие на высоте до 10 м блока монтажного грузоподъемностью до 1,5 т</t>
  </si>
  <si>
    <t>ТЕРм37-02-027-23</t>
  </si>
  <si>
    <t>Снятие на высоте до 10 м блока монтажного грузоподъемностью до 3 т</t>
  </si>
  <si>
    <t>ТЕРм37-02-027-24</t>
  </si>
  <si>
    <t>Снятие на высоте до 10 м блока монтажного грузоподъемностью до 5 т</t>
  </si>
  <si>
    <t>ТЕРм37-02-027-25</t>
  </si>
  <si>
    <t>Снятие на высоте до 10 м блока монтажного грузоподъемностью до 10 т</t>
  </si>
  <si>
    <t>ТЕРм37-02-027-26</t>
  </si>
  <si>
    <t>Снятие на высоте до 10 м блока монтажного грузоподъемностью до 15 т</t>
  </si>
  <si>
    <t>ТЕРм37-02-027-27</t>
  </si>
  <si>
    <t>Снятие на высоте до 10 м блока монтажного грузоподъемностью до 20 т</t>
  </si>
  <si>
    <t>ТЕРм37-02-027-28</t>
  </si>
  <si>
    <t>Снятие на высоте до 10 м блока монтажного грузоподъемностью до 25 т</t>
  </si>
  <si>
    <t>ТЕРм37-02-027-29</t>
  </si>
  <si>
    <t>Добавлять на каждые следующие 10 м высоты, установка блока монтажного грузоподъемностью до 1,5 т</t>
  </si>
  <si>
    <t>ТЕРм37-02-027-30</t>
  </si>
  <si>
    <t>Добавлять на каждые следующие 10 м высоты, установка блока монтажного грузоподъемностью до 3 т</t>
  </si>
  <si>
    <t>ТЕРм37-02-027-31</t>
  </si>
  <si>
    <t>Добавлять на каждые следующие 10 м высоты, установка блока монтажного грузоподъемностью до 5 т</t>
  </si>
  <si>
    <t>ТЕРм37-02-027-32</t>
  </si>
  <si>
    <t>Добавлять на каждые следующие 10 м высоты, установка блока монтажного грузоподъемностью до 10 т</t>
  </si>
  <si>
    <t>ТЕРм37-02-027-33</t>
  </si>
  <si>
    <t>Добавлять на каждые следующие 10 м высоты, установка блока монтажного грузоподъемностью до 15 т</t>
  </si>
  <si>
    <t>ТЕРм37-02-027-34</t>
  </si>
  <si>
    <t>Добавлять на каждые следующие 10 м высоты, установка блока монтажного грузоподъемностью до 20 т</t>
  </si>
  <si>
    <t>ТЕРм37-02-027-35</t>
  </si>
  <si>
    <t>Добавлять на каждые следующие 10 м высоты, установка блока монтажного грузоподъемностью до 25 т</t>
  </si>
  <si>
    <t>ТЕРм37-02-027-36</t>
  </si>
  <si>
    <t>Добавлять на каждые следующие 10 м высоты, снятие блока монтажного грузоподъемностью до 1,5 т</t>
  </si>
  <si>
    <t>ТЕРм37-02-027-37</t>
  </si>
  <si>
    <t>Добавлять на каждые следующие 10 м высоты, снятие блока монтажного грузоподъемностью до 3 т</t>
  </si>
  <si>
    <t>ТЕРм37-02-027-38</t>
  </si>
  <si>
    <t>Добавлять на каждые следующие 10 м высоты, снятие блока монтажного грузоподъемностью до 5 т</t>
  </si>
  <si>
    <t>ТЕРм37-02-027-39</t>
  </si>
  <si>
    <t>Добавлять на каждые следующие 10 м высоты, снятие блока монтажного грузоподъемностью до 10 т</t>
  </si>
  <si>
    <t>ТЕРм37-02-027-40</t>
  </si>
  <si>
    <t>Добавлять на каждые следующие 10 м высоты, снятие блока монтажного грузоподъемностью до 15 т</t>
  </si>
  <si>
    <t>ТЕРм37-02-027-41</t>
  </si>
  <si>
    <t>Добавлять на каждые следующие 10 м высоты, снятие блока монтажного грузоподъемностью до 20 т</t>
  </si>
  <si>
    <t>ТЕРм37-02-027-42</t>
  </si>
  <si>
    <t>Добавлять на каждые следующие 10 м высоты, снятие блока монтажного грузоподъемностью до 25 т</t>
  </si>
  <si>
    <t xml:space="preserve">                                   Запасовка и распасовка монтажных полиспастов</t>
  </si>
  <si>
    <t>ТЕРм37-02-028-01</t>
  </si>
  <si>
    <t>Запасовка полиспастов монтажных грузоподъемностью до 20 т</t>
  </si>
  <si>
    <t>ТЕРм37-02-028-02</t>
  </si>
  <si>
    <t>Запасовка полиспастов монтажных грузоподъемностью до 32 т</t>
  </si>
  <si>
    <t>ТЕРм37-02-028-03</t>
  </si>
  <si>
    <t>Запасовка полиспастов монтажных грузоподъемностью до 50 т</t>
  </si>
  <si>
    <t>ТЕРм37-02-028-04</t>
  </si>
  <si>
    <t>Запасовка полиспастов монтажных грузоподъемностью до 100 т</t>
  </si>
  <si>
    <t>ТЕРм37-02-028-05</t>
  </si>
  <si>
    <t>Запасовка полиспастов монтажных грузоподъемностью до 160 т</t>
  </si>
  <si>
    <t>ТЕРм37-02-028-06</t>
  </si>
  <si>
    <t>Запасовка полиспастов монтажных грузоподъемностью до 280 т</t>
  </si>
  <si>
    <t>ТЕРм37-02-028-07</t>
  </si>
  <si>
    <t>Запасовка полиспастов монтажных грузоподъемностью до 630 т</t>
  </si>
  <si>
    <t>ТЕРм37-02-028-08</t>
  </si>
  <si>
    <t>Распасовка полиспастов монтажных грузоподъемностью до 20 т</t>
  </si>
  <si>
    <t>ТЕРм37-02-028-09</t>
  </si>
  <si>
    <t>Распасовка полиспастов монтажных грузоподъемностью до 32 т</t>
  </si>
  <si>
    <t>ТЕРм37-02-028-10</t>
  </si>
  <si>
    <t>Распасовка полиспастов монтажных грузоподъемностью до 50 т</t>
  </si>
  <si>
    <t>ТЕРм37-02-028-11</t>
  </si>
  <si>
    <t>Распасовка полиспастов монтажных грузоподъемностью до 100 т</t>
  </si>
  <si>
    <t>ТЕРм37-02-028-12</t>
  </si>
  <si>
    <t>Распасовка полиспастов монтажных грузоподъемностью до 160 т</t>
  </si>
  <si>
    <t>ТЕРм37-02-028-13</t>
  </si>
  <si>
    <t>Распасовка полиспастов монтажных грузоподъемностью до 280 т</t>
  </si>
  <si>
    <t>ТЕРм37-02-028-14</t>
  </si>
  <si>
    <t>Распасовка полиспастов монтажных грузоподъемностью до 630 т</t>
  </si>
  <si>
    <t xml:space="preserve">                                   Установка и снятие запасованных полиспастов</t>
  </si>
  <si>
    <t>ТЕРм37-02-029-01</t>
  </si>
  <si>
    <t>Установка внизу запасованного полиспаста грузоподъемностью до 20 т</t>
  </si>
  <si>
    <t>ТЕРм37-02-029-02</t>
  </si>
  <si>
    <t>Установка внизу запасованного полиспаста грузоподъемностью до 30 т</t>
  </si>
  <si>
    <t>ТЕРм37-02-029-03</t>
  </si>
  <si>
    <t>Установка внизу запасованного полиспаста грузоподъемностью до 40 т</t>
  </si>
  <si>
    <t>ТЕРм37-02-029-04</t>
  </si>
  <si>
    <t>Установка внизу запасованного полиспаста грузоподъемностью до 50 т</t>
  </si>
  <si>
    <t>ТЕРм37-02-029-05</t>
  </si>
  <si>
    <t>Установка внизу запасованного полиспаста грузоподъемностью до 60 т</t>
  </si>
  <si>
    <t>ТЕРм37-02-029-06</t>
  </si>
  <si>
    <t>Установка внизу запасованного полиспаста грузоподъемностью до 70 т</t>
  </si>
  <si>
    <t>ТЕРм37-02-029-07</t>
  </si>
  <si>
    <t>Установка внизу запасованного полиспаста грузоподъемностью до 100 т</t>
  </si>
  <si>
    <t>ТЕРм37-02-029-08</t>
  </si>
  <si>
    <t>Установка внизу запасованного полиспаста грузоподъемностью до 130 т</t>
  </si>
  <si>
    <t>ТЕРм37-02-029-09</t>
  </si>
  <si>
    <t>Установка внизу запасованного полиспаста грузоподъемностью до 160 т</t>
  </si>
  <si>
    <t>ТЕРм37-02-029-10</t>
  </si>
  <si>
    <t>Установка внизу запасованного полиспаста грузоподъемностью до 200 т</t>
  </si>
  <si>
    <t>ТЕРм37-02-029-11</t>
  </si>
  <si>
    <t>Установка внизу запасованного полиспаста грузоподъемностью до 240 т</t>
  </si>
  <si>
    <t>ТЕРм37-02-029-12</t>
  </si>
  <si>
    <t>Установка внизу запасованного полиспаста грузоподъемностью до 280 т</t>
  </si>
  <si>
    <t>ТЕРм37-02-029-13</t>
  </si>
  <si>
    <t>Установка внизу запасованного полиспаста грузоподъемностью до 630 т</t>
  </si>
  <si>
    <t>ТЕРм37-02-029-14</t>
  </si>
  <si>
    <t>Установка на высоте до 10 м запасованного полиспаста грузоподъемностью до 20 т</t>
  </si>
  <si>
    <t>ТЕРм37-02-029-15</t>
  </si>
  <si>
    <t>Установка на высоте до 10 м запасованного полиспаста грузоподъемностью до 30 т</t>
  </si>
  <si>
    <t>ТЕРм37-02-029-16</t>
  </si>
  <si>
    <t>Установка на высоте до 10 м запасованного полиспаста грузоподъемностью до 40 т</t>
  </si>
  <si>
    <t>ТЕРм37-02-029-17</t>
  </si>
  <si>
    <t>Установка на высоте до 10 м запасованного полиспаста грузоподъемностью до 50 т</t>
  </si>
  <si>
    <t>ТЕРм37-02-029-18</t>
  </si>
  <si>
    <t>Установка на высоте до 10 м запасованного полиспаста грузоподъемностью до 60 т</t>
  </si>
  <si>
    <t>ТЕРм37-02-029-19</t>
  </si>
  <si>
    <t>Установка на высоте до 10 м запасованного полиспаста грузоподъемностью до 70 т</t>
  </si>
  <si>
    <t>ТЕРм37-02-029-20</t>
  </si>
  <si>
    <t>Установка на высоте до 10 м запасованного полиспаста грузоподъемностью до 100 т</t>
  </si>
  <si>
    <t>ТЕРм37-02-029-21</t>
  </si>
  <si>
    <t>Установка на высоте до 10 м запасованного полиспаста грузоподъемностью до 130 т</t>
  </si>
  <si>
    <t>ТЕРм37-02-029-22</t>
  </si>
  <si>
    <t>Установка на высоте до 10 м запасованного полиспаста грузоподъемностью до 160 т</t>
  </si>
  <si>
    <t>ТЕРм37-02-029-23</t>
  </si>
  <si>
    <t>Установка на высоте до 10 м запасованного полиспаста грузоподъемностью до 200 т</t>
  </si>
  <si>
    <t>ТЕРм37-02-029-24</t>
  </si>
  <si>
    <t>Установка на высоте до 10 м запасованного полиспаста грузоподъемностью до 240 т</t>
  </si>
  <si>
    <t>ТЕРм37-02-029-25</t>
  </si>
  <si>
    <t>Установка на высоте до 10 м запасованного полиспаста грузоподъемностью до 280 т</t>
  </si>
  <si>
    <t>ТЕРм37-02-029-26</t>
  </si>
  <si>
    <t>Установка на высоте до 10 м запасованного полиспаста грузоподъемностью до 630 т</t>
  </si>
  <si>
    <t>ТЕРм37-02-029-27</t>
  </si>
  <si>
    <t>Добавлять на каждые следующие 10 м высоты при установке на высоте свыше 10 м запасованного полиспаста грузоподъемностью до 20 т</t>
  </si>
  <si>
    <t>ТЕРм37-02-029-28</t>
  </si>
  <si>
    <t>Добавлять на каждые следующие 10 м высоты при установке на высоте свыше 10 м запасованного полиспаста грузоподъемностью до 30 т</t>
  </si>
  <si>
    <t>ТЕРм37-02-029-29</t>
  </si>
  <si>
    <t>Добавлять на каждые следующие 10 м высоты при установке на высоте свыше 10 м запасованного полиспаста грузоподъемностью до 40 т</t>
  </si>
  <si>
    <t>ТЕРм37-02-029-30</t>
  </si>
  <si>
    <t>Добавлять на каждые следующие 10 м высоты при установке на высоте свыше 10 м запасованного полиспаста грузоподъемностью до 50 т</t>
  </si>
  <si>
    <t>ТЕРм37-02-029-31</t>
  </si>
  <si>
    <t>Добавлять на каждые следующие 10 м высоты при установке на высоте свыше 10 м запасованного полиспаста грузоподъемностью до 60 т</t>
  </si>
  <si>
    <t>ТЕРм37-02-029-32</t>
  </si>
  <si>
    <t>Добавлять на каждые следующие 10 м высоты при установке на высоте свыше 10 м запасованного полиспаста грузоподъемностью до 70 т</t>
  </si>
  <si>
    <t>ТЕРм37-02-029-33</t>
  </si>
  <si>
    <t>Добавлять на каждые следующие 10 м высоты при установке на высоте свыше 10 м запасованного полиспаста грузоподъемностью до 100 т</t>
  </si>
  <si>
    <t>ТЕРм37-02-029-34</t>
  </si>
  <si>
    <t>Добавлять на каждые следующие 10 м высоты при установке на высоте свыше 10 м запасованного полиспаста грузоподъемностью до 130 т</t>
  </si>
  <si>
    <t>ТЕРм37-02-029-35</t>
  </si>
  <si>
    <t>Добавлять на каждые следующие 10 м высоты при установке на высоте свыше 10 м запасованного полиспаста грузоподъемностью до 160 т</t>
  </si>
  <si>
    <t>ТЕРм37-02-029-36</t>
  </si>
  <si>
    <t>Добавлять на каждые следующие 10 м высоты при установке на высоте свыше 10 м запасованного полиспаста грузоподъемностью до 200 т</t>
  </si>
  <si>
    <t>ТЕРм37-02-029-37</t>
  </si>
  <si>
    <t>Добавлять на каждые следующие 10 м высоты при установке на высоте свыше 10 м запасованного полиспаста грузоподъемностью до 240 т</t>
  </si>
  <si>
    <t>ТЕРм37-02-029-38</t>
  </si>
  <si>
    <t>Добавлять на каждые следующие 10 м высоты при установке на высоте свыше 10 м запасованного полиспаста грузоподъемностью до 280 т</t>
  </si>
  <si>
    <t>ТЕРм37-02-029-39</t>
  </si>
  <si>
    <t>Добавлять на каждые следующие 10 м высоты при установке на высоте свыше 10 м запасованного полиспаста грузоподъемностью до 630 т</t>
  </si>
  <si>
    <t>ТЕРм37-02-029-40</t>
  </si>
  <si>
    <t>Снятие установленного внизу запасованного полиспаста грузоподъемностью до 20 т</t>
  </si>
  <si>
    <t>ТЕРм37-02-029-41</t>
  </si>
  <si>
    <t>Снятие установленного внизу запасованного полиспаста грузоподъемностью до 30 т</t>
  </si>
  <si>
    <t>ТЕРм37-02-029-42</t>
  </si>
  <si>
    <t>Снятие установленного внизу запасованного полиспаста грузоподъемностью до 40 т</t>
  </si>
  <si>
    <t>ТЕРм37-02-029-43</t>
  </si>
  <si>
    <t>Снятие установленного внизу запасованного полиспаста грузоподъемностью до 50 т</t>
  </si>
  <si>
    <t>ТЕРм37-02-029-44</t>
  </si>
  <si>
    <t>Снятие установленного внизу запасованного полиспаста грузоподъемностью до 60 т</t>
  </si>
  <si>
    <t>ТЕРм37-02-029-45</t>
  </si>
  <si>
    <t>Снятие установленного внизу запасованного полиспаста грузоподъемностью до 70 т</t>
  </si>
  <si>
    <t>ТЕРм37-02-029-46</t>
  </si>
  <si>
    <t>Снятие установленного внизу запасованного полиспаста грузоподъемностью до 100 т</t>
  </si>
  <si>
    <t>ТЕРм37-02-029-47</t>
  </si>
  <si>
    <t>Снятие установленного внизу запасованного полиспаста грузоподъемностью до 130 т</t>
  </si>
  <si>
    <t>ТЕРм37-02-029-48</t>
  </si>
  <si>
    <t>Снятие установленного внизу запасованного полиспаста грузоподъемностью до 160 т</t>
  </si>
  <si>
    <t>ТЕРм37-02-029-49</t>
  </si>
  <si>
    <t>Снятие установленного внизу запасованного полиспаста грузоподъемностью до 200 т</t>
  </si>
  <si>
    <t>ТЕРм37-02-029-50</t>
  </si>
  <si>
    <t>Снятие установленного внизу запасованного полиспаста грузоподъемностью до 240 т</t>
  </si>
  <si>
    <t>ТЕРм37-02-029-51</t>
  </si>
  <si>
    <t>Снятие установленного внизу запасованного полиспаста грузоподъемностью до 280 т</t>
  </si>
  <si>
    <t>ТЕРм37-02-029-52</t>
  </si>
  <si>
    <t>Снятие установленного внизу запасованного полиспаста грузоподъемностью до 630 т</t>
  </si>
  <si>
    <t>ТЕРм37-02-029-53</t>
  </si>
  <si>
    <t>Снятие установленного на высоте до 10 м запасованного полиспаста грузоподъемностью до 20 т</t>
  </si>
  <si>
    <t>ТЕРм37-02-029-54</t>
  </si>
  <si>
    <t>Снятие установленного на высоте до 10 м запасованного полиспаста грузоподъемностью до 30 т</t>
  </si>
  <si>
    <t>ТЕРм37-02-029-55</t>
  </si>
  <si>
    <t>Снятие установленного на высоте до 10 м запасованного полиспаста грузоподъемностью до 40 т</t>
  </si>
  <si>
    <t>ТЕРм37-02-029-56</t>
  </si>
  <si>
    <t>Снятие установленного на высоте до 10 м запасованного полиспаста грузоподъемностью до 50 т</t>
  </si>
  <si>
    <t>ТЕРм37-02-029-57</t>
  </si>
  <si>
    <t>Снятие установленного на высоте до 10 м запасованного полиспаста грузоподъемностью до 60 т</t>
  </si>
  <si>
    <t>ТЕРм37-02-029-58</t>
  </si>
  <si>
    <t>Снятие установленного на высоте до 10 м запасованного полиспаста грузоподъемностью до 70 т</t>
  </si>
  <si>
    <t>ТЕРм37-02-029-59</t>
  </si>
  <si>
    <t>Снятие установленного на высоте до 10 м запасованного полиспаста грузоподъемностью до 100 т</t>
  </si>
  <si>
    <t>ТЕРм37-02-029-60</t>
  </si>
  <si>
    <t>Снятие установленного на высоте до 10 м запасованного полиспаста грузоподъемностью до 130 т</t>
  </si>
  <si>
    <t>ТЕРм37-02-029-61</t>
  </si>
  <si>
    <t>Снятие установленного на высоте до 10 м запасованного полиспаста грузоподъемностью до 160 т</t>
  </si>
  <si>
    <t>ТЕРм37-02-029-62</t>
  </si>
  <si>
    <t>Снятие установленного на высоте до 10 м запасованного полиспаста грузоподъемностью до 200 т</t>
  </si>
  <si>
    <t>ТЕРм37-02-029-63</t>
  </si>
  <si>
    <t>Снятие установленного на высоте до 10 м запасованного полиспаста грузоподъемностью до 240 т</t>
  </si>
  <si>
    <t>ТЕРм37-02-029-64</t>
  </si>
  <si>
    <t>Снятие установленного на высоте до 10 м запасованного полиспаста грузоподъемностью до 280 т</t>
  </si>
  <si>
    <t>ТЕРм37-02-029-65</t>
  </si>
  <si>
    <t>Снятие установленного на высоте до 10 м запасованного полиспаста грузоподъемностью до 630 т</t>
  </si>
  <si>
    <t>ТЕРм37-02-029-66</t>
  </si>
  <si>
    <t>Добавлять на каждые 10 м высоты при снятии с отметки свыше 10 м запасованного полиспаста грузоподъемностью до 20 т</t>
  </si>
  <si>
    <t>ТЕРм37-02-029-67</t>
  </si>
  <si>
    <t>Добавлять на каждые 10 м высоты при снятии с отметки свыше 10 м запасованного полиспаста грузоподъемностью до 30 т</t>
  </si>
  <si>
    <t>ТЕРм37-02-029-68</t>
  </si>
  <si>
    <t>Добавлять на каждые 10 м высоты при снятии с отметки свыше 10 м запасованного полиспаста грузоподъемностью до 40 т</t>
  </si>
  <si>
    <t>ТЕРм37-02-029-69</t>
  </si>
  <si>
    <t>Добавлять на каждые 10 м высоты при снятии с отметки свыше 10 м запасованного полиспаста грузоподъемностью до 50 т</t>
  </si>
  <si>
    <t>ТЕРм37-02-029-70</t>
  </si>
  <si>
    <t>Добавлять на каждые 10 м высоты при снятии с отметки свыше 10 м запасованного полиспаста грузоподъемностью до 60 т</t>
  </si>
  <si>
    <t>ТЕРм37-02-029-71</t>
  </si>
  <si>
    <t>Добавлять на каждые 10 м высоты при снятии с отметки свыше 10 м запасованного полиспаста грузоподъемностью до 70 т</t>
  </si>
  <si>
    <t>ТЕРм37-02-029-72</t>
  </si>
  <si>
    <t>Добавлять на каждые 10 м высоты при снятии с отметки свыше 10 м запасованного полиспаста грузоподъемностью до 100 т</t>
  </si>
  <si>
    <t>ТЕРм37-02-029-73</t>
  </si>
  <si>
    <t>Добавлять на каждые 10 м высоты при снятии с отметки свыше 10 м запасованного полиспаста грузоподъемностью до 130 т</t>
  </si>
  <si>
    <t>ТЕРм37-02-029-74</t>
  </si>
  <si>
    <t>Добавлять на каждые 10 м высоты при снятии с отметки свыше 10 м запасованного полиспаста грузоподъемностью до 160 т</t>
  </si>
  <si>
    <t>ТЕРм37-02-029-75</t>
  </si>
  <si>
    <t>Добавлять на каждые 10 м высоты при снятии с отметки свыше 10 м запасованного полиспаста грузоподъемностью до 200 т</t>
  </si>
  <si>
    <t>ТЕРм37-02-029-76</t>
  </si>
  <si>
    <t>Добавлять на каждые 10 м высоты при снятии с отметки свыше 10 м запасованного полиспаста грузоподъемностью до 240 т</t>
  </si>
  <si>
    <t>ТЕРм37-02-029-77</t>
  </si>
  <si>
    <t>Добавлять на каждые 10 м высоты при снятии с отметки свыше 10 м запасованного полиспаста грузоподъемностью до 280 т</t>
  </si>
  <si>
    <t>ТЕРм37-02-029-78</t>
  </si>
  <si>
    <t>Добавлять на каждые 10 м высоты при снятии с отметки свыше 10 м запасованного полиспаста грузоподъемностью до 630 т</t>
  </si>
  <si>
    <t xml:space="preserve">                                   Раздел 4. ЗАКРЕПЛЕНИЕ И СНЯТИЕ РАСЧАЛОК (ОТТЯЖЕК)</t>
  </si>
  <si>
    <t xml:space="preserve">                                   Закрепление и снятие расчалок (оттяжек) внизу</t>
  </si>
  <si>
    <t>ТЕРм37-02-040-01</t>
  </si>
  <si>
    <t>Закрепление и снятие расчалок (оттяжек) внизу длиной до 50 м, диаметр каната до 12 мм</t>
  </si>
  <si>
    <t>ТЕРм37-02-040-02</t>
  </si>
  <si>
    <t>Закрепление и снятие расчалок (оттяжек) внизу длиной до 50 м, диаметр каната до 13 мм</t>
  </si>
  <si>
    <t>ТЕРм37-02-040-03</t>
  </si>
  <si>
    <t>Закрепление и снятие расчалок (оттяжек) внизу длиной до 50 м, диаметр каната до 14 мм</t>
  </si>
  <si>
    <t>ТЕРм37-02-040-04</t>
  </si>
  <si>
    <t>Закрепление и снятие расчалок (оттяжек) внизу длиной до 50 м, диаметр каната до 15 мм</t>
  </si>
  <si>
    <t>ТЕРм37-02-040-05</t>
  </si>
  <si>
    <t>Закрепление и снятие расчалок (оттяжек) внизу длиной до 50 м, диаметр каната до 16 мм</t>
  </si>
  <si>
    <t>ТЕРм37-02-040-06</t>
  </si>
  <si>
    <t>Закрепление и снятие расчалок (оттяжек) внизу длиной до 50 м, диаметр каната до 18 мм</t>
  </si>
  <si>
    <t>ТЕРм37-02-040-07</t>
  </si>
  <si>
    <t>Закрепление и снятие расчалок (оттяжек) внизу длиной до 50 м, диаметр каната до 20 мм</t>
  </si>
  <si>
    <t>ТЕРм37-02-040-08</t>
  </si>
  <si>
    <t>Закрепление и снятие расчалок (оттяжек) внизу длиной до 50 м, диаметр каната до 22 мм</t>
  </si>
  <si>
    <t>ТЕРм37-02-040-09</t>
  </si>
  <si>
    <t>Закрепление и снятие расчалок (оттяжек) внизу длиной до 50 м, диаметр каната до 24-28 мм</t>
  </si>
  <si>
    <t>ТЕРм37-02-040-10</t>
  </si>
  <si>
    <t>Закрепление и снятие расчалок (оттяжек) внизу длиной до 50 м, диаметр каната до 30-32 мм</t>
  </si>
  <si>
    <t>ТЕРм37-02-040-11</t>
  </si>
  <si>
    <t>Закрепление и снятие расчалок (оттяжек) внизу длиной до 50 м, диаметр каната до 36 мм</t>
  </si>
  <si>
    <t>ТЕРм37-02-040-12</t>
  </si>
  <si>
    <t>Закрепление и снятие расчалок (оттяжек) внизу длиной до 50 м, диаметр каната до 40 мм</t>
  </si>
  <si>
    <t>ТЕРм37-02-040-13</t>
  </si>
  <si>
    <t>Закрепление и снятие расчалок (оттяжек) внизу длиной до 50 м, диаметр каната до 44 мм</t>
  </si>
  <si>
    <t>ТЕРм37-02-040-14</t>
  </si>
  <si>
    <t>Закрепление и снятие расчалок (оттяжек) внизу длиной до 100 м, диаметр каната до 12 мм</t>
  </si>
  <si>
    <t>ТЕРм37-02-040-15</t>
  </si>
  <si>
    <t>Закрепление и снятие расчалок (оттяжек) внизу длиной до 100 м, диаметр каната до 13 мм</t>
  </si>
  <si>
    <t>ТЕРм37-02-040-16</t>
  </si>
  <si>
    <t>Закрепление и снятие расчалок (оттяжек) внизу длиной до 100 м, диаметр каната до 14 мм</t>
  </si>
  <si>
    <t>ТЕРм37-02-040-17</t>
  </si>
  <si>
    <t>Закрепление и снятие расчалок (оттяжек) внизу длиной до 100 м, диаметр каната до 15 мм</t>
  </si>
  <si>
    <t>ТЕРм37-02-040-18</t>
  </si>
  <si>
    <t>Закрепление и снятие расчалок (оттяжек) внизу длиной до 100 м, диаметр каната до 16 мм</t>
  </si>
  <si>
    <t>ТЕРм37-02-040-19</t>
  </si>
  <si>
    <t>Закрепление и снятие расчалок (оттяжек) внизу длиной до 100 м, диаметр каната до 18 мм</t>
  </si>
  <si>
    <t>ТЕРм37-02-040-20</t>
  </si>
  <si>
    <t>Закрепление и снятие расчалок (оттяжек) внизу длиной до 100 м, диаметр каната до 20 мм</t>
  </si>
  <si>
    <t>ТЕРм37-02-040-21</t>
  </si>
  <si>
    <t>Закрепление и снятие расчалок (оттяжек) внизу длиной до 100 м, диаметр каната до 22 мм</t>
  </si>
  <si>
    <t>ТЕРм37-02-040-22</t>
  </si>
  <si>
    <t>Закрепление и снятие расчалок (оттяжек) внизу длиной до 100 м, диаметр каната до 24 мм</t>
  </si>
  <si>
    <t>ТЕРм37-02-040-23</t>
  </si>
  <si>
    <t>Закрепление и снятие расчалок (оттяжек) внизу длиной до 100 м, диаметр каната до 26 мм</t>
  </si>
  <si>
    <t>ТЕРм37-02-040-24</t>
  </si>
  <si>
    <t>Закрепление и снятие расчалок (оттяжек) внизу длиной до 100 м, диаметр каната до 28 мм</t>
  </si>
  <si>
    <t>ТЕРм37-02-040-25</t>
  </si>
  <si>
    <t>Закрепление и снятие расчалок (оттяжек) внизу длиной до 100 м, диаметр каната до 30 мм</t>
  </si>
  <si>
    <t>ТЕРм37-02-040-26</t>
  </si>
  <si>
    <t>Закрепление и снятие расчалок (оттяжек) внизу длиной до 100 м, диаметр каната до 32 мм</t>
  </si>
  <si>
    <t>ТЕРм37-02-040-27</t>
  </si>
  <si>
    <t>Закрепление и снятие расчалок (оттяжек) внизу длиной до 100 м, диаметр каната до 36 мм</t>
  </si>
  <si>
    <t>ТЕРм37-02-040-28</t>
  </si>
  <si>
    <t>Закрепление и снятие расчалок (оттяжек) внизу длиной до 100 м, диаметр каната до 40 мм</t>
  </si>
  <si>
    <t>ТЕРм37-02-040-29</t>
  </si>
  <si>
    <t>Закрепление и снятие расчалок (оттяжек) внизу длиной до 100 м, диаметр каната до 44 мм</t>
  </si>
  <si>
    <t>ТЕРм37-02-040-30</t>
  </si>
  <si>
    <t>Закрепление и снятие расчалок (оттяжек) внизу длиной до 150 м, диаметр каната до 12 мм</t>
  </si>
  <si>
    <t>ТЕРм37-02-040-31</t>
  </si>
  <si>
    <t>Закрепление и снятие расчалок (оттяжек) внизу длиной до 150 м, диаметр каната до 13 мм</t>
  </si>
  <si>
    <t>ТЕРм37-02-040-32</t>
  </si>
  <si>
    <t>Закрепление и снятие расчалок (оттяжек) внизу длиной до 150 м, диаметр каната до 14 мм</t>
  </si>
  <si>
    <t>ТЕРм37-02-040-33</t>
  </si>
  <si>
    <t>Закрепление и снятие расчалок (оттяжек) внизу длиной до 150 м, диаметр каната до 15 мм</t>
  </si>
  <si>
    <t>ТЕРм37-02-040-34</t>
  </si>
  <si>
    <t>Закрепление и снятие расчалок (оттяжек) внизу длиной до 150 м, диаметр каната до 16 мм</t>
  </si>
  <si>
    <t>ТЕРм37-02-040-35</t>
  </si>
  <si>
    <t>Закрепление и снятие расчалок (оттяжек) внизу длиной до 150 м, диаметр каната до 18 мм</t>
  </si>
  <si>
    <t>ТЕРм37-02-040-36</t>
  </si>
  <si>
    <t>Закрепление и снятие расчалок (оттяжек) внизу длиной до 150 м, диаметр каната до 20 мм</t>
  </si>
  <si>
    <t>ТЕРм37-02-040-37</t>
  </si>
  <si>
    <t>Закрепление и снятие расчалок (оттяжек) внизу длиной до 150 м, диаметр каната до 22 мм</t>
  </si>
  <si>
    <t>ТЕРм37-02-040-38</t>
  </si>
  <si>
    <t>Закрепление и снятие расчалок (оттяжек) внизу длиной до 150 м, диаметр каната до 24 мм</t>
  </si>
  <si>
    <t>ТЕРм37-02-040-39</t>
  </si>
  <si>
    <t>Закрепление и снятие расчалок (оттяжек) внизу длиной до 150 м, диаметр каната до 26 мм</t>
  </si>
  <si>
    <t>ТЕРм37-02-040-40</t>
  </si>
  <si>
    <t>Закрепление и снятие расчалок (оттяжек) внизу длиной до 150 м, диаметр каната до 28 мм</t>
  </si>
  <si>
    <t>ТЕРм37-02-040-41</t>
  </si>
  <si>
    <t>Закрепление и снятие расчалок (оттяжек) внизу длиной до 150 м, диаметр каната до 30 мм</t>
  </si>
  <si>
    <t>ТЕРм37-02-040-42</t>
  </si>
  <si>
    <t>Закрепление и снятие расчалок (оттяжек) внизу длиной до 150 м, диаметр каната до 32 мм</t>
  </si>
  <si>
    <t>ТЕРм37-02-040-43</t>
  </si>
  <si>
    <t>Закрепление и снятие расчалок (оттяжек) внизу длиной до 150 м, диаметр каната до 36 мм</t>
  </si>
  <si>
    <t>ТЕРм37-02-040-44</t>
  </si>
  <si>
    <t>Закрепление и снятие расчалок (оттяжек) внизу длиной до 150 м, диаметр каната до 40 мм</t>
  </si>
  <si>
    <t>ТЕРм37-02-040-45</t>
  </si>
  <si>
    <t>Закрепление и снятие расчалок (оттяжек) внизу длиной до 150 м, диаметр каната до 44 мм</t>
  </si>
  <si>
    <t xml:space="preserve">                                   Закрепление, снятие расчалок (оттяжек) на высоте до 10 м</t>
  </si>
  <si>
    <t>ТЕРм37-02-041-01</t>
  </si>
  <si>
    <t>Закрепление, снятие расчалок (оттяжек) на высоте до 10 м, длиной до 50 м, диаметр каната до 12 мм</t>
  </si>
  <si>
    <t>ТЕРм37-02-041-02</t>
  </si>
  <si>
    <t>Закрепление, снятие расчалок (оттяжек) на высоте до 10 м, длиной до 50 м, диаметр каната до 13 мм</t>
  </si>
  <si>
    <t>ТЕРм37-02-041-03</t>
  </si>
  <si>
    <t>Закрепление, снятие расчалок (оттяжек) на высоте до 10 м, длиной до 50 м, диаметр каната до 14 мм</t>
  </si>
  <si>
    <t>ТЕРм37-02-041-04</t>
  </si>
  <si>
    <t>Закрепление, снятие расчалок (оттяжек) на высоте до 10 м, длиной до 50 м, диаметр каната до 15 мм</t>
  </si>
  <si>
    <t>ТЕРм37-02-041-05</t>
  </si>
  <si>
    <t>Закрепление, снятие расчалок (оттяжек) на высоте до 10 м, длиной до 50 м, диаметр каната до 16 мм</t>
  </si>
  <si>
    <t>ТЕРм37-02-041-06</t>
  </si>
  <si>
    <t>Закрепление, снятие расчалок (оттяжек) на высоте до 10 м, длиной до 50 м, диаметр каната до 18 мм</t>
  </si>
  <si>
    <t>ТЕРм37-02-041-07</t>
  </si>
  <si>
    <t>Закрепление, снятие расчалок (оттяжек) на высоте до 10 м, длиной до 50 м, диаметр каната до 20 мм</t>
  </si>
  <si>
    <t>ТЕРм37-02-041-08</t>
  </si>
  <si>
    <t>Закрепление, снятие расчалок (оттяжек) на высоте до 10 м, длиной до 50 м, диаметр каната до 22 мм</t>
  </si>
  <si>
    <t>ТЕРм37-02-041-09</t>
  </si>
  <si>
    <t>Закрепление, снятие расчалок (оттяжек) на высоте до 10 м, длиной до 50 м, диаметр каната до 24 мм</t>
  </si>
  <si>
    <t>ТЕРм37-02-041-10</t>
  </si>
  <si>
    <t>Закрепление, снятие расчалок (оттяжек) на высоте до 10 м, длиной до 50 м, диаметр каната до 26 мм</t>
  </si>
  <si>
    <t>ТЕРм37-02-041-11</t>
  </si>
  <si>
    <t>Закрепление, снятие расчалок (оттяжек) на высоте до 10 м, длиной до 50 м, диаметр каната до 28 мм</t>
  </si>
  <si>
    <t>ТЕРм37-02-041-12</t>
  </si>
  <si>
    <t>Закрепление, снятие расчалок (оттяжек) на высоте до 10 м, длиной до 50 м, диаметр каната до 30 мм</t>
  </si>
  <si>
    <t>ТЕРм37-02-041-13</t>
  </si>
  <si>
    <t>Закрепление, снятие расчалок (оттяжек) на высоте до 10 м, длиной до 50 м, диаметр каната до 32 мм</t>
  </si>
  <si>
    <t>ТЕРм37-02-041-14</t>
  </si>
  <si>
    <t>Закрепление, снятие расчалок (оттяжек) на высоте до 10 м, длиной до 50 м, диаметр каната до 36 мм</t>
  </si>
  <si>
    <t>ТЕРм37-02-041-15</t>
  </si>
  <si>
    <t>Закрепление, снятие расчалок (оттяжек) на высоте до 10 м, длиной до 50 м, диаметр каната до 40 мм</t>
  </si>
  <si>
    <t>ТЕРм37-02-041-16</t>
  </si>
  <si>
    <t>Закрепление, снятие расчалок (оттяжек) на высоте до 10 м, длиной до 50 м, диаметр каната до 44 мм</t>
  </si>
  <si>
    <t>ТЕРм37-02-041-17</t>
  </si>
  <si>
    <t>Закрепление, снятие расчалок (оттяжек) на высоте до 10 м, длиной до 100 м, диаметр каната до 12 мм</t>
  </si>
  <si>
    <t>ТЕРм37-02-041-18</t>
  </si>
  <si>
    <t>Закрепление, снятие расчалок (оттяжек) на высоте до 10 м, длиной до 100 м, диаметр каната до 13 мм</t>
  </si>
  <si>
    <t>ТЕРм37-02-041-19</t>
  </si>
  <si>
    <t>Закрепление, снятие расчалок (оттяжек) на высоте до 10 м, длиной до 100 м, диаметр каната до 14 мм</t>
  </si>
  <si>
    <t>ТЕРм37-02-041-20</t>
  </si>
  <si>
    <t>Закрепление, снятие расчалок (оттяжек) на высоте до 10 м, длиной до 100 м, диаметр каната до 15 мм</t>
  </si>
  <si>
    <t>ТЕРм37-02-041-21</t>
  </si>
  <si>
    <t>Закрепление, снятие расчалок (оттяжек) на высоте до 10 м, длиной до 100 м, диаметр каната до 16 мм</t>
  </si>
  <si>
    <t>ТЕРм37-02-041-22</t>
  </si>
  <si>
    <t>Закрепление, снятие расчалок (оттяжек) на высоте до 10 м, длиной до 100 м, диаметр каната до 18 мм</t>
  </si>
  <si>
    <t>ТЕРм37-02-041-23</t>
  </si>
  <si>
    <t>Закрепление, снятие расчалок (оттяжек) на высоте до 10 м, длиной до 100 м, диаметр каната до 20 мм</t>
  </si>
  <si>
    <t>ТЕРм37-02-041-24</t>
  </si>
  <si>
    <t>Закрепление, снятие расчалок (оттяжек) на высоте до 10 м, длиной до 100 м, диаметр каната до 22 мм</t>
  </si>
  <si>
    <t>ТЕРм37-02-041-25</t>
  </si>
  <si>
    <t>Закрепление, снятие расчалок (оттяжек) на высоте до 10 м, длиной до 100 м, диаметр каната до 24 мм</t>
  </si>
  <si>
    <t>ТЕРм37-02-041-26</t>
  </si>
  <si>
    <t>Закрепление, снятие расчалок (оттяжек) на высоте до 10 м, длиной до 100 м, диаметр каната до 26 мм</t>
  </si>
  <si>
    <t>ТЕРм37-02-041-27</t>
  </si>
  <si>
    <t>Закрепление, снятие расчалок (оттяжек) на высоте до 10 м, длиной до 100 м, диаметр каната до 28 мм</t>
  </si>
  <si>
    <t>ТЕРм37-02-041-28</t>
  </si>
  <si>
    <t>Закрепление, снятие расчалок (оттяжек) на высоте до 10 м, длиной до 100 м, диаметр каната до 30 мм</t>
  </si>
  <si>
    <t>ТЕРм37-02-041-29</t>
  </si>
  <si>
    <t>Закрепление, снятие расчалок (оттяжек) на высоте до 10 м, длиной до 100 м, диаметр каната до 32 мм</t>
  </si>
  <si>
    <t>ТЕРм37-02-041-30</t>
  </si>
  <si>
    <t>Закрепление, снятие расчалок (оттяжек) на высоте до 10 м, длиной до 100 м, диаметр каната до 36 мм</t>
  </si>
  <si>
    <t>ТЕРм37-02-041-31</t>
  </si>
  <si>
    <t>Закрепление, снятие расчалок (оттяжек) на высоте до 10 м, длиной до 100 м, диаметр каната до 40 мм</t>
  </si>
  <si>
    <t>ТЕРм37-02-041-32</t>
  </si>
  <si>
    <t>Закрепление, снятие расчалок (оттяжек) на высоте до 10 м, длиной до 100 м, диаметр каната до 44 мм</t>
  </si>
  <si>
    <t>ТЕРм37-02-041-33</t>
  </si>
  <si>
    <t>Закрепление, снятие расчалок (оттяжек) на высоте до 10 м, длиной до 150 м, диаметр каната до 12 мм</t>
  </si>
  <si>
    <t>ТЕРм37-02-041-34</t>
  </si>
  <si>
    <t>Закрепление, снятие расчалок (оттяжек) на высоте до 10 м, длиной до 150 м, диаметр каната до 13 мм</t>
  </si>
  <si>
    <t>ТЕРм37-02-041-35</t>
  </si>
  <si>
    <t>Закрепление, снятие расчалок (оттяжек) на высоте до 10 м, длиной до 150 м, диаметр каната до 14 мм</t>
  </si>
  <si>
    <t>ТЕРм37-02-041-36</t>
  </si>
  <si>
    <t>Закрепление, снятие расчалок (оттяжек) на высоте до 10 м, длиной до 150 м, диаметр каната до 15 мм</t>
  </si>
  <si>
    <t>ТЕРм37-02-041-37</t>
  </si>
  <si>
    <t>Закрепление, снятие расчалок (оттяжек) на высоте до 10 м, длиной до 150 м, диаметр каната до 16 мм</t>
  </si>
  <si>
    <t>ТЕРм37-02-041-38</t>
  </si>
  <si>
    <t>Закрепление, снятие расчалок (оттяжек) на высоте до 10 м, длиной до 150 м, диаметр каната до 18 мм</t>
  </si>
  <si>
    <t>ТЕРм37-02-041-39</t>
  </si>
  <si>
    <t>Закрепление, снятие расчалок (оттяжек) на высоте до 10 м, длиной до 150 м, диаметр каната до 20 мм</t>
  </si>
  <si>
    <t>ТЕРм37-02-041-40</t>
  </si>
  <si>
    <t>Закрепление, снятие расчалок (оттяжек) на высоте до 10 м, длиной до 150 м, диаметр каната до 22 мм</t>
  </si>
  <si>
    <t>ТЕРм37-02-041-41</t>
  </si>
  <si>
    <t>Закрепление, снятие расчалок (оттяжек) на высоте до 10 м, длиной до 150 м, диаметр каната до 24 мм</t>
  </si>
  <si>
    <t>ТЕРм37-02-041-42</t>
  </si>
  <si>
    <t>Закрепление, снятие расчалок (оттяжек) на высоте до 10 м, длиной до 150 м, диаметр каната до 26 мм</t>
  </si>
  <si>
    <t>ТЕРм37-02-041-43</t>
  </si>
  <si>
    <t>Закрепление, снятие расчалок (оттяжек) на высоте до 10 м, длиной до 150 м, диаметр каната до 28 мм</t>
  </si>
  <si>
    <t>ТЕРм37-02-041-44</t>
  </si>
  <si>
    <t>Закрепление, снятие расчалок (оттяжек) на высоте до 10 м, длиной до 150 м, диаметр каната до 30 мм</t>
  </si>
  <si>
    <t>ТЕРм37-02-041-45</t>
  </si>
  <si>
    <t>Закрепление, снятие расчалок (оттяжек) на высоте до 10 м, длиной до 150 м, диаметр каната до 32 мм</t>
  </si>
  <si>
    <t>ТЕРм37-02-041-46</t>
  </si>
  <si>
    <t>Закрепление, снятие расчалок (оттяжек) на высоте до 10 м, длиной до 150 м, диаметр каната до 36 мм</t>
  </si>
  <si>
    <t>ТЕРм37-02-041-47</t>
  </si>
  <si>
    <t>Закрепление, снятие расчалок (оттяжек) на высоте до 10 м, длиной до 150 м, диаметр каната до 40 мм</t>
  </si>
  <si>
    <t>ТЕРм37-02-041-48</t>
  </si>
  <si>
    <t>Закрепление, снятие расчалок (оттяжек) на высоте до 10 м, длиной до 150 м, диаметр каната до 44 мм</t>
  </si>
  <si>
    <t>ТЕРм37-02-041-49</t>
  </si>
  <si>
    <t>Добавлять на каждые 10 м высоты при длине расчалок (оттяжек) сверх 50 м, диаметр каната до 12 мм</t>
  </si>
  <si>
    <t>ТЕРм37-02-041-50</t>
  </si>
  <si>
    <t>Добавлять на каждые 10 м высоты при длине расчалок (оттяжек) сверх 50 м, диаметр каната до 13 мм</t>
  </si>
  <si>
    <t>ТЕРм37-02-041-51</t>
  </si>
  <si>
    <t>Добавлять на каждые 10 м высоты при длине расчалок (оттяжек) сверх 50 м, диаметр каната до 14 мм</t>
  </si>
  <si>
    <t>ТЕРм37-02-041-52</t>
  </si>
  <si>
    <t>Добавлять на каждые 10 м высоты при длине расчалок (оттяжек) сверх 50 м, диаметр каната до 15 мм</t>
  </si>
  <si>
    <t>ТЕРм37-02-041-53</t>
  </si>
  <si>
    <t>Добавлять на каждые 10 м высоты при длине расчалок (оттяжек) сверх 50 м, диаметр каната до 16 мм</t>
  </si>
  <si>
    <t>ТЕРм37-02-041-54</t>
  </si>
  <si>
    <t>Добавлять на каждые 10 м высоты при длине расчалок (оттяжек) сверх 50 м, диаметр каната до 18 мм</t>
  </si>
  <si>
    <t>ТЕРм37-02-041-55</t>
  </si>
  <si>
    <t>Добавлять на каждые 10 м высоты при длине расчалок (оттяжек) сверх 50 м, диаметр каната до 20 мм</t>
  </si>
  <si>
    <t>ТЕРм37-02-041-56</t>
  </si>
  <si>
    <t>Добавлять на каждые 10 м высоты при длине расчалок (оттяжек) сверх 50 м, диаметр каната до 22 мм</t>
  </si>
  <si>
    <t>ТЕРм37-02-041-57</t>
  </si>
  <si>
    <t>Добавлять на каждые 10 м высоты при длине расчалок (оттяжек) сверх 50 м, диаметр каната до 24 мм</t>
  </si>
  <si>
    <t>ТЕРм37-02-041-58</t>
  </si>
  <si>
    <t>Добавлять на каждые 10 м высоты при длине расчалок (оттяжек) сверх 50 м, диаметр каната до 26 мм</t>
  </si>
  <si>
    <t>ТЕРм37-02-041-59</t>
  </si>
  <si>
    <t>Добавлять на каждые 10 м высоты при длине расчалок (оттяжек) сверх 50 м, диаметр каната до 28 мм</t>
  </si>
  <si>
    <t>ТЕРм37-02-041-60</t>
  </si>
  <si>
    <t>Добавлять на каждые 10 м высоты при длине расчалок (оттяжек) сверх 50 м, диаметр каната до 30 мм</t>
  </si>
  <si>
    <t>ТЕРм37-02-041-61</t>
  </si>
  <si>
    <t>Добавлять на каждые 10 м высоты при длине расчалок (оттяжек) сверх 50 м, диаметр каната до 32 мм</t>
  </si>
  <si>
    <t>ТЕРм37-02-041-62</t>
  </si>
  <si>
    <t>Добавлять на каждые 10 м высоты при длине расчалок (оттяжек) сверх 50 м, диаметр каната до 36 мм</t>
  </si>
  <si>
    <t>ТЕРм37-02-041-63</t>
  </si>
  <si>
    <t>Добавлять на каждые 10 м высоты при длине расчалок (оттяжек) сверх 50 м, диаметр каната до 40 мм</t>
  </si>
  <si>
    <t>ТЕРм37-02-041-64</t>
  </si>
  <si>
    <t>Добавлять на каждые 10 м высоты при длине расчалок (оттяжек) сверх 50 м, диаметр каната до 44 мм</t>
  </si>
  <si>
    <t>ТЕРм37-02-041-65</t>
  </si>
  <si>
    <t>Добавлять на каждые 10 м высоты при длине расчалок (оттяжек) сверх 100 м, диаметр каната до 12 мм</t>
  </si>
  <si>
    <t>ТЕРм37-02-041-66</t>
  </si>
  <si>
    <t>Добавлять на каждые 10 м высоты при длине расчалок (оттяжек) сверх 100 м, диаметр каната до 13 мм</t>
  </si>
  <si>
    <t>ТЕРм37-02-041-67</t>
  </si>
  <si>
    <t>Добавлять на каждые 10 м высоты при длине расчалок (оттяжек) сверх 100 м, диаметр каната до 14 мм</t>
  </si>
  <si>
    <t>ТЕРм37-02-041-68</t>
  </si>
  <si>
    <t>Добавлять на каждые 10 м высоты при длине расчалок (оттяжек) сверх 100 м, диаметр каната до 15 мм</t>
  </si>
  <si>
    <t>ТЕРм37-02-041-69</t>
  </si>
  <si>
    <t>Добавлять на каждые 10 м высоты при длине расчалок (оттяжек) сверх 100 м, диаметр каната до 16 мм</t>
  </si>
  <si>
    <t>ТЕРм37-02-041-70</t>
  </si>
  <si>
    <t>Добавлять на каждые 10 м высоты при длине расчалок (оттяжек) сверх 100 м, диаметр каната до 18 мм</t>
  </si>
  <si>
    <t>ТЕРм37-02-041-71</t>
  </si>
  <si>
    <t>Добавлять на каждые 10 м высоты при длине расчалок (оттяжек) сверх 100 м, диаметр каната до 20 мм</t>
  </si>
  <si>
    <t>ТЕРм37-02-041-72</t>
  </si>
  <si>
    <t>Добавлять на каждые 10 м высоты при длине расчалок (оттяжек) сверх 100 м, диаметр каната до 22 мм</t>
  </si>
  <si>
    <t>ТЕРм37-02-041-73</t>
  </si>
  <si>
    <t>Добавлять на каждые 10 м высоты при длине расчалок (оттяжек) сверх 100 м, диаметр каната до 24 мм</t>
  </si>
  <si>
    <t>ТЕРм37-02-041-74</t>
  </si>
  <si>
    <t>Добавлять на каждые 10 м высоты при длине расчалок (оттяжек) сверх 100 м, диаметр каната до 26 мм</t>
  </si>
  <si>
    <t>ТЕРм37-02-041-75</t>
  </si>
  <si>
    <t>Добавлять на каждые 10 м высоты при длине расчалок (оттяжек) сверх 100 м, диаметр каната до 28 мм</t>
  </si>
  <si>
    <t>ТЕРм37-02-041-76</t>
  </si>
  <si>
    <t>Добавлять на каждые 10 м высоты при длине расчалок (оттяжек) сверх 100 м, диаметр каната до 30 мм</t>
  </si>
  <si>
    <t>ТЕРм37-02-041-77</t>
  </si>
  <si>
    <t>Добавлять на каждые 10 м высоты при длине расчалок (оттяжек) сверх 100 м, диаметр каната до 32 мм</t>
  </si>
  <si>
    <t>ТЕРм37-02-041-78</t>
  </si>
  <si>
    <t>Добавлять на каждые 10 м высоты при длине расчалок (оттяжек) сверх 100 м, диаметр каната до 36 мм</t>
  </si>
  <si>
    <t>ТЕРм37-02-041-79</t>
  </si>
  <si>
    <t>Добавлять на каждые 10 м высоты при длине расчалок (оттяжек) сверх 100 м, диаметр каната до 40 мм</t>
  </si>
  <si>
    <t>ТЕРм37-02-041-80</t>
  </si>
  <si>
    <t>Добавлять на каждые 10 м высоты при длине расчалок (оттяжек) сверх 100 м, диаметр каната до 44 мм</t>
  </si>
  <si>
    <t>ТЕРм37-02-041-81</t>
  </si>
  <si>
    <t>Добавлять на каждые 10 м высоты при длине расчалок (оттяжек) сверх 150 м, диаметр каната до 12 мм</t>
  </si>
  <si>
    <t>ТЕРм37-02-041-82</t>
  </si>
  <si>
    <t>Добавлять на каждые 10 м высоты при длине расчалок (оттяжек) сверх 150 м, диаметр каната до 13 мм</t>
  </si>
  <si>
    <t>ТЕРм37-02-041-83</t>
  </si>
  <si>
    <t>Добавлять на каждые 10 м высоты при длине расчалок (оттяжек) сверх 150 м, диаметр каната до 14 мм</t>
  </si>
  <si>
    <t>ТЕРм37-02-041-84</t>
  </si>
  <si>
    <t>Добавлять на каждые 10 м высоты при длине расчалок (оттяжек) сверх 150 м, диаметр каната до 15 мм</t>
  </si>
  <si>
    <t>ТЕРм37-02-041-85</t>
  </si>
  <si>
    <t>Добавлять на каждые 10 м высоты при длине расчалок (оттяжек) сверх 150 м, диаметр каната до 16 мм</t>
  </si>
  <si>
    <t>ТЕРм37-02-041-86</t>
  </si>
  <si>
    <t>Добавлять на каждые 10 м высоты при длине расчалок (оттяжек) сверх 150 м, диаметр каната до 18 мм</t>
  </si>
  <si>
    <t>ТЕРм37-02-041-87</t>
  </si>
  <si>
    <t>Добавлять на каждые 10 м высоты при длине расчалок (оттяжек) сверх 150 м, диаметр каната до 20 мм</t>
  </si>
  <si>
    <t>ТЕРм37-02-041-88</t>
  </si>
  <si>
    <t>Добавлять на каждые 10 м высоты при длине расчалок (оттяжек) сверх 150 м, диаметр каната до 22 мм</t>
  </si>
  <si>
    <t>ТЕРм37-02-041-89</t>
  </si>
  <si>
    <t>Добавлять на каждые 10 м высоты при длине расчалок (оттяжек) сверх 150 м, диаметр каната до 24 мм</t>
  </si>
  <si>
    <t>ТЕРм37-02-041-90</t>
  </si>
  <si>
    <t>Добавлять на каждые 10 м высоты при длине расчалок (оттяжек) сверх 150 м, диаметр каната до 26 мм</t>
  </si>
  <si>
    <t>ТЕРм37-02-041-91</t>
  </si>
  <si>
    <t>Добавлять на каждые 10 м высоты при длине расчалок (оттяжек) сверх 150 м, диаметр каната до 28 мм</t>
  </si>
  <si>
    <t>ТЕРм37-02-041-92</t>
  </si>
  <si>
    <t>Добавлять на каждые 10 м высоты при длине расчалок (оттяжек) сверх 150 м, диаметр каната до 30 мм</t>
  </si>
  <si>
    <t>ТЕРм37-02-041-93</t>
  </si>
  <si>
    <t>Добавлять на каждые 10 м высоты при длине расчалок (оттяжек) сверх 150 м, диаметр каната до 32 мм</t>
  </si>
  <si>
    <t>ТЕРм37-02-041-94</t>
  </si>
  <si>
    <t>Добавлять на каждые 10 м высоты при длине расчалок (оттяжек) сверх 150 м, диаметр каната до 36 мм</t>
  </si>
  <si>
    <t>ТЕРм37-02-041-95</t>
  </si>
  <si>
    <t>Добавлять на каждые 10 м высоты при длине расчалок (оттяжек) сверх 150 м, диаметр каната до 40 мм</t>
  </si>
  <si>
    <t>ТЕРм37-02-041-96</t>
  </si>
  <si>
    <t>Добавлять на каждые 10 м высоты при длине расчалок (оттяжек) сверх 150 м, диаметр каната до 44 мм</t>
  </si>
  <si>
    <t xml:space="preserve">                                   Раздел 5. УСТАНОВКА И СНЯТИЕ ТРЕНОГИ И ОПОРНОЙ СТОЙКИ</t>
  </si>
  <si>
    <t xml:space="preserve">                                   Установка и снятие треног с подвеской талей</t>
  </si>
  <si>
    <t>ТЕРм37-02-052-01</t>
  </si>
  <si>
    <t>Установка треноги с подвеской тали высотой до 3 м при грузоподъемности тали до 2 т</t>
  </si>
  <si>
    <t>ТЕРм37-02-052-02</t>
  </si>
  <si>
    <t>Установка треноги с подвеской тали высотой до 3 м при грузоподъемности тали до 3 т</t>
  </si>
  <si>
    <t>ТЕРм37-02-052-03</t>
  </si>
  <si>
    <t>Установка треноги с подвеской тали высотой до 3 м при грузоподъемности тали до 5 т</t>
  </si>
  <si>
    <t>ТЕРм37-02-052-04</t>
  </si>
  <si>
    <t>Установка треноги с подвеской тали высотой до 3 м при грузоподъемности тали до 10 т</t>
  </si>
  <si>
    <t>ТЕРм37-02-052-05</t>
  </si>
  <si>
    <t>Снятие треноги с подвеской тали высотой до 3 м при грузоподъемности тали до 2 т</t>
  </si>
  <si>
    <t>ТЕРм37-02-052-06</t>
  </si>
  <si>
    <t>Снятие треноги с подвеской тали высотой до 3 м при грузоподъемности тали до 3 т</t>
  </si>
  <si>
    <t>ТЕРм37-02-052-07</t>
  </si>
  <si>
    <t>Снятие треноги с подвеской тали высотой до 3 м при грузоподъемности тали до 5 т</t>
  </si>
  <si>
    <t>ТЕРм37-02-052-08</t>
  </si>
  <si>
    <t>Снятие треноги с подвеской тали высотой до 3 м при грузоподъемности тали до 10 т</t>
  </si>
  <si>
    <t>ТЕРм37-02-052-09</t>
  </si>
  <si>
    <t>Установка треноги с подвеской тали высотой до 6 м при грузоподъемности тали до 2 т</t>
  </si>
  <si>
    <t>ТЕРм37-02-052-10</t>
  </si>
  <si>
    <t>Установка треноги с подвеской тали высотой до 6 м при грузоподъемности тали до 3 т</t>
  </si>
  <si>
    <t>ТЕРм37-02-052-11</t>
  </si>
  <si>
    <t>Установка треноги с подвеской тали высотой до 6 м при грузоподъемности тали до 5 т</t>
  </si>
  <si>
    <t>ТЕРм37-02-052-12</t>
  </si>
  <si>
    <t>Установка треноги с подвеской тали высотой до 6 м при грузоподъемности тали до 10 т</t>
  </si>
  <si>
    <t>ТЕРм37-02-052-13</t>
  </si>
  <si>
    <t>Снятие треноги с подвеской тали высотой до 6 м при грузоподъемности тали до 2 т</t>
  </si>
  <si>
    <t>ТЕРм37-02-052-14</t>
  </si>
  <si>
    <t>Снятие треноги с подвеской тали высотой до 6 м при грузоподъемности тали до 3 т</t>
  </si>
  <si>
    <t>ТЕРм37-02-052-15</t>
  </si>
  <si>
    <t>Снятие треноги с подвеской тали высотой до 6 м при грузоподъемности тали до 5 т</t>
  </si>
  <si>
    <t>ТЕРм37-02-052-16</t>
  </si>
  <si>
    <t>Снятие треноги с подвеской тали высотой до 6 м при грузоподъемности тали до 10 т</t>
  </si>
  <si>
    <t>ТЕРм37-02-052-17</t>
  </si>
  <si>
    <t>Установка треноги с подвеской тали высотой до 9 м при грузоподъемности тали до 2 т</t>
  </si>
  <si>
    <t>ТЕРм37-02-052-18</t>
  </si>
  <si>
    <t>Установка треноги с подвеской тали высотой до 9 м при грузоподъемности тали до 3 т</t>
  </si>
  <si>
    <t>ТЕРм37-02-052-19</t>
  </si>
  <si>
    <t>Установка треноги с подвеской тали высотой до 9 м при грузоподъемности тали до 5 т</t>
  </si>
  <si>
    <t>ТЕРм37-02-052-20</t>
  </si>
  <si>
    <t>Установка треноги с подвеской тали высотой до 9 м при грузоподъемности тали до 10 т</t>
  </si>
  <si>
    <t>ТЕРм37-02-052-21</t>
  </si>
  <si>
    <t>Снятие треноги с подвеской тали высотой до 9 м при грузоподъемности тали до 2 т</t>
  </si>
  <si>
    <t>ТЕРм37-02-052-22</t>
  </si>
  <si>
    <t>Снятие треноги с подвеской тали высотой до 9 м при грузоподъемности тали до 3 т</t>
  </si>
  <si>
    <t>ТЕРм37-02-052-23</t>
  </si>
  <si>
    <t>Снятие треноги с подвеской тали высотой до 9 м при грузоподъемности тали до 5 т</t>
  </si>
  <si>
    <t>ТЕРм37-02-052-24</t>
  </si>
  <si>
    <t>Снятие треноги с подвеской тали высотой до 9 м при грузоподъемности тали до 10 т</t>
  </si>
  <si>
    <t xml:space="preserve">                                   Передвижка треноги на расстояние до 3 м</t>
  </si>
  <si>
    <t>ТЕРм37-02-053-01</t>
  </si>
  <si>
    <t>Передвижка на расстояние до 3 м треноги, высотой до 3 м</t>
  </si>
  <si>
    <t>ТЕРм37-02-053-02</t>
  </si>
  <si>
    <t>Передвижка на расстояние до 3 м треноги, высотой до 6 М</t>
  </si>
  <si>
    <t>ТЕРм37-02-053-03</t>
  </si>
  <si>
    <t>Передвижка на расстояние до 3 м треноги, высотой до 9 м</t>
  </si>
  <si>
    <t xml:space="preserve">                                   Установка и снятие опорной стойки</t>
  </si>
  <si>
    <t>ТЕРм37-02-054-01</t>
  </si>
  <si>
    <t>Установка опорной стойки массой до 2,2 т</t>
  </si>
  <si>
    <t>ТЕРм37-02-054-02</t>
  </si>
  <si>
    <t>Установка опорной стойки массой до 5,6 т</t>
  </si>
  <si>
    <t>ТЕРм37-02-054-03</t>
  </si>
  <si>
    <t>Установка опорной стойки массой до 10,5 т</t>
  </si>
  <si>
    <t>ТЕРм37-02-054-04</t>
  </si>
  <si>
    <t>Снятие опорной стойки массой до 2,2 т</t>
  </si>
  <si>
    <t>ТЕРм37-02-054-05</t>
  </si>
  <si>
    <t>Снятие опорной стойки массой до 5,6 т</t>
  </si>
  <si>
    <t>ТЕРм37-02-054-06</t>
  </si>
  <si>
    <t>Снятие опорной стойки массой до 10,5 т</t>
  </si>
  <si>
    <t xml:space="preserve">                                   Раздел 6. УСТРОЙСТВО, РАЗБОРКА И ПЕРЕДВИЖКА РЕЛЬСОВЫХ ПУТЕЙ</t>
  </si>
  <si>
    <t xml:space="preserve">                                   Устройство и разборка рельсовых путей</t>
  </si>
  <si>
    <t>ТЕРм37-02-065-01</t>
  </si>
  <si>
    <t>Путь из одной нити устройство рельсовых путей</t>
  </si>
  <si>
    <t>ТЕРм37-02-065-02</t>
  </si>
  <si>
    <t>Путь из одной нити разборка рельсовых путей</t>
  </si>
  <si>
    <t>ТЕРм37-02-065-03</t>
  </si>
  <si>
    <t>Путь из двух нитей устройство рельсовых путей</t>
  </si>
  <si>
    <t>ТЕРм37-02-065-04</t>
  </si>
  <si>
    <t>Путь из двух нитей разборка рельсовых путей</t>
  </si>
  <si>
    <t xml:space="preserve">                                   Передвижка рельсового пути</t>
  </si>
  <si>
    <t>ТЕРм37-02-066-01</t>
  </si>
  <si>
    <t>Путь из одной нити передвижка рельсового пути на расстояние 0,5 м</t>
  </si>
  <si>
    <t>ТЕРм37-02-066-02</t>
  </si>
  <si>
    <t>Путь из одной нити добавлять на каждые следующие 0,5 м передвижки рельсового пути</t>
  </si>
  <si>
    <t>ТЕРм37-02-066-03</t>
  </si>
  <si>
    <t>Путь из двух нитей передвижка рельсового пути на расстояние 0,5 м</t>
  </si>
  <si>
    <t>ТЕРм37-02-066-04</t>
  </si>
  <si>
    <t>Путь из двух нитей добавлять на каждые следующие 0,5 м передвижки рельсового пути</t>
  </si>
  <si>
    <t>ТЕРм-2001-38</t>
  </si>
  <si>
    <t xml:space="preserve">                           Раздел 1. Раздел 1. ИЗГОТОВЛЕНИЕ МЕТАЛЛИЧЕСКИХ КОНСТРУКЦИЙ</t>
  </si>
  <si>
    <t xml:space="preserve">                                   Листовые конструкции массой свыше 0,5 т (бункера, сборники, отстойники, мерники без внутренних устройств и др.)</t>
  </si>
  <si>
    <t>ТЕРм38-01-001-01</t>
  </si>
  <si>
    <t>Листовые конструкции массой свыше 0,5 т (бункеры, сборники, отстойники, мерники без внутренних устройств и др.), сборка с помощью крана на автомобильном ходу</t>
  </si>
  <si>
    <t>ТЕРм38-01-001-02</t>
  </si>
  <si>
    <t>Листовые конструкции массой свыше 0,5 т (бункеры, сборники, отстойники, мерники без внутренних устройств и др.), сборка с помощью крана мостового</t>
  </si>
  <si>
    <t>ТЕРм38-01-001-03</t>
  </si>
  <si>
    <t>Листовые конструкции массой свыше 0,5 т (бункеры, сборники, отстойники, мерники без внутренних устройств и др.), сборка с помощью лебедок электрических (с установкой и снятием их в процессе работы)</t>
  </si>
  <si>
    <t>ТЕРм38-01-001-04</t>
  </si>
  <si>
    <t>Листовые конструкции массой свыше 0,5 т (бункеры, сборники, отстойники, мерники без внутренних устройств и др.), сборка с помощью лебедок ручных (с установкой и снятием их в процессе работы) или вручную (мелких деталей)</t>
  </si>
  <si>
    <t xml:space="preserve">                                   Монорельсы, балки и другие аналогичные конструкции промышленных зданий</t>
  </si>
  <si>
    <t>ТЕРм38-01-002-01</t>
  </si>
  <si>
    <t>Монорельсы, балки и другие аналогичные конструкции промышленных зданий, сборка с помощью крана на автомобильном ходу</t>
  </si>
  <si>
    <t>ТЕРм38-01-002-02</t>
  </si>
  <si>
    <t>Монорельсы, балки и другие аналогичные конструкции промышленных зданий, сборка с помощью крана мостового</t>
  </si>
  <si>
    <t>ТЕРм38-01-002-03</t>
  </si>
  <si>
    <t>Монорельсы, балки и другие аналогичные конструкции промышленных зданий, сборка с помощью лебедок электрических (с установкой и снятием их в процессе работы)</t>
  </si>
  <si>
    <t>ТЕРм38-01-002-04</t>
  </si>
  <si>
    <t>Монорельсы, балки и другие аналогичные конструкции промышленных зданий, сборка с помощью лебедок ручных (с установкой и снятием их в процессе работы) или вручную (мелких деталей)</t>
  </si>
  <si>
    <t xml:space="preserve">                                   Решетчатые конструкции</t>
  </si>
  <si>
    <t>ТЕРм38-01-003-01</t>
  </si>
  <si>
    <t>Решетчатые конструкции (стойки, опоры, фермы и пр.), сборка с помощью крана на автомобильном ходу</t>
  </si>
  <si>
    <t>ТЕРм38-01-003-02</t>
  </si>
  <si>
    <t>Решетчатые конструкции (стойки, опоры, фермы и пр.), сборка с помощью крана мостового</t>
  </si>
  <si>
    <t>ТЕРм38-01-003-03</t>
  </si>
  <si>
    <t>Решетчатые конструкции (стойки, опоры, фермы и пр.), сборка с помощью лебедок электрических (с установкой и снятием их в процессе работы)</t>
  </si>
  <si>
    <t>ТЕРм38-01-003-04</t>
  </si>
  <si>
    <t>Решетчатые конструкции (стойки, опоры, фермы и пр.), сборка с помощью лебедок ручных (с установкой и снятием их в процессе работы) или вручную (мелких деталей)</t>
  </si>
  <si>
    <t xml:space="preserve">                                   Площадки и лестницы</t>
  </si>
  <si>
    <t>ТЕРм38-01-004-01</t>
  </si>
  <si>
    <t>Сборка с помощью крана на автомобильном ходу площадки для обслуживания оборудования и трубопроводов</t>
  </si>
  <si>
    <t>ТЕРм38-01-004-02</t>
  </si>
  <si>
    <t>Сборка с помощью крана на автомобильном ходу лестницы прямолинейные и криволинейные с ограждением</t>
  </si>
  <si>
    <t>ТЕРм38-01-004-03</t>
  </si>
  <si>
    <t>Сборка с помощью крана мостового площадки для обслуживания оборудования и трубопроводов</t>
  </si>
  <si>
    <t>ТЕРм38-01-004-04</t>
  </si>
  <si>
    <t>Сборка с помощью крана мостового лестницы прямолинейные и криволинейные с ограждением</t>
  </si>
  <si>
    <t>ТЕРм38-01-004-05</t>
  </si>
  <si>
    <t>Сборка с помощью лебедок электрических (с установкой и снятием их в процессе работы) площадки для обслуживания оборудования и трубопроводов</t>
  </si>
  <si>
    <t>ТЕРм38-01-004-06</t>
  </si>
  <si>
    <t>Сборка с помощью лебедок электрических (с установкой и снятием их в процессе работы) лестницы прямолинейные и криволинейные с ограждением</t>
  </si>
  <si>
    <t>ТЕРм38-01-004-07</t>
  </si>
  <si>
    <t>Сборка с помощью лебедок ручных (с установкой и снятием их в процессе работы) или вручную (мелких деталей) площадки для обслуживания оборудования и трубопроводов</t>
  </si>
  <si>
    <t>ТЕРм38-01-004-08</t>
  </si>
  <si>
    <t>Сборка с помощью лебедок ручных (с установкой и снятием их в процессе работы) или вручную (мелких деталей) лестницы прямолинейные и криволинейные с ограждением</t>
  </si>
  <si>
    <t xml:space="preserve">                                   Эстакады, галереи</t>
  </si>
  <si>
    <t>ТЕРм38-01-005-01</t>
  </si>
  <si>
    <t>Эстакады под трубопровод, галереи, сборка с помощью крана на автомобильном ходу</t>
  </si>
  <si>
    <t>ТЕРм38-01-005-02</t>
  </si>
  <si>
    <t>Эстакады под трубопровод, галереи, сборка с помощью крана мостового</t>
  </si>
  <si>
    <t>ТЕРм38-01-005-03</t>
  </si>
  <si>
    <t>Эстакады под трубопровод, галереи, сборка с помощью лебедок электрических (с установкой и снятием их в процессе работы)</t>
  </si>
  <si>
    <t>ТЕРм38-01-005-04</t>
  </si>
  <si>
    <t>Эстакады под трубопровод, галереи, сборка с помощью лебедок ручных (с установкой и снятием их в процессе работы) или вручную (мелких деталей)</t>
  </si>
  <si>
    <t xml:space="preserve">                                   Мелкие индивидуальные конструкции</t>
  </si>
  <si>
    <t>ТЕРм38-01-006-01</t>
  </si>
  <si>
    <t>Сборка с помощью крана на автомобильном ходу листовые конструкции массой до 0,5 т (бачки, течки, воронки, желоба, лотки и пр.)</t>
  </si>
  <si>
    <t>ТЕРм38-01-006-02</t>
  </si>
  <si>
    <t>Сборка с помощью крана на автомобильном ходу стремянки, связи, кронштейны, тормозные конструкции и пр.</t>
  </si>
  <si>
    <t>ТЕРм38-01-006-03</t>
  </si>
  <si>
    <t>Сборка с помощью крана мостового листовые конструкции массой до 0,5 т (бачки, течки, воронки, желоба, лотки и пр.)</t>
  </si>
  <si>
    <t>ТЕРм38-01-006-04</t>
  </si>
  <si>
    <t>Сборка с помощью крана мостового стремянки, связи, кронштейны, тормозные конструкции и пр.</t>
  </si>
  <si>
    <t>ТЕРм38-01-006-05</t>
  </si>
  <si>
    <t>Сборка с помощью лебедок электрических (с установкой и снятием их в процессе работы) листовые конструкции массой до 0,5 т (бачки, течки, воронки, желоба, лотки и пр.)</t>
  </si>
  <si>
    <t>ТЕРм38-01-006-06</t>
  </si>
  <si>
    <t>Сборка с помощью лебедок электрических (с установкой и снятием их в процессе работы) стремянки, связи, кронштейны, тормозные конструкции и пр.</t>
  </si>
  <si>
    <t>ТЕРм38-01-006-07</t>
  </si>
  <si>
    <t>Сборка с помощью лебедок ручных (с установкой и снятием их в процессе работы) или вручную (мелких деталей) листовые конструкции массой до 0,5 т (бачки, течки, воронки, желоба, лотки и пр.)</t>
  </si>
  <si>
    <t>ТЕРм38-01-006-08</t>
  </si>
  <si>
    <t>Сборка с помощью лебедок ручных (с установкой и снятием их в процессе работы) или вручную (мелких деталей) стремянки, связи, кронштейны, тормозные конструкции и пр.</t>
  </si>
  <si>
    <t>ТЕРм-2001-39</t>
  </si>
  <si>
    <t xml:space="preserve">                           Раздел 1. ОТДЕЛ 01. ПОДГОТОВКА К КОНТРОЛЮ ПОВЕРХНОСТИ МОНТАЖНЫХ СВАРНЫХ СОЕДИНЕНИЙ И ОКОЛОШОВНОЙ ЗОНЫ</t>
  </si>
  <si>
    <t xml:space="preserve">                                   Очистка поверхности металлическими щетками</t>
  </si>
  <si>
    <t>ТЕРм39-01-001-01</t>
  </si>
  <si>
    <t>Очистка металлическими щетками поверхности трубопроводов диаметром до 60 мм</t>
  </si>
  <si>
    <t>ТЕРм39-01-001-02</t>
  </si>
  <si>
    <t>Очистка металлическими щетками поверхности трубопроводов диаметром до 108 мм</t>
  </si>
  <si>
    <t>ТЕРм39-01-001-03</t>
  </si>
  <si>
    <t>Очистка металлическими щетками поверхности трубопроводов диаметром до 159 мм</t>
  </si>
  <si>
    <t>ТЕРм39-01-001-04</t>
  </si>
  <si>
    <t>Очистка металлическими щетками поверхности трубопроводов диаметром до 273 мм</t>
  </si>
  <si>
    <t>ТЕРм39-01-001-05</t>
  </si>
  <si>
    <t>Очистка металлическими щетками поверхности трубопроводов диаметром до 377 мм</t>
  </si>
  <si>
    <t>ТЕРм39-01-001-06</t>
  </si>
  <si>
    <t>Очистка металлическими щетками поверхности трубопроводов диаметром до 478 мм</t>
  </si>
  <si>
    <t>ТЕРм39-01-001-07</t>
  </si>
  <si>
    <t>Очистка металлическими щетками поверхности трубопроводов диаметром до 550 мм</t>
  </si>
  <si>
    <t>ТЕРм39-01-001-08</t>
  </si>
  <si>
    <t>Очистка металлическими щетками поверхности трубопроводов диаметром до 630 мм</t>
  </si>
  <si>
    <t>ТЕРм39-01-001-09</t>
  </si>
  <si>
    <t>Очистка металлическими щетками поверхности трубопроводов диаметром до 720 мм</t>
  </si>
  <si>
    <t>ТЕРм39-01-001-10</t>
  </si>
  <si>
    <t>Очистка металлическими щетками поверхности трубопроводов диаметром до 820 мм</t>
  </si>
  <si>
    <t>ТЕРм39-01-001-11</t>
  </si>
  <si>
    <t>Очистка металлическими щетками поверхности трубопроводов диаметром до 920 мм</t>
  </si>
  <si>
    <t>ТЕРм39-01-001-12</t>
  </si>
  <si>
    <t>Очистка металлическими щетками поверхности трубопроводов диаметром до 1020 мм</t>
  </si>
  <si>
    <t>ТЕРм39-01-001-13</t>
  </si>
  <si>
    <t>Очистка металлическими щетками поверхности трубопроводов диаметром до 1220 мм</t>
  </si>
  <si>
    <t>ТЕРм39-01-001-14</t>
  </si>
  <si>
    <t>Очистка металлическими щетками поверхности трубопроводов диаметром до 1420 мм</t>
  </si>
  <si>
    <t>ТЕРм39-01-001-15</t>
  </si>
  <si>
    <t>Очистка металлическими щетками поверхности трубопроводов диаметром до 1620 мм</t>
  </si>
  <si>
    <t>ТЕРм39-01-001-16</t>
  </si>
  <si>
    <t>Очистка металлическими щетками поверхности трубопроводов диаметром до 1820 мм</t>
  </si>
  <si>
    <t>ТЕРм39-01-001-17</t>
  </si>
  <si>
    <t>Очистка металлическими щетками поверхности трубопроводов диаметром до 2020 мм</t>
  </si>
  <si>
    <t>ТЕРм39-01-001-18</t>
  </si>
  <si>
    <t>Очистка металлическими щетками поверхности трубопроводов диаметром до 2220 мм</t>
  </si>
  <si>
    <t>ТЕРм39-01-001-19</t>
  </si>
  <si>
    <t>Очистка поверхности оборудования металлическими щетками</t>
  </si>
  <si>
    <t xml:space="preserve">                                   Протирка поверхности ацетоном</t>
  </si>
  <si>
    <t>ТЕРм39-01-002-01</t>
  </si>
  <si>
    <t>Протирка ацетоном поверхности трубопроводов наружным диаметром до 60 мм</t>
  </si>
  <si>
    <t>ТЕРм39-01-002-02</t>
  </si>
  <si>
    <t>Протирка ацетоном поверхности трубопроводов наружным диаметром до 108 мм</t>
  </si>
  <si>
    <t>ТЕРм39-01-002-03</t>
  </si>
  <si>
    <t>Протирка ацетоном поверхности трубопроводов наружным диаметром до 159 мм</t>
  </si>
  <si>
    <t>ТЕРм39-01-002-04</t>
  </si>
  <si>
    <t>Протирка ацетоном поверхности трубопроводов наружным диаметром до 273 мм</t>
  </si>
  <si>
    <t>ТЕРм39-01-002-05</t>
  </si>
  <si>
    <t>Протирка ацетоном поверхности трубопроводов наружным диаметром до 377 мм</t>
  </si>
  <si>
    <t>ТЕРм39-01-002-06</t>
  </si>
  <si>
    <t>Протирка ацетоном поверхности трубопроводов наружным диаметром до 478 мм</t>
  </si>
  <si>
    <t>ТЕРм39-01-002-07</t>
  </si>
  <si>
    <t>Протирка ацетоном поверхности трубопроводов наружным диаметром до 550 мм</t>
  </si>
  <si>
    <t>ТЕРм39-01-002-08</t>
  </si>
  <si>
    <t>Протирка ацетоном поверхности трубопроводов наружным диаметром до 630 мм</t>
  </si>
  <si>
    <t>ТЕРм39-01-002-09</t>
  </si>
  <si>
    <t>Протирка ацетоном поверхности трубопроводов наружным диаметром до 720 мм</t>
  </si>
  <si>
    <t>ТЕРм39-01-002-10</t>
  </si>
  <si>
    <t>Протирка ацетоном поверхности трубопроводов наружным диаметром до 820 мм</t>
  </si>
  <si>
    <t>ТЕРм39-01-002-11</t>
  </si>
  <si>
    <t>Протирка ацетоном поверхности трубопроводов наружным диаметром до 920 мм</t>
  </si>
  <si>
    <t>ТЕРм39-01-002-12</t>
  </si>
  <si>
    <t>Протирка ацетоном поверхности трубопроводов наружным диаметром до 1020 мм</t>
  </si>
  <si>
    <t>ТЕРм39-01-002-13</t>
  </si>
  <si>
    <t>Протирка ацетоном поверхности трубопроводов наружным диаметром до 1220 мм</t>
  </si>
  <si>
    <t>ТЕРм39-01-002-14</t>
  </si>
  <si>
    <t>Протирка ацетоном поверхности трубопроводов наружным диаметром до 1420 мм</t>
  </si>
  <si>
    <t>ТЕРм39-01-002-15</t>
  </si>
  <si>
    <t>Протирка ацетоном поверхности трубопроводов наружным диаметром до 1620 мм</t>
  </si>
  <si>
    <t>ТЕРм39-01-002-16</t>
  </si>
  <si>
    <t>Протирка ацетоном поверхности трубопроводов наружным диаметром до 1820 мм</t>
  </si>
  <si>
    <t>ТЕРм39-01-002-17</t>
  </si>
  <si>
    <t>Протирка ацетоном поверхности трубопроводов наружным диаметром до 2020 мм</t>
  </si>
  <si>
    <t>ТЕРм39-01-002-18</t>
  </si>
  <si>
    <t>Протирка ацетоном поверхности трубопроводов наружным диаметром до 2220 мм</t>
  </si>
  <si>
    <t>ТЕРм39-01-002-19</t>
  </si>
  <si>
    <t>Протирка ацетоном поверхности оборудования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</si>
  <si>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80 мкм (V3) без снятия выпуклости (усиления) сварного шва</t>
  </si>
  <si>
    <t>ТЕРм39-01-003-01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</si>
  <si>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22 мм, толщина стенки до 3 мм</t>
  </si>
  <si>
    <t>ТЕРм39-01-003-02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</si>
  <si>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22 мм, толщина стенки до 6 мм</t>
  </si>
  <si>
    <t>ТЕРм39-01-003-03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</si>
  <si>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25-36 мм, толщина стенки до 4 мм</t>
  </si>
  <si>
    <t>ТЕРм39-01-003-04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</si>
  <si>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25-36 мм, толщина стенки до 8 мм</t>
  </si>
  <si>
    <t>ТЕРм39-01-003-05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</si>
  <si>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4 мм</t>
  </si>
  <si>
    <t>ТЕРм39-01-003-06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</si>
  <si>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8 мм</t>
  </si>
  <si>
    <t>ТЕРм39-01-003-07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</si>
  <si>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12 мм</t>
  </si>
  <si>
    <t>ТЕРм39-01-003-08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</si>
  <si>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4 мм</t>
  </si>
  <si>
    <t>ТЕРм39-01-003-09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</si>
  <si>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8 мм</t>
  </si>
  <si>
    <t>ТЕРм39-01-003-10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</si>
  <si>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14 мм</t>
  </si>
  <si>
    <t>ТЕРм39-01-003-11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</si>
  <si>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6 мм</t>
  </si>
  <si>
    <t>ТЕРм39-01-003-12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</si>
  <si>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10 мм</t>
  </si>
  <si>
    <t>ТЕРм39-01-003-13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</si>
  <si>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20 мм</t>
  </si>
  <si>
    <t>ТЕРм39-01-003-14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</si>
  <si>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102-114 мм, толщина стенки до 6 мм</t>
  </si>
  <si>
    <t>ТЕРм39-01-003-15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</si>
  <si>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102-114 мм, толщина стенки до 10 мм</t>
  </si>
  <si>
    <t>ТЕРм39-01-003-16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</si>
  <si>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102-114 мм, толщина стенки до 20 мм</t>
  </si>
  <si>
    <t>ТЕРм39-01-003-17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</si>
  <si>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102-114 мм, толщина стенки до 28 мм</t>
  </si>
  <si>
    <t>ТЕРм39-01-003-18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</si>
  <si>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121-133 мм, толщина стенки до 6 мм</t>
  </si>
  <si>
    <t>ТЕРм39-01-003-19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</si>
  <si>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121-133 мм, толщина стенки до 10 мм</t>
  </si>
  <si>
    <t>ТЕРм39-01-003-20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</si>
  <si>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121-133 мм, толщина стенки до 20 мм</t>
  </si>
  <si>
    <t>ТЕРм39-01-003-21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</si>
  <si>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121-133 мм, толщина стенки до 36 мм</t>
  </si>
  <si>
    <t>ТЕРм39-01-003-22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</si>
  <si>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159-194 мм, толщина стенки до 6 мм</t>
  </si>
  <si>
    <t>ТЕРм39-01-003-23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</si>
  <si>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159-194 мм, толщина стенки до 10 мм</t>
  </si>
  <si>
    <t>ТЕРм39-01-003-24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</si>
  <si>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159-194 мм, толщина стенки до 20 мм</t>
  </si>
  <si>
    <t>ТЕРм39-01-003-25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</si>
  <si>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159-194 мм, толщина стенки до 30 мм</t>
  </si>
  <si>
    <t>ТЕРм39-01-003-26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</si>
  <si>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159-194 мм, толщина стенки до 45 мм</t>
  </si>
  <si>
    <t>ТЕРм39-01-003-27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</si>
  <si>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6 мм</t>
  </si>
  <si>
    <t>ТЕРм39-01-003-28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</si>
  <si>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10 мм</t>
  </si>
  <si>
    <t>ТЕРм39-01-003-29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</si>
  <si>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20 мм</t>
  </si>
  <si>
    <t>ТЕРм39-01-003-30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</si>
  <si>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30 мм</t>
  </si>
  <si>
    <t>ТЕРм39-01-003-31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</si>
  <si>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40 мм</t>
  </si>
  <si>
    <t>ТЕРм39-01-003-32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</si>
  <si>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50 мм</t>
  </si>
  <si>
    <t>ТЕРм39-01-003-33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</si>
  <si>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60 мм</t>
  </si>
  <si>
    <t>ТЕРм39-01-003-34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</si>
  <si>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70 мм</t>
  </si>
  <si>
    <t>ТЕРм39-01-003-35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</si>
  <si>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219-245 мм, толщина стенки до 80 мм</t>
  </si>
  <si>
    <t>ТЕРм39-01-003-36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</si>
  <si>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6 мм</t>
  </si>
  <si>
    <t>ТЕРм39-01-003-37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</si>
  <si>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10 мм</t>
  </si>
  <si>
    <t>ТЕРм39-01-003-38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</si>
  <si>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20 мм</t>
  </si>
  <si>
    <t>ТЕРм39-01-003-39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</si>
  <si>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30 мм</t>
  </si>
  <si>
    <t>ТЕРм39-01-003-40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</si>
  <si>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40 мм</t>
  </si>
  <si>
    <t>ТЕРм39-01-003-41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</si>
  <si>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50 мм</t>
  </si>
  <si>
    <t>ТЕРм39-01-003-42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</si>
  <si>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60 мм</t>
  </si>
  <si>
    <t>ТЕРм39-01-003-43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</si>
  <si>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273-299 мм, толщина стенки до 70 мм</t>
  </si>
  <si>
    <t>ТЕРм39-01-003-44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</si>
  <si>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6 мм</t>
  </si>
  <si>
    <t>ТЕРм39-01-003-45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</si>
  <si>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10 мм</t>
  </si>
  <si>
    <t>ТЕРм39-01-003-46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</si>
  <si>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20 мм</t>
  </si>
  <si>
    <t>ТЕРм39-01-003-47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</si>
  <si>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30 мм</t>
  </si>
  <si>
    <t>ТЕРм39-01-003-48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</si>
  <si>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40 мм</t>
  </si>
  <si>
    <t>ТЕРм39-01-003-49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</si>
  <si>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50 мм</t>
  </si>
  <si>
    <t>ТЕРм39-01-003-50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</si>
  <si>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60 мм</t>
  </si>
  <si>
    <t>ТЕРм39-01-003-51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</si>
  <si>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325 мм, толщина стенки до 70 мм</t>
  </si>
  <si>
    <t>ТЕРм39-01-003-52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</si>
  <si>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10 мм</t>
  </si>
  <si>
    <t>ТЕРм39-01-003-53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</si>
  <si>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20 мм</t>
  </si>
  <si>
    <t>ТЕРм39-01-003-54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</si>
  <si>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30 мм</t>
  </si>
  <si>
    <t>ТЕРм39-01-003-55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</si>
  <si>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40 мм</t>
  </si>
  <si>
    <t>ТЕРм39-01-003-56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</si>
  <si>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50 мм</t>
  </si>
  <si>
    <t>ТЕРм39-01-003-57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</si>
  <si>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60 мм</t>
  </si>
  <si>
    <t>ТЕРм39-01-003-58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</si>
  <si>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377 мм, толщина стенки до 80 мм</t>
  </si>
  <si>
    <t>ТЕРм39-01-003-59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</si>
  <si>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10 мм</t>
  </si>
  <si>
    <t>ТЕРм39-01-003-60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</si>
  <si>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20 мм</t>
  </si>
  <si>
    <t>ТЕРм39-01-003-61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</si>
  <si>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30 мм</t>
  </si>
  <si>
    <t>ТЕРм39-01-003-62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</si>
  <si>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40 мм</t>
  </si>
  <si>
    <t>ТЕРм39-01-003-63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</si>
  <si>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50 мм</t>
  </si>
  <si>
    <t>ТЕРм39-01-003-64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</si>
  <si>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60 мм</t>
  </si>
  <si>
    <t>ТЕРм39-01-003-65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</si>
  <si>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70 мм</t>
  </si>
  <si>
    <t>ТЕРм39-01-003-66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</si>
  <si>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</si>
  <si>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углеродистых и легированных сталей до шероховатости не грубее Rz 80 мкм (V3) без снятия выпуклости (усиления) сварного шва</t>
  </si>
  <si>
    <t>ТЕРм39-01-004-01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</si>
  <si>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10 мм</t>
  </si>
  <si>
    <t>ТЕРм39-01-004-02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</si>
  <si>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20 мм</t>
  </si>
  <si>
    <t>ТЕРм39-01-004-03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</si>
  <si>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30 мм</t>
  </si>
  <si>
    <t>ТЕРм39-01-004-04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</si>
  <si>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40 мм</t>
  </si>
  <si>
    <t>ТЕРм39-01-004-05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</si>
  <si>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50 мм</t>
  </si>
  <si>
    <t>ТЕРм39-01-004-06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</si>
  <si>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60 мм</t>
  </si>
  <si>
    <t>ТЕРм39-01-004-07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</si>
  <si>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70 мм</t>
  </si>
  <si>
    <t>ТЕРм39-01-004-08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</si>
  <si>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465-480 мм, толщина стенки до 90 мм</t>
  </si>
  <si>
    <t>ТЕРм39-01-004-09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</si>
  <si>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10 мм</t>
  </si>
  <si>
    <t>ТЕРм39-01-004-10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</si>
  <si>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20 мм</t>
  </si>
  <si>
    <t>ТЕРм39-01-004-11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</si>
  <si>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30 мм</t>
  </si>
  <si>
    <t>ТЕРм39-01-004-12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</si>
  <si>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40 мм</t>
  </si>
  <si>
    <t>ТЕРм39-01-004-13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</si>
  <si>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50 мм</t>
  </si>
  <si>
    <t>ТЕРм39-01-004-14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</si>
  <si>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60 мм</t>
  </si>
  <si>
    <t>ТЕРм39-01-004-15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</si>
  <si>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70 мм</t>
  </si>
  <si>
    <t>ТЕРм39-01-004-16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</si>
  <si>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500-560 мм, толщина стенки до 90 мм</t>
  </si>
  <si>
    <t>ТЕРм39-01-004-17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</si>
  <si>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10 мм</t>
  </si>
  <si>
    <t>ТЕРм39-01-004-18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</si>
  <si>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20 мм</t>
  </si>
  <si>
    <t>ТЕРм39-01-004-19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</si>
  <si>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30 мм</t>
  </si>
  <si>
    <t>ТЕРм39-01-004-20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</si>
  <si>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40 мм</t>
  </si>
  <si>
    <t>ТЕРм39-01-004-21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</si>
  <si>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50 мм</t>
  </si>
  <si>
    <t>ТЕРм39-01-004-22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</si>
  <si>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60 мм</t>
  </si>
  <si>
    <t>ТЕРм39-01-004-23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</si>
  <si>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70 мм</t>
  </si>
  <si>
    <t>ТЕРм39-01-004-24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</si>
  <si>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600-630 мм, толщина стенки до 90 мм</t>
  </si>
  <si>
    <t>ТЕРм39-01-004-25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</si>
  <si>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10 мм</t>
  </si>
  <si>
    <t>ТЕРм39-01-004-26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</si>
  <si>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20 мм</t>
  </si>
  <si>
    <t>ТЕРм39-01-004-27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</si>
  <si>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30 мм</t>
  </si>
  <si>
    <t>ТЕРм39-01-004-28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</si>
  <si>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40 мм</t>
  </si>
  <si>
    <t>ТЕРм39-01-004-29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</si>
  <si>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50 мм</t>
  </si>
  <si>
    <t>ТЕРм39-01-004-30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</si>
  <si>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60 мм</t>
  </si>
  <si>
    <t>ТЕРм39-01-004-31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</si>
  <si>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70 мм</t>
  </si>
  <si>
    <t>ТЕРм39-01-004-32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</si>
  <si>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720 мм, толщина стенки до 90 мм</t>
  </si>
  <si>
    <t>ТЕРм39-01-004-33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</si>
  <si>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10 мм</t>
  </si>
  <si>
    <t>ТЕРм39-01-004-34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</si>
  <si>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20 мм</t>
  </si>
  <si>
    <t>ТЕРм39-01-004-35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</si>
  <si>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30 мм</t>
  </si>
  <si>
    <t>ТЕРм39-01-004-36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</si>
  <si>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40 мм</t>
  </si>
  <si>
    <t>ТЕРм39-01-004-37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</si>
  <si>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50 мм</t>
  </si>
  <si>
    <t>ТЕРм39-01-004-38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</si>
  <si>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60 мм</t>
  </si>
  <si>
    <t>ТЕРм39-01-004-39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</si>
  <si>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70 мм</t>
  </si>
  <si>
    <t>ТЕРм39-01-004-40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</si>
  <si>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820-860 мм, толщина стенки до 80 мм</t>
  </si>
  <si>
    <t>ТЕРм39-01-004-41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</si>
  <si>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10 мм</t>
  </si>
  <si>
    <t>ТЕРм39-01-004-42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</si>
  <si>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20 мм</t>
  </si>
  <si>
    <t>ТЕРм39-01-004-43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</si>
  <si>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30 мм</t>
  </si>
  <si>
    <t>ТЕРм39-01-004-44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</si>
  <si>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40 мм</t>
  </si>
  <si>
    <t>ТЕРм39-01-004-45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</si>
  <si>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50 мм</t>
  </si>
  <si>
    <t>ТЕРм39-01-004-46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</si>
  <si>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60 мм</t>
  </si>
  <si>
    <t>ТЕРм39-01-004-47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</si>
  <si>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920-980 мм, толщина стенки до 70 мм</t>
  </si>
  <si>
    <t>ТЕРм39-01-004-48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</si>
  <si>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1020-1220 мм, толщина стенки до 10 мм</t>
  </si>
  <si>
    <t>ТЕРм39-01-004-49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</si>
  <si>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1020-1220 мм, толщина стенки до 20 мм</t>
  </si>
  <si>
    <t>ТЕРм39-01-004-50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</si>
  <si>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1020-1220 мм, толщина стенки до 30 мм</t>
  </si>
  <si>
    <t>ТЕРм39-01-004-51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</si>
  <si>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1020-1220 мм, толщина стенки до 40 мм</t>
  </si>
  <si>
    <t>ТЕРм39-01-004-52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</si>
  <si>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1420 мм, толщина стенки до 10 мм</t>
  </si>
  <si>
    <t>ТЕРм39-01-004-53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</si>
  <si>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1420 мм, толщина стенки до 20 мм</t>
  </si>
  <si>
    <t>ТЕРм39-01-004-54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</si>
  <si>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1620 мм, толщина стенки до 10 мм</t>
  </si>
  <si>
    <t>ТЕРм39-01-004-55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</si>
  <si>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1620 мм, толщина стенки до 20 мм</t>
  </si>
  <si>
    <t>ТЕРм39-01-004-56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</si>
  <si>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1840 мм, толщина стенки до 10 мм</t>
  </si>
  <si>
    <t>ТЕРм39-01-004-57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</si>
  <si>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1840 мм, толщина стенки до 20 мм</t>
  </si>
  <si>
    <t>ТЕРм39-01-004-58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</si>
  <si>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2020 мм, толщина стенки до 10 мм</t>
  </si>
  <si>
    <t>ТЕРм39-01-004-59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</si>
  <si>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</si>
  <si>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40 мкм (V4) без снятия выпуклости (усиления) сварного шва</t>
  </si>
  <si>
    <t>ТЕРм39-01-005-01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</si>
  <si>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22 мм, толщина стенок до 3 мм</t>
  </si>
  <si>
    <t>ТЕРм39-01-005-02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</si>
  <si>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22 мм, толщина стенок до 6 мм</t>
  </si>
  <si>
    <t>ТЕРм39-01-005-03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</si>
  <si>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25-36 мм, толщина стенки до 4 мм</t>
  </si>
  <si>
    <t>ТЕРм39-01-005-04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</si>
  <si>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25-36 мм, толщина стенки до 8 мм</t>
  </si>
  <si>
    <t>ТЕРм39-01-005-05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</si>
  <si>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4 мм</t>
  </si>
  <si>
    <t>ТЕРм39-01-005-06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</si>
  <si>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8 мм</t>
  </si>
  <si>
    <t>ТЕРм39-01-005-07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</si>
  <si>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12 мм</t>
  </si>
  <si>
    <t>ТЕРм39-01-005-08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</si>
  <si>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4 мм</t>
  </si>
  <si>
    <t>ТЕРм39-01-005-09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</si>
  <si>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8 мм</t>
  </si>
  <si>
    <t>ТЕРм39-01-005-10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</si>
  <si>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14 мм</t>
  </si>
  <si>
    <t>ТЕРм39-01-005-11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</si>
  <si>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6 мм</t>
  </si>
  <si>
    <t>ТЕРм39-01-005-12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</si>
  <si>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10 мм</t>
  </si>
  <si>
    <t>ТЕРм39-01-005-13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</si>
  <si>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20 мм</t>
  </si>
  <si>
    <t>ТЕРм39-01-005-14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</si>
  <si>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102-114 мм, толщина стенки до 6 мм</t>
  </si>
  <si>
    <t>ТЕРм39-01-005-15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</si>
  <si>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102-114 мм, толщина стенки до 10 мм</t>
  </si>
  <si>
    <t>ТЕРм39-01-005-16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</si>
  <si>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102-114 мм, толщина стенки до 20 мм</t>
  </si>
  <si>
    <t>ТЕРм39-01-005-17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</si>
  <si>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102-114 мм, толщина стенки до 28 мм</t>
  </si>
  <si>
    <t>ТЕРм39-01-005-18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</si>
  <si>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121-133 мм, толщина стенки до 6 мм</t>
  </si>
  <si>
    <t>ТЕРм39-01-005-19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</si>
  <si>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121-133 мм, толщина стенки до 10 мм</t>
  </si>
  <si>
    <t>ТЕРм39-01-005-20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</si>
  <si>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121-133 мм, толщина стенки до 20 мм</t>
  </si>
  <si>
    <t>ТЕРм39-01-005-21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</si>
  <si>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121-133 мм, толщина стенки до 36 мм</t>
  </si>
  <si>
    <t>ТЕРм39-01-005-22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</si>
  <si>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159-194 мм, толщина стенки до 6 мм</t>
  </si>
  <si>
    <t>ТЕРм39-01-005-23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</si>
  <si>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159-194 мм, толщина стенки до 10 мм</t>
  </si>
  <si>
    <t>ТЕРм39-01-005-24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</si>
  <si>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159-194 мм, толщина стенки до 20 мм</t>
  </si>
  <si>
    <t>ТЕРм39-01-005-25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</si>
  <si>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159-194 мм, толщина стенки до 30 мм</t>
  </si>
  <si>
    <t>ТЕРм39-01-005-26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</si>
  <si>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159-194 мм, толщина стенки до 45 мм</t>
  </si>
  <si>
    <t>ТЕРм39-01-005-27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</si>
  <si>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6 мм</t>
  </si>
  <si>
    <t>ТЕРм39-01-005-28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</si>
  <si>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10 мм</t>
  </si>
  <si>
    <t>ТЕРм39-01-005-29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</si>
  <si>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20 мм</t>
  </si>
  <si>
    <t>ТЕРм39-01-005-30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</si>
  <si>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30 мм</t>
  </si>
  <si>
    <t>ТЕРм39-01-005-31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</si>
  <si>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40 мм</t>
  </si>
  <si>
    <t>ТЕРм39-01-005-32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</si>
  <si>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50 мм</t>
  </si>
  <si>
    <t>ТЕРм39-01-005-33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</si>
  <si>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60 мм</t>
  </si>
  <si>
    <t>ТЕРм39-01-005-34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</si>
  <si>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70 мм</t>
  </si>
  <si>
    <t>ТЕРм39-01-005-35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</si>
  <si>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219-245 мм, толщина стенки до 80 мм</t>
  </si>
  <si>
    <t>ТЕРм39-01-005-36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</si>
  <si>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6 мм</t>
  </si>
  <si>
    <t>ТЕРм39-01-005-37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</si>
  <si>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10 мм</t>
  </si>
  <si>
    <t>ТЕРм39-01-005-38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</si>
  <si>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20 мм</t>
  </si>
  <si>
    <t>ТЕРм39-01-005-39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</si>
  <si>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30 мм</t>
  </si>
  <si>
    <t>ТЕРм39-01-005-40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</si>
  <si>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40 мм</t>
  </si>
  <si>
    <t>ТЕРм39-01-005-41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</si>
  <si>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50 мм</t>
  </si>
  <si>
    <t>ТЕРм39-01-005-42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</si>
  <si>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60 мм</t>
  </si>
  <si>
    <t>ТЕРм39-01-005-43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</si>
  <si>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273-299 мм, толщина стенки до 70 мм</t>
  </si>
  <si>
    <t>ТЕРм39-01-005-44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</si>
  <si>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6 мм</t>
  </si>
  <si>
    <t>ТЕРм39-01-005-45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</si>
  <si>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10 мм</t>
  </si>
  <si>
    <t>ТЕРм39-01-005-46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</si>
  <si>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20 мм</t>
  </si>
  <si>
    <t>ТЕРм39-01-005-47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</si>
  <si>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стенкидо 30 мм</t>
  </si>
  <si>
    <t>ТЕРм39-01-005-48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</si>
  <si>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40 мм</t>
  </si>
  <si>
    <t>ТЕРм39-01-005-49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</si>
  <si>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50 мм</t>
  </si>
  <si>
    <t>ТЕРм39-01-005-50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</si>
  <si>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60 мм</t>
  </si>
  <si>
    <t>ТЕРм39-01-005-51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</si>
  <si>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325 мм, толщина стенки до 70 мм</t>
  </si>
  <si>
    <t>ТЕРм39-01-005-52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</si>
  <si>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10 мм</t>
  </si>
  <si>
    <t>ТЕРм39-01-005-53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</si>
  <si>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20 мм</t>
  </si>
  <si>
    <t>ТЕРм39-01-005-54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</si>
  <si>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30 мм</t>
  </si>
  <si>
    <t>ТЕРм39-01-005-55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</si>
  <si>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40 мм</t>
  </si>
  <si>
    <t>ТЕРм39-01-005-56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</si>
  <si>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50 мм</t>
  </si>
  <si>
    <t>ТЕРм39-01-005-57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</si>
  <si>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60 мм</t>
  </si>
  <si>
    <t>ТЕРм39-01-005-58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</si>
  <si>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377 мм, толщина стенки до 80 мм</t>
  </si>
  <si>
    <t>ТЕРм39-01-005-59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</si>
  <si>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10 мм</t>
  </si>
  <si>
    <t>ТЕРм39-01-005-60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</si>
  <si>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20 мм</t>
  </si>
  <si>
    <t>ТЕРм39-01-005-61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</si>
  <si>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30 мм</t>
  </si>
  <si>
    <t>ТЕРм39-01-005-62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</si>
  <si>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40 мм</t>
  </si>
  <si>
    <t>ТЕРм39-01-005-63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</si>
  <si>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50 мм</t>
  </si>
  <si>
    <t>ТЕРм39-01-005-64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</si>
  <si>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60 мм</t>
  </si>
  <si>
    <t>ТЕРм39-01-005-65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</si>
  <si>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70 мм</t>
  </si>
  <si>
    <t>ТЕРм39-01-005-66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</si>
  <si>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</si>
  <si>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углеродистых и легированных сталей до шероховатости не грубее Rz 40 мкм (V 4) без снятия выпуклости (усиления) сварного шва</t>
  </si>
  <si>
    <t>ТЕРм39-01-006-01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</si>
  <si>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10 мм</t>
  </si>
  <si>
    <t>ТЕРм39-01-006-02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</si>
  <si>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20 мм</t>
  </si>
  <si>
    <t>ТЕРм39-01-006-03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</si>
  <si>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30 мм</t>
  </si>
  <si>
    <t>ТЕРм39-01-006-04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</si>
  <si>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40 мм</t>
  </si>
  <si>
    <t>ТЕРм39-01-006-05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</si>
  <si>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50 мм</t>
  </si>
  <si>
    <t>ТЕРм39-01-006-06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</si>
  <si>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60 мм</t>
  </si>
  <si>
    <t>ТЕРм39-01-006-07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</si>
  <si>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70 мм</t>
  </si>
  <si>
    <t>ТЕРм39-01-006-08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</si>
  <si>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465-480 мм, толщина стенки до 90 мм</t>
  </si>
  <si>
    <t>ТЕРм39-01-006-09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</si>
  <si>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10 мм</t>
  </si>
  <si>
    <t>ТЕРм39-01-006-10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</si>
  <si>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20 мм</t>
  </si>
  <si>
    <t>ТЕРм39-01-006-11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</si>
  <si>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30 мм</t>
  </si>
  <si>
    <t>ТЕРм39-01-006-12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</si>
  <si>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40 мм</t>
  </si>
  <si>
    <t>ТЕРм39-01-006-13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</si>
  <si>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50 мм</t>
  </si>
  <si>
    <t>ТЕРм39-01-006-14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</si>
  <si>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60 мм</t>
  </si>
  <si>
    <t>ТЕРм39-01-006-15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</si>
  <si>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70 мм</t>
  </si>
  <si>
    <t>ТЕРм39-01-006-16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</si>
  <si>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500-560 мм, толщина стенки до 90 мм</t>
  </si>
  <si>
    <t>ТЕРм39-01-006-17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</si>
  <si>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10 мм</t>
  </si>
  <si>
    <t>ТЕРм39-01-006-18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</si>
  <si>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20 мм</t>
  </si>
  <si>
    <t>ТЕРм39-01-006-19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</si>
  <si>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30 мм</t>
  </si>
  <si>
    <t>ТЕРм39-01-006-20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</si>
  <si>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40 мм</t>
  </si>
  <si>
    <t>ТЕРм39-01-006-21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</si>
  <si>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50 мм</t>
  </si>
  <si>
    <t>ТЕРм39-01-006-22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</si>
  <si>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60 мм</t>
  </si>
  <si>
    <t>ТЕРм39-01-006-23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</si>
  <si>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70 мм</t>
  </si>
  <si>
    <t>ТЕРм39-01-006-24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</si>
  <si>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600-630 мм, толщина стенки до 90 мм</t>
  </si>
  <si>
    <t>ТЕРм39-01-006-25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</si>
  <si>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10 мм</t>
  </si>
  <si>
    <t>ТЕРм39-01-006-26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</si>
  <si>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20 мм</t>
  </si>
  <si>
    <t>ТЕРм39-01-006-27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</si>
  <si>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30 мм</t>
  </si>
  <si>
    <t>ТЕРм39-01-006-28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</si>
  <si>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40 мм</t>
  </si>
  <si>
    <t>ТЕРм39-01-006-29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</si>
  <si>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50 мм</t>
  </si>
  <si>
    <t>ТЕРм39-01-006-30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</si>
  <si>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60 мм</t>
  </si>
  <si>
    <t>ТЕРм39-01-006-31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</si>
  <si>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70 мм</t>
  </si>
  <si>
    <t>ТЕРм39-01-006-32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</si>
  <si>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720 мм, толщина стенки до 90 мм</t>
  </si>
  <si>
    <t>ТЕРм39-01-006-33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</si>
  <si>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10 мм</t>
  </si>
  <si>
    <t>ТЕРм39-01-006-34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</si>
  <si>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20 мм</t>
  </si>
  <si>
    <t>ТЕРм39-01-006-35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</si>
  <si>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30 мм</t>
  </si>
  <si>
    <t>ТЕРм39-01-006-36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</si>
  <si>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40 мм</t>
  </si>
  <si>
    <t>ТЕРм39-01-006-37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</si>
  <si>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50 мм</t>
  </si>
  <si>
    <t>ТЕРм39-01-006-38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</si>
  <si>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60 мм</t>
  </si>
  <si>
    <t>ТЕРм39-01-006-39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</si>
  <si>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70 мм</t>
  </si>
  <si>
    <t>ТЕРм39-01-006-40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</si>
  <si>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820-860 мм, толщина стенки до 80 мм</t>
  </si>
  <si>
    <t>ТЕРм39-01-006-41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</si>
  <si>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10 мм</t>
  </si>
  <si>
    <t>ТЕРм39-01-006-42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</si>
  <si>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20 мм</t>
  </si>
  <si>
    <t>ТЕРм39-01-006-43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</si>
  <si>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30 мм</t>
  </si>
  <si>
    <t>ТЕРм39-01-006-44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</si>
  <si>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40 мм</t>
  </si>
  <si>
    <t>ТЕРм39-01-006-45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</si>
  <si>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50 мм</t>
  </si>
  <si>
    <t>ТЕРм39-01-006-46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</si>
  <si>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60 мм</t>
  </si>
  <si>
    <t>ТЕРм39-01-006-47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</si>
  <si>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920-980 мм, толщина стенки до 70 мм</t>
  </si>
  <si>
    <t>ТЕРм39-01-006-48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</si>
  <si>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1020-1220 мм, толщина стенки до 10 мм</t>
  </si>
  <si>
    <t>ТЕРм39-01-006-49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</si>
  <si>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1020-1220 мм, толщина стенки до 20 мм</t>
  </si>
  <si>
    <t>ТЕРм39-01-006-50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</si>
  <si>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1020-1220 мм, толщина стенки до 30 мм</t>
  </si>
  <si>
    <t>ТЕРм39-01-006-51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</si>
  <si>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1020-1220 мм, толщина стенки до 40 мм</t>
  </si>
  <si>
    <t>ТЕРм39-01-006-52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</si>
  <si>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1420 мм, толщина стенки до 10 мм</t>
  </si>
  <si>
    <t>ТЕРм39-01-006-53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</si>
  <si>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1420 мм, толщина стенки до 20 мм</t>
  </si>
  <si>
    <t>ТЕРм39-01-006-54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</si>
  <si>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1620 мм, толщина стенки до 10 мм</t>
  </si>
  <si>
    <t>ТЕРм39-01-006-55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</si>
  <si>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1620 мм, толщина стенки до 20 мм</t>
  </si>
  <si>
    <t>ТЕРм39-01-006-56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</si>
  <si>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1840 мм, толщина стенки до 10 мм</t>
  </si>
  <si>
    <t>ТЕРм39-01-006-57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</si>
  <si>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1840 мм, толщина стенки до 20 мм</t>
  </si>
  <si>
    <t>ТЕРм39-01-006-58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</si>
  <si>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2020 мм, толщина стенки до 10 мм</t>
  </si>
  <si>
    <t>ТЕРм39-01-006-59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</si>
  <si>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(N4) без снятия выпуклости (усиления)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</si>
  <si>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20 мкм (V5) без снятия выпуклости (усиления) сварного шва</t>
  </si>
  <si>
    <t>ТЕРм39-01-007-01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</si>
  <si>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22 мм, толщина стенки до 3 мм</t>
  </si>
  <si>
    <t>ТЕРм39-01-007-02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</si>
  <si>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22 мм, толщина стенки до 6 мм</t>
  </si>
  <si>
    <t>ТЕРм39-01-007-03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</si>
  <si>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25-36 мм, толщина стенки до 4 мм</t>
  </si>
  <si>
    <t>ТЕРм39-01-007-04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</si>
  <si>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25-36 мм, толщина стенки до 8 мм</t>
  </si>
  <si>
    <t>ТЕРм39-01-007-05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</si>
  <si>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4 мм</t>
  </si>
  <si>
    <t>ТЕРм39-01-007-06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</si>
  <si>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8 мм</t>
  </si>
  <si>
    <t>ТЕРм39-01-007-07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</si>
  <si>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12 мм</t>
  </si>
  <si>
    <t>ТЕРм39-01-007-08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</si>
  <si>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4 мм</t>
  </si>
  <si>
    <t>ТЕРм39-01-007-09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</si>
  <si>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8 мм</t>
  </si>
  <si>
    <t>ТЕРм39-01-007-10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</si>
  <si>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14 мм</t>
  </si>
  <si>
    <t>ТЕРм39-01-007-11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</si>
  <si>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6 мм</t>
  </si>
  <si>
    <t>ТЕРм39-01-007-12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</si>
  <si>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10 мм</t>
  </si>
  <si>
    <t>ТЕРм39-01-007-13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</si>
  <si>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20 мм</t>
  </si>
  <si>
    <t>ТЕРм39-01-007-14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</si>
  <si>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102-114 мм, толщина стенки до 6 мм</t>
  </si>
  <si>
    <t>ТЕРм39-01-007-15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</si>
  <si>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102-114 мм, толщина стенки до 10 мм</t>
  </si>
  <si>
    <t>ТЕРм39-01-007-16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</si>
  <si>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102-114 мм, толщина стенки до 20 мм</t>
  </si>
  <si>
    <t>ТЕРм39-01-007-17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</si>
  <si>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102-114 мм, толщина стенки до 28 мм</t>
  </si>
  <si>
    <t>ТЕРм39-01-007-18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</si>
  <si>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121-133 мм, толщина стенки до 6 мм</t>
  </si>
  <si>
    <t>ТЕРм39-01-007-19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</si>
  <si>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121-133 мм, толщина стенки до 10 мм</t>
  </si>
  <si>
    <t>ТЕРм39-01-007-20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</si>
  <si>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121-133 мм, толщина стенки до 20 мм</t>
  </si>
  <si>
    <t>ТЕРм39-01-007-21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</si>
  <si>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121-133 мм, толщина стенки до 36 мм</t>
  </si>
  <si>
    <t>ТЕРм39-01-007-22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</si>
  <si>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159-194 мм, толщина стенки до 6 мм</t>
  </si>
  <si>
    <t>ТЕРм39-01-007-23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</si>
  <si>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159-194 мм, толщина стенки до 10 мм</t>
  </si>
  <si>
    <t>ТЕРм39-01-007-24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</si>
  <si>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159-194 мм, толщина стенки до 20 мм</t>
  </si>
  <si>
    <t>ТЕРм39-01-007-25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</si>
  <si>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159-194 мм, толщина стенки до 30 мм</t>
  </si>
  <si>
    <t>ТЕРм39-01-007-26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</si>
  <si>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159-194 мм, толщина стенки до 45 мм</t>
  </si>
  <si>
    <t>ТЕРм39-01-007-27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</si>
  <si>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6 мм</t>
  </si>
  <si>
    <t>ТЕРм39-01-007-28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</si>
  <si>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10 мм</t>
  </si>
  <si>
    <t>ТЕРм39-01-007-29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</si>
  <si>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20 мм</t>
  </si>
  <si>
    <t>ТЕРм39-01-007-30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</si>
  <si>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30 мм</t>
  </si>
  <si>
    <t>ТЕРм39-01-007-31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</si>
  <si>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40 мм</t>
  </si>
  <si>
    <t>ТЕРм39-01-007-32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</si>
  <si>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50 мм</t>
  </si>
  <si>
    <t>ТЕРм39-01-007-33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</si>
  <si>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60 мм</t>
  </si>
  <si>
    <t>ТЕРм39-01-007-34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</si>
  <si>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70 мм</t>
  </si>
  <si>
    <t>ТЕРм39-01-007-35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</si>
  <si>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219-245 мм, толщина стенки до 80 мм</t>
  </si>
  <si>
    <t>ТЕРм39-01-007-36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</si>
  <si>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6 мм</t>
  </si>
  <si>
    <t>ТЕРм39-01-007-37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</si>
  <si>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10 мм</t>
  </si>
  <si>
    <t>ТЕРм39-01-007-38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</si>
  <si>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20 мм</t>
  </si>
  <si>
    <t>ТЕРм39-01-007-39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</si>
  <si>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30 мм</t>
  </si>
  <si>
    <t>ТЕРм39-01-007-40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</si>
  <si>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40 мм</t>
  </si>
  <si>
    <t>ТЕРм39-01-007-41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</si>
  <si>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50 мм</t>
  </si>
  <si>
    <t>ТЕРм39-01-007-42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</si>
  <si>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60 мм</t>
  </si>
  <si>
    <t>ТЕРм39-01-007-43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</si>
  <si>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273-299 мм, толщина стенки до 70 мм</t>
  </si>
  <si>
    <t>ТЕРм39-01-007-44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</si>
  <si>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6 мм</t>
  </si>
  <si>
    <t>ТЕРм39-01-007-45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</si>
  <si>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10 мм</t>
  </si>
  <si>
    <t>ТЕРм39-01-007-46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</si>
  <si>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20 мм</t>
  </si>
  <si>
    <t>ТЕРм39-01-007-47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</si>
  <si>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30 мм</t>
  </si>
  <si>
    <t>ТЕРм39-01-007-48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</si>
  <si>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40 мм</t>
  </si>
  <si>
    <t>ТЕРм39-01-007-49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</si>
  <si>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50 мм</t>
  </si>
  <si>
    <t>ТЕРм39-01-007-50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</si>
  <si>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60 мм</t>
  </si>
  <si>
    <t>ТЕРм39-01-007-51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</si>
  <si>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325 мм, толщина стенки до 70 мм</t>
  </si>
  <si>
    <t>ТЕРм39-01-007-52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</si>
  <si>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10 мм</t>
  </si>
  <si>
    <t>ТЕРм39-01-007-53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</si>
  <si>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20 мм</t>
  </si>
  <si>
    <t>ТЕРм39-01-007-54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</si>
  <si>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30 мм</t>
  </si>
  <si>
    <t>ТЕРм39-01-007-55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</si>
  <si>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40 мм</t>
  </si>
  <si>
    <t>ТЕРм39-01-007-56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</si>
  <si>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50 мм</t>
  </si>
  <si>
    <t>ТЕРм39-01-007-57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</si>
  <si>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60 мм</t>
  </si>
  <si>
    <t>ТЕРм39-01-007-58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</si>
  <si>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377 мм, толщина стенки до 80 мм</t>
  </si>
  <si>
    <t>ТЕРм39-01-007-59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</si>
  <si>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10 мм</t>
  </si>
  <si>
    <t>ТЕРм39-01-007-60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</si>
  <si>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20 мм</t>
  </si>
  <si>
    <t>ТЕРм39-01-007-61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</si>
  <si>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30 мм</t>
  </si>
  <si>
    <t>ТЕРм39-01-007-62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</si>
  <si>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40 мм</t>
  </si>
  <si>
    <t>ТЕРм39-01-007-63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</si>
  <si>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50 мм</t>
  </si>
  <si>
    <t>ТЕРм39-01-007-64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</si>
  <si>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60 мм</t>
  </si>
  <si>
    <t>ТЕРм39-01-007-65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</si>
  <si>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70 мм</t>
  </si>
  <si>
    <t>ТЕРм39-01-007-66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</si>
  <si>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</si>
  <si>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углеродистых и легированных сталей до шероховатости не грубее Rz 20 мкм (V5) без снятия выпуклости (усиления) сварного шва</t>
  </si>
  <si>
    <t>ТЕРм39-01-008-01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</si>
  <si>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10 мм</t>
  </si>
  <si>
    <t>ТЕРм39-01-008-02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</si>
  <si>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20 мм</t>
  </si>
  <si>
    <t>ТЕРм39-01-008-03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</si>
  <si>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30 мм</t>
  </si>
  <si>
    <t>ТЕРм39-01-008-04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</si>
  <si>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40 мм</t>
  </si>
  <si>
    <t>ТЕРм39-01-008-05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</si>
  <si>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50 мм</t>
  </si>
  <si>
    <t>ТЕРм39-01-008-06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</si>
  <si>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60 мм</t>
  </si>
  <si>
    <t>ТЕРм39-01-008-07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</si>
  <si>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70 мм</t>
  </si>
  <si>
    <t>ТЕРм39-01-008-08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</si>
  <si>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465-480 мм, толщина стенки до 90 мм</t>
  </si>
  <si>
    <t>ТЕРм39-01-008-09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</si>
  <si>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10 мм</t>
  </si>
  <si>
    <t>ТЕРм39-01-008-10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</si>
  <si>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20 мм</t>
  </si>
  <si>
    <t>ТЕРм39-01-008-11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</si>
  <si>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30 мм</t>
  </si>
  <si>
    <t>ТЕРм39-01-008-12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</si>
  <si>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40 мм</t>
  </si>
  <si>
    <t>ТЕРм39-01-008-13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</si>
  <si>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50 мм</t>
  </si>
  <si>
    <t>ТЕРм39-01-008-14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</si>
  <si>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60 мм</t>
  </si>
  <si>
    <t>ТЕРм39-01-008-15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</si>
  <si>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70 мм</t>
  </si>
  <si>
    <t>ТЕРм39-01-008-16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</si>
  <si>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500-560 мм, толщина стенки до 90 мм</t>
  </si>
  <si>
    <t>ТЕРм39-01-008-17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</si>
  <si>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10 мм</t>
  </si>
  <si>
    <t>ТЕРм39-01-008-18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</si>
  <si>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20 мм</t>
  </si>
  <si>
    <t>ТЕРм39-01-008-19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</si>
  <si>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30 мм</t>
  </si>
  <si>
    <t>ТЕРм39-01-008-20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</si>
  <si>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40 мм</t>
  </si>
  <si>
    <t>ТЕРм39-01-008-21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</si>
  <si>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50 мм</t>
  </si>
  <si>
    <t>ТЕРм39-01-008-22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</si>
  <si>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60 мм</t>
  </si>
  <si>
    <t>ТЕРм39-01-008-23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</si>
  <si>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70 мм</t>
  </si>
  <si>
    <t>ТЕРм39-01-008-24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</si>
  <si>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600-630 мм, толщина стенки до 90 мм</t>
  </si>
  <si>
    <t>ТЕРм39-01-008-25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</si>
  <si>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10 мм</t>
  </si>
  <si>
    <t>ТЕРм39-01-008-26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</si>
  <si>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20 мм</t>
  </si>
  <si>
    <t>ТЕРм39-01-008-27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</si>
  <si>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30 мм</t>
  </si>
  <si>
    <t>ТЕРм39-01-008-28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</si>
  <si>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40 мм</t>
  </si>
  <si>
    <t>ТЕРм39-01-008-29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</si>
  <si>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50 мм</t>
  </si>
  <si>
    <t>ТЕРм39-01-008-30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</si>
  <si>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60 мм</t>
  </si>
  <si>
    <t>ТЕРм39-01-008-31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</si>
  <si>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70 мм</t>
  </si>
  <si>
    <t>ТЕРм39-01-008-32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</si>
  <si>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720 мм, толщина стенки до 90 мм</t>
  </si>
  <si>
    <t>ТЕРм39-01-008-33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</si>
  <si>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10 мм</t>
  </si>
  <si>
    <t>ТЕРм39-01-008-34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</si>
  <si>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20 мм</t>
  </si>
  <si>
    <t>ТЕРм39-01-008-35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</si>
  <si>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30 мм</t>
  </si>
  <si>
    <t>ТЕРм39-01-008-36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</si>
  <si>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40 мм</t>
  </si>
  <si>
    <t>ТЕРм39-01-008-37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</si>
  <si>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50 мм</t>
  </si>
  <si>
    <t>ТЕРм39-01-008-38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</si>
  <si>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60 мм</t>
  </si>
  <si>
    <t>ТЕРм39-01-008-39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</si>
  <si>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70 мм</t>
  </si>
  <si>
    <t>ТЕРм39-01-008-40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</si>
  <si>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820-860 мм, толщина стенки до 80 мм</t>
  </si>
  <si>
    <t>ТЕРм39-01-008-41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</si>
  <si>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10 мм</t>
  </si>
  <si>
    <t>ТЕРм39-01-008-42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</si>
  <si>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20 мм</t>
  </si>
  <si>
    <t>ТЕРм39-01-008-43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</si>
  <si>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30 мм</t>
  </si>
  <si>
    <t>ТЕРм39-01-008-44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</si>
  <si>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40 мм</t>
  </si>
  <si>
    <t>ТЕРм39-01-008-45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</si>
  <si>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50 мм</t>
  </si>
  <si>
    <t>ТЕРм39-01-008-46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</si>
  <si>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60 мм</t>
  </si>
  <si>
    <t>ТЕРм39-01-008-47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</si>
  <si>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920-980 мм, толщина стенки до 70 мм</t>
  </si>
  <si>
    <t>ТЕРм39-01-008-48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</si>
  <si>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1020-1220 мм, толщина стенки до 10 мм</t>
  </si>
  <si>
    <t>ТЕРм39-01-008-49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</si>
  <si>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1020-1220 мм, толщина стенки до 20 мм</t>
  </si>
  <si>
    <t>ТЕРм39-01-008-50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</si>
  <si>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1020-1220 мм, толщина стенки до 30 мм</t>
  </si>
  <si>
    <t>ТЕРм39-01-008-51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</si>
  <si>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1020-1220 мм, толщина стенки до 40 мм</t>
  </si>
  <si>
    <t>ТЕРм39-01-008-52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</si>
  <si>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1420 мм, толщина стенки до 10 мм</t>
  </si>
  <si>
    <t>ТЕРм39-01-008-53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</si>
  <si>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1420 мм, толщина стенки до 20 мм</t>
  </si>
  <si>
    <t>ТЕРм39-01-008-54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</si>
  <si>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1620 мм, толщина стенки до 10 мм</t>
  </si>
  <si>
    <t>ТЕРм39-01-008-55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</si>
  <si>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1620 мм, толщина стенки до 20 мм</t>
  </si>
  <si>
    <t>ТЕРм39-01-008-56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</si>
  <si>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1840 мм, толщина стенки до 10 мм</t>
  </si>
  <si>
    <t>ТЕРм39-01-008-57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</si>
  <si>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1840 мм, толщина стенки до 20 мм</t>
  </si>
  <si>
    <t>ТЕРм39-01-008-58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</si>
  <si>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2020 мм, толщина стенки до 10 мм</t>
  </si>
  <si>
    <t>ТЕРм39-01-008-59</t>
  </si>
  <si>
    <t>Зачистка механизированная поверхности сварного соединения и околошовной зоны трубопроводов из углеродистой и легированных сталей до шероховатости не грубее Rz 20 мкм (V5) без снятия выпуклости (усиления)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</si>
  <si>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80 мкм (V3) со снятием выпуклости (усиления) сварного шва</t>
  </si>
  <si>
    <t>ТЕРм39-01-009-01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</si>
  <si>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22 мм, толщина стенки до 3 мм</t>
  </si>
  <si>
    <t>ТЕРм39-01-009-02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</si>
  <si>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22 мм, толщина стенки до 6 мм</t>
  </si>
  <si>
    <t>ТЕРм39-01-009-03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</si>
  <si>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25-36 мм, толщина стенки до 4 мм</t>
  </si>
  <si>
    <t>ТЕРм39-01-009-04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</si>
  <si>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25-36 мм, толщина стенки до 8 мм</t>
  </si>
  <si>
    <t>ТЕРм39-01-009-05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</si>
  <si>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4 мм</t>
  </si>
  <si>
    <t>ТЕРм39-01-009-06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</si>
  <si>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8 мм</t>
  </si>
  <si>
    <t>ТЕРм39-01-009-07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</si>
  <si>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12 мм</t>
  </si>
  <si>
    <t>ТЕРм39-01-009-08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</si>
  <si>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4 мм</t>
  </si>
  <si>
    <t>ТЕРм39-01-009-09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</si>
  <si>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8 мм</t>
  </si>
  <si>
    <t>ТЕРм39-01-009-10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</si>
  <si>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14 мм</t>
  </si>
  <si>
    <t>ТЕРм39-01-009-11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</si>
  <si>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6 мм</t>
  </si>
  <si>
    <t>ТЕРм39-01-009-12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</si>
  <si>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10 мм</t>
  </si>
  <si>
    <t>ТЕРм39-01-009-13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</si>
  <si>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20 мм</t>
  </si>
  <si>
    <t>ТЕРм39-01-009-14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</si>
  <si>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102-114 мм, толщина стенки до 6 мм</t>
  </si>
  <si>
    <t>ТЕРм39-01-009-15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</si>
  <si>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102-114 мм, толщина стенки до 10 мм</t>
  </si>
  <si>
    <t>ТЕРм39-01-009-16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</si>
  <si>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102-114 мм, толщина стенки до 20 мм</t>
  </si>
  <si>
    <t>ТЕРм39-01-009-17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</si>
  <si>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102-114 мм, толщина стенки до 28 мм</t>
  </si>
  <si>
    <t>ТЕРм39-01-009-18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</si>
  <si>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121-133 мм, толщина стенки до 6 мм</t>
  </si>
  <si>
    <t>ТЕРм39-01-009-19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</si>
  <si>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121-133 мм, толщина стенки до 10 мм</t>
  </si>
  <si>
    <t>ТЕРм39-01-009-20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</si>
  <si>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121-133 мм, толщина стенки до 20 мм</t>
  </si>
  <si>
    <t>ТЕРм39-01-009-21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</si>
  <si>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121-133 мм, толщина стенки до 36 мм</t>
  </si>
  <si>
    <t>ТЕРм39-01-009-22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</si>
  <si>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159-194 мм, толщина стенки до 6 мм</t>
  </si>
  <si>
    <t>ТЕРм39-01-009-23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</si>
  <si>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159-194 мм, толщина стенки до 10 мм</t>
  </si>
  <si>
    <t>ТЕРм39-01-009-24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</si>
  <si>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159-194 мм, толщина стенки до 20 мм</t>
  </si>
  <si>
    <t>ТЕРм39-01-009-25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</si>
  <si>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159-194 мм, толщина стенки до 30 мм</t>
  </si>
  <si>
    <t>ТЕРм39-01-009-26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</si>
  <si>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159-194 мм, толщина стенки до 45 мм</t>
  </si>
  <si>
    <t>ТЕРм39-01-009-27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</si>
  <si>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6 мм</t>
  </si>
  <si>
    <t>ТЕРм39-01-009-28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</si>
  <si>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10 мм</t>
  </si>
  <si>
    <t>ТЕРм39-01-009-29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</si>
  <si>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20 мм</t>
  </si>
  <si>
    <t>ТЕРм39-01-009-30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</si>
  <si>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30 мм</t>
  </si>
  <si>
    <t>ТЕРм39-01-009-31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</si>
  <si>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40 мм</t>
  </si>
  <si>
    <t>ТЕРм39-01-009-32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</si>
  <si>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50 мм</t>
  </si>
  <si>
    <t>ТЕРм39-01-009-33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</si>
  <si>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60 мм</t>
  </si>
  <si>
    <t>ТЕРм39-01-009-34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</si>
  <si>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70 мм</t>
  </si>
  <si>
    <t>ТЕРм39-01-009-35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</si>
  <si>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219-245 мм, толщина стенки до 80 мм</t>
  </si>
  <si>
    <t>ТЕРм39-01-009-36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</si>
  <si>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6 мм</t>
  </si>
  <si>
    <t>ТЕРм39-01-009-37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</si>
  <si>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10 мм</t>
  </si>
  <si>
    <t>ТЕРм39-01-009-38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</si>
  <si>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20 мм</t>
  </si>
  <si>
    <t>ТЕРм39-01-009-39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</si>
  <si>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30 мм</t>
  </si>
  <si>
    <t>ТЕРм39-01-009-40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</si>
  <si>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40 мм</t>
  </si>
  <si>
    <t>ТЕРм39-01-009-41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</si>
  <si>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50 мм</t>
  </si>
  <si>
    <t>ТЕРм39-01-009-42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</si>
  <si>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60 мм</t>
  </si>
  <si>
    <t>ТЕРм39-01-009-43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</si>
  <si>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273-299 мм, толщина стенки до 70 мм</t>
  </si>
  <si>
    <t>ТЕРм39-01-009-44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</si>
  <si>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6 мм</t>
  </si>
  <si>
    <t>ТЕРм39-01-009-45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</si>
  <si>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10 мм</t>
  </si>
  <si>
    <t>ТЕРм39-01-009-46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</si>
  <si>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20 мм</t>
  </si>
  <si>
    <t>ТЕРм39-01-009-47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</si>
  <si>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30 мм</t>
  </si>
  <si>
    <t>ТЕРм39-01-009-48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</si>
  <si>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40 мм</t>
  </si>
  <si>
    <t>ТЕРм39-01-009-49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</si>
  <si>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50 мм</t>
  </si>
  <si>
    <t>ТЕРм39-01-009-50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</si>
  <si>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60 мм</t>
  </si>
  <si>
    <t>ТЕРм39-01-009-51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</si>
  <si>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325 мм, толщина стенки до 70 мм</t>
  </si>
  <si>
    <t>ТЕРм39-01-009-52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</si>
  <si>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10 мм</t>
  </si>
  <si>
    <t>ТЕРм39-01-009-53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</si>
  <si>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20 мм</t>
  </si>
  <si>
    <t>ТЕРм39-01-009-54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</si>
  <si>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30 мм</t>
  </si>
  <si>
    <t>ТЕРм39-01-009-55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</si>
  <si>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40 мм</t>
  </si>
  <si>
    <t>ТЕРм39-01-009-56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</si>
  <si>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50 мм</t>
  </si>
  <si>
    <t>ТЕРм39-01-009-57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</si>
  <si>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60 мм</t>
  </si>
  <si>
    <t>ТЕРм39-01-009-58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</si>
  <si>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377 мм, толщина стенки до 80 мм</t>
  </si>
  <si>
    <t>ТЕРм39-01-009-59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</si>
  <si>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10 мм</t>
  </si>
  <si>
    <t>ТЕРм39-01-009-60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</si>
  <si>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20 мм</t>
  </si>
  <si>
    <t>ТЕРм39-01-009-61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</si>
  <si>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30 мм</t>
  </si>
  <si>
    <t>ТЕРм39-01-009-62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</si>
  <si>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40 мм</t>
  </si>
  <si>
    <t>ТЕРм39-01-009-63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</si>
  <si>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50 мм</t>
  </si>
  <si>
    <t>ТЕРм39-01-009-64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</si>
  <si>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60 мм</t>
  </si>
  <si>
    <t>ТЕРм39-01-009-65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</si>
  <si>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70 мм</t>
  </si>
  <si>
    <t>ТЕРм39-01-009-66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</si>
  <si>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</si>
  <si>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углеродистых и легированных сталей до шероховатости не грубее Rz 80 мкм (V3) со снятием выпуклости (усиления) сварного шва</t>
  </si>
  <si>
    <t>ТЕРм39-01-010-01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</si>
  <si>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10 мм</t>
  </si>
  <si>
    <t>ТЕРм39-01-010-02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</si>
  <si>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20 мм</t>
  </si>
  <si>
    <t>ТЕРм39-01-010-03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</si>
  <si>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30 мм</t>
  </si>
  <si>
    <t>ТЕРм39-01-010-04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</si>
  <si>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40 мм</t>
  </si>
  <si>
    <t>ТЕРм39-01-010-05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</si>
  <si>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50 мм</t>
  </si>
  <si>
    <t>ТЕРм39-01-010-06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</si>
  <si>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60 мм</t>
  </si>
  <si>
    <t>ТЕРм39-01-010-07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</si>
  <si>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70 мм</t>
  </si>
  <si>
    <t>ТЕРм39-01-010-08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</si>
  <si>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465-480 мм, толщина стенки до 90 мм</t>
  </si>
  <si>
    <t>ТЕРм39-01-010-09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</si>
  <si>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10 мм</t>
  </si>
  <si>
    <t>ТЕРм39-01-010-10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</si>
  <si>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20 мм</t>
  </si>
  <si>
    <t>ТЕРм39-01-010-11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</si>
  <si>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30 мм</t>
  </si>
  <si>
    <t>ТЕРм39-01-010-12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</si>
  <si>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40 мм</t>
  </si>
  <si>
    <t>ТЕРм39-01-010-13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</si>
  <si>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50 мм</t>
  </si>
  <si>
    <t>ТЕРм39-01-010-14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</si>
  <si>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60 мм</t>
  </si>
  <si>
    <t>ТЕРм39-01-010-15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</si>
  <si>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70 мм</t>
  </si>
  <si>
    <t>ТЕРм39-01-010-16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</si>
  <si>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500-560 мм, толщина стенки до 90 мм</t>
  </si>
  <si>
    <t>ТЕРм39-01-010-17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</si>
  <si>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10 мм</t>
  </si>
  <si>
    <t>ТЕРм39-01-010-18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</si>
  <si>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20 мм</t>
  </si>
  <si>
    <t>ТЕРм39-01-010-19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</si>
  <si>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30 мм</t>
  </si>
  <si>
    <t>ТЕРм39-01-010-20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</si>
  <si>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40 мм</t>
  </si>
  <si>
    <t>ТЕРм39-01-010-21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</si>
  <si>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50 мм</t>
  </si>
  <si>
    <t>ТЕРм39-01-010-22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</si>
  <si>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60 мм</t>
  </si>
  <si>
    <t>ТЕРм39-01-010-23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</si>
  <si>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70 мм</t>
  </si>
  <si>
    <t>ТЕРм39-01-010-24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</si>
  <si>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600-630 мм, толщина стенки до 90 мм</t>
  </si>
  <si>
    <t>ТЕРм39-01-010-25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</si>
  <si>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10 мм</t>
  </si>
  <si>
    <t>ТЕРм39-01-010-26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</si>
  <si>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20 мм</t>
  </si>
  <si>
    <t>ТЕРм39-01-010-27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</si>
  <si>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30 мм</t>
  </si>
  <si>
    <t>ТЕРм39-01-010-28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</si>
  <si>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40 мм</t>
  </si>
  <si>
    <t>ТЕРм39-01-010-29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</si>
  <si>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50 мм</t>
  </si>
  <si>
    <t>ТЕРм39-01-010-30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</si>
  <si>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60 мм</t>
  </si>
  <si>
    <t>ТЕРм39-01-010-31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</si>
  <si>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70 мм</t>
  </si>
  <si>
    <t>ТЕРм39-01-010-32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</si>
  <si>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720 мм, толщина стенки до 90 мм</t>
  </si>
  <si>
    <t>ТЕРм39-01-010-33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</si>
  <si>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10 мм</t>
  </si>
  <si>
    <t>ТЕРм39-01-010-34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</si>
  <si>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20 мм</t>
  </si>
  <si>
    <t>ТЕРм39-01-010-35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</si>
  <si>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30 мм</t>
  </si>
  <si>
    <t>ТЕРм39-01-010-36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</si>
  <si>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40 мм</t>
  </si>
  <si>
    <t>ТЕРм39-01-010-37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</si>
  <si>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50 мм</t>
  </si>
  <si>
    <t>ТЕРм39-01-010-38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</si>
  <si>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60 мм</t>
  </si>
  <si>
    <t>ТЕРм39-01-010-39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</si>
  <si>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70 мм</t>
  </si>
  <si>
    <t>ТЕРм39-01-010-40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</si>
  <si>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820-860 мм, толщина стенки до 80 мм</t>
  </si>
  <si>
    <t>ТЕРм39-01-010-41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</si>
  <si>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10 мм</t>
  </si>
  <si>
    <t>ТЕРм39-01-010-42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</si>
  <si>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20 мм</t>
  </si>
  <si>
    <t>ТЕРм39-01-010-43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</si>
  <si>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30 мм</t>
  </si>
  <si>
    <t>ТЕРм39-01-010-44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</si>
  <si>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40 мм</t>
  </si>
  <si>
    <t>ТЕРм39-01-010-45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</si>
  <si>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50 мм</t>
  </si>
  <si>
    <t>ТЕРм39-01-010-46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</si>
  <si>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60 мм</t>
  </si>
  <si>
    <t>ТЕРм39-01-010-47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</si>
  <si>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920-980 мм, толщина стенки до 70 мм</t>
  </si>
  <si>
    <t>ТЕРм39-01-010-48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</si>
  <si>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1020-1220 мм, толщина стенки до 10 мм</t>
  </si>
  <si>
    <t>ТЕРм39-01-010-49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</si>
  <si>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1020-1220 мм, толщина стенки до 20 мм</t>
  </si>
  <si>
    <t>ТЕРм39-01-010-50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</si>
  <si>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1020-1220 мм, толщина стенки до 30 мм</t>
  </si>
  <si>
    <t>ТЕРм39-01-010-51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</si>
  <si>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1020-1220 мм, толщина стенки до 40 мм</t>
  </si>
  <si>
    <t>ТЕРм39-01-010-52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</si>
  <si>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1420 мм, толщина стенки до 10 мм</t>
  </si>
  <si>
    <t>ТЕРм39-01-010-53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</si>
  <si>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1420 мм, толщина стенки до 20 мм</t>
  </si>
  <si>
    <t>ТЕРм39-01-010-54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</si>
  <si>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1620 мм, толщина стенки до 10</t>
  </si>
  <si>
    <t>ТЕРм39-01-010-55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</si>
  <si>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1620 мм, толщина стенки до 20</t>
  </si>
  <si>
    <t>ТЕРм39-01-010-56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</si>
  <si>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1840 мм, толщина стенки до 10 мм</t>
  </si>
  <si>
    <t>ТЕРм39-01-010-57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</si>
  <si>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1840 мм, толщина стенки до 20 мм</t>
  </si>
  <si>
    <t>ТЕРм39-01-010-58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</si>
  <si>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2020 мм, толщина стенки до 10 мм</t>
  </si>
  <si>
    <t>ТЕРм39-01-010-59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</si>
  <si>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</si>
  <si>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40 мкм (V4) со снятием выпуклости (усиления) сварного шва</t>
  </si>
  <si>
    <t>ТЕРм39-01-011-01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</si>
  <si>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22 мм, толщина стенки до 3 мм</t>
  </si>
  <si>
    <t>ТЕРм39-01-011-02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</si>
  <si>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22 мм, толщина стенки до 6 мм</t>
  </si>
  <si>
    <t>ТЕРм39-01-011-03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</si>
  <si>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25-36 мм, толщина стенки до 4 мм</t>
  </si>
  <si>
    <t>ТЕРм39-01-011-04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</si>
  <si>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25-36 мм, толщина стенки до 8 мм</t>
  </si>
  <si>
    <t>ТЕРм39-01-011-05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</si>
  <si>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4 мм</t>
  </si>
  <si>
    <t>ТЕРм39-01-011-06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</si>
  <si>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8 мм</t>
  </si>
  <si>
    <t>ТЕРм39-01-011-07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</si>
  <si>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12 мм</t>
  </si>
  <si>
    <t>ТЕРм39-01-011-08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</si>
  <si>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4 мм</t>
  </si>
  <si>
    <t>ТЕРм39-01-011-09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</si>
  <si>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8 мм</t>
  </si>
  <si>
    <t>ТЕРм39-01-011-10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</si>
  <si>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14 мм</t>
  </si>
  <si>
    <t>ТЕРм39-01-011-11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</si>
  <si>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6 мм</t>
  </si>
  <si>
    <t>ТЕРм39-01-011-12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</si>
  <si>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10 мм</t>
  </si>
  <si>
    <t>ТЕРм39-01-011-13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</si>
  <si>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20 мм</t>
  </si>
  <si>
    <t>ТЕРм39-01-011-14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</si>
  <si>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102-114 мм, толщина стенки до 6 мм</t>
  </si>
  <si>
    <t>ТЕРм39-01-011-15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</si>
  <si>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102-114 мм, толщина стенки до 10 мм</t>
  </si>
  <si>
    <t>ТЕРм39-01-011-16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</si>
  <si>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102-114 мм, толщина стенки до 20 мм</t>
  </si>
  <si>
    <t>ТЕРм39-01-011-17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</si>
  <si>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102-114 мм, толщина стенки до 28 мм</t>
  </si>
  <si>
    <t>ТЕРм39-01-011-18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</si>
  <si>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121-133 мм, толщина стенки до 6 мм</t>
  </si>
  <si>
    <t>ТЕРм39-01-011-19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</si>
  <si>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121-133 мм, толщина стенки до 10 мм</t>
  </si>
  <si>
    <t>ТЕРм39-01-011-20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</si>
  <si>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121-133 мм, толщина стенки до 20 мм</t>
  </si>
  <si>
    <t>ТЕРм39-01-011-21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</si>
  <si>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121-133 мм, толщина стенки до 36 мм</t>
  </si>
  <si>
    <t>ТЕРм39-01-011-22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</si>
  <si>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159-194 мм, толщина стенки до 6 мм</t>
  </si>
  <si>
    <t>ТЕРм39-01-011-23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</si>
  <si>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159-194 мм, толщина стенки до 10 мм</t>
  </si>
  <si>
    <t>ТЕРм39-01-011-24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</si>
  <si>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159-194 мм, толщина стенки до 20 мм</t>
  </si>
  <si>
    <t>ТЕРм39-01-011-25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</si>
  <si>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159-194 мм, толщина стенки до 30 мм</t>
  </si>
  <si>
    <t>ТЕРм39-01-011-26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</si>
  <si>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159-194 мм, толщина стенки до 45 мм</t>
  </si>
  <si>
    <t>ТЕРм39-01-011-27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</si>
  <si>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6 мм</t>
  </si>
  <si>
    <t>ТЕРм39-01-011-28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</si>
  <si>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10 мм</t>
  </si>
  <si>
    <t>ТЕРм39-01-011-29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</si>
  <si>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20 мм</t>
  </si>
  <si>
    <t>ТЕРм39-01-011-30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</si>
  <si>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30 мм</t>
  </si>
  <si>
    <t>ТЕРм39-01-011-31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</si>
  <si>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40 мм</t>
  </si>
  <si>
    <t>ТЕРм39-01-011-32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</si>
  <si>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50 мм</t>
  </si>
  <si>
    <t>ТЕРм39-01-011-33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</si>
  <si>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60 мм</t>
  </si>
  <si>
    <t>ТЕРм39-01-011-34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</si>
  <si>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70 мм</t>
  </si>
  <si>
    <t>ТЕРм39-01-011-35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</si>
  <si>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219-245 мм, толщина стенки до 80 мм</t>
  </si>
  <si>
    <t>ТЕРм39-01-011-36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</si>
  <si>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6 мм</t>
  </si>
  <si>
    <t>ТЕРм39-01-011-37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</si>
  <si>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10 мм</t>
  </si>
  <si>
    <t>ТЕРм39-01-011-38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</si>
  <si>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20 мм</t>
  </si>
  <si>
    <t>ТЕРм39-01-011-39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</si>
  <si>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30 мм</t>
  </si>
  <si>
    <t>ТЕРм39-01-011-40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</si>
  <si>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40 мм</t>
  </si>
  <si>
    <t>ТЕРм39-01-011-41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</si>
  <si>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50 мм</t>
  </si>
  <si>
    <t>ТЕРм39-01-011-42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</si>
  <si>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60 мм</t>
  </si>
  <si>
    <t>ТЕРм39-01-011-43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</si>
  <si>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273-299 мм, толщина стенки до 70 мм</t>
  </si>
  <si>
    <t>ТЕРм39-01-011-44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</si>
  <si>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6 мм</t>
  </si>
  <si>
    <t>ТЕРм39-01-011-45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</si>
  <si>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10 мм</t>
  </si>
  <si>
    <t>ТЕРм39-01-011-46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</si>
  <si>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20 мм</t>
  </si>
  <si>
    <t>ТЕРм39-01-011-47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</si>
  <si>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30 мм</t>
  </si>
  <si>
    <t>ТЕРм39-01-011-48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</si>
  <si>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40 мм</t>
  </si>
  <si>
    <t>ТЕРм39-01-011-49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</si>
  <si>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50 мм</t>
  </si>
  <si>
    <t>ТЕРм39-01-011-50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</si>
  <si>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60 мм</t>
  </si>
  <si>
    <t>ТЕРм39-01-011-51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</si>
  <si>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325 мм, толщина стенки до 70 мм</t>
  </si>
  <si>
    <t>ТЕРм39-01-011-52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</si>
  <si>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10 мм</t>
  </si>
  <si>
    <t>ТЕРм39-01-011-53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</si>
  <si>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20 мм</t>
  </si>
  <si>
    <t>ТЕРм39-01-011-54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</si>
  <si>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30 мм</t>
  </si>
  <si>
    <t>ТЕРм39-01-011-55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</si>
  <si>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40 мм</t>
  </si>
  <si>
    <t>ТЕРм39-01-011-56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</si>
  <si>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50 мм</t>
  </si>
  <si>
    <t>ТЕРм39-01-011-57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</si>
  <si>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60 мм</t>
  </si>
  <si>
    <t>ТЕРм39-01-011-58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</si>
  <si>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377 мм, толщина стенки до 80 мм</t>
  </si>
  <si>
    <t>ТЕРм39-01-011-59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</si>
  <si>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10 мм</t>
  </si>
  <si>
    <t>ТЕРм39-01-011-60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</si>
  <si>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20 мм</t>
  </si>
  <si>
    <t>ТЕРм39-01-011-61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</si>
  <si>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30 мм</t>
  </si>
  <si>
    <t>ТЕРм39-01-011-62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</si>
  <si>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40 мм</t>
  </si>
  <si>
    <t>ТЕРм39-01-011-63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</si>
  <si>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50 мм</t>
  </si>
  <si>
    <t>ТЕРм39-01-011-64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</si>
  <si>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60 мм</t>
  </si>
  <si>
    <t>ТЕРм39-01-011-65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</si>
  <si>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70 мм</t>
  </si>
  <si>
    <t>ТЕРм39-01-011-66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</si>
  <si>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</si>
  <si>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углеродистой и легированной сталей до шероховатости не грубее Rz 40 мкм (V4) со снятием выпуклости (усиления) сварного шва</t>
  </si>
  <si>
    <t>ТЕРм39-01-012-01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</si>
  <si>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10 мм</t>
  </si>
  <si>
    <t>ТЕРм39-01-012-02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</si>
  <si>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20 мм</t>
  </si>
  <si>
    <t>ТЕРм39-01-012-03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</si>
  <si>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30 мм</t>
  </si>
  <si>
    <t>ТЕРм39-01-012-04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</si>
  <si>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40 мм</t>
  </si>
  <si>
    <t>ТЕРм39-01-012-05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</si>
  <si>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50 мм</t>
  </si>
  <si>
    <t>ТЕРм39-01-012-06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</si>
  <si>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60 мм</t>
  </si>
  <si>
    <t>ТЕРм39-01-012-07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</si>
  <si>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70 мм</t>
  </si>
  <si>
    <t>ТЕРм39-01-012-08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</si>
  <si>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465-480 мм, толщина стенки до 90 мм</t>
  </si>
  <si>
    <t>ТЕРм39-01-012-09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</si>
  <si>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10 мм</t>
  </si>
  <si>
    <t>ТЕРм39-01-012-10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</si>
  <si>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20 мм</t>
  </si>
  <si>
    <t>ТЕРм39-01-012-11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</si>
  <si>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30 мм</t>
  </si>
  <si>
    <t>ТЕРм39-01-012-12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</si>
  <si>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40 мм</t>
  </si>
  <si>
    <t>ТЕРм39-01-012-13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</si>
  <si>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50 мм</t>
  </si>
  <si>
    <t>ТЕРм39-01-012-14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</si>
  <si>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60 мм</t>
  </si>
  <si>
    <t>ТЕРм39-01-012-15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</si>
  <si>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70 мм</t>
  </si>
  <si>
    <t>ТЕРм39-01-012-16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</si>
  <si>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500-560 мм, толщина стенки до 90 мм</t>
  </si>
  <si>
    <t>ТЕРм39-01-012-17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</si>
  <si>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10 мм</t>
  </si>
  <si>
    <t>ТЕРм39-01-012-18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</si>
  <si>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20 мм</t>
  </si>
  <si>
    <t>ТЕРм39-01-012-19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</si>
  <si>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30 мм</t>
  </si>
  <si>
    <t>ТЕРм39-01-012-20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</si>
  <si>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40 мм</t>
  </si>
  <si>
    <t>ТЕРм39-01-012-21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</si>
  <si>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50 мм</t>
  </si>
  <si>
    <t>ТЕРм39-01-012-22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</si>
  <si>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60 мм</t>
  </si>
  <si>
    <t>ТЕРм39-01-012-23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</si>
  <si>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70 мм</t>
  </si>
  <si>
    <t>ТЕРм39-01-012-24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</si>
  <si>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600-630 мм, толщина стенки до 90 мм</t>
  </si>
  <si>
    <t>ТЕРм39-01-012-25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</si>
  <si>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10 мм</t>
  </si>
  <si>
    <t>ТЕРм39-01-012-26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</si>
  <si>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20 мм</t>
  </si>
  <si>
    <t>ТЕРм39-01-012-27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</si>
  <si>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30 мм</t>
  </si>
  <si>
    <t>ТЕРм39-01-012-28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</si>
  <si>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40 мм</t>
  </si>
  <si>
    <t>ТЕРм39-01-012-29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</si>
  <si>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50 мм</t>
  </si>
  <si>
    <t>ТЕРм39-01-012-30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</si>
  <si>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60 мм</t>
  </si>
  <si>
    <t>ТЕРм39-01-012-31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</si>
  <si>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70 мм</t>
  </si>
  <si>
    <t>ТЕРм39-01-012-32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</si>
  <si>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720 мм, толщина стенки до 90 мм</t>
  </si>
  <si>
    <t>ТЕРм39-01-012-33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</si>
  <si>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10 мм</t>
  </si>
  <si>
    <t>ТЕРм39-01-012-34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</si>
  <si>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20 мм</t>
  </si>
  <si>
    <t>ТЕРм39-01-012-35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</si>
  <si>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30 мм</t>
  </si>
  <si>
    <t>ТЕРм39-01-012-36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</si>
  <si>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40 мм</t>
  </si>
  <si>
    <t>ТЕРм39-01-012-37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</si>
  <si>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50 мм</t>
  </si>
  <si>
    <t>ТЕРм39-01-012-38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</si>
  <si>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60 мм</t>
  </si>
  <si>
    <t>ТЕРм39-01-012-39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</si>
  <si>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70 мм</t>
  </si>
  <si>
    <t>ТЕРм39-01-012-40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</si>
  <si>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820-860 мм, толщина стенки до 80 мм</t>
  </si>
  <si>
    <t>ТЕРм39-01-012-41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</si>
  <si>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10 мм</t>
  </si>
  <si>
    <t>ТЕРм39-01-012-42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</si>
  <si>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20 мм</t>
  </si>
  <si>
    <t>ТЕРм39-01-012-43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</si>
  <si>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30 мм</t>
  </si>
  <si>
    <t>ТЕРм39-01-012-44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</si>
  <si>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40 мм</t>
  </si>
  <si>
    <t>ТЕРм39-01-012-45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</si>
  <si>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50 мм</t>
  </si>
  <si>
    <t>ТЕРм39-01-012-46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</si>
  <si>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60 мм</t>
  </si>
  <si>
    <t>ТЕРм39-01-012-47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</si>
  <si>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920-980 мм, толщина стенки до 70 мм</t>
  </si>
  <si>
    <t>ТЕРм39-01-012-48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</si>
  <si>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1020-1220 мм, толщина стенки до 10 мм</t>
  </si>
  <si>
    <t>ТЕРм39-01-012-49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</si>
  <si>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1020-1220 мм, толщина стенки до 20 мм</t>
  </si>
  <si>
    <t>ТЕРм39-01-012-50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</si>
  <si>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1020-1220 мм, толщина стенки до 30 мм</t>
  </si>
  <si>
    <t>ТЕРм39-01-012-51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</si>
  <si>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1020-1220 мм, толщина стенки до 40 мм</t>
  </si>
  <si>
    <t>ТЕРм39-01-012-52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</si>
  <si>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1420 мм, толщина стенки до 10 мм</t>
  </si>
  <si>
    <t>ТЕРм39-01-012-53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</si>
  <si>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1420 мм, толщина стенки до 20 мм</t>
  </si>
  <si>
    <t>ТЕРм39-01-012-54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</si>
  <si>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1620 мм, толщина стенки до 10 мм</t>
  </si>
  <si>
    <t>ТЕРм39-01-012-55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</si>
  <si>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1620 мм, толщина стенки до 20 мм</t>
  </si>
  <si>
    <t>ТЕРм39-01-012-56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</si>
  <si>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1840 мм, толщина стенки до 10 мм</t>
  </si>
  <si>
    <t>ТЕРм39-01-012-57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</si>
  <si>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1840 мм, толщина стенки до 20 мм</t>
  </si>
  <si>
    <t>ТЕРм39-01-012-58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</si>
  <si>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2020 мм, толщина стенки до 10 мм</t>
  </si>
  <si>
    <t>ТЕРм39-01-012-59</t>
  </si>
  <si>
    <t>Зачистка механизированная поверхности сварного соединения и околошовной зоны трубопроводов из углеродистой и легированной сталей до шероховатости не грубее Rz 40 мкм (V4) со снятием выпуклости (уиления)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</si>
  <si>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до 426 мм из углеродистых и легированных сталей до шероховатости не грубее Rz 20 мкм (V5) со снятием выпуклости (усиления) сварного шва</t>
  </si>
  <si>
    <t>ТЕРм39-01-013-01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</si>
  <si>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22 мм, толщина стенки до 3 мм</t>
  </si>
  <si>
    <t>ТЕРм39-01-013-02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</si>
  <si>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22 мм, толщина стенки до 6 мм</t>
  </si>
  <si>
    <t>ТЕРм39-01-013-03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</si>
  <si>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25-36 мм, толщина стенки до 4 мм</t>
  </si>
  <si>
    <t>ТЕРм39-01-013-04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</si>
  <si>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25-36 мм, толщина стенки до 8 мм</t>
  </si>
  <si>
    <t>ТЕРм39-01-013-05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</si>
  <si>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38-48 мм, толщина стенки до 4 мм</t>
  </si>
  <si>
    <t>ТЕРм39-01-013-06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</si>
  <si>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38-48 мм, толщина стенки до 8 мм</t>
  </si>
  <si>
    <t>ТЕРм39-01-013-07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</si>
  <si>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38-48 мм, толщина стенки до 12 мм</t>
  </si>
  <si>
    <t>ТЕРм39-01-013-08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</si>
  <si>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50-63 мм, толщина стенки до 4 мм</t>
  </si>
  <si>
    <t>ТЕРм39-01-013-09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</si>
  <si>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50-63 мм, толщина стенки до 8 мм</t>
  </si>
  <si>
    <t>ТЕРм39-01-013-10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</si>
  <si>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50-63 мм, толщина стенки до 14 мм</t>
  </si>
  <si>
    <t>ТЕРм39-01-013-11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</si>
  <si>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70-89 мм, толщина стенки до 6 мм</t>
  </si>
  <si>
    <t>ТЕРм39-01-013-12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</si>
  <si>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70-89 мм, толщина стенки до 10 мм</t>
  </si>
  <si>
    <t>ТЕРм39-01-013-13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</si>
  <si>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70-89 мм, толщина стенки до 20 мм</t>
  </si>
  <si>
    <t>ТЕРм39-01-013-14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</si>
  <si>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102-114 мм, толщина стенки до 6 мм</t>
  </si>
  <si>
    <t>ТЕРм39-01-013-15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</si>
  <si>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102-114 мм, толщина стенки до 10 мм</t>
  </si>
  <si>
    <t>ТЕРм39-01-013-16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</si>
  <si>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102-114 мм, толщина стенки до 20 мм</t>
  </si>
  <si>
    <t>ТЕРм39-01-013-17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</si>
  <si>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102-114 мм, толщина стенки до 28 мм</t>
  </si>
  <si>
    <t>ТЕРм39-01-013-18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</si>
  <si>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121-133 мм, толщина стенки до 6 мм</t>
  </si>
  <si>
    <t>ТЕРм39-01-013-19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</si>
  <si>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121-133 мм, толщина стенки до 10 мм</t>
  </si>
  <si>
    <t>ТЕРм39-01-013-20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</si>
  <si>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121-133 мм, толщина стенки до 20 мм</t>
  </si>
  <si>
    <t>ТЕРм39-01-013-21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</si>
  <si>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121-133 мм, толщина стенки до 36 мм</t>
  </si>
  <si>
    <t>ТЕРм39-01-013-22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</si>
  <si>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159-194 мм, толщина стенки до 6 мм</t>
  </si>
  <si>
    <t>ТЕРм39-01-013-23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</si>
  <si>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159-194 мм, толщина стенки до 10 мм</t>
  </si>
  <si>
    <t>ТЕРм39-01-013-24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</si>
  <si>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159-194 мм, толщина стенки до 20 мм</t>
  </si>
  <si>
    <t>ТЕРм39-01-013-25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</si>
  <si>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159-194 мм, толщина стенки до 30 мм</t>
  </si>
  <si>
    <t>ТЕРм39-01-013-26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</si>
  <si>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159-194 мм, толщина стенки до 45 мм</t>
  </si>
  <si>
    <t>ТЕРм39-01-013-27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</si>
  <si>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6 мм</t>
  </si>
  <si>
    <t>ТЕРм39-01-013-28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</si>
  <si>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10 мм</t>
  </si>
  <si>
    <t>ТЕРм39-01-013-29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</si>
  <si>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20 мм</t>
  </si>
  <si>
    <t>ТЕРм39-01-013-30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</si>
  <si>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30 мм</t>
  </si>
  <si>
    <t>ТЕРм39-01-013-31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</si>
  <si>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40 мм</t>
  </si>
  <si>
    <t>ТЕРм39-01-013-32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</si>
  <si>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50 мм</t>
  </si>
  <si>
    <t>ТЕРм39-01-013-33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</si>
  <si>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60 мм</t>
  </si>
  <si>
    <t>ТЕРм39-01-013-34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</si>
  <si>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70 мм</t>
  </si>
  <si>
    <t>ТЕРм39-01-013-35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</si>
  <si>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219-245 мм, толщина стенки до 80 мм</t>
  </si>
  <si>
    <t>ТЕРм39-01-013-36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</si>
  <si>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6 мм</t>
  </si>
  <si>
    <t>ТЕРм39-01-013-37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</si>
  <si>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10 мм</t>
  </si>
  <si>
    <t>ТЕРм39-01-013-38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</si>
  <si>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20 мм</t>
  </si>
  <si>
    <t>ТЕРм39-01-013-39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</si>
  <si>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30 мм</t>
  </si>
  <si>
    <t>ТЕРм39-01-013-40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</si>
  <si>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40 мм</t>
  </si>
  <si>
    <t>ТЕРм39-01-013-41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</si>
  <si>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50 мм</t>
  </si>
  <si>
    <t>ТЕРм39-01-013-42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</si>
  <si>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60 мм</t>
  </si>
  <si>
    <t>ТЕРм39-01-013-43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</si>
  <si>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273-299 мм, толщина стенки до 70 мм</t>
  </si>
  <si>
    <t>ТЕРм39-01-013-44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</si>
  <si>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6 мм</t>
  </si>
  <si>
    <t>ТЕРм39-01-013-45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</si>
  <si>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10 мм</t>
  </si>
  <si>
    <t>ТЕРм39-01-013-46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</si>
  <si>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20 мм</t>
  </si>
  <si>
    <t>ТЕРм39-01-013-47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</si>
  <si>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30 мм</t>
  </si>
  <si>
    <t>ТЕРм39-01-013-48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</si>
  <si>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40 мм</t>
  </si>
  <si>
    <t>ТЕРм39-01-013-49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</si>
  <si>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50 мм</t>
  </si>
  <si>
    <t>ТЕРм39-01-013-50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</si>
  <si>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60 мм</t>
  </si>
  <si>
    <t>ТЕРм39-01-013-51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</si>
  <si>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325 мм, толщина стенки до 70 мм</t>
  </si>
  <si>
    <t>ТЕРм39-01-013-52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</si>
  <si>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10 мм</t>
  </si>
  <si>
    <t>ТЕРм39-01-013-53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</si>
  <si>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20 мм</t>
  </si>
  <si>
    <t>ТЕРм39-01-013-54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</si>
  <si>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30 мм</t>
  </si>
  <si>
    <t>ТЕРм39-01-013-55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</si>
  <si>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40 мм</t>
  </si>
  <si>
    <t>ТЕРм39-01-013-56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</si>
  <si>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50 мм</t>
  </si>
  <si>
    <t>ТЕРм39-01-013-57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</si>
  <si>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60 мм</t>
  </si>
  <si>
    <t>ТЕРм39-01-013-58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</si>
  <si>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377 мм, толщина стенки до 80 мм</t>
  </si>
  <si>
    <t>ТЕРм39-01-013-59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</si>
  <si>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10 мм</t>
  </si>
  <si>
    <t>ТЕРм39-01-013-60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</si>
  <si>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20 мм</t>
  </si>
  <si>
    <t>ТЕРм39-01-013-61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</si>
  <si>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30 мм</t>
  </si>
  <si>
    <t>ТЕРм39-01-013-62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</si>
  <si>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40 мм</t>
  </si>
  <si>
    <t>ТЕРм39-01-013-63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</si>
  <si>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50 мм</t>
  </si>
  <si>
    <t>ТЕРм39-01-013-64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</si>
  <si>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60 мм</t>
  </si>
  <si>
    <t>ТЕРм39-01-013-65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</si>
  <si>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70 мм</t>
  </si>
  <si>
    <t>ТЕРм39-01-013-66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</si>
  <si>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402-426 мм, толщина стенки до 90 мм</t>
  </si>
  <si>
    <t xml:space="preserve">                                   Зачистка механизированная поверхности сварного соединения и околошовной зоны трубопроводов диаметром 465 мм и выше из углеродистых и легированных сталей до шероховатости не грубее Rz 20 мкм (V5) со снятием выпуклости (усиления) сварного шва</t>
  </si>
  <si>
    <t>ТЕРм39-01-014-01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</si>
  <si>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10 мм</t>
  </si>
  <si>
    <t>ТЕРм39-01-014-02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</si>
  <si>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20 мм</t>
  </si>
  <si>
    <t>ТЕРм39-01-014-03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</si>
  <si>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30 мм</t>
  </si>
  <si>
    <t>ТЕРм39-01-014-04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</si>
  <si>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40 мм</t>
  </si>
  <si>
    <t>ТЕРм39-01-014-05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</si>
  <si>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50 мм</t>
  </si>
  <si>
    <t>ТЕРм39-01-014-06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</si>
  <si>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60 мм</t>
  </si>
  <si>
    <t>ТЕРм39-01-014-07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</si>
  <si>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70 мм</t>
  </si>
  <si>
    <t>ТЕРм39-01-014-08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</si>
  <si>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465-480 мм, толщина стенки до 90 мм</t>
  </si>
  <si>
    <t>ТЕРм39-01-014-09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</si>
  <si>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10 мм</t>
  </si>
  <si>
    <t>ТЕРм39-01-014-10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</si>
  <si>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20 мм</t>
  </si>
  <si>
    <t>ТЕРм39-01-014-11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</si>
  <si>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30 мм</t>
  </si>
  <si>
    <t>ТЕРм39-01-014-12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</si>
  <si>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40 мм</t>
  </si>
  <si>
    <t>ТЕРм39-01-014-13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</si>
  <si>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50 мм</t>
  </si>
  <si>
    <t>ТЕРм39-01-014-14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</si>
  <si>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60 мм</t>
  </si>
  <si>
    <t>ТЕРм39-01-014-15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</si>
  <si>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70 мм</t>
  </si>
  <si>
    <t>ТЕРм39-01-014-16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</si>
  <si>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500-560 мм, толщина стенки до 90 мм</t>
  </si>
  <si>
    <t>ТЕРм39-01-014-17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</si>
  <si>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10 мм</t>
  </si>
  <si>
    <t>ТЕРм39-01-014-18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</si>
  <si>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20 мм</t>
  </si>
  <si>
    <t>ТЕРм39-01-014-19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</si>
  <si>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30 мм</t>
  </si>
  <si>
    <t>ТЕРм39-01-014-20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</si>
  <si>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40 мм</t>
  </si>
  <si>
    <t>ТЕРм39-01-014-21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</si>
  <si>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50 мм</t>
  </si>
  <si>
    <t>ТЕРм39-01-014-22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</si>
  <si>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60 мм</t>
  </si>
  <si>
    <t>ТЕРм39-01-014-23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</si>
  <si>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70 мм</t>
  </si>
  <si>
    <t>ТЕРм39-01-014-24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</si>
  <si>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600-630 мм, толщина стенки до 90 мм</t>
  </si>
  <si>
    <t>ТЕРм39-01-014-25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</si>
  <si>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10 мм</t>
  </si>
  <si>
    <t>ТЕРм39-01-014-26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</si>
  <si>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20 мм</t>
  </si>
  <si>
    <t>ТЕРм39-01-014-27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</si>
  <si>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30 мм</t>
  </si>
  <si>
    <t>ТЕРм39-01-014-28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</si>
  <si>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40 мм</t>
  </si>
  <si>
    <t>ТЕРм39-01-014-29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</si>
  <si>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50 мм</t>
  </si>
  <si>
    <t>ТЕРм39-01-014-30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</si>
  <si>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60 мм</t>
  </si>
  <si>
    <t>ТЕРм39-01-014-31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</si>
  <si>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70 мм</t>
  </si>
  <si>
    <t>ТЕРм39-01-014-32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</si>
  <si>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720 мм, толщина стенки до 90 мм</t>
  </si>
  <si>
    <t>ТЕРм39-01-014-33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</si>
  <si>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10 мм</t>
  </si>
  <si>
    <t>ТЕРм39-01-014-34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</si>
  <si>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20 мм</t>
  </si>
  <si>
    <t>ТЕРм39-01-014-35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</si>
  <si>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30 мм</t>
  </si>
  <si>
    <t>ТЕРм39-01-014-36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</si>
  <si>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40 мм</t>
  </si>
  <si>
    <t>ТЕРм39-01-014-37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</si>
  <si>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50 мм</t>
  </si>
  <si>
    <t>ТЕРм39-01-014-38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</si>
  <si>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60 мм</t>
  </si>
  <si>
    <t>ТЕРм39-01-014-39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</si>
  <si>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70 мм</t>
  </si>
  <si>
    <t>ТЕРм39-01-014-40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</si>
  <si>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820-860 мм, толщина стенки до 80 мм</t>
  </si>
  <si>
    <t>ТЕРм39-01-014-41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</si>
  <si>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10 мм</t>
  </si>
  <si>
    <t>ТЕРм39-01-014-42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</si>
  <si>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20 мм</t>
  </si>
  <si>
    <t>ТЕРм39-01-014-43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</si>
  <si>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30 мм</t>
  </si>
  <si>
    <t>ТЕРм39-01-014-44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</si>
  <si>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40 мм</t>
  </si>
  <si>
    <t>ТЕРм39-01-014-45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</si>
  <si>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50 мм</t>
  </si>
  <si>
    <t>ТЕРм39-01-014-46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</si>
  <si>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60 мм</t>
  </si>
  <si>
    <t>ТЕРм39-01-014-47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</si>
  <si>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920-980 мм, толщина стенки до 70 мм</t>
  </si>
  <si>
    <t>ТЕРм39-01-014-48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</si>
  <si>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1020-1220 мм, толщина стенки до 10 мм</t>
  </si>
  <si>
    <t>ТЕРм39-01-014-49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</si>
  <si>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1020-1220 мм, толщина стенки до 20 мм</t>
  </si>
  <si>
    <t>ТЕРм39-01-014-50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</si>
  <si>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1020-1220 мм, толщина стенки до 30 мм</t>
  </si>
  <si>
    <t>ТЕРм39-01-014-51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</si>
  <si>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1020-1220 мм, толщина стенки до 40 мм</t>
  </si>
  <si>
    <t>ТЕРм39-01-014-52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</si>
  <si>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1420 мм, толщина стенки до 10 мм</t>
  </si>
  <si>
    <t>ТЕРм39-01-014-53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</si>
  <si>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1420 мм, толщина стенки до 20 мм</t>
  </si>
  <si>
    <t>ТЕРм39-01-014-54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</si>
  <si>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1620 мм, толщина стенки до 10 мм</t>
  </si>
  <si>
    <t>ТЕРм39-01-014-55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</si>
  <si>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1620 мм, толщина стенки до 20 мм</t>
  </si>
  <si>
    <t>ТЕРм39-01-014-56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</si>
  <si>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1840 мм, толщина стенки до 10 мм</t>
  </si>
  <si>
    <t>ТЕРм39-01-014-57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</si>
  <si>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1840 мм, толщина стенки до 20 мм</t>
  </si>
  <si>
    <t>ТЕРм39-01-014-58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</si>
  <si>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2020 мм, толщина стенки до 10 мм</t>
  </si>
  <si>
    <t>ТЕРм39-01-014-59</t>
  </si>
  <si>
    <t>Зачистка механизированная поверхности сварного соединения и околошовной зоны трубопроводов из углеродистых и легированных сталей до шероховатости не грубее Rz 20 мкм (V5) со снятием выпуклости (усиления) сварного шва, диаметр трубопровода 2020 мм, толщина стенки до 20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</si>
  <si>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</t>
  </si>
  <si>
    <t>ТЕРм39-01-015-01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</si>
  <si>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22 мм, толщина стенки до 3 мм</t>
  </si>
  <si>
    <t>ТЕРм39-01-015-02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</si>
  <si>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22 мм, толщина стенки до 6 мм</t>
  </si>
  <si>
    <t>ТЕРм39-01-015-03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</si>
  <si>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25-36 мм, толщина стенки до 4 мм</t>
  </si>
  <si>
    <t>ТЕРм39-01-015-04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</si>
  <si>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25-36 мм, толщина стенки до 8 мм</t>
  </si>
  <si>
    <t>ТЕРм39-01-015-05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</si>
  <si>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38-48 мм, толщина стенки до 4 мм</t>
  </si>
  <si>
    <t>ТЕРм39-01-015-06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</si>
  <si>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38-48 мм, толщина стенки до 8 мм</t>
  </si>
  <si>
    <t>ТЕРм39-01-015-07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</si>
  <si>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50-63 мм, толщина стенки до 4 мм</t>
  </si>
  <si>
    <t>ТЕРм39-01-015-08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</si>
  <si>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50-63 мм, толщина стенки до 8 мм</t>
  </si>
  <si>
    <t>ТЕРм39-01-015-09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</si>
  <si>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70-89 мм, толщина стенки до 6 мм</t>
  </si>
  <si>
    <t>ТЕРм39-01-015-10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</si>
  <si>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70-89 мм, толщина стенки до 10 мм</t>
  </si>
  <si>
    <t>ТЕРм39-01-015-11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</si>
  <si>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70-89 мм, толщина стенки до 20 мм</t>
  </si>
  <si>
    <t>ТЕРм39-01-015-12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</si>
  <si>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102-114 мм, толщина стенки до 6 мм</t>
  </si>
  <si>
    <t>ТЕРм39-01-015-13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</si>
  <si>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102-114 мм, толщина стенки до 10 мм</t>
  </si>
  <si>
    <t>ТЕРм39-01-015-14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</si>
  <si>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102-114 мм, толщина стенки до 20 мм</t>
  </si>
  <si>
    <t>ТЕРм39-01-015-15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</si>
  <si>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121-133 мм, толщина стенки до 6 мм</t>
  </si>
  <si>
    <t>ТЕРм39-01-015-16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</si>
  <si>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121-133 мм, толщина стенки до 10 мм</t>
  </si>
  <si>
    <t>ТЕРм39-01-015-17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</si>
  <si>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121-133 мм, толщина стенки до 20 мм</t>
  </si>
  <si>
    <t>ТЕРм39-01-015-18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</si>
  <si>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159-194 мм, толщина стенки до 6 мм</t>
  </si>
  <si>
    <t>ТЕРм39-01-015-19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</si>
  <si>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159-194 мм, толщина стенки до 10 мм</t>
  </si>
  <si>
    <t>ТЕРм39-01-015-20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</si>
  <si>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159-194 мм, толщина стенки до 20 мм</t>
  </si>
  <si>
    <t>ТЕРм39-01-015-21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</si>
  <si>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219-245 мм, толщина стенки до 6 мм</t>
  </si>
  <si>
    <t>ТЕРм39-01-015-22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</si>
  <si>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219-245 мм, толщина стенки до 10 мм</t>
  </si>
  <si>
    <t>ТЕРм39-01-015-23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</si>
  <si>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219-245 мм, толщина стенки до 20 мм</t>
  </si>
  <si>
    <t>ТЕРм39-01-015-24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</si>
  <si>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219-245 мм, толщина стенки до 30 мм</t>
  </si>
  <si>
    <t>ТЕРм39-01-015-25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</si>
  <si>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219-245 мм, толщина стенки до 40 мм</t>
  </si>
  <si>
    <t>ТЕРм39-01-015-26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</si>
  <si>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273-299 мм, толщина стенки до 6 мм</t>
  </si>
  <si>
    <t>ТЕРм39-01-015-27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</si>
  <si>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273-299 мм, толщина стенки до 10 мм</t>
  </si>
  <si>
    <t>ТЕРм39-01-015-28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</si>
  <si>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273-299 мм, толщина стенки до 20 мм</t>
  </si>
  <si>
    <t>ТЕРм39-01-015-29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</si>
  <si>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273-299 мм, толщина стенки до 30 мм</t>
  </si>
  <si>
    <t>ТЕРм39-01-015-30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</si>
  <si>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273-299 мм, толщина стенки до 40 мм</t>
  </si>
  <si>
    <t>ТЕРм39-01-015-31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</si>
  <si>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325 мм, толщина стенки до 6 мм</t>
  </si>
  <si>
    <t>ТЕРм39-01-015-32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</si>
  <si>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325 мм, толщина стенки до 10 мм</t>
  </si>
  <si>
    <t>ТЕРм39-01-015-33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</si>
  <si>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325 мм, толщина стенки до 20 мм</t>
  </si>
  <si>
    <t>ТЕРм39-01-015-34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</si>
  <si>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325 мм, толщина стенки до 30 мм</t>
  </si>
  <si>
    <t>ТЕРм39-01-015-35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</si>
  <si>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325 мм, толщина стенки до 40 мм</t>
  </si>
  <si>
    <t>ТЕРм39-01-015-36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</si>
  <si>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377 мм, толщина стенки до 10 мм</t>
  </si>
  <si>
    <t>ТЕРм39-01-015-37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</si>
  <si>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377 мм, толщина стенки до 20 мм</t>
  </si>
  <si>
    <t>ТЕРм39-01-015-38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</si>
  <si>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377 мм, толщина стенки до 30 мм</t>
  </si>
  <si>
    <t>ТЕРм39-01-015-39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</si>
  <si>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377 мм, толщина стенки до 40 мм</t>
  </si>
  <si>
    <t>ТЕРм39-01-015-40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</si>
  <si>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402-426 мм, толщина стенки до 10 мм</t>
  </si>
  <si>
    <t>ТЕРм39-01-015-41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</si>
  <si>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402-426 мм, толщина стенки до 20 мм</t>
  </si>
  <si>
    <t>ТЕРм39-01-015-42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</si>
  <si>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402-426 мм, толщина стенки до 30 мм</t>
  </si>
  <si>
    <t>ТЕРм39-01-015-43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</si>
  <si>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402-426 мм, толщина стенки до 40 мм</t>
  </si>
  <si>
    <t>ТЕРм39-01-015-44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</si>
  <si>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465-480 мм, толщина стенки до 10 мм</t>
  </si>
  <si>
    <t>ТЕРм39-01-015-45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</si>
  <si>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465-480 мм, толщина стенки до 20 мм</t>
  </si>
  <si>
    <t>ТЕРм39-01-015-46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</si>
  <si>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465-480 мм, толщина стенки до 30 мм</t>
  </si>
  <si>
    <t>ТЕРм39-01-015-47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</si>
  <si>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465-480 мм, толщина стенки до 40 мм</t>
  </si>
  <si>
    <t>ТЕРм39-01-015-48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</si>
  <si>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500-560 мм, толщина стенки до 10 мм</t>
  </si>
  <si>
    <t>ТЕРм39-01-015-49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</si>
  <si>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500-560 мм, толщина стенки до 20 мм</t>
  </si>
  <si>
    <t>ТЕРм39-01-015-50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</si>
  <si>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500-560 мм, толщина стенки до 30 мм</t>
  </si>
  <si>
    <t>ТЕРм39-01-015-51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</si>
  <si>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500-560 мм, толщина стенки до 40 мм</t>
  </si>
  <si>
    <t>ТЕРм39-01-015-52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</si>
  <si>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600-630 мм, толщина стенки до 10 мм</t>
  </si>
  <si>
    <t>ТЕРм39-01-015-53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</si>
  <si>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600-630 мм, толщина стенки до 20 мм</t>
  </si>
  <si>
    <t>ТЕРм39-01-015-54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</si>
  <si>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600-630 мм, толщина стенки до 30 мм</t>
  </si>
  <si>
    <t>ТЕРм39-01-015-55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</si>
  <si>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600-630 мм, толщина стенки до 40 мм</t>
  </si>
  <si>
    <t>ТЕРм39-01-015-56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</si>
  <si>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720 мм, толщина стенки до 10 мм</t>
  </si>
  <si>
    <t>ТЕРм39-01-015-57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</si>
  <si>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820-860 мм, толщина стенки до 10 мм</t>
  </si>
  <si>
    <t>ТЕРм39-01-015-58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</si>
  <si>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920-980 мм, толщина стенки до 10 мм</t>
  </si>
  <si>
    <t>ТЕРм39-01-015-59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</si>
  <si>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без снятия выпуклости (усиления) сварного шва, диаметр трубопровода 1020-1220 мм, толщина стенки до 10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</si>
  <si>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</t>
  </si>
  <si>
    <t>ТЕРм39-01-016-01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</si>
  <si>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22 мм, толщина стенки до 3 мм</t>
  </si>
  <si>
    <t>ТЕРм39-01-016-02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</si>
  <si>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22 мм, толщина стенки до 6 мм</t>
  </si>
  <si>
    <t>ТЕРм39-01-016-03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</si>
  <si>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25-36 мм, толщина стенки до 4 мм</t>
  </si>
  <si>
    <t>ТЕРм39-01-016-04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</si>
  <si>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25-36 мм, толщина стенки до 8 мм</t>
  </si>
  <si>
    <t>ТЕРм39-01-016-05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</si>
  <si>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38-48 мм, толщина стенки до 4 мм</t>
  </si>
  <si>
    <t>ТЕРм39-01-016-06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</si>
  <si>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38-48 мм, толщина стенки до 8 мм</t>
  </si>
  <si>
    <t>ТЕРм39-01-016-07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</si>
  <si>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50-63 мм, толщина стенки до 4 мм</t>
  </si>
  <si>
    <t>ТЕРм39-01-016-08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</si>
  <si>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50-63 мм, толщина стенки до 8 мм</t>
  </si>
  <si>
    <t>ТЕРм39-01-016-09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</si>
  <si>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70-89 мм, толщина стенки до 6 мм</t>
  </si>
  <si>
    <t>ТЕРм39-01-016-10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</si>
  <si>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70-89 мм, толщина стенки до 10 мм</t>
  </si>
  <si>
    <t>ТЕРм39-01-016-11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</si>
  <si>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70-89 мм, толщина стенки до 20 мм</t>
  </si>
  <si>
    <t>ТЕРм39-01-016-12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</si>
  <si>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102-114 мм, толщина стенки до 6 мм</t>
  </si>
  <si>
    <t>ТЕРм39-01-016-13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</si>
  <si>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102-114 мм, толщина стенки до 10 мм</t>
  </si>
  <si>
    <t>ТЕРм39-01-016-14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</si>
  <si>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102-114 мм, толщина стенки до 20 мм</t>
  </si>
  <si>
    <t>ТЕРм39-01-016-15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</si>
  <si>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121-133 мм, толщина стенки до 6 мм</t>
  </si>
  <si>
    <t>ТЕРм39-01-016-16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</si>
  <si>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121-133 мм, толщина стенки до 10 мм</t>
  </si>
  <si>
    <t>ТЕРм39-01-016-17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</si>
  <si>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121-133 мм, толщина стенки до 20 мм</t>
  </si>
  <si>
    <t>ТЕРм39-01-016-18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</si>
  <si>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159-194 мм, толщина стенки до 6 мм</t>
  </si>
  <si>
    <t>ТЕРм39-01-016-19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</si>
  <si>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159-194 мм, толщина стенки до 10 мм</t>
  </si>
  <si>
    <t>ТЕРм39-01-016-20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</si>
  <si>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159-194 мм, толщина стенки до 20 мм</t>
  </si>
  <si>
    <t>ТЕРм39-01-016-21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</si>
  <si>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219-245 мм, толщина стенки до 6 мм</t>
  </si>
  <si>
    <t>ТЕРм39-01-016-22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</si>
  <si>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219-245 мм, толщина стенки до 10 мм</t>
  </si>
  <si>
    <t>ТЕРм39-01-016-23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</si>
  <si>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219-245 мм, толщина стенки до 20 мм</t>
  </si>
  <si>
    <t>ТЕРм39-01-016-24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</si>
  <si>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219-245 мм, толщина стенки до 30 мм</t>
  </si>
  <si>
    <t>ТЕРм39-01-016-25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</si>
  <si>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219-245 мм, толщина стенки до 40 мм</t>
  </si>
  <si>
    <t>ТЕРм39-01-016-26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</si>
  <si>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273-299 мм, толщина стенки до 6 мм</t>
  </si>
  <si>
    <t>ТЕРм39-01-016-27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</si>
  <si>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273-299 мм, толщина стенки до 10 мм</t>
  </si>
  <si>
    <t>ТЕРм39-01-016-28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</si>
  <si>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273-299 мм, толщина стенки до 20 мм</t>
  </si>
  <si>
    <t>ТЕРм39-01-016-29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</si>
  <si>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273-299 мм, толщина стенки до 30 мм</t>
  </si>
  <si>
    <t>ТЕРм39-01-016-30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</si>
  <si>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273-299 мм, толщина стенки до 40 мм</t>
  </si>
  <si>
    <t>ТЕРм39-01-016-31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</si>
  <si>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325 мм, толщина стенки до 6 мм</t>
  </si>
  <si>
    <t>ТЕРм39-01-016-32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</si>
  <si>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325 мм, толщина стенки до 10 мм</t>
  </si>
  <si>
    <t>ТЕРм39-01-016-33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</si>
  <si>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325 мм, толщина стенки до 20 мм</t>
  </si>
  <si>
    <t>ТЕРм39-01-016-34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</si>
  <si>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325 мм, толщина стенки до 30 мм</t>
  </si>
  <si>
    <t>ТЕРм39-01-016-35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</si>
  <si>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325 мм, толщина стенки до 40 мм</t>
  </si>
  <si>
    <t>ТЕРм39-01-016-36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</si>
  <si>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377 мм, толщина стенки до 10 мм</t>
  </si>
  <si>
    <t>ТЕРм39-01-016-37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</si>
  <si>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377 мм, толщина стенки до 20 мм</t>
  </si>
  <si>
    <t>ТЕРм39-01-016-38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</si>
  <si>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377 мм, толщина стенки до 30 мм</t>
  </si>
  <si>
    <t>ТЕРм39-01-016-39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</si>
  <si>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377 мм, толщина стенки до 40 мм</t>
  </si>
  <si>
    <t>ТЕРм39-01-016-40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</si>
  <si>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402-426 мм, толщина стенки до 10 мм</t>
  </si>
  <si>
    <t>ТЕРм39-01-016-41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</si>
  <si>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402-426 мм, толщина стенки до 20 мм</t>
  </si>
  <si>
    <t>ТЕРм39-01-016-42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</si>
  <si>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402-426 мм, толщина стенки до 30 мм</t>
  </si>
  <si>
    <t>ТЕРм39-01-016-43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</si>
  <si>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402-426 мм, толщина стенки до 40 мм</t>
  </si>
  <si>
    <t>ТЕРм39-01-016-44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</si>
  <si>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465-480 мм, толщина стенки до 10 мм</t>
  </si>
  <si>
    <t>ТЕРм39-01-016-45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</si>
  <si>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465-480 мм, толщина стенки до 20 мм</t>
  </si>
  <si>
    <t>ТЕРм39-01-016-46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</si>
  <si>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465-480 мм, толщина стенки до 30 мм</t>
  </si>
  <si>
    <t>ТЕРм39-01-016-47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</si>
  <si>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465-480 мм, толщина стенки до 40 мм</t>
  </si>
  <si>
    <t>ТЕРм39-01-016-48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</si>
  <si>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500-560 мм, толщина стенки до 10 мм</t>
  </si>
  <si>
    <t>ТЕРм39-01-016-49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</si>
  <si>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500-560 мм, толщина стенки до 20 мм</t>
  </si>
  <si>
    <t>ТЕРм39-01-016-50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</si>
  <si>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500-560 мм, толщина стенки до 30 мм</t>
  </si>
  <si>
    <t>ТЕРм39-01-016-51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</si>
  <si>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500-560 мм, толщина стенки до 40 мм</t>
  </si>
  <si>
    <t>ТЕРм39-01-016-52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</si>
  <si>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600-630 мм, толщина стенки до 10 мм</t>
  </si>
  <si>
    <t>ТЕРм39-01-016-53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</si>
  <si>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600-630 мм, толщина стенки до 20 мм</t>
  </si>
  <si>
    <t>ТЕРм39-01-016-54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</si>
  <si>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600-630 мм, толщина стенки до 30 мм</t>
  </si>
  <si>
    <t>ТЕРм39-01-016-55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</si>
  <si>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600-630 мм, толщина стенки до 40 мм</t>
  </si>
  <si>
    <t>ТЕРм39-01-016-56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</si>
  <si>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720 мм, толщина стенки до 10 мм</t>
  </si>
  <si>
    <t>ТЕРм39-01-016-57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</si>
  <si>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820-860 мм, толщина стенки до 10 мм</t>
  </si>
  <si>
    <t>ТЕРм39-01-016-58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</si>
  <si>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920-980 мм, толщина стенки до 10 мм</t>
  </si>
  <si>
    <t>ТЕРм39-01-016-59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</si>
  <si>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без снятия выпуклости (усиления) сварного шва, диаметр трубопровода 1020-1220 мм, толщина стенки до 10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</si>
  <si>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</t>
  </si>
  <si>
    <t>ТЕРм39-01-017-01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</si>
  <si>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22 мм, толщина стенки до 3 мм</t>
  </si>
  <si>
    <t>ТЕРм39-01-017-02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</si>
  <si>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22 мм, толщина стенки до 6 мм</t>
  </si>
  <si>
    <t>ТЕРм39-01-017-03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</si>
  <si>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25-36 мм, толщина стенки до 4 мм</t>
  </si>
  <si>
    <t>ТЕРм39-01-017-04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</si>
  <si>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25-36 мм, толщина стенки до 8 мм</t>
  </si>
  <si>
    <t>ТЕРм39-01-017-05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</si>
  <si>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38-48 мм, толщина стенки до 4 мм</t>
  </si>
  <si>
    <t>ТЕРм39-01-017-06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</si>
  <si>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38-48 мм, толщина стенки до 8 мм</t>
  </si>
  <si>
    <t>ТЕРм39-01-017-07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</si>
  <si>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50-63 мм, толщина стенки до 4 мм</t>
  </si>
  <si>
    <t>ТЕРм39-01-017-08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</si>
  <si>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50-63 мм, толщина стенки до 8 мм</t>
  </si>
  <si>
    <t>ТЕРм39-01-017-09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</si>
  <si>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70-89 мм, толщина стенки до 6 мм</t>
  </si>
  <si>
    <t>ТЕРм39-01-017-10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</si>
  <si>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70-89 мм, толщина стенки до 10 мм</t>
  </si>
  <si>
    <t>ТЕРм39-01-017-11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</si>
  <si>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70-89 мм, толщина стенки до 20 мм</t>
  </si>
  <si>
    <t>ТЕРм39-01-017-12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</si>
  <si>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102-114 мм, толщина стенки до 6 мм</t>
  </si>
  <si>
    <t>ТЕРм39-01-017-13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</si>
  <si>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102-114 мм, толщина стенки до 10 мм</t>
  </si>
  <si>
    <t>ТЕРм39-01-017-14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</si>
  <si>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102-114 мм, толщина стенки до 20 мм</t>
  </si>
  <si>
    <t>ТЕРм39-01-017-15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</si>
  <si>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121-133 мм, толщина стенки до 6 мм</t>
  </si>
  <si>
    <t>ТЕРм39-01-017-16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</si>
  <si>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121-133 мм, толщина стенки до 10 мм</t>
  </si>
  <si>
    <t>ТЕРм39-01-017-17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</si>
  <si>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121-133 мм, толщина стенки до 20 мм</t>
  </si>
  <si>
    <t>ТЕРм39-01-017-18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</si>
  <si>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159-194 мм, толщина стенки до 6 мм</t>
  </si>
  <si>
    <t>ТЕРм39-01-017-19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</si>
  <si>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159-194 мм, толщина стенки до 10 мм</t>
  </si>
  <si>
    <t>ТЕРм39-01-017-20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</si>
  <si>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159-194 мм, толщина стенки до 20 мм</t>
  </si>
  <si>
    <t>ТЕРм39-01-017-21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</si>
  <si>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219-245 мм, толщина стенки до 6 мм</t>
  </si>
  <si>
    <t>ТЕРм39-01-017-22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</si>
  <si>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219-245 мм, толщина стенки до 10 мм</t>
  </si>
  <si>
    <t>ТЕРм39-01-017-23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</si>
  <si>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219-245 мм, толщина стенки до 20 мм</t>
  </si>
  <si>
    <t>ТЕРм39-01-017-24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</si>
  <si>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219-245 мм, толщина стенки до 30 мм</t>
  </si>
  <si>
    <t>ТЕРм39-01-017-25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</si>
  <si>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219-245 мм, толщина стенки до 40 мм</t>
  </si>
  <si>
    <t>ТЕРм39-01-017-26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</si>
  <si>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273-299 мм, толщина стенки до 6 мм</t>
  </si>
  <si>
    <t>ТЕРм39-01-017-27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</si>
  <si>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273-299 мм, толщина стенки до 10 мм</t>
  </si>
  <si>
    <t>ТЕРм39-01-017-28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</si>
  <si>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273-299 мм, толщина стенки до 20 мм</t>
  </si>
  <si>
    <t>ТЕРм39-01-017-29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</si>
  <si>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273-299 мм, толщина стенки до 30 мм</t>
  </si>
  <si>
    <t>ТЕРм39-01-017-30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</si>
  <si>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273-299 мм, толщина стенки до 40 мм</t>
  </si>
  <si>
    <t>ТЕРм39-01-017-31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</si>
  <si>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325 мм, толщина стенки до 6 мм</t>
  </si>
  <si>
    <t>ТЕРм39-01-017-32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</si>
  <si>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325 мм, толщина стенки до 10 мм</t>
  </si>
  <si>
    <t>ТЕРм39-01-017-33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</si>
  <si>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325 мм, толщина стенки до 20 мм</t>
  </si>
  <si>
    <t>ТЕРм39-01-017-34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</si>
  <si>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325 мм, толщина стенки до 30 мм</t>
  </si>
  <si>
    <t>ТЕРм39-01-017-35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</si>
  <si>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325 мм, толщина стенки до 40 мм</t>
  </si>
  <si>
    <t>ТЕРм39-01-017-36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</si>
  <si>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377 мм, толщина стенки до 10 мм</t>
  </si>
  <si>
    <t>ТЕРм39-01-017-37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</si>
  <si>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377 мм, толщина стенки до 20 мм</t>
  </si>
  <si>
    <t>ТЕРм39-01-017-38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</si>
  <si>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377 мм, толщина стенки до 30 мм</t>
  </si>
  <si>
    <t>ТЕРм39-01-017-39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</si>
  <si>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377 мм, толщина стенки до 40 мм</t>
  </si>
  <si>
    <t>ТЕРм39-01-017-40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</si>
  <si>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402-426 мм, толщина стенки до 10 мм</t>
  </si>
  <si>
    <t>ТЕРм39-01-017-41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</si>
  <si>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402-426 мм, толщина стенки до 20 мм</t>
  </si>
  <si>
    <t>ТЕРм39-01-017-42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</si>
  <si>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402-426 мм, толщина стенки до 30 мм</t>
  </si>
  <si>
    <t>ТЕРм39-01-017-43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</si>
  <si>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402-426 мм, толщина стенки до 40 мм</t>
  </si>
  <si>
    <t>ТЕРм39-01-017-44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</si>
  <si>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465-480 мм, толщина стенки до 10 мм</t>
  </si>
  <si>
    <t>ТЕРм39-01-017-45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</si>
  <si>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465-480 мм, толщина стенки до 20 мм</t>
  </si>
  <si>
    <t>ТЕРм39-01-017-46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</si>
  <si>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465-480 мм, толщина стенки до 30 мм</t>
  </si>
  <si>
    <t>ТЕРм39-01-017-47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</si>
  <si>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465-480 мм, толщина стенки до 40 мм</t>
  </si>
  <si>
    <t>ТЕРм39-01-017-48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</si>
  <si>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500-560 мм, толщина стенки до 10 мм</t>
  </si>
  <si>
    <t>ТЕРм39-01-017-49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</si>
  <si>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500-560 мм, толщина стенки до 20 мм</t>
  </si>
  <si>
    <t>ТЕРм39-01-017-50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</si>
  <si>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500-560 мм, толщина стенки до 30 мм</t>
  </si>
  <si>
    <t>ТЕРм39-01-017-51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</si>
  <si>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500-560 мм, толщина стенки до 40 мм</t>
  </si>
  <si>
    <t>ТЕРм39-01-017-52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</si>
  <si>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600-630 мм, толщина стенки до 10 мм</t>
  </si>
  <si>
    <t>ТЕРм39-01-017-53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</si>
  <si>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600-630 мм, толщина стенки до 20 мм</t>
  </si>
  <si>
    <t>ТЕРм39-01-017-54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</si>
  <si>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600-630 мм, толщина стенки до 30 мм</t>
  </si>
  <si>
    <t>ТЕРм39-01-017-55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</si>
  <si>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600-630 мм, толщина стенки до 40 мм</t>
  </si>
  <si>
    <t>ТЕРм39-01-017-56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</si>
  <si>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720 мм, толщина стенки до 10 мм</t>
  </si>
  <si>
    <t>ТЕРм39-01-017-57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</si>
  <si>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820-860 мм, толщина стенки до 10 мм</t>
  </si>
  <si>
    <t>ТЕРм39-01-017-58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</si>
  <si>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920-980 мм, толщина стенки до 10 мм</t>
  </si>
  <si>
    <t>ТЕРм39-01-017-59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</si>
  <si>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без снятия выпуклости (усиления) сварного шва, диаметр трубопровода 1020-1220 мм, толщина стенки до 10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</si>
  <si>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</t>
  </si>
  <si>
    <t>ТЕРм39-01-018-01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</si>
  <si>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22 мм, толщина стенки до 3 мм</t>
  </si>
  <si>
    <t>ТЕРм39-01-018-02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</si>
  <si>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22 мм, толщина стенки до 6 мм</t>
  </si>
  <si>
    <t>ТЕРм39-01-018-03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</si>
  <si>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25-36 мм, толщина стенки до 4 мм</t>
  </si>
  <si>
    <t>ТЕРм39-01-018-04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</si>
  <si>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25-36 мм, толщина стенки до 8 мм</t>
  </si>
  <si>
    <t>ТЕРм39-01-018-05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</si>
  <si>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38-48 мм, толщина стенки до 4 мм</t>
  </si>
  <si>
    <t>ТЕРм39-01-018-06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</si>
  <si>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38-48 мм, толщина стенки до 8 мм</t>
  </si>
  <si>
    <t>ТЕРм39-01-018-07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</si>
  <si>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50-63 мм, толщина стенки до 4 мм</t>
  </si>
  <si>
    <t>ТЕРм39-01-018-08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</si>
  <si>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50-63 мм, толщина стенки до 8 мм</t>
  </si>
  <si>
    <t>ТЕРм39-01-018-09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</si>
  <si>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70-89 мм, толщина стенки до 6 мм</t>
  </si>
  <si>
    <t>ТЕРм39-01-018-10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</si>
  <si>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70-89 мм, толщина стенки до 10 мм</t>
  </si>
  <si>
    <t>ТЕРм39-01-018-11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</si>
  <si>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70-89 мм, толщина стенки до 20 мм</t>
  </si>
  <si>
    <t>ТЕРм39-01-018-12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</si>
  <si>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102-114 мм, толщина стенки до 6 мм</t>
  </si>
  <si>
    <t>ТЕРм39-01-018-13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</si>
  <si>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102-114 мм, толщина стенки до 10 мм</t>
  </si>
  <si>
    <t>ТЕРм39-01-018-14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</si>
  <si>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102-114 мм, толщина стенки до 20 мм</t>
  </si>
  <si>
    <t>ТЕРм39-01-018-15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</si>
  <si>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121-133 мм, толщина стенки до 6 мм</t>
  </si>
  <si>
    <t>ТЕРм39-01-018-16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</si>
  <si>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121-133 мм, толщина стенки до 10 мм</t>
  </si>
  <si>
    <t>ТЕРм39-01-018-17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</si>
  <si>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121-133 мм, толщина стенки до 20 мм</t>
  </si>
  <si>
    <t>ТЕРм39-01-018-18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</si>
  <si>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159-194 мм, толщина стенки до 6 мм</t>
  </si>
  <si>
    <t>ТЕРм39-01-018-19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</si>
  <si>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159-194 мм, толщина стенки до 10 мм</t>
  </si>
  <si>
    <t>ТЕРм39-01-018-20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</si>
  <si>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159-194 мм, толщина стенки до 20 мм</t>
  </si>
  <si>
    <t>ТЕРм39-01-018-21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</si>
  <si>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219-245 мм, толщина стенки до 6 мм</t>
  </si>
  <si>
    <t>ТЕРм39-01-018-22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</si>
  <si>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219-245 мм, толщина стенки до 10 мм</t>
  </si>
  <si>
    <t>ТЕРм39-01-018-23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</si>
  <si>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219-245 мм, толщина стенки до 20 мм</t>
  </si>
  <si>
    <t>ТЕРм39-01-018-24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</si>
  <si>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219-245 мм, толщина стенки до 30 мм</t>
  </si>
  <si>
    <t>ТЕРм39-01-018-25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</si>
  <si>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219-245 мм, толщина стенки до 40 мм</t>
  </si>
  <si>
    <t>ТЕРм39-01-018-26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</si>
  <si>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273-299 мм, толщина стенки до 6 мм</t>
  </si>
  <si>
    <t>ТЕРм39-01-018-27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</si>
  <si>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273-299 мм, толщина стенки до 10 мм</t>
  </si>
  <si>
    <t>ТЕРм39-01-018-28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</si>
  <si>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273-299 мм, толщина стенки до 20 мм</t>
  </si>
  <si>
    <t>ТЕРм39-01-018-29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</si>
  <si>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273-299 мм, толщина стенки до 30 мм</t>
  </si>
  <si>
    <t>ТЕРм39-01-018-30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</si>
  <si>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273-299 мм, толщина стенки до 40 мм</t>
  </si>
  <si>
    <t>ТЕРм39-01-018-31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</si>
  <si>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325 мм, толщина стенки до 6 мм</t>
  </si>
  <si>
    <t>ТЕРм39-01-018-32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</si>
  <si>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325 мм, толщина стенки до 10 мм</t>
  </si>
  <si>
    <t>ТЕРм39-01-018-33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</si>
  <si>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325 мм, толщина стенки до 20 мм</t>
  </si>
  <si>
    <t>ТЕРм39-01-018-34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</si>
  <si>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325 мм, толщина стенки до 30 мм</t>
  </si>
  <si>
    <t>ТЕРм39-01-018-35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</si>
  <si>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325 мм, толщина стенки до 40 мм</t>
  </si>
  <si>
    <t>ТЕРм39-01-018-36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</si>
  <si>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377 мм, толщина стенки до 10 мм</t>
  </si>
  <si>
    <t>ТЕРм39-01-018-37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</si>
  <si>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377 мм, толщина стенки до 20 мм</t>
  </si>
  <si>
    <t>ТЕРм39-01-018-38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</si>
  <si>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377 мм, толщина стенки до 30 мм</t>
  </si>
  <si>
    <t>ТЕРм39-01-018-39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</si>
  <si>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377 мм, толщина стенки до 40 мм</t>
  </si>
  <si>
    <t>ТЕРм39-01-018-40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</si>
  <si>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402-426 мм, толщина стенки до 10 мм</t>
  </si>
  <si>
    <t>ТЕРм39-01-018-41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</si>
  <si>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402-426 мм, толщина стенки до 20 мм</t>
  </si>
  <si>
    <t>ТЕРм39-01-018-42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</si>
  <si>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402-426 мм, толщина стенки до 30 мм</t>
  </si>
  <si>
    <t>ТЕРм39-01-018-43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</si>
  <si>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402-426 мм, толщина стенки до 40 мм</t>
  </si>
  <si>
    <t>ТЕРм39-01-018-44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</si>
  <si>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465-480 мм, толщина стенки до 10 мм</t>
  </si>
  <si>
    <t>ТЕРм39-01-018-45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</si>
  <si>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465-480 мм, толщина стенки до 20 мм</t>
  </si>
  <si>
    <t>ТЕРм39-01-018-46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</si>
  <si>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465-480 мм, толщина стенки до 30 мм</t>
  </si>
  <si>
    <t>ТЕРм39-01-018-47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</si>
  <si>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465-480 мм, толщина стенки до 40 мм</t>
  </si>
  <si>
    <t>ТЕРм39-01-018-48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</si>
  <si>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500-560 мм, толщина стенки до 10 мм</t>
  </si>
  <si>
    <t>ТЕРм39-01-018-49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</si>
  <si>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500-560 мм, толщина стенки до 20 мм</t>
  </si>
  <si>
    <t>ТЕРм39-01-018-50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</si>
  <si>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500-560 мм, толщина стенки до 30 мм</t>
  </si>
  <si>
    <t>ТЕРм39-01-018-51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</si>
  <si>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500-560 мм, толщина стенки до 40 мм</t>
  </si>
  <si>
    <t>ТЕРм39-01-018-52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</si>
  <si>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600-630 мм, толщина стенки до 10 мм</t>
  </si>
  <si>
    <t>ТЕРм39-01-018-53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</si>
  <si>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600-630 мм, толщина стенки до 20 мм</t>
  </si>
  <si>
    <t>ТЕРм39-01-018-54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</si>
  <si>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600-630 мм, толщина стенки до 30 мм</t>
  </si>
  <si>
    <t>ТЕРм39-01-018-55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</si>
  <si>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600-630 мм, толщина стенки до 40 мм</t>
  </si>
  <si>
    <t>ТЕРм39-01-018-56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</si>
  <si>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720 мм, толщина стенки до 10 мм</t>
  </si>
  <si>
    <t>ТЕРм39-01-018-57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</si>
  <si>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820-860 мм, толщина стенки до 10 мм</t>
  </si>
  <si>
    <t>ТЕРм39-01-018-58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</si>
  <si>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920-980 мм, толщина стенки до 10 мм</t>
  </si>
  <si>
    <t>ТЕРм39-01-018-59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</si>
  <si>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80 мкм (V3) со снятием выпуклости (усиления) сварного шва, диаметр трубопровода 1020-1220 мм, толщина стенки до 10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</si>
  <si>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</t>
  </si>
  <si>
    <t>ТЕРм39-01-019-01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</si>
  <si>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22 мм, толщина стенки до 3 мм</t>
  </si>
  <si>
    <t>ТЕРм39-01-019-02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</si>
  <si>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22 мм, толщина стенки до 6 мм</t>
  </si>
  <si>
    <t>ТЕРм39-01-019-03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</si>
  <si>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25-36 мм, толщина стенки до 4 мм</t>
  </si>
  <si>
    <t>ТЕРм39-01-019-04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</si>
  <si>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25-36 мм, толщина стенки до 8 мм</t>
  </si>
  <si>
    <t>ТЕРм39-01-019-05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</si>
  <si>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38-48 мм, толщина стенки до 4 мм</t>
  </si>
  <si>
    <t>ТЕРм39-01-019-06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</si>
  <si>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38-48 мм, толщина стенки до 8 мм</t>
  </si>
  <si>
    <t>ТЕРм39-01-019-07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</si>
  <si>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50-63 мм, толщина стенки до 4 мм</t>
  </si>
  <si>
    <t>ТЕРм39-01-019-08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</si>
  <si>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50-63 мм, толщина стенки до 8 мм</t>
  </si>
  <si>
    <t>ТЕРм39-01-019-09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</si>
  <si>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70-89 мм, толщина стенки до 6 мм</t>
  </si>
  <si>
    <t>ТЕРм39-01-019-10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</si>
  <si>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70-89 мм, толщина стенки до 10 мм</t>
  </si>
  <si>
    <t>ТЕРм39-01-019-11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</si>
  <si>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70-89 мм, толщина стенки до 20 мм</t>
  </si>
  <si>
    <t>ТЕРм39-01-019-12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</si>
  <si>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102-114 мм, толщина стенки до 6 мм</t>
  </si>
  <si>
    <t>ТЕРм39-01-019-13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</si>
  <si>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102-114 мм, толщина стенки до 10 мм</t>
  </si>
  <si>
    <t>ТЕРм39-01-019-14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</si>
  <si>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102-114 мм, толщина стенки до 20 мм</t>
  </si>
  <si>
    <t>ТЕРм39-01-019-15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</si>
  <si>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121-133 мм, толщина стенки до 6 мм</t>
  </si>
  <si>
    <t>ТЕРм39-01-019-16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</si>
  <si>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121-133 мм, толщина стенки до 10 мм</t>
  </si>
  <si>
    <t>ТЕРм39-01-019-17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</si>
  <si>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121-133 мм, толщина стенки до 20 мм</t>
  </si>
  <si>
    <t>ТЕРм39-01-019-18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</si>
  <si>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159-194 мм, толщина стенки до 6 мм</t>
  </si>
  <si>
    <t>ТЕРм39-01-019-19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</si>
  <si>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159-194 мм, толщина стенки до 10 мм</t>
  </si>
  <si>
    <t>ТЕРм39-01-019-20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</si>
  <si>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159-194 мм, толщина стенки до 20 мм</t>
  </si>
  <si>
    <t>ТЕРм39-01-019-21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</si>
  <si>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219-245 мм, толщина стенки до 6 мм</t>
  </si>
  <si>
    <t>ТЕРм39-01-019-22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</si>
  <si>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219-245 мм, толщина стенки до 10 мм</t>
  </si>
  <si>
    <t>ТЕРм39-01-019-23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</si>
  <si>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219-245 мм, толщина стенки до 20 мм</t>
  </si>
  <si>
    <t>ТЕРм39-01-019-24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</si>
  <si>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219-245 мм, толщина стенки до 30 мм</t>
  </si>
  <si>
    <t>ТЕРм39-01-019-25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</si>
  <si>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219-245 мм, толщина стенки до 40 мм</t>
  </si>
  <si>
    <t>ТЕРм39-01-019-26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</si>
  <si>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273-299 мм, толщина стенки до 6 мм</t>
  </si>
  <si>
    <t>ТЕРм39-01-019-27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</si>
  <si>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273-299 мм, толщина стенки до 10 мм</t>
  </si>
  <si>
    <t>ТЕРм39-01-019-28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</si>
  <si>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273-299 мм, толщина стенки до 20 мм</t>
  </si>
  <si>
    <t>ТЕРм39-01-019-29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</si>
  <si>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273-299 мм, толщина стенки до 30 мм</t>
  </si>
  <si>
    <t>ТЕРм39-01-019-30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</si>
  <si>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273-299 мм, толщина стенки до 40 мм</t>
  </si>
  <si>
    <t>ТЕРм39-01-019-31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</si>
  <si>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325 мм, толщина стенки до 6 мм</t>
  </si>
  <si>
    <t>ТЕРм39-01-019-32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</si>
  <si>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325 мм, толщина стенки до 10 мм</t>
  </si>
  <si>
    <t>ТЕРм39-01-019-33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</si>
  <si>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325 мм, толщина стенки до 20 мм</t>
  </si>
  <si>
    <t>ТЕРм39-01-019-34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</si>
  <si>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325 мм, толщина стенки до 30 мм</t>
  </si>
  <si>
    <t>ТЕРм39-01-019-35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</si>
  <si>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325 мм, толщина стенки до 40 мм</t>
  </si>
  <si>
    <t>ТЕРм39-01-019-36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</si>
  <si>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377 мм, толщина стенки до 10 мм</t>
  </si>
  <si>
    <t>ТЕРм39-01-019-37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</si>
  <si>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377 мм, толщина стенки до 20 мм</t>
  </si>
  <si>
    <t>ТЕРм39-01-019-38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</si>
  <si>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377 мм, толщина стенки до 30 мм</t>
  </si>
  <si>
    <t>ТЕРм39-01-019-39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</si>
  <si>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377 мм, толщина стенки до 40 мм</t>
  </si>
  <si>
    <t>ТЕРм39-01-019-40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</si>
  <si>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402-426 мм, толщина стенки до 10 мм</t>
  </si>
  <si>
    <t>ТЕРм39-01-019-41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</si>
  <si>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402-426 мм, толщина стенки до 20 мм</t>
  </si>
  <si>
    <t>ТЕРм39-01-019-42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</si>
  <si>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402-426 мм, толщина стенки до 30 мм</t>
  </si>
  <si>
    <t>ТЕРм39-01-019-43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</si>
  <si>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402-426 мм, толщина стенки до 40 мм</t>
  </si>
  <si>
    <t>ТЕРм39-01-019-44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</si>
  <si>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465-480 мм, толщина стенки до 10 мм</t>
  </si>
  <si>
    <t>ТЕРм39-01-019-45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</si>
  <si>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465-480 мм, толщина стенки до 20 мм</t>
  </si>
  <si>
    <t>ТЕРм39-01-019-46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</si>
  <si>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465-480 мм, толщина стенки до 30 мм</t>
  </si>
  <si>
    <t>ТЕРм39-01-019-47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</si>
  <si>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465-480 мм, толщина стенки до 40 мм</t>
  </si>
  <si>
    <t>ТЕРм39-01-019-48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</si>
  <si>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500-560 мм, толщина стенки до 10</t>
  </si>
  <si>
    <t>ТЕРм39-01-019-49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</si>
  <si>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500-560 мм, толщина стенки до 20</t>
  </si>
  <si>
    <t>ТЕРм39-01-019-50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</si>
  <si>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500-560 мм, толщина стенки до 30</t>
  </si>
  <si>
    <t>ТЕРм39-01-019-51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</si>
  <si>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500-560 мм, толщина стенки до 40</t>
  </si>
  <si>
    <t>ТЕРм39-01-019-52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</si>
  <si>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600-630, толщина стенки до 10 мм</t>
  </si>
  <si>
    <t>ТЕРм39-01-019-53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</si>
  <si>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600-630, толщина стенки до 20 мм</t>
  </si>
  <si>
    <t>ТЕРм39-01-019-54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</si>
  <si>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600-630, толщина стенки до 30 мм</t>
  </si>
  <si>
    <t>ТЕРм39-01-019-55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</si>
  <si>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600-630, толщина стенки до 40 мм</t>
  </si>
  <si>
    <t>ТЕРм39-01-019-56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</si>
  <si>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720 мм, толщина стенки до 10 мм</t>
  </si>
  <si>
    <t>ТЕРм39-01-019-57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</si>
  <si>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820-860 мм, толщина стенки до 10 мм</t>
  </si>
  <si>
    <t>ТЕРм39-01-019-58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</si>
  <si>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920-980 мм, толщина стенки до 10 мм</t>
  </si>
  <si>
    <t>ТЕРм39-01-019-59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</si>
  <si>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40 мкм (V4) со снятием выпуклости (усиления) сварного шва, диаметр трубопровода 1020-1220 мм, толщина стенки до 10 мм</t>
  </si>
  <si>
    <t xml:space="preserve">                                   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</t>
  </si>
  <si>
    <t>ТЕРм39-01-020-01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</si>
  <si>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22 мм, толщина стенки до 3 мм</t>
  </si>
  <si>
    <t>ТЕРм39-01-020-02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</si>
  <si>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22 мм, толщина стенки до 6 мм</t>
  </si>
  <si>
    <t>ТЕРм39-01-020-03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</si>
  <si>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25-36 мм, толщина стенки до 4 мм</t>
  </si>
  <si>
    <t>ТЕРм39-01-020-04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</si>
  <si>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25-36 мм, толщина стенки до 8 мм</t>
  </si>
  <si>
    <t>ТЕРм39-01-020-05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</si>
  <si>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38-48 мм, толщина стенки до 4 мм</t>
  </si>
  <si>
    <t>ТЕРм39-01-020-06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</si>
  <si>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38-48 мм, толщина стенки до 8 мм</t>
  </si>
  <si>
    <t>ТЕРм39-01-020-07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</si>
  <si>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50-63 мм, толщина стенки до 4 мм</t>
  </si>
  <si>
    <t>ТЕРм39-01-020-08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</si>
  <si>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50-63 мм, толщина стенки до 8 мм</t>
  </si>
  <si>
    <t>ТЕРм39-01-020-09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</si>
  <si>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70-89 мм, толщина стенки до 6 мм</t>
  </si>
  <si>
    <t>ТЕРм39-01-020-10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</si>
  <si>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70-89 мм, толщина стенки до 10 мм</t>
  </si>
  <si>
    <t>ТЕРм39-01-020-11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</si>
  <si>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70-89 мм, толщина стенки до 20 мм</t>
  </si>
  <si>
    <t>ТЕРм39-01-020-12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</si>
  <si>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102-114 мм, толщина стенки до 6 мм</t>
  </si>
  <si>
    <t>ТЕРм39-01-020-13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</si>
  <si>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102-114 мм, толщина стенки до 10 мм</t>
  </si>
  <si>
    <t>ТЕРм39-01-020-14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</si>
  <si>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102-114 мм, толщина стенки до 20 мм</t>
  </si>
  <si>
    <t>ТЕРм39-01-020-15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</si>
  <si>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121-133 мм, толщина стенки до 6 мм</t>
  </si>
  <si>
    <t>ТЕРм39-01-020-16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</si>
  <si>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121-133 мм, толщина стенки до 10 мм</t>
  </si>
  <si>
    <t>ТЕРм39-01-020-17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</si>
  <si>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121-133 мм, толщина стенки до 20 мм</t>
  </si>
  <si>
    <t>ТЕРм39-01-020-18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</si>
  <si>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159-194 мм, толщина стенки до 6 мм</t>
  </si>
  <si>
    <t>ТЕРм39-01-020-19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</si>
  <si>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159-194 мм, толщина стенки до 10 мм</t>
  </si>
  <si>
    <t>ТЕРм39-01-020-20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</si>
  <si>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159-194 мм, толщина стенки до 20 мм</t>
  </si>
  <si>
    <t>ТЕРм39-01-020-21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</si>
  <si>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219-245 мм, толщина стенки до 6 мм</t>
  </si>
  <si>
    <t>ТЕРм39-01-020-22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</si>
  <si>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219-245 мм, толщина стенки до 10 мм</t>
  </si>
  <si>
    <t>ТЕРм39-01-020-23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</si>
  <si>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219-245 мм, толщина стенки до 20 мм</t>
  </si>
  <si>
    <t>ТЕРм39-01-020-24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</si>
  <si>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219-245 мм, толщина стенки до 30 мм</t>
  </si>
  <si>
    <t>ТЕРм39-01-020-25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</si>
  <si>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219-245 мм, толщина стенки до 40 мм</t>
  </si>
  <si>
    <t>ТЕРм39-01-020-26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</si>
  <si>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273-299 мм, толщина стенки до 6 мм</t>
  </si>
  <si>
    <t>ТЕРм39-01-020-27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</si>
  <si>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273-299 мм, толщина стенки до 10 мм</t>
  </si>
  <si>
    <t>ТЕРм39-01-020-28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</si>
  <si>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273-299 мм, толщина стенки до 20 мм</t>
  </si>
  <si>
    <t>ТЕРм39-01-020-29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</si>
  <si>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273-299 мм, толщина стенки до 30 мм</t>
  </si>
  <si>
    <t>ТЕРм39-01-020-30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</si>
  <si>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273-299 мм, толщина стенки до 40 мм</t>
  </si>
  <si>
    <t>ТЕРм39-01-020-31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</si>
  <si>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325 мм, толщина стенки до 6 мм</t>
  </si>
  <si>
    <t>ТЕРм39-01-020-32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</si>
  <si>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325 мм, толщина стенки до 10 мм</t>
  </si>
  <si>
    <t>ТЕРм39-01-020-33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</si>
  <si>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325 мм, толщина стенки до 20 мм</t>
  </si>
  <si>
    <t>ТЕРм39-01-020-34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</si>
  <si>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325 мм, толщина стенки до 30 мм</t>
  </si>
  <si>
    <t>ТЕРм39-01-020-35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</si>
  <si>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325 мм, толщина стенки до 40 мм</t>
  </si>
  <si>
    <t>ТЕРм39-01-020-36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</si>
  <si>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377 мм, толщина стенки до 10 мм</t>
  </si>
  <si>
    <t>ТЕРм39-01-020-37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</si>
  <si>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377 мм, толщина стенки до 20 мм</t>
  </si>
  <si>
    <t>ТЕРм39-01-020-38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</si>
  <si>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377 мм, толщина стенки до 30 мм</t>
  </si>
  <si>
    <t>ТЕРм39-01-020-39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</si>
  <si>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377 мм, толщина стенки до 40 мм</t>
  </si>
  <si>
    <t>ТЕРм39-01-020-40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</si>
  <si>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402-426 мм, толщина стенки до 10 мм</t>
  </si>
  <si>
    <t>ТЕРм39-01-020-41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</si>
  <si>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402-426 мм, толщина стенки до 20 мм</t>
  </si>
  <si>
    <t>ТЕРм39-01-020-42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</si>
  <si>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402-426 мм, толщина стенки до 30 мм</t>
  </si>
  <si>
    <t>ТЕРм39-01-020-43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</si>
  <si>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402-426 мм, толщина стенки до 40 мм</t>
  </si>
  <si>
    <t>ТЕРм39-01-020-44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</si>
  <si>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465-480 мм, толщина стенки до 10 мм</t>
  </si>
  <si>
    <t>ТЕРм39-01-020-45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</si>
  <si>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465-480 мм, толщина стенки до 20 мм</t>
  </si>
  <si>
    <t>ТЕРм39-01-020-46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</si>
  <si>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465-480 мм, толщина стенки до 30 мм</t>
  </si>
  <si>
    <t>ТЕРм39-01-020-47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</si>
  <si>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465-480 мм, толщина стенки до 40 мм</t>
  </si>
  <si>
    <t>ТЕРм39-01-020-48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</si>
  <si>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500-560 мм, толщина стенки до 10 мм</t>
  </si>
  <si>
    <t>ТЕРм39-01-020-49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</si>
  <si>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500-560 мм, толщина стенки до 20 мм</t>
  </si>
  <si>
    <t>ТЕРм39-01-020-50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</si>
  <si>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500-560 мм, толщина стенки до 30 мм</t>
  </si>
  <si>
    <t>ТЕРм39-01-020-51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</si>
  <si>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500-560 мм, толщина стенки до 40 мм</t>
  </si>
  <si>
    <t>ТЕРм39-01-020-52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</si>
  <si>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600-630 мм, толщина стенки до 10 мм</t>
  </si>
  <si>
    <t>ТЕРм39-01-020-53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</si>
  <si>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600-630 мм, толщина стенки до 20 мм</t>
  </si>
  <si>
    <t>ТЕРм39-01-020-54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</si>
  <si>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600-630 мм, толщина стенки до 30 мм</t>
  </si>
  <si>
    <t>ТЕРм39-01-020-55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</si>
  <si>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600-630 мм, толщина стенки до 40 мм</t>
  </si>
  <si>
    <t>ТЕРм39-01-020-56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</si>
  <si>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720 мм, толщина стенки 10 мм</t>
  </si>
  <si>
    <t>ТЕРм39-01-020-57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</si>
  <si>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820-860 мм, толщина стенки до 10 мм</t>
  </si>
  <si>
    <t>ТЕРм39-01-020-58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</si>
  <si>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920-980 мм, толщина стенки до 10 мм</t>
  </si>
  <si>
    <t>ТЕРм39-01-020-59</t>
  </si>
  <si>
    <t>Зачистка механизированная поверхности сварного соединения и околошовной зоны трубопроводов из высоколегированных коррозионностойких сталей до шероховатости не грубее Rz 20 мкм (V5) со снятием выпуклости (усиления) сварного шва, диаметр трубопровода 1020-1220 мм, толщина стенки до 10 мм</t>
  </si>
  <si>
    <t xml:space="preserve">                                   Зачистка вручную поверхности сварного соединения и околошовной зоны трубопроводов из углеродистых и легированных сталей без снятия выпуклости (усиления) сварного шва</t>
  </si>
  <si>
    <t>ТЕРм39-01-021-01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</si>
  <si>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22 мм, толщина стенки до 3 мм</t>
  </si>
  <si>
    <t>ТЕРм39-01-021-02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</si>
  <si>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22 мм, толщина стенки до 6 мм</t>
  </si>
  <si>
    <t>ТЕРм39-01-021-03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</si>
  <si>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25-36 мм, толщина стенки до 4 мм</t>
  </si>
  <si>
    <t>ТЕРм39-01-021-04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</si>
  <si>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25-36 мм, толщина стенки до 8 мм</t>
  </si>
  <si>
    <t>ТЕРм39-01-021-05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</si>
  <si>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4 мм</t>
  </si>
  <si>
    <t>ТЕРм39-01-021-06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</si>
  <si>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8 мм</t>
  </si>
  <si>
    <t>ТЕРм39-01-021-07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</si>
  <si>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38-48 мм, толщина стенки до 12 мм</t>
  </si>
  <si>
    <t>ТЕРм39-01-021-08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</si>
  <si>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4 мм</t>
  </si>
  <si>
    <t>ТЕРм39-01-021-09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</si>
  <si>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8 мм</t>
  </si>
  <si>
    <t>ТЕРм39-01-021-10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</si>
  <si>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50-63 мм, толщина стенки до 14 мм</t>
  </si>
  <si>
    <t>ТЕРм39-01-021-11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</si>
  <si>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6 мм</t>
  </si>
  <si>
    <t>ТЕРм39-01-021-12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</si>
  <si>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10 мм</t>
  </si>
  <si>
    <t>ТЕРм39-01-021-13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</si>
  <si>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без снятия выпуклости (усиления) сварного шва, диаметр трубопровода 70-89 мм, толщина стенки до 20 мм</t>
  </si>
  <si>
    <t>ТЕРм39-01-021-14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</si>
  <si>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22 мм, толщина стенки до 3 мм</t>
  </si>
  <si>
    <t>ТЕРм39-01-021-15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</si>
  <si>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22 мм, толщина стенки до 6 мм</t>
  </si>
  <si>
    <t>ТЕРм39-01-021-16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</si>
  <si>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25-36 мм, толщина стенки до 4 мм</t>
  </si>
  <si>
    <t>ТЕРм39-01-021-17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</si>
  <si>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25-36 мм, толщина стенки до 8 мм</t>
  </si>
  <si>
    <t>ТЕРм39-01-021-18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</si>
  <si>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4 мм</t>
  </si>
  <si>
    <t>ТЕРм39-01-021-19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</si>
  <si>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8 мм</t>
  </si>
  <si>
    <t>ТЕРм39-01-021-20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</si>
  <si>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38-48 мм, толщина стенки до 12 мм</t>
  </si>
  <si>
    <t>ТЕРм39-01-021-21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</si>
  <si>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4 мм</t>
  </si>
  <si>
    <t>ТЕРм39-01-021-22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</si>
  <si>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8 мм</t>
  </si>
  <si>
    <t>ТЕРм39-01-021-23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</si>
  <si>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50-63 мм, толщина стенки до 14 мм</t>
  </si>
  <si>
    <t>ТЕРм39-01-021-24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</si>
  <si>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6 мм</t>
  </si>
  <si>
    <t>ТЕРм39-01-021-25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</si>
  <si>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10 мм</t>
  </si>
  <si>
    <t>ТЕРм39-01-021-26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</si>
  <si>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без снятия выпуклости (усиления) сварного шва, диаметр трубопровода 70-89 мм, толщина стенки до 20 мм</t>
  </si>
  <si>
    <t>ТЕРм39-01-021-27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</si>
  <si>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22 мм, толщина стенки до 3 мм</t>
  </si>
  <si>
    <t>ТЕРм39-01-021-28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</si>
  <si>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22 мм, толщина стенки до 6 мм</t>
  </si>
  <si>
    <t>ТЕРм39-01-021-29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</si>
  <si>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25-36 мм, толщина стенки до 4 мм</t>
  </si>
  <si>
    <t>ТЕРм39-01-021-30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</si>
  <si>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25-36 мм, толщина стенки до 8 мм</t>
  </si>
  <si>
    <t>ТЕРм39-01-021-31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</si>
  <si>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4 мм</t>
  </si>
  <si>
    <t>ТЕРм39-01-021-32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</si>
  <si>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8 мм</t>
  </si>
  <si>
    <t>ТЕРм39-01-021-33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</si>
  <si>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38-48 мм, толщина стенки до 12 мм</t>
  </si>
  <si>
    <t>ТЕРм39-01-021-34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</si>
  <si>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4 мм</t>
  </si>
  <si>
    <t>ТЕРм39-01-021-35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</si>
  <si>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8 мм</t>
  </si>
  <si>
    <t>ТЕРм39-01-021-36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</si>
  <si>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50-63 мм, толщина стенки до 14 мм</t>
  </si>
  <si>
    <t>ТЕРм39-01-021-37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</si>
  <si>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6 мм</t>
  </si>
  <si>
    <t>ТЕРм39-01-021-38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</si>
  <si>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10 мм</t>
  </si>
  <si>
    <t>ТЕРм39-01-021-39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</si>
  <si>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20 мкм (V5) без снятия выпуклости (усиления) сварного шва, диаметр трубопровода 70-89 мм, толщина стенки до 20 мм</t>
  </si>
  <si>
    <t xml:space="preserve">                                   Зачистка вручную поверхности сварного соединения и околошовной зоны трубопроводов из углеродистых и легированных сталей со снятием выпуклости (усиления) сварного шва</t>
  </si>
  <si>
    <t>ТЕРм39-01-022-01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</si>
  <si>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22 мм, толщина стенки до 3 мм</t>
  </si>
  <si>
    <t>ТЕРм39-01-022-02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</si>
  <si>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22 мм, толщина стенки до 6 мм</t>
  </si>
  <si>
    <t>ТЕРм39-01-022-03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</si>
  <si>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25-36 мм, толщина стенки до 4 мм</t>
  </si>
  <si>
    <t>ТЕРм39-01-022-04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</si>
  <si>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25-36 мм, толщина стенки до 8 мм</t>
  </si>
  <si>
    <t>ТЕРм39-01-022-05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</si>
  <si>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4 мм</t>
  </si>
  <si>
    <t>ТЕРм39-01-022-06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</si>
  <si>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8 мм</t>
  </si>
  <si>
    <t>ТЕРм39-01-022-07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</si>
  <si>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38-48 мм, толщина стенки до 12 мм</t>
  </si>
  <si>
    <t>ТЕРм39-01-022-08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</si>
  <si>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4 мм</t>
  </si>
  <si>
    <t>ТЕРм39-01-022-09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</si>
  <si>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8 мм</t>
  </si>
  <si>
    <t>ТЕРм39-01-022-10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</si>
  <si>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50-63 мм, толщина стенки до 14 мм</t>
  </si>
  <si>
    <t>ТЕРм39-01-022-11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</si>
  <si>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6 мм</t>
  </si>
  <si>
    <t>ТЕРм39-01-022-12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</si>
  <si>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10 мм</t>
  </si>
  <si>
    <t>ТЕРм39-01-022-13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</si>
  <si>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80 мкм (V3) со снятием выпуклости (усиления) сварного шва, диаметр трубопровода 70-89 мм, толщина стенки до 20 мм</t>
  </si>
  <si>
    <t>ТЕРм39-01-022-14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</si>
  <si>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22 мм, толщина стенки до 3 мм</t>
  </si>
  <si>
    <t>ТЕРм39-01-022-15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</si>
  <si>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22 мм, толщина стенки до 6 мм</t>
  </si>
  <si>
    <t>ТЕРм39-01-022-16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</si>
  <si>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25-36 мм, толщина стенки до 4 мм</t>
  </si>
  <si>
    <t>ТЕРм39-01-022-17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</si>
  <si>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25-36 мм, толщина стенки до 8 мм</t>
  </si>
  <si>
    <t>ТЕРм39-01-022-18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</si>
  <si>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4 мм</t>
  </si>
  <si>
    <t>ТЕРм39-01-022-19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</si>
  <si>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8 мм</t>
  </si>
  <si>
    <t>ТЕРм39-01-022-20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</si>
  <si>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38-48 мм, толщина стенки до 12 мм</t>
  </si>
  <si>
    <t>ТЕРм39-01-022-21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</si>
  <si>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4 мм</t>
  </si>
  <si>
    <t>ТЕРм39-01-022-22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</si>
  <si>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8 мм</t>
  </si>
  <si>
    <t>ТЕРм39-01-022-23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</si>
  <si>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50-63 мм, толщина стенки до 14 мм</t>
  </si>
  <si>
    <t>ТЕРм39-01-022-24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</si>
  <si>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6 мм</t>
  </si>
  <si>
    <t>ТЕРм39-01-022-25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</si>
  <si>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10 мм</t>
  </si>
  <si>
    <t>ТЕРм39-01-022-26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</si>
  <si>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 40 мкм (V4) со снятием выпуклости (усиления) сварного шва, диаметр трубопровода 70-89 мм, толщина стенки до 20 мм</t>
  </si>
  <si>
    <t>ТЕРм39-01-022-27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</si>
  <si>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22 мм, толщина стенки до 3 мм</t>
  </si>
  <si>
    <t>ТЕРм39-01-022-28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</si>
  <si>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22 мм, толщина стенки до 6 мм</t>
  </si>
  <si>
    <t>ТЕРм39-01-022-29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</si>
  <si>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25-36 мм, толщина стенки до 4 мм</t>
  </si>
  <si>
    <t>ТЕРм39-01-022-30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</si>
  <si>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25-36 мм, толщина стенки до 8 мм</t>
  </si>
  <si>
    <t>ТЕРм39-01-022-31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</si>
  <si>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38-48 мм, толщина стенки до 4 мм</t>
  </si>
  <si>
    <t>ТЕРм39-01-022-32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</si>
  <si>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38-48 мм, толщина стенки до 8 мм</t>
  </si>
  <si>
    <t>ТЕРм39-01-022-33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</si>
  <si>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38-48 мм, толщина стенки до 12 мм</t>
  </si>
  <si>
    <t>ТЕРм39-01-022-34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</si>
  <si>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50-63 мм, толщина стенки до 4 мм</t>
  </si>
  <si>
    <t>ТЕРм39-01-022-35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</si>
  <si>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50-63 мм, толщина стенки до 8 мм</t>
  </si>
  <si>
    <t>ТЕРм39-01-022-36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</si>
  <si>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50-63 мм, толщина стенки до 14 мм</t>
  </si>
  <si>
    <t>ТЕРм39-01-022-37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</si>
  <si>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70-89 мм, толщина стенки до 6 мм</t>
  </si>
  <si>
    <t>ТЕРм39-01-022-38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</si>
  <si>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70-89 мм, толщина стенки до 10 мм</t>
  </si>
  <si>
    <t>ТЕРм39-01-022-39</t>
  </si>
  <si>
    <t>Зачистка вручную поверхности сварного соединения и околошовной зоны трубопроводов из углеродистых и легированных сталей до шероховатости не грубее Rz20 мкм (V5) со снятием выпуклости (усиления) сварного шва, диаметр трубопровода 70-89 мм, толщина стенки до 20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</si>
  <si>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</t>
  </si>
  <si>
    <t>ТЕРм39-01-023-01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</si>
  <si>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до 10 мм</t>
  </si>
  <si>
    <t>ТЕРм39-01-023-02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</si>
  <si>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до 15 мм</t>
  </si>
  <si>
    <t>ТЕРм39-01-023-03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</si>
  <si>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до 20 мм</t>
  </si>
  <si>
    <t>ТЕРм39-01-023-04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</si>
  <si>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до 25 мм</t>
  </si>
  <si>
    <t>ТЕРм39-01-023-05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</si>
  <si>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до 30 мм</t>
  </si>
  <si>
    <t>ТЕРм39-01-023-06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</si>
  <si>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до 10 мм</t>
  </si>
  <si>
    <t>ТЕРм39-01-023-07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</si>
  <si>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до 15 мм</t>
  </si>
  <si>
    <t>ТЕРм39-01-023-08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</si>
  <si>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до 20 мм</t>
  </si>
  <si>
    <t>ТЕРм39-01-023-09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</si>
  <si>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до 25 мм</t>
  </si>
  <si>
    <t>ТЕРм39-01-023-10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</si>
  <si>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до 30 мм</t>
  </si>
  <si>
    <t>ТЕРм39-01-023-11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</si>
  <si>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до 10 мм</t>
  </si>
  <si>
    <t>ТЕРм39-01-023-12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</si>
  <si>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до 15 мм</t>
  </si>
  <si>
    <t>ТЕРм39-01-023-13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</si>
  <si>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до 20 мм</t>
  </si>
  <si>
    <t>ТЕРм39-01-023-14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</si>
  <si>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до 25 мм</t>
  </si>
  <si>
    <t>ТЕРм39-01-023-15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</si>
  <si>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до 30 мм</t>
  </si>
  <si>
    <t>ТЕРм39-01-023-16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</si>
  <si>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нижнее, ширина зачистки свыше 30 мм</t>
  </si>
  <si>
    <t>ТЕРм39-01-023-17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</si>
  <si>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вертикальное, ширина зачистки свыше 30 мм</t>
  </si>
  <si>
    <t>ТЕРм39-01-023-18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</si>
  <si>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80 мкм (V3)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</si>
  <si>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</t>
  </si>
  <si>
    <t>ТЕРм39-01-024-01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</si>
  <si>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до 10 мм</t>
  </si>
  <si>
    <t>ТЕРм39-01-024-02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</si>
  <si>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до 15 мм</t>
  </si>
  <si>
    <t>ТЕРм39-01-024-03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</si>
  <si>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до 20 мм</t>
  </si>
  <si>
    <t>ТЕРм39-01-024-04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</si>
  <si>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до 25 мм</t>
  </si>
  <si>
    <t>ТЕРм39-01-024-05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</si>
  <si>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до 30 мм</t>
  </si>
  <si>
    <t>ТЕРм39-01-024-06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</si>
  <si>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до 10 мм</t>
  </si>
  <si>
    <t>ТЕРм39-01-024-07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</si>
  <si>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до 15 мм</t>
  </si>
  <si>
    <t>ТЕРм39-01-024-08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</si>
  <si>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до 20 мм</t>
  </si>
  <si>
    <t>ТЕРм39-01-024-09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</si>
  <si>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до 25 мм</t>
  </si>
  <si>
    <t>ТЕРм39-01-024-10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</si>
  <si>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до 30 мм</t>
  </si>
  <si>
    <t>ТЕРм39-01-024-11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</si>
  <si>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до 10 мм</t>
  </si>
  <si>
    <t>ТЕРм39-01-024-12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</si>
  <si>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до 15 мм</t>
  </si>
  <si>
    <t>ТЕРм39-01-024-13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</si>
  <si>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до 20 мм</t>
  </si>
  <si>
    <t>ТЕРм39-01-024-14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</si>
  <si>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до 25 мм</t>
  </si>
  <si>
    <t>ТЕРм39-01-024-15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</si>
  <si>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до 30 мм</t>
  </si>
  <si>
    <t>ТЕРм39-01-024-16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</si>
  <si>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нижнее, ширина зачистки свыше 30 мм</t>
  </si>
  <si>
    <t>ТЕРм39-01-024-17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</si>
  <si>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вертикальное, ширина зачистки свыше 30 мм</t>
  </si>
  <si>
    <t>ТЕРм39-01-024-18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</si>
  <si>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40 мкм (V4)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</si>
  <si>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</t>
  </si>
  <si>
    <t>ТЕРм39-01-025-01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</si>
  <si>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до 10 мм</t>
  </si>
  <si>
    <t>ТЕРм39-01-025-02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</si>
  <si>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до 15 мм</t>
  </si>
  <si>
    <t>ТЕРм39-01-025-03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</si>
  <si>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до 20 мм</t>
  </si>
  <si>
    <t>ТЕРм39-01-025-04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</si>
  <si>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до 25 мм</t>
  </si>
  <si>
    <t>ТЕРм39-01-025-05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</si>
  <si>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до 30 мм</t>
  </si>
  <si>
    <t>ТЕРм39-01-025-06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</si>
  <si>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до 10 мм</t>
  </si>
  <si>
    <t>ТЕРм39-01-025-07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</si>
  <si>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до 15 мм</t>
  </si>
  <si>
    <t>ТЕРм39-01-025-08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</si>
  <si>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до 20 мм</t>
  </si>
  <si>
    <t>ТЕРм39-01-025-09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</si>
  <si>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до 25 мм</t>
  </si>
  <si>
    <t>ТЕРм39-01-025-10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</si>
  <si>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до 30 мм</t>
  </si>
  <si>
    <t>ТЕРм39-01-025-11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</si>
  <si>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до 10 мм</t>
  </si>
  <si>
    <t>ТЕРм39-01-025-12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</si>
  <si>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до 15 мм</t>
  </si>
  <si>
    <t>ТЕРм39-01-025-13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</si>
  <si>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до 20 мм</t>
  </si>
  <si>
    <t>ТЕРм39-01-025-14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</si>
  <si>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до 25 мм</t>
  </si>
  <si>
    <t>ТЕРм39-01-025-15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</si>
  <si>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до 30 мм</t>
  </si>
  <si>
    <t>ТЕРм39-01-025-16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</si>
  <si>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нижнее, ширина зачистки свыше 30 мм</t>
  </si>
  <si>
    <t>ТЕРм39-01-025-17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</si>
  <si>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вертикальное, ширина зачистки свыше 30 мм</t>
  </si>
  <si>
    <t>ТЕРм39-01-025-18</t>
  </si>
  <si>
    <t>Зачистка механизированная поверхности сварного соединения и околошовной зоны конструкций и оборудования из углеродистых и легированных сталей до шероховатости не грубее Rz 20 мкм (V5)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</si>
  <si>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сварных соединений конструкций и оборудования из углеродистых и легированных сталей. Снятие выпуклости (усиления) сварного соединения</t>
  </si>
  <si>
    <t>ТЕРм39-01-026-01</t>
  </si>
  <si>
    <t>Снятие выпуклости (усиления) сварного соединения конструкций и оборудования из углеродистых и легированных сталей, положение зачистки нижнее, ширина зачистки до 10 мм</t>
  </si>
  <si>
    <t>ТЕРм39-01-026-02</t>
  </si>
  <si>
    <t>Снятие выпуклости (усиления) сварного соединения конструкций и оборудования из углеродистых и легированных сталей, положение зачистки нижнее, ширина зачистки до 15 мм</t>
  </si>
  <si>
    <t>ТЕРм39-01-026-03</t>
  </si>
  <si>
    <t>Снятие выпуклости (усиления) сварного соединения конструкций и оборудования из углеродистых и легированных сталей, положение зачистки нижнее, ширина зачистки до 20 мм</t>
  </si>
  <si>
    <t>ТЕРм39-01-026-04</t>
  </si>
  <si>
    <t>Снятие выпуклости (усиления) сварного соединения конструкций и оборудования из углеродистых и легированных сталей, положение зачистки нижнее, ширина зачистки до 25 мм</t>
  </si>
  <si>
    <t>ТЕРм39-01-026-05</t>
  </si>
  <si>
    <t>Снятие выпуклости (усиления) сварного соединения конструкций и оборудования из углеродистых и легированных сталей, положение зачистки нижнее, ширина зачистки до 30 мм</t>
  </si>
  <si>
    <t>ТЕРм39-01-026-06</t>
  </si>
  <si>
    <t>Снятие выпуклости (усиления) сварного соединения конструкций и оборудования из углеродистых и легированных сталей, положение зачистки вертикальное, ширина зачистки до 10 мм</t>
  </si>
  <si>
    <t>ТЕРм39-01-026-07</t>
  </si>
  <si>
    <t>Снятие выпуклости (усиления) сварного соединения конструкций и оборудования из углеродистых и легированных сталей, положение зачистки вертикальное, ширина зачистки до 15 мм</t>
  </si>
  <si>
    <t>ТЕРм39-01-026-08</t>
  </si>
  <si>
    <t>Снятие выпуклости (усиления) сварного соединения конструкций и оборудования из углеродистых и легированных сталей, положение зачистки вертикальное, ширина зачистки до 20 мм</t>
  </si>
  <si>
    <t>ТЕРм39-01-026-09</t>
  </si>
  <si>
    <t>Снятие выпуклости (усиления) сварного соединения конструкций и оборудования из углеродистых и легированных сталей, положение зачистки вертикальное, ширина зачистки до 25 мм</t>
  </si>
  <si>
    <t>ТЕРм39-01-026-10</t>
  </si>
  <si>
    <t>Снятие выпуклости (усиления) сварного соединения конструкций и оборудования из углеродистых и легированных сталей, положение зачистки вертикальное, ширина зачистки до 30 мм</t>
  </si>
  <si>
    <t>ТЕРм39-01-026-11</t>
  </si>
  <si>
    <t>Снятие выпуклости (усиления) сварного соединения конструкций и оборудования из углеродистых и легированных сталей, положение зачистки потолочное, ширина зачистки до 10 мм</t>
  </si>
  <si>
    <t>ТЕРм39-01-026-12</t>
  </si>
  <si>
    <t>Снятие выпуклости (усиления) сварного соединения конструкций и оборудования из углеродистых и легированных сталей, положение зачистки потолочное, ширина зачистки до 15 мм</t>
  </si>
  <si>
    <t>ТЕРм39-01-026-13</t>
  </si>
  <si>
    <t>Снятие выпуклости (усиления) сварного соединения конструкций и оборудования из углеродистых и легированных сталей, положение зачистки потолочное, ширина зачистки до 20 мм</t>
  </si>
  <si>
    <t>ТЕРм39-01-026-14</t>
  </si>
  <si>
    <t>Снятие выпуклости (усиления) сварного соединения конструкций и оборудования из углеродистых и легированных сталей, положение зачистки потолочное, ширина зачистки до 25 мм</t>
  </si>
  <si>
    <t>ТЕРм39-01-026-15</t>
  </si>
  <si>
    <t>Снятие выпуклости (усиления) сварного соединения конструкций и оборудования из углеродистых и легированных сталей, положение зачистки потолочное, ширина зачистки до 30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</si>
  <si>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</t>
  </si>
  <si>
    <t>ТЕРм39-01-027-01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</si>
  <si>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до 10 мм</t>
  </si>
  <si>
    <t>ТЕРм39-01-027-02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</si>
  <si>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до 15 мм</t>
  </si>
  <si>
    <t>ТЕРм39-01-027-03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</si>
  <si>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до 20 мм</t>
  </si>
  <si>
    <t>ТЕРм39-01-027-04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</si>
  <si>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до 25 мм</t>
  </si>
  <si>
    <t>ТЕРм39-01-027-05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</si>
  <si>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до 30 мм</t>
  </si>
  <si>
    <t>ТЕРм39-01-027-06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</si>
  <si>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до 10 мм</t>
  </si>
  <si>
    <t>ТЕРм39-01-027-07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</si>
  <si>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до 15 мм</t>
  </si>
  <si>
    <t>ТЕРм39-01-027-08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</si>
  <si>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до 20 мм</t>
  </si>
  <si>
    <t>ТЕРм39-01-027-09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</si>
  <si>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до 25 мм</t>
  </si>
  <si>
    <t>ТЕРм39-01-027-10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</si>
  <si>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до 30 мм</t>
  </si>
  <si>
    <t>ТЕРм39-01-027-11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</si>
  <si>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до 10 мм</t>
  </si>
  <si>
    <t>ТЕРм39-01-027-12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</si>
  <si>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до 15 мм</t>
  </si>
  <si>
    <t>ТЕРм39-01-027-13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</si>
  <si>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до 20 мм</t>
  </si>
  <si>
    <t>ТЕРм39-01-027-14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</si>
  <si>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до 25 мм</t>
  </si>
  <si>
    <t>ТЕРм39-01-027-15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</si>
  <si>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до 30 мм</t>
  </si>
  <si>
    <t>ТЕРм39-01-027-16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</si>
  <si>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нижнее, ширина зачистки свыше 30 мм</t>
  </si>
  <si>
    <t>ТЕРм39-01-027-17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</si>
  <si>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вертикальное, ширина зачистки свыше 30 мм</t>
  </si>
  <si>
    <t>ТЕРм39-01-027-18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</si>
  <si>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80 мкм (V3)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</si>
  <si>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</t>
  </si>
  <si>
    <t>ТЕРм39-01-028-01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</si>
  <si>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до 10 мм</t>
  </si>
  <si>
    <t>ТЕРм39-01-028-02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</si>
  <si>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до 15 мм</t>
  </si>
  <si>
    <t>ТЕРм39-01-028-03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</si>
  <si>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до 20 мм</t>
  </si>
  <si>
    <t>ТЕРм39-01-028-04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</si>
  <si>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до 25 мм</t>
  </si>
  <si>
    <t>ТЕРм39-01-028-05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</si>
  <si>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до 30 мм</t>
  </si>
  <si>
    <t>ТЕРм39-01-028-06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</si>
  <si>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до 10 мм</t>
  </si>
  <si>
    <t>ТЕРм39-01-028-07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</si>
  <si>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до 15 мм</t>
  </si>
  <si>
    <t>ТЕРм39-01-028-08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</si>
  <si>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до 20 мм</t>
  </si>
  <si>
    <t>ТЕРм39-01-028-09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</si>
  <si>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до 25 мм</t>
  </si>
  <si>
    <t>ТЕРм39-01-028-10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</si>
  <si>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до 30 мм</t>
  </si>
  <si>
    <t>ТЕРм39-01-028-11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</si>
  <si>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до 10 мм</t>
  </si>
  <si>
    <t>ТЕРм39-01-028-12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</si>
  <si>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до 15 мм</t>
  </si>
  <si>
    <t>ТЕРм39-01-028-13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</si>
  <si>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до 20 мм</t>
  </si>
  <si>
    <t>ТЕРм39-01-028-14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</si>
  <si>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до 25 мм</t>
  </si>
  <si>
    <t>ТЕРм39-01-028-15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</si>
  <si>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до 30 мм</t>
  </si>
  <si>
    <t>ТЕРм39-01-028-16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</si>
  <si>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нижнее, ширина зачистки свыше 30 мм</t>
  </si>
  <si>
    <t>ТЕРм39-01-028-17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</si>
  <si>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вертикальное, ширина зачистки свыше 30 мм</t>
  </si>
  <si>
    <t>ТЕРм39-01-028-18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</si>
  <si>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40 мкм (V4)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</si>
  <si>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</t>
  </si>
  <si>
    <t>ТЕРм39-01-029-01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</si>
  <si>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до 10 мм</t>
  </si>
  <si>
    <t>ТЕРм39-01-029-02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</si>
  <si>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до 15 мм</t>
  </si>
  <si>
    <t>ТЕРм39-01-029-03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</si>
  <si>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до 20 мм</t>
  </si>
  <si>
    <t>ТЕРм39-01-029-04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</si>
  <si>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до 25 мм</t>
  </si>
  <si>
    <t>ТЕРм39-01-029-05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</si>
  <si>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до 30 мм</t>
  </si>
  <si>
    <t>ТЕРм39-01-029-06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</si>
  <si>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до 10 мм</t>
  </si>
  <si>
    <t>ТЕРм39-01-029-07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</si>
  <si>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до 15 мм</t>
  </si>
  <si>
    <t>ТЕРм39-01-029-08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</si>
  <si>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до 20 мм</t>
  </si>
  <si>
    <t>ТЕРм39-01-029-09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</si>
  <si>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до 25 мм</t>
  </si>
  <si>
    <t>ТЕРм39-01-029-10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</si>
  <si>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до 30 мм</t>
  </si>
  <si>
    <t>ТЕРм39-01-029-11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</si>
  <si>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до 10 мм</t>
  </si>
  <si>
    <t>ТЕРм39-01-029-12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</si>
  <si>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до 15 мм</t>
  </si>
  <si>
    <t>ТЕРм39-01-029-13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</si>
  <si>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до 20 мм</t>
  </si>
  <si>
    <t>ТЕРм39-01-029-14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</si>
  <si>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до 25 мм</t>
  </si>
  <si>
    <t>ТЕРм39-01-029-15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</si>
  <si>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до 30 мм</t>
  </si>
  <si>
    <t>ТЕРм39-01-029-16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</si>
  <si>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нижнее, ширина зачистки свыше 30 мм</t>
  </si>
  <si>
    <t>ТЕРм39-01-029-17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</si>
  <si>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вертикальное, ширина зачистки свыше 30 мм</t>
  </si>
  <si>
    <t>ТЕРм39-01-029-18</t>
  </si>
  <si>
    <t>Зачистка механизированная поверхности сварного соединения и околошовной зоны конструкций и оборудования из высоколегированных коррозионностойких сталей до шероховатости не грубее Rz 20 мкм (V5) без снятия выпуклости (усиления) сварного шва, положение зачистки потолочное, ширина зачистки свыше 30 мм</t>
  </si>
  <si>
    <t xml:space="preserve">                                   Зачистка механизированная поверхности сварных соединений конструкций и оборудования из высоколегированных коррозионностойких сталей. Снятие выпуклости (усиления) сварного соединения</t>
  </si>
  <si>
    <t>ТЕРм39-01-030-01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</si>
  <si>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нижнее, ширина зачистки до 10 мм</t>
  </si>
  <si>
    <t>ТЕРм39-01-030-02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</si>
  <si>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нижнее, ширина зачистки до 15 мм</t>
  </si>
  <si>
    <t>ТЕРм39-01-030-03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</si>
  <si>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нижнее, ширина зачистки до 20 мм</t>
  </si>
  <si>
    <t>ТЕРм39-01-030-04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</si>
  <si>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нижнее, ширина зачистки до 25 мм</t>
  </si>
  <si>
    <t>ТЕРм39-01-030-05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</si>
  <si>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нижнее, ширина зачистки до 30 мм</t>
  </si>
  <si>
    <t>ТЕРм39-01-030-06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</si>
  <si>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вертикальное, ширина зачистки до 10 мм</t>
  </si>
  <si>
    <t>ТЕРм39-01-030-07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</si>
  <si>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вертикальное, ширина зачистки до 15 мм</t>
  </si>
  <si>
    <t>ТЕРм39-01-030-08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</si>
  <si>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вертикальное, ширина зачистки до 20 мм</t>
  </si>
  <si>
    <t>ТЕРм39-01-030-09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</si>
  <si>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вертикальное, ширина зачистки до 25 мм</t>
  </si>
  <si>
    <t>ТЕРм39-01-030-10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</si>
  <si>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вертикальное, ширина зачистки до 30 мм</t>
  </si>
  <si>
    <t>ТЕРм39-01-030-11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</si>
  <si>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потолочное, ширина зачистки до 10 мм</t>
  </si>
  <si>
    <t>ТЕРм39-01-030-12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</si>
  <si>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потолочное, ширина зачистки до 15 мм</t>
  </si>
  <si>
    <t>ТЕРм39-01-030-13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</si>
  <si>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потолочное, ширина зачистки до 20 мм</t>
  </si>
  <si>
    <t>ТЕРм39-01-030-14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</si>
  <si>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потолочное, ширина зачистки до 25 мм</t>
  </si>
  <si>
    <t>ТЕРм39-01-030-15</t>
  </si>
  <si>
    <t>Снятие выпуклости (усиления) сварного соединения конструкций и оборудования из высоколегированных коррозионностойких сталей, положение зачистки потолочное, ширина зачистки до 30 мм</t>
  </si>
  <si>
    <t xml:space="preserve">                                   Зачистка механизированная мест под стилоскопирование</t>
  </si>
  <si>
    <t>ТЕРм39-01-031-01</t>
  </si>
  <si>
    <t>Зачистка механизированная мест под стилоскопирование, положение зачистки нижнее</t>
  </si>
  <si>
    <t>ТЕРм39-01-031-02</t>
  </si>
  <si>
    <t>Зачистка механизированная мест под стилоскопирование, положение зачистки вертикальное</t>
  </si>
  <si>
    <t>ТЕРм39-01-031-03</t>
  </si>
  <si>
    <t>Зачистка механизированная мест под стилоскопирование, положение зачистки потолочное</t>
  </si>
  <si>
    <t xml:space="preserve">                                   Зачистка механизированная мест под испытания на твердость</t>
  </si>
  <si>
    <t>ТЕРм39-01-032-01</t>
  </si>
  <si>
    <t>Зачистка механизированная мест под испытания на твердость</t>
  </si>
  <si>
    <t xml:space="preserve">                           Раздел 2. ОТДЕЛ 02. КОНТРОЛЬ МОНТАЖНЫХ СВАРНЫХ СОЕДИНЕНИЙ НЕРАЗРУШАЮЩИМИ МЕТОДАМИ</t>
  </si>
  <si>
    <t xml:space="preserve">                                   Визуальный и измерительный контроль сварных соединений</t>
  </si>
  <si>
    <t>ТЕРм39-02-001-01</t>
  </si>
  <si>
    <t>Визуальный и измерительный контроль сварных соединений трубопроводов, диаметр до 28 мм</t>
  </si>
  <si>
    <t>ТЕРм39-02-001-02</t>
  </si>
  <si>
    <t>Визуальный и измерительный контроль сварных соединений трубопроводов, диаметр до 60 мм</t>
  </si>
  <si>
    <t>ТЕРм39-02-001-03</t>
  </si>
  <si>
    <t>Визуальный и измерительный контроль сварных соединений трубопроводов, диаметр до 108 мм</t>
  </si>
  <si>
    <t>ТЕРм39-02-001-04</t>
  </si>
  <si>
    <t>Визуальный и измерительный контроль сварных соединений трубопроводов, диаметр до 219 мм</t>
  </si>
  <si>
    <t>ТЕРм39-02-001-05</t>
  </si>
  <si>
    <t>Визуальный и измерительный контроль сварных соединений трубопроводов, диаметр до 273 мм</t>
  </si>
  <si>
    <t>ТЕРм39-02-001-06</t>
  </si>
  <si>
    <t>Визуальный и измерительный контроль сварных соединений трубопроводов, диаметр до 377 мм</t>
  </si>
  <si>
    <t>ТЕРм39-02-001-07</t>
  </si>
  <si>
    <t>Визуальный и измерительный контроль сварных соединений трубопроводов, диаметр до 465 мм</t>
  </si>
  <si>
    <t>ТЕРм39-02-001-08</t>
  </si>
  <si>
    <t>Визуальный и измерительный контроль сварных соединений трубопроводов, диаметр до 530 мм</t>
  </si>
  <si>
    <t>ТЕРм39-02-001-09</t>
  </si>
  <si>
    <t>Визуальный и измерительный контроль сварных соединений трубопроводов, диаметр до 680 мм</t>
  </si>
  <si>
    <t>ТЕРм39-02-001-10</t>
  </si>
  <si>
    <t>Визуальный и измерительный контроль сварных соединений трубопроводов, диаметр до 720 мм</t>
  </si>
  <si>
    <t>ТЕРм39-02-001-11</t>
  </si>
  <si>
    <t>Визуальный и измерительный контроль сварных соединений трубопроводов, диаметр до 820 мм</t>
  </si>
  <si>
    <t>ТЕРм39-02-001-12</t>
  </si>
  <si>
    <t>Визуальный и измерительный контроль сварных соединений трубопроводов, диаметр до 920 мм</t>
  </si>
  <si>
    <t>ТЕРм39-02-001-13</t>
  </si>
  <si>
    <t>Визуальный и измерительный контроль сварных соединений трубопроводов, диаметр до 1020 мм</t>
  </si>
  <si>
    <t>ТЕРм39-02-001-14</t>
  </si>
  <si>
    <t>Визуальный и измерительный контроль сварных соединений трубопроводов, диаметр до 1220 мм</t>
  </si>
  <si>
    <t>ТЕРм39-02-001-15</t>
  </si>
  <si>
    <t>Визуальный и измерительный контроль сварных соединений трубопроводов, диаметр до 1320 мм</t>
  </si>
  <si>
    <t>ТЕРм39-02-001-16</t>
  </si>
  <si>
    <t>Визуальный и измерительный контроль сварных соединений трубопроводов, диаметр до 1520 мм</t>
  </si>
  <si>
    <t>ТЕРм39-02-001-17</t>
  </si>
  <si>
    <t>Визуальный и измерительный контроль сварных соединений трубопроводов, диаметр до 1620 мм</t>
  </si>
  <si>
    <t>ТЕРм39-02-001-18</t>
  </si>
  <si>
    <t>Визуальный и измерительный контроль сварных соединений трубопроводов, диаметр до 1820 мм</t>
  </si>
  <si>
    <t>ТЕРм39-02-001-19</t>
  </si>
  <si>
    <t>Визуальный и измерительный контроль сварных соединений трубопроводов, диаметр до 2020 мм</t>
  </si>
  <si>
    <t>ТЕРм39-02-001-20</t>
  </si>
  <si>
    <t>Визуальный и измерительный контроль сварных соединений трубопроводов, диаметр до 2220 мм</t>
  </si>
  <si>
    <t>ТЕРм39-02-001-21</t>
  </si>
  <si>
    <t>Визуальный и измерительный контроль сварных соединений оборудования, конструкций и облицовок с одной стороны</t>
  </si>
  <si>
    <t>ТЕРм39-02-001-22</t>
  </si>
  <si>
    <t>Визуальный и измерительный контроль сварных соединений оборудования, конструкций и облицовок с двух сторон</t>
  </si>
  <si>
    <t>ТЕРм39-02-001-23</t>
  </si>
  <si>
    <t>Визуальный и измерительный контроль сварных соединений арматурных стержней и закладных деталей</t>
  </si>
  <si>
    <t xml:space="preserve">                                   Перископный осмотр сварных соединений трубопроводов</t>
  </si>
  <si>
    <t>ТЕРм39-02-002-01</t>
  </si>
  <si>
    <t>Перископный осмотр сварных соединений трубопроводов, диаметр до 25 мм</t>
  </si>
  <si>
    <t>ТЕРм39-02-002-02</t>
  </si>
  <si>
    <t>Перископный осмотр сварных соединений трубопроводов, диаметр до 60 мм</t>
  </si>
  <si>
    <t>ТЕРм39-02-002-03</t>
  </si>
  <si>
    <t>Перископный осмотр сварных соединений трубопроводов, диаметр до 108 мм</t>
  </si>
  <si>
    <t>ТЕРм39-02-002-04</t>
  </si>
  <si>
    <t>Перископный осмотр сварных соединений трубопроводов, диаметр до 159 мм</t>
  </si>
  <si>
    <t>ТЕРм39-02-002-05</t>
  </si>
  <si>
    <t>Перископный осмотр сварных соединений трубопроводов, диаметр до 273 мм</t>
  </si>
  <si>
    <t>ТЕРм39-02-002-06</t>
  </si>
  <si>
    <t>Перископный осмотр сварных соединений трубопроводов, диаметр до 377 мм</t>
  </si>
  <si>
    <t>ТЕРм39-02-002-07</t>
  </si>
  <si>
    <t>Перископный осмотр сварных соединений трубопроводов, диаметр до 478 мм</t>
  </si>
  <si>
    <t>ТЕРм39-02-002-08</t>
  </si>
  <si>
    <t>Перископный осмотр сварных соединений трубопроводов, диаметр до 550 мм</t>
  </si>
  <si>
    <t xml:space="preserve">                                   Стилоскопирование</t>
  </si>
  <si>
    <t>ТЕРм39-02-003-01</t>
  </si>
  <si>
    <t>Стилоскопирование металла, содержащего легирующих элементов до 6</t>
  </si>
  <si>
    <t>ТЕРм39-02-003-02</t>
  </si>
  <si>
    <t>Стилоскопирование металла, содержащего легирующих элементов свыше 6</t>
  </si>
  <si>
    <t xml:space="preserve">                                   Капиллярный контроль (цветной метод)</t>
  </si>
  <si>
    <t>ТЕРм39-02-004-01</t>
  </si>
  <si>
    <t>Капиллярный контроль трубопроводов, диаметр до 22 мм</t>
  </si>
  <si>
    <t>ТЕРм39-02-004-02</t>
  </si>
  <si>
    <t>Капиллярный контроль трубопроводов, диаметр до 38 мм</t>
  </si>
  <si>
    <t>ТЕРм39-02-004-03</t>
  </si>
  <si>
    <t>Капиллярный контроль трубопроводов, диаметр до 63 мм</t>
  </si>
  <si>
    <t>ТЕРм39-02-004-04</t>
  </si>
  <si>
    <t>Капиллярный контроль трубопроводов, диаметр до 89 мм</t>
  </si>
  <si>
    <t>ТЕРм39-02-004-05</t>
  </si>
  <si>
    <t>Капиллярный контроль трубопроводов, диаметр до 114 мм</t>
  </si>
  <si>
    <t>ТЕРм39-02-004-06</t>
  </si>
  <si>
    <t>Капиллярный контроль трубопроводов, диаметр до 133 мм</t>
  </si>
  <si>
    <t>ТЕРм39-02-004-07</t>
  </si>
  <si>
    <t>Капиллярный контроль трубопроводов, диаметр до 194 мм</t>
  </si>
  <si>
    <t>ТЕРм39-02-004-08</t>
  </si>
  <si>
    <t>Капиллярный контроль трубопроводов, диаметр до 245 мм</t>
  </si>
  <si>
    <t>ТЕРм39-02-004-09</t>
  </si>
  <si>
    <t>Капиллярный контроль трубопроводов, диаметр до 299 мм</t>
  </si>
  <si>
    <t>ТЕРм39-02-004-10</t>
  </si>
  <si>
    <t>Капиллярный контроль трубопроводов, диаметр до 325 мм</t>
  </si>
  <si>
    <t>ТЕРм39-02-004-11</t>
  </si>
  <si>
    <t>Капиллярный контроль трубопроводов, диаметр до 377 мм</t>
  </si>
  <si>
    <t>ТЕРм39-02-004-12</t>
  </si>
  <si>
    <t>Капиллярный контроль трубопроводов, диаметр до 480 мм</t>
  </si>
  <si>
    <t>ТЕРм39-02-004-13</t>
  </si>
  <si>
    <t>Капиллярный контроль трубопроводов, диаметр до 560 мм</t>
  </si>
  <si>
    <t>ТЕРм39-02-004-14</t>
  </si>
  <si>
    <t>Капиллярный контроль трубопроводов, диаметр до 630 мм</t>
  </si>
  <si>
    <t>ТЕРм39-02-004-15</t>
  </si>
  <si>
    <t>Капиллярный контроль трубопроводов, диаметр до 720 мм</t>
  </si>
  <si>
    <t>ТЕРм39-02-004-16</t>
  </si>
  <si>
    <t>Капиллярный контроль трубопроводов, диаметр до 860 мм</t>
  </si>
  <si>
    <t>ТЕРм39-02-004-17</t>
  </si>
  <si>
    <t>Капиллярный контроль трубопроводов, диаметр до 930 мм</t>
  </si>
  <si>
    <t>ТЕРм39-02-004-18</t>
  </si>
  <si>
    <t>Капиллярный контроль трубопроводов, диаметр до 1020 мм</t>
  </si>
  <si>
    <t>ТЕРм39-02-004-19</t>
  </si>
  <si>
    <t>Капиллярный контроль трубопроводов, диаметр до 1220 мм</t>
  </si>
  <si>
    <t>ТЕРм39-02-004-20</t>
  </si>
  <si>
    <t>Капиллярный контроль оборудования и конструкций, положение сварного соединения вертикальное и горизонтальное</t>
  </si>
  <si>
    <t>ТЕРм39-02-004-21</t>
  </si>
  <si>
    <t>Капиллярный контроль оборудования и конструкций, положение сварного соединения потолочное</t>
  </si>
  <si>
    <t>ТЕРм39-02-004-22</t>
  </si>
  <si>
    <t>Капиллярный контроль мест вварки трактов, положение сварного соединения нижнее</t>
  </si>
  <si>
    <t>ТЕРм39-02-004-23</t>
  </si>
  <si>
    <t>Капиллярный контроль мест вварки трактов, положение сварного соединения потолочное</t>
  </si>
  <si>
    <t xml:space="preserve">                                   Магнитопорошковый контроль</t>
  </si>
  <si>
    <t>ТЕРм39-02-005-01</t>
  </si>
  <si>
    <t>Магнитопорошковый контроль</t>
  </si>
  <si>
    <t xml:space="preserve">                                   Ультразвуковая дефектоскопия одним преобразователем сварных соединений перлитного класса с двух сторон, прозвучивание поперечное</t>
  </si>
  <si>
    <t>ТЕРм39-02-006-01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</si>
  <si>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36 мм, толщина стенки до 8 мм</t>
  </si>
  <si>
    <t>ТЕРм39-02-006-02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</si>
  <si>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65 мм, толщина стенки до 8 мм</t>
  </si>
  <si>
    <t>ТЕРм39-02-006-03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</si>
  <si>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65 мм, толщина стенки до 14 мм</t>
  </si>
  <si>
    <t>ТЕРм39-02-006-04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</si>
  <si>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89 мм, толщина стенки до 8 мм</t>
  </si>
  <si>
    <t>ТЕРм39-02-006-05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</si>
  <si>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89 мм, толщина стенки до 14 мм</t>
  </si>
  <si>
    <t>ТЕРм39-02-006-06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</si>
  <si>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89 мм, толщина стенки до 24 мм</t>
  </si>
  <si>
    <t>ТЕРм39-02-006-07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</si>
  <si>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114 мм, толщина стенки до 8 мм</t>
  </si>
  <si>
    <t>ТЕРм39-02-006-08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</si>
  <si>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114 мм, толщина стенки до 14 мм</t>
  </si>
  <si>
    <t>ТЕРм39-02-006-09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</si>
  <si>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114 мм, толщина стенки до 28 мм</t>
  </si>
  <si>
    <t>ТЕРм39-02-006-10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</si>
  <si>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194 мм, толщина стенки до 8 мм</t>
  </si>
  <si>
    <t>ТЕРм39-02-006-11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</si>
  <si>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194 мм, толщина стенки до 14 мм</t>
  </si>
  <si>
    <t>ТЕРм39-02-006-12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</si>
  <si>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194 мм, толщина стенки до 24 мм</t>
  </si>
  <si>
    <t>ТЕРм39-02-006-13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</si>
  <si>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194 мм, толщина стенки до 45 мм</t>
  </si>
  <si>
    <t>ТЕРм39-02-006-14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</si>
  <si>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8 мм</t>
  </si>
  <si>
    <t>ТЕРм39-02-006-15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</si>
  <si>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14 мм</t>
  </si>
  <si>
    <t>ТЕРм39-02-006-16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</si>
  <si>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24 мм</t>
  </si>
  <si>
    <t>ТЕРм39-02-006-17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</si>
  <si>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40 мм</t>
  </si>
  <si>
    <t>ТЕРм39-02-006-18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</si>
  <si>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60 мм</t>
  </si>
  <si>
    <t>ТЕРм39-02-006-19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</si>
  <si>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299 мм, толщина стенки до 80 мм</t>
  </si>
  <si>
    <t>ТЕРм39-02-006-20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</si>
  <si>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8 мм</t>
  </si>
  <si>
    <t>ТЕРм39-02-006-21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</si>
  <si>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14 мм</t>
  </si>
  <si>
    <t>ТЕРм39-02-006-22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</si>
  <si>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24 мм</t>
  </si>
  <si>
    <t>ТЕРм39-02-006-23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</si>
  <si>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40 мм</t>
  </si>
  <si>
    <t>ТЕРм39-02-006-24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</si>
  <si>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60 мм</t>
  </si>
  <si>
    <t>ТЕРм39-02-006-25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</si>
  <si>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377 мм, толщина стенки до 80 мм</t>
  </si>
  <si>
    <t>ТЕРм39-02-006-26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</si>
  <si>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8 мм</t>
  </si>
  <si>
    <t>ТЕРм39-02-006-27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</si>
  <si>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14 мм</t>
  </si>
  <si>
    <t>ТЕРм39-02-006-28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</si>
  <si>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24 мм</t>
  </si>
  <si>
    <t>ТЕРм39-02-006-29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</si>
  <si>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40 мм</t>
  </si>
  <si>
    <t>ТЕРм39-02-006-30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</si>
  <si>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60 мм</t>
  </si>
  <si>
    <t>ТЕРм39-02-006-31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</si>
  <si>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465 мм, толщина стенки до 90 мм</t>
  </si>
  <si>
    <t>ТЕРм39-02-006-32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</si>
  <si>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8 мм</t>
  </si>
  <si>
    <t>ТЕРм39-02-006-33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</si>
  <si>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14 мм</t>
  </si>
  <si>
    <t>ТЕРм39-02-006-34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</si>
  <si>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24 мм</t>
  </si>
  <si>
    <t>ТЕРм39-02-006-35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</si>
  <si>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40 мм</t>
  </si>
  <si>
    <t>ТЕРм39-02-006-36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</si>
  <si>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60 мм</t>
  </si>
  <si>
    <t>ТЕРм39-02-006-37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</si>
  <si>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550 мм, толщина стенки до 90 мм</t>
  </si>
  <si>
    <t>ТЕРм39-02-006-38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</si>
  <si>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8 мм</t>
  </si>
  <si>
    <t>ТЕРм39-02-006-39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</si>
  <si>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14 мм</t>
  </si>
  <si>
    <t>ТЕРм39-02-006-40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</si>
  <si>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24 мм</t>
  </si>
  <si>
    <t>ТЕРм39-02-006-41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</si>
  <si>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40 мм</t>
  </si>
  <si>
    <t>ТЕРм39-02-006-42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</si>
  <si>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60 мм</t>
  </si>
  <si>
    <t>ТЕРм39-02-006-43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</si>
  <si>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720 мм, толщина стенки до 90 мм</t>
  </si>
  <si>
    <t>ТЕРм39-02-006-44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</si>
  <si>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920 мм, толщина стенки до 14 мм</t>
  </si>
  <si>
    <t>ТЕРм39-02-006-45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</si>
  <si>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920 мм, толщина стенки до 24 мм</t>
  </si>
  <si>
    <t>ТЕРм39-02-006-46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</si>
  <si>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920 мм, толщина стенки до 40 мм</t>
  </si>
  <si>
    <t>ТЕРм39-02-006-47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</si>
  <si>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920 мм, толщина стенки до 60 мм</t>
  </si>
  <si>
    <t>ТЕРм39-02-006-48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</si>
  <si>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920 мм, толщина стенки до 90 мм</t>
  </si>
  <si>
    <t>ТЕРм39-02-006-49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</si>
  <si>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1220 мм, толщина стенки до 14 мм</t>
  </si>
  <si>
    <t>ТЕРм39-02-006-50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</si>
  <si>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1220 мм, толщина стенки до 24 мм</t>
  </si>
  <si>
    <t>ТЕРм39-02-006-51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</si>
  <si>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1220 мм, толщина стенки до 40 мм</t>
  </si>
  <si>
    <t>ТЕРм39-02-006-52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</si>
  <si>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1520 мм, толщина стенки до 14 мм</t>
  </si>
  <si>
    <t>ТЕРм39-02-006-53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</si>
  <si>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1520 мм, толщина стенки до 20 мм</t>
  </si>
  <si>
    <t>ТЕРм39-02-006-54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</si>
  <si>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1820 мм, толщина стенки до 14 мм</t>
  </si>
  <si>
    <t>ТЕРм39-02-006-55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</si>
  <si>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1820 мм, толщина стенки до 20 мм</t>
  </si>
  <si>
    <t>ТЕРм39-02-006-56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</si>
  <si>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2220 мм, толщина стенки до 14 мм</t>
  </si>
  <si>
    <t>ТЕРм39-02-006-57</t>
  </si>
  <si>
    <t>Ультразвуковая дефектоскопия трубопровода одним преобразователем сварных соединений перлитного класса с двух сторон, прозвучивание поперечное, диаметр трубопровода 2220 мм, толщина стенки до 20 мм</t>
  </si>
  <si>
    <t xml:space="preserve">                                   Ультразвуковая дефектоскопия одним преобразователем сварных соединений перлитного класса с двух сторон, прозвучивание поперечное негабаритных трубопроводов гидротехнических сооружений</t>
  </si>
  <si>
    <t>ТЕРм39-02-007-01</t>
  </si>
  <si>
    <t>Ультразвуковая дефектоскопия негабаритных трубопроводов одним преобразователем сварных соединений перлитного класса с двух сторон, прозвучивание поперечное, толщина металла до 14 мм</t>
  </si>
  <si>
    <t>ТЕРм39-02-007-02</t>
  </si>
  <si>
    <t>Ультразвуковая дефектоскопия негабаритных трубопроводов одним преобразователем сварных соединений перлитного класса с двух сторон, прозвучивание поперечное, толщина металла до 24 мм</t>
  </si>
  <si>
    <t>ТЕРм39-02-007-03</t>
  </si>
  <si>
    <t>Ультразвуковая дефектоскопия негабаритных трубопроводов одним преобразователем сварных соединений перлитного класса с двух сторон, прозвучивание поперечное, толщина металла до 40 мм</t>
  </si>
  <si>
    <t>ТЕРм39-02-007-04</t>
  </si>
  <si>
    <t>Ультразвуковая дефектоскопия негабаритных трубопроводов одним преобразователем сварных соединений перлитного класса с двух сторон, прозвучивание поперечное, толщина металла до 60 мм</t>
  </si>
  <si>
    <t xml:space="preserve">                                   Ультразвуковая дефектоскопия одним преобразователем сварных соединений перлитного класса с двух сторон, прозвучивание поперечное оборудования и конструкций</t>
  </si>
  <si>
    <t>ТЕРм39-02-008-01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</si>
  <si>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нижнее, вертикальное и горизонтальное на вертикальной плоскости, толщина металла до 10 мм</t>
  </si>
  <si>
    <t>ТЕРм39-02-008-02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</si>
  <si>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нижнее, вертикальное и горизонтальное на вертикальной плоскости, толщина металла до 20 мм</t>
  </si>
  <si>
    <t>ТЕРм39-02-008-03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</si>
  <si>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нижнее, вертикальное и горизонтальное на вертикальной плоскости, толщина металла до 40 мм</t>
  </si>
  <si>
    <t>ТЕРм39-02-008-04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</si>
  <si>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нижнее, вертикальное и горизонтальное на вертикальной плоскости, толщина металла до 60 мм</t>
  </si>
  <si>
    <t>ТЕРм39-02-008-05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</si>
  <si>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потолочное, толщина металла до 10 мм</t>
  </si>
  <si>
    <t>ТЕРм39-02-008-06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</si>
  <si>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потолочное, толщина металла до 20 мм</t>
  </si>
  <si>
    <t>ТЕРм39-02-008-07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</si>
  <si>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потолочное, толщина металла до 40 мм</t>
  </si>
  <si>
    <t>ТЕРм39-02-008-08</t>
  </si>
  <si>
    <t>Ультразвуковая дефектоскопия оборудования и конструкций одним преобразователем сварных соединений перлитного класса с двух сторон, прозвучивание поперечное, положение сварного соединения потолочное, толщина металла до 60 мм</t>
  </si>
  <si>
    <t xml:space="preserve">                                   Ультразвуковая дефектоскопия одним преобразователем сварных соединений перлитного класса с двух сторон, прозвучивание продольное</t>
  </si>
  <si>
    <t>ТЕРм39-02-009-01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</si>
  <si>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194 мм, толщина стенки до 45 мм</t>
  </si>
  <si>
    <t>ТЕРм39-02-009-02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</si>
  <si>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299 мм, толщина стенки до 40 мм</t>
  </si>
  <si>
    <t>ТЕРм39-02-009-03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</si>
  <si>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299 мм, толщина стенки до 60 мм</t>
  </si>
  <si>
    <t>ТЕРм39-02-009-04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</si>
  <si>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299 мм, толщина стенки до 80 мм</t>
  </si>
  <si>
    <t>ТЕРм39-02-009-05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</si>
  <si>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377 мм, толщина стенки до 40 мм</t>
  </si>
  <si>
    <t>ТЕРм39-02-009-06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</si>
  <si>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377 мм, толщина стенки до 60 мм</t>
  </si>
  <si>
    <t>ТЕРм39-02-009-07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</si>
  <si>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377 мм, толщина стенки до 80 мм</t>
  </si>
  <si>
    <t>ТЕРм39-02-009-08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</si>
  <si>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465 мм, толщина стенки до 40 мм</t>
  </si>
  <si>
    <t>ТЕРм39-02-009-09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</si>
  <si>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465 мм, толщина стенки до 60 мм</t>
  </si>
  <si>
    <t>ТЕРм39-02-009-10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</si>
  <si>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465 мм, толщина стенки до 90 мм</t>
  </si>
  <si>
    <t>ТЕРм39-02-009-11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</si>
  <si>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550 мм, толщина стенки до 40 мм</t>
  </si>
  <si>
    <t>ТЕРм39-02-009-12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</si>
  <si>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550 мм, толщина стенки до 60 мм</t>
  </si>
  <si>
    <t>ТЕРм39-02-009-13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</si>
  <si>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550 мм, толщина стенки до 90 мм</t>
  </si>
  <si>
    <t>ТЕРм39-02-009-14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</si>
  <si>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720 мм, толщина стенки до 40 мм</t>
  </si>
  <si>
    <t>ТЕРм39-02-009-15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</si>
  <si>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720 мм, толщина стенки до 60 мм</t>
  </si>
  <si>
    <t>ТЕРм39-02-009-16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</si>
  <si>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720 мм, толщина стенки до 90 мм</t>
  </si>
  <si>
    <t>ТЕРм39-02-009-17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</si>
  <si>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920 мм, толщина стенки до 40 мм</t>
  </si>
  <si>
    <t>ТЕРм39-02-009-18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</si>
  <si>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920 мм, толщина стенки до 60 мм</t>
  </si>
  <si>
    <t>ТЕРм39-02-009-19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</si>
  <si>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920 мм, толщина стенки до 90 мм</t>
  </si>
  <si>
    <t>ТЕРм39-02-009-20</t>
  </si>
  <si>
    <t>Ультразвуковая дефектоскопия трубопровода одним преобразователем сварных соединений перлитного класса с двух сторон, прозвучивание продольное, диаметр трубопровода 1220 мм, толщина стенки до 40 мм</t>
  </si>
  <si>
    <t xml:space="preserve">                                   Ультразвуковая дефектоскопия одним преобразователем сварных соединений перлитного класса с двух сторон, прозвучивание поперечное закладных деталей</t>
  </si>
  <si>
    <t>ТЕРм39-02-010-01</t>
  </si>
  <si>
    <t>Ультразвуковая дефектоскопия закладных деталей одним преобразователем сварных соединений перлитного класса с двух сторон, прозвучивание поперечное, диаметр стержней до 10 мм</t>
  </si>
  <si>
    <t>ТЕРм39-02-010-02</t>
  </si>
  <si>
    <t>Ультразвуковая дефектоскопия закладных деталей одним преобразователем сварных соединений перлитного класса с двух сторон, прозвучивание поперечное, диаметр стержней до 16 мм</t>
  </si>
  <si>
    <t>ТЕРм39-02-010-03</t>
  </si>
  <si>
    <t>Ультразвуковая дефектоскопия закладных деталей одним преобразователем сварных соединений перлитного класса с двух сторон, прозвучивание поперечное, диаметр стержней до 25 мм</t>
  </si>
  <si>
    <t>ТЕРм39-02-010-04</t>
  </si>
  <si>
    <t>Ультразвуковая дефектоскопия закладных деталей одним преобразователем сварных соединений перлитного класса с двух сторон, прозвучивание поперечное, диаметр стержней до 40 мм</t>
  </si>
  <si>
    <t>ТЕРм39-02-010-05</t>
  </si>
  <si>
    <t>Ультразвуковая дефектоскопия закладных деталей одним преобразователем сварных соединений перлитного класса с двух сторон, прозвучивание поперечное, арматурная сталь</t>
  </si>
  <si>
    <t xml:space="preserve">                                   Измерение толщин металла ультразвуковым способом</t>
  </si>
  <si>
    <t>ТЕРм39-02-011-01</t>
  </si>
  <si>
    <t>Измерение толщин металла ультразвуковым способом</t>
  </si>
  <si>
    <t xml:space="preserve">                                   Рентгенографический контроль трубопроводов через две стенки</t>
  </si>
  <si>
    <t>ТЕРм39-02-012-01</t>
  </si>
  <si>
    <t>Рентгенографический контроль трубопровода через две стенки, диаметр трубопровода 60 мм, толщина стенки до 5 мм</t>
  </si>
  <si>
    <t>ТЕРм39-02-012-02</t>
  </si>
  <si>
    <t>Рентгенографический контроль трубопровода через две стенки, диаметр трубопровода 60 мм, толщина стенки до 11 мм</t>
  </si>
  <si>
    <t>ТЕРм39-02-012-03</t>
  </si>
  <si>
    <t>Рентгенографический контроль трубопровода через две стенки, диаметр трубопровода 114 мм, толщина стенки до 5 мм</t>
  </si>
  <si>
    <t>ТЕРм39-02-012-04</t>
  </si>
  <si>
    <t>Рентгенографический контроль трубопровода через две стенки, диаметр трубопровода 114 мм, толщина стенки до 10 мм</t>
  </si>
  <si>
    <t>ТЕРм39-02-012-05</t>
  </si>
  <si>
    <t>Рентгенографический контроль трубопровода через две стенки, диаметр трубопровода 114 мм, толщина стенки до 15 мм</t>
  </si>
  <si>
    <t>ТЕРм39-02-012-06</t>
  </si>
  <si>
    <t>Рентгенографический контроль трубопровода через две стенки, диаметр трубопровода 114 мм, толщина стенки до 20 мм</t>
  </si>
  <si>
    <t>ТЕРм39-02-012-07</t>
  </si>
  <si>
    <t>Рентгенографический контроль трубопровода через две стенки, диаметр трубопровода 159 мм, толщина стенки до 10 мм</t>
  </si>
  <si>
    <t>ТЕРм39-02-012-08</t>
  </si>
  <si>
    <t>Рентгенографический контроль трубопровода через две стенки, диаметр трубопровода 159 мм, толщина стенки до 15 мм</t>
  </si>
  <si>
    <t>ТЕРм39-02-012-09</t>
  </si>
  <si>
    <t>Рентгенографический контроль трубопровода через две стенки, диаметр трубопровода 159 мм, толщина стенки до 20 мм</t>
  </si>
  <si>
    <t>ТЕРм39-02-012-10</t>
  </si>
  <si>
    <t>Рентгенографический контроль трубопровода через две стенки, диаметр трубопровода 273 мм, толщина стенки до 10 мм</t>
  </si>
  <si>
    <t>ТЕРм39-02-012-11</t>
  </si>
  <si>
    <t>Рентгенографический контроль трубопровода через две стенки, диаметр трубопровода 273 мм, толщина стенки до 15 мм</t>
  </si>
  <si>
    <t>ТЕРм39-02-012-12</t>
  </si>
  <si>
    <t>Рентгенографический контроль трубопровода через две стенки, диаметр трубопровода 273 мм, толщина стенки до 20 мм</t>
  </si>
  <si>
    <t>ТЕРм39-02-012-13</t>
  </si>
  <si>
    <t>Рентгенографический контроль трубопровода через две стенки, диаметр трубопровода 377 мм, толщина стенки до 10 мм</t>
  </si>
  <si>
    <t>ТЕРм39-02-012-14</t>
  </si>
  <si>
    <t>Рентгенографический контроль трубопровода через две стенки, диаметр трубопровода 377 мм, толщина стенки до 15 мм</t>
  </si>
  <si>
    <t>ТЕРм39-02-012-15</t>
  </si>
  <si>
    <t>Рентгенографический контроль трубопровода через две стенки, диаметр трубопровода 377 мм, толщина стенки до 20 мм</t>
  </si>
  <si>
    <t>ТЕРм39-02-012-16</t>
  </si>
  <si>
    <t>Рентгенографический контроль трубопровода через две стенки, диаметр трубопровода 465 мм, толщина стенки до 10 мм</t>
  </si>
  <si>
    <t>ТЕРм39-02-012-17</t>
  </si>
  <si>
    <t>Рентгенографический контроль трубопровода через две стенки, диаметр трубопровода 465 мм, толщина стенки до 15 мм</t>
  </si>
  <si>
    <t>ТЕРм39-02-012-18</t>
  </si>
  <si>
    <t>Рентгенографический контроль трубопровода через две стенки, диаметр трубопровода 465 мм, толщина стенки до 20 мм</t>
  </si>
  <si>
    <t>ТЕРм39-02-012-19</t>
  </si>
  <si>
    <t>Рентгенографический контроль трубопровода через две стенки, диаметр трубопровода 550 мм, толщина стенки до 10 мм</t>
  </si>
  <si>
    <t>ТЕРм39-02-012-20</t>
  </si>
  <si>
    <t>Рентгенографический контроль трубопровода через две стенки, диаметр трубопровода 550 мм, толщина стенки до 15 мм</t>
  </si>
  <si>
    <t>ТЕРм39-02-012-21</t>
  </si>
  <si>
    <t>Рентгенографический контроль трубопровода через две стенки, диаметр трубопровода 550 мм, толщина стенки до 20 мм</t>
  </si>
  <si>
    <t>ТЕРм39-02-012-22</t>
  </si>
  <si>
    <t>Рентгенографический контроль трубопровода через две стенки, диаметр трубопровода 660 мм, толщина стенки до 10 мм</t>
  </si>
  <si>
    <t>ТЕРм39-02-012-23</t>
  </si>
  <si>
    <t>Рентгенографический контроль трубопровода через две стенки, диаметр трубопровода 660 мм, толщина стенки до 15 мм</t>
  </si>
  <si>
    <t>ТЕРм39-02-012-24</t>
  </si>
  <si>
    <t>Рентгенографический контроль трубопровода через две стенки, диаметр трубопровода 660 мм, толщина стенки до 20 мм</t>
  </si>
  <si>
    <t xml:space="preserve">                                   Рентгенографический контроль трубопроводов через одну стенку</t>
  </si>
  <si>
    <t>ТЕРм39-02-013-01</t>
  </si>
  <si>
    <t>Рентгенографический контроль трубопровода через одну стенку, толщина стенки до 5 мм</t>
  </si>
  <si>
    <t>ТЕРм39-02-013-02</t>
  </si>
  <si>
    <t>Рентгенографический контроль трубопровода через одну стенку, толщина стенки до 10 мм</t>
  </si>
  <si>
    <t>ТЕРм39-02-013-03</t>
  </si>
  <si>
    <t>Рентгенографический контроль трубопровода через одну стенку, толщина стенки до 15 мм</t>
  </si>
  <si>
    <t>ТЕРм39-02-013-04</t>
  </si>
  <si>
    <t>Рентгенографический контроль трубопровода через одну стенку, толщина стенки до 20 мм</t>
  </si>
  <si>
    <t>ТЕРм39-02-013-05</t>
  </si>
  <si>
    <t>Рентгенографический контроль трубопровода через одну стенку, толщина стенки до 30 мм</t>
  </si>
  <si>
    <t>ТЕРм39-02-013-06</t>
  </si>
  <si>
    <t>Рентгенографический контроль трубопровода через одну стенку, толщина стенки до 40 мм</t>
  </si>
  <si>
    <t xml:space="preserve">                                   Рентгенографический контроль оборудования и конструкций</t>
  </si>
  <si>
    <t>ТЕРм39-02-014-01</t>
  </si>
  <si>
    <t>Рентгенографический контроль оборудования и конструкций, толщина металла до 5 мм</t>
  </si>
  <si>
    <t>ТЕРм39-02-014-02</t>
  </si>
  <si>
    <t>Рентгенографический контроль оборудования и конструкций, толщина металла до 10 мм</t>
  </si>
  <si>
    <t>ТЕРм39-02-014-03</t>
  </si>
  <si>
    <t>Рентгенографический контроль оборудования и конструкций, толщина металла до 15 мм</t>
  </si>
  <si>
    <t>ТЕРм39-02-014-04</t>
  </si>
  <si>
    <t>Рентгенографический контроль оборудования и конструкций, толщина металла до 20 мм</t>
  </si>
  <si>
    <t>ТЕРм39-02-014-05</t>
  </si>
  <si>
    <t>Рентгенографический контроль оборудования и конструкций, толщина металла до 30 мм</t>
  </si>
  <si>
    <t>ТЕРм39-02-014-06</t>
  </si>
  <si>
    <t>Рентгенографический контроль оборудования и конструкций, толщина металла до 40 мм</t>
  </si>
  <si>
    <t xml:space="preserve">                                   Гаммаграфический контроль трубопроводов через две стенки</t>
  </si>
  <si>
    <t>ТЕРм39-02-015-01</t>
  </si>
  <si>
    <t>Гаммаграфический контроль трубопровода через две стенки, диаметр трубопровода 25 мм, толщина стенки до 4 мм</t>
  </si>
  <si>
    <t>ТЕРм39-02-015-02</t>
  </si>
  <si>
    <t>Гаммаграфический контроль трубопровода через две стенки, диаметр трубопровода 60 мм, толщина стенки до 5 мм</t>
  </si>
  <si>
    <t>ТЕРм39-02-015-03</t>
  </si>
  <si>
    <t>Гаммаграфический контроль трубопровода через две стенки, диаметр трубопровода 60 мм, толщина стенки до 11 мм</t>
  </si>
  <si>
    <t>ТЕРм39-02-015-04</t>
  </si>
  <si>
    <t>Гаммаграфический контроль трубопровода через две стенки, диаметр трубопровода 108 мм, толщина стенки до 5 мм</t>
  </si>
  <si>
    <t>ТЕРм39-02-015-05</t>
  </si>
  <si>
    <t>Гаммаграфический контроль трубопровода через две стенки, диаметр трубопровода 108 мм, толщина стенки до 10 мм</t>
  </si>
  <si>
    <t>ТЕРм39-02-015-06</t>
  </si>
  <si>
    <t>Гаммаграфический контроль трубопровода через две стенки, диаметр трубопровода 108 мм, толщина стенки до 15 мм</t>
  </si>
  <si>
    <t>ТЕРм39-02-015-07</t>
  </si>
  <si>
    <t>Гаммаграфический контроль трубопровода через две стенки, диаметр трубопровода 108 мм, толщина стенки до 20 мм</t>
  </si>
  <si>
    <t>ТЕРм39-02-015-08</t>
  </si>
  <si>
    <t>Гаммаграфический контроль трубопровода через две стенки, диаметр трубопровода 108 мм, толщина стенки до 30 мм</t>
  </si>
  <si>
    <t>ТЕРм39-02-015-09</t>
  </si>
  <si>
    <t>Гаммаграфический контроль трубопровода через две стенки, диаметр трубопровода 159 мм, толщина стенки до 10 мм</t>
  </si>
  <si>
    <t>ТЕРм39-02-015-10</t>
  </si>
  <si>
    <t>Гаммаграфический контроль трубопровода через две стенки, диаметр трубопровода 159 мм, толщина стенки до 15 мм</t>
  </si>
  <si>
    <t>ТЕРм39-02-015-11</t>
  </si>
  <si>
    <t>Гаммаграфический контроль трубопровода через две стенки, диаметр трубопровода 159 мм, толщина стенки до 20 мм</t>
  </si>
  <si>
    <t>ТЕРм39-02-015-12</t>
  </si>
  <si>
    <t>Гаммаграфический контроль трубопровода через две стенки, диаметр трубопровода 159 мм, толщина стенки до 30 мм</t>
  </si>
  <si>
    <t>ТЕРм39-02-015-13</t>
  </si>
  <si>
    <t>Гаммаграфический контроль трубопровода через две стенки, диаметр трубопровода 159 мм, толщина стенки до 40 мм</t>
  </si>
  <si>
    <t>ТЕРм39-02-015-14</t>
  </si>
  <si>
    <t>Гаммаграфический контроль трубопровода через две стенки, диаметр трубопровода 273 мм, толщина стенки до 10 мм</t>
  </si>
  <si>
    <t>ТЕРм39-02-015-15</t>
  </si>
  <si>
    <t>Гаммаграфический контроль трубопровода через две стенки, диаметр трубопровода 273 мм, толщина стенки до 15 мм</t>
  </si>
  <si>
    <t>ТЕРм39-02-015-16</t>
  </si>
  <si>
    <t>Гаммаграфический контроль трубопровода через две стенки, диаметр трубопровода 273 мм, толщина стенки до 20 мм</t>
  </si>
  <si>
    <t>ТЕРм39-02-015-17</t>
  </si>
  <si>
    <t>Гаммаграфический контроль трубопровода через две стенки, диаметр трубопровода 273 мм, толщина стенки до 30 мм</t>
  </si>
  <si>
    <t>ТЕРм39-02-015-18</t>
  </si>
  <si>
    <t>Гаммаграфический контроль трубопровода через две стенки, диаметр трубопровода 273 мм, толщина стенки до 40 мм</t>
  </si>
  <si>
    <t>ТЕРм39-02-015-19</t>
  </si>
  <si>
    <t>Гаммаграфический контроль трубопровода через две стенки, диаметр трубопровода 377 мм, толщина стенки до 10 мм</t>
  </si>
  <si>
    <t>ТЕРм39-02-015-20</t>
  </si>
  <si>
    <t>Гаммаграфический контроль трубопровода через две стенки, диаметр трубопровода 377 мм, толщина стенки до 15 мм</t>
  </si>
  <si>
    <t>ТЕРм39-02-015-21</t>
  </si>
  <si>
    <t>Гаммаграфический контроль трубопровода через две стенки, диаметр трубопровода 377 мм, толщина стенки до 20 мм</t>
  </si>
  <si>
    <t>ТЕРм39-02-015-22</t>
  </si>
  <si>
    <t>Гаммаграфический контроль трубопровода через две стенки, диаметр трубопровода 377 мм, толщина стенки до 30 мм</t>
  </si>
  <si>
    <t>ТЕРм39-02-015-23</t>
  </si>
  <si>
    <t>Гаммаграфический контроль трубопровода через две стенки, диаметр трубопровода 377 мм, толщина стенки до 40 мм</t>
  </si>
  <si>
    <t>ТЕРм39-02-015-24</t>
  </si>
  <si>
    <t>Гаммаграфический контроль трубопровода через две стенки, диаметр трубопровода 465 мм, толщина стенки до 10 мм</t>
  </si>
  <si>
    <t>ТЕРм39-02-015-25</t>
  </si>
  <si>
    <t>Гаммаграфический контроль трубопровода через две стенки, диаметр трубопровода 465 мм, толщина стенки до 15 мм</t>
  </si>
  <si>
    <t>ТЕРм39-02-015-26</t>
  </si>
  <si>
    <t>Гаммаграфический контроль трубопровода через две стенки, диаметр трубопровода 465 мм, толщина стенки до 20 мм</t>
  </si>
  <si>
    <t>ТЕРм39-02-015-27</t>
  </si>
  <si>
    <t>Гаммаграфический контроль трубопровода через две стенки, диаметр трубопровода 465 мм, толщина стенки до 30 мм</t>
  </si>
  <si>
    <t>ТЕРм39-02-015-28</t>
  </si>
  <si>
    <t>Гаммаграфический контроль трубопровода через две стенки, диаметр трубопровода 465 мм, толщина стенки до 40 мм</t>
  </si>
  <si>
    <t>ТЕРм39-02-015-29</t>
  </si>
  <si>
    <t>Гаммаграфический контроль трубопровода через две стенки, диаметр трубопровода 550 мм, толщина стенки до 10 мм</t>
  </si>
  <si>
    <t>ТЕРм39-02-015-30</t>
  </si>
  <si>
    <t>Гаммаграфический контроль трубопровода через две стенки, диаметр трубопровода 550 мм, толщина стенки до 15 мм</t>
  </si>
  <si>
    <t>ТЕРм39-02-015-31</t>
  </si>
  <si>
    <t>Гаммаграфический контроль трубопровода через две стенки, диаметр трубопровода 550 мм, толщина стенки до 20 мм</t>
  </si>
  <si>
    <t>ТЕРм39-02-015-32</t>
  </si>
  <si>
    <t>Гаммаграфический контроль трубопровода через две стенки, диаметр трубопровода 550 мм, толщина стенки до 30 мм</t>
  </si>
  <si>
    <t>ТЕРм39-02-015-33</t>
  </si>
  <si>
    <t>Гаммаграфический контроль трубопровода через две стенки, диаметр трубопровода 680 мм, толщина стенки до 10 мм</t>
  </si>
  <si>
    <t>ТЕРм39-02-015-34</t>
  </si>
  <si>
    <t>Гаммаграфический контроль трубопровода через две стенки, диаметр трубопровода 680 мм, толщина стенки до 15 мм</t>
  </si>
  <si>
    <t>ТЕРм39-02-015-35</t>
  </si>
  <si>
    <t>Гаммаграфический контроль трубопровода через две стенки, диаметр трубопровода 680 мм, толщина стенки до 20 мм</t>
  </si>
  <si>
    <t>ТЕРм39-02-015-36</t>
  </si>
  <si>
    <t>Гаммаграфический контроль трубопровода через две стенки, диаметр трубопровода 680 мм, толщина стенки до 30 мм</t>
  </si>
  <si>
    <t xml:space="preserve">                                   Гаммаграфический контроль трубопроводов через одну стенку</t>
  </si>
  <si>
    <t>ТЕРм39-02-016-01</t>
  </si>
  <si>
    <t>Гаммаграфический контроль трубопровода через одну стенку, толщина стенки до 2 мм</t>
  </si>
  <si>
    <t>ТЕРм39-02-016-02</t>
  </si>
  <si>
    <t>Гаммаграфический контроль трубопровода через одну стенку, толщина стенки до 5 мм</t>
  </si>
  <si>
    <t>ТЕРм39-02-016-03</t>
  </si>
  <si>
    <t>Гаммаграфический контроль трубопровода через одну стенку, толщина стенки до 10 мм</t>
  </si>
  <si>
    <t>ТЕРм39-02-016-04</t>
  </si>
  <si>
    <t>Гаммаграфический контроль трубопровода через одну стенку, толщина стенки до 15 мм</t>
  </si>
  <si>
    <t>ТЕРм39-02-016-05</t>
  </si>
  <si>
    <t>Гаммаграфический контроль трубопровода через одну стенку, толщина стенки до 20 мм</t>
  </si>
  <si>
    <t>ТЕРм39-02-016-06</t>
  </si>
  <si>
    <t>Гаммаграфический контроль трубопровода через одну стенку, толщина стенки до 30 мм</t>
  </si>
  <si>
    <t>ТЕРм39-02-016-07</t>
  </si>
  <si>
    <t>Гаммаграфический контроль трубопровода через одну стенку, толщина стенки до 40 мм</t>
  </si>
  <si>
    <t>ТЕРм39-02-016-08</t>
  </si>
  <si>
    <t>Гаммаграфический контроль трубопровода через одну стенку, толщина стенки до 50 мм</t>
  </si>
  <si>
    <t>ТЕРм39-02-016-09</t>
  </si>
  <si>
    <t>Гаммаграфический контроль трубопровода через одну стенку, толщина стенки до 60 мм</t>
  </si>
  <si>
    <t>ТЕРм39-02-016-10</t>
  </si>
  <si>
    <t>Гаммаграфический контроль трубопровода через одну стенку, толщина стенки до 70 мм</t>
  </si>
  <si>
    <t>ТЕРм39-02-016-11</t>
  </si>
  <si>
    <t>Гаммаграфический контроль трубопровода через одну стенку, толщина стенки до 80 мм</t>
  </si>
  <si>
    <t>ТЕРм39-02-016-12</t>
  </si>
  <si>
    <t>Гаммаграфический контроль трубопровода через одну стенку, толщина стенки до 90 мм</t>
  </si>
  <si>
    <t xml:space="preserve">                                   Гаммаграфический контроль трубопроводов, панорамное просвечивание</t>
  </si>
  <si>
    <t>ТЕРм39-02-017-01</t>
  </si>
  <si>
    <t>Гаммаграфический контроль трубопровода, панорамное просвечивание, диаметр трубопровода 550 мм, толщина стенки до 10 мм</t>
  </si>
  <si>
    <t>ТЕРм39-02-017-02</t>
  </si>
  <si>
    <t>Гаммаграфический контроль трубопровода, панорамное просвечивание, диаметр трубопровода 550 мм, толщина стенки до 20 мм</t>
  </si>
  <si>
    <t>ТЕРм39-02-017-03</t>
  </si>
  <si>
    <t>Гаммаграфический контроль трубопровода, панорамное просвечивание, диаметр трубопровода 550 мм, толщина стенки до 30 мм</t>
  </si>
  <si>
    <t>ТЕРм39-02-017-04</t>
  </si>
  <si>
    <t>Гаммаграфический контроль трубопровода, панорамное просвечивание, диаметр трубопровода 550 мм, толщина стенки до 40 мм</t>
  </si>
  <si>
    <t>ТЕРм39-02-017-05</t>
  </si>
  <si>
    <t>Гаммаграфический контроль трубопровода, панорамное просвечивание, диаметр трубопровода 550 мм, толщина стенки до 50 мм</t>
  </si>
  <si>
    <t>ТЕРм39-02-017-06</t>
  </si>
  <si>
    <t>Гаммаграфический контроль трубопровода, панорамное просвечивание, диаметр трубопровода 550 мм, толщина стенки до 70 мм</t>
  </si>
  <si>
    <t>ТЕРм39-02-017-07</t>
  </si>
  <si>
    <t>Гаммаграфический контроль трубопровода, панорамное просвечивание, диаметр трубопровода 550 мм, толщина стенки до 90 мм</t>
  </si>
  <si>
    <t>ТЕРм39-02-017-08</t>
  </si>
  <si>
    <t>Гаммаграфический контроль трубопровода, панорамное просвечивание, диаметр трубопровода 1020 мм, толщина стенки до 10 мм</t>
  </si>
  <si>
    <t>ТЕРм39-02-017-09</t>
  </si>
  <si>
    <t>Гаммаграфический контроль трубопровода, панорамное просвечивание, диаметр трубопровода 1020 мм, толщина стенки до 20 мм</t>
  </si>
  <si>
    <t>ТЕРм39-02-017-10</t>
  </si>
  <si>
    <t>Гаммаграфический контроль трубопровода, панорамное просвечивание, диаметр трубопровода 1020 мм, толщина стенки до 30 мм</t>
  </si>
  <si>
    <t>ТЕРм39-02-017-11</t>
  </si>
  <si>
    <t>Гаммаграфический контроль трубопровода, панорамное просвечивание, диаметр трубопровода 1020 мм, толщина стенки до 40 мм</t>
  </si>
  <si>
    <t>ТЕРм39-02-017-12</t>
  </si>
  <si>
    <t>Гаммаграфический контроль трубопровода, панорамное просвечивание, диаметр трубопровода 1020 мм, толщина стенки до 50 мм</t>
  </si>
  <si>
    <t>ТЕРм39-02-017-13</t>
  </si>
  <si>
    <t>Гаммаграфический контроль трубопровода, панорамное просвечивание, диаметр трубопровода 1020 мм, толщина стенки до 70 мм</t>
  </si>
  <si>
    <t>ТЕРм39-02-017-14</t>
  </si>
  <si>
    <t>Гаммаграфический контроль трубопровода, панорамное просвечивание, диаметр трубопровода 1020 мм, толщина стенки до 90 мм</t>
  </si>
  <si>
    <t xml:space="preserve">                                   Гаммаграфический контроль оборудования и конструкций</t>
  </si>
  <si>
    <t>ТЕРм39-02-018-01</t>
  </si>
  <si>
    <t>Гаммаграфический контроль оборудования и конструкций, толщина металла до 5 мм</t>
  </si>
  <si>
    <t>ТЕРм39-02-018-02</t>
  </si>
  <si>
    <t>Гаммаграфический контроль оборудования и конструкций, толщина металла до 10 мм</t>
  </si>
  <si>
    <t>ТЕРм39-02-018-03</t>
  </si>
  <si>
    <t>Гаммаграфический контроль оборудования и конструкций, толщина металла до 15 мм</t>
  </si>
  <si>
    <t>ТЕРм39-02-018-04</t>
  </si>
  <si>
    <t>Гаммаграфический контроль оборудования и конструкций, толщина металла до 20 мм</t>
  </si>
  <si>
    <t>ТЕРм39-02-018-05</t>
  </si>
  <si>
    <t>Гаммаграфический контроль оборудования и конструкций, толщина металла до 30 мм</t>
  </si>
  <si>
    <t>ТЕРм39-02-018-06</t>
  </si>
  <si>
    <t>Гаммаграфический контроль оборудования и конструкций, толщина металла до 40 мм</t>
  </si>
  <si>
    <t>ТЕРм39-02-018-07</t>
  </si>
  <si>
    <t>Гаммаграфический контроль оборудования и конструкций, толщина металла до 50 мм</t>
  </si>
  <si>
    <t>ТЕРм39-02-018-08</t>
  </si>
  <si>
    <t>Гаммаграфический контроль оборудования и конструкций, толщина металла до 60 мм</t>
  </si>
  <si>
    <t>ТЕРм39-02-018-09</t>
  </si>
  <si>
    <t>Гаммаграфический контроль оборудования и конструкций, толщина металла до 70 мм</t>
  </si>
  <si>
    <t xml:space="preserve">                                   Гаммаграфический контроль арматурной стали</t>
  </si>
  <si>
    <t>ТЕРм39-02-019-01</t>
  </si>
  <si>
    <t>Гаммаграфический контроль арматурной стали, диаметр до 22 мм</t>
  </si>
  <si>
    <t>ТЕРм39-02-019-02</t>
  </si>
  <si>
    <t>Гаммаграфический контроль арматурной стали, диаметр до 32 мм</t>
  </si>
  <si>
    <t>ТЕРм39-02-019-03</t>
  </si>
  <si>
    <t>Гаммаграфический контроль арматурной стали, диаметр до 40 мм</t>
  </si>
  <si>
    <t xml:space="preserve">                                   Контроль плотности способом керосиновой пробы</t>
  </si>
  <si>
    <t>ТЕРм39-02-020-01</t>
  </si>
  <si>
    <t>Контроль плотности способом керосиновой пробы, положение сварного соединения нижнее</t>
  </si>
  <si>
    <t>ТЕРм39-02-020-02</t>
  </si>
  <si>
    <t>Контроль плотности способом керосиновой пробы, положение сварного соединения вертикальное</t>
  </si>
  <si>
    <t>ТЕРм39-02-020-03</t>
  </si>
  <si>
    <t>Контроль плотности способом керосиновой пробы, положение сварного соединения потолочное</t>
  </si>
  <si>
    <t>ТЕРм39-02-020-04</t>
  </si>
  <si>
    <t>Контроль плотности способом керосиновой пробы, положение сварного соединения кольцевые швы</t>
  </si>
  <si>
    <t xml:space="preserve">                                   Испытание вакуум-камерой</t>
  </si>
  <si>
    <t>ТЕРм39-02-021-01</t>
  </si>
  <si>
    <t>Испытание оборудования вакуум-камерой, положение сварного соединения нижнее</t>
  </si>
  <si>
    <t>ТЕРм39-02-021-02</t>
  </si>
  <si>
    <t>Испытание оборудования вакуум-камерой, положение сварного соединения вертикальное и горизонтальное на вертикальной плоскости</t>
  </si>
  <si>
    <t>ТЕРм39-02-021-03</t>
  </si>
  <si>
    <t>Испытание оборудования вакуум-камерой, положение сварного соединения потолочное</t>
  </si>
  <si>
    <t xml:space="preserve">                                   Контроль методом гелиевой или вакуумной камеры</t>
  </si>
  <si>
    <t>ТЕРм39-02-022-01</t>
  </si>
  <si>
    <t>Контроль трубопроводов методом гелиевой или вакуумной камеры, диаметр до 60 мм</t>
  </si>
  <si>
    <t>ТЕРм39-02-022-02</t>
  </si>
  <si>
    <t>Контроль трубопроводов методом гелиевой или вакуумной камеры, диаметр до 159 мм</t>
  </si>
  <si>
    <t xml:space="preserve">                                   Измерение твёрдости металла шва</t>
  </si>
  <si>
    <t>ТЕРм39-02-023-01</t>
  </si>
  <si>
    <t>Измерение твёрдости металла шва</t>
  </si>
  <si>
    <t xml:space="preserve">                           Раздел 3. ОТДЕЛ 03. КОНТРОЛЬ МОНТАЖНЫХ СВАРНЫХ СОЕДИНЕНИЙ РАЗРУШАЮЩИМИ МЕТОДАМИ</t>
  </si>
  <si>
    <t xml:space="preserve">                                   Механические испытания</t>
  </si>
  <si>
    <t>ТЕРм39-03-001-01</t>
  </si>
  <si>
    <t>Механическое испытание на растяжение, сталь перлитная, толщина стенки до 12 мм</t>
  </si>
  <si>
    <t>ТЕРм39-03-001-02</t>
  </si>
  <si>
    <t>Механическое испытание на растяжение, сталь перлитная, толщина стенки до 30 мм</t>
  </si>
  <si>
    <t>ТЕРм39-03-001-03</t>
  </si>
  <si>
    <t>Механическое испытание на растяжение, сталь перлитная, толщина стенки до 50 мм</t>
  </si>
  <si>
    <t>ТЕРм39-03-001-04</t>
  </si>
  <si>
    <t>Механическое испытание на растяжение, сталь перлитная, толщина стенки до 90 мм</t>
  </si>
  <si>
    <t>ТЕРм39-03-001-05</t>
  </si>
  <si>
    <t>Механическое испытание на растяжение, сталь аустенитная, толщина стенки до 12 мм</t>
  </si>
  <si>
    <t>ТЕРм39-03-001-06</t>
  </si>
  <si>
    <t>Механическое испытание на растяжение, сталь аустенитная, толщина стенки до 30 мм</t>
  </si>
  <si>
    <t>ТЕРм39-03-001-07</t>
  </si>
  <si>
    <t>Механическое испытание на растяжение, сталь аустенитная, толщина стенки до 50 мм</t>
  </si>
  <si>
    <t>ТЕРм39-03-001-08</t>
  </si>
  <si>
    <t>Механическое испытание на изгиб, сталь перлитная, толщина стенки до 12 мм</t>
  </si>
  <si>
    <t>ТЕРм39-03-001-09</t>
  </si>
  <si>
    <t>Механическое испытание на изгиб, сталь перлитная, толщина стенки до 30 мм</t>
  </si>
  <si>
    <t>ТЕРм39-03-001-10</t>
  </si>
  <si>
    <t>Механическое испытание на изгиб, сталь перлитная, толщина стенки до 50 мм</t>
  </si>
  <si>
    <t>ТЕРм39-03-001-11</t>
  </si>
  <si>
    <t>Механическое испытание на изгиб, сталь перлитная, толщина стенки до 90 мм</t>
  </si>
  <si>
    <t>ТЕРм39-03-001-12</t>
  </si>
  <si>
    <t>Механическое испытание на изгиб, сталь аустенитная, толщина стенки до 12 мм</t>
  </si>
  <si>
    <t>ТЕРм39-03-001-13</t>
  </si>
  <si>
    <t>Механическое испытание на изгиб, сталь аустенитная, толщина стенки до 30 мм</t>
  </si>
  <si>
    <t>ТЕРм39-03-001-14</t>
  </si>
  <si>
    <t>Механическое испытание на изгиб, сталь аустенитная, толщина стенки до 50 мм</t>
  </si>
  <si>
    <t>ТЕРм39-03-001-15</t>
  </si>
  <si>
    <t>Механическое испытание на ударную вязкость, сталь перлитная, толщина стенки до 90 мм</t>
  </si>
  <si>
    <t>ТЕРм39-03-001-16</t>
  </si>
  <si>
    <t>Механическое испытание на ударную вязкость, сталь аустенитная, толщина стенки до 50 мм</t>
  </si>
  <si>
    <t>ТЕРм39-03-001-17</t>
  </si>
  <si>
    <t>Механическое испытание на растяжение образца Гагарина, сталь перлитная, толщина стенки до 90 мм</t>
  </si>
  <si>
    <t>ТЕРм39-03-001-18</t>
  </si>
  <si>
    <t>Механическое испытание на растяжение образца Гагарина, сталь аустенитная, толщина стенки до 50 мм</t>
  </si>
  <si>
    <t>ТЕРм39-03-001-19</t>
  </si>
  <si>
    <t>Механическое испытание на сплющивание, сталь перлитная, толщина стенки до 90 мм</t>
  </si>
  <si>
    <t>ТЕРм39-03-001-20</t>
  </si>
  <si>
    <t>Механическое испытание на сплющивание, сталь аустенитная, толщина стенки до 50 мм</t>
  </si>
  <si>
    <t xml:space="preserve">                                   Металлографические исследования</t>
  </si>
  <si>
    <t>ТЕРм39-03-002-01</t>
  </si>
  <si>
    <t>Исследование на макро- и микроструктуру на одном образце, сталь перлитная, толщина стенки до 8 мм</t>
  </si>
  <si>
    <t>ТЕРм39-03-002-02</t>
  </si>
  <si>
    <t>Исследование на макро- и микроструктуру на одном образце, сталь перлитная, толщина стенки до 15 мм</t>
  </si>
  <si>
    <t>ТЕРм39-03-002-03</t>
  </si>
  <si>
    <t>Исследование на макро- и микроструктуру на одном образце, сталь перлитная, толщина стенки до 30 мм</t>
  </si>
  <si>
    <t>ТЕРм39-03-002-04</t>
  </si>
  <si>
    <t>Исследование на макро- и микроструктуру на одном образце, сталь перлитная, толщина стенки до 50 мм</t>
  </si>
  <si>
    <t>ТЕРм39-03-002-05</t>
  </si>
  <si>
    <t>Исследование на макро- и микроструктуру на одном образце, сталь перлитная, толщина стенки свыше 50 мм</t>
  </si>
  <si>
    <t>ТЕРм39-03-002-06</t>
  </si>
  <si>
    <t>Исследование на макро- и микроструктуру на одном образце, сталь аустенитная, толщина стенки до 8 мм</t>
  </si>
  <si>
    <t>ТЕРм39-03-002-07</t>
  </si>
  <si>
    <t>Исследование на макро- и микроструктуру на одном образце, сталь аустенитная, толщина стенки до 15 мм</t>
  </si>
  <si>
    <t>ТЕРм39-03-002-08</t>
  </si>
  <si>
    <t>Исследование на макро- и микроструктуру на одном образце, сталь аустенитная, толщина стенки до 30 мм</t>
  </si>
  <si>
    <t>ТЕРм39-03-002-09</t>
  </si>
  <si>
    <t>Исследование на макро- и микроструктуру на одном образце, сталь аустенитная, толщина стенки до 50 мм</t>
  </si>
  <si>
    <t>ТЕРм39-03-002-10</t>
  </si>
  <si>
    <t>Исследование на макро- и микроструктуру на одном образце, сталь аустенитная, толщина стенки свыше 50 мм</t>
  </si>
  <si>
    <t>ТЕРм39-03-002-11</t>
  </si>
  <si>
    <t>Исследование на макроструктуру, сталь перлитная, толщина стенки до 8 мм</t>
  </si>
  <si>
    <t>ТЕРм39-03-002-12</t>
  </si>
  <si>
    <t>Исследование на макроструктуру, сталь перлитная, толщина стенки до 15 мм</t>
  </si>
  <si>
    <t>ТЕРм39-03-002-13</t>
  </si>
  <si>
    <t>Исследование на макроструктуру, сталь перлитная, толщина стенки до 30 мм</t>
  </si>
  <si>
    <t>ТЕРм39-03-002-14</t>
  </si>
  <si>
    <t>Исследование на макроструктуру, сталь перлитная, толщина стенки до 50 мм</t>
  </si>
  <si>
    <t>ТЕРм39-03-002-15</t>
  </si>
  <si>
    <t>Исследование на макроструктуру, сталь перлитная, толщина стенки свыше 50 мм</t>
  </si>
  <si>
    <t>ТЕРм39-03-002-16</t>
  </si>
  <si>
    <t>Исследование на макроструктуру, сталь аустенитная, толщина стенки до 8 мм</t>
  </si>
  <si>
    <t>ТЕРм39-03-002-17</t>
  </si>
  <si>
    <t>Исследование на макроструктуру, сталь аустенитная, толщина стенки до 15 мм</t>
  </si>
  <si>
    <t>ТЕРм39-03-002-18</t>
  </si>
  <si>
    <t>Исследование на макроструктуру, сталь аустенитная, толщина стенки до 30 мм</t>
  </si>
  <si>
    <t>ТЕРм39-03-002-19</t>
  </si>
  <si>
    <t>Исследование на макроструктуру, сталь аустенитная, толщина стенки до 50 мм</t>
  </si>
  <si>
    <t>ТЕРм39-03-002-20</t>
  </si>
  <si>
    <t>Исследование на макроструктуру, сталь аустенитная, толщина стенки свыше 50 мм</t>
  </si>
  <si>
    <t>ТЕРм39-03-002-21</t>
  </si>
  <si>
    <t>Исследование на микроструктуру, сталь перлитная, толщина стенки до 8 мм</t>
  </si>
  <si>
    <t>ТЕРм39-03-002-22</t>
  </si>
  <si>
    <t>Исследование на микроструктуру, сталь перлитная, толщина стенки до 15 мм</t>
  </si>
  <si>
    <t>ТЕРм39-03-002-23</t>
  </si>
  <si>
    <t>Исследование на микроструктуру, сталь перлитная, толщина стенки до 30 мм</t>
  </si>
  <si>
    <t>ТЕРм39-03-002-24</t>
  </si>
  <si>
    <t>Исследование на микроструктуру, сталь перлитная, толщина стенки до 50 мм</t>
  </si>
  <si>
    <t>ТЕРм39-03-002-25</t>
  </si>
  <si>
    <t>Исследование на микроструктуру, сталь перлитная, толщина стенки свыше 50 мм</t>
  </si>
  <si>
    <t>ТЕРм39-03-002-26</t>
  </si>
  <si>
    <t>Исследование на микроструктуру, сталь аустенитная, толщина стенки до 8 мм</t>
  </si>
  <si>
    <t>ТЕРм39-03-002-27</t>
  </si>
  <si>
    <t>Исследование на микроструктуру, сталь аустенитная, толщина стенки до 15 мм</t>
  </si>
  <si>
    <t>ТЕРм39-03-002-28</t>
  </si>
  <si>
    <t>Исследование на микроструктуру, сталь аустенитная, толщина стенки до 30 мм</t>
  </si>
  <si>
    <t>ТЕРм39-03-002-29</t>
  </si>
  <si>
    <t>Исследование на микроструктуру, сталь аустенитная, толщина стенки до 50 мм</t>
  </si>
  <si>
    <t>ТЕРм39-03-002-30</t>
  </si>
  <si>
    <t>Исследование на микроструктуру, сталь аустенитная, толщина стенки свыше 50 мм</t>
  </si>
  <si>
    <t xml:space="preserve">                                   Испытания на межкристаллитную коррозию</t>
  </si>
  <si>
    <t>ТЕРм39-03-003-01</t>
  </si>
  <si>
    <t>Испытание на межкристаллитную коррозию без провоцирующего нагрева</t>
  </si>
  <si>
    <t>ТЕРм39-03-003-02</t>
  </si>
  <si>
    <t>Испытание на межкристаллитную коррозию с провоцирующим нагревом</t>
  </si>
  <si>
    <t xml:space="preserve">                           Раздел 4. ОТДЕЛ 04. ИЗГОТОВЛЕНИЕ ОБРАЗЦОВ ДЛЯ ИСПЫТАНИЯ МОНТАЖНЫХ СВАРНЫХ СОЕДИНЕНИЙ</t>
  </si>
  <si>
    <t xml:space="preserve">                                   Изготовление образцов для механических испытаний</t>
  </si>
  <si>
    <t>ТЕРм39-04-001-01</t>
  </si>
  <si>
    <t>Изготовление образцов для испытания на разрыв, толщина стенки до 6 мм</t>
  </si>
  <si>
    <t>ТЕРм39-04-001-02</t>
  </si>
  <si>
    <t>Изготовление образцов для испытания на разрыв, толщина стенки до 10 мм</t>
  </si>
  <si>
    <t>ТЕРм39-04-001-03</t>
  </si>
  <si>
    <t>Изготовление образцов для испытания на разрыв, толщина стенки до 14 мм</t>
  </si>
  <si>
    <t>ТЕРм39-04-001-04</t>
  </si>
  <si>
    <t>Изготовление образцов для испытания на разрыв, толщина стенки до 20 мм</t>
  </si>
  <si>
    <t>ТЕРм39-04-001-05</t>
  </si>
  <si>
    <t>Изготовление образцов для испытания на разрыв, толщина стенки до 24 мм</t>
  </si>
  <si>
    <t>ТЕРм39-04-001-06</t>
  </si>
  <si>
    <t>Изготовление образцов для испытания на разрыв, толщина стенки до 32 мм</t>
  </si>
  <si>
    <t>ТЕРм39-04-001-07</t>
  </si>
  <si>
    <t>Изготовление образцов для испытания на разрыв, толщина стенки до 40 мм</t>
  </si>
  <si>
    <t>ТЕРм39-04-001-08</t>
  </si>
  <si>
    <t>Изготовление образцов для испытания на разрыв, толщина стенки до 50 мм</t>
  </si>
  <si>
    <t>ТЕРм39-04-001-09</t>
  </si>
  <si>
    <t>Изготовление образцов для испытания на разрыв, толщина стенки до 60 мм</t>
  </si>
  <si>
    <t>ТЕРм39-04-001-10</t>
  </si>
  <si>
    <t>Изготовление образцов для испытания на разрыв, толщина стенки до 70 мм</t>
  </si>
  <si>
    <t>ТЕРм39-04-001-11</t>
  </si>
  <si>
    <t>Изготовление образцов для испытания на разрыв, толщина стенки до 90 мм</t>
  </si>
  <si>
    <t>ТЕРм39-04-001-12</t>
  </si>
  <si>
    <t>Изготовление образцов для испытания на изгиб, толщина стенки до 6 мм</t>
  </si>
  <si>
    <t>ТЕРм39-04-001-13</t>
  </si>
  <si>
    <t>Изготовление образцов для испытания на изгиб, толщина стенки до 10 мм</t>
  </si>
  <si>
    <t>ТЕРм39-04-001-14</t>
  </si>
  <si>
    <t>Изготовление образцов для испытания на изгиб, толщина стенки до 14 мм</t>
  </si>
  <si>
    <t>ТЕРм39-04-001-15</t>
  </si>
  <si>
    <t>Изготовление образцов для испытания на изгиб, толщина стенки до 20 мм</t>
  </si>
  <si>
    <t>ТЕРм39-04-001-16</t>
  </si>
  <si>
    <t>Изготовление образцов для испытания на изгиб, толщина стенки до 24 мм</t>
  </si>
  <si>
    <t>ТЕРм39-04-001-17</t>
  </si>
  <si>
    <t>Изготовление образцов для испытания на изгиб, толщина стенки до 32 мм</t>
  </si>
  <si>
    <t>ТЕРм39-04-001-18</t>
  </si>
  <si>
    <t>Изготовление образцов для испытания на изгиб, толщина стенки до 40 мм</t>
  </si>
  <si>
    <t>ТЕРм39-04-001-19</t>
  </si>
  <si>
    <t>Изготовление образцов для испытания на изгиб, толщина стенки до 50 мм</t>
  </si>
  <si>
    <t>ТЕРм39-04-001-20</t>
  </si>
  <si>
    <t>Изготовление образцов для испытания на изгиб, толщина стенки до 60 мм</t>
  </si>
  <si>
    <t>ТЕРм39-04-001-21</t>
  </si>
  <si>
    <t>Изготовление образцов для испытания на изгиб, толщина стенки до 70 мм</t>
  </si>
  <si>
    <t>ТЕРм39-04-001-22</t>
  </si>
  <si>
    <t>Изготовление образцов для испытания на изгиб, толщина стенки до 90 мм</t>
  </si>
  <si>
    <t>ТЕРм39-04-001-23</t>
  </si>
  <si>
    <t>Изготовление образцов для испытания на растяжение (образцы Гагарина), толщина стенки до 90 мм</t>
  </si>
  <si>
    <t>ТЕРм39-04-001-24</t>
  </si>
  <si>
    <t>Изготовление образцов для испытания на ударную вязкость с прорезкой канавки, толщина стенки до 90 мм</t>
  </si>
  <si>
    <t>ТЕРм39-04-001-25</t>
  </si>
  <si>
    <t>Изготовление образцов для испытания на ударную вязкость без прорезки канавки, толщина стенки до 90 мм</t>
  </si>
  <si>
    <t xml:space="preserve">                                   Изготовление образцов для металлографических исследований</t>
  </si>
  <si>
    <t>ТЕРм39-04-002-01</t>
  </si>
  <si>
    <t>Изготовление образцов для металлографических исследований, толщина стенки до 6 мм</t>
  </si>
  <si>
    <t>ТЕРм39-04-002-02</t>
  </si>
  <si>
    <t>Изготовление образцов для металлографических исследований, толщина стенки до 10 мм</t>
  </si>
  <si>
    <t>ТЕРм39-04-002-03</t>
  </si>
  <si>
    <t>Изготовление образцов для металлографических исследований, толщина стенки до 14 мм</t>
  </si>
  <si>
    <t>ТЕРм39-04-002-04</t>
  </si>
  <si>
    <t>Изготовление образцов для металлографических исследований, толщина стенки до 20 мм</t>
  </si>
  <si>
    <t>ТЕРм39-04-002-05</t>
  </si>
  <si>
    <t>Изготовление образцов для металлографических исследований, толщина стенки до 24 мм</t>
  </si>
  <si>
    <t>ТЕРм39-04-002-06</t>
  </si>
  <si>
    <t>Изготовление образцов для металлографических исследований, толщина стенки до 32 мм</t>
  </si>
  <si>
    <t>ТЕРм39-04-002-07</t>
  </si>
  <si>
    <t>Изготовление образцов для металлографических исследований, толщина стенки до 40 мм</t>
  </si>
  <si>
    <t>ТЕРм39-04-002-08</t>
  </si>
  <si>
    <t>Изготовление образцов для металлографических исследований, толщина стенки до 50 мм</t>
  </si>
  <si>
    <t>ТЕРм39-04-002-09</t>
  </si>
  <si>
    <t>Изготовление образцов для металлографических исследований, толщина стенки до 60 мм</t>
  </si>
  <si>
    <t>ТЕРм39-04-002-10</t>
  </si>
  <si>
    <t>Изготовление образцов для металлографических исследований, толщина стенки до 70 мм</t>
  </si>
  <si>
    <t>ТЕРм39-04-002-11</t>
  </si>
  <si>
    <t>Изготовление образцов для металлографических исследований, толщина стенки до 90 мм</t>
  </si>
  <si>
    <t xml:space="preserve">                                   Изготовление образцов для испытания на межкристаллитную коррозию</t>
  </si>
  <si>
    <t>ТЕРм39-04-003-01</t>
  </si>
  <si>
    <t>Изготовление образцов для испытания на межкристаллическую коррозию, толщина стенки до 90 мм</t>
  </si>
  <si>
    <t xml:space="preserve">                           Раздел 5. ОТДЕЛ 05. ПРЕДВАРИТЕЛЬНЫЙ КОНТРОЛЬ</t>
  </si>
  <si>
    <t xml:space="preserve">                                   Контроль сварочных материалов</t>
  </si>
  <si>
    <t>ТЕРм39-05-001-01</t>
  </si>
  <si>
    <t>Контроль сварочных материалов проволока</t>
  </si>
  <si>
    <t>ТЕРм39-05-001-02</t>
  </si>
  <si>
    <t>Контроль сварочных материалов электроды</t>
  </si>
  <si>
    <t>ТЕРм39-05-001-03</t>
  </si>
  <si>
    <t>Контроль сварочных материалов вольфрамовые электроды</t>
  </si>
  <si>
    <t>ТЕРм39-05-001-04</t>
  </si>
  <si>
    <t>Контроль сварочных материалов флюс</t>
  </si>
  <si>
    <t>ТЕРм39-05-001-05</t>
  </si>
  <si>
    <t>Контроль сварочных материалов защитный газ</t>
  </si>
  <si>
    <t xml:space="preserve">                                   Контроль деталей, материалов, полуфабрикатов</t>
  </si>
  <si>
    <t>ТЕРм39-05-002-01</t>
  </si>
  <si>
    <t>Контроль деталей, материалов, полуфабрикатов листы облицовки, емкости</t>
  </si>
  <si>
    <t>ТЕРм39-05-002-02</t>
  </si>
  <si>
    <t>Контроль деталей, материалов, полуфабрикатов швеллер</t>
  </si>
  <si>
    <t>ТЕРм39-05-002-03</t>
  </si>
  <si>
    <t>Контроль деталей, материалов, полуфабрикатов уголок, накладка</t>
  </si>
  <si>
    <t xml:space="preserve">                                   Контроль сборочно-сварочного и термического оборудования, аппаратуры и приспособлений</t>
  </si>
  <si>
    <t>ТЕРм39-05-003-01</t>
  </si>
  <si>
    <t>Контроль сборочно-сварочного оборудования, аппаратуры и приспособлений</t>
  </si>
  <si>
    <t>ТЕРм39-05-003-02</t>
  </si>
  <si>
    <t>Контроль термического оборудования</t>
  </si>
  <si>
    <t xml:space="preserve">                                   Контроль материалов для дефектоскопии</t>
  </si>
  <si>
    <t>ТЕРм39-05-004-01</t>
  </si>
  <si>
    <t>Контроль материалов для дефектоскопии пленка для проведения радиографического контроля</t>
  </si>
  <si>
    <t>ТЕРм39-05-004-02</t>
  </si>
  <si>
    <t>Контроль материалов для дефектоскопии пленка для фотообработки</t>
  </si>
  <si>
    <t>ТЕРм39-05-004-03</t>
  </si>
  <si>
    <t>Контроль материалов для дефектоскопии экран</t>
  </si>
  <si>
    <t>ТЕРм39-05-004-04</t>
  </si>
  <si>
    <t>Контроль материалов для дефектоскопии химикаты</t>
  </si>
  <si>
    <t xml:space="preserve">                                   Контроль труб и блоков трубопроводов</t>
  </si>
  <si>
    <t>ТЕРм39-05-005-01</t>
  </si>
  <si>
    <t>Контроль труб</t>
  </si>
  <si>
    <t>ТЕРм39-05-005-02</t>
  </si>
  <si>
    <t>Контроль блоков трубопроводов</t>
  </si>
  <si>
    <t xml:space="preserve">                           Раздел 6. ОТДЕЛ 06. ОПЕРАЦИОННЫЙ КОНТРОЛЬ</t>
  </si>
  <si>
    <t xml:space="preserve">                                   Контроль подготовки деталей трубопроводов под сварку и наплавку на сборочной площадке</t>
  </si>
  <si>
    <t>ТЕРм39-06-001-01</t>
  </si>
  <si>
    <t>Контроль подготовки деталей трубопроводов под сварку и наплавку на сборочной площадке, диаметр трубопровода 25 мм</t>
  </si>
  <si>
    <t>ТЕРм39-06-001-02</t>
  </si>
  <si>
    <t>Контроль подготовки деталей трубопроводов под сварку и наплавку на сборочной площадке, диаметр трубопровода 45 мм</t>
  </si>
  <si>
    <t>ТЕРм39-06-001-03</t>
  </si>
  <si>
    <t>Контроль подготовки деталей трубопроводов под сварку и наплавку на сборочной площадке, диаметр трубопровода 57 мм</t>
  </si>
  <si>
    <t>ТЕРм39-06-001-04</t>
  </si>
  <si>
    <t>Контроль подготовки деталей трубопроводов под сварку и наплавку на сборочной площадке, диаметр трубопровода 89 мм</t>
  </si>
  <si>
    <t>ТЕРм39-06-001-05</t>
  </si>
  <si>
    <t>Контроль подготовки деталей трубопроводов под сварку и наплавку на сборочной площадке, диаметр трубопровода 114 мм</t>
  </si>
  <si>
    <t>ТЕРм39-06-001-06</t>
  </si>
  <si>
    <t>Контроль подготовки деталей трубопроводов под сварку и наплавку на сборочной площадке, диаметр трубопровода 133 мм</t>
  </si>
  <si>
    <t>ТЕРм39-06-001-07</t>
  </si>
  <si>
    <t>Контроль подготовки деталей трубопроводов под сварку и наплавку на сборочной площадке, диаметр трубопровода 159 мм</t>
  </si>
  <si>
    <t>ТЕРм39-06-001-08</t>
  </si>
  <si>
    <t>Контроль подготовки деталей трубопроводов под сварку и наплавку на сборочной площадке, диаметр трубопровода 219 мм</t>
  </si>
  <si>
    <t>ТЕРм39-06-001-09</t>
  </si>
  <si>
    <t>Контроль подготовки деталей трубопроводов под сварку и наплавку на сборочной площадке, диаметр трубопровода 273 мм</t>
  </si>
  <si>
    <t>ТЕРм39-06-001-10</t>
  </si>
  <si>
    <t>Контроль подготовки деталей трубопроводов под сварку и наплавку на сборочной площадке, диаметр трубопровода 325 мм</t>
  </si>
  <si>
    <t>ТЕРм39-06-001-11</t>
  </si>
  <si>
    <t>Контроль подготовки деталей трубопроводов под сварку и наплавку на сборочной площадке, диаметр трубопровода 377 мм</t>
  </si>
  <si>
    <t>ТЕРм39-06-001-12</t>
  </si>
  <si>
    <t>Контроль подготовки деталей трубопроводов под сварку и наплавку на сборочной площадке, диаметр трубопровода 426 мм</t>
  </si>
  <si>
    <t>ТЕРм39-06-001-13</t>
  </si>
  <si>
    <t>Контроль подготовки деталей трубопроводов под сварку и наплавку на сборочной площадке, диаметр трубопровода 478 мм</t>
  </si>
  <si>
    <t>ТЕРм39-06-001-14</t>
  </si>
  <si>
    <t>Контроль подготовки деталей трубопроводов под сварку и наплавку на сборочной площадке, диаметр трубопровода 530 мм</t>
  </si>
  <si>
    <t>ТЕРм39-06-001-15</t>
  </si>
  <si>
    <t>Контроль подготовки деталей трубопроводов под сварку и наплавку на сборочной площадке, диаметр трубопровода 630 мм</t>
  </si>
  <si>
    <t>ТЕРм39-06-001-16</t>
  </si>
  <si>
    <t>Контроль подготовки деталей трубопроводов под сварку и наплавку на сборочной площадке, диаметр трубопровода 720 мм</t>
  </si>
  <si>
    <t>ТЕРм39-06-001-17</t>
  </si>
  <si>
    <t>Контроль подготовки деталей трубопроводов под сварку и наплавку на сборочной площадке, диаметр трубопровода 820 мм</t>
  </si>
  <si>
    <t>ТЕРм39-06-001-18</t>
  </si>
  <si>
    <t>Контроль подготовки деталей трубопроводов под сварку и наплавку на сборочной площадке, диаметр трубопровода 920 мм</t>
  </si>
  <si>
    <t>ТЕРм39-06-001-19</t>
  </si>
  <si>
    <t>Контроль подготовки деталей трубопроводов под сварку и наплавку на сборочной площадке, диаметр трубопровода 1020 мм</t>
  </si>
  <si>
    <t>ТЕРм39-06-001-20</t>
  </si>
  <si>
    <t>Контроль подготовки деталей трубопроводов под сварку и наплавку на сборочной площадке, диаметр трубопровода 1120 мм</t>
  </si>
  <si>
    <t>ТЕРм39-06-001-21</t>
  </si>
  <si>
    <t>Контроль подготовки деталей трубопроводов под сварку и наплавку на сборочной площадке, диаметр трубопровода 1220 мм</t>
  </si>
  <si>
    <t>ТЕРм39-06-001-22</t>
  </si>
  <si>
    <t>Контроль подготовки деталей трубопроводов под сварку и наплавку на сборочной площадке, диаметр трубопровода 1320 мм</t>
  </si>
  <si>
    <t>ТЕРм39-06-001-23</t>
  </si>
  <si>
    <t>Контроль подготовки деталей трубопроводов под сварку и наплавку на сборочной площадке, диаметр трубопровода 1420 мм</t>
  </si>
  <si>
    <t>ТЕРм39-06-001-24</t>
  </si>
  <si>
    <t>Контроль подготовки деталей трубопроводов под сварку и наплавку на сборочной площадке, диаметр трубопровода 1520 мм</t>
  </si>
  <si>
    <t>ТЕРм39-06-001-25</t>
  </si>
  <si>
    <t>Контроль подготовки деталей трубопроводов под сварку и наплавку на сборочной площадке, диаметр трубопровода 1620 мм</t>
  </si>
  <si>
    <t>ТЕРм39-06-001-26</t>
  </si>
  <si>
    <t>Контроль подготовки деталей трубопроводов под сварку и наплавку на сборочной площадке, диаметр трубопровода 1720 мм</t>
  </si>
  <si>
    <t>ТЕРм39-06-001-27</t>
  </si>
  <si>
    <t>Контроль подготовки деталей трубопроводов под сварку и наплавку на сборочной площадке, диаметр трубопровода 1820 мм</t>
  </si>
  <si>
    <t>ТЕРм39-06-001-28</t>
  </si>
  <si>
    <t>Контроль подготовки деталей трубопроводов под сварку и наплавку на сборочной площадке, диаметр трубопровода 1920 мм</t>
  </si>
  <si>
    <t>ТЕРм39-06-001-29</t>
  </si>
  <si>
    <t>Контроль подготовки деталей трубопроводов под сварку и наплавку на сборочной площадке, диаметр трубопровода 2020 мм</t>
  </si>
  <si>
    <t>ТЕРм39-06-001-30</t>
  </si>
  <si>
    <t>Контроль подготовки деталей трубопроводов под сварку и наплавку на сборочной площадке, диаметр трубопровода 2120 мм</t>
  </si>
  <si>
    <t>ТЕРм39-06-001-31</t>
  </si>
  <si>
    <t>Контроль подготовки деталей трубопроводов под сварку и наплавку на сборочной площадке, диаметр трубопровода 2220 мм</t>
  </si>
  <si>
    <t>ТЕРм39-06-001-32</t>
  </si>
  <si>
    <t>Контроль подготовки деталей трубопроводов под сварку и наплавку на сборочной площадке, диаметр трубопровода 2320 мм</t>
  </si>
  <si>
    <t>ТЕРм39-06-001-33</t>
  </si>
  <si>
    <t>Контроль подготовки деталей трубопроводов под сварку и наплавку на сборочной площадке, диаметр трубопровода 2420 мм</t>
  </si>
  <si>
    <t>ТЕРм39-06-001-34</t>
  </si>
  <si>
    <t>Контроль подготовки деталей трубопроводов под сварку и наплавку на сборочной площадке, диаметр трубопровода 2520 мм</t>
  </si>
  <si>
    <t>ТЕРм39-06-001-35</t>
  </si>
  <si>
    <t>Контроль подготовки деталей трубопроводов под сварку и наплавку на сборочной площадке, диаметр трубопровода 2620 мм</t>
  </si>
  <si>
    <t>ТЕРм39-06-001-36</t>
  </si>
  <si>
    <t>Контроль подготовки деталей трубопроводов под сварку и наплавку на сборочной площадке, диаметр трубопровода 2720 мм</t>
  </si>
  <si>
    <t>ТЕРм39-06-001-37</t>
  </si>
  <si>
    <t>Контроль подготовки деталей трубопроводов под сварку и наплавку на сборочной площадке, диаметр трубопровода 2820 мм</t>
  </si>
  <si>
    <t xml:space="preserve">                                   Контроль сборки деталей трубопроводов под сварку и наплавку на месте монтажа</t>
  </si>
  <si>
    <t>ТЕРм39-06-002-01</t>
  </si>
  <si>
    <t>Контроль сборки деталей трубопроводов под сварку и наплавку на месте монтажа, диаметр трубопровода 25 мм</t>
  </si>
  <si>
    <t>ТЕРм39-06-002-02</t>
  </si>
  <si>
    <t>Контроль сборки деталей трубопроводов под сварку и наплавку на месте монтажа, диаметр трубопровода 45 мм</t>
  </si>
  <si>
    <t>ТЕРм39-06-002-03</t>
  </si>
  <si>
    <t>Контроль сборки деталей трубопроводов под сварку и наплавку на месте монтажа, диаметр трубопровода 57 мм</t>
  </si>
  <si>
    <t>ТЕРм39-06-002-04</t>
  </si>
  <si>
    <t>Контроль сборки деталей трубопроводов под сварку и наплавку на месте монтажа, диаметр трубопровода 89 мм</t>
  </si>
  <si>
    <t>ТЕРм39-06-002-05</t>
  </si>
  <si>
    <t>Контроль сборки деталей трубопроводов под сварку и наплавку на месте монтажа, диаметр трубопровода 114 мм</t>
  </si>
  <si>
    <t>ТЕРм39-06-002-06</t>
  </si>
  <si>
    <t>Контроль сборки деталей трубопроводов под сварку и наплавку на месте монтажа, диаметр трубопровода 133 мм</t>
  </si>
  <si>
    <t>ТЕРм39-06-002-07</t>
  </si>
  <si>
    <t>Контроль сборки деталей трубопроводов под сварку и наплавку на месте монтажа, диаметр трубопровода 159 мм</t>
  </si>
  <si>
    <t>ТЕРм39-06-002-08</t>
  </si>
  <si>
    <t>Контроль сборки деталей трубопроводов под сварку и наплавку на месте монтажа, диаметр трубопровода 219 мм</t>
  </si>
  <si>
    <t>ТЕРм39-06-002-09</t>
  </si>
  <si>
    <t>Контроль сборки деталей трубопроводов под сварку и наплавку на месте монтажа, диаметр трубопровода 273 мм</t>
  </si>
  <si>
    <t>ТЕРм39-06-002-10</t>
  </si>
  <si>
    <t>Контроль сборки деталей трубопроводов под сварку и наплавку на месте монтажа, диаметр трубопровода 325 мм</t>
  </si>
  <si>
    <t>ТЕРм39-06-002-11</t>
  </si>
  <si>
    <t>Контроль сборки деталей трубопроводов под сварку и наплавку на месте монтажа, диаметр трубопровода 377 мм</t>
  </si>
  <si>
    <t>ТЕРм39-06-002-12</t>
  </si>
  <si>
    <t>Контроль сборки деталей трубопроводов под сварку и наплавку на месте монтажа, диаметр трубопровода 426 мм</t>
  </si>
  <si>
    <t>ТЕРм39-06-002-13</t>
  </si>
  <si>
    <t>Контроль сборки деталей трубопроводов под сварку и наплавку на месте монтажа, диаметр трубопровода 478 мм</t>
  </si>
  <si>
    <t>ТЕРм39-06-002-14</t>
  </si>
  <si>
    <t>Контроль сборки деталей трубопроводов под сварку и наплавку на месте монтажа, диаметр трубопровода 530 мм</t>
  </si>
  <si>
    <t>ТЕРм39-06-002-15</t>
  </si>
  <si>
    <t>Контроль сборки деталей трубопроводов под сварку и наплавку на месте монтажа, диаметр трубопровода 630 мм</t>
  </si>
  <si>
    <t>ТЕРм39-06-002-16</t>
  </si>
  <si>
    <t>Контроль сборки деталей трубопроводов под сварку и наплавку на месте монтажа, диаметр трубопровода 720 мм</t>
  </si>
  <si>
    <t>ТЕРм39-06-002-17</t>
  </si>
  <si>
    <t>Контроль сборки деталей трубопроводов под сварку и наплавку на месте монтажа, диаметр трубопровода 820 мм</t>
  </si>
  <si>
    <t>ТЕРм39-06-002-18</t>
  </si>
  <si>
    <t>Контроль сборки деталей трубопроводов под сварку и наплавку на месте монтажа, диаметр трубопровода 920 мм</t>
  </si>
  <si>
    <t>ТЕРм39-06-002-19</t>
  </si>
  <si>
    <t>Контроль сборки деталей трубопроводов под сварку и наплавку на месте монтажа, диаметр трубопровода 1020 мм</t>
  </si>
  <si>
    <t>ТЕРм39-06-002-20</t>
  </si>
  <si>
    <t>Контроль сборки деталей трубопроводов под сварку и наплавку на месте монтажа, диаметр трубопровода 1120 мм</t>
  </si>
  <si>
    <t>ТЕРм39-06-002-21</t>
  </si>
  <si>
    <t>Контроль сборки деталей трубопроводов под сварку и наплавку на месте монтажа, диаметр трубопровода 1220 мм</t>
  </si>
  <si>
    <t>ТЕРм39-06-002-22</t>
  </si>
  <si>
    <t>Контроль сборки деталей трубопроводов под сварку и наплавку на месте монтажа, диаметр трубопровода 1320 мм</t>
  </si>
  <si>
    <t>ТЕРм39-06-002-23</t>
  </si>
  <si>
    <t>Контроль сборки деталей трубопроводов под сварку и наплавку на месте монтажа, диаметр трубопровода 1420 мм</t>
  </si>
  <si>
    <t>ТЕРм39-06-002-24</t>
  </si>
  <si>
    <t>Контроль сборки деталей трубопроводов под сварку и наплавку на месте монтажа, диаметр трубопровода 1520 мм</t>
  </si>
  <si>
    <t>ТЕРм39-06-002-25</t>
  </si>
  <si>
    <t>Контроль сборки деталей трубопроводов под сварку и наплавку на месте монтажа, диаметр трубопровода 1620 мм</t>
  </si>
  <si>
    <t>ТЕРм39-06-002-26</t>
  </si>
  <si>
    <t>Контроль сборки деталей трубопроводов под сварку и наплавку на месте монтажа, диаметр трубопровода 1720 мм</t>
  </si>
  <si>
    <t>ТЕРм39-06-002-27</t>
  </si>
  <si>
    <t>Контроль сборки деталей трубопроводов под сварку и наплавку на месте монтажа, диаметр трубопровода 1820 мм</t>
  </si>
  <si>
    <t>ТЕРм39-06-002-28</t>
  </si>
  <si>
    <t>Контроль сборки деталей трубопроводов под сварку и наплавку на месте монтажа, диаметр трубопровода 1920 мм</t>
  </si>
  <si>
    <t>ТЕРм39-06-002-29</t>
  </si>
  <si>
    <t>Контроль сборки деталей трубопроводов под сварку и наплавку на месте монтажа, диаметр трубопровода 2020 мм</t>
  </si>
  <si>
    <t>ТЕРм39-06-002-30</t>
  </si>
  <si>
    <t>Контроль сборки деталей трубопроводов под сварку и наплавку на месте монтажа, диаметр трубопровода 2120 мм</t>
  </si>
  <si>
    <t>ТЕРм39-06-002-31</t>
  </si>
  <si>
    <t>Контроль сборки деталей трубопроводов под сварку и наплавку на месте монтажа, диаметр трубопровода 2220 мм</t>
  </si>
  <si>
    <t>ТЕРм39-06-002-32</t>
  </si>
  <si>
    <t>Контроль сборки деталей трубопроводов под сварку и наплавку на месте монтажа, диаметр трубопровода 2320 мм</t>
  </si>
  <si>
    <t>ТЕРм39-06-002-33</t>
  </si>
  <si>
    <t>Контроль сборки деталей трубопроводов под сварку и наплавку на месте монтажа, диаметр трубопровода 2420 мм</t>
  </si>
  <si>
    <t>ТЕРм39-06-002-34</t>
  </si>
  <si>
    <t>Контроль сборки деталей трубопроводов под сварку и наплавку на месте монтажа, диаметр трубопровода 2520 мм</t>
  </si>
  <si>
    <t>ТЕРм39-06-002-35</t>
  </si>
  <si>
    <t>Контроль сборки деталей трубопроводов под сварку и наплавку на месте монтажа, диаметр трубопровода 2620 мм</t>
  </si>
  <si>
    <t>ТЕРм39-06-002-36</t>
  </si>
  <si>
    <t>Контроль сборки деталей трубопроводов под сварку и наплавку на месте монтажа, диаметр трубопровода 2720 мм</t>
  </si>
  <si>
    <t>ТЕРм39-06-002-37</t>
  </si>
  <si>
    <t>Контроль сборки деталей трубопроводов под сварку и наплавку на месте монтажа, диаметр трубопровода 2820 мм</t>
  </si>
  <si>
    <t xml:space="preserve">                                   Контроль процессов сварки и наплавки</t>
  </si>
  <si>
    <t>ТЕРм39-06-003-01</t>
  </si>
  <si>
    <t>Контроль процессов сварки и наплавки, диаметр трубопровода 25 мм</t>
  </si>
  <si>
    <t>ТЕРм39-06-003-02</t>
  </si>
  <si>
    <t>Контроль процессов сварки и наплавки, диаметр трубопровода 32 мм</t>
  </si>
  <si>
    <t>ТЕРм39-06-003-03</t>
  </si>
  <si>
    <t>Контроль процессов сварки и наплавки, диаметр трубопровода 38 мм</t>
  </si>
  <si>
    <t>ТЕРм39-06-003-04</t>
  </si>
  <si>
    <t>Контроль процессов сварки и наплавки, диаметр трубопровода 45 мм</t>
  </si>
  <si>
    <t>ТЕРм39-06-003-05</t>
  </si>
  <si>
    <t>Контроль процессов сварки и наплавки, диаметр трубопровода 57 мм</t>
  </si>
  <si>
    <t>ТЕРм39-06-003-06</t>
  </si>
  <si>
    <t>Контроль процессов сварки и наплавки, диаметр трубопровода 89 мм</t>
  </si>
  <si>
    <t>ТЕРм39-06-003-07</t>
  </si>
  <si>
    <t>Контроль процессов сварки и наплавки, диаметр трубопровода 108 мм</t>
  </si>
  <si>
    <t>ТЕРм39-06-003-08</t>
  </si>
  <si>
    <t>Контроль процессов сварки и наплавки, диаметр трубопровода 114 мм</t>
  </si>
  <si>
    <t>ТЕРм39-06-003-09</t>
  </si>
  <si>
    <t>Контроль процессов сварки и наплавки, диаметр трубопровода 133 мм</t>
  </si>
  <si>
    <t>ТЕРм39-06-003-10</t>
  </si>
  <si>
    <t>Контроль процессов сварки и наплавки, диаметр трубопровода 159 мм</t>
  </si>
  <si>
    <t>ТЕРм39-06-003-11</t>
  </si>
  <si>
    <t>Контроль процессов сварки и наплавки, диаметр трубопровода 219 мм</t>
  </si>
  <si>
    <t>ТЕРм39-06-003-12</t>
  </si>
  <si>
    <t>Контроль процессов сварки и наплавки, диаметр трубопровода 273 мм</t>
  </si>
  <si>
    <t>ТЕРм39-06-003-13</t>
  </si>
  <si>
    <t>Контроль процессов сварки и наплавки, диаметр трубопровода 325 мм</t>
  </si>
  <si>
    <t>ТЕРм39-06-003-14</t>
  </si>
  <si>
    <t>Контроль процессов сварки и наплавки, диаметр трубопровода 377 мм</t>
  </si>
  <si>
    <t>ТЕРм39-06-003-15</t>
  </si>
  <si>
    <t>Контроль процессов сварки и наплавки, диаметр трубопровода 426 мм</t>
  </si>
  <si>
    <t>ТЕРм39-06-003-16</t>
  </si>
  <si>
    <t>Контроль процессов сварки и наплавки, диаметр трубопровода 478 мм</t>
  </si>
  <si>
    <t>ТЕРм39-06-003-17</t>
  </si>
  <si>
    <t>Контроль процессов сварки и наплавки, диаметр трубопровода 530 мм</t>
  </si>
  <si>
    <t>ТЕРм39-06-003-18</t>
  </si>
  <si>
    <t>Контроль процессов сварки и наплавки, диаметр трубопровода 630 мм</t>
  </si>
  <si>
    <t>ТЕРм39-06-003-19</t>
  </si>
  <si>
    <t>Контроль процессов сварки и наплавки, диаметр трубопровода 720 мм</t>
  </si>
  <si>
    <t>ТЕРм39-06-003-20</t>
  </si>
  <si>
    <t>Контроль процессов сварки и наплавки, диаметр трубопровода 820 мм</t>
  </si>
  <si>
    <t>ТЕРм39-06-003-21</t>
  </si>
  <si>
    <t>Контроль процессов сварки и наплавки, диаметр трубопровода 920 мм</t>
  </si>
  <si>
    <t>ТЕРм39-06-003-22</t>
  </si>
  <si>
    <t>Контроль процессов сварки и наплавки, диаметр трубопровода 1020 мм</t>
  </si>
  <si>
    <t>ТЕРм39-06-003-23</t>
  </si>
  <si>
    <t>Контроль процессов сварки и наплавки, диаметр трубопровода 1120 мм</t>
  </si>
  <si>
    <t>ТЕРм39-06-003-24</t>
  </si>
  <si>
    <t>Контроль процессов сварки и наплавки, диаметр трубопровода 1220 мм</t>
  </si>
  <si>
    <t>ТЕРм39-06-003-25</t>
  </si>
  <si>
    <t>Контроль процессов сварки и наплавки, диаметр трубопровода 1320 мм</t>
  </si>
  <si>
    <t>ТЕРм39-06-003-26</t>
  </si>
  <si>
    <t>Контроль процессов сварки и наплавки, диаметр трубопровода 1420 мм</t>
  </si>
  <si>
    <t>ТЕРм39-06-003-27</t>
  </si>
  <si>
    <t>Контроль процессов сварки и наплавки, диаметр трубопровода 1520 мм</t>
  </si>
  <si>
    <t>ТЕРм39-06-003-28</t>
  </si>
  <si>
    <t>Контроль процессов сварки и наплавки, диаметр трубопровода 1620 мм</t>
  </si>
  <si>
    <t>ТЕРм39-06-003-29</t>
  </si>
  <si>
    <t>Контроль процессов сварки и наплавки, диаметр трубопровода 1720 мм</t>
  </si>
  <si>
    <t>ТЕРм39-06-003-30</t>
  </si>
  <si>
    <t>Контроль процессов сварки и наплавки, диаметр трубопровода 1820 мм</t>
  </si>
  <si>
    <t>ТЕРм39-06-003-31</t>
  </si>
  <si>
    <t>Контроль процессов сварки и наплавки, диаметр трубопровода 1920 мм</t>
  </si>
  <si>
    <t>ТЕРм39-06-003-32</t>
  </si>
  <si>
    <t>Контроль процессов сварки и наплавки, диаметр трубопровода 2020 мм</t>
  </si>
  <si>
    <t>ТЕРм39-06-003-33</t>
  </si>
  <si>
    <t>Контроль процессов сварки и наплавки, диаметр трубопровода 2120 мм</t>
  </si>
  <si>
    <t>ТЕРм39-06-003-34</t>
  </si>
  <si>
    <t>Контроль процессов сварки и наплавки, диаметр трубопровода 2220 мм</t>
  </si>
  <si>
    <t>ТЕРм39-06-003-35</t>
  </si>
  <si>
    <t>Контроль процессов сварки и наплавки, диаметр трубопровода 2320 мм</t>
  </si>
  <si>
    <t>ТЕРм39-06-003-36</t>
  </si>
  <si>
    <t>Контроль процессов сварки и наплавки, диаметр трубопровода 2420 мм</t>
  </si>
  <si>
    <t>ТЕРм39-06-003-37</t>
  </si>
  <si>
    <t>Контроль процессов сварки и наплавки, диаметр трубопровода 2520 мм</t>
  </si>
  <si>
    <t>ТЕРм39-06-003-38</t>
  </si>
  <si>
    <t>Контроль процессов сварки и наплавки, диаметр трубопровода 2620 мм</t>
  </si>
  <si>
    <t>ТЕРм39-06-003-39</t>
  </si>
  <si>
    <t>Контроль процессов сварки и наплавки, диаметр трубопровода 2720 мм</t>
  </si>
  <si>
    <t>ТЕРм39-06-003-40</t>
  </si>
  <si>
    <t>Контроль процессов сварки и наплавки, диаметр трубопровода 2820 мм</t>
  </si>
  <si>
    <t>ТЕРм-2001-40</t>
  </si>
  <si>
    <t xml:space="preserve">                           Раздел 1. ОТДЕЛ 01. ПЕРЕМЕЩЕНИЕ ОБОРУДОВАНИЯ И МАТЕРИАЛЬНЫХ РЕСУРСОВ НА ПОВЕРХНОСТИ</t>
  </si>
  <si>
    <t xml:space="preserve">                                   Горизонтальное перемещение</t>
  </si>
  <si>
    <t>ТЕРм40-01-001-02</t>
  </si>
  <si>
    <t>Горизонтальное перемещение сверх предусмотренного в ТЕРм 100 м, на расстояние до 300 м</t>
  </si>
  <si>
    <t>ТЕРм40-01-001-01</t>
  </si>
  <si>
    <t>Горизонтальное перемещение сверх предусмотренного в ТЕРм 100 м, на расстояние до 200 м</t>
  </si>
  <si>
    <t>ТЕРм40-01-001-03</t>
  </si>
  <si>
    <t>Горизонтальное перемещение сверх предусмотренного в ТЕРм 100 м, на расстояние до 400 м</t>
  </si>
  <si>
    <t>ТЕРм40-01-001-04</t>
  </si>
  <si>
    <t>Горизонтальное перемещение сверх предусмотренного в ТЕРм 150 м, на расстояние до 200 м</t>
  </si>
  <si>
    <t>ТЕРм40-01-001-05</t>
  </si>
  <si>
    <t>Горизонтальное перемещение сверх предусмотренного в ТЕРм 150 м, на расстояние до 300 м</t>
  </si>
  <si>
    <t>ТЕРм40-01-001-06</t>
  </si>
  <si>
    <t>Горизонтальное перемещение сверх предусмотренного в ТЕРм 150 м, на расстояние до 400 м</t>
  </si>
  <si>
    <t>ТЕРм40-01-001-07</t>
  </si>
  <si>
    <t>Горизонтальное перемещение сверх предусмотренного в ТЕРм 200 м, на расстояние до 300 м</t>
  </si>
  <si>
    <t>ТЕРм40-01-001-08</t>
  </si>
  <si>
    <t>Горизонтальное перемещение сверх предусмотренного в ТЕРм 200 м, на расстояние до 400 м</t>
  </si>
  <si>
    <t>ТЕРм40-01-001-09</t>
  </si>
  <si>
    <t>Горизонтальное перемещение свыше 400 м, добавлять на каждые следующие 100 м</t>
  </si>
  <si>
    <t xml:space="preserve">                                   Вертикальное перемещение (подъем)</t>
  </si>
  <si>
    <t>ТЕРм40-01-002-01</t>
  </si>
  <si>
    <t>Вертикальное перемещение сверх предусмотренного в ТЕРм 1 м, на высоту до 5 м</t>
  </si>
  <si>
    <t>ТЕРм40-01-002-02</t>
  </si>
  <si>
    <t>Вертикальное перемещение сверх предусмотренного в ТЕРм 1 м, на высоту до 10 м</t>
  </si>
  <si>
    <t>ТЕРм40-01-002-03</t>
  </si>
  <si>
    <t>Вертикальное перемещение сверх предусмотренного в ТЕРм 1 м, на высоту до 15 м</t>
  </si>
  <si>
    <t>ТЕРм40-01-002-04</t>
  </si>
  <si>
    <t>Вертикальное перемещение сверх предусмотренного в ТЕРм 1 м, на высоту до 20 м</t>
  </si>
  <si>
    <t>ТЕРм40-01-002-05</t>
  </si>
  <si>
    <t>Вертикальное перемещение сверх предусмотренного в ТЕРм 1 м, на высоту до 25 м</t>
  </si>
  <si>
    <t>ТЕРм40-01-002-06</t>
  </si>
  <si>
    <t>Вертикальное перемещение сверх предусмотренного в ТЕРм 2 м, на высоту до 5 м</t>
  </si>
  <si>
    <t>ТЕРм40-01-002-07</t>
  </si>
  <si>
    <t>Вертикальное перемещение сверх предусмотренного в ТЕРм 2 м, на высоту до 10 м</t>
  </si>
  <si>
    <t>ТЕРм40-01-002-08</t>
  </si>
  <si>
    <t>Вертикальное перемещение сверх предусмотренного в ТЕРм 2 м, на высоту до 15 м</t>
  </si>
  <si>
    <t>ТЕРм40-01-002-09</t>
  </si>
  <si>
    <t>Вертикальное перемещение сверх предусмотренного в ТЕРм 2 м, на высоту до 20 м</t>
  </si>
  <si>
    <t>ТЕРм40-01-002-10</t>
  </si>
  <si>
    <t>Вертикальное перемещение сверх предусмотренного в ТЕРм 2 м, на высоту до 25 м</t>
  </si>
  <si>
    <t>ТЕРм40-01-002-11</t>
  </si>
  <si>
    <t>Вертикальное перемещение сверх предусмотренного в ТЕРм 5 м, на высоту до 10 м</t>
  </si>
  <si>
    <t>ТЕРм40-01-002-12</t>
  </si>
  <si>
    <t>Вертикальное перемещение сверх предусмотренного в ТЕРм 5 м, на высоту до 15 м</t>
  </si>
  <si>
    <t>ТЕРм40-01-002-13</t>
  </si>
  <si>
    <t>Вертикальное перемещение сверх предусмотренного в ТЕРм 5 м, на высоту до 20 м</t>
  </si>
  <si>
    <t>ТЕРм40-01-002-14</t>
  </si>
  <si>
    <t>Вертикальное перемещение сверх предусмотренного в ТЕРм 5 м, на высоту до 25 м</t>
  </si>
  <si>
    <t>ТЕРм40-01-002-15</t>
  </si>
  <si>
    <t>Вертикальное перемещение сверх предусмотренного в ТЕРм 8 м, на высоту до 10 м</t>
  </si>
  <si>
    <t>ТЕРм40-01-002-16</t>
  </si>
  <si>
    <t>Вертикальное перемещение сверх предусмотренного в ТЕРм 8 м, на высоту до 15 м</t>
  </si>
  <si>
    <t>ТЕРм40-01-002-17</t>
  </si>
  <si>
    <t>Вертикальное перемещение сверх предусмотренного в ТЕРм 8 м, на высоту до 20 м</t>
  </si>
  <si>
    <t>ТЕРм40-01-002-18</t>
  </si>
  <si>
    <t>Вертикальное перемещение сверх предусмотренного в ТЕРм 8 м, на высоту до 25 м</t>
  </si>
  <si>
    <t>ТЕРм40-01-002-19</t>
  </si>
  <si>
    <t>Вертикальное перемещение сверх предусмотренного в ТЕРм 10 м, на высоту до 15 м</t>
  </si>
  <si>
    <t>ТЕРм40-01-002-20</t>
  </si>
  <si>
    <t>Вертикальное перемещение сверх предусмотренного в ТЕРм 10 м, на высоту до 20 м</t>
  </si>
  <si>
    <t>ТЕРм40-01-002-21</t>
  </si>
  <si>
    <t>Вертикальное перемещение сверх предусмотренного в ТЕРм 10 м, на высоту до 25 м</t>
  </si>
  <si>
    <t>ТЕРм40-01-002-22</t>
  </si>
  <si>
    <t>Вертикальное перемещение сверх предусмотренного в ТЕРм 15 м, на высоту до 20 м</t>
  </si>
  <si>
    <t>ТЕРм40-01-002-23</t>
  </si>
  <si>
    <t>Вертикальное перемещение сверх предусмотренного в ТЕРм 15 м, на высоту до 25 м</t>
  </si>
  <si>
    <t>ТЕРм40-01-002-24</t>
  </si>
  <si>
    <t>Вертикальное перемещение свыше 25 м, добавлять на каждые следующие 5 м</t>
  </si>
  <si>
    <t xml:space="preserve">                           Раздел 2. ОТДЕЛ 02. ПЕРЕМЕЩЕНИЕ В МЕТРОПОЛИТЕНАХ И ТОННЕЛЯХ (СВЕРХ ЗАТРАТ НА ОБСЛУЖИВАЮЩИЕ ПРОЦЕССЫ)</t>
  </si>
  <si>
    <t xml:space="preserve">                                   Перемещение в метрополитенах и тоннелях</t>
  </si>
  <si>
    <t>ТЕРм40-02-001-01</t>
  </si>
  <si>
    <t>Перемещение оборудования и материальных ресурсов на расстояние 200 м на вагонетках или площадках вручную с погрузкой и выгрузкой, масса до 2 т, при спуске в клети</t>
  </si>
  <si>
    <t>ТЕРм40-02-001-02</t>
  </si>
  <si>
    <t>Перемещение оборудования и материальных ресурсов на расстояние 200 м на вагонетках или площадках вручную с погрузкой и выгрузкой, масса свыше 2 т, при спуске под клетью на специальном канате</t>
  </si>
  <si>
    <t>ТЕРм40-02-001-03</t>
  </si>
  <si>
    <t>Перемещение оборудования и материальных ресурсов на расстояние 200 м на вагонетках или площадках вручную с погрузкой и выгрузкой, масса свыше 2 т, при спуске на подъемном канате при снятой клети</t>
  </si>
  <si>
    <t>ТЕРм40-02-001-04</t>
  </si>
  <si>
    <t>Добавлять на каждые следующие 50 м перемещения сверх 200 м к расценкам 40-02-001-01, -02, -03</t>
  </si>
  <si>
    <t>ТЕРм40-02-001-05</t>
  </si>
  <si>
    <t>Перемещение крупногабаритного оборудования на катках и салазках при помощи электролебедок на расстояние 200 м, включая выгрузку</t>
  </si>
  <si>
    <t>ТЕРм40-02-001-06</t>
  </si>
  <si>
    <t>Добавлять на каждые следующие 50 м перемещения сверх 200 м к расценке 40-02-001-05</t>
  </si>
  <si>
    <t xml:space="preserve">                           Раздел 3. ОТДЕЛ 03. ПЕРЕМЕЩЕНИЕ В УГОЛЬНЫХ И СЛАНЦЕВЫХ ШАХТАХ (СВЕРХ ЗАТРАТ ПО ЭКСПЛУАТАЦИИ ОБЩЕШАХТНЫХ МАШИН)</t>
  </si>
  <si>
    <t xml:space="preserve">                                   Перемещение в угольных и сланцевых шахтах</t>
  </si>
  <si>
    <t>ТЕРм40-03-001-01</t>
  </si>
  <si>
    <t>Спуск (подъем) оборудования и материальных ресурсов в клети на платформах или в вагонетках с погрузкой и выгрузкой</t>
  </si>
  <si>
    <t>ТЕРм40-03-001-02</t>
  </si>
  <si>
    <t>Спуск (подъем) крупногабаритного оборудования с погрузкой и выгрузкой, включая последующую погрузку на специальную платформу и откатку ее на 50 м в клети</t>
  </si>
  <si>
    <t>ТЕРм40-03-001-03</t>
  </si>
  <si>
    <t>Спуск (подъем) крупногабаритного оборудования с погрузкой и выгрузкой, включая последующую погрузку на специальную платформу и откатку ее на 50 м под клетью при отсутствии хвостового каната, включая сооружение и разборку перекрытия ствола</t>
  </si>
  <si>
    <t>ТЕРм40-03-001-04</t>
  </si>
  <si>
    <t>Спуск (подъем) крупногабаритного оборудования с погрузкой и выгрузкой, включая последующую погрузку на специальную платформу и откатку ее на 50 м на подъемном канате, включая снятие и навеску клети, сооружение и разборку перекрытия ствола</t>
  </si>
  <si>
    <t>ТЕРм40-03-001-05</t>
  </si>
  <si>
    <t>Перемещение оборудования и материальных ресурсов в вагонетках или на платформах при помощи электролебедок, включая выгрузку, по горным выработкам с рельсовыми путями и углом наклона до 13 градусов первые 200 м</t>
  </si>
  <si>
    <t>ТЕРм40-03-001-06</t>
  </si>
  <si>
    <t>Добавлять на каждые следующие 50 м к расценке 40-03-001-05</t>
  </si>
  <si>
    <t>ТЕРм40-03-001-07</t>
  </si>
  <si>
    <t>Перемещение оборудования и материальных ресурсов в вагонетках или на платформах при помощи электролебедок, включая выгрузку, по горным выработкам с рельсовыми путями и углом наклона более 13 градусов первые 200 м</t>
  </si>
  <si>
    <t>ТЕРм40-03-001-08</t>
  </si>
  <si>
    <t>Добавлять на каждые следующие 50 м к расценке 40-03-001-07</t>
  </si>
  <si>
    <t>ТЕРм40-03-001-09</t>
  </si>
  <si>
    <t>Перемещение крупногабаритного оборудования на катках, салазках и листах при помощи электролебедок, включая выгрузку, по горным выработкам без рельсовых путей с углом наклона до 13 градусов первые 100 м</t>
  </si>
  <si>
    <t>ТЕРм40-03-001-10</t>
  </si>
  <si>
    <t>Добавлять на каждые следующие 10 м к расценке 40-03-001-09</t>
  </si>
  <si>
    <t>ТЕРм40-03-001-11</t>
  </si>
  <si>
    <t>Перемещение крупногабаритного оборудования на катках, салазках и листах при помощи электролебедок, включая выгрузку, по горным выработкам без рельсовых путей с углом наклона более 13 градусов первые 100 м</t>
  </si>
  <si>
    <t>ТЕРм40-03-001-12</t>
  </si>
  <si>
    <t>Добавлять на каждые следующие 10 м к расценке 40-03-001-11</t>
  </si>
  <si>
    <t>ТЕРмр-2001-01</t>
  </si>
  <si>
    <t xml:space="preserve">                           Раздел 1. ОТДЕЛ 01. РАБОТЫ ПО ЗАМЕНЕ ОБОРУДОВАНИЯ, УСТРОЙСТВ И КОНСТРУКЦИЙ ЛИФТОВ</t>
  </si>
  <si>
    <t xml:space="preserve">                                   Замена замка распашной двери шахты</t>
  </si>
  <si>
    <t>ТЕРмр01-01-001-01</t>
  </si>
  <si>
    <t>Замена замка распашной двери шахты лифта: автоматического</t>
  </si>
  <si>
    <t>ТЕРмр01-01-001-02</t>
  </si>
  <si>
    <t>Замена замка распашной двери шахты лифта: неавтоматического</t>
  </si>
  <si>
    <t xml:space="preserve">                                   Замена оборудования главного привода</t>
  </si>
  <si>
    <t>ТЕРмр01-01-002-01</t>
  </si>
  <si>
    <t>Замена электродвигателя, количество лифтов в подъезде: 1</t>
  </si>
  <si>
    <t>ТЕРмр01-01-002-02</t>
  </si>
  <si>
    <t>Замена электродвигателя, количество лифтов в подъезде: 2</t>
  </si>
  <si>
    <t>ТЕРмр01-01-002-03</t>
  </si>
  <si>
    <t>Замена полумуфты электродвигателя, количество лифтов в подъезде: 1</t>
  </si>
  <si>
    <t>ТЕРмр01-01-002-04</t>
  </si>
  <si>
    <t>Замена полумуфты электродвигателя, количество лифтов в подъезде: 2</t>
  </si>
  <si>
    <t>ТЕРмр01-01-002-05</t>
  </si>
  <si>
    <t>Замена лифтовой лебедки, количество лифтов в подъезде: 1</t>
  </si>
  <si>
    <t>ТЕРмр01-01-002-06</t>
  </si>
  <si>
    <t>Замена лифтовой лебедки, количество лифтов в подъезде: 2</t>
  </si>
  <si>
    <t>ТЕРмр01-01-002-07</t>
  </si>
  <si>
    <t>Замена червячной пары редуктора лифтовой лебедки, количество лифтов в подъезде: 1</t>
  </si>
  <si>
    <t>ТЕРмр01-01-002-08</t>
  </si>
  <si>
    <t>Замена червячной пары редуктора лифтовой лебедки, количество лифтов в подъезде: 2</t>
  </si>
  <si>
    <t>ТЕРмр01-01-002-09</t>
  </si>
  <si>
    <t>Замена редуктора лифтовой лебедки, количество лифтов в подъезде: 1</t>
  </si>
  <si>
    <t>ТЕРмр01-01-002-10</t>
  </si>
  <si>
    <t>Замена редуктора лифтовой лебедки, количество лифтов в подъезде: 2</t>
  </si>
  <si>
    <t>ТЕРмр01-01-002-11</t>
  </si>
  <si>
    <t>Замена тормозной полумуфты лифтовой лебедки, количество лифтов в подъезде: 1</t>
  </si>
  <si>
    <t>ТЕРмр01-01-002-12</t>
  </si>
  <si>
    <t>Замена тормозной полумуфты лифтовой лебедки, количество лифтов в подъезде: 2</t>
  </si>
  <si>
    <t>ТЕРмр01-01-002-13</t>
  </si>
  <si>
    <t>Замена тормозного устройства, количество лифтов в подъезде: 1</t>
  </si>
  <si>
    <t>ТЕРмр01-01-002-14</t>
  </si>
  <si>
    <t>Замена тормозного устройства, количество лифтов в подъезде: 2</t>
  </si>
  <si>
    <t>ТЕРмр01-01-002-15</t>
  </si>
  <si>
    <t>Замена канатоведущего шкива лифтовой лебедки, количество лифтов в подъезде: 1</t>
  </si>
  <si>
    <t>ТЕРмр01-01-002-16</t>
  </si>
  <si>
    <t>Замена канатоведущего шкива лифтовой лебедки, количество лифтов в подъезде: 2</t>
  </si>
  <si>
    <t xml:space="preserve">                                   Замена привода дверей кабины лифта</t>
  </si>
  <si>
    <t>ТЕРмр01-01-003-01</t>
  </si>
  <si>
    <t>Замена привода дверей кабины, грузоподъемность лифта: до 500 кг</t>
  </si>
  <si>
    <t>ТЕРмр01-01-003-02</t>
  </si>
  <si>
    <t>Замена привода дверей кабины, грузоподъемность лифта: свыше 500 кг</t>
  </si>
  <si>
    <t>ТЕРмр01-01-003-03</t>
  </si>
  <si>
    <t>Замена редуктора привода дверей кабины</t>
  </si>
  <si>
    <t>ТЕРмр01-01-003-04</t>
  </si>
  <si>
    <t>Замена электродвигателя привода дверей кабины</t>
  </si>
  <si>
    <t xml:space="preserve">                                   Замена купе и порога кабины лифта</t>
  </si>
  <si>
    <t>ТЕРмр01-01-004-01</t>
  </si>
  <si>
    <t>Замена купе кабины лифта грузоподъемностью: до 400 кг без доработки рамы пола</t>
  </si>
  <si>
    <t>ТЕРмр01-01-004-02</t>
  </si>
  <si>
    <t>Замена купе кабины лифта грузоподъемностью: до 400 кг с доработкой рамы пола</t>
  </si>
  <si>
    <t>ТЕРмр01-01-004-03</t>
  </si>
  <si>
    <t>Замена купе кабины лифта грузоподъемностью: свыше 400 кг без доработки рамы пола</t>
  </si>
  <si>
    <t>ТЕРмр01-01-004-04</t>
  </si>
  <si>
    <t>Замена купе кабины лифта грузоподъемностью: свыше 400 кг с доработкой рамы пола</t>
  </si>
  <si>
    <t>ТЕРмр01-01-004-05</t>
  </si>
  <si>
    <t>Замена порога кабины лифта</t>
  </si>
  <si>
    <t xml:space="preserve">                                   Замена дверей и отдельных конструкций дверей шахты лифта</t>
  </si>
  <si>
    <t>ТЕРмр01-01-005-01</t>
  </si>
  <si>
    <t>Замена двери шахты, грузоподъемность лифта: до 500 кг</t>
  </si>
  <si>
    <t>ТЕРмр01-01-005-02</t>
  </si>
  <si>
    <t>Замена двери шахты, грузоподъемность лифта: свыше 500 кг</t>
  </si>
  <si>
    <t>ТЕРмр01-01-005-03</t>
  </si>
  <si>
    <t>Замена верхней балки двери шахты, грузоподъемность лифта: до 500 кг</t>
  </si>
  <si>
    <t>ТЕРмр01-01-005-04</t>
  </si>
  <si>
    <t>Замена верхней балки двери шахты, грузоподъемность лифта: свыше 500 кг</t>
  </si>
  <si>
    <t>ТЕРмр01-01-005-05</t>
  </si>
  <si>
    <t>Замена створки дверей шахты, грузоподъемность лифта: до 500 кг</t>
  </si>
  <si>
    <t>ТЕРмр01-01-005-06</t>
  </si>
  <si>
    <t>Замена створки дверей шахты, грузоподъемность лифта: свыше 500 кг</t>
  </si>
  <si>
    <t>ТЕРмр01-01-005-07</t>
  </si>
  <si>
    <t>Замена порога двери шахты, грузоподъемность лифта: до 500 кг</t>
  </si>
  <si>
    <t>ТЕРмр01-01-005-08</t>
  </si>
  <si>
    <t>Замена порога двери шахты, грузоподъемность лифта: свыше 500 кг</t>
  </si>
  <si>
    <t xml:space="preserve">                                   Замена станции управления лифта</t>
  </si>
  <si>
    <t>ТЕРмр01-01-006-01</t>
  </si>
  <si>
    <t>Замена станции управления лифта, количество этажей-9, количество лифтов в подъезде: 1</t>
  </si>
  <si>
    <t>ТЕРмр01-01-006-02</t>
  </si>
  <si>
    <t>Замена станции управления лифта, количество этажей-9, количество лифтов в подъезде: 2, одиночная работа</t>
  </si>
  <si>
    <t>ТЕРмр01-01-006-03</t>
  </si>
  <si>
    <t>Замена станции управления лифта, количество этажей-9, количество лифтов в подъезде: 2, парная работа</t>
  </si>
  <si>
    <t>ТЕРмр01-01-006-04</t>
  </si>
  <si>
    <t>Добавлять или исключать на каждый этаж сверх или менее 9-ти по расценкам 01-01-006-01, -02, -03</t>
  </si>
  <si>
    <t xml:space="preserve">                                   Замена системы управления лифта</t>
  </si>
  <si>
    <t>ТЕРмр01-01-007-01</t>
  </si>
  <si>
    <t>Замена системы управления лифта на 9 этажей, при количестве лифтов в подъезде: 1, одиночная работа</t>
  </si>
  <si>
    <t>ТЕРмр01-01-007-02</t>
  </si>
  <si>
    <t>Замена системы управления лифта на 9 этажей, при количестве лифтов в подъезде: 1, частотное регулирование</t>
  </si>
  <si>
    <t>ТЕРмр01-01-007-03</t>
  </si>
  <si>
    <t>Замена системы управления лифта на 9 этажей, при количестве лифтов в подъезде: 2, одиночная работа</t>
  </si>
  <si>
    <t>ТЕРмр01-01-007-04</t>
  </si>
  <si>
    <t>Замена системы управления лифта на 9 этажей, при количестве лифтов в подъезде: 2, частотное регулирование</t>
  </si>
  <si>
    <t>ТЕРмр01-01-007-05</t>
  </si>
  <si>
    <t>Замена системы управления лифта на 9 этажей, при количестве лифтов в подъезде: 2, парная работа</t>
  </si>
  <si>
    <t>ТЕРмр01-01-007-06</t>
  </si>
  <si>
    <t>Добавлять или исключать на каждый этаж сверх или менее 9-ти по расценкам 01-01-007-01, -02, -03, -04, -05</t>
  </si>
  <si>
    <t xml:space="preserve">                                   Замена выключателей и переключателей</t>
  </si>
  <si>
    <t>ТЕРмр01-01-008-01</t>
  </si>
  <si>
    <t>Замена выключателя автоматического на панели управления, работа лифта: одиночная</t>
  </si>
  <si>
    <t>ТЕРмр01-01-008-02</t>
  </si>
  <si>
    <t>Замена выключателя автоматического на панели управления, работа лифта: парная</t>
  </si>
  <si>
    <t>ТЕРмр01-01-008-03</t>
  </si>
  <si>
    <t>Замена переключателя этажного, работа лифта: одиночная</t>
  </si>
  <si>
    <t>ТЕРмр01-01-008-04</t>
  </si>
  <si>
    <t>Замена переключателя этажного, работа лифта: парная</t>
  </si>
  <si>
    <t>ТЕРмр01-01-008-05</t>
  </si>
  <si>
    <t>Замена переключателя режима работы на панели управления, работа лифта: одиночная</t>
  </si>
  <si>
    <t>ТЕРмр01-01-008-06</t>
  </si>
  <si>
    <t>Замена переключателя режима работы на панели управления, работа лифта: парная</t>
  </si>
  <si>
    <t xml:space="preserve">                                   Замена канатов, стяжки канатов, ограничителя скорости и натяжного устройства</t>
  </si>
  <si>
    <t>ТЕРмр01-01-009-01</t>
  </si>
  <si>
    <t>Замена тягового каната</t>
  </si>
  <si>
    <t>ТЕРмр01-01-009-02</t>
  </si>
  <si>
    <t>Замена устройство стяжки канатов</t>
  </si>
  <si>
    <t>ТЕРмр01-01-009-03</t>
  </si>
  <si>
    <t>Замена ограничителя скорости</t>
  </si>
  <si>
    <t>ТЕРмр01-01-009-04</t>
  </si>
  <si>
    <t>Замена каната ограничителя скорости</t>
  </si>
  <si>
    <t>ТЕРмр01-01-009-05</t>
  </si>
  <si>
    <t>Замена натяжного устройство каната ограничителя скорости</t>
  </si>
  <si>
    <t xml:space="preserve">                                   Замена электрооборудования в машинном помещении лифта</t>
  </si>
  <si>
    <t>ТЕРмр01-01-010-01</t>
  </si>
  <si>
    <t>Замена трансформатора, количество лифтов в подъезде: 1</t>
  </si>
  <si>
    <t>ТЕРмр01-01-010-02</t>
  </si>
  <si>
    <t>Замена трансформатора, количество лифтов в подъезде: 2</t>
  </si>
  <si>
    <t>ТЕРмр01-01-010-03</t>
  </si>
  <si>
    <t>Замена устройства вводного, количество лифтов в подъезде: 1</t>
  </si>
  <si>
    <t>ТЕРмр01-01-010-04</t>
  </si>
  <si>
    <t>Замена устройства вводного, количество лифтов в подъезде: 2</t>
  </si>
  <si>
    <t>ТЕРмр01-01-010-05</t>
  </si>
  <si>
    <t>Замена устройство выпрямительного, работа лифта: одиночная</t>
  </si>
  <si>
    <t>ТЕРмр01-01-010-06</t>
  </si>
  <si>
    <t>Замена устройство выпрямительного, работа лифта: парная</t>
  </si>
  <si>
    <t>ТЕРмр01-01-010-07</t>
  </si>
  <si>
    <t>Замена реле времени, работа лифта: одиночная</t>
  </si>
  <si>
    <t>ТЕРмр01-01-010-08</t>
  </si>
  <si>
    <t>Замена реле времени, работа лифта: парная</t>
  </si>
  <si>
    <t>ТЕРмр01-01-010-09</t>
  </si>
  <si>
    <t>Замена контактора или магнитного пускателя станции (шкафа) управления, количество лифтов в подъезде: 1</t>
  </si>
  <si>
    <t>ТЕРмр01-01-010-10</t>
  </si>
  <si>
    <t>Замена контактора или магнитного пускателя станции (шкафа) управления, количество лифтов в подъезде: 2, одиночная работа</t>
  </si>
  <si>
    <t>ТЕРмр01-01-010-11</t>
  </si>
  <si>
    <t>Замена контактора или магнитного пускателя станции (шкафа) управления, количество лифтов в подъезде: 2, парная работа</t>
  </si>
  <si>
    <t>ТЕРмр01-01-010-12</t>
  </si>
  <si>
    <t>Замена конденсаторов проходных на вводном устройстве, количество лифтов в подъезде: 1</t>
  </si>
  <si>
    <t>ТЕРмр01-01-010-13</t>
  </si>
  <si>
    <t>Замена конденсаторов проходных на вводном устройстве, количество лифтов в подъезде: 2, одиночная работа</t>
  </si>
  <si>
    <t>ТЕРмр01-01-010-14</t>
  </si>
  <si>
    <t>Замена конденсаторов проходных на вводном устройстве, количество лифтов в подъезде: 2, парная работа</t>
  </si>
  <si>
    <t xml:space="preserve">                                   Замена башмака</t>
  </si>
  <si>
    <t>ТЕРмр01-01-011-01</t>
  </si>
  <si>
    <t>Замена башмака</t>
  </si>
  <si>
    <t>ТЕРмр01-01-011-02</t>
  </si>
  <si>
    <t>Замена вкладыша башмака</t>
  </si>
  <si>
    <t xml:space="preserve">                                   Замена вызывного и приказного аппаратов и поста "Ревизия"</t>
  </si>
  <si>
    <t>ТЕРмр01-01-012-01</t>
  </si>
  <si>
    <t>Замена аппарата вызывного, работа лифта: одиночная</t>
  </si>
  <si>
    <t>ТЕРмр01-01-012-02</t>
  </si>
  <si>
    <t>Замена аппарата вызывного, работа лифта: парная</t>
  </si>
  <si>
    <t>ТЕРмр01-01-012-03</t>
  </si>
  <si>
    <t>Замена аппарата приказного, количество лифтов в подъезде-1</t>
  </si>
  <si>
    <t>ТЕРмр01-01-012-04</t>
  </si>
  <si>
    <t>Замена поста «Ревизия»</t>
  </si>
  <si>
    <t xml:space="preserve">                                   Замена верхней балки противовеса</t>
  </si>
  <si>
    <t>ТЕРмр01-01-013-01</t>
  </si>
  <si>
    <t>Замена верхней балки противовеса, количество лифтов в подъезде: 1</t>
  </si>
  <si>
    <t>ТЕРмр01-01-013-02</t>
  </si>
  <si>
    <t>Замена верхней балки противовеса, количество лифтов в подъезде: 2</t>
  </si>
  <si>
    <t xml:space="preserve">                                   Замена балки дверей кабины</t>
  </si>
  <si>
    <t>ТЕРмр01-01-014-01</t>
  </si>
  <si>
    <t>Замена балки дверей кабины</t>
  </si>
  <si>
    <t xml:space="preserve">                                   Замена конечного выключателя, путевого датчика, индуктивного датчика или контактного датчика</t>
  </si>
  <si>
    <t>ТЕРмр01-01-015-01</t>
  </si>
  <si>
    <t>Замена конечного выключателя, путевого, индуктивного или контактного датчиков, работа лифтов: одиночная</t>
  </si>
  <si>
    <t>ТЕРмр01-01-015-02</t>
  </si>
  <si>
    <t>Замена конечного выключателя, путевого, индуктивного или контактного датчиков, работа лифтов: парная</t>
  </si>
  <si>
    <t xml:space="preserve">                                   Замена фотодатчика реверса</t>
  </si>
  <si>
    <t>ТЕРмр01-01-016-01</t>
  </si>
  <si>
    <t>Замена фотодатчика реверса</t>
  </si>
  <si>
    <t xml:space="preserve">                                   Замена тормозного электромагнита</t>
  </si>
  <si>
    <t>ТЕРмр01-01-017-01</t>
  </si>
  <si>
    <t>Замена тормозного электромагнита</t>
  </si>
  <si>
    <t xml:space="preserve">                                   Замена преобразователя частоты</t>
  </si>
  <si>
    <t>ТЕРмр01-01-018-01</t>
  </si>
  <si>
    <t>Замена преобразователя частоты</t>
  </si>
  <si>
    <t xml:space="preserve">                                   Замена подшипников электродвигателя подъемного механизма</t>
  </si>
  <si>
    <t>ТЕРмр01-01-019-01</t>
  </si>
  <si>
    <t>Замена подшипников электродвигателя подъемного механизма</t>
  </si>
  <si>
    <t xml:space="preserve">                                   Замена ограждения шахты</t>
  </si>
  <si>
    <t>ТЕРмр01-01-020-01</t>
  </si>
  <si>
    <t>Замена сетки ограждения шахты</t>
  </si>
  <si>
    <t>ТЕРмр01-01-020-02</t>
  </si>
  <si>
    <t>Замена стального листа ограждения шахты, площадь, м2: до 1</t>
  </si>
  <si>
    <t>ТЕРмр01-01-020-03</t>
  </si>
  <si>
    <t>Замена стального листа ограждения шахты, площадь, м2: св. 1</t>
  </si>
  <si>
    <t xml:space="preserve">                                   Замена распашной двери шахты</t>
  </si>
  <si>
    <t>ТЕРмр01-01-021-01</t>
  </si>
  <si>
    <t>Замена распашной двери шахты</t>
  </si>
  <si>
    <t xml:space="preserve">                                   Замена притворных стояков распашной двери шахты</t>
  </si>
  <si>
    <t>ТЕРмр01-01-022-01</t>
  </si>
  <si>
    <t>Замена притворного стояка</t>
  </si>
  <si>
    <t xml:space="preserve">                                   Замена направляющих кабины лифта и противовеса</t>
  </si>
  <si>
    <t>ТЕРмр01-01-023-01</t>
  </si>
  <si>
    <t>Замена направляющих: кабины</t>
  </si>
  <si>
    <t>ТЕРмр01-01-023-02</t>
  </si>
  <si>
    <t>Замена направляющих: противовеса</t>
  </si>
  <si>
    <t xml:space="preserve">                                   Замена металлического каркаса кабины</t>
  </si>
  <si>
    <t>ТЕРмр01-01-024-01</t>
  </si>
  <si>
    <t>Замена металлического каркаса кабины</t>
  </si>
  <si>
    <t xml:space="preserve">                                   Выверка балансира кабины</t>
  </si>
  <si>
    <t>ТЕРмр01-01-025-01</t>
  </si>
  <si>
    <t>Выверка трехплечевого балансира кабины: со снятием нагрузки</t>
  </si>
  <si>
    <t>ТЕРмр01-01-025-02</t>
  </si>
  <si>
    <t>Выверка трехплечевого балансира кабины: без снятия нагрузки</t>
  </si>
  <si>
    <t>ТЕРмр01-01-025-03</t>
  </si>
  <si>
    <t>Выверка четырехплечевого балансира кабины: со снятием нагрузки</t>
  </si>
  <si>
    <t>ТЕРмр01-01-025-04</t>
  </si>
  <si>
    <t>Выверка четырехплечевого балансира кабины: без снятия нагрузки</t>
  </si>
  <si>
    <t xml:space="preserve">                                   Замена рамки слабины подъемных канатов</t>
  </si>
  <si>
    <t>ТЕРмр01-01-026-01</t>
  </si>
  <si>
    <t>Замена рамки слабины подъемных канатов</t>
  </si>
  <si>
    <t xml:space="preserve">                                   Замена клиньев ловителей лифта</t>
  </si>
  <si>
    <t>ТЕРмр01-01-027-01</t>
  </si>
  <si>
    <t>Замена клиньев ловителей лифта, скорость движения кабины, м/с: до 1, мгновенного действия</t>
  </si>
  <si>
    <t>ТЕРмр01-01-027-02</t>
  </si>
  <si>
    <t>Замена клиньев ловителей лифта, скорость движения кабины, м/с: св. 1, плавного торможения</t>
  </si>
  <si>
    <t xml:space="preserve">                                   Замена отводки для лифта с распашными дверями</t>
  </si>
  <si>
    <t>ТЕРмр01-01-028-01</t>
  </si>
  <si>
    <t>Замена отводки: комбинированной</t>
  </si>
  <si>
    <t>ТЕРмр01-01-028-02</t>
  </si>
  <si>
    <t>Замена отводки: электромагнитной</t>
  </si>
  <si>
    <t>ТЕРмр01-01-028-03</t>
  </si>
  <si>
    <t>Замена тяги электромагнитной отводки</t>
  </si>
  <si>
    <t xml:space="preserve">                                   Замена узлов и деталей раздвижных дверей кабины лифта</t>
  </si>
  <si>
    <t>ТЕРмр01-01-029-01</t>
  </si>
  <si>
    <t>Замена: башмаков створки дверей кабины</t>
  </si>
  <si>
    <t>ТЕРмр01-01-029-02</t>
  </si>
  <si>
    <t>Замена: резины притвора створок дверей кабины</t>
  </si>
  <si>
    <t>ТЕРмр01-01-029-03</t>
  </si>
  <si>
    <t>Замена: обрамления дверного проема кабины</t>
  </si>
  <si>
    <t>ТЕРмр01-01-029-04</t>
  </si>
  <si>
    <t>Замена: отводки дверей кабины</t>
  </si>
  <si>
    <t>ТЕРмр01-01-029-05</t>
  </si>
  <si>
    <t>Замена: упора каретки дверей кабины</t>
  </si>
  <si>
    <t>ТЕРмр01-01-029-06</t>
  </si>
  <si>
    <t>Замена: линейки дверей кабины</t>
  </si>
  <si>
    <t xml:space="preserve">                                   Замена противовеса и отдельных узлов противовеса</t>
  </si>
  <si>
    <t>ТЕРмр01-01-030-01</t>
  </si>
  <si>
    <t>Замена противовеса при подвеске: трехканатной</t>
  </si>
  <si>
    <t>ТЕРмр01-01-030-02</t>
  </si>
  <si>
    <t>Замена противовеса при подвеске: четырехканатной</t>
  </si>
  <si>
    <t>ТЕРмр01-01-030-03</t>
  </si>
  <si>
    <t>Замена узлов противовеса: лопнувших пружин канатодержателей</t>
  </si>
  <si>
    <t>ТЕРмр01-01-030-04</t>
  </si>
  <si>
    <t>Замена узлов противовеса: ушковых болтов подвески</t>
  </si>
  <si>
    <t>ТЕРмр01-01-030-05</t>
  </si>
  <si>
    <t>Снятие верхнего груза противовеса</t>
  </si>
  <si>
    <t xml:space="preserve">                                   Замена блока и подшипников блока натяжного устройства каната ограничителя скорости</t>
  </si>
  <si>
    <t>ТЕРмр01-01-031-01</t>
  </si>
  <si>
    <t>Замена: блока</t>
  </si>
  <si>
    <t>ТЕРмр01-01-031-02</t>
  </si>
  <si>
    <t>Замена: подшипников блока натяжного устройства каната ограничителя скорости</t>
  </si>
  <si>
    <t xml:space="preserve">                                   Замена блок-контакта ловителей</t>
  </si>
  <si>
    <t>ТЕРмр01-01-032-01</t>
  </si>
  <si>
    <t>Замена блок-контакта ловителей</t>
  </si>
  <si>
    <t xml:space="preserve">                                   Замена электропроводки освещения шахты и электропроводки по кабине</t>
  </si>
  <si>
    <t>ТЕРмр01-01-033-01</t>
  </si>
  <si>
    <t>Замена электропроводки освещения шахты</t>
  </si>
  <si>
    <t>ТЕРмр01-01-033-02</t>
  </si>
  <si>
    <t>Замена электропроводки по кабине с дверями: раздвижными, грузоподъемность лифта, кг до 400</t>
  </si>
  <si>
    <t>ТЕРмр01-01-033-03</t>
  </si>
  <si>
    <t>Замена электропроводки по кабине с дверями: раздвижными, грузоподъемность лифта, кг св. 400</t>
  </si>
  <si>
    <t>ТЕРмр01-01-033-04</t>
  </si>
  <si>
    <t>Замена электропроводки по кабине с дверями: распашными</t>
  </si>
  <si>
    <t xml:space="preserve">                                   Замена силовой электропроводки машинного помещения</t>
  </si>
  <si>
    <t>ТЕРмр01-01-034-01</t>
  </si>
  <si>
    <t>Снятие силовой электропроводки машинного помещения</t>
  </si>
  <si>
    <t>ТЕРмр01-01-034-02</t>
  </si>
  <si>
    <t>Прокладка проводов силовой электропроводки в трубах</t>
  </si>
  <si>
    <t>ТЕРмр01-01-034-03</t>
  </si>
  <si>
    <t>Подключение проводов электропроводки</t>
  </si>
  <si>
    <t xml:space="preserve">                                   Замена электропроводки цепей управления и сигнализации</t>
  </si>
  <si>
    <t>ТЕРмр01-01-035-01</t>
  </si>
  <si>
    <t>Отсоединение проводов от: шкафа управления, количество концов - 80</t>
  </si>
  <si>
    <t>ТЕРмр01-01-035-02</t>
  </si>
  <si>
    <t>Отсоединение проводов от: на каждые 10 концов меньше или больше 80 уменьшать или добавлять (к расценке 01-01-035-01)</t>
  </si>
  <si>
    <t>ТЕРмр01-01-035-03</t>
  </si>
  <si>
    <t>Отсоединение проводов от: блок-контакта распашной, раздвижной двери шахты, концевого выключателя</t>
  </si>
  <si>
    <t>ТЕРмр01-01-035-04</t>
  </si>
  <si>
    <t>Отсоединение проводов от: вызывного аппарата</t>
  </si>
  <si>
    <t>ТЕРмр01-01-035-05</t>
  </si>
  <si>
    <t>Отсоединение проводов от: этажного переключателя или датчика селекции</t>
  </si>
  <si>
    <t>ТЕРмр01-01-035-06</t>
  </si>
  <si>
    <t>Отсоединение проводов от: центральной распаячной коробки</t>
  </si>
  <si>
    <t>ТЕРмр01-01-035-07</t>
  </si>
  <si>
    <t>Отсоединение проводов от: этажной распаячной коробки</t>
  </si>
  <si>
    <t>ТЕРмр01-01-035-08</t>
  </si>
  <si>
    <t>Снятие электропроводки, проложенной в трубах</t>
  </si>
  <si>
    <t>ТЕРмр01-01-035-09</t>
  </si>
  <si>
    <t>Заготовка проводов</t>
  </si>
  <si>
    <t>ТЕРмр01-01-035-10</t>
  </si>
  <si>
    <t>Заготовка жгута (до 10 жил)</t>
  </si>
  <si>
    <t>ТЕРмр01-01-035-11</t>
  </si>
  <si>
    <t>Установка струны (несущего троса)</t>
  </si>
  <si>
    <t>ТЕРмр01-01-035-12</t>
  </si>
  <si>
    <t>Прокладка жгута электропроводки: по шахте</t>
  </si>
  <si>
    <t>ТЕРмр01-01-035-13</t>
  </si>
  <si>
    <t>Прокладка жгута электропроводки: в трубах к шкафу управления</t>
  </si>
  <si>
    <t>ТЕРмр01-01-035-14</t>
  </si>
  <si>
    <t>Подсоединение проводов к: центральной распаячной коробке</t>
  </si>
  <si>
    <t>ТЕРмр01-01-035-15</t>
  </si>
  <si>
    <t>Подсоединение проводов к: этажной распаячной коробке</t>
  </si>
  <si>
    <t>ТЕРмр01-01-035-16</t>
  </si>
  <si>
    <t>Подсоединение проводов к: электрическим аппаратам, установленным в шахте и приямке лифта</t>
  </si>
  <si>
    <t>ТЕРмр01-01-035-17</t>
  </si>
  <si>
    <t>Подсоединение проводов к: шкафу управления лифтом</t>
  </si>
  <si>
    <t>ТЕРмр01-01-035-18</t>
  </si>
  <si>
    <t>Прозвонка электропроводки от шкафа управления до распаянной коробки: центральной</t>
  </si>
  <si>
    <t>ТЕРмр01-01-035-19</t>
  </si>
  <si>
    <t>Прозвонка электропроводки от шкафа управления до распаянной коробки: этажной</t>
  </si>
  <si>
    <t>ТЕРмр01-01-035-20</t>
  </si>
  <si>
    <t>Подсоединение проводов цепи управления к шкафу управления лифтом с дверями: распашными</t>
  </si>
  <si>
    <t>ТЕРмр01-01-035-21</t>
  </si>
  <si>
    <t>Подсоединение проводов цепи управления к шкафу управления лифтом с дверями: раздвижными</t>
  </si>
  <si>
    <t>ТЕРмр01-01-035-22</t>
  </si>
  <si>
    <t>Опробование работы лифта на всех режимах</t>
  </si>
  <si>
    <t xml:space="preserve">                                   Замена подвесного кабеля</t>
  </si>
  <si>
    <t>ТЕРмр01-01-036-01</t>
  </si>
  <si>
    <t>Замена подвесного кабеля</t>
  </si>
  <si>
    <t xml:space="preserve">                           Раздел 2. ОТДЕЛ 02. РАБОТЫ ПО УСТАНОВКЕ ОБОРУДОВАНИЯ, УСТРОЙСТВ И КОНСТРУКЦИЙ ЛИФТА</t>
  </si>
  <si>
    <t xml:space="preserve">                                   Выверка, очистка и промывка направляющих кабины лифта (противовеса)</t>
  </si>
  <si>
    <t>ТЕРмр01-02-001-01</t>
  </si>
  <si>
    <t>Выверка направляющих кабины (противовеса), длиной 2 м</t>
  </si>
  <si>
    <t>ТЕРмр01-02-001-02</t>
  </si>
  <si>
    <t>На каждые последующие 2 м высоты подъема лифта добавлять к расценке 01-02-001-01</t>
  </si>
  <si>
    <t>ТЕРмр01-02-001-03</t>
  </si>
  <si>
    <t>Очистка и промывка направляющих кабины (противовеса), длиной 2 м</t>
  </si>
  <si>
    <t>ТЕРмр01-02-001-04</t>
  </si>
  <si>
    <t>На каждые последующие 2 м высоты подъема лифта добавлять к расценке 01-02-001-03</t>
  </si>
  <si>
    <t xml:space="preserve">                                   Установка смазывающего устройства</t>
  </si>
  <si>
    <t>ТЕРмр01-02-002-01</t>
  </si>
  <si>
    <t>Установка смазывающего устройства</t>
  </si>
  <si>
    <t xml:space="preserve">                                   Установка блока сигнализации (БС).</t>
  </si>
  <si>
    <t>ТЕРмр01-02-003-01</t>
  </si>
  <si>
    <t>Установка блока сигнализации, количество этажей-9, работа лифта: одиночная</t>
  </si>
  <si>
    <t>ТЕРмр01-02-003-02</t>
  </si>
  <si>
    <t>Установка блока сигнализации, количество этажей-9, работа лифта: парная</t>
  </si>
  <si>
    <t>ТЕРмр01-02-003-03</t>
  </si>
  <si>
    <t>Добавлять или исключать на каждый этаж сверх или менее 9-ти по норам 01-02-003-01, -02</t>
  </si>
  <si>
    <t xml:space="preserve">                                   Установка дополнительного устройства контроля слабины тяговых канатов (ДУСК)</t>
  </si>
  <si>
    <t>ТЕРмр01-02-004-01</t>
  </si>
  <si>
    <t>Установка дополнительного устройства контроля слабины тяговых канатов (ДУСК)</t>
  </si>
  <si>
    <t xml:space="preserve">                                   Установка устройства безопасности (типа УБ1, УБМО)</t>
  </si>
  <si>
    <t>ТЕРмр01-02-005-01</t>
  </si>
  <si>
    <t>Установка устройства безопасности, количество этажей-9, работа лифта: одиночная</t>
  </si>
  <si>
    <t>ТЕРмр01-02-005-02</t>
  </si>
  <si>
    <t>Установка устройства безопасности, количество этажей-9, работа лифта: парная</t>
  </si>
  <si>
    <t>ТЕРмр01-02-005-03</t>
  </si>
  <si>
    <t>Добавлять или исключать на каждый этаж сверх или менее 9-ти по расценкам 01-02-005-01, -02</t>
  </si>
  <si>
    <t xml:space="preserve">                                   Установка фотодатчика реверса</t>
  </si>
  <si>
    <t>ТЕРмр01-02-006-01</t>
  </si>
  <si>
    <t>Установка фотодатчика реверса</t>
  </si>
  <si>
    <t xml:space="preserve">                                   Установка промежуточного реле, реле времени</t>
  </si>
  <si>
    <t>ТЕРмр01-02-007-01</t>
  </si>
  <si>
    <t>Установка промежуточного реле, реле времени, работа лифта: одиночная</t>
  </si>
  <si>
    <t>ТЕРмр01-02-007-02</t>
  </si>
  <si>
    <t>Установка промежуточного реле, реле времени, работа лифта: парная</t>
  </si>
  <si>
    <t xml:space="preserve">                                   Установка щита с электроаппаратурой на кирпичную или бетонную стену</t>
  </si>
  <si>
    <t>ТЕРмр01-02-008-01</t>
  </si>
  <si>
    <t>Установка щита с электроаппаратурой на кирпичной или бетонной стене, работа лифта: одиночная</t>
  </si>
  <si>
    <t>ТЕРмр01-02-008-02</t>
  </si>
  <si>
    <t>Установка щита с электроаппаратурой на кирпичной или бетонной стене, работа лифта: парная</t>
  </si>
  <si>
    <t xml:space="preserve">                                   Установка блока электронного селектора</t>
  </si>
  <si>
    <t>ТЕРмр01-02-009-01</t>
  </si>
  <si>
    <t>Установка блока электронного селектора, количество лифтов в подъезде: 1</t>
  </si>
  <si>
    <t>ТЕРмр01-02-009-02</t>
  </si>
  <si>
    <t>Установка блока электронного селектора, количество лифтов в подъезде: 2, работа лифта одиночная</t>
  </si>
  <si>
    <t>ТЕРмр01-02-009-03</t>
  </si>
  <si>
    <t>Установка блока электронного селектора, количество лифтов в подъезде: 2, работа лифта парная</t>
  </si>
  <si>
    <t xml:space="preserve">                                   Установка устройства защиты электродвигателя главного привода</t>
  </si>
  <si>
    <t>ТЕРмр01-02-010-01</t>
  </si>
  <si>
    <t>Установка устройства защиты электродвигателя главного привода, работа лифта: одиночная</t>
  </si>
  <si>
    <t>ТЕРмр01-02-010-02</t>
  </si>
  <si>
    <t>Установка устройства защиты электродвигателя главного привода, работа лифта: парная</t>
  </si>
  <si>
    <t xml:space="preserve">                                   Установка подлебедочной рамы</t>
  </si>
  <si>
    <t>ТЕРмр01-02-011-01</t>
  </si>
  <si>
    <t>Установка подлебедочной рамы</t>
  </si>
  <si>
    <t xml:space="preserve">                                   Установка шунтов</t>
  </si>
  <si>
    <t>ТЕРмр01-02-012-01</t>
  </si>
  <si>
    <t>Установка шунта: точной остановки кабины</t>
  </si>
  <si>
    <t>ТЕРмр01-02-012-02</t>
  </si>
  <si>
    <t>Установка шунта: замедления движения кабины</t>
  </si>
  <si>
    <t xml:space="preserve">                                   Установка поручня в кабине</t>
  </si>
  <si>
    <t>ТЕРмр01-02-013-01</t>
  </si>
  <si>
    <t>Установка поручня в кабине</t>
  </si>
  <si>
    <t xml:space="preserve">                           Раздел 3. ОТДЕЛ 03. РАБОТЫ ПО РЕМОНТУ ОБОРУДОВАНИЯ, УСТРОЙСТВ И КОНСТРУКЦИЙ ЛИФТА</t>
  </si>
  <si>
    <t xml:space="preserve">                                   Ремонт замка распашной двери шахты</t>
  </si>
  <si>
    <t>ТЕРмр01-03-001-01</t>
  </si>
  <si>
    <t>Ремонт замка автоматического распашной двери шахты, работа лифта: одиночная</t>
  </si>
  <si>
    <t>ТЕРмр01-03-001-02</t>
  </si>
  <si>
    <t>Ремонт замка автоматического распашной двери шахты, работа лифта: парная</t>
  </si>
  <si>
    <t>ТЕРмр01-03-001-03</t>
  </si>
  <si>
    <t>Ремонт замка неавтоматического распашной двери шахты:</t>
  </si>
  <si>
    <t xml:space="preserve">                                   Ремонт верхней балки противовеса</t>
  </si>
  <si>
    <t>ТЕРмр01-03-002-01</t>
  </si>
  <si>
    <t>Ремонт верхней балки противовеса, количество лифтов в подъезде: 1</t>
  </si>
  <si>
    <t>ТЕРмр01-03-002-02</t>
  </si>
  <si>
    <t>Ремонт верхней балки противовеса, количество лифтов в подъезде: 2</t>
  </si>
  <si>
    <t xml:space="preserve">                                   Ремонт ограничителя скорости и натяжного устройства каната ограничителя скорости</t>
  </si>
  <si>
    <t>ТЕРмр01-03-003-01</t>
  </si>
  <si>
    <t>Ремонт ограничителя скорости</t>
  </si>
  <si>
    <t>ТЕРмр01-03-003-02</t>
  </si>
  <si>
    <t>Ремонт натяжного устройства каната ограничителя скорости</t>
  </si>
  <si>
    <t xml:space="preserve">                                   Ремонт электрооборудования в машинном помещении</t>
  </si>
  <si>
    <t>ТЕРмр01-03-004-01</t>
  </si>
  <si>
    <t>Ремонт вводного устройства (ВУ), работа лифта: одиночная</t>
  </si>
  <si>
    <t>ТЕРмр01-03-004-02</t>
  </si>
  <si>
    <t>Ремонт вводного устройства (ВУ), работа лифта: парная</t>
  </si>
  <si>
    <t>ТЕРмр01-03-004-03</t>
  </si>
  <si>
    <t>Ремонт трансформатора, работа лифта: одиночная</t>
  </si>
  <si>
    <t>ТЕРмр01-03-004-04</t>
  </si>
  <si>
    <t>Ремонт трансформатора, работа лифта: парная</t>
  </si>
  <si>
    <t>ТЕРмр01-03-004-05</t>
  </si>
  <si>
    <t>Ремонт контактора или магнитного пускателя станции (шкафа) управления, работа лифта: одиночная</t>
  </si>
  <si>
    <t>ТЕРмр01-03-004-06</t>
  </si>
  <si>
    <t>Ремонт контактора или магнитного пускателя станции (шкафа) управления, работа лифта: парная</t>
  </si>
  <si>
    <t xml:space="preserve">                                   Ремонт створки дверей шахты (кабины)</t>
  </si>
  <si>
    <t>ТЕРмр01-03-005-01</t>
  </si>
  <si>
    <t>Ремонт створки дверей шахты (кабины), грузоподъемность лифта: до 500 кг</t>
  </si>
  <si>
    <t>ТЕРмр01-03-005-02</t>
  </si>
  <si>
    <t>Ремонт створки дверей шахты (кабины), грузоподъемность лифта: свыше 500 кг</t>
  </si>
  <si>
    <t xml:space="preserve">                                   Ремонт верхней балки дверей шахты</t>
  </si>
  <si>
    <t>ТЕРмр01-03-006-01</t>
  </si>
  <si>
    <t>Ремонт верхней балки дверей шахты, грузоподъемность лифта: до 500 кг</t>
  </si>
  <si>
    <t>ТЕРмр01-03-006-02</t>
  </si>
  <si>
    <t>Ремонт верхней балки дверей шахты, грузоподъемность лифта: свыше 500 кг</t>
  </si>
  <si>
    <t xml:space="preserve">                                   Ремонт ловителей кабины (противовеса) лифта</t>
  </si>
  <si>
    <t>ТЕРмр01-03-007-01</t>
  </si>
  <si>
    <t>Ремонт ловителя кабины (противовеса) лифта</t>
  </si>
  <si>
    <t xml:space="preserve">                                   Ремонт вызывного и приказного аппаратов</t>
  </si>
  <si>
    <t>ТЕРмр01-03-008-01</t>
  </si>
  <si>
    <t>Ремонт аппарата вызывного, работа лифта: одиночная</t>
  </si>
  <si>
    <t>ТЕРмр01-03-008-02</t>
  </si>
  <si>
    <t>Ремонт аппарата вызывного, работа лифта: парная</t>
  </si>
  <si>
    <t>ТЕРмр01-03-008-03</t>
  </si>
  <si>
    <t>Ремонт аппарата приказного</t>
  </si>
  <si>
    <t xml:space="preserve">                                   Ремонт механизма подвижного пола кабины лифта (с проверкой и регулировкой грузовзвешивающей системы)</t>
  </si>
  <si>
    <t>ТЕРмр01-03-009-01</t>
  </si>
  <si>
    <t>Ремонт механизма подвижного пола кабины лифта (с проверкой и регулировкой грузовзвешивающей системы), работа лифта: одиночная</t>
  </si>
  <si>
    <t>ТЕРмр01-03-009-02</t>
  </si>
  <si>
    <t>Ремонт механизма подвижного пола кабины лифта (с проверкой и регулировкой грузовзвешивающей системы), работа лифта: парная</t>
  </si>
  <si>
    <t xml:space="preserve">                                   Ремонт редуктора лебедки главного привода</t>
  </si>
  <si>
    <t>ТЕРмр01-03-010-01</t>
  </si>
  <si>
    <t>Ремонт редуктора лебедки главного привода</t>
  </si>
  <si>
    <t xml:space="preserve">                                   Ремонт балки дверей кабины</t>
  </si>
  <si>
    <t>ТЕРмр01-03-011-01</t>
  </si>
  <si>
    <t>Ремонт балки дверей кабины</t>
  </si>
  <si>
    <t xml:space="preserve">                                   Ремонт привода дверей кабины</t>
  </si>
  <si>
    <t>ТЕРмр01-03-012-01</t>
  </si>
  <si>
    <t>Ремонт привода дверей кабины</t>
  </si>
  <si>
    <t xml:space="preserve">                                   Ремонт тормозного устройства лифтовой лебедки</t>
  </si>
  <si>
    <t>ТЕРмр01-03-013-01</t>
  </si>
  <si>
    <t>Ремонт тормозного устройства лифтовой лебедки</t>
  </si>
  <si>
    <t xml:space="preserve">                                   Ремонт тормозного электромагнита лифтовой лебедки</t>
  </si>
  <si>
    <t>ТЕРмр01-03-014-01</t>
  </si>
  <si>
    <t>Ремонт тормозного электромагнита лифтовой лебедки</t>
  </si>
  <si>
    <t xml:space="preserve">                                   Ремонт преобразователя частоты частотно-регулируемого электропривода лифта</t>
  </si>
  <si>
    <t>ТЕРмр01-03-015-01</t>
  </si>
  <si>
    <t>Ремонт преобразователя частоты частотно-регулируемого электропривода лифта</t>
  </si>
  <si>
    <t xml:space="preserve">                                   Ремонт купе кабины лифта</t>
  </si>
  <si>
    <t>ТЕРмр01-03-016-01</t>
  </si>
  <si>
    <t>Ремонт купе кабины, с дверями: раздвижными, грузоподъемность лифта, кг до 400</t>
  </si>
  <si>
    <t>ТЕРмр01-03-016-02</t>
  </si>
  <si>
    <t>Ремонт купе кабины, с дверями: раздвижными, грузоподъемность лифта, кг св. 400</t>
  </si>
  <si>
    <t>ТЕРмр01-03-016-03</t>
  </si>
  <si>
    <t>Ремонт купе кабины, с дверями: распашными</t>
  </si>
  <si>
    <t xml:space="preserve">                                   Ремонт блоков</t>
  </si>
  <si>
    <t>ТЕРмр01-03-017-01</t>
  </si>
  <si>
    <t>Ремонт блоков со снятием и установкой на баки: горизонтальные, масса блока, кг до 50</t>
  </si>
  <si>
    <t>ТЕРмр01-03-017-02</t>
  </si>
  <si>
    <t>Ремонт блоков со снятием и установкой на баки: горизонтальные, масса блока, кг св.50</t>
  </si>
  <si>
    <t>ТЕРмр01-03-017-03</t>
  </si>
  <si>
    <t>Ремонт блоков со снятием и установкой на баки: вертикальные</t>
  </si>
  <si>
    <t xml:space="preserve">                                   Ремонт станции управления лифтом</t>
  </si>
  <si>
    <t>ТЕРмр01-03-018-01</t>
  </si>
  <si>
    <t>Станция управления лифтами: релейно-контакторная, скорость движения кабины, м/с до 1</t>
  </si>
  <si>
    <t>ТЕРмр01-03-018-02</t>
  </si>
  <si>
    <t>Станция управления лифтами: релейно-контакторная, скорость движения кабины, м/с св. 1</t>
  </si>
  <si>
    <t>ТЕРмр01-03-018-03</t>
  </si>
  <si>
    <t>Станция управления лифтами: на микропроцессорных устройствах и микроэлектронике (с заменой плат)</t>
  </si>
  <si>
    <t xml:space="preserve">                           Раздел 4. ОТДЕЛ 04. ПРОЧИЕ РАБОТЫ</t>
  </si>
  <si>
    <t xml:space="preserve">                                   Перевод одного из лифтов с групповым управлением в одиночный режим работы</t>
  </si>
  <si>
    <t>ТЕРмр01-04-001-01</t>
  </si>
  <si>
    <t>Перевод лифта в одиночный режим работы</t>
  </si>
  <si>
    <t xml:space="preserve">                                   Переоборудование лифта в подъемное средство подмащивания</t>
  </si>
  <si>
    <t>ТЕРмр01-04-002-01</t>
  </si>
  <si>
    <t>Переоборудование лифта в подъемное средство подмащивания</t>
  </si>
  <si>
    <t xml:space="preserve">                                   Балансировка системы "кабина-противовес"</t>
  </si>
  <si>
    <t>ТЕРмр01-04-003-01</t>
  </si>
  <si>
    <t>Балансировка системы «кабина-противовес»</t>
  </si>
  <si>
    <t xml:space="preserve">                                   Передвижение кабины и противовеса ручным способом</t>
  </si>
  <si>
    <t>ТЕРмр01-04-004-01</t>
  </si>
  <si>
    <t>Передвижение кабины и противовеса при помощи маховика (штурвала): вверх</t>
  </si>
  <si>
    <t>ТЕРмр01-04-004-02</t>
  </si>
  <si>
    <t>Передвижение кабины и противовеса при помощи маховика (штурвала): вниз</t>
  </si>
  <si>
    <t>ТЕРмр01-04-004-03</t>
  </si>
  <si>
    <t>Передвижение кабины и противовеса при помощи рычага: вверх</t>
  </si>
  <si>
    <t>ТЕРмр01-04-004-04</t>
  </si>
  <si>
    <t>Передвижение кабины и противовеса при помощи рычага: вниз</t>
  </si>
  <si>
    <t xml:space="preserve">                           Раздел 5. ОТДЕЛ 05. РАБОТЫ ПО ТЕХНИЧЕСКОМУ ДИАГНОСТИРОВАНИЮ И ОБСЛЕДОВАНИЮ ЛИФТОВ</t>
  </si>
  <si>
    <t xml:space="preserve">                                   Полное техническое освидетельствование лифта</t>
  </si>
  <si>
    <t>ТЕРмр01-05-001-01</t>
  </si>
  <si>
    <t>Полное техническое освидетельствование лифта на две остановки</t>
  </si>
  <si>
    <t>ТЕРмр01-05-001-02</t>
  </si>
  <si>
    <t>За каждую дополнительную остановку больше двух добавлять к расценке 01-05-001-01</t>
  </si>
  <si>
    <t xml:space="preserve">                                   Периодическое техническое освидетельствование лифта</t>
  </si>
  <si>
    <t>ТЕРмр01-05-002-01</t>
  </si>
  <si>
    <t>Периодическое техническое освидетельствование лифта на две остановки</t>
  </si>
  <si>
    <t>ТЕРмр01-05-002-02</t>
  </si>
  <si>
    <t>За каждую дополнительную остановку больше двух добавлять к расценке 01-05-002-01</t>
  </si>
  <si>
    <t xml:space="preserve">                                   Частичное техническое освидетельствование лифта после замены или ремонта оборудования</t>
  </si>
  <si>
    <t>ТЕРмр01-05-003-01</t>
  </si>
  <si>
    <t>Частичное техническое освидетельствование лифта на две остановки после: замены канатоведущего шкива (КВШ) лебедки</t>
  </si>
  <si>
    <t>ТЕРмр01-05-003-02</t>
  </si>
  <si>
    <t>Частичное техническое освидетельствование лифта на две остановки после: изменения принципиальной электрической схемы, замены электропроводки силовой цепи или цепи управления</t>
  </si>
  <si>
    <t>ТЕРмр01-05-003-03</t>
  </si>
  <si>
    <t>Частичное техническое освидетельствование лифта на две остановки после: замены или ремонта лебедки, редуктора, тормозного устройства</t>
  </si>
  <si>
    <t>ТЕРмр01-05-003-04</t>
  </si>
  <si>
    <t>Частичное техническое освидетельствование лифта на две остановки после: замены системы, шкафа, устройства управления</t>
  </si>
  <si>
    <t>ТЕРмр01-05-003-05</t>
  </si>
  <si>
    <t>Частичное техническое освидетельствование лифта на две остановки после: замены тяговых канатов лифта</t>
  </si>
  <si>
    <t>ТЕРмр01-05-003-06</t>
  </si>
  <si>
    <t>Частичное техническое освидетельствование лифта на две остановки после: замены или ремонта ловителей</t>
  </si>
  <si>
    <t>ТЕРмр01-05-003-07</t>
  </si>
  <si>
    <t>Частичное техническое освидетельствование лифта на две остановки после: замены или ремонта ограничителя скорости</t>
  </si>
  <si>
    <t>ТЕРмр01-05-003-08</t>
  </si>
  <si>
    <t>Частичное техническое освидетельствование лифта на две остановки после: замены или ремонта буфера</t>
  </si>
  <si>
    <t>ТЕРмр01-05-003-10</t>
  </si>
  <si>
    <t>Частичное техническое освидетельствование лифта на две остановки после: замены кабины</t>
  </si>
  <si>
    <t>ТЕРмр01-05-003-09</t>
  </si>
  <si>
    <t>За каждую дополнительную остановку больше двух добавлять к расценкам 01-05-003-01, -02, -03, -04, -05, -06, -07, -08</t>
  </si>
  <si>
    <t>ТЕРмр01-05-003-11</t>
  </si>
  <si>
    <t>За каждую дополнительную остановку больше двух добавлять к расценке 01-05-003-10</t>
  </si>
  <si>
    <t xml:space="preserve">                                   Техническое диагностирование лифта, отработавшего назначенный срок службы</t>
  </si>
  <si>
    <t>ТЕРмр01-05-004-01</t>
  </si>
  <si>
    <t>Техническое диагностирование отработавшего назначенный срок службы лифта на две остановки</t>
  </si>
  <si>
    <t>ТЕРмр01-05-004-02</t>
  </si>
  <si>
    <t>За каждую дополнительную остановку больше двух добавлять к расценке 01-05-004-01</t>
  </si>
  <si>
    <t xml:space="preserve">                                   Обследование металлоконструкций лифта с применением неразрушающих методов контроля</t>
  </si>
  <si>
    <t>ТЕРмр01-05-005-01</t>
  </si>
  <si>
    <t>Обследование с применением неразрушающих методов контроля металлоконструкций: кабины</t>
  </si>
  <si>
    <t>ТЕРмр01-05-005-02</t>
  </si>
  <si>
    <t>Обследование с применением неразрушающих методов контроля металлоконструкций: противовеса</t>
  </si>
  <si>
    <t>ТЕРмр01-05-005-03</t>
  </si>
  <si>
    <t>Обследование с применением неразрушающих методов контроля металлоконструкций: лебедки</t>
  </si>
  <si>
    <t>ТЕРмр01-05-005-04</t>
  </si>
  <si>
    <t>Обследование с применением неразрушающих методов контроля металлоконструкций: шахты</t>
  </si>
  <si>
    <t>ТЕРмр-2001-02</t>
  </si>
  <si>
    <t xml:space="preserve">                           Раздел 1. ОТДЕЛ 01. АРМАТУРА ОБЩЕГО НАЗНАЧЕНИЯ</t>
  </si>
  <si>
    <t>ТЕРмр02-01-001-01</t>
  </si>
  <si>
    <t>Арматура фланцевая с ручным приводом или без привода водопроводная на условное давление до 4 МПа, диаметр условного прохода: до 25 мм</t>
  </si>
  <si>
    <t>ТЕРмр02-01-001-02</t>
  </si>
  <si>
    <t>Арматура фланцевая с ручным приводом или без привода водопроводная на условное давление до 4 МПа, диаметр условного прохода: до 50 мм</t>
  </si>
  <si>
    <t>ТЕРмр02-01-001-03</t>
  </si>
  <si>
    <t>Арматура фланцевая с ручным приводом или без привода водопроводная на условное давление до 4 МПа, диаметр условного прохода: до 100 мм</t>
  </si>
  <si>
    <t>ТЕРмр02-01-001-04</t>
  </si>
  <si>
    <t>Арматура фланцевая с ручным приводом или без привода водопроводная на условное давление до 4 МПа, диаметр условного прохода: до 150 мм</t>
  </si>
  <si>
    <t>ТЕРмр02-01-001-05</t>
  </si>
  <si>
    <t>Арматура фланцевая с ручным приводом или без привода водопроводная на условное давление до 4 МПа, диаметр условного прохода: до 200 мм</t>
  </si>
  <si>
    <t>ТЕРмр02-01-001-06</t>
  </si>
  <si>
    <t>Арматура фланцевая с ручным приводом или без привода водопроводная на условное давление до 4 МПа, диаметр условного прохода: до 250 мм</t>
  </si>
  <si>
    <t>ТЕРмр02-01-001-07</t>
  </si>
  <si>
    <t>Арматура фланцевая с ручным приводом или без привода водопроводная на условное давление до 4 МПа, диаметр условного прохода: до 300 мм</t>
  </si>
  <si>
    <t>ТЕРмр02-01-001-08</t>
  </si>
  <si>
    <t>Арматура фланцевая с ручным приводом или без привода водопроводная на условное давление до 4 МПа, диаметр условного прохода: до 350 мм</t>
  </si>
  <si>
    <t>ТЕРмр02-01-001-09</t>
  </si>
  <si>
    <t>Арматура фланцевая с ручным приводом или без привода водопроводная на условное давление до 4 МПа, диаметр условного прохода: до 400 мм</t>
  </si>
  <si>
    <t>ТЕРмр02-01-001-10</t>
  </si>
  <si>
    <t>Арматура фланцевая с ручным приводом или без привода водопроводная на условное давление до 4 МПа, диаметр условного прохода: до 500 мм</t>
  </si>
  <si>
    <t>ТЕРмр02-01-001-11</t>
  </si>
  <si>
    <t>Арматура фланцевая с ручным приводом или без привода водопроводная на условное давление до 4 МПа, диаметр условного прохода: до 600 мм</t>
  </si>
  <si>
    <t>ТЕРмр02-01-001-12</t>
  </si>
  <si>
    <t>Арматура фланцевая с ручным приводом или без привода водопроводная на условное давление до 4 МПа, диаметр условного прохода: до 800 мм</t>
  </si>
  <si>
    <t>ТЕРмр02-01-001-13</t>
  </si>
  <si>
    <t>Арматура фланцевая с ручным приводом или без привода водопроводная на условное давление до 4 МПа, диаметр условного прохода: до 1000 мм</t>
  </si>
  <si>
    <t>ТЕРмр02-01-001-14</t>
  </si>
  <si>
    <t>Арматура фланцевая с ручным приводом или без привода водопроводная на условное давление до 4 МПа, диаметр условного прохода: до 1200 мм</t>
  </si>
  <si>
    <t>ТЕРмр02-01-002-01</t>
  </si>
  <si>
    <t>Арматура фланцевая с ручным приводом или без привода водопроводная на условное давление до 10 МПа, диаметр условного прохода: до 25 мм</t>
  </si>
  <si>
    <t>ТЕРмр02-01-002-02</t>
  </si>
  <si>
    <t>Арматура фланцевая с ручным приводом или без привода водопроводная на условное давление до 10 МПа, диаметр условного прохода: до 50 мм</t>
  </si>
  <si>
    <t>ТЕРмр02-01-002-03</t>
  </si>
  <si>
    <t>Арматура фланцевая с ручным приводом или без привода водопроводная на условное давление до 10 МПа, диаметр условного прохода: до 100 мм</t>
  </si>
  <si>
    <t>ТЕРмр02-01-002-04</t>
  </si>
  <si>
    <t>Арматура фланцевая с ручным приводом или без привода водопроводная на условное давление до 10 МПа, диаметр условного прохода: до 125 мм</t>
  </si>
  <si>
    <t>ТЕРмр02-01-002-05</t>
  </si>
  <si>
    <t>Арматура фланцевая с ручным приводом или без привода водопроводная на условное давление до 10 МПа, диаметр условного прохода: до 150 мм</t>
  </si>
  <si>
    <t>ТЕРмр02-01-002-06</t>
  </si>
  <si>
    <t>Арматура фланцевая с ручным приводом или без привода водопроводная на условное давление до 10 МПа, диаметр условного прохода: до 200 мм</t>
  </si>
  <si>
    <t>ТЕРмр02-01-002-07</t>
  </si>
  <si>
    <t>Арматура фланцевая с ручным приводом или без привода водопроводная на условное давление до 10 МПа, диаметр условного прохода: до 250 мм</t>
  </si>
  <si>
    <t>ТЕРмр02-01-002-08</t>
  </si>
  <si>
    <t>Арматура фланцевая с ручным приводом или без привода водопроводная на условное давление до 10 МПа, диаметр условного прохода: до 300 мм</t>
  </si>
  <si>
    <t>ТЕРмр02-01-002-09</t>
  </si>
  <si>
    <t>Арматура фланцевая с ручным приводом или без привода водопроводная на условное давление до 10 МПа, диаметр условного прохода: до 350 мм</t>
  </si>
  <si>
    <t>ТЕРмр02-01-002-10</t>
  </si>
  <si>
    <t>Арматура фланцевая с ручным приводом или без привода водопроводная на условное давление до 10 МПа, диаметр условного прохода: до 400 мм</t>
  </si>
  <si>
    <t>ТЕРмр02-01-002-11</t>
  </si>
  <si>
    <t>Арматура фланцевая с ручным приводом или без привода водопроводная на условное давление до 10 МПа, диаметр условного прохода: до 500 мм</t>
  </si>
  <si>
    <t>ТЕРмр02-01-003-01</t>
  </si>
  <si>
    <t>Арматура фланцевая с электрическим приводом на условное давление до 4 МПа, диаметр условного прохода: до 50 мм</t>
  </si>
  <si>
    <t>ТЕРмр02-01-003-02</t>
  </si>
  <si>
    <t>Арматура фланцевая с электрическим приводом на условное давление до 4 МПа, диаметр условного прохода: до 100 мм</t>
  </si>
  <si>
    <t>ТЕРмр02-01-003-03</t>
  </si>
  <si>
    <t>Арматура фланцевая с электрическим приводом на условное давление до 4 МПа, диаметр условного прохода: до 125 мм</t>
  </si>
  <si>
    <t>ТЕРмр02-01-003-04</t>
  </si>
  <si>
    <t>Арматура фланцевая с электрическим приводом на условное давление до 4 МПа, диаметр условного прохода: до 150 мм</t>
  </si>
  <si>
    <t>ТЕРмр02-01-003-05</t>
  </si>
  <si>
    <t>Арматура фланцевая с электрическим приводом на условное давление до 4 МПа, диаметр условного прохода: до 200 мм</t>
  </si>
  <si>
    <t>ТЕРмр02-01-003-06</t>
  </si>
  <si>
    <t>Арматура фланцевая с электрическим приводом на условное давление до 4 МПа, диаметр условного прохода: до 250 мм</t>
  </si>
  <si>
    <t>ТЕРмр02-01-003-07</t>
  </si>
  <si>
    <t>Арматура фланцевая с электрическим приводом на условное давление до 4 МПа, диаметр условного прохода: до 300 мм</t>
  </si>
  <si>
    <t>ТЕРмр02-01-003-08</t>
  </si>
  <si>
    <t>Арматура фланцевая с электрическим приводом на условное давление до 4 МПа, диаметр условного прохода: до 350 мм</t>
  </si>
  <si>
    <t>ТЕРмр02-01-003-09</t>
  </si>
  <si>
    <t>Арматура фланцевая с электрическим приводом на условное давление до 4 МПа, диаметр условного прохода: до 400 мм</t>
  </si>
  <si>
    <t>ТЕРмр02-01-003-10</t>
  </si>
  <si>
    <t>Арматура фланцевая с электрическим приводом на условное давление до 4 МПа, диаметр условного прохода: до 500 мм</t>
  </si>
  <si>
    <t>ТЕРмр02-01-003-11</t>
  </si>
  <si>
    <t>Арматура фланцевая с электрическим приводом на условное давление до 4 МПа, диаметр условного прохода: до 600 мм</t>
  </si>
  <si>
    <t>ТЕРмр02-01-003-12</t>
  </si>
  <si>
    <t>Арматура фланцевая с электрическим приводом на условное давление до 4 МПа, диаметр условного прохода: до 800 мм</t>
  </si>
  <si>
    <t>ТЕРмр02-01-003-13</t>
  </si>
  <si>
    <t>Арматура фланцевая с электрическим приводом на условное давление до 4 МПа, диаметр условного прохода: до 1000 мм</t>
  </si>
  <si>
    <t>ТЕРмр02-01-003-14</t>
  </si>
  <si>
    <t>Арматура фланцевая с электрическим приводом на условное давление до 4 МПа, диаметр условного прохода: до 1200 мм</t>
  </si>
  <si>
    <t>ТЕРмр02-01-003-15</t>
  </si>
  <si>
    <t>Арматура фланцевая с электрическим приводом на условное давление до 4 МПа, диаметр условного прохода: до 1400 мм</t>
  </si>
  <si>
    <t>ТЕРмр02-01-004-01</t>
  </si>
  <si>
    <t>Арматура фланцевая с электрическим приводом на условное давление до 10 МПа, диаметр условного прохода: до 32 мм</t>
  </si>
  <si>
    <t>ТЕРмр02-01-004-02</t>
  </si>
  <si>
    <t>Арматура фланцевая с электрическим приводом на условное давление до 10 МПа, диаметр условного прохода: до 50 мм</t>
  </si>
  <si>
    <t>ТЕРмр02-01-004-03</t>
  </si>
  <si>
    <t>Арматура фланцевая с электрическим приводом на условное давление до 10 МПа, диаметр условного прохода: до 100 мм</t>
  </si>
  <si>
    <t>ТЕРмр02-01-004-04</t>
  </si>
  <si>
    <t>Арматура фланцевая с электрическим приводом на условное давление до 10 МПа, диаметр условного прохода: до 125 мм</t>
  </si>
  <si>
    <t>ТЕРмр02-01-004-05</t>
  </si>
  <si>
    <t>Арматура фланцевая с электрическим приводом на условное давление до 10 МПа, диаметр условного прохода: до 150 мм</t>
  </si>
  <si>
    <t>ТЕРмр02-01-004-06</t>
  </si>
  <si>
    <t>Арматура фланцевая с электрическим приводом на условное давление до 10 МПа, диаметр условного прохода: до 200 мм</t>
  </si>
  <si>
    <t>ТЕРмр02-01-004-07</t>
  </si>
  <si>
    <t>Арматура фланцевая с электрическим приводом на условное давление до 10 МПа, диаметр условного прохода: до 250 мм</t>
  </si>
  <si>
    <t>ТЕРмр02-01-004-08</t>
  </si>
  <si>
    <t>Арматура фланцевая с электрическим приводом на условное давление до 10 МПа, диаметр условного прохода: до 300 мм</t>
  </si>
  <si>
    <t>ТЕРмр02-01-004-09</t>
  </si>
  <si>
    <t>Арматура фланцевая с электрическим приводом на условное давление до 10 МПа, диаметр условного прохода: до 350 мм</t>
  </si>
  <si>
    <t>ТЕРмр02-01-004-10</t>
  </si>
  <si>
    <t>Арматура фланцевая с электрическим приводом на условное давление до 10 МПа, диаметр условного прохода: до 400 мм</t>
  </si>
  <si>
    <t>ТЕРмр02-01-004-11</t>
  </si>
  <si>
    <t>Арматура фланцевая с электрическим приводом на условное давление до 10 МПа, диаметр условного прохода: до 500 мм</t>
  </si>
  <si>
    <t xml:space="preserve">                           Раздел 2. ОТДЕЛ 02. АРМАТУРА ТЕПЛОЭНЕРГЕТИЧЕСКОГО ХОЗЯЙСТВА</t>
  </si>
  <si>
    <t xml:space="preserve">                                   РАЗДЕЛ 1. ЗАДВИЖКИ ЧУГУННЫЕ И СТАЛЬНЫЕ НА УСЛОВНОЕ ДАВЛЕНИЕ ДО 40 МПА</t>
  </si>
  <si>
    <t xml:space="preserve">                                   Задвижки фланцевые на условное давление до 2,5 МПа с ручным приводом</t>
  </si>
  <si>
    <t>ТЕРмр02-02-001-01</t>
  </si>
  <si>
    <t>Задвижка фланцевая на условное давление до 2,5 МПа с ручным приводом, диаметр условного прохода: до 50 мм</t>
  </si>
  <si>
    <t>ТЕРмр02-02-001-02</t>
  </si>
  <si>
    <t>Задвижка фланцевая на условное давление до 2,5 МПа с ручным приводом, диаметр условного прохода: до 100 мм</t>
  </si>
  <si>
    <t>ТЕРмр02-02-001-03</t>
  </si>
  <si>
    <t>Задвижка фланцевая на условное давление до 2,5 МПа с ручным приводом, диаметр условного прохода: до 150 мм</t>
  </si>
  <si>
    <t>ТЕРмр02-02-001-04</t>
  </si>
  <si>
    <t>Задвижка фланцевая на условное давление до 2,5 МПа с ручным приводом, диаметр условного прохода: до 200 мм</t>
  </si>
  <si>
    <t>ТЕРмр02-02-001-05</t>
  </si>
  <si>
    <t>Задвижка фланцевая на условное давление до 2,5 МПа с ручным приводом, диаметр условного прохода: до 250 мм</t>
  </si>
  <si>
    <t>ТЕРмр02-02-001-06</t>
  </si>
  <si>
    <t>Задвижка фланцевая на условное давление до 2,5 МПа с ручным приводом, диаметр условного прохода: до 300 мм</t>
  </si>
  <si>
    <t xml:space="preserve">                                   Задвижки фланцевые на условное давление до 2,5 МПа с электроприводом</t>
  </si>
  <si>
    <t>ТЕРмр02-02-002-01</t>
  </si>
  <si>
    <t>Задвижка фланцевая на условное давление до 2,5 МПа с электроприводом, диаметр условного прохода: до 100 мм</t>
  </si>
  <si>
    <t>ТЕРмр02-02-002-02</t>
  </si>
  <si>
    <t>Задвижка фланцевая на условное давление до 2,5 МПа с электроприводом, диаметр условного прохода: до 150 мм</t>
  </si>
  <si>
    <t>ТЕРмр02-02-002-03</t>
  </si>
  <si>
    <t>Задвижка фланцевая на условное давление до 2,5 МПа с электроприводом, диаметр условного прохода: до 200 мм</t>
  </si>
  <si>
    <t xml:space="preserve">                                   Задвижки стальные на условное давление до 6,3 МПа с ручным приводом</t>
  </si>
  <si>
    <t>ТЕРмр02-02-003-01</t>
  </si>
  <si>
    <t>Задвижка стальная на условное давление до 6,3 МПа с ручным приводом, диаметр условного прохода: до 50 мм</t>
  </si>
  <si>
    <t>ТЕРмр02-02-003-02</t>
  </si>
  <si>
    <t>Задвижка стальная на условное давление до 6,3 МПа с ручным приводом, диаметр условного прохода: до 100 мм</t>
  </si>
  <si>
    <t>ТЕРмр02-02-003-03</t>
  </si>
  <si>
    <t>Задвижка стальная на условное давление до 6,3 МПа с ручным приводом, диаметр условного прохода: до 150 мм</t>
  </si>
  <si>
    <t>ТЕРмр02-02-003-04</t>
  </si>
  <si>
    <t>Задвижка стальная на условное давление до 6,3 МПа с ручным приводом, диаметр условного прохода: до 200 мм</t>
  </si>
  <si>
    <t>ТЕРмр02-02-003-05</t>
  </si>
  <si>
    <t>Задвижка стальная на условное давление до 6,3 МПа с ручным приводом, диаметр условного прохода: до 250 мм</t>
  </si>
  <si>
    <t>ТЕРмр02-02-003-06</t>
  </si>
  <si>
    <t>Задвижка стальная на условное давление до 6,3 МПа с ручным приводом, диаметр условного прохода: до 300 мм</t>
  </si>
  <si>
    <t>ТЕРмр02-02-003-07</t>
  </si>
  <si>
    <t>Задвижка стальная на условное давление до 6,3 МПа с ручным приводом, диаметр условного прохода: до 400 мм</t>
  </si>
  <si>
    <t>ТЕРмр02-02-003-08</t>
  </si>
  <si>
    <t>Задвижка стальная на условное давление до 6,3 МПа с ручным приводом, диаметр условного прохода: до 500 мм</t>
  </si>
  <si>
    <t xml:space="preserve">                                   Задвижки стальные на условное давление до 6,3 МПа с электрическим приводом</t>
  </si>
  <si>
    <t>ТЕРмр02-02-004-01</t>
  </si>
  <si>
    <t>Задвижка стальная на условное давление до 6,3 МПа с электрическим приводом, диаметр условного прохода: до 50 мм</t>
  </si>
  <si>
    <t>ТЕРмр02-02-004-02</t>
  </si>
  <si>
    <t>Задвижка стальная на условное давление до 6,3 МПа с электрическим приводом, диаметр условного прохода: до 100 мм</t>
  </si>
  <si>
    <t>ТЕРмр02-02-004-03</t>
  </si>
  <si>
    <t>Задвижка стальная на условное давление до 6,3 МПа с электрическим приводом, диаметр условного прохода: до 150 мм</t>
  </si>
  <si>
    <t>ТЕРмр02-02-004-04</t>
  </si>
  <si>
    <t>Задвижка стальная на условное давление до 6,3 МПа с электрическим приводом, диаметр условного прохода: до 200 мм</t>
  </si>
  <si>
    <t>ТЕРмр02-02-004-05</t>
  </si>
  <si>
    <t>Задвижка стальная на условное давление до 6,3 МПа с электрическим приводом, диаметр условного прохода: до 300 мм</t>
  </si>
  <si>
    <t>ТЕРмр02-02-004-06</t>
  </si>
  <si>
    <t>Задвижка стальная на условное давление до 6,3 МПа с электрическим приводом, диаметр условного прохода: до 400 мм</t>
  </si>
  <si>
    <t>ТЕРмр02-02-004-07</t>
  </si>
  <si>
    <t>Задвижка стальная на условное давление до 6,3 МПа с электрическим приводом, диаметр условного прохода: до 600 мм</t>
  </si>
  <si>
    <t>ТЕРмр02-02-004-08</t>
  </si>
  <si>
    <t>Задвижка стальная на условное давление до 6,3 МПа с электрическим приводом, диаметр условного прохода: до 800 мм</t>
  </si>
  <si>
    <t>ТЕРмр02-02-004-09</t>
  </si>
  <si>
    <t>Задвижка стальная на условное давление до 6,3 МПа с электрическим приводом, диаметр условного прохода: до 1000 мм</t>
  </si>
  <si>
    <t>ТЕРмр02-02-004-10</t>
  </si>
  <si>
    <t>Задвижка стальная на условное давление до 6,3 МПа с электрическим приводом, диаметр условного прохода: до 1200 мм</t>
  </si>
  <si>
    <t xml:space="preserve">                                   Задвижки стальные на условное давление до 10 МПа с ручным приводом</t>
  </si>
  <si>
    <t>ТЕРмр02-02-005-01</t>
  </si>
  <si>
    <t>Задвижка стальная на условное давление до 10 МПа с ручным приводом, диаметр условного прохода: до 100 мм</t>
  </si>
  <si>
    <t>ТЕРмр02-02-005-02</t>
  </si>
  <si>
    <t>Задвижка стальная на условное давление до 10 МПа с ручным приводом, диаметр условного прохода: до 150 мм</t>
  </si>
  <si>
    <t>ТЕРмр02-02-005-03</t>
  </si>
  <si>
    <t>Задвижка стальная на условное давление до 10 МПа с ручным приводом, диаметр условного прохода: до 200 мм</t>
  </si>
  <si>
    <t>ТЕРмр02-02-005-04</t>
  </si>
  <si>
    <t>Задвижка стальная на условное давление до 10 МПа с ручным приводом, диаметр условного прохода: до 250 мм</t>
  </si>
  <si>
    <t>ТЕРмр02-02-005-05</t>
  </si>
  <si>
    <t>Задвижка стальная на условное давление до 10 МПа с ручным приводом, диаметр условного прохода: до 300 мм</t>
  </si>
  <si>
    <t xml:space="preserve">                                   Задвижки стальные на условное давление до 10 МПа с электрическим приводом</t>
  </si>
  <si>
    <t>ТЕРмр02-02-006-01</t>
  </si>
  <si>
    <t>Задвижка стальная на условное давление до 10 МПа с электрическим приводом, диаметр условного прохода: до 100 мм</t>
  </si>
  <si>
    <t>ТЕРмр02-02-006-02</t>
  </si>
  <si>
    <t>Задвижка стальная на условное давление до 10 МПа с электрическим приводом, диаметр условного прохода: до 150 мм</t>
  </si>
  <si>
    <t>ТЕРмр02-02-006-03</t>
  </si>
  <si>
    <t>Задвижка стальная на условное давление до 10 МПа с электрическим приводом, диаметр условного прохода: до 200 мм</t>
  </si>
  <si>
    <t>ТЕРмр02-02-006-04</t>
  </si>
  <si>
    <t>Задвижка стальная на условное давление до 10 МПа с электрическим приводом, диаметр условного прохода: до 250 мм</t>
  </si>
  <si>
    <t>ТЕРмр02-02-006-05</t>
  </si>
  <si>
    <t>Задвижка стальная на условное давление до 10 МПа с электрическим приводом, диаметр условного прохода: до 300 мм</t>
  </si>
  <si>
    <t>ТЕРмр02-02-006-06</t>
  </si>
  <si>
    <t>Задвижка стальная на условное давление до 10 МПа с электрическим приводом, диаметр условного прохода: до 400 мм</t>
  </si>
  <si>
    <t>ТЕРмр02-02-006-07</t>
  </si>
  <si>
    <t>Задвижка стальная на условное давление до 10 МПа с электрическим приводом, диаметр условного прохода: до 500 мм</t>
  </si>
  <si>
    <t>ТЕРмр02-02-006-08</t>
  </si>
  <si>
    <t>Задвижка стальная на условное давление до 10 МПа с электрическим приводом, диаметр условного прохода: до 800 мм</t>
  </si>
  <si>
    <t>ТЕРмр02-02-006-09</t>
  </si>
  <si>
    <t>Задвижка стальная на условное давление до 10 МПа с электрическим приводом, диаметр условного прохода: до 1000 мм</t>
  </si>
  <si>
    <t xml:space="preserve">                                   Задвижки стальные на условное давление до 20 МПа с ручным приводом</t>
  </si>
  <si>
    <t>ТЕРмр02-02-007-01</t>
  </si>
  <si>
    <t>Задвижка стальная на условное давление до 20 МПа с ручным приводом, диаметр условного прохода: до 100 мм</t>
  </si>
  <si>
    <t>ТЕРмр02-02-007-02</t>
  </si>
  <si>
    <t>Задвижка стальная на условное давление до 20 МПа с ручным приводом, диаметр условного прохода: до 200 мм</t>
  </si>
  <si>
    <t>ТЕРмр02-02-007-03</t>
  </si>
  <si>
    <t>Задвижка стальная на условное давление до 20 МПа с ручным приводом, диаметр условного прохода: до 250 мм</t>
  </si>
  <si>
    <t>ТЕРмр02-02-007-04</t>
  </si>
  <si>
    <t>Задвижка стальная на условное давление до 20 МПа с ручным приводом, диаметр условного прохода: до 300 мм</t>
  </si>
  <si>
    <t xml:space="preserve">                                   Задвижки стальные на условное давление до 20 МПа с электрическим приводом</t>
  </si>
  <si>
    <t>ТЕРмр02-02-008-01</t>
  </si>
  <si>
    <t>Задвижка стальная на условное давление до 20 МПа с электрическим приводом, диаметр условного прохода: до 100 мм</t>
  </si>
  <si>
    <t>ТЕРмр02-02-008-02</t>
  </si>
  <si>
    <t>Задвижка стальная на условное давление до 20 МПа с электрическим приводом, диаметр условного прохода: до 200 мм</t>
  </si>
  <si>
    <t>ТЕРмр02-02-008-03</t>
  </si>
  <si>
    <t>Задвижка стальная на условное давление до 20 МПа с электрическим приводом, диаметр условного прохода: до 250 мм</t>
  </si>
  <si>
    <t>ТЕРмр02-02-008-04</t>
  </si>
  <si>
    <t>Задвижка стальная на условное давление до 20 МПа с электрическим приводом, диаметр условного прохода: до 300 мм</t>
  </si>
  <si>
    <t xml:space="preserve">                                   Задвижки стальные на условное давление до 40 МПа с ручным приводом</t>
  </si>
  <si>
    <t>ТЕРмр02-02-009-01</t>
  </si>
  <si>
    <t>Задвижка стальная на условное давление до 40 МПа с ручным приводом, диаметр условного прохода: до 100 мм</t>
  </si>
  <si>
    <t>ТЕРмр02-02-009-02</t>
  </si>
  <si>
    <t>Задвижка стальная на условное давление до 40 МПа с ручным приводом, диаметр условного прохода: до 150 мм</t>
  </si>
  <si>
    <t>ТЕРмр02-02-009-03</t>
  </si>
  <si>
    <t>Задвижка стальная на условное давление до 40 МПа с ручным приводом, диаметр условного прохода: до 200 мм</t>
  </si>
  <si>
    <t>ТЕРмр02-02-009-04</t>
  </si>
  <si>
    <t>Задвижка стальная на условное давление до 40 МПа с ручным приводом, диаметр условного прохода: до 250 мм</t>
  </si>
  <si>
    <t>ТЕРмр02-02-009-05</t>
  </si>
  <si>
    <t>Задвижка стальная на условное давление до 40 МПа с ручным приводом, диаметр условного прохода: до 300 мм</t>
  </si>
  <si>
    <t xml:space="preserve">                                   Задвижки стальные на условное давление до 40 МПа с электрическим приводом</t>
  </si>
  <si>
    <t>ТЕРмр02-02-010-01</t>
  </si>
  <si>
    <t>Задвижка стальная на условное давление до 40 МПа с электрическим приводом, диаметр условного прохода: до 100 мм</t>
  </si>
  <si>
    <t>ТЕРмр02-02-010-02</t>
  </si>
  <si>
    <t>Задвижка стальная на условное давление до 40 МПа с электрическим приводом, диаметр условного прохода: до 150 мм</t>
  </si>
  <si>
    <t>ТЕРмр02-02-010-03</t>
  </si>
  <si>
    <t>Задвижка стальная на условное давление до 40 МПа с электрическим приводом, диаметр условного прохода: до 200 мм</t>
  </si>
  <si>
    <t>ТЕРмр02-02-010-04</t>
  </si>
  <si>
    <t>Задвижка стальная на условное давление до 40 МПа с электрическим приводом, диаметр условного прохода: до 250 мм</t>
  </si>
  <si>
    <t>ТЕРмр02-02-010-05</t>
  </si>
  <si>
    <t>Задвижка стальная на условное давление до 40 МПа с электрическим приводом, диаметр условного прохода: до 300 мм</t>
  </si>
  <si>
    <t xml:space="preserve">                                   Вентили запорные фланцевые на условное давление до 2,5 МПа с ручным приводом</t>
  </si>
  <si>
    <t>ТЕРмр02-02-020-01</t>
  </si>
  <si>
    <t>Вентиль запорный фланцевый на условное давление до 2,5 МПа с ручным приводом, диаметр условного прохода: до 25 мм</t>
  </si>
  <si>
    <t>ТЕРмр02-02-020-02</t>
  </si>
  <si>
    <t>Вентиль запорный фланцевый на условное давление до 2,5 МПа с ручным приводом, диаметр условного прохода: до 50 мм</t>
  </si>
  <si>
    <t>ТЕРмр02-02-020-03</t>
  </si>
  <si>
    <t>Вентиль запорный фланцевый на условное давление до 2,5 МПа с ручным приводом, диаметр условного прохода: до 80 мм</t>
  </si>
  <si>
    <t>ТЕРмр02-02-020-04</t>
  </si>
  <si>
    <t>Вентиль запорный фланцевый на условное давление до 2,5 МПа с ручным приводом, диаметр условного прохода: до 100 мм</t>
  </si>
  <si>
    <t>ТЕРмр02-02-020-05</t>
  </si>
  <si>
    <t>Вентиль запорный фланцевый на условное давление до 2,5 МПа с ручным приводом, диаметр условного прохода: до 150 мм</t>
  </si>
  <si>
    <t>ТЕРмр02-02-020-06</t>
  </si>
  <si>
    <t>Вентиль запорный фланцевый на условное давление до 2,5 МПа с ручным приводом, диаметр условного прохода: до 200 мм</t>
  </si>
  <si>
    <t xml:space="preserve">                                   Вентили, клапаны обратные, регулирующие, дроссельные с ручным приводом на условное давление до 6,3 МПа</t>
  </si>
  <si>
    <t>ТЕРмр02-02-021-01</t>
  </si>
  <si>
    <t>Вентиль, клапан обратный, регулирующий, дроссельный с ручным приводом на условное давление до 6,3 МПа, диаметр условного прохода: до 25 мм</t>
  </si>
  <si>
    <t>ТЕРмр02-02-021-02</t>
  </si>
  <si>
    <t>Вентиль, клапан обратный, регулирующий, дроссельный с ручным приводом на условное давление до 6,3 МПа, диаметр условного прохода: до 50 мм</t>
  </si>
  <si>
    <t>ТЕРмр02-02-021-03</t>
  </si>
  <si>
    <t>Вентиль, клапан обратный, регулирующий, дроссельный с ручным приводом на условное давление до 6,3 МПа, диаметр условного прохода: до 80 мм</t>
  </si>
  <si>
    <t>ТЕРмр02-02-021-04</t>
  </si>
  <si>
    <t>Вентиль, клапан обратный, регулирующий, дроссельный с ручным приводом на условное давление до 6,3 МПа, диаметр условного прохода: до 100 мм</t>
  </si>
  <si>
    <t>ТЕРмр02-02-021-05</t>
  </si>
  <si>
    <t>Вентиль, клапан обратный, регулирующий, дроссельный с ручным приводом на условное давление до 6,3 МПа, диаметр условного прохода: до 150 мм</t>
  </si>
  <si>
    <t>ТЕРмр02-02-021-06</t>
  </si>
  <si>
    <t>Вентиль, клапан обратный, регулирующий, дроссельный с ручным приводом на условное давление до 6,3 МПа, диаметр условного прохода: до 200 мм</t>
  </si>
  <si>
    <t xml:space="preserve">                                   Вентили, клапаны обратные, регулирующие, дроссельные с электрическим приводом на условное давление до 6,3 МПа</t>
  </si>
  <si>
    <t>ТЕРмр02-02-022-01</t>
  </si>
  <si>
    <t>Вентиль, клапан обратный, регулирующий, дроссельный с электрическим приводом на условное давление до 6,3 МПа, диаметр условного прохода: до 50 мм</t>
  </si>
  <si>
    <t>ТЕРмр02-02-022-02</t>
  </si>
  <si>
    <t>Вентиль, клапан обратный, регулирующий, дроссельный с электрическим приводом на условное давление до 6,3 МПа, диаметр условного прохода: до 100 мм</t>
  </si>
  <si>
    <t>ТЕРмр02-02-022-03</t>
  </si>
  <si>
    <t>Вентиль, клапан обратный, регулирующий, дроссельный с электрическим приводом на условное давление до 6,3 МПа, диаметр условного прохода: до 150 мм</t>
  </si>
  <si>
    <t>ТЕРмр02-02-022-04</t>
  </si>
  <si>
    <t>Вентиль, клапан обратный, регулирующий, дроссельный с электрическим приводом на условное давление до 6,3 МПа, диаметр условного прохода: до 200 мм</t>
  </si>
  <si>
    <t xml:space="preserve">                                   Вентили, клапаны обратные, регулирующие, дроссельные с ручным приводом на условное давление до 10 МПа</t>
  </si>
  <si>
    <t>ТЕРмр02-02-023-01</t>
  </si>
  <si>
    <t>Вентиль, клапан обратный, регулирующий, дроссельный с ручным приводом на условное давление до 10 МПа, диаметр условного прохода: до 25 мм</t>
  </si>
  <si>
    <t>ТЕРмр02-02-023-02</t>
  </si>
  <si>
    <t>Вентиль, клапан обратный, регулирующий, дроссельный с ручным приводом на условное давление до 10 МПа, диаметр условного прохода: до 50 мм</t>
  </si>
  <si>
    <t>ТЕРмр02-02-023-03</t>
  </si>
  <si>
    <t>Вентиль, клапан обратный, регулирующий, дроссельный с ручным приводом на условное давление до 10 МПа, диаметр условного прохода: до 80 мм</t>
  </si>
  <si>
    <t>ТЕРмр02-02-023-04</t>
  </si>
  <si>
    <t>Вентиль, клапан обратный, регулирующий, дроссельный с ручным приводом на условное давление до 10 МПа, диаметр условного прохода: до 100 мм</t>
  </si>
  <si>
    <t>ТЕРмр02-02-023-05</t>
  </si>
  <si>
    <t>Вентиль, клапан обратный, регулирующий, дроссельный с ручным приводом на условное давление до 10 МПа, диаметр условного прохода: до 150 мм</t>
  </si>
  <si>
    <t>ТЕРмр02-02-023-06</t>
  </si>
  <si>
    <t>Вентиль, клапан обратный, регулирующий, дроссельный с ручным приводом на условное давление до 10 МПа, диаметр условного прохода: до 200 мм</t>
  </si>
  <si>
    <t xml:space="preserve">                                   Вентили, клапаны обратные, регулирующие, дроссельные с электрическим приводом на условное давление до 10 МПа</t>
  </si>
  <si>
    <t>ТЕРмр02-02-024-01</t>
  </si>
  <si>
    <t>Вентиль, клапан обратный, регулирующий, дроссельный с электрическим приводом на условное давление до 10 МПа, диаметр условного прохода: до 65 мм</t>
  </si>
  <si>
    <t>ТЕРмр02-02-024-02</t>
  </si>
  <si>
    <t>Вентиль, клапан обратный, регулирующий, дроссельный с электрическим приводом на условное давление до 10 МПа, диаметр условного прохода: до 100 мм</t>
  </si>
  <si>
    <t>ТЕРмр02-02-024-03</t>
  </si>
  <si>
    <t>Вентиль, клапан обратный, регулирующий, дроссельный с электрическим приводом на условное давление до 10 МПа, диаметр условного прохода: до 150 мм</t>
  </si>
  <si>
    <t xml:space="preserve">                                   Вентили, клапаны обратные, регулирующие, дроссельные с ручным приводом на условное давление 13,7-20 МПа</t>
  </si>
  <si>
    <t>ТЕРмр02-02-025-01</t>
  </si>
  <si>
    <t>Вентиль, клапан обратный, регулирующий, дроссельный с ручным приводом на условное давление 13,7-20 МПа, диаметр условного прохода: до 50 мм</t>
  </si>
  <si>
    <t>ТЕРмр02-02-025-02</t>
  </si>
  <si>
    <t>Вентиль, клапан обратный, регулирующий, дроссельный с ручным приводом на условное давление 13,7-20 МПа, диаметр условного прохода: до 100 мм</t>
  </si>
  <si>
    <t>ТЕРмр02-02-025-03</t>
  </si>
  <si>
    <t>Вентиль, клапан обратный, регулирующий, дроссельный с ручным приводом на условное давление 13,7-20 МПа, диаметр условного прохода: до 150 мм</t>
  </si>
  <si>
    <t>ТЕРмр02-02-025-04</t>
  </si>
  <si>
    <t>Вентиль, клапан обратный, регулирующий, дроссельный с ручным приводом на условное давление 13,7-20 МПа, диаметр условного прохода: до 200 мм</t>
  </si>
  <si>
    <t xml:space="preserve">                                   Вентили, клапаны обратные, регулирующие, дроссельные с электрическим приводом на условное давление 13,7-20 МПа</t>
  </si>
  <si>
    <t>ТЕРмр02-02-026-01</t>
  </si>
  <si>
    <t>Вентиль, клапан обратный, регулирующий, дроссельный с электрическим приводом на условное давление 13,7-20 МПа, диаметр условного прохода: до 50 мм</t>
  </si>
  <si>
    <t>ТЕРмр02-02-026-02</t>
  </si>
  <si>
    <t>Вентиль, клапан обратный, регулирующий, дроссельный с электрическим приводом на условное давление 13,7-20 МПа, диаметр условного прохода: до 100 мм</t>
  </si>
  <si>
    <t>ТЕРмр02-02-026-03</t>
  </si>
  <si>
    <t>Вентиль, клапан обратный, регулирующий, дроссельный с электрическим приводом на условное давление 13,7-20 МПа, диаметр условного прохода: до 150 мм</t>
  </si>
  <si>
    <t>ТЕРмр02-02-026-04</t>
  </si>
  <si>
    <t>Вентиль, клапан обратный, регулирующий, дроссельный с электрическим приводом на условное давление 13,7-20 МПа, диаметр условного прохода: до 200 мм</t>
  </si>
  <si>
    <t xml:space="preserve">                                   Вентили, клапаны обратные, регулирующие, дроссельные с ручным приводом на условное давление 23,5-40 МПа</t>
  </si>
  <si>
    <t>ТЕРмр02-02-027-01</t>
  </si>
  <si>
    <t>Вентиль, клапан обратный, регулирующий, дроссельный с ручным приводом на условное давление 23,5-40 МПа, диаметр условного прохода: до 25 мм</t>
  </si>
  <si>
    <t>ТЕРмр02-02-027-02</t>
  </si>
  <si>
    <t>Вентиль, клапан обратный, регулирующий, дроссельный с ручным приводом на условное давление 23,5-40 МПа, диаметр условного прохода: до 50 мм</t>
  </si>
  <si>
    <t>ТЕРмр02-02-027-03</t>
  </si>
  <si>
    <t>Вентиль, клапан обратный, регулирующий, дроссельный с ручным приводом на условное давление 23,5-40 МПа, диаметр условного прохода: до 100 мм</t>
  </si>
  <si>
    <t>ТЕРмр02-02-027-04</t>
  </si>
  <si>
    <t>Вентиль, клапан обратный, регулирующий, дроссельный с ручным приводом на условное давление 23,5-40 МПа, диаметр условного прохода: до 150 мм</t>
  </si>
  <si>
    <t>ТЕРмр02-02-027-05</t>
  </si>
  <si>
    <t>Вентиль, клапан обратный, регулирующий, дроссельный с ручным приводом на условное давление 23,5-40 МПа, диаметр условного прохода: до 200 мм</t>
  </si>
  <si>
    <t>ТЕРмр02-02-027-06</t>
  </si>
  <si>
    <t>Вентиль, клапан обратный, регулирующий, дроссельный с ручным приводом на условное давление 23,5-40 МПа, диаметр условного прохода: до 300 мм</t>
  </si>
  <si>
    <t>ТЕРмр02-02-027-07</t>
  </si>
  <si>
    <t>Вентиль, клапан обратный, регулирующий, дроссельный с ручным приводом на условное давление 23,5-40 МПа, диаметр условного прохода: до 350 мм</t>
  </si>
  <si>
    <t>ТЕРмр02-02-027-08</t>
  </si>
  <si>
    <t>Вентиль, клапан обратный, регулирующий, дроссельный с ручным приводом на условное давление 23,5-40 МПа, диаметр условного прохода: до 400 мм</t>
  </si>
  <si>
    <t xml:space="preserve">                                   Вентили, клапаны обратные, регулирующие, дроссельные с электрическим приводом на условное давление 23,5-40 МПа</t>
  </si>
  <si>
    <t>ТЕРмр02-02-028-01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</si>
  <si>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25 мм</t>
  </si>
  <si>
    <t>ТЕРмр02-02-028-02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</si>
  <si>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50 мм</t>
  </si>
  <si>
    <t>ТЕРмр02-02-028-03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</si>
  <si>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100 мм</t>
  </si>
  <si>
    <t>ТЕРмр02-02-028-04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</si>
  <si>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150 мм</t>
  </si>
  <si>
    <t>ТЕРмр02-02-028-05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</si>
  <si>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200 мм</t>
  </si>
  <si>
    <t>ТЕРмр02-02-028-06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</si>
  <si>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300 мм</t>
  </si>
  <si>
    <t>ТЕРмр02-02-028-07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</si>
  <si>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350 мм</t>
  </si>
  <si>
    <t>ТЕРмр02-02-028-08</t>
  </si>
  <si>
    <t>Вентиль, клапан обратный, регулирующий, дроссельный с электрическим приводом на условное давление 23,5-40 МПа, диаметр условного прохода: до 400 мм</t>
  </si>
  <si>
    <t xml:space="preserve">                                   Клапаны предохранительные чугунные на условное давление до 2,5 МПа</t>
  </si>
  <si>
    <t>ТЕРмр02-02-029-01</t>
  </si>
  <si>
    <t>Клапан предохранительный чугунный на условное давление до 2,5 МПа, диаметр условного прохода: до 50 мм</t>
  </si>
  <si>
    <t>ТЕРмр02-02-029-02</t>
  </si>
  <si>
    <t>Клапан предохранительный чугунный на условное давление до 2,5 МПа, диаметр условного прохода: до 80 мм</t>
  </si>
  <si>
    <t>ТЕРмр02-02-029-03</t>
  </si>
  <si>
    <t>Клапан предохранительный чугунный на условное давление до 2,5 МПа, диаметр условного прохода: до 100 мм</t>
  </si>
  <si>
    <t xml:space="preserve">                                   Клапаны предохранительные стальные на условное давление 4-6,3 МПа</t>
  </si>
  <si>
    <t>ТЕРмр02-02-030-01</t>
  </si>
  <si>
    <t>Клапан предохранительный стальной на условное давление 4 - 6,3 МПа, диаметр условного прохода: до 50 мм</t>
  </si>
  <si>
    <t>ТЕРмр02-02-030-02</t>
  </si>
  <si>
    <t>Клапан предохранительный стальной на условное давление 4 - 6,3 МПа, диаметр условного прохода: до 80 мм</t>
  </si>
  <si>
    <t>ТЕРмр02-02-030-03</t>
  </si>
  <si>
    <t>Клапан предохранительный стальной на условное давление 4 - 6,3 МПа, диаметр условного прохода: до 100 мм</t>
  </si>
  <si>
    <t xml:space="preserve">                                   Клапаны предохранительные стальные на условное давление до 10 МПа</t>
  </si>
  <si>
    <t>ТЕРмр02-02-031-01</t>
  </si>
  <si>
    <t>Клапанредохранительный стальной на условное давление до 10 МПа, диаметр условного прохода: до 50 мм</t>
  </si>
  <si>
    <t>ТЕРмр02-02-031-02</t>
  </si>
  <si>
    <t>Клапанредохранительный стальной на условное давление до 10 МПа, диаметр условного прохода: до 80 мм</t>
  </si>
  <si>
    <t xml:space="preserve">                                   Клапаны предохранительные стальные на условное давление до 13,7-20 МПа</t>
  </si>
  <si>
    <t>ТЕРмр02-02-032-01</t>
  </si>
  <si>
    <t>Клапан предохранительный стальной на условное давление до 13,7 - 20 МПа, диаметр условного прохода: до 50 мм</t>
  </si>
  <si>
    <t>ТЕРмр02-02-032-02</t>
  </si>
  <si>
    <t>Клапан предохранительный стальной на условное давление до 13,7 - 20 МПа, диаметр условного прохода: до 100 мм</t>
  </si>
  <si>
    <t>ТЕРмр02-02-032-03</t>
  </si>
  <si>
    <t>Клапан предохранительный стальной на условное давление до 13,7 - 20 МПа, диаметр условного прохода: до 200 мм</t>
  </si>
  <si>
    <t xml:space="preserve">                                   Клапаны предохранительные стальные на условное давление до 40 МПа</t>
  </si>
  <si>
    <t>ТЕРмр02-02-033-01</t>
  </si>
  <si>
    <t>Клапан предохранительный стальной на условное давление до 40 МПа, диаметр условного прохода: до 25 мм</t>
  </si>
  <si>
    <t>ТЕРмр02-02-033-02</t>
  </si>
  <si>
    <t>Клапан предохранительный стальной на условное давление до 40 МПа, диаметр условного прохода: до 50 мм</t>
  </si>
  <si>
    <t>ТЕРмр02-02-033-03</t>
  </si>
  <si>
    <t>Клапан предохранительный стальной на условное давление до 40 МПа, диаметр условного прохода: до 100 мм</t>
  </si>
  <si>
    <t>ТЕРмр02-02-033-04</t>
  </si>
  <si>
    <t>Клапан предохранительный стальной на условное давление до 40 МПа, диаметр условного прохода: до 150 мм</t>
  </si>
  <si>
    <t>ТЕРмр02-02-033-05</t>
  </si>
  <si>
    <t>Клапан предохранительный стальной на условное давление до 40 МПа, диаметр условного прохода: до 200 мм</t>
  </si>
  <si>
    <t>ТЕРмр02-02-033-06</t>
  </si>
  <si>
    <t>Клапан предохранительный стальной на условное давление до 40 МПа, диаметр условного прохода: до 250 мм</t>
  </si>
  <si>
    <t>ИНДЕКСЫ ИЗМЕНЕНИЯ СМЕТНОЙ СТОИМОСТИ ПО ПУСКОНАЛАДОЧНЫМ РАБОТАМ ТЕРп -2001 (РЕДАКЦИИ 2010 ГОДА С ИЗМЕНЕНИЯМИ 1,2)</t>
  </si>
  <si>
    <t>ТЕРп-01 - 09</t>
  </si>
  <si>
    <t>Пусконаладочные работы</t>
  </si>
  <si>
    <t>ФССЦпг01</t>
  </si>
  <si>
    <t>Погрузо-рагрузочные работы</t>
  </si>
  <si>
    <t>ФССЦпг03</t>
  </si>
  <si>
    <t>Перевозка грузов</t>
  </si>
  <si>
    <t>ИНДЕКСЫ ИЗМЕНЕНИЯ СМЕТНОЙ СТОИМОСТИ РАБОТ ПО ПЕРЕВОЗКЕ ГРУЗОВ К  ФССЦпг 01,03 (РЕДАКЦИИ 2014 ГОДА)</t>
  </si>
  <si>
    <t xml:space="preserve">ИНДЕКСЫ ИЗМЕНЕНИЯ СМЕТНОЙ СТОИМОСТИ РАБОТ ПО МОНТАЖУ ОБОРУДОВАНИЯ К ТЕРм-2001 (РЕДАКЦИИ 2010 ГОДА С ИЗМЕНЕНИЯМИ 1,2) </t>
  </si>
  <si>
    <t>4 квартал 2014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</si>
</sst>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;[Red]0.00"/>
  </numFmts>
  <fonts count="21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9"/>
      <name val="Arial"/>
      <family val="2"/>
      <charset val="204"/>
    </font>
    <font>
      <sz val="9"/>
      <name val="Arial Cyr"/>
      <charset val="204"/>
    </font>
    <font>
      <i/>
      <sz val="9"/>
      <name val="Arial"/>
      <family val="2"/>
      <charset val="204"/>
    </font>
    <font>
      <b/>
      <sz val="10"/>
      <name val="Arial"/>
      <family val="2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9"/>
      <name val="Arial"/>
      <family val="2"/>
      <charset val="204"/>
    </font>
    <font>
      <sz val="10"/>
      <name val="Arial Cyr"/>
      <charset val="204"/>
    </font>
    <font>
      <i/>
      <sz val="10"/>
      <name val="Arial Cyr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sz val="10"/>
      <name val="Arial"/>
      <family val="2"/>
      <charset val="204"/>
    </font>
    <font>
      <b/>
      <sz val="12.5"/>
      <name val="Arial"/>
      <family val="2"/>
      <charset val="204"/>
    </font>
    <font>
      <b/>
      <sz val="12.5"/>
      <name val="Arial Cyr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7">
    <xf numFmtId="0" fontId="0" fillId="0" borderId="0"/>
    <xf numFmtId="0" fontId="2" fillId="0" borderId="1">
      <alignment horizontal="center"/>
    </xf>
    <xf numFmtId="0" fontId="1" fillId="0" borderId="0">
      <alignment vertical="top"/>
    </xf>
    <xf numFmtId="0" fontId="2" fillId="0" borderId="1">
      <alignment horizontal="center"/>
    </xf>
    <xf numFmtId="0" fontId="2" fillId="0" borderId="0">
      <alignment vertical="top"/>
    </xf>
    <xf numFmtId="0" fontId="2" fillId="0" borderId="0">
      <alignment horizontal="right" vertical="top" wrapText="1"/>
    </xf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1">
      <alignment horizontal="center"/>
    </xf>
    <xf numFmtId="0" fontId="1" fillId="0" borderId="0">
      <alignment vertical="top"/>
    </xf>
    <xf numFmtId="0" fontId="2" fillId="0" borderId="0"/>
    <xf numFmtId="0" fontId="2" fillId="0" borderId="1">
      <alignment horizontal="center" wrapText="1"/>
    </xf>
    <xf numFmtId="0" fontId="2" fillId="0" borderId="1">
      <alignment horizontal="center"/>
    </xf>
    <xf numFmtId="0" fontId="2" fillId="0" borderId="1">
      <alignment horizontal="center" wrapText="1"/>
    </xf>
    <xf numFmtId="0" fontId="2" fillId="0" borderId="0">
      <alignment horizontal="center"/>
    </xf>
    <xf numFmtId="0" fontId="2" fillId="0" borderId="0">
      <alignment horizontal="left" vertical="top"/>
    </xf>
    <xf numFmtId="0" fontId="2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</cellStyleXfs>
  <cellXfs count="647">
    <xf numFmtId="0" fontId="0" fillId="0" borderId="0" xfId="0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/>
    <xf numFmtId="0" fontId="5" fillId="0" borderId="1" xfId="0" applyFont="1" applyBorder="1" applyAlignment="1">
      <alignment horizontal="center" vertical="top" wrapText="1"/>
    </xf>
    <xf numFmtId="0" fontId="5" fillId="0" borderId="1" xfId="0" quotePrefix="1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top"/>
    </xf>
    <xf numFmtId="0" fontId="5" fillId="0" borderId="0" xfId="0" applyNumberFormat="1" applyFont="1" applyAlignment="1">
      <alignment horizontal="right" vertical="top" wrapText="1"/>
    </xf>
    <xf numFmtId="0" fontId="5" fillId="0" borderId="0" xfId="0" applyNumberFormat="1" applyFont="1" applyAlignment="1">
      <alignment horizontal="right" vertical="top"/>
    </xf>
    <xf numFmtId="0" fontId="5" fillId="0" borderId="2" xfId="0" applyFont="1" applyBorder="1" applyAlignment="1">
      <alignment horizontal="left" vertical="top" wrapText="1"/>
    </xf>
    <xf numFmtId="0" fontId="7" fillId="0" borderId="2" xfId="0" quotePrefix="1" applyFont="1" applyBorder="1" applyAlignment="1">
      <alignment horizontal="center" vertical="top"/>
    </xf>
    <xf numFmtId="0" fontId="5" fillId="0" borderId="2" xfId="0" applyNumberFormat="1" applyFont="1" applyBorder="1" applyAlignment="1">
      <alignment horizontal="right" vertical="top" wrapText="1"/>
    </xf>
    <xf numFmtId="0" fontId="5" fillId="0" borderId="2" xfId="0" applyNumberFormat="1" applyFont="1" applyBorder="1" applyAlignment="1">
      <alignment horizontal="right" vertical="top"/>
    </xf>
    <xf numFmtId="0" fontId="7" fillId="0" borderId="2" xfId="0" applyNumberFormat="1" applyFont="1" applyBorder="1" applyAlignment="1">
      <alignment horizontal="right" vertical="top"/>
    </xf>
    <xf numFmtId="0" fontId="5" fillId="0" borderId="0" xfId="0" applyNumberFormat="1" applyFont="1" applyBorder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0" fontId="8" fillId="0" borderId="0" xfId="0" quotePrefix="1" applyFont="1" applyAlignment="1">
      <alignment horizontal="center" vertical="top"/>
    </xf>
    <xf numFmtId="0" fontId="0" fillId="0" borderId="1" xfId="0" applyBorder="1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0" fontId="5" fillId="0" borderId="1" xfId="0" quotePrefix="1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4" fontId="0" fillId="0" borderId="1" xfId="0" applyNumberFormat="1" applyBorder="1" applyAlignment="1">
      <alignment vertical="top"/>
    </xf>
    <xf numFmtId="164" fontId="10" fillId="0" borderId="1" xfId="0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0" fontId="5" fillId="0" borderId="3" xfId="12" applyNumberFormat="1" applyFont="1" applyBorder="1" applyAlignment="1">
      <alignment horizontal="center"/>
    </xf>
    <xf numFmtId="0" fontId="5" fillId="0" borderId="3" xfId="12" applyNumberFormat="1" applyFont="1" applyBorder="1" applyAlignment="1">
      <alignment horizontal="center" wrapText="1"/>
    </xf>
    <xf numFmtId="0" fontId="5" fillId="0" borderId="3" xfId="12" applyNumberFormat="1" applyFont="1" applyBorder="1" applyAlignment="1">
      <alignment horizontal="center" vertical="center" wrapText="1"/>
    </xf>
    <xf numFmtId="0" fontId="2" fillId="0" borderId="3" xfId="12" applyBorder="1">
      <alignment horizontal="center"/>
    </xf>
    <xf numFmtId="0" fontId="5" fillId="0" borderId="0" xfId="0" applyFont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2" fontId="11" fillId="0" borderId="1" xfId="0" applyNumberFormat="1" applyFont="1" applyBorder="1" applyAlignment="1">
      <alignment horizontal="right" vertical="top"/>
    </xf>
    <xf numFmtId="2" fontId="5" fillId="0" borderId="1" xfId="0" applyNumberFormat="1" applyFont="1" applyBorder="1" applyAlignment="1">
      <alignment horizontal="center" vertical="top" wrapText="1"/>
    </xf>
    <xf numFmtId="2" fontId="5" fillId="0" borderId="1" xfId="0" quotePrefix="1" applyNumberFormat="1" applyFont="1" applyBorder="1" applyAlignment="1">
      <alignment horizontal="center" vertical="top" wrapText="1"/>
    </xf>
    <xf numFmtId="2" fontId="5" fillId="0" borderId="0" xfId="0" applyNumberFormat="1" applyFont="1"/>
    <xf numFmtId="165" fontId="18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2" fontId="18" fillId="0" borderId="0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11" fillId="0" borderId="0" xfId="0" applyNumberFormat="1" applyFont="1" applyBorder="1" applyAlignment="1">
      <alignment horizontal="center" vertical="top"/>
    </xf>
    <xf numFmtId="0" fontId="5" fillId="0" borderId="0" xfId="0" applyFont="1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0" xfId="0" applyFont="1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10" applyBorder="1" applyAlignment="1">
      <alignment vertical="top"/>
    </xf>
    <xf numFmtId="0" fontId="1" fillId="0" borderId="1" xfId="1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/>
    <xf numFmtId="0" fontId="5" fillId="0" borderId="3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3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5" fillId="0" borderId="3" xfId="0" applyFont="1" applyBorder="1"/>
    <xf numFmtId="2" fontId="11" fillId="0" borderId="3" xfId="0" applyNumberFormat="1" applyFon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1" fontId="5" fillId="0" borderId="3" xfId="12" applyNumberFormat="1" applyFont="1" applyBorder="1" applyAlignment="1">
      <alignment horizontal="center"/>
    </xf>
    <xf numFmtId="1" fontId="5" fillId="0" borderId="3" xfId="12" applyNumberFormat="1" applyFont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14" fillId="0" borderId="6" xfId="12" applyNumberFormat="1" applyFont="1" applyBorder="1" applyAlignment="1">
      <alignment horizontal="center" wrapText="1"/>
    </xf>
    <xf numFmtId="0" fontId="14" fillId="0" borderId="5" xfId="12" applyNumberFormat="1" applyFont="1" applyBorder="1" applyAlignment="1">
      <alignment horizontal="center" wrapText="1"/>
    </xf>
    <xf numFmtId="0" fontId="14" fillId="0" borderId="7" xfId="12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5" fillId="0" borderId="5" xfId="0" applyFont="1" applyBorder="1" applyAlignment="1">
      <alignment wrapText="1"/>
    </xf>
    <xf numFmtId="0" fontId="15" fillId="0" borderId="7" xfId="0" applyFont="1" applyBorder="1" applyAlignment="1">
      <alignment wrapText="1"/>
    </xf>
    <xf numFmtId="0" fontId="7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16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2" fontId="17" fillId="0" borderId="1" xfId="0" applyNumberFormat="1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2" fontId="16" fillId="0" borderId="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2" fontId="16" fillId="0" borderId="0" xfId="0" applyNumberFormat="1" applyFont="1" applyAlignment="1">
      <alignment horizontal="center" wrapText="1"/>
    </xf>
    <xf numFmtId="0" fontId="5" fillId="0" borderId="1" xfId="0" quotePrefix="1" applyFont="1" applyBorder="1" applyAlignment="1">
      <alignment horizontal="center" vertical="center" wrapText="1"/>
    </xf>
    <xf numFmtId="0" fontId="5" fillId="0" borderId="1" xfId="0" quotePrefix="1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 wrapText="1"/>
    </xf>
  </cellXfs>
  <cellStyles count="57">
    <cellStyle name="Акт" xfId="1"/>
    <cellStyle name="АктМТСН" xfId="2"/>
    <cellStyle name="АктМТСН 2" xfId="33"/>
    <cellStyle name="АктМТСН 2 2" xfId="43"/>
    <cellStyle name="АктМТСН 2 2 2" xfId="55"/>
    <cellStyle name="АктМТСН 2 3" xfId="45"/>
    <cellStyle name="АктМТСН 3" xfId="27"/>
    <cellStyle name="АктМТСН 4" xfId="21"/>
    <cellStyle name="ВедРесурсов" xfId="3"/>
    <cellStyle name="ВедРесурсовАкт" xfId="4"/>
    <cellStyle name="Итоги" xfId="5"/>
    <cellStyle name="ИтогоАктБазЦ" xfId="6"/>
    <cellStyle name="ИтогоАктБИМ" xfId="7"/>
    <cellStyle name="ИтогоАктБИМ 2" xfId="34"/>
    <cellStyle name="ИтогоАктБИМ 2 2" xfId="42"/>
    <cellStyle name="ИтогоАктБИМ 2 2 2" xfId="54"/>
    <cellStyle name="ИтогоАктБИМ 2 3" xfId="46"/>
    <cellStyle name="ИтогоАктБИМ 3" xfId="28"/>
    <cellStyle name="ИтогоАктБИМ 4" xfId="22"/>
    <cellStyle name="ИтогоАктРесМет" xfId="8"/>
    <cellStyle name="ИтогоАктРесМет 2" xfId="35"/>
    <cellStyle name="ИтогоАктРесМет 2 2" xfId="41"/>
    <cellStyle name="ИтогоАктРесМет 2 2 2" xfId="53"/>
    <cellStyle name="ИтогоАктРесМет 2 3" xfId="47"/>
    <cellStyle name="ИтогоАктРесМет 3" xfId="29"/>
    <cellStyle name="ИтогоАктРесМет 4" xfId="23"/>
    <cellStyle name="ИтогоБазЦ" xfId="9"/>
    <cellStyle name="ИтогоБИМ" xfId="10"/>
    <cellStyle name="ИтогоБИМ 2" xfId="36"/>
    <cellStyle name="ИтогоБИМ 2 2" xfId="44"/>
    <cellStyle name="ИтогоБИМ 2 2 2" xfId="56"/>
    <cellStyle name="ИтогоБИМ 2 3" xfId="48"/>
    <cellStyle name="ИтогоБИМ 3" xfId="30"/>
    <cellStyle name="ИтогоБИМ 4" xfId="24"/>
    <cellStyle name="ИтогоРесМет" xfId="11"/>
    <cellStyle name="ИтогоРесМет 2" xfId="37"/>
    <cellStyle name="ИтогоРесМет 2 2" xfId="39"/>
    <cellStyle name="ИтогоРесМет 2 2 2" xfId="51"/>
    <cellStyle name="ИтогоРесМет 2 3" xfId="49"/>
    <cellStyle name="ИтогоРесМет 3" xfId="31"/>
    <cellStyle name="ИтогоРесМет 4" xfId="25"/>
    <cellStyle name="ЛокСмета" xfId="12"/>
    <cellStyle name="ЛокСмМТСН" xfId="13"/>
    <cellStyle name="ЛокСмМТСН 2" xfId="38"/>
    <cellStyle name="ЛокСмМТСН 2 2" xfId="40"/>
    <cellStyle name="ЛокСмМТСН 2 2 2" xfId="52"/>
    <cellStyle name="ЛокСмМТСН 2 3" xfId="50"/>
    <cellStyle name="ЛокСмМТСН 3" xfId="32"/>
    <cellStyle name="ЛокСмМТСН 4" xfId="26"/>
    <cellStyle name="Обычный" xfId="0" builtinId="0"/>
    <cellStyle name="Параметр" xfId="14"/>
    <cellStyle name="ПеременныеСметы" xfId="15"/>
    <cellStyle name="РесСмета" xfId="16"/>
    <cellStyle name="СводкаСтоимРаб" xfId="17"/>
    <cellStyle name="Титул" xfId="18"/>
    <cellStyle name="Хвост" xfId="19"/>
    <cellStyle name="Экспертиза" xfId="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0087"/>
  <sheetViews>
    <sheetView tabSelected="1" workbookViewId="0">
      <selection activeCell="C15" sqref="C15"/>
    </sheetView>
  </sheetViews>
  <sheetFormatPr defaultRowHeight="12"/>
  <cols>
    <col min="1" max="1" width="4.85546875" style="3" customWidth="1"/>
    <col min="2" max="2" width="14.7109375" style="9" customWidth="1"/>
    <col min="3" max="3" width="43" style="3" customWidth="1"/>
    <col min="4" max="7" width="9.5703125" style="3" hidden="1" customWidth="1"/>
    <col min="8" max="11" width="9.5703125" style="8" hidden="1" customWidth="1"/>
    <col min="12" max="12" width="11.28515625" style="46" customWidth="1"/>
    <col min="13" max="13" width="11.28515625" style="53" customWidth="1"/>
    <col min="14" max="14" width="11.28515625" style="46" customWidth="1"/>
    <col min="15" max="15" width="11.28515625" style="53" customWidth="1"/>
    <col min="16" max="17" width="0" style="3" hidden="1" customWidth="1"/>
    <col min="18" max="18" width="9.140625" style="3" hidden="1" customWidth="1"/>
    <col min="19" max="19" width="0" style="3" hidden="1" customWidth="1"/>
    <col min="20" max="16384" width="9.140625" style="3"/>
  </cols>
  <sheetData>
    <row r="1" spans="1:18">
      <c r="A1" s="1"/>
      <c r="B1" s="10"/>
      <c r="C1" s="13"/>
      <c r="D1" s="14"/>
      <c r="E1" s="15"/>
      <c r="F1" s="16"/>
      <c r="G1" s="17"/>
      <c r="H1" s="18"/>
      <c r="I1" s="18"/>
      <c r="J1" s="3"/>
      <c r="K1" s="3"/>
    </row>
    <row r="2" spans="1:18">
      <c r="A2" s="1"/>
      <c r="B2" s="644" t="s">
        <v>36414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</row>
    <row r="3" spans="1:18">
      <c r="A3" s="1"/>
      <c r="B3" s="645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P3" s="645"/>
      <c r="Q3" s="645"/>
      <c r="R3" s="645"/>
    </row>
    <row r="4" spans="1:18">
      <c r="A4" s="19"/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</row>
    <row r="5" spans="1:18" ht="0.75" customHeight="1">
      <c r="A5" s="1"/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</row>
    <row r="6" spans="1:18" s="351" customFormat="1" ht="19.5" customHeight="1">
      <c r="A6" s="1"/>
      <c r="B6" s="615"/>
      <c r="C6" s="646" t="s">
        <v>36415</v>
      </c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</row>
    <row r="7" spans="1:18" s="351" customFormat="1" ht="1.5" customHeight="1">
      <c r="A7" s="1"/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  <c r="O7" s="615"/>
      <c r="P7" s="615"/>
      <c r="Q7" s="615"/>
      <c r="R7" s="615"/>
    </row>
    <row r="8" spans="1:18" ht="12" customHeight="1">
      <c r="A8" s="622" t="s">
        <v>9</v>
      </c>
      <c r="B8" s="619" t="s">
        <v>11</v>
      </c>
      <c r="C8" s="619" t="s">
        <v>10</v>
      </c>
      <c r="D8" s="624" t="s">
        <v>5</v>
      </c>
      <c r="E8" s="625"/>
      <c r="F8" s="625"/>
      <c r="G8" s="625"/>
      <c r="H8" s="624" t="s">
        <v>7</v>
      </c>
      <c r="I8" s="625"/>
      <c r="J8" s="625"/>
      <c r="K8" s="625"/>
      <c r="L8" s="621" t="s">
        <v>6</v>
      </c>
      <c r="M8" s="621"/>
      <c r="N8" s="621"/>
      <c r="O8" s="621"/>
    </row>
    <row r="9" spans="1:18" ht="36">
      <c r="A9" s="623"/>
      <c r="B9" s="620"/>
      <c r="C9" s="620"/>
      <c r="D9" s="5" t="s">
        <v>2</v>
      </c>
      <c r="E9" s="6" t="s">
        <v>3</v>
      </c>
      <c r="F9" s="7" t="s">
        <v>17</v>
      </c>
      <c r="G9" s="4" t="s">
        <v>4</v>
      </c>
      <c r="H9" s="5" t="s">
        <v>2</v>
      </c>
      <c r="I9" s="6" t="s">
        <v>3</v>
      </c>
      <c r="J9" s="7" t="s">
        <v>17</v>
      </c>
      <c r="K9" s="4" t="s">
        <v>4</v>
      </c>
      <c r="L9" s="45" t="s">
        <v>2</v>
      </c>
      <c r="M9" s="44" t="s">
        <v>3</v>
      </c>
      <c r="N9" s="45" t="s">
        <v>17</v>
      </c>
      <c r="O9" s="44" t="s">
        <v>4</v>
      </c>
    </row>
    <row r="10" spans="1:18" ht="12.75">
      <c r="A10" s="34">
        <v>1</v>
      </c>
      <c r="B10" s="35">
        <v>2</v>
      </c>
      <c r="C10" s="35">
        <v>3</v>
      </c>
      <c r="D10" s="34">
        <v>4</v>
      </c>
      <c r="E10" s="34">
        <v>5</v>
      </c>
      <c r="F10" s="34">
        <v>6</v>
      </c>
      <c r="G10" s="36">
        <v>7</v>
      </c>
      <c r="H10" s="34">
        <v>8</v>
      </c>
      <c r="I10" s="34">
        <v>9</v>
      </c>
      <c r="J10" s="34">
        <v>10</v>
      </c>
      <c r="K10" s="36">
        <v>11</v>
      </c>
      <c r="L10" s="613">
        <v>3</v>
      </c>
      <c r="M10" s="613">
        <v>4</v>
      </c>
      <c r="N10" s="613">
        <v>5</v>
      </c>
      <c r="O10" s="614">
        <v>6</v>
      </c>
      <c r="R10" s="37"/>
    </row>
    <row r="11" spans="1:18" s="38" customFormat="1" ht="18" customHeight="1">
      <c r="A11" s="630" t="s">
        <v>19</v>
      </c>
      <c r="B11" s="631"/>
      <c r="C11" s="631"/>
      <c r="D11" s="631"/>
      <c r="E11" s="631"/>
      <c r="F11" s="631"/>
      <c r="G11" s="631"/>
      <c r="H11" s="631"/>
      <c r="I11" s="631"/>
      <c r="J11" s="631"/>
      <c r="K11" s="631"/>
      <c r="L11" s="631"/>
      <c r="M11" s="631"/>
      <c r="N11" s="631"/>
      <c r="O11" s="631"/>
      <c r="P11" s="631"/>
      <c r="Q11" s="631"/>
      <c r="R11" s="631"/>
    </row>
    <row r="12" spans="1:18" ht="39" customHeight="1">
      <c r="A12" s="628" t="s">
        <v>20</v>
      </c>
      <c r="B12" s="629"/>
      <c r="C12" s="629"/>
      <c r="D12" s="629"/>
      <c r="E12" s="629"/>
      <c r="F12" s="629"/>
      <c r="G12" s="629"/>
      <c r="H12" s="629"/>
      <c r="I12" s="629"/>
      <c r="J12" s="629"/>
      <c r="K12" s="629"/>
      <c r="L12" s="629"/>
      <c r="M12" s="629"/>
      <c r="N12" s="629"/>
      <c r="O12" s="629"/>
      <c r="P12" s="629"/>
      <c r="Q12" s="629"/>
      <c r="R12" s="629"/>
    </row>
    <row r="13" spans="1:18" ht="26.1" customHeight="1">
      <c r="A13" s="628" t="s">
        <v>21</v>
      </c>
      <c r="B13" s="629"/>
      <c r="C13" s="629"/>
      <c r="D13" s="629"/>
      <c r="E13" s="629"/>
      <c r="F13" s="629"/>
      <c r="G13" s="629"/>
      <c r="H13" s="629"/>
      <c r="I13" s="629"/>
      <c r="J13" s="629"/>
      <c r="K13" s="629"/>
      <c r="L13" s="629"/>
      <c r="M13" s="629"/>
      <c r="N13" s="629"/>
      <c r="O13" s="629"/>
      <c r="P13" s="629"/>
      <c r="Q13" s="629"/>
      <c r="R13" s="629"/>
    </row>
    <row r="14" spans="1:18" ht="74.25" customHeight="1">
      <c r="A14" s="60">
        <v>1</v>
      </c>
      <c r="B14" s="57" t="s">
        <v>22</v>
      </c>
      <c r="C14" s="61" t="s">
        <v>23</v>
      </c>
      <c r="D14" s="62">
        <v>546.58000000000004</v>
      </c>
      <c r="E14" s="62">
        <v>115.77</v>
      </c>
      <c r="F14" s="62">
        <v>385.47</v>
      </c>
      <c r="G14" s="62">
        <v>45.34</v>
      </c>
      <c r="H14" s="63">
        <v>3575.01</v>
      </c>
      <c r="I14" s="63">
        <f>1331.38</f>
        <v>1331.38</v>
      </c>
      <c r="J14" s="63">
        <v>2058.0100000000002</v>
      </c>
      <c r="K14" s="63">
        <v>185.62</v>
      </c>
      <c r="L14" s="43">
        <f>IF(546.58=0, "-", 3575.01/546.58)</f>
        <v>6.5406893775842514</v>
      </c>
      <c r="M14" s="43">
        <f>IF(115.77=0, "-", 1331.38/115.77)</f>
        <v>11.500215945409002</v>
      </c>
      <c r="N14" s="43">
        <f>IF(385.47=0, "-", 2058.01/385.47)</f>
        <v>5.3389628246037306</v>
      </c>
      <c r="O14" s="43">
        <f>IF(45.34=0, "-", 185.62/45.34)</f>
        <v>4.0939567710630786</v>
      </c>
      <c r="P14" s="64"/>
      <c r="Q14" s="64"/>
      <c r="R14" s="64">
        <f ca="1">IF(ISERROR(VALUE(TRIM(INDIRECT(ADDRESS(ROW()-1, COLUMN(A11)))))), INDIRECT(ADDRESS(ROW()-2, COLUMN(R11)))+1, INDIRECT(ADDRESS(ROW()-1, COLUMN(R11))))</f>
        <v>1</v>
      </c>
    </row>
    <row r="15" spans="1:18" ht="72">
      <c r="A15" s="60">
        <v>2</v>
      </c>
      <c r="B15" s="57" t="s">
        <v>24</v>
      </c>
      <c r="C15" s="61" t="s">
        <v>25</v>
      </c>
      <c r="D15" s="62">
        <v>684.4</v>
      </c>
      <c r="E15" s="62">
        <v>155.11000000000001</v>
      </c>
      <c r="F15" s="62">
        <v>461.66</v>
      </c>
      <c r="G15" s="62">
        <v>67.63</v>
      </c>
      <c r="H15" s="63">
        <v>4516.08</v>
      </c>
      <c r="I15" s="63">
        <f>1783.79</f>
        <v>1783.79</v>
      </c>
      <c r="J15" s="63">
        <v>2458.23</v>
      </c>
      <c r="K15" s="63">
        <v>274.06</v>
      </c>
      <c r="L15" s="43">
        <f>IF(684.4=0, "-", 4516.08/684.4)</f>
        <v>6.5985973115137346</v>
      </c>
      <c r="M15" s="43">
        <f>IF(155.11=0, "-", 1783.79/155.11)</f>
        <v>11.500161175939654</v>
      </c>
      <c r="N15" s="43">
        <f>IF(461.66=0, "-", 2458.23/461.66)</f>
        <v>5.3247628124593858</v>
      </c>
      <c r="O15" s="43">
        <f>IF(67.63=0, "-", 274.06/67.63)</f>
        <v>4.0523436344817396</v>
      </c>
      <c r="P15" s="64"/>
      <c r="Q15" s="64"/>
      <c r="R15" s="64">
        <f ca="1">IF(ISERROR(VALUE(TRIM(INDIRECT(ADDRESS(ROW()-1, COLUMN(A11)))))), INDIRECT(ADDRESS(ROW()-2, COLUMN(R11)))+1, INDIRECT(ADDRESS(ROW()-1, COLUMN(R11))))</f>
        <v>1</v>
      </c>
    </row>
    <row r="16" spans="1:18" ht="72">
      <c r="A16" s="60">
        <v>3</v>
      </c>
      <c r="B16" s="57" t="s">
        <v>26</v>
      </c>
      <c r="C16" s="61" t="s">
        <v>27</v>
      </c>
      <c r="D16" s="62">
        <v>957.88</v>
      </c>
      <c r="E16" s="62">
        <v>224.8</v>
      </c>
      <c r="F16" s="62">
        <v>621.03</v>
      </c>
      <c r="G16" s="62">
        <v>112.05</v>
      </c>
      <c r="H16" s="63">
        <v>6340.4</v>
      </c>
      <c r="I16" s="63">
        <f>2585.2</f>
        <v>2585.1999999999998</v>
      </c>
      <c r="J16" s="63">
        <v>3306.1</v>
      </c>
      <c r="K16" s="63">
        <v>449.1</v>
      </c>
      <c r="L16" s="43">
        <f>IF(957.88=0, "-", 6340.4/957.88)</f>
        <v>6.6192007349563617</v>
      </c>
      <c r="M16" s="43">
        <f>IF(224.8=0, "-", 2585.2/224.8)</f>
        <v>11.499999999999998</v>
      </c>
      <c r="N16" s="43">
        <f>IF(621.03=0, "-", 3306.1/621.03)</f>
        <v>5.3235753506271841</v>
      </c>
      <c r="O16" s="43">
        <f>IF(112.05=0, "-", 449.1/112.05)</f>
        <v>4.0080321285140563</v>
      </c>
      <c r="P16" s="64"/>
      <c r="Q16" s="64"/>
      <c r="R16" s="64">
        <f ca="1">IF(ISERROR(VALUE(TRIM(INDIRECT(ADDRESS(ROW()-1, COLUMN(A11)))))), INDIRECT(ADDRESS(ROW()-2, COLUMN(R11)))+1, INDIRECT(ADDRESS(ROW()-1, COLUMN(R11))))</f>
        <v>1</v>
      </c>
    </row>
    <row r="17" spans="1:18" ht="72">
      <c r="A17" s="60">
        <v>4</v>
      </c>
      <c r="B17" s="57" t="s">
        <v>28</v>
      </c>
      <c r="C17" s="61" t="s">
        <v>29</v>
      </c>
      <c r="D17" s="62">
        <v>1259.93</v>
      </c>
      <c r="E17" s="62">
        <v>276.5</v>
      </c>
      <c r="F17" s="62">
        <v>805.82</v>
      </c>
      <c r="G17" s="62">
        <v>177.61</v>
      </c>
      <c r="H17" s="63">
        <v>8216.77</v>
      </c>
      <c r="I17" s="63">
        <f>3179.8</f>
        <v>3179.8</v>
      </c>
      <c r="J17" s="63">
        <v>4337.6099999999997</v>
      </c>
      <c r="K17" s="63">
        <v>699.36</v>
      </c>
      <c r="L17" s="43">
        <f>IF(1259.93=0, "-", 8216.77/1259.93)</f>
        <v>6.5216083433206604</v>
      </c>
      <c r="M17" s="43">
        <f>IF(276.5=0, "-", 3179.8/276.5)</f>
        <v>11.500180831826402</v>
      </c>
      <c r="N17" s="43">
        <f>IF(805.82=0, "-", 4337.61/805.82)</f>
        <v>5.3828522498821068</v>
      </c>
      <c r="O17" s="43">
        <f>IF(177.61=0, "-", 699.36/177.61)</f>
        <v>3.9376161252181743</v>
      </c>
      <c r="P17" s="64"/>
      <c r="Q17" s="64"/>
      <c r="R17" s="64">
        <f ca="1">IF(ISERROR(VALUE(TRIM(INDIRECT(ADDRESS(ROW()-1, COLUMN(A11)))))), INDIRECT(ADDRESS(ROW()-2, COLUMN(R11)))+1, INDIRECT(ADDRESS(ROW()-1, COLUMN(R11))))</f>
        <v>1</v>
      </c>
    </row>
    <row r="18" spans="1:18" ht="72">
      <c r="A18" s="60">
        <v>5</v>
      </c>
      <c r="B18" s="57" t="s">
        <v>30</v>
      </c>
      <c r="C18" s="61" t="s">
        <v>31</v>
      </c>
      <c r="D18" s="62">
        <v>1541.7</v>
      </c>
      <c r="E18" s="62">
        <v>341.7</v>
      </c>
      <c r="F18" s="62">
        <v>956.56</v>
      </c>
      <c r="G18" s="62">
        <v>243.44</v>
      </c>
      <c r="H18" s="63">
        <v>10045.27</v>
      </c>
      <c r="I18" s="63">
        <f>3929.5</f>
        <v>3929.5</v>
      </c>
      <c r="J18" s="63">
        <v>5163.05</v>
      </c>
      <c r="K18" s="63">
        <v>952.72</v>
      </c>
      <c r="L18" s="43">
        <f>IF(1541.7=0, "-", 10045.27/1541.7)</f>
        <v>6.5157099305960955</v>
      </c>
      <c r="M18" s="43">
        <f>IF(341.7=0, "-", 3929.5/341.7)</f>
        <v>11.499853672812408</v>
      </c>
      <c r="N18" s="43">
        <f>IF(956.56=0, "-", 5163.05/956.56)</f>
        <v>5.3975181901814837</v>
      </c>
      <c r="O18" s="43">
        <f>IF(243.44=0, "-", 952.72/243.44)</f>
        <v>3.9135721327637203</v>
      </c>
      <c r="P18" s="64"/>
      <c r="Q18" s="64"/>
      <c r="R18" s="64">
        <f ca="1">IF(ISERROR(VALUE(TRIM(INDIRECT(ADDRESS(ROW()-1, COLUMN(A11)))))), INDIRECT(ADDRESS(ROW()-2, COLUMN(R11)))+1, INDIRECT(ADDRESS(ROW()-1, COLUMN(R11))))</f>
        <v>1</v>
      </c>
    </row>
    <row r="19" spans="1:18" ht="72">
      <c r="A19" s="60">
        <v>6</v>
      </c>
      <c r="B19" s="57" t="s">
        <v>32</v>
      </c>
      <c r="C19" s="61" t="s">
        <v>33</v>
      </c>
      <c r="D19" s="62">
        <v>2005.69</v>
      </c>
      <c r="E19" s="62">
        <v>429.37</v>
      </c>
      <c r="F19" s="62">
        <v>1245.08</v>
      </c>
      <c r="G19" s="62">
        <v>331.24</v>
      </c>
      <c r="H19" s="63">
        <v>12961.64</v>
      </c>
      <c r="I19" s="63">
        <f>4937.73</f>
        <v>4937.7299999999996</v>
      </c>
      <c r="J19" s="63">
        <v>6733.07</v>
      </c>
      <c r="K19" s="63">
        <v>1290.8399999999999</v>
      </c>
      <c r="L19" s="43">
        <f>IF(2005.69=0, "-", 12961.64/2005.69)</f>
        <v>6.4624343742053849</v>
      </c>
      <c r="M19" s="43">
        <f>IF(429.37=0, "-", 4937.73/429.37)</f>
        <v>11.499941775158952</v>
      </c>
      <c r="N19" s="43">
        <f>IF(1245.08=0, "-", 6733.07/1245.08)</f>
        <v>5.4077408680566714</v>
      </c>
      <c r="O19" s="43">
        <f>IF(331.24=0, "-", 1290.84/331.24)</f>
        <v>3.896993116773336</v>
      </c>
      <c r="P19" s="64"/>
      <c r="Q19" s="64"/>
      <c r="R19" s="64">
        <f ca="1">IF(ISERROR(VALUE(TRIM(INDIRECT(ADDRESS(ROW()-1, COLUMN(A11)))))), INDIRECT(ADDRESS(ROW()-2, COLUMN(R11)))+1, INDIRECT(ADDRESS(ROW()-1, COLUMN(R11))))</f>
        <v>1</v>
      </c>
    </row>
    <row r="20" spans="1:18" ht="72">
      <c r="A20" s="60">
        <v>7</v>
      </c>
      <c r="B20" s="57" t="s">
        <v>34</v>
      </c>
      <c r="C20" s="61" t="s">
        <v>35</v>
      </c>
      <c r="D20" s="62">
        <v>2575.42</v>
      </c>
      <c r="E20" s="62">
        <v>541.77</v>
      </c>
      <c r="F20" s="62">
        <v>1592.61</v>
      </c>
      <c r="G20" s="62">
        <v>441.04</v>
      </c>
      <c r="H20" s="63">
        <v>16501.62</v>
      </c>
      <c r="I20" s="63">
        <f>6230.33</f>
        <v>6230.33</v>
      </c>
      <c r="J20" s="63">
        <v>8557.23</v>
      </c>
      <c r="K20" s="63">
        <v>1714.06</v>
      </c>
      <c r="L20" s="43">
        <f>IF(2575.42=0, "-", 16501.62/2575.42)</f>
        <v>6.4073510340061031</v>
      </c>
      <c r="M20" s="43">
        <f>IF(541.77=0, "-", 6230.33/541.77)</f>
        <v>11.499953854956901</v>
      </c>
      <c r="N20" s="43">
        <f>IF(1592.61=0, "-", 8557.23/1592.61)</f>
        <v>5.3730856895285095</v>
      </c>
      <c r="O20" s="43">
        <f>IF(441.04=0, "-", 1714.06/441.04)</f>
        <v>3.8864048612370756</v>
      </c>
      <c r="P20" s="64"/>
      <c r="Q20" s="64"/>
      <c r="R20" s="64">
        <f ca="1">IF(ISERROR(VALUE(TRIM(INDIRECT(ADDRESS(ROW()-1, COLUMN(A11)))))), INDIRECT(ADDRESS(ROW()-2, COLUMN(R11)))+1, INDIRECT(ADDRESS(ROW()-1, COLUMN(R11))))</f>
        <v>1</v>
      </c>
    </row>
    <row r="21" spans="1:18" ht="45" customHeight="1">
      <c r="A21" s="628" t="s">
        <v>36</v>
      </c>
      <c r="B21" s="629"/>
      <c r="C21" s="629"/>
      <c r="D21" s="629"/>
      <c r="E21" s="629"/>
      <c r="F21" s="629"/>
      <c r="G21" s="629"/>
      <c r="H21" s="629"/>
      <c r="I21" s="629"/>
      <c r="J21" s="629"/>
      <c r="K21" s="629"/>
      <c r="L21" s="629"/>
      <c r="M21" s="629"/>
      <c r="N21" s="629"/>
      <c r="O21" s="629"/>
      <c r="P21" s="629"/>
      <c r="Q21" s="629"/>
      <c r="R21" s="629"/>
    </row>
    <row r="22" spans="1:18" ht="26.1" customHeight="1">
      <c r="A22" s="628" t="s">
        <v>37</v>
      </c>
      <c r="B22" s="629"/>
      <c r="C22" s="629"/>
      <c r="D22" s="629"/>
      <c r="E22" s="629"/>
      <c r="F22" s="629"/>
      <c r="G22" s="629"/>
      <c r="H22" s="629"/>
      <c r="I22" s="629"/>
      <c r="J22" s="629"/>
      <c r="K22" s="629"/>
      <c r="L22" s="629"/>
      <c r="M22" s="629"/>
      <c r="N22" s="629"/>
      <c r="O22" s="629"/>
      <c r="P22" s="629"/>
      <c r="Q22" s="629"/>
      <c r="R22" s="629"/>
    </row>
    <row r="23" spans="1:18" ht="79.5" customHeight="1">
      <c r="A23" s="60">
        <v>8</v>
      </c>
      <c r="B23" s="57" t="s">
        <v>38</v>
      </c>
      <c r="C23" s="61" t="s">
        <v>39</v>
      </c>
      <c r="D23" s="62">
        <v>2527.75</v>
      </c>
      <c r="E23" s="62">
        <v>1217.94</v>
      </c>
      <c r="F23" s="62">
        <v>1285.45</v>
      </c>
      <c r="G23" s="62">
        <v>24.36</v>
      </c>
      <c r="H23" s="63">
        <v>21517.26</v>
      </c>
      <c r="I23" s="63">
        <f>14006.84</f>
        <v>14006.84</v>
      </c>
      <c r="J23" s="63">
        <v>7230.28</v>
      </c>
      <c r="K23" s="63">
        <v>280.14</v>
      </c>
      <c r="L23" s="43">
        <f>IF(2527.75=0, "-", 21517.26/2527.75)</f>
        <v>8.5124161803975866</v>
      </c>
      <c r="M23" s="43">
        <f>IF(1217.94=0, "-", 14006.84/1217.94)</f>
        <v>11.500435161009573</v>
      </c>
      <c r="N23" s="43">
        <f>IF(1285.45=0, "-", 7230.28/1285.45)</f>
        <v>5.624707300945194</v>
      </c>
      <c r="O23" s="43">
        <f>IF(24.36=0, "-", 280.14/24.36)</f>
        <v>11.5</v>
      </c>
      <c r="P23" s="64"/>
      <c r="Q23" s="64"/>
      <c r="R23" s="64">
        <f ca="1">IF(ISERROR(VALUE(TRIM(INDIRECT(ADDRESS(ROW()-1, COLUMN(A11)))))), INDIRECT(ADDRESS(ROW()-2, COLUMN(R11)))+1, INDIRECT(ADDRESS(ROW()-1, COLUMN(R11))))</f>
        <v>1</v>
      </c>
    </row>
    <row r="24" spans="1:18" ht="72">
      <c r="A24" s="60">
        <v>9</v>
      </c>
      <c r="B24" s="57" t="s">
        <v>40</v>
      </c>
      <c r="C24" s="61" t="s">
        <v>41</v>
      </c>
      <c r="D24" s="62">
        <v>3416.23</v>
      </c>
      <c r="E24" s="62">
        <v>1585.62</v>
      </c>
      <c r="F24" s="62">
        <v>1798.9</v>
      </c>
      <c r="G24" s="62">
        <v>31.71</v>
      </c>
      <c r="H24" s="63">
        <v>28747.24</v>
      </c>
      <c r="I24" s="63">
        <f>18235.32</f>
        <v>18235.32</v>
      </c>
      <c r="J24" s="63">
        <v>10147.25</v>
      </c>
      <c r="K24" s="63">
        <v>364.67</v>
      </c>
      <c r="L24" s="43">
        <f>IF(3416.23=0, "-", 28747.24/3416.23)</f>
        <v>8.4149018069626464</v>
      </c>
      <c r="M24" s="43">
        <f>IF(1585.62=0, "-", 18235.32/1585.62)</f>
        <v>11.500435161009575</v>
      </c>
      <c r="N24" s="43">
        <f>IF(1798.9=0, "-", 10147.25/1798.9)</f>
        <v>5.6408082717216077</v>
      </c>
      <c r="O24" s="43">
        <f>IF(31.71=0, "-", 364.67/31.71)</f>
        <v>11.500157678965627</v>
      </c>
      <c r="P24" s="64"/>
      <c r="Q24" s="64"/>
      <c r="R24" s="64">
        <f ca="1">IF(ISERROR(VALUE(TRIM(INDIRECT(ADDRESS(ROW()-1, COLUMN(A11)))))), INDIRECT(ADDRESS(ROW()-2, COLUMN(R11)))+1, INDIRECT(ADDRESS(ROW()-1, COLUMN(R11))))</f>
        <v>1</v>
      </c>
    </row>
    <row r="25" spans="1:18" ht="72">
      <c r="A25" s="60">
        <v>10</v>
      </c>
      <c r="B25" s="57" t="s">
        <v>42</v>
      </c>
      <c r="C25" s="61" t="s">
        <v>43</v>
      </c>
      <c r="D25" s="62">
        <v>4637.04</v>
      </c>
      <c r="E25" s="62">
        <v>2171.61</v>
      </c>
      <c r="F25" s="62">
        <v>2422</v>
      </c>
      <c r="G25" s="62">
        <v>43.43</v>
      </c>
      <c r="H25" s="63">
        <v>38428.300000000003</v>
      </c>
      <c r="I25" s="63">
        <f>24974.46</f>
        <v>24974.46</v>
      </c>
      <c r="J25" s="63">
        <v>12954.39</v>
      </c>
      <c r="K25" s="63">
        <v>499.45</v>
      </c>
      <c r="L25" s="43">
        <f>IF(4637.04=0, "-", 38428.3/4637.04)</f>
        <v>8.2872478995221091</v>
      </c>
      <c r="M25" s="43">
        <f>IF(2171.61=0, "-", 24974.46/2171.61)</f>
        <v>11.500435161009573</v>
      </c>
      <c r="N25" s="43">
        <f>IF(2422=0, "-", 12954.39/2422)</f>
        <v>5.3486333608587939</v>
      </c>
      <c r="O25" s="43">
        <f>IF(43.43=0, "-", 499.45/43.43)</f>
        <v>11.500115127791849</v>
      </c>
      <c r="P25" s="64"/>
      <c r="Q25" s="64"/>
      <c r="R25" s="64">
        <f ca="1">IF(ISERROR(VALUE(TRIM(INDIRECT(ADDRESS(ROW()-1, COLUMN(A11)))))), INDIRECT(ADDRESS(ROW()-2, COLUMN(R11)))+1, INDIRECT(ADDRESS(ROW()-1, COLUMN(R11))))</f>
        <v>1</v>
      </c>
    </row>
    <row r="26" spans="1:18" ht="72">
      <c r="A26" s="60">
        <v>11</v>
      </c>
      <c r="B26" s="57" t="s">
        <v>44</v>
      </c>
      <c r="C26" s="61" t="s">
        <v>45</v>
      </c>
      <c r="D26" s="62">
        <v>5614.92</v>
      </c>
      <c r="E26" s="62">
        <v>2677.17</v>
      </c>
      <c r="F26" s="62">
        <v>2884.21</v>
      </c>
      <c r="G26" s="62">
        <v>53.54</v>
      </c>
      <c r="H26" s="63">
        <v>46782.69</v>
      </c>
      <c r="I26" s="63">
        <f>30788.62</f>
        <v>30788.62</v>
      </c>
      <c r="J26" s="63">
        <v>15378.36</v>
      </c>
      <c r="K26" s="63">
        <v>615.71</v>
      </c>
      <c r="L26" s="43">
        <f>IF(5614.92=0, "-", 46782.69/5614.92)</f>
        <v>8.3318533478660424</v>
      </c>
      <c r="M26" s="43">
        <f>IF(2677.17=0, "-", 30788.62/2677.17)</f>
        <v>11.500435161009573</v>
      </c>
      <c r="N26" s="43">
        <f>IF(2884.21=0, "-", 15378.36/2884.21)</f>
        <v>5.331914111663159</v>
      </c>
      <c r="O26" s="43">
        <f>IF(53.54=0, "-", 615.71/53.54)</f>
        <v>11.5</v>
      </c>
      <c r="P26" s="64"/>
      <c r="Q26" s="64"/>
      <c r="R26" s="64">
        <f ca="1">IF(ISERROR(VALUE(TRIM(INDIRECT(ADDRESS(ROW()-1, COLUMN(A11)))))), INDIRECT(ADDRESS(ROW()-2, COLUMN(R11)))+1, INDIRECT(ADDRESS(ROW()-1, COLUMN(R11))))</f>
        <v>1</v>
      </c>
    </row>
    <row r="27" spans="1:18" ht="72">
      <c r="A27" s="60">
        <v>12</v>
      </c>
      <c r="B27" s="57" t="s">
        <v>46</v>
      </c>
      <c r="C27" s="61" t="s">
        <v>47</v>
      </c>
      <c r="D27" s="62">
        <v>8565.33</v>
      </c>
      <c r="E27" s="62">
        <v>3297.63</v>
      </c>
      <c r="F27" s="62">
        <v>5201.75</v>
      </c>
      <c r="G27" s="62">
        <v>65.95</v>
      </c>
      <c r="H27" s="63">
        <v>65929.240000000005</v>
      </c>
      <c r="I27" s="63">
        <f>37924.18</f>
        <v>37924.18</v>
      </c>
      <c r="J27" s="63">
        <v>27246.63</v>
      </c>
      <c r="K27" s="63">
        <v>758.43</v>
      </c>
      <c r="L27" s="43">
        <f>IF(8565.33=0, "-", 65929.24/8565.33)</f>
        <v>7.6972212395786279</v>
      </c>
      <c r="M27" s="43">
        <f>IF(3297.63=0, "-", 37924.18/3297.63)</f>
        <v>11.500435161009573</v>
      </c>
      <c r="N27" s="43">
        <f>IF(5201.75=0, "-", 27246.63/5201.75)</f>
        <v>5.2379737588311626</v>
      </c>
      <c r="O27" s="43">
        <f>IF(65.95=0, "-", 758.43/65.95)</f>
        <v>11.500075815011371</v>
      </c>
      <c r="P27" s="64"/>
      <c r="Q27" s="64"/>
      <c r="R27" s="64">
        <f ca="1">IF(ISERROR(VALUE(TRIM(INDIRECT(ADDRESS(ROW()-1, COLUMN(A11)))))), INDIRECT(ADDRESS(ROW()-2, COLUMN(R11)))+1, INDIRECT(ADDRESS(ROW()-1, COLUMN(R11))))</f>
        <v>1</v>
      </c>
    </row>
    <row r="28" spans="1:18" ht="72">
      <c r="A28" s="60">
        <v>13</v>
      </c>
      <c r="B28" s="57" t="s">
        <v>48</v>
      </c>
      <c r="C28" s="61" t="s">
        <v>49</v>
      </c>
      <c r="D28" s="62">
        <v>9587.5400000000009</v>
      </c>
      <c r="E28" s="62">
        <v>3734.25</v>
      </c>
      <c r="F28" s="62">
        <v>5778.6</v>
      </c>
      <c r="G28" s="62">
        <v>74.69</v>
      </c>
      <c r="H28" s="63">
        <v>74080.13</v>
      </c>
      <c r="I28" s="63">
        <f>42945.5</f>
        <v>42945.5</v>
      </c>
      <c r="J28" s="63">
        <v>30275.69</v>
      </c>
      <c r="K28" s="63">
        <v>858.94</v>
      </c>
      <c r="L28" s="43">
        <f>IF(9587.54=0, "-", 74080.13/9587.54)</f>
        <v>7.7267088325055227</v>
      </c>
      <c r="M28" s="43">
        <f>IF(3734.25=0, "-", 42945.5/3734.25)</f>
        <v>11.500435161009573</v>
      </c>
      <c r="N28" s="43">
        <f>IF(5778.6=0, "-", 30275.69/5778.6)</f>
        <v>5.2392776797148093</v>
      </c>
      <c r="O28" s="43">
        <f>IF(74.69=0, "-", 858.94/74.69)</f>
        <v>11.500066943365914</v>
      </c>
      <c r="P28" s="64"/>
      <c r="Q28" s="64"/>
      <c r="R28" s="64">
        <f ca="1">IF(ISERROR(VALUE(TRIM(INDIRECT(ADDRESS(ROW()-1, COLUMN(A11)))))), INDIRECT(ADDRESS(ROW()-2, COLUMN(R11)))+1, INDIRECT(ADDRESS(ROW()-1, COLUMN(R11))))</f>
        <v>1</v>
      </c>
    </row>
    <row r="29" spans="1:18" ht="72">
      <c r="A29" s="60">
        <v>14</v>
      </c>
      <c r="B29" s="57" t="s">
        <v>50</v>
      </c>
      <c r="C29" s="61" t="s">
        <v>51</v>
      </c>
      <c r="D29" s="62">
        <v>12960.29</v>
      </c>
      <c r="E29" s="62">
        <v>4435.1400000000003</v>
      </c>
      <c r="F29" s="62">
        <v>8436.4500000000007</v>
      </c>
      <c r="G29" s="62">
        <v>88.7</v>
      </c>
      <c r="H29" s="63">
        <v>96572.51</v>
      </c>
      <c r="I29" s="63">
        <f>51006.04</f>
        <v>51006.04</v>
      </c>
      <c r="J29" s="63">
        <v>44546.42</v>
      </c>
      <c r="K29" s="63">
        <v>1020.05</v>
      </c>
      <c r="L29" s="43">
        <f>IF(12960.29=0, "-", 96572.51/12960.29)</f>
        <v>7.4514158248002156</v>
      </c>
      <c r="M29" s="43">
        <f>IF(4435.14=0, "-", 51006.04/4435.14)</f>
        <v>11.500435161009573</v>
      </c>
      <c r="N29" s="43">
        <f>IF(8436.45=0, "-", 44546.42/8436.45)</f>
        <v>5.2802327993409541</v>
      </c>
      <c r="O29" s="43">
        <f>IF(88.7=0, "-", 1020.05/88.7)</f>
        <v>11.5</v>
      </c>
      <c r="P29" s="64"/>
      <c r="Q29" s="64"/>
      <c r="R29" s="64">
        <f ca="1">IF(ISERROR(VALUE(TRIM(INDIRECT(ADDRESS(ROW()-1, COLUMN(A11)))))), INDIRECT(ADDRESS(ROW()-2, COLUMN(R11)))+1, INDIRECT(ADDRESS(ROW()-1, COLUMN(R11))))</f>
        <v>1</v>
      </c>
    </row>
    <row r="30" spans="1:18" ht="72">
      <c r="A30" s="60">
        <v>15</v>
      </c>
      <c r="B30" s="57" t="s">
        <v>52</v>
      </c>
      <c r="C30" s="61" t="s">
        <v>53</v>
      </c>
      <c r="D30" s="62">
        <v>14099.33</v>
      </c>
      <c r="E30" s="62">
        <v>4883.25</v>
      </c>
      <c r="F30" s="62">
        <v>9118.41</v>
      </c>
      <c r="G30" s="62">
        <v>97.67</v>
      </c>
      <c r="H30" s="63">
        <v>105205.49</v>
      </c>
      <c r="I30" s="63">
        <f>56159.5</f>
        <v>56159.5</v>
      </c>
      <c r="J30" s="63">
        <v>47922.78</v>
      </c>
      <c r="K30" s="63">
        <v>1123.21</v>
      </c>
      <c r="L30" s="43">
        <f>IF(14099.33=0, "-", 105205.49/14099.33)</f>
        <v>7.4617368343034745</v>
      </c>
      <c r="M30" s="43">
        <f>IF(4883.25=0, "-", 56159.5/4883.25)</f>
        <v>11.500435161009573</v>
      </c>
      <c r="N30" s="43">
        <f>IF(9118.41=0, "-", 47922.78/9118.41)</f>
        <v>5.2556070630734961</v>
      </c>
      <c r="O30" s="43">
        <f>IF(97.67=0, "-", 1123.21/97.67)</f>
        <v>11.500051192792055</v>
      </c>
      <c r="P30" s="64"/>
      <c r="Q30" s="64"/>
      <c r="R30" s="64">
        <f ca="1">IF(ISERROR(VALUE(TRIM(INDIRECT(ADDRESS(ROW()-1, COLUMN(A11)))))), INDIRECT(ADDRESS(ROW()-2, COLUMN(R11)))+1, INDIRECT(ADDRESS(ROW()-1, COLUMN(R11))))</f>
        <v>1</v>
      </c>
    </row>
    <row r="31" spans="1:18" ht="72">
      <c r="A31" s="60">
        <v>16</v>
      </c>
      <c r="B31" s="57" t="s">
        <v>54</v>
      </c>
      <c r="C31" s="61" t="s">
        <v>55</v>
      </c>
      <c r="D31" s="62">
        <v>14758.85</v>
      </c>
      <c r="E31" s="62">
        <v>5648.28</v>
      </c>
      <c r="F31" s="62">
        <v>8997.6</v>
      </c>
      <c r="G31" s="62">
        <v>112.97</v>
      </c>
      <c r="H31" s="63">
        <v>113057.2</v>
      </c>
      <c r="I31" s="63">
        <f>64957.64</f>
        <v>64957.64</v>
      </c>
      <c r="J31" s="63">
        <v>46800.4</v>
      </c>
      <c r="K31" s="63">
        <v>1299.1600000000001</v>
      </c>
      <c r="L31" s="43">
        <f>IF(14758.85=0, "-", 113057.2/14758.85)</f>
        <v>7.6602987360126296</v>
      </c>
      <c r="M31" s="43">
        <f>IF(5648.28=0, "-", 64957.64/5648.28)</f>
        <v>11.500428449014567</v>
      </c>
      <c r="N31" s="43">
        <f>IF(8997.6=0, "-", 46800.4/8997.6)</f>
        <v>5.201431492842536</v>
      </c>
      <c r="O31" s="43">
        <f>IF(112.97=0, "-", 1299.16/112.97)</f>
        <v>11.500044259537932</v>
      </c>
      <c r="P31" s="64"/>
      <c r="Q31" s="64"/>
      <c r="R31" s="64">
        <f ca="1">IF(ISERROR(VALUE(TRIM(INDIRECT(ADDRESS(ROW()-1, COLUMN(A11)))))), INDIRECT(ADDRESS(ROW()-2, COLUMN(R11)))+1, INDIRECT(ADDRESS(ROW()-1, COLUMN(R11))))</f>
        <v>1</v>
      </c>
    </row>
    <row r="32" spans="1:18" ht="72">
      <c r="A32" s="60">
        <v>17</v>
      </c>
      <c r="B32" s="57" t="s">
        <v>56</v>
      </c>
      <c r="C32" s="61" t="s">
        <v>57</v>
      </c>
      <c r="D32" s="62">
        <v>16434.48</v>
      </c>
      <c r="E32" s="62">
        <v>5975.04</v>
      </c>
      <c r="F32" s="62">
        <v>10339.94</v>
      </c>
      <c r="G32" s="62">
        <v>119.5</v>
      </c>
      <c r="H32" s="63">
        <v>124210.62</v>
      </c>
      <c r="I32" s="63">
        <f>68715.52</f>
        <v>68715.520000000004</v>
      </c>
      <c r="J32" s="63">
        <v>54120.85</v>
      </c>
      <c r="K32" s="63">
        <v>1374.25</v>
      </c>
      <c r="L32" s="43">
        <f>IF(16434.48=0, "-", 124210.62/16434.48)</f>
        <v>7.5579282094717932</v>
      </c>
      <c r="M32" s="43">
        <f>IF(5975.04=0, "-", 68715.52/5975.04)</f>
        <v>11.500428449014567</v>
      </c>
      <c r="N32" s="43">
        <f>IF(10339.94=0, "-", 54120.85/10339.94)</f>
        <v>5.2341551304939866</v>
      </c>
      <c r="O32" s="43">
        <f>IF(119.5=0, "-", 1374.25/119.5)</f>
        <v>11.5</v>
      </c>
      <c r="P32" s="64"/>
      <c r="Q32" s="64"/>
      <c r="R32" s="64">
        <f ca="1">IF(ISERROR(VALUE(TRIM(INDIRECT(ADDRESS(ROW()-1, COLUMN(A11)))))), INDIRECT(ADDRESS(ROW()-2, COLUMN(R11)))+1, INDIRECT(ADDRESS(ROW()-1, COLUMN(R11))))</f>
        <v>1</v>
      </c>
    </row>
    <row r="33" spans="1:18" ht="72">
      <c r="A33" s="65">
        <v>18</v>
      </c>
      <c r="B33" s="66" t="s">
        <v>58</v>
      </c>
      <c r="C33" s="67" t="s">
        <v>59</v>
      </c>
      <c r="D33" s="68">
        <v>17513.03</v>
      </c>
      <c r="E33" s="68">
        <v>6313.47</v>
      </c>
      <c r="F33" s="68">
        <v>11073.29</v>
      </c>
      <c r="G33" s="68">
        <v>126.27</v>
      </c>
      <c r="H33" s="69">
        <v>132117.07999999999</v>
      </c>
      <c r="I33" s="69">
        <f>72607.61</f>
        <v>72607.61</v>
      </c>
      <c r="J33" s="69">
        <v>58057.36</v>
      </c>
      <c r="K33" s="69">
        <v>1452.11</v>
      </c>
      <c r="L33" s="611">
        <f>IF(17513.03=0, "-", 132117.08/17513.03)</f>
        <v>7.5439304335115054</v>
      </c>
      <c r="M33" s="611">
        <f>IF(6313.47=0, "-", 72607.61/6313.47)</f>
        <v>11.500428449014567</v>
      </c>
      <c r="N33" s="611">
        <f>IF(11073.29=0, "-", 58057.36/11073.29)</f>
        <v>5.2430090786026549</v>
      </c>
      <c r="O33" s="611">
        <f>IF(126.27=0, "-", 1452.11/126.27)</f>
        <v>11.500039597687495</v>
      </c>
      <c r="P33" s="70"/>
      <c r="Q33" s="70"/>
      <c r="R33" s="70">
        <f ca="1">IF(ISERROR(VALUE(TRIM(INDIRECT(ADDRESS(ROW()-1, COLUMN(A11)))))), INDIRECT(ADDRESS(ROW()-2, COLUMN(R11)))+1, INDIRECT(ADDRESS(ROW()-1, COLUMN(R11))))</f>
        <v>1</v>
      </c>
    </row>
    <row r="34" spans="1:18" ht="12.75" customHeight="1">
      <c r="A34" s="630" t="s">
        <v>60</v>
      </c>
      <c r="B34" s="631"/>
      <c r="C34" s="631"/>
      <c r="D34" s="631"/>
      <c r="E34" s="631"/>
      <c r="F34" s="631"/>
      <c r="G34" s="631"/>
      <c r="H34" s="631"/>
      <c r="I34" s="631"/>
      <c r="J34" s="631"/>
      <c r="K34" s="631"/>
      <c r="L34" s="631"/>
      <c r="M34" s="631"/>
      <c r="N34" s="631"/>
      <c r="O34" s="631"/>
      <c r="P34" s="631"/>
      <c r="Q34" s="631"/>
      <c r="R34" s="631"/>
    </row>
    <row r="35" spans="1:18" ht="17.850000000000001" customHeight="1">
      <c r="A35" s="628" t="s">
        <v>61</v>
      </c>
      <c r="B35" s="629"/>
      <c r="C35" s="629"/>
      <c r="D35" s="629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</row>
    <row r="36" spans="1:18" ht="17.850000000000001" customHeight="1">
      <c r="A36" s="628" t="s">
        <v>62</v>
      </c>
      <c r="B36" s="629"/>
      <c r="C36" s="629"/>
      <c r="D36" s="629"/>
      <c r="E36" s="629"/>
      <c r="F36" s="629"/>
      <c r="G36" s="629"/>
      <c r="H36" s="629"/>
      <c r="I36" s="629"/>
      <c r="J36" s="629"/>
      <c r="K36" s="629"/>
      <c r="L36" s="629"/>
      <c r="M36" s="629"/>
      <c r="N36" s="629"/>
      <c r="O36" s="629"/>
      <c r="P36" s="629"/>
      <c r="Q36" s="629"/>
      <c r="R36" s="629"/>
    </row>
    <row r="37" spans="1:18" ht="27.75" customHeight="1">
      <c r="A37" s="60">
        <v>19</v>
      </c>
      <c r="B37" s="57" t="s">
        <v>63</v>
      </c>
      <c r="C37" s="61" t="s">
        <v>64</v>
      </c>
      <c r="D37" s="62">
        <v>10353.799999999999</v>
      </c>
      <c r="E37" s="62">
        <v>4419.04</v>
      </c>
      <c r="F37" s="62">
        <v>5456.33</v>
      </c>
      <c r="G37" s="62">
        <v>478.43</v>
      </c>
      <c r="H37" s="63">
        <v>82950.42</v>
      </c>
      <c r="I37" s="63">
        <f>50818.96</f>
        <v>50818.96</v>
      </c>
      <c r="J37" s="63">
        <v>29674.03</v>
      </c>
      <c r="K37" s="63">
        <v>2457.4299999999998</v>
      </c>
      <c r="L37" s="43">
        <f>IF(10353.8=0, "-", 82950.42/10353.8)</f>
        <v>8.0115918793100125</v>
      </c>
      <c r="M37" s="43">
        <f>IF(4419.04=0, "-", 50818.96/4419.04)</f>
        <v>11.5</v>
      </c>
      <c r="N37" s="43">
        <f>IF(5456.33=0, "-", 29674.03/5456.33)</f>
        <v>5.4384595506503457</v>
      </c>
      <c r="O37" s="43">
        <f>IF(478.43=0, "-", 2457.43/478.43)</f>
        <v>5.136446293083627</v>
      </c>
      <c r="P37" s="64"/>
      <c r="Q37" s="64"/>
      <c r="R37" s="64">
        <f ca="1">IF(ISERROR(VALUE(TRIM(INDIRECT(ADDRESS(ROW()-1, COLUMN(A11)))))), INDIRECT(ADDRESS(ROW()-2, COLUMN(R11)))+1, INDIRECT(ADDRESS(ROW()-1, COLUMN(R11))))</f>
        <v>1</v>
      </c>
    </row>
    <row r="38" spans="1:18" ht="24">
      <c r="A38" s="60">
        <v>20</v>
      </c>
      <c r="B38" s="57" t="s">
        <v>65</v>
      </c>
      <c r="C38" s="61" t="s">
        <v>66</v>
      </c>
      <c r="D38" s="62">
        <v>12760.62</v>
      </c>
      <c r="E38" s="62">
        <v>5271.04</v>
      </c>
      <c r="F38" s="62">
        <v>6830.64</v>
      </c>
      <c r="G38" s="62">
        <v>658.94</v>
      </c>
      <c r="H38" s="63">
        <v>101130.67</v>
      </c>
      <c r="I38" s="63">
        <f>60616.96</f>
        <v>60616.959999999999</v>
      </c>
      <c r="J38" s="63">
        <v>37256.35</v>
      </c>
      <c r="K38" s="63">
        <v>3257.36</v>
      </c>
      <c r="L38" s="43">
        <f>IF(12760.62=0, "-", 101130.67/12760.62)</f>
        <v>7.925216016149685</v>
      </c>
      <c r="M38" s="43">
        <f>IF(5271.04=0, "-", 60616.96/5271.04)</f>
        <v>11.5</v>
      </c>
      <c r="N38" s="43">
        <f>IF(6830.64=0, "-", 37256.35/6830.64)</f>
        <v>5.4542985723153317</v>
      </c>
      <c r="O38" s="43">
        <f>IF(658.94=0, "-", 3257.36/658.94)</f>
        <v>4.9433332321607431</v>
      </c>
      <c r="P38" s="64"/>
      <c r="Q38" s="64"/>
      <c r="R38" s="64">
        <f ca="1">IF(ISERROR(VALUE(TRIM(INDIRECT(ADDRESS(ROW()-1, COLUMN(A11)))))), INDIRECT(ADDRESS(ROW()-2, COLUMN(R11)))+1, INDIRECT(ADDRESS(ROW()-1, COLUMN(R11))))</f>
        <v>1</v>
      </c>
    </row>
    <row r="39" spans="1:18" ht="24">
      <c r="A39" s="60">
        <v>21</v>
      </c>
      <c r="B39" s="57" t="s">
        <v>67</v>
      </c>
      <c r="C39" s="61" t="s">
        <v>68</v>
      </c>
      <c r="D39" s="62">
        <v>15704.26</v>
      </c>
      <c r="E39" s="62">
        <v>7361.28</v>
      </c>
      <c r="F39" s="62">
        <v>7438.6</v>
      </c>
      <c r="G39" s="62">
        <v>904.38</v>
      </c>
      <c r="H39" s="63">
        <v>129180.83</v>
      </c>
      <c r="I39" s="63">
        <f>84654.72</f>
        <v>84654.720000000001</v>
      </c>
      <c r="J39" s="63">
        <v>40035.620000000003</v>
      </c>
      <c r="K39" s="63">
        <v>4490.49</v>
      </c>
      <c r="L39" s="43">
        <f>IF(15704.26=0, "-", 129180.83/15704.26)</f>
        <v>8.2258463627066796</v>
      </c>
      <c r="M39" s="43">
        <f>IF(7361.28=0, "-", 84654.72/7361.28)</f>
        <v>11.5</v>
      </c>
      <c r="N39" s="43">
        <f>IF(7438.6=0, "-", 40035.62/7438.6)</f>
        <v>5.3821444895544861</v>
      </c>
      <c r="O39" s="43">
        <f>IF(904.38=0, "-", 4490.49/904.38)</f>
        <v>4.9652690240827972</v>
      </c>
      <c r="P39" s="64"/>
      <c r="Q39" s="64"/>
      <c r="R39" s="64">
        <f ca="1">IF(ISERROR(VALUE(TRIM(INDIRECT(ADDRESS(ROW()-1, COLUMN(A11)))))), INDIRECT(ADDRESS(ROW()-2, COLUMN(R11)))+1, INDIRECT(ADDRESS(ROW()-1, COLUMN(R11))))</f>
        <v>1</v>
      </c>
    </row>
    <row r="40" spans="1:18" ht="24">
      <c r="A40" s="60">
        <v>22</v>
      </c>
      <c r="B40" s="57" t="s">
        <v>69</v>
      </c>
      <c r="C40" s="61" t="s">
        <v>70</v>
      </c>
      <c r="D40" s="62">
        <v>19992.580000000002</v>
      </c>
      <c r="E40" s="62">
        <v>7985.55</v>
      </c>
      <c r="F40" s="62">
        <v>10054.82</v>
      </c>
      <c r="G40" s="62">
        <v>1952.21</v>
      </c>
      <c r="H40" s="63">
        <v>156295.44</v>
      </c>
      <c r="I40" s="63">
        <f>91837.3</f>
        <v>91837.3</v>
      </c>
      <c r="J40" s="63">
        <v>55998.97</v>
      </c>
      <c r="K40" s="63">
        <v>8459.17</v>
      </c>
      <c r="L40" s="43">
        <f>IF(19992.58=0, "-", 156295.44/19992.58)</f>
        <v>7.8176723564442403</v>
      </c>
      <c r="M40" s="43">
        <f>IF(7985.55=0, "-", 91837.3/7985.55)</f>
        <v>11.500435161009573</v>
      </c>
      <c r="N40" s="43">
        <f>IF(10054.82=0, "-", 55998.97/10054.82)</f>
        <v>5.5693657370296039</v>
      </c>
      <c r="O40" s="43">
        <f>IF(1952.21=0, "-", 8459.17/1952.21)</f>
        <v>4.3331250224104991</v>
      </c>
      <c r="P40" s="64"/>
      <c r="Q40" s="64"/>
      <c r="R40" s="64">
        <f ca="1">IF(ISERROR(VALUE(TRIM(INDIRECT(ADDRESS(ROW()-1, COLUMN(A11)))))), INDIRECT(ADDRESS(ROW()-2, COLUMN(R11)))+1, INDIRECT(ADDRESS(ROW()-1, COLUMN(R11))))</f>
        <v>1</v>
      </c>
    </row>
    <row r="41" spans="1:18" ht="12.75" customHeight="1">
      <c r="A41" s="628" t="s">
        <v>71</v>
      </c>
      <c r="B41" s="629"/>
      <c r="C41" s="629"/>
      <c r="D41" s="629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</row>
    <row r="42" spans="1:18" ht="17.850000000000001" customHeight="1">
      <c r="A42" s="60">
        <v>23</v>
      </c>
      <c r="B42" s="57" t="s">
        <v>72</v>
      </c>
      <c r="C42" s="61" t="s">
        <v>73</v>
      </c>
      <c r="D42" s="62">
        <v>7869.24</v>
      </c>
      <c r="E42" s="62">
        <v>4492.59</v>
      </c>
      <c r="F42" s="62">
        <v>3071.7</v>
      </c>
      <c r="G42" s="62">
        <v>304.95</v>
      </c>
      <c r="H42" s="63">
        <v>69709.97</v>
      </c>
      <c r="I42" s="63">
        <f>51666.74</f>
        <v>51666.74</v>
      </c>
      <c r="J42" s="63">
        <v>16215.25</v>
      </c>
      <c r="K42" s="63">
        <v>1827.98</v>
      </c>
      <c r="L42" s="43">
        <f>IF(7869.24=0, "-", 69709.97/7869.24)</f>
        <v>8.8585390711174146</v>
      </c>
      <c r="M42" s="43">
        <f>IF(4492.59=0, "-", 51666.74/4492.59)</f>
        <v>11.500435161009573</v>
      </c>
      <c r="N42" s="43">
        <f>IF(3071.7=0, "-", 16215.25/3071.7)</f>
        <v>5.2789172119673147</v>
      </c>
      <c r="O42" s="43">
        <f>IF(304.95=0, "-", 1827.98/304.95)</f>
        <v>5.9943597311034598</v>
      </c>
      <c r="P42" s="64"/>
      <c r="Q42" s="64"/>
      <c r="R42" s="64">
        <f ca="1">IF(ISERROR(VALUE(TRIM(INDIRECT(ADDRESS(ROW()-1, COLUMN(A11)))))), INDIRECT(ADDRESS(ROW()-2, COLUMN(R11)))+1, INDIRECT(ADDRESS(ROW()-1, COLUMN(R11))))</f>
        <v>2</v>
      </c>
    </row>
    <row r="43" spans="1:18" ht="24">
      <c r="A43" s="60">
        <v>24</v>
      </c>
      <c r="B43" s="57" t="s">
        <v>74</v>
      </c>
      <c r="C43" s="61" t="s">
        <v>75</v>
      </c>
      <c r="D43" s="62">
        <v>17122.740000000002</v>
      </c>
      <c r="E43" s="62">
        <v>7227.21</v>
      </c>
      <c r="F43" s="62">
        <v>8890.59</v>
      </c>
      <c r="G43" s="62">
        <v>1004.94</v>
      </c>
      <c r="H43" s="63">
        <v>136984.53</v>
      </c>
      <c r="I43" s="63">
        <f>83116.06</f>
        <v>83116.06</v>
      </c>
      <c r="J43" s="63">
        <v>49027.46</v>
      </c>
      <c r="K43" s="63">
        <v>4841.01</v>
      </c>
      <c r="L43" s="43">
        <f>IF(17122.74=0, "-", 136984.53/17122.74)</f>
        <v>8.0001524288752837</v>
      </c>
      <c r="M43" s="43">
        <f>IF(7227.21=0, "-", 83116.06/7227.21)</f>
        <v>11.500435161009573</v>
      </c>
      <c r="N43" s="43">
        <f>IF(8890.59=0, "-", 49027.46/8890.59)</f>
        <v>5.5145339060737246</v>
      </c>
      <c r="O43" s="43">
        <f>IF(1004.94=0, "-", 4841.01/1004.94)</f>
        <v>4.8172129679383842</v>
      </c>
      <c r="P43" s="64"/>
      <c r="Q43" s="64"/>
      <c r="R43" s="64">
        <f ca="1">IF(ISERROR(VALUE(TRIM(INDIRECT(ADDRESS(ROW()-1, COLUMN(A11)))))), INDIRECT(ADDRESS(ROW()-2, COLUMN(R11)))+1, INDIRECT(ADDRESS(ROW()-1, COLUMN(R11))))</f>
        <v>2</v>
      </c>
    </row>
    <row r="44" spans="1:18" ht="24">
      <c r="A44" s="60">
        <v>25</v>
      </c>
      <c r="B44" s="57" t="s">
        <v>76</v>
      </c>
      <c r="C44" s="61" t="s">
        <v>77</v>
      </c>
      <c r="D44" s="62">
        <v>30491.56</v>
      </c>
      <c r="E44" s="62">
        <v>12374.73</v>
      </c>
      <c r="F44" s="62">
        <v>15847.4</v>
      </c>
      <c r="G44" s="62">
        <v>2269.4299999999998</v>
      </c>
      <c r="H44" s="63">
        <v>241041.28</v>
      </c>
      <c r="I44" s="63">
        <f>142314.78</f>
        <v>142314.78</v>
      </c>
      <c r="J44" s="63">
        <v>88410.18</v>
      </c>
      <c r="K44" s="63">
        <v>10316.32</v>
      </c>
      <c r="L44" s="43">
        <f>IF(30491.56=0, "-", 241041.28/30491.56)</f>
        <v>7.9051803187504994</v>
      </c>
      <c r="M44" s="43">
        <f>IF(12374.73=0, "-", 142314.78/12374.73)</f>
        <v>11.500435161009573</v>
      </c>
      <c r="N44" s="43">
        <f>IF(15847.4=0, "-", 88410.18/15847.4)</f>
        <v>5.5788444792205656</v>
      </c>
      <c r="O44" s="43">
        <f>IF(2269.43=0, "-", 10316.32/2269.43)</f>
        <v>4.5457758115473927</v>
      </c>
      <c r="P44" s="64"/>
      <c r="Q44" s="64"/>
      <c r="R44" s="64">
        <f ca="1">IF(ISERROR(VALUE(TRIM(INDIRECT(ADDRESS(ROW()-1, COLUMN(A11)))))), INDIRECT(ADDRESS(ROW()-2, COLUMN(R11)))+1, INDIRECT(ADDRESS(ROW()-1, COLUMN(R11))))</f>
        <v>2</v>
      </c>
    </row>
    <row r="45" spans="1:18" ht="24">
      <c r="A45" s="60">
        <v>26</v>
      </c>
      <c r="B45" s="57" t="s">
        <v>78</v>
      </c>
      <c r="C45" s="61" t="s">
        <v>79</v>
      </c>
      <c r="D45" s="62">
        <v>35528.32</v>
      </c>
      <c r="E45" s="62">
        <v>14868.06</v>
      </c>
      <c r="F45" s="62">
        <v>17093.38</v>
      </c>
      <c r="G45" s="62">
        <v>3566.88</v>
      </c>
      <c r="H45" s="63">
        <v>282662.33</v>
      </c>
      <c r="I45" s="63">
        <f>170989.16</f>
        <v>170989.16</v>
      </c>
      <c r="J45" s="63">
        <v>96174.09</v>
      </c>
      <c r="K45" s="63">
        <v>15499.08</v>
      </c>
      <c r="L45" s="43">
        <f>IF(35528.32=0, "-", 282662.33/35528.32)</f>
        <v>7.9559723060364247</v>
      </c>
      <c r="M45" s="43">
        <f>IF(14868.06=0, "-", 170989.16/14868.06)</f>
        <v>11.500435161009575</v>
      </c>
      <c r="N45" s="43">
        <f>IF(17093.38=0, "-", 96174.09/17093.38)</f>
        <v>5.6263939607029148</v>
      </c>
      <c r="O45" s="43">
        <f>IF(3566.88=0, "-", 15499.08/3566.88)</f>
        <v>4.3452765442067012</v>
      </c>
      <c r="P45" s="64"/>
      <c r="Q45" s="64"/>
      <c r="R45" s="64">
        <f ca="1">IF(ISERROR(VALUE(TRIM(INDIRECT(ADDRESS(ROW()-1, COLUMN(A11)))))), INDIRECT(ADDRESS(ROW()-2, COLUMN(R11)))+1, INDIRECT(ADDRESS(ROW()-1, COLUMN(R11))))</f>
        <v>2</v>
      </c>
    </row>
    <row r="46" spans="1:18" ht="12.75" customHeight="1">
      <c r="A46" s="628" t="s">
        <v>80</v>
      </c>
      <c r="B46" s="629"/>
      <c r="C46" s="629"/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</row>
    <row r="47" spans="1:18" ht="17.850000000000001" customHeight="1">
      <c r="A47" s="60">
        <v>27</v>
      </c>
      <c r="B47" s="57" t="s">
        <v>81</v>
      </c>
      <c r="C47" s="61" t="s">
        <v>82</v>
      </c>
      <c r="D47" s="62">
        <v>1422.25</v>
      </c>
      <c r="E47" s="62">
        <v>391.13</v>
      </c>
      <c r="F47" s="62">
        <v>917.9</v>
      </c>
      <c r="G47" s="62">
        <v>113.22</v>
      </c>
      <c r="H47" s="63">
        <v>10002.780000000001</v>
      </c>
      <c r="I47" s="63">
        <f>4497.97</f>
        <v>4497.97</v>
      </c>
      <c r="J47" s="63">
        <v>5025.4799999999996</v>
      </c>
      <c r="K47" s="63">
        <v>479.33</v>
      </c>
      <c r="L47" s="43">
        <f>IF(1422.25=0, "-", 10002.78/1422.25)</f>
        <v>7.0330673229038503</v>
      </c>
      <c r="M47" s="43">
        <f>IF(391.13=0, "-", 4497.97/391.13)</f>
        <v>11.499936082632374</v>
      </c>
      <c r="N47" s="43">
        <f>IF(917.9=0, "-", 5025.48/917.9)</f>
        <v>5.4749754875258736</v>
      </c>
      <c r="O47" s="43">
        <f>IF(113.22=0, "-", 479.33/113.22)</f>
        <v>4.2336159689100867</v>
      </c>
      <c r="P47" s="64"/>
      <c r="Q47" s="64"/>
      <c r="R47" s="64">
        <f ca="1">IF(ISERROR(VALUE(TRIM(INDIRECT(ADDRESS(ROW()-1, COLUMN(A11)))))), INDIRECT(ADDRESS(ROW()-2, COLUMN(R11)))+1, INDIRECT(ADDRESS(ROW()-1, COLUMN(R11))))</f>
        <v>3</v>
      </c>
    </row>
    <row r="48" spans="1:18" ht="24">
      <c r="A48" s="60">
        <v>28</v>
      </c>
      <c r="B48" s="57" t="s">
        <v>83</v>
      </c>
      <c r="C48" s="61" t="s">
        <v>84</v>
      </c>
      <c r="D48" s="62">
        <v>1903.28</v>
      </c>
      <c r="E48" s="62">
        <v>496.39</v>
      </c>
      <c r="F48" s="62">
        <v>1239.94</v>
      </c>
      <c r="G48" s="62">
        <v>166.95</v>
      </c>
      <c r="H48" s="63">
        <v>12967.62</v>
      </c>
      <c r="I48" s="63">
        <f>5708.51</f>
        <v>5708.51</v>
      </c>
      <c r="J48" s="63">
        <v>6564.78</v>
      </c>
      <c r="K48" s="63">
        <v>694.33</v>
      </c>
      <c r="L48" s="43">
        <f>IF(1903.28=0, "-", 12967.62/1903.28)</f>
        <v>6.813301248371233</v>
      </c>
      <c r="M48" s="43">
        <f>IF(496.39=0, "-", 5708.51/496.39)</f>
        <v>11.500050363625377</v>
      </c>
      <c r="N48" s="43">
        <f>IF(1239.94=0, "-", 6564.78/1239.94)</f>
        <v>5.2944336016258848</v>
      </c>
      <c r="O48" s="43">
        <f>IF(166.95=0, "-", 694.33/166.95)</f>
        <v>4.1589098532494768</v>
      </c>
      <c r="P48" s="64"/>
      <c r="Q48" s="64"/>
      <c r="R48" s="64">
        <f ca="1">IF(ISERROR(VALUE(TRIM(INDIRECT(ADDRESS(ROW()-1, COLUMN(A11)))))), INDIRECT(ADDRESS(ROW()-2, COLUMN(R11)))+1, INDIRECT(ADDRESS(ROW()-1, COLUMN(R11))))</f>
        <v>3</v>
      </c>
    </row>
    <row r="49" spans="1:18" ht="24">
      <c r="A49" s="60">
        <v>29</v>
      </c>
      <c r="B49" s="57" t="s">
        <v>85</v>
      </c>
      <c r="C49" s="61" t="s">
        <v>86</v>
      </c>
      <c r="D49" s="62">
        <v>2800.87</v>
      </c>
      <c r="E49" s="62">
        <v>862.75</v>
      </c>
      <c r="F49" s="62">
        <v>1641.23</v>
      </c>
      <c r="G49" s="62">
        <v>296.89</v>
      </c>
      <c r="H49" s="63">
        <v>20179.38</v>
      </c>
      <c r="I49" s="63">
        <f>9921.65</f>
        <v>9921.65</v>
      </c>
      <c r="J49" s="63">
        <v>9026.1299999999992</v>
      </c>
      <c r="K49" s="63">
        <v>1231.5999999999999</v>
      </c>
      <c r="L49" s="43">
        <f>IF(2800.87=0, "-", 20179.38/2800.87)</f>
        <v>7.2046828306918931</v>
      </c>
      <c r="M49" s="43">
        <f>IF(862.75=0, "-", 9921.65/862.75)</f>
        <v>11.500028977108084</v>
      </c>
      <c r="N49" s="43">
        <f>IF(1641.23=0, "-", 9026.13/1641.23)</f>
        <v>5.4996130950567554</v>
      </c>
      <c r="O49" s="43">
        <f>IF(296.89=0, "-", 1231.6/296.89)</f>
        <v>4.1483377681969751</v>
      </c>
      <c r="P49" s="64"/>
      <c r="Q49" s="64"/>
      <c r="R49" s="64">
        <f ca="1">IF(ISERROR(VALUE(TRIM(INDIRECT(ADDRESS(ROW()-1, COLUMN(A11)))))), INDIRECT(ADDRESS(ROW()-2, COLUMN(R11)))+1, INDIRECT(ADDRESS(ROW()-1, COLUMN(R11))))</f>
        <v>3</v>
      </c>
    </row>
    <row r="50" spans="1:18" ht="12.75" customHeight="1">
      <c r="A50" s="628" t="s">
        <v>87</v>
      </c>
      <c r="B50" s="629"/>
      <c r="C50" s="629"/>
      <c r="D50" s="629"/>
      <c r="E50" s="629"/>
      <c r="F50" s="629"/>
      <c r="G50" s="629"/>
      <c r="H50" s="629"/>
      <c r="I50" s="629"/>
      <c r="J50" s="629"/>
      <c r="K50" s="629"/>
      <c r="L50" s="629"/>
      <c r="M50" s="629"/>
      <c r="N50" s="629"/>
      <c r="O50" s="629"/>
      <c r="P50" s="629"/>
      <c r="Q50" s="629"/>
      <c r="R50" s="629"/>
    </row>
    <row r="51" spans="1:18" ht="42" customHeight="1">
      <c r="A51" s="628" t="s">
        <v>88</v>
      </c>
      <c r="B51" s="629"/>
      <c r="C51" s="629"/>
      <c r="D51" s="629"/>
      <c r="E51" s="629"/>
      <c r="F51" s="629"/>
      <c r="G51" s="629"/>
      <c r="H51" s="629"/>
      <c r="I51" s="629"/>
      <c r="J51" s="629"/>
      <c r="K51" s="629"/>
      <c r="L51" s="629"/>
      <c r="M51" s="629"/>
      <c r="N51" s="629"/>
      <c r="O51" s="629"/>
      <c r="P51" s="629"/>
      <c r="Q51" s="629"/>
      <c r="R51" s="629"/>
    </row>
    <row r="52" spans="1:18" ht="77.25" customHeight="1">
      <c r="A52" s="60">
        <v>30</v>
      </c>
      <c r="B52" s="57" t="s">
        <v>89</v>
      </c>
      <c r="C52" s="61" t="s">
        <v>90</v>
      </c>
      <c r="D52" s="62">
        <v>3885.85</v>
      </c>
      <c r="E52" s="62">
        <v>1448.04</v>
      </c>
      <c r="F52" s="62">
        <v>2081.9</v>
      </c>
      <c r="G52" s="62">
        <v>355.91</v>
      </c>
      <c r="H52" s="63">
        <v>29246.14</v>
      </c>
      <c r="I52" s="63">
        <f>16653.12</f>
        <v>16653.12</v>
      </c>
      <c r="J52" s="63">
        <v>11052.04</v>
      </c>
      <c r="K52" s="63">
        <v>1540.98</v>
      </c>
      <c r="L52" s="43">
        <f>IF(3885.85=0, "-", 29246.14/3885.85)</f>
        <v>7.5263172793597279</v>
      </c>
      <c r="M52" s="43">
        <f>IF(1448.04=0, "-", 16653.12/1448.04)</f>
        <v>11.500455788514129</v>
      </c>
      <c r="N52" s="43">
        <f>IF(2081.9=0, "-", 11052.04/2081.9)</f>
        <v>5.3086315384984868</v>
      </c>
      <c r="O52" s="43">
        <f>IF(355.91=0, "-", 1540.98/355.91)</f>
        <v>4.32969009019134</v>
      </c>
      <c r="P52" s="64"/>
      <c r="Q52" s="64"/>
      <c r="R52" s="64">
        <f ca="1">IF(ISERROR(VALUE(TRIM(INDIRECT(ADDRESS(ROW()-1, COLUMN(A11)))))), INDIRECT(ADDRESS(ROW()-2, COLUMN(R11)))+1, INDIRECT(ADDRESS(ROW()-1, COLUMN(R11))))</f>
        <v>1</v>
      </c>
    </row>
    <row r="53" spans="1:18" ht="72">
      <c r="A53" s="60">
        <v>31</v>
      </c>
      <c r="B53" s="57" t="s">
        <v>91</v>
      </c>
      <c r="C53" s="61" t="s">
        <v>92</v>
      </c>
      <c r="D53" s="62">
        <v>4852.3</v>
      </c>
      <c r="E53" s="62">
        <v>1788.11</v>
      </c>
      <c r="F53" s="62">
        <v>2563.81</v>
      </c>
      <c r="G53" s="62">
        <v>500.38</v>
      </c>
      <c r="H53" s="63">
        <v>36298.629999999997</v>
      </c>
      <c r="I53" s="63">
        <f>20564.08</f>
        <v>20564.080000000002</v>
      </c>
      <c r="J53" s="63">
        <v>13606.76</v>
      </c>
      <c r="K53" s="63">
        <v>2127.79</v>
      </c>
      <c r="L53" s="43">
        <f>IF(4852.3=0, "-", 36298.63/4852.3)</f>
        <v>7.4807060569214592</v>
      </c>
      <c r="M53" s="43">
        <f>IF(1788.11=0, "-", 20564.08/1788.11)</f>
        <v>11.500455788514131</v>
      </c>
      <c r="N53" s="43">
        <f>IF(2563.81=0, "-", 13606.76/2563.81)</f>
        <v>5.3072419563072151</v>
      </c>
      <c r="O53" s="43">
        <f>IF(500.38=0, "-", 2127.79/500.38)</f>
        <v>4.2523482153563288</v>
      </c>
      <c r="P53" s="64"/>
      <c r="Q53" s="64"/>
      <c r="R53" s="64">
        <f ca="1">IF(ISERROR(VALUE(TRIM(INDIRECT(ADDRESS(ROW()-1, COLUMN(A11)))))), INDIRECT(ADDRESS(ROW()-2, COLUMN(R11)))+1, INDIRECT(ADDRESS(ROW()-1, COLUMN(R11))))</f>
        <v>1</v>
      </c>
    </row>
    <row r="54" spans="1:18" ht="72">
      <c r="A54" s="60">
        <v>32</v>
      </c>
      <c r="B54" s="57" t="s">
        <v>93</v>
      </c>
      <c r="C54" s="61" t="s">
        <v>94</v>
      </c>
      <c r="D54" s="62">
        <v>5144.68</v>
      </c>
      <c r="E54" s="62">
        <v>1963.63</v>
      </c>
      <c r="F54" s="62">
        <v>2539.5</v>
      </c>
      <c r="G54" s="62">
        <v>641.54999999999995</v>
      </c>
      <c r="H54" s="63">
        <v>38998.21</v>
      </c>
      <c r="I54" s="63">
        <f>22582.64</f>
        <v>22582.639999999999</v>
      </c>
      <c r="J54" s="63">
        <v>13738.8</v>
      </c>
      <c r="K54" s="63">
        <v>2676.77</v>
      </c>
      <c r="L54" s="43">
        <f>IF(5144.68=0, "-", 38998.21/5144.68)</f>
        <v>7.5802984830932143</v>
      </c>
      <c r="M54" s="43">
        <f>IF(1963.63=0, "-", 22582.64/1963.63)</f>
        <v>11.500455788514129</v>
      </c>
      <c r="N54" s="43">
        <f>IF(2539.5=0, "-", 13738.8/2539.5)</f>
        <v>5.4100413467217949</v>
      </c>
      <c r="O54" s="43">
        <f>IF(641.55=0, "-", 2676.77/641.55)</f>
        <v>4.1723482191567305</v>
      </c>
      <c r="P54" s="64"/>
      <c r="Q54" s="64"/>
      <c r="R54" s="64">
        <f ca="1">IF(ISERROR(VALUE(TRIM(INDIRECT(ADDRESS(ROW()-1, COLUMN(A11)))))), INDIRECT(ADDRESS(ROW()-2, COLUMN(R11)))+1, INDIRECT(ADDRESS(ROW()-1, COLUMN(R11))))</f>
        <v>1</v>
      </c>
    </row>
    <row r="55" spans="1:18" ht="17.25" customHeight="1">
      <c r="A55" s="628" t="s">
        <v>95</v>
      </c>
      <c r="B55" s="629"/>
      <c r="C55" s="629"/>
      <c r="D55" s="629"/>
      <c r="E55" s="629"/>
      <c r="F55" s="629"/>
      <c r="G55" s="629"/>
      <c r="H55" s="629"/>
      <c r="I55" s="629"/>
      <c r="J55" s="629"/>
      <c r="K55" s="629"/>
      <c r="L55" s="629"/>
      <c r="M55" s="629"/>
      <c r="N55" s="629"/>
      <c r="O55" s="629"/>
      <c r="P55" s="629"/>
      <c r="Q55" s="629"/>
      <c r="R55" s="629"/>
    </row>
    <row r="56" spans="1:18" ht="51" customHeight="1">
      <c r="A56" s="60">
        <v>33</v>
      </c>
      <c r="B56" s="57" t="s">
        <v>96</v>
      </c>
      <c r="C56" s="61" t="s">
        <v>97</v>
      </c>
      <c r="D56" s="62">
        <v>5249.57</v>
      </c>
      <c r="E56" s="62">
        <v>2158.08</v>
      </c>
      <c r="F56" s="62">
        <v>2351.41</v>
      </c>
      <c r="G56" s="62">
        <v>740.08</v>
      </c>
      <c r="H56" s="63">
        <v>40515.61</v>
      </c>
      <c r="I56" s="63">
        <f>24817.92</f>
        <v>24817.919999999998</v>
      </c>
      <c r="J56" s="63">
        <v>12626.52</v>
      </c>
      <c r="K56" s="63">
        <v>3071.17</v>
      </c>
      <c r="L56" s="43">
        <f>IF(5249.57=0, "-", 40515.61/5249.57)</f>
        <v>7.7178911796585252</v>
      </c>
      <c r="M56" s="43">
        <f>IF(2158.08=0, "-", 24817.92/2158.08)</f>
        <v>11.5</v>
      </c>
      <c r="N56" s="43">
        <f>IF(2351.41=0, "-", 12626.52/2351.41)</f>
        <v>5.3697653748176633</v>
      </c>
      <c r="O56" s="43">
        <f>IF(740.08=0, "-", 3071.17/740.08)</f>
        <v>4.1497811047454327</v>
      </c>
      <c r="P56" s="64"/>
      <c r="Q56" s="64"/>
      <c r="R56" s="64">
        <f ca="1">IF(ISERROR(VALUE(TRIM(INDIRECT(ADDRESS(ROW()-1, COLUMN(A11)))))), INDIRECT(ADDRESS(ROW()-2, COLUMN(R11)))+1, INDIRECT(ADDRESS(ROW()-1, COLUMN(R11))))</f>
        <v>2</v>
      </c>
    </row>
    <row r="57" spans="1:18" ht="36">
      <c r="A57" s="60">
        <v>34</v>
      </c>
      <c r="B57" s="57" t="s">
        <v>98</v>
      </c>
      <c r="C57" s="61" t="s">
        <v>99</v>
      </c>
      <c r="D57" s="62">
        <v>5709.47</v>
      </c>
      <c r="E57" s="62">
        <v>2135.6</v>
      </c>
      <c r="F57" s="62">
        <v>2771.14</v>
      </c>
      <c r="G57" s="62">
        <v>802.73</v>
      </c>
      <c r="H57" s="63">
        <v>43632.51</v>
      </c>
      <c r="I57" s="63">
        <f>24559.4</f>
        <v>24559.4</v>
      </c>
      <c r="J57" s="63">
        <v>15774</v>
      </c>
      <c r="K57" s="63">
        <v>3299.11</v>
      </c>
      <c r="L57" s="43">
        <f>IF(5709.47=0, "-", 43632.51/5709.47)</f>
        <v>7.6421296547665545</v>
      </c>
      <c r="M57" s="43">
        <f>IF(2135.6=0, "-", 24559.4/2135.6)</f>
        <v>11.500000000000002</v>
      </c>
      <c r="N57" s="43">
        <f>IF(2771.14=0, "-", 15774/2771.14)</f>
        <v>5.6922421819179112</v>
      </c>
      <c r="O57" s="43">
        <f>IF(802.73=0, "-", 3299.11/802.73)</f>
        <v>4.1098625938983222</v>
      </c>
      <c r="P57" s="64"/>
      <c r="Q57" s="64"/>
      <c r="R57" s="64">
        <f ca="1">IF(ISERROR(VALUE(TRIM(INDIRECT(ADDRESS(ROW()-1, COLUMN(A11)))))), INDIRECT(ADDRESS(ROW()-2, COLUMN(R11)))+1, INDIRECT(ADDRESS(ROW()-1, COLUMN(R11))))</f>
        <v>2</v>
      </c>
    </row>
    <row r="58" spans="1:18" ht="36">
      <c r="A58" s="60">
        <v>35</v>
      </c>
      <c r="B58" s="57" t="s">
        <v>100</v>
      </c>
      <c r="C58" s="61" t="s">
        <v>101</v>
      </c>
      <c r="D58" s="62">
        <v>11103.01</v>
      </c>
      <c r="E58" s="62">
        <v>3046.04</v>
      </c>
      <c r="F58" s="62">
        <v>6906.21</v>
      </c>
      <c r="G58" s="62">
        <v>1150.76</v>
      </c>
      <c r="H58" s="63">
        <v>76451.92</v>
      </c>
      <c r="I58" s="63">
        <f>35029.46</f>
        <v>35029.46</v>
      </c>
      <c r="J58" s="63">
        <v>36695.4</v>
      </c>
      <c r="K58" s="63">
        <v>4727.0600000000004</v>
      </c>
      <c r="L58" s="43">
        <f>IF(11103.01=0, "-", 76451.92/11103.01)</f>
        <v>6.8856931588821411</v>
      </c>
      <c r="M58" s="43">
        <f>IF(3046.04=0, "-", 35029.46/3046.04)</f>
        <v>11.5</v>
      </c>
      <c r="N58" s="43">
        <f>IF(6906.21=0, "-", 36695.4/6906.21)</f>
        <v>5.3133918603691459</v>
      </c>
      <c r="O58" s="43">
        <f>IF(1150.76=0, "-", 4727.06/1150.76)</f>
        <v>4.1077722548576601</v>
      </c>
      <c r="P58" s="64"/>
      <c r="Q58" s="64"/>
      <c r="R58" s="64">
        <f ca="1">IF(ISERROR(VALUE(TRIM(INDIRECT(ADDRESS(ROW()-1, COLUMN(A11)))))), INDIRECT(ADDRESS(ROW()-2, COLUMN(R11)))+1, INDIRECT(ADDRESS(ROW()-1, COLUMN(R11))))</f>
        <v>2</v>
      </c>
    </row>
    <row r="59" spans="1:18" ht="36">
      <c r="A59" s="60">
        <v>36</v>
      </c>
      <c r="B59" s="57" t="s">
        <v>102</v>
      </c>
      <c r="C59" s="61" t="s">
        <v>103</v>
      </c>
      <c r="D59" s="62">
        <v>13288.32</v>
      </c>
      <c r="E59" s="62">
        <v>3338.28</v>
      </c>
      <c r="F59" s="62">
        <v>8449.27</v>
      </c>
      <c r="G59" s="62">
        <v>1500.77</v>
      </c>
      <c r="H59" s="63">
        <v>89735.01</v>
      </c>
      <c r="I59" s="63">
        <f>38390.22</f>
        <v>38390.22</v>
      </c>
      <c r="J59" s="63">
        <v>45278.93</v>
      </c>
      <c r="K59" s="63">
        <v>6065.86</v>
      </c>
      <c r="L59" s="43">
        <f>IF(13288.32=0, "-", 89735.01/13288.32)</f>
        <v>6.7529236201415976</v>
      </c>
      <c r="M59" s="43">
        <f>IF(3338.28=0, "-", 38390.22/3338.28)</f>
        <v>11.5</v>
      </c>
      <c r="N59" s="43">
        <f>IF(8449.27=0, "-", 45278.93/8449.27)</f>
        <v>5.3589162140634636</v>
      </c>
      <c r="O59" s="43">
        <f>IF(1500.77=0, "-", 6065.86/1500.77)</f>
        <v>4.0418318596453817</v>
      </c>
      <c r="P59" s="64"/>
      <c r="Q59" s="64"/>
      <c r="R59" s="64">
        <f ca="1">IF(ISERROR(VALUE(TRIM(INDIRECT(ADDRESS(ROW()-1, COLUMN(A11)))))), INDIRECT(ADDRESS(ROW()-2, COLUMN(R11)))+1, INDIRECT(ADDRESS(ROW()-1, COLUMN(R11))))</f>
        <v>2</v>
      </c>
    </row>
    <row r="60" spans="1:18" ht="36">
      <c r="A60" s="60">
        <v>37</v>
      </c>
      <c r="B60" s="57" t="s">
        <v>104</v>
      </c>
      <c r="C60" s="61" t="s">
        <v>105</v>
      </c>
      <c r="D60" s="62">
        <v>15297.11</v>
      </c>
      <c r="E60" s="62">
        <v>3765.4</v>
      </c>
      <c r="F60" s="62">
        <v>9792.9599999999991</v>
      </c>
      <c r="G60" s="62">
        <v>1738.75</v>
      </c>
      <c r="H60" s="63">
        <v>102897.60000000001</v>
      </c>
      <c r="I60" s="63">
        <f>43302.1</f>
        <v>43302.1</v>
      </c>
      <c r="J60" s="63">
        <v>52583.75</v>
      </c>
      <c r="K60" s="63">
        <v>7011.75</v>
      </c>
      <c r="L60" s="43">
        <f>IF(15297.11=0, "-", 102897.6/15297.11)</f>
        <v>6.7266039140726583</v>
      </c>
      <c r="M60" s="43">
        <f>IF(3765.4=0, "-", 43302.1/3765.4)</f>
        <v>11.5</v>
      </c>
      <c r="N60" s="43">
        <f>IF(9792.96=0, "-", 52583.75/9792.96)</f>
        <v>5.3695460820834562</v>
      </c>
      <c r="O60" s="43">
        <f>IF(1738.75=0, "-", 7011.75/1738.75)</f>
        <v>4.0326383896477358</v>
      </c>
      <c r="P60" s="64"/>
      <c r="Q60" s="64"/>
      <c r="R60" s="64">
        <f ca="1">IF(ISERROR(VALUE(TRIM(INDIRECT(ADDRESS(ROW()-1, COLUMN(A11)))))), INDIRECT(ADDRESS(ROW()-2, COLUMN(R11)))+1, INDIRECT(ADDRESS(ROW()-1, COLUMN(R11))))</f>
        <v>2</v>
      </c>
    </row>
    <row r="61" spans="1:18" ht="36">
      <c r="A61" s="60">
        <v>38</v>
      </c>
      <c r="B61" s="57" t="s">
        <v>106</v>
      </c>
      <c r="C61" s="61" t="s">
        <v>107</v>
      </c>
      <c r="D61" s="62">
        <v>18310.98</v>
      </c>
      <c r="E61" s="62">
        <v>5013.04</v>
      </c>
      <c r="F61" s="62">
        <v>10186.280000000001</v>
      </c>
      <c r="G61" s="62">
        <v>3111.66</v>
      </c>
      <c r="H61" s="63">
        <v>125285.27</v>
      </c>
      <c r="I61" s="63">
        <f>57649.96</f>
        <v>57649.96</v>
      </c>
      <c r="J61" s="63">
        <v>55356.52</v>
      </c>
      <c r="K61" s="63">
        <v>12278.79</v>
      </c>
      <c r="L61" s="43">
        <f>IF(18310.98=0, "-", 125285.27/18310.98)</f>
        <v>6.842084366866219</v>
      </c>
      <c r="M61" s="43">
        <f>IF(5013.04=0, "-", 57649.96/5013.04)</f>
        <v>11.5</v>
      </c>
      <c r="N61" s="43">
        <f>IF(10186.28=0, "-", 55356.52/10186.28)</f>
        <v>5.4344196311116511</v>
      </c>
      <c r="O61" s="43">
        <f>IF(3111.66=0, "-", 12278.79/3111.66)</f>
        <v>3.9460577312431311</v>
      </c>
      <c r="P61" s="64"/>
      <c r="Q61" s="64"/>
      <c r="R61" s="64">
        <f ca="1">IF(ISERROR(VALUE(TRIM(INDIRECT(ADDRESS(ROW()-1, COLUMN(A11)))))), INDIRECT(ADDRESS(ROW()-2, COLUMN(R11)))+1, INDIRECT(ADDRESS(ROW()-1, COLUMN(R11))))</f>
        <v>2</v>
      </c>
    </row>
    <row r="62" spans="1:18" ht="12.75" customHeight="1">
      <c r="A62" s="628" t="s">
        <v>108</v>
      </c>
      <c r="B62" s="629"/>
      <c r="C62" s="629"/>
      <c r="D62" s="629"/>
      <c r="E62" s="629"/>
      <c r="F62" s="629"/>
      <c r="G62" s="629"/>
      <c r="H62" s="629"/>
      <c r="I62" s="629"/>
      <c r="J62" s="629"/>
      <c r="K62" s="629"/>
      <c r="L62" s="629"/>
      <c r="M62" s="629"/>
      <c r="N62" s="629"/>
      <c r="O62" s="629"/>
      <c r="P62" s="629"/>
      <c r="Q62" s="629"/>
      <c r="R62" s="629"/>
    </row>
    <row r="63" spans="1:18" ht="30" customHeight="1">
      <c r="A63" s="60">
        <v>39</v>
      </c>
      <c r="B63" s="57" t="s">
        <v>109</v>
      </c>
      <c r="C63" s="61" t="s">
        <v>110</v>
      </c>
      <c r="D63" s="62">
        <v>8118.85</v>
      </c>
      <c r="E63" s="62">
        <v>2851.36</v>
      </c>
      <c r="F63" s="62">
        <v>4218.8500000000004</v>
      </c>
      <c r="G63" s="62">
        <v>1048.6400000000001</v>
      </c>
      <c r="H63" s="63">
        <v>59868</v>
      </c>
      <c r="I63" s="63">
        <f>32790.64</f>
        <v>32790.639999999999</v>
      </c>
      <c r="J63" s="63">
        <v>22757.94</v>
      </c>
      <c r="K63" s="63">
        <v>4319.42</v>
      </c>
      <c r="L63" s="43">
        <f>IF(8118.85=0, "-", 59868/8118.85)</f>
        <v>7.3739507442556516</v>
      </c>
      <c r="M63" s="43">
        <f>IF(2851.36=0, "-", 32790.64/2851.36)</f>
        <v>11.5</v>
      </c>
      <c r="N63" s="43">
        <f>IF(4218.85=0, "-", 22757.94/4218.85)</f>
        <v>5.3943468006684281</v>
      </c>
      <c r="O63" s="43">
        <f>IF(1048.64=0, "-", 4319.42/1048.64)</f>
        <v>4.119068507781507</v>
      </c>
      <c r="P63" s="64"/>
      <c r="Q63" s="64"/>
      <c r="R63" s="64">
        <f ca="1">IF(ISERROR(VALUE(TRIM(INDIRECT(ADDRESS(ROW()-1, COLUMN(A11)))))), INDIRECT(ADDRESS(ROW()-2, COLUMN(R11)))+1, INDIRECT(ADDRESS(ROW()-1, COLUMN(R11))))</f>
        <v>3</v>
      </c>
    </row>
    <row r="64" spans="1:18" ht="24">
      <c r="A64" s="60">
        <v>40</v>
      </c>
      <c r="B64" s="57" t="s">
        <v>111</v>
      </c>
      <c r="C64" s="61" t="s">
        <v>112</v>
      </c>
      <c r="D64" s="62">
        <v>31447.86</v>
      </c>
      <c r="E64" s="62">
        <v>11291.84</v>
      </c>
      <c r="F64" s="62">
        <v>15771.58</v>
      </c>
      <c r="G64" s="62">
        <v>4384.4399999999996</v>
      </c>
      <c r="H64" s="63">
        <v>231904.58</v>
      </c>
      <c r="I64" s="63">
        <f>129856.16</f>
        <v>129856.16</v>
      </c>
      <c r="J64" s="63">
        <v>84087.06</v>
      </c>
      <c r="K64" s="63">
        <v>17961.36</v>
      </c>
      <c r="L64" s="43">
        <f>IF(31447.86=0, "-", 231904.58/31447.86)</f>
        <v>7.3742563086963626</v>
      </c>
      <c r="M64" s="43">
        <f>IF(11291.84=0, "-", 129856.16/11291.84)</f>
        <v>11.5</v>
      </c>
      <c r="N64" s="43">
        <f>IF(15771.58=0, "-", 84087.06/15771.58)</f>
        <v>5.3315558745541027</v>
      </c>
      <c r="O64" s="43">
        <f>IF(4384.44=0, "-", 17961.36/4384.44)</f>
        <v>4.0966143908914256</v>
      </c>
      <c r="P64" s="64"/>
      <c r="Q64" s="64"/>
      <c r="R64" s="64">
        <f ca="1">IF(ISERROR(VALUE(TRIM(INDIRECT(ADDRESS(ROW()-1, COLUMN(A11)))))), INDIRECT(ADDRESS(ROW()-2, COLUMN(R11)))+1, INDIRECT(ADDRESS(ROW()-1, COLUMN(R11))))</f>
        <v>3</v>
      </c>
    </row>
    <row r="65" spans="1:18" ht="24">
      <c r="A65" s="60">
        <v>41</v>
      </c>
      <c r="B65" s="57" t="s">
        <v>113</v>
      </c>
      <c r="C65" s="61" t="s">
        <v>114</v>
      </c>
      <c r="D65" s="62">
        <v>35748.74</v>
      </c>
      <c r="E65" s="62">
        <v>13870.56</v>
      </c>
      <c r="F65" s="62">
        <v>16223.27</v>
      </c>
      <c r="G65" s="62">
        <v>5654.91</v>
      </c>
      <c r="H65" s="63">
        <v>269262.27</v>
      </c>
      <c r="I65" s="63">
        <f>159511.44</f>
        <v>159511.44</v>
      </c>
      <c r="J65" s="63">
        <v>86693.11</v>
      </c>
      <c r="K65" s="63">
        <v>23057.72</v>
      </c>
      <c r="L65" s="43">
        <f>IF(35748.74=0, "-", 269262.27/35748.74)</f>
        <v>7.5320772144696582</v>
      </c>
      <c r="M65" s="43">
        <f>IF(13870.56=0, "-", 159511.44/13870.56)</f>
        <v>11.5</v>
      </c>
      <c r="N65" s="43">
        <f>IF(16223.27=0, "-", 86693.11/16223.27)</f>
        <v>5.3437506741859071</v>
      </c>
      <c r="O65" s="43">
        <f>IF(5654.91=0, "-", 23057.72/5654.91)</f>
        <v>4.0774689606023795</v>
      </c>
      <c r="P65" s="64"/>
      <c r="Q65" s="64"/>
      <c r="R65" s="64">
        <f ca="1">IF(ISERROR(VALUE(TRIM(INDIRECT(ADDRESS(ROW()-1, COLUMN(A11)))))), INDIRECT(ADDRESS(ROW()-2, COLUMN(R11)))+1, INDIRECT(ADDRESS(ROW()-1, COLUMN(R11))))</f>
        <v>3</v>
      </c>
    </row>
    <row r="66" spans="1:18" ht="24">
      <c r="A66" s="60">
        <v>42</v>
      </c>
      <c r="B66" s="57" t="s">
        <v>115</v>
      </c>
      <c r="C66" s="61" t="s">
        <v>116</v>
      </c>
      <c r="D66" s="62">
        <v>41484.949999999997</v>
      </c>
      <c r="E66" s="62">
        <v>14234.08</v>
      </c>
      <c r="F66" s="62">
        <v>20513.189999999999</v>
      </c>
      <c r="G66" s="62">
        <v>6737.68</v>
      </c>
      <c r="H66" s="63">
        <v>300967.03999999998</v>
      </c>
      <c r="I66" s="63">
        <f>163691.92</f>
        <v>163691.92000000001</v>
      </c>
      <c r="J66" s="63">
        <v>110160.3</v>
      </c>
      <c r="K66" s="63">
        <v>27114.82</v>
      </c>
      <c r="L66" s="43">
        <f>IF(41484.95=0, "-", 300967.04/41484.95)</f>
        <v>7.2548488066154109</v>
      </c>
      <c r="M66" s="43">
        <f>IF(14234.08=0, "-", 163691.92/14234.08)</f>
        <v>11.500000000000002</v>
      </c>
      <c r="N66" s="43">
        <f>IF(20513.19=0, "-", 110160.3/20513.19)</f>
        <v>5.3702178939501861</v>
      </c>
      <c r="O66" s="43">
        <f>IF(6737.68=0, "-", 27114.82/6737.68)</f>
        <v>4.0243555645266618</v>
      </c>
      <c r="P66" s="64"/>
      <c r="Q66" s="64"/>
      <c r="R66" s="64">
        <f ca="1">IF(ISERROR(VALUE(TRIM(INDIRECT(ADDRESS(ROW()-1, COLUMN(A11)))))), INDIRECT(ADDRESS(ROW()-2, COLUMN(R11)))+1, INDIRECT(ADDRESS(ROW()-1, COLUMN(R11))))</f>
        <v>3</v>
      </c>
    </row>
    <row r="67" spans="1:18" ht="24">
      <c r="A67" s="60">
        <v>43</v>
      </c>
      <c r="B67" s="57" t="s">
        <v>117</v>
      </c>
      <c r="C67" s="61" t="s">
        <v>118</v>
      </c>
      <c r="D67" s="62">
        <v>53987.74</v>
      </c>
      <c r="E67" s="62">
        <v>22220.16</v>
      </c>
      <c r="F67" s="62">
        <v>23694.3</v>
      </c>
      <c r="G67" s="62">
        <v>8073.28</v>
      </c>
      <c r="H67" s="63">
        <v>415027.34</v>
      </c>
      <c r="I67" s="63">
        <f>255531.84</f>
        <v>255531.84</v>
      </c>
      <c r="J67" s="63">
        <v>126199.54</v>
      </c>
      <c r="K67" s="63">
        <v>33295.96</v>
      </c>
      <c r="L67" s="43">
        <f>IF(53987.74=0, "-", 415027.34/53987.74)</f>
        <v>7.6874368143582235</v>
      </c>
      <c r="M67" s="43">
        <f>IF(22220.16=0, "-", 255531.84/22220.16)</f>
        <v>11.5</v>
      </c>
      <c r="N67" s="43">
        <f>IF(23694.3=0, "-", 126199.54/23694.3)</f>
        <v>5.3261560797322565</v>
      </c>
      <c r="O67" s="43">
        <f>IF(8073.28=0, "-", 33295.96/8073.28)</f>
        <v>4.1242171707162392</v>
      </c>
      <c r="P67" s="64"/>
      <c r="Q67" s="64"/>
      <c r="R67" s="64">
        <f ca="1">IF(ISERROR(VALUE(TRIM(INDIRECT(ADDRESS(ROW()-1, COLUMN(A11)))))), INDIRECT(ADDRESS(ROW()-2, COLUMN(R11)))+1, INDIRECT(ADDRESS(ROW()-1, COLUMN(R11))))</f>
        <v>3</v>
      </c>
    </row>
    <row r="68" spans="1:18" ht="24">
      <c r="A68" s="60">
        <v>44</v>
      </c>
      <c r="B68" s="57" t="s">
        <v>119</v>
      </c>
      <c r="C68" s="61" t="s">
        <v>120</v>
      </c>
      <c r="D68" s="62">
        <v>65619.87</v>
      </c>
      <c r="E68" s="62">
        <v>26184.799999999999</v>
      </c>
      <c r="F68" s="62">
        <v>27080.87</v>
      </c>
      <c r="G68" s="62">
        <v>12354.2</v>
      </c>
      <c r="H68" s="63">
        <v>496535.15</v>
      </c>
      <c r="I68" s="63">
        <f>301125.2</f>
        <v>301125.2</v>
      </c>
      <c r="J68" s="63">
        <v>145678.9</v>
      </c>
      <c r="K68" s="63">
        <v>49731.05</v>
      </c>
      <c r="L68" s="43">
        <f>IF(65619.87=0, "-", 496535.15/65619.87)</f>
        <v>7.5668414155651336</v>
      </c>
      <c r="M68" s="43">
        <f>IF(26184.8=0, "-", 301125.2/26184.8)</f>
        <v>11.5</v>
      </c>
      <c r="N68" s="43">
        <f>IF(27080.87=0, "-", 145678.9/27080.87)</f>
        <v>5.3794025081173533</v>
      </c>
      <c r="O68" s="43">
        <f>IF(12354.2=0, "-", 49731.05/12354.2)</f>
        <v>4.0254366935940817</v>
      </c>
      <c r="P68" s="64"/>
      <c r="Q68" s="64"/>
      <c r="R68" s="64">
        <f ca="1">IF(ISERROR(VALUE(TRIM(INDIRECT(ADDRESS(ROW()-1, COLUMN(A11)))))), INDIRECT(ADDRESS(ROW()-2, COLUMN(R11)))+1, INDIRECT(ADDRESS(ROW()-1, COLUMN(R11))))</f>
        <v>3</v>
      </c>
    </row>
    <row r="69" spans="1:18" ht="12.75" customHeight="1">
      <c r="A69" s="628" t="s">
        <v>121</v>
      </c>
      <c r="B69" s="629"/>
      <c r="C69" s="629"/>
      <c r="D69" s="629"/>
      <c r="E69" s="629"/>
      <c r="F69" s="629"/>
      <c r="G69" s="629"/>
      <c r="H69" s="629"/>
      <c r="I69" s="629"/>
      <c r="J69" s="629"/>
      <c r="K69" s="629"/>
      <c r="L69" s="629"/>
      <c r="M69" s="629"/>
      <c r="N69" s="629"/>
      <c r="O69" s="629"/>
      <c r="P69" s="629"/>
      <c r="Q69" s="629"/>
      <c r="R69" s="629"/>
    </row>
    <row r="70" spans="1:18" ht="17.850000000000001" customHeight="1">
      <c r="A70" s="60">
        <v>45</v>
      </c>
      <c r="B70" s="57" t="s">
        <v>122</v>
      </c>
      <c r="C70" s="61" t="s">
        <v>123</v>
      </c>
      <c r="D70" s="62">
        <v>38448.870000000003</v>
      </c>
      <c r="E70" s="62">
        <v>14351.01</v>
      </c>
      <c r="F70" s="62">
        <v>18074.84</v>
      </c>
      <c r="G70" s="62">
        <v>6023.02</v>
      </c>
      <c r="H70" s="63">
        <v>286730.90000000002</v>
      </c>
      <c r="I70" s="63">
        <f>165042.86</f>
        <v>165042.85999999999</v>
      </c>
      <c r="J70" s="63">
        <v>97195.31</v>
      </c>
      <c r="K70" s="63">
        <v>24492.73</v>
      </c>
      <c r="L70" s="43">
        <f>IF(38448.87=0, "-", 286730.9/38448.87)</f>
        <v>7.4574597380885317</v>
      </c>
      <c r="M70" s="43">
        <f>IF(14351.01=0, "-", 165042.86/14351.01)</f>
        <v>11.500435161009573</v>
      </c>
      <c r="N70" s="43">
        <f>IF(18074.84=0, "-", 97195.31/18074.84)</f>
        <v>5.3773814871943539</v>
      </c>
      <c r="O70" s="43">
        <f>IF(6023.02=0, "-", 24492.73/6023.02)</f>
        <v>4.0665197857553181</v>
      </c>
      <c r="P70" s="64"/>
      <c r="Q70" s="64"/>
      <c r="R70" s="64">
        <f ca="1">IF(ISERROR(VALUE(TRIM(INDIRECT(ADDRESS(ROW()-1, COLUMN(A11)))))), INDIRECT(ADDRESS(ROW()-2, COLUMN(R11)))+1, INDIRECT(ADDRESS(ROW()-1, COLUMN(R11))))</f>
        <v>4</v>
      </c>
    </row>
    <row r="71" spans="1:18" ht="24">
      <c r="A71" s="60">
        <v>46</v>
      </c>
      <c r="B71" s="57" t="s">
        <v>124</v>
      </c>
      <c r="C71" s="61" t="s">
        <v>125</v>
      </c>
      <c r="D71" s="62">
        <v>44940.88</v>
      </c>
      <c r="E71" s="62">
        <v>15327.66</v>
      </c>
      <c r="F71" s="62">
        <v>21735.15</v>
      </c>
      <c r="G71" s="62">
        <v>7878.07</v>
      </c>
      <c r="H71" s="63">
        <v>325694.53999999998</v>
      </c>
      <c r="I71" s="63">
        <f>176274.76</f>
        <v>176274.76</v>
      </c>
      <c r="J71" s="63">
        <v>117921.01</v>
      </c>
      <c r="K71" s="63">
        <v>31498.77</v>
      </c>
      <c r="L71" s="43">
        <f>IF(44940.88=0, "-", 325694.54/44940.88)</f>
        <v>7.2471776253602513</v>
      </c>
      <c r="M71" s="43">
        <f>IF(15327.66=0, "-", 176274.76/15327.66)</f>
        <v>11.500435161009575</v>
      </c>
      <c r="N71" s="43">
        <f>IF(21735.15=0, "-", 117921.01/21735.15)</f>
        <v>5.4253598433873238</v>
      </c>
      <c r="O71" s="43">
        <f>IF(7878.07=0, "-", 31498.77/7878.07)</f>
        <v>3.9982851129781789</v>
      </c>
      <c r="P71" s="64"/>
      <c r="Q71" s="64"/>
      <c r="R71" s="64">
        <f ca="1">IF(ISERROR(VALUE(TRIM(INDIRECT(ADDRESS(ROW()-1, COLUMN(A11)))))), INDIRECT(ADDRESS(ROW()-2, COLUMN(R11)))+1, INDIRECT(ADDRESS(ROW()-1, COLUMN(R11))))</f>
        <v>4</v>
      </c>
    </row>
    <row r="72" spans="1:18" ht="12.75" customHeight="1">
      <c r="A72" s="628" t="s">
        <v>126</v>
      </c>
      <c r="B72" s="629"/>
      <c r="C72" s="629"/>
      <c r="D72" s="629"/>
      <c r="E72" s="629"/>
      <c r="F72" s="629"/>
      <c r="G72" s="629"/>
      <c r="H72" s="629"/>
      <c r="I72" s="629"/>
      <c r="J72" s="629"/>
      <c r="K72" s="629"/>
      <c r="L72" s="629"/>
      <c r="M72" s="629"/>
      <c r="N72" s="629"/>
      <c r="O72" s="629"/>
      <c r="P72" s="629"/>
      <c r="Q72" s="629"/>
      <c r="R72" s="629"/>
    </row>
    <row r="73" spans="1:18" ht="32.25" customHeight="1">
      <c r="A73" s="60">
        <v>47</v>
      </c>
      <c r="B73" s="57" t="s">
        <v>127</v>
      </c>
      <c r="C73" s="61" t="s">
        <v>128</v>
      </c>
      <c r="D73" s="62">
        <v>8780.9500000000007</v>
      </c>
      <c r="E73" s="62">
        <v>2562.7199999999998</v>
      </c>
      <c r="F73" s="62">
        <v>5285.07</v>
      </c>
      <c r="G73" s="62">
        <v>933.16</v>
      </c>
      <c r="H73" s="63">
        <v>61553.79</v>
      </c>
      <c r="I73" s="63">
        <f>29471.28</f>
        <v>29471.279999999999</v>
      </c>
      <c r="J73" s="63">
        <v>28234.86</v>
      </c>
      <c r="K73" s="63">
        <v>3847.65</v>
      </c>
      <c r="L73" s="43">
        <f>IF(8780.95=0, "-", 61553.79/8780.95)</f>
        <v>7.009923755402319</v>
      </c>
      <c r="M73" s="43">
        <f>IF(2562.72=0, "-", 29471.28/2562.72)</f>
        <v>11.5</v>
      </c>
      <c r="N73" s="43">
        <f>IF(5285.07=0, "-", 28234.86/5285.07)</f>
        <v>5.3423814632540347</v>
      </c>
      <c r="O73" s="43">
        <f>IF(933.16=0, "-", 3847.65/933.16)</f>
        <v>4.1232478888936521</v>
      </c>
      <c r="P73" s="64"/>
      <c r="Q73" s="64"/>
      <c r="R73" s="64">
        <f ca="1">IF(ISERROR(VALUE(TRIM(INDIRECT(ADDRESS(ROW()-1, COLUMN(A11)))))), INDIRECT(ADDRESS(ROW()-2, COLUMN(R11)))+1, INDIRECT(ADDRESS(ROW()-1, COLUMN(R11))))</f>
        <v>5</v>
      </c>
    </row>
    <row r="74" spans="1:18" ht="24">
      <c r="A74" s="60">
        <v>48</v>
      </c>
      <c r="B74" s="57" t="s">
        <v>129</v>
      </c>
      <c r="C74" s="61" t="s">
        <v>130</v>
      </c>
      <c r="D74" s="62">
        <v>11327.81</v>
      </c>
      <c r="E74" s="62">
        <v>3765.4</v>
      </c>
      <c r="F74" s="62">
        <v>6454.62</v>
      </c>
      <c r="G74" s="62">
        <v>1107.79</v>
      </c>
      <c r="H74" s="63">
        <v>82293.89</v>
      </c>
      <c r="I74" s="63">
        <f>43302.1</f>
        <v>43302.1</v>
      </c>
      <c r="J74" s="63">
        <v>34311.160000000003</v>
      </c>
      <c r="K74" s="63">
        <v>4680.63</v>
      </c>
      <c r="L74" s="43">
        <f>IF(11327.81=0, "-", 82293.89/11327.81)</f>
        <v>7.2647660933578511</v>
      </c>
      <c r="M74" s="43">
        <f>IF(3765.4=0, "-", 43302.1/3765.4)</f>
        <v>11.5</v>
      </c>
      <c r="N74" s="43">
        <f>IF(6454.62=0, "-", 34311.16/6454.62)</f>
        <v>5.3157521279331714</v>
      </c>
      <c r="O74" s="43">
        <f>IF(1107.79=0, "-", 4680.63/1107.79)</f>
        <v>4.2251961111763059</v>
      </c>
      <c r="P74" s="64"/>
      <c r="Q74" s="64"/>
      <c r="R74" s="64">
        <f ca="1">IF(ISERROR(VALUE(TRIM(INDIRECT(ADDRESS(ROW()-1, COLUMN(A11)))))), INDIRECT(ADDRESS(ROW()-2, COLUMN(R11)))+1, INDIRECT(ADDRESS(ROW()-1, COLUMN(R11))))</f>
        <v>5</v>
      </c>
    </row>
    <row r="75" spans="1:18" ht="24">
      <c r="A75" s="60">
        <v>49</v>
      </c>
      <c r="B75" s="57" t="s">
        <v>131</v>
      </c>
      <c r="C75" s="61" t="s">
        <v>132</v>
      </c>
      <c r="D75" s="62">
        <v>15791.47</v>
      </c>
      <c r="E75" s="62">
        <v>5743.64</v>
      </c>
      <c r="F75" s="62">
        <v>8523.34</v>
      </c>
      <c r="G75" s="62">
        <v>1524.49</v>
      </c>
      <c r="H75" s="63">
        <v>118080.75</v>
      </c>
      <c r="I75" s="63">
        <f>66051.86</f>
        <v>66051.86</v>
      </c>
      <c r="J75" s="63">
        <v>45499.95</v>
      </c>
      <c r="K75" s="63">
        <v>6528.94</v>
      </c>
      <c r="L75" s="43">
        <f>IF(15791.47=0, "-", 118080.75/15791.47)</f>
        <v>7.477502094485188</v>
      </c>
      <c r="M75" s="43">
        <f>IF(5743.64=0, "-", 66051.86/5743.64)</f>
        <v>11.5</v>
      </c>
      <c r="N75" s="43">
        <f>IF(8523.34=0, "-", 45499.95/8523.34)</f>
        <v>5.3382770134712443</v>
      </c>
      <c r="O75" s="43">
        <f>IF(1524.49=0, "-", 6528.94/1524.49)</f>
        <v>4.2827043798253843</v>
      </c>
      <c r="P75" s="64"/>
      <c r="Q75" s="64"/>
      <c r="R75" s="64">
        <f ca="1">IF(ISERROR(VALUE(TRIM(INDIRECT(ADDRESS(ROW()-1, COLUMN(A11)))))), INDIRECT(ADDRESS(ROW()-2, COLUMN(R11)))+1, INDIRECT(ADDRESS(ROW()-1, COLUMN(R11))))</f>
        <v>5</v>
      </c>
    </row>
    <row r="76" spans="1:18" ht="24">
      <c r="A76" s="60">
        <v>50</v>
      </c>
      <c r="B76" s="57" t="s">
        <v>133</v>
      </c>
      <c r="C76" s="61" t="s">
        <v>134</v>
      </c>
      <c r="D76" s="62">
        <v>17278</v>
      </c>
      <c r="E76" s="62">
        <v>6339.36</v>
      </c>
      <c r="F76" s="62">
        <v>8861.61</v>
      </c>
      <c r="G76" s="62">
        <v>2077.0300000000002</v>
      </c>
      <c r="H76" s="63">
        <v>128845.82</v>
      </c>
      <c r="I76" s="63">
        <f>72902.64</f>
        <v>72902.64</v>
      </c>
      <c r="J76" s="63">
        <v>47279.81</v>
      </c>
      <c r="K76" s="63">
        <v>8663.3700000000008</v>
      </c>
      <c r="L76" s="43">
        <f>IF(17278=0, "-", 128845.82/17278)</f>
        <v>7.4572184280588036</v>
      </c>
      <c r="M76" s="43">
        <f>IF(6339.36=0, "-", 72902.64/6339.36)</f>
        <v>11.5</v>
      </c>
      <c r="N76" s="43">
        <f>IF(8861.61=0, "-", 47279.81/8861.61)</f>
        <v>5.3353521538411188</v>
      </c>
      <c r="O76" s="43">
        <f>IF(2077.03=0, "-", 8663.37/2077.03)</f>
        <v>4.1710374910328687</v>
      </c>
      <c r="P76" s="64"/>
      <c r="Q76" s="64"/>
      <c r="R76" s="64">
        <f ca="1">IF(ISERROR(VALUE(TRIM(INDIRECT(ADDRESS(ROW()-1, COLUMN(A11)))))), INDIRECT(ADDRESS(ROW()-2, COLUMN(R11)))+1, INDIRECT(ADDRESS(ROW()-1, COLUMN(R11))))</f>
        <v>5</v>
      </c>
    </row>
    <row r="77" spans="1:18" ht="24">
      <c r="A77" s="60">
        <v>51</v>
      </c>
      <c r="B77" s="57" t="s">
        <v>135</v>
      </c>
      <c r="C77" s="61" t="s">
        <v>136</v>
      </c>
      <c r="D77" s="62">
        <v>42615.199999999997</v>
      </c>
      <c r="E77" s="62">
        <v>19310.32</v>
      </c>
      <c r="F77" s="62">
        <v>17756.27</v>
      </c>
      <c r="G77" s="62">
        <v>5548.61</v>
      </c>
      <c r="H77" s="63">
        <v>339592.29</v>
      </c>
      <c r="I77" s="63">
        <f>222068.68</f>
        <v>222068.68</v>
      </c>
      <c r="J77" s="63">
        <v>94009.39</v>
      </c>
      <c r="K77" s="63">
        <v>23514.22</v>
      </c>
      <c r="L77" s="43">
        <f>IF(42615.2=0, "-", 339592.29/42615.2)</f>
        <v>7.9688066699205917</v>
      </c>
      <c r="M77" s="43">
        <f>IF(19310.32=0, "-", 222068.68/19310.32)</f>
        <v>11.5</v>
      </c>
      <c r="N77" s="43">
        <f>IF(17756.27=0, "-", 94009.39/17756.27)</f>
        <v>5.2944334592794542</v>
      </c>
      <c r="O77" s="43">
        <f>IF(5548.61=0, "-", 23514.22/5548.61)</f>
        <v>4.2378577697837843</v>
      </c>
      <c r="P77" s="64"/>
      <c r="Q77" s="64"/>
      <c r="R77" s="64">
        <f ca="1">IF(ISERROR(VALUE(TRIM(INDIRECT(ADDRESS(ROW()-1, COLUMN(A11)))))), INDIRECT(ADDRESS(ROW()-2, COLUMN(R11)))+1, INDIRECT(ADDRESS(ROW()-1, COLUMN(R11))))</f>
        <v>5</v>
      </c>
    </row>
    <row r="78" spans="1:18" ht="12.75" customHeight="1">
      <c r="A78" s="628" t="s">
        <v>137</v>
      </c>
      <c r="B78" s="629"/>
      <c r="C78" s="629"/>
      <c r="D78" s="629"/>
      <c r="E78" s="629"/>
      <c r="F78" s="629"/>
      <c r="G78" s="629"/>
      <c r="H78" s="629"/>
      <c r="I78" s="629"/>
      <c r="J78" s="629"/>
      <c r="K78" s="629"/>
      <c r="L78" s="629"/>
      <c r="M78" s="629"/>
      <c r="N78" s="629"/>
      <c r="O78" s="629"/>
      <c r="P78" s="629"/>
      <c r="Q78" s="629"/>
      <c r="R78" s="629"/>
    </row>
    <row r="79" spans="1:18" ht="27" customHeight="1">
      <c r="A79" s="60">
        <v>52</v>
      </c>
      <c r="B79" s="57" t="s">
        <v>138</v>
      </c>
      <c r="C79" s="61" t="s">
        <v>139</v>
      </c>
      <c r="D79" s="62">
        <v>17115.87</v>
      </c>
      <c r="E79" s="62">
        <v>9254.31</v>
      </c>
      <c r="F79" s="62">
        <v>6275.45</v>
      </c>
      <c r="G79" s="62">
        <v>1586.11</v>
      </c>
      <c r="H79" s="63">
        <v>146248.12</v>
      </c>
      <c r="I79" s="63">
        <f>106428.53</f>
        <v>106428.53</v>
      </c>
      <c r="J79" s="63">
        <v>32514.9</v>
      </c>
      <c r="K79" s="63">
        <v>7304.69</v>
      </c>
      <c r="L79" s="43">
        <f>IF(17115.87=0, "-", 146248.12/17115.87)</f>
        <v>8.5445916567489704</v>
      </c>
      <c r="M79" s="43">
        <f>IF(9254.31=0, "-", 106428.53/9254.31)</f>
        <v>11.500428449014567</v>
      </c>
      <c r="N79" s="43">
        <f>IF(6275.45=0, "-", 32514.9/6275.45)</f>
        <v>5.1812858042052765</v>
      </c>
      <c r="O79" s="43">
        <f>IF(1586.11=0, "-", 7304.69/1586.11)</f>
        <v>4.6054119827754691</v>
      </c>
      <c r="P79" s="64"/>
      <c r="Q79" s="64"/>
      <c r="R79" s="64">
        <f ca="1">IF(ISERROR(VALUE(TRIM(INDIRECT(ADDRESS(ROW()-1, COLUMN(A11)))))), INDIRECT(ADDRESS(ROW()-2, COLUMN(R11)))+1, INDIRECT(ADDRESS(ROW()-1, COLUMN(R11))))</f>
        <v>6</v>
      </c>
    </row>
    <row r="80" spans="1:18" ht="24">
      <c r="A80" s="60">
        <v>53</v>
      </c>
      <c r="B80" s="57" t="s">
        <v>140</v>
      </c>
      <c r="C80" s="61" t="s">
        <v>141</v>
      </c>
      <c r="D80" s="62">
        <v>24646.91</v>
      </c>
      <c r="E80" s="62">
        <v>10362.959999999999</v>
      </c>
      <c r="F80" s="62">
        <v>12069.09</v>
      </c>
      <c r="G80" s="62">
        <v>2214.86</v>
      </c>
      <c r="H80" s="63">
        <v>192864.28</v>
      </c>
      <c r="I80" s="63">
        <f>119178.48</f>
        <v>119178.48</v>
      </c>
      <c r="J80" s="63">
        <v>63885.11</v>
      </c>
      <c r="K80" s="63">
        <v>9800.69</v>
      </c>
      <c r="L80" s="43">
        <f>IF(24646.91=0, "-", 192864.28/24646.91)</f>
        <v>7.8250896359827662</v>
      </c>
      <c r="M80" s="43">
        <f>IF(10362.96=0, "-", 119178.48/10362.96)</f>
        <v>11.500428449014567</v>
      </c>
      <c r="N80" s="43">
        <f>IF(12069.09=0, "-", 63885.11/12069.09)</f>
        <v>5.2932830892801359</v>
      </c>
      <c r="O80" s="43">
        <f>IF(2214.86=0, "-", 9800.69/2214.86)</f>
        <v>4.424970427024733</v>
      </c>
      <c r="P80" s="64"/>
      <c r="Q80" s="64"/>
      <c r="R80" s="64">
        <f ca="1">IF(ISERROR(VALUE(TRIM(INDIRECT(ADDRESS(ROW()-1, COLUMN(A11)))))), INDIRECT(ADDRESS(ROW()-2, COLUMN(R11)))+1, INDIRECT(ADDRESS(ROW()-1, COLUMN(R11))))</f>
        <v>6</v>
      </c>
    </row>
    <row r="81" spans="1:18" ht="24">
      <c r="A81" s="60">
        <v>54</v>
      </c>
      <c r="B81" s="57" t="s">
        <v>142</v>
      </c>
      <c r="C81" s="61" t="s">
        <v>143</v>
      </c>
      <c r="D81" s="62">
        <v>26031.33</v>
      </c>
      <c r="E81" s="62">
        <v>12720.3</v>
      </c>
      <c r="F81" s="62">
        <v>10489.76</v>
      </c>
      <c r="G81" s="62">
        <v>2821.27</v>
      </c>
      <c r="H81" s="63">
        <v>214175.51</v>
      </c>
      <c r="I81" s="63">
        <f>146288.9</f>
        <v>146288.9</v>
      </c>
      <c r="J81" s="63">
        <v>55477.47</v>
      </c>
      <c r="K81" s="63">
        <v>12409.14</v>
      </c>
      <c r="L81" s="43">
        <f>IF(26031.33=0, "-", 214175.51/26031.33)</f>
        <v>8.2276053509367362</v>
      </c>
      <c r="M81" s="43">
        <f>IF(12720.3=0, "-", 146288.9/12720.3)</f>
        <v>11.500428449014567</v>
      </c>
      <c r="N81" s="43">
        <f>IF(10489.76=0, "-", 55477.47/10489.76)</f>
        <v>5.2887263388294867</v>
      </c>
      <c r="O81" s="43">
        <f>IF(2821.27=0, "-", 12409.14/2821.27)</f>
        <v>4.3984234050622586</v>
      </c>
      <c r="P81" s="64"/>
      <c r="Q81" s="64"/>
      <c r="R81" s="64">
        <f ca="1">IF(ISERROR(VALUE(TRIM(INDIRECT(ADDRESS(ROW()-1, COLUMN(A11)))))), INDIRECT(ADDRESS(ROW()-2, COLUMN(R11)))+1, INDIRECT(ADDRESS(ROW()-1, COLUMN(R11))))</f>
        <v>6</v>
      </c>
    </row>
    <row r="82" spans="1:18" ht="24">
      <c r="A82" s="60">
        <v>55</v>
      </c>
      <c r="B82" s="57" t="s">
        <v>144</v>
      </c>
      <c r="C82" s="61" t="s">
        <v>145</v>
      </c>
      <c r="D82" s="62">
        <v>35695.06</v>
      </c>
      <c r="E82" s="62">
        <v>15661.14</v>
      </c>
      <c r="F82" s="62">
        <v>15920.6</v>
      </c>
      <c r="G82" s="62">
        <v>4113.32</v>
      </c>
      <c r="H82" s="63">
        <v>281989.84999999998</v>
      </c>
      <c r="I82" s="63">
        <f>180109.82</f>
        <v>180109.82</v>
      </c>
      <c r="J82" s="63">
        <v>84238.3</v>
      </c>
      <c r="K82" s="63">
        <v>17641.73</v>
      </c>
      <c r="L82" s="43">
        <f>IF(35695.06=0, "-", 281989.85/35695.06)</f>
        <v>7.8999685110488675</v>
      </c>
      <c r="M82" s="43">
        <f>IF(15661.14=0, "-", 180109.82/15661.14)</f>
        <v>11.500428449014569</v>
      </c>
      <c r="N82" s="43">
        <f>IF(15920.6=0, "-", 84238.3/15920.6)</f>
        <v>5.2911510872705803</v>
      </c>
      <c r="O82" s="43">
        <f>IF(4113.32=0, "-", 17641.73/4113.32)</f>
        <v>4.2889271926327153</v>
      </c>
      <c r="P82" s="64"/>
      <c r="Q82" s="64"/>
      <c r="R82" s="64">
        <f ca="1">IF(ISERROR(VALUE(TRIM(INDIRECT(ADDRESS(ROW()-1, COLUMN(A11)))))), INDIRECT(ADDRESS(ROW()-2, COLUMN(R11)))+1, INDIRECT(ADDRESS(ROW()-1, COLUMN(R11))))</f>
        <v>6</v>
      </c>
    </row>
    <row r="83" spans="1:18" ht="24">
      <c r="A83" s="60">
        <v>56</v>
      </c>
      <c r="B83" s="57" t="s">
        <v>146</v>
      </c>
      <c r="C83" s="61" t="s">
        <v>147</v>
      </c>
      <c r="D83" s="62">
        <v>69660.350000000006</v>
      </c>
      <c r="E83" s="62">
        <v>27377.82</v>
      </c>
      <c r="F83" s="62">
        <v>33934.01</v>
      </c>
      <c r="G83" s="62">
        <v>8348.52</v>
      </c>
      <c r="H83" s="63">
        <v>525506.91</v>
      </c>
      <c r="I83" s="63">
        <f>314856.66</f>
        <v>314856.65999999997</v>
      </c>
      <c r="J83" s="63">
        <v>175532.19</v>
      </c>
      <c r="K83" s="63">
        <v>35118.06</v>
      </c>
      <c r="L83" s="43">
        <f>IF(69660.35=0, "-", 525506.91/69660.35)</f>
        <v>7.5438453869381936</v>
      </c>
      <c r="M83" s="43">
        <f>IF(27377.82=0, "-", 314856.66/27377.82)</f>
        <v>11.500428449014567</v>
      </c>
      <c r="N83" s="43">
        <f>IF(33934.01=0, "-", 175532.19/33934.01)</f>
        <v>5.1727511720542312</v>
      </c>
      <c r="O83" s="43">
        <f>IF(8348.52=0, "-", 35118.06/8348.52)</f>
        <v>4.2065012720817574</v>
      </c>
      <c r="P83" s="64"/>
      <c r="Q83" s="64"/>
      <c r="R83" s="64">
        <f ca="1">IF(ISERROR(VALUE(TRIM(INDIRECT(ADDRESS(ROW()-1, COLUMN(A11)))))), INDIRECT(ADDRESS(ROW()-2, COLUMN(R11)))+1, INDIRECT(ADDRESS(ROW()-1, COLUMN(R11))))</f>
        <v>6</v>
      </c>
    </row>
    <row r="84" spans="1:18" ht="24">
      <c r="A84" s="60">
        <v>57</v>
      </c>
      <c r="B84" s="57" t="s">
        <v>148</v>
      </c>
      <c r="C84" s="61" t="s">
        <v>149</v>
      </c>
      <c r="D84" s="62">
        <v>104254.89</v>
      </c>
      <c r="E84" s="62">
        <v>45828.09</v>
      </c>
      <c r="F84" s="62">
        <v>43958.94</v>
      </c>
      <c r="G84" s="62">
        <v>14467.86</v>
      </c>
      <c r="H84" s="63">
        <v>811492.21</v>
      </c>
      <c r="I84" s="63">
        <f>527042.67</f>
        <v>527042.67000000004</v>
      </c>
      <c r="J84" s="63">
        <v>223843</v>
      </c>
      <c r="K84" s="63">
        <v>60606.54</v>
      </c>
      <c r="L84" s="43">
        <f>IF(104254.89=0, "-", 811492.21/104254.89)</f>
        <v>7.783732830181874</v>
      </c>
      <c r="M84" s="43">
        <f>IF(45828.09=0, "-", 527042.67/45828.09)</f>
        <v>11.500428449014569</v>
      </c>
      <c r="N84" s="43">
        <f>IF(43958.94=0, "-", 223843/43958.94)</f>
        <v>5.0920927574686736</v>
      </c>
      <c r="O84" s="43">
        <f>IF(14467.86=0, "-", 60606.54/14467.86)</f>
        <v>4.1890466178135535</v>
      </c>
      <c r="P84" s="64"/>
      <c r="Q84" s="64"/>
      <c r="R84" s="64">
        <f ca="1">IF(ISERROR(VALUE(TRIM(INDIRECT(ADDRESS(ROW()-1, COLUMN(A11)))))), INDIRECT(ADDRESS(ROW()-2, COLUMN(R11)))+1, INDIRECT(ADDRESS(ROW()-1, COLUMN(R11))))</f>
        <v>6</v>
      </c>
    </row>
    <row r="85" spans="1:18" ht="12.75" customHeight="1">
      <c r="A85" s="628" t="s">
        <v>150</v>
      </c>
      <c r="B85" s="629"/>
      <c r="C85" s="629"/>
      <c r="D85" s="629"/>
      <c r="E85" s="629"/>
      <c r="F85" s="629"/>
      <c r="G85" s="629"/>
      <c r="H85" s="629"/>
      <c r="I85" s="629"/>
      <c r="J85" s="629"/>
      <c r="K85" s="629"/>
      <c r="L85" s="629"/>
      <c r="M85" s="629"/>
      <c r="N85" s="629"/>
      <c r="O85" s="629"/>
      <c r="P85" s="629"/>
      <c r="Q85" s="629"/>
      <c r="R85" s="629"/>
    </row>
    <row r="86" spans="1:18" ht="17.850000000000001" customHeight="1">
      <c r="A86" s="628" t="s">
        <v>151</v>
      </c>
      <c r="B86" s="629"/>
      <c r="C86" s="629"/>
      <c r="D86" s="629"/>
      <c r="E86" s="629"/>
      <c r="F86" s="629"/>
      <c r="G86" s="629"/>
      <c r="H86" s="629"/>
      <c r="I86" s="629"/>
      <c r="J86" s="629"/>
      <c r="K86" s="629"/>
      <c r="L86" s="629"/>
      <c r="M86" s="629"/>
      <c r="N86" s="629"/>
      <c r="O86" s="629"/>
      <c r="P86" s="629"/>
      <c r="Q86" s="629"/>
      <c r="R86" s="629"/>
    </row>
    <row r="87" spans="1:18" ht="28.5" customHeight="1">
      <c r="A87" s="60">
        <v>58</v>
      </c>
      <c r="B87" s="57" t="s">
        <v>152</v>
      </c>
      <c r="C87" s="61" t="s">
        <v>153</v>
      </c>
      <c r="D87" s="62">
        <v>3345.24</v>
      </c>
      <c r="E87" s="62">
        <v>1247.6400000000001</v>
      </c>
      <c r="F87" s="62">
        <v>1457.46</v>
      </c>
      <c r="G87" s="62">
        <v>640.14</v>
      </c>
      <c r="H87" s="63">
        <v>24526.29</v>
      </c>
      <c r="I87" s="63">
        <f>14347.86</f>
        <v>14347.86</v>
      </c>
      <c r="J87" s="63">
        <v>7618.66</v>
      </c>
      <c r="K87" s="63">
        <v>2559.77</v>
      </c>
      <c r="L87" s="43">
        <f>IF(3345.24=0, "-", 24526.29/3345.24)</f>
        <v>7.3316981741220371</v>
      </c>
      <c r="M87" s="43">
        <f>IF(1247.64=0, "-", 14347.86/1247.64)</f>
        <v>11.5</v>
      </c>
      <c r="N87" s="43">
        <f>IF(1457.46=0, "-", 7618.66/1457.46)</f>
        <v>5.2273544385437676</v>
      </c>
      <c r="O87" s="43">
        <f>IF(640.14=0, "-", 2559.77/640.14)</f>
        <v>3.9987658949604774</v>
      </c>
      <c r="P87" s="64"/>
      <c r="Q87" s="64"/>
      <c r="R87" s="64">
        <f ca="1">IF(ISERROR(VALUE(TRIM(INDIRECT(ADDRESS(ROW()-1, COLUMN(A11)))))), INDIRECT(ADDRESS(ROW()-2, COLUMN(R11)))+1, INDIRECT(ADDRESS(ROW()-1, COLUMN(R11))))</f>
        <v>1</v>
      </c>
    </row>
    <row r="88" spans="1:18" ht="24">
      <c r="A88" s="60">
        <v>59</v>
      </c>
      <c r="B88" s="57" t="s">
        <v>154</v>
      </c>
      <c r="C88" s="61" t="s">
        <v>155</v>
      </c>
      <c r="D88" s="62">
        <v>3824.94</v>
      </c>
      <c r="E88" s="62">
        <v>1348.8</v>
      </c>
      <c r="F88" s="62">
        <v>1674.8</v>
      </c>
      <c r="G88" s="62">
        <v>801.34</v>
      </c>
      <c r="H88" s="63">
        <v>27541.59</v>
      </c>
      <c r="I88" s="63">
        <f>15511.2</f>
        <v>15511.2</v>
      </c>
      <c r="J88" s="63">
        <v>8859.2000000000007</v>
      </c>
      <c r="K88" s="63">
        <v>3171.19</v>
      </c>
      <c r="L88" s="43">
        <f>IF(3824.94=0, "-", 27541.59/3824.94)</f>
        <v>7.2005286357433054</v>
      </c>
      <c r="M88" s="43">
        <f>IF(1348.8=0, "-", 15511.2/1348.8)</f>
        <v>11.500000000000002</v>
      </c>
      <c r="N88" s="43">
        <f>IF(1674.8=0, "-", 8859.2/1674.8)</f>
        <v>5.2897062335801293</v>
      </c>
      <c r="O88" s="43">
        <f>IF(801.34=0, "-", 3171.19/801.34)</f>
        <v>3.9573589238026305</v>
      </c>
      <c r="P88" s="64"/>
      <c r="Q88" s="64"/>
      <c r="R88" s="64">
        <f ca="1">IF(ISERROR(VALUE(TRIM(INDIRECT(ADDRESS(ROW()-1, COLUMN(A11)))))), INDIRECT(ADDRESS(ROW()-2, COLUMN(R11)))+1, INDIRECT(ADDRESS(ROW()-1, COLUMN(R11))))</f>
        <v>1</v>
      </c>
    </row>
    <row r="89" spans="1:18" ht="24">
      <c r="A89" s="60">
        <v>60</v>
      </c>
      <c r="B89" s="57" t="s">
        <v>156</v>
      </c>
      <c r="C89" s="61" t="s">
        <v>157</v>
      </c>
      <c r="D89" s="62">
        <v>5106.04</v>
      </c>
      <c r="E89" s="62">
        <v>1798.4</v>
      </c>
      <c r="F89" s="62">
        <v>2077.15</v>
      </c>
      <c r="G89" s="62">
        <v>1230.49</v>
      </c>
      <c r="H89" s="63">
        <v>36426.160000000003</v>
      </c>
      <c r="I89" s="63">
        <f>20681.6</f>
        <v>20681.599999999999</v>
      </c>
      <c r="J89" s="63">
        <v>10917.67</v>
      </c>
      <c r="K89" s="63">
        <v>4826.8900000000003</v>
      </c>
      <c r="L89" s="43">
        <f>IF(5106.04=0, "-", 36426.16/5106.04)</f>
        <v>7.1339354960008157</v>
      </c>
      <c r="M89" s="43">
        <f>IF(1798.4=0, "-", 20681.6/1798.4)</f>
        <v>11.499999999999998</v>
      </c>
      <c r="N89" s="43">
        <f>IF(2077.15=0, "-", 10917.67/2077.15)</f>
        <v>5.2560816503382037</v>
      </c>
      <c r="O89" s="43">
        <f>IF(1230.49=0, "-", 4826.89/1230.49)</f>
        <v>3.9227380962055767</v>
      </c>
      <c r="P89" s="64"/>
      <c r="Q89" s="64"/>
      <c r="R89" s="64">
        <f ca="1">IF(ISERROR(VALUE(TRIM(INDIRECT(ADDRESS(ROW()-1, COLUMN(A11)))))), INDIRECT(ADDRESS(ROW()-2, COLUMN(R11)))+1, INDIRECT(ADDRESS(ROW()-1, COLUMN(R11))))</f>
        <v>1</v>
      </c>
    </row>
    <row r="90" spans="1:18" ht="24">
      <c r="A90" s="60">
        <v>61</v>
      </c>
      <c r="B90" s="57" t="s">
        <v>158</v>
      </c>
      <c r="C90" s="61" t="s">
        <v>159</v>
      </c>
      <c r="D90" s="62">
        <v>16088.68</v>
      </c>
      <c r="E90" s="62">
        <v>5608.76</v>
      </c>
      <c r="F90" s="62">
        <v>8632.6</v>
      </c>
      <c r="G90" s="62">
        <v>1847.32</v>
      </c>
      <c r="H90" s="63">
        <v>116899.96</v>
      </c>
      <c r="I90" s="63">
        <f>64500.74</f>
        <v>64500.74</v>
      </c>
      <c r="J90" s="63">
        <v>44698.57</v>
      </c>
      <c r="K90" s="63">
        <v>7700.65</v>
      </c>
      <c r="L90" s="43">
        <f>IF(16088.68=0, "-", 116899.96/16088.68)</f>
        <v>7.265975828967945</v>
      </c>
      <c r="M90" s="43">
        <f>IF(5608.76=0, "-", 64500.74/5608.76)</f>
        <v>11.5</v>
      </c>
      <c r="N90" s="43">
        <f>IF(8632.6=0, "-", 44698.57/8632.6)</f>
        <v>5.1778803604939414</v>
      </c>
      <c r="O90" s="43">
        <f>IF(1847.32=0, "-", 7700.65/1847.32)</f>
        <v>4.1685522811424116</v>
      </c>
      <c r="P90" s="64"/>
      <c r="Q90" s="64"/>
      <c r="R90" s="64">
        <f ca="1">IF(ISERROR(VALUE(TRIM(INDIRECT(ADDRESS(ROW()-1, COLUMN(A11)))))), INDIRECT(ADDRESS(ROW()-2, COLUMN(R11)))+1, INDIRECT(ADDRESS(ROW()-1, COLUMN(R11))))</f>
        <v>1</v>
      </c>
    </row>
    <row r="91" spans="1:18" ht="24">
      <c r="A91" s="60">
        <v>62</v>
      </c>
      <c r="B91" s="57" t="s">
        <v>160</v>
      </c>
      <c r="C91" s="61" t="s">
        <v>161</v>
      </c>
      <c r="D91" s="62">
        <v>20129.75</v>
      </c>
      <c r="E91" s="62">
        <v>7399.56</v>
      </c>
      <c r="F91" s="62">
        <v>10431.200000000001</v>
      </c>
      <c r="G91" s="62">
        <v>2298.9899999999998</v>
      </c>
      <c r="H91" s="63">
        <v>148488.04999999999</v>
      </c>
      <c r="I91" s="63">
        <f>85098.16</f>
        <v>85098.16</v>
      </c>
      <c r="J91" s="63">
        <v>53741</v>
      </c>
      <c r="K91" s="63">
        <v>9648.89</v>
      </c>
      <c r="L91" s="43">
        <f>IF(20129.75=0, "-", 148488.05/20129.75)</f>
        <v>7.3765471503620255</v>
      </c>
      <c r="M91" s="43">
        <f>IF(7399.56=0, "-", 85098.16/7399.56)</f>
        <v>11.500435161009573</v>
      </c>
      <c r="N91" s="43">
        <f>IF(10431.2=0, "-", 53741/10431.2)</f>
        <v>5.151948002147404</v>
      </c>
      <c r="O91" s="43">
        <f>IF(2298.99=0, "-", 9648.89/2298.99)</f>
        <v>4.1970126011857385</v>
      </c>
      <c r="P91" s="64"/>
      <c r="Q91" s="64"/>
      <c r="R91" s="64">
        <f ca="1">IF(ISERROR(VALUE(TRIM(INDIRECT(ADDRESS(ROW()-1, COLUMN(A11)))))), INDIRECT(ADDRESS(ROW()-2, COLUMN(R11)))+1, INDIRECT(ADDRESS(ROW()-1, COLUMN(R11))))</f>
        <v>1</v>
      </c>
    </row>
    <row r="92" spans="1:18" ht="24">
      <c r="A92" s="60">
        <v>63</v>
      </c>
      <c r="B92" s="57" t="s">
        <v>162</v>
      </c>
      <c r="C92" s="61" t="s">
        <v>163</v>
      </c>
      <c r="D92" s="62">
        <v>23928.639999999999</v>
      </c>
      <c r="E92" s="62">
        <v>9077.1</v>
      </c>
      <c r="F92" s="62">
        <v>11758.98</v>
      </c>
      <c r="G92" s="62">
        <v>3092.56</v>
      </c>
      <c r="H92" s="63">
        <v>178313.58</v>
      </c>
      <c r="I92" s="63">
        <f>104390.6</f>
        <v>104390.6</v>
      </c>
      <c r="J92" s="63">
        <v>61080.33</v>
      </c>
      <c r="K92" s="63">
        <v>12842.65</v>
      </c>
      <c r="L92" s="43">
        <f>IF(23928.64=0, "-", 178313.58/23928.64)</f>
        <v>7.451889451301871</v>
      </c>
      <c r="M92" s="43">
        <f>IF(9077.1=0, "-", 104390.6/9077.1)</f>
        <v>11.500435161009573</v>
      </c>
      <c r="N92" s="43">
        <f>IF(11758.98=0, "-", 61080.33/11758.98)</f>
        <v>5.1943561431348639</v>
      </c>
      <c r="O92" s="43">
        <f>IF(3092.56=0, "-", 12842.65/3092.56)</f>
        <v>4.1527569392348083</v>
      </c>
      <c r="P92" s="64"/>
      <c r="Q92" s="64"/>
      <c r="R92" s="64">
        <f ca="1">IF(ISERROR(VALUE(TRIM(INDIRECT(ADDRESS(ROW()-1, COLUMN(A11)))))), INDIRECT(ADDRESS(ROW()-2, COLUMN(R11)))+1, INDIRECT(ADDRESS(ROW()-1, COLUMN(R11))))</f>
        <v>1</v>
      </c>
    </row>
    <row r="93" spans="1:18" ht="24">
      <c r="A93" s="60">
        <v>64</v>
      </c>
      <c r="B93" s="57" t="s">
        <v>164</v>
      </c>
      <c r="C93" s="61" t="s">
        <v>165</v>
      </c>
      <c r="D93" s="62">
        <v>26407.16</v>
      </c>
      <c r="E93" s="62">
        <v>9582.66</v>
      </c>
      <c r="F93" s="62">
        <v>13191.25</v>
      </c>
      <c r="G93" s="62">
        <v>3633.25</v>
      </c>
      <c r="H93" s="63">
        <v>194058.17</v>
      </c>
      <c r="I93" s="63">
        <f>110204.76</f>
        <v>110204.76</v>
      </c>
      <c r="J93" s="63">
        <v>68934.23</v>
      </c>
      <c r="K93" s="63">
        <v>14919.18</v>
      </c>
      <c r="L93" s="43">
        <f>IF(26407.16=0, "-", 194058.17/26407.16)</f>
        <v>7.3486952023617844</v>
      </c>
      <c r="M93" s="43">
        <f>IF(9582.66=0, "-", 110204.76/9582.66)</f>
        <v>11.500435161009573</v>
      </c>
      <c r="N93" s="43">
        <f>IF(13191.25=0, "-", 68934.23/13191.25)</f>
        <v>5.225754193120439</v>
      </c>
      <c r="O93" s="43">
        <f>IF(3633.25=0, "-", 14919.18/3633.25)</f>
        <v>4.1062905112502577</v>
      </c>
      <c r="P93" s="64"/>
      <c r="Q93" s="64"/>
      <c r="R93" s="64">
        <f ca="1">IF(ISERROR(VALUE(TRIM(INDIRECT(ADDRESS(ROW()-1, COLUMN(A11)))))), INDIRECT(ADDRESS(ROW()-2, COLUMN(R11)))+1, INDIRECT(ADDRESS(ROW()-1, COLUMN(R11))))</f>
        <v>1</v>
      </c>
    </row>
    <row r="94" spans="1:18" ht="24">
      <c r="A94" s="60">
        <v>65</v>
      </c>
      <c r="B94" s="57" t="s">
        <v>166</v>
      </c>
      <c r="C94" s="61" t="s">
        <v>167</v>
      </c>
      <c r="D94" s="62">
        <v>36705.300000000003</v>
      </c>
      <c r="E94" s="62">
        <v>15132.33</v>
      </c>
      <c r="F94" s="62">
        <v>15519.98</v>
      </c>
      <c r="G94" s="62">
        <v>6052.99</v>
      </c>
      <c r="H94" s="63">
        <v>278718.82</v>
      </c>
      <c r="I94" s="63">
        <f>174028.38</f>
        <v>174028.38</v>
      </c>
      <c r="J94" s="63">
        <v>79964.98</v>
      </c>
      <c r="K94" s="63">
        <v>24725.46</v>
      </c>
      <c r="L94" s="43">
        <f>IF(36705.3=0, "-", 278718.82/36705.3)</f>
        <v>7.593421658452594</v>
      </c>
      <c r="M94" s="43">
        <f>IF(15132.33=0, "-", 174028.38/15132.33)</f>
        <v>11.500435161009573</v>
      </c>
      <c r="N94" s="43">
        <f>IF(15519.98=0, "-", 79964.98/15519.98)</f>
        <v>5.1523893716357883</v>
      </c>
      <c r="O94" s="43">
        <f>IF(6052.99=0, "-", 24725.46/6052.99)</f>
        <v>4.0848341067802858</v>
      </c>
      <c r="P94" s="64"/>
      <c r="Q94" s="64"/>
      <c r="R94" s="64">
        <f ca="1">IF(ISERROR(VALUE(TRIM(INDIRECT(ADDRESS(ROW()-1, COLUMN(A11)))))), INDIRECT(ADDRESS(ROW()-2, COLUMN(R11)))+1, INDIRECT(ADDRESS(ROW()-1, COLUMN(R11))))</f>
        <v>1</v>
      </c>
    </row>
    <row r="95" spans="1:18" ht="24">
      <c r="A95" s="60">
        <v>66</v>
      </c>
      <c r="B95" s="57" t="s">
        <v>168</v>
      </c>
      <c r="C95" s="61" t="s">
        <v>169</v>
      </c>
      <c r="D95" s="62">
        <v>57672.43</v>
      </c>
      <c r="E95" s="62">
        <v>20957.759999999998</v>
      </c>
      <c r="F95" s="62">
        <v>27361.69</v>
      </c>
      <c r="G95" s="62">
        <v>9352.98</v>
      </c>
      <c r="H95" s="63">
        <v>422065.07</v>
      </c>
      <c r="I95" s="63">
        <f>241023.36</f>
        <v>241023.35999999999</v>
      </c>
      <c r="J95" s="63">
        <v>143214.82999999999</v>
      </c>
      <c r="K95" s="63">
        <v>37826.879999999997</v>
      </c>
      <c r="L95" s="43">
        <f>IF(57672.43=0, "-", 422065.07/57672.43)</f>
        <v>7.3183160480666416</v>
      </c>
      <c r="M95" s="43">
        <f>IF(20957.76=0, "-", 241023.36/20957.76)</f>
        <v>11.500435161009573</v>
      </c>
      <c r="N95" s="43">
        <f>IF(27361.69=0, "-", 143214.83/27361.69)</f>
        <v>5.2341368533888071</v>
      </c>
      <c r="O95" s="43">
        <f>IF(9352.98=0, "-", 37826.88/9352.98)</f>
        <v>4.0443666082895504</v>
      </c>
      <c r="P95" s="64"/>
      <c r="Q95" s="64"/>
      <c r="R95" s="64">
        <f ca="1">IF(ISERROR(VALUE(TRIM(INDIRECT(ADDRESS(ROW()-1, COLUMN(A11)))))), INDIRECT(ADDRESS(ROW()-2, COLUMN(R11)))+1, INDIRECT(ADDRESS(ROW()-1, COLUMN(R11))))</f>
        <v>1</v>
      </c>
    </row>
    <row r="96" spans="1:18" ht="25.5" customHeight="1">
      <c r="A96" s="628" t="s">
        <v>170</v>
      </c>
      <c r="B96" s="629"/>
      <c r="C96" s="629"/>
      <c r="D96" s="629"/>
      <c r="E96" s="629"/>
      <c r="F96" s="629"/>
      <c r="G96" s="629"/>
      <c r="H96" s="629"/>
      <c r="I96" s="629"/>
      <c r="J96" s="629"/>
      <c r="K96" s="629"/>
      <c r="L96" s="629"/>
      <c r="M96" s="629"/>
      <c r="N96" s="629"/>
      <c r="O96" s="629"/>
      <c r="P96" s="629"/>
      <c r="Q96" s="629"/>
      <c r="R96" s="629"/>
    </row>
    <row r="97" spans="1:18" ht="25.5" customHeight="1">
      <c r="A97" s="628" t="s">
        <v>171</v>
      </c>
      <c r="B97" s="629"/>
      <c r="C97" s="629"/>
      <c r="D97" s="629"/>
      <c r="E97" s="629"/>
      <c r="F97" s="629"/>
      <c r="G97" s="629"/>
      <c r="H97" s="629"/>
      <c r="I97" s="629"/>
      <c r="J97" s="629"/>
      <c r="K97" s="629"/>
      <c r="L97" s="629"/>
      <c r="M97" s="629"/>
      <c r="N97" s="629"/>
      <c r="O97" s="629"/>
      <c r="P97" s="629"/>
      <c r="Q97" s="629"/>
      <c r="R97" s="629"/>
    </row>
    <row r="98" spans="1:18" ht="38.25" customHeight="1">
      <c r="A98" s="60">
        <v>67</v>
      </c>
      <c r="B98" s="57" t="s">
        <v>172</v>
      </c>
      <c r="C98" s="61" t="s">
        <v>173</v>
      </c>
      <c r="D98" s="62">
        <v>30467.42</v>
      </c>
      <c r="E98" s="62">
        <v>12626.94</v>
      </c>
      <c r="F98" s="62">
        <v>15652.04</v>
      </c>
      <c r="G98" s="62">
        <v>2188.44</v>
      </c>
      <c r="H98" s="63">
        <v>235265.75</v>
      </c>
      <c r="I98" s="63">
        <f>145215.22</f>
        <v>145215.22</v>
      </c>
      <c r="J98" s="63">
        <v>79994.02</v>
      </c>
      <c r="K98" s="63">
        <v>10056.51</v>
      </c>
      <c r="L98" s="43">
        <f>IF(30467.42=0, "-", 235265.75/30467.42)</f>
        <v>7.7218796340484364</v>
      </c>
      <c r="M98" s="43">
        <f>IF(12626.94=0, "-", 145215.22/12626.94)</f>
        <v>11.500428449014567</v>
      </c>
      <c r="N98" s="43">
        <f>IF(15652.04=0, "-", 79994.02/15652.04)</f>
        <v>5.1107727810560153</v>
      </c>
      <c r="O98" s="43">
        <f>IF(2188.44=0, "-", 10056.51/2188.44)</f>
        <v>4.5952870537917416</v>
      </c>
      <c r="P98" s="64"/>
      <c r="Q98" s="64"/>
      <c r="R98" s="64">
        <f ca="1">IF(ISERROR(VALUE(TRIM(INDIRECT(ADDRESS(ROW()-1, COLUMN(A11)))))), INDIRECT(ADDRESS(ROW()-2, COLUMN(R11)))+1, INDIRECT(ADDRESS(ROW()-1, COLUMN(R11))))</f>
        <v>1</v>
      </c>
    </row>
    <row r="99" spans="1:18" ht="36">
      <c r="A99" s="60">
        <v>68</v>
      </c>
      <c r="B99" s="57" t="s">
        <v>174</v>
      </c>
      <c r="C99" s="61" t="s">
        <v>175</v>
      </c>
      <c r="D99" s="62">
        <v>32780.370000000003</v>
      </c>
      <c r="E99" s="62">
        <v>13432.17</v>
      </c>
      <c r="F99" s="62">
        <v>16928.560000000001</v>
      </c>
      <c r="G99" s="62">
        <v>2419.64</v>
      </c>
      <c r="H99" s="63">
        <v>252212.67</v>
      </c>
      <c r="I99" s="63">
        <f>154475.71</f>
        <v>154475.71</v>
      </c>
      <c r="J99" s="63">
        <v>86700.6</v>
      </c>
      <c r="K99" s="63">
        <v>11036.36</v>
      </c>
      <c r="L99" s="43">
        <f>IF(32780.37=0, "-", 252212.67/32780.37)</f>
        <v>7.6940153512605258</v>
      </c>
      <c r="M99" s="43">
        <f>IF(13432.17=0, "-", 154475.71/13432.17)</f>
        <v>11.500428449014567</v>
      </c>
      <c r="N99" s="43">
        <f>IF(16928.56=0, "-", 86700.6/16928.56)</f>
        <v>5.1215578879715702</v>
      </c>
      <c r="O99" s="43">
        <f>IF(2419.64=0, "-", 11036.36/2419.64)</f>
        <v>4.5611578581937815</v>
      </c>
      <c r="P99" s="64"/>
      <c r="Q99" s="64"/>
      <c r="R99" s="64">
        <f ca="1">IF(ISERROR(VALUE(TRIM(INDIRECT(ADDRESS(ROW()-1, COLUMN(A11)))))), INDIRECT(ADDRESS(ROW()-2, COLUMN(R11)))+1, INDIRECT(ADDRESS(ROW()-1, COLUMN(R11))))</f>
        <v>1</v>
      </c>
    </row>
    <row r="100" spans="1:18" ht="36">
      <c r="A100" s="60">
        <v>69</v>
      </c>
      <c r="B100" s="57" t="s">
        <v>176</v>
      </c>
      <c r="C100" s="61" t="s">
        <v>177</v>
      </c>
      <c r="D100" s="62">
        <v>33374.019999999997</v>
      </c>
      <c r="E100" s="62">
        <v>14295.75</v>
      </c>
      <c r="F100" s="62">
        <v>16211.15</v>
      </c>
      <c r="G100" s="62">
        <v>2867.12</v>
      </c>
      <c r="H100" s="63">
        <v>259175.92</v>
      </c>
      <c r="I100" s="63">
        <f>164407.25</f>
        <v>164407.25</v>
      </c>
      <c r="J100" s="63">
        <v>81944.19</v>
      </c>
      <c r="K100" s="63">
        <v>12824.48</v>
      </c>
      <c r="L100" s="43">
        <f>IF(33374.02=0, "-", 259175.92/33374.02)</f>
        <v>7.7657986661481004</v>
      </c>
      <c r="M100" s="43">
        <f>IF(14295.75=0, "-", 164407.25/14295.75)</f>
        <v>11.500428449014567</v>
      </c>
      <c r="N100" s="43">
        <f>IF(16211.15=0, "-", 81944.19/16211.15)</f>
        <v>5.0548042550960295</v>
      </c>
      <c r="O100" s="43">
        <f>IF(2867.12=0, "-", 12824.48/2867.12)</f>
        <v>4.4729484639638386</v>
      </c>
      <c r="P100" s="64"/>
      <c r="Q100" s="64"/>
      <c r="R100" s="64">
        <f ca="1">IF(ISERROR(VALUE(TRIM(INDIRECT(ADDRESS(ROW()-1, COLUMN(A11)))))), INDIRECT(ADDRESS(ROW()-2, COLUMN(R11)))+1, INDIRECT(ADDRESS(ROW()-1, COLUMN(R11))))</f>
        <v>1</v>
      </c>
    </row>
    <row r="101" spans="1:18" ht="36">
      <c r="A101" s="60">
        <v>70</v>
      </c>
      <c r="B101" s="57" t="s">
        <v>178</v>
      </c>
      <c r="C101" s="61" t="s">
        <v>179</v>
      </c>
      <c r="D101" s="62">
        <v>39686.5</v>
      </c>
      <c r="E101" s="62">
        <v>17493.330000000002</v>
      </c>
      <c r="F101" s="62">
        <v>18401.7</v>
      </c>
      <c r="G101" s="62">
        <v>3791.47</v>
      </c>
      <c r="H101" s="63">
        <v>311931.07</v>
      </c>
      <c r="I101" s="63">
        <f>201180.79</f>
        <v>201180.79</v>
      </c>
      <c r="J101" s="63">
        <v>94011.57</v>
      </c>
      <c r="K101" s="63">
        <v>16738.71</v>
      </c>
      <c r="L101" s="43">
        <f>IF(39686.5=0, "-", 311931.07/39686.5)</f>
        <v>7.8598785481208981</v>
      </c>
      <c r="M101" s="43">
        <f>IF(17493.33=0, "-", 201180.79/17493.33)</f>
        <v>11.500428449014567</v>
      </c>
      <c r="N101" s="43">
        <f>IF(18401.7=0, "-", 94011.57/18401.7)</f>
        <v>5.1088524429808118</v>
      </c>
      <c r="O101" s="43">
        <f>IF(3791.47=0, "-", 16738.71/3791.47)</f>
        <v>4.414833824347812</v>
      </c>
      <c r="P101" s="64"/>
      <c r="Q101" s="64"/>
      <c r="R101" s="64">
        <f ca="1">IF(ISERROR(VALUE(TRIM(INDIRECT(ADDRESS(ROW()-1, COLUMN(A11)))))), INDIRECT(ADDRESS(ROW()-2, COLUMN(R11)))+1, INDIRECT(ADDRESS(ROW()-1, COLUMN(R11))))</f>
        <v>1</v>
      </c>
    </row>
    <row r="102" spans="1:18" ht="36">
      <c r="A102" s="60">
        <v>71</v>
      </c>
      <c r="B102" s="57" t="s">
        <v>180</v>
      </c>
      <c r="C102" s="61" t="s">
        <v>181</v>
      </c>
      <c r="D102" s="62">
        <v>51875.29</v>
      </c>
      <c r="E102" s="62">
        <v>23188.29</v>
      </c>
      <c r="F102" s="62">
        <v>23921.23</v>
      </c>
      <c r="G102" s="62">
        <v>4765.7700000000004</v>
      </c>
      <c r="H102" s="63">
        <v>409775.11</v>
      </c>
      <c r="I102" s="63">
        <f>266675.27</f>
        <v>266675.27</v>
      </c>
      <c r="J102" s="63">
        <v>121872.48</v>
      </c>
      <c r="K102" s="63">
        <v>21227.360000000001</v>
      </c>
      <c r="L102" s="43">
        <f>IF(51875.29=0, "-", 409775.11/51875.29)</f>
        <v>7.8992350693364797</v>
      </c>
      <c r="M102" s="43">
        <f>IF(23188.29=0, "-", 266675.27/23188.29)</f>
        <v>11.500428449014567</v>
      </c>
      <c r="N102" s="43">
        <f>IF(23921.23=0, "-", 121872.48/23921.23)</f>
        <v>5.0947413657240865</v>
      </c>
      <c r="O102" s="43">
        <f>IF(4765.77=0, "-", 21227.36/4765.77)</f>
        <v>4.4541301825308395</v>
      </c>
      <c r="P102" s="64"/>
      <c r="Q102" s="64"/>
      <c r="R102" s="64">
        <f ca="1">IF(ISERROR(VALUE(TRIM(INDIRECT(ADDRESS(ROW()-1, COLUMN(A11)))))), INDIRECT(ADDRESS(ROW()-2, COLUMN(R11)))+1, INDIRECT(ADDRESS(ROW()-1, COLUMN(R11))))</f>
        <v>1</v>
      </c>
    </row>
    <row r="103" spans="1:18" ht="36">
      <c r="A103" s="60">
        <v>72</v>
      </c>
      <c r="B103" s="57" t="s">
        <v>182</v>
      </c>
      <c r="C103" s="61" t="s">
        <v>183</v>
      </c>
      <c r="D103" s="62">
        <v>53255.42</v>
      </c>
      <c r="E103" s="62">
        <v>23246.639999999999</v>
      </c>
      <c r="F103" s="62">
        <v>24668.25</v>
      </c>
      <c r="G103" s="62">
        <v>5340.53</v>
      </c>
      <c r="H103" s="63">
        <v>416882.3</v>
      </c>
      <c r="I103" s="63">
        <f>267346.32</f>
        <v>267346.32</v>
      </c>
      <c r="J103" s="63">
        <v>126176.08</v>
      </c>
      <c r="K103" s="63">
        <v>23359.9</v>
      </c>
      <c r="L103" s="43">
        <f>IF(53255.42=0, "-", 416882.3/53255.42)</f>
        <v>7.8279788235638739</v>
      </c>
      <c r="M103" s="43">
        <f>IF(23246.64=0, "-", 267346.32/23246.64)</f>
        <v>11.500428449014567</v>
      </c>
      <c r="N103" s="43">
        <f>IF(24668.25=0, "-", 126176.08/24668.25)</f>
        <v>5.1149181640367676</v>
      </c>
      <c r="O103" s="43">
        <f>IF(5340.53=0, "-", 23359.9/5340.53)</f>
        <v>4.3740789771801678</v>
      </c>
      <c r="P103" s="64"/>
      <c r="Q103" s="64"/>
      <c r="R103" s="64">
        <f ca="1">IF(ISERROR(VALUE(TRIM(INDIRECT(ADDRESS(ROW()-1, COLUMN(A11)))))), INDIRECT(ADDRESS(ROW()-2, COLUMN(R11)))+1, INDIRECT(ADDRESS(ROW()-1, COLUMN(R11))))</f>
        <v>1</v>
      </c>
    </row>
    <row r="104" spans="1:18" ht="36">
      <c r="A104" s="60">
        <v>73</v>
      </c>
      <c r="B104" s="57" t="s">
        <v>184</v>
      </c>
      <c r="C104" s="61" t="s">
        <v>185</v>
      </c>
      <c r="D104" s="62">
        <v>77378.75</v>
      </c>
      <c r="E104" s="62">
        <v>36573.78</v>
      </c>
      <c r="F104" s="62">
        <v>33620.49</v>
      </c>
      <c r="G104" s="62">
        <v>7184.48</v>
      </c>
      <c r="H104" s="63">
        <v>621261.04</v>
      </c>
      <c r="I104" s="63">
        <f>420614.14</f>
        <v>420614.14</v>
      </c>
      <c r="J104" s="63">
        <v>168393.88</v>
      </c>
      <c r="K104" s="63">
        <v>32253.02</v>
      </c>
      <c r="L104" s="43">
        <f>IF(77378.75=0, "-", 621261.04/77378.75)</f>
        <v>8.0288327221620932</v>
      </c>
      <c r="M104" s="43">
        <f>IF(36573.78=0, "-", 420614.14/36573.78)</f>
        <v>11.500428449014567</v>
      </c>
      <c r="N104" s="43">
        <f>IF(33620.49=0, "-", 168393.88/33620.49)</f>
        <v>5.0086682258349002</v>
      </c>
      <c r="O104" s="43">
        <f>IF(7184.48=0, "-", 32253.02/7184.48)</f>
        <v>4.4892629668396324</v>
      </c>
      <c r="P104" s="64"/>
      <c r="Q104" s="64"/>
      <c r="R104" s="64">
        <f ca="1">IF(ISERROR(VALUE(TRIM(INDIRECT(ADDRESS(ROW()-1, COLUMN(A11)))))), INDIRECT(ADDRESS(ROW()-2, COLUMN(R11)))+1, INDIRECT(ADDRESS(ROW()-1, COLUMN(R11))))</f>
        <v>1</v>
      </c>
    </row>
    <row r="105" spans="1:18" ht="36">
      <c r="A105" s="60">
        <v>74</v>
      </c>
      <c r="B105" s="57" t="s">
        <v>186</v>
      </c>
      <c r="C105" s="61" t="s">
        <v>187</v>
      </c>
      <c r="D105" s="62">
        <v>83766.73</v>
      </c>
      <c r="E105" s="62">
        <v>38872.769999999997</v>
      </c>
      <c r="F105" s="62">
        <v>36588</v>
      </c>
      <c r="G105" s="62">
        <v>8305.9599999999991</v>
      </c>
      <c r="H105" s="63">
        <v>667685.84</v>
      </c>
      <c r="I105" s="63">
        <f>447053.51</f>
        <v>447053.51</v>
      </c>
      <c r="J105" s="63">
        <v>183877.04</v>
      </c>
      <c r="K105" s="63">
        <v>36755.29</v>
      </c>
      <c r="L105" s="43">
        <f>IF(83766.73=0, "-", 667685.84/83766.73)</f>
        <v>7.9707759870774471</v>
      </c>
      <c r="M105" s="43">
        <f>IF(38872.77=0, "-", 447053.51/38872.77)</f>
        <v>11.500428449014569</v>
      </c>
      <c r="N105" s="43">
        <f>IF(36588=0, "-", 183877.04/36588)</f>
        <v>5.0256105827047124</v>
      </c>
      <c r="O105" s="43">
        <f>IF(8305.96=0, "-", 36755.29/8305.96)</f>
        <v>4.4251706003881557</v>
      </c>
      <c r="P105" s="64"/>
      <c r="Q105" s="64"/>
      <c r="R105" s="64">
        <f ca="1">IF(ISERROR(VALUE(TRIM(INDIRECT(ADDRESS(ROW()-1, COLUMN(A11)))))), INDIRECT(ADDRESS(ROW()-2, COLUMN(R11)))+1, INDIRECT(ADDRESS(ROW()-1, COLUMN(R11))))</f>
        <v>1</v>
      </c>
    </row>
    <row r="106" spans="1:18" ht="36">
      <c r="A106" s="60">
        <v>75</v>
      </c>
      <c r="B106" s="57" t="s">
        <v>188</v>
      </c>
      <c r="C106" s="61" t="s">
        <v>189</v>
      </c>
      <c r="D106" s="62">
        <v>104337.64</v>
      </c>
      <c r="E106" s="62">
        <v>48687.24</v>
      </c>
      <c r="F106" s="62">
        <v>43921.66</v>
      </c>
      <c r="G106" s="62">
        <v>11728.74</v>
      </c>
      <c r="H106" s="63">
        <v>826218.05</v>
      </c>
      <c r="I106" s="63">
        <f>559924.12</f>
        <v>559924.12</v>
      </c>
      <c r="J106" s="63">
        <v>215360.92</v>
      </c>
      <c r="K106" s="63">
        <v>50933.01</v>
      </c>
      <c r="L106" s="43">
        <f>IF(104337.64=0, "-", 826218.05/104337.64)</f>
        <v>7.9186959758721782</v>
      </c>
      <c r="M106" s="43">
        <f>IF(48687.24=0, "-", 559924.12/48687.24)</f>
        <v>11.500428449014567</v>
      </c>
      <c r="N106" s="43">
        <f>IF(43921.66=0, "-", 215360.92/43921.66)</f>
        <v>4.9032964601064712</v>
      </c>
      <c r="O106" s="43">
        <f>IF(11728.74=0, "-", 50933.01/11728.74)</f>
        <v>4.3425815560750776</v>
      </c>
      <c r="P106" s="64"/>
      <c r="Q106" s="64"/>
      <c r="R106" s="64">
        <f ca="1">IF(ISERROR(VALUE(TRIM(INDIRECT(ADDRESS(ROW()-1, COLUMN(A11)))))), INDIRECT(ADDRESS(ROW()-2, COLUMN(R11)))+1, INDIRECT(ADDRESS(ROW()-1, COLUMN(R11))))</f>
        <v>1</v>
      </c>
    </row>
    <row r="107" spans="1:18" ht="19.5" customHeight="1">
      <c r="A107" s="628" t="s">
        <v>190</v>
      </c>
      <c r="B107" s="629"/>
      <c r="C107" s="629"/>
      <c r="D107" s="629"/>
      <c r="E107" s="629"/>
      <c r="F107" s="629"/>
      <c r="G107" s="629"/>
      <c r="H107" s="629"/>
      <c r="I107" s="629"/>
      <c r="J107" s="629"/>
      <c r="K107" s="629"/>
      <c r="L107" s="629"/>
      <c r="M107" s="629"/>
      <c r="N107" s="629"/>
      <c r="O107" s="629"/>
      <c r="P107" s="629"/>
      <c r="Q107" s="629"/>
      <c r="R107" s="629"/>
    </row>
    <row r="108" spans="1:18" ht="38.25" customHeight="1">
      <c r="A108" s="60">
        <v>76</v>
      </c>
      <c r="B108" s="57" t="s">
        <v>191</v>
      </c>
      <c r="C108" s="61" t="s">
        <v>192</v>
      </c>
      <c r="D108" s="62">
        <v>137278.07</v>
      </c>
      <c r="E108" s="62">
        <v>68094.45</v>
      </c>
      <c r="F108" s="62">
        <v>52764.73</v>
      </c>
      <c r="G108" s="62">
        <v>16418.89</v>
      </c>
      <c r="H108" s="63">
        <v>1114846.78</v>
      </c>
      <c r="I108" s="63">
        <f>783115.35</f>
        <v>783115.35</v>
      </c>
      <c r="J108" s="63">
        <v>260440.69</v>
      </c>
      <c r="K108" s="63">
        <v>71290.740000000005</v>
      </c>
      <c r="L108" s="43">
        <f>IF(137278.07=0, "-", 1114846.78/137278.07)</f>
        <v>8.1210843072021621</v>
      </c>
      <c r="M108" s="43">
        <f>IF(68094.45=0, "-", 783115.35/68094.45)</f>
        <v>11.500428449014567</v>
      </c>
      <c r="N108" s="43">
        <f>IF(52764.73=0, "-", 260440.69/52764.73)</f>
        <v>4.935885960185904</v>
      </c>
      <c r="O108" s="43">
        <f>IF(16418.89=0, "-", 71290.74/16418.89)</f>
        <v>4.341995104419361</v>
      </c>
      <c r="P108" s="64"/>
      <c r="Q108" s="64"/>
      <c r="R108" s="64">
        <f ca="1">IF(ISERROR(VALUE(TRIM(INDIRECT(ADDRESS(ROW()-1, COLUMN(A11)))))), INDIRECT(ADDRESS(ROW()-2, COLUMN(R11)))+1, INDIRECT(ADDRESS(ROW()-1, COLUMN(R11))))</f>
        <v>2</v>
      </c>
    </row>
    <row r="109" spans="1:18" ht="36">
      <c r="A109" s="60">
        <v>77</v>
      </c>
      <c r="B109" s="57" t="s">
        <v>193</v>
      </c>
      <c r="C109" s="61" t="s">
        <v>194</v>
      </c>
      <c r="D109" s="62">
        <v>157769.53</v>
      </c>
      <c r="E109" s="62">
        <v>78609.119999999995</v>
      </c>
      <c r="F109" s="62">
        <v>60380.23</v>
      </c>
      <c r="G109" s="62">
        <v>18780.18</v>
      </c>
      <c r="H109" s="63">
        <v>1282925.06</v>
      </c>
      <c r="I109" s="63">
        <f>904038.56</f>
        <v>904038.56</v>
      </c>
      <c r="J109" s="63">
        <v>297230.43</v>
      </c>
      <c r="K109" s="63">
        <v>81656.070000000007</v>
      </c>
      <c r="L109" s="43">
        <f>IF(157769.53=0, "-", 1282925.06/157769.53)</f>
        <v>8.1316402476447767</v>
      </c>
      <c r="M109" s="43">
        <f>IF(78609.12=0, "-", 904038.56/78609.12)</f>
        <v>11.500428449014569</v>
      </c>
      <c r="N109" s="43">
        <f>IF(60380.23=0, "-", 297230.43/60380.23)</f>
        <v>4.9226448789612096</v>
      </c>
      <c r="O109" s="43">
        <f>IF(18780.18=0, "-", 81656.07/18780.18)</f>
        <v>4.3479918722823747</v>
      </c>
      <c r="P109" s="64"/>
      <c r="Q109" s="64"/>
      <c r="R109" s="64">
        <f ca="1">IF(ISERROR(VALUE(TRIM(INDIRECT(ADDRESS(ROW()-1, COLUMN(A11)))))), INDIRECT(ADDRESS(ROW()-2, COLUMN(R11)))+1, INDIRECT(ADDRESS(ROW()-1, COLUMN(R11))))</f>
        <v>2</v>
      </c>
    </row>
    <row r="110" spans="1:18" ht="12.75" customHeight="1">
      <c r="A110" s="628" t="s">
        <v>195</v>
      </c>
      <c r="B110" s="629"/>
      <c r="C110" s="629"/>
      <c r="D110" s="629"/>
      <c r="E110" s="629"/>
      <c r="F110" s="629"/>
      <c r="G110" s="629"/>
      <c r="H110" s="629"/>
      <c r="I110" s="629"/>
      <c r="J110" s="629"/>
      <c r="K110" s="629"/>
      <c r="L110" s="629"/>
      <c r="M110" s="629"/>
      <c r="N110" s="629"/>
      <c r="O110" s="629"/>
      <c r="P110" s="629"/>
      <c r="Q110" s="629"/>
      <c r="R110" s="629"/>
    </row>
    <row r="111" spans="1:18" ht="17.850000000000001" customHeight="1">
      <c r="A111" s="60">
        <v>78</v>
      </c>
      <c r="B111" s="57" t="s">
        <v>196</v>
      </c>
      <c r="C111" s="61" t="s">
        <v>197</v>
      </c>
      <c r="D111" s="62">
        <v>25737.759999999998</v>
      </c>
      <c r="E111" s="62">
        <v>10993.14</v>
      </c>
      <c r="F111" s="62">
        <v>12588.86</v>
      </c>
      <c r="G111" s="62">
        <v>2155.7600000000002</v>
      </c>
      <c r="H111" s="63">
        <v>198760.15</v>
      </c>
      <c r="I111" s="63">
        <f>126425.82</f>
        <v>126425.82</v>
      </c>
      <c r="J111" s="63">
        <v>62653.64</v>
      </c>
      <c r="K111" s="63">
        <v>9680.69</v>
      </c>
      <c r="L111" s="43">
        <f>IF(25737.76=0, "-", 198760.15/25737.76)</f>
        <v>7.7225115938605384</v>
      </c>
      <c r="M111" s="43">
        <f>IF(10993.14=0, "-", 126425.82/10993.14)</f>
        <v>11.500428449014569</v>
      </c>
      <c r="N111" s="43">
        <f>IF(12588.86=0, "-", 62653.64/12588.86)</f>
        <v>4.9769113327179744</v>
      </c>
      <c r="O111" s="43">
        <f>IF(2155.76=0, "-", 9680.69/2155.76)</f>
        <v>4.4906158384977921</v>
      </c>
      <c r="P111" s="64"/>
      <c r="Q111" s="64"/>
      <c r="R111" s="64">
        <f ca="1">IF(ISERROR(VALUE(TRIM(INDIRECT(ADDRESS(ROW()-1, COLUMN(A11)))))), INDIRECT(ADDRESS(ROW()-2, COLUMN(R11)))+1, INDIRECT(ADDRESS(ROW()-1, COLUMN(R11))))</f>
        <v>3</v>
      </c>
    </row>
    <row r="112" spans="1:18" ht="12.75" customHeight="1">
      <c r="A112" s="628" t="s">
        <v>198</v>
      </c>
      <c r="B112" s="629"/>
      <c r="C112" s="629"/>
      <c r="D112" s="629"/>
      <c r="E112" s="629"/>
      <c r="F112" s="629"/>
      <c r="G112" s="629"/>
      <c r="H112" s="629"/>
      <c r="I112" s="629"/>
      <c r="J112" s="629"/>
      <c r="K112" s="629"/>
      <c r="L112" s="629"/>
      <c r="M112" s="629"/>
      <c r="N112" s="629"/>
      <c r="O112" s="629"/>
      <c r="P112" s="629"/>
      <c r="Q112" s="629"/>
      <c r="R112" s="629"/>
    </row>
    <row r="113" spans="1:18" ht="17.850000000000001" customHeight="1">
      <c r="A113" s="60">
        <v>79</v>
      </c>
      <c r="B113" s="57" t="s">
        <v>199</v>
      </c>
      <c r="C113" s="61" t="s">
        <v>200</v>
      </c>
      <c r="D113" s="62">
        <v>39543.32</v>
      </c>
      <c r="E113" s="62">
        <v>21379.439999999999</v>
      </c>
      <c r="F113" s="62">
        <v>13864.49</v>
      </c>
      <c r="G113" s="62">
        <v>4299.3900000000003</v>
      </c>
      <c r="H113" s="63">
        <v>337742.09</v>
      </c>
      <c r="I113" s="63">
        <f>245872.72</f>
        <v>245872.72</v>
      </c>
      <c r="J113" s="63">
        <v>72647.48</v>
      </c>
      <c r="K113" s="63">
        <v>19221.89</v>
      </c>
      <c r="L113" s="43">
        <f>IF(39543.32=0, "-", 337742.09/39543.32)</f>
        <v>8.5410655959084885</v>
      </c>
      <c r="M113" s="43">
        <f>IF(21379.44=0, "-", 245872.72/21379.44)</f>
        <v>11.500428449014567</v>
      </c>
      <c r="N113" s="43">
        <f>IF(13864.49=0, "-", 72647.48/13864.49)</f>
        <v>5.2398234626733471</v>
      </c>
      <c r="O113" s="43">
        <f>IF(4299.39=0, "-", 19221.89/4299.39)</f>
        <v>4.4708412123580317</v>
      </c>
      <c r="P113" s="64"/>
      <c r="Q113" s="64"/>
      <c r="R113" s="64">
        <f ca="1">IF(ISERROR(VALUE(TRIM(INDIRECT(ADDRESS(ROW()-1, COLUMN(A11)))))), INDIRECT(ADDRESS(ROW()-2, COLUMN(R11)))+1, INDIRECT(ADDRESS(ROW()-1, COLUMN(R11))))</f>
        <v>4</v>
      </c>
    </row>
    <row r="114" spans="1:18" ht="36">
      <c r="A114" s="60">
        <v>80</v>
      </c>
      <c r="B114" s="57" t="s">
        <v>201</v>
      </c>
      <c r="C114" s="61" t="s">
        <v>202</v>
      </c>
      <c r="D114" s="62">
        <v>54111.26</v>
      </c>
      <c r="E114" s="62">
        <v>29478.42</v>
      </c>
      <c r="F114" s="62">
        <v>16514.77</v>
      </c>
      <c r="G114" s="62">
        <v>8118.07</v>
      </c>
      <c r="H114" s="63">
        <v>458941.86</v>
      </c>
      <c r="I114" s="63">
        <f>339014.46</f>
        <v>339014.46</v>
      </c>
      <c r="J114" s="63">
        <v>85332.84</v>
      </c>
      <c r="K114" s="63">
        <v>34594.559999999998</v>
      </c>
      <c r="L114" s="43">
        <f>IF(54111.26=0, "-", 458941.86/54111.26)</f>
        <v>8.481448408334975</v>
      </c>
      <c r="M114" s="43">
        <f>IF(29478.42=0, "-", 339014.46/29478.42)</f>
        <v>11.500428449014569</v>
      </c>
      <c r="N114" s="43">
        <f>IF(16514.77=0, "-", 85332.84/16514.77)</f>
        <v>5.167061969376503</v>
      </c>
      <c r="O114" s="43">
        <f>IF(8118.07=0, "-", 34594.56/8118.07)</f>
        <v>4.2614266691467302</v>
      </c>
      <c r="P114" s="64"/>
      <c r="Q114" s="64"/>
      <c r="R114" s="64">
        <f ca="1">IF(ISERROR(VALUE(TRIM(INDIRECT(ADDRESS(ROW()-1, COLUMN(A11)))))), INDIRECT(ADDRESS(ROW()-2, COLUMN(R11)))+1, INDIRECT(ADDRESS(ROW()-1, COLUMN(R11))))</f>
        <v>4</v>
      </c>
    </row>
    <row r="115" spans="1:18" ht="26.25" customHeight="1">
      <c r="A115" s="628" t="s">
        <v>203</v>
      </c>
      <c r="B115" s="629"/>
      <c r="C115" s="629"/>
      <c r="D115" s="629"/>
      <c r="E115" s="629"/>
      <c r="F115" s="629"/>
      <c r="G115" s="629"/>
      <c r="H115" s="629"/>
      <c r="I115" s="629"/>
      <c r="J115" s="629"/>
      <c r="K115" s="629"/>
      <c r="L115" s="629"/>
      <c r="M115" s="629"/>
      <c r="N115" s="629"/>
      <c r="O115" s="629"/>
      <c r="P115" s="629"/>
      <c r="Q115" s="629"/>
      <c r="R115" s="629"/>
    </row>
    <row r="116" spans="1:18" ht="47.25" customHeight="1">
      <c r="A116" s="60">
        <v>81</v>
      </c>
      <c r="B116" s="57" t="s">
        <v>204</v>
      </c>
      <c r="C116" s="61" t="s">
        <v>205</v>
      </c>
      <c r="D116" s="62">
        <v>17746.13</v>
      </c>
      <c r="E116" s="62">
        <v>11775.03</v>
      </c>
      <c r="F116" s="62">
        <v>3584.6</v>
      </c>
      <c r="G116" s="62">
        <v>2386.5</v>
      </c>
      <c r="H116" s="63">
        <v>167275.13</v>
      </c>
      <c r="I116" s="63">
        <f>135417.89</f>
        <v>135417.89000000001</v>
      </c>
      <c r="J116" s="63">
        <v>21201.99</v>
      </c>
      <c r="K116" s="63">
        <v>10655.25</v>
      </c>
      <c r="L116" s="43">
        <f>IF(17746.13=0, "-", 167275.13/17746.13)</f>
        <v>9.4260061207711203</v>
      </c>
      <c r="M116" s="43">
        <f>IF(11775.03=0, "-", 135417.89/11775.03)</f>
        <v>11.500428449014567</v>
      </c>
      <c r="N116" s="43">
        <f>IF(3584.6=0, "-", 21201.99/3584.6)</f>
        <v>5.9147436255091232</v>
      </c>
      <c r="O116" s="43">
        <f>IF(2386.5=0, "-", 10655.25/2386.5)</f>
        <v>4.4648020113136395</v>
      </c>
      <c r="P116" s="64"/>
      <c r="Q116" s="64"/>
      <c r="R116" s="64">
        <f ca="1">IF(ISERROR(VALUE(TRIM(INDIRECT(ADDRESS(ROW()-1, COLUMN(A11)))))), INDIRECT(ADDRESS(ROW()-2, COLUMN(R11)))+1, INDIRECT(ADDRESS(ROW()-1, COLUMN(R11))))</f>
        <v>5</v>
      </c>
    </row>
    <row r="117" spans="1:18" ht="48">
      <c r="A117" s="60">
        <v>82</v>
      </c>
      <c r="B117" s="57" t="s">
        <v>206</v>
      </c>
      <c r="C117" s="61" t="s">
        <v>207</v>
      </c>
      <c r="D117" s="62">
        <v>20978.38</v>
      </c>
      <c r="E117" s="62">
        <v>13257.12</v>
      </c>
      <c r="F117" s="62">
        <v>4444.72</v>
      </c>
      <c r="G117" s="62">
        <v>3276.54</v>
      </c>
      <c r="H117" s="63">
        <v>192985.83</v>
      </c>
      <c r="I117" s="63">
        <f>152462.56</f>
        <v>152462.56</v>
      </c>
      <c r="J117" s="63">
        <v>26348.36</v>
      </c>
      <c r="K117" s="63">
        <v>14174.91</v>
      </c>
      <c r="L117" s="43">
        <f>IF(20978.38=0, "-", 192985.83/20978.38)</f>
        <v>9.1992722984329571</v>
      </c>
      <c r="M117" s="43">
        <f>IF(13257.12=0, "-", 152462.56/13257.12)</f>
        <v>11.500428449014567</v>
      </c>
      <c r="N117" s="43">
        <f>IF(4444.72=0, "-", 26348.36/4444.72)</f>
        <v>5.9280134631652839</v>
      </c>
      <c r="O117" s="43">
        <f>IF(3276.54=0, "-", 14174.91/3276.54)</f>
        <v>4.3261824973905396</v>
      </c>
      <c r="P117" s="64"/>
      <c r="Q117" s="64"/>
      <c r="R117" s="64">
        <f ca="1">IF(ISERROR(VALUE(TRIM(INDIRECT(ADDRESS(ROW()-1, COLUMN(A11)))))), INDIRECT(ADDRESS(ROW()-2, COLUMN(R11)))+1, INDIRECT(ADDRESS(ROW()-1, COLUMN(R11))))</f>
        <v>5</v>
      </c>
    </row>
    <row r="118" spans="1:18" ht="48">
      <c r="A118" s="60">
        <v>83</v>
      </c>
      <c r="B118" s="57" t="s">
        <v>208</v>
      </c>
      <c r="C118" s="61" t="s">
        <v>209</v>
      </c>
      <c r="D118" s="62">
        <v>24618.1</v>
      </c>
      <c r="E118" s="62">
        <v>15346.05</v>
      </c>
      <c r="F118" s="62">
        <v>5093.33</v>
      </c>
      <c r="G118" s="62">
        <v>4178.72</v>
      </c>
      <c r="H118" s="63">
        <v>224507.21</v>
      </c>
      <c r="I118" s="63">
        <f>176486.15</f>
        <v>176486.15</v>
      </c>
      <c r="J118" s="63">
        <v>30186.880000000001</v>
      </c>
      <c r="K118" s="63">
        <v>17834.18</v>
      </c>
      <c r="L118" s="43">
        <f>IF(24618.1=0, "-", 224507.21/24618.1)</f>
        <v>9.1195994004411389</v>
      </c>
      <c r="M118" s="43">
        <f>IF(15346.05=0, "-", 176486.15/15346.05)</f>
        <v>11.500428449014567</v>
      </c>
      <c r="N118" s="43">
        <f>IF(5093.33=0, "-", 30186.88/5093.33)</f>
        <v>5.9267473342587271</v>
      </c>
      <c r="O118" s="43">
        <f>IF(4178.72=0, "-", 17834.18/4178.72)</f>
        <v>4.2678571428571423</v>
      </c>
      <c r="P118" s="64"/>
      <c r="Q118" s="64"/>
      <c r="R118" s="64">
        <f ca="1">IF(ISERROR(VALUE(TRIM(INDIRECT(ADDRESS(ROW()-1, COLUMN(A11)))))), INDIRECT(ADDRESS(ROW()-2, COLUMN(R11)))+1, INDIRECT(ADDRESS(ROW()-1, COLUMN(R11))))</f>
        <v>5</v>
      </c>
    </row>
    <row r="119" spans="1:18" ht="48">
      <c r="A119" s="60">
        <v>84</v>
      </c>
      <c r="B119" s="57" t="s">
        <v>210</v>
      </c>
      <c r="C119" s="61" t="s">
        <v>211</v>
      </c>
      <c r="D119" s="62">
        <v>39689.910000000003</v>
      </c>
      <c r="E119" s="62">
        <v>25032.15</v>
      </c>
      <c r="F119" s="62">
        <v>8277.7199999999993</v>
      </c>
      <c r="G119" s="62">
        <v>6380.04</v>
      </c>
      <c r="H119" s="63">
        <v>364414.83</v>
      </c>
      <c r="I119" s="63">
        <f>287880.45</f>
        <v>287880.45</v>
      </c>
      <c r="J119" s="63">
        <v>49055.22</v>
      </c>
      <c r="K119" s="63">
        <v>27479.16</v>
      </c>
      <c r="L119" s="43">
        <f>IF(39689.91=0, "-", 364414.83/39689.91)</f>
        <v>9.1815484086509649</v>
      </c>
      <c r="M119" s="43">
        <f>IF(25032.15=0, "-", 287880.45/25032.15)</f>
        <v>11.500428449014567</v>
      </c>
      <c r="N119" s="43">
        <f>IF(8277.72=0, "-", 49055.22/8277.72)</f>
        <v>5.9261753236398436</v>
      </c>
      <c r="O119" s="43">
        <f>IF(6380.04=0, "-", 27479.16/6380.04)</f>
        <v>4.3070513664491132</v>
      </c>
      <c r="P119" s="64"/>
      <c r="Q119" s="64"/>
      <c r="R119" s="64">
        <f ca="1">IF(ISERROR(VALUE(TRIM(INDIRECT(ADDRESS(ROW()-1, COLUMN(A11)))))), INDIRECT(ADDRESS(ROW()-2, COLUMN(R11)))+1, INDIRECT(ADDRESS(ROW()-1, COLUMN(R11))))</f>
        <v>5</v>
      </c>
    </row>
    <row r="120" spans="1:18" ht="60">
      <c r="A120" s="60">
        <v>85</v>
      </c>
      <c r="B120" s="57" t="s">
        <v>212</v>
      </c>
      <c r="C120" s="61" t="s">
        <v>213</v>
      </c>
      <c r="D120" s="62">
        <v>94057.06</v>
      </c>
      <c r="E120" s="62">
        <v>46376.58</v>
      </c>
      <c r="F120" s="62">
        <v>31695.95</v>
      </c>
      <c r="G120" s="62">
        <v>15984.53</v>
      </c>
      <c r="H120" s="63">
        <v>767132.68</v>
      </c>
      <c r="I120" s="63">
        <f>533350.54</f>
        <v>533350.54</v>
      </c>
      <c r="J120" s="63">
        <v>167486.54</v>
      </c>
      <c r="K120" s="63">
        <v>66295.600000000006</v>
      </c>
      <c r="L120" s="43">
        <f>IF(94057.06=0, "-", 767132.68/94057.06)</f>
        <v>8.1560350706262774</v>
      </c>
      <c r="M120" s="43">
        <f>IF(46376.58=0, "-", 533350.54/46376.58)</f>
        <v>11.500428449014567</v>
      </c>
      <c r="N120" s="43">
        <f>IF(31695.95=0, "-", 167486.54/31695.95)</f>
        <v>5.2841621721387115</v>
      </c>
      <c r="O120" s="43">
        <f>IF(15984.53=0, "-", 66295.6/15984.53)</f>
        <v>4.1474850996557295</v>
      </c>
      <c r="P120" s="64"/>
      <c r="Q120" s="64"/>
      <c r="R120" s="64">
        <f ca="1">IF(ISERROR(VALUE(TRIM(INDIRECT(ADDRESS(ROW()-1, COLUMN(A11)))))), INDIRECT(ADDRESS(ROW()-2, COLUMN(R11)))+1, INDIRECT(ADDRESS(ROW()-1, COLUMN(R11))))</f>
        <v>5</v>
      </c>
    </row>
    <row r="121" spans="1:18" ht="60">
      <c r="A121" s="60">
        <v>86</v>
      </c>
      <c r="B121" s="57" t="s">
        <v>214</v>
      </c>
      <c r="C121" s="61" t="s">
        <v>215</v>
      </c>
      <c r="D121" s="62">
        <v>195218.34</v>
      </c>
      <c r="E121" s="62">
        <v>100525.38</v>
      </c>
      <c r="F121" s="62">
        <v>65794.95</v>
      </c>
      <c r="G121" s="62">
        <v>28898.01</v>
      </c>
      <c r="H121" s="63">
        <v>1623263.22</v>
      </c>
      <c r="I121" s="63">
        <f>1156084.94</f>
        <v>1156084.94</v>
      </c>
      <c r="J121" s="63">
        <v>344719.91</v>
      </c>
      <c r="K121" s="63">
        <v>122458.37</v>
      </c>
      <c r="L121" s="43">
        <f>IF(195218.34=0, "-", 1623263.22/195218.34)</f>
        <v>8.3151163973630755</v>
      </c>
      <c r="M121" s="43">
        <f>IF(100525.38=0, "-", 1156084.94/100525.38)</f>
        <v>11.500428449014565</v>
      </c>
      <c r="N121" s="43">
        <f>IF(65794.95=0, "-", 344719.91/65794.95)</f>
        <v>5.2393065121259301</v>
      </c>
      <c r="O121" s="43">
        <f>IF(28898.01=0, "-", 122458.37/28898.01)</f>
        <v>4.2376056344364201</v>
      </c>
      <c r="P121" s="64"/>
      <c r="Q121" s="64"/>
      <c r="R121" s="64">
        <f ca="1">IF(ISERROR(VALUE(TRIM(INDIRECT(ADDRESS(ROW()-1, COLUMN(A11)))))), INDIRECT(ADDRESS(ROW()-2, COLUMN(R11)))+1, INDIRECT(ADDRESS(ROW()-1, COLUMN(R11))))</f>
        <v>5</v>
      </c>
    </row>
    <row r="122" spans="1:18" ht="104.25" customHeight="1">
      <c r="A122" s="628" t="s">
        <v>216</v>
      </c>
      <c r="B122" s="629"/>
      <c r="C122" s="629"/>
      <c r="D122" s="629"/>
      <c r="E122" s="629"/>
      <c r="F122" s="629"/>
      <c r="G122" s="629"/>
      <c r="H122" s="629"/>
      <c r="I122" s="629"/>
      <c r="J122" s="629"/>
      <c r="K122" s="629"/>
      <c r="L122" s="629"/>
      <c r="M122" s="629"/>
      <c r="N122" s="629"/>
      <c r="O122" s="629"/>
      <c r="P122" s="629"/>
      <c r="Q122" s="629"/>
      <c r="R122" s="629"/>
    </row>
    <row r="123" spans="1:18" ht="219.75" customHeight="1">
      <c r="A123" s="60">
        <v>87</v>
      </c>
      <c r="B123" s="57" t="s">
        <v>217</v>
      </c>
      <c r="C123" s="61" t="s">
        <v>218</v>
      </c>
      <c r="D123" s="62">
        <v>1268.1300000000001</v>
      </c>
      <c r="E123" s="62">
        <v>424.54</v>
      </c>
      <c r="F123" s="62">
        <v>749.06</v>
      </c>
      <c r="G123" s="62">
        <v>94.53</v>
      </c>
      <c r="H123" s="63">
        <v>9208.9500000000007</v>
      </c>
      <c r="I123" s="63">
        <f>4882.39</f>
        <v>4882.3900000000003</v>
      </c>
      <c r="J123" s="63">
        <v>3911.04</v>
      </c>
      <c r="K123" s="63">
        <v>415.52</v>
      </c>
      <c r="L123" s="43">
        <f>IF(1268.13=0, "-", 9208.95/1268.13)</f>
        <v>7.261834354522013</v>
      </c>
      <c r="M123" s="43">
        <f>IF(424.54=0, "-", 4882.39/424.54)</f>
        <v>11.500423988316767</v>
      </c>
      <c r="N123" s="43">
        <f>IF(749.06=0, "-", 3911.04/749.06)</f>
        <v>5.2212639841935227</v>
      </c>
      <c r="O123" s="43">
        <f>IF(94.53=0, "-", 415.52/94.53)</f>
        <v>4.3956415952607637</v>
      </c>
      <c r="P123" s="64"/>
      <c r="Q123" s="64"/>
      <c r="R123" s="64">
        <f ca="1">IF(ISERROR(VALUE(TRIM(INDIRECT(ADDRESS(ROW()-1, COLUMN(A11)))))), INDIRECT(ADDRESS(ROW()-2, COLUMN(R11)))+1, INDIRECT(ADDRESS(ROW()-1, COLUMN(R11))))</f>
        <v>6</v>
      </c>
    </row>
    <row r="124" spans="1:18" ht="216">
      <c r="A124" s="60">
        <v>88</v>
      </c>
      <c r="B124" s="57" t="s">
        <v>219</v>
      </c>
      <c r="C124" s="61" t="s">
        <v>220</v>
      </c>
      <c r="D124" s="62">
        <v>1499.35</v>
      </c>
      <c r="E124" s="62">
        <v>459.64</v>
      </c>
      <c r="F124" s="62">
        <v>922.97</v>
      </c>
      <c r="G124" s="62">
        <v>116.74</v>
      </c>
      <c r="H124" s="63">
        <v>10632.28</v>
      </c>
      <c r="I124" s="63">
        <f>5286.1</f>
        <v>5286.1</v>
      </c>
      <c r="J124" s="63">
        <v>4843.1400000000003</v>
      </c>
      <c r="K124" s="63">
        <v>503.04</v>
      </c>
      <c r="L124" s="43">
        <f>IF(1499.35=0, "-", 10632.28/1499.35)</f>
        <v>7.0912595458031822</v>
      </c>
      <c r="M124" s="43">
        <f>IF(459.64=0, "-", 5286.1/459.64)</f>
        <v>11.500522147767819</v>
      </c>
      <c r="N124" s="43">
        <f>IF(922.97=0, "-", 4843.14/922.97)</f>
        <v>5.2473428172096606</v>
      </c>
      <c r="O124" s="43">
        <f>IF(116.74=0, "-", 503.04/116.74)</f>
        <v>4.3090628747644342</v>
      </c>
      <c r="P124" s="64"/>
      <c r="Q124" s="64"/>
      <c r="R124" s="64">
        <f ca="1">IF(ISERROR(VALUE(TRIM(INDIRECT(ADDRESS(ROW()-1, COLUMN(A11)))))), INDIRECT(ADDRESS(ROW()-2, COLUMN(R11)))+1, INDIRECT(ADDRESS(ROW()-1, COLUMN(R11))))</f>
        <v>6</v>
      </c>
    </row>
    <row r="125" spans="1:18" ht="216">
      <c r="A125" s="60">
        <v>89</v>
      </c>
      <c r="B125" s="57" t="s">
        <v>221</v>
      </c>
      <c r="C125" s="61" t="s">
        <v>222</v>
      </c>
      <c r="D125" s="62">
        <v>1831.29</v>
      </c>
      <c r="E125" s="62">
        <v>518.88</v>
      </c>
      <c r="F125" s="62">
        <v>1151.46</v>
      </c>
      <c r="G125" s="62">
        <v>160.94999999999999</v>
      </c>
      <c r="H125" s="63">
        <v>12706.25</v>
      </c>
      <c r="I125" s="63">
        <f>5967.37</f>
        <v>5967.37</v>
      </c>
      <c r="J125" s="63">
        <v>6063.22</v>
      </c>
      <c r="K125" s="63">
        <v>675.66</v>
      </c>
      <c r="L125" s="43">
        <f>IF(1831.29=0, "-", 12706.25/1831.29)</f>
        <v>6.9384149970785627</v>
      </c>
      <c r="M125" s="43">
        <f>IF(518.88=0, "-", 5967.37/518.88)</f>
        <v>11.500481806968855</v>
      </c>
      <c r="N125" s="43">
        <f>IF(1151.46=0, "-", 6063.22/1151.46)</f>
        <v>5.2656800930991956</v>
      </c>
      <c r="O125" s="43">
        <f>IF(160.95=0, "-", 675.66/160.95)</f>
        <v>4.1979496738117428</v>
      </c>
      <c r="P125" s="64"/>
      <c r="Q125" s="64"/>
      <c r="R125" s="64">
        <f ca="1">IF(ISERROR(VALUE(TRIM(INDIRECT(ADDRESS(ROW()-1, COLUMN(A11)))))), INDIRECT(ADDRESS(ROW()-2, COLUMN(R11)))+1, INDIRECT(ADDRESS(ROW()-1, COLUMN(R11))))</f>
        <v>6</v>
      </c>
    </row>
    <row r="126" spans="1:18" ht="216">
      <c r="A126" s="60">
        <v>90</v>
      </c>
      <c r="B126" s="57" t="s">
        <v>223</v>
      </c>
      <c r="C126" s="61" t="s">
        <v>224</v>
      </c>
      <c r="D126" s="62">
        <v>2000.58</v>
      </c>
      <c r="E126" s="62">
        <v>582.51</v>
      </c>
      <c r="F126" s="62">
        <v>1234.3399999999999</v>
      </c>
      <c r="G126" s="62">
        <v>183.73</v>
      </c>
      <c r="H126" s="63">
        <v>13954.27</v>
      </c>
      <c r="I126" s="63">
        <f>6699.1</f>
        <v>6699.1</v>
      </c>
      <c r="J126" s="63">
        <v>6485.43</v>
      </c>
      <c r="K126" s="63">
        <v>769.74</v>
      </c>
      <c r="L126" s="43">
        <f>IF(2000.58=0, "-", 13954.27/2000.58)</f>
        <v>6.975112217456938</v>
      </c>
      <c r="M126" s="43">
        <f>IF(582.51=0, "-", 6699.1/582.51)</f>
        <v>11.500403426550617</v>
      </c>
      <c r="N126" s="43">
        <f>IF(1234.34=0, "-", 6485.43/1234.34)</f>
        <v>5.2541682194533115</v>
      </c>
      <c r="O126" s="43">
        <f>IF(183.73=0, "-", 769.74/183.73)</f>
        <v>4.1895172263647744</v>
      </c>
      <c r="P126" s="64"/>
      <c r="Q126" s="64"/>
      <c r="R126" s="64">
        <f ca="1">IF(ISERROR(VALUE(TRIM(INDIRECT(ADDRESS(ROW()-1, COLUMN(A11)))))), INDIRECT(ADDRESS(ROW()-2, COLUMN(R11)))+1, INDIRECT(ADDRESS(ROW()-1, COLUMN(R11))))</f>
        <v>6</v>
      </c>
    </row>
    <row r="127" spans="1:18" ht="216">
      <c r="A127" s="60">
        <v>91</v>
      </c>
      <c r="B127" s="57" t="s">
        <v>225</v>
      </c>
      <c r="C127" s="61" t="s">
        <v>226</v>
      </c>
      <c r="D127" s="62">
        <v>2148.59</v>
      </c>
      <c r="E127" s="62">
        <v>619.80999999999995</v>
      </c>
      <c r="F127" s="62">
        <v>1301.28</v>
      </c>
      <c r="G127" s="62">
        <v>227.5</v>
      </c>
      <c r="H127" s="63">
        <v>14905.69</v>
      </c>
      <c r="I127" s="63">
        <f>7128.04</f>
        <v>7128.04</v>
      </c>
      <c r="J127" s="63">
        <v>6840.35</v>
      </c>
      <c r="K127" s="63">
        <v>937.3</v>
      </c>
      <c r="L127" s="43">
        <f>IF(2148.59=0, "-", 14905.69/2148.59)</f>
        <v>6.9374287323314361</v>
      </c>
      <c r="M127" s="43">
        <f>IF(619.81=0, "-", 7128.04/619.81)</f>
        <v>11.500363014472178</v>
      </c>
      <c r="N127" s="43">
        <f>IF(1301.28=0, "-", 6840.35/1301.28)</f>
        <v>5.2566319316365426</v>
      </c>
      <c r="O127" s="43">
        <f>IF(227.5=0, "-", 937.3/227.5)</f>
        <v>4.12</v>
      </c>
      <c r="P127" s="64"/>
      <c r="Q127" s="64"/>
      <c r="R127" s="64">
        <f ca="1">IF(ISERROR(VALUE(TRIM(INDIRECT(ADDRESS(ROW()-1, COLUMN(A11)))))), INDIRECT(ADDRESS(ROW()-2, COLUMN(R11)))+1, INDIRECT(ADDRESS(ROW()-1, COLUMN(R11))))</f>
        <v>6</v>
      </c>
    </row>
    <row r="128" spans="1:18" ht="216">
      <c r="A128" s="60">
        <v>92</v>
      </c>
      <c r="B128" s="57" t="s">
        <v>227</v>
      </c>
      <c r="C128" s="61" t="s">
        <v>228</v>
      </c>
      <c r="D128" s="62">
        <v>3732.17</v>
      </c>
      <c r="E128" s="62">
        <v>1360.28</v>
      </c>
      <c r="F128" s="62">
        <v>2043.54</v>
      </c>
      <c r="G128" s="62">
        <v>328.35</v>
      </c>
      <c r="H128" s="63">
        <v>27582.84</v>
      </c>
      <c r="I128" s="63">
        <f>15643.84</f>
        <v>15643.84</v>
      </c>
      <c r="J128" s="63">
        <v>10513.5</v>
      </c>
      <c r="K128" s="63">
        <v>1425.5</v>
      </c>
      <c r="L128" s="43">
        <f>IF(3732.17=0, "-", 27582.84/3732.17)</f>
        <v>7.3905636667140024</v>
      </c>
      <c r="M128" s="43">
        <f>IF(1360.28=0, "-", 15643.84/1360.28)</f>
        <v>11.500455788514129</v>
      </c>
      <c r="N128" s="43">
        <f>IF(2043.54=0, "-", 10513.5/2043.54)</f>
        <v>5.1447488182271943</v>
      </c>
      <c r="O128" s="43">
        <f>IF(328.35=0, "-", 1425.5/328.35)</f>
        <v>4.3414039896451957</v>
      </c>
      <c r="P128" s="64"/>
      <c r="Q128" s="64"/>
      <c r="R128" s="64">
        <f ca="1">IF(ISERROR(VALUE(TRIM(INDIRECT(ADDRESS(ROW()-1, COLUMN(A11)))))), INDIRECT(ADDRESS(ROW()-2, COLUMN(R11)))+1, INDIRECT(ADDRESS(ROW()-1, COLUMN(R11))))</f>
        <v>6</v>
      </c>
    </row>
    <row r="129" spans="1:18" ht="216">
      <c r="A129" s="60">
        <v>93</v>
      </c>
      <c r="B129" s="57" t="s">
        <v>229</v>
      </c>
      <c r="C129" s="61" t="s">
        <v>230</v>
      </c>
      <c r="D129" s="62">
        <v>4302.68</v>
      </c>
      <c r="E129" s="62">
        <v>1641.04</v>
      </c>
      <c r="F129" s="62">
        <v>2284.66</v>
      </c>
      <c r="G129" s="62">
        <v>376.98</v>
      </c>
      <c r="H129" s="63">
        <v>32235.1</v>
      </c>
      <c r="I129" s="63">
        <f>18871.96</f>
        <v>18871.96</v>
      </c>
      <c r="J129" s="63">
        <v>11714.19</v>
      </c>
      <c r="K129" s="63">
        <v>1648.95</v>
      </c>
      <c r="L129" s="43">
        <f>IF(4302.68=0, "-", 32235.1/4302.68)</f>
        <v>7.4918655349689018</v>
      </c>
      <c r="M129" s="43">
        <f>IF(1641.04=0, "-", 18871.96/1641.04)</f>
        <v>11.5</v>
      </c>
      <c r="N129" s="43">
        <f>IF(2284.66=0, "-", 11714.19/2284.66)</f>
        <v>5.1273231027811583</v>
      </c>
      <c r="O129" s="43">
        <f>IF(376.98=0, "-", 1648.95/376.98)</f>
        <v>4.3741047270412219</v>
      </c>
      <c r="P129" s="64"/>
      <c r="Q129" s="64"/>
      <c r="R129" s="64">
        <f ca="1">IF(ISERROR(VALUE(TRIM(INDIRECT(ADDRESS(ROW()-1, COLUMN(A11)))))), INDIRECT(ADDRESS(ROW()-2, COLUMN(R11)))+1, INDIRECT(ADDRESS(ROW()-1, COLUMN(R11))))</f>
        <v>6</v>
      </c>
    </row>
    <row r="130" spans="1:18" ht="216">
      <c r="A130" s="60">
        <v>94</v>
      </c>
      <c r="B130" s="57" t="s">
        <v>231</v>
      </c>
      <c r="C130" s="61" t="s">
        <v>232</v>
      </c>
      <c r="D130" s="62">
        <v>4928.1899999999996</v>
      </c>
      <c r="E130" s="62">
        <v>1809.64</v>
      </c>
      <c r="F130" s="62">
        <v>2652.16</v>
      </c>
      <c r="G130" s="62">
        <v>466.39</v>
      </c>
      <c r="H130" s="63">
        <v>36453.57</v>
      </c>
      <c r="I130" s="63">
        <f>20810.86</f>
        <v>20810.86</v>
      </c>
      <c r="J130" s="63">
        <v>13637.12</v>
      </c>
      <c r="K130" s="63">
        <v>2005.59</v>
      </c>
      <c r="L130" s="43">
        <f>IF(4928.19=0, "-", 36453.57/4928.19)</f>
        <v>7.3969489812689861</v>
      </c>
      <c r="M130" s="43">
        <f>IF(1809.64=0, "-", 20810.86/1809.64)</f>
        <v>11.5</v>
      </c>
      <c r="N130" s="43">
        <f>IF(2652.16=0, "-", 13637.12/2652.16)</f>
        <v>5.1418918918918921</v>
      </c>
      <c r="O130" s="43">
        <f>IF(466.39=0, "-", 2005.59/466.39)</f>
        <v>4.300242286498424</v>
      </c>
      <c r="P130" s="64"/>
      <c r="Q130" s="64"/>
      <c r="R130" s="64">
        <f ca="1">IF(ISERROR(VALUE(TRIM(INDIRECT(ADDRESS(ROW()-1, COLUMN(A11)))))), INDIRECT(ADDRESS(ROW()-2, COLUMN(R11)))+1, INDIRECT(ADDRESS(ROW()-1, COLUMN(R11))))</f>
        <v>6</v>
      </c>
    </row>
    <row r="131" spans="1:18" ht="216">
      <c r="A131" s="60">
        <v>95</v>
      </c>
      <c r="B131" s="57" t="s">
        <v>233</v>
      </c>
      <c r="C131" s="61" t="s">
        <v>234</v>
      </c>
      <c r="D131" s="62">
        <v>5381.74</v>
      </c>
      <c r="E131" s="62">
        <v>1978.24</v>
      </c>
      <c r="F131" s="62">
        <v>2869.21</v>
      </c>
      <c r="G131" s="62">
        <v>534.29</v>
      </c>
      <c r="H131" s="63">
        <v>39799.69</v>
      </c>
      <c r="I131" s="63">
        <f>22749.76</f>
        <v>22749.759999999998</v>
      </c>
      <c r="J131" s="63">
        <v>14767.18</v>
      </c>
      <c r="K131" s="63">
        <v>2282.75</v>
      </c>
      <c r="L131" s="43">
        <f>IF(5381.74=0, "-", 39799.69/5381.74)</f>
        <v>7.3953201009338994</v>
      </c>
      <c r="M131" s="43">
        <f>IF(1978.24=0, "-", 22749.76/1978.24)</f>
        <v>11.5</v>
      </c>
      <c r="N131" s="43">
        <f>IF(2869.21=0, "-", 14767.18/2869.21)</f>
        <v>5.1467755932817747</v>
      </c>
      <c r="O131" s="43">
        <f>IF(534.29=0, "-", 2282.75/534.29)</f>
        <v>4.272492466637968</v>
      </c>
      <c r="P131" s="64"/>
      <c r="Q131" s="64"/>
      <c r="R131" s="64">
        <f ca="1">IF(ISERROR(VALUE(TRIM(INDIRECT(ADDRESS(ROW()-1, COLUMN(A11)))))), INDIRECT(ADDRESS(ROW()-2, COLUMN(R11)))+1, INDIRECT(ADDRESS(ROW()-1, COLUMN(R11))))</f>
        <v>6</v>
      </c>
    </row>
    <row r="132" spans="1:18" ht="216">
      <c r="A132" s="60">
        <v>96</v>
      </c>
      <c r="B132" s="57" t="s">
        <v>235</v>
      </c>
      <c r="C132" s="61" t="s">
        <v>236</v>
      </c>
      <c r="D132" s="62">
        <v>6018.71</v>
      </c>
      <c r="E132" s="62">
        <v>2124.36</v>
      </c>
      <c r="F132" s="62">
        <v>3206.56</v>
      </c>
      <c r="G132" s="62">
        <v>687.79</v>
      </c>
      <c r="H132" s="63">
        <v>43845.39</v>
      </c>
      <c r="I132" s="63">
        <f>24430.14</f>
        <v>24430.14</v>
      </c>
      <c r="J132" s="63">
        <v>16542.509999999998</v>
      </c>
      <c r="K132" s="63">
        <v>2872.74</v>
      </c>
      <c r="L132" s="43">
        <f>IF(6018.71=0, "-", 43845.39/6018.71)</f>
        <v>7.2848484143612167</v>
      </c>
      <c r="M132" s="43">
        <f>IF(2124.36=0, "-", 24430.14/2124.36)</f>
        <v>11.499999999999998</v>
      </c>
      <c r="N132" s="43">
        <f>IF(3206.56=0, "-", 16542.51/3206.56)</f>
        <v>5.1589585100543882</v>
      </c>
      <c r="O132" s="43">
        <f>IF(687.79=0, "-", 2872.74/687.79)</f>
        <v>4.1767690719551025</v>
      </c>
      <c r="P132" s="64"/>
      <c r="Q132" s="64"/>
      <c r="R132" s="64">
        <f ca="1">IF(ISERROR(VALUE(TRIM(INDIRECT(ADDRESS(ROW()-1, COLUMN(A11)))))), INDIRECT(ADDRESS(ROW()-2, COLUMN(R11)))+1, INDIRECT(ADDRESS(ROW()-1, COLUMN(R11))))</f>
        <v>6</v>
      </c>
    </row>
    <row r="133" spans="1:18" ht="12.75" customHeight="1">
      <c r="A133" s="628" t="s">
        <v>237</v>
      </c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  <c r="N133" s="629"/>
      <c r="O133" s="629"/>
      <c r="P133" s="629"/>
      <c r="Q133" s="629"/>
      <c r="R133" s="629"/>
    </row>
    <row r="134" spans="1:18" ht="17.850000000000001" customHeight="1">
      <c r="A134" s="60">
        <v>97</v>
      </c>
      <c r="B134" s="57" t="s">
        <v>238</v>
      </c>
      <c r="C134" s="61" t="s">
        <v>239</v>
      </c>
      <c r="D134" s="62">
        <v>3840.13</v>
      </c>
      <c r="E134" s="62">
        <v>1154.4000000000001</v>
      </c>
      <c r="F134" s="62">
        <v>2124.89</v>
      </c>
      <c r="G134" s="62">
        <v>560.84</v>
      </c>
      <c r="H134" s="63">
        <v>26937.49</v>
      </c>
      <c r="I134" s="63">
        <f>13275.6</f>
        <v>13275.6</v>
      </c>
      <c r="J134" s="63">
        <v>11409.6</v>
      </c>
      <c r="K134" s="63">
        <v>2252.29</v>
      </c>
      <c r="L134" s="43">
        <f>IF(3840.13=0, "-", 26937.49/3840.13)</f>
        <v>7.0147338761968996</v>
      </c>
      <c r="M134" s="43">
        <f>IF(1154.4=0, "-", 13275.6/1154.4)</f>
        <v>11.5</v>
      </c>
      <c r="N134" s="43">
        <f>IF(2124.89=0, "-", 11409.6/2124.89)</f>
        <v>5.3695014800766163</v>
      </c>
      <c r="O134" s="43">
        <f>IF(560.84=0, "-", 2252.29/560.84)</f>
        <v>4.0159225447542966</v>
      </c>
      <c r="P134" s="64"/>
      <c r="Q134" s="64"/>
      <c r="R134" s="64">
        <f ca="1">IF(ISERROR(VALUE(TRIM(INDIRECT(ADDRESS(ROW()-1, COLUMN(A11)))))), INDIRECT(ADDRESS(ROW()-2, COLUMN(R11)))+1, INDIRECT(ADDRESS(ROW()-1, COLUMN(R11))))</f>
        <v>7</v>
      </c>
    </row>
    <row r="135" spans="1:18" ht="24">
      <c r="A135" s="60">
        <v>98</v>
      </c>
      <c r="B135" s="57" t="s">
        <v>240</v>
      </c>
      <c r="C135" s="61" t="s">
        <v>241</v>
      </c>
      <c r="D135" s="62">
        <v>4546.79</v>
      </c>
      <c r="E135" s="62">
        <v>1287.5999999999999</v>
      </c>
      <c r="F135" s="62">
        <v>2480.59</v>
      </c>
      <c r="G135" s="62">
        <v>778.6</v>
      </c>
      <c r="H135" s="63">
        <v>31214.73</v>
      </c>
      <c r="I135" s="63">
        <f>14807.4</f>
        <v>14807.4</v>
      </c>
      <c r="J135" s="63">
        <v>13329.75</v>
      </c>
      <c r="K135" s="63">
        <v>3077.58</v>
      </c>
      <c r="L135" s="43">
        <f>IF(4546.79=0, "-", 31214.73/4546.79)</f>
        <v>6.8652235973071107</v>
      </c>
      <c r="M135" s="43">
        <f>IF(1287.6=0, "-", 14807.4/1287.6)</f>
        <v>11.5</v>
      </c>
      <c r="N135" s="43">
        <f>IF(2480.59=0, "-", 13329.75/2480.59)</f>
        <v>5.3736207918277508</v>
      </c>
      <c r="O135" s="43">
        <f>IF(778.6=0, "-", 3077.58/778.6)</f>
        <v>3.9527099922938604</v>
      </c>
      <c r="P135" s="64"/>
      <c r="Q135" s="64"/>
      <c r="R135" s="64">
        <f ca="1">IF(ISERROR(VALUE(TRIM(INDIRECT(ADDRESS(ROW()-1, COLUMN(A11)))))), INDIRECT(ADDRESS(ROW()-2, COLUMN(R11)))+1, INDIRECT(ADDRESS(ROW()-1, COLUMN(R11))))</f>
        <v>7</v>
      </c>
    </row>
    <row r="136" spans="1:18" ht="24">
      <c r="A136" s="60">
        <v>99</v>
      </c>
      <c r="B136" s="57" t="s">
        <v>242</v>
      </c>
      <c r="C136" s="61" t="s">
        <v>243</v>
      </c>
      <c r="D136" s="62">
        <v>5340.58</v>
      </c>
      <c r="E136" s="62">
        <v>1587.3</v>
      </c>
      <c r="F136" s="62">
        <v>2646.03</v>
      </c>
      <c r="G136" s="62">
        <v>1107.25</v>
      </c>
      <c r="H136" s="63">
        <v>36763.199999999997</v>
      </c>
      <c r="I136" s="63">
        <f>18253.95</f>
        <v>18253.95</v>
      </c>
      <c r="J136" s="63">
        <v>14170.62</v>
      </c>
      <c r="K136" s="63">
        <v>4338.63</v>
      </c>
      <c r="L136" s="43">
        <f>IF(5340.58=0, "-", 36763.2/5340.58)</f>
        <v>6.8837467091589302</v>
      </c>
      <c r="M136" s="43">
        <f>IF(1587.3=0, "-", 18253.95/1587.3)</f>
        <v>11.5</v>
      </c>
      <c r="N136" s="43">
        <f>IF(2646.03=0, "-", 14170.62/2646.03)</f>
        <v>5.3554268092198498</v>
      </c>
      <c r="O136" s="43">
        <f>IF(1107.25=0, "-", 4338.63/1107.25)</f>
        <v>3.9183833822533303</v>
      </c>
      <c r="P136" s="64"/>
      <c r="Q136" s="64"/>
      <c r="R136" s="64">
        <f ca="1">IF(ISERROR(VALUE(TRIM(INDIRECT(ADDRESS(ROW()-1, COLUMN(A11)))))), INDIRECT(ADDRESS(ROW()-2, COLUMN(R11)))+1, INDIRECT(ADDRESS(ROW()-1, COLUMN(R11))))</f>
        <v>7</v>
      </c>
    </row>
    <row r="137" spans="1:18" ht="24">
      <c r="A137" s="60">
        <v>100</v>
      </c>
      <c r="B137" s="57" t="s">
        <v>244</v>
      </c>
      <c r="C137" s="61" t="s">
        <v>245</v>
      </c>
      <c r="D137" s="62">
        <v>5986.54</v>
      </c>
      <c r="E137" s="62">
        <v>1709.4</v>
      </c>
      <c r="F137" s="62">
        <v>2952.35</v>
      </c>
      <c r="G137" s="62">
        <v>1324.79</v>
      </c>
      <c r="H137" s="63">
        <v>40548.85</v>
      </c>
      <c r="I137" s="63">
        <f>19658.1</f>
        <v>19658.099999999999</v>
      </c>
      <c r="J137" s="63">
        <v>15729.36</v>
      </c>
      <c r="K137" s="63">
        <v>5161.3900000000003</v>
      </c>
      <c r="L137" s="43">
        <f>IF(5986.54=0, "-", 40548.85/5986.54)</f>
        <v>6.7733365182559542</v>
      </c>
      <c r="M137" s="43">
        <f>IF(1709.4=0, "-", 19658.1/1709.4)</f>
        <v>11.499999999999998</v>
      </c>
      <c r="N137" s="43">
        <f>IF(2952.35=0, "-", 15729.36/2952.35)</f>
        <v>5.3277423069757992</v>
      </c>
      <c r="O137" s="43">
        <f>IF(1324.79=0, "-", 5161.39/1324.79)</f>
        <v>3.8960061594667836</v>
      </c>
      <c r="P137" s="64"/>
      <c r="Q137" s="64"/>
      <c r="R137" s="64">
        <f ca="1">IF(ISERROR(VALUE(TRIM(INDIRECT(ADDRESS(ROW()-1, COLUMN(A11)))))), INDIRECT(ADDRESS(ROW()-2, COLUMN(R11)))+1, INDIRECT(ADDRESS(ROW()-1, COLUMN(R11))))</f>
        <v>7</v>
      </c>
    </row>
    <row r="138" spans="1:18" ht="12.75" customHeight="1">
      <c r="A138" s="628" t="s">
        <v>246</v>
      </c>
      <c r="B138" s="629"/>
      <c r="C138" s="629"/>
      <c r="D138" s="629"/>
      <c r="E138" s="629"/>
      <c r="F138" s="629"/>
      <c r="G138" s="629"/>
      <c r="H138" s="629"/>
      <c r="I138" s="629"/>
      <c r="J138" s="629"/>
      <c r="K138" s="629"/>
      <c r="L138" s="629"/>
      <c r="M138" s="629"/>
      <c r="N138" s="629"/>
      <c r="O138" s="629"/>
      <c r="P138" s="629"/>
      <c r="Q138" s="629"/>
      <c r="R138" s="629"/>
    </row>
    <row r="139" spans="1:18" ht="17.850000000000001" customHeight="1">
      <c r="A139" s="60">
        <v>101</v>
      </c>
      <c r="B139" s="57" t="s">
        <v>247</v>
      </c>
      <c r="C139" s="61" t="s">
        <v>248</v>
      </c>
      <c r="D139" s="62">
        <v>45629.72</v>
      </c>
      <c r="E139" s="62">
        <v>22612.32</v>
      </c>
      <c r="F139" s="62">
        <v>16112.15</v>
      </c>
      <c r="G139" s="62">
        <v>6905.25</v>
      </c>
      <c r="H139" s="63">
        <v>374729.21</v>
      </c>
      <c r="I139" s="63">
        <f>260051.52</f>
        <v>260051.52</v>
      </c>
      <c r="J139" s="63">
        <v>85635.81</v>
      </c>
      <c r="K139" s="63">
        <v>29041.88</v>
      </c>
      <c r="L139" s="43">
        <f>IF(45629.72=0, "-", 374729.21/45629.72)</f>
        <v>8.2123933699352083</v>
      </c>
      <c r="M139" s="43">
        <f>IF(22612.32=0, "-", 260051.52/22612.32)</f>
        <v>11.500435161009573</v>
      </c>
      <c r="N139" s="43">
        <f>IF(16112.15=0, "-", 85635.81/16112.15)</f>
        <v>5.3149834131385321</v>
      </c>
      <c r="O139" s="43">
        <f>IF(6905.25=0, "-", 29041.88/6905.25)</f>
        <v>4.2057680750153867</v>
      </c>
      <c r="P139" s="64"/>
      <c r="Q139" s="64"/>
      <c r="R139" s="64">
        <f ca="1">IF(ISERROR(VALUE(TRIM(INDIRECT(ADDRESS(ROW()-1, COLUMN(A11)))))), INDIRECT(ADDRESS(ROW()-2, COLUMN(R11)))+1, INDIRECT(ADDRESS(ROW()-1, COLUMN(R11))))</f>
        <v>8</v>
      </c>
    </row>
    <row r="140" spans="1:18" ht="24">
      <c r="A140" s="65">
        <v>102</v>
      </c>
      <c r="B140" s="66" t="s">
        <v>249</v>
      </c>
      <c r="C140" s="67" t="s">
        <v>250</v>
      </c>
      <c r="D140" s="68">
        <v>58282.54</v>
      </c>
      <c r="E140" s="68">
        <v>27024.48</v>
      </c>
      <c r="F140" s="68">
        <v>21038.07</v>
      </c>
      <c r="G140" s="68">
        <v>10219.99</v>
      </c>
      <c r="H140" s="69">
        <v>463325.73</v>
      </c>
      <c r="I140" s="69">
        <f>310793.28</f>
        <v>310793.28000000003</v>
      </c>
      <c r="J140" s="69">
        <v>110555.31</v>
      </c>
      <c r="K140" s="69">
        <v>41977.14</v>
      </c>
      <c r="L140" s="611">
        <f>IF(58282.54=0, "-", 463325.73/58282.54)</f>
        <v>7.9496488999964647</v>
      </c>
      <c r="M140" s="611">
        <f>IF(27024.48=0, "-", 310793.28/27024.48)</f>
        <v>11.500435161009575</v>
      </c>
      <c r="N140" s="611">
        <f>IF(21038.07=0, "-", 110555.31/21038.07)</f>
        <v>5.2550119854150115</v>
      </c>
      <c r="O140" s="611">
        <f>IF(10219.99=0, "-", 41977.14/10219.99)</f>
        <v>4.107356269428835</v>
      </c>
      <c r="P140" s="70"/>
      <c r="Q140" s="70"/>
      <c r="R140" s="70">
        <f ca="1">IF(ISERROR(VALUE(TRIM(INDIRECT(ADDRESS(ROW()-1, COLUMN(A11)))))), INDIRECT(ADDRESS(ROW()-2, COLUMN(R11)))+1, INDIRECT(ADDRESS(ROW()-1, COLUMN(R11))))</f>
        <v>8</v>
      </c>
    </row>
    <row r="141" spans="1:18" ht="12.75" customHeight="1">
      <c r="A141" s="630" t="s">
        <v>251</v>
      </c>
      <c r="B141" s="631"/>
      <c r="C141" s="631"/>
      <c r="D141" s="631"/>
      <c r="E141" s="631"/>
      <c r="F141" s="631"/>
      <c r="G141" s="631"/>
      <c r="H141" s="631"/>
      <c r="I141" s="631"/>
      <c r="J141" s="631"/>
      <c r="K141" s="631"/>
      <c r="L141" s="631"/>
      <c r="M141" s="631"/>
      <c r="N141" s="631"/>
      <c r="O141" s="631"/>
      <c r="P141" s="631"/>
      <c r="Q141" s="631"/>
      <c r="R141" s="631"/>
    </row>
    <row r="142" spans="1:18" ht="17.850000000000001" customHeight="1">
      <c r="A142" s="628" t="s">
        <v>252</v>
      </c>
      <c r="B142" s="629"/>
      <c r="C142" s="629"/>
      <c r="D142" s="629"/>
      <c r="E142" s="629"/>
      <c r="F142" s="629"/>
      <c r="G142" s="629"/>
      <c r="H142" s="629"/>
      <c r="I142" s="629"/>
      <c r="J142" s="629"/>
      <c r="K142" s="629"/>
      <c r="L142" s="629"/>
      <c r="M142" s="629"/>
      <c r="N142" s="629"/>
      <c r="O142" s="629"/>
      <c r="P142" s="629"/>
      <c r="Q142" s="629"/>
      <c r="R142" s="629"/>
    </row>
    <row r="143" spans="1:18" ht="17.850000000000001" customHeight="1">
      <c r="A143" s="628" t="s">
        <v>253</v>
      </c>
      <c r="B143" s="629"/>
      <c r="C143" s="629"/>
      <c r="D143" s="629"/>
      <c r="E143" s="629"/>
      <c r="F143" s="629"/>
      <c r="G143" s="629"/>
      <c r="H143" s="629"/>
      <c r="I143" s="629"/>
      <c r="J143" s="629"/>
      <c r="K143" s="629"/>
      <c r="L143" s="629"/>
      <c r="M143" s="629"/>
      <c r="N143" s="629"/>
      <c r="O143" s="629"/>
      <c r="P143" s="629"/>
      <c r="Q143" s="629"/>
      <c r="R143" s="629"/>
    </row>
    <row r="144" spans="1:18" ht="17.850000000000001" customHeight="1">
      <c r="A144" s="60">
        <v>103</v>
      </c>
      <c r="B144" s="57" t="s">
        <v>254</v>
      </c>
      <c r="C144" s="61" t="s">
        <v>255</v>
      </c>
      <c r="D144" s="62">
        <v>360838.09</v>
      </c>
      <c r="E144" s="62">
        <v>92540.46</v>
      </c>
      <c r="F144" s="62">
        <v>242872.35</v>
      </c>
      <c r="G144" s="62">
        <v>25425.279999999999</v>
      </c>
      <c r="H144" s="63">
        <v>2491797.0499999998</v>
      </c>
      <c r="I144" s="63">
        <f>1064255.56</f>
        <v>1064255.56</v>
      </c>
      <c r="J144" s="63">
        <v>1278091.78</v>
      </c>
      <c r="K144" s="63">
        <v>149449.71</v>
      </c>
      <c r="L144" s="43">
        <f>IF(360838.09=0, "-", 2491797.05/360838.09)</f>
        <v>6.9055820853059044</v>
      </c>
      <c r="M144" s="43">
        <f>IF(92540.46=0, "-", 1064255.56/92540.46)</f>
        <v>11.500435161009573</v>
      </c>
      <c r="N144" s="43">
        <f>IF(242872.35=0, "-", 1278091.78/242872.35)</f>
        <v>5.2624013396337626</v>
      </c>
      <c r="O144" s="43">
        <f>IF(25425.28=0, "-", 149449.71/25425.28)</f>
        <v>5.877996623832658</v>
      </c>
      <c r="P144" s="64"/>
      <c r="Q144" s="64"/>
      <c r="R144" s="64">
        <f ca="1">IF(ISERROR(VALUE(TRIM(INDIRECT(ADDRESS(ROW()-1, COLUMN(A11)))))), INDIRECT(ADDRESS(ROW()-2, COLUMN(R11)))+1, INDIRECT(ADDRESS(ROW()-1, COLUMN(R11))))</f>
        <v>1</v>
      </c>
    </row>
    <row r="145" spans="1:18" ht="24">
      <c r="A145" s="65">
        <v>104</v>
      </c>
      <c r="B145" s="66" t="s">
        <v>256</v>
      </c>
      <c r="C145" s="67" t="s">
        <v>257</v>
      </c>
      <c r="D145" s="68">
        <v>704528.71</v>
      </c>
      <c r="E145" s="68">
        <v>176659.08</v>
      </c>
      <c r="F145" s="68">
        <v>490598.17</v>
      </c>
      <c r="G145" s="68">
        <v>37271.46</v>
      </c>
      <c r="H145" s="69">
        <v>4780477.25</v>
      </c>
      <c r="I145" s="69">
        <f>2031579.42</f>
        <v>2031579.42</v>
      </c>
      <c r="J145" s="69">
        <v>2531185.12</v>
      </c>
      <c r="K145" s="69">
        <v>217712.71</v>
      </c>
      <c r="L145" s="611">
        <f>IF(704528.71=0, "-", 4780477.25/704528.71)</f>
        <v>6.7853547799350862</v>
      </c>
      <c r="M145" s="611">
        <f>IF(176659.08=0, "-", 2031579.42/176659.08)</f>
        <v>11.5</v>
      </c>
      <c r="N145" s="611">
        <f>IF(490598.17=0, "-", 2531185.12/490598.17)</f>
        <v>5.1593855721068023</v>
      </c>
      <c r="O145" s="611">
        <f>IF(37271.46=0, "-", 217712.71/37271.46)</f>
        <v>5.8412713105416314</v>
      </c>
      <c r="P145" s="70"/>
      <c r="Q145" s="70"/>
      <c r="R145" s="70">
        <f ca="1">IF(ISERROR(VALUE(TRIM(INDIRECT(ADDRESS(ROW()-1, COLUMN(A11)))))), INDIRECT(ADDRESS(ROW()-2, COLUMN(R11)))+1, INDIRECT(ADDRESS(ROW()-1, COLUMN(R11))))</f>
        <v>1</v>
      </c>
    </row>
    <row r="146" spans="1:18" ht="12.75" customHeight="1">
      <c r="A146" s="630" t="s">
        <v>258</v>
      </c>
      <c r="B146" s="631"/>
      <c r="C146" s="631"/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</row>
    <row r="147" spans="1:18" ht="27.95" customHeight="1">
      <c r="A147" s="628" t="s">
        <v>259</v>
      </c>
      <c r="B147" s="629"/>
      <c r="C147" s="629"/>
      <c r="D147" s="629"/>
      <c r="E147" s="629"/>
      <c r="F147" s="629"/>
      <c r="G147" s="629"/>
      <c r="H147" s="629"/>
      <c r="I147" s="629"/>
      <c r="J147" s="629"/>
      <c r="K147" s="629"/>
      <c r="L147" s="629"/>
      <c r="M147" s="629"/>
      <c r="N147" s="629"/>
      <c r="O147" s="629"/>
      <c r="P147" s="629"/>
      <c r="Q147" s="629"/>
      <c r="R147" s="629"/>
    </row>
    <row r="148" spans="1:18" ht="43.5" customHeight="1">
      <c r="A148" s="628" t="s">
        <v>260</v>
      </c>
      <c r="B148" s="629"/>
      <c r="C148" s="629"/>
      <c r="D148" s="629"/>
      <c r="E148" s="629"/>
      <c r="F148" s="629"/>
      <c r="G148" s="629"/>
      <c r="H148" s="629"/>
      <c r="I148" s="629"/>
      <c r="J148" s="629"/>
      <c r="K148" s="629"/>
      <c r="L148" s="629"/>
      <c r="M148" s="629"/>
      <c r="N148" s="629"/>
      <c r="O148" s="629"/>
      <c r="P148" s="629"/>
      <c r="Q148" s="629"/>
      <c r="R148" s="629"/>
    </row>
    <row r="149" spans="1:18" ht="39" customHeight="1">
      <c r="A149" s="60">
        <v>105</v>
      </c>
      <c r="B149" s="57" t="s">
        <v>261</v>
      </c>
      <c r="C149" s="61" t="s">
        <v>262</v>
      </c>
      <c r="D149" s="62">
        <v>196.52</v>
      </c>
      <c r="E149" s="62">
        <v>58.82</v>
      </c>
      <c r="F149" s="62">
        <v>121.46</v>
      </c>
      <c r="G149" s="62">
        <v>16.239999999999998</v>
      </c>
      <c r="H149" s="63">
        <v>1402.8</v>
      </c>
      <c r="I149" s="63">
        <f>676.48</f>
        <v>676.48</v>
      </c>
      <c r="J149" s="63">
        <v>657.12</v>
      </c>
      <c r="K149" s="63">
        <v>69.2</v>
      </c>
      <c r="L149" s="43">
        <f>IF(196.52=0, "-", 1402.8/196.52)</f>
        <v>7.1382047628740075</v>
      </c>
      <c r="M149" s="43">
        <f>IF(58.82=0, "-", 676.48/58.82)</f>
        <v>11.500850051003061</v>
      </c>
      <c r="N149" s="43">
        <f>IF(121.46=0, "-", 657.12/121.46)</f>
        <v>5.4101761896920797</v>
      </c>
      <c r="O149" s="43">
        <f>IF(16.24=0, "-", 69.2/16.24)</f>
        <v>4.2610837438423648</v>
      </c>
      <c r="P149" s="64"/>
      <c r="Q149" s="64"/>
      <c r="R149" s="64">
        <f ca="1">IF(ISERROR(VALUE(TRIM(INDIRECT(ADDRESS(ROW()-1, COLUMN(A11)))))), INDIRECT(ADDRESS(ROW()-2, COLUMN(R11)))+1, INDIRECT(ADDRESS(ROW()-1, COLUMN(R11))))</f>
        <v>1</v>
      </c>
    </row>
    <row r="150" spans="1:18" ht="144">
      <c r="A150" s="60">
        <v>106</v>
      </c>
      <c r="B150" s="57" t="s">
        <v>263</v>
      </c>
      <c r="C150" s="61" t="s">
        <v>264</v>
      </c>
      <c r="D150" s="62">
        <v>284.97000000000003</v>
      </c>
      <c r="E150" s="62">
        <v>82.97</v>
      </c>
      <c r="F150" s="62">
        <v>178.83</v>
      </c>
      <c r="G150" s="62">
        <v>23.17</v>
      </c>
      <c r="H150" s="63">
        <v>2020.23</v>
      </c>
      <c r="I150" s="63">
        <f>954.19</f>
        <v>954.19</v>
      </c>
      <c r="J150" s="63">
        <v>967.48</v>
      </c>
      <c r="K150" s="63">
        <v>98.56</v>
      </c>
      <c r="L150" s="43">
        <f>IF(284.97=0, "-", 2020.23/284.97)</f>
        <v>7.0892725550057891</v>
      </c>
      <c r="M150" s="43">
        <f>IF(82.97=0, "-", 954.19/82.97)</f>
        <v>11.500421839218996</v>
      </c>
      <c r="N150" s="43">
        <f>IF(178.83=0, "-", 967.48/178.83)</f>
        <v>5.4100542414583677</v>
      </c>
      <c r="O150" s="43">
        <f>IF(23.17=0, "-", 98.56/23.17)</f>
        <v>4.2537764350453173</v>
      </c>
      <c r="P150" s="64"/>
      <c r="Q150" s="64"/>
      <c r="R150" s="64">
        <f ca="1">IF(ISERROR(VALUE(TRIM(INDIRECT(ADDRESS(ROW()-1, COLUMN(A11)))))), INDIRECT(ADDRESS(ROW()-2, COLUMN(R11)))+1, INDIRECT(ADDRESS(ROW()-1, COLUMN(R11))))</f>
        <v>1</v>
      </c>
    </row>
    <row r="151" spans="1:18" ht="12.75">
      <c r="A151" s="632" t="s">
        <v>18</v>
      </c>
      <c r="B151" s="632"/>
      <c r="C151" s="632"/>
      <c r="D151" s="58">
        <v>3780937</v>
      </c>
      <c r="E151" s="58">
        <v>1471360.51</v>
      </c>
      <c r="F151" s="58">
        <v>1912933.32</v>
      </c>
      <c r="G151" s="58">
        <v>396643.17</v>
      </c>
      <c r="H151" s="59">
        <v>28674384.789999999</v>
      </c>
      <c r="I151" s="59">
        <v>16921120.600000001</v>
      </c>
      <c r="J151" s="59">
        <v>9964647.9399999995</v>
      </c>
      <c r="K151" s="59">
        <v>1788616.25</v>
      </c>
      <c r="L151" s="612">
        <f>IF(H151&lt;&gt;0,H151/D151,"-")</f>
        <v>7.5839361486319392</v>
      </c>
      <c r="M151" s="612">
        <f>IF(I151&lt;&gt;0,I151/E151,"-")</f>
        <v>11.500322650361197</v>
      </c>
      <c r="N151" s="612">
        <f>IF(J151&lt;&gt;0,J151/F151,"-")</f>
        <v>5.2090931951564308</v>
      </c>
      <c r="O151" s="612">
        <f>IF(K151&lt;&gt;0,K151/G151,"-")</f>
        <v>4.5093837113090842</v>
      </c>
      <c r="P151" s="56"/>
      <c r="Q151" s="56"/>
      <c r="R151" s="56"/>
    </row>
    <row r="152" spans="1:18" ht="18" customHeight="1">
      <c r="A152" s="616" t="s">
        <v>265</v>
      </c>
      <c r="B152" s="617"/>
      <c r="C152" s="617"/>
      <c r="D152" s="617"/>
      <c r="E152" s="617"/>
      <c r="F152" s="617"/>
      <c r="G152" s="617"/>
      <c r="H152" s="617"/>
      <c r="I152" s="617"/>
      <c r="J152" s="617"/>
      <c r="K152" s="617"/>
      <c r="L152" s="617"/>
      <c r="M152" s="617"/>
      <c r="N152" s="617"/>
      <c r="O152" s="617"/>
      <c r="P152" s="617"/>
      <c r="Q152" s="617"/>
      <c r="R152" s="618"/>
    </row>
    <row r="153" spans="1:18" ht="12.75" customHeight="1">
      <c r="A153" s="630" t="s">
        <v>266</v>
      </c>
      <c r="B153" s="631"/>
      <c r="C153" s="631"/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</row>
    <row r="154" spans="1:18" ht="12.75" customHeight="1">
      <c r="A154" s="628" t="s">
        <v>267</v>
      </c>
      <c r="B154" s="629"/>
      <c r="C154" s="629"/>
      <c r="D154" s="629"/>
      <c r="E154" s="629"/>
      <c r="F154" s="629"/>
      <c r="G154" s="629"/>
      <c r="H154" s="629"/>
      <c r="I154" s="629"/>
      <c r="J154" s="629"/>
      <c r="K154" s="629"/>
      <c r="L154" s="629"/>
      <c r="M154" s="629"/>
      <c r="N154" s="629"/>
      <c r="O154" s="629"/>
      <c r="P154" s="629"/>
      <c r="Q154" s="629"/>
      <c r="R154" s="629"/>
    </row>
    <row r="155" spans="1:18" ht="12.75" customHeight="1">
      <c r="A155" s="628" t="s">
        <v>268</v>
      </c>
      <c r="B155" s="629"/>
      <c r="C155" s="629"/>
      <c r="D155" s="629"/>
      <c r="E155" s="629"/>
      <c r="F155" s="629"/>
      <c r="G155" s="629"/>
      <c r="H155" s="629"/>
      <c r="I155" s="629"/>
      <c r="J155" s="629"/>
      <c r="K155" s="629"/>
      <c r="L155" s="629"/>
      <c r="M155" s="629"/>
      <c r="N155" s="629"/>
      <c r="O155" s="629"/>
      <c r="P155" s="629"/>
      <c r="Q155" s="629"/>
      <c r="R155" s="629"/>
    </row>
    <row r="156" spans="1:18" ht="24">
      <c r="A156" s="75">
        <v>1</v>
      </c>
      <c r="B156" s="72" t="s">
        <v>269</v>
      </c>
      <c r="C156" s="76" t="s">
        <v>270</v>
      </c>
      <c r="D156" s="77">
        <v>2577.06</v>
      </c>
      <c r="E156" s="77">
        <v>1265.4000000000001</v>
      </c>
      <c r="F156" s="77">
        <v>803.45</v>
      </c>
      <c r="G156" s="77">
        <v>508.21</v>
      </c>
      <c r="H156" s="78">
        <v>21205.07</v>
      </c>
      <c r="I156" s="78">
        <v>14552.1</v>
      </c>
      <c r="J156" s="78">
        <v>4310.6000000000004</v>
      </c>
      <c r="K156" s="78">
        <v>2342.37</v>
      </c>
      <c r="L156" s="43">
        <v>8.2283959240374696</v>
      </c>
      <c r="M156" s="43">
        <v>11.5</v>
      </c>
      <c r="N156" s="43">
        <v>5.3651129504013939</v>
      </c>
      <c r="O156" s="43">
        <v>4.6090592471616061</v>
      </c>
      <c r="P156" s="79"/>
      <c r="Q156" s="79"/>
      <c r="R156" s="79">
        <v>1</v>
      </c>
    </row>
    <row r="157" spans="1:18" ht="24">
      <c r="A157" s="75">
        <v>2</v>
      </c>
      <c r="B157" s="72" t="s">
        <v>271</v>
      </c>
      <c r="C157" s="76" t="s">
        <v>272</v>
      </c>
      <c r="D157" s="77">
        <v>3363.59</v>
      </c>
      <c r="E157" s="77">
        <v>1598.4</v>
      </c>
      <c r="F157" s="77">
        <v>1187.18</v>
      </c>
      <c r="G157" s="77">
        <v>578.01</v>
      </c>
      <c r="H157" s="78">
        <v>27377.08</v>
      </c>
      <c r="I157" s="78">
        <v>18381.599999999999</v>
      </c>
      <c r="J157" s="78">
        <v>6313.94</v>
      </c>
      <c r="K157" s="78">
        <v>2681.54</v>
      </c>
      <c r="L157" s="43">
        <v>8.1392440814724747</v>
      </c>
      <c r="M157" s="43">
        <v>11.499999999999998</v>
      </c>
      <c r="N157" s="43">
        <v>5.318435283613268</v>
      </c>
      <c r="O157" s="43">
        <v>4.6392622965000605</v>
      </c>
      <c r="P157" s="79"/>
      <c r="Q157" s="79"/>
      <c r="R157" s="79">
        <v>1</v>
      </c>
    </row>
    <row r="158" spans="1:18" ht="24">
      <c r="A158" s="75">
        <v>3</v>
      </c>
      <c r="B158" s="72" t="s">
        <v>273</v>
      </c>
      <c r="C158" s="76" t="s">
        <v>274</v>
      </c>
      <c r="D158" s="77">
        <v>12299.28</v>
      </c>
      <c r="E158" s="77">
        <v>5328</v>
      </c>
      <c r="F158" s="77">
        <v>3717.17</v>
      </c>
      <c r="G158" s="77">
        <v>3254.11</v>
      </c>
      <c r="H158" s="78">
        <v>94661.36</v>
      </c>
      <c r="I158" s="78">
        <v>61272</v>
      </c>
      <c r="J158" s="78">
        <v>19848.63</v>
      </c>
      <c r="K158" s="78">
        <v>13540.73</v>
      </c>
      <c r="L158" s="43">
        <v>7.696496055053629</v>
      </c>
      <c r="M158" s="43">
        <v>11.5</v>
      </c>
      <c r="N158" s="43">
        <v>5.3397154286728883</v>
      </c>
      <c r="O158" s="43">
        <v>4.1611162499116503</v>
      </c>
      <c r="P158" s="79"/>
      <c r="Q158" s="79"/>
      <c r="R158" s="79">
        <v>1</v>
      </c>
    </row>
    <row r="159" spans="1:18" ht="24">
      <c r="A159" s="75">
        <v>4</v>
      </c>
      <c r="B159" s="72" t="s">
        <v>275</v>
      </c>
      <c r="C159" s="76" t="s">
        <v>276</v>
      </c>
      <c r="D159" s="77">
        <v>14940.02</v>
      </c>
      <c r="E159" s="77">
        <v>6182.7</v>
      </c>
      <c r="F159" s="77">
        <v>5133.53</v>
      </c>
      <c r="G159" s="77">
        <v>3623.79</v>
      </c>
      <c r="H159" s="78">
        <v>113578.34</v>
      </c>
      <c r="I159" s="78">
        <v>71101.05</v>
      </c>
      <c r="J159" s="78">
        <v>27284.22</v>
      </c>
      <c r="K159" s="78">
        <v>15193.07</v>
      </c>
      <c r="L159" s="43">
        <v>7.6022883503502667</v>
      </c>
      <c r="M159" s="43">
        <v>11.5</v>
      </c>
      <c r="N159" s="43">
        <v>5.3149041692558541</v>
      </c>
      <c r="O159" s="43">
        <v>4.1925911821601138</v>
      </c>
      <c r="P159" s="79"/>
      <c r="Q159" s="79"/>
      <c r="R159" s="79">
        <v>1</v>
      </c>
    </row>
    <row r="160" spans="1:18" ht="24">
      <c r="A160" s="75">
        <v>5</v>
      </c>
      <c r="B160" s="72" t="s">
        <v>277</v>
      </c>
      <c r="C160" s="76" t="s">
        <v>278</v>
      </c>
      <c r="D160" s="77">
        <v>3600.51</v>
      </c>
      <c r="E160" s="77">
        <v>1888.32</v>
      </c>
      <c r="F160" s="77">
        <v>1306.24</v>
      </c>
      <c r="G160" s="77">
        <v>405.95</v>
      </c>
      <c r="H160" s="78">
        <v>30737.32</v>
      </c>
      <c r="I160" s="78">
        <v>21715.68</v>
      </c>
      <c r="J160" s="78">
        <v>6959.82</v>
      </c>
      <c r="K160" s="78">
        <v>2061.8200000000002</v>
      </c>
      <c r="L160" s="43">
        <v>8.5369350453130242</v>
      </c>
      <c r="M160" s="43">
        <v>11.5</v>
      </c>
      <c r="N160" s="43">
        <v>5.3281326555609994</v>
      </c>
      <c r="O160" s="43">
        <v>5.078999876832123</v>
      </c>
      <c r="P160" s="79"/>
      <c r="Q160" s="79"/>
      <c r="R160" s="79">
        <v>1</v>
      </c>
    </row>
    <row r="161" spans="1:18" ht="19.5" customHeight="1">
      <c r="A161" s="628" t="s">
        <v>279</v>
      </c>
      <c r="B161" s="629"/>
      <c r="C161" s="629"/>
      <c r="D161" s="629"/>
      <c r="E161" s="629"/>
      <c r="F161" s="629"/>
      <c r="G161" s="629"/>
      <c r="H161" s="629"/>
      <c r="I161" s="629"/>
      <c r="J161" s="629"/>
      <c r="K161" s="629"/>
      <c r="L161" s="629"/>
      <c r="M161" s="629"/>
      <c r="N161" s="629"/>
      <c r="O161" s="629"/>
      <c r="P161" s="629"/>
      <c r="Q161" s="629"/>
      <c r="R161" s="629"/>
    </row>
    <row r="162" spans="1:18" ht="24">
      <c r="A162" s="75">
        <v>6</v>
      </c>
      <c r="B162" s="72" t="s">
        <v>280</v>
      </c>
      <c r="C162" s="76" t="s">
        <v>281</v>
      </c>
      <c r="D162" s="77">
        <v>1162.52</v>
      </c>
      <c r="E162" s="77">
        <v>748.14</v>
      </c>
      <c r="F162" s="77">
        <v>390.48</v>
      </c>
      <c r="G162" s="77">
        <v>23.9</v>
      </c>
      <c r="H162" s="78">
        <v>10955.17</v>
      </c>
      <c r="I162" s="78">
        <v>8603.61</v>
      </c>
      <c r="J162" s="78">
        <v>2101.15</v>
      </c>
      <c r="K162" s="78">
        <v>250.41</v>
      </c>
      <c r="L162" s="43">
        <v>9.4236400233974464</v>
      </c>
      <c r="M162" s="43">
        <v>11.500000000000002</v>
      </c>
      <c r="N162" s="43">
        <v>5.3809414054497031</v>
      </c>
      <c r="O162" s="43">
        <v>10.477405857740587</v>
      </c>
      <c r="P162" s="79"/>
      <c r="Q162" s="79"/>
      <c r="R162" s="79">
        <v>2</v>
      </c>
    </row>
    <row r="163" spans="1:18" ht="24">
      <c r="A163" s="75">
        <v>7</v>
      </c>
      <c r="B163" s="72" t="s">
        <v>282</v>
      </c>
      <c r="C163" s="76" t="s">
        <v>283</v>
      </c>
      <c r="D163" s="77">
        <v>958.53</v>
      </c>
      <c r="E163" s="77">
        <v>707</v>
      </c>
      <c r="F163" s="77">
        <v>235.32</v>
      </c>
      <c r="G163" s="77">
        <v>16.21</v>
      </c>
      <c r="H163" s="78">
        <v>9560.89</v>
      </c>
      <c r="I163" s="78">
        <v>8130.45</v>
      </c>
      <c r="J163" s="78">
        <v>1249.6500000000001</v>
      </c>
      <c r="K163" s="78">
        <v>180.79</v>
      </c>
      <c r="L163" s="43">
        <v>9.9745339217343219</v>
      </c>
      <c r="M163" s="43">
        <v>11.499929278642149</v>
      </c>
      <c r="N163" s="43">
        <v>5.3104283528811838</v>
      </c>
      <c r="O163" s="43">
        <v>11.152991980259099</v>
      </c>
      <c r="P163" s="79"/>
      <c r="Q163" s="79"/>
      <c r="R163" s="79">
        <v>2</v>
      </c>
    </row>
    <row r="164" spans="1:18" ht="24">
      <c r="A164" s="75">
        <v>8</v>
      </c>
      <c r="B164" s="72" t="s">
        <v>284</v>
      </c>
      <c r="C164" s="76" t="s">
        <v>285</v>
      </c>
      <c r="D164" s="77">
        <v>1259.69</v>
      </c>
      <c r="E164" s="77">
        <v>832.88</v>
      </c>
      <c r="F164" s="77">
        <v>407.33</v>
      </c>
      <c r="G164" s="77">
        <v>19.48</v>
      </c>
      <c r="H164" s="78">
        <v>11970.82</v>
      </c>
      <c r="I164" s="78">
        <v>9578.17</v>
      </c>
      <c r="J164" s="78">
        <v>2176.33</v>
      </c>
      <c r="K164" s="78">
        <v>216.32</v>
      </c>
      <c r="L164" s="43">
        <v>9.5029888305853021</v>
      </c>
      <c r="M164" s="43">
        <v>11.500060032657766</v>
      </c>
      <c r="N164" s="43">
        <v>5.3429160631429067</v>
      </c>
      <c r="O164" s="43">
        <v>11.104722792607802</v>
      </c>
      <c r="P164" s="79"/>
      <c r="Q164" s="79"/>
      <c r="R164" s="79">
        <v>2</v>
      </c>
    </row>
    <row r="165" spans="1:18" ht="17.25" customHeight="1">
      <c r="A165" s="628" t="s">
        <v>286</v>
      </c>
      <c r="B165" s="629"/>
      <c r="C165" s="629"/>
      <c r="D165" s="629"/>
      <c r="E165" s="629"/>
      <c r="F165" s="629"/>
      <c r="G165" s="629"/>
      <c r="H165" s="629"/>
      <c r="I165" s="629"/>
      <c r="J165" s="629"/>
      <c r="K165" s="629"/>
      <c r="L165" s="629"/>
      <c r="M165" s="629"/>
      <c r="N165" s="629"/>
      <c r="O165" s="629"/>
      <c r="P165" s="629"/>
      <c r="Q165" s="629"/>
      <c r="R165" s="629"/>
    </row>
    <row r="166" spans="1:18" ht="36">
      <c r="A166" s="75">
        <v>9</v>
      </c>
      <c r="B166" s="72" t="s">
        <v>287</v>
      </c>
      <c r="C166" s="76" t="s">
        <v>288</v>
      </c>
      <c r="D166" s="77">
        <v>2174.1799999999998</v>
      </c>
      <c r="E166" s="77">
        <v>1265.4000000000001</v>
      </c>
      <c r="F166" s="77">
        <v>625.54</v>
      </c>
      <c r="G166" s="77">
        <v>283.24</v>
      </c>
      <c r="H166" s="78">
        <v>19299.419999999998</v>
      </c>
      <c r="I166" s="78">
        <v>14552.1</v>
      </c>
      <c r="J166" s="78">
        <v>3358.85</v>
      </c>
      <c r="K166" s="78">
        <v>1388.47</v>
      </c>
      <c r="L166" s="43">
        <v>8.8766431482213974</v>
      </c>
      <c r="M166" s="43">
        <v>11.5</v>
      </c>
      <c r="N166" s="43">
        <v>5.36952073408575</v>
      </c>
      <c r="O166" s="43">
        <v>4.9020971614178785</v>
      </c>
      <c r="P166" s="79"/>
      <c r="Q166" s="79"/>
      <c r="R166" s="79">
        <v>3</v>
      </c>
    </row>
    <row r="167" spans="1:18" ht="36">
      <c r="A167" s="75">
        <v>10</v>
      </c>
      <c r="B167" s="72" t="s">
        <v>289</v>
      </c>
      <c r="C167" s="76" t="s">
        <v>290</v>
      </c>
      <c r="D167" s="77">
        <v>6435.99</v>
      </c>
      <c r="E167" s="77">
        <v>3796.2</v>
      </c>
      <c r="F167" s="77">
        <v>1730.84</v>
      </c>
      <c r="G167" s="77">
        <v>908.95</v>
      </c>
      <c r="H167" s="78">
        <v>57062.92</v>
      </c>
      <c r="I167" s="78">
        <v>43656.3</v>
      </c>
      <c r="J167" s="78">
        <v>9303.82</v>
      </c>
      <c r="K167" s="78">
        <v>4102.8</v>
      </c>
      <c r="L167" s="43">
        <v>8.8662226013402758</v>
      </c>
      <c r="M167" s="43">
        <v>11.500000000000002</v>
      </c>
      <c r="N167" s="43">
        <v>5.3753206535554989</v>
      </c>
      <c r="O167" s="43">
        <v>4.513779635843556</v>
      </c>
      <c r="P167" s="79"/>
      <c r="Q167" s="79"/>
      <c r="R167" s="79">
        <v>3</v>
      </c>
    </row>
    <row r="168" spans="1:18" ht="12.75" customHeight="1">
      <c r="A168" s="628" t="s">
        <v>291</v>
      </c>
      <c r="B168" s="629"/>
      <c r="C168" s="629"/>
      <c r="D168" s="629"/>
      <c r="E168" s="629"/>
      <c r="F168" s="629"/>
      <c r="G168" s="629"/>
      <c r="H168" s="629"/>
      <c r="I168" s="629"/>
      <c r="J168" s="629"/>
      <c r="K168" s="629"/>
      <c r="L168" s="629"/>
      <c r="M168" s="629"/>
      <c r="N168" s="629"/>
      <c r="O168" s="629"/>
      <c r="P168" s="629"/>
      <c r="Q168" s="629"/>
      <c r="R168" s="629"/>
    </row>
    <row r="169" spans="1:18" ht="12.75" customHeight="1">
      <c r="A169" s="628" t="s">
        <v>292</v>
      </c>
      <c r="B169" s="629"/>
      <c r="C169" s="629"/>
      <c r="D169" s="629"/>
      <c r="E169" s="629"/>
      <c r="F169" s="629"/>
      <c r="G169" s="629"/>
      <c r="H169" s="629"/>
      <c r="I169" s="629"/>
      <c r="J169" s="629"/>
      <c r="K169" s="629"/>
      <c r="L169" s="629"/>
      <c r="M169" s="629"/>
      <c r="N169" s="629"/>
      <c r="O169" s="629"/>
      <c r="P169" s="629"/>
      <c r="Q169" s="629"/>
      <c r="R169" s="629"/>
    </row>
    <row r="170" spans="1:18" ht="24">
      <c r="A170" s="75">
        <v>11</v>
      </c>
      <c r="B170" s="72" t="s">
        <v>293</v>
      </c>
      <c r="C170" s="76" t="s">
        <v>294</v>
      </c>
      <c r="D170" s="77">
        <v>1509.33</v>
      </c>
      <c r="E170" s="77">
        <v>810.3</v>
      </c>
      <c r="F170" s="77">
        <v>546.65</v>
      </c>
      <c r="G170" s="77">
        <v>152.38</v>
      </c>
      <c r="H170" s="78">
        <v>13057.44</v>
      </c>
      <c r="I170" s="78">
        <v>9318.4500000000007</v>
      </c>
      <c r="J170" s="78">
        <v>2940.69</v>
      </c>
      <c r="K170" s="78">
        <v>798.3</v>
      </c>
      <c r="L170" s="43">
        <v>8.6511498479457778</v>
      </c>
      <c r="M170" s="43">
        <v>11.500000000000002</v>
      </c>
      <c r="N170" s="43">
        <v>5.3794749839934148</v>
      </c>
      <c r="O170" s="43">
        <v>5.2388764929780809</v>
      </c>
      <c r="P170" s="79"/>
      <c r="Q170" s="79"/>
      <c r="R170" s="79">
        <v>1</v>
      </c>
    </row>
    <row r="171" spans="1:18" ht="24">
      <c r="A171" s="75">
        <v>12</v>
      </c>
      <c r="B171" s="72" t="s">
        <v>295</v>
      </c>
      <c r="C171" s="76" t="s">
        <v>296</v>
      </c>
      <c r="D171" s="77">
        <v>2170.73</v>
      </c>
      <c r="E171" s="77">
        <v>1065.5999999999999</v>
      </c>
      <c r="F171" s="77">
        <v>797.21</v>
      </c>
      <c r="G171" s="77">
        <v>307.92</v>
      </c>
      <c r="H171" s="78">
        <v>17979.75</v>
      </c>
      <c r="I171" s="78">
        <v>12254.4</v>
      </c>
      <c r="J171" s="78">
        <v>4276.92</v>
      </c>
      <c r="K171" s="78">
        <v>1448.43</v>
      </c>
      <c r="L171" s="43">
        <v>8.2828126943470632</v>
      </c>
      <c r="M171" s="43">
        <v>11.5</v>
      </c>
      <c r="N171" s="43">
        <v>5.3648599490723896</v>
      </c>
      <c r="O171" s="43">
        <v>4.7039166017147309</v>
      </c>
      <c r="P171" s="79"/>
      <c r="Q171" s="79"/>
      <c r="R171" s="79">
        <v>1</v>
      </c>
    </row>
    <row r="172" spans="1:18" ht="12.75" customHeight="1">
      <c r="A172" s="628" t="s">
        <v>297</v>
      </c>
      <c r="B172" s="629"/>
      <c r="C172" s="629"/>
      <c r="D172" s="629"/>
      <c r="E172" s="629"/>
      <c r="F172" s="629"/>
      <c r="G172" s="629"/>
      <c r="H172" s="629"/>
      <c r="I172" s="629"/>
      <c r="J172" s="629"/>
      <c r="K172" s="629"/>
      <c r="L172" s="629"/>
      <c r="M172" s="629"/>
      <c r="N172" s="629"/>
      <c r="O172" s="629"/>
      <c r="P172" s="629"/>
      <c r="Q172" s="629"/>
      <c r="R172" s="629"/>
    </row>
    <row r="173" spans="1:18" ht="24">
      <c r="A173" s="75">
        <v>13</v>
      </c>
      <c r="B173" s="72" t="s">
        <v>298</v>
      </c>
      <c r="C173" s="76" t="s">
        <v>299</v>
      </c>
      <c r="D173" s="77">
        <v>2231.0700000000002</v>
      </c>
      <c r="E173" s="77">
        <v>955.4</v>
      </c>
      <c r="F173" s="77">
        <v>1078.97</v>
      </c>
      <c r="G173" s="77">
        <v>196.7</v>
      </c>
      <c r="H173" s="78">
        <v>17667.23</v>
      </c>
      <c r="I173" s="78">
        <v>10987.1</v>
      </c>
      <c r="J173" s="78">
        <v>5776.32</v>
      </c>
      <c r="K173" s="78">
        <v>903.81</v>
      </c>
      <c r="L173" s="43">
        <v>7.9187250960301547</v>
      </c>
      <c r="M173" s="43">
        <v>11.5</v>
      </c>
      <c r="N173" s="43">
        <v>5.3535501450457375</v>
      </c>
      <c r="O173" s="43">
        <v>4.5948652770716825</v>
      </c>
      <c r="P173" s="79"/>
      <c r="Q173" s="79"/>
      <c r="R173" s="79">
        <v>2</v>
      </c>
    </row>
    <row r="174" spans="1:18" ht="12.75" customHeight="1">
      <c r="A174" s="628" t="s">
        <v>300</v>
      </c>
      <c r="B174" s="629"/>
      <c r="C174" s="629"/>
      <c r="D174" s="629"/>
      <c r="E174" s="629"/>
      <c r="F174" s="629"/>
      <c r="G174" s="629"/>
      <c r="H174" s="629"/>
      <c r="I174" s="629"/>
      <c r="J174" s="629"/>
      <c r="K174" s="629"/>
      <c r="L174" s="629"/>
      <c r="M174" s="629"/>
      <c r="N174" s="629"/>
      <c r="O174" s="629"/>
      <c r="P174" s="629"/>
      <c r="Q174" s="629"/>
      <c r="R174" s="629"/>
    </row>
    <row r="175" spans="1:18" ht="24">
      <c r="A175" s="75">
        <v>14</v>
      </c>
      <c r="B175" s="72" t="s">
        <v>301</v>
      </c>
      <c r="C175" s="76" t="s">
        <v>302</v>
      </c>
      <c r="D175" s="77">
        <v>1590.78</v>
      </c>
      <c r="E175" s="77">
        <v>846.93</v>
      </c>
      <c r="F175" s="77">
        <v>546.66999999999996</v>
      </c>
      <c r="G175" s="77">
        <v>197.18</v>
      </c>
      <c r="H175" s="78">
        <v>13575.75</v>
      </c>
      <c r="I175" s="78">
        <v>9739.7000000000007</v>
      </c>
      <c r="J175" s="78">
        <v>2933.96</v>
      </c>
      <c r="K175" s="78">
        <v>902.09</v>
      </c>
      <c r="L175" s="43">
        <v>8.5340210462791841</v>
      </c>
      <c r="M175" s="43">
        <v>11.50000590367563</v>
      </c>
      <c r="N175" s="43">
        <v>5.3669672745897898</v>
      </c>
      <c r="O175" s="43">
        <v>4.5749568921797339</v>
      </c>
      <c r="P175" s="79"/>
      <c r="Q175" s="79"/>
      <c r="R175" s="79">
        <v>3</v>
      </c>
    </row>
    <row r="176" spans="1:18" ht="24">
      <c r="A176" s="75">
        <v>15</v>
      </c>
      <c r="B176" s="72" t="s">
        <v>303</v>
      </c>
      <c r="C176" s="76" t="s">
        <v>304</v>
      </c>
      <c r="D176" s="77">
        <v>3660.41</v>
      </c>
      <c r="E176" s="77">
        <v>1343.1</v>
      </c>
      <c r="F176" s="77">
        <v>1658.18</v>
      </c>
      <c r="G176" s="77">
        <v>659.13</v>
      </c>
      <c r="H176" s="78">
        <v>27172.92</v>
      </c>
      <c r="I176" s="78">
        <v>15445.65</v>
      </c>
      <c r="J176" s="78">
        <v>8930.3799999999992</v>
      </c>
      <c r="K176" s="78">
        <v>2796.89</v>
      </c>
      <c r="L176" s="43">
        <v>7.4234634917946352</v>
      </c>
      <c r="M176" s="43">
        <v>11.5</v>
      </c>
      <c r="N176" s="43">
        <v>5.3856517386532214</v>
      </c>
      <c r="O176" s="43">
        <v>4.2433055694627768</v>
      </c>
      <c r="P176" s="79"/>
      <c r="Q176" s="79"/>
      <c r="R176" s="79">
        <v>3</v>
      </c>
    </row>
    <row r="177" spans="1:18" ht="12.75" customHeight="1">
      <c r="A177" s="628" t="s">
        <v>305</v>
      </c>
      <c r="B177" s="629"/>
      <c r="C177" s="629"/>
      <c r="D177" s="629"/>
      <c r="E177" s="629"/>
      <c r="F177" s="629"/>
      <c r="G177" s="629"/>
      <c r="H177" s="629"/>
      <c r="I177" s="629"/>
      <c r="J177" s="629"/>
      <c r="K177" s="629"/>
      <c r="L177" s="629"/>
      <c r="M177" s="629"/>
      <c r="N177" s="629"/>
      <c r="O177" s="629"/>
      <c r="P177" s="629"/>
      <c r="Q177" s="629"/>
      <c r="R177" s="629"/>
    </row>
    <row r="178" spans="1:18" ht="24">
      <c r="A178" s="80">
        <v>16</v>
      </c>
      <c r="B178" s="81" t="s">
        <v>306</v>
      </c>
      <c r="C178" s="82" t="s">
        <v>307</v>
      </c>
      <c r="D178" s="83">
        <v>6492.51</v>
      </c>
      <c r="E178" s="83">
        <v>3237.12</v>
      </c>
      <c r="F178" s="83">
        <v>2842.57</v>
      </c>
      <c r="G178" s="83">
        <v>412.82</v>
      </c>
      <c r="H178" s="84">
        <v>55816.32</v>
      </c>
      <c r="I178" s="84">
        <v>37226.879999999997</v>
      </c>
      <c r="J178" s="84">
        <v>15521.17</v>
      </c>
      <c r="K178" s="84">
        <v>3068.27</v>
      </c>
      <c r="L178" s="611">
        <v>8.5970325806198211</v>
      </c>
      <c r="M178" s="611">
        <v>11.5</v>
      </c>
      <c r="N178" s="611">
        <v>5.4602595538544341</v>
      </c>
      <c r="O178" s="611">
        <v>7.4324645123782762</v>
      </c>
      <c r="P178" s="85"/>
      <c r="Q178" s="85"/>
      <c r="R178" s="85">
        <v>4</v>
      </c>
    </row>
    <row r="179" spans="1:18" ht="12.75" customHeight="1">
      <c r="A179" s="630" t="s">
        <v>308</v>
      </c>
      <c r="B179" s="631"/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</row>
    <row r="180" spans="1:18" ht="12.75" customHeight="1">
      <c r="A180" s="628" t="s">
        <v>309</v>
      </c>
      <c r="B180" s="629"/>
      <c r="C180" s="629"/>
      <c r="D180" s="629"/>
      <c r="E180" s="629"/>
      <c r="F180" s="629"/>
      <c r="G180" s="629"/>
      <c r="H180" s="629"/>
      <c r="I180" s="629"/>
      <c r="J180" s="629"/>
      <c r="K180" s="629"/>
      <c r="L180" s="629"/>
      <c r="M180" s="629"/>
      <c r="N180" s="629"/>
      <c r="O180" s="629"/>
      <c r="P180" s="629"/>
      <c r="Q180" s="629"/>
      <c r="R180" s="629"/>
    </row>
    <row r="181" spans="1:18" ht="12.75" customHeight="1">
      <c r="A181" s="628" t="s">
        <v>310</v>
      </c>
      <c r="B181" s="629"/>
      <c r="C181" s="629"/>
      <c r="D181" s="629"/>
      <c r="E181" s="629"/>
      <c r="F181" s="629"/>
      <c r="G181" s="629"/>
      <c r="H181" s="629"/>
      <c r="I181" s="629"/>
      <c r="J181" s="629"/>
      <c r="K181" s="629"/>
      <c r="L181" s="629"/>
      <c r="M181" s="629"/>
      <c r="N181" s="629"/>
      <c r="O181" s="629"/>
      <c r="P181" s="629"/>
      <c r="Q181" s="629"/>
      <c r="R181" s="629"/>
    </row>
    <row r="182" spans="1:18" ht="24">
      <c r="A182" s="75">
        <v>17</v>
      </c>
      <c r="B182" s="72" t="s">
        <v>311</v>
      </c>
      <c r="C182" s="76" t="s">
        <v>312</v>
      </c>
      <c r="D182" s="77">
        <v>674.92</v>
      </c>
      <c r="E182" s="77">
        <v>369.69</v>
      </c>
      <c r="F182" s="77">
        <v>180.37</v>
      </c>
      <c r="G182" s="77">
        <v>124.86</v>
      </c>
      <c r="H182" s="78">
        <v>5756.98</v>
      </c>
      <c r="I182" s="78">
        <v>4251.59</v>
      </c>
      <c r="J182" s="78">
        <v>972.42</v>
      </c>
      <c r="K182" s="78">
        <v>532.97</v>
      </c>
      <c r="L182" s="43">
        <v>8.5298702068393286</v>
      </c>
      <c r="M182" s="43">
        <v>11.500419270199357</v>
      </c>
      <c r="N182" s="43">
        <v>5.391251316737816</v>
      </c>
      <c r="O182" s="43">
        <v>4.2685407656575363</v>
      </c>
      <c r="P182" s="79"/>
      <c r="Q182" s="79"/>
      <c r="R182" s="79">
        <v>1</v>
      </c>
    </row>
    <row r="183" spans="1:18" ht="24">
      <c r="A183" s="75">
        <v>18</v>
      </c>
      <c r="B183" s="72" t="s">
        <v>313</v>
      </c>
      <c r="C183" s="76" t="s">
        <v>314</v>
      </c>
      <c r="D183" s="77">
        <v>1723.9</v>
      </c>
      <c r="E183" s="77">
        <v>800.81</v>
      </c>
      <c r="F183" s="77">
        <v>640.79</v>
      </c>
      <c r="G183" s="77">
        <v>282.3</v>
      </c>
      <c r="H183" s="78">
        <v>13861.83</v>
      </c>
      <c r="I183" s="78">
        <v>9209.68</v>
      </c>
      <c r="J183" s="78">
        <v>3442.76</v>
      </c>
      <c r="K183" s="78">
        <v>1209.3900000000001</v>
      </c>
      <c r="L183" s="43">
        <v>8.0409710540054515</v>
      </c>
      <c r="M183" s="43">
        <v>11.500455788514131</v>
      </c>
      <c r="N183" s="43">
        <v>5.3726805973876006</v>
      </c>
      <c r="O183" s="43">
        <v>4.2840595111583424</v>
      </c>
      <c r="P183" s="79"/>
      <c r="Q183" s="79"/>
      <c r="R183" s="79">
        <v>1</v>
      </c>
    </row>
    <row r="184" spans="1:18" ht="12.75" customHeight="1">
      <c r="A184" s="628" t="s">
        <v>315</v>
      </c>
      <c r="B184" s="629"/>
      <c r="C184" s="629"/>
      <c r="D184" s="629"/>
      <c r="E184" s="629"/>
      <c r="F184" s="629"/>
      <c r="G184" s="629"/>
      <c r="H184" s="629"/>
      <c r="I184" s="629"/>
      <c r="J184" s="629"/>
      <c r="K184" s="629"/>
      <c r="L184" s="629"/>
      <c r="M184" s="629"/>
      <c r="N184" s="629"/>
      <c r="O184" s="629"/>
      <c r="P184" s="629"/>
      <c r="Q184" s="629"/>
      <c r="R184" s="629"/>
    </row>
    <row r="185" spans="1:18" ht="12.75" customHeight="1">
      <c r="A185" s="628" t="s">
        <v>316</v>
      </c>
      <c r="B185" s="629"/>
      <c r="C185" s="629"/>
      <c r="D185" s="629"/>
      <c r="E185" s="629"/>
      <c r="F185" s="629"/>
      <c r="G185" s="629"/>
      <c r="H185" s="629"/>
      <c r="I185" s="629"/>
      <c r="J185" s="629"/>
      <c r="K185" s="629"/>
      <c r="L185" s="629"/>
      <c r="M185" s="629"/>
      <c r="N185" s="629"/>
      <c r="O185" s="629"/>
      <c r="P185" s="629"/>
      <c r="Q185" s="629"/>
      <c r="R185" s="629"/>
    </row>
    <row r="186" spans="1:18" ht="32.25" customHeight="1">
      <c r="A186" s="75">
        <v>19</v>
      </c>
      <c r="B186" s="72" t="s">
        <v>317</v>
      </c>
      <c r="C186" s="76" t="s">
        <v>318</v>
      </c>
      <c r="D186" s="77">
        <v>434.21</v>
      </c>
      <c r="E186" s="77">
        <v>151.74</v>
      </c>
      <c r="F186" s="77">
        <v>200.04</v>
      </c>
      <c r="G186" s="77">
        <v>82.43</v>
      </c>
      <c r="H186" s="78">
        <v>3167.99</v>
      </c>
      <c r="I186" s="78">
        <v>1745.01</v>
      </c>
      <c r="J186" s="78">
        <v>1070.31</v>
      </c>
      <c r="K186" s="78">
        <v>352.67</v>
      </c>
      <c r="L186" s="43">
        <v>7.295985813316137</v>
      </c>
      <c r="M186" s="43">
        <v>11.5</v>
      </c>
      <c r="N186" s="43">
        <v>5.3504799040191964</v>
      </c>
      <c r="O186" s="43">
        <v>4.2784180516802133</v>
      </c>
      <c r="P186" s="79"/>
      <c r="Q186" s="79"/>
      <c r="R186" s="79">
        <v>1</v>
      </c>
    </row>
    <row r="187" spans="1:18" ht="24">
      <c r="A187" s="75">
        <v>20</v>
      </c>
      <c r="B187" s="72" t="s">
        <v>319</v>
      </c>
      <c r="C187" s="76" t="s">
        <v>320</v>
      </c>
      <c r="D187" s="77">
        <v>966.02</v>
      </c>
      <c r="E187" s="77">
        <v>315.83999999999997</v>
      </c>
      <c r="F187" s="77">
        <v>596.91</v>
      </c>
      <c r="G187" s="77">
        <v>53.27</v>
      </c>
      <c r="H187" s="78">
        <v>7095.67</v>
      </c>
      <c r="I187" s="78">
        <v>3632.21</v>
      </c>
      <c r="J187" s="78">
        <v>3209.01</v>
      </c>
      <c r="K187" s="78">
        <v>254.45</v>
      </c>
      <c r="L187" s="43">
        <v>7.3452620028570843</v>
      </c>
      <c r="M187" s="43">
        <v>11.500158308004053</v>
      </c>
      <c r="N187" s="43">
        <v>5.3760365884304173</v>
      </c>
      <c r="O187" s="43">
        <v>4.7766097240473053</v>
      </c>
      <c r="P187" s="79"/>
      <c r="Q187" s="79"/>
      <c r="R187" s="79">
        <v>1</v>
      </c>
    </row>
    <row r="188" spans="1:18" ht="24">
      <c r="A188" s="75">
        <v>21</v>
      </c>
      <c r="B188" s="72" t="s">
        <v>321</v>
      </c>
      <c r="C188" s="76" t="s">
        <v>322</v>
      </c>
      <c r="D188" s="77">
        <v>411.21</v>
      </c>
      <c r="E188" s="77">
        <v>151.74</v>
      </c>
      <c r="F188" s="77">
        <v>206.65</v>
      </c>
      <c r="G188" s="77">
        <v>52.82</v>
      </c>
      <c r="H188" s="78">
        <v>3118.4</v>
      </c>
      <c r="I188" s="78">
        <v>1745.01</v>
      </c>
      <c r="J188" s="78">
        <v>1127.51</v>
      </c>
      <c r="K188" s="78">
        <v>245.88</v>
      </c>
      <c r="L188" s="43">
        <v>7.5834731645631193</v>
      </c>
      <c r="M188" s="43">
        <v>11.5</v>
      </c>
      <c r="N188" s="43">
        <v>5.4561335591579967</v>
      </c>
      <c r="O188" s="43">
        <v>4.6550549034456647</v>
      </c>
      <c r="P188" s="79"/>
      <c r="Q188" s="79"/>
      <c r="R188" s="79">
        <v>1</v>
      </c>
    </row>
    <row r="189" spans="1:18" ht="36">
      <c r="A189" s="75">
        <v>22</v>
      </c>
      <c r="B189" s="72" t="s">
        <v>323</v>
      </c>
      <c r="C189" s="76" t="s">
        <v>324</v>
      </c>
      <c r="D189" s="77">
        <v>1254.6199999999999</v>
      </c>
      <c r="E189" s="77">
        <v>871.1</v>
      </c>
      <c r="F189" s="77">
        <v>289.08</v>
      </c>
      <c r="G189" s="77">
        <v>94.44</v>
      </c>
      <c r="H189" s="78">
        <v>12061.96</v>
      </c>
      <c r="I189" s="78">
        <v>10017.65</v>
      </c>
      <c r="J189" s="78">
        <v>1547.02</v>
      </c>
      <c r="K189" s="78">
        <v>497.29</v>
      </c>
      <c r="L189" s="43">
        <v>9.6140345283830957</v>
      </c>
      <c r="M189" s="43">
        <v>11.5</v>
      </c>
      <c r="N189" s="43">
        <v>5.3515289885152901</v>
      </c>
      <c r="O189" s="43">
        <v>5.2656713257094454</v>
      </c>
      <c r="P189" s="79"/>
      <c r="Q189" s="79"/>
      <c r="R189" s="79">
        <v>1</v>
      </c>
    </row>
    <row r="190" spans="1:18" ht="36">
      <c r="A190" s="75">
        <v>23</v>
      </c>
      <c r="B190" s="72" t="s">
        <v>325</v>
      </c>
      <c r="C190" s="76" t="s">
        <v>326</v>
      </c>
      <c r="D190" s="77">
        <v>702.86</v>
      </c>
      <c r="E190" s="77">
        <v>404.64</v>
      </c>
      <c r="F190" s="77">
        <v>214.56</v>
      </c>
      <c r="G190" s="77">
        <v>83.66</v>
      </c>
      <c r="H190" s="78">
        <v>6206.44</v>
      </c>
      <c r="I190" s="78">
        <v>4653.3599999999997</v>
      </c>
      <c r="J190" s="78">
        <v>1153.95</v>
      </c>
      <c r="K190" s="78">
        <v>399.13</v>
      </c>
      <c r="L190" s="43">
        <v>8.8302649176222854</v>
      </c>
      <c r="M190" s="43">
        <v>11.5</v>
      </c>
      <c r="N190" s="43">
        <v>5.3782158836689042</v>
      </c>
      <c r="O190" s="43">
        <v>4.7708582357159939</v>
      </c>
      <c r="P190" s="79"/>
      <c r="Q190" s="79"/>
      <c r="R190" s="79">
        <v>1</v>
      </c>
    </row>
    <row r="191" spans="1:18" ht="36">
      <c r="A191" s="75">
        <v>24</v>
      </c>
      <c r="B191" s="72" t="s">
        <v>327</v>
      </c>
      <c r="C191" s="76" t="s">
        <v>328</v>
      </c>
      <c r="D191" s="77">
        <v>576.6</v>
      </c>
      <c r="E191" s="77">
        <v>240.54</v>
      </c>
      <c r="F191" s="77">
        <v>215.13</v>
      </c>
      <c r="G191" s="77">
        <v>120.93</v>
      </c>
      <c r="H191" s="78">
        <v>4453.4799999999996</v>
      </c>
      <c r="I191" s="78">
        <v>2766.16</v>
      </c>
      <c r="J191" s="78">
        <v>1159.55</v>
      </c>
      <c r="K191" s="78">
        <v>527.77</v>
      </c>
      <c r="L191" s="43">
        <v>7.7236906000693715</v>
      </c>
      <c r="M191" s="43">
        <v>11.499792134364347</v>
      </c>
      <c r="N191" s="43">
        <v>5.3899967461534883</v>
      </c>
      <c r="O191" s="43">
        <v>4.3642603158852227</v>
      </c>
      <c r="P191" s="79"/>
      <c r="Q191" s="79"/>
      <c r="R191" s="79">
        <v>1</v>
      </c>
    </row>
    <row r="192" spans="1:18" ht="27.75" customHeight="1">
      <c r="A192" s="75">
        <v>25</v>
      </c>
      <c r="B192" s="72" t="s">
        <v>329</v>
      </c>
      <c r="C192" s="76" t="s">
        <v>330</v>
      </c>
      <c r="D192" s="77">
        <v>583.4</v>
      </c>
      <c r="E192" s="77">
        <v>229.3</v>
      </c>
      <c r="F192" s="77">
        <v>217.91</v>
      </c>
      <c r="G192" s="77">
        <v>136.19</v>
      </c>
      <c r="H192" s="78">
        <v>4370.12</v>
      </c>
      <c r="I192" s="78">
        <v>2636.9</v>
      </c>
      <c r="J192" s="78">
        <v>1174.04</v>
      </c>
      <c r="K192" s="78">
        <v>559.17999999999995</v>
      </c>
      <c r="L192" s="43">
        <v>7.4907781967775113</v>
      </c>
      <c r="M192" s="43">
        <v>11.499781945050152</v>
      </c>
      <c r="N192" s="43">
        <v>5.3877288788949569</v>
      </c>
      <c r="O192" s="43">
        <v>4.1058814890961157</v>
      </c>
      <c r="P192" s="79"/>
      <c r="Q192" s="79"/>
      <c r="R192" s="79">
        <v>1</v>
      </c>
    </row>
    <row r="193" spans="1:18" ht="12.75" customHeight="1">
      <c r="A193" s="628" t="s">
        <v>331</v>
      </c>
      <c r="B193" s="629"/>
      <c r="C193" s="629"/>
      <c r="D193" s="629"/>
      <c r="E193" s="629"/>
      <c r="F193" s="629"/>
      <c r="G193" s="629"/>
      <c r="H193" s="629"/>
      <c r="I193" s="629"/>
      <c r="J193" s="629"/>
      <c r="K193" s="629"/>
      <c r="L193" s="629"/>
      <c r="M193" s="629"/>
      <c r="N193" s="629"/>
      <c r="O193" s="629"/>
      <c r="P193" s="629"/>
      <c r="Q193" s="629"/>
      <c r="R193" s="629"/>
    </row>
    <row r="194" spans="1:18" ht="17.25" customHeight="1">
      <c r="A194" s="628" t="s">
        <v>332</v>
      </c>
      <c r="B194" s="629"/>
      <c r="C194" s="629"/>
      <c r="D194" s="629"/>
      <c r="E194" s="629"/>
      <c r="F194" s="629"/>
      <c r="G194" s="629"/>
      <c r="H194" s="629"/>
      <c r="I194" s="629"/>
      <c r="J194" s="629"/>
      <c r="K194" s="629"/>
      <c r="L194" s="629"/>
      <c r="M194" s="629"/>
      <c r="N194" s="629"/>
      <c r="O194" s="629"/>
      <c r="P194" s="629"/>
      <c r="Q194" s="629"/>
      <c r="R194" s="629"/>
    </row>
    <row r="195" spans="1:18" ht="36">
      <c r="A195" s="75">
        <v>26</v>
      </c>
      <c r="B195" s="72" t="s">
        <v>333</v>
      </c>
      <c r="C195" s="76" t="s">
        <v>334</v>
      </c>
      <c r="D195" s="77">
        <v>4456.34</v>
      </c>
      <c r="E195" s="77">
        <v>1618.56</v>
      </c>
      <c r="F195" s="77">
        <v>2174.69</v>
      </c>
      <c r="G195" s="77">
        <v>663.09</v>
      </c>
      <c r="H195" s="78">
        <v>33229.57</v>
      </c>
      <c r="I195" s="78">
        <v>18613.439999999999</v>
      </c>
      <c r="J195" s="78">
        <v>11624.03</v>
      </c>
      <c r="K195" s="78">
        <v>2992.1</v>
      </c>
      <c r="L195" s="43">
        <v>7.4566954047491887</v>
      </c>
      <c r="M195" s="43">
        <v>11.5</v>
      </c>
      <c r="N195" s="43">
        <v>5.3451434457324956</v>
      </c>
      <c r="O195" s="43">
        <v>4.5123588049887644</v>
      </c>
      <c r="P195" s="79"/>
      <c r="Q195" s="79"/>
      <c r="R195" s="79">
        <v>1</v>
      </c>
    </row>
    <row r="196" spans="1:18" ht="12.75" customHeight="1">
      <c r="A196" s="628" t="s">
        <v>335</v>
      </c>
      <c r="B196" s="629"/>
      <c r="C196" s="629"/>
      <c r="D196" s="629"/>
      <c r="E196" s="629"/>
      <c r="F196" s="629"/>
      <c r="G196" s="629"/>
      <c r="H196" s="629"/>
      <c r="I196" s="629"/>
      <c r="J196" s="629"/>
      <c r="K196" s="629"/>
      <c r="L196" s="629"/>
      <c r="M196" s="629"/>
      <c r="N196" s="629"/>
      <c r="O196" s="629"/>
      <c r="P196" s="629"/>
      <c r="Q196" s="629"/>
      <c r="R196" s="629"/>
    </row>
    <row r="197" spans="1:18" ht="24">
      <c r="A197" s="75">
        <v>27</v>
      </c>
      <c r="B197" s="72" t="s">
        <v>336</v>
      </c>
      <c r="C197" s="76" t="s">
        <v>337</v>
      </c>
      <c r="D197" s="77">
        <v>1189.25</v>
      </c>
      <c r="E197" s="77">
        <v>905.39</v>
      </c>
      <c r="F197" s="77">
        <v>243.39</v>
      </c>
      <c r="G197" s="77">
        <v>40.47</v>
      </c>
      <c r="H197" s="78">
        <v>12025.46</v>
      </c>
      <c r="I197" s="78">
        <v>10412.01</v>
      </c>
      <c r="J197" s="78">
        <v>1318.26</v>
      </c>
      <c r="K197" s="78">
        <v>295.19</v>
      </c>
      <c r="L197" s="43">
        <v>10.11180155560227</v>
      </c>
      <c r="M197" s="43">
        <v>11.500027612410122</v>
      </c>
      <c r="N197" s="43">
        <v>5.416245531862443</v>
      </c>
      <c r="O197" s="43">
        <v>7.2940449715838893</v>
      </c>
      <c r="P197" s="79"/>
      <c r="Q197" s="79"/>
      <c r="R197" s="79">
        <v>2</v>
      </c>
    </row>
    <row r="198" spans="1:18" ht="12.75" customHeight="1">
      <c r="A198" s="628" t="s">
        <v>338</v>
      </c>
      <c r="B198" s="629"/>
      <c r="C198" s="629"/>
      <c r="D198" s="629"/>
      <c r="E198" s="629"/>
      <c r="F198" s="629"/>
      <c r="G198" s="629"/>
      <c r="H198" s="629"/>
      <c r="I198" s="629"/>
      <c r="J198" s="629"/>
      <c r="K198" s="629"/>
      <c r="L198" s="629"/>
      <c r="M198" s="629"/>
      <c r="N198" s="629"/>
      <c r="O198" s="629"/>
      <c r="P198" s="629"/>
      <c r="Q198" s="629"/>
      <c r="R198" s="629"/>
    </row>
    <row r="199" spans="1:18" ht="12.75" customHeight="1">
      <c r="A199" s="628" t="s">
        <v>339</v>
      </c>
      <c r="B199" s="629"/>
      <c r="C199" s="629"/>
      <c r="D199" s="629"/>
      <c r="E199" s="629"/>
      <c r="F199" s="629"/>
      <c r="G199" s="629"/>
      <c r="H199" s="629"/>
      <c r="I199" s="629"/>
      <c r="J199" s="629"/>
      <c r="K199" s="629"/>
      <c r="L199" s="629"/>
      <c r="M199" s="629"/>
      <c r="N199" s="629"/>
      <c r="O199" s="629"/>
      <c r="P199" s="629"/>
      <c r="Q199" s="629"/>
      <c r="R199" s="629"/>
    </row>
    <row r="200" spans="1:18" ht="24">
      <c r="A200" s="75">
        <v>28</v>
      </c>
      <c r="B200" s="72" t="s">
        <v>340</v>
      </c>
      <c r="C200" s="76" t="s">
        <v>341</v>
      </c>
      <c r="D200" s="77">
        <v>875.5</v>
      </c>
      <c r="E200" s="77">
        <v>412.37</v>
      </c>
      <c r="F200" s="77">
        <v>280.05</v>
      </c>
      <c r="G200" s="77">
        <v>183.08</v>
      </c>
      <c r="H200" s="78">
        <v>7003.64</v>
      </c>
      <c r="I200" s="78">
        <v>4742.2299999999996</v>
      </c>
      <c r="J200" s="78">
        <v>1506.63</v>
      </c>
      <c r="K200" s="78">
        <v>754.78</v>
      </c>
      <c r="L200" s="43">
        <v>7.9995888063963454</v>
      </c>
      <c r="M200" s="43">
        <v>11.49993937483328</v>
      </c>
      <c r="N200" s="43">
        <v>5.379860739153723</v>
      </c>
      <c r="O200" s="43">
        <v>4.1226786104435211</v>
      </c>
      <c r="P200" s="79"/>
      <c r="Q200" s="79"/>
      <c r="R200" s="79">
        <v>1</v>
      </c>
    </row>
    <row r="201" spans="1:18" ht="24">
      <c r="A201" s="75">
        <v>29</v>
      </c>
      <c r="B201" s="72" t="s">
        <v>342</v>
      </c>
      <c r="C201" s="76" t="s">
        <v>343</v>
      </c>
      <c r="D201" s="77">
        <v>625.41999999999996</v>
      </c>
      <c r="E201" s="77">
        <v>352.94</v>
      </c>
      <c r="F201" s="77">
        <v>243.03</v>
      </c>
      <c r="G201" s="77">
        <v>29.45</v>
      </c>
      <c r="H201" s="78">
        <v>5512.78</v>
      </c>
      <c r="I201" s="78">
        <v>4058.76</v>
      </c>
      <c r="J201" s="78">
        <v>1285.6099999999999</v>
      </c>
      <c r="K201" s="78">
        <v>168.41</v>
      </c>
      <c r="L201" s="43">
        <v>8.8145246394422951</v>
      </c>
      <c r="M201" s="43">
        <v>11.499858332861111</v>
      </c>
      <c r="N201" s="43">
        <v>5.2899230547669012</v>
      </c>
      <c r="O201" s="43">
        <v>5.7185059422750424</v>
      </c>
      <c r="P201" s="79"/>
      <c r="Q201" s="79"/>
      <c r="R201" s="79">
        <v>1</v>
      </c>
    </row>
    <row r="202" spans="1:18" ht="12.75" customHeight="1">
      <c r="A202" s="628" t="s">
        <v>344</v>
      </c>
      <c r="B202" s="629"/>
      <c r="C202" s="629"/>
      <c r="D202" s="629"/>
      <c r="E202" s="629"/>
      <c r="F202" s="629"/>
      <c r="G202" s="629"/>
      <c r="H202" s="629"/>
      <c r="I202" s="629"/>
      <c r="J202" s="629"/>
      <c r="K202" s="629"/>
      <c r="L202" s="629"/>
      <c r="M202" s="629"/>
      <c r="N202" s="629"/>
      <c r="O202" s="629"/>
      <c r="P202" s="629"/>
      <c r="Q202" s="629"/>
      <c r="R202" s="629"/>
    </row>
    <row r="203" spans="1:18" ht="24">
      <c r="A203" s="75">
        <v>30</v>
      </c>
      <c r="B203" s="72" t="s">
        <v>345</v>
      </c>
      <c r="C203" s="76" t="s">
        <v>346</v>
      </c>
      <c r="D203" s="77">
        <v>3088.55</v>
      </c>
      <c r="E203" s="77">
        <v>1498.5</v>
      </c>
      <c r="F203" s="77">
        <v>1214.6099999999999</v>
      </c>
      <c r="G203" s="77">
        <v>375.44</v>
      </c>
      <c r="H203" s="78">
        <v>25620.44</v>
      </c>
      <c r="I203" s="78">
        <v>17232.75</v>
      </c>
      <c r="J203" s="78">
        <v>6614.63</v>
      </c>
      <c r="K203" s="78">
        <v>1773.06</v>
      </c>
      <c r="L203" s="43">
        <v>8.2952971459098919</v>
      </c>
      <c r="M203" s="43">
        <v>11.5</v>
      </c>
      <c r="N203" s="43">
        <v>5.4458879805040308</v>
      </c>
      <c r="O203" s="43">
        <v>4.7226187939484339</v>
      </c>
      <c r="P203" s="79"/>
      <c r="Q203" s="79"/>
      <c r="R203" s="79">
        <v>2</v>
      </c>
    </row>
    <row r="204" spans="1:18" ht="24">
      <c r="A204" s="75">
        <v>31</v>
      </c>
      <c r="B204" s="72" t="s">
        <v>347</v>
      </c>
      <c r="C204" s="76" t="s">
        <v>348</v>
      </c>
      <c r="D204" s="77">
        <v>2385.0700000000002</v>
      </c>
      <c r="E204" s="77">
        <v>1652.28</v>
      </c>
      <c r="F204" s="77">
        <v>608.19000000000005</v>
      </c>
      <c r="G204" s="77">
        <v>124.6</v>
      </c>
      <c r="H204" s="78">
        <v>23017.55</v>
      </c>
      <c r="I204" s="78">
        <v>19001.22</v>
      </c>
      <c r="J204" s="78">
        <v>3270.09</v>
      </c>
      <c r="K204" s="78">
        <v>746.24</v>
      </c>
      <c r="L204" s="43">
        <v>9.6506811120847598</v>
      </c>
      <c r="M204" s="43">
        <v>11.500000000000002</v>
      </c>
      <c r="N204" s="43">
        <v>5.3767572633552012</v>
      </c>
      <c r="O204" s="43">
        <v>5.9890850722311404</v>
      </c>
      <c r="P204" s="79"/>
      <c r="Q204" s="79"/>
      <c r="R204" s="79">
        <v>2</v>
      </c>
    </row>
    <row r="205" spans="1:18" ht="12.75" customHeight="1">
      <c r="A205" s="628" t="s">
        <v>349</v>
      </c>
      <c r="B205" s="629"/>
      <c r="C205" s="629"/>
      <c r="D205" s="629"/>
      <c r="E205" s="629"/>
      <c r="F205" s="629"/>
      <c r="G205" s="629"/>
      <c r="H205" s="629"/>
      <c r="I205" s="629"/>
      <c r="J205" s="629"/>
      <c r="K205" s="629"/>
      <c r="L205" s="629"/>
      <c r="M205" s="629"/>
      <c r="N205" s="629"/>
      <c r="O205" s="629"/>
      <c r="P205" s="629"/>
      <c r="Q205" s="629"/>
      <c r="R205" s="629"/>
    </row>
    <row r="206" spans="1:18" ht="12.75" customHeight="1">
      <c r="A206" s="628" t="s">
        <v>350</v>
      </c>
      <c r="B206" s="629"/>
      <c r="C206" s="629"/>
      <c r="D206" s="629"/>
      <c r="E206" s="629"/>
      <c r="F206" s="629"/>
      <c r="G206" s="629"/>
      <c r="H206" s="629"/>
      <c r="I206" s="629"/>
      <c r="J206" s="629"/>
      <c r="K206" s="629"/>
      <c r="L206" s="629"/>
      <c r="M206" s="629"/>
      <c r="N206" s="629"/>
      <c r="O206" s="629"/>
      <c r="P206" s="629"/>
      <c r="Q206" s="629"/>
      <c r="R206" s="629"/>
    </row>
    <row r="207" spans="1:18" ht="24">
      <c r="A207" s="75">
        <v>32</v>
      </c>
      <c r="B207" s="72" t="s">
        <v>351</v>
      </c>
      <c r="C207" s="76" t="s">
        <v>352</v>
      </c>
      <c r="D207" s="77">
        <v>1834.26</v>
      </c>
      <c r="E207" s="77">
        <v>871.1</v>
      </c>
      <c r="F207" s="77">
        <v>686.31</v>
      </c>
      <c r="G207" s="77">
        <v>276.85000000000002</v>
      </c>
      <c r="H207" s="78">
        <v>15027.52</v>
      </c>
      <c r="I207" s="78">
        <v>10017.65</v>
      </c>
      <c r="J207" s="78">
        <v>3699.02</v>
      </c>
      <c r="K207" s="78">
        <v>1310.85</v>
      </c>
      <c r="L207" s="43">
        <v>8.1926880594899316</v>
      </c>
      <c r="M207" s="43">
        <v>11.5</v>
      </c>
      <c r="N207" s="43">
        <v>5.3897218458131171</v>
      </c>
      <c r="O207" s="43">
        <v>4.7348744807657566</v>
      </c>
      <c r="P207" s="79"/>
      <c r="Q207" s="79"/>
      <c r="R207" s="79">
        <v>1</v>
      </c>
    </row>
    <row r="208" spans="1:18" ht="24">
      <c r="A208" s="75">
        <v>33</v>
      </c>
      <c r="B208" s="72" t="s">
        <v>353</v>
      </c>
      <c r="C208" s="76" t="s">
        <v>354</v>
      </c>
      <c r="D208" s="77">
        <v>8140.9</v>
      </c>
      <c r="E208" s="77">
        <v>3259.6</v>
      </c>
      <c r="F208" s="77">
        <v>3609.87</v>
      </c>
      <c r="G208" s="77">
        <v>1271.43</v>
      </c>
      <c r="H208" s="78">
        <v>62490.98</v>
      </c>
      <c r="I208" s="78">
        <v>37485.4</v>
      </c>
      <c r="J208" s="78">
        <v>19354.61</v>
      </c>
      <c r="K208" s="78">
        <v>5650.97</v>
      </c>
      <c r="L208" s="43">
        <v>7.6761758527926895</v>
      </c>
      <c r="M208" s="43">
        <v>11.5</v>
      </c>
      <c r="N208" s="43">
        <v>5.361580887954414</v>
      </c>
      <c r="O208" s="43">
        <v>4.4445781521593792</v>
      </c>
      <c r="P208" s="79"/>
      <c r="Q208" s="79"/>
      <c r="R208" s="79">
        <v>1</v>
      </c>
    </row>
    <row r="209" spans="1:18" ht="12.75" customHeight="1">
      <c r="A209" s="628" t="s">
        <v>355</v>
      </c>
      <c r="B209" s="629"/>
      <c r="C209" s="629"/>
      <c r="D209" s="629"/>
      <c r="E209" s="629"/>
      <c r="F209" s="629"/>
      <c r="G209" s="629"/>
      <c r="H209" s="629"/>
      <c r="I209" s="629"/>
      <c r="J209" s="629"/>
      <c r="K209" s="629"/>
      <c r="L209" s="629"/>
      <c r="M209" s="629"/>
      <c r="N209" s="629"/>
      <c r="O209" s="629"/>
      <c r="P209" s="629"/>
      <c r="Q209" s="629"/>
      <c r="R209" s="629"/>
    </row>
    <row r="210" spans="1:18" ht="24">
      <c r="A210" s="75">
        <v>34</v>
      </c>
      <c r="B210" s="72" t="s">
        <v>356</v>
      </c>
      <c r="C210" s="76" t="s">
        <v>357</v>
      </c>
      <c r="D210" s="77">
        <v>1157.79</v>
      </c>
      <c r="E210" s="77">
        <v>634.91999999999996</v>
      </c>
      <c r="F210" s="77">
        <v>309.60000000000002</v>
      </c>
      <c r="G210" s="77">
        <v>213.27</v>
      </c>
      <c r="H210" s="78">
        <v>9999.4599999999991</v>
      </c>
      <c r="I210" s="78">
        <v>7301.58</v>
      </c>
      <c r="J210" s="78">
        <v>1666.35</v>
      </c>
      <c r="K210" s="78">
        <v>1031.53</v>
      </c>
      <c r="L210" s="43">
        <v>8.6366784995551864</v>
      </c>
      <c r="M210" s="43">
        <v>11.5</v>
      </c>
      <c r="N210" s="43">
        <v>5.3822674418604644</v>
      </c>
      <c r="O210" s="43">
        <v>4.8367327800440751</v>
      </c>
      <c r="P210" s="79"/>
      <c r="Q210" s="79"/>
      <c r="R210" s="79">
        <v>2</v>
      </c>
    </row>
    <row r="211" spans="1:18" ht="12.75" customHeight="1">
      <c r="A211" s="628" t="s">
        <v>358</v>
      </c>
      <c r="B211" s="629"/>
      <c r="C211" s="629"/>
      <c r="D211" s="629"/>
      <c r="E211" s="629"/>
      <c r="F211" s="629"/>
      <c r="G211" s="629"/>
      <c r="H211" s="629"/>
      <c r="I211" s="629"/>
      <c r="J211" s="629"/>
      <c r="K211" s="629"/>
      <c r="L211" s="629"/>
      <c r="M211" s="629"/>
      <c r="N211" s="629"/>
      <c r="O211" s="629"/>
      <c r="P211" s="629"/>
      <c r="Q211" s="629"/>
      <c r="R211" s="629"/>
    </row>
    <row r="212" spans="1:18" ht="24">
      <c r="A212" s="75">
        <v>35</v>
      </c>
      <c r="B212" s="72" t="s">
        <v>359</v>
      </c>
      <c r="C212" s="76" t="s">
        <v>360</v>
      </c>
      <c r="D212" s="77">
        <v>498.04</v>
      </c>
      <c r="E212" s="77">
        <v>261.08999999999997</v>
      </c>
      <c r="F212" s="77">
        <v>197.13</v>
      </c>
      <c r="G212" s="77">
        <v>39.82</v>
      </c>
      <c r="H212" s="78">
        <v>4268.8900000000003</v>
      </c>
      <c r="I212" s="78">
        <v>3002.61</v>
      </c>
      <c r="J212" s="78">
        <v>1055.6500000000001</v>
      </c>
      <c r="K212" s="78">
        <v>210.63</v>
      </c>
      <c r="L212" s="43">
        <v>8.5713798088506952</v>
      </c>
      <c r="M212" s="43">
        <v>11.50028725726761</v>
      </c>
      <c r="N212" s="43">
        <v>5.3550956221782586</v>
      </c>
      <c r="O212" s="43">
        <v>5.2895529884480164</v>
      </c>
      <c r="P212" s="79"/>
      <c r="Q212" s="79"/>
      <c r="R212" s="79">
        <v>3</v>
      </c>
    </row>
    <row r="213" spans="1:18" ht="24">
      <c r="A213" s="75">
        <v>36</v>
      </c>
      <c r="B213" s="72" t="s">
        <v>361</v>
      </c>
      <c r="C213" s="76" t="s">
        <v>362</v>
      </c>
      <c r="D213" s="77">
        <v>517.07000000000005</v>
      </c>
      <c r="E213" s="77">
        <v>261.08999999999997</v>
      </c>
      <c r="F213" s="77">
        <v>191.49</v>
      </c>
      <c r="G213" s="77">
        <v>64.489999999999995</v>
      </c>
      <c r="H213" s="78">
        <v>4359.05</v>
      </c>
      <c r="I213" s="78">
        <v>3002.61</v>
      </c>
      <c r="J213" s="78">
        <v>1031.4100000000001</v>
      </c>
      <c r="K213" s="78">
        <v>325.02999999999997</v>
      </c>
      <c r="L213" s="43">
        <v>8.4302899027211016</v>
      </c>
      <c r="M213" s="43">
        <v>11.50028725726761</v>
      </c>
      <c r="N213" s="43">
        <v>5.3862342681079953</v>
      </c>
      <c r="O213" s="43">
        <v>5.0400062025120169</v>
      </c>
      <c r="P213" s="79"/>
      <c r="Q213" s="79"/>
      <c r="R213" s="79">
        <v>3</v>
      </c>
    </row>
    <row r="214" spans="1:18" ht="24">
      <c r="A214" s="75">
        <v>37</v>
      </c>
      <c r="B214" s="72" t="s">
        <v>363</v>
      </c>
      <c r="C214" s="76" t="s">
        <v>364</v>
      </c>
      <c r="D214" s="77">
        <v>467.75</v>
      </c>
      <c r="E214" s="77">
        <v>234.76</v>
      </c>
      <c r="F214" s="77">
        <v>179.75</v>
      </c>
      <c r="G214" s="77">
        <v>53.24</v>
      </c>
      <c r="H214" s="78">
        <v>3908.48</v>
      </c>
      <c r="I214" s="78">
        <v>2699.82</v>
      </c>
      <c r="J214" s="78">
        <v>961.83</v>
      </c>
      <c r="K214" s="78">
        <v>246.83</v>
      </c>
      <c r="L214" s="43">
        <v>8.3559166221272054</v>
      </c>
      <c r="M214" s="43">
        <v>11.500340773555973</v>
      </c>
      <c r="N214" s="43">
        <v>5.3509318497913769</v>
      </c>
      <c r="O214" s="43">
        <v>4.6361758076634114</v>
      </c>
      <c r="P214" s="79"/>
      <c r="Q214" s="79"/>
      <c r="R214" s="79">
        <v>3</v>
      </c>
    </row>
    <row r="215" spans="1:18" ht="24">
      <c r="A215" s="75">
        <v>38</v>
      </c>
      <c r="B215" s="72" t="s">
        <v>365</v>
      </c>
      <c r="C215" s="76" t="s">
        <v>366</v>
      </c>
      <c r="D215" s="77">
        <v>529.71</v>
      </c>
      <c r="E215" s="77">
        <v>221.59</v>
      </c>
      <c r="F215" s="77">
        <v>214.54</v>
      </c>
      <c r="G215" s="77">
        <v>93.58</v>
      </c>
      <c r="H215" s="78">
        <v>4099</v>
      </c>
      <c r="I215" s="78">
        <v>2548.4299999999998</v>
      </c>
      <c r="J215" s="78">
        <v>1145.1500000000001</v>
      </c>
      <c r="K215" s="78">
        <v>405.42</v>
      </c>
      <c r="L215" s="43">
        <v>7.7381963715995541</v>
      </c>
      <c r="M215" s="43">
        <v>11.500654361658919</v>
      </c>
      <c r="N215" s="43">
        <v>5.3376992635405989</v>
      </c>
      <c r="O215" s="43">
        <v>4.3323359692241938</v>
      </c>
      <c r="P215" s="79"/>
      <c r="Q215" s="79"/>
      <c r="R215" s="79">
        <v>3</v>
      </c>
    </row>
    <row r="216" spans="1:18" ht="12.75">
      <c r="A216" s="632" t="s">
        <v>18</v>
      </c>
      <c r="B216" s="632"/>
      <c r="C216" s="632"/>
      <c r="D216" s="73">
        <v>99519.59</v>
      </c>
      <c r="E216" s="73">
        <v>47590.48</v>
      </c>
      <c r="F216" s="73">
        <v>35921.42</v>
      </c>
      <c r="G216" s="73">
        <v>16007.69</v>
      </c>
      <c r="H216" s="74">
        <v>812333.49</v>
      </c>
      <c r="I216" s="74">
        <v>547291.31999999995</v>
      </c>
      <c r="J216" s="74">
        <v>192676.29</v>
      </c>
      <c r="K216" s="74">
        <v>72365.88</v>
      </c>
      <c r="L216" s="612">
        <v>8.1625485997279537</v>
      </c>
      <c r="M216" s="612">
        <v>11.500016810084704</v>
      </c>
      <c r="N216" s="612">
        <v>5.3638272095034107</v>
      </c>
      <c r="O216" s="612">
        <v>4.5206947410900638</v>
      </c>
      <c r="P216" s="71"/>
      <c r="Q216" s="71"/>
      <c r="R216" s="71"/>
    </row>
    <row r="217" spans="1:18" ht="18">
      <c r="A217" s="616" t="s">
        <v>367</v>
      </c>
      <c r="B217" s="626"/>
      <c r="C217" s="626"/>
      <c r="D217" s="626"/>
      <c r="E217" s="626"/>
      <c r="F217" s="626"/>
      <c r="G217" s="626"/>
      <c r="H217" s="626"/>
      <c r="I217" s="626"/>
      <c r="J217" s="626"/>
      <c r="K217" s="626"/>
      <c r="L217" s="626"/>
      <c r="M217" s="626"/>
      <c r="N217" s="626"/>
      <c r="O217" s="626"/>
      <c r="P217" s="626"/>
      <c r="Q217" s="626"/>
      <c r="R217" s="627"/>
    </row>
    <row r="218" spans="1:18" ht="12.75" customHeight="1">
      <c r="A218" s="630" t="s">
        <v>368</v>
      </c>
      <c r="B218" s="631"/>
      <c r="C218" s="631"/>
      <c r="D218" s="631"/>
      <c r="E218" s="631"/>
      <c r="F218" s="631"/>
      <c r="G218" s="631"/>
      <c r="H218" s="631"/>
      <c r="I218" s="631"/>
      <c r="J218" s="631"/>
      <c r="K218" s="631"/>
      <c r="L218" s="631"/>
      <c r="M218" s="631"/>
      <c r="N218" s="631"/>
      <c r="O218" s="631"/>
      <c r="P218" s="631"/>
      <c r="Q218" s="631"/>
      <c r="R218" s="631"/>
    </row>
    <row r="219" spans="1:18" ht="12.75" customHeight="1">
      <c r="A219" s="628" t="s">
        <v>369</v>
      </c>
      <c r="B219" s="629"/>
      <c r="C219" s="629"/>
      <c r="D219" s="629"/>
      <c r="E219" s="629"/>
      <c r="F219" s="629"/>
      <c r="G219" s="629"/>
      <c r="H219" s="629"/>
      <c r="I219" s="629"/>
      <c r="J219" s="629"/>
      <c r="K219" s="629"/>
      <c r="L219" s="629"/>
      <c r="M219" s="629"/>
      <c r="N219" s="629"/>
      <c r="O219" s="629"/>
      <c r="P219" s="629"/>
      <c r="Q219" s="629"/>
      <c r="R219" s="629"/>
    </row>
    <row r="220" spans="1:18" ht="19.5" customHeight="1">
      <c r="A220" s="628" t="s">
        <v>370</v>
      </c>
      <c r="B220" s="629"/>
      <c r="C220" s="629"/>
      <c r="D220" s="629"/>
      <c r="E220" s="629"/>
      <c r="F220" s="629"/>
      <c r="G220" s="629"/>
      <c r="H220" s="629"/>
      <c r="I220" s="629"/>
      <c r="J220" s="629"/>
      <c r="K220" s="629"/>
      <c r="L220" s="629"/>
      <c r="M220" s="629"/>
      <c r="N220" s="629"/>
      <c r="O220" s="629"/>
      <c r="P220" s="629"/>
      <c r="Q220" s="629"/>
      <c r="R220" s="629"/>
    </row>
    <row r="221" spans="1:18" ht="36">
      <c r="A221" s="90">
        <v>1</v>
      </c>
      <c r="B221" s="87" t="s">
        <v>371</v>
      </c>
      <c r="C221" s="91" t="s">
        <v>372</v>
      </c>
      <c r="D221" s="92">
        <v>36876.94</v>
      </c>
      <c r="E221" s="92">
        <v>7373.44</v>
      </c>
      <c r="F221" s="92">
        <v>27836.93</v>
      </c>
      <c r="G221" s="92">
        <v>1666.57</v>
      </c>
      <c r="H221" s="93">
        <v>240666.61</v>
      </c>
      <c r="I221" s="93">
        <v>84794.559999999998</v>
      </c>
      <c r="J221" s="93">
        <v>146480.41</v>
      </c>
      <c r="K221" s="93">
        <v>9391.64</v>
      </c>
      <c r="L221" s="43">
        <v>6.5262087906426069</v>
      </c>
      <c r="M221" s="43">
        <v>11.5</v>
      </c>
      <c r="N221" s="43">
        <v>5.2620892461920192</v>
      </c>
      <c r="O221" s="43">
        <v>5.6353108480291851</v>
      </c>
      <c r="P221" s="94"/>
      <c r="Q221" s="94"/>
      <c r="R221" s="94">
        <v>1</v>
      </c>
    </row>
    <row r="222" spans="1:18" ht="36">
      <c r="A222" s="90">
        <v>2</v>
      </c>
      <c r="B222" s="87" t="s">
        <v>373</v>
      </c>
      <c r="C222" s="91" t="s">
        <v>374</v>
      </c>
      <c r="D222" s="92">
        <v>37824.800000000003</v>
      </c>
      <c r="E222" s="92">
        <v>7598.24</v>
      </c>
      <c r="F222" s="92">
        <v>28526.959999999999</v>
      </c>
      <c r="G222" s="92">
        <v>1699.6</v>
      </c>
      <c r="H222" s="93">
        <v>247415.33</v>
      </c>
      <c r="I222" s="93">
        <v>87379.76</v>
      </c>
      <c r="J222" s="93">
        <v>150356.9</v>
      </c>
      <c r="K222" s="93">
        <v>9678.67</v>
      </c>
      <c r="L222" s="43">
        <v>6.5410875933250132</v>
      </c>
      <c r="M222" s="43">
        <v>11.5</v>
      </c>
      <c r="N222" s="43">
        <v>5.2706948094013519</v>
      </c>
      <c r="O222" s="43">
        <v>5.6946752176982827</v>
      </c>
      <c r="P222" s="94"/>
      <c r="Q222" s="94"/>
      <c r="R222" s="94">
        <v>1</v>
      </c>
    </row>
    <row r="223" spans="1:18" ht="36">
      <c r="A223" s="90">
        <v>3</v>
      </c>
      <c r="B223" s="87" t="s">
        <v>375</v>
      </c>
      <c r="C223" s="91" t="s">
        <v>376</v>
      </c>
      <c r="D223" s="92">
        <v>39763.769999999997</v>
      </c>
      <c r="E223" s="92">
        <v>8059.08</v>
      </c>
      <c r="F223" s="92">
        <v>29930.55</v>
      </c>
      <c r="G223" s="92">
        <v>1774.14</v>
      </c>
      <c r="H223" s="93">
        <v>261141.16</v>
      </c>
      <c r="I223" s="93">
        <v>92679.42</v>
      </c>
      <c r="J223" s="93">
        <v>158137.45000000001</v>
      </c>
      <c r="K223" s="93">
        <v>10324.290000000001</v>
      </c>
      <c r="L223" s="43">
        <v>6.5673139141484826</v>
      </c>
      <c r="M223" s="43">
        <v>11.5</v>
      </c>
      <c r="N223" s="43">
        <v>5.2834795885808985</v>
      </c>
      <c r="O223" s="43">
        <v>5.8193209104129329</v>
      </c>
      <c r="P223" s="94"/>
      <c r="Q223" s="94"/>
      <c r="R223" s="94">
        <v>1</v>
      </c>
    </row>
    <row r="224" spans="1:18" ht="36">
      <c r="A224" s="90">
        <v>4</v>
      </c>
      <c r="B224" s="87" t="s">
        <v>377</v>
      </c>
      <c r="C224" s="91" t="s">
        <v>378</v>
      </c>
      <c r="D224" s="92">
        <v>40645.03</v>
      </c>
      <c r="E224" s="92">
        <v>8261.4</v>
      </c>
      <c r="F224" s="92">
        <v>30575.5</v>
      </c>
      <c r="G224" s="92">
        <v>1808.13</v>
      </c>
      <c r="H224" s="93">
        <v>267358.06</v>
      </c>
      <c r="I224" s="93">
        <v>95006.1</v>
      </c>
      <c r="J224" s="93">
        <v>161733.21</v>
      </c>
      <c r="K224" s="93">
        <v>10618.75</v>
      </c>
      <c r="L224" s="43">
        <v>6.5778782793369821</v>
      </c>
      <c r="M224" s="43">
        <v>11.500000000000002</v>
      </c>
      <c r="N224" s="43">
        <v>5.2896341842324732</v>
      </c>
      <c r="O224" s="43">
        <v>5.8727801651429923</v>
      </c>
      <c r="P224" s="94"/>
      <c r="Q224" s="94"/>
      <c r="R224" s="94">
        <v>1</v>
      </c>
    </row>
    <row r="225" spans="1:18" ht="36">
      <c r="A225" s="90">
        <v>5</v>
      </c>
      <c r="B225" s="87" t="s">
        <v>379</v>
      </c>
      <c r="C225" s="91" t="s">
        <v>380</v>
      </c>
      <c r="D225" s="92">
        <v>38426.18</v>
      </c>
      <c r="E225" s="92">
        <v>7620.72</v>
      </c>
      <c r="F225" s="92">
        <v>29111.8</v>
      </c>
      <c r="G225" s="92">
        <v>1693.66</v>
      </c>
      <c r="H225" s="93">
        <v>251054.33</v>
      </c>
      <c r="I225" s="93">
        <v>87638.28</v>
      </c>
      <c r="J225" s="93">
        <v>153777.21</v>
      </c>
      <c r="K225" s="93">
        <v>9638.84</v>
      </c>
      <c r="L225" s="43">
        <v>6.5334188826471946</v>
      </c>
      <c r="M225" s="43">
        <v>11.5</v>
      </c>
      <c r="N225" s="43">
        <v>5.2822982433240124</v>
      </c>
      <c r="O225" s="43">
        <v>5.6911304512121674</v>
      </c>
      <c r="P225" s="94"/>
      <c r="Q225" s="94"/>
      <c r="R225" s="94">
        <v>1</v>
      </c>
    </row>
    <row r="226" spans="1:18" ht="36">
      <c r="A226" s="90">
        <v>6</v>
      </c>
      <c r="B226" s="87" t="s">
        <v>381</v>
      </c>
      <c r="C226" s="91" t="s">
        <v>382</v>
      </c>
      <c r="D226" s="92">
        <v>39361.279999999999</v>
      </c>
      <c r="E226" s="92">
        <v>7845.52</v>
      </c>
      <c r="F226" s="92">
        <v>29786.65</v>
      </c>
      <c r="G226" s="92">
        <v>1729.11</v>
      </c>
      <c r="H226" s="93">
        <v>257727.81</v>
      </c>
      <c r="I226" s="93">
        <v>90223.48</v>
      </c>
      <c r="J226" s="93">
        <v>157556.72</v>
      </c>
      <c r="K226" s="93">
        <v>9947.61</v>
      </c>
      <c r="L226" s="43">
        <v>6.5477497174888626</v>
      </c>
      <c r="M226" s="43">
        <v>11.499999999999998</v>
      </c>
      <c r="N226" s="43">
        <v>5.289507883565288</v>
      </c>
      <c r="O226" s="43">
        <v>5.7530232316046988</v>
      </c>
      <c r="P226" s="94"/>
      <c r="Q226" s="94"/>
      <c r="R226" s="94">
        <v>1</v>
      </c>
    </row>
    <row r="227" spans="1:18" ht="36">
      <c r="A227" s="90">
        <v>7</v>
      </c>
      <c r="B227" s="87" t="s">
        <v>383</v>
      </c>
      <c r="C227" s="91" t="s">
        <v>384</v>
      </c>
      <c r="D227" s="92">
        <v>41074.85</v>
      </c>
      <c r="E227" s="92">
        <v>8238.92</v>
      </c>
      <c r="F227" s="92">
        <v>31039.88</v>
      </c>
      <c r="G227" s="92">
        <v>1796.05</v>
      </c>
      <c r="H227" s="93">
        <v>269777.44</v>
      </c>
      <c r="I227" s="93">
        <v>94747.58</v>
      </c>
      <c r="J227" s="93">
        <v>164503.04000000001</v>
      </c>
      <c r="K227" s="93">
        <v>10526.82</v>
      </c>
      <c r="L227" s="43">
        <v>6.5679470527585622</v>
      </c>
      <c r="M227" s="43">
        <v>11.5</v>
      </c>
      <c r="N227" s="43">
        <v>5.2997318288601631</v>
      </c>
      <c r="O227" s="43">
        <v>5.8610951810918408</v>
      </c>
      <c r="P227" s="94"/>
      <c r="Q227" s="94"/>
      <c r="R227" s="94">
        <v>1</v>
      </c>
    </row>
    <row r="228" spans="1:18" ht="36">
      <c r="A228" s="90">
        <v>8</v>
      </c>
      <c r="B228" s="87" t="s">
        <v>385</v>
      </c>
      <c r="C228" s="91" t="s">
        <v>386</v>
      </c>
      <c r="D228" s="92">
        <v>42025.67</v>
      </c>
      <c r="E228" s="92">
        <v>8463.7199999999993</v>
      </c>
      <c r="F228" s="92">
        <v>31731.54</v>
      </c>
      <c r="G228" s="92">
        <v>1830.41</v>
      </c>
      <c r="H228" s="93">
        <v>276531.09999999998</v>
      </c>
      <c r="I228" s="93">
        <v>97332.78</v>
      </c>
      <c r="J228" s="93">
        <v>168372.55</v>
      </c>
      <c r="K228" s="93">
        <v>10825.77</v>
      </c>
      <c r="L228" s="43">
        <v>6.5800521443203639</v>
      </c>
      <c r="M228" s="43">
        <v>11.5</v>
      </c>
      <c r="N228" s="43">
        <v>5.3061575328521711</v>
      </c>
      <c r="O228" s="43">
        <v>5.91439622816746</v>
      </c>
      <c r="P228" s="94"/>
      <c r="Q228" s="94"/>
      <c r="R228" s="94">
        <v>1</v>
      </c>
    </row>
    <row r="229" spans="1:18" ht="36">
      <c r="A229" s="90">
        <v>9</v>
      </c>
      <c r="B229" s="87" t="s">
        <v>387</v>
      </c>
      <c r="C229" s="91" t="s">
        <v>388</v>
      </c>
      <c r="D229" s="92">
        <v>41336.25</v>
      </c>
      <c r="E229" s="92">
        <v>8126.52</v>
      </c>
      <c r="F229" s="92">
        <v>31439.27</v>
      </c>
      <c r="G229" s="92">
        <v>1770.46</v>
      </c>
      <c r="H229" s="93">
        <v>270594.34000000003</v>
      </c>
      <c r="I229" s="93">
        <v>93454.98</v>
      </c>
      <c r="J229" s="93">
        <v>166819.25</v>
      </c>
      <c r="K229" s="93">
        <v>10320.11</v>
      </c>
      <c r="L229" s="43">
        <v>6.5461753303698336</v>
      </c>
      <c r="M229" s="43">
        <v>11.499999999999998</v>
      </c>
      <c r="N229" s="43">
        <v>5.3060789897475358</v>
      </c>
      <c r="O229" s="43">
        <v>5.829055725630627</v>
      </c>
      <c r="P229" s="94"/>
      <c r="Q229" s="94"/>
      <c r="R229" s="94">
        <v>1</v>
      </c>
    </row>
    <row r="230" spans="1:18" ht="36">
      <c r="A230" s="90">
        <v>10</v>
      </c>
      <c r="B230" s="87" t="s">
        <v>389</v>
      </c>
      <c r="C230" s="91" t="s">
        <v>390</v>
      </c>
      <c r="D230" s="92">
        <v>42024.4</v>
      </c>
      <c r="E230" s="92">
        <v>8283.8799999999992</v>
      </c>
      <c r="F230" s="92">
        <v>31945.3</v>
      </c>
      <c r="G230" s="92">
        <v>1795.22</v>
      </c>
      <c r="H230" s="93">
        <v>275462.11</v>
      </c>
      <c r="I230" s="93">
        <v>95264.62</v>
      </c>
      <c r="J230" s="93">
        <v>169657</v>
      </c>
      <c r="K230" s="93">
        <v>10540.49</v>
      </c>
      <c r="L230" s="43">
        <v>6.5548136320804096</v>
      </c>
      <c r="M230" s="43">
        <v>11.5</v>
      </c>
      <c r="N230" s="43">
        <v>5.3108595004585961</v>
      </c>
      <c r="O230" s="43">
        <v>5.8714196588718925</v>
      </c>
      <c r="P230" s="94"/>
      <c r="Q230" s="94"/>
      <c r="R230" s="94">
        <v>1</v>
      </c>
    </row>
    <row r="231" spans="1:18" ht="36">
      <c r="A231" s="90">
        <v>11</v>
      </c>
      <c r="B231" s="87" t="s">
        <v>391</v>
      </c>
      <c r="C231" s="91" t="s">
        <v>392</v>
      </c>
      <c r="D231" s="92">
        <v>43248.09</v>
      </c>
      <c r="E231" s="92">
        <v>8632.32</v>
      </c>
      <c r="F231" s="92">
        <v>32762.02</v>
      </c>
      <c r="G231" s="92">
        <v>1853.75</v>
      </c>
      <c r="H231" s="93">
        <v>283834.65000000002</v>
      </c>
      <c r="I231" s="93">
        <v>99271.679999999993</v>
      </c>
      <c r="J231" s="93">
        <v>173515.88</v>
      </c>
      <c r="K231" s="93">
        <v>11047.09</v>
      </c>
      <c r="L231" s="43">
        <v>6.5629406986528203</v>
      </c>
      <c r="M231" s="43">
        <v>11.5</v>
      </c>
      <c r="N231" s="43">
        <v>5.2962509637684123</v>
      </c>
      <c r="O231" s="43">
        <v>5.9593202966958865</v>
      </c>
      <c r="P231" s="94"/>
      <c r="Q231" s="94"/>
      <c r="R231" s="94">
        <v>1</v>
      </c>
    </row>
    <row r="232" spans="1:18" ht="36">
      <c r="A232" s="90">
        <v>12</v>
      </c>
      <c r="B232" s="87" t="s">
        <v>393</v>
      </c>
      <c r="C232" s="91" t="s">
        <v>394</v>
      </c>
      <c r="D232" s="92">
        <v>44599.39</v>
      </c>
      <c r="E232" s="92">
        <v>8947.0400000000009</v>
      </c>
      <c r="F232" s="92">
        <v>33748</v>
      </c>
      <c r="G232" s="92">
        <v>1904.35</v>
      </c>
      <c r="H232" s="93">
        <v>293349.58</v>
      </c>
      <c r="I232" s="93">
        <v>102890.96</v>
      </c>
      <c r="J232" s="93">
        <v>178972.78</v>
      </c>
      <c r="K232" s="93">
        <v>11485.84</v>
      </c>
      <c r="L232" s="43">
        <v>6.5774348034804966</v>
      </c>
      <c r="M232" s="43">
        <v>11.5</v>
      </c>
      <c r="N232" s="43">
        <v>5.3032114495673817</v>
      </c>
      <c r="O232" s="43">
        <v>6.0313702838238772</v>
      </c>
      <c r="P232" s="94"/>
      <c r="Q232" s="94"/>
      <c r="R232" s="94">
        <v>1</v>
      </c>
    </row>
    <row r="233" spans="1:18" ht="36">
      <c r="A233" s="90">
        <v>13</v>
      </c>
      <c r="B233" s="87" t="s">
        <v>395</v>
      </c>
      <c r="C233" s="91" t="s">
        <v>396</v>
      </c>
      <c r="D233" s="92">
        <v>45529</v>
      </c>
      <c r="E233" s="92">
        <v>9171.84</v>
      </c>
      <c r="F233" s="92">
        <v>34413.83</v>
      </c>
      <c r="G233" s="92">
        <v>1943.33</v>
      </c>
      <c r="H233" s="93">
        <v>299877.53999999998</v>
      </c>
      <c r="I233" s="93">
        <v>105476.16</v>
      </c>
      <c r="J233" s="93">
        <v>182579.52</v>
      </c>
      <c r="K233" s="93">
        <v>11821.86</v>
      </c>
      <c r="L233" s="43">
        <v>6.5865171648839196</v>
      </c>
      <c r="M233" s="43">
        <v>11.5</v>
      </c>
      <c r="N233" s="43">
        <v>5.3054112256613104</v>
      </c>
      <c r="O233" s="43">
        <v>6.0833003144087732</v>
      </c>
      <c r="P233" s="94"/>
      <c r="Q233" s="94"/>
      <c r="R233" s="94">
        <v>1</v>
      </c>
    </row>
    <row r="234" spans="1:18" ht="36">
      <c r="A234" s="90">
        <v>14</v>
      </c>
      <c r="B234" s="87" t="s">
        <v>397</v>
      </c>
      <c r="C234" s="91" t="s">
        <v>398</v>
      </c>
      <c r="D234" s="92">
        <v>47008.54</v>
      </c>
      <c r="E234" s="92">
        <v>9509.0400000000009</v>
      </c>
      <c r="F234" s="92">
        <v>35496.36</v>
      </c>
      <c r="G234" s="92">
        <v>2003.14</v>
      </c>
      <c r="H234" s="93">
        <v>310221.78000000003</v>
      </c>
      <c r="I234" s="93">
        <v>109353.96</v>
      </c>
      <c r="J234" s="93">
        <v>188529.18</v>
      </c>
      <c r="K234" s="93">
        <v>12338.64</v>
      </c>
      <c r="L234" s="43">
        <v>6.5992643038903145</v>
      </c>
      <c r="M234" s="43">
        <v>11.5</v>
      </c>
      <c r="N234" s="43">
        <v>5.3112257144112798</v>
      </c>
      <c r="O234" s="43">
        <v>6.1596493505196834</v>
      </c>
      <c r="P234" s="94"/>
      <c r="Q234" s="94"/>
      <c r="R234" s="94">
        <v>1</v>
      </c>
    </row>
    <row r="235" spans="1:18" ht="36">
      <c r="A235" s="90">
        <v>15</v>
      </c>
      <c r="B235" s="87" t="s">
        <v>399</v>
      </c>
      <c r="C235" s="91" t="s">
        <v>400</v>
      </c>
      <c r="D235" s="92">
        <v>43104.73</v>
      </c>
      <c r="E235" s="92">
        <v>8804</v>
      </c>
      <c r="F235" s="92">
        <v>32485.67</v>
      </c>
      <c r="G235" s="92">
        <v>1815.06</v>
      </c>
      <c r="H235" s="93">
        <v>283988.76</v>
      </c>
      <c r="I235" s="93">
        <v>101246</v>
      </c>
      <c r="J235" s="93">
        <v>171989.46</v>
      </c>
      <c r="K235" s="93">
        <v>10753.3</v>
      </c>
      <c r="L235" s="43">
        <v>6.5883433210230056</v>
      </c>
      <c r="M235" s="43">
        <v>11.5</v>
      </c>
      <c r="N235" s="43">
        <v>5.2943177714974015</v>
      </c>
      <c r="O235" s="43">
        <v>5.9244873447709718</v>
      </c>
      <c r="P235" s="94"/>
      <c r="Q235" s="94"/>
      <c r="R235" s="94">
        <v>1</v>
      </c>
    </row>
    <row r="236" spans="1:18" ht="36">
      <c r="A236" s="90">
        <v>16</v>
      </c>
      <c r="B236" s="87" t="s">
        <v>401</v>
      </c>
      <c r="C236" s="91" t="s">
        <v>402</v>
      </c>
      <c r="D236" s="92">
        <v>45092.08</v>
      </c>
      <c r="E236" s="92">
        <v>9099.36</v>
      </c>
      <c r="F236" s="92">
        <v>34132.54</v>
      </c>
      <c r="G236" s="92">
        <v>1860.18</v>
      </c>
      <c r="H236" s="93">
        <v>296729.68</v>
      </c>
      <c r="I236" s="93">
        <v>104642.64</v>
      </c>
      <c r="J236" s="93">
        <v>180940.34</v>
      </c>
      <c r="K236" s="93">
        <v>11146.7</v>
      </c>
      <c r="L236" s="43">
        <v>6.5805276669428423</v>
      </c>
      <c r="M236" s="43">
        <v>11.5</v>
      </c>
      <c r="N236" s="43">
        <v>5.3011097328238685</v>
      </c>
      <c r="O236" s="43">
        <v>5.9922695653108837</v>
      </c>
      <c r="P236" s="94"/>
      <c r="Q236" s="94"/>
      <c r="R236" s="94">
        <v>1</v>
      </c>
    </row>
    <row r="237" spans="1:18" ht="36">
      <c r="A237" s="90">
        <v>17</v>
      </c>
      <c r="B237" s="87" t="s">
        <v>403</v>
      </c>
      <c r="C237" s="91" t="s">
        <v>404</v>
      </c>
      <c r="D237" s="92">
        <v>46497.33</v>
      </c>
      <c r="E237" s="92">
        <v>9440.16</v>
      </c>
      <c r="F237" s="92">
        <v>35139.839999999997</v>
      </c>
      <c r="G237" s="92">
        <v>1917.33</v>
      </c>
      <c r="H237" s="93">
        <v>306667.55</v>
      </c>
      <c r="I237" s="93">
        <v>108561.84</v>
      </c>
      <c r="J237" s="93">
        <v>186464.71</v>
      </c>
      <c r="K237" s="93">
        <v>11641</v>
      </c>
      <c r="L237" s="43">
        <v>6.59537977772057</v>
      </c>
      <c r="M237" s="43">
        <v>11.5</v>
      </c>
      <c r="N237" s="43">
        <v>5.3063619527009802</v>
      </c>
      <c r="O237" s="43">
        <v>6.0714639629067504</v>
      </c>
      <c r="P237" s="94"/>
      <c r="Q237" s="94"/>
      <c r="R237" s="94">
        <v>1</v>
      </c>
    </row>
    <row r="238" spans="1:18" ht="36">
      <c r="A238" s="90">
        <v>18</v>
      </c>
      <c r="B238" s="87" t="s">
        <v>405</v>
      </c>
      <c r="C238" s="91" t="s">
        <v>406</v>
      </c>
      <c r="D238" s="92">
        <v>48733.02</v>
      </c>
      <c r="E238" s="92">
        <v>9985.44</v>
      </c>
      <c r="F238" s="92">
        <v>36738.04</v>
      </c>
      <c r="G238" s="92">
        <v>2009.54</v>
      </c>
      <c r="H238" s="93">
        <v>322474.05</v>
      </c>
      <c r="I238" s="93">
        <v>114832.56</v>
      </c>
      <c r="J238" s="93">
        <v>195202.36</v>
      </c>
      <c r="K238" s="93">
        <v>12439.13</v>
      </c>
      <c r="L238" s="43">
        <v>6.617157114416468</v>
      </c>
      <c r="M238" s="43">
        <v>11.5</v>
      </c>
      <c r="N238" s="43">
        <v>5.3133580343426043</v>
      </c>
      <c r="O238" s="43">
        <v>6.1900385162773564</v>
      </c>
      <c r="P238" s="94"/>
      <c r="Q238" s="94"/>
      <c r="R238" s="94">
        <v>1</v>
      </c>
    </row>
    <row r="239" spans="1:18" ht="36">
      <c r="A239" s="90">
        <v>19</v>
      </c>
      <c r="B239" s="87" t="s">
        <v>407</v>
      </c>
      <c r="C239" s="91" t="s">
        <v>408</v>
      </c>
      <c r="D239" s="92">
        <v>50366.76</v>
      </c>
      <c r="E239" s="92">
        <v>10371.68</v>
      </c>
      <c r="F239" s="92">
        <v>37923.79</v>
      </c>
      <c r="G239" s="92">
        <v>2071.29</v>
      </c>
      <c r="H239" s="93">
        <v>334010.01</v>
      </c>
      <c r="I239" s="93">
        <v>119274.32</v>
      </c>
      <c r="J239" s="93">
        <v>201759.16</v>
      </c>
      <c r="K239" s="93">
        <v>12976.53</v>
      </c>
      <c r="L239" s="43">
        <v>6.6315564074401454</v>
      </c>
      <c r="M239" s="43">
        <v>11.5</v>
      </c>
      <c r="N239" s="43">
        <v>5.3201212220614025</v>
      </c>
      <c r="O239" s="43">
        <v>6.2649508277450288</v>
      </c>
      <c r="P239" s="94"/>
      <c r="Q239" s="94"/>
      <c r="R239" s="94">
        <v>1</v>
      </c>
    </row>
    <row r="240" spans="1:18" ht="36">
      <c r="A240" s="90">
        <v>20</v>
      </c>
      <c r="B240" s="87" t="s">
        <v>409</v>
      </c>
      <c r="C240" s="91" t="s">
        <v>410</v>
      </c>
      <c r="D240" s="92">
        <v>44349.57</v>
      </c>
      <c r="E240" s="92">
        <v>8974.4</v>
      </c>
      <c r="F240" s="92">
        <v>33612.83</v>
      </c>
      <c r="G240" s="92">
        <v>1762.34</v>
      </c>
      <c r="H240" s="93">
        <v>291683</v>
      </c>
      <c r="I240" s="93">
        <v>103205.6</v>
      </c>
      <c r="J240" s="93">
        <v>177736.57</v>
      </c>
      <c r="K240" s="93">
        <v>10740.83</v>
      </c>
      <c r="L240" s="43">
        <v>6.5769070590763334</v>
      </c>
      <c r="M240" s="43">
        <v>11.500000000000002</v>
      </c>
      <c r="N240" s="43">
        <v>5.2877597631618638</v>
      </c>
      <c r="O240" s="43">
        <v>6.0946412156564573</v>
      </c>
      <c r="P240" s="94"/>
      <c r="Q240" s="94"/>
      <c r="R240" s="94">
        <v>1</v>
      </c>
    </row>
    <row r="241" spans="1:18" ht="36">
      <c r="A241" s="90">
        <v>21</v>
      </c>
      <c r="B241" s="87" t="s">
        <v>411</v>
      </c>
      <c r="C241" s="91" t="s">
        <v>412</v>
      </c>
      <c r="D241" s="92">
        <v>62184.78</v>
      </c>
      <c r="E241" s="92">
        <v>9110.7199999999993</v>
      </c>
      <c r="F241" s="92">
        <v>51160.53</v>
      </c>
      <c r="G241" s="92">
        <v>1913.53</v>
      </c>
      <c r="H241" s="93">
        <v>387846.8</v>
      </c>
      <c r="I241" s="93">
        <v>104773.28</v>
      </c>
      <c r="J241" s="93">
        <v>271455.43</v>
      </c>
      <c r="K241" s="93">
        <v>11618.09</v>
      </c>
      <c r="L241" s="43">
        <v>6.237005260772813</v>
      </c>
      <c r="M241" s="43">
        <v>11.5</v>
      </c>
      <c r="N241" s="43">
        <v>5.3059542190043771</v>
      </c>
      <c r="O241" s="43">
        <v>6.0715483948514004</v>
      </c>
      <c r="P241" s="94"/>
      <c r="Q241" s="94"/>
      <c r="R241" s="94">
        <v>1</v>
      </c>
    </row>
    <row r="242" spans="1:18" ht="36">
      <c r="A242" s="90">
        <v>22</v>
      </c>
      <c r="B242" s="87" t="s">
        <v>413</v>
      </c>
      <c r="C242" s="91" t="s">
        <v>414</v>
      </c>
      <c r="D242" s="92">
        <v>64264.77</v>
      </c>
      <c r="E242" s="92">
        <v>9440.16</v>
      </c>
      <c r="F242" s="92">
        <v>52858.38</v>
      </c>
      <c r="G242" s="92">
        <v>1966.23</v>
      </c>
      <c r="H242" s="93">
        <v>401296.11</v>
      </c>
      <c r="I242" s="93">
        <v>108561.84</v>
      </c>
      <c r="J242" s="93">
        <v>280657.76</v>
      </c>
      <c r="K242" s="93">
        <v>12076.51</v>
      </c>
      <c r="L242" s="43">
        <v>6.244418364836597</v>
      </c>
      <c r="M242" s="43">
        <v>11.5</v>
      </c>
      <c r="N242" s="43">
        <v>5.3096171316638916</v>
      </c>
      <c r="O242" s="43">
        <v>6.1419620288572547</v>
      </c>
      <c r="P242" s="94"/>
      <c r="Q242" s="94"/>
      <c r="R242" s="94">
        <v>1</v>
      </c>
    </row>
    <row r="243" spans="1:18" ht="36">
      <c r="A243" s="90">
        <v>23</v>
      </c>
      <c r="B243" s="87" t="s">
        <v>415</v>
      </c>
      <c r="C243" s="91" t="s">
        <v>416</v>
      </c>
      <c r="D243" s="92">
        <v>66074.240000000005</v>
      </c>
      <c r="E243" s="92">
        <v>9712.7999999999993</v>
      </c>
      <c r="F243" s="92">
        <v>54349.79</v>
      </c>
      <c r="G243" s="92">
        <v>2011.65</v>
      </c>
      <c r="H243" s="93">
        <v>412978.75</v>
      </c>
      <c r="I243" s="93">
        <v>111697.2</v>
      </c>
      <c r="J243" s="93">
        <v>288810.99</v>
      </c>
      <c r="K243" s="93">
        <v>12470.56</v>
      </c>
      <c r="L243" s="43">
        <v>6.2502232337443449</v>
      </c>
      <c r="M243" s="43">
        <v>11.5</v>
      </c>
      <c r="N243" s="43">
        <v>5.3139301918185886</v>
      </c>
      <c r="O243" s="43">
        <v>6.1991698357070062</v>
      </c>
      <c r="P243" s="94"/>
      <c r="Q243" s="94"/>
      <c r="R243" s="94">
        <v>1</v>
      </c>
    </row>
    <row r="244" spans="1:18" ht="36">
      <c r="A244" s="90">
        <v>24</v>
      </c>
      <c r="B244" s="87" t="s">
        <v>417</v>
      </c>
      <c r="C244" s="91" t="s">
        <v>418</v>
      </c>
      <c r="D244" s="92">
        <v>69895.41</v>
      </c>
      <c r="E244" s="92">
        <v>10314.879999999999</v>
      </c>
      <c r="F244" s="92">
        <v>57468.26</v>
      </c>
      <c r="G244" s="92">
        <v>2112.27</v>
      </c>
      <c r="H244" s="93">
        <v>437678.03</v>
      </c>
      <c r="I244" s="93">
        <v>118621.12</v>
      </c>
      <c r="J244" s="93">
        <v>305713.61</v>
      </c>
      <c r="K244" s="93">
        <v>13343.3</v>
      </c>
      <c r="L244" s="43">
        <v>6.2618994580616958</v>
      </c>
      <c r="M244" s="43">
        <v>11.5</v>
      </c>
      <c r="N244" s="43">
        <v>5.3196949063709251</v>
      </c>
      <c r="O244" s="43">
        <v>6.3170428022932672</v>
      </c>
      <c r="P244" s="94"/>
      <c r="Q244" s="94"/>
      <c r="R244" s="94">
        <v>1</v>
      </c>
    </row>
    <row r="245" spans="1:18" ht="36">
      <c r="A245" s="90">
        <v>25</v>
      </c>
      <c r="B245" s="87" t="s">
        <v>419</v>
      </c>
      <c r="C245" s="91" t="s">
        <v>420</v>
      </c>
      <c r="D245" s="92">
        <v>77622.73</v>
      </c>
      <c r="E245" s="92">
        <v>11746.24</v>
      </c>
      <c r="F245" s="92">
        <v>63647.09</v>
      </c>
      <c r="G245" s="92">
        <v>2229.4</v>
      </c>
      <c r="H245" s="93">
        <v>488497.86</v>
      </c>
      <c r="I245" s="93">
        <v>135081.76</v>
      </c>
      <c r="J245" s="93">
        <v>339011.9</v>
      </c>
      <c r="K245" s="93">
        <v>14404.2</v>
      </c>
      <c r="L245" s="43">
        <v>6.2932321499127895</v>
      </c>
      <c r="M245" s="43">
        <v>11.500000000000002</v>
      </c>
      <c r="N245" s="43">
        <v>5.3264320489750601</v>
      </c>
      <c r="O245" s="43">
        <v>6.4610209024849734</v>
      </c>
      <c r="P245" s="94"/>
      <c r="Q245" s="94"/>
      <c r="R245" s="94">
        <v>1</v>
      </c>
    </row>
    <row r="246" spans="1:18" ht="36">
      <c r="A246" s="90">
        <v>26</v>
      </c>
      <c r="B246" s="87" t="s">
        <v>421</v>
      </c>
      <c r="C246" s="91" t="s">
        <v>422</v>
      </c>
      <c r="D246" s="92">
        <v>84240.43</v>
      </c>
      <c r="E246" s="92">
        <v>12109.76</v>
      </c>
      <c r="F246" s="92">
        <v>70273.7</v>
      </c>
      <c r="G246" s="92">
        <v>1856.97</v>
      </c>
      <c r="H246" s="93">
        <v>521459.83</v>
      </c>
      <c r="I246" s="93">
        <v>139262.24</v>
      </c>
      <c r="J246" s="93">
        <v>370958.51</v>
      </c>
      <c r="K246" s="93">
        <v>11239.08</v>
      </c>
      <c r="L246" s="43">
        <v>6.1901373247976066</v>
      </c>
      <c r="M246" s="43">
        <v>11.499999999999998</v>
      </c>
      <c r="N246" s="43">
        <v>5.2787673055495876</v>
      </c>
      <c r="O246" s="43">
        <v>6.0523756441945746</v>
      </c>
      <c r="P246" s="94"/>
      <c r="Q246" s="94"/>
      <c r="R246" s="94">
        <v>1</v>
      </c>
    </row>
    <row r="247" spans="1:18" ht="36">
      <c r="A247" s="90">
        <v>27</v>
      </c>
      <c r="B247" s="87" t="s">
        <v>423</v>
      </c>
      <c r="C247" s="91" t="s">
        <v>424</v>
      </c>
      <c r="D247" s="92">
        <v>85493.45</v>
      </c>
      <c r="E247" s="92">
        <v>12291.52</v>
      </c>
      <c r="F247" s="92">
        <v>71316.7</v>
      </c>
      <c r="G247" s="92">
        <v>1885.23</v>
      </c>
      <c r="H247" s="93">
        <v>529474.52</v>
      </c>
      <c r="I247" s="93">
        <v>141352.48000000001</v>
      </c>
      <c r="J247" s="93">
        <v>376635.62</v>
      </c>
      <c r="K247" s="93">
        <v>11486.42</v>
      </c>
      <c r="L247" s="43">
        <v>6.1931588911197295</v>
      </c>
      <c r="M247" s="43">
        <v>11.5</v>
      </c>
      <c r="N247" s="43">
        <v>5.2811700485300079</v>
      </c>
      <c r="O247" s="43">
        <v>6.0928480875012596</v>
      </c>
      <c r="P247" s="94"/>
      <c r="Q247" s="94"/>
      <c r="R247" s="94">
        <v>1</v>
      </c>
    </row>
    <row r="248" spans="1:18" ht="36">
      <c r="A248" s="90">
        <v>28</v>
      </c>
      <c r="B248" s="87" t="s">
        <v>425</v>
      </c>
      <c r="C248" s="91" t="s">
        <v>426</v>
      </c>
      <c r="D248" s="92">
        <v>87135.1</v>
      </c>
      <c r="E248" s="92">
        <v>12564.16</v>
      </c>
      <c r="F248" s="92">
        <v>72639.259999999995</v>
      </c>
      <c r="G248" s="92">
        <v>1931.68</v>
      </c>
      <c r="H248" s="93">
        <v>540070.56000000006</v>
      </c>
      <c r="I248" s="93">
        <v>144487.84</v>
      </c>
      <c r="J248" s="93">
        <v>383691.63</v>
      </c>
      <c r="K248" s="93">
        <v>11891.09</v>
      </c>
      <c r="L248" s="43">
        <v>6.1980827473658726</v>
      </c>
      <c r="M248" s="43">
        <v>11.5</v>
      </c>
      <c r="N248" s="43">
        <v>5.2821522410883599</v>
      </c>
      <c r="O248" s="43">
        <v>6.1558280874679037</v>
      </c>
      <c r="P248" s="94"/>
      <c r="Q248" s="94"/>
      <c r="R248" s="94">
        <v>1</v>
      </c>
    </row>
    <row r="249" spans="1:18" ht="36">
      <c r="A249" s="90">
        <v>29</v>
      </c>
      <c r="B249" s="87" t="s">
        <v>427</v>
      </c>
      <c r="C249" s="91" t="s">
        <v>428</v>
      </c>
      <c r="D249" s="92">
        <v>89592.33</v>
      </c>
      <c r="E249" s="92">
        <v>12882.24</v>
      </c>
      <c r="F249" s="92">
        <v>74719.320000000007</v>
      </c>
      <c r="G249" s="92">
        <v>1990.77</v>
      </c>
      <c r="H249" s="93">
        <v>555483.69999999995</v>
      </c>
      <c r="I249" s="93">
        <v>148145.76</v>
      </c>
      <c r="J249" s="93">
        <v>394952.45</v>
      </c>
      <c r="K249" s="93">
        <v>12385.49</v>
      </c>
      <c r="L249" s="43">
        <v>6.2001256134314167</v>
      </c>
      <c r="M249" s="43">
        <v>11.500000000000002</v>
      </c>
      <c r="N249" s="43">
        <v>5.2858142980958602</v>
      </c>
      <c r="O249" s="43">
        <v>6.2214570241665283</v>
      </c>
      <c r="P249" s="94"/>
      <c r="Q249" s="94"/>
      <c r="R249" s="94">
        <v>1</v>
      </c>
    </row>
    <row r="250" spans="1:18" ht="36">
      <c r="A250" s="90">
        <v>30</v>
      </c>
      <c r="B250" s="87" t="s">
        <v>429</v>
      </c>
      <c r="C250" s="91" t="s">
        <v>430</v>
      </c>
      <c r="D250" s="92">
        <v>94506.15</v>
      </c>
      <c r="E250" s="92">
        <v>13166.24</v>
      </c>
      <c r="F250" s="92">
        <v>79310.92</v>
      </c>
      <c r="G250" s="92">
        <v>2028.99</v>
      </c>
      <c r="H250" s="93">
        <v>584702.6</v>
      </c>
      <c r="I250" s="93">
        <v>151411.76</v>
      </c>
      <c r="J250" s="93">
        <v>420558.25</v>
      </c>
      <c r="K250" s="93">
        <v>12732.59</v>
      </c>
      <c r="L250" s="43">
        <v>6.1869264592833382</v>
      </c>
      <c r="M250" s="43">
        <v>11.500000000000002</v>
      </c>
      <c r="N250" s="43">
        <v>5.3026525225025765</v>
      </c>
      <c r="O250" s="43">
        <v>6.2753340331889262</v>
      </c>
      <c r="P250" s="94"/>
      <c r="Q250" s="94"/>
      <c r="R250" s="94">
        <v>1</v>
      </c>
    </row>
    <row r="251" spans="1:18" ht="36">
      <c r="A251" s="90">
        <v>31</v>
      </c>
      <c r="B251" s="87" t="s">
        <v>431</v>
      </c>
      <c r="C251" s="91" t="s">
        <v>432</v>
      </c>
      <c r="D251" s="92">
        <v>103771.67</v>
      </c>
      <c r="E251" s="92">
        <v>14699.84</v>
      </c>
      <c r="F251" s="92">
        <v>86898.51</v>
      </c>
      <c r="G251" s="92">
        <v>2173.3200000000002</v>
      </c>
      <c r="H251" s="93">
        <v>644422.78</v>
      </c>
      <c r="I251" s="93">
        <v>169048.16</v>
      </c>
      <c r="J251" s="93">
        <v>461347.04</v>
      </c>
      <c r="K251" s="93">
        <v>14027.58</v>
      </c>
      <c r="L251" s="43">
        <v>6.2100068351988558</v>
      </c>
      <c r="M251" s="43">
        <v>11.5</v>
      </c>
      <c r="N251" s="43">
        <v>5.3090328015980939</v>
      </c>
      <c r="O251" s="43">
        <v>6.4544475732979949</v>
      </c>
      <c r="P251" s="94"/>
      <c r="Q251" s="94"/>
      <c r="R251" s="94">
        <v>1</v>
      </c>
    </row>
    <row r="252" spans="1:18" ht="36">
      <c r="A252" s="90">
        <v>32</v>
      </c>
      <c r="B252" s="87" t="s">
        <v>433</v>
      </c>
      <c r="C252" s="91" t="s">
        <v>434</v>
      </c>
      <c r="D252" s="92">
        <v>96451.38</v>
      </c>
      <c r="E252" s="92">
        <v>13409.32</v>
      </c>
      <c r="F252" s="92">
        <v>81110.11</v>
      </c>
      <c r="G252" s="92">
        <v>1931.95</v>
      </c>
      <c r="H252" s="93">
        <v>595631.05000000005</v>
      </c>
      <c r="I252" s="93">
        <v>154207.18</v>
      </c>
      <c r="J252" s="93">
        <v>429477.35</v>
      </c>
      <c r="K252" s="93">
        <v>11946.52</v>
      </c>
      <c r="L252" s="43">
        <v>6.1754538918986954</v>
      </c>
      <c r="M252" s="43">
        <v>11.5</v>
      </c>
      <c r="N252" s="43">
        <v>5.2949915861290284</v>
      </c>
      <c r="O252" s="43">
        <v>6.1836589973860612</v>
      </c>
      <c r="P252" s="94"/>
      <c r="Q252" s="94"/>
      <c r="R252" s="94">
        <v>1</v>
      </c>
    </row>
    <row r="253" spans="1:18" ht="36">
      <c r="A253" s="90">
        <v>33</v>
      </c>
      <c r="B253" s="87" t="s">
        <v>435</v>
      </c>
      <c r="C253" s="91" t="s">
        <v>436</v>
      </c>
      <c r="D253" s="92">
        <v>99394.29</v>
      </c>
      <c r="E253" s="92">
        <v>13825.2</v>
      </c>
      <c r="F253" s="92">
        <v>83568.42</v>
      </c>
      <c r="G253" s="92">
        <v>2000.67</v>
      </c>
      <c r="H253" s="93">
        <v>614283.26</v>
      </c>
      <c r="I253" s="93">
        <v>158989.79999999999</v>
      </c>
      <c r="J253" s="93">
        <v>442750.76</v>
      </c>
      <c r="K253" s="93">
        <v>12542.7</v>
      </c>
      <c r="L253" s="43">
        <v>6.180267095826129</v>
      </c>
      <c r="M253" s="43">
        <v>11.499999999999998</v>
      </c>
      <c r="N253" s="43">
        <v>5.2980630721509394</v>
      </c>
      <c r="O253" s="43">
        <v>6.2692498013165592</v>
      </c>
      <c r="P253" s="94"/>
      <c r="Q253" s="94"/>
      <c r="R253" s="94">
        <v>1</v>
      </c>
    </row>
    <row r="254" spans="1:18" ht="36">
      <c r="A254" s="90">
        <v>34</v>
      </c>
      <c r="B254" s="87" t="s">
        <v>437</v>
      </c>
      <c r="C254" s="91" t="s">
        <v>438</v>
      </c>
      <c r="D254" s="92">
        <v>107906.46</v>
      </c>
      <c r="E254" s="92">
        <v>15230.2</v>
      </c>
      <c r="F254" s="92">
        <v>90566.68</v>
      </c>
      <c r="G254" s="92">
        <v>2109.58</v>
      </c>
      <c r="H254" s="93">
        <v>669015.73</v>
      </c>
      <c r="I254" s="93">
        <v>175147.3</v>
      </c>
      <c r="J254" s="93">
        <v>480333.22</v>
      </c>
      <c r="K254" s="93">
        <v>13535.21</v>
      </c>
      <c r="L254" s="43">
        <v>6.1999599467909512</v>
      </c>
      <c r="M254" s="43">
        <v>11.499999999999998</v>
      </c>
      <c r="N254" s="43">
        <v>5.3036416925076644</v>
      </c>
      <c r="O254" s="43">
        <v>6.4160686013329666</v>
      </c>
      <c r="P254" s="94"/>
      <c r="Q254" s="94"/>
      <c r="R254" s="94">
        <v>1</v>
      </c>
    </row>
    <row r="255" spans="1:18" ht="36">
      <c r="A255" s="90">
        <v>35</v>
      </c>
      <c r="B255" s="87" t="s">
        <v>439</v>
      </c>
      <c r="C255" s="91" t="s">
        <v>440</v>
      </c>
      <c r="D255" s="92">
        <v>113656.5</v>
      </c>
      <c r="E255" s="92">
        <v>16174.36</v>
      </c>
      <c r="F255" s="92">
        <v>95170.64</v>
      </c>
      <c r="G255" s="92">
        <v>2311.5</v>
      </c>
      <c r="H255" s="93">
        <v>706106.12</v>
      </c>
      <c r="I255" s="93">
        <v>186005.14</v>
      </c>
      <c r="J255" s="93">
        <v>504836.45</v>
      </c>
      <c r="K255" s="93">
        <v>15264.53</v>
      </c>
      <c r="L255" s="43">
        <v>6.2126329774363986</v>
      </c>
      <c r="M255" s="43">
        <v>11.5</v>
      </c>
      <c r="N255" s="43">
        <v>5.3045398244668736</v>
      </c>
      <c r="O255" s="43">
        <v>6.603733506381138</v>
      </c>
      <c r="P255" s="94"/>
      <c r="Q255" s="94"/>
      <c r="R255" s="94">
        <v>1</v>
      </c>
    </row>
    <row r="256" spans="1:18" ht="36">
      <c r="A256" s="90">
        <v>36</v>
      </c>
      <c r="B256" s="87" t="s">
        <v>441</v>
      </c>
      <c r="C256" s="91" t="s">
        <v>442</v>
      </c>
      <c r="D256" s="92">
        <v>132022.75</v>
      </c>
      <c r="E256" s="92">
        <v>18006.48</v>
      </c>
      <c r="F256" s="92">
        <v>111531.58</v>
      </c>
      <c r="G256" s="92">
        <v>2484.69</v>
      </c>
      <c r="H256" s="93">
        <v>817843.91</v>
      </c>
      <c r="I256" s="93">
        <v>207074.52</v>
      </c>
      <c r="J256" s="93">
        <v>593951.03</v>
      </c>
      <c r="K256" s="93">
        <v>16818.36</v>
      </c>
      <c r="L256" s="43">
        <v>6.1947195464418066</v>
      </c>
      <c r="M256" s="43">
        <v>11.5</v>
      </c>
      <c r="N256" s="43">
        <v>5.325406759233573</v>
      </c>
      <c r="O256" s="43">
        <v>6.7687961073614815</v>
      </c>
      <c r="P256" s="94"/>
      <c r="Q256" s="94"/>
      <c r="R256" s="94">
        <v>1</v>
      </c>
    </row>
    <row r="257" spans="1:18" ht="36">
      <c r="A257" s="90">
        <v>37</v>
      </c>
      <c r="B257" s="87" t="s">
        <v>443</v>
      </c>
      <c r="C257" s="91" t="s">
        <v>444</v>
      </c>
      <c r="D257" s="92">
        <v>136677.53</v>
      </c>
      <c r="E257" s="92">
        <v>18635.919999999998</v>
      </c>
      <c r="F257" s="92">
        <v>115434.91</v>
      </c>
      <c r="G257" s="92">
        <v>2606.6999999999998</v>
      </c>
      <c r="H257" s="93">
        <v>847197.89</v>
      </c>
      <c r="I257" s="93">
        <v>214313.08</v>
      </c>
      <c r="J257" s="93">
        <v>615017.73</v>
      </c>
      <c r="K257" s="93">
        <v>17867.080000000002</v>
      </c>
      <c r="L257" s="43">
        <v>6.1985162447697144</v>
      </c>
      <c r="M257" s="43">
        <v>11.5</v>
      </c>
      <c r="N257" s="43">
        <v>5.327831329361282</v>
      </c>
      <c r="O257" s="43">
        <v>6.854290865845706</v>
      </c>
      <c r="P257" s="94"/>
      <c r="Q257" s="94"/>
      <c r="R257" s="94">
        <v>1</v>
      </c>
    </row>
    <row r="258" spans="1:18" ht="36">
      <c r="A258" s="90">
        <v>38</v>
      </c>
      <c r="B258" s="87" t="s">
        <v>445</v>
      </c>
      <c r="C258" s="91" t="s">
        <v>446</v>
      </c>
      <c r="D258" s="92">
        <v>149301.34</v>
      </c>
      <c r="E258" s="92">
        <v>21030.04</v>
      </c>
      <c r="F258" s="92">
        <v>125569.66</v>
      </c>
      <c r="G258" s="92">
        <v>2701.64</v>
      </c>
      <c r="H258" s="93">
        <v>929736.16</v>
      </c>
      <c r="I258" s="93">
        <v>241845.46</v>
      </c>
      <c r="J258" s="93">
        <v>669081.4</v>
      </c>
      <c r="K258" s="93">
        <v>18809.3</v>
      </c>
      <c r="L258" s="43">
        <v>6.2272459175517119</v>
      </c>
      <c r="M258" s="43">
        <v>11.5</v>
      </c>
      <c r="N258" s="43">
        <v>5.3283683335608298</v>
      </c>
      <c r="O258" s="43">
        <v>6.9621785285974447</v>
      </c>
      <c r="P258" s="94"/>
      <c r="Q258" s="94"/>
      <c r="R258" s="94">
        <v>1</v>
      </c>
    </row>
    <row r="259" spans="1:18" ht="36">
      <c r="A259" s="90">
        <v>39</v>
      </c>
      <c r="B259" s="87" t="s">
        <v>447</v>
      </c>
      <c r="C259" s="91" t="s">
        <v>448</v>
      </c>
      <c r="D259" s="92">
        <v>151866.42000000001</v>
      </c>
      <c r="E259" s="92">
        <v>21367.24</v>
      </c>
      <c r="F259" s="92">
        <v>127716.28</v>
      </c>
      <c r="G259" s="92">
        <v>2782.9</v>
      </c>
      <c r="H259" s="93">
        <v>945929.45</v>
      </c>
      <c r="I259" s="93">
        <v>245723.26</v>
      </c>
      <c r="J259" s="93">
        <v>680702.45</v>
      </c>
      <c r="K259" s="93">
        <v>19503.740000000002</v>
      </c>
      <c r="L259" s="43">
        <v>6.2286939403720707</v>
      </c>
      <c r="M259" s="43">
        <v>11.5</v>
      </c>
      <c r="N259" s="43">
        <v>5.3298017292705362</v>
      </c>
      <c r="O259" s="43">
        <v>7.0084228682309826</v>
      </c>
      <c r="P259" s="94"/>
      <c r="Q259" s="94"/>
      <c r="R259" s="94">
        <v>1</v>
      </c>
    </row>
    <row r="260" spans="1:18" ht="36">
      <c r="A260" s="90">
        <v>40</v>
      </c>
      <c r="B260" s="87" t="s">
        <v>449</v>
      </c>
      <c r="C260" s="91" t="s">
        <v>450</v>
      </c>
      <c r="D260" s="92">
        <v>154242.28</v>
      </c>
      <c r="E260" s="92">
        <v>21648.240000000002</v>
      </c>
      <c r="F260" s="92">
        <v>129736.5</v>
      </c>
      <c r="G260" s="92">
        <v>2857.54</v>
      </c>
      <c r="H260" s="93">
        <v>960740.91</v>
      </c>
      <c r="I260" s="93">
        <v>248954.76</v>
      </c>
      <c r="J260" s="93">
        <v>691638.45</v>
      </c>
      <c r="K260" s="93">
        <v>20147.7</v>
      </c>
      <c r="L260" s="43">
        <v>6.2287779330025463</v>
      </c>
      <c r="M260" s="43">
        <v>11.5</v>
      </c>
      <c r="N260" s="43">
        <v>5.3311015018903696</v>
      </c>
      <c r="O260" s="43">
        <v>7.050714950621864</v>
      </c>
      <c r="P260" s="94"/>
      <c r="Q260" s="94"/>
      <c r="R260" s="94">
        <v>1</v>
      </c>
    </row>
    <row r="261" spans="1:18" ht="36">
      <c r="A261" s="90">
        <v>41</v>
      </c>
      <c r="B261" s="87" t="s">
        <v>451</v>
      </c>
      <c r="C261" s="91" t="s">
        <v>452</v>
      </c>
      <c r="D261" s="92">
        <v>157619.96</v>
      </c>
      <c r="E261" s="92">
        <v>22299.68</v>
      </c>
      <c r="F261" s="92">
        <v>132362.25</v>
      </c>
      <c r="G261" s="92">
        <v>2958.03</v>
      </c>
      <c r="H261" s="93">
        <v>983302.81</v>
      </c>
      <c r="I261" s="93">
        <v>256446.32</v>
      </c>
      <c r="J261" s="93">
        <v>705842.72</v>
      </c>
      <c r="K261" s="93">
        <v>21013.77</v>
      </c>
      <c r="L261" s="43">
        <v>6.2384409309582374</v>
      </c>
      <c r="M261" s="43">
        <v>11.5</v>
      </c>
      <c r="N261" s="43">
        <v>5.33265882077405</v>
      </c>
      <c r="O261" s="43">
        <v>7.1039746047200332</v>
      </c>
      <c r="P261" s="94"/>
      <c r="Q261" s="94"/>
      <c r="R261" s="94">
        <v>1</v>
      </c>
    </row>
    <row r="262" spans="1:18" ht="36">
      <c r="A262" s="90">
        <v>42</v>
      </c>
      <c r="B262" s="87" t="s">
        <v>453</v>
      </c>
      <c r="C262" s="91" t="s">
        <v>454</v>
      </c>
      <c r="D262" s="92">
        <v>167818.41</v>
      </c>
      <c r="E262" s="92">
        <v>23549.279999999999</v>
      </c>
      <c r="F262" s="92">
        <v>141010.4</v>
      </c>
      <c r="G262" s="92">
        <v>3258.73</v>
      </c>
      <c r="H262" s="93">
        <v>1047024.49</v>
      </c>
      <c r="I262" s="93">
        <v>270816.71999999997</v>
      </c>
      <c r="J262" s="93">
        <v>752623.86</v>
      </c>
      <c r="K262" s="93">
        <v>23583.91</v>
      </c>
      <c r="L262" s="43">
        <v>6.2390323564619639</v>
      </c>
      <c r="M262" s="43">
        <v>11.5</v>
      </c>
      <c r="N262" s="43">
        <v>5.3373641944140289</v>
      </c>
      <c r="O262" s="43">
        <v>7.2371476004455726</v>
      </c>
      <c r="P262" s="94"/>
      <c r="Q262" s="94"/>
      <c r="R262" s="94">
        <v>1</v>
      </c>
    </row>
    <row r="263" spans="1:18" ht="36">
      <c r="A263" s="90">
        <v>43</v>
      </c>
      <c r="B263" s="87" t="s">
        <v>455</v>
      </c>
      <c r="C263" s="91" t="s">
        <v>456</v>
      </c>
      <c r="D263" s="92">
        <v>172716.66</v>
      </c>
      <c r="E263" s="92">
        <v>24174.080000000002</v>
      </c>
      <c r="F263" s="92">
        <v>145135.92000000001</v>
      </c>
      <c r="G263" s="92">
        <v>3406.66</v>
      </c>
      <c r="H263" s="93">
        <v>1077783</v>
      </c>
      <c r="I263" s="93">
        <v>278001.91999999998</v>
      </c>
      <c r="J263" s="93">
        <v>774931.93</v>
      </c>
      <c r="K263" s="93">
        <v>24849.15</v>
      </c>
      <c r="L263" s="43">
        <v>6.2401797255690328</v>
      </c>
      <c r="M263" s="43">
        <v>11.499999999999998</v>
      </c>
      <c r="N263" s="43">
        <v>5.3393531387681286</v>
      </c>
      <c r="O263" s="43">
        <v>7.2942853117129394</v>
      </c>
      <c r="P263" s="94"/>
      <c r="Q263" s="94"/>
      <c r="R263" s="94">
        <v>1</v>
      </c>
    </row>
    <row r="264" spans="1:18" ht="36">
      <c r="A264" s="90">
        <v>44</v>
      </c>
      <c r="B264" s="87" t="s">
        <v>457</v>
      </c>
      <c r="C264" s="91" t="s">
        <v>458</v>
      </c>
      <c r="D264" s="92">
        <v>183215.06</v>
      </c>
      <c r="E264" s="92">
        <v>31399.040000000001</v>
      </c>
      <c r="F264" s="92">
        <v>148169.29999999999</v>
      </c>
      <c r="G264" s="92">
        <v>3646.72</v>
      </c>
      <c r="H264" s="93">
        <v>1179736.45</v>
      </c>
      <c r="I264" s="93">
        <v>361088.96</v>
      </c>
      <c r="J264" s="93">
        <v>791345.73</v>
      </c>
      <c r="K264" s="93">
        <v>27301.759999999998</v>
      </c>
      <c r="L264" s="43">
        <v>6.4390801171039103</v>
      </c>
      <c r="M264" s="43">
        <v>11.5</v>
      </c>
      <c r="N264" s="43">
        <v>5.3408211417614853</v>
      </c>
      <c r="O264" s="43">
        <v>7.4866619866619866</v>
      </c>
      <c r="P264" s="94"/>
      <c r="Q264" s="94"/>
      <c r="R264" s="94">
        <v>1</v>
      </c>
    </row>
    <row r="265" spans="1:18" ht="36">
      <c r="A265" s="90">
        <v>45</v>
      </c>
      <c r="B265" s="87" t="s">
        <v>459</v>
      </c>
      <c r="C265" s="91" t="s">
        <v>460</v>
      </c>
      <c r="D265" s="92">
        <v>168781.42</v>
      </c>
      <c r="E265" s="92">
        <v>23674.240000000002</v>
      </c>
      <c r="F265" s="92">
        <v>142400.04999999999</v>
      </c>
      <c r="G265" s="92">
        <v>2707.13</v>
      </c>
      <c r="H265" s="93">
        <v>1048203.11</v>
      </c>
      <c r="I265" s="93">
        <v>272253.76</v>
      </c>
      <c r="J265" s="93">
        <v>756926.32</v>
      </c>
      <c r="K265" s="93">
        <v>19023.03</v>
      </c>
      <c r="L265" s="43">
        <v>6.2104176514215839</v>
      </c>
      <c r="M265" s="43">
        <v>11.5</v>
      </c>
      <c r="N265" s="43">
        <v>5.3154919538300724</v>
      </c>
      <c r="O265" s="43">
        <v>7.0270101546656418</v>
      </c>
      <c r="P265" s="94"/>
      <c r="Q265" s="94"/>
      <c r="R265" s="94">
        <v>1</v>
      </c>
    </row>
    <row r="266" spans="1:18" ht="36">
      <c r="A266" s="90">
        <v>46</v>
      </c>
      <c r="B266" s="87" t="s">
        <v>461</v>
      </c>
      <c r="C266" s="91" t="s">
        <v>462</v>
      </c>
      <c r="D266" s="92">
        <v>177588.69</v>
      </c>
      <c r="E266" s="92">
        <v>24117.279999999999</v>
      </c>
      <c r="F266" s="92">
        <v>150682.73000000001</v>
      </c>
      <c r="G266" s="92">
        <v>2788.68</v>
      </c>
      <c r="H266" s="93">
        <v>1093033.26</v>
      </c>
      <c r="I266" s="93">
        <v>277348.71999999997</v>
      </c>
      <c r="J266" s="93">
        <v>795953.95</v>
      </c>
      <c r="K266" s="93">
        <v>19730.59</v>
      </c>
      <c r="L266" s="43">
        <v>6.1548585104152744</v>
      </c>
      <c r="M266" s="43">
        <v>11.5</v>
      </c>
      <c r="N266" s="43">
        <v>5.2823170246517295</v>
      </c>
      <c r="O266" s="43">
        <v>7.0752434843725354</v>
      </c>
      <c r="P266" s="94"/>
      <c r="Q266" s="94"/>
      <c r="R266" s="94">
        <v>1</v>
      </c>
    </row>
    <row r="267" spans="1:18" ht="36">
      <c r="A267" s="90">
        <v>47</v>
      </c>
      <c r="B267" s="87" t="s">
        <v>463</v>
      </c>
      <c r="C267" s="91" t="s">
        <v>464</v>
      </c>
      <c r="D267" s="92">
        <v>179234.14</v>
      </c>
      <c r="E267" s="92">
        <v>24412.639999999999</v>
      </c>
      <c r="F267" s="92">
        <v>151961.73000000001</v>
      </c>
      <c r="G267" s="92">
        <v>2859.77</v>
      </c>
      <c r="H267" s="93">
        <v>1104016.67</v>
      </c>
      <c r="I267" s="93">
        <v>280745.36</v>
      </c>
      <c r="J267" s="93">
        <v>802934.4</v>
      </c>
      <c r="K267" s="93">
        <v>20336.91</v>
      </c>
      <c r="L267" s="43">
        <v>6.159633817530521</v>
      </c>
      <c r="M267" s="43">
        <v>11.5</v>
      </c>
      <c r="N267" s="43">
        <v>5.2837934919535332</v>
      </c>
      <c r="O267" s="43">
        <v>7.1113795864702407</v>
      </c>
      <c r="P267" s="94"/>
      <c r="Q267" s="94"/>
      <c r="R267" s="94">
        <v>1</v>
      </c>
    </row>
    <row r="268" spans="1:18" ht="36">
      <c r="A268" s="90">
        <v>48</v>
      </c>
      <c r="B268" s="87" t="s">
        <v>465</v>
      </c>
      <c r="C268" s="91" t="s">
        <v>466</v>
      </c>
      <c r="D268" s="92">
        <v>182355.98</v>
      </c>
      <c r="E268" s="92">
        <v>24821.599999999999</v>
      </c>
      <c r="F268" s="92">
        <v>154576.76</v>
      </c>
      <c r="G268" s="92">
        <v>2957.62</v>
      </c>
      <c r="H268" s="93">
        <v>1123714.55</v>
      </c>
      <c r="I268" s="93">
        <v>285448.40000000002</v>
      </c>
      <c r="J268" s="93">
        <v>817093.01</v>
      </c>
      <c r="K268" s="93">
        <v>21173.14</v>
      </c>
      <c r="L268" s="43">
        <v>6.162202906644465</v>
      </c>
      <c r="M268" s="43">
        <v>11.500000000000002</v>
      </c>
      <c r="N268" s="43">
        <v>5.2860016602754509</v>
      </c>
      <c r="O268" s="43">
        <v>7.1588439353263773</v>
      </c>
      <c r="P268" s="94"/>
      <c r="Q268" s="94"/>
      <c r="R268" s="94">
        <v>1</v>
      </c>
    </row>
    <row r="269" spans="1:18" ht="36">
      <c r="A269" s="90">
        <v>49</v>
      </c>
      <c r="B269" s="87" t="s">
        <v>467</v>
      </c>
      <c r="C269" s="91" t="s">
        <v>468</v>
      </c>
      <c r="D269" s="92">
        <v>185875.59</v>
      </c>
      <c r="E269" s="92">
        <v>25241.919999999998</v>
      </c>
      <c r="F269" s="92">
        <v>157572.07999999999</v>
      </c>
      <c r="G269" s="92">
        <v>3061.59</v>
      </c>
      <c r="H269" s="93">
        <v>1145619.51</v>
      </c>
      <c r="I269" s="93">
        <v>290282.08</v>
      </c>
      <c r="J269" s="93">
        <v>833276.73</v>
      </c>
      <c r="K269" s="93">
        <v>22060.7</v>
      </c>
      <c r="L269" s="43">
        <v>6.163367174786103</v>
      </c>
      <c r="M269" s="43">
        <v>11.500000000000002</v>
      </c>
      <c r="N269" s="43">
        <v>5.2882257440531344</v>
      </c>
      <c r="O269" s="43">
        <v>7.2056349805166597</v>
      </c>
      <c r="P269" s="94"/>
      <c r="Q269" s="94"/>
      <c r="R269" s="94">
        <v>1</v>
      </c>
    </row>
    <row r="270" spans="1:18" ht="36">
      <c r="A270" s="90">
        <v>50</v>
      </c>
      <c r="B270" s="87" t="s">
        <v>469</v>
      </c>
      <c r="C270" s="91" t="s">
        <v>470</v>
      </c>
      <c r="D270" s="92">
        <v>188900.04</v>
      </c>
      <c r="E270" s="92">
        <v>25298.720000000001</v>
      </c>
      <c r="F270" s="92">
        <v>160448.53</v>
      </c>
      <c r="G270" s="92">
        <v>3152.79</v>
      </c>
      <c r="H270" s="93">
        <v>1162669.55</v>
      </c>
      <c r="I270" s="93">
        <v>290935.28000000003</v>
      </c>
      <c r="J270" s="93">
        <v>848914.68</v>
      </c>
      <c r="K270" s="93">
        <v>22819.59</v>
      </c>
      <c r="L270" s="43">
        <v>6.1549460233041771</v>
      </c>
      <c r="M270" s="43">
        <v>11.5</v>
      </c>
      <c r="N270" s="43">
        <v>5.2908847466536466</v>
      </c>
      <c r="O270" s="43">
        <v>7.23790357112272</v>
      </c>
      <c r="P270" s="94"/>
      <c r="Q270" s="94"/>
      <c r="R270" s="94">
        <v>1</v>
      </c>
    </row>
    <row r="271" spans="1:18" ht="36">
      <c r="A271" s="90">
        <v>51</v>
      </c>
      <c r="B271" s="87" t="s">
        <v>471</v>
      </c>
      <c r="C271" s="91" t="s">
        <v>472</v>
      </c>
      <c r="D271" s="92">
        <v>191933.1</v>
      </c>
      <c r="E271" s="92">
        <v>25991.68</v>
      </c>
      <c r="F271" s="92">
        <v>162700.26</v>
      </c>
      <c r="G271" s="92">
        <v>3241.16</v>
      </c>
      <c r="H271" s="93">
        <v>1183518.3600000001</v>
      </c>
      <c r="I271" s="93">
        <v>298904.32000000001</v>
      </c>
      <c r="J271" s="93">
        <v>861018.13</v>
      </c>
      <c r="K271" s="93">
        <v>23595.91</v>
      </c>
      <c r="L271" s="43">
        <v>6.1663066974899072</v>
      </c>
      <c r="M271" s="43">
        <v>11.5</v>
      </c>
      <c r="N271" s="43">
        <v>5.2920513464452972</v>
      </c>
      <c r="O271" s="43">
        <v>7.2800818225573565</v>
      </c>
      <c r="P271" s="94"/>
      <c r="Q271" s="94"/>
      <c r="R271" s="94">
        <v>1</v>
      </c>
    </row>
    <row r="272" spans="1:18" ht="36">
      <c r="A272" s="90">
        <v>52</v>
      </c>
      <c r="B272" s="87" t="s">
        <v>473</v>
      </c>
      <c r="C272" s="91" t="s">
        <v>474</v>
      </c>
      <c r="D272" s="92">
        <v>193954.66</v>
      </c>
      <c r="E272" s="92">
        <v>26275.68</v>
      </c>
      <c r="F272" s="92">
        <v>164365.73000000001</v>
      </c>
      <c r="G272" s="92">
        <v>3313.25</v>
      </c>
      <c r="H272" s="93">
        <v>1196424.83</v>
      </c>
      <c r="I272" s="93">
        <v>302170.32</v>
      </c>
      <c r="J272" s="93">
        <v>870043.62</v>
      </c>
      <c r="K272" s="93">
        <v>24210.89</v>
      </c>
      <c r="L272" s="43">
        <v>6.1685799660601095</v>
      </c>
      <c r="M272" s="43">
        <v>11.5</v>
      </c>
      <c r="N272" s="43">
        <v>5.2933395544192816</v>
      </c>
      <c r="O272" s="43">
        <v>7.3072934429940393</v>
      </c>
      <c r="P272" s="94"/>
      <c r="Q272" s="94"/>
      <c r="R272" s="94">
        <v>1</v>
      </c>
    </row>
    <row r="273" spans="1:18" ht="36">
      <c r="A273" s="90">
        <v>53</v>
      </c>
      <c r="B273" s="87" t="s">
        <v>475</v>
      </c>
      <c r="C273" s="91" t="s">
        <v>476</v>
      </c>
      <c r="D273" s="92">
        <v>202404.35</v>
      </c>
      <c r="E273" s="92">
        <v>27320.799999999999</v>
      </c>
      <c r="F273" s="92">
        <v>171518.39</v>
      </c>
      <c r="G273" s="92">
        <v>3565.16</v>
      </c>
      <c r="H273" s="93">
        <v>1249298.21</v>
      </c>
      <c r="I273" s="93">
        <v>314189.2</v>
      </c>
      <c r="J273" s="93">
        <v>908745.19</v>
      </c>
      <c r="K273" s="93">
        <v>26363.82</v>
      </c>
      <c r="L273" s="43">
        <v>6.1722893307381979</v>
      </c>
      <c r="M273" s="43">
        <v>11.5</v>
      </c>
      <c r="N273" s="43">
        <v>5.2982376408733769</v>
      </c>
      <c r="O273" s="43">
        <v>7.3948490390333115</v>
      </c>
      <c r="P273" s="94"/>
      <c r="Q273" s="94"/>
      <c r="R273" s="94">
        <v>1</v>
      </c>
    </row>
    <row r="274" spans="1:18" ht="36">
      <c r="A274" s="90">
        <v>54</v>
      </c>
      <c r="B274" s="87" t="s">
        <v>477</v>
      </c>
      <c r="C274" s="91" t="s">
        <v>478</v>
      </c>
      <c r="D274" s="92">
        <v>217496.03</v>
      </c>
      <c r="E274" s="92">
        <v>29195.200000000001</v>
      </c>
      <c r="F274" s="92">
        <v>184287.71</v>
      </c>
      <c r="G274" s="92">
        <v>4013.12</v>
      </c>
      <c r="H274" s="93">
        <v>1343748.1</v>
      </c>
      <c r="I274" s="93">
        <v>335744.8</v>
      </c>
      <c r="J274" s="93">
        <v>977809.78</v>
      </c>
      <c r="K274" s="93">
        <v>30193.52</v>
      </c>
      <c r="L274" s="43">
        <v>6.1782649549971103</v>
      </c>
      <c r="M274" s="43">
        <v>11.5</v>
      </c>
      <c r="N274" s="43">
        <v>5.3058870827577165</v>
      </c>
      <c r="O274" s="43">
        <v>7.5237022565983578</v>
      </c>
      <c r="P274" s="94"/>
      <c r="Q274" s="94"/>
      <c r="R274" s="94">
        <v>1</v>
      </c>
    </row>
    <row r="275" spans="1:18" ht="36">
      <c r="A275" s="90">
        <v>55</v>
      </c>
      <c r="B275" s="87" t="s">
        <v>479</v>
      </c>
      <c r="C275" s="91" t="s">
        <v>480</v>
      </c>
      <c r="D275" s="92">
        <v>220648.89</v>
      </c>
      <c r="E275" s="92">
        <v>29615.52</v>
      </c>
      <c r="F275" s="92">
        <v>186917.71</v>
      </c>
      <c r="G275" s="92">
        <v>4115.66</v>
      </c>
      <c r="H275" s="93">
        <v>1363690.04</v>
      </c>
      <c r="I275" s="93">
        <v>340578.48</v>
      </c>
      <c r="J275" s="93">
        <v>992038.12</v>
      </c>
      <c r="K275" s="93">
        <v>31073.439999999999</v>
      </c>
      <c r="L275" s="43">
        <v>6.1803621128572184</v>
      </c>
      <c r="M275" s="43">
        <v>11.5</v>
      </c>
      <c r="N275" s="43">
        <v>5.3073522032770466</v>
      </c>
      <c r="O275" s="43">
        <v>7.5500502956998394</v>
      </c>
      <c r="P275" s="94"/>
      <c r="Q275" s="94"/>
      <c r="R275" s="94">
        <v>1</v>
      </c>
    </row>
    <row r="276" spans="1:18" ht="36">
      <c r="A276" s="90">
        <v>56</v>
      </c>
      <c r="B276" s="87" t="s">
        <v>481</v>
      </c>
      <c r="C276" s="91" t="s">
        <v>482</v>
      </c>
      <c r="D276" s="92">
        <v>190459.53</v>
      </c>
      <c r="E276" s="92">
        <v>25301.24</v>
      </c>
      <c r="F276" s="92">
        <v>162371.23000000001</v>
      </c>
      <c r="G276" s="92">
        <v>2787.06</v>
      </c>
      <c r="H276" s="93">
        <v>1168884.28</v>
      </c>
      <c r="I276" s="93">
        <v>290964.26</v>
      </c>
      <c r="J276" s="93">
        <v>858128.39</v>
      </c>
      <c r="K276" s="93">
        <v>19791.63</v>
      </c>
      <c r="L276" s="43">
        <v>6.1371792737281252</v>
      </c>
      <c r="M276" s="43">
        <v>11.5</v>
      </c>
      <c r="N276" s="43">
        <v>5.2849780715462948</v>
      </c>
      <c r="O276" s="43">
        <v>7.1012572388107902</v>
      </c>
      <c r="P276" s="94"/>
      <c r="Q276" s="94"/>
      <c r="R276" s="94">
        <v>1</v>
      </c>
    </row>
    <row r="277" spans="1:18" ht="36">
      <c r="A277" s="90">
        <v>57</v>
      </c>
      <c r="B277" s="87" t="s">
        <v>483</v>
      </c>
      <c r="C277" s="91" t="s">
        <v>484</v>
      </c>
      <c r="D277" s="92">
        <v>195345.8</v>
      </c>
      <c r="E277" s="92">
        <v>25919.439999999999</v>
      </c>
      <c r="F277" s="92">
        <v>166486.01</v>
      </c>
      <c r="G277" s="92">
        <v>2940.35</v>
      </c>
      <c r="H277" s="93">
        <v>1199564.81</v>
      </c>
      <c r="I277" s="93">
        <v>298073.56</v>
      </c>
      <c r="J277" s="93">
        <v>880390.76</v>
      </c>
      <c r="K277" s="93">
        <v>21100.49</v>
      </c>
      <c r="L277" s="43">
        <v>6.1407248581745817</v>
      </c>
      <c r="M277" s="43">
        <v>11.5</v>
      </c>
      <c r="N277" s="43">
        <v>5.2880765176605529</v>
      </c>
      <c r="O277" s="43">
        <v>7.1761831074531948</v>
      </c>
      <c r="P277" s="94"/>
      <c r="Q277" s="94"/>
      <c r="R277" s="94">
        <v>1</v>
      </c>
    </row>
    <row r="278" spans="1:18" ht="36">
      <c r="A278" s="90">
        <v>58</v>
      </c>
      <c r="B278" s="87" t="s">
        <v>485</v>
      </c>
      <c r="C278" s="91" t="s">
        <v>486</v>
      </c>
      <c r="D278" s="92">
        <v>198468.13</v>
      </c>
      <c r="E278" s="92">
        <v>26324.080000000002</v>
      </c>
      <c r="F278" s="92">
        <v>169105.53</v>
      </c>
      <c r="G278" s="92">
        <v>3038.52</v>
      </c>
      <c r="H278" s="93">
        <v>1219241.05</v>
      </c>
      <c r="I278" s="93">
        <v>302726.92</v>
      </c>
      <c r="J278" s="93">
        <v>894574.73</v>
      </c>
      <c r="K278" s="93">
        <v>21939.4</v>
      </c>
      <c r="L278" s="43">
        <v>6.1432586178949737</v>
      </c>
      <c r="M278" s="43">
        <v>11.499999999999998</v>
      </c>
      <c r="N278" s="43">
        <v>5.2900382973874365</v>
      </c>
      <c r="O278" s="43">
        <v>7.2204231007200876</v>
      </c>
      <c r="P278" s="94"/>
      <c r="Q278" s="94"/>
      <c r="R278" s="94">
        <v>1</v>
      </c>
    </row>
    <row r="279" spans="1:18" ht="36">
      <c r="A279" s="90">
        <v>59</v>
      </c>
      <c r="B279" s="87" t="s">
        <v>487</v>
      </c>
      <c r="C279" s="91" t="s">
        <v>488</v>
      </c>
      <c r="D279" s="92">
        <v>203379.19</v>
      </c>
      <c r="E279" s="92">
        <v>28066.28</v>
      </c>
      <c r="F279" s="92">
        <v>172149.47</v>
      </c>
      <c r="G279" s="92">
        <v>3163.44</v>
      </c>
      <c r="H279" s="93">
        <v>1256881.67</v>
      </c>
      <c r="I279" s="93">
        <v>322762.21999999997</v>
      </c>
      <c r="J279" s="93">
        <v>911033.38</v>
      </c>
      <c r="K279" s="93">
        <v>23086.07</v>
      </c>
      <c r="L279" s="43">
        <v>6.1799915222398116</v>
      </c>
      <c r="M279" s="43">
        <v>11.5</v>
      </c>
      <c r="N279" s="43">
        <v>5.2921067953331482</v>
      </c>
      <c r="O279" s="43">
        <v>7.2977739422906707</v>
      </c>
      <c r="P279" s="94"/>
      <c r="Q279" s="94"/>
      <c r="R279" s="94">
        <v>1</v>
      </c>
    </row>
    <row r="280" spans="1:18" ht="36">
      <c r="A280" s="90">
        <v>60</v>
      </c>
      <c r="B280" s="87" t="s">
        <v>489</v>
      </c>
      <c r="C280" s="91" t="s">
        <v>490</v>
      </c>
      <c r="D280" s="92">
        <v>208014.88</v>
      </c>
      <c r="E280" s="92">
        <v>27470.560000000001</v>
      </c>
      <c r="F280" s="92">
        <v>177228.87</v>
      </c>
      <c r="G280" s="92">
        <v>3315.45</v>
      </c>
      <c r="H280" s="93">
        <v>1278716.74</v>
      </c>
      <c r="I280" s="93">
        <v>315911.44</v>
      </c>
      <c r="J280" s="93">
        <v>938499.06</v>
      </c>
      <c r="K280" s="93">
        <v>24306.240000000002</v>
      </c>
      <c r="L280" s="43">
        <v>6.1472368707469389</v>
      </c>
      <c r="M280" s="43">
        <v>11.5</v>
      </c>
      <c r="N280" s="43">
        <v>5.2954073453156933</v>
      </c>
      <c r="O280" s="43">
        <v>7.3312039089716334</v>
      </c>
      <c r="P280" s="94"/>
      <c r="Q280" s="94"/>
      <c r="R280" s="94">
        <v>1</v>
      </c>
    </row>
    <row r="281" spans="1:18" ht="36">
      <c r="A281" s="90">
        <v>61</v>
      </c>
      <c r="B281" s="87" t="s">
        <v>491</v>
      </c>
      <c r="C281" s="91" t="s">
        <v>492</v>
      </c>
      <c r="D281" s="92">
        <v>210411</v>
      </c>
      <c r="E281" s="92">
        <v>27762.799999999999</v>
      </c>
      <c r="F281" s="92">
        <v>179259.83</v>
      </c>
      <c r="G281" s="92">
        <v>3388.37</v>
      </c>
      <c r="H281" s="93">
        <v>1293681.71</v>
      </c>
      <c r="I281" s="93">
        <v>319272.2</v>
      </c>
      <c r="J281" s="93">
        <v>949480.77</v>
      </c>
      <c r="K281" s="93">
        <v>24928.74</v>
      </c>
      <c r="L281" s="43">
        <v>6.1483558844356994</v>
      </c>
      <c r="M281" s="43">
        <v>11.5</v>
      </c>
      <c r="N281" s="43">
        <v>5.2966733818725595</v>
      </c>
      <c r="O281" s="43">
        <v>7.3571481272706354</v>
      </c>
      <c r="P281" s="94"/>
      <c r="Q281" s="94"/>
      <c r="R281" s="94">
        <v>1</v>
      </c>
    </row>
    <row r="282" spans="1:18" ht="36">
      <c r="A282" s="90">
        <v>62</v>
      </c>
      <c r="B282" s="87" t="s">
        <v>493</v>
      </c>
      <c r="C282" s="91" t="s">
        <v>494</v>
      </c>
      <c r="D282" s="92">
        <v>230421.79</v>
      </c>
      <c r="E282" s="92">
        <v>30235.599999999999</v>
      </c>
      <c r="F282" s="92">
        <v>196196.96</v>
      </c>
      <c r="G282" s="92">
        <v>3989.23</v>
      </c>
      <c r="H282" s="93">
        <v>1418879.62</v>
      </c>
      <c r="I282" s="93">
        <v>347709.4</v>
      </c>
      <c r="J282" s="93">
        <v>1041107.53</v>
      </c>
      <c r="K282" s="93">
        <v>30062.69</v>
      </c>
      <c r="L282" s="43">
        <v>6.1577493170242281</v>
      </c>
      <c r="M282" s="43">
        <v>11.500000000000002</v>
      </c>
      <c r="N282" s="43">
        <v>5.3064406808341991</v>
      </c>
      <c r="O282" s="43">
        <v>7.5359630805945006</v>
      </c>
      <c r="P282" s="94"/>
      <c r="Q282" s="94"/>
      <c r="R282" s="94">
        <v>1</v>
      </c>
    </row>
    <row r="283" spans="1:18" ht="36">
      <c r="A283" s="90">
        <v>63</v>
      </c>
      <c r="B283" s="87" t="s">
        <v>495</v>
      </c>
      <c r="C283" s="91" t="s">
        <v>496</v>
      </c>
      <c r="D283" s="92">
        <v>235303.5</v>
      </c>
      <c r="E283" s="92">
        <v>30853.8</v>
      </c>
      <c r="F283" s="92">
        <v>200311.89</v>
      </c>
      <c r="G283" s="92">
        <v>4137.8100000000004</v>
      </c>
      <c r="H283" s="93">
        <v>1449518</v>
      </c>
      <c r="I283" s="93">
        <v>354818.7</v>
      </c>
      <c r="J283" s="93">
        <v>1063370.67</v>
      </c>
      <c r="K283" s="93">
        <v>31328.63</v>
      </c>
      <c r="L283" s="43">
        <v>6.160205861791261</v>
      </c>
      <c r="M283" s="43">
        <v>11.5</v>
      </c>
      <c r="N283" s="43">
        <v>5.3085748928832928</v>
      </c>
      <c r="O283" s="43">
        <v>7.5713070440643717</v>
      </c>
      <c r="P283" s="94"/>
      <c r="Q283" s="94"/>
      <c r="R283" s="94">
        <v>1</v>
      </c>
    </row>
    <row r="284" spans="1:18" ht="36">
      <c r="A284" s="90">
        <v>64</v>
      </c>
      <c r="B284" s="87" t="s">
        <v>497</v>
      </c>
      <c r="C284" s="91" t="s">
        <v>498</v>
      </c>
      <c r="D284" s="92">
        <v>239230.13</v>
      </c>
      <c r="E284" s="92">
        <v>31269.68</v>
      </c>
      <c r="F284" s="92">
        <v>203720.2</v>
      </c>
      <c r="G284" s="92">
        <v>4240.25</v>
      </c>
      <c r="H284" s="93">
        <v>1473588.26</v>
      </c>
      <c r="I284" s="93">
        <v>359601.32</v>
      </c>
      <c r="J284" s="93">
        <v>1081779.54</v>
      </c>
      <c r="K284" s="93">
        <v>32207.4</v>
      </c>
      <c r="L284" s="43">
        <v>6.1597101502222982</v>
      </c>
      <c r="M284" s="43">
        <v>11.5</v>
      </c>
      <c r="N284" s="43">
        <v>5.310124081951618</v>
      </c>
      <c r="O284" s="43">
        <v>7.5956370497022583</v>
      </c>
      <c r="P284" s="94"/>
      <c r="Q284" s="94"/>
      <c r="R284" s="94">
        <v>1</v>
      </c>
    </row>
    <row r="285" spans="1:18" ht="36">
      <c r="A285" s="90">
        <v>65</v>
      </c>
      <c r="B285" s="87" t="s">
        <v>499</v>
      </c>
      <c r="C285" s="91" t="s">
        <v>500</v>
      </c>
      <c r="D285" s="92">
        <v>229654.01</v>
      </c>
      <c r="E285" s="92">
        <v>29032.92</v>
      </c>
      <c r="F285" s="92">
        <v>197759.39</v>
      </c>
      <c r="G285" s="92">
        <v>2861.7</v>
      </c>
      <c r="H285" s="93">
        <v>1400827.61</v>
      </c>
      <c r="I285" s="93">
        <v>333878.58</v>
      </c>
      <c r="J285" s="93">
        <v>1046299.04</v>
      </c>
      <c r="K285" s="93">
        <v>20649.990000000002</v>
      </c>
      <c r="L285" s="43">
        <v>6.0997306774656366</v>
      </c>
      <c r="M285" s="43">
        <v>11.500000000000002</v>
      </c>
      <c r="N285" s="43">
        <v>5.2907679377449535</v>
      </c>
      <c r="O285" s="43">
        <v>7.2159870007338309</v>
      </c>
      <c r="P285" s="94"/>
      <c r="Q285" s="94"/>
      <c r="R285" s="94">
        <v>1</v>
      </c>
    </row>
    <row r="286" spans="1:18" ht="36">
      <c r="A286" s="90">
        <v>66</v>
      </c>
      <c r="B286" s="87" t="s">
        <v>501</v>
      </c>
      <c r="C286" s="91" t="s">
        <v>502</v>
      </c>
      <c r="D286" s="92">
        <v>234599.36</v>
      </c>
      <c r="E286" s="92">
        <v>29651.119999999999</v>
      </c>
      <c r="F286" s="92">
        <v>201938.74</v>
      </c>
      <c r="G286" s="92">
        <v>3009.5</v>
      </c>
      <c r="H286" s="93">
        <v>1431812.87</v>
      </c>
      <c r="I286" s="93">
        <v>340987.88</v>
      </c>
      <c r="J286" s="93">
        <v>1068911.22</v>
      </c>
      <c r="K286" s="93">
        <v>21913.77</v>
      </c>
      <c r="L286" s="43">
        <v>6.103225814426775</v>
      </c>
      <c r="M286" s="43">
        <v>11.5</v>
      </c>
      <c r="N286" s="43">
        <v>5.2932449712224612</v>
      </c>
      <c r="O286" s="43">
        <v>7.2815318159162654</v>
      </c>
      <c r="P286" s="94"/>
      <c r="Q286" s="94"/>
      <c r="R286" s="94">
        <v>1</v>
      </c>
    </row>
    <row r="287" spans="1:18" ht="36">
      <c r="A287" s="90">
        <v>67</v>
      </c>
      <c r="B287" s="87" t="s">
        <v>503</v>
      </c>
      <c r="C287" s="91" t="s">
        <v>504</v>
      </c>
      <c r="D287" s="92">
        <v>241140.68</v>
      </c>
      <c r="E287" s="92">
        <v>30482.880000000001</v>
      </c>
      <c r="F287" s="92">
        <v>207446.03</v>
      </c>
      <c r="G287" s="92">
        <v>3211.77</v>
      </c>
      <c r="H287" s="93">
        <v>1472864.74</v>
      </c>
      <c r="I287" s="93">
        <v>350553.12</v>
      </c>
      <c r="J287" s="93">
        <v>1098669.76</v>
      </c>
      <c r="K287" s="93">
        <v>23641.86</v>
      </c>
      <c r="L287" s="43">
        <v>6.1079065547961466</v>
      </c>
      <c r="M287" s="43">
        <v>11.5</v>
      </c>
      <c r="N287" s="43">
        <v>5.2961715391709356</v>
      </c>
      <c r="O287" s="43">
        <v>7.3610065477914048</v>
      </c>
      <c r="P287" s="94"/>
      <c r="Q287" s="94"/>
      <c r="R287" s="94">
        <v>1</v>
      </c>
    </row>
    <row r="288" spans="1:18" ht="36">
      <c r="A288" s="90">
        <v>68</v>
      </c>
      <c r="B288" s="87" t="s">
        <v>505</v>
      </c>
      <c r="C288" s="91" t="s">
        <v>506</v>
      </c>
      <c r="D288" s="92">
        <v>253164</v>
      </c>
      <c r="E288" s="92">
        <v>31910.36</v>
      </c>
      <c r="F288" s="92">
        <v>217692.91</v>
      </c>
      <c r="G288" s="92">
        <v>3560.73</v>
      </c>
      <c r="H288" s="93">
        <v>1547707.3</v>
      </c>
      <c r="I288" s="93">
        <v>366969.14</v>
      </c>
      <c r="J288" s="93">
        <v>1154115.18</v>
      </c>
      <c r="K288" s="93">
        <v>26622.98</v>
      </c>
      <c r="L288" s="43">
        <v>6.1134572846060262</v>
      </c>
      <c r="M288" s="43">
        <v>11.5</v>
      </c>
      <c r="N288" s="43">
        <v>5.3015744977638448</v>
      </c>
      <c r="O288" s="43">
        <v>7.476831997933008</v>
      </c>
      <c r="P288" s="94"/>
      <c r="Q288" s="94"/>
      <c r="R288" s="94">
        <v>1</v>
      </c>
    </row>
    <row r="289" spans="1:18" ht="36">
      <c r="A289" s="90">
        <v>69</v>
      </c>
      <c r="B289" s="87" t="s">
        <v>507</v>
      </c>
      <c r="C289" s="91" t="s">
        <v>508</v>
      </c>
      <c r="D289" s="92">
        <v>255708.01</v>
      </c>
      <c r="E289" s="92">
        <v>32236.32</v>
      </c>
      <c r="F289" s="92">
        <v>219829.92</v>
      </c>
      <c r="G289" s="92">
        <v>3641.77</v>
      </c>
      <c r="H289" s="93">
        <v>1563729.01</v>
      </c>
      <c r="I289" s="93">
        <v>370717.68</v>
      </c>
      <c r="J289" s="93">
        <v>1165696.44</v>
      </c>
      <c r="K289" s="93">
        <v>27314.89</v>
      </c>
      <c r="L289" s="43">
        <v>6.1152914607563522</v>
      </c>
      <c r="M289" s="43">
        <v>11.5</v>
      </c>
      <c r="N289" s="43">
        <v>5.3027196661855669</v>
      </c>
      <c r="O289" s="43">
        <v>7.5004434656774039</v>
      </c>
      <c r="P289" s="94"/>
      <c r="Q289" s="94"/>
      <c r="R289" s="94">
        <v>1</v>
      </c>
    </row>
    <row r="290" spans="1:18" ht="36">
      <c r="A290" s="90">
        <v>70</v>
      </c>
      <c r="B290" s="87" t="s">
        <v>509</v>
      </c>
      <c r="C290" s="91" t="s">
        <v>510</v>
      </c>
      <c r="D290" s="92">
        <v>258143.97</v>
      </c>
      <c r="E290" s="92">
        <v>32528.560000000001</v>
      </c>
      <c r="F290" s="92">
        <v>221860.88</v>
      </c>
      <c r="G290" s="92">
        <v>3754.53</v>
      </c>
      <c r="H290" s="93">
        <v>1579061.4</v>
      </c>
      <c r="I290" s="93">
        <v>374078.44</v>
      </c>
      <c r="J290" s="93">
        <v>1176678.1299999999</v>
      </c>
      <c r="K290" s="93">
        <v>28304.83</v>
      </c>
      <c r="L290" s="43">
        <v>6.1169796063801138</v>
      </c>
      <c r="M290" s="43">
        <v>11.5</v>
      </c>
      <c r="N290" s="43">
        <v>5.3036755736297447</v>
      </c>
      <c r="O290" s="43">
        <v>7.5388477385984398</v>
      </c>
      <c r="P290" s="94"/>
      <c r="Q290" s="94"/>
      <c r="R290" s="94">
        <v>1</v>
      </c>
    </row>
    <row r="291" spans="1:18" ht="36">
      <c r="A291" s="90">
        <v>71</v>
      </c>
      <c r="B291" s="87" t="s">
        <v>511</v>
      </c>
      <c r="C291" s="91" t="s">
        <v>512</v>
      </c>
      <c r="D291" s="92">
        <v>249803.54</v>
      </c>
      <c r="E291" s="92">
        <v>30977.439999999999</v>
      </c>
      <c r="F291" s="92">
        <v>215790.07</v>
      </c>
      <c r="G291" s="92">
        <v>3036.03</v>
      </c>
      <c r="H291" s="93">
        <v>1520942.53</v>
      </c>
      <c r="I291" s="93">
        <v>356240.56</v>
      </c>
      <c r="J291" s="93">
        <v>1142483.1000000001</v>
      </c>
      <c r="K291" s="93">
        <v>22218.87</v>
      </c>
      <c r="L291" s="43">
        <v>6.0885547498646337</v>
      </c>
      <c r="M291" s="43">
        <v>11.5</v>
      </c>
      <c r="N291" s="43">
        <v>5.2944192473731535</v>
      </c>
      <c r="O291" s="43">
        <v>7.318396063280006</v>
      </c>
      <c r="P291" s="94"/>
      <c r="Q291" s="94"/>
      <c r="R291" s="94">
        <v>1</v>
      </c>
    </row>
    <row r="292" spans="1:18" ht="36">
      <c r="A292" s="90">
        <v>72</v>
      </c>
      <c r="B292" s="87" t="s">
        <v>513</v>
      </c>
      <c r="C292" s="91" t="s">
        <v>514</v>
      </c>
      <c r="D292" s="92">
        <v>259047.94</v>
      </c>
      <c r="E292" s="92">
        <v>32180.12</v>
      </c>
      <c r="F292" s="92">
        <v>223548.25</v>
      </c>
      <c r="G292" s="92">
        <v>3319.57</v>
      </c>
      <c r="H292" s="93">
        <v>1579167.76</v>
      </c>
      <c r="I292" s="93">
        <v>370071.38</v>
      </c>
      <c r="J292" s="93">
        <v>1184452.8500000001</v>
      </c>
      <c r="K292" s="93">
        <v>24643.53</v>
      </c>
      <c r="L292" s="43">
        <v>6.0960444618860894</v>
      </c>
      <c r="M292" s="43">
        <v>11.5</v>
      </c>
      <c r="N292" s="43">
        <v>5.2984214817159163</v>
      </c>
      <c r="O292" s="43">
        <v>7.4237115048033324</v>
      </c>
      <c r="P292" s="94"/>
      <c r="Q292" s="94"/>
      <c r="R292" s="94">
        <v>1</v>
      </c>
    </row>
    <row r="293" spans="1:18" ht="36">
      <c r="A293" s="90">
        <v>73</v>
      </c>
      <c r="B293" s="87" t="s">
        <v>515</v>
      </c>
      <c r="C293" s="91" t="s">
        <v>516</v>
      </c>
      <c r="D293" s="92">
        <v>261415.7</v>
      </c>
      <c r="E293" s="92">
        <v>32461.119999999999</v>
      </c>
      <c r="F293" s="92">
        <v>225568.47</v>
      </c>
      <c r="G293" s="92">
        <v>3386.11</v>
      </c>
      <c r="H293" s="93">
        <v>1593904.58</v>
      </c>
      <c r="I293" s="93">
        <v>373302.88</v>
      </c>
      <c r="J293" s="93">
        <v>1195388.8500000001</v>
      </c>
      <c r="K293" s="93">
        <v>25212.85</v>
      </c>
      <c r="L293" s="43">
        <v>6.0972029606484996</v>
      </c>
      <c r="M293" s="43">
        <v>11.5</v>
      </c>
      <c r="N293" s="43">
        <v>5.2994500960174094</v>
      </c>
      <c r="O293" s="43">
        <v>7.4459630667639258</v>
      </c>
      <c r="P293" s="94"/>
      <c r="Q293" s="94"/>
      <c r="R293" s="94">
        <v>1</v>
      </c>
    </row>
    <row r="294" spans="1:18" ht="36">
      <c r="A294" s="90">
        <v>74</v>
      </c>
      <c r="B294" s="87" t="s">
        <v>517</v>
      </c>
      <c r="C294" s="91" t="s">
        <v>518</v>
      </c>
      <c r="D294" s="92">
        <v>264271.12</v>
      </c>
      <c r="E294" s="92">
        <v>32775.839999999997</v>
      </c>
      <c r="F294" s="92">
        <v>228028.35</v>
      </c>
      <c r="G294" s="92">
        <v>3466.93</v>
      </c>
      <c r="H294" s="93">
        <v>1611494.96</v>
      </c>
      <c r="I294" s="93">
        <v>376922.16</v>
      </c>
      <c r="J294" s="93">
        <v>1208670.57</v>
      </c>
      <c r="K294" s="93">
        <v>25902.23</v>
      </c>
      <c r="L294" s="43">
        <v>6.0978852324082933</v>
      </c>
      <c r="M294" s="43">
        <v>11.5</v>
      </c>
      <c r="N294" s="43">
        <v>5.300527631761577</v>
      </c>
      <c r="O294" s="43">
        <v>7.4712295892908136</v>
      </c>
      <c r="P294" s="94"/>
      <c r="Q294" s="94"/>
      <c r="R294" s="94">
        <v>1</v>
      </c>
    </row>
    <row r="295" spans="1:18" ht="36">
      <c r="A295" s="90">
        <v>75</v>
      </c>
      <c r="B295" s="87" t="s">
        <v>519</v>
      </c>
      <c r="C295" s="91" t="s">
        <v>520</v>
      </c>
      <c r="D295" s="92">
        <v>269883.28000000003</v>
      </c>
      <c r="E295" s="92">
        <v>33517.68</v>
      </c>
      <c r="F295" s="92">
        <v>232727.36</v>
      </c>
      <c r="G295" s="92">
        <v>3638.24</v>
      </c>
      <c r="H295" s="93">
        <v>1646932.36</v>
      </c>
      <c r="I295" s="93">
        <v>385453.32</v>
      </c>
      <c r="J295" s="93">
        <v>1234110.72</v>
      </c>
      <c r="K295" s="93">
        <v>27368.32</v>
      </c>
      <c r="L295" s="43">
        <v>6.1023875210053768</v>
      </c>
      <c r="M295" s="43">
        <v>11.5</v>
      </c>
      <c r="N295" s="43">
        <v>5.3028175114434335</v>
      </c>
      <c r="O295" s="43">
        <v>7.5224064382778488</v>
      </c>
      <c r="P295" s="94"/>
      <c r="Q295" s="94"/>
      <c r="R295" s="94">
        <v>1</v>
      </c>
    </row>
    <row r="296" spans="1:18" ht="36">
      <c r="A296" s="90">
        <v>76</v>
      </c>
      <c r="B296" s="87" t="s">
        <v>521</v>
      </c>
      <c r="C296" s="91" t="s">
        <v>522</v>
      </c>
      <c r="D296" s="92">
        <v>392150.72</v>
      </c>
      <c r="E296" s="92">
        <v>33899.839999999997</v>
      </c>
      <c r="F296" s="92">
        <v>354468.92</v>
      </c>
      <c r="G296" s="92">
        <v>3781.96</v>
      </c>
      <c r="H296" s="93">
        <v>2334597.8199999998</v>
      </c>
      <c r="I296" s="93">
        <v>389848.16</v>
      </c>
      <c r="J296" s="93">
        <v>1916129.39</v>
      </c>
      <c r="K296" s="93">
        <v>28620.27</v>
      </c>
      <c r="L296" s="43">
        <v>5.953317693768355</v>
      </c>
      <c r="M296" s="43">
        <v>11.5</v>
      </c>
      <c r="N296" s="43">
        <v>5.4056344065369677</v>
      </c>
      <c r="O296" s="43">
        <v>7.5675760716665437</v>
      </c>
      <c r="P296" s="94"/>
      <c r="Q296" s="94"/>
      <c r="R296" s="94">
        <v>1</v>
      </c>
    </row>
    <row r="297" spans="1:18" ht="36">
      <c r="A297" s="90">
        <v>77</v>
      </c>
      <c r="B297" s="87" t="s">
        <v>523</v>
      </c>
      <c r="C297" s="91" t="s">
        <v>524</v>
      </c>
      <c r="D297" s="92">
        <v>398998.68</v>
      </c>
      <c r="E297" s="92">
        <v>34315.72</v>
      </c>
      <c r="F297" s="92">
        <v>359008.15</v>
      </c>
      <c r="G297" s="92">
        <v>5674.81</v>
      </c>
      <c r="H297" s="93">
        <v>2380896.69</v>
      </c>
      <c r="I297" s="93">
        <v>394630.78</v>
      </c>
      <c r="J297" s="93">
        <v>1941094.24</v>
      </c>
      <c r="K297" s="93">
        <v>45171.67</v>
      </c>
      <c r="L297" s="43">
        <v>5.9671793651046663</v>
      </c>
      <c r="M297" s="43">
        <v>11.5</v>
      </c>
      <c r="N297" s="43">
        <v>5.4068249982625742</v>
      </c>
      <c r="O297" s="43">
        <v>7.9600321420452831</v>
      </c>
      <c r="P297" s="94"/>
      <c r="Q297" s="94"/>
      <c r="R297" s="94">
        <v>1</v>
      </c>
    </row>
    <row r="298" spans="1:18" ht="36">
      <c r="A298" s="90">
        <v>78</v>
      </c>
      <c r="B298" s="87" t="s">
        <v>525</v>
      </c>
      <c r="C298" s="91" t="s">
        <v>526</v>
      </c>
      <c r="D298" s="92">
        <v>404222.73</v>
      </c>
      <c r="E298" s="92">
        <v>34720.36</v>
      </c>
      <c r="F298" s="92">
        <v>363729.39</v>
      </c>
      <c r="G298" s="92">
        <v>5772.98</v>
      </c>
      <c r="H298" s="93">
        <v>2412239.5</v>
      </c>
      <c r="I298" s="93">
        <v>399284.14</v>
      </c>
      <c r="J298" s="93">
        <v>1966944.65</v>
      </c>
      <c r="K298" s="93">
        <v>46010.71</v>
      </c>
      <c r="L298" s="43">
        <v>5.9675998427896424</v>
      </c>
      <c r="M298" s="43">
        <v>11.5</v>
      </c>
      <c r="N298" s="43">
        <v>5.4077143724899432</v>
      </c>
      <c r="O298" s="43">
        <v>7.9700102893133185</v>
      </c>
      <c r="P298" s="94"/>
      <c r="Q298" s="94"/>
      <c r="R298" s="94">
        <v>1</v>
      </c>
    </row>
    <row r="299" spans="1:18" ht="36">
      <c r="A299" s="90">
        <v>79</v>
      </c>
      <c r="B299" s="87" t="s">
        <v>527</v>
      </c>
      <c r="C299" s="91" t="s">
        <v>528</v>
      </c>
      <c r="D299" s="92">
        <v>410551.26</v>
      </c>
      <c r="E299" s="92">
        <v>35147.480000000003</v>
      </c>
      <c r="F299" s="92">
        <v>369934.14</v>
      </c>
      <c r="G299" s="92">
        <v>5469.64</v>
      </c>
      <c r="H299" s="93">
        <v>2446078.9300000002</v>
      </c>
      <c r="I299" s="93">
        <v>404196.02</v>
      </c>
      <c r="J299" s="93">
        <v>1998261.56</v>
      </c>
      <c r="K299" s="93">
        <v>43621.35</v>
      </c>
      <c r="L299" s="43">
        <v>5.9580353741941998</v>
      </c>
      <c r="M299" s="43">
        <v>11.5</v>
      </c>
      <c r="N299" s="43">
        <v>5.4016684158969488</v>
      </c>
      <c r="O299" s="43">
        <v>7.9751775253947237</v>
      </c>
      <c r="P299" s="94"/>
      <c r="Q299" s="94"/>
      <c r="R299" s="94">
        <v>1</v>
      </c>
    </row>
    <row r="300" spans="1:18" ht="36">
      <c r="A300" s="90">
        <v>80</v>
      </c>
      <c r="B300" s="87" t="s">
        <v>529</v>
      </c>
      <c r="C300" s="91" t="s">
        <v>530</v>
      </c>
      <c r="D300" s="92">
        <v>414256.74</v>
      </c>
      <c r="E300" s="92">
        <v>35450.959999999999</v>
      </c>
      <c r="F300" s="92">
        <v>373255.55</v>
      </c>
      <c r="G300" s="92">
        <v>5550.23</v>
      </c>
      <c r="H300" s="93">
        <v>2468473.0099999998</v>
      </c>
      <c r="I300" s="93">
        <v>407686.04</v>
      </c>
      <c r="J300" s="93">
        <v>2016478.89</v>
      </c>
      <c r="K300" s="93">
        <v>44308.08</v>
      </c>
      <c r="L300" s="43">
        <v>5.9587998737208228</v>
      </c>
      <c r="M300" s="43">
        <v>11.5</v>
      </c>
      <c r="N300" s="43">
        <v>5.4024083231984088</v>
      </c>
      <c r="O300" s="43">
        <v>7.9831070063763132</v>
      </c>
      <c r="P300" s="94"/>
      <c r="Q300" s="94"/>
      <c r="R300" s="94">
        <v>1</v>
      </c>
    </row>
    <row r="301" spans="1:18" ht="36">
      <c r="A301" s="90">
        <v>81</v>
      </c>
      <c r="B301" s="87" t="s">
        <v>531</v>
      </c>
      <c r="C301" s="91" t="s">
        <v>532</v>
      </c>
      <c r="D301" s="92">
        <v>417930.2</v>
      </c>
      <c r="E301" s="92">
        <v>35731.96</v>
      </c>
      <c r="F301" s="92">
        <v>376575.99</v>
      </c>
      <c r="G301" s="92">
        <v>5622.25</v>
      </c>
      <c r="H301" s="93">
        <v>2490530.9900000002</v>
      </c>
      <c r="I301" s="93">
        <v>410917.54</v>
      </c>
      <c r="J301" s="93">
        <v>2034691.08</v>
      </c>
      <c r="K301" s="93">
        <v>44922.37</v>
      </c>
      <c r="L301" s="43">
        <v>5.9592032114453568</v>
      </c>
      <c r="M301" s="43">
        <v>11.5</v>
      </c>
      <c r="N301" s="43">
        <v>5.4031354468456687</v>
      </c>
      <c r="O301" s="43">
        <v>7.990105384854818</v>
      </c>
      <c r="P301" s="94"/>
      <c r="Q301" s="94"/>
      <c r="R301" s="94">
        <v>1</v>
      </c>
    </row>
    <row r="302" spans="1:18" ht="36">
      <c r="A302" s="90">
        <v>82</v>
      </c>
      <c r="B302" s="87" t="s">
        <v>533</v>
      </c>
      <c r="C302" s="91" t="s">
        <v>534</v>
      </c>
      <c r="D302" s="92">
        <v>422369.37</v>
      </c>
      <c r="E302" s="92">
        <v>36069.160000000003</v>
      </c>
      <c r="F302" s="92">
        <v>380596.7</v>
      </c>
      <c r="G302" s="92">
        <v>5703.51</v>
      </c>
      <c r="H302" s="93">
        <v>2517133.9</v>
      </c>
      <c r="I302" s="93">
        <v>414795.34</v>
      </c>
      <c r="J302" s="93">
        <v>2056721.76</v>
      </c>
      <c r="K302" s="93">
        <v>45616.800000000003</v>
      </c>
      <c r="L302" s="43">
        <v>5.9595559687483961</v>
      </c>
      <c r="M302" s="43">
        <v>11.5</v>
      </c>
      <c r="N302" s="43">
        <v>5.4039400762013958</v>
      </c>
      <c r="O302" s="43">
        <v>7.9980222704965893</v>
      </c>
      <c r="P302" s="94"/>
      <c r="Q302" s="94"/>
      <c r="R302" s="94">
        <v>1</v>
      </c>
    </row>
    <row r="303" spans="1:18" ht="36">
      <c r="A303" s="90">
        <v>83</v>
      </c>
      <c r="B303" s="87" t="s">
        <v>535</v>
      </c>
      <c r="C303" s="91" t="s">
        <v>536</v>
      </c>
      <c r="D303" s="92">
        <v>427297.87</v>
      </c>
      <c r="E303" s="92">
        <v>38260.959999999999</v>
      </c>
      <c r="F303" s="92">
        <v>383229.29</v>
      </c>
      <c r="G303" s="92">
        <v>5807.62</v>
      </c>
      <c r="H303" s="93">
        <v>2557791.34</v>
      </c>
      <c r="I303" s="93">
        <v>440001.04</v>
      </c>
      <c r="J303" s="93">
        <v>2071170.21</v>
      </c>
      <c r="K303" s="93">
        <v>46620.09</v>
      </c>
      <c r="L303" s="43">
        <v>5.9859679150752605</v>
      </c>
      <c r="M303" s="43">
        <v>11.5</v>
      </c>
      <c r="N303" s="43">
        <v>5.4045196023508542</v>
      </c>
      <c r="O303" s="43">
        <v>8.0274002086913399</v>
      </c>
      <c r="P303" s="94"/>
      <c r="Q303" s="94"/>
      <c r="R303" s="94">
        <v>1</v>
      </c>
    </row>
    <row r="304" spans="1:18" ht="36">
      <c r="A304" s="90">
        <v>84</v>
      </c>
      <c r="B304" s="87" t="s">
        <v>537</v>
      </c>
      <c r="C304" s="91" t="s">
        <v>538</v>
      </c>
      <c r="D304" s="92">
        <v>430567.97</v>
      </c>
      <c r="E304" s="92">
        <v>36754.800000000003</v>
      </c>
      <c r="F304" s="92">
        <v>387940.11</v>
      </c>
      <c r="G304" s="92">
        <v>5873.06</v>
      </c>
      <c r="H304" s="93">
        <v>2566721.2799999998</v>
      </c>
      <c r="I304" s="93">
        <v>422680.2</v>
      </c>
      <c r="J304" s="93">
        <v>2096976.53</v>
      </c>
      <c r="K304" s="93">
        <v>47064.55</v>
      </c>
      <c r="L304" s="43">
        <v>5.9612452825973099</v>
      </c>
      <c r="M304" s="43">
        <v>11.5</v>
      </c>
      <c r="N304" s="43">
        <v>5.4054130417192487</v>
      </c>
      <c r="O304" s="43">
        <v>8.0136334381055185</v>
      </c>
      <c r="P304" s="94"/>
      <c r="Q304" s="94"/>
      <c r="R304" s="94">
        <v>1</v>
      </c>
    </row>
    <row r="305" spans="1:18" ht="36">
      <c r="A305" s="90">
        <v>85</v>
      </c>
      <c r="B305" s="87" t="s">
        <v>539</v>
      </c>
      <c r="C305" s="91" t="s">
        <v>540</v>
      </c>
      <c r="D305" s="92">
        <v>435631.95</v>
      </c>
      <c r="E305" s="92">
        <v>37170.68</v>
      </c>
      <c r="F305" s="92">
        <v>392489.83</v>
      </c>
      <c r="G305" s="92">
        <v>5971.44</v>
      </c>
      <c r="H305" s="93">
        <v>2597354.61</v>
      </c>
      <c r="I305" s="93">
        <v>427462.82</v>
      </c>
      <c r="J305" s="93">
        <v>2121985.77</v>
      </c>
      <c r="K305" s="93">
        <v>47906.02</v>
      </c>
      <c r="L305" s="43">
        <v>5.9622684011124525</v>
      </c>
      <c r="M305" s="43">
        <v>11.5</v>
      </c>
      <c r="N305" s="43">
        <v>5.4064732581733388</v>
      </c>
      <c r="O305" s="43">
        <v>8.0225238803370704</v>
      </c>
      <c r="P305" s="94"/>
      <c r="Q305" s="94"/>
      <c r="R305" s="94">
        <v>1</v>
      </c>
    </row>
    <row r="306" spans="1:18" ht="36">
      <c r="A306" s="90">
        <v>86</v>
      </c>
      <c r="B306" s="87" t="s">
        <v>541</v>
      </c>
      <c r="C306" s="91" t="s">
        <v>542</v>
      </c>
      <c r="D306" s="92">
        <v>440862.53</v>
      </c>
      <c r="E306" s="92">
        <v>37586.559999999998</v>
      </c>
      <c r="F306" s="92">
        <v>397200.65</v>
      </c>
      <c r="G306" s="92">
        <v>6075.32</v>
      </c>
      <c r="H306" s="93">
        <v>2628830.06</v>
      </c>
      <c r="I306" s="93">
        <v>432245.44</v>
      </c>
      <c r="J306" s="93">
        <v>2147792.08</v>
      </c>
      <c r="K306" s="93">
        <v>48792.54</v>
      </c>
      <c r="L306" s="43">
        <v>5.9629246785840468</v>
      </c>
      <c r="M306" s="43">
        <v>11.5</v>
      </c>
      <c r="N306" s="43">
        <v>5.4073226718032812</v>
      </c>
      <c r="O306" s="43">
        <v>8.0312707807983781</v>
      </c>
      <c r="P306" s="94"/>
      <c r="Q306" s="94"/>
      <c r="R306" s="94">
        <v>1</v>
      </c>
    </row>
    <row r="307" spans="1:18" ht="36">
      <c r="A307" s="90">
        <v>87</v>
      </c>
      <c r="B307" s="87" t="s">
        <v>543</v>
      </c>
      <c r="C307" s="91" t="s">
        <v>544</v>
      </c>
      <c r="D307" s="92">
        <v>445915.13</v>
      </c>
      <c r="E307" s="92">
        <v>37991.199999999997</v>
      </c>
      <c r="F307" s="92">
        <v>401750.45</v>
      </c>
      <c r="G307" s="92">
        <v>6173.48</v>
      </c>
      <c r="H307" s="93">
        <v>2659332.08</v>
      </c>
      <c r="I307" s="93">
        <v>436898.8</v>
      </c>
      <c r="J307" s="93">
        <v>2172801.81</v>
      </c>
      <c r="K307" s="93">
        <v>49631.47</v>
      </c>
      <c r="L307" s="43">
        <v>5.9637628353180121</v>
      </c>
      <c r="M307" s="43">
        <v>11.5</v>
      </c>
      <c r="N307" s="43">
        <v>5.4083369663929437</v>
      </c>
      <c r="O307" s="43">
        <v>8.0394639652189692</v>
      </c>
      <c r="P307" s="94"/>
      <c r="Q307" s="94"/>
      <c r="R307" s="94">
        <v>1</v>
      </c>
    </row>
    <row r="308" spans="1:18" ht="12.75" customHeight="1">
      <c r="A308" s="628" t="s">
        <v>545</v>
      </c>
      <c r="B308" s="629"/>
      <c r="C308" s="629"/>
      <c r="D308" s="629"/>
      <c r="E308" s="629"/>
      <c r="F308" s="629"/>
      <c r="G308" s="629"/>
      <c r="H308" s="629"/>
      <c r="I308" s="629"/>
      <c r="J308" s="629"/>
      <c r="K308" s="629"/>
      <c r="L308" s="629"/>
      <c r="M308" s="629"/>
      <c r="N308" s="629"/>
      <c r="O308" s="629"/>
      <c r="P308" s="629"/>
      <c r="Q308" s="629"/>
      <c r="R308" s="629"/>
    </row>
    <row r="309" spans="1:18" ht="24">
      <c r="A309" s="90">
        <v>88</v>
      </c>
      <c r="B309" s="87" t="s">
        <v>546</v>
      </c>
      <c r="C309" s="91" t="s">
        <v>547</v>
      </c>
      <c r="D309" s="92">
        <v>13473.51</v>
      </c>
      <c r="E309" s="92">
        <v>2652.9</v>
      </c>
      <c r="F309" s="92">
        <v>9991.68</v>
      </c>
      <c r="G309" s="92">
        <v>828.93</v>
      </c>
      <c r="H309" s="93">
        <v>86406.41</v>
      </c>
      <c r="I309" s="93">
        <v>30508.35</v>
      </c>
      <c r="J309" s="93">
        <v>52064.32</v>
      </c>
      <c r="K309" s="93">
        <v>3833.74</v>
      </c>
      <c r="L309" s="43">
        <v>6.413058661031906</v>
      </c>
      <c r="M309" s="43">
        <v>11.499999999999998</v>
      </c>
      <c r="N309" s="43">
        <v>5.2107673584422241</v>
      </c>
      <c r="O309" s="43">
        <v>4.6249261095629306</v>
      </c>
      <c r="P309" s="94"/>
      <c r="Q309" s="94"/>
      <c r="R309" s="94">
        <v>2</v>
      </c>
    </row>
    <row r="310" spans="1:18" ht="24">
      <c r="A310" s="90">
        <v>89</v>
      </c>
      <c r="B310" s="87" t="s">
        <v>548</v>
      </c>
      <c r="C310" s="91" t="s">
        <v>549</v>
      </c>
      <c r="D310" s="92">
        <v>14959.97</v>
      </c>
      <c r="E310" s="92">
        <v>2908.2</v>
      </c>
      <c r="F310" s="92">
        <v>11198.4</v>
      </c>
      <c r="G310" s="92">
        <v>853.37</v>
      </c>
      <c r="H310" s="93">
        <v>96366.86</v>
      </c>
      <c r="I310" s="93">
        <v>33444.300000000003</v>
      </c>
      <c r="J310" s="93">
        <v>58866.46</v>
      </c>
      <c r="K310" s="93">
        <v>4056.1</v>
      </c>
      <c r="L310" s="43">
        <v>6.4416479444811721</v>
      </c>
      <c r="M310" s="43">
        <v>11.500000000000002</v>
      </c>
      <c r="N310" s="43">
        <v>5.2566848835547937</v>
      </c>
      <c r="O310" s="43">
        <v>4.7530379554003535</v>
      </c>
      <c r="P310" s="94"/>
      <c r="Q310" s="94"/>
      <c r="R310" s="94">
        <v>2</v>
      </c>
    </row>
    <row r="311" spans="1:18" ht="24">
      <c r="A311" s="90">
        <v>90</v>
      </c>
      <c r="B311" s="87" t="s">
        <v>550</v>
      </c>
      <c r="C311" s="91" t="s">
        <v>551</v>
      </c>
      <c r="D311" s="92">
        <v>24054.53</v>
      </c>
      <c r="E311" s="92">
        <v>4839.6000000000004</v>
      </c>
      <c r="F311" s="92">
        <v>18195.060000000001</v>
      </c>
      <c r="G311" s="92">
        <v>1019.87</v>
      </c>
      <c r="H311" s="93">
        <v>158425.94</v>
      </c>
      <c r="I311" s="93">
        <v>55655.4</v>
      </c>
      <c r="J311" s="93">
        <v>97205.91</v>
      </c>
      <c r="K311" s="93">
        <v>5564.63</v>
      </c>
      <c r="L311" s="43">
        <v>6.5861166275125731</v>
      </c>
      <c r="M311" s="43">
        <v>11.5</v>
      </c>
      <c r="N311" s="43">
        <v>5.3424341552047645</v>
      </c>
      <c r="O311" s="43">
        <v>5.4562150077951115</v>
      </c>
      <c r="P311" s="94"/>
      <c r="Q311" s="94"/>
      <c r="R311" s="94">
        <v>2</v>
      </c>
    </row>
    <row r="312" spans="1:18" ht="24">
      <c r="A312" s="90">
        <v>91</v>
      </c>
      <c r="B312" s="87" t="s">
        <v>552</v>
      </c>
      <c r="C312" s="91" t="s">
        <v>553</v>
      </c>
      <c r="D312" s="92">
        <v>11985.43</v>
      </c>
      <c r="E312" s="92">
        <v>2342.1</v>
      </c>
      <c r="F312" s="92">
        <v>8829.8700000000008</v>
      </c>
      <c r="G312" s="92">
        <v>813.46</v>
      </c>
      <c r="H312" s="93">
        <v>76276.3</v>
      </c>
      <c r="I312" s="93">
        <v>26934.15</v>
      </c>
      <c r="J312" s="93">
        <v>45653.09</v>
      </c>
      <c r="K312" s="93">
        <v>3689.06</v>
      </c>
      <c r="L312" s="43">
        <v>6.3640853936821626</v>
      </c>
      <c r="M312" s="43">
        <v>11.500000000000002</v>
      </c>
      <c r="N312" s="43">
        <v>5.1703014880173761</v>
      </c>
      <c r="O312" s="43">
        <v>4.5350232340864949</v>
      </c>
      <c r="P312" s="94"/>
      <c r="Q312" s="94"/>
      <c r="R312" s="94">
        <v>2</v>
      </c>
    </row>
    <row r="313" spans="1:18" ht="24">
      <c r="A313" s="90">
        <v>92</v>
      </c>
      <c r="B313" s="87" t="s">
        <v>554</v>
      </c>
      <c r="C313" s="91" t="s">
        <v>555</v>
      </c>
      <c r="D313" s="92">
        <v>14361.12</v>
      </c>
      <c r="E313" s="92">
        <v>2786.1</v>
      </c>
      <c r="F313" s="92">
        <v>10732.16</v>
      </c>
      <c r="G313" s="92">
        <v>842.86</v>
      </c>
      <c r="H313" s="93">
        <v>92310.15</v>
      </c>
      <c r="I313" s="93">
        <v>32040.15</v>
      </c>
      <c r="J313" s="93">
        <v>56308.72</v>
      </c>
      <c r="K313" s="93">
        <v>3961.28</v>
      </c>
      <c r="L313" s="43">
        <v>6.427782094989805</v>
      </c>
      <c r="M313" s="43">
        <v>11.500000000000002</v>
      </c>
      <c r="N313" s="43">
        <v>5.2467275925815491</v>
      </c>
      <c r="O313" s="43">
        <v>4.6998077972617045</v>
      </c>
      <c r="P313" s="94"/>
      <c r="Q313" s="94"/>
      <c r="R313" s="94">
        <v>2</v>
      </c>
    </row>
    <row r="314" spans="1:18" ht="12.75" customHeight="1">
      <c r="A314" s="628" t="s">
        <v>556</v>
      </c>
      <c r="B314" s="629"/>
      <c r="C314" s="629"/>
      <c r="D314" s="629"/>
      <c r="E314" s="629"/>
      <c r="F314" s="629"/>
      <c r="G314" s="629"/>
      <c r="H314" s="629"/>
      <c r="I314" s="629"/>
      <c r="J314" s="629"/>
      <c r="K314" s="629"/>
      <c r="L314" s="629"/>
      <c r="M314" s="629"/>
      <c r="N314" s="629"/>
      <c r="O314" s="629"/>
      <c r="P314" s="629"/>
      <c r="Q314" s="629"/>
      <c r="R314" s="629"/>
    </row>
    <row r="315" spans="1:18" ht="12.75" customHeight="1">
      <c r="A315" s="628" t="s">
        <v>557</v>
      </c>
      <c r="B315" s="629"/>
      <c r="C315" s="629"/>
      <c r="D315" s="629"/>
      <c r="E315" s="629"/>
      <c r="F315" s="629"/>
      <c r="G315" s="629"/>
      <c r="H315" s="629"/>
      <c r="I315" s="629"/>
      <c r="J315" s="629"/>
      <c r="K315" s="629"/>
      <c r="L315" s="629"/>
      <c r="M315" s="629"/>
      <c r="N315" s="629"/>
      <c r="O315" s="629"/>
      <c r="P315" s="629"/>
      <c r="Q315" s="629"/>
      <c r="R315" s="629"/>
    </row>
    <row r="316" spans="1:18" ht="24">
      <c r="A316" s="90">
        <v>93</v>
      </c>
      <c r="B316" s="87" t="s">
        <v>558</v>
      </c>
      <c r="C316" s="91" t="s">
        <v>559</v>
      </c>
      <c r="D316" s="92">
        <v>39827.49</v>
      </c>
      <c r="E316" s="92">
        <v>7663.83</v>
      </c>
      <c r="F316" s="92">
        <v>30306.42</v>
      </c>
      <c r="G316" s="92">
        <v>1857.24</v>
      </c>
      <c r="H316" s="93">
        <v>257911.41</v>
      </c>
      <c r="I316" s="93">
        <v>88137.38</v>
      </c>
      <c r="J316" s="93">
        <v>158977.07999999999</v>
      </c>
      <c r="K316" s="93">
        <v>10796.95</v>
      </c>
      <c r="L316" s="43">
        <v>6.4757133828920681</v>
      </c>
      <c r="M316" s="43">
        <v>11.500435161009575</v>
      </c>
      <c r="N316" s="43">
        <v>5.2456568608235479</v>
      </c>
      <c r="O316" s="43">
        <v>5.8134382201546382</v>
      </c>
      <c r="P316" s="94"/>
      <c r="Q316" s="94"/>
      <c r="R316" s="94">
        <v>1</v>
      </c>
    </row>
    <row r="317" spans="1:18" ht="24">
      <c r="A317" s="90">
        <v>94</v>
      </c>
      <c r="B317" s="87" t="s">
        <v>560</v>
      </c>
      <c r="C317" s="91" t="s">
        <v>561</v>
      </c>
      <c r="D317" s="92">
        <v>41060.550000000003</v>
      </c>
      <c r="E317" s="92">
        <v>7939.59</v>
      </c>
      <c r="F317" s="92">
        <v>31220.82</v>
      </c>
      <c r="G317" s="92">
        <v>1900.14</v>
      </c>
      <c r="H317" s="93">
        <v>266534.71999999997</v>
      </c>
      <c r="I317" s="93">
        <v>91308.74</v>
      </c>
      <c r="J317" s="93">
        <v>164056.07</v>
      </c>
      <c r="K317" s="93">
        <v>11169.91</v>
      </c>
      <c r="L317" s="43">
        <v>6.4912603460012095</v>
      </c>
      <c r="M317" s="43">
        <v>11.500435161009573</v>
      </c>
      <c r="N317" s="43">
        <v>5.2547008694838899</v>
      </c>
      <c r="O317" s="43">
        <v>5.8784668498110664</v>
      </c>
      <c r="P317" s="94"/>
      <c r="Q317" s="94"/>
      <c r="R317" s="94">
        <v>1</v>
      </c>
    </row>
    <row r="318" spans="1:18" ht="24">
      <c r="A318" s="90">
        <v>95</v>
      </c>
      <c r="B318" s="87" t="s">
        <v>562</v>
      </c>
      <c r="C318" s="91" t="s">
        <v>563</v>
      </c>
      <c r="D318" s="92">
        <v>41669.19</v>
      </c>
      <c r="E318" s="92">
        <v>8123.43</v>
      </c>
      <c r="F318" s="92">
        <v>31613.83</v>
      </c>
      <c r="G318" s="92">
        <v>1931.93</v>
      </c>
      <c r="H318" s="93">
        <v>270989.93</v>
      </c>
      <c r="I318" s="93">
        <v>93422.98</v>
      </c>
      <c r="J318" s="93">
        <v>166121.60000000001</v>
      </c>
      <c r="K318" s="93">
        <v>11445.35</v>
      </c>
      <c r="L318" s="43">
        <v>6.5033644762473175</v>
      </c>
      <c r="M318" s="43">
        <v>11.500435161009573</v>
      </c>
      <c r="N318" s="43">
        <v>5.2547128898966049</v>
      </c>
      <c r="O318" s="43">
        <v>5.9243088517699913</v>
      </c>
      <c r="P318" s="94"/>
      <c r="Q318" s="94"/>
      <c r="R318" s="94">
        <v>1</v>
      </c>
    </row>
    <row r="319" spans="1:18" ht="24">
      <c r="A319" s="90">
        <v>96</v>
      </c>
      <c r="B319" s="87" t="s">
        <v>564</v>
      </c>
      <c r="C319" s="91" t="s">
        <v>565</v>
      </c>
      <c r="D319" s="92">
        <v>42513.01</v>
      </c>
      <c r="E319" s="92">
        <v>8307.27</v>
      </c>
      <c r="F319" s="92">
        <v>32243.61</v>
      </c>
      <c r="G319" s="92">
        <v>1962.13</v>
      </c>
      <c r="H319" s="93">
        <v>276844.5</v>
      </c>
      <c r="I319" s="93">
        <v>95537.22</v>
      </c>
      <c r="J319" s="93">
        <v>169602.49</v>
      </c>
      <c r="K319" s="93">
        <v>11704.79</v>
      </c>
      <c r="L319" s="43">
        <v>6.5119947987686588</v>
      </c>
      <c r="M319" s="43">
        <v>11.500435161009573</v>
      </c>
      <c r="N319" s="43">
        <v>5.2600341587061745</v>
      </c>
      <c r="O319" s="43">
        <v>5.9653488810629263</v>
      </c>
      <c r="P319" s="94"/>
      <c r="Q319" s="94"/>
      <c r="R319" s="94">
        <v>1</v>
      </c>
    </row>
    <row r="320" spans="1:18" ht="36">
      <c r="A320" s="90">
        <v>97</v>
      </c>
      <c r="B320" s="87" t="s">
        <v>566</v>
      </c>
      <c r="C320" s="91" t="s">
        <v>567</v>
      </c>
      <c r="D320" s="92">
        <v>40601.269999999997</v>
      </c>
      <c r="E320" s="92">
        <v>7668</v>
      </c>
      <c r="F320" s="92">
        <v>31044.75</v>
      </c>
      <c r="G320" s="92">
        <v>1888.52</v>
      </c>
      <c r="H320" s="93">
        <v>262486.71999999997</v>
      </c>
      <c r="I320" s="93">
        <v>88182</v>
      </c>
      <c r="J320" s="93">
        <v>163232.95000000001</v>
      </c>
      <c r="K320" s="93">
        <v>11071.77</v>
      </c>
      <c r="L320" s="43">
        <v>6.4649879178656233</v>
      </c>
      <c r="M320" s="43">
        <v>11.5</v>
      </c>
      <c r="N320" s="43">
        <v>5.2579888709040983</v>
      </c>
      <c r="O320" s="43">
        <v>5.8626702391290539</v>
      </c>
      <c r="P320" s="94"/>
      <c r="Q320" s="94"/>
      <c r="R320" s="94">
        <v>1</v>
      </c>
    </row>
    <row r="321" spans="1:18" ht="36">
      <c r="A321" s="90">
        <v>98</v>
      </c>
      <c r="B321" s="87" t="s">
        <v>568</v>
      </c>
      <c r="C321" s="91" t="s">
        <v>569</v>
      </c>
      <c r="D321" s="92">
        <v>42611.11</v>
      </c>
      <c r="E321" s="92">
        <v>8156.48</v>
      </c>
      <c r="F321" s="92">
        <v>32527.439999999999</v>
      </c>
      <c r="G321" s="92">
        <v>1927.19</v>
      </c>
      <c r="H321" s="93">
        <v>276505.65000000002</v>
      </c>
      <c r="I321" s="93">
        <v>93799.52</v>
      </c>
      <c r="J321" s="93">
        <v>171318.83</v>
      </c>
      <c r="K321" s="93">
        <v>11387.3</v>
      </c>
      <c r="L321" s="43">
        <v>6.4890506255293516</v>
      </c>
      <c r="M321" s="43">
        <v>11.500000000000002</v>
      </c>
      <c r="N321" s="43">
        <v>5.2669017297395673</v>
      </c>
      <c r="O321" s="43">
        <v>5.9087583476460539</v>
      </c>
      <c r="P321" s="94"/>
      <c r="Q321" s="94"/>
      <c r="R321" s="94">
        <v>1</v>
      </c>
    </row>
    <row r="322" spans="1:18" ht="31.5" customHeight="1">
      <c r="A322" s="90">
        <v>99</v>
      </c>
      <c r="B322" s="87" t="s">
        <v>570</v>
      </c>
      <c r="C322" s="91" t="s">
        <v>571</v>
      </c>
      <c r="D322" s="92">
        <v>43492.63</v>
      </c>
      <c r="E322" s="92">
        <v>8349.6</v>
      </c>
      <c r="F322" s="92">
        <v>33143.68</v>
      </c>
      <c r="G322" s="92">
        <v>1999.35</v>
      </c>
      <c r="H322" s="93">
        <v>282785.53000000003</v>
      </c>
      <c r="I322" s="93">
        <v>96020.4</v>
      </c>
      <c r="J322" s="93">
        <v>174731.82</v>
      </c>
      <c r="K322" s="93">
        <v>12033.31</v>
      </c>
      <c r="L322" s="43">
        <v>6.5019183709975703</v>
      </c>
      <c r="M322" s="43">
        <v>11.499999999999998</v>
      </c>
      <c r="N322" s="43">
        <v>5.2719498860717939</v>
      </c>
      <c r="O322" s="43">
        <v>6.0186110485907918</v>
      </c>
      <c r="P322" s="94"/>
      <c r="Q322" s="94"/>
      <c r="R322" s="94">
        <v>1</v>
      </c>
    </row>
    <row r="323" spans="1:18" ht="24">
      <c r="A323" s="90">
        <v>100</v>
      </c>
      <c r="B323" s="87" t="s">
        <v>572</v>
      </c>
      <c r="C323" s="91" t="s">
        <v>573</v>
      </c>
      <c r="D323" s="92">
        <v>45381.21</v>
      </c>
      <c r="E323" s="92">
        <v>8610.8799999999992</v>
      </c>
      <c r="F323" s="92">
        <v>34714.629999999997</v>
      </c>
      <c r="G323" s="92">
        <v>2055.6999999999998</v>
      </c>
      <c r="H323" s="93">
        <v>294973.82</v>
      </c>
      <c r="I323" s="93">
        <v>99025.12</v>
      </c>
      <c r="J323" s="93">
        <v>183402.3</v>
      </c>
      <c r="K323" s="93">
        <v>12546.4</v>
      </c>
      <c r="L323" s="43">
        <v>6.4999108661932992</v>
      </c>
      <c r="M323" s="43">
        <v>11.5</v>
      </c>
      <c r="N323" s="43">
        <v>5.283141430572643</v>
      </c>
      <c r="O323" s="43">
        <v>6.1032251787712219</v>
      </c>
      <c r="P323" s="94"/>
      <c r="Q323" s="94"/>
      <c r="R323" s="94">
        <v>1</v>
      </c>
    </row>
    <row r="324" spans="1:18" ht="24">
      <c r="A324" s="90">
        <v>101</v>
      </c>
      <c r="B324" s="87" t="s">
        <v>574</v>
      </c>
      <c r="C324" s="91" t="s">
        <v>575</v>
      </c>
      <c r="D324" s="92">
        <v>46304.65</v>
      </c>
      <c r="E324" s="92">
        <v>8815.36</v>
      </c>
      <c r="F324" s="92">
        <v>35402.03</v>
      </c>
      <c r="G324" s="92">
        <v>2087.2600000000002</v>
      </c>
      <c r="H324" s="93">
        <v>301388.46000000002</v>
      </c>
      <c r="I324" s="93">
        <v>101376.64</v>
      </c>
      <c r="J324" s="93">
        <v>187192.67</v>
      </c>
      <c r="K324" s="93">
        <v>12819.15</v>
      </c>
      <c r="L324" s="43">
        <v>6.5088162851895008</v>
      </c>
      <c r="M324" s="43">
        <v>11.5</v>
      </c>
      <c r="N324" s="43">
        <v>5.2876253141415903</v>
      </c>
      <c r="O324" s="43">
        <v>6.1416162816323787</v>
      </c>
      <c r="P324" s="94"/>
      <c r="Q324" s="94"/>
      <c r="R324" s="94">
        <v>1</v>
      </c>
    </row>
    <row r="325" spans="1:18" ht="36">
      <c r="A325" s="90">
        <v>102</v>
      </c>
      <c r="B325" s="87" t="s">
        <v>576</v>
      </c>
      <c r="C325" s="91" t="s">
        <v>577</v>
      </c>
      <c r="D325" s="92">
        <v>47921.4</v>
      </c>
      <c r="E325" s="92">
        <v>9201.6</v>
      </c>
      <c r="F325" s="92">
        <v>36573.07</v>
      </c>
      <c r="G325" s="92">
        <v>2146.73</v>
      </c>
      <c r="H325" s="93">
        <v>312825.89</v>
      </c>
      <c r="I325" s="93">
        <v>105818.4</v>
      </c>
      <c r="J325" s="93">
        <v>193671.44</v>
      </c>
      <c r="K325" s="93">
        <v>13336.05</v>
      </c>
      <c r="L325" s="43">
        <v>6.5278954704996099</v>
      </c>
      <c r="M325" s="43">
        <v>11.499999999999998</v>
      </c>
      <c r="N325" s="43">
        <v>5.2954657621030998</v>
      </c>
      <c r="O325" s="43">
        <v>6.2122623711412235</v>
      </c>
      <c r="P325" s="94"/>
      <c r="Q325" s="94"/>
      <c r="R325" s="94">
        <v>1</v>
      </c>
    </row>
    <row r="326" spans="1:18" ht="36">
      <c r="A326" s="90">
        <v>103</v>
      </c>
      <c r="B326" s="87" t="s">
        <v>578</v>
      </c>
      <c r="C326" s="91" t="s">
        <v>579</v>
      </c>
      <c r="D326" s="92">
        <v>50852.76</v>
      </c>
      <c r="E326" s="92">
        <v>9917.2800000000007</v>
      </c>
      <c r="F326" s="92">
        <v>38671.57</v>
      </c>
      <c r="G326" s="92">
        <v>2263.91</v>
      </c>
      <c r="H326" s="93">
        <v>333499.15000000002</v>
      </c>
      <c r="I326" s="93">
        <v>114048.72</v>
      </c>
      <c r="J326" s="93">
        <v>205099.04</v>
      </c>
      <c r="K326" s="93">
        <v>14351.39</v>
      </c>
      <c r="L326" s="43">
        <v>6.5581327345851044</v>
      </c>
      <c r="M326" s="43">
        <v>11.5</v>
      </c>
      <c r="N326" s="43">
        <v>5.3036129642525509</v>
      </c>
      <c r="O326" s="43">
        <v>6.3392051804179497</v>
      </c>
      <c r="P326" s="94"/>
      <c r="Q326" s="94"/>
      <c r="R326" s="94">
        <v>1</v>
      </c>
    </row>
    <row r="327" spans="1:18" ht="24">
      <c r="A327" s="90">
        <v>104</v>
      </c>
      <c r="B327" s="87" t="s">
        <v>580</v>
      </c>
      <c r="C327" s="91" t="s">
        <v>581</v>
      </c>
      <c r="D327" s="92">
        <v>53886.5</v>
      </c>
      <c r="E327" s="92">
        <v>10905.6</v>
      </c>
      <c r="F327" s="92">
        <v>40673.410000000003</v>
      </c>
      <c r="G327" s="92">
        <v>2307.4899999999998</v>
      </c>
      <c r="H327" s="93">
        <v>356011.43</v>
      </c>
      <c r="I327" s="93">
        <v>125414.39999999999</v>
      </c>
      <c r="J327" s="93">
        <v>215820.29</v>
      </c>
      <c r="K327" s="93">
        <v>14776.74</v>
      </c>
      <c r="L327" s="43">
        <v>6.6066905440138068</v>
      </c>
      <c r="M327" s="43">
        <v>11.499999999999998</v>
      </c>
      <c r="N327" s="43">
        <v>5.306176443037355</v>
      </c>
      <c r="O327" s="43">
        <v>6.403815401150168</v>
      </c>
      <c r="P327" s="94"/>
      <c r="Q327" s="94"/>
      <c r="R327" s="94">
        <v>1</v>
      </c>
    </row>
    <row r="328" spans="1:18" ht="36">
      <c r="A328" s="90">
        <v>105</v>
      </c>
      <c r="B328" s="87" t="s">
        <v>582</v>
      </c>
      <c r="C328" s="91" t="s">
        <v>583</v>
      </c>
      <c r="D328" s="92">
        <v>49395.01</v>
      </c>
      <c r="E328" s="92">
        <v>9542.4</v>
      </c>
      <c r="F328" s="92">
        <v>37716.43</v>
      </c>
      <c r="G328" s="92">
        <v>2136.1799999999998</v>
      </c>
      <c r="H328" s="93">
        <v>322803.06</v>
      </c>
      <c r="I328" s="93">
        <v>109737.60000000001</v>
      </c>
      <c r="J328" s="93">
        <v>199785.88</v>
      </c>
      <c r="K328" s="93">
        <v>13279.58</v>
      </c>
      <c r="L328" s="43">
        <v>6.5351350267972412</v>
      </c>
      <c r="M328" s="43">
        <v>11.500000000000002</v>
      </c>
      <c r="N328" s="43">
        <v>5.2970517092948617</v>
      </c>
      <c r="O328" s="43">
        <v>6.2165079721746297</v>
      </c>
      <c r="P328" s="94"/>
      <c r="Q328" s="94"/>
      <c r="R328" s="94">
        <v>1</v>
      </c>
    </row>
    <row r="329" spans="1:18" ht="36">
      <c r="A329" s="90">
        <v>106</v>
      </c>
      <c r="B329" s="87" t="s">
        <v>584</v>
      </c>
      <c r="C329" s="91" t="s">
        <v>585</v>
      </c>
      <c r="D329" s="92">
        <v>50297.34</v>
      </c>
      <c r="E329" s="92">
        <v>9758.24</v>
      </c>
      <c r="F329" s="92">
        <v>38370.239999999998</v>
      </c>
      <c r="G329" s="92">
        <v>2168.86</v>
      </c>
      <c r="H329" s="93">
        <v>329184.53999999998</v>
      </c>
      <c r="I329" s="93">
        <v>112219.76</v>
      </c>
      <c r="J329" s="93">
        <v>203396.52</v>
      </c>
      <c r="K329" s="93">
        <v>13568.26</v>
      </c>
      <c r="L329" s="43">
        <v>6.5447703596253799</v>
      </c>
      <c r="M329" s="43">
        <v>11.5</v>
      </c>
      <c r="N329" s="43">
        <v>5.3008925667392228</v>
      </c>
      <c r="O329" s="43">
        <v>6.2559409090489932</v>
      </c>
      <c r="P329" s="94"/>
      <c r="Q329" s="94"/>
      <c r="R329" s="94">
        <v>1</v>
      </c>
    </row>
    <row r="330" spans="1:18" ht="36">
      <c r="A330" s="90">
        <v>107</v>
      </c>
      <c r="B330" s="87" t="s">
        <v>586</v>
      </c>
      <c r="C330" s="91" t="s">
        <v>587</v>
      </c>
      <c r="D330" s="92">
        <v>51187.78</v>
      </c>
      <c r="E330" s="92">
        <v>9962.7199999999993</v>
      </c>
      <c r="F330" s="92">
        <v>39023.769999999997</v>
      </c>
      <c r="G330" s="92">
        <v>2201.29</v>
      </c>
      <c r="H330" s="93">
        <v>335425.90999999997</v>
      </c>
      <c r="I330" s="93">
        <v>114571.28</v>
      </c>
      <c r="J330" s="93">
        <v>207005.59</v>
      </c>
      <c r="K330" s="93">
        <v>13849.04</v>
      </c>
      <c r="L330" s="43">
        <v>6.5528512859905232</v>
      </c>
      <c r="M330" s="43">
        <v>11.5</v>
      </c>
      <c r="N330" s="43">
        <v>5.3046025537768395</v>
      </c>
      <c r="O330" s="43">
        <v>6.2913291751654716</v>
      </c>
      <c r="P330" s="94"/>
      <c r="Q330" s="94"/>
      <c r="R330" s="94">
        <v>1</v>
      </c>
    </row>
    <row r="331" spans="1:18" ht="36">
      <c r="A331" s="90">
        <v>108</v>
      </c>
      <c r="B331" s="87" t="s">
        <v>588</v>
      </c>
      <c r="C331" s="91" t="s">
        <v>589</v>
      </c>
      <c r="D331" s="92">
        <v>53450.82</v>
      </c>
      <c r="E331" s="92">
        <v>10530.72</v>
      </c>
      <c r="F331" s="92">
        <v>40621.83</v>
      </c>
      <c r="G331" s="92">
        <v>2298.27</v>
      </c>
      <c r="H331" s="93">
        <v>351491.95</v>
      </c>
      <c r="I331" s="93">
        <v>121103.28</v>
      </c>
      <c r="J331" s="93">
        <v>215700.48000000001</v>
      </c>
      <c r="K331" s="93">
        <v>14688.19</v>
      </c>
      <c r="L331" s="43">
        <v>6.5759879829720109</v>
      </c>
      <c r="M331" s="43">
        <v>11.5</v>
      </c>
      <c r="N331" s="43">
        <v>5.3099646175467727</v>
      </c>
      <c r="O331" s="43">
        <v>6.3909766911633534</v>
      </c>
      <c r="P331" s="94"/>
      <c r="Q331" s="94"/>
      <c r="R331" s="94">
        <v>1</v>
      </c>
    </row>
    <row r="332" spans="1:18" ht="36">
      <c r="A332" s="90">
        <v>109</v>
      </c>
      <c r="B332" s="87" t="s">
        <v>590</v>
      </c>
      <c r="C332" s="91" t="s">
        <v>591</v>
      </c>
      <c r="D332" s="92">
        <v>56685.54</v>
      </c>
      <c r="E332" s="92">
        <v>11530.4</v>
      </c>
      <c r="F332" s="92">
        <v>42811.12</v>
      </c>
      <c r="G332" s="92">
        <v>2344.02</v>
      </c>
      <c r="H332" s="93">
        <v>375140.69</v>
      </c>
      <c r="I332" s="93">
        <v>132599.6</v>
      </c>
      <c r="J332" s="93">
        <v>227409.75</v>
      </c>
      <c r="K332" s="93">
        <v>15131.34</v>
      </c>
      <c r="L332" s="43">
        <v>6.6179256649932237</v>
      </c>
      <c r="M332" s="43">
        <v>11.5</v>
      </c>
      <c r="N332" s="43">
        <v>5.3119318065026091</v>
      </c>
      <c r="O332" s="43">
        <v>6.4552947500447946</v>
      </c>
      <c r="P332" s="94"/>
      <c r="Q332" s="94"/>
      <c r="R332" s="94">
        <v>1</v>
      </c>
    </row>
    <row r="333" spans="1:18" ht="24">
      <c r="A333" s="90">
        <v>110</v>
      </c>
      <c r="B333" s="87" t="s">
        <v>592</v>
      </c>
      <c r="C333" s="91" t="s">
        <v>593</v>
      </c>
      <c r="D333" s="92">
        <v>48948.13</v>
      </c>
      <c r="E333" s="92">
        <v>9474.24</v>
      </c>
      <c r="F333" s="92">
        <v>37314.68</v>
      </c>
      <c r="G333" s="92">
        <v>2159.21</v>
      </c>
      <c r="H333" s="93">
        <v>319727.65000000002</v>
      </c>
      <c r="I333" s="93">
        <v>108953.76</v>
      </c>
      <c r="J333" s="93">
        <v>197285.02</v>
      </c>
      <c r="K333" s="93">
        <v>13488.87</v>
      </c>
      <c r="L333" s="43">
        <v>6.5319686370041108</v>
      </c>
      <c r="M333" s="43">
        <v>11.5</v>
      </c>
      <c r="N333" s="43">
        <v>5.2870618212456861</v>
      </c>
      <c r="O333" s="43">
        <v>6.2471320529267649</v>
      </c>
      <c r="P333" s="94"/>
      <c r="Q333" s="94"/>
      <c r="R333" s="94">
        <v>1</v>
      </c>
    </row>
    <row r="334" spans="1:18" ht="24">
      <c r="A334" s="90">
        <v>111</v>
      </c>
      <c r="B334" s="87" t="s">
        <v>594</v>
      </c>
      <c r="C334" s="91" t="s">
        <v>595</v>
      </c>
      <c r="D334" s="92">
        <v>50090.19</v>
      </c>
      <c r="E334" s="92">
        <v>9735.52</v>
      </c>
      <c r="F334" s="92">
        <v>38154.03</v>
      </c>
      <c r="G334" s="92">
        <v>2200.64</v>
      </c>
      <c r="H334" s="93">
        <v>327727.76</v>
      </c>
      <c r="I334" s="93">
        <v>111958.48</v>
      </c>
      <c r="J334" s="93">
        <v>201921.1</v>
      </c>
      <c r="K334" s="93">
        <v>13848.18</v>
      </c>
      <c r="L334" s="43">
        <v>6.542753381450539</v>
      </c>
      <c r="M334" s="43">
        <v>11.499999999999998</v>
      </c>
      <c r="N334" s="43">
        <v>5.2922613941436856</v>
      </c>
      <c r="O334" s="43">
        <v>6.292796640977171</v>
      </c>
      <c r="P334" s="94"/>
      <c r="Q334" s="94"/>
      <c r="R334" s="94">
        <v>1</v>
      </c>
    </row>
    <row r="335" spans="1:18" ht="36">
      <c r="A335" s="90">
        <v>112</v>
      </c>
      <c r="B335" s="87" t="s">
        <v>596</v>
      </c>
      <c r="C335" s="91" t="s">
        <v>597</v>
      </c>
      <c r="D335" s="92">
        <v>51697.91</v>
      </c>
      <c r="E335" s="92">
        <v>10144.48</v>
      </c>
      <c r="F335" s="92">
        <v>39283.94</v>
      </c>
      <c r="G335" s="92">
        <v>2269.4899999999998</v>
      </c>
      <c r="H335" s="93">
        <v>339135.9</v>
      </c>
      <c r="I335" s="93">
        <v>116661.52</v>
      </c>
      <c r="J335" s="93">
        <v>208029.28</v>
      </c>
      <c r="K335" s="93">
        <v>14445.1</v>
      </c>
      <c r="L335" s="43">
        <v>6.559953777628535</v>
      </c>
      <c r="M335" s="43">
        <v>11.500000000000002</v>
      </c>
      <c r="N335" s="43">
        <v>5.2955299290244309</v>
      </c>
      <c r="O335" s="43">
        <v>6.3649101780576265</v>
      </c>
      <c r="P335" s="94"/>
      <c r="Q335" s="94"/>
      <c r="R335" s="94">
        <v>1</v>
      </c>
    </row>
    <row r="336" spans="1:18" ht="24">
      <c r="A336" s="90">
        <v>113</v>
      </c>
      <c r="B336" s="87" t="s">
        <v>598</v>
      </c>
      <c r="C336" s="91" t="s">
        <v>599</v>
      </c>
      <c r="D336" s="92">
        <v>53173.38</v>
      </c>
      <c r="E336" s="92">
        <v>10496.64</v>
      </c>
      <c r="F336" s="92">
        <v>40351.360000000001</v>
      </c>
      <c r="G336" s="92">
        <v>2325.38</v>
      </c>
      <c r="H336" s="93">
        <v>349580.79</v>
      </c>
      <c r="I336" s="93">
        <v>120711.36</v>
      </c>
      <c r="J336" s="93">
        <v>213935.94</v>
      </c>
      <c r="K336" s="93">
        <v>14933.49</v>
      </c>
      <c r="L336" s="43">
        <v>6.5743571313315048</v>
      </c>
      <c r="M336" s="43">
        <v>11.5</v>
      </c>
      <c r="N336" s="43">
        <v>5.3018272494409109</v>
      </c>
      <c r="O336" s="43">
        <v>6.4219568414624701</v>
      </c>
      <c r="P336" s="94"/>
      <c r="Q336" s="94"/>
      <c r="R336" s="94">
        <v>1</v>
      </c>
    </row>
    <row r="337" spans="1:18" ht="24">
      <c r="A337" s="90">
        <v>114</v>
      </c>
      <c r="B337" s="87" t="s">
        <v>600</v>
      </c>
      <c r="C337" s="91" t="s">
        <v>601</v>
      </c>
      <c r="D337" s="92">
        <v>57084.92</v>
      </c>
      <c r="E337" s="92">
        <v>11666.72</v>
      </c>
      <c r="F337" s="92">
        <v>43021.4</v>
      </c>
      <c r="G337" s="92">
        <v>2396.8000000000002</v>
      </c>
      <c r="H337" s="93">
        <v>378040.55</v>
      </c>
      <c r="I337" s="93">
        <v>134167.28</v>
      </c>
      <c r="J337" s="93">
        <v>228276.1</v>
      </c>
      <c r="K337" s="93">
        <v>15597.17</v>
      </c>
      <c r="L337" s="43">
        <v>6.6224241007957971</v>
      </c>
      <c r="M337" s="43">
        <v>11.5</v>
      </c>
      <c r="N337" s="43">
        <v>5.306105798509579</v>
      </c>
      <c r="O337" s="43">
        <v>6.5074974966622161</v>
      </c>
      <c r="P337" s="94"/>
      <c r="Q337" s="94"/>
      <c r="R337" s="94">
        <v>1</v>
      </c>
    </row>
    <row r="338" spans="1:18" ht="24">
      <c r="A338" s="90">
        <v>115</v>
      </c>
      <c r="B338" s="87" t="s">
        <v>602</v>
      </c>
      <c r="C338" s="91" t="s">
        <v>603</v>
      </c>
      <c r="D338" s="92">
        <v>45291</v>
      </c>
      <c r="E338" s="92">
        <v>8656.32</v>
      </c>
      <c r="F338" s="92">
        <v>34794.639999999999</v>
      </c>
      <c r="G338" s="92">
        <v>1840.04</v>
      </c>
      <c r="H338" s="93">
        <v>294051.52</v>
      </c>
      <c r="I338" s="93">
        <v>99547.68</v>
      </c>
      <c r="J338" s="93">
        <v>183849.68</v>
      </c>
      <c r="K338" s="93">
        <v>10654.16</v>
      </c>
      <c r="L338" s="43">
        <v>6.4924934313660554</v>
      </c>
      <c r="M338" s="43">
        <v>11.5</v>
      </c>
      <c r="N338" s="43">
        <v>5.2838506160719003</v>
      </c>
      <c r="O338" s="43">
        <v>5.7901784743809914</v>
      </c>
      <c r="P338" s="94"/>
      <c r="Q338" s="94"/>
      <c r="R338" s="94">
        <v>1</v>
      </c>
    </row>
    <row r="339" spans="1:18" ht="24">
      <c r="A339" s="90">
        <v>116</v>
      </c>
      <c r="B339" s="87" t="s">
        <v>604</v>
      </c>
      <c r="C339" s="91" t="s">
        <v>605</v>
      </c>
      <c r="D339" s="92">
        <v>48210.96</v>
      </c>
      <c r="E339" s="92">
        <v>9349.2800000000007</v>
      </c>
      <c r="F339" s="92">
        <v>36906.76</v>
      </c>
      <c r="G339" s="92">
        <v>1954.92</v>
      </c>
      <c r="H339" s="93">
        <v>314563.65000000002</v>
      </c>
      <c r="I339" s="93">
        <v>107516.72</v>
      </c>
      <c r="J339" s="93">
        <v>195394.1</v>
      </c>
      <c r="K339" s="93">
        <v>11652.83</v>
      </c>
      <c r="L339" s="43">
        <v>6.5247331727059583</v>
      </c>
      <c r="M339" s="43">
        <v>11.5</v>
      </c>
      <c r="N339" s="43">
        <v>5.2942631647969094</v>
      </c>
      <c r="O339" s="43">
        <v>5.960770773228572</v>
      </c>
      <c r="P339" s="94"/>
      <c r="Q339" s="94"/>
      <c r="R339" s="94">
        <v>1</v>
      </c>
    </row>
    <row r="340" spans="1:18" ht="18" customHeight="1">
      <c r="A340" s="628" t="s">
        <v>606</v>
      </c>
      <c r="B340" s="629"/>
      <c r="C340" s="629"/>
      <c r="D340" s="629"/>
      <c r="E340" s="629"/>
      <c r="F340" s="629"/>
      <c r="G340" s="629"/>
      <c r="H340" s="629"/>
      <c r="I340" s="629"/>
      <c r="J340" s="629"/>
      <c r="K340" s="629"/>
      <c r="L340" s="629"/>
      <c r="M340" s="629"/>
      <c r="N340" s="629"/>
      <c r="O340" s="629"/>
      <c r="P340" s="629"/>
      <c r="Q340" s="629"/>
      <c r="R340" s="629"/>
    </row>
    <row r="341" spans="1:18" ht="27" customHeight="1">
      <c r="A341" s="90">
        <v>117</v>
      </c>
      <c r="B341" s="87" t="s">
        <v>607</v>
      </c>
      <c r="C341" s="91" t="s">
        <v>608</v>
      </c>
      <c r="D341" s="92">
        <v>34048.17</v>
      </c>
      <c r="E341" s="92">
        <v>7089.33</v>
      </c>
      <c r="F341" s="92">
        <v>25254.240000000002</v>
      </c>
      <c r="G341" s="92">
        <v>1704.6</v>
      </c>
      <c r="H341" s="93">
        <v>223963.64</v>
      </c>
      <c r="I341" s="93">
        <v>81530.38</v>
      </c>
      <c r="J341" s="93">
        <v>132979.57999999999</v>
      </c>
      <c r="K341" s="93">
        <v>9453.68</v>
      </c>
      <c r="L341" s="43">
        <v>6.5778466214190079</v>
      </c>
      <c r="M341" s="43">
        <v>11.500435161009575</v>
      </c>
      <c r="N341" s="43">
        <v>5.2656338104017379</v>
      </c>
      <c r="O341" s="43">
        <v>5.5459814619265524</v>
      </c>
      <c r="P341" s="94"/>
      <c r="Q341" s="94"/>
      <c r="R341" s="94">
        <v>2</v>
      </c>
    </row>
    <row r="342" spans="1:18" ht="24">
      <c r="A342" s="90">
        <v>118</v>
      </c>
      <c r="B342" s="87" t="s">
        <v>609</v>
      </c>
      <c r="C342" s="91" t="s">
        <v>610</v>
      </c>
      <c r="D342" s="92">
        <v>38316.870000000003</v>
      </c>
      <c r="E342" s="92">
        <v>8043</v>
      </c>
      <c r="F342" s="92">
        <v>28364.59</v>
      </c>
      <c r="G342" s="92">
        <v>1909.28</v>
      </c>
      <c r="H342" s="93">
        <v>254617.21</v>
      </c>
      <c r="I342" s="93">
        <v>92498</v>
      </c>
      <c r="J342" s="93">
        <v>150874.23999999999</v>
      </c>
      <c r="K342" s="93">
        <v>11244.97</v>
      </c>
      <c r="L342" s="43">
        <v>6.645041988032947</v>
      </c>
      <c r="M342" s="43">
        <v>11.500435161009573</v>
      </c>
      <c r="N342" s="43">
        <v>5.3191052646979911</v>
      </c>
      <c r="O342" s="43">
        <v>5.8896390262297826</v>
      </c>
      <c r="P342" s="94"/>
      <c r="Q342" s="94"/>
      <c r="R342" s="94">
        <v>2</v>
      </c>
    </row>
    <row r="343" spans="1:18" ht="24">
      <c r="A343" s="90">
        <v>119</v>
      </c>
      <c r="B343" s="87" t="s">
        <v>611</v>
      </c>
      <c r="C343" s="91" t="s">
        <v>612</v>
      </c>
      <c r="D343" s="92">
        <v>38603.339999999997</v>
      </c>
      <c r="E343" s="92">
        <v>8169.39</v>
      </c>
      <c r="F343" s="92">
        <v>28503.03</v>
      </c>
      <c r="G343" s="92">
        <v>1930.92</v>
      </c>
      <c r="H343" s="93">
        <v>256941.47</v>
      </c>
      <c r="I343" s="93">
        <v>93951.54</v>
      </c>
      <c r="J343" s="93">
        <v>151554.64000000001</v>
      </c>
      <c r="K343" s="93">
        <v>11435.29</v>
      </c>
      <c r="L343" s="43">
        <v>6.6559388384528395</v>
      </c>
      <c r="M343" s="43">
        <v>11.500435161009571</v>
      </c>
      <c r="N343" s="43">
        <v>5.3171413705841104</v>
      </c>
      <c r="O343" s="43">
        <v>5.9221977088641689</v>
      </c>
      <c r="P343" s="94"/>
      <c r="Q343" s="94"/>
      <c r="R343" s="94">
        <v>2</v>
      </c>
    </row>
    <row r="344" spans="1:18" ht="24">
      <c r="A344" s="90">
        <v>120</v>
      </c>
      <c r="B344" s="87" t="s">
        <v>613</v>
      </c>
      <c r="C344" s="91" t="s">
        <v>614</v>
      </c>
      <c r="D344" s="92">
        <v>39414.720000000001</v>
      </c>
      <c r="E344" s="92">
        <v>8387.7000000000007</v>
      </c>
      <c r="F344" s="92">
        <v>29062.53</v>
      </c>
      <c r="G344" s="92">
        <v>1964.49</v>
      </c>
      <c r="H344" s="93">
        <v>262936.59000000003</v>
      </c>
      <c r="I344" s="93">
        <v>96462.2</v>
      </c>
      <c r="J344" s="93">
        <v>154747.60999999999</v>
      </c>
      <c r="K344" s="93">
        <v>11726.78</v>
      </c>
      <c r="L344" s="43">
        <v>6.6710251905886944</v>
      </c>
      <c r="M344" s="43">
        <v>11.500435161009571</v>
      </c>
      <c r="N344" s="43">
        <v>5.3246434498304174</v>
      </c>
      <c r="O344" s="43">
        <v>5.9693762757764102</v>
      </c>
      <c r="P344" s="94"/>
      <c r="Q344" s="94"/>
      <c r="R344" s="94">
        <v>2</v>
      </c>
    </row>
    <row r="345" spans="1:18" ht="24">
      <c r="A345" s="90">
        <v>121</v>
      </c>
      <c r="B345" s="87" t="s">
        <v>615</v>
      </c>
      <c r="C345" s="91" t="s">
        <v>616</v>
      </c>
      <c r="D345" s="92">
        <v>43656.33</v>
      </c>
      <c r="E345" s="92">
        <v>9212.9599999999991</v>
      </c>
      <c r="F345" s="92">
        <v>32204.71</v>
      </c>
      <c r="G345" s="92">
        <v>2238.66</v>
      </c>
      <c r="H345" s="93">
        <v>292730.39</v>
      </c>
      <c r="I345" s="93">
        <v>105949.04</v>
      </c>
      <c r="J345" s="93">
        <v>172645.78</v>
      </c>
      <c r="K345" s="93">
        <v>14135.57</v>
      </c>
      <c r="L345" s="43">
        <v>6.7053366602277382</v>
      </c>
      <c r="M345" s="43">
        <v>11.5</v>
      </c>
      <c r="N345" s="43">
        <v>5.3608860318878824</v>
      </c>
      <c r="O345" s="43">
        <v>6.3142996256689274</v>
      </c>
      <c r="P345" s="94"/>
      <c r="Q345" s="94"/>
      <c r="R345" s="94">
        <v>2</v>
      </c>
    </row>
    <row r="346" spans="1:18" ht="24">
      <c r="A346" s="90">
        <v>122</v>
      </c>
      <c r="B346" s="87" t="s">
        <v>617</v>
      </c>
      <c r="C346" s="91" t="s">
        <v>618</v>
      </c>
      <c r="D346" s="92">
        <v>52684.78</v>
      </c>
      <c r="E346" s="92">
        <v>9337.92</v>
      </c>
      <c r="F346" s="92">
        <v>41089.33</v>
      </c>
      <c r="G346" s="92">
        <v>2257.5300000000002</v>
      </c>
      <c r="H346" s="93">
        <v>339127.83</v>
      </c>
      <c r="I346" s="93">
        <v>107386.08</v>
      </c>
      <c r="J346" s="93">
        <v>217441.01</v>
      </c>
      <c r="K346" s="93">
        <v>14300.74</v>
      </c>
      <c r="L346" s="43">
        <v>6.4369222003014919</v>
      </c>
      <c r="M346" s="43">
        <v>11.5</v>
      </c>
      <c r="N346" s="43">
        <v>5.2919093594371089</v>
      </c>
      <c r="O346" s="43">
        <v>6.3346843674281175</v>
      </c>
      <c r="P346" s="94"/>
      <c r="Q346" s="94"/>
      <c r="R346" s="94">
        <v>2</v>
      </c>
    </row>
    <row r="347" spans="1:18" ht="24">
      <c r="A347" s="90">
        <v>123</v>
      </c>
      <c r="B347" s="87" t="s">
        <v>619</v>
      </c>
      <c r="C347" s="91" t="s">
        <v>620</v>
      </c>
      <c r="D347" s="92">
        <v>54992.18</v>
      </c>
      <c r="E347" s="92">
        <v>9837.76</v>
      </c>
      <c r="F347" s="92">
        <v>42809.86</v>
      </c>
      <c r="G347" s="92">
        <v>2344.56</v>
      </c>
      <c r="H347" s="93">
        <v>354907.88</v>
      </c>
      <c r="I347" s="93">
        <v>113134.24</v>
      </c>
      <c r="J347" s="93">
        <v>226723.62</v>
      </c>
      <c r="K347" s="93">
        <v>15050.02</v>
      </c>
      <c r="L347" s="43">
        <v>6.4537881567888382</v>
      </c>
      <c r="M347" s="43">
        <v>11.5</v>
      </c>
      <c r="N347" s="43">
        <v>5.2960607673092133</v>
      </c>
      <c r="O347" s="43">
        <v>6.4191234176135401</v>
      </c>
      <c r="P347" s="94"/>
      <c r="Q347" s="94"/>
      <c r="R347" s="94">
        <v>2</v>
      </c>
    </row>
    <row r="348" spans="1:18" ht="24">
      <c r="A348" s="90">
        <v>124</v>
      </c>
      <c r="B348" s="87" t="s">
        <v>621</v>
      </c>
      <c r="C348" s="91" t="s">
        <v>622</v>
      </c>
      <c r="D348" s="92">
        <v>59811.07</v>
      </c>
      <c r="E348" s="92">
        <v>11087.36</v>
      </c>
      <c r="F348" s="92">
        <v>46298.93</v>
      </c>
      <c r="G348" s="92">
        <v>2424.7800000000002</v>
      </c>
      <c r="H348" s="93">
        <v>388777.58</v>
      </c>
      <c r="I348" s="93">
        <v>127504.64</v>
      </c>
      <c r="J348" s="93">
        <v>245476.1</v>
      </c>
      <c r="K348" s="93">
        <v>15796.84</v>
      </c>
      <c r="L348" s="43">
        <v>6.5000940461356072</v>
      </c>
      <c r="M348" s="43">
        <v>11.5</v>
      </c>
      <c r="N348" s="43">
        <v>5.3019821408399723</v>
      </c>
      <c r="O348" s="43">
        <v>6.5147518537764242</v>
      </c>
      <c r="P348" s="94"/>
      <c r="Q348" s="94"/>
      <c r="R348" s="94">
        <v>2</v>
      </c>
    </row>
    <row r="349" spans="1:18" ht="24">
      <c r="A349" s="90">
        <v>125</v>
      </c>
      <c r="B349" s="87" t="s">
        <v>623</v>
      </c>
      <c r="C349" s="91" t="s">
        <v>624</v>
      </c>
      <c r="D349" s="92">
        <v>56496.11</v>
      </c>
      <c r="E349" s="92">
        <v>10042.24</v>
      </c>
      <c r="F349" s="92">
        <v>44412.86</v>
      </c>
      <c r="G349" s="92">
        <v>2041.01</v>
      </c>
      <c r="H349" s="93">
        <v>363635.78</v>
      </c>
      <c r="I349" s="93">
        <v>115485.75999999999</v>
      </c>
      <c r="J349" s="93">
        <v>235741.49</v>
      </c>
      <c r="K349" s="93">
        <v>12408.53</v>
      </c>
      <c r="L349" s="43">
        <v>6.4364746528566306</v>
      </c>
      <c r="M349" s="43">
        <v>11.5</v>
      </c>
      <c r="N349" s="43">
        <v>5.3079556236639567</v>
      </c>
      <c r="O349" s="43">
        <v>6.0796027456994333</v>
      </c>
      <c r="P349" s="94"/>
      <c r="Q349" s="94"/>
      <c r="R349" s="94">
        <v>2</v>
      </c>
    </row>
    <row r="350" spans="1:18" ht="24">
      <c r="A350" s="90">
        <v>126</v>
      </c>
      <c r="B350" s="87" t="s">
        <v>625</v>
      </c>
      <c r="C350" s="91" t="s">
        <v>626</v>
      </c>
      <c r="D350" s="92">
        <v>60797.83</v>
      </c>
      <c r="E350" s="92">
        <v>11246.4</v>
      </c>
      <c r="F350" s="92">
        <v>47449.08</v>
      </c>
      <c r="G350" s="92">
        <v>2102.35</v>
      </c>
      <c r="H350" s="93">
        <v>394095.27</v>
      </c>
      <c r="I350" s="93">
        <v>129333.6</v>
      </c>
      <c r="J350" s="93">
        <v>251767.64</v>
      </c>
      <c r="K350" s="93">
        <v>12994.03</v>
      </c>
      <c r="L350" s="43">
        <v>6.4820614485747274</v>
      </c>
      <c r="M350" s="43">
        <v>11.500000000000002</v>
      </c>
      <c r="N350" s="43">
        <v>5.3060594641666396</v>
      </c>
      <c r="O350" s="43">
        <v>6.1807168168953792</v>
      </c>
      <c r="P350" s="94"/>
      <c r="Q350" s="94"/>
      <c r="R350" s="94">
        <v>2</v>
      </c>
    </row>
    <row r="351" spans="1:18" ht="24">
      <c r="A351" s="90">
        <v>127</v>
      </c>
      <c r="B351" s="87" t="s">
        <v>627</v>
      </c>
      <c r="C351" s="91" t="s">
        <v>628</v>
      </c>
      <c r="D351" s="92">
        <v>63455.839999999997</v>
      </c>
      <c r="E351" s="92">
        <v>11803.04</v>
      </c>
      <c r="F351" s="92">
        <v>49447.62</v>
      </c>
      <c r="G351" s="92">
        <v>2205.1799999999998</v>
      </c>
      <c r="H351" s="93">
        <v>412409.05</v>
      </c>
      <c r="I351" s="93">
        <v>135734.96</v>
      </c>
      <c r="J351" s="93">
        <v>262791.25</v>
      </c>
      <c r="K351" s="93">
        <v>13882.84</v>
      </c>
      <c r="L351" s="43">
        <v>6.4991504328049237</v>
      </c>
      <c r="M351" s="43">
        <v>11.499999999999998</v>
      </c>
      <c r="N351" s="43">
        <v>5.3145378887800865</v>
      </c>
      <c r="O351" s="43">
        <v>6.2955586392040566</v>
      </c>
      <c r="P351" s="94"/>
      <c r="Q351" s="94"/>
      <c r="R351" s="94">
        <v>2</v>
      </c>
    </row>
    <row r="352" spans="1:18" ht="24">
      <c r="A352" s="90">
        <v>128</v>
      </c>
      <c r="B352" s="87" t="s">
        <v>629</v>
      </c>
      <c r="C352" s="91" t="s">
        <v>630</v>
      </c>
      <c r="D352" s="92">
        <v>65787.98</v>
      </c>
      <c r="E352" s="92">
        <v>12291.52</v>
      </c>
      <c r="F352" s="92">
        <v>51172.42</v>
      </c>
      <c r="G352" s="92">
        <v>2324.04</v>
      </c>
      <c r="H352" s="93">
        <v>427400.45</v>
      </c>
      <c r="I352" s="93">
        <v>141352.48000000001</v>
      </c>
      <c r="J352" s="93">
        <v>271151.62</v>
      </c>
      <c r="K352" s="93">
        <v>14896.35</v>
      </c>
      <c r="L352" s="43">
        <v>6.4966343395860466</v>
      </c>
      <c r="M352" s="43">
        <v>11.5</v>
      </c>
      <c r="N352" s="43">
        <v>5.2987843842444819</v>
      </c>
      <c r="O352" s="43">
        <v>6.4096788351319258</v>
      </c>
      <c r="P352" s="94"/>
      <c r="Q352" s="94"/>
      <c r="R352" s="94">
        <v>2</v>
      </c>
    </row>
    <row r="353" spans="1:18" ht="24">
      <c r="A353" s="90">
        <v>129</v>
      </c>
      <c r="B353" s="87" t="s">
        <v>631</v>
      </c>
      <c r="C353" s="91" t="s">
        <v>632</v>
      </c>
      <c r="D353" s="92">
        <v>63024.31</v>
      </c>
      <c r="E353" s="92">
        <v>11621.28</v>
      </c>
      <c r="F353" s="92">
        <v>49258.19</v>
      </c>
      <c r="G353" s="92">
        <v>2144.84</v>
      </c>
      <c r="H353" s="93">
        <v>408901.9</v>
      </c>
      <c r="I353" s="93">
        <v>133644.72</v>
      </c>
      <c r="J353" s="93">
        <v>261888.94</v>
      </c>
      <c r="K353" s="93">
        <v>13368.24</v>
      </c>
      <c r="L353" s="43">
        <v>6.4880028039973787</v>
      </c>
      <c r="M353" s="43">
        <v>11.5</v>
      </c>
      <c r="N353" s="43">
        <v>5.3166577984290528</v>
      </c>
      <c r="O353" s="43">
        <v>6.2327446336323451</v>
      </c>
      <c r="P353" s="94"/>
      <c r="Q353" s="94"/>
      <c r="R353" s="94">
        <v>2</v>
      </c>
    </row>
    <row r="354" spans="1:18" ht="24">
      <c r="A354" s="90">
        <v>130</v>
      </c>
      <c r="B354" s="87" t="s">
        <v>633</v>
      </c>
      <c r="C354" s="91" t="s">
        <v>634</v>
      </c>
      <c r="D354" s="92">
        <v>66010.850000000006</v>
      </c>
      <c r="E354" s="92">
        <v>12246.08</v>
      </c>
      <c r="F354" s="92">
        <v>51508.3</v>
      </c>
      <c r="G354" s="92">
        <v>2256.4699999999998</v>
      </c>
      <c r="H354" s="93">
        <v>429441.33</v>
      </c>
      <c r="I354" s="93">
        <v>140829.92000000001</v>
      </c>
      <c r="J354" s="93">
        <v>274277.03999999998</v>
      </c>
      <c r="K354" s="93">
        <v>14334.37</v>
      </c>
      <c r="L354" s="43">
        <v>6.505617334120072</v>
      </c>
      <c r="M354" s="43">
        <v>11.500000000000002</v>
      </c>
      <c r="N354" s="43">
        <v>5.3249095776797128</v>
      </c>
      <c r="O354" s="43">
        <v>6.35256396052241</v>
      </c>
      <c r="P354" s="94"/>
      <c r="Q354" s="94"/>
      <c r="R354" s="94">
        <v>2</v>
      </c>
    </row>
    <row r="355" spans="1:18" ht="24">
      <c r="A355" s="90">
        <v>131</v>
      </c>
      <c r="B355" s="87" t="s">
        <v>635</v>
      </c>
      <c r="C355" s="91" t="s">
        <v>636</v>
      </c>
      <c r="D355" s="92">
        <v>68345.98</v>
      </c>
      <c r="E355" s="92">
        <v>12757.28</v>
      </c>
      <c r="F355" s="92">
        <v>53208.76</v>
      </c>
      <c r="G355" s="92">
        <v>2379.94</v>
      </c>
      <c r="H355" s="93">
        <v>444534.41</v>
      </c>
      <c r="I355" s="93">
        <v>146708.72</v>
      </c>
      <c r="J355" s="93">
        <v>282435.23</v>
      </c>
      <c r="K355" s="93">
        <v>15390.46</v>
      </c>
      <c r="L355" s="43">
        <v>6.5041778609363714</v>
      </c>
      <c r="M355" s="43">
        <v>11.5</v>
      </c>
      <c r="N355" s="43">
        <v>5.308058860984544</v>
      </c>
      <c r="O355" s="43">
        <v>6.4667428590636735</v>
      </c>
      <c r="P355" s="94"/>
      <c r="Q355" s="94"/>
      <c r="R355" s="94">
        <v>2</v>
      </c>
    </row>
    <row r="356" spans="1:18" ht="15" customHeight="1">
      <c r="A356" s="628" t="s">
        <v>637</v>
      </c>
      <c r="B356" s="629"/>
      <c r="C356" s="629"/>
      <c r="D356" s="629"/>
      <c r="E356" s="629"/>
      <c r="F356" s="629"/>
      <c r="G356" s="629"/>
      <c r="H356" s="629"/>
      <c r="I356" s="629"/>
      <c r="J356" s="629"/>
      <c r="K356" s="629"/>
      <c r="L356" s="629"/>
      <c r="M356" s="629"/>
      <c r="N356" s="629"/>
      <c r="O356" s="629"/>
      <c r="P356" s="629"/>
      <c r="Q356" s="629"/>
      <c r="R356" s="629"/>
    </row>
    <row r="357" spans="1:18" ht="36">
      <c r="A357" s="90">
        <v>132</v>
      </c>
      <c r="B357" s="87" t="s">
        <v>638</v>
      </c>
      <c r="C357" s="91" t="s">
        <v>639</v>
      </c>
      <c r="D357" s="92">
        <v>45909.08</v>
      </c>
      <c r="E357" s="92">
        <v>9031.14</v>
      </c>
      <c r="F357" s="92">
        <v>34909.57</v>
      </c>
      <c r="G357" s="92">
        <v>1968.37</v>
      </c>
      <c r="H357" s="93">
        <v>299811.74</v>
      </c>
      <c r="I357" s="93">
        <v>103862.04</v>
      </c>
      <c r="J357" s="93">
        <v>184139.72</v>
      </c>
      <c r="K357" s="93">
        <v>11809.98</v>
      </c>
      <c r="L357" s="43">
        <v>6.5305543042901313</v>
      </c>
      <c r="M357" s="43">
        <v>11.500435161009573</v>
      </c>
      <c r="N357" s="43">
        <v>5.2747633385343908</v>
      </c>
      <c r="O357" s="43">
        <v>5.999878071703999</v>
      </c>
      <c r="P357" s="94"/>
      <c r="Q357" s="94"/>
      <c r="R357" s="94">
        <v>3</v>
      </c>
    </row>
    <row r="358" spans="1:18" ht="36">
      <c r="A358" s="90">
        <v>133</v>
      </c>
      <c r="B358" s="87" t="s">
        <v>640</v>
      </c>
      <c r="C358" s="91" t="s">
        <v>641</v>
      </c>
      <c r="D358" s="92">
        <v>46402.02</v>
      </c>
      <c r="E358" s="92">
        <v>9214.98</v>
      </c>
      <c r="F358" s="92">
        <v>35189.22</v>
      </c>
      <c r="G358" s="92">
        <v>1997.82</v>
      </c>
      <c r="H358" s="93">
        <v>303717.26</v>
      </c>
      <c r="I358" s="93">
        <v>105976.28</v>
      </c>
      <c r="J358" s="93">
        <v>185672.86</v>
      </c>
      <c r="K358" s="93">
        <v>12068.12</v>
      </c>
      <c r="L358" s="43">
        <v>6.5453456552107001</v>
      </c>
      <c r="M358" s="43">
        <v>11.500435161009573</v>
      </c>
      <c r="N358" s="43">
        <v>5.2764130605907145</v>
      </c>
      <c r="O358" s="43">
        <v>6.040644302289496</v>
      </c>
      <c r="P358" s="94"/>
      <c r="Q358" s="94"/>
      <c r="R358" s="94">
        <v>3</v>
      </c>
    </row>
    <row r="359" spans="1:18" ht="36">
      <c r="A359" s="90">
        <v>134</v>
      </c>
      <c r="B359" s="87" t="s">
        <v>642</v>
      </c>
      <c r="C359" s="91" t="s">
        <v>643</v>
      </c>
      <c r="D359" s="92">
        <v>50136.34</v>
      </c>
      <c r="E359" s="92">
        <v>9812.4599999999991</v>
      </c>
      <c r="F359" s="92">
        <v>38164.99</v>
      </c>
      <c r="G359" s="92">
        <v>2158.89</v>
      </c>
      <c r="H359" s="93">
        <v>328561.96999999997</v>
      </c>
      <c r="I359" s="93">
        <v>112847.56</v>
      </c>
      <c r="J359" s="93">
        <v>202223.71</v>
      </c>
      <c r="K359" s="93">
        <v>13490.7</v>
      </c>
      <c r="L359" s="43">
        <v>6.5533696715795369</v>
      </c>
      <c r="M359" s="43">
        <v>11.500435161009575</v>
      </c>
      <c r="N359" s="43">
        <v>5.2986705878869618</v>
      </c>
      <c r="O359" s="43">
        <v>6.2489056876450402</v>
      </c>
      <c r="P359" s="94"/>
      <c r="Q359" s="94"/>
      <c r="R359" s="94">
        <v>3</v>
      </c>
    </row>
    <row r="360" spans="1:18" ht="36">
      <c r="A360" s="90">
        <v>135</v>
      </c>
      <c r="B360" s="87" t="s">
        <v>644</v>
      </c>
      <c r="C360" s="91" t="s">
        <v>645</v>
      </c>
      <c r="D360" s="92">
        <v>50982.66</v>
      </c>
      <c r="E360" s="92">
        <v>10007.790000000001</v>
      </c>
      <c r="F360" s="92">
        <v>38784.54</v>
      </c>
      <c r="G360" s="92">
        <v>2190.33</v>
      </c>
      <c r="H360" s="93">
        <v>334510.84999999998</v>
      </c>
      <c r="I360" s="93">
        <v>115093.94</v>
      </c>
      <c r="J360" s="93">
        <v>205654.97</v>
      </c>
      <c r="K360" s="93">
        <v>13761.94</v>
      </c>
      <c r="L360" s="43">
        <v>6.561267105325614</v>
      </c>
      <c r="M360" s="43">
        <v>11.500435161009573</v>
      </c>
      <c r="N360" s="43">
        <v>5.3024986244519079</v>
      </c>
      <c r="O360" s="43">
        <v>6.283044107508915</v>
      </c>
      <c r="P360" s="94"/>
      <c r="Q360" s="94"/>
      <c r="R360" s="94">
        <v>3</v>
      </c>
    </row>
    <row r="361" spans="1:18" ht="36">
      <c r="A361" s="90">
        <v>136</v>
      </c>
      <c r="B361" s="87" t="s">
        <v>646</v>
      </c>
      <c r="C361" s="91" t="s">
        <v>647</v>
      </c>
      <c r="D361" s="92">
        <v>53117.17</v>
      </c>
      <c r="E361" s="92">
        <v>10329.51</v>
      </c>
      <c r="F361" s="92">
        <v>40514.76</v>
      </c>
      <c r="G361" s="92">
        <v>2272.9</v>
      </c>
      <c r="H361" s="93">
        <v>348462.24</v>
      </c>
      <c r="I361" s="93">
        <v>118793.86</v>
      </c>
      <c r="J361" s="93">
        <v>215200.64000000001</v>
      </c>
      <c r="K361" s="93">
        <v>14467.74</v>
      </c>
      <c r="L361" s="43">
        <v>6.5602561281032106</v>
      </c>
      <c r="M361" s="43">
        <v>11.500435161009573</v>
      </c>
      <c r="N361" s="43">
        <v>5.3116602443158989</v>
      </c>
      <c r="O361" s="43">
        <v>6.3653218355404988</v>
      </c>
      <c r="P361" s="94"/>
      <c r="Q361" s="94"/>
      <c r="R361" s="94">
        <v>3</v>
      </c>
    </row>
    <row r="362" spans="1:18" ht="36">
      <c r="A362" s="90">
        <v>137</v>
      </c>
      <c r="B362" s="87" t="s">
        <v>648</v>
      </c>
      <c r="C362" s="91" t="s">
        <v>649</v>
      </c>
      <c r="D362" s="92">
        <v>63541.42</v>
      </c>
      <c r="E362" s="92">
        <v>11938.11</v>
      </c>
      <c r="F362" s="92">
        <v>49223.07</v>
      </c>
      <c r="G362" s="92">
        <v>2380.2399999999998</v>
      </c>
      <c r="H362" s="93">
        <v>414268.39</v>
      </c>
      <c r="I362" s="93">
        <v>137293.46</v>
      </c>
      <c r="J362" s="93">
        <v>261514.73</v>
      </c>
      <c r="K362" s="93">
        <v>15460.2</v>
      </c>
      <c r="L362" s="43">
        <v>6.5196589877909563</v>
      </c>
      <c r="M362" s="43">
        <v>11.500435161009571</v>
      </c>
      <c r="N362" s="43">
        <v>5.3128488328745043</v>
      </c>
      <c r="O362" s="43">
        <v>6.4952273720297118</v>
      </c>
      <c r="P362" s="94"/>
      <c r="Q362" s="94"/>
      <c r="R362" s="94">
        <v>3</v>
      </c>
    </row>
    <row r="363" spans="1:18" ht="36">
      <c r="A363" s="90">
        <v>138</v>
      </c>
      <c r="B363" s="87" t="s">
        <v>650</v>
      </c>
      <c r="C363" s="91" t="s">
        <v>651</v>
      </c>
      <c r="D363" s="92">
        <v>58862.55</v>
      </c>
      <c r="E363" s="92">
        <v>10530.72</v>
      </c>
      <c r="F363" s="92">
        <v>46037.08</v>
      </c>
      <c r="G363" s="92">
        <v>2294.75</v>
      </c>
      <c r="H363" s="93">
        <v>380411.3</v>
      </c>
      <c r="I363" s="93">
        <v>121103.28</v>
      </c>
      <c r="J363" s="93">
        <v>244638.51</v>
      </c>
      <c r="K363" s="93">
        <v>14669.51</v>
      </c>
      <c r="L363" s="43">
        <v>6.4627050645953998</v>
      </c>
      <c r="M363" s="43">
        <v>11.5</v>
      </c>
      <c r="N363" s="43">
        <v>5.3139449765276163</v>
      </c>
      <c r="O363" s="43">
        <v>6.3926397211025163</v>
      </c>
      <c r="P363" s="94"/>
      <c r="Q363" s="94"/>
      <c r="R363" s="94">
        <v>3</v>
      </c>
    </row>
    <row r="364" spans="1:18" ht="36">
      <c r="A364" s="90">
        <v>139</v>
      </c>
      <c r="B364" s="87" t="s">
        <v>652</v>
      </c>
      <c r="C364" s="91" t="s">
        <v>653</v>
      </c>
      <c r="D364" s="92">
        <v>82837.84</v>
      </c>
      <c r="E364" s="92">
        <v>14643.04</v>
      </c>
      <c r="F364" s="92">
        <v>65728.179999999993</v>
      </c>
      <c r="G364" s="92">
        <v>2466.62</v>
      </c>
      <c r="H364" s="93">
        <v>531957.67000000004</v>
      </c>
      <c r="I364" s="93">
        <v>168394.96</v>
      </c>
      <c r="J364" s="93">
        <v>347273.09</v>
      </c>
      <c r="K364" s="93">
        <v>16289.62</v>
      </c>
      <c r="L364" s="43">
        <v>6.4216748046544918</v>
      </c>
      <c r="M364" s="43">
        <v>11.499999999999998</v>
      </c>
      <c r="N364" s="43">
        <v>5.2834733899523778</v>
      </c>
      <c r="O364" s="43">
        <v>6.6040249410123986</v>
      </c>
      <c r="P364" s="94"/>
      <c r="Q364" s="94"/>
      <c r="R364" s="94">
        <v>3</v>
      </c>
    </row>
    <row r="365" spans="1:18" ht="36">
      <c r="A365" s="90">
        <v>140</v>
      </c>
      <c r="B365" s="87" t="s">
        <v>654</v>
      </c>
      <c r="C365" s="91" t="s">
        <v>655</v>
      </c>
      <c r="D365" s="92">
        <v>88368.84</v>
      </c>
      <c r="E365" s="92">
        <v>15722.24</v>
      </c>
      <c r="F365" s="92">
        <v>70129.399999999994</v>
      </c>
      <c r="G365" s="92">
        <v>2517.1999999999998</v>
      </c>
      <c r="H365" s="93">
        <v>567940.54</v>
      </c>
      <c r="I365" s="93">
        <v>180805.76000000001</v>
      </c>
      <c r="J365" s="93">
        <v>370357.69</v>
      </c>
      <c r="K365" s="93">
        <v>16777.09</v>
      </c>
      <c r="L365" s="43">
        <v>6.4269321629660414</v>
      </c>
      <c r="M365" s="43">
        <v>11.5</v>
      </c>
      <c r="N365" s="43">
        <v>5.2810617230434032</v>
      </c>
      <c r="O365" s="43">
        <v>6.6649809311933899</v>
      </c>
      <c r="P365" s="94"/>
      <c r="Q365" s="94"/>
      <c r="R365" s="94">
        <v>3</v>
      </c>
    </row>
    <row r="366" spans="1:18" ht="36">
      <c r="A366" s="90">
        <v>141</v>
      </c>
      <c r="B366" s="87" t="s">
        <v>656</v>
      </c>
      <c r="C366" s="91" t="s">
        <v>657</v>
      </c>
      <c r="D366" s="92">
        <v>90976.04</v>
      </c>
      <c r="E366" s="92">
        <v>16403.84</v>
      </c>
      <c r="F366" s="92">
        <v>71931.460000000006</v>
      </c>
      <c r="G366" s="92">
        <v>2640.74</v>
      </c>
      <c r="H366" s="93">
        <v>586687.06000000006</v>
      </c>
      <c r="I366" s="93">
        <v>188644.16</v>
      </c>
      <c r="J366" s="93">
        <v>380200.33</v>
      </c>
      <c r="K366" s="93">
        <v>17842.57</v>
      </c>
      <c r="L366" s="43">
        <v>6.4488084994686528</v>
      </c>
      <c r="M366" s="43">
        <v>11.5</v>
      </c>
      <c r="N366" s="43">
        <v>5.2855917285705027</v>
      </c>
      <c r="O366" s="43">
        <v>6.7566553314601219</v>
      </c>
      <c r="P366" s="94"/>
      <c r="Q366" s="94"/>
      <c r="R366" s="94">
        <v>3</v>
      </c>
    </row>
    <row r="367" spans="1:18" ht="36">
      <c r="A367" s="90">
        <v>142</v>
      </c>
      <c r="B367" s="87" t="s">
        <v>658</v>
      </c>
      <c r="C367" s="91" t="s">
        <v>659</v>
      </c>
      <c r="D367" s="92">
        <v>136120.91</v>
      </c>
      <c r="E367" s="92">
        <v>18505.439999999999</v>
      </c>
      <c r="F367" s="92">
        <v>114858.57</v>
      </c>
      <c r="G367" s="92">
        <v>2756.9</v>
      </c>
      <c r="H367" s="93">
        <v>840988.75</v>
      </c>
      <c r="I367" s="93">
        <v>212812.56</v>
      </c>
      <c r="J367" s="93">
        <v>609376.84</v>
      </c>
      <c r="K367" s="93">
        <v>18799.349999999999</v>
      </c>
      <c r="L367" s="43">
        <v>6.1782480737162278</v>
      </c>
      <c r="M367" s="43">
        <v>11.5</v>
      </c>
      <c r="N367" s="43">
        <v>5.3054538290003084</v>
      </c>
      <c r="O367" s="43">
        <v>6.8190177373136489</v>
      </c>
      <c r="P367" s="94"/>
      <c r="Q367" s="94"/>
      <c r="R367" s="94">
        <v>3</v>
      </c>
    </row>
    <row r="368" spans="1:18" ht="36">
      <c r="A368" s="90">
        <v>143</v>
      </c>
      <c r="B368" s="87" t="s">
        <v>660</v>
      </c>
      <c r="C368" s="91" t="s">
        <v>661</v>
      </c>
      <c r="D368" s="92">
        <v>145714.79999999999</v>
      </c>
      <c r="E368" s="92">
        <v>21958.880000000001</v>
      </c>
      <c r="F368" s="92">
        <v>120596.46</v>
      </c>
      <c r="G368" s="92">
        <v>3159.46</v>
      </c>
      <c r="H368" s="93">
        <v>914238.8</v>
      </c>
      <c r="I368" s="93">
        <v>252527.12</v>
      </c>
      <c r="J368" s="93">
        <v>639114.67000000004</v>
      </c>
      <c r="K368" s="93">
        <v>22597.01</v>
      </c>
      <c r="L368" s="43">
        <v>6.2741656990230235</v>
      </c>
      <c r="M368" s="43">
        <v>11.5</v>
      </c>
      <c r="N368" s="43">
        <v>5.2996138526785943</v>
      </c>
      <c r="O368" s="43">
        <v>7.1521747387211736</v>
      </c>
      <c r="P368" s="94"/>
      <c r="Q368" s="94"/>
      <c r="R368" s="94">
        <v>3</v>
      </c>
    </row>
    <row r="369" spans="1:18" ht="36">
      <c r="A369" s="90">
        <v>144</v>
      </c>
      <c r="B369" s="87" t="s">
        <v>662</v>
      </c>
      <c r="C369" s="91" t="s">
        <v>663</v>
      </c>
      <c r="D369" s="92">
        <v>147438.04999999999</v>
      </c>
      <c r="E369" s="92">
        <v>22276.959999999999</v>
      </c>
      <c r="F369" s="92">
        <v>121970.89</v>
      </c>
      <c r="G369" s="92">
        <v>3190.2</v>
      </c>
      <c r="H369" s="93">
        <v>925679.92</v>
      </c>
      <c r="I369" s="93">
        <v>256185.04</v>
      </c>
      <c r="J369" s="93">
        <v>646617.32999999996</v>
      </c>
      <c r="K369" s="93">
        <v>22877.55</v>
      </c>
      <c r="L369" s="43">
        <v>6.2784330096606684</v>
      </c>
      <c r="M369" s="43">
        <v>11.5</v>
      </c>
      <c r="N369" s="43">
        <v>5.3014069996537696</v>
      </c>
      <c r="O369" s="43">
        <v>7.1711961632499532</v>
      </c>
      <c r="P369" s="94"/>
      <c r="Q369" s="94"/>
      <c r="R369" s="94">
        <v>3</v>
      </c>
    </row>
    <row r="370" spans="1:18" ht="12.75" customHeight="1">
      <c r="A370" s="628" t="s">
        <v>664</v>
      </c>
      <c r="B370" s="629"/>
      <c r="C370" s="629"/>
      <c r="D370" s="629"/>
      <c r="E370" s="629"/>
      <c r="F370" s="629"/>
      <c r="G370" s="629"/>
      <c r="H370" s="629"/>
      <c r="I370" s="629"/>
      <c r="J370" s="629"/>
      <c r="K370" s="629"/>
      <c r="L370" s="629"/>
      <c r="M370" s="629"/>
      <c r="N370" s="629"/>
      <c r="O370" s="629"/>
      <c r="P370" s="629"/>
      <c r="Q370" s="629"/>
      <c r="R370" s="629"/>
    </row>
    <row r="371" spans="1:18" ht="36">
      <c r="A371" s="90">
        <v>145</v>
      </c>
      <c r="B371" s="87" t="s">
        <v>665</v>
      </c>
      <c r="C371" s="91" t="s">
        <v>666</v>
      </c>
      <c r="D371" s="92">
        <v>45497.42</v>
      </c>
      <c r="E371" s="92">
        <v>9542.4</v>
      </c>
      <c r="F371" s="92">
        <v>34081.03</v>
      </c>
      <c r="G371" s="92">
        <v>1873.99</v>
      </c>
      <c r="H371" s="93">
        <v>300906.96000000002</v>
      </c>
      <c r="I371" s="93">
        <v>109737.60000000001</v>
      </c>
      <c r="J371" s="93">
        <v>180083.69</v>
      </c>
      <c r="K371" s="93">
        <v>11085.67</v>
      </c>
      <c r="L371" s="43">
        <v>6.6137147996523762</v>
      </c>
      <c r="M371" s="43">
        <v>11.500000000000002</v>
      </c>
      <c r="N371" s="43">
        <v>5.2839861353955557</v>
      </c>
      <c r="O371" s="43">
        <v>5.9155438396149389</v>
      </c>
      <c r="P371" s="94"/>
      <c r="Q371" s="94"/>
      <c r="R371" s="94">
        <v>4</v>
      </c>
    </row>
    <row r="372" spans="1:18" ht="36">
      <c r="A372" s="90">
        <v>146</v>
      </c>
      <c r="B372" s="87" t="s">
        <v>667</v>
      </c>
      <c r="C372" s="91" t="s">
        <v>668</v>
      </c>
      <c r="D372" s="92">
        <v>47937.4</v>
      </c>
      <c r="E372" s="92">
        <v>10246.719999999999</v>
      </c>
      <c r="F372" s="92">
        <v>35706.269999999997</v>
      </c>
      <c r="G372" s="92">
        <v>1984.41</v>
      </c>
      <c r="H372" s="93">
        <v>319234.87</v>
      </c>
      <c r="I372" s="93">
        <v>117837.28</v>
      </c>
      <c r="J372" s="93">
        <v>189355.46</v>
      </c>
      <c r="K372" s="93">
        <v>12042.13</v>
      </c>
      <c r="L372" s="43">
        <v>6.6594114407539831</v>
      </c>
      <c r="M372" s="43">
        <v>11.5</v>
      </c>
      <c r="N372" s="43">
        <v>5.3031431174412784</v>
      </c>
      <c r="O372" s="43">
        <v>6.0683679279987492</v>
      </c>
      <c r="P372" s="94"/>
      <c r="Q372" s="94"/>
      <c r="R372" s="94">
        <v>4</v>
      </c>
    </row>
    <row r="373" spans="1:18" ht="36">
      <c r="A373" s="90">
        <v>147</v>
      </c>
      <c r="B373" s="87" t="s">
        <v>669</v>
      </c>
      <c r="C373" s="91" t="s">
        <v>670</v>
      </c>
      <c r="D373" s="92">
        <v>52325.21</v>
      </c>
      <c r="E373" s="92">
        <v>11189.6</v>
      </c>
      <c r="F373" s="92">
        <v>38951.14</v>
      </c>
      <c r="G373" s="92">
        <v>2184.4699999999998</v>
      </c>
      <c r="H373" s="93">
        <v>350280.47</v>
      </c>
      <c r="I373" s="93">
        <v>128680.4</v>
      </c>
      <c r="J373" s="93">
        <v>207792.76</v>
      </c>
      <c r="K373" s="93">
        <v>13807.31</v>
      </c>
      <c r="L373" s="43">
        <v>6.6942964968511349</v>
      </c>
      <c r="M373" s="43">
        <v>11.499999999999998</v>
      </c>
      <c r="N373" s="43">
        <v>5.3347029124179679</v>
      </c>
      <c r="O373" s="43">
        <v>6.3206681712268882</v>
      </c>
      <c r="P373" s="94"/>
      <c r="Q373" s="94"/>
      <c r="R373" s="94">
        <v>4</v>
      </c>
    </row>
    <row r="374" spans="1:18" ht="36">
      <c r="A374" s="90">
        <v>148</v>
      </c>
      <c r="B374" s="87" t="s">
        <v>671</v>
      </c>
      <c r="C374" s="91" t="s">
        <v>672</v>
      </c>
      <c r="D374" s="92">
        <v>68699.92</v>
      </c>
      <c r="E374" s="92">
        <v>12825.44</v>
      </c>
      <c r="F374" s="92">
        <v>53539.53</v>
      </c>
      <c r="G374" s="92">
        <v>2334.9499999999998</v>
      </c>
      <c r="H374" s="93">
        <v>445426.67</v>
      </c>
      <c r="I374" s="93">
        <v>147492.56</v>
      </c>
      <c r="J374" s="93">
        <v>282776.46999999997</v>
      </c>
      <c r="K374" s="93">
        <v>15157.64</v>
      </c>
      <c r="L374" s="43">
        <v>6.4836563128457794</v>
      </c>
      <c r="M374" s="43">
        <v>11.5</v>
      </c>
      <c r="N374" s="43">
        <v>5.2816390057962774</v>
      </c>
      <c r="O374" s="43">
        <v>6.4916336538255637</v>
      </c>
      <c r="P374" s="94"/>
      <c r="Q374" s="94"/>
      <c r="R374" s="94">
        <v>4</v>
      </c>
    </row>
    <row r="375" spans="1:18" ht="36">
      <c r="A375" s="90">
        <v>149</v>
      </c>
      <c r="B375" s="87" t="s">
        <v>673</v>
      </c>
      <c r="C375" s="91" t="s">
        <v>674</v>
      </c>
      <c r="D375" s="92">
        <v>88902.98</v>
      </c>
      <c r="E375" s="92">
        <v>13279.84</v>
      </c>
      <c r="F375" s="92">
        <v>73191</v>
      </c>
      <c r="G375" s="92">
        <v>2432.14</v>
      </c>
      <c r="H375" s="93">
        <v>557285.06000000006</v>
      </c>
      <c r="I375" s="93">
        <v>152718.16</v>
      </c>
      <c r="J375" s="93">
        <v>388575.57</v>
      </c>
      <c r="K375" s="93">
        <v>15991.33</v>
      </c>
      <c r="L375" s="43">
        <v>6.2684632168685468</v>
      </c>
      <c r="M375" s="43">
        <v>11.5</v>
      </c>
      <c r="N375" s="43">
        <v>5.3090621797762019</v>
      </c>
      <c r="O375" s="43">
        <v>6.5750039060251471</v>
      </c>
      <c r="P375" s="94"/>
      <c r="Q375" s="94"/>
      <c r="R375" s="94">
        <v>4</v>
      </c>
    </row>
    <row r="376" spans="1:18" ht="36">
      <c r="A376" s="90">
        <v>150</v>
      </c>
      <c r="B376" s="87" t="s">
        <v>675</v>
      </c>
      <c r="C376" s="91" t="s">
        <v>676</v>
      </c>
      <c r="D376" s="92">
        <v>103003.61</v>
      </c>
      <c r="E376" s="92">
        <v>15256.48</v>
      </c>
      <c r="F376" s="92">
        <v>84821.16</v>
      </c>
      <c r="G376" s="92">
        <v>2925.97</v>
      </c>
      <c r="H376" s="93">
        <v>646849.94999999995</v>
      </c>
      <c r="I376" s="93">
        <v>175449.52</v>
      </c>
      <c r="J376" s="93">
        <v>451085.32</v>
      </c>
      <c r="K376" s="93">
        <v>20315.11</v>
      </c>
      <c r="L376" s="43">
        <v>6.2798765014158233</v>
      </c>
      <c r="M376" s="43">
        <v>11.5</v>
      </c>
      <c r="N376" s="43">
        <v>5.3180753481796286</v>
      </c>
      <c r="O376" s="43">
        <v>6.9430342758128081</v>
      </c>
      <c r="P376" s="94"/>
      <c r="Q376" s="94"/>
      <c r="R376" s="94">
        <v>4</v>
      </c>
    </row>
    <row r="377" spans="1:18" ht="36">
      <c r="A377" s="90">
        <v>151</v>
      </c>
      <c r="B377" s="87" t="s">
        <v>677</v>
      </c>
      <c r="C377" s="91" t="s">
        <v>678</v>
      </c>
      <c r="D377" s="92">
        <v>106391.49</v>
      </c>
      <c r="E377" s="92">
        <v>15938.08</v>
      </c>
      <c r="F377" s="92">
        <v>87431.84</v>
      </c>
      <c r="G377" s="92">
        <v>3021.57</v>
      </c>
      <c r="H377" s="93">
        <v>669700.38</v>
      </c>
      <c r="I377" s="93">
        <v>183287.92</v>
      </c>
      <c r="J377" s="93">
        <v>465261.99</v>
      </c>
      <c r="K377" s="93">
        <v>21150.47</v>
      </c>
      <c r="L377" s="43">
        <v>6.2946799598351335</v>
      </c>
      <c r="M377" s="43">
        <v>11.5</v>
      </c>
      <c r="N377" s="43">
        <v>5.3214251238450432</v>
      </c>
      <c r="O377" s="43">
        <v>6.9998279040366436</v>
      </c>
      <c r="P377" s="94"/>
      <c r="Q377" s="94"/>
      <c r="R377" s="94">
        <v>4</v>
      </c>
    </row>
    <row r="378" spans="1:18" ht="36">
      <c r="A378" s="90">
        <v>152</v>
      </c>
      <c r="B378" s="87" t="s">
        <v>679</v>
      </c>
      <c r="C378" s="91" t="s">
        <v>680</v>
      </c>
      <c r="D378" s="92">
        <v>122181.35</v>
      </c>
      <c r="E378" s="92">
        <v>18505.439999999999</v>
      </c>
      <c r="F378" s="92">
        <v>100470.17</v>
      </c>
      <c r="G378" s="92">
        <v>3205.74</v>
      </c>
      <c r="H378" s="93">
        <v>772229.31</v>
      </c>
      <c r="I378" s="93">
        <v>212812.56</v>
      </c>
      <c r="J378" s="93">
        <v>536576.43000000005</v>
      </c>
      <c r="K378" s="93">
        <v>22840.32</v>
      </c>
      <c r="L378" s="43">
        <v>6.3203533927231943</v>
      </c>
      <c r="M378" s="43">
        <v>11.5</v>
      </c>
      <c r="N378" s="43">
        <v>5.3406541463998725</v>
      </c>
      <c r="O378" s="43">
        <v>7.1248198543861951</v>
      </c>
      <c r="P378" s="94"/>
      <c r="Q378" s="94"/>
      <c r="R378" s="94">
        <v>4</v>
      </c>
    </row>
    <row r="379" spans="1:18" ht="12.75" customHeight="1">
      <c r="A379" s="628" t="s">
        <v>681</v>
      </c>
      <c r="B379" s="629"/>
      <c r="C379" s="629"/>
      <c r="D379" s="629"/>
      <c r="E379" s="629"/>
      <c r="F379" s="629"/>
      <c r="G379" s="629"/>
      <c r="H379" s="629"/>
      <c r="I379" s="629"/>
      <c r="J379" s="629"/>
      <c r="K379" s="629"/>
      <c r="L379" s="629"/>
      <c r="M379" s="629"/>
      <c r="N379" s="629"/>
      <c r="O379" s="629"/>
      <c r="P379" s="629"/>
      <c r="Q379" s="629"/>
      <c r="R379" s="629"/>
    </row>
    <row r="380" spans="1:18" ht="24">
      <c r="A380" s="90">
        <v>153</v>
      </c>
      <c r="B380" s="87" t="s">
        <v>682</v>
      </c>
      <c r="C380" s="91" t="s">
        <v>683</v>
      </c>
      <c r="D380" s="92">
        <v>37965.46</v>
      </c>
      <c r="E380" s="92">
        <v>8031.51</v>
      </c>
      <c r="F380" s="92">
        <v>28094.95</v>
      </c>
      <c r="G380" s="92">
        <v>1839</v>
      </c>
      <c r="H380" s="93">
        <v>251721.5</v>
      </c>
      <c r="I380" s="93">
        <v>92365.86</v>
      </c>
      <c r="J380" s="93">
        <v>148664.59</v>
      </c>
      <c r="K380" s="93">
        <v>10691.05</v>
      </c>
      <c r="L380" s="43">
        <v>6.6302765724424253</v>
      </c>
      <c r="M380" s="43">
        <v>11.500435161009573</v>
      </c>
      <c r="N380" s="43">
        <v>5.2915057688303415</v>
      </c>
      <c r="O380" s="43">
        <v>5.8135127786840668</v>
      </c>
      <c r="P380" s="94"/>
      <c r="Q380" s="94"/>
      <c r="R380" s="94">
        <v>5</v>
      </c>
    </row>
    <row r="381" spans="1:18" ht="36">
      <c r="A381" s="90">
        <v>154</v>
      </c>
      <c r="B381" s="87" t="s">
        <v>684</v>
      </c>
      <c r="C381" s="91" t="s">
        <v>685</v>
      </c>
      <c r="D381" s="92">
        <v>40506.46</v>
      </c>
      <c r="E381" s="92">
        <v>8651.9699999999993</v>
      </c>
      <c r="F381" s="92">
        <v>29952.19</v>
      </c>
      <c r="G381" s="92">
        <v>1902.3</v>
      </c>
      <c r="H381" s="93">
        <v>269836.13</v>
      </c>
      <c r="I381" s="93">
        <v>99501.42</v>
      </c>
      <c r="J381" s="93">
        <v>159080.46</v>
      </c>
      <c r="K381" s="93">
        <v>11254.25</v>
      </c>
      <c r="L381" s="43">
        <v>6.6615579342159252</v>
      </c>
      <c r="M381" s="43">
        <v>11.500435161009575</v>
      </c>
      <c r="N381" s="43">
        <v>5.311146196655403</v>
      </c>
      <c r="O381" s="43">
        <v>5.9161278452399726</v>
      </c>
      <c r="P381" s="94"/>
      <c r="Q381" s="94"/>
      <c r="R381" s="94">
        <v>5</v>
      </c>
    </row>
    <row r="382" spans="1:18" ht="36">
      <c r="A382" s="90">
        <v>155</v>
      </c>
      <c r="B382" s="87" t="s">
        <v>686</v>
      </c>
      <c r="C382" s="91" t="s">
        <v>687</v>
      </c>
      <c r="D382" s="92">
        <v>43676.11</v>
      </c>
      <c r="E382" s="92">
        <v>9410.31</v>
      </c>
      <c r="F382" s="92">
        <v>32290.99</v>
      </c>
      <c r="G382" s="92">
        <v>1974.81</v>
      </c>
      <c r="H382" s="93">
        <v>292300.11</v>
      </c>
      <c r="I382" s="93">
        <v>108222.66</v>
      </c>
      <c r="J382" s="93">
        <v>172175.7</v>
      </c>
      <c r="K382" s="93">
        <v>11901.75</v>
      </c>
      <c r="L382" s="43">
        <v>6.6924483430415389</v>
      </c>
      <c r="M382" s="43">
        <v>11.500435161009575</v>
      </c>
      <c r="N382" s="43">
        <v>5.3320043764529981</v>
      </c>
      <c r="O382" s="43">
        <v>6.0267823233627542</v>
      </c>
      <c r="P382" s="94"/>
      <c r="Q382" s="94"/>
      <c r="R382" s="94">
        <v>5</v>
      </c>
    </row>
    <row r="383" spans="1:18" ht="24">
      <c r="A383" s="90">
        <v>156</v>
      </c>
      <c r="B383" s="87" t="s">
        <v>688</v>
      </c>
      <c r="C383" s="91" t="s">
        <v>689</v>
      </c>
      <c r="D383" s="92">
        <v>44278.86</v>
      </c>
      <c r="E383" s="92">
        <v>9594.15</v>
      </c>
      <c r="F383" s="92">
        <v>32691.4</v>
      </c>
      <c r="G383" s="92">
        <v>1993.31</v>
      </c>
      <c r="H383" s="93">
        <v>296827.63</v>
      </c>
      <c r="I383" s="93">
        <v>110336.9</v>
      </c>
      <c r="J383" s="93">
        <v>174423.95</v>
      </c>
      <c r="K383" s="93">
        <v>12066.78</v>
      </c>
      <c r="L383" s="43">
        <v>6.7035969309056282</v>
      </c>
      <c r="M383" s="43">
        <v>11.500435161009573</v>
      </c>
      <c r="N383" s="43">
        <v>5.3354689612558657</v>
      </c>
      <c r="O383" s="43">
        <v>6.0536394238728555</v>
      </c>
      <c r="P383" s="94"/>
      <c r="Q383" s="94"/>
      <c r="R383" s="94">
        <v>5</v>
      </c>
    </row>
    <row r="384" spans="1:18" ht="24">
      <c r="A384" s="90">
        <v>157</v>
      </c>
      <c r="B384" s="87" t="s">
        <v>690</v>
      </c>
      <c r="C384" s="91" t="s">
        <v>691</v>
      </c>
      <c r="D384" s="92">
        <v>45564.77</v>
      </c>
      <c r="E384" s="92">
        <v>9678.7199999999993</v>
      </c>
      <c r="F384" s="92">
        <v>33853.26</v>
      </c>
      <c r="G384" s="92">
        <v>2032.79</v>
      </c>
      <c r="H384" s="93">
        <v>304952.83</v>
      </c>
      <c r="I384" s="93">
        <v>111305.28</v>
      </c>
      <c r="J384" s="93">
        <v>181243.95</v>
      </c>
      <c r="K384" s="93">
        <v>12403.6</v>
      </c>
      <c r="L384" s="43">
        <v>6.6927327845614064</v>
      </c>
      <c r="M384" s="43">
        <v>11.5</v>
      </c>
      <c r="N384" s="43">
        <v>5.353810829444491</v>
      </c>
      <c r="O384" s="43">
        <v>6.1017616182684886</v>
      </c>
      <c r="P384" s="94"/>
      <c r="Q384" s="94"/>
      <c r="R384" s="94">
        <v>5</v>
      </c>
    </row>
    <row r="385" spans="1:18" ht="36">
      <c r="A385" s="90">
        <v>158</v>
      </c>
      <c r="B385" s="87" t="s">
        <v>692</v>
      </c>
      <c r="C385" s="91" t="s">
        <v>693</v>
      </c>
      <c r="D385" s="92">
        <v>48196.800000000003</v>
      </c>
      <c r="E385" s="92">
        <v>10337.6</v>
      </c>
      <c r="F385" s="92">
        <v>35756.71</v>
      </c>
      <c r="G385" s="92">
        <v>2102.4899999999998</v>
      </c>
      <c r="H385" s="93">
        <v>323174.77</v>
      </c>
      <c r="I385" s="93">
        <v>118882.4</v>
      </c>
      <c r="J385" s="93">
        <v>191271.63</v>
      </c>
      <c r="K385" s="93">
        <v>13020.74</v>
      </c>
      <c r="L385" s="43">
        <v>6.7053159130896658</v>
      </c>
      <c r="M385" s="43">
        <v>11.499999999999998</v>
      </c>
      <c r="N385" s="43">
        <v>5.349251371281083</v>
      </c>
      <c r="O385" s="43">
        <v>6.1930092414232654</v>
      </c>
      <c r="P385" s="94"/>
      <c r="Q385" s="94"/>
      <c r="R385" s="94">
        <v>5</v>
      </c>
    </row>
    <row r="386" spans="1:18" ht="36">
      <c r="A386" s="90">
        <v>159</v>
      </c>
      <c r="B386" s="87" t="s">
        <v>694</v>
      </c>
      <c r="C386" s="91" t="s">
        <v>695</v>
      </c>
      <c r="D386" s="92">
        <v>51027.94</v>
      </c>
      <c r="E386" s="92">
        <v>11121.44</v>
      </c>
      <c r="F386" s="92">
        <v>37727.839999999997</v>
      </c>
      <c r="G386" s="92">
        <v>2178.66</v>
      </c>
      <c r="H386" s="93">
        <v>343655.59</v>
      </c>
      <c r="I386" s="93">
        <v>127896.56</v>
      </c>
      <c r="J386" s="93">
        <v>202056.41</v>
      </c>
      <c r="K386" s="93">
        <v>13702.62</v>
      </c>
      <c r="L386" s="43">
        <v>6.7346553672360674</v>
      </c>
      <c r="M386" s="43">
        <v>11.5</v>
      </c>
      <c r="N386" s="43">
        <v>5.3556315442389497</v>
      </c>
      <c r="O386" s="43">
        <v>6.289471510010741</v>
      </c>
      <c r="P386" s="94"/>
      <c r="Q386" s="94"/>
      <c r="R386" s="94">
        <v>5</v>
      </c>
    </row>
    <row r="387" spans="1:18" ht="36">
      <c r="A387" s="90">
        <v>160</v>
      </c>
      <c r="B387" s="87" t="s">
        <v>696</v>
      </c>
      <c r="C387" s="91" t="s">
        <v>697</v>
      </c>
      <c r="D387" s="92">
        <v>53461.88</v>
      </c>
      <c r="E387" s="92">
        <v>11746.24</v>
      </c>
      <c r="F387" s="92">
        <v>39461.199999999997</v>
      </c>
      <c r="G387" s="92">
        <v>2254.44</v>
      </c>
      <c r="H387" s="93">
        <v>360977.38</v>
      </c>
      <c r="I387" s="93">
        <v>135081.76</v>
      </c>
      <c r="J387" s="93">
        <v>211522.84</v>
      </c>
      <c r="K387" s="93">
        <v>14372.78</v>
      </c>
      <c r="L387" s="43">
        <v>6.7520517422881507</v>
      </c>
      <c r="M387" s="43">
        <v>11.500000000000002</v>
      </c>
      <c r="N387" s="43">
        <v>5.3602738892887194</v>
      </c>
      <c r="O387" s="43">
        <v>6.375321587622647</v>
      </c>
      <c r="P387" s="94"/>
      <c r="Q387" s="94"/>
      <c r="R387" s="94">
        <v>5</v>
      </c>
    </row>
    <row r="388" spans="1:18" ht="36">
      <c r="A388" s="90">
        <v>161</v>
      </c>
      <c r="B388" s="87" t="s">
        <v>698</v>
      </c>
      <c r="C388" s="91" t="s">
        <v>699</v>
      </c>
      <c r="D388" s="92">
        <v>49567.03</v>
      </c>
      <c r="E388" s="92">
        <v>10553.44</v>
      </c>
      <c r="F388" s="92">
        <v>36849.83</v>
      </c>
      <c r="G388" s="92">
        <v>2163.7600000000002</v>
      </c>
      <c r="H388" s="93">
        <v>332427.77</v>
      </c>
      <c r="I388" s="93">
        <v>121364.56</v>
      </c>
      <c r="J388" s="93">
        <v>197496.74</v>
      </c>
      <c r="K388" s="93">
        <v>13566.47</v>
      </c>
      <c r="L388" s="43">
        <v>6.7066307987385976</v>
      </c>
      <c r="M388" s="43">
        <v>11.5</v>
      </c>
      <c r="N388" s="43">
        <v>5.3595020655454855</v>
      </c>
      <c r="O388" s="43">
        <v>6.2698589492365135</v>
      </c>
      <c r="P388" s="94"/>
      <c r="Q388" s="94"/>
      <c r="R388" s="94">
        <v>5</v>
      </c>
    </row>
    <row r="389" spans="1:18" ht="36">
      <c r="A389" s="90">
        <v>162</v>
      </c>
      <c r="B389" s="87" t="s">
        <v>700</v>
      </c>
      <c r="C389" s="91" t="s">
        <v>701</v>
      </c>
      <c r="D389" s="92">
        <v>51824.7</v>
      </c>
      <c r="E389" s="92">
        <v>11166.88</v>
      </c>
      <c r="F389" s="92">
        <v>38427.360000000001</v>
      </c>
      <c r="G389" s="92">
        <v>2230.46</v>
      </c>
      <c r="H389" s="93">
        <v>348666.47</v>
      </c>
      <c r="I389" s="93">
        <v>128419.12</v>
      </c>
      <c r="J389" s="93">
        <v>206087.44</v>
      </c>
      <c r="K389" s="93">
        <v>14159.91</v>
      </c>
      <c r="L389" s="43">
        <v>6.727804888402634</v>
      </c>
      <c r="M389" s="43">
        <v>11.5</v>
      </c>
      <c r="N389" s="43">
        <v>5.3630392512001865</v>
      </c>
      <c r="O389" s="43">
        <v>6.3484258852434028</v>
      </c>
      <c r="P389" s="94"/>
      <c r="Q389" s="94"/>
      <c r="R389" s="94">
        <v>5</v>
      </c>
    </row>
    <row r="390" spans="1:18" ht="24">
      <c r="A390" s="90">
        <v>163</v>
      </c>
      <c r="B390" s="87" t="s">
        <v>702</v>
      </c>
      <c r="C390" s="91" t="s">
        <v>703</v>
      </c>
      <c r="D390" s="92">
        <v>54456.11</v>
      </c>
      <c r="E390" s="92">
        <v>11825.76</v>
      </c>
      <c r="F390" s="92">
        <v>40330.18</v>
      </c>
      <c r="G390" s="92">
        <v>2300.17</v>
      </c>
      <c r="H390" s="93">
        <v>367435.14</v>
      </c>
      <c r="I390" s="93">
        <v>135996.24</v>
      </c>
      <c r="J390" s="93">
        <v>216661.84</v>
      </c>
      <c r="K390" s="93">
        <v>14777.06</v>
      </c>
      <c r="L390" s="43">
        <v>6.7473629680856755</v>
      </c>
      <c r="M390" s="43">
        <v>11.499999999999998</v>
      </c>
      <c r="N390" s="43">
        <v>5.3722011654795487</v>
      </c>
      <c r="O390" s="43">
        <v>6.4243338535847343</v>
      </c>
      <c r="P390" s="94"/>
      <c r="Q390" s="94"/>
      <c r="R390" s="94">
        <v>5</v>
      </c>
    </row>
    <row r="391" spans="1:18" ht="36">
      <c r="A391" s="90">
        <v>164</v>
      </c>
      <c r="B391" s="87" t="s">
        <v>704</v>
      </c>
      <c r="C391" s="91" t="s">
        <v>705</v>
      </c>
      <c r="D391" s="92">
        <v>58351.360000000001</v>
      </c>
      <c r="E391" s="92">
        <v>13200.32</v>
      </c>
      <c r="F391" s="92">
        <v>42786.69</v>
      </c>
      <c r="G391" s="92">
        <v>2364.35</v>
      </c>
      <c r="H391" s="93">
        <v>397180.39</v>
      </c>
      <c r="I391" s="93">
        <v>151803.68</v>
      </c>
      <c r="J391" s="93">
        <v>229964.45</v>
      </c>
      <c r="K391" s="93">
        <v>15412.26</v>
      </c>
      <c r="L391" s="43">
        <v>6.8067032199420892</v>
      </c>
      <c r="M391" s="43">
        <v>11.5</v>
      </c>
      <c r="N391" s="43">
        <v>5.3746725909389115</v>
      </c>
      <c r="O391" s="43">
        <v>6.5186034216592299</v>
      </c>
      <c r="P391" s="94"/>
      <c r="Q391" s="94"/>
      <c r="R391" s="94">
        <v>5</v>
      </c>
    </row>
    <row r="392" spans="1:18" ht="36">
      <c r="A392" s="90">
        <v>165</v>
      </c>
      <c r="B392" s="87" t="s">
        <v>706</v>
      </c>
      <c r="C392" s="91" t="s">
        <v>707</v>
      </c>
      <c r="D392" s="92">
        <v>52842.77</v>
      </c>
      <c r="E392" s="92">
        <v>11348.64</v>
      </c>
      <c r="F392" s="92">
        <v>39245.31</v>
      </c>
      <c r="G392" s="92">
        <v>2248.8200000000002</v>
      </c>
      <c r="H392" s="93">
        <v>355663.96</v>
      </c>
      <c r="I392" s="93">
        <v>130509.36</v>
      </c>
      <c r="J392" s="93">
        <v>210829.33</v>
      </c>
      <c r="K392" s="93">
        <v>14325.27</v>
      </c>
      <c r="L392" s="43">
        <v>6.7306078012185973</v>
      </c>
      <c r="M392" s="43">
        <v>11.5</v>
      </c>
      <c r="N392" s="43">
        <v>5.3720898114959468</v>
      </c>
      <c r="O392" s="43">
        <v>6.3701274446153979</v>
      </c>
      <c r="P392" s="94"/>
      <c r="Q392" s="94"/>
      <c r="R392" s="94">
        <v>5</v>
      </c>
    </row>
    <row r="393" spans="1:18" ht="24">
      <c r="A393" s="90">
        <v>166</v>
      </c>
      <c r="B393" s="87" t="s">
        <v>708</v>
      </c>
      <c r="C393" s="91" t="s">
        <v>709</v>
      </c>
      <c r="D393" s="92">
        <v>55496.800000000003</v>
      </c>
      <c r="E393" s="92">
        <v>11996.16</v>
      </c>
      <c r="F393" s="92">
        <v>41183.730000000003</v>
      </c>
      <c r="G393" s="92">
        <v>2316.91</v>
      </c>
      <c r="H393" s="93">
        <v>374487.76</v>
      </c>
      <c r="I393" s="93">
        <v>137955.84</v>
      </c>
      <c r="J393" s="93">
        <v>221601.2</v>
      </c>
      <c r="K393" s="93">
        <v>14930.72</v>
      </c>
      <c r="L393" s="43">
        <v>6.7479162762537657</v>
      </c>
      <c r="M393" s="43">
        <v>11.5</v>
      </c>
      <c r="N393" s="43">
        <v>5.3807947944491668</v>
      </c>
      <c r="O393" s="43">
        <v>6.4442382310922737</v>
      </c>
      <c r="P393" s="94"/>
      <c r="Q393" s="94"/>
      <c r="R393" s="94">
        <v>5</v>
      </c>
    </row>
    <row r="394" spans="1:18" ht="36">
      <c r="A394" s="90">
        <v>167</v>
      </c>
      <c r="B394" s="87" t="s">
        <v>710</v>
      </c>
      <c r="C394" s="91" t="s">
        <v>711</v>
      </c>
      <c r="D394" s="92">
        <v>59577.98</v>
      </c>
      <c r="E394" s="92">
        <v>13416.16</v>
      </c>
      <c r="F394" s="92">
        <v>43770.25</v>
      </c>
      <c r="G394" s="92">
        <v>2391.5700000000002</v>
      </c>
      <c r="H394" s="93">
        <v>405548.99</v>
      </c>
      <c r="I394" s="93">
        <v>154285.84</v>
      </c>
      <c r="J394" s="93">
        <v>235622.78</v>
      </c>
      <c r="K394" s="93">
        <v>15640.37</v>
      </c>
      <c r="L394" s="43">
        <v>6.8070282006875686</v>
      </c>
      <c r="M394" s="43">
        <v>11.5</v>
      </c>
      <c r="N394" s="43">
        <v>5.383171903290477</v>
      </c>
      <c r="O394" s="43">
        <v>6.5397918522142353</v>
      </c>
      <c r="P394" s="94"/>
      <c r="Q394" s="94"/>
      <c r="R394" s="94">
        <v>5</v>
      </c>
    </row>
    <row r="395" spans="1:18" ht="24">
      <c r="A395" s="90">
        <v>168</v>
      </c>
      <c r="B395" s="87" t="s">
        <v>712</v>
      </c>
      <c r="C395" s="91" t="s">
        <v>713</v>
      </c>
      <c r="D395" s="92">
        <v>303979.96999999997</v>
      </c>
      <c r="E395" s="92">
        <v>26184.799999999999</v>
      </c>
      <c r="F395" s="92">
        <v>274404.13</v>
      </c>
      <c r="G395" s="92">
        <v>3391.04</v>
      </c>
      <c r="H395" s="93">
        <v>1814950.91</v>
      </c>
      <c r="I395" s="93">
        <v>301125.2</v>
      </c>
      <c r="J395" s="93">
        <v>1489405.44</v>
      </c>
      <c r="K395" s="93">
        <v>24420.27</v>
      </c>
      <c r="L395" s="43">
        <v>5.9706266501704048</v>
      </c>
      <c r="M395" s="43">
        <v>11.5</v>
      </c>
      <c r="N395" s="43">
        <v>5.427780697032512</v>
      </c>
      <c r="O395" s="43">
        <v>7.201410186845334</v>
      </c>
      <c r="P395" s="94"/>
      <c r="Q395" s="94"/>
      <c r="R395" s="94">
        <v>5</v>
      </c>
    </row>
    <row r="396" spans="1:18" ht="24">
      <c r="A396" s="90">
        <v>169</v>
      </c>
      <c r="B396" s="87" t="s">
        <v>714</v>
      </c>
      <c r="C396" s="91" t="s">
        <v>715</v>
      </c>
      <c r="D396" s="92">
        <v>307835.03000000003</v>
      </c>
      <c r="E396" s="92">
        <v>26480.16</v>
      </c>
      <c r="F396" s="92">
        <v>277674.71999999997</v>
      </c>
      <c r="G396" s="92">
        <v>3680.15</v>
      </c>
      <c r="H396" s="93">
        <v>1838877.62</v>
      </c>
      <c r="I396" s="93">
        <v>304521.84000000003</v>
      </c>
      <c r="J396" s="93">
        <v>1507334.58</v>
      </c>
      <c r="K396" s="93">
        <v>27021.200000000001</v>
      </c>
      <c r="L396" s="43">
        <v>5.9735814341857063</v>
      </c>
      <c r="M396" s="43">
        <v>11.500000000000002</v>
      </c>
      <c r="N396" s="43">
        <v>5.4284184746814557</v>
      </c>
      <c r="O396" s="43">
        <v>7.3424181079575561</v>
      </c>
      <c r="P396" s="94"/>
      <c r="Q396" s="94"/>
      <c r="R396" s="94">
        <v>5</v>
      </c>
    </row>
    <row r="397" spans="1:18" ht="24">
      <c r="A397" s="90">
        <v>170</v>
      </c>
      <c r="B397" s="87" t="s">
        <v>716</v>
      </c>
      <c r="C397" s="91" t="s">
        <v>717</v>
      </c>
      <c r="D397" s="92">
        <v>311430.78999999998</v>
      </c>
      <c r="E397" s="92">
        <v>26741.439999999999</v>
      </c>
      <c r="F397" s="92">
        <v>280943.05</v>
      </c>
      <c r="G397" s="92">
        <v>3746.3</v>
      </c>
      <c r="H397" s="93">
        <v>1860364.46</v>
      </c>
      <c r="I397" s="93">
        <v>307526.56</v>
      </c>
      <c r="J397" s="93">
        <v>1525251.86</v>
      </c>
      <c r="K397" s="93">
        <v>27586.04</v>
      </c>
      <c r="L397" s="43">
        <v>5.9736047935401642</v>
      </c>
      <c r="M397" s="43">
        <v>11.5</v>
      </c>
      <c r="N397" s="43">
        <v>5.4290428611777379</v>
      </c>
      <c r="O397" s="43">
        <v>7.36354269545952</v>
      </c>
      <c r="P397" s="94"/>
      <c r="Q397" s="94"/>
      <c r="R397" s="94">
        <v>5</v>
      </c>
    </row>
    <row r="398" spans="1:18" ht="36">
      <c r="A398" s="90">
        <v>171</v>
      </c>
      <c r="B398" s="87" t="s">
        <v>718</v>
      </c>
      <c r="C398" s="91" t="s">
        <v>719</v>
      </c>
      <c r="D398" s="92">
        <v>54853.440000000002</v>
      </c>
      <c r="E398" s="92">
        <v>10892.52</v>
      </c>
      <c r="F398" s="92">
        <v>42030.48</v>
      </c>
      <c r="G398" s="92">
        <v>1930.44</v>
      </c>
      <c r="H398" s="93">
        <v>358340.05</v>
      </c>
      <c r="I398" s="93">
        <v>125268.72</v>
      </c>
      <c r="J398" s="93">
        <v>221553.59</v>
      </c>
      <c r="K398" s="93">
        <v>11517.74</v>
      </c>
      <c r="L398" s="43">
        <v>6.5326814507895943</v>
      </c>
      <c r="M398" s="43">
        <v>11.500435161009573</v>
      </c>
      <c r="N398" s="43">
        <v>5.271260047470312</v>
      </c>
      <c r="O398" s="43">
        <v>5.9663807214935449</v>
      </c>
      <c r="P398" s="94"/>
      <c r="Q398" s="94"/>
      <c r="R398" s="94">
        <v>5</v>
      </c>
    </row>
    <row r="399" spans="1:18" ht="36">
      <c r="A399" s="90">
        <v>172</v>
      </c>
      <c r="B399" s="87" t="s">
        <v>720</v>
      </c>
      <c r="C399" s="91" t="s">
        <v>721</v>
      </c>
      <c r="D399" s="92">
        <v>56976.56</v>
      </c>
      <c r="E399" s="92">
        <v>11512.98</v>
      </c>
      <c r="F399" s="92">
        <v>43433.45</v>
      </c>
      <c r="G399" s="92">
        <v>2030.13</v>
      </c>
      <c r="H399" s="93">
        <v>374285.63</v>
      </c>
      <c r="I399" s="93">
        <v>132404.28</v>
      </c>
      <c r="J399" s="93">
        <v>229499.24</v>
      </c>
      <c r="K399" s="93">
        <v>12382.11</v>
      </c>
      <c r="L399" s="43">
        <v>6.5691159662850831</v>
      </c>
      <c r="M399" s="43">
        <v>11.500435161009573</v>
      </c>
      <c r="N399" s="43">
        <v>5.2839284008062908</v>
      </c>
      <c r="O399" s="43">
        <v>6.0991709890499619</v>
      </c>
      <c r="P399" s="94"/>
      <c r="Q399" s="94"/>
      <c r="R399" s="94">
        <v>5</v>
      </c>
    </row>
    <row r="400" spans="1:18" ht="36">
      <c r="A400" s="90">
        <v>173</v>
      </c>
      <c r="B400" s="87" t="s">
        <v>722</v>
      </c>
      <c r="C400" s="91" t="s">
        <v>723</v>
      </c>
      <c r="D400" s="92">
        <v>60907.43</v>
      </c>
      <c r="E400" s="92">
        <v>12282.81</v>
      </c>
      <c r="F400" s="92">
        <v>46605.22</v>
      </c>
      <c r="G400" s="92">
        <v>2019.4</v>
      </c>
      <c r="H400" s="93">
        <v>400788.63</v>
      </c>
      <c r="I400" s="93">
        <v>141257.66</v>
      </c>
      <c r="J400" s="93">
        <v>247236.6</v>
      </c>
      <c r="K400" s="93">
        <v>12294.37</v>
      </c>
      <c r="L400" s="43">
        <v>6.5802912715246729</v>
      </c>
      <c r="M400" s="43">
        <v>11.500435161009575</v>
      </c>
      <c r="N400" s="43">
        <v>5.3049121965307746</v>
      </c>
      <c r="O400" s="43">
        <v>6.0881301376646526</v>
      </c>
      <c r="P400" s="94"/>
      <c r="Q400" s="94"/>
      <c r="R400" s="94">
        <v>5</v>
      </c>
    </row>
    <row r="401" spans="1:18" ht="36">
      <c r="A401" s="90">
        <v>174</v>
      </c>
      <c r="B401" s="87" t="s">
        <v>724</v>
      </c>
      <c r="C401" s="91" t="s">
        <v>725</v>
      </c>
      <c r="D401" s="92">
        <v>62529.88</v>
      </c>
      <c r="E401" s="92">
        <v>12811.35</v>
      </c>
      <c r="F401" s="92">
        <v>47615.67</v>
      </c>
      <c r="G401" s="92">
        <v>2102.86</v>
      </c>
      <c r="H401" s="93">
        <v>413165.1</v>
      </c>
      <c r="I401" s="93">
        <v>147336.1</v>
      </c>
      <c r="J401" s="93">
        <v>252811.06</v>
      </c>
      <c r="K401" s="93">
        <v>13017.94</v>
      </c>
      <c r="L401" s="43">
        <v>6.6074826946733305</v>
      </c>
      <c r="M401" s="43">
        <v>11.500435161009573</v>
      </c>
      <c r="N401" s="43">
        <v>5.3094088563701822</v>
      </c>
      <c r="O401" s="43">
        <v>6.1905880562662281</v>
      </c>
      <c r="P401" s="94"/>
      <c r="Q401" s="94"/>
      <c r="R401" s="94">
        <v>5</v>
      </c>
    </row>
    <row r="402" spans="1:18" ht="36">
      <c r="A402" s="90">
        <v>175</v>
      </c>
      <c r="B402" s="87" t="s">
        <v>726</v>
      </c>
      <c r="C402" s="91" t="s">
        <v>727</v>
      </c>
      <c r="D402" s="92">
        <v>75453.58</v>
      </c>
      <c r="E402" s="92">
        <v>16097.49</v>
      </c>
      <c r="F402" s="92">
        <v>57169.93</v>
      </c>
      <c r="G402" s="92">
        <v>2186.16</v>
      </c>
      <c r="H402" s="93">
        <v>502185.93</v>
      </c>
      <c r="I402" s="93">
        <v>185128.14</v>
      </c>
      <c r="J402" s="93">
        <v>303136.45</v>
      </c>
      <c r="K402" s="93">
        <v>13921.34</v>
      </c>
      <c r="L402" s="43">
        <v>6.6555613398330467</v>
      </c>
      <c r="M402" s="43">
        <v>11.500435161009575</v>
      </c>
      <c r="N402" s="43">
        <v>5.3023757419328659</v>
      </c>
      <c r="O402" s="43">
        <v>6.3679419621619653</v>
      </c>
      <c r="P402" s="94"/>
      <c r="Q402" s="94"/>
      <c r="R402" s="94">
        <v>5</v>
      </c>
    </row>
    <row r="403" spans="1:18" ht="36">
      <c r="A403" s="90">
        <v>176</v>
      </c>
      <c r="B403" s="87" t="s">
        <v>728</v>
      </c>
      <c r="C403" s="91" t="s">
        <v>729</v>
      </c>
      <c r="D403" s="92">
        <v>90171.83</v>
      </c>
      <c r="E403" s="92">
        <v>17315.43</v>
      </c>
      <c r="F403" s="92">
        <v>70603.44</v>
      </c>
      <c r="G403" s="92">
        <v>2252.96</v>
      </c>
      <c r="H403" s="93">
        <v>585282</v>
      </c>
      <c r="I403" s="93">
        <v>199134.98</v>
      </c>
      <c r="J403" s="93">
        <v>371595.89</v>
      </c>
      <c r="K403" s="93">
        <v>14551.13</v>
      </c>
      <c r="L403" s="43">
        <v>6.4907410662509566</v>
      </c>
      <c r="M403" s="43">
        <v>11.500435161009573</v>
      </c>
      <c r="N403" s="43">
        <v>5.2631414276698134</v>
      </c>
      <c r="O403" s="43">
        <v>6.4586721468645685</v>
      </c>
      <c r="P403" s="94"/>
      <c r="Q403" s="94"/>
      <c r="R403" s="94">
        <v>5</v>
      </c>
    </row>
    <row r="404" spans="1:18" ht="36">
      <c r="A404" s="90">
        <v>177</v>
      </c>
      <c r="B404" s="87" t="s">
        <v>730</v>
      </c>
      <c r="C404" s="91" t="s">
        <v>731</v>
      </c>
      <c r="D404" s="92">
        <v>94633.83</v>
      </c>
      <c r="E404" s="92">
        <v>17602.68</v>
      </c>
      <c r="F404" s="92">
        <v>74721.5</v>
      </c>
      <c r="G404" s="92">
        <v>2309.65</v>
      </c>
      <c r="H404" s="93">
        <v>611228.29</v>
      </c>
      <c r="I404" s="93">
        <v>202438.48</v>
      </c>
      <c r="J404" s="93">
        <v>393751.62</v>
      </c>
      <c r="K404" s="93">
        <v>15038.19</v>
      </c>
      <c r="L404" s="43">
        <v>6.4588772323808517</v>
      </c>
      <c r="M404" s="43">
        <v>11.500435161009573</v>
      </c>
      <c r="N404" s="43">
        <v>5.2695893417557196</v>
      </c>
      <c r="O404" s="43">
        <v>6.5110254800510896</v>
      </c>
      <c r="P404" s="94"/>
      <c r="Q404" s="94"/>
      <c r="R404" s="94">
        <v>5</v>
      </c>
    </row>
    <row r="405" spans="1:18" ht="36">
      <c r="A405" s="90">
        <v>178</v>
      </c>
      <c r="B405" s="87" t="s">
        <v>732</v>
      </c>
      <c r="C405" s="91" t="s">
        <v>733</v>
      </c>
      <c r="D405" s="92">
        <v>98243.03</v>
      </c>
      <c r="E405" s="92">
        <v>18452.939999999999</v>
      </c>
      <c r="F405" s="92">
        <v>77296.42</v>
      </c>
      <c r="G405" s="92">
        <v>2493.67</v>
      </c>
      <c r="H405" s="93">
        <v>635983.85</v>
      </c>
      <c r="I405" s="93">
        <v>212216.84</v>
      </c>
      <c r="J405" s="93">
        <v>407148.4</v>
      </c>
      <c r="K405" s="93">
        <v>16618.61</v>
      </c>
      <c r="L405" s="43">
        <v>6.4735773112861033</v>
      </c>
      <c r="M405" s="43">
        <v>11.500435161009575</v>
      </c>
      <c r="N405" s="43">
        <v>5.2673642582670714</v>
      </c>
      <c r="O405" s="43">
        <v>6.6643180533109838</v>
      </c>
      <c r="P405" s="94"/>
      <c r="Q405" s="94"/>
      <c r="R405" s="94">
        <v>5</v>
      </c>
    </row>
    <row r="406" spans="1:18" ht="12.75" customHeight="1">
      <c r="A406" s="628" t="s">
        <v>734</v>
      </c>
      <c r="B406" s="629"/>
      <c r="C406" s="629"/>
      <c r="D406" s="629"/>
      <c r="E406" s="629"/>
      <c r="F406" s="629"/>
      <c r="G406" s="629"/>
      <c r="H406" s="629"/>
      <c r="I406" s="629"/>
      <c r="J406" s="629"/>
      <c r="K406" s="629"/>
      <c r="L406" s="629"/>
      <c r="M406" s="629"/>
      <c r="N406" s="629"/>
      <c r="O406" s="629"/>
      <c r="P406" s="629"/>
      <c r="Q406" s="629"/>
      <c r="R406" s="629"/>
    </row>
    <row r="407" spans="1:18" ht="12.75" customHeight="1">
      <c r="A407" s="628" t="s">
        <v>735</v>
      </c>
      <c r="B407" s="629"/>
      <c r="C407" s="629"/>
      <c r="D407" s="629"/>
      <c r="E407" s="629"/>
      <c r="F407" s="629"/>
      <c r="G407" s="629"/>
      <c r="H407" s="629"/>
      <c r="I407" s="629"/>
      <c r="J407" s="629"/>
      <c r="K407" s="629"/>
      <c r="L407" s="629"/>
      <c r="M407" s="629"/>
      <c r="N407" s="629"/>
      <c r="O407" s="629"/>
      <c r="P407" s="629"/>
      <c r="Q407" s="629"/>
      <c r="R407" s="629"/>
    </row>
    <row r="408" spans="1:18" ht="36">
      <c r="A408" s="90">
        <v>179</v>
      </c>
      <c r="B408" s="87" t="s">
        <v>736</v>
      </c>
      <c r="C408" s="91" t="s">
        <v>737</v>
      </c>
      <c r="D408" s="92">
        <v>147563.48000000001</v>
      </c>
      <c r="E408" s="92">
        <v>30253.05</v>
      </c>
      <c r="F408" s="92">
        <v>114830.29</v>
      </c>
      <c r="G408" s="92">
        <v>2480.14</v>
      </c>
      <c r="H408" s="93">
        <v>984838.02</v>
      </c>
      <c r="I408" s="93">
        <v>347922.84</v>
      </c>
      <c r="J408" s="93">
        <v>615228.96</v>
      </c>
      <c r="K408" s="93">
        <v>21686.22</v>
      </c>
      <c r="L408" s="43">
        <v>6.6739956254758965</v>
      </c>
      <c r="M408" s="43">
        <v>11.500421940928272</v>
      </c>
      <c r="N408" s="43">
        <v>5.3577236459125901</v>
      </c>
      <c r="O408" s="43">
        <v>8.7439499383099353</v>
      </c>
      <c r="P408" s="94"/>
      <c r="Q408" s="94"/>
      <c r="R408" s="94">
        <v>1</v>
      </c>
    </row>
    <row r="409" spans="1:18" ht="36">
      <c r="A409" s="90">
        <v>180</v>
      </c>
      <c r="B409" s="87" t="s">
        <v>738</v>
      </c>
      <c r="C409" s="91" t="s">
        <v>739</v>
      </c>
      <c r="D409" s="92">
        <v>252836.26</v>
      </c>
      <c r="E409" s="92">
        <v>50753.55</v>
      </c>
      <c r="F409" s="92">
        <v>198738.54</v>
      </c>
      <c r="G409" s="92">
        <v>3344.17</v>
      </c>
      <c r="H409" s="93">
        <v>1673571.28</v>
      </c>
      <c r="I409" s="93">
        <v>583687.24</v>
      </c>
      <c r="J409" s="93">
        <v>1060865.6599999999</v>
      </c>
      <c r="K409" s="93">
        <v>29018.38</v>
      </c>
      <c r="L409" s="43">
        <v>6.6191901430593854</v>
      </c>
      <c r="M409" s="43">
        <v>11.50042194092827</v>
      </c>
      <c r="N409" s="43">
        <v>5.3379966462468724</v>
      </c>
      <c r="O409" s="43">
        <v>8.6773040844215465</v>
      </c>
      <c r="P409" s="94"/>
      <c r="Q409" s="94"/>
      <c r="R409" s="94">
        <v>1</v>
      </c>
    </row>
    <row r="410" spans="1:18" ht="12.75" customHeight="1">
      <c r="A410" s="628" t="s">
        <v>740</v>
      </c>
      <c r="B410" s="629"/>
      <c r="C410" s="629"/>
      <c r="D410" s="629"/>
      <c r="E410" s="629"/>
      <c r="F410" s="629"/>
      <c r="G410" s="629"/>
      <c r="H410" s="629"/>
      <c r="I410" s="629"/>
      <c r="J410" s="629"/>
      <c r="K410" s="629"/>
      <c r="L410" s="629"/>
      <c r="M410" s="629"/>
      <c r="N410" s="629"/>
      <c r="O410" s="629"/>
      <c r="P410" s="629"/>
      <c r="Q410" s="629"/>
      <c r="R410" s="629"/>
    </row>
    <row r="411" spans="1:18" ht="36">
      <c r="A411" s="90">
        <v>181</v>
      </c>
      <c r="B411" s="87" t="s">
        <v>741</v>
      </c>
      <c r="C411" s="91" t="s">
        <v>742</v>
      </c>
      <c r="D411" s="92">
        <v>200184.87</v>
      </c>
      <c r="E411" s="92">
        <v>38737.65</v>
      </c>
      <c r="F411" s="92">
        <v>157459.62</v>
      </c>
      <c r="G411" s="92">
        <v>3987.6</v>
      </c>
      <c r="H411" s="93">
        <v>1325699.71</v>
      </c>
      <c r="I411" s="93">
        <v>445499.32</v>
      </c>
      <c r="J411" s="93">
        <v>850888.04</v>
      </c>
      <c r="K411" s="93">
        <v>29312.35</v>
      </c>
      <c r="L411" s="43">
        <v>6.6223771556761504</v>
      </c>
      <c r="M411" s="43">
        <v>11.50042194092827</v>
      </c>
      <c r="N411" s="43">
        <v>5.4038491900336103</v>
      </c>
      <c r="O411" s="43">
        <v>7.3508752131607986</v>
      </c>
      <c r="P411" s="94"/>
      <c r="Q411" s="94"/>
      <c r="R411" s="94">
        <v>2</v>
      </c>
    </row>
    <row r="412" spans="1:18" ht="48">
      <c r="A412" s="90">
        <v>182</v>
      </c>
      <c r="B412" s="87" t="s">
        <v>743</v>
      </c>
      <c r="C412" s="91" t="s">
        <v>744</v>
      </c>
      <c r="D412" s="92">
        <v>275079.01</v>
      </c>
      <c r="E412" s="92">
        <v>52862.85</v>
      </c>
      <c r="F412" s="92">
        <v>213890.2</v>
      </c>
      <c r="G412" s="92">
        <v>8325.9599999999991</v>
      </c>
      <c r="H412" s="93">
        <v>1822446.03</v>
      </c>
      <c r="I412" s="93">
        <v>607945.07999999996</v>
      </c>
      <c r="J412" s="93">
        <v>1159870.31</v>
      </c>
      <c r="K412" s="93">
        <v>54630.64</v>
      </c>
      <c r="L412" s="43">
        <v>6.6251730002954421</v>
      </c>
      <c r="M412" s="43">
        <v>11.50042194092827</v>
      </c>
      <c r="N412" s="43">
        <v>5.4227370398456776</v>
      </c>
      <c r="O412" s="43">
        <v>6.5614823996271907</v>
      </c>
      <c r="P412" s="94"/>
      <c r="Q412" s="94"/>
      <c r="R412" s="94">
        <v>2</v>
      </c>
    </row>
    <row r="413" spans="1:18" ht="12.75" customHeight="1">
      <c r="A413" s="628" t="s">
        <v>745</v>
      </c>
      <c r="B413" s="629"/>
      <c r="C413" s="629"/>
      <c r="D413" s="629"/>
      <c r="E413" s="629"/>
      <c r="F413" s="629"/>
      <c r="G413" s="629"/>
      <c r="H413" s="629"/>
      <c r="I413" s="629"/>
      <c r="J413" s="629"/>
      <c r="K413" s="629"/>
      <c r="L413" s="629"/>
      <c r="M413" s="629"/>
      <c r="N413" s="629"/>
      <c r="O413" s="629"/>
      <c r="P413" s="629"/>
      <c r="Q413" s="629"/>
      <c r="R413" s="629"/>
    </row>
    <row r="414" spans="1:18" ht="36">
      <c r="A414" s="90">
        <v>183</v>
      </c>
      <c r="B414" s="87" t="s">
        <v>746</v>
      </c>
      <c r="C414" s="91" t="s">
        <v>747</v>
      </c>
      <c r="D414" s="92">
        <v>125261.53</v>
      </c>
      <c r="E414" s="92">
        <v>23107.5</v>
      </c>
      <c r="F414" s="92">
        <v>100101.56</v>
      </c>
      <c r="G414" s="92">
        <v>2052.4699999999998</v>
      </c>
      <c r="H414" s="93">
        <v>819506.12</v>
      </c>
      <c r="I414" s="93">
        <v>265746</v>
      </c>
      <c r="J414" s="93">
        <v>536353.43999999994</v>
      </c>
      <c r="K414" s="93">
        <v>17406.68</v>
      </c>
      <c r="L414" s="43">
        <v>6.5423607711002729</v>
      </c>
      <c r="M414" s="43">
        <v>11.50042194092827</v>
      </c>
      <c r="N414" s="43">
        <v>5.3580927210325191</v>
      </c>
      <c r="O414" s="43">
        <v>8.4808450306216425</v>
      </c>
      <c r="P414" s="94"/>
      <c r="Q414" s="94"/>
      <c r="R414" s="94">
        <v>3</v>
      </c>
    </row>
    <row r="415" spans="1:18" ht="12.75" customHeight="1">
      <c r="A415" s="628" t="s">
        <v>748</v>
      </c>
      <c r="B415" s="629"/>
      <c r="C415" s="629"/>
      <c r="D415" s="629"/>
      <c r="E415" s="629"/>
      <c r="F415" s="629"/>
      <c r="G415" s="629"/>
      <c r="H415" s="629"/>
      <c r="I415" s="629"/>
      <c r="J415" s="629"/>
      <c r="K415" s="629"/>
      <c r="L415" s="629"/>
      <c r="M415" s="629"/>
      <c r="N415" s="629"/>
      <c r="O415" s="629"/>
      <c r="P415" s="629"/>
      <c r="Q415" s="629"/>
      <c r="R415" s="629"/>
    </row>
    <row r="416" spans="1:18" ht="36">
      <c r="A416" s="90">
        <v>184</v>
      </c>
      <c r="B416" s="87" t="s">
        <v>749</v>
      </c>
      <c r="C416" s="91" t="s">
        <v>750</v>
      </c>
      <c r="D416" s="92">
        <v>37056.769999999997</v>
      </c>
      <c r="E416" s="92">
        <v>10269.6</v>
      </c>
      <c r="F416" s="92">
        <v>23597.88</v>
      </c>
      <c r="G416" s="92">
        <v>3189.29</v>
      </c>
      <c r="H416" s="93">
        <v>252360.46</v>
      </c>
      <c r="I416" s="93">
        <v>118104.8</v>
      </c>
      <c r="J416" s="93">
        <v>119535.08</v>
      </c>
      <c r="K416" s="93">
        <v>14720.58</v>
      </c>
      <c r="L416" s="43">
        <v>6.810104064655393</v>
      </c>
      <c r="M416" s="43">
        <v>11.500428449014567</v>
      </c>
      <c r="N416" s="43">
        <v>5.0655007992243366</v>
      </c>
      <c r="O416" s="43">
        <v>4.6156291839249493</v>
      </c>
      <c r="P416" s="94"/>
      <c r="Q416" s="94"/>
      <c r="R416" s="94">
        <v>4</v>
      </c>
    </row>
    <row r="417" spans="1:18" ht="36">
      <c r="A417" s="90">
        <v>185</v>
      </c>
      <c r="B417" s="87" t="s">
        <v>751</v>
      </c>
      <c r="C417" s="91" t="s">
        <v>752</v>
      </c>
      <c r="D417" s="92">
        <v>26091.43</v>
      </c>
      <c r="E417" s="92">
        <v>7772.22</v>
      </c>
      <c r="F417" s="92">
        <v>15221.47</v>
      </c>
      <c r="G417" s="92">
        <v>3097.74</v>
      </c>
      <c r="H417" s="93">
        <v>179966.31</v>
      </c>
      <c r="I417" s="93">
        <v>89383.86</v>
      </c>
      <c r="J417" s="93">
        <v>76962.3</v>
      </c>
      <c r="K417" s="93">
        <v>13620.15</v>
      </c>
      <c r="L417" s="43">
        <v>6.8975257392944735</v>
      </c>
      <c r="M417" s="43">
        <v>11.500428449014567</v>
      </c>
      <c r="N417" s="43">
        <v>5.0561673741103856</v>
      </c>
      <c r="O417" s="43">
        <v>4.3968021848186103</v>
      </c>
      <c r="P417" s="94"/>
      <c r="Q417" s="94"/>
      <c r="R417" s="94">
        <v>4</v>
      </c>
    </row>
    <row r="418" spans="1:18" ht="12.75" customHeight="1">
      <c r="A418" s="628" t="s">
        <v>753</v>
      </c>
      <c r="B418" s="629"/>
      <c r="C418" s="629"/>
      <c r="D418" s="629"/>
      <c r="E418" s="629"/>
      <c r="F418" s="629"/>
      <c r="G418" s="629"/>
      <c r="H418" s="629"/>
      <c r="I418" s="629"/>
      <c r="J418" s="629"/>
      <c r="K418" s="629"/>
      <c r="L418" s="629"/>
      <c r="M418" s="629"/>
      <c r="N418" s="629"/>
      <c r="O418" s="629"/>
      <c r="P418" s="629"/>
      <c r="Q418" s="629"/>
      <c r="R418" s="629"/>
    </row>
    <row r="419" spans="1:18" ht="36">
      <c r="A419" s="90">
        <v>186</v>
      </c>
      <c r="B419" s="87" t="s">
        <v>754</v>
      </c>
      <c r="C419" s="91" t="s">
        <v>755</v>
      </c>
      <c r="D419" s="92">
        <v>162034.34</v>
      </c>
      <c r="E419" s="92">
        <v>28961.4</v>
      </c>
      <c r="F419" s="92">
        <v>131594.23000000001</v>
      </c>
      <c r="G419" s="92">
        <v>1478.71</v>
      </c>
      <c r="H419" s="93">
        <v>1047796</v>
      </c>
      <c r="I419" s="93">
        <v>333068.32</v>
      </c>
      <c r="J419" s="93">
        <v>701412.74</v>
      </c>
      <c r="K419" s="93">
        <v>13314.94</v>
      </c>
      <c r="L419" s="43">
        <v>6.4665058036463137</v>
      </c>
      <c r="M419" s="43">
        <v>11.50042194092827</v>
      </c>
      <c r="N419" s="43">
        <v>5.3301177414845613</v>
      </c>
      <c r="O419" s="43">
        <v>9.0044295365555111</v>
      </c>
      <c r="P419" s="94"/>
      <c r="Q419" s="94"/>
      <c r="R419" s="94">
        <v>5</v>
      </c>
    </row>
    <row r="420" spans="1:18" ht="36">
      <c r="A420" s="90">
        <v>187</v>
      </c>
      <c r="B420" s="87" t="s">
        <v>756</v>
      </c>
      <c r="C420" s="91" t="s">
        <v>757</v>
      </c>
      <c r="D420" s="92">
        <v>273609.21999999997</v>
      </c>
      <c r="E420" s="92">
        <v>45419.64</v>
      </c>
      <c r="F420" s="92">
        <v>225118.47</v>
      </c>
      <c r="G420" s="92">
        <v>3071.11</v>
      </c>
      <c r="H420" s="93">
        <v>1756363.76</v>
      </c>
      <c r="I420" s="93">
        <v>522345.32</v>
      </c>
      <c r="J420" s="93">
        <v>1207342.6000000001</v>
      </c>
      <c r="K420" s="93">
        <v>26675.84</v>
      </c>
      <c r="L420" s="43">
        <v>6.4192418661914985</v>
      </c>
      <c r="M420" s="43">
        <v>11.500428449014567</v>
      </c>
      <c r="N420" s="43">
        <v>5.3631432374251657</v>
      </c>
      <c r="O420" s="43">
        <v>8.6860581353321766</v>
      </c>
      <c r="P420" s="94"/>
      <c r="Q420" s="94"/>
      <c r="R420" s="94">
        <v>5</v>
      </c>
    </row>
    <row r="421" spans="1:18" ht="36">
      <c r="A421" s="90">
        <v>188</v>
      </c>
      <c r="B421" s="87" t="s">
        <v>758</v>
      </c>
      <c r="C421" s="91" t="s">
        <v>759</v>
      </c>
      <c r="D421" s="92">
        <v>332896.11</v>
      </c>
      <c r="E421" s="92">
        <v>54650.61</v>
      </c>
      <c r="F421" s="92">
        <v>274521.90999999997</v>
      </c>
      <c r="G421" s="92">
        <v>3723.59</v>
      </c>
      <c r="H421" s="93">
        <v>2137354.9900000002</v>
      </c>
      <c r="I421" s="93">
        <v>628505.43000000005</v>
      </c>
      <c r="J421" s="93">
        <v>1476379.91</v>
      </c>
      <c r="K421" s="93">
        <v>32469.65</v>
      </c>
      <c r="L421" s="43">
        <v>6.4204865295662374</v>
      </c>
      <c r="M421" s="43">
        <v>11.500428449014569</v>
      </c>
      <c r="N421" s="43">
        <v>5.3780039268996784</v>
      </c>
      <c r="O421" s="43">
        <v>8.7199852830198807</v>
      </c>
      <c r="P421" s="94"/>
      <c r="Q421" s="94"/>
      <c r="R421" s="94">
        <v>5</v>
      </c>
    </row>
    <row r="422" spans="1:18" ht="36">
      <c r="A422" s="90">
        <v>189</v>
      </c>
      <c r="B422" s="87" t="s">
        <v>760</v>
      </c>
      <c r="C422" s="91" t="s">
        <v>761</v>
      </c>
      <c r="D422" s="92">
        <v>430603.72</v>
      </c>
      <c r="E422" s="92">
        <v>69739.92</v>
      </c>
      <c r="F422" s="92">
        <v>355760.92</v>
      </c>
      <c r="G422" s="92">
        <v>5102.88</v>
      </c>
      <c r="H422" s="93">
        <v>2761532.03</v>
      </c>
      <c r="I422" s="93">
        <v>802038.96</v>
      </c>
      <c r="J422" s="93">
        <v>1915739.74</v>
      </c>
      <c r="K422" s="93">
        <v>43753.33</v>
      </c>
      <c r="L422" s="43">
        <v>6.4131634301719451</v>
      </c>
      <c r="M422" s="43">
        <v>11.500428449014567</v>
      </c>
      <c r="N422" s="43">
        <v>5.3849077633372433</v>
      </c>
      <c r="O422" s="43">
        <v>8.5742423886119212</v>
      </c>
      <c r="P422" s="94"/>
      <c r="Q422" s="94"/>
      <c r="R422" s="94">
        <v>5</v>
      </c>
    </row>
    <row r="423" spans="1:18" ht="12.75" customHeight="1">
      <c r="A423" s="628" t="s">
        <v>762</v>
      </c>
      <c r="B423" s="629"/>
      <c r="C423" s="629"/>
      <c r="D423" s="629"/>
      <c r="E423" s="629"/>
      <c r="F423" s="629"/>
      <c r="G423" s="629"/>
      <c r="H423" s="629"/>
      <c r="I423" s="629"/>
      <c r="J423" s="629"/>
      <c r="K423" s="629"/>
      <c r="L423" s="629"/>
      <c r="M423" s="629"/>
      <c r="N423" s="629"/>
      <c r="O423" s="629"/>
      <c r="P423" s="629"/>
      <c r="Q423" s="629"/>
      <c r="R423" s="629"/>
    </row>
    <row r="424" spans="1:18" ht="36">
      <c r="A424" s="90">
        <v>190</v>
      </c>
      <c r="B424" s="87" t="s">
        <v>763</v>
      </c>
      <c r="C424" s="91" t="s">
        <v>764</v>
      </c>
      <c r="D424" s="92">
        <v>150928.65</v>
      </c>
      <c r="E424" s="92">
        <v>27471.18</v>
      </c>
      <c r="F424" s="92">
        <v>121495.14</v>
      </c>
      <c r="G424" s="92">
        <v>1962.33</v>
      </c>
      <c r="H424" s="93">
        <v>982579.15</v>
      </c>
      <c r="I424" s="93">
        <v>315930.34000000003</v>
      </c>
      <c r="J424" s="93">
        <v>649899.28</v>
      </c>
      <c r="K424" s="93">
        <v>16749.53</v>
      </c>
      <c r="L424" s="43">
        <v>6.5102228768361741</v>
      </c>
      <c r="M424" s="43">
        <v>11.500428449014569</v>
      </c>
      <c r="N424" s="43">
        <v>5.3491792346590987</v>
      </c>
      <c r="O424" s="43">
        <v>8.5355317403290982</v>
      </c>
      <c r="P424" s="94"/>
      <c r="Q424" s="94"/>
      <c r="R424" s="94">
        <v>6</v>
      </c>
    </row>
    <row r="425" spans="1:18" ht="12.75" customHeight="1">
      <c r="A425" s="628" t="s">
        <v>765</v>
      </c>
      <c r="B425" s="629"/>
      <c r="C425" s="629"/>
      <c r="D425" s="629"/>
      <c r="E425" s="629"/>
      <c r="F425" s="629"/>
      <c r="G425" s="629"/>
      <c r="H425" s="629"/>
      <c r="I425" s="629"/>
      <c r="J425" s="629"/>
      <c r="K425" s="629"/>
      <c r="L425" s="629"/>
      <c r="M425" s="629"/>
      <c r="N425" s="629"/>
      <c r="O425" s="629"/>
      <c r="P425" s="629"/>
      <c r="Q425" s="629"/>
      <c r="R425" s="629"/>
    </row>
    <row r="426" spans="1:18" ht="12.75" customHeight="1">
      <c r="A426" s="628" t="s">
        <v>766</v>
      </c>
      <c r="B426" s="629"/>
      <c r="C426" s="629"/>
      <c r="D426" s="629"/>
      <c r="E426" s="629"/>
      <c r="F426" s="629"/>
      <c r="G426" s="629"/>
      <c r="H426" s="629"/>
      <c r="I426" s="629"/>
      <c r="J426" s="629"/>
      <c r="K426" s="629"/>
      <c r="L426" s="629"/>
      <c r="M426" s="629"/>
      <c r="N426" s="629"/>
      <c r="O426" s="629"/>
      <c r="P426" s="629"/>
      <c r="Q426" s="629"/>
      <c r="R426" s="629"/>
    </row>
    <row r="427" spans="1:18" ht="36">
      <c r="A427" s="90">
        <v>191</v>
      </c>
      <c r="B427" s="87" t="s">
        <v>767</v>
      </c>
      <c r="C427" s="91" t="s">
        <v>768</v>
      </c>
      <c r="D427" s="92">
        <v>3329300.44</v>
      </c>
      <c r="E427" s="92">
        <v>297674.52</v>
      </c>
      <c r="F427" s="92">
        <v>1417377.21</v>
      </c>
      <c r="G427" s="92">
        <v>1614248.71</v>
      </c>
      <c r="H427" s="93">
        <v>17706838.640000001</v>
      </c>
      <c r="I427" s="93">
        <v>3423256.98</v>
      </c>
      <c r="J427" s="93">
        <v>7823287.5700000003</v>
      </c>
      <c r="K427" s="93">
        <v>6460294.0899999999</v>
      </c>
      <c r="L427" s="43">
        <v>5.3184862583323964</v>
      </c>
      <c r="M427" s="43">
        <v>11.5</v>
      </c>
      <c r="N427" s="43">
        <v>5.5195522510200377</v>
      </c>
      <c r="O427" s="43">
        <v>4.002043830036575</v>
      </c>
      <c r="P427" s="94"/>
      <c r="Q427" s="94"/>
      <c r="R427" s="94">
        <v>1</v>
      </c>
    </row>
    <row r="428" spans="1:18" ht="12.75" customHeight="1">
      <c r="A428" s="628" t="s">
        <v>769</v>
      </c>
      <c r="B428" s="629"/>
      <c r="C428" s="629"/>
      <c r="D428" s="629"/>
      <c r="E428" s="629"/>
      <c r="F428" s="629"/>
      <c r="G428" s="629"/>
      <c r="H428" s="629"/>
      <c r="I428" s="629"/>
      <c r="J428" s="629"/>
      <c r="K428" s="629"/>
      <c r="L428" s="629"/>
      <c r="M428" s="629"/>
      <c r="N428" s="629"/>
      <c r="O428" s="629"/>
      <c r="P428" s="629"/>
      <c r="Q428" s="629"/>
      <c r="R428" s="629"/>
    </row>
    <row r="429" spans="1:18" ht="24">
      <c r="A429" s="90">
        <v>192</v>
      </c>
      <c r="B429" s="87" t="s">
        <v>770</v>
      </c>
      <c r="C429" s="91" t="s">
        <v>771</v>
      </c>
      <c r="D429" s="92">
        <v>879551.41</v>
      </c>
      <c r="E429" s="92">
        <v>80954.789999999994</v>
      </c>
      <c r="F429" s="92">
        <v>617895.99</v>
      </c>
      <c r="G429" s="92">
        <v>180700.63</v>
      </c>
      <c r="H429" s="93">
        <v>4955964.93</v>
      </c>
      <c r="I429" s="93">
        <v>931014.77</v>
      </c>
      <c r="J429" s="93">
        <v>3336412.48</v>
      </c>
      <c r="K429" s="93">
        <v>688537.68</v>
      </c>
      <c r="L429" s="43">
        <v>5.6346506567478523</v>
      </c>
      <c r="M429" s="43">
        <v>11.500428449014569</v>
      </c>
      <c r="N429" s="43">
        <v>5.3996344595147798</v>
      </c>
      <c r="O429" s="43">
        <v>3.810377860885156</v>
      </c>
      <c r="P429" s="94"/>
      <c r="Q429" s="94"/>
      <c r="R429" s="94">
        <v>2</v>
      </c>
    </row>
    <row r="430" spans="1:18" ht="24">
      <c r="A430" s="90">
        <v>193</v>
      </c>
      <c r="B430" s="87" t="s">
        <v>772</v>
      </c>
      <c r="C430" s="91" t="s">
        <v>773</v>
      </c>
      <c r="D430" s="92">
        <v>2026966.73</v>
      </c>
      <c r="E430" s="92">
        <v>110679</v>
      </c>
      <c r="F430" s="92">
        <v>1604242.48</v>
      </c>
      <c r="G430" s="92">
        <v>312045.25</v>
      </c>
      <c r="H430" s="93">
        <v>11140136.83</v>
      </c>
      <c r="I430" s="93">
        <v>1272855.2</v>
      </c>
      <c r="J430" s="93">
        <v>8749308.4199999999</v>
      </c>
      <c r="K430" s="93">
        <v>1117973.21</v>
      </c>
      <c r="L430" s="43">
        <v>5.4959643220192369</v>
      </c>
      <c r="M430" s="43">
        <v>11.50042194092827</v>
      </c>
      <c r="N430" s="43">
        <v>5.4538565890612745</v>
      </c>
      <c r="O430" s="43">
        <v>3.5827278575783481</v>
      </c>
      <c r="P430" s="94"/>
      <c r="Q430" s="94"/>
      <c r="R430" s="94">
        <v>2</v>
      </c>
    </row>
    <row r="431" spans="1:18" ht="12.75" customHeight="1">
      <c r="A431" s="628" t="s">
        <v>774</v>
      </c>
      <c r="B431" s="629"/>
      <c r="C431" s="629"/>
      <c r="D431" s="629"/>
      <c r="E431" s="629"/>
      <c r="F431" s="629"/>
      <c r="G431" s="629"/>
      <c r="H431" s="629"/>
      <c r="I431" s="629"/>
      <c r="J431" s="629"/>
      <c r="K431" s="629"/>
      <c r="L431" s="629"/>
      <c r="M431" s="629"/>
      <c r="N431" s="629"/>
      <c r="O431" s="629"/>
      <c r="P431" s="629"/>
      <c r="Q431" s="629"/>
      <c r="R431" s="629"/>
    </row>
    <row r="432" spans="1:18" ht="12.75" customHeight="1">
      <c r="A432" s="628" t="s">
        <v>775</v>
      </c>
      <c r="B432" s="629"/>
      <c r="C432" s="629"/>
      <c r="D432" s="629"/>
      <c r="E432" s="629"/>
      <c r="F432" s="629"/>
      <c r="G432" s="629"/>
      <c r="H432" s="629"/>
      <c r="I432" s="629"/>
      <c r="J432" s="629"/>
      <c r="K432" s="629"/>
      <c r="L432" s="629"/>
      <c r="M432" s="629"/>
      <c r="N432" s="629"/>
      <c r="O432" s="629"/>
      <c r="P432" s="629"/>
      <c r="Q432" s="629"/>
      <c r="R432" s="629"/>
    </row>
    <row r="433" spans="1:18" ht="36">
      <c r="A433" s="90">
        <v>194</v>
      </c>
      <c r="B433" s="87" t="s">
        <v>776</v>
      </c>
      <c r="C433" s="91" t="s">
        <v>777</v>
      </c>
      <c r="D433" s="92">
        <v>185082.51</v>
      </c>
      <c r="E433" s="92">
        <v>15264.36</v>
      </c>
      <c r="F433" s="92">
        <v>139884.85</v>
      </c>
      <c r="G433" s="92">
        <v>29933.3</v>
      </c>
      <c r="H433" s="93">
        <v>1075533.8</v>
      </c>
      <c r="I433" s="93">
        <v>175546.68</v>
      </c>
      <c r="J433" s="93">
        <v>782890.52</v>
      </c>
      <c r="K433" s="93">
        <v>117096.6</v>
      </c>
      <c r="L433" s="43">
        <v>5.8111044636254396</v>
      </c>
      <c r="M433" s="43">
        <v>11.500428449014567</v>
      </c>
      <c r="N433" s="43">
        <v>5.5966784108500667</v>
      </c>
      <c r="O433" s="43">
        <v>3.9119174965673684</v>
      </c>
      <c r="P433" s="94"/>
      <c r="Q433" s="94"/>
      <c r="R433" s="94">
        <v>1</v>
      </c>
    </row>
    <row r="434" spans="1:18" ht="36">
      <c r="A434" s="90">
        <v>195</v>
      </c>
      <c r="B434" s="87" t="s">
        <v>778</v>
      </c>
      <c r="C434" s="91" t="s">
        <v>779</v>
      </c>
      <c r="D434" s="92">
        <v>304378.78999999998</v>
      </c>
      <c r="E434" s="92">
        <v>22067.97</v>
      </c>
      <c r="F434" s="92">
        <v>242640.17</v>
      </c>
      <c r="G434" s="92">
        <v>39670.65</v>
      </c>
      <c r="H434" s="93">
        <v>1778823.72</v>
      </c>
      <c r="I434" s="93">
        <v>253791.11</v>
      </c>
      <c r="J434" s="93">
        <v>1370622.65</v>
      </c>
      <c r="K434" s="93">
        <v>154409.96</v>
      </c>
      <c r="L434" s="43">
        <v>5.844111936971693</v>
      </c>
      <c r="M434" s="43">
        <v>11.500428449014565</v>
      </c>
      <c r="N434" s="43">
        <v>5.6487870495639685</v>
      </c>
      <c r="O434" s="43">
        <v>3.8922972020876894</v>
      </c>
      <c r="P434" s="94"/>
      <c r="Q434" s="94"/>
      <c r="R434" s="94">
        <v>1</v>
      </c>
    </row>
    <row r="435" spans="1:18" ht="36">
      <c r="A435" s="90">
        <v>196</v>
      </c>
      <c r="B435" s="87" t="s">
        <v>780</v>
      </c>
      <c r="C435" s="91" t="s">
        <v>781</v>
      </c>
      <c r="D435" s="92">
        <v>328457.32</v>
      </c>
      <c r="E435" s="92">
        <v>23900.16</v>
      </c>
      <c r="F435" s="92">
        <v>257652.62</v>
      </c>
      <c r="G435" s="92">
        <v>46904.54</v>
      </c>
      <c r="H435" s="93">
        <v>1913167.98</v>
      </c>
      <c r="I435" s="93">
        <v>274862.08000000002</v>
      </c>
      <c r="J435" s="93">
        <v>1455812.49</v>
      </c>
      <c r="K435" s="93">
        <v>182493.41</v>
      </c>
      <c r="L435" s="43">
        <v>5.8247080016362549</v>
      </c>
      <c r="M435" s="43">
        <v>11.500428449014567</v>
      </c>
      <c r="N435" s="43">
        <v>5.6502918153908155</v>
      </c>
      <c r="O435" s="43">
        <v>3.8907408536572365</v>
      </c>
      <c r="P435" s="94"/>
      <c r="Q435" s="94"/>
      <c r="R435" s="94">
        <v>1</v>
      </c>
    </row>
    <row r="436" spans="1:18" ht="36">
      <c r="A436" s="90">
        <v>197</v>
      </c>
      <c r="B436" s="87" t="s">
        <v>782</v>
      </c>
      <c r="C436" s="91" t="s">
        <v>783</v>
      </c>
      <c r="D436" s="92">
        <v>317964.12</v>
      </c>
      <c r="E436" s="92">
        <v>25592.31</v>
      </c>
      <c r="F436" s="92">
        <v>253806.18</v>
      </c>
      <c r="G436" s="92">
        <v>38565.629999999997</v>
      </c>
      <c r="H436" s="93">
        <v>1878602.92</v>
      </c>
      <c r="I436" s="93">
        <v>294322.53000000003</v>
      </c>
      <c r="J436" s="93">
        <v>1433838.53</v>
      </c>
      <c r="K436" s="93">
        <v>150441.85999999999</v>
      </c>
      <c r="L436" s="43">
        <v>5.9082229781146376</v>
      </c>
      <c r="M436" s="43">
        <v>11.500428449014567</v>
      </c>
      <c r="N436" s="43">
        <v>5.6493444328266555</v>
      </c>
      <c r="O436" s="43">
        <v>3.9009309584726086</v>
      </c>
      <c r="P436" s="94"/>
      <c r="Q436" s="94"/>
      <c r="R436" s="94">
        <v>1</v>
      </c>
    </row>
    <row r="437" spans="1:18" ht="36">
      <c r="A437" s="90">
        <v>198</v>
      </c>
      <c r="B437" s="87" t="s">
        <v>784</v>
      </c>
      <c r="C437" s="91" t="s">
        <v>785</v>
      </c>
      <c r="D437" s="92">
        <v>1415429.04</v>
      </c>
      <c r="E437" s="92">
        <v>55082.400000000001</v>
      </c>
      <c r="F437" s="92">
        <v>1241796.5900000001</v>
      </c>
      <c r="G437" s="92">
        <v>118550.05</v>
      </c>
      <c r="H437" s="93">
        <v>7907406.2699999996</v>
      </c>
      <c r="I437" s="93">
        <v>633471.19999999995</v>
      </c>
      <c r="J437" s="93">
        <v>6818009.7199999997</v>
      </c>
      <c r="K437" s="93">
        <v>455925.35</v>
      </c>
      <c r="L437" s="43">
        <v>5.586579084176484</v>
      </c>
      <c r="M437" s="43">
        <v>11.500428449014565</v>
      </c>
      <c r="N437" s="43">
        <v>5.4904400405866784</v>
      </c>
      <c r="O437" s="43">
        <v>3.8458469650582177</v>
      </c>
      <c r="P437" s="94"/>
      <c r="Q437" s="94"/>
      <c r="R437" s="94">
        <v>1</v>
      </c>
    </row>
    <row r="438" spans="1:18" ht="12.75" customHeight="1">
      <c r="A438" s="628" t="s">
        <v>786</v>
      </c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</row>
    <row r="439" spans="1:18" ht="36">
      <c r="A439" s="90">
        <v>199</v>
      </c>
      <c r="B439" s="87" t="s">
        <v>787</v>
      </c>
      <c r="C439" s="91" t="s">
        <v>788</v>
      </c>
      <c r="D439" s="92">
        <v>5298.97</v>
      </c>
      <c r="E439" s="92">
        <v>603.05999999999995</v>
      </c>
      <c r="F439" s="92">
        <v>814.15</v>
      </c>
      <c r="G439" s="92">
        <v>3881.76</v>
      </c>
      <c r="H439" s="93">
        <v>24309.35</v>
      </c>
      <c r="I439" s="93">
        <v>6935.19</v>
      </c>
      <c r="J439" s="93">
        <v>5507.97</v>
      </c>
      <c r="K439" s="93">
        <v>11866.19</v>
      </c>
      <c r="L439" s="43">
        <v>4.5875613562635751</v>
      </c>
      <c r="M439" s="43">
        <v>11.5</v>
      </c>
      <c r="N439" s="43">
        <v>6.7653012344162633</v>
      </c>
      <c r="O439" s="43">
        <v>3.0569097522773174</v>
      </c>
      <c r="P439" s="94"/>
      <c r="Q439" s="94"/>
      <c r="R439" s="94">
        <v>2</v>
      </c>
    </row>
    <row r="440" spans="1:18" ht="36">
      <c r="A440" s="90">
        <v>200</v>
      </c>
      <c r="B440" s="87" t="s">
        <v>789</v>
      </c>
      <c r="C440" s="91" t="s">
        <v>790</v>
      </c>
      <c r="D440" s="92">
        <v>6370.01</v>
      </c>
      <c r="E440" s="92">
        <v>1156.68</v>
      </c>
      <c r="F440" s="92">
        <v>1320.5</v>
      </c>
      <c r="G440" s="92">
        <v>3892.83</v>
      </c>
      <c r="H440" s="93">
        <v>34229.519999999997</v>
      </c>
      <c r="I440" s="93">
        <v>13302.36</v>
      </c>
      <c r="J440" s="93">
        <v>8933.66</v>
      </c>
      <c r="K440" s="93">
        <v>11993.5</v>
      </c>
      <c r="L440" s="43">
        <v>5.3735425847055183</v>
      </c>
      <c r="M440" s="43">
        <v>11.50046685340803</v>
      </c>
      <c r="N440" s="43">
        <v>6.7653616054524797</v>
      </c>
      <c r="O440" s="43">
        <v>3.0809205642167781</v>
      </c>
      <c r="P440" s="94"/>
      <c r="Q440" s="94"/>
      <c r="R440" s="94">
        <v>2</v>
      </c>
    </row>
    <row r="441" spans="1:18" ht="36">
      <c r="A441" s="90">
        <v>201</v>
      </c>
      <c r="B441" s="87" t="s">
        <v>791</v>
      </c>
      <c r="C441" s="91" t="s">
        <v>792</v>
      </c>
      <c r="D441" s="92">
        <v>10678.43</v>
      </c>
      <c r="E441" s="92">
        <v>1469.98</v>
      </c>
      <c r="F441" s="92">
        <v>1439.65</v>
      </c>
      <c r="G441" s="92">
        <v>7768.8</v>
      </c>
      <c r="H441" s="93">
        <v>50438.25</v>
      </c>
      <c r="I441" s="93">
        <v>16905.439999999999</v>
      </c>
      <c r="J441" s="93">
        <v>9739.7099999999991</v>
      </c>
      <c r="K441" s="93">
        <v>23793.1</v>
      </c>
      <c r="L441" s="43">
        <v>4.7233769383701532</v>
      </c>
      <c r="M441" s="43">
        <v>11.500455788514129</v>
      </c>
      <c r="N441" s="43">
        <v>6.7653318514916814</v>
      </c>
      <c r="O441" s="43">
        <v>3.0626480280094737</v>
      </c>
      <c r="P441" s="94"/>
      <c r="Q441" s="94"/>
      <c r="R441" s="94">
        <v>2</v>
      </c>
    </row>
    <row r="442" spans="1:18" ht="36">
      <c r="A442" s="90">
        <v>202</v>
      </c>
      <c r="B442" s="87" t="s">
        <v>793</v>
      </c>
      <c r="C442" s="91" t="s">
        <v>794</v>
      </c>
      <c r="D442" s="92">
        <v>12768.79</v>
      </c>
      <c r="E442" s="92">
        <v>1689.38</v>
      </c>
      <c r="F442" s="92">
        <v>3306.22</v>
      </c>
      <c r="G442" s="92">
        <v>7773.19</v>
      </c>
      <c r="H442" s="93">
        <v>65639.97</v>
      </c>
      <c r="I442" s="93">
        <v>19428.64</v>
      </c>
      <c r="J442" s="93">
        <v>22367.74</v>
      </c>
      <c r="K442" s="93">
        <v>23843.59</v>
      </c>
      <c r="L442" s="43">
        <v>5.1406570238840166</v>
      </c>
      <c r="M442" s="43">
        <v>11.500455788514129</v>
      </c>
      <c r="N442" s="43">
        <v>6.7653513680275372</v>
      </c>
      <c r="O442" s="43">
        <v>3.067413764490512</v>
      </c>
      <c r="P442" s="94"/>
      <c r="Q442" s="94"/>
      <c r="R442" s="94">
        <v>2</v>
      </c>
    </row>
    <row r="443" spans="1:18" ht="12.75" customHeight="1">
      <c r="A443" s="628" t="s">
        <v>795</v>
      </c>
      <c r="B443" s="629"/>
      <c r="C443" s="629"/>
      <c r="D443" s="629"/>
      <c r="E443" s="629"/>
      <c r="F443" s="629"/>
      <c r="G443" s="629"/>
      <c r="H443" s="629"/>
      <c r="I443" s="629"/>
      <c r="J443" s="629"/>
      <c r="K443" s="629"/>
      <c r="L443" s="629"/>
      <c r="M443" s="629"/>
      <c r="N443" s="629"/>
      <c r="O443" s="629"/>
      <c r="P443" s="629"/>
      <c r="Q443" s="629"/>
      <c r="R443" s="629"/>
    </row>
    <row r="444" spans="1:18" ht="36">
      <c r="A444" s="90">
        <v>203</v>
      </c>
      <c r="B444" s="87" t="s">
        <v>796</v>
      </c>
      <c r="C444" s="91" t="s">
        <v>797</v>
      </c>
      <c r="D444" s="92">
        <v>20615.169999999998</v>
      </c>
      <c r="E444" s="92">
        <v>2516.31</v>
      </c>
      <c r="F444" s="92">
        <v>3545.15</v>
      </c>
      <c r="G444" s="92">
        <v>14553.71</v>
      </c>
      <c r="H444" s="93">
        <v>129430.76</v>
      </c>
      <c r="I444" s="93">
        <v>28938.66</v>
      </c>
      <c r="J444" s="93">
        <v>20031.62</v>
      </c>
      <c r="K444" s="93">
        <v>80460.479999999996</v>
      </c>
      <c r="L444" s="43">
        <v>6.2784231223899685</v>
      </c>
      <c r="M444" s="43">
        <v>11.500435161009573</v>
      </c>
      <c r="N444" s="43">
        <v>5.6504294599664329</v>
      </c>
      <c r="O444" s="43">
        <v>5.5285202192430658</v>
      </c>
      <c r="P444" s="94"/>
      <c r="Q444" s="94"/>
      <c r="R444" s="94">
        <v>3</v>
      </c>
    </row>
    <row r="445" spans="1:18" ht="36">
      <c r="A445" s="90">
        <v>204</v>
      </c>
      <c r="B445" s="87" t="s">
        <v>798</v>
      </c>
      <c r="C445" s="91" t="s">
        <v>799</v>
      </c>
      <c r="D445" s="92">
        <v>22880.91</v>
      </c>
      <c r="E445" s="92">
        <v>3147.2</v>
      </c>
      <c r="F445" s="92">
        <v>5167.3900000000003</v>
      </c>
      <c r="G445" s="92">
        <v>14566.32</v>
      </c>
      <c r="H445" s="93">
        <v>146190.51999999999</v>
      </c>
      <c r="I445" s="93">
        <v>36192.800000000003</v>
      </c>
      <c r="J445" s="93">
        <v>29392.23</v>
      </c>
      <c r="K445" s="93">
        <v>80605.490000000005</v>
      </c>
      <c r="L445" s="43">
        <v>6.389191688617279</v>
      </c>
      <c r="M445" s="43">
        <v>11.500000000000002</v>
      </c>
      <c r="N445" s="43">
        <v>5.6880223865433033</v>
      </c>
      <c r="O445" s="43">
        <v>5.5336893601129189</v>
      </c>
      <c r="P445" s="94"/>
      <c r="Q445" s="94"/>
      <c r="R445" s="94">
        <v>3</v>
      </c>
    </row>
    <row r="446" spans="1:18" ht="36">
      <c r="A446" s="90">
        <v>205</v>
      </c>
      <c r="B446" s="87" t="s">
        <v>800</v>
      </c>
      <c r="C446" s="91" t="s">
        <v>801</v>
      </c>
      <c r="D446" s="92">
        <v>27202.400000000001</v>
      </c>
      <c r="E446" s="92">
        <v>3563.08</v>
      </c>
      <c r="F446" s="92">
        <v>6039.48</v>
      </c>
      <c r="G446" s="92">
        <v>17599.84</v>
      </c>
      <c r="H446" s="93">
        <v>167020.56</v>
      </c>
      <c r="I446" s="93">
        <v>40975.42</v>
      </c>
      <c r="J446" s="93">
        <v>34214.269999999997</v>
      </c>
      <c r="K446" s="93">
        <v>91830.87</v>
      </c>
      <c r="L446" s="43">
        <v>6.1399200070582003</v>
      </c>
      <c r="M446" s="43">
        <v>11.5</v>
      </c>
      <c r="N446" s="43">
        <v>5.6651019624206054</v>
      </c>
      <c r="O446" s="43">
        <v>5.2177105019136532</v>
      </c>
      <c r="P446" s="94"/>
      <c r="Q446" s="94"/>
      <c r="R446" s="94">
        <v>3</v>
      </c>
    </row>
    <row r="447" spans="1:18" ht="36">
      <c r="A447" s="90">
        <v>206</v>
      </c>
      <c r="B447" s="87" t="s">
        <v>802</v>
      </c>
      <c r="C447" s="91" t="s">
        <v>803</v>
      </c>
      <c r="D447" s="92">
        <v>32198.28</v>
      </c>
      <c r="E447" s="92">
        <v>3967.72</v>
      </c>
      <c r="F447" s="92">
        <v>10622.63</v>
      </c>
      <c r="G447" s="92">
        <v>17607.93</v>
      </c>
      <c r="H447" s="93">
        <v>198810.68</v>
      </c>
      <c r="I447" s="93">
        <v>45628.78</v>
      </c>
      <c r="J447" s="93">
        <v>61257.99</v>
      </c>
      <c r="K447" s="93">
        <v>91923.91</v>
      </c>
      <c r="L447" s="43">
        <v>6.1745745424910892</v>
      </c>
      <c r="M447" s="43">
        <v>11.5</v>
      </c>
      <c r="N447" s="43">
        <v>5.7667442055310225</v>
      </c>
      <c r="O447" s="43">
        <v>5.2205971968312008</v>
      </c>
      <c r="P447" s="94"/>
      <c r="Q447" s="94"/>
      <c r="R447" s="94">
        <v>3</v>
      </c>
    </row>
    <row r="448" spans="1:18" ht="36">
      <c r="A448" s="90">
        <v>207</v>
      </c>
      <c r="B448" s="87" t="s">
        <v>804</v>
      </c>
      <c r="C448" s="91" t="s">
        <v>805</v>
      </c>
      <c r="D448" s="92">
        <v>21907.48</v>
      </c>
      <c r="E448" s="92">
        <v>2783.2</v>
      </c>
      <c r="F448" s="92">
        <v>4565.24</v>
      </c>
      <c r="G448" s="92">
        <v>14559.04</v>
      </c>
      <c r="H448" s="93">
        <v>138704.17000000001</v>
      </c>
      <c r="I448" s="93">
        <v>32006.799999999999</v>
      </c>
      <c r="J448" s="93">
        <v>26175.599999999999</v>
      </c>
      <c r="K448" s="93">
        <v>80521.77</v>
      </c>
      <c r="L448" s="43">
        <v>6.3313612519559532</v>
      </c>
      <c r="M448" s="43">
        <v>11.5</v>
      </c>
      <c r="N448" s="43">
        <v>5.7336744618026652</v>
      </c>
      <c r="O448" s="43">
        <v>5.5307060080884449</v>
      </c>
      <c r="P448" s="94"/>
      <c r="Q448" s="94"/>
      <c r="R448" s="94">
        <v>3</v>
      </c>
    </row>
    <row r="449" spans="1:18" ht="12.75" customHeight="1">
      <c r="A449" s="628" t="s">
        <v>806</v>
      </c>
      <c r="B449" s="629"/>
      <c r="C449" s="629"/>
      <c r="D449" s="629"/>
      <c r="E449" s="629"/>
      <c r="F449" s="629"/>
      <c r="G449" s="629"/>
      <c r="H449" s="629"/>
      <c r="I449" s="629"/>
      <c r="J449" s="629"/>
      <c r="K449" s="629"/>
      <c r="L449" s="629"/>
      <c r="M449" s="629"/>
      <c r="N449" s="629"/>
      <c r="O449" s="629"/>
      <c r="P449" s="629"/>
      <c r="Q449" s="629"/>
      <c r="R449" s="629"/>
    </row>
    <row r="450" spans="1:18" ht="24">
      <c r="A450" s="90">
        <v>208</v>
      </c>
      <c r="B450" s="87" t="s">
        <v>807</v>
      </c>
      <c r="C450" s="91" t="s">
        <v>808</v>
      </c>
      <c r="D450" s="92">
        <v>125842.25</v>
      </c>
      <c r="E450" s="92">
        <v>12921.5</v>
      </c>
      <c r="F450" s="92">
        <v>93030.95</v>
      </c>
      <c r="G450" s="92">
        <v>19889.8</v>
      </c>
      <c r="H450" s="93">
        <v>732562.6</v>
      </c>
      <c r="I450" s="93">
        <v>148597.25</v>
      </c>
      <c r="J450" s="93">
        <v>507819.09</v>
      </c>
      <c r="K450" s="93">
        <v>76146.259999999995</v>
      </c>
      <c r="L450" s="43">
        <v>5.8212770353359069</v>
      </c>
      <c r="M450" s="43">
        <v>11.5</v>
      </c>
      <c r="N450" s="43">
        <v>5.4586037227395829</v>
      </c>
      <c r="O450" s="43">
        <v>3.8284075254653138</v>
      </c>
      <c r="P450" s="94"/>
      <c r="Q450" s="94"/>
      <c r="R450" s="94">
        <v>4</v>
      </c>
    </row>
    <row r="451" spans="1:18" ht="24">
      <c r="A451" s="90">
        <v>209</v>
      </c>
      <c r="B451" s="87" t="s">
        <v>809</v>
      </c>
      <c r="C451" s="91" t="s">
        <v>810</v>
      </c>
      <c r="D451" s="92">
        <v>220543.63</v>
      </c>
      <c r="E451" s="92">
        <v>17353.29</v>
      </c>
      <c r="F451" s="92">
        <v>162111.43</v>
      </c>
      <c r="G451" s="92">
        <v>41078.910000000003</v>
      </c>
      <c r="H451" s="93">
        <v>1276640.44</v>
      </c>
      <c r="I451" s="93">
        <v>199570.27</v>
      </c>
      <c r="J451" s="93">
        <v>913316.06</v>
      </c>
      <c r="K451" s="93">
        <v>163754.10999999999</v>
      </c>
      <c r="L451" s="43">
        <v>5.7886071794501612</v>
      </c>
      <c r="M451" s="43">
        <v>11.500428449014565</v>
      </c>
      <c r="N451" s="43">
        <v>5.6338782527549114</v>
      </c>
      <c r="O451" s="43">
        <v>3.9863304552141225</v>
      </c>
      <c r="P451" s="94"/>
      <c r="Q451" s="94"/>
      <c r="R451" s="94">
        <v>4</v>
      </c>
    </row>
    <row r="452" spans="1:18" ht="36">
      <c r="A452" s="90">
        <v>210</v>
      </c>
      <c r="B452" s="87" t="s">
        <v>811</v>
      </c>
      <c r="C452" s="91" t="s">
        <v>812</v>
      </c>
      <c r="D452" s="92">
        <v>290736.51</v>
      </c>
      <c r="E452" s="92">
        <v>22931.55</v>
      </c>
      <c r="F452" s="92">
        <v>233238.05</v>
      </c>
      <c r="G452" s="92">
        <v>34566.910000000003</v>
      </c>
      <c r="H452" s="93">
        <v>1716935.51</v>
      </c>
      <c r="I452" s="93">
        <v>263722.65000000002</v>
      </c>
      <c r="J452" s="93">
        <v>1323839.04</v>
      </c>
      <c r="K452" s="93">
        <v>129373.82</v>
      </c>
      <c r="L452" s="43">
        <v>5.9054692167832652</v>
      </c>
      <c r="M452" s="43">
        <v>11.500428449014569</v>
      </c>
      <c r="N452" s="43">
        <v>5.6759136856100456</v>
      </c>
      <c r="O452" s="43">
        <v>3.742707114983665</v>
      </c>
      <c r="P452" s="94"/>
      <c r="Q452" s="94"/>
      <c r="R452" s="94">
        <v>4</v>
      </c>
    </row>
    <row r="453" spans="1:18" ht="36">
      <c r="A453" s="90">
        <v>211</v>
      </c>
      <c r="B453" s="87" t="s">
        <v>813</v>
      </c>
      <c r="C453" s="91" t="s">
        <v>814</v>
      </c>
      <c r="D453" s="92">
        <v>346104.34</v>
      </c>
      <c r="E453" s="92">
        <v>26584.26</v>
      </c>
      <c r="F453" s="92">
        <v>279780.98</v>
      </c>
      <c r="G453" s="92">
        <v>39739.1</v>
      </c>
      <c r="H453" s="93">
        <v>2054911.84</v>
      </c>
      <c r="I453" s="93">
        <v>305730.38</v>
      </c>
      <c r="J453" s="93">
        <v>1594199.28</v>
      </c>
      <c r="K453" s="93">
        <v>154982.18</v>
      </c>
      <c r="L453" s="43">
        <v>5.9372611161131346</v>
      </c>
      <c r="M453" s="43">
        <v>11.500428449014569</v>
      </c>
      <c r="N453" s="43">
        <v>5.6980259344291389</v>
      </c>
      <c r="O453" s="43">
        <v>3.8999921991187518</v>
      </c>
      <c r="P453" s="94"/>
      <c r="Q453" s="94"/>
      <c r="R453" s="94">
        <v>4</v>
      </c>
    </row>
    <row r="454" spans="1:18" ht="36">
      <c r="A454" s="90">
        <v>212</v>
      </c>
      <c r="B454" s="87" t="s">
        <v>815</v>
      </c>
      <c r="C454" s="91" t="s">
        <v>816</v>
      </c>
      <c r="D454" s="92">
        <v>430120.29</v>
      </c>
      <c r="E454" s="92">
        <v>31804.32</v>
      </c>
      <c r="F454" s="92">
        <v>345254.29</v>
      </c>
      <c r="G454" s="92">
        <v>53061.68</v>
      </c>
      <c r="H454" s="93">
        <v>2535052.2400000002</v>
      </c>
      <c r="I454" s="93">
        <v>365763.52</v>
      </c>
      <c r="J454" s="93">
        <v>1978068.12</v>
      </c>
      <c r="K454" s="93">
        <v>191220.6</v>
      </c>
      <c r="L454" s="43">
        <v>5.8938215632654769</v>
      </c>
      <c r="M454" s="43">
        <v>11.500435161009575</v>
      </c>
      <c r="N454" s="43">
        <v>5.7293078675430804</v>
      </c>
      <c r="O454" s="43">
        <v>3.6037419094156085</v>
      </c>
      <c r="P454" s="94"/>
      <c r="Q454" s="94"/>
      <c r="R454" s="94">
        <v>4</v>
      </c>
    </row>
    <row r="455" spans="1:18" ht="24">
      <c r="A455" s="90">
        <v>213</v>
      </c>
      <c r="B455" s="87" t="s">
        <v>817</v>
      </c>
      <c r="C455" s="91" t="s">
        <v>818</v>
      </c>
      <c r="D455" s="92">
        <v>399033.78</v>
      </c>
      <c r="E455" s="92">
        <v>33252.06</v>
      </c>
      <c r="F455" s="92">
        <v>318581.8</v>
      </c>
      <c r="G455" s="92">
        <v>47199.92</v>
      </c>
      <c r="H455" s="93">
        <v>2359297.66</v>
      </c>
      <c r="I455" s="93">
        <v>382413.16</v>
      </c>
      <c r="J455" s="93">
        <v>1805418.94</v>
      </c>
      <c r="K455" s="93">
        <v>171465.56</v>
      </c>
      <c r="L455" s="43">
        <v>5.9125261525477866</v>
      </c>
      <c r="M455" s="43">
        <v>11.500435161009573</v>
      </c>
      <c r="N455" s="43">
        <v>5.667049844027499</v>
      </c>
      <c r="O455" s="43">
        <v>3.632751072459445</v>
      </c>
      <c r="P455" s="94"/>
      <c r="Q455" s="94"/>
      <c r="R455" s="94">
        <v>4</v>
      </c>
    </row>
    <row r="456" spans="1:18" ht="24">
      <c r="A456" s="90">
        <v>214</v>
      </c>
      <c r="B456" s="87" t="s">
        <v>819</v>
      </c>
      <c r="C456" s="91" t="s">
        <v>820</v>
      </c>
      <c r="D456" s="92">
        <v>298934.94</v>
      </c>
      <c r="E456" s="92">
        <v>27020.959999999999</v>
      </c>
      <c r="F456" s="92">
        <v>235692.18</v>
      </c>
      <c r="G456" s="92">
        <v>36221.800000000003</v>
      </c>
      <c r="H456" s="93">
        <v>1796640.71</v>
      </c>
      <c r="I456" s="93">
        <v>310741.03999999998</v>
      </c>
      <c r="J456" s="93">
        <v>1352360.41</v>
      </c>
      <c r="K456" s="93">
        <v>133539.26</v>
      </c>
      <c r="L456" s="43">
        <v>6.0101395641473019</v>
      </c>
      <c r="M456" s="43">
        <v>11.5</v>
      </c>
      <c r="N456" s="43">
        <v>5.7378246915107658</v>
      </c>
      <c r="O456" s="43">
        <v>3.6867096610328587</v>
      </c>
      <c r="P456" s="94"/>
      <c r="Q456" s="94"/>
      <c r="R456" s="94">
        <v>4</v>
      </c>
    </row>
    <row r="457" spans="1:18" ht="24">
      <c r="A457" s="90">
        <v>215</v>
      </c>
      <c r="B457" s="87" t="s">
        <v>821</v>
      </c>
      <c r="C457" s="91" t="s">
        <v>822</v>
      </c>
      <c r="D457" s="92">
        <v>1882850.71</v>
      </c>
      <c r="E457" s="92">
        <v>82950</v>
      </c>
      <c r="F457" s="92">
        <v>1742033.73</v>
      </c>
      <c r="G457" s="92">
        <v>57866.98</v>
      </c>
      <c r="H457" s="93">
        <v>10757371</v>
      </c>
      <c r="I457" s="93">
        <v>953960</v>
      </c>
      <c r="J457" s="93">
        <v>9558019</v>
      </c>
      <c r="K457" s="93">
        <v>245392</v>
      </c>
      <c r="L457" s="43">
        <v>5.7133425092422758</v>
      </c>
      <c r="M457" s="43">
        <v>11.50042194092827</v>
      </c>
      <c r="N457" s="43">
        <v>5.4867014543972124</v>
      </c>
      <c r="O457" s="43">
        <v>4.2406221993959248</v>
      </c>
      <c r="P457" s="94"/>
      <c r="Q457" s="94"/>
      <c r="R457" s="94">
        <v>4</v>
      </c>
    </row>
    <row r="458" spans="1:18" ht="12.75" customHeight="1">
      <c r="A458" s="628" t="s">
        <v>823</v>
      </c>
      <c r="B458" s="629"/>
      <c r="C458" s="629"/>
      <c r="D458" s="629"/>
      <c r="E458" s="629"/>
      <c r="F458" s="629"/>
      <c r="G458" s="629"/>
      <c r="H458" s="629"/>
      <c r="I458" s="629"/>
      <c r="J458" s="629"/>
      <c r="K458" s="629"/>
      <c r="L458" s="629"/>
      <c r="M458" s="629"/>
      <c r="N458" s="629"/>
      <c r="O458" s="629"/>
      <c r="P458" s="629"/>
      <c r="Q458" s="629"/>
      <c r="R458" s="629"/>
    </row>
    <row r="459" spans="1:18" ht="12.75" customHeight="1">
      <c r="A459" s="628" t="s">
        <v>824</v>
      </c>
      <c r="B459" s="629"/>
      <c r="C459" s="629"/>
      <c r="D459" s="629"/>
      <c r="E459" s="629"/>
      <c r="F459" s="629"/>
      <c r="G459" s="629"/>
      <c r="H459" s="629"/>
      <c r="I459" s="629"/>
      <c r="J459" s="629"/>
      <c r="K459" s="629"/>
      <c r="L459" s="629"/>
      <c r="M459" s="629"/>
      <c r="N459" s="629"/>
      <c r="O459" s="629"/>
      <c r="P459" s="629"/>
      <c r="Q459" s="629"/>
      <c r="R459" s="629"/>
    </row>
    <row r="460" spans="1:18" ht="36">
      <c r="A460" s="90">
        <v>216</v>
      </c>
      <c r="B460" s="87" t="s">
        <v>825</v>
      </c>
      <c r="C460" s="91" t="s">
        <v>826</v>
      </c>
      <c r="D460" s="92">
        <v>911.41</v>
      </c>
      <c r="E460" s="92">
        <v>450.71</v>
      </c>
      <c r="F460" s="92">
        <v>214.82</v>
      </c>
      <c r="G460" s="92">
        <v>245.88</v>
      </c>
      <c r="H460" s="93">
        <v>7585.92</v>
      </c>
      <c r="I460" s="93">
        <v>5183.1400000000003</v>
      </c>
      <c r="J460" s="93">
        <v>1064.6300000000001</v>
      </c>
      <c r="K460" s="93">
        <v>1338.15</v>
      </c>
      <c r="L460" s="43">
        <v>8.32327931446879</v>
      </c>
      <c r="M460" s="43">
        <v>11.499944531960686</v>
      </c>
      <c r="N460" s="43">
        <v>4.9559165813238995</v>
      </c>
      <c r="O460" s="43">
        <v>5.442288921425086</v>
      </c>
      <c r="P460" s="94"/>
      <c r="Q460" s="94"/>
      <c r="R460" s="94">
        <v>1</v>
      </c>
    </row>
    <row r="461" spans="1:18" ht="12.75" customHeight="1">
      <c r="A461" s="628" t="s">
        <v>827</v>
      </c>
      <c r="B461" s="629"/>
      <c r="C461" s="629"/>
      <c r="D461" s="629"/>
      <c r="E461" s="629"/>
      <c r="F461" s="629"/>
      <c r="G461" s="629"/>
      <c r="H461" s="629"/>
      <c r="I461" s="629"/>
      <c r="J461" s="629"/>
      <c r="K461" s="629"/>
      <c r="L461" s="629"/>
      <c r="M461" s="629"/>
      <c r="N461" s="629"/>
      <c r="O461" s="629"/>
      <c r="P461" s="629"/>
      <c r="Q461" s="629"/>
      <c r="R461" s="629"/>
    </row>
    <row r="462" spans="1:18" ht="12.75" customHeight="1">
      <c r="A462" s="628" t="s">
        <v>828</v>
      </c>
      <c r="B462" s="629"/>
      <c r="C462" s="629"/>
      <c r="D462" s="629"/>
      <c r="E462" s="629"/>
      <c r="F462" s="629"/>
      <c r="G462" s="629"/>
      <c r="H462" s="629"/>
      <c r="I462" s="629"/>
      <c r="J462" s="629"/>
      <c r="K462" s="629"/>
      <c r="L462" s="629"/>
      <c r="M462" s="629"/>
      <c r="N462" s="629"/>
      <c r="O462" s="629"/>
      <c r="P462" s="629"/>
      <c r="Q462" s="629"/>
      <c r="R462" s="629"/>
    </row>
    <row r="463" spans="1:18" ht="36">
      <c r="A463" s="90">
        <v>217</v>
      </c>
      <c r="B463" s="87" t="s">
        <v>829</v>
      </c>
      <c r="C463" s="91" t="s">
        <v>830</v>
      </c>
      <c r="D463" s="92">
        <v>2687.82</v>
      </c>
      <c r="E463" s="92">
        <v>557.27</v>
      </c>
      <c r="F463" s="92">
        <v>1908.2</v>
      </c>
      <c r="G463" s="92">
        <v>222.35</v>
      </c>
      <c r="H463" s="93">
        <v>17580.95</v>
      </c>
      <c r="I463" s="93">
        <v>6408.79</v>
      </c>
      <c r="J463" s="93">
        <v>10127.66</v>
      </c>
      <c r="K463" s="93">
        <v>1044.5</v>
      </c>
      <c r="L463" s="43">
        <v>6.5409700054319115</v>
      </c>
      <c r="M463" s="43">
        <v>11.500331975523535</v>
      </c>
      <c r="N463" s="43">
        <v>5.3074415679698141</v>
      </c>
      <c r="O463" s="43">
        <v>4.6975489093771081</v>
      </c>
      <c r="P463" s="94"/>
      <c r="Q463" s="94"/>
      <c r="R463" s="94">
        <v>1</v>
      </c>
    </row>
    <row r="464" spans="1:18" ht="36">
      <c r="A464" s="90">
        <v>218</v>
      </c>
      <c r="B464" s="87" t="s">
        <v>831</v>
      </c>
      <c r="C464" s="91" t="s">
        <v>832</v>
      </c>
      <c r="D464" s="92">
        <v>2397.5</v>
      </c>
      <c r="E464" s="92">
        <v>426.28</v>
      </c>
      <c r="F464" s="92">
        <v>1794.34</v>
      </c>
      <c r="G464" s="92">
        <v>176.88</v>
      </c>
      <c r="H464" s="93">
        <v>15302.67</v>
      </c>
      <c r="I464" s="93">
        <v>4902.3900000000003</v>
      </c>
      <c r="J464" s="93">
        <v>9513.66</v>
      </c>
      <c r="K464" s="93">
        <v>886.62</v>
      </c>
      <c r="L464" s="43">
        <v>6.3827612095933262</v>
      </c>
      <c r="M464" s="43">
        <v>11.500398798911515</v>
      </c>
      <c r="N464" s="43">
        <v>5.3020386325891415</v>
      </c>
      <c r="O464" s="43">
        <v>5.0125508819538673</v>
      </c>
      <c r="P464" s="94"/>
      <c r="Q464" s="94"/>
      <c r="R464" s="94">
        <v>1</v>
      </c>
    </row>
    <row r="465" spans="1:18" ht="36">
      <c r="A465" s="90">
        <v>219</v>
      </c>
      <c r="B465" s="87" t="s">
        <v>833</v>
      </c>
      <c r="C465" s="91" t="s">
        <v>834</v>
      </c>
      <c r="D465" s="92">
        <v>3387.5</v>
      </c>
      <c r="E465" s="92">
        <v>580.25</v>
      </c>
      <c r="F465" s="92">
        <v>2577.14</v>
      </c>
      <c r="G465" s="92">
        <v>230.11</v>
      </c>
      <c r="H465" s="93">
        <v>21422.84</v>
      </c>
      <c r="I465" s="93">
        <v>6673.07</v>
      </c>
      <c r="J465" s="93">
        <v>13689</v>
      </c>
      <c r="K465" s="93">
        <v>1060.77</v>
      </c>
      <c r="L465" s="43">
        <v>6.3240856088560884</v>
      </c>
      <c r="M465" s="43">
        <v>11.500336062042223</v>
      </c>
      <c r="N465" s="43">
        <v>5.3117021194036802</v>
      </c>
      <c r="O465" s="43">
        <v>4.6098387727608534</v>
      </c>
      <c r="P465" s="94"/>
      <c r="Q465" s="94"/>
      <c r="R465" s="94">
        <v>1</v>
      </c>
    </row>
    <row r="466" spans="1:18" ht="36">
      <c r="A466" s="90">
        <v>220</v>
      </c>
      <c r="B466" s="87" t="s">
        <v>835</v>
      </c>
      <c r="C466" s="91" t="s">
        <v>836</v>
      </c>
      <c r="D466" s="92">
        <v>3403.2</v>
      </c>
      <c r="E466" s="92">
        <v>566.46</v>
      </c>
      <c r="F466" s="92">
        <v>2396.14</v>
      </c>
      <c r="G466" s="92">
        <v>440.6</v>
      </c>
      <c r="H466" s="93">
        <v>21156.23</v>
      </c>
      <c r="I466" s="93">
        <v>6514.5</v>
      </c>
      <c r="J466" s="93">
        <v>12756.81</v>
      </c>
      <c r="K466" s="93">
        <v>1884.92</v>
      </c>
      <c r="L466" s="43">
        <v>6.2165696991067234</v>
      </c>
      <c r="M466" s="43">
        <v>11.500370723440312</v>
      </c>
      <c r="N466" s="43">
        <v>5.3239001060038227</v>
      </c>
      <c r="O466" s="43">
        <v>4.2780753517930092</v>
      </c>
      <c r="P466" s="94"/>
      <c r="Q466" s="94"/>
      <c r="R466" s="94">
        <v>1</v>
      </c>
    </row>
    <row r="467" spans="1:18" ht="36">
      <c r="A467" s="90">
        <v>221</v>
      </c>
      <c r="B467" s="87" t="s">
        <v>837</v>
      </c>
      <c r="C467" s="91" t="s">
        <v>838</v>
      </c>
      <c r="D467" s="92">
        <v>2935.02</v>
      </c>
      <c r="E467" s="92">
        <v>475.69</v>
      </c>
      <c r="F467" s="92">
        <v>2106.14</v>
      </c>
      <c r="G467" s="92">
        <v>353.19</v>
      </c>
      <c r="H467" s="93">
        <v>18224.55</v>
      </c>
      <c r="I467" s="93">
        <v>5470.6</v>
      </c>
      <c r="J467" s="93">
        <v>11225.81</v>
      </c>
      <c r="K467" s="93">
        <v>1528.14</v>
      </c>
      <c r="L467" s="43">
        <v>6.2093443996974464</v>
      </c>
      <c r="M467" s="43">
        <v>11.500346864554647</v>
      </c>
      <c r="N467" s="43">
        <v>5.3300397884281194</v>
      </c>
      <c r="O467" s="43">
        <v>4.3266796908179739</v>
      </c>
      <c r="P467" s="94"/>
      <c r="Q467" s="94"/>
      <c r="R467" s="94">
        <v>1</v>
      </c>
    </row>
    <row r="468" spans="1:18" ht="26.25" customHeight="1">
      <c r="A468" s="628" t="s">
        <v>839</v>
      </c>
      <c r="B468" s="629"/>
      <c r="C468" s="629"/>
      <c r="D468" s="629"/>
      <c r="E468" s="629"/>
      <c r="F468" s="629"/>
      <c r="G468" s="629"/>
      <c r="H468" s="629"/>
      <c r="I468" s="629"/>
      <c r="J468" s="629"/>
      <c r="K468" s="629"/>
      <c r="L468" s="629"/>
      <c r="M468" s="629"/>
      <c r="N468" s="629"/>
      <c r="O468" s="629"/>
      <c r="P468" s="629"/>
      <c r="Q468" s="629"/>
      <c r="R468" s="629"/>
    </row>
    <row r="469" spans="1:18" ht="48">
      <c r="A469" s="90">
        <v>222</v>
      </c>
      <c r="B469" s="87" t="s">
        <v>840</v>
      </c>
      <c r="C469" s="91" t="s">
        <v>841</v>
      </c>
      <c r="D469" s="92">
        <v>4026.6</v>
      </c>
      <c r="E469" s="92">
        <v>734.21</v>
      </c>
      <c r="F469" s="92">
        <v>2729.72</v>
      </c>
      <c r="G469" s="92">
        <v>562.66999999999996</v>
      </c>
      <c r="H469" s="93">
        <v>25380.15</v>
      </c>
      <c r="I469" s="93">
        <v>8443.75</v>
      </c>
      <c r="J469" s="93">
        <v>14531.66</v>
      </c>
      <c r="K469" s="93">
        <v>2404.7399999999998</v>
      </c>
      <c r="L469" s="43">
        <v>6.3031217404261666</v>
      </c>
      <c r="M469" s="43">
        <v>11.50045627272851</v>
      </c>
      <c r="N469" s="43">
        <v>5.3234983807863081</v>
      </c>
      <c r="O469" s="43">
        <v>4.2738016954875855</v>
      </c>
      <c r="P469" s="94"/>
      <c r="Q469" s="94"/>
      <c r="R469" s="94">
        <v>2</v>
      </c>
    </row>
    <row r="470" spans="1:18" ht="19.5" customHeight="1">
      <c r="A470" s="628" t="s">
        <v>842</v>
      </c>
      <c r="B470" s="629"/>
      <c r="C470" s="629"/>
      <c r="D470" s="629"/>
      <c r="E470" s="629"/>
      <c r="F470" s="629"/>
      <c r="G470" s="629"/>
      <c r="H470" s="629"/>
      <c r="I470" s="629"/>
      <c r="J470" s="629"/>
      <c r="K470" s="629"/>
      <c r="L470" s="629"/>
      <c r="M470" s="629"/>
      <c r="N470" s="629"/>
      <c r="O470" s="629"/>
      <c r="P470" s="629"/>
      <c r="Q470" s="629"/>
      <c r="R470" s="629"/>
    </row>
    <row r="471" spans="1:18" ht="48">
      <c r="A471" s="90">
        <v>223</v>
      </c>
      <c r="B471" s="87" t="s">
        <v>843</v>
      </c>
      <c r="C471" s="91" t="s">
        <v>844</v>
      </c>
      <c r="D471" s="92">
        <v>2895.72</v>
      </c>
      <c r="E471" s="92">
        <v>476.84</v>
      </c>
      <c r="F471" s="92">
        <v>2033.99</v>
      </c>
      <c r="G471" s="92">
        <v>384.89</v>
      </c>
      <c r="H471" s="93">
        <v>17995.07</v>
      </c>
      <c r="I471" s="93">
        <v>5483.81</v>
      </c>
      <c r="J471" s="93">
        <v>10831.09</v>
      </c>
      <c r="K471" s="93">
        <v>1680.17</v>
      </c>
      <c r="L471" s="43">
        <v>6.2143681018883044</v>
      </c>
      <c r="M471" s="43">
        <v>11.500314570925259</v>
      </c>
      <c r="N471" s="43">
        <v>5.3250458458497834</v>
      </c>
      <c r="O471" s="43">
        <v>4.3653251578373045</v>
      </c>
      <c r="P471" s="94"/>
      <c r="Q471" s="94"/>
      <c r="R471" s="94">
        <v>3</v>
      </c>
    </row>
    <row r="472" spans="1:18" ht="48">
      <c r="A472" s="90">
        <v>224</v>
      </c>
      <c r="B472" s="87" t="s">
        <v>845</v>
      </c>
      <c r="C472" s="91" t="s">
        <v>846</v>
      </c>
      <c r="D472" s="92">
        <v>2813.35</v>
      </c>
      <c r="E472" s="92">
        <v>463.05</v>
      </c>
      <c r="F472" s="92">
        <v>1950.54</v>
      </c>
      <c r="G472" s="92">
        <v>399.76</v>
      </c>
      <c r="H472" s="93">
        <v>17456.650000000001</v>
      </c>
      <c r="I472" s="93">
        <v>5325.24</v>
      </c>
      <c r="J472" s="93">
        <v>10392.25</v>
      </c>
      <c r="K472" s="93">
        <v>1739.16</v>
      </c>
      <c r="L472" s="43">
        <v>6.2049336200614933</v>
      </c>
      <c r="M472" s="43">
        <v>11.500356333009394</v>
      </c>
      <c r="N472" s="43">
        <v>5.3278835604499264</v>
      </c>
      <c r="O472" s="43">
        <v>4.3505103061837103</v>
      </c>
      <c r="P472" s="94"/>
      <c r="Q472" s="94"/>
      <c r="R472" s="94">
        <v>3</v>
      </c>
    </row>
    <row r="473" spans="1:18" ht="48">
      <c r="A473" s="90">
        <v>225</v>
      </c>
      <c r="B473" s="87" t="s">
        <v>847</v>
      </c>
      <c r="C473" s="91" t="s">
        <v>848</v>
      </c>
      <c r="D473" s="92">
        <v>4446.97</v>
      </c>
      <c r="E473" s="92">
        <v>618.16</v>
      </c>
      <c r="F473" s="92">
        <v>3500.02</v>
      </c>
      <c r="G473" s="92">
        <v>328.79</v>
      </c>
      <c r="H473" s="93">
        <v>27177.27</v>
      </c>
      <c r="I473" s="93">
        <v>7109.13</v>
      </c>
      <c r="J473" s="93">
        <v>18634.47</v>
      </c>
      <c r="K473" s="93">
        <v>1433.67</v>
      </c>
      <c r="L473" s="43">
        <v>6.1114129395970735</v>
      </c>
      <c r="M473" s="43">
        <v>11.500469134204737</v>
      </c>
      <c r="N473" s="43">
        <v>5.3241038622636445</v>
      </c>
      <c r="O473" s="43">
        <v>4.3604428358526715</v>
      </c>
      <c r="P473" s="94"/>
      <c r="Q473" s="94"/>
      <c r="R473" s="94">
        <v>3</v>
      </c>
    </row>
    <row r="474" spans="1:18" ht="48">
      <c r="A474" s="90">
        <v>226</v>
      </c>
      <c r="B474" s="87" t="s">
        <v>849</v>
      </c>
      <c r="C474" s="91" t="s">
        <v>850</v>
      </c>
      <c r="D474" s="92">
        <v>4028.32</v>
      </c>
      <c r="E474" s="92">
        <v>566.46</v>
      </c>
      <c r="F474" s="92">
        <v>3173.57</v>
      </c>
      <c r="G474" s="92">
        <v>288.29000000000002</v>
      </c>
      <c r="H474" s="93">
        <v>24698.65</v>
      </c>
      <c r="I474" s="93">
        <v>6514.5</v>
      </c>
      <c r="J474" s="93">
        <v>16896.599999999999</v>
      </c>
      <c r="K474" s="93">
        <v>1287.55</v>
      </c>
      <c r="L474" s="43">
        <v>6.1312532271517659</v>
      </c>
      <c r="M474" s="43">
        <v>11.500370723440312</v>
      </c>
      <c r="N474" s="43">
        <v>5.3241617484410293</v>
      </c>
      <c r="O474" s="43">
        <v>4.4661625446598903</v>
      </c>
      <c r="P474" s="94"/>
      <c r="Q474" s="94"/>
      <c r="R474" s="94">
        <v>3</v>
      </c>
    </row>
    <row r="475" spans="1:18" ht="12.75" customHeight="1">
      <c r="A475" s="628" t="s">
        <v>851</v>
      </c>
      <c r="B475" s="629"/>
      <c r="C475" s="629"/>
      <c r="D475" s="629"/>
      <c r="E475" s="629"/>
      <c r="F475" s="629"/>
      <c r="G475" s="629"/>
      <c r="H475" s="629"/>
      <c r="I475" s="629"/>
      <c r="J475" s="629"/>
      <c r="K475" s="629"/>
      <c r="L475" s="629"/>
      <c r="M475" s="629"/>
      <c r="N475" s="629"/>
      <c r="O475" s="629"/>
      <c r="P475" s="629"/>
      <c r="Q475" s="629"/>
      <c r="R475" s="629"/>
    </row>
    <row r="476" spans="1:18" ht="12.75" customHeight="1">
      <c r="A476" s="628" t="s">
        <v>852</v>
      </c>
      <c r="B476" s="629"/>
      <c r="C476" s="629"/>
      <c r="D476" s="629"/>
      <c r="E476" s="629"/>
      <c r="F476" s="629"/>
      <c r="G476" s="629"/>
      <c r="H476" s="629"/>
      <c r="I476" s="629"/>
      <c r="J476" s="629"/>
      <c r="K476" s="629"/>
      <c r="L476" s="629"/>
      <c r="M476" s="629"/>
      <c r="N476" s="629"/>
      <c r="O476" s="629"/>
      <c r="P476" s="629"/>
      <c r="Q476" s="629"/>
      <c r="R476" s="629"/>
    </row>
    <row r="477" spans="1:18" ht="36">
      <c r="A477" s="90">
        <v>227</v>
      </c>
      <c r="B477" s="87" t="s">
        <v>853</v>
      </c>
      <c r="C477" s="91" t="s">
        <v>854</v>
      </c>
      <c r="D477" s="92">
        <v>5854.73</v>
      </c>
      <c r="E477" s="92">
        <v>1221</v>
      </c>
      <c r="F477" s="92">
        <v>3922.09</v>
      </c>
      <c r="G477" s="92">
        <v>711.64</v>
      </c>
      <c r="H477" s="93">
        <v>37400.519999999997</v>
      </c>
      <c r="I477" s="93">
        <v>14041.5</v>
      </c>
      <c r="J477" s="93">
        <v>20576.97</v>
      </c>
      <c r="K477" s="93">
        <v>2782.05</v>
      </c>
      <c r="L477" s="43">
        <v>6.3880862140525698</v>
      </c>
      <c r="M477" s="43">
        <v>11.5</v>
      </c>
      <c r="N477" s="43">
        <v>5.2464298371531504</v>
      </c>
      <c r="O477" s="43">
        <v>3.9093502332640102</v>
      </c>
      <c r="P477" s="94"/>
      <c r="Q477" s="94"/>
      <c r="R477" s="94">
        <v>1</v>
      </c>
    </row>
    <row r="478" spans="1:18" ht="36">
      <c r="A478" s="90">
        <v>228</v>
      </c>
      <c r="B478" s="87" t="s">
        <v>855</v>
      </c>
      <c r="C478" s="91" t="s">
        <v>856</v>
      </c>
      <c r="D478" s="92">
        <v>1198.33</v>
      </c>
      <c r="E478" s="92">
        <v>309.69</v>
      </c>
      <c r="F478" s="92">
        <v>878.13</v>
      </c>
      <c r="G478" s="92">
        <v>10.51</v>
      </c>
      <c r="H478" s="93">
        <v>8264.06</v>
      </c>
      <c r="I478" s="93">
        <v>3561.44</v>
      </c>
      <c r="J478" s="93">
        <v>4597.7</v>
      </c>
      <c r="K478" s="93">
        <v>104.92</v>
      </c>
      <c r="L478" s="43">
        <v>6.8963140370348732</v>
      </c>
      <c r="M478" s="43">
        <v>11.500016145177435</v>
      </c>
      <c r="N478" s="43">
        <v>5.2357851343195199</v>
      </c>
      <c r="O478" s="43">
        <v>9.9828734538534736</v>
      </c>
      <c r="P478" s="94"/>
      <c r="Q478" s="94"/>
      <c r="R478" s="94">
        <v>1</v>
      </c>
    </row>
    <row r="479" spans="1:18" ht="36">
      <c r="A479" s="90">
        <v>229</v>
      </c>
      <c r="B479" s="87" t="s">
        <v>857</v>
      </c>
      <c r="C479" s="91" t="s">
        <v>858</v>
      </c>
      <c r="D479" s="92">
        <v>1425.18</v>
      </c>
      <c r="E479" s="92">
        <v>278.61</v>
      </c>
      <c r="F479" s="92">
        <v>1135.5899999999999</v>
      </c>
      <c r="G479" s="92">
        <v>10.98</v>
      </c>
      <c r="H479" s="93">
        <v>9660.17</v>
      </c>
      <c r="I479" s="93">
        <v>3204.02</v>
      </c>
      <c r="J479" s="93">
        <v>6348.83</v>
      </c>
      <c r="K479" s="93">
        <v>107.32</v>
      </c>
      <c r="L479" s="43">
        <v>6.7782104716597198</v>
      </c>
      <c r="M479" s="43">
        <v>11.500017946233084</v>
      </c>
      <c r="N479" s="43">
        <v>5.5907766007097637</v>
      </c>
      <c r="O479" s="43">
        <v>9.7741347905282314</v>
      </c>
      <c r="P479" s="94"/>
      <c r="Q479" s="94"/>
      <c r="R479" s="94">
        <v>1</v>
      </c>
    </row>
    <row r="480" spans="1:18" ht="24">
      <c r="A480" s="90">
        <v>230</v>
      </c>
      <c r="B480" s="87" t="s">
        <v>859</v>
      </c>
      <c r="C480" s="91" t="s">
        <v>860</v>
      </c>
      <c r="D480" s="92">
        <v>1671.99</v>
      </c>
      <c r="E480" s="92">
        <v>395.16</v>
      </c>
      <c r="F480" s="92">
        <v>1265.54</v>
      </c>
      <c r="G480" s="92">
        <v>11.29</v>
      </c>
      <c r="H480" s="93">
        <v>11289.26</v>
      </c>
      <c r="I480" s="93">
        <v>4544.34</v>
      </c>
      <c r="J480" s="93">
        <v>6624.33</v>
      </c>
      <c r="K480" s="93">
        <v>120.59</v>
      </c>
      <c r="L480" s="43">
        <v>6.7519901434817191</v>
      </c>
      <c r="M480" s="43">
        <v>11.5</v>
      </c>
      <c r="N480" s="43">
        <v>5.2343900627400162</v>
      </c>
      <c r="O480" s="43">
        <v>10.681133746678478</v>
      </c>
      <c r="P480" s="94"/>
      <c r="Q480" s="94"/>
      <c r="R480" s="94">
        <v>1</v>
      </c>
    </row>
    <row r="481" spans="1:18" ht="30" customHeight="1">
      <c r="A481" s="90">
        <v>231</v>
      </c>
      <c r="B481" s="87" t="s">
        <v>861</v>
      </c>
      <c r="C481" s="91" t="s">
        <v>862</v>
      </c>
      <c r="D481" s="92">
        <v>928.83</v>
      </c>
      <c r="E481" s="92">
        <v>266.39999999999998</v>
      </c>
      <c r="F481" s="92">
        <v>650.85</v>
      </c>
      <c r="G481" s="92">
        <v>11.58</v>
      </c>
      <c r="H481" s="93">
        <v>6849.28</v>
      </c>
      <c r="I481" s="93">
        <v>3063.6</v>
      </c>
      <c r="J481" s="93">
        <v>3683.16</v>
      </c>
      <c r="K481" s="93">
        <v>102.52</v>
      </c>
      <c r="L481" s="43">
        <v>7.3740942906667524</v>
      </c>
      <c r="M481" s="43">
        <v>11.5</v>
      </c>
      <c r="N481" s="43">
        <v>5.6589997695321497</v>
      </c>
      <c r="O481" s="43">
        <v>8.8531951640759932</v>
      </c>
      <c r="P481" s="94"/>
      <c r="Q481" s="94"/>
      <c r="R481" s="94">
        <v>1</v>
      </c>
    </row>
    <row r="482" spans="1:18" ht="12.75" customHeight="1">
      <c r="A482" s="628" t="s">
        <v>863</v>
      </c>
      <c r="B482" s="629"/>
      <c r="C482" s="629"/>
      <c r="D482" s="629"/>
      <c r="E482" s="629"/>
      <c r="F482" s="629"/>
      <c r="G482" s="629"/>
      <c r="H482" s="629"/>
      <c r="I482" s="629"/>
      <c r="J482" s="629"/>
      <c r="K482" s="629"/>
      <c r="L482" s="629"/>
      <c r="M482" s="629"/>
      <c r="N482" s="629"/>
      <c r="O482" s="629"/>
      <c r="P482" s="629"/>
      <c r="Q482" s="629"/>
      <c r="R482" s="629"/>
    </row>
    <row r="483" spans="1:18" ht="36">
      <c r="A483" s="90">
        <v>232</v>
      </c>
      <c r="B483" s="87" t="s">
        <v>864</v>
      </c>
      <c r="C483" s="91" t="s">
        <v>865</v>
      </c>
      <c r="D483" s="92">
        <v>843.34</v>
      </c>
      <c r="E483" s="92">
        <v>155.11000000000001</v>
      </c>
      <c r="F483" s="92">
        <v>617.89</v>
      </c>
      <c r="G483" s="92">
        <v>70.34</v>
      </c>
      <c r="H483" s="93">
        <v>5335.12</v>
      </c>
      <c r="I483" s="93">
        <v>1783.79</v>
      </c>
      <c r="J483" s="93">
        <v>3246.88</v>
      </c>
      <c r="K483" s="93">
        <v>304.45</v>
      </c>
      <c r="L483" s="43">
        <v>6.3261792396898047</v>
      </c>
      <c r="M483" s="43">
        <v>11.500161175939654</v>
      </c>
      <c r="N483" s="43">
        <v>5.2547864506627393</v>
      </c>
      <c r="O483" s="43">
        <v>4.3282627239124247</v>
      </c>
      <c r="P483" s="94"/>
      <c r="Q483" s="94"/>
      <c r="R483" s="94">
        <v>2</v>
      </c>
    </row>
    <row r="484" spans="1:18" ht="36">
      <c r="A484" s="90">
        <v>233</v>
      </c>
      <c r="B484" s="87" t="s">
        <v>866</v>
      </c>
      <c r="C484" s="91" t="s">
        <v>867</v>
      </c>
      <c r="D484" s="92">
        <v>1150.25</v>
      </c>
      <c r="E484" s="92">
        <v>245.03</v>
      </c>
      <c r="F484" s="92">
        <v>760.52</v>
      </c>
      <c r="G484" s="92">
        <v>144.69999999999999</v>
      </c>
      <c r="H484" s="93">
        <v>7497.76</v>
      </c>
      <c r="I484" s="93">
        <v>2817.87</v>
      </c>
      <c r="J484" s="93">
        <v>4034.02</v>
      </c>
      <c r="K484" s="93">
        <v>645.87</v>
      </c>
      <c r="L484" s="43">
        <v>6.5183742664638125</v>
      </c>
      <c r="M484" s="43">
        <v>11.500102028323061</v>
      </c>
      <c r="N484" s="43">
        <v>5.3042918003471309</v>
      </c>
      <c r="O484" s="43">
        <v>4.4635107118175537</v>
      </c>
      <c r="P484" s="94"/>
      <c r="Q484" s="94"/>
      <c r="R484" s="94">
        <v>2</v>
      </c>
    </row>
    <row r="485" spans="1:18" ht="36">
      <c r="A485" s="90">
        <v>234</v>
      </c>
      <c r="B485" s="87" t="s">
        <v>868</v>
      </c>
      <c r="C485" s="91" t="s">
        <v>869</v>
      </c>
      <c r="D485" s="92">
        <v>788.62</v>
      </c>
      <c r="E485" s="92">
        <v>114.65</v>
      </c>
      <c r="F485" s="92">
        <v>607.5</v>
      </c>
      <c r="G485" s="92">
        <v>66.47</v>
      </c>
      <c r="H485" s="93">
        <v>4798.95</v>
      </c>
      <c r="I485" s="93">
        <v>1318.45</v>
      </c>
      <c r="J485" s="93">
        <v>3192.86</v>
      </c>
      <c r="K485" s="93">
        <v>287.64</v>
      </c>
      <c r="L485" s="43">
        <v>6.0852501838654867</v>
      </c>
      <c r="M485" s="43">
        <v>11.499781945050152</v>
      </c>
      <c r="N485" s="43">
        <v>5.2557366255144036</v>
      </c>
      <c r="O485" s="43">
        <v>4.3273657289002561</v>
      </c>
      <c r="P485" s="94"/>
      <c r="Q485" s="94"/>
      <c r="R485" s="94">
        <v>2</v>
      </c>
    </row>
    <row r="486" spans="1:18" ht="36">
      <c r="A486" s="90">
        <v>235</v>
      </c>
      <c r="B486" s="87" t="s">
        <v>870</v>
      </c>
      <c r="C486" s="91" t="s">
        <v>871</v>
      </c>
      <c r="D486" s="92">
        <v>1886.68</v>
      </c>
      <c r="E486" s="92">
        <v>273.13</v>
      </c>
      <c r="F486" s="92">
        <v>1569.26</v>
      </c>
      <c r="G486" s="92">
        <v>44.29</v>
      </c>
      <c r="H486" s="93">
        <v>11433.99</v>
      </c>
      <c r="I486" s="93">
        <v>3141.02</v>
      </c>
      <c r="J486" s="93">
        <v>8087.86</v>
      </c>
      <c r="K486" s="93">
        <v>205.11</v>
      </c>
      <c r="L486" s="43">
        <v>6.060375898403545</v>
      </c>
      <c r="M486" s="43">
        <v>11.500091531505145</v>
      </c>
      <c r="N486" s="43">
        <v>5.1539324267489137</v>
      </c>
      <c r="O486" s="43">
        <v>4.6310679611650487</v>
      </c>
      <c r="P486" s="94"/>
      <c r="Q486" s="94"/>
      <c r="R486" s="94">
        <v>2</v>
      </c>
    </row>
    <row r="487" spans="1:18" ht="36">
      <c r="A487" s="90">
        <v>236</v>
      </c>
      <c r="B487" s="87" t="s">
        <v>872</v>
      </c>
      <c r="C487" s="91" t="s">
        <v>873</v>
      </c>
      <c r="D487" s="92">
        <v>2649.53</v>
      </c>
      <c r="E487" s="92">
        <v>316.97000000000003</v>
      </c>
      <c r="F487" s="92">
        <v>2191.4699999999998</v>
      </c>
      <c r="G487" s="92">
        <v>141.09</v>
      </c>
      <c r="H487" s="93">
        <v>15461.15</v>
      </c>
      <c r="I487" s="93">
        <v>3645.13</v>
      </c>
      <c r="J487" s="93">
        <v>11255.61</v>
      </c>
      <c r="K487" s="93">
        <v>560.41</v>
      </c>
      <c r="L487" s="43">
        <v>5.8354311896826978</v>
      </c>
      <c r="M487" s="43">
        <v>11.499921128182477</v>
      </c>
      <c r="N487" s="43">
        <v>5.1361004257416258</v>
      </c>
      <c r="O487" s="43">
        <v>3.9720036855907574</v>
      </c>
      <c r="P487" s="94"/>
      <c r="Q487" s="94"/>
      <c r="R487" s="94">
        <v>2</v>
      </c>
    </row>
    <row r="488" spans="1:18" ht="12.75" customHeight="1">
      <c r="A488" s="628" t="s">
        <v>874</v>
      </c>
      <c r="B488" s="629"/>
      <c r="C488" s="629"/>
      <c r="D488" s="629"/>
      <c r="E488" s="629"/>
      <c r="F488" s="629"/>
      <c r="G488" s="629"/>
      <c r="H488" s="629"/>
      <c r="I488" s="629"/>
      <c r="J488" s="629"/>
      <c r="K488" s="629"/>
      <c r="L488" s="629"/>
      <c r="M488" s="629"/>
      <c r="N488" s="629"/>
      <c r="O488" s="629"/>
      <c r="P488" s="629"/>
      <c r="Q488" s="629"/>
      <c r="R488" s="629"/>
    </row>
    <row r="489" spans="1:18" ht="12.75" customHeight="1">
      <c r="A489" s="628" t="s">
        <v>875</v>
      </c>
      <c r="B489" s="629"/>
      <c r="C489" s="629"/>
      <c r="D489" s="629"/>
      <c r="E489" s="629"/>
      <c r="F489" s="629"/>
      <c r="G489" s="629"/>
      <c r="H489" s="629"/>
      <c r="I489" s="629"/>
      <c r="J489" s="629"/>
      <c r="K489" s="629"/>
      <c r="L489" s="629"/>
      <c r="M489" s="629"/>
      <c r="N489" s="629"/>
      <c r="O489" s="629"/>
      <c r="P489" s="629"/>
      <c r="Q489" s="629"/>
      <c r="R489" s="629"/>
    </row>
    <row r="490" spans="1:18" ht="48">
      <c r="A490" s="90">
        <v>237</v>
      </c>
      <c r="B490" s="87" t="s">
        <v>876</v>
      </c>
      <c r="C490" s="91" t="s">
        <v>877</v>
      </c>
      <c r="D490" s="92">
        <v>45318.73</v>
      </c>
      <c r="E490" s="92">
        <v>3551.84</v>
      </c>
      <c r="F490" s="92">
        <v>41695.85</v>
      </c>
      <c r="G490" s="92">
        <v>71.040000000000006</v>
      </c>
      <c r="H490" s="93">
        <v>268726.01</v>
      </c>
      <c r="I490" s="93">
        <v>40846.160000000003</v>
      </c>
      <c r="J490" s="93">
        <v>227062.89</v>
      </c>
      <c r="K490" s="93">
        <v>816.96</v>
      </c>
      <c r="L490" s="43">
        <v>5.9296897772731052</v>
      </c>
      <c r="M490" s="43">
        <v>11.5</v>
      </c>
      <c r="N490" s="43">
        <v>5.4456951950853627</v>
      </c>
      <c r="O490" s="43">
        <v>11.5</v>
      </c>
      <c r="P490" s="94"/>
      <c r="Q490" s="94"/>
      <c r="R490" s="94">
        <v>1</v>
      </c>
    </row>
    <row r="491" spans="1:18" ht="48">
      <c r="A491" s="90">
        <v>238</v>
      </c>
      <c r="B491" s="87" t="s">
        <v>878</v>
      </c>
      <c r="C491" s="91" t="s">
        <v>879</v>
      </c>
      <c r="D491" s="92">
        <v>57073.48</v>
      </c>
      <c r="E491" s="92">
        <v>4743.28</v>
      </c>
      <c r="F491" s="92">
        <v>52235.33</v>
      </c>
      <c r="G491" s="92">
        <v>94.87</v>
      </c>
      <c r="H491" s="93">
        <v>340025.84</v>
      </c>
      <c r="I491" s="93">
        <v>54547.72</v>
      </c>
      <c r="J491" s="93">
        <v>284387.11</v>
      </c>
      <c r="K491" s="93">
        <v>1091.01</v>
      </c>
      <c r="L491" s="43">
        <v>5.9576854258755558</v>
      </c>
      <c r="M491" s="43">
        <v>11.5</v>
      </c>
      <c r="N491" s="43">
        <v>5.4443440866555255</v>
      </c>
      <c r="O491" s="43">
        <v>11.500052703699799</v>
      </c>
      <c r="P491" s="94"/>
      <c r="Q491" s="94"/>
      <c r="R491" s="94">
        <v>1</v>
      </c>
    </row>
    <row r="492" spans="1:18" ht="36">
      <c r="A492" s="90">
        <v>239</v>
      </c>
      <c r="B492" s="87" t="s">
        <v>880</v>
      </c>
      <c r="C492" s="91" t="s">
        <v>881</v>
      </c>
      <c r="D492" s="92">
        <v>62857.08</v>
      </c>
      <c r="E492" s="92">
        <v>5406.44</v>
      </c>
      <c r="F492" s="92">
        <v>57342.51</v>
      </c>
      <c r="G492" s="92">
        <v>108.13</v>
      </c>
      <c r="H492" s="93">
        <v>375611.58</v>
      </c>
      <c r="I492" s="93">
        <v>62174.06</v>
      </c>
      <c r="J492" s="93">
        <v>312194.02</v>
      </c>
      <c r="K492" s="93">
        <v>1243.5</v>
      </c>
      <c r="L492" s="43">
        <v>5.9756447483720212</v>
      </c>
      <c r="M492" s="43">
        <v>11.5</v>
      </c>
      <c r="N492" s="43">
        <v>5.4443731186514164</v>
      </c>
      <c r="O492" s="43">
        <v>11.500046240636271</v>
      </c>
      <c r="P492" s="94"/>
      <c r="Q492" s="94"/>
      <c r="R492" s="94">
        <v>1</v>
      </c>
    </row>
    <row r="493" spans="1:18" ht="36">
      <c r="A493" s="90">
        <v>240</v>
      </c>
      <c r="B493" s="87" t="s">
        <v>882</v>
      </c>
      <c r="C493" s="91" t="s">
        <v>883</v>
      </c>
      <c r="D493" s="92">
        <v>20419.11</v>
      </c>
      <c r="E493" s="92">
        <v>2270.48</v>
      </c>
      <c r="F493" s="92">
        <v>18103.22</v>
      </c>
      <c r="G493" s="92">
        <v>45.41</v>
      </c>
      <c r="H493" s="93">
        <v>122942.52</v>
      </c>
      <c r="I493" s="93">
        <v>26110.52</v>
      </c>
      <c r="J493" s="93">
        <v>96309.78</v>
      </c>
      <c r="K493" s="93">
        <v>522.22</v>
      </c>
      <c r="L493" s="43">
        <v>6.0209539005372905</v>
      </c>
      <c r="M493" s="43">
        <v>11.5</v>
      </c>
      <c r="N493" s="43">
        <v>5.320035883119135</v>
      </c>
      <c r="O493" s="43">
        <v>11.50011010790575</v>
      </c>
      <c r="P493" s="94"/>
      <c r="Q493" s="94"/>
      <c r="R493" s="94">
        <v>1</v>
      </c>
    </row>
    <row r="494" spans="1:18" ht="36">
      <c r="A494" s="90">
        <v>241</v>
      </c>
      <c r="B494" s="87" t="s">
        <v>884</v>
      </c>
      <c r="C494" s="91" t="s">
        <v>885</v>
      </c>
      <c r="D494" s="92">
        <v>39264.47</v>
      </c>
      <c r="E494" s="92">
        <v>3046.04</v>
      </c>
      <c r="F494" s="92">
        <v>36157.51</v>
      </c>
      <c r="G494" s="92">
        <v>60.92</v>
      </c>
      <c r="H494" s="93">
        <v>232702.37</v>
      </c>
      <c r="I494" s="93">
        <v>35029.46</v>
      </c>
      <c r="J494" s="93">
        <v>196972.33</v>
      </c>
      <c r="K494" s="93">
        <v>700.58</v>
      </c>
      <c r="L494" s="43">
        <v>5.9265379107371112</v>
      </c>
      <c r="M494" s="43">
        <v>11.5</v>
      </c>
      <c r="N494" s="43">
        <v>5.447618765783373</v>
      </c>
      <c r="O494" s="43">
        <v>11.5</v>
      </c>
      <c r="P494" s="94"/>
      <c r="Q494" s="94"/>
      <c r="R494" s="94">
        <v>1</v>
      </c>
    </row>
    <row r="495" spans="1:18" ht="48">
      <c r="A495" s="90">
        <v>242</v>
      </c>
      <c r="B495" s="87" t="s">
        <v>886</v>
      </c>
      <c r="C495" s="91" t="s">
        <v>887</v>
      </c>
      <c r="D495" s="92">
        <v>19621.560000000001</v>
      </c>
      <c r="E495" s="92">
        <v>2113.12</v>
      </c>
      <c r="F495" s="92">
        <v>17466.18</v>
      </c>
      <c r="G495" s="92">
        <v>42.26</v>
      </c>
      <c r="H495" s="93">
        <v>117717.06</v>
      </c>
      <c r="I495" s="93">
        <v>24300.880000000001</v>
      </c>
      <c r="J495" s="93">
        <v>92930.19</v>
      </c>
      <c r="K495" s="93">
        <v>485.99</v>
      </c>
      <c r="L495" s="43">
        <v>5.9993731385272113</v>
      </c>
      <c r="M495" s="43">
        <v>11.500000000000002</v>
      </c>
      <c r="N495" s="43">
        <v>5.3205789703300894</v>
      </c>
      <c r="O495" s="43">
        <v>11.5</v>
      </c>
      <c r="P495" s="94"/>
      <c r="Q495" s="94"/>
      <c r="R495" s="94">
        <v>1</v>
      </c>
    </row>
    <row r="496" spans="1:18" ht="36">
      <c r="A496" s="90">
        <v>243</v>
      </c>
      <c r="B496" s="87" t="s">
        <v>888</v>
      </c>
      <c r="C496" s="91" t="s">
        <v>889</v>
      </c>
      <c r="D496" s="92">
        <v>84781.79</v>
      </c>
      <c r="E496" s="92">
        <v>7036.24</v>
      </c>
      <c r="F496" s="92">
        <v>77604.83</v>
      </c>
      <c r="G496" s="92">
        <v>140.72</v>
      </c>
      <c r="H496" s="93">
        <v>505132.19</v>
      </c>
      <c r="I496" s="93">
        <v>80916.759999999995</v>
      </c>
      <c r="J496" s="93">
        <v>422597.15</v>
      </c>
      <c r="K496" s="93">
        <v>1618.28</v>
      </c>
      <c r="L496" s="43">
        <v>5.9580269536654047</v>
      </c>
      <c r="M496" s="43">
        <v>11.5</v>
      </c>
      <c r="N496" s="43">
        <v>5.4455006215463655</v>
      </c>
      <c r="O496" s="43">
        <v>11.5</v>
      </c>
      <c r="P496" s="94"/>
      <c r="Q496" s="94"/>
      <c r="R496" s="94">
        <v>1</v>
      </c>
    </row>
    <row r="497" spans="1:18" ht="36">
      <c r="A497" s="90">
        <v>244</v>
      </c>
      <c r="B497" s="87" t="s">
        <v>890</v>
      </c>
      <c r="C497" s="91" t="s">
        <v>891</v>
      </c>
      <c r="D497" s="92">
        <v>84870.36</v>
      </c>
      <c r="E497" s="92">
        <v>7013.76</v>
      </c>
      <c r="F497" s="92">
        <v>77716.320000000007</v>
      </c>
      <c r="G497" s="92">
        <v>140.28</v>
      </c>
      <c r="H497" s="93">
        <v>505446.13</v>
      </c>
      <c r="I497" s="93">
        <v>80658.240000000005</v>
      </c>
      <c r="J497" s="93">
        <v>423174.67</v>
      </c>
      <c r="K497" s="93">
        <v>1613.22</v>
      </c>
      <c r="L497" s="43">
        <v>5.9555082598919107</v>
      </c>
      <c r="M497" s="43">
        <v>11.5</v>
      </c>
      <c r="N497" s="43">
        <v>5.4451197637767708</v>
      </c>
      <c r="O497" s="43">
        <v>11.5</v>
      </c>
      <c r="P497" s="94"/>
      <c r="Q497" s="94"/>
      <c r="R497" s="94">
        <v>1</v>
      </c>
    </row>
    <row r="498" spans="1:18" ht="36">
      <c r="A498" s="90">
        <v>245</v>
      </c>
      <c r="B498" s="87" t="s">
        <v>892</v>
      </c>
      <c r="C498" s="91" t="s">
        <v>893</v>
      </c>
      <c r="D498" s="92">
        <v>92242.84</v>
      </c>
      <c r="E498" s="92">
        <v>7823.04</v>
      </c>
      <c r="F498" s="92">
        <v>84263.34</v>
      </c>
      <c r="G498" s="92">
        <v>156.46</v>
      </c>
      <c r="H498" s="93">
        <v>550553.82999999996</v>
      </c>
      <c r="I498" s="93">
        <v>89964.96</v>
      </c>
      <c r="J498" s="93">
        <v>458789.58</v>
      </c>
      <c r="K498" s="93">
        <v>1799.29</v>
      </c>
      <c r="L498" s="43">
        <v>5.9685264460634562</v>
      </c>
      <c r="M498" s="43">
        <v>11.5</v>
      </c>
      <c r="N498" s="43">
        <v>5.4447115435965392</v>
      </c>
      <c r="O498" s="43">
        <v>11.5</v>
      </c>
      <c r="P498" s="94"/>
      <c r="Q498" s="94"/>
      <c r="R498" s="94">
        <v>1</v>
      </c>
    </row>
    <row r="499" spans="1:18" ht="36">
      <c r="A499" s="90">
        <v>246</v>
      </c>
      <c r="B499" s="87" t="s">
        <v>894</v>
      </c>
      <c r="C499" s="91" t="s">
        <v>895</v>
      </c>
      <c r="D499" s="92">
        <v>105234.27</v>
      </c>
      <c r="E499" s="92">
        <v>9115.64</v>
      </c>
      <c r="F499" s="92">
        <v>95936.320000000007</v>
      </c>
      <c r="G499" s="92">
        <v>182.31</v>
      </c>
      <c r="H499" s="93">
        <v>629207.49</v>
      </c>
      <c r="I499" s="93">
        <v>104829.86</v>
      </c>
      <c r="J499" s="93">
        <v>522281.06</v>
      </c>
      <c r="K499" s="93">
        <v>2096.5700000000002</v>
      </c>
      <c r="L499" s="43">
        <v>5.9791120326106695</v>
      </c>
      <c r="M499" s="43">
        <v>11.5</v>
      </c>
      <c r="N499" s="43">
        <v>5.4440389208174755</v>
      </c>
      <c r="O499" s="43">
        <v>11.500027425813176</v>
      </c>
      <c r="P499" s="94"/>
      <c r="Q499" s="94"/>
      <c r="R499" s="94">
        <v>1</v>
      </c>
    </row>
    <row r="500" spans="1:18" ht="36">
      <c r="A500" s="90">
        <v>247</v>
      </c>
      <c r="B500" s="87" t="s">
        <v>896</v>
      </c>
      <c r="C500" s="91" t="s">
        <v>897</v>
      </c>
      <c r="D500" s="92">
        <v>114126.43</v>
      </c>
      <c r="E500" s="92">
        <v>10104.76</v>
      </c>
      <c r="F500" s="92">
        <v>103819.57</v>
      </c>
      <c r="G500" s="92">
        <v>202.1</v>
      </c>
      <c r="H500" s="93">
        <v>683737.81</v>
      </c>
      <c r="I500" s="93">
        <v>116204.74</v>
      </c>
      <c r="J500" s="93">
        <v>565208.92000000004</v>
      </c>
      <c r="K500" s="93">
        <v>2324.15</v>
      </c>
      <c r="L500" s="43">
        <v>5.9910557966283537</v>
      </c>
      <c r="M500" s="43">
        <v>11.5</v>
      </c>
      <c r="N500" s="43">
        <v>5.4441462240693159</v>
      </c>
      <c r="O500" s="43">
        <v>11.5</v>
      </c>
      <c r="P500" s="94"/>
      <c r="Q500" s="94"/>
      <c r="R500" s="94">
        <v>1</v>
      </c>
    </row>
    <row r="501" spans="1:18" ht="36">
      <c r="A501" s="90">
        <v>248</v>
      </c>
      <c r="B501" s="87" t="s">
        <v>898</v>
      </c>
      <c r="C501" s="91" t="s">
        <v>899</v>
      </c>
      <c r="D501" s="92">
        <v>67987.41</v>
      </c>
      <c r="E501" s="92">
        <v>6822.68</v>
      </c>
      <c r="F501" s="92">
        <v>61028.28</v>
      </c>
      <c r="G501" s="92">
        <v>136.44999999999999</v>
      </c>
      <c r="H501" s="93">
        <v>411925.9</v>
      </c>
      <c r="I501" s="93">
        <v>78460.820000000007</v>
      </c>
      <c r="J501" s="93">
        <v>331895.90000000002</v>
      </c>
      <c r="K501" s="93">
        <v>1569.18</v>
      </c>
      <c r="L501" s="43">
        <v>6.058855602824111</v>
      </c>
      <c r="M501" s="43">
        <v>11.5</v>
      </c>
      <c r="N501" s="43">
        <v>5.4383951178044017</v>
      </c>
      <c r="O501" s="43">
        <v>11.500036643459143</v>
      </c>
      <c r="P501" s="94"/>
      <c r="Q501" s="94"/>
      <c r="R501" s="94">
        <v>1</v>
      </c>
    </row>
    <row r="502" spans="1:18" ht="48">
      <c r="A502" s="90">
        <v>249</v>
      </c>
      <c r="B502" s="87" t="s">
        <v>900</v>
      </c>
      <c r="C502" s="91" t="s">
        <v>901</v>
      </c>
      <c r="D502" s="92">
        <v>99330.76</v>
      </c>
      <c r="E502" s="92">
        <v>8587.36</v>
      </c>
      <c r="F502" s="92">
        <v>90571.65</v>
      </c>
      <c r="G502" s="92">
        <v>171.75</v>
      </c>
      <c r="H502" s="93">
        <v>593708.71</v>
      </c>
      <c r="I502" s="93">
        <v>98754.64</v>
      </c>
      <c r="J502" s="93">
        <v>492978.94</v>
      </c>
      <c r="K502" s="93">
        <v>1975.13</v>
      </c>
      <c r="L502" s="43">
        <v>5.9770881648343375</v>
      </c>
      <c r="M502" s="43">
        <v>11.5</v>
      </c>
      <c r="N502" s="43">
        <v>5.4429718350057668</v>
      </c>
      <c r="O502" s="43">
        <v>11.500029112081515</v>
      </c>
      <c r="P502" s="94"/>
      <c r="Q502" s="94"/>
      <c r="R502" s="94">
        <v>1</v>
      </c>
    </row>
    <row r="503" spans="1:18" ht="36">
      <c r="A503" s="90">
        <v>250</v>
      </c>
      <c r="B503" s="87" t="s">
        <v>902</v>
      </c>
      <c r="C503" s="91" t="s">
        <v>903</v>
      </c>
      <c r="D503" s="92">
        <v>50671.01</v>
      </c>
      <c r="E503" s="92">
        <v>3585.56</v>
      </c>
      <c r="F503" s="92">
        <v>47013.74</v>
      </c>
      <c r="G503" s="92">
        <v>71.709999999999994</v>
      </c>
      <c r="H503" s="93">
        <v>298096.25</v>
      </c>
      <c r="I503" s="93">
        <v>41233.94</v>
      </c>
      <c r="J503" s="93">
        <v>256037.64</v>
      </c>
      <c r="K503" s="93">
        <v>824.67</v>
      </c>
      <c r="L503" s="43">
        <v>5.8829743081892385</v>
      </c>
      <c r="M503" s="43">
        <v>11.5</v>
      </c>
      <c r="N503" s="43">
        <v>5.4460172706957586</v>
      </c>
      <c r="O503" s="43">
        <v>11.500069725282389</v>
      </c>
      <c r="P503" s="94"/>
      <c r="Q503" s="94"/>
      <c r="R503" s="94">
        <v>1</v>
      </c>
    </row>
    <row r="504" spans="1:18" ht="36">
      <c r="A504" s="90">
        <v>251</v>
      </c>
      <c r="B504" s="87" t="s">
        <v>904</v>
      </c>
      <c r="C504" s="91" t="s">
        <v>905</v>
      </c>
      <c r="D504" s="92">
        <v>42871.07</v>
      </c>
      <c r="E504" s="92">
        <v>3574.32</v>
      </c>
      <c r="F504" s="92">
        <v>39225.26</v>
      </c>
      <c r="G504" s="92">
        <v>71.489999999999995</v>
      </c>
      <c r="H504" s="93">
        <v>255667.37</v>
      </c>
      <c r="I504" s="93">
        <v>41104.68</v>
      </c>
      <c r="J504" s="93">
        <v>213740.55</v>
      </c>
      <c r="K504" s="93">
        <v>822.14</v>
      </c>
      <c r="L504" s="43">
        <v>5.9636339844095332</v>
      </c>
      <c r="M504" s="43">
        <v>11.5</v>
      </c>
      <c r="N504" s="43">
        <v>5.4490537475086205</v>
      </c>
      <c r="O504" s="43">
        <v>11.500069939851729</v>
      </c>
      <c r="P504" s="94"/>
      <c r="Q504" s="94"/>
      <c r="R504" s="94">
        <v>1</v>
      </c>
    </row>
    <row r="505" spans="1:18" ht="36">
      <c r="A505" s="90">
        <v>252</v>
      </c>
      <c r="B505" s="87" t="s">
        <v>906</v>
      </c>
      <c r="C505" s="91" t="s">
        <v>907</v>
      </c>
      <c r="D505" s="92">
        <v>9376.69</v>
      </c>
      <c r="E505" s="92">
        <v>926.18</v>
      </c>
      <c r="F505" s="92">
        <v>8431.99</v>
      </c>
      <c r="G505" s="92">
        <v>18.52</v>
      </c>
      <c r="H505" s="93">
        <v>55785.61</v>
      </c>
      <c r="I505" s="93">
        <v>10651.02</v>
      </c>
      <c r="J505" s="93">
        <v>44921.61</v>
      </c>
      <c r="K505" s="93">
        <v>212.98</v>
      </c>
      <c r="L505" s="43">
        <v>5.9493925894958668</v>
      </c>
      <c r="M505" s="43">
        <v>11.499946014813537</v>
      </c>
      <c r="N505" s="43">
        <v>5.327521735675683</v>
      </c>
      <c r="O505" s="43">
        <v>11.5</v>
      </c>
      <c r="P505" s="94"/>
      <c r="Q505" s="94"/>
      <c r="R505" s="94">
        <v>1</v>
      </c>
    </row>
    <row r="506" spans="1:18" ht="12.75" customHeight="1">
      <c r="A506" s="628" t="s">
        <v>908</v>
      </c>
      <c r="B506" s="629"/>
      <c r="C506" s="629"/>
      <c r="D506" s="629"/>
      <c r="E506" s="629"/>
      <c r="F506" s="629"/>
      <c r="G506" s="629"/>
      <c r="H506" s="629"/>
      <c r="I506" s="629"/>
      <c r="J506" s="629"/>
      <c r="K506" s="629"/>
      <c r="L506" s="629"/>
      <c r="M506" s="629"/>
      <c r="N506" s="629"/>
      <c r="O506" s="629"/>
      <c r="P506" s="629"/>
      <c r="Q506" s="629"/>
      <c r="R506" s="629"/>
    </row>
    <row r="507" spans="1:18" ht="12.75" customHeight="1">
      <c r="A507" s="628" t="s">
        <v>909</v>
      </c>
      <c r="B507" s="629"/>
      <c r="C507" s="629"/>
      <c r="D507" s="629"/>
      <c r="E507" s="629"/>
      <c r="F507" s="629"/>
      <c r="G507" s="629"/>
      <c r="H507" s="629"/>
      <c r="I507" s="629"/>
      <c r="J507" s="629"/>
      <c r="K507" s="629"/>
      <c r="L507" s="629"/>
      <c r="M507" s="629"/>
      <c r="N507" s="629"/>
      <c r="O507" s="629"/>
      <c r="P507" s="629"/>
      <c r="Q507" s="629"/>
      <c r="R507" s="629"/>
    </row>
    <row r="508" spans="1:18" ht="24">
      <c r="A508" s="90">
        <v>253</v>
      </c>
      <c r="B508" s="87" t="s">
        <v>910</v>
      </c>
      <c r="C508" s="91" t="s">
        <v>911</v>
      </c>
      <c r="D508" s="92">
        <v>656.29</v>
      </c>
      <c r="E508" s="92">
        <v>555.36</v>
      </c>
      <c r="F508" s="92">
        <v>89.82</v>
      </c>
      <c r="G508" s="92">
        <v>11.11</v>
      </c>
      <c r="H508" s="93">
        <v>7002.3</v>
      </c>
      <c r="I508" s="93">
        <v>6386.86</v>
      </c>
      <c r="J508" s="93">
        <v>487.67</v>
      </c>
      <c r="K508" s="93">
        <v>127.77</v>
      </c>
      <c r="L508" s="43">
        <v>10.669521095857016</v>
      </c>
      <c r="M508" s="43">
        <v>11.500396139441083</v>
      </c>
      <c r="N508" s="43">
        <v>5.4294143843242049</v>
      </c>
      <c r="O508" s="43">
        <v>11.5004500450045</v>
      </c>
      <c r="P508" s="94"/>
      <c r="Q508" s="94"/>
      <c r="R508" s="94">
        <v>1</v>
      </c>
    </row>
    <row r="509" spans="1:18" ht="24">
      <c r="A509" s="90">
        <v>254</v>
      </c>
      <c r="B509" s="87" t="s">
        <v>912</v>
      </c>
      <c r="C509" s="91" t="s">
        <v>913</v>
      </c>
      <c r="D509" s="92">
        <v>1660.23</v>
      </c>
      <c r="E509" s="92">
        <v>880.23</v>
      </c>
      <c r="F509" s="92">
        <v>762.4</v>
      </c>
      <c r="G509" s="92">
        <v>17.600000000000001</v>
      </c>
      <c r="H509" s="93">
        <v>14246.8</v>
      </c>
      <c r="I509" s="93">
        <v>10122.65</v>
      </c>
      <c r="J509" s="93">
        <v>3921.75</v>
      </c>
      <c r="K509" s="93">
        <v>202.4</v>
      </c>
      <c r="L509" s="43">
        <v>8.5812206742439301</v>
      </c>
      <c r="M509" s="43">
        <v>11.500005680333549</v>
      </c>
      <c r="N509" s="43">
        <v>5.1439533053515216</v>
      </c>
      <c r="O509" s="43">
        <v>11.5</v>
      </c>
      <c r="P509" s="94"/>
      <c r="Q509" s="94"/>
      <c r="R509" s="94">
        <v>1</v>
      </c>
    </row>
    <row r="510" spans="1:18" ht="24">
      <c r="A510" s="90">
        <v>255</v>
      </c>
      <c r="B510" s="87" t="s">
        <v>914</v>
      </c>
      <c r="C510" s="91" t="s">
        <v>915</v>
      </c>
      <c r="D510" s="92">
        <v>1978.24</v>
      </c>
      <c r="E510" s="92">
        <v>1079.1600000000001</v>
      </c>
      <c r="F510" s="92">
        <v>877.5</v>
      </c>
      <c r="G510" s="92">
        <v>21.58</v>
      </c>
      <c r="H510" s="93">
        <v>17179.439999999999</v>
      </c>
      <c r="I510" s="93">
        <v>12410.34</v>
      </c>
      <c r="J510" s="93">
        <v>4520.93</v>
      </c>
      <c r="K510" s="93">
        <v>248.17</v>
      </c>
      <c r="L510" s="43">
        <v>8.6842041410546749</v>
      </c>
      <c r="M510" s="43">
        <v>11.5</v>
      </c>
      <c r="N510" s="43">
        <v>5.1520569800569804</v>
      </c>
      <c r="O510" s="43">
        <v>11.5</v>
      </c>
      <c r="P510" s="94"/>
      <c r="Q510" s="94"/>
      <c r="R510" s="94">
        <v>1</v>
      </c>
    </row>
    <row r="511" spans="1:18" ht="24">
      <c r="A511" s="90">
        <v>256</v>
      </c>
      <c r="B511" s="87" t="s">
        <v>916</v>
      </c>
      <c r="C511" s="91" t="s">
        <v>917</v>
      </c>
      <c r="D511" s="92">
        <v>2569.04</v>
      </c>
      <c r="E511" s="92">
        <v>1269.5999999999999</v>
      </c>
      <c r="F511" s="92">
        <v>1274.05</v>
      </c>
      <c r="G511" s="92">
        <v>25.39</v>
      </c>
      <c r="H511" s="93">
        <v>21539.9</v>
      </c>
      <c r="I511" s="93">
        <v>14600.4</v>
      </c>
      <c r="J511" s="93">
        <v>6647.51</v>
      </c>
      <c r="K511" s="93">
        <v>291.99</v>
      </c>
      <c r="L511" s="43">
        <v>8.3844159686108437</v>
      </c>
      <c r="M511" s="43">
        <v>11.5</v>
      </c>
      <c r="N511" s="43">
        <v>5.2176209724893061</v>
      </c>
      <c r="O511" s="43">
        <v>11.50019692792438</v>
      </c>
      <c r="P511" s="94"/>
      <c r="Q511" s="94"/>
      <c r="R511" s="94">
        <v>1</v>
      </c>
    </row>
    <row r="512" spans="1:18" ht="24">
      <c r="A512" s="90">
        <v>257</v>
      </c>
      <c r="B512" s="87" t="s">
        <v>918</v>
      </c>
      <c r="C512" s="91" t="s">
        <v>919</v>
      </c>
      <c r="D512" s="92">
        <v>740.51</v>
      </c>
      <c r="E512" s="92">
        <v>600.19000000000005</v>
      </c>
      <c r="F512" s="92">
        <v>128.32</v>
      </c>
      <c r="G512" s="92">
        <v>12</v>
      </c>
      <c r="H512" s="93">
        <v>7737.17</v>
      </c>
      <c r="I512" s="93">
        <v>6902.49</v>
      </c>
      <c r="J512" s="93">
        <v>696.68</v>
      </c>
      <c r="K512" s="93">
        <v>138</v>
      </c>
      <c r="L512" s="43">
        <v>10.448434187249328</v>
      </c>
      <c r="M512" s="43">
        <v>11.500508172412069</v>
      </c>
      <c r="N512" s="43">
        <v>5.4292394014962593</v>
      </c>
      <c r="O512" s="43">
        <v>11.5</v>
      </c>
      <c r="P512" s="94"/>
      <c r="Q512" s="94"/>
      <c r="R512" s="94">
        <v>1</v>
      </c>
    </row>
    <row r="513" spans="1:18" ht="24">
      <c r="A513" s="90">
        <v>258</v>
      </c>
      <c r="B513" s="87" t="s">
        <v>920</v>
      </c>
      <c r="C513" s="91" t="s">
        <v>921</v>
      </c>
      <c r="D513" s="92">
        <v>1965.23</v>
      </c>
      <c r="E513" s="92">
        <v>838.64</v>
      </c>
      <c r="F513" s="92">
        <v>1109.82</v>
      </c>
      <c r="G513" s="92">
        <v>16.77</v>
      </c>
      <c r="H513" s="93">
        <v>15567.08</v>
      </c>
      <c r="I513" s="93">
        <v>9644.74</v>
      </c>
      <c r="J513" s="93">
        <v>5729.48</v>
      </c>
      <c r="K513" s="93">
        <v>192.86</v>
      </c>
      <c r="L513" s="43">
        <v>7.9212509477262198</v>
      </c>
      <c r="M513" s="43">
        <v>11.50045311456644</v>
      </c>
      <c r="N513" s="43">
        <v>5.1625308608603193</v>
      </c>
      <c r="O513" s="43">
        <v>11.500298151460944</v>
      </c>
      <c r="P513" s="94"/>
      <c r="Q513" s="94"/>
      <c r="R513" s="94">
        <v>1</v>
      </c>
    </row>
    <row r="514" spans="1:18" ht="24">
      <c r="A514" s="90">
        <v>259</v>
      </c>
      <c r="B514" s="87" t="s">
        <v>922</v>
      </c>
      <c r="C514" s="91" t="s">
        <v>923</v>
      </c>
      <c r="D514" s="92">
        <v>2378.23</v>
      </c>
      <c r="E514" s="92">
        <v>1127.3599999999999</v>
      </c>
      <c r="F514" s="92">
        <v>1228.32</v>
      </c>
      <c r="G514" s="92">
        <v>22.55</v>
      </c>
      <c r="H514" s="93">
        <v>19563.89</v>
      </c>
      <c r="I514" s="93">
        <v>12964.64</v>
      </c>
      <c r="J514" s="93">
        <v>6339.92</v>
      </c>
      <c r="K514" s="93">
        <v>259.33</v>
      </c>
      <c r="L514" s="43">
        <v>8.2262396824529169</v>
      </c>
      <c r="M514" s="43">
        <v>11.5</v>
      </c>
      <c r="N514" s="43">
        <v>5.1614562980330865</v>
      </c>
      <c r="O514" s="43">
        <v>11.500221729490022</v>
      </c>
      <c r="P514" s="94"/>
      <c r="Q514" s="94"/>
      <c r="R514" s="94">
        <v>1</v>
      </c>
    </row>
    <row r="515" spans="1:18" ht="24">
      <c r="A515" s="90">
        <v>260</v>
      </c>
      <c r="B515" s="87" t="s">
        <v>924</v>
      </c>
      <c r="C515" s="91" t="s">
        <v>925</v>
      </c>
      <c r="D515" s="92">
        <v>2747.25</v>
      </c>
      <c r="E515" s="92">
        <v>1355</v>
      </c>
      <c r="F515" s="92">
        <v>1365.15</v>
      </c>
      <c r="G515" s="92">
        <v>27.1</v>
      </c>
      <c r="H515" s="93">
        <v>22943.41</v>
      </c>
      <c r="I515" s="93">
        <v>15582.5</v>
      </c>
      <c r="J515" s="93">
        <v>7049.26</v>
      </c>
      <c r="K515" s="93">
        <v>311.64999999999998</v>
      </c>
      <c r="L515" s="43">
        <v>8.3514095914095918</v>
      </c>
      <c r="M515" s="43">
        <v>11.5</v>
      </c>
      <c r="N515" s="43">
        <v>5.1637255979196421</v>
      </c>
      <c r="O515" s="43">
        <v>11.499999999999998</v>
      </c>
      <c r="P515" s="94"/>
      <c r="Q515" s="94"/>
      <c r="R515" s="94">
        <v>1</v>
      </c>
    </row>
    <row r="516" spans="1:18" ht="24">
      <c r="A516" s="90">
        <v>261</v>
      </c>
      <c r="B516" s="87" t="s">
        <v>926</v>
      </c>
      <c r="C516" s="91" t="s">
        <v>927</v>
      </c>
      <c r="D516" s="92">
        <v>1667.77</v>
      </c>
      <c r="E516" s="92">
        <v>659.78</v>
      </c>
      <c r="F516" s="92">
        <v>994.79</v>
      </c>
      <c r="G516" s="92">
        <v>13.2</v>
      </c>
      <c r="H516" s="93">
        <v>12954.01</v>
      </c>
      <c r="I516" s="93">
        <v>7587.42</v>
      </c>
      <c r="J516" s="93">
        <v>5214.79</v>
      </c>
      <c r="K516" s="93">
        <v>151.80000000000001</v>
      </c>
      <c r="L516" s="43">
        <v>7.7672640711848757</v>
      </c>
      <c r="M516" s="43">
        <v>11.499924217163297</v>
      </c>
      <c r="N516" s="43">
        <v>5.2421013480232013</v>
      </c>
      <c r="O516" s="43">
        <v>11.500000000000002</v>
      </c>
      <c r="P516" s="94"/>
      <c r="Q516" s="94"/>
      <c r="R516" s="94">
        <v>1</v>
      </c>
    </row>
    <row r="517" spans="1:18" ht="24">
      <c r="A517" s="90">
        <v>262</v>
      </c>
      <c r="B517" s="87" t="s">
        <v>928</v>
      </c>
      <c r="C517" s="91" t="s">
        <v>929</v>
      </c>
      <c r="D517" s="92">
        <v>2358.9499999999998</v>
      </c>
      <c r="E517" s="92">
        <v>949.4</v>
      </c>
      <c r="F517" s="92">
        <v>1390.56</v>
      </c>
      <c r="G517" s="92">
        <v>18.989999999999998</v>
      </c>
      <c r="H517" s="93">
        <v>18372.97</v>
      </c>
      <c r="I517" s="93">
        <v>10918.1</v>
      </c>
      <c r="J517" s="93">
        <v>7236.48</v>
      </c>
      <c r="K517" s="93">
        <v>218.39</v>
      </c>
      <c r="L517" s="43">
        <v>7.7886220564234101</v>
      </c>
      <c r="M517" s="43">
        <v>11.5</v>
      </c>
      <c r="N517" s="43">
        <v>5.2040041422160854</v>
      </c>
      <c r="O517" s="43">
        <v>11.500263296471827</v>
      </c>
      <c r="P517" s="94"/>
      <c r="Q517" s="94"/>
      <c r="R517" s="94">
        <v>1</v>
      </c>
    </row>
    <row r="518" spans="1:18" ht="24">
      <c r="A518" s="90">
        <v>263</v>
      </c>
      <c r="B518" s="87" t="s">
        <v>930</v>
      </c>
      <c r="C518" s="91" t="s">
        <v>931</v>
      </c>
      <c r="D518" s="92">
        <v>2786.87</v>
      </c>
      <c r="E518" s="92">
        <v>1191.8</v>
      </c>
      <c r="F518" s="92">
        <v>1571.23</v>
      </c>
      <c r="G518" s="92">
        <v>23.84</v>
      </c>
      <c r="H518" s="93">
        <v>22152.43</v>
      </c>
      <c r="I518" s="93">
        <v>13705.7</v>
      </c>
      <c r="J518" s="93">
        <v>8172.57</v>
      </c>
      <c r="K518" s="93">
        <v>274.16000000000003</v>
      </c>
      <c r="L518" s="43">
        <v>7.9488566025684735</v>
      </c>
      <c r="M518" s="43">
        <v>11.500000000000002</v>
      </c>
      <c r="N518" s="43">
        <v>5.2013836293858953</v>
      </c>
      <c r="O518" s="43">
        <v>11.500000000000002</v>
      </c>
      <c r="P518" s="94"/>
      <c r="Q518" s="94"/>
      <c r="R518" s="94">
        <v>1</v>
      </c>
    </row>
    <row r="519" spans="1:18" ht="24">
      <c r="A519" s="90">
        <v>264</v>
      </c>
      <c r="B519" s="87" t="s">
        <v>932</v>
      </c>
      <c r="C519" s="91" t="s">
        <v>933</v>
      </c>
      <c r="D519" s="92">
        <v>3262.47</v>
      </c>
      <c r="E519" s="92">
        <v>1452.56</v>
      </c>
      <c r="F519" s="92">
        <v>1780.86</v>
      </c>
      <c r="G519" s="92">
        <v>29.05</v>
      </c>
      <c r="H519" s="93">
        <v>26302.86</v>
      </c>
      <c r="I519" s="93">
        <v>16704.439999999999</v>
      </c>
      <c r="J519" s="93">
        <v>9264.34</v>
      </c>
      <c r="K519" s="93">
        <v>334.08</v>
      </c>
      <c r="L519" s="43">
        <v>8.0622534460087003</v>
      </c>
      <c r="M519" s="43">
        <v>11.5</v>
      </c>
      <c r="N519" s="43">
        <v>5.2021719843221819</v>
      </c>
      <c r="O519" s="43">
        <v>11.500172117039586</v>
      </c>
      <c r="P519" s="94"/>
      <c r="Q519" s="94"/>
      <c r="R519" s="94">
        <v>1</v>
      </c>
    </row>
    <row r="520" spans="1:18" ht="24">
      <c r="A520" s="90">
        <v>265</v>
      </c>
      <c r="B520" s="87" t="s">
        <v>934</v>
      </c>
      <c r="C520" s="91" t="s">
        <v>935</v>
      </c>
      <c r="D520" s="92">
        <v>4447.21</v>
      </c>
      <c r="E520" s="92">
        <v>1024.8</v>
      </c>
      <c r="F520" s="92">
        <v>3401.91</v>
      </c>
      <c r="G520" s="92">
        <v>20.5</v>
      </c>
      <c r="H520" s="93">
        <v>29381.52</v>
      </c>
      <c r="I520" s="93">
        <v>11785.2</v>
      </c>
      <c r="J520" s="93">
        <v>17360.57</v>
      </c>
      <c r="K520" s="93">
        <v>235.75</v>
      </c>
      <c r="L520" s="43">
        <v>6.6067309616591077</v>
      </c>
      <c r="M520" s="43">
        <v>11.500000000000002</v>
      </c>
      <c r="N520" s="43">
        <v>5.1031832117839686</v>
      </c>
      <c r="O520" s="43">
        <v>11.5</v>
      </c>
      <c r="P520" s="94"/>
      <c r="Q520" s="94"/>
      <c r="R520" s="94">
        <v>1</v>
      </c>
    </row>
    <row r="521" spans="1:18" ht="24">
      <c r="A521" s="90">
        <v>266</v>
      </c>
      <c r="B521" s="87" t="s">
        <v>936</v>
      </c>
      <c r="C521" s="91" t="s">
        <v>937</v>
      </c>
      <c r="D521" s="92">
        <v>5475.84</v>
      </c>
      <c r="E521" s="92">
        <v>1365.46</v>
      </c>
      <c r="F521" s="92">
        <v>4083.07</v>
      </c>
      <c r="G521" s="92">
        <v>27.31</v>
      </c>
      <c r="H521" s="93">
        <v>36861.11</v>
      </c>
      <c r="I521" s="93">
        <v>15703.46</v>
      </c>
      <c r="J521" s="93">
        <v>20843.580000000002</v>
      </c>
      <c r="K521" s="93">
        <v>314.07</v>
      </c>
      <c r="L521" s="43">
        <v>6.7315900391538097</v>
      </c>
      <c r="M521" s="43">
        <v>11.500490677134444</v>
      </c>
      <c r="N521" s="43">
        <v>5.1048794167134046</v>
      </c>
      <c r="O521" s="43">
        <v>11.500183083119737</v>
      </c>
      <c r="P521" s="94"/>
      <c r="Q521" s="94"/>
      <c r="R521" s="94">
        <v>1</v>
      </c>
    </row>
    <row r="522" spans="1:18" ht="24">
      <c r="A522" s="90">
        <v>267</v>
      </c>
      <c r="B522" s="87" t="s">
        <v>938</v>
      </c>
      <c r="C522" s="91" t="s">
        <v>939</v>
      </c>
      <c r="D522" s="92">
        <v>5942.69</v>
      </c>
      <c r="E522" s="92">
        <v>1661.52</v>
      </c>
      <c r="F522" s="92">
        <v>4247.9399999999996</v>
      </c>
      <c r="G522" s="92">
        <v>33.229999999999997</v>
      </c>
      <c r="H522" s="93">
        <v>41197.839999999997</v>
      </c>
      <c r="I522" s="93">
        <v>19107.48</v>
      </c>
      <c r="J522" s="93">
        <v>21708.21</v>
      </c>
      <c r="K522" s="93">
        <v>382.15</v>
      </c>
      <c r="L522" s="43">
        <v>6.9325238233863784</v>
      </c>
      <c r="M522" s="43">
        <v>11.5</v>
      </c>
      <c r="N522" s="43">
        <v>5.1102911058065796</v>
      </c>
      <c r="O522" s="43">
        <v>11.500150466445984</v>
      </c>
      <c r="P522" s="94"/>
      <c r="Q522" s="94"/>
      <c r="R522" s="94">
        <v>1</v>
      </c>
    </row>
    <row r="523" spans="1:18" ht="24">
      <c r="A523" s="90">
        <v>268</v>
      </c>
      <c r="B523" s="87" t="s">
        <v>940</v>
      </c>
      <c r="C523" s="91" t="s">
        <v>941</v>
      </c>
      <c r="D523" s="92">
        <v>6424.25</v>
      </c>
      <c r="E523" s="92">
        <v>2010.2</v>
      </c>
      <c r="F523" s="92">
        <v>4373.8500000000004</v>
      </c>
      <c r="G523" s="92">
        <v>40.200000000000003</v>
      </c>
      <c r="H523" s="93">
        <v>45944.59</v>
      </c>
      <c r="I523" s="93">
        <v>23117.3</v>
      </c>
      <c r="J523" s="93">
        <v>22364.99</v>
      </c>
      <c r="K523" s="93">
        <v>462.3</v>
      </c>
      <c r="L523" s="43">
        <v>7.1517437833210096</v>
      </c>
      <c r="M523" s="43">
        <v>11.5</v>
      </c>
      <c r="N523" s="43">
        <v>5.1133417926997957</v>
      </c>
      <c r="O523" s="43">
        <v>11.5</v>
      </c>
      <c r="P523" s="94"/>
      <c r="Q523" s="94"/>
      <c r="R523" s="94">
        <v>1</v>
      </c>
    </row>
    <row r="524" spans="1:18" ht="24">
      <c r="A524" s="90">
        <v>269</v>
      </c>
      <c r="B524" s="87" t="s">
        <v>942</v>
      </c>
      <c r="C524" s="91" t="s">
        <v>943</v>
      </c>
      <c r="D524" s="92">
        <v>4706.9399999999996</v>
      </c>
      <c r="E524" s="92">
        <v>1142.28</v>
      </c>
      <c r="F524" s="92">
        <v>3541.81</v>
      </c>
      <c r="G524" s="92">
        <v>22.85</v>
      </c>
      <c r="H524" s="93">
        <v>31516.43</v>
      </c>
      <c r="I524" s="93">
        <v>13136.22</v>
      </c>
      <c r="J524" s="93">
        <v>18117.43</v>
      </c>
      <c r="K524" s="93">
        <v>262.77999999999997</v>
      </c>
      <c r="L524" s="43">
        <v>6.6957365082197784</v>
      </c>
      <c r="M524" s="43">
        <v>11.5</v>
      </c>
      <c r="N524" s="43">
        <v>5.1153026277524773</v>
      </c>
      <c r="O524" s="43">
        <v>11.500218818380741</v>
      </c>
      <c r="P524" s="94"/>
      <c r="Q524" s="94"/>
      <c r="R524" s="94">
        <v>1</v>
      </c>
    </row>
    <row r="525" spans="1:18" ht="24">
      <c r="A525" s="90">
        <v>270</v>
      </c>
      <c r="B525" s="87" t="s">
        <v>944</v>
      </c>
      <c r="C525" s="91" t="s">
        <v>945</v>
      </c>
      <c r="D525" s="92">
        <v>3940.12</v>
      </c>
      <c r="E525" s="92">
        <v>1382.76</v>
      </c>
      <c r="F525" s="92">
        <v>2529.6999999999998</v>
      </c>
      <c r="G525" s="92">
        <v>27.66</v>
      </c>
      <c r="H525" s="93">
        <v>29200.66</v>
      </c>
      <c r="I525" s="93">
        <v>15901.74</v>
      </c>
      <c r="J525" s="93">
        <v>12980.83</v>
      </c>
      <c r="K525" s="93">
        <v>318.08999999999997</v>
      </c>
      <c r="L525" s="43">
        <v>7.4111093063155442</v>
      </c>
      <c r="M525" s="43">
        <v>11.5</v>
      </c>
      <c r="N525" s="43">
        <v>5.1313713088508521</v>
      </c>
      <c r="O525" s="43">
        <v>11.499999999999998</v>
      </c>
      <c r="P525" s="94"/>
      <c r="Q525" s="94"/>
      <c r="R525" s="94">
        <v>1</v>
      </c>
    </row>
    <row r="526" spans="1:18" ht="24">
      <c r="A526" s="90">
        <v>271</v>
      </c>
      <c r="B526" s="87" t="s">
        <v>946</v>
      </c>
      <c r="C526" s="91" t="s">
        <v>947</v>
      </c>
      <c r="D526" s="92">
        <v>6225.27</v>
      </c>
      <c r="E526" s="92">
        <v>1573.14</v>
      </c>
      <c r="F526" s="92">
        <v>4620.67</v>
      </c>
      <c r="G526" s="92">
        <v>31.46</v>
      </c>
      <c r="H526" s="93">
        <v>42100.39</v>
      </c>
      <c r="I526" s="93">
        <v>18091.11</v>
      </c>
      <c r="J526" s="93">
        <v>23647.49</v>
      </c>
      <c r="K526" s="93">
        <v>361.79</v>
      </c>
      <c r="L526" s="43">
        <v>6.7628215322387621</v>
      </c>
      <c r="M526" s="43">
        <v>11.5</v>
      </c>
      <c r="N526" s="43">
        <v>5.1177621427195623</v>
      </c>
      <c r="O526" s="43">
        <v>11.5</v>
      </c>
      <c r="P526" s="94"/>
      <c r="Q526" s="94"/>
      <c r="R526" s="94">
        <v>1</v>
      </c>
    </row>
    <row r="527" spans="1:18" ht="24">
      <c r="A527" s="90">
        <v>272</v>
      </c>
      <c r="B527" s="87" t="s">
        <v>948</v>
      </c>
      <c r="C527" s="91" t="s">
        <v>949</v>
      </c>
      <c r="D527" s="92">
        <v>6844.61</v>
      </c>
      <c r="E527" s="92">
        <v>2033.04</v>
      </c>
      <c r="F527" s="92">
        <v>4770.91</v>
      </c>
      <c r="G527" s="92">
        <v>40.659999999999997</v>
      </c>
      <c r="H527" s="93">
        <v>48277.45</v>
      </c>
      <c r="I527" s="93">
        <v>23379.96</v>
      </c>
      <c r="J527" s="93">
        <v>24429.9</v>
      </c>
      <c r="K527" s="93">
        <v>467.59</v>
      </c>
      <c r="L527" s="43">
        <v>7.053352930261914</v>
      </c>
      <c r="M527" s="43">
        <v>11.5</v>
      </c>
      <c r="N527" s="43">
        <v>5.1205954419597104</v>
      </c>
      <c r="O527" s="43">
        <v>11.5</v>
      </c>
      <c r="P527" s="94"/>
      <c r="Q527" s="94"/>
      <c r="R527" s="94">
        <v>1</v>
      </c>
    </row>
    <row r="528" spans="1:18" ht="24">
      <c r="A528" s="90">
        <v>273</v>
      </c>
      <c r="B528" s="87" t="s">
        <v>950</v>
      </c>
      <c r="C528" s="91" t="s">
        <v>951</v>
      </c>
      <c r="D528" s="92">
        <v>5006.58</v>
      </c>
      <c r="E528" s="92">
        <v>1181.67</v>
      </c>
      <c r="F528" s="92">
        <v>3801.28</v>
      </c>
      <c r="G528" s="92">
        <v>23.63</v>
      </c>
      <c r="H528" s="93">
        <v>33384.92</v>
      </c>
      <c r="I528" s="93">
        <v>13589.8</v>
      </c>
      <c r="J528" s="93">
        <v>19523.37</v>
      </c>
      <c r="K528" s="93">
        <v>271.75</v>
      </c>
      <c r="L528" s="43">
        <v>6.6682086374331373</v>
      </c>
      <c r="M528" s="43">
        <v>11.500503524672707</v>
      </c>
      <c r="N528" s="43">
        <v>5.1359989266773294</v>
      </c>
      <c r="O528" s="43">
        <v>11.500211595429539</v>
      </c>
      <c r="P528" s="94"/>
      <c r="Q528" s="94"/>
      <c r="R528" s="94">
        <v>1</v>
      </c>
    </row>
    <row r="529" spans="1:18" ht="24">
      <c r="A529" s="90">
        <v>274</v>
      </c>
      <c r="B529" s="87" t="s">
        <v>952</v>
      </c>
      <c r="C529" s="91" t="s">
        <v>953</v>
      </c>
      <c r="D529" s="92">
        <v>6370.87</v>
      </c>
      <c r="E529" s="92">
        <v>1519.29</v>
      </c>
      <c r="F529" s="92">
        <v>4821.1899999999996</v>
      </c>
      <c r="G529" s="92">
        <v>30.39</v>
      </c>
      <c r="H529" s="93">
        <v>42573.1</v>
      </c>
      <c r="I529" s="93">
        <v>17472.599999999999</v>
      </c>
      <c r="J529" s="93">
        <v>24751.01</v>
      </c>
      <c r="K529" s="93">
        <v>349.49</v>
      </c>
      <c r="L529" s="43">
        <v>6.682462520817408</v>
      </c>
      <c r="M529" s="43">
        <v>11.500503524672709</v>
      </c>
      <c r="N529" s="43">
        <v>5.1337968426882163</v>
      </c>
      <c r="O529" s="43">
        <v>11.500164527805198</v>
      </c>
      <c r="P529" s="94"/>
      <c r="Q529" s="94"/>
      <c r="R529" s="94">
        <v>1</v>
      </c>
    </row>
    <row r="530" spans="1:18" ht="24">
      <c r="A530" s="90">
        <v>275</v>
      </c>
      <c r="B530" s="87" t="s">
        <v>954</v>
      </c>
      <c r="C530" s="91" t="s">
        <v>955</v>
      </c>
      <c r="D530" s="92">
        <v>6961.38</v>
      </c>
      <c r="E530" s="92">
        <v>1909.2</v>
      </c>
      <c r="F530" s="92">
        <v>5014</v>
      </c>
      <c r="G530" s="92">
        <v>38.18</v>
      </c>
      <c r="H530" s="93">
        <v>48147.24</v>
      </c>
      <c r="I530" s="93">
        <v>21955.8</v>
      </c>
      <c r="J530" s="93">
        <v>25752.37</v>
      </c>
      <c r="K530" s="93">
        <v>439.07</v>
      </c>
      <c r="L530" s="43">
        <v>6.9163355541573646</v>
      </c>
      <c r="M530" s="43">
        <v>11.5</v>
      </c>
      <c r="N530" s="43">
        <v>5.1360929397686474</v>
      </c>
      <c r="O530" s="43">
        <v>11.5</v>
      </c>
      <c r="P530" s="94"/>
      <c r="Q530" s="94"/>
      <c r="R530" s="94">
        <v>1</v>
      </c>
    </row>
    <row r="531" spans="1:18" ht="24">
      <c r="A531" s="90">
        <v>276</v>
      </c>
      <c r="B531" s="87" t="s">
        <v>956</v>
      </c>
      <c r="C531" s="91" t="s">
        <v>957</v>
      </c>
      <c r="D531" s="92">
        <v>7615.67</v>
      </c>
      <c r="E531" s="92">
        <v>2218.8000000000002</v>
      </c>
      <c r="F531" s="92">
        <v>5352.49</v>
      </c>
      <c r="G531" s="92">
        <v>44.38</v>
      </c>
      <c r="H531" s="93">
        <v>53574.12</v>
      </c>
      <c r="I531" s="93">
        <v>25516.2</v>
      </c>
      <c r="J531" s="93">
        <v>27547.55</v>
      </c>
      <c r="K531" s="93">
        <v>510.37</v>
      </c>
      <c r="L531" s="43">
        <v>7.0347218301213159</v>
      </c>
      <c r="M531" s="43">
        <v>11.5</v>
      </c>
      <c r="N531" s="43">
        <v>5.146679395944691</v>
      </c>
      <c r="O531" s="43">
        <v>11.5</v>
      </c>
      <c r="P531" s="94"/>
      <c r="Q531" s="94"/>
      <c r="R531" s="94">
        <v>1</v>
      </c>
    </row>
    <row r="532" spans="1:18" ht="12.75" customHeight="1">
      <c r="A532" s="628" t="s">
        <v>958</v>
      </c>
      <c r="B532" s="629"/>
      <c r="C532" s="629"/>
      <c r="D532" s="629"/>
      <c r="E532" s="629"/>
      <c r="F532" s="629"/>
      <c r="G532" s="629"/>
      <c r="H532" s="629"/>
      <c r="I532" s="629"/>
      <c r="J532" s="629"/>
      <c r="K532" s="629"/>
      <c r="L532" s="629"/>
      <c r="M532" s="629"/>
      <c r="N532" s="629"/>
      <c r="O532" s="629"/>
      <c r="P532" s="629"/>
      <c r="Q532" s="629"/>
      <c r="R532" s="629"/>
    </row>
    <row r="533" spans="1:18" ht="24">
      <c r="A533" s="90">
        <v>277</v>
      </c>
      <c r="B533" s="87" t="s">
        <v>959</v>
      </c>
      <c r="C533" s="91" t="s">
        <v>960</v>
      </c>
      <c r="D533" s="92">
        <v>3713.86</v>
      </c>
      <c r="E533" s="92">
        <v>3068.52</v>
      </c>
      <c r="F533" s="92">
        <v>583.97</v>
      </c>
      <c r="G533" s="92">
        <v>61.37</v>
      </c>
      <c r="H533" s="93">
        <v>38621.839999999997</v>
      </c>
      <c r="I533" s="93">
        <v>35287.980000000003</v>
      </c>
      <c r="J533" s="93">
        <v>2628.1</v>
      </c>
      <c r="K533" s="93">
        <v>705.76</v>
      </c>
      <c r="L533" s="43">
        <v>10.399379621202737</v>
      </c>
      <c r="M533" s="43">
        <v>11.500000000000002</v>
      </c>
      <c r="N533" s="43">
        <v>4.5004024179324276</v>
      </c>
      <c r="O533" s="43">
        <v>11.500081473032427</v>
      </c>
      <c r="P533" s="94"/>
      <c r="Q533" s="94"/>
      <c r="R533" s="94">
        <v>2</v>
      </c>
    </row>
    <row r="534" spans="1:18" ht="24">
      <c r="A534" s="90">
        <v>278</v>
      </c>
      <c r="B534" s="87" t="s">
        <v>961</v>
      </c>
      <c r="C534" s="91" t="s">
        <v>962</v>
      </c>
      <c r="D534" s="92">
        <v>4457.16</v>
      </c>
      <c r="E534" s="92">
        <v>3707.86</v>
      </c>
      <c r="F534" s="92">
        <v>675.14</v>
      </c>
      <c r="G534" s="92">
        <v>74.16</v>
      </c>
      <c r="H534" s="93">
        <v>46554.17</v>
      </c>
      <c r="I534" s="93">
        <v>42642.080000000002</v>
      </c>
      <c r="J534" s="93">
        <v>3059.25</v>
      </c>
      <c r="K534" s="93">
        <v>852.84</v>
      </c>
      <c r="L534" s="43">
        <v>10.444805661003867</v>
      </c>
      <c r="M534" s="43">
        <v>11.500455788514129</v>
      </c>
      <c r="N534" s="43">
        <v>4.5312824006872647</v>
      </c>
      <c r="O534" s="43">
        <v>11.500000000000002</v>
      </c>
      <c r="P534" s="94"/>
      <c r="Q534" s="94"/>
      <c r="R534" s="94">
        <v>2</v>
      </c>
    </row>
    <row r="535" spans="1:18" ht="24">
      <c r="A535" s="90">
        <v>279</v>
      </c>
      <c r="B535" s="87" t="s">
        <v>963</v>
      </c>
      <c r="C535" s="91" t="s">
        <v>964</v>
      </c>
      <c r="D535" s="92">
        <v>3825.59</v>
      </c>
      <c r="E535" s="92">
        <v>3057.28</v>
      </c>
      <c r="F535" s="92">
        <v>707.16</v>
      </c>
      <c r="G535" s="92">
        <v>61.15</v>
      </c>
      <c r="H535" s="93">
        <v>39158.85</v>
      </c>
      <c r="I535" s="93">
        <v>35158.720000000001</v>
      </c>
      <c r="J535" s="93">
        <v>3296.9</v>
      </c>
      <c r="K535" s="93">
        <v>703.23</v>
      </c>
      <c r="L535" s="43">
        <v>10.236028952396884</v>
      </c>
      <c r="M535" s="43">
        <v>11.5</v>
      </c>
      <c r="N535" s="43">
        <v>4.6621698059845018</v>
      </c>
      <c r="O535" s="43">
        <v>11.500081766148815</v>
      </c>
      <c r="P535" s="94"/>
      <c r="Q535" s="94"/>
      <c r="R535" s="94">
        <v>2</v>
      </c>
    </row>
    <row r="536" spans="1:18" ht="24">
      <c r="A536" s="90">
        <v>280</v>
      </c>
      <c r="B536" s="87" t="s">
        <v>965</v>
      </c>
      <c r="C536" s="91" t="s">
        <v>966</v>
      </c>
      <c r="D536" s="92">
        <v>4751.3900000000003</v>
      </c>
      <c r="E536" s="92">
        <v>3817.56</v>
      </c>
      <c r="F536" s="92">
        <v>857.48</v>
      </c>
      <c r="G536" s="92">
        <v>76.349999999999994</v>
      </c>
      <c r="H536" s="93">
        <v>48827.67</v>
      </c>
      <c r="I536" s="93">
        <v>43903.68</v>
      </c>
      <c r="J536" s="93">
        <v>4045.96</v>
      </c>
      <c r="K536" s="93">
        <v>878.03</v>
      </c>
      <c r="L536" s="43">
        <v>10.276502244606315</v>
      </c>
      <c r="M536" s="43">
        <v>11.500455788514129</v>
      </c>
      <c r="N536" s="43">
        <v>4.718430750571442</v>
      </c>
      <c r="O536" s="43">
        <v>11.500065487884742</v>
      </c>
      <c r="P536" s="94"/>
      <c r="Q536" s="94"/>
      <c r="R536" s="94">
        <v>2</v>
      </c>
    </row>
    <row r="537" spans="1:18" ht="24">
      <c r="A537" s="90">
        <v>281</v>
      </c>
      <c r="B537" s="87" t="s">
        <v>967</v>
      </c>
      <c r="C537" s="91" t="s">
        <v>968</v>
      </c>
      <c r="D537" s="92">
        <v>5859</v>
      </c>
      <c r="E537" s="92">
        <v>3783.16</v>
      </c>
      <c r="F537" s="92">
        <v>2000.18</v>
      </c>
      <c r="G537" s="92">
        <v>75.66</v>
      </c>
      <c r="H537" s="93">
        <v>54557.69</v>
      </c>
      <c r="I537" s="93">
        <v>43506.34</v>
      </c>
      <c r="J537" s="93">
        <v>10181.26</v>
      </c>
      <c r="K537" s="93">
        <v>870.09</v>
      </c>
      <c r="L537" s="43">
        <v>9.3117750469363383</v>
      </c>
      <c r="M537" s="43">
        <v>11.5</v>
      </c>
      <c r="N537" s="43">
        <v>5.0901718845303918</v>
      </c>
      <c r="O537" s="43">
        <v>11.500000000000002</v>
      </c>
      <c r="P537" s="94"/>
      <c r="Q537" s="94"/>
      <c r="R537" s="94">
        <v>2</v>
      </c>
    </row>
    <row r="538" spans="1:18" ht="24">
      <c r="A538" s="90">
        <v>282</v>
      </c>
      <c r="B538" s="87" t="s">
        <v>969</v>
      </c>
      <c r="C538" s="91" t="s">
        <v>970</v>
      </c>
      <c r="D538" s="92">
        <v>6308.29</v>
      </c>
      <c r="E538" s="92">
        <v>4021.64</v>
      </c>
      <c r="F538" s="92">
        <v>2206.2199999999998</v>
      </c>
      <c r="G538" s="92">
        <v>80.430000000000007</v>
      </c>
      <c r="H538" s="93">
        <v>58437.53</v>
      </c>
      <c r="I538" s="93">
        <v>46248.86</v>
      </c>
      <c r="J538" s="93">
        <v>11263.72</v>
      </c>
      <c r="K538" s="93">
        <v>924.95</v>
      </c>
      <c r="L538" s="43">
        <v>9.2636086800067847</v>
      </c>
      <c r="M538" s="43">
        <v>11.5</v>
      </c>
      <c r="N538" s="43">
        <v>5.1054382609168627</v>
      </c>
      <c r="O538" s="43">
        <v>11.500062165858511</v>
      </c>
      <c r="P538" s="94"/>
      <c r="Q538" s="94"/>
      <c r="R538" s="94">
        <v>2</v>
      </c>
    </row>
    <row r="539" spans="1:18" ht="24">
      <c r="A539" s="90">
        <v>283</v>
      </c>
      <c r="B539" s="87" t="s">
        <v>971</v>
      </c>
      <c r="C539" s="91" t="s">
        <v>972</v>
      </c>
      <c r="D539" s="92">
        <v>3972.34</v>
      </c>
      <c r="E539" s="92">
        <v>3041.64</v>
      </c>
      <c r="F539" s="92">
        <v>869.87</v>
      </c>
      <c r="G539" s="92">
        <v>60.83</v>
      </c>
      <c r="H539" s="93">
        <v>39843.32</v>
      </c>
      <c r="I539" s="93">
        <v>34980.28</v>
      </c>
      <c r="J539" s="93">
        <v>4163.49</v>
      </c>
      <c r="K539" s="93">
        <v>699.55</v>
      </c>
      <c r="L539" s="43">
        <v>10.030188755242502</v>
      </c>
      <c r="M539" s="43">
        <v>11.50046685340803</v>
      </c>
      <c r="N539" s="43">
        <v>4.7863358892708101</v>
      </c>
      <c r="O539" s="43">
        <v>11.500082196284728</v>
      </c>
      <c r="P539" s="94"/>
      <c r="Q539" s="94"/>
      <c r="R539" s="94">
        <v>2</v>
      </c>
    </row>
    <row r="540" spans="1:18" ht="24">
      <c r="A540" s="90">
        <v>284</v>
      </c>
      <c r="B540" s="87" t="s">
        <v>973</v>
      </c>
      <c r="C540" s="91" t="s">
        <v>974</v>
      </c>
      <c r="D540" s="92">
        <v>4828.07</v>
      </c>
      <c r="E540" s="92">
        <v>3737.79</v>
      </c>
      <c r="F540" s="92">
        <v>1015.52</v>
      </c>
      <c r="G540" s="92">
        <v>74.760000000000005</v>
      </c>
      <c r="H540" s="93">
        <v>48732.71</v>
      </c>
      <c r="I540" s="93">
        <v>42986.33</v>
      </c>
      <c r="J540" s="93">
        <v>4886.6400000000003</v>
      </c>
      <c r="K540" s="93">
        <v>859.74</v>
      </c>
      <c r="L540" s="43">
        <v>10.093621260669378</v>
      </c>
      <c r="M540" s="43">
        <v>11.50046685340803</v>
      </c>
      <c r="N540" s="43">
        <v>4.8119584055459272</v>
      </c>
      <c r="O540" s="43">
        <v>11.5</v>
      </c>
      <c r="P540" s="94"/>
      <c r="Q540" s="94"/>
      <c r="R540" s="94">
        <v>2</v>
      </c>
    </row>
    <row r="541" spans="1:18" ht="24">
      <c r="A541" s="90">
        <v>285</v>
      </c>
      <c r="B541" s="87" t="s">
        <v>975</v>
      </c>
      <c r="C541" s="91" t="s">
        <v>976</v>
      </c>
      <c r="D541" s="92">
        <v>5812.73</v>
      </c>
      <c r="E541" s="92">
        <v>3737.79</v>
      </c>
      <c r="F541" s="92">
        <v>2000.18</v>
      </c>
      <c r="G541" s="92">
        <v>74.760000000000005</v>
      </c>
      <c r="H541" s="93">
        <v>54027.33</v>
      </c>
      <c r="I541" s="93">
        <v>42986.33</v>
      </c>
      <c r="J541" s="93">
        <v>10181.26</v>
      </c>
      <c r="K541" s="93">
        <v>859.74</v>
      </c>
      <c r="L541" s="43">
        <v>9.2946567275617493</v>
      </c>
      <c r="M541" s="43">
        <v>11.50046685340803</v>
      </c>
      <c r="N541" s="43">
        <v>5.0901718845303918</v>
      </c>
      <c r="O541" s="43">
        <v>11.5</v>
      </c>
      <c r="P541" s="94"/>
      <c r="Q541" s="94"/>
      <c r="R541" s="94">
        <v>2</v>
      </c>
    </row>
    <row r="542" spans="1:18" ht="24">
      <c r="A542" s="90">
        <v>286</v>
      </c>
      <c r="B542" s="87" t="s">
        <v>977</v>
      </c>
      <c r="C542" s="91" t="s">
        <v>978</v>
      </c>
      <c r="D542" s="92">
        <v>6831.33</v>
      </c>
      <c r="E542" s="92">
        <v>4130.04</v>
      </c>
      <c r="F542" s="92">
        <v>2618.69</v>
      </c>
      <c r="G542" s="92">
        <v>82.6</v>
      </c>
      <c r="H542" s="93">
        <v>61912.32</v>
      </c>
      <c r="I542" s="93">
        <v>47495.46</v>
      </c>
      <c r="J542" s="93">
        <v>13466.96</v>
      </c>
      <c r="K542" s="93">
        <v>949.9</v>
      </c>
      <c r="L542" s="43">
        <v>9.0629965175156233</v>
      </c>
      <c r="M542" s="43">
        <v>11.5</v>
      </c>
      <c r="N542" s="43">
        <v>5.1426323848947373</v>
      </c>
      <c r="O542" s="43">
        <v>11.5</v>
      </c>
      <c r="P542" s="94"/>
      <c r="Q542" s="94"/>
      <c r="R542" s="94">
        <v>2</v>
      </c>
    </row>
    <row r="543" spans="1:18" ht="24">
      <c r="A543" s="90">
        <v>287</v>
      </c>
      <c r="B543" s="87" t="s">
        <v>979</v>
      </c>
      <c r="C543" s="91" t="s">
        <v>980</v>
      </c>
      <c r="D543" s="92">
        <v>4428.41</v>
      </c>
      <c r="E543" s="92">
        <v>3236.15</v>
      </c>
      <c r="F543" s="92">
        <v>1127.54</v>
      </c>
      <c r="G543" s="92">
        <v>64.72</v>
      </c>
      <c r="H543" s="93">
        <v>43507.11</v>
      </c>
      <c r="I543" s="93">
        <v>37217.199999999997</v>
      </c>
      <c r="J543" s="93">
        <v>5545.63</v>
      </c>
      <c r="K543" s="93">
        <v>744.28</v>
      </c>
      <c r="L543" s="43">
        <v>9.8245442495161921</v>
      </c>
      <c r="M543" s="43">
        <v>11.500455788514127</v>
      </c>
      <c r="N543" s="43">
        <v>4.9183443602887706</v>
      </c>
      <c r="O543" s="43">
        <v>11.5</v>
      </c>
      <c r="P543" s="94"/>
      <c r="Q543" s="94"/>
      <c r="R543" s="94">
        <v>2</v>
      </c>
    </row>
    <row r="544" spans="1:18" ht="24">
      <c r="A544" s="90">
        <v>288</v>
      </c>
      <c r="B544" s="87" t="s">
        <v>981</v>
      </c>
      <c r="C544" s="91" t="s">
        <v>982</v>
      </c>
      <c r="D544" s="92">
        <v>5365.27</v>
      </c>
      <c r="E544" s="92">
        <v>3938.23</v>
      </c>
      <c r="F544" s="92">
        <v>1348.28</v>
      </c>
      <c r="G544" s="92">
        <v>78.760000000000005</v>
      </c>
      <c r="H544" s="93">
        <v>52841.78</v>
      </c>
      <c r="I544" s="93">
        <v>45291.44</v>
      </c>
      <c r="J544" s="93">
        <v>6644.6</v>
      </c>
      <c r="K544" s="93">
        <v>905.74</v>
      </c>
      <c r="L544" s="43">
        <v>9.8488575598245749</v>
      </c>
      <c r="M544" s="43">
        <v>11.500455788514129</v>
      </c>
      <c r="N544" s="43">
        <v>4.9282048239238145</v>
      </c>
      <c r="O544" s="43">
        <v>11.5</v>
      </c>
      <c r="P544" s="94"/>
      <c r="Q544" s="94"/>
      <c r="R544" s="94">
        <v>2</v>
      </c>
    </row>
    <row r="545" spans="1:18" ht="24">
      <c r="A545" s="90">
        <v>289</v>
      </c>
      <c r="B545" s="87" t="s">
        <v>983</v>
      </c>
      <c r="C545" s="91" t="s">
        <v>984</v>
      </c>
      <c r="D545" s="92">
        <v>6598.73</v>
      </c>
      <c r="E545" s="92">
        <v>4058.9</v>
      </c>
      <c r="F545" s="92">
        <v>2458.65</v>
      </c>
      <c r="G545" s="92">
        <v>81.180000000000007</v>
      </c>
      <c r="H545" s="93">
        <v>60245.86</v>
      </c>
      <c r="I545" s="93">
        <v>46679.199999999997</v>
      </c>
      <c r="J545" s="93">
        <v>12633.09</v>
      </c>
      <c r="K545" s="93">
        <v>933.57</v>
      </c>
      <c r="L545" s="43">
        <v>9.1299174235042209</v>
      </c>
      <c r="M545" s="43">
        <v>11.500455788514129</v>
      </c>
      <c r="N545" s="43">
        <v>5.1382221951070708</v>
      </c>
      <c r="O545" s="43">
        <v>11.5</v>
      </c>
      <c r="P545" s="94"/>
      <c r="Q545" s="94"/>
      <c r="R545" s="94">
        <v>2</v>
      </c>
    </row>
    <row r="546" spans="1:18" ht="24">
      <c r="A546" s="90">
        <v>290</v>
      </c>
      <c r="B546" s="87" t="s">
        <v>985</v>
      </c>
      <c r="C546" s="91" t="s">
        <v>986</v>
      </c>
      <c r="D546" s="92">
        <v>6842.97</v>
      </c>
      <c r="E546" s="92">
        <v>4190.54</v>
      </c>
      <c r="F546" s="92">
        <v>2568.62</v>
      </c>
      <c r="G546" s="92">
        <v>83.81</v>
      </c>
      <c r="H546" s="93">
        <v>62354.720000000001</v>
      </c>
      <c r="I546" s="93">
        <v>48193.120000000003</v>
      </c>
      <c r="J546" s="93">
        <v>13197.78</v>
      </c>
      <c r="K546" s="93">
        <v>963.82</v>
      </c>
      <c r="L546" s="43">
        <v>9.1122305080980919</v>
      </c>
      <c r="M546" s="43">
        <v>11.500455788514131</v>
      </c>
      <c r="N546" s="43">
        <v>5.1380819272605525</v>
      </c>
      <c r="O546" s="43">
        <v>11.500059658751939</v>
      </c>
      <c r="P546" s="94"/>
      <c r="Q546" s="94"/>
      <c r="R546" s="94">
        <v>2</v>
      </c>
    </row>
    <row r="547" spans="1:18" ht="24">
      <c r="A547" s="90">
        <v>291</v>
      </c>
      <c r="B547" s="87" t="s">
        <v>987</v>
      </c>
      <c r="C547" s="91" t="s">
        <v>988</v>
      </c>
      <c r="D547" s="92">
        <v>5011.29</v>
      </c>
      <c r="E547" s="92">
        <v>3400.7</v>
      </c>
      <c r="F547" s="92">
        <v>1542.58</v>
      </c>
      <c r="G547" s="92">
        <v>68.010000000000005</v>
      </c>
      <c r="H547" s="93">
        <v>47660.46</v>
      </c>
      <c r="I547" s="93">
        <v>39109.599999999999</v>
      </c>
      <c r="J547" s="93">
        <v>7768.74</v>
      </c>
      <c r="K547" s="93">
        <v>782.12</v>
      </c>
      <c r="L547" s="43">
        <v>9.5106170267535894</v>
      </c>
      <c r="M547" s="43">
        <v>11.500455788514129</v>
      </c>
      <c r="N547" s="43">
        <v>5.0361990950226243</v>
      </c>
      <c r="O547" s="43">
        <v>11.500073518600205</v>
      </c>
      <c r="P547" s="94"/>
      <c r="Q547" s="94"/>
      <c r="R547" s="94">
        <v>2</v>
      </c>
    </row>
    <row r="548" spans="1:18" ht="24">
      <c r="A548" s="90">
        <v>292</v>
      </c>
      <c r="B548" s="87" t="s">
        <v>989</v>
      </c>
      <c r="C548" s="91" t="s">
        <v>990</v>
      </c>
      <c r="D548" s="92">
        <v>6023.64</v>
      </c>
      <c r="E548" s="92">
        <v>4190.54</v>
      </c>
      <c r="F548" s="92">
        <v>1749.29</v>
      </c>
      <c r="G548" s="92">
        <v>83.81</v>
      </c>
      <c r="H548" s="93">
        <v>57934.36</v>
      </c>
      <c r="I548" s="93">
        <v>48193.120000000003</v>
      </c>
      <c r="J548" s="93">
        <v>8777.42</v>
      </c>
      <c r="K548" s="93">
        <v>963.82</v>
      </c>
      <c r="L548" s="43">
        <v>9.6178324069831529</v>
      </c>
      <c r="M548" s="43">
        <v>11.500455788514131</v>
      </c>
      <c r="N548" s="43">
        <v>5.0177043257550205</v>
      </c>
      <c r="O548" s="43">
        <v>11.500059658751939</v>
      </c>
      <c r="P548" s="94"/>
      <c r="Q548" s="94"/>
      <c r="R548" s="94">
        <v>2</v>
      </c>
    </row>
    <row r="549" spans="1:18" ht="24">
      <c r="A549" s="90">
        <v>293</v>
      </c>
      <c r="B549" s="87" t="s">
        <v>991</v>
      </c>
      <c r="C549" s="91" t="s">
        <v>992</v>
      </c>
      <c r="D549" s="92">
        <v>7339.27</v>
      </c>
      <c r="E549" s="92">
        <v>4249.28</v>
      </c>
      <c r="F549" s="92">
        <v>3005</v>
      </c>
      <c r="G549" s="92">
        <v>84.99</v>
      </c>
      <c r="H549" s="93">
        <v>65399.86</v>
      </c>
      <c r="I549" s="93">
        <v>48866.720000000001</v>
      </c>
      <c r="J549" s="93">
        <v>15555.75</v>
      </c>
      <c r="K549" s="93">
        <v>977.39</v>
      </c>
      <c r="L549" s="43">
        <v>8.9109489090876881</v>
      </c>
      <c r="M549" s="43">
        <v>11.500000000000002</v>
      </c>
      <c r="N549" s="43">
        <v>5.1766222961730453</v>
      </c>
      <c r="O549" s="43">
        <v>11.500058830450643</v>
      </c>
      <c r="P549" s="94"/>
      <c r="Q549" s="94"/>
      <c r="R549" s="94">
        <v>2</v>
      </c>
    </row>
    <row r="550" spans="1:18" ht="24">
      <c r="A550" s="90">
        <v>294</v>
      </c>
      <c r="B550" s="87" t="s">
        <v>993</v>
      </c>
      <c r="C550" s="91" t="s">
        <v>994</v>
      </c>
      <c r="D550" s="92">
        <v>8905.9699999999993</v>
      </c>
      <c r="E550" s="92">
        <v>5083.96</v>
      </c>
      <c r="F550" s="92">
        <v>3720.33</v>
      </c>
      <c r="G550" s="92">
        <v>101.68</v>
      </c>
      <c r="H550" s="93">
        <v>78984.820000000007</v>
      </c>
      <c r="I550" s="93">
        <v>58465.54</v>
      </c>
      <c r="J550" s="93">
        <v>19349.96</v>
      </c>
      <c r="K550" s="93">
        <v>1169.32</v>
      </c>
      <c r="L550" s="43">
        <v>8.8687498385914179</v>
      </c>
      <c r="M550" s="43">
        <v>11.5</v>
      </c>
      <c r="N550" s="43">
        <v>5.2011407590186893</v>
      </c>
      <c r="O550" s="43">
        <v>11.499999999999998</v>
      </c>
      <c r="P550" s="94"/>
      <c r="Q550" s="94"/>
      <c r="R550" s="94">
        <v>2</v>
      </c>
    </row>
    <row r="551" spans="1:18" ht="24">
      <c r="A551" s="90">
        <v>295</v>
      </c>
      <c r="B551" s="87" t="s">
        <v>995</v>
      </c>
      <c r="C551" s="91" t="s">
        <v>996</v>
      </c>
      <c r="D551" s="92">
        <v>10608.37</v>
      </c>
      <c r="E551" s="92">
        <v>5140.8</v>
      </c>
      <c r="F551" s="92">
        <v>5364.75</v>
      </c>
      <c r="G551" s="92">
        <v>102.82</v>
      </c>
      <c r="H551" s="93">
        <v>88435.46</v>
      </c>
      <c r="I551" s="93">
        <v>59121.599999999999</v>
      </c>
      <c r="J551" s="93">
        <v>28131.43</v>
      </c>
      <c r="K551" s="93">
        <v>1182.43</v>
      </c>
      <c r="L551" s="43">
        <v>8.336385325926603</v>
      </c>
      <c r="M551" s="43">
        <v>11.50046685340803</v>
      </c>
      <c r="N551" s="43">
        <v>5.2437541357938393</v>
      </c>
      <c r="O551" s="43">
        <v>11.500000000000002</v>
      </c>
      <c r="P551" s="94"/>
      <c r="Q551" s="94"/>
      <c r="R551" s="94">
        <v>2</v>
      </c>
    </row>
    <row r="552" spans="1:18" ht="24">
      <c r="A552" s="90">
        <v>296</v>
      </c>
      <c r="B552" s="87" t="s">
        <v>997</v>
      </c>
      <c r="C552" s="91" t="s">
        <v>998</v>
      </c>
      <c r="D552" s="92">
        <v>10835.91</v>
      </c>
      <c r="E552" s="92">
        <v>5140.8</v>
      </c>
      <c r="F552" s="92">
        <v>5592.29</v>
      </c>
      <c r="G552" s="92">
        <v>102.82</v>
      </c>
      <c r="H552" s="93">
        <v>89648.38</v>
      </c>
      <c r="I552" s="93">
        <v>59121.599999999999</v>
      </c>
      <c r="J552" s="93">
        <v>29344.35</v>
      </c>
      <c r="K552" s="93">
        <v>1182.43</v>
      </c>
      <c r="L552" s="43">
        <v>8.2732673121131501</v>
      </c>
      <c r="M552" s="43">
        <v>11.50046685340803</v>
      </c>
      <c r="N552" s="43">
        <v>5.2472868896283993</v>
      </c>
      <c r="O552" s="43">
        <v>11.500000000000002</v>
      </c>
      <c r="P552" s="94"/>
      <c r="Q552" s="94"/>
      <c r="R552" s="94">
        <v>2</v>
      </c>
    </row>
    <row r="553" spans="1:18" ht="24">
      <c r="A553" s="90">
        <v>297</v>
      </c>
      <c r="B553" s="87" t="s">
        <v>999</v>
      </c>
      <c r="C553" s="91" t="s">
        <v>1000</v>
      </c>
      <c r="D553" s="92">
        <v>11602.98</v>
      </c>
      <c r="E553" s="92">
        <v>5365.71</v>
      </c>
      <c r="F553" s="92">
        <v>6129.96</v>
      </c>
      <c r="G553" s="92">
        <v>107.31</v>
      </c>
      <c r="H553" s="93">
        <v>95169.15</v>
      </c>
      <c r="I553" s="93">
        <v>61708.17</v>
      </c>
      <c r="J553" s="93">
        <v>32226.91</v>
      </c>
      <c r="K553" s="93">
        <v>1234.07</v>
      </c>
      <c r="L553" s="43">
        <v>8.2021299700594152</v>
      </c>
      <c r="M553" s="43">
        <v>11.50046685340803</v>
      </c>
      <c r="N553" s="43">
        <v>5.2572790034518988</v>
      </c>
      <c r="O553" s="43">
        <v>11.500046593980057</v>
      </c>
      <c r="P553" s="94"/>
      <c r="Q553" s="94"/>
      <c r="R553" s="94">
        <v>2</v>
      </c>
    </row>
    <row r="554" spans="1:18" ht="12.75" customHeight="1">
      <c r="A554" s="628" t="s">
        <v>1001</v>
      </c>
      <c r="B554" s="629"/>
      <c r="C554" s="629"/>
      <c r="D554" s="629"/>
      <c r="E554" s="629"/>
      <c r="F554" s="629"/>
      <c r="G554" s="629"/>
      <c r="H554" s="629"/>
      <c r="I554" s="629"/>
      <c r="J554" s="629"/>
      <c r="K554" s="629"/>
      <c r="L554" s="629"/>
      <c r="M554" s="629"/>
      <c r="N554" s="629"/>
      <c r="O554" s="629"/>
      <c r="P554" s="629"/>
      <c r="Q554" s="629"/>
      <c r="R554" s="629"/>
    </row>
    <row r="555" spans="1:18" ht="12.75" customHeight="1">
      <c r="A555" s="628" t="s">
        <v>1002</v>
      </c>
      <c r="B555" s="629"/>
      <c r="C555" s="629"/>
      <c r="D555" s="629"/>
      <c r="E555" s="629"/>
      <c r="F555" s="629"/>
      <c r="G555" s="629"/>
      <c r="H555" s="629"/>
      <c r="I555" s="629"/>
      <c r="J555" s="629"/>
      <c r="K555" s="629"/>
      <c r="L555" s="629"/>
      <c r="M555" s="629"/>
      <c r="N555" s="629"/>
      <c r="O555" s="629"/>
      <c r="P555" s="629"/>
      <c r="Q555" s="629"/>
      <c r="R555" s="629"/>
    </row>
    <row r="556" spans="1:18" ht="24">
      <c r="A556" s="90">
        <v>298</v>
      </c>
      <c r="B556" s="87" t="s">
        <v>1003</v>
      </c>
      <c r="C556" s="91" t="s">
        <v>1004</v>
      </c>
      <c r="D556" s="92">
        <v>77594.22</v>
      </c>
      <c r="E556" s="92">
        <v>14201.64</v>
      </c>
      <c r="F556" s="92">
        <v>37522.550000000003</v>
      </c>
      <c r="G556" s="92">
        <v>25870.03</v>
      </c>
      <c r="H556" s="93">
        <v>464493.16</v>
      </c>
      <c r="I556" s="93">
        <v>163325.04</v>
      </c>
      <c r="J556" s="93">
        <v>202370.68</v>
      </c>
      <c r="K556" s="93">
        <v>98797.440000000002</v>
      </c>
      <c r="L556" s="43">
        <v>5.9861824759627709</v>
      </c>
      <c r="M556" s="43">
        <v>11.500435161009575</v>
      </c>
      <c r="N556" s="43">
        <v>5.3933082906145762</v>
      </c>
      <c r="O556" s="43">
        <v>3.818992092394172</v>
      </c>
      <c r="P556" s="94"/>
      <c r="Q556" s="94"/>
      <c r="R556" s="94">
        <v>1</v>
      </c>
    </row>
    <row r="557" spans="1:18" ht="24">
      <c r="A557" s="95">
        <v>299</v>
      </c>
      <c r="B557" s="96" t="s">
        <v>1005</v>
      </c>
      <c r="C557" s="97" t="s">
        <v>1006</v>
      </c>
      <c r="D557" s="98">
        <v>105584.29</v>
      </c>
      <c r="E557" s="98">
        <v>18510.39</v>
      </c>
      <c r="F557" s="98">
        <v>56175.07</v>
      </c>
      <c r="G557" s="98">
        <v>30898.83</v>
      </c>
      <c r="H557" s="99">
        <v>638336.89</v>
      </c>
      <c r="I557" s="99">
        <v>212877.54</v>
      </c>
      <c r="J557" s="99">
        <v>302391.74</v>
      </c>
      <c r="K557" s="99">
        <v>123067.61</v>
      </c>
      <c r="L557" s="611">
        <v>6.045756333636378</v>
      </c>
      <c r="M557" s="611">
        <v>11.500435161009575</v>
      </c>
      <c r="N557" s="611">
        <v>5.3830238217771686</v>
      </c>
      <c r="O557" s="611">
        <v>3.9829213598055331</v>
      </c>
      <c r="P557" s="100"/>
      <c r="Q557" s="100"/>
      <c r="R557" s="100">
        <v>1</v>
      </c>
    </row>
    <row r="558" spans="1:18" ht="12.75" customHeight="1">
      <c r="A558" s="630" t="s">
        <v>1007</v>
      </c>
      <c r="B558" s="631"/>
      <c r="C558" s="631"/>
      <c r="D558" s="631"/>
      <c r="E558" s="631"/>
      <c r="F558" s="631"/>
      <c r="G558" s="631"/>
      <c r="H558" s="631"/>
      <c r="I558" s="631"/>
      <c r="J558" s="631"/>
      <c r="K558" s="631"/>
      <c r="L558" s="631"/>
      <c r="M558" s="631"/>
      <c r="N558" s="631"/>
      <c r="O558" s="631"/>
      <c r="P558" s="631"/>
      <c r="Q558" s="631"/>
      <c r="R558" s="631"/>
    </row>
    <row r="559" spans="1:18" ht="12.75" customHeight="1">
      <c r="A559" s="628" t="s">
        <v>1008</v>
      </c>
      <c r="B559" s="629"/>
      <c r="C559" s="629"/>
      <c r="D559" s="629"/>
      <c r="E559" s="629"/>
      <c r="F559" s="629"/>
      <c r="G559" s="629"/>
      <c r="H559" s="629"/>
      <c r="I559" s="629"/>
      <c r="J559" s="629"/>
      <c r="K559" s="629"/>
      <c r="L559" s="629"/>
      <c r="M559" s="629"/>
      <c r="N559" s="629"/>
      <c r="O559" s="629"/>
      <c r="P559" s="629"/>
      <c r="Q559" s="629"/>
      <c r="R559" s="629"/>
    </row>
    <row r="560" spans="1:18" ht="12.75" customHeight="1">
      <c r="A560" s="628" t="s">
        <v>1009</v>
      </c>
      <c r="B560" s="629"/>
      <c r="C560" s="629"/>
      <c r="D560" s="629"/>
      <c r="E560" s="629"/>
      <c r="F560" s="629"/>
      <c r="G560" s="629"/>
      <c r="H560" s="629"/>
      <c r="I560" s="629"/>
      <c r="J560" s="629"/>
      <c r="K560" s="629"/>
      <c r="L560" s="629"/>
      <c r="M560" s="629"/>
      <c r="N560" s="629"/>
      <c r="O560" s="629"/>
      <c r="P560" s="629"/>
      <c r="Q560" s="629"/>
      <c r="R560" s="629"/>
    </row>
    <row r="561" spans="1:18" ht="24">
      <c r="A561" s="90">
        <v>300</v>
      </c>
      <c r="B561" s="87" t="s">
        <v>1010</v>
      </c>
      <c r="C561" s="91" t="s">
        <v>1011</v>
      </c>
      <c r="D561" s="92">
        <v>832.55</v>
      </c>
      <c r="E561" s="92">
        <v>587.30999999999995</v>
      </c>
      <c r="F561" s="92">
        <v>232.57</v>
      </c>
      <c r="G561" s="92">
        <v>12.67</v>
      </c>
      <c r="H561" s="93">
        <v>7997.91</v>
      </c>
      <c r="I561" s="93">
        <v>6754.09</v>
      </c>
      <c r="J561" s="93">
        <v>1100.6400000000001</v>
      </c>
      <c r="K561" s="93">
        <v>143.18</v>
      </c>
      <c r="L561" s="43">
        <v>9.6065221308029543</v>
      </c>
      <c r="M561" s="43">
        <v>11.500042566957825</v>
      </c>
      <c r="N561" s="43">
        <v>4.7325106419572611</v>
      </c>
      <c r="O561" s="43">
        <v>11.300710339384374</v>
      </c>
      <c r="P561" s="94"/>
      <c r="Q561" s="94"/>
      <c r="R561" s="94">
        <v>1</v>
      </c>
    </row>
    <row r="562" spans="1:18" ht="24">
      <c r="A562" s="90">
        <v>301</v>
      </c>
      <c r="B562" s="87" t="s">
        <v>1012</v>
      </c>
      <c r="C562" s="91" t="s">
        <v>1013</v>
      </c>
      <c r="D562" s="92">
        <v>893.38</v>
      </c>
      <c r="E562" s="92">
        <v>617.98</v>
      </c>
      <c r="F562" s="92">
        <v>262.12</v>
      </c>
      <c r="G562" s="92">
        <v>13.28</v>
      </c>
      <c r="H562" s="93">
        <v>8511.83</v>
      </c>
      <c r="I562" s="93">
        <v>7106.82</v>
      </c>
      <c r="J562" s="93">
        <v>1254.82</v>
      </c>
      <c r="K562" s="93">
        <v>150.19</v>
      </c>
      <c r="L562" s="43">
        <v>9.5276701963330268</v>
      </c>
      <c r="M562" s="43">
        <v>11.500080908767274</v>
      </c>
      <c r="N562" s="43">
        <v>4.7871967037997862</v>
      </c>
      <c r="O562" s="43">
        <v>11.309487951807229</v>
      </c>
      <c r="P562" s="94"/>
      <c r="Q562" s="94"/>
      <c r="R562" s="94">
        <v>1</v>
      </c>
    </row>
    <row r="563" spans="1:18" ht="24">
      <c r="A563" s="90">
        <v>302</v>
      </c>
      <c r="B563" s="87" t="s">
        <v>1014</v>
      </c>
      <c r="C563" s="91" t="s">
        <v>1015</v>
      </c>
      <c r="D563" s="92">
        <v>981.49</v>
      </c>
      <c r="E563" s="92">
        <v>667.97</v>
      </c>
      <c r="F563" s="92">
        <v>299.24</v>
      </c>
      <c r="G563" s="92">
        <v>14.28</v>
      </c>
      <c r="H563" s="93">
        <v>9284.2000000000007</v>
      </c>
      <c r="I563" s="93">
        <v>7681.63</v>
      </c>
      <c r="J563" s="93">
        <v>1440.88</v>
      </c>
      <c r="K563" s="93">
        <v>161.69</v>
      </c>
      <c r="L563" s="43">
        <v>9.4592914853946564</v>
      </c>
      <c r="M563" s="43">
        <v>11.499962573169453</v>
      </c>
      <c r="N563" s="43">
        <v>4.8151316668894539</v>
      </c>
      <c r="O563" s="43">
        <v>11.322829131652661</v>
      </c>
      <c r="P563" s="94"/>
      <c r="Q563" s="94"/>
      <c r="R563" s="94">
        <v>1</v>
      </c>
    </row>
    <row r="564" spans="1:18" ht="24">
      <c r="A564" s="90">
        <v>303</v>
      </c>
      <c r="B564" s="87" t="s">
        <v>1016</v>
      </c>
      <c r="C564" s="91" t="s">
        <v>1017</v>
      </c>
      <c r="D564" s="92">
        <v>1316.43</v>
      </c>
      <c r="E564" s="92">
        <v>899.71</v>
      </c>
      <c r="F564" s="92">
        <v>396.89</v>
      </c>
      <c r="G564" s="92">
        <v>19.829999999999998</v>
      </c>
      <c r="H564" s="93">
        <v>12450.45</v>
      </c>
      <c r="I564" s="93">
        <v>10346.69</v>
      </c>
      <c r="J564" s="93">
        <v>1880.78</v>
      </c>
      <c r="K564" s="93">
        <v>222.98</v>
      </c>
      <c r="L564" s="43">
        <v>9.4577379731546678</v>
      </c>
      <c r="M564" s="43">
        <v>11.50002778673128</v>
      </c>
      <c r="N564" s="43">
        <v>4.738794124316561</v>
      </c>
      <c r="O564" s="43">
        <v>11.244578920827029</v>
      </c>
      <c r="P564" s="94"/>
      <c r="Q564" s="94"/>
      <c r="R564" s="94">
        <v>1</v>
      </c>
    </row>
    <row r="565" spans="1:18" ht="24">
      <c r="A565" s="90">
        <v>304</v>
      </c>
      <c r="B565" s="87" t="s">
        <v>1018</v>
      </c>
      <c r="C565" s="91" t="s">
        <v>1019</v>
      </c>
      <c r="D565" s="92">
        <v>1369.91</v>
      </c>
      <c r="E565" s="92">
        <v>938.34</v>
      </c>
      <c r="F565" s="92">
        <v>410.96</v>
      </c>
      <c r="G565" s="92">
        <v>20.61</v>
      </c>
      <c r="H565" s="93">
        <v>12969.13</v>
      </c>
      <c r="I565" s="93">
        <v>10790.86</v>
      </c>
      <c r="J565" s="93">
        <v>1946.32</v>
      </c>
      <c r="K565" s="93">
        <v>231.95</v>
      </c>
      <c r="L565" s="43">
        <v>9.4671401770919239</v>
      </c>
      <c r="M565" s="43">
        <v>11.499946714410555</v>
      </c>
      <c r="N565" s="43">
        <v>4.7360327039127901</v>
      </c>
      <c r="O565" s="43">
        <v>11.254245511887433</v>
      </c>
      <c r="P565" s="94"/>
      <c r="Q565" s="94"/>
      <c r="R565" s="94">
        <v>1</v>
      </c>
    </row>
    <row r="566" spans="1:18" ht="24">
      <c r="A566" s="90">
        <v>305</v>
      </c>
      <c r="B566" s="87" t="s">
        <v>1020</v>
      </c>
      <c r="C566" s="91" t="s">
        <v>1021</v>
      </c>
      <c r="D566" s="92">
        <v>1700.08</v>
      </c>
      <c r="E566" s="92">
        <v>1160.49</v>
      </c>
      <c r="F566" s="92">
        <v>514.54</v>
      </c>
      <c r="G566" s="92">
        <v>25.05</v>
      </c>
      <c r="H566" s="93">
        <v>16049.68</v>
      </c>
      <c r="I566" s="93">
        <v>13346.14</v>
      </c>
      <c r="J566" s="93">
        <v>2420.5300000000002</v>
      </c>
      <c r="K566" s="93">
        <v>283.01</v>
      </c>
      <c r="L566" s="43">
        <v>9.440543974401205</v>
      </c>
      <c r="M566" s="43">
        <v>11.500435161009573</v>
      </c>
      <c r="N566" s="43">
        <v>4.7042601158316177</v>
      </c>
      <c r="O566" s="43">
        <v>11.297804391217564</v>
      </c>
      <c r="P566" s="94"/>
      <c r="Q566" s="94"/>
      <c r="R566" s="94">
        <v>1</v>
      </c>
    </row>
    <row r="567" spans="1:18" ht="24">
      <c r="A567" s="90">
        <v>306</v>
      </c>
      <c r="B567" s="87" t="s">
        <v>1022</v>
      </c>
      <c r="C567" s="91" t="s">
        <v>1023</v>
      </c>
      <c r="D567" s="92">
        <v>2091.4699999999998</v>
      </c>
      <c r="E567" s="92">
        <v>1413.27</v>
      </c>
      <c r="F567" s="92">
        <v>646.55999999999995</v>
      </c>
      <c r="G567" s="92">
        <v>31.64</v>
      </c>
      <c r="H567" s="93">
        <v>19645.849999999999</v>
      </c>
      <c r="I567" s="93">
        <v>16253.22</v>
      </c>
      <c r="J567" s="93">
        <v>3038.02</v>
      </c>
      <c r="K567" s="93">
        <v>354.61</v>
      </c>
      <c r="L567" s="43">
        <v>9.3933214437692154</v>
      </c>
      <c r="M567" s="43">
        <v>11.500435161009573</v>
      </c>
      <c r="N567" s="43">
        <v>4.6987441227418962</v>
      </c>
      <c r="O567" s="43">
        <v>11.207648546144121</v>
      </c>
      <c r="P567" s="94"/>
      <c r="Q567" s="94"/>
      <c r="R567" s="94">
        <v>1</v>
      </c>
    </row>
    <row r="568" spans="1:18" ht="24">
      <c r="A568" s="90">
        <v>307</v>
      </c>
      <c r="B568" s="87" t="s">
        <v>1024</v>
      </c>
      <c r="C568" s="91" t="s">
        <v>1025</v>
      </c>
      <c r="D568" s="92">
        <v>2237.06</v>
      </c>
      <c r="E568" s="92">
        <v>1505.19</v>
      </c>
      <c r="F568" s="92">
        <v>698.4</v>
      </c>
      <c r="G568" s="92">
        <v>33.47</v>
      </c>
      <c r="H568" s="93">
        <v>20979.96</v>
      </c>
      <c r="I568" s="93">
        <v>17310.34</v>
      </c>
      <c r="J568" s="93">
        <v>3293.97</v>
      </c>
      <c r="K568" s="93">
        <v>375.65</v>
      </c>
      <c r="L568" s="43">
        <v>9.3783626724361433</v>
      </c>
      <c r="M568" s="43">
        <v>11.500435161009573</v>
      </c>
      <c r="N568" s="43">
        <v>4.7164518900343637</v>
      </c>
      <c r="O568" s="43">
        <v>11.223483716761278</v>
      </c>
      <c r="P568" s="94"/>
      <c r="Q568" s="94"/>
      <c r="R568" s="94">
        <v>1</v>
      </c>
    </row>
    <row r="569" spans="1:18" ht="24">
      <c r="A569" s="90">
        <v>308</v>
      </c>
      <c r="B569" s="87" t="s">
        <v>1026</v>
      </c>
      <c r="C569" s="91" t="s">
        <v>1027</v>
      </c>
      <c r="D569" s="92">
        <v>1279.03</v>
      </c>
      <c r="E569" s="92">
        <v>750.36</v>
      </c>
      <c r="F569" s="92">
        <v>512.74</v>
      </c>
      <c r="G569" s="92">
        <v>15.93</v>
      </c>
      <c r="H569" s="93">
        <v>11409.18</v>
      </c>
      <c r="I569" s="93">
        <v>8629.14</v>
      </c>
      <c r="J569" s="93">
        <v>2599.37</v>
      </c>
      <c r="K569" s="93">
        <v>180.67</v>
      </c>
      <c r="L569" s="43">
        <v>8.9201817001946786</v>
      </c>
      <c r="M569" s="43">
        <v>11.499999999999998</v>
      </c>
      <c r="N569" s="43">
        <v>5.0695674220852673</v>
      </c>
      <c r="O569" s="43">
        <v>11.341494036409291</v>
      </c>
      <c r="P569" s="94"/>
      <c r="Q569" s="94"/>
      <c r="R569" s="94">
        <v>1</v>
      </c>
    </row>
    <row r="570" spans="1:18" ht="24">
      <c r="A570" s="90">
        <v>309</v>
      </c>
      <c r="B570" s="87" t="s">
        <v>1028</v>
      </c>
      <c r="C570" s="91" t="s">
        <v>1029</v>
      </c>
      <c r="D570" s="92">
        <v>1343.64</v>
      </c>
      <c r="E570" s="92">
        <v>786.99</v>
      </c>
      <c r="F570" s="92">
        <v>539.99</v>
      </c>
      <c r="G570" s="92">
        <v>16.66</v>
      </c>
      <c r="H570" s="93">
        <v>11978.63</v>
      </c>
      <c r="I570" s="93">
        <v>9050.39</v>
      </c>
      <c r="J570" s="93">
        <v>2739.18</v>
      </c>
      <c r="K570" s="93">
        <v>189.06</v>
      </c>
      <c r="L570" s="43">
        <v>8.9150590932094893</v>
      </c>
      <c r="M570" s="43">
        <v>11.500006353320879</v>
      </c>
      <c r="N570" s="43">
        <v>5.0726494935091386</v>
      </c>
      <c r="O570" s="43">
        <v>11.34813925570228</v>
      </c>
      <c r="P570" s="94"/>
      <c r="Q570" s="94"/>
      <c r="R570" s="94">
        <v>1</v>
      </c>
    </row>
    <row r="571" spans="1:18" ht="24">
      <c r="A571" s="90">
        <v>310</v>
      </c>
      <c r="B571" s="87" t="s">
        <v>1030</v>
      </c>
      <c r="C571" s="91" t="s">
        <v>1031</v>
      </c>
      <c r="D571" s="92">
        <v>1464.61</v>
      </c>
      <c r="E571" s="92">
        <v>857.61</v>
      </c>
      <c r="F571" s="92">
        <v>588.92999999999995</v>
      </c>
      <c r="G571" s="92">
        <v>18.07</v>
      </c>
      <c r="H571" s="93">
        <v>13036.38</v>
      </c>
      <c r="I571" s="93">
        <v>9862.5400000000009</v>
      </c>
      <c r="J571" s="93">
        <v>2968.56</v>
      </c>
      <c r="K571" s="93">
        <v>205.28</v>
      </c>
      <c r="L571" s="43">
        <v>8.9009224298618754</v>
      </c>
      <c r="M571" s="43">
        <v>11.500029150779493</v>
      </c>
      <c r="N571" s="43">
        <v>5.0405990525189752</v>
      </c>
      <c r="O571" s="43">
        <v>11.360265633646929</v>
      </c>
      <c r="P571" s="94"/>
      <c r="Q571" s="94"/>
      <c r="R571" s="94">
        <v>1</v>
      </c>
    </row>
    <row r="572" spans="1:18" ht="24">
      <c r="A572" s="90">
        <v>311</v>
      </c>
      <c r="B572" s="87" t="s">
        <v>1032</v>
      </c>
      <c r="C572" s="91" t="s">
        <v>1033</v>
      </c>
      <c r="D572" s="92">
        <v>1802.16</v>
      </c>
      <c r="E572" s="92">
        <v>1115.01</v>
      </c>
      <c r="F572" s="92">
        <v>663.01</v>
      </c>
      <c r="G572" s="92">
        <v>24.14</v>
      </c>
      <c r="H572" s="93">
        <v>16358.6</v>
      </c>
      <c r="I572" s="93">
        <v>12822.59</v>
      </c>
      <c r="J572" s="93">
        <v>3263.47</v>
      </c>
      <c r="K572" s="93">
        <v>272.54000000000002</v>
      </c>
      <c r="L572" s="43">
        <v>9.077218448972344</v>
      </c>
      <c r="M572" s="43">
        <v>11.499977578676425</v>
      </c>
      <c r="N572" s="43">
        <v>4.922203285018325</v>
      </c>
      <c r="O572" s="43">
        <v>11.289975144987572</v>
      </c>
      <c r="P572" s="94"/>
      <c r="Q572" s="94"/>
      <c r="R572" s="94">
        <v>1</v>
      </c>
    </row>
    <row r="573" spans="1:18" ht="24">
      <c r="A573" s="90">
        <v>312</v>
      </c>
      <c r="B573" s="87" t="s">
        <v>1034</v>
      </c>
      <c r="C573" s="91" t="s">
        <v>1035</v>
      </c>
      <c r="D573" s="92">
        <v>1896.82</v>
      </c>
      <c r="E573" s="92">
        <v>1168.96</v>
      </c>
      <c r="F573" s="92">
        <v>702.64</v>
      </c>
      <c r="G573" s="92">
        <v>25.22</v>
      </c>
      <c r="H573" s="93">
        <v>17192.86</v>
      </c>
      <c r="I573" s="93">
        <v>13443.04</v>
      </c>
      <c r="J573" s="93">
        <v>3464.86</v>
      </c>
      <c r="K573" s="93">
        <v>284.95999999999998</v>
      </c>
      <c r="L573" s="43">
        <v>9.0640440315897131</v>
      </c>
      <c r="M573" s="43">
        <v>11.5</v>
      </c>
      <c r="N573" s="43">
        <v>4.931202322668792</v>
      </c>
      <c r="O573" s="43">
        <v>11.298969072164947</v>
      </c>
      <c r="P573" s="94"/>
      <c r="Q573" s="94"/>
      <c r="R573" s="94">
        <v>1</v>
      </c>
    </row>
    <row r="574" spans="1:18" ht="24">
      <c r="A574" s="90">
        <v>313</v>
      </c>
      <c r="B574" s="87" t="s">
        <v>1036</v>
      </c>
      <c r="C574" s="91" t="s">
        <v>1037</v>
      </c>
      <c r="D574" s="92">
        <v>2286.5100000000002</v>
      </c>
      <c r="E574" s="92">
        <v>1438.72</v>
      </c>
      <c r="F574" s="92">
        <v>817.18</v>
      </c>
      <c r="G574" s="92">
        <v>30.61</v>
      </c>
      <c r="H574" s="93">
        <v>20873.43</v>
      </c>
      <c r="I574" s="93">
        <v>16545.28</v>
      </c>
      <c r="J574" s="93">
        <v>3981.2</v>
      </c>
      <c r="K574" s="93">
        <v>346.95</v>
      </c>
      <c r="L574" s="43">
        <v>9.1289476101132294</v>
      </c>
      <c r="M574" s="43">
        <v>11.499999999999998</v>
      </c>
      <c r="N574" s="43">
        <v>4.8718764531682126</v>
      </c>
      <c r="O574" s="43">
        <v>11.33453119895459</v>
      </c>
      <c r="P574" s="94"/>
      <c r="Q574" s="94"/>
      <c r="R574" s="94">
        <v>1</v>
      </c>
    </row>
    <row r="575" spans="1:18" ht="24">
      <c r="A575" s="90">
        <v>314</v>
      </c>
      <c r="B575" s="87" t="s">
        <v>1038</v>
      </c>
      <c r="C575" s="91" t="s">
        <v>1039</v>
      </c>
      <c r="D575" s="92">
        <v>2355.0300000000002</v>
      </c>
      <c r="E575" s="92">
        <v>1472.44</v>
      </c>
      <c r="F575" s="92">
        <v>849.77</v>
      </c>
      <c r="G575" s="92">
        <v>32.82</v>
      </c>
      <c r="H575" s="93">
        <v>21451.06</v>
      </c>
      <c r="I575" s="93">
        <v>16933.060000000001</v>
      </c>
      <c r="J575" s="93">
        <v>4149.82</v>
      </c>
      <c r="K575" s="93">
        <v>368.18</v>
      </c>
      <c r="L575" s="43">
        <v>9.1086143276306455</v>
      </c>
      <c r="M575" s="43">
        <v>11.5</v>
      </c>
      <c r="N575" s="43">
        <v>4.8834625839933157</v>
      </c>
      <c r="O575" s="43">
        <v>11.218159658744668</v>
      </c>
      <c r="P575" s="94"/>
      <c r="Q575" s="94"/>
      <c r="R575" s="94">
        <v>1</v>
      </c>
    </row>
    <row r="576" spans="1:18" ht="24">
      <c r="A576" s="90">
        <v>315</v>
      </c>
      <c r="B576" s="87" t="s">
        <v>1040</v>
      </c>
      <c r="C576" s="91" t="s">
        <v>1041</v>
      </c>
      <c r="D576" s="92">
        <v>2805.22</v>
      </c>
      <c r="E576" s="92">
        <v>1742.2</v>
      </c>
      <c r="F576" s="92">
        <v>1024.81</v>
      </c>
      <c r="G576" s="92">
        <v>38.21</v>
      </c>
      <c r="H576" s="93">
        <v>25445.42</v>
      </c>
      <c r="I576" s="93">
        <v>20035.3</v>
      </c>
      <c r="J576" s="93">
        <v>4979.96</v>
      </c>
      <c r="K576" s="93">
        <v>430.16</v>
      </c>
      <c r="L576" s="43">
        <v>9.070739549839228</v>
      </c>
      <c r="M576" s="43">
        <v>11.5</v>
      </c>
      <c r="N576" s="43">
        <v>4.8593983274948531</v>
      </c>
      <c r="O576" s="43">
        <v>11.257785919916254</v>
      </c>
      <c r="P576" s="94"/>
      <c r="Q576" s="94"/>
      <c r="R576" s="94">
        <v>1</v>
      </c>
    </row>
    <row r="577" spans="1:18" ht="24">
      <c r="A577" s="90">
        <v>316</v>
      </c>
      <c r="B577" s="87" t="s">
        <v>1042</v>
      </c>
      <c r="C577" s="91" t="s">
        <v>1043</v>
      </c>
      <c r="D577" s="92">
        <v>2902.94</v>
      </c>
      <c r="E577" s="92">
        <v>1798.4</v>
      </c>
      <c r="F577" s="92">
        <v>1065.2</v>
      </c>
      <c r="G577" s="92">
        <v>39.340000000000003</v>
      </c>
      <c r="H577" s="93">
        <v>26307.78</v>
      </c>
      <c r="I577" s="93">
        <v>20681.599999999999</v>
      </c>
      <c r="J577" s="93">
        <v>5183.0200000000004</v>
      </c>
      <c r="K577" s="93">
        <v>443.16</v>
      </c>
      <c r="L577" s="43">
        <v>9.0624608155869559</v>
      </c>
      <c r="M577" s="43">
        <v>11.499999999999998</v>
      </c>
      <c r="N577" s="43">
        <v>4.865771686068344</v>
      </c>
      <c r="O577" s="43">
        <v>11.26487036095577</v>
      </c>
      <c r="P577" s="94"/>
      <c r="Q577" s="94"/>
      <c r="R577" s="94">
        <v>1</v>
      </c>
    </row>
    <row r="578" spans="1:18" ht="24">
      <c r="A578" s="90">
        <v>317</v>
      </c>
      <c r="B578" s="87" t="s">
        <v>1044</v>
      </c>
      <c r="C578" s="91" t="s">
        <v>1045</v>
      </c>
      <c r="D578" s="92">
        <v>2901.43</v>
      </c>
      <c r="E578" s="92">
        <v>1843.36</v>
      </c>
      <c r="F578" s="92">
        <v>1017.83</v>
      </c>
      <c r="G578" s="92">
        <v>40.24</v>
      </c>
      <c r="H578" s="93">
        <v>26561.24</v>
      </c>
      <c r="I578" s="93">
        <v>21198.639999999999</v>
      </c>
      <c r="J578" s="93">
        <v>4909.09</v>
      </c>
      <c r="K578" s="93">
        <v>453.51</v>
      </c>
      <c r="L578" s="43">
        <v>9.1545341435085472</v>
      </c>
      <c r="M578" s="43">
        <v>11.5</v>
      </c>
      <c r="N578" s="43">
        <v>4.8230942298812183</v>
      </c>
      <c r="O578" s="43">
        <v>11.270129224652086</v>
      </c>
      <c r="P578" s="94"/>
      <c r="Q578" s="94"/>
      <c r="R578" s="94">
        <v>1</v>
      </c>
    </row>
    <row r="579" spans="1:18" ht="24">
      <c r="A579" s="90">
        <v>318</v>
      </c>
      <c r="B579" s="87" t="s">
        <v>1046</v>
      </c>
      <c r="C579" s="91" t="s">
        <v>1047</v>
      </c>
      <c r="D579" s="92">
        <v>3429.04</v>
      </c>
      <c r="E579" s="92">
        <v>2215.1999999999998</v>
      </c>
      <c r="F579" s="92">
        <v>1164.95</v>
      </c>
      <c r="G579" s="92">
        <v>48.89</v>
      </c>
      <c r="H579" s="93">
        <v>31599.73</v>
      </c>
      <c r="I579" s="93">
        <v>25474.799999999999</v>
      </c>
      <c r="J579" s="93">
        <v>5575.25</v>
      </c>
      <c r="K579" s="93">
        <v>549.67999999999995</v>
      </c>
      <c r="L579" s="43">
        <v>9.2153284884399138</v>
      </c>
      <c r="M579" s="43">
        <v>11.5</v>
      </c>
      <c r="N579" s="43">
        <v>4.7858277179278081</v>
      </c>
      <c r="O579" s="43">
        <v>11.24319901820413</v>
      </c>
      <c r="P579" s="94"/>
      <c r="Q579" s="94"/>
      <c r="R579" s="94">
        <v>1</v>
      </c>
    </row>
    <row r="580" spans="1:18" ht="24">
      <c r="A580" s="90">
        <v>319</v>
      </c>
      <c r="B580" s="87" t="s">
        <v>1048</v>
      </c>
      <c r="C580" s="91" t="s">
        <v>1049</v>
      </c>
      <c r="D580" s="92">
        <v>4387.34</v>
      </c>
      <c r="E580" s="92">
        <v>2851.36</v>
      </c>
      <c r="F580" s="92">
        <v>1472.83</v>
      </c>
      <c r="G580" s="92">
        <v>63.15</v>
      </c>
      <c r="H580" s="93">
        <v>40507.199999999997</v>
      </c>
      <c r="I580" s="93">
        <v>32790.639999999999</v>
      </c>
      <c r="J580" s="93">
        <v>7007.07</v>
      </c>
      <c r="K580" s="93">
        <v>709.49</v>
      </c>
      <c r="L580" s="43">
        <v>9.2327469491764926</v>
      </c>
      <c r="M580" s="43">
        <v>11.5</v>
      </c>
      <c r="N580" s="43">
        <v>4.7575551828792193</v>
      </c>
      <c r="O580" s="43">
        <v>11.234996041171813</v>
      </c>
      <c r="P580" s="94"/>
      <c r="Q580" s="94"/>
      <c r="R580" s="94">
        <v>1</v>
      </c>
    </row>
    <row r="581" spans="1:18" ht="24">
      <c r="A581" s="90">
        <v>320</v>
      </c>
      <c r="B581" s="87" t="s">
        <v>1050</v>
      </c>
      <c r="C581" s="91" t="s">
        <v>1051</v>
      </c>
      <c r="D581" s="92">
        <v>5372.43</v>
      </c>
      <c r="E581" s="92">
        <v>3532.96</v>
      </c>
      <c r="F581" s="92">
        <v>1762.69</v>
      </c>
      <c r="G581" s="92">
        <v>76.78</v>
      </c>
      <c r="H581" s="93">
        <v>49935.42</v>
      </c>
      <c r="I581" s="93">
        <v>40629.040000000001</v>
      </c>
      <c r="J581" s="93">
        <v>8440.15</v>
      </c>
      <c r="K581" s="93">
        <v>866.23</v>
      </c>
      <c r="L581" s="43">
        <v>9.2947548874531627</v>
      </c>
      <c r="M581" s="43">
        <v>11.5</v>
      </c>
      <c r="N581" s="43">
        <v>4.7882214115925086</v>
      </c>
      <c r="O581" s="43">
        <v>11.281974472518884</v>
      </c>
      <c r="P581" s="94"/>
      <c r="Q581" s="94"/>
      <c r="R581" s="94">
        <v>1</v>
      </c>
    </row>
    <row r="582" spans="1:18" ht="24">
      <c r="A582" s="90">
        <v>321</v>
      </c>
      <c r="B582" s="87" t="s">
        <v>1052</v>
      </c>
      <c r="C582" s="91" t="s">
        <v>1053</v>
      </c>
      <c r="D582" s="92">
        <v>5797.14</v>
      </c>
      <c r="E582" s="92">
        <v>3896.48</v>
      </c>
      <c r="F582" s="92">
        <v>1809.27</v>
      </c>
      <c r="G582" s="92">
        <v>91.39</v>
      </c>
      <c r="H582" s="93">
        <v>54357.52</v>
      </c>
      <c r="I582" s="93">
        <v>44809.52</v>
      </c>
      <c r="J582" s="93">
        <v>8533.7900000000009</v>
      </c>
      <c r="K582" s="93">
        <v>1014.21</v>
      </c>
      <c r="L582" s="43">
        <v>9.3766098455445253</v>
      </c>
      <c r="M582" s="43">
        <v>11.5</v>
      </c>
      <c r="N582" s="43">
        <v>4.7167034218220616</v>
      </c>
      <c r="O582" s="43">
        <v>11.097603676551046</v>
      </c>
      <c r="P582" s="94"/>
      <c r="Q582" s="94"/>
      <c r="R582" s="94">
        <v>1</v>
      </c>
    </row>
    <row r="583" spans="1:18" ht="24">
      <c r="A583" s="90">
        <v>322</v>
      </c>
      <c r="B583" s="87" t="s">
        <v>1054</v>
      </c>
      <c r="C583" s="91" t="s">
        <v>1055</v>
      </c>
      <c r="D583" s="92">
        <v>6462.76</v>
      </c>
      <c r="E583" s="92">
        <v>4354.71</v>
      </c>
      <c r="F583" s="92">
        <v>2007.5</v>
      </c>
      <c r="G583" s="92">
        <v>100.55</v>
      </c>
      <c r="H583" s="93">
        <v>60677.5</v>
      </c>
      <c r="I583" s="93">
        <v>50081.06</v>
      </c>
      <c r="J583" s="93">
        <v>9476.89</v>
      </c>
      <c r="K583" s="93">
        <v>1119.55</v>
      </c>
      <c r="L583" s="43">
        <v>9.3887905476916984</v>
      </c>
      <c r="M583" s="43">
        <v>11.500435161009573</v>
      </c>
      <c r="N583" s="43">
        <v>4.7207422166874222</v>
      </c>
      <c r="O583" s="43">
        <v>11.134261561412233</v>
      </c>
      <c r="P583" s="94"/>
      <c r="Q583" s="94"/>
      <c r="R583" s="94">
        <v>1</v>
      </c>
    </row>
    <row r="584" spans="1:18" ht="24">
      <c r="A584" s="90">
        <v>323</v>
      </c>
      <c r="B584" s="87" t="s">
        <v>1056</v>
      </c>
      <c r="C584" s="91" t="s">
        <v>1057</v>
      </c>
      <c r="D584" s="92">
        <v>7394.97</v>
      </c>
      <c r="E584" s="92">
        <v>4998.1499999999996</v>
      </c>
      <c r="F584" s="92">
        <v>2283.4</v>
      </c>
      <c r="G584" s="92">
        <v>113.42</v>
      </c>
      <c r="H584" s="93">
        <v>69492.5</v>
      </c>
      <c r="I584" s="93">
        <v>57480.9</v>
      </c>
      <c r="J584" s="93">
        <v>10744.05</v>
      </c>
      <c r="K584" s="93">
        <v>1267.55</v>
      </c>
      <c r="L584" s="43">
        <v>9.3972659794427837</v>
      </c>
      <c r="M584" s="43">
        <v>11.500435161009575</v>
      </c>
      <c r="N584" s="43">
        <v>4.7052859770517648</v>
      </c>
      <c r="O584" s="43">
        <v>11.175718568153764</v>
      </c>
      <c r="P584" s="94"/>
      <c r="Q584" s="94"/>
      <c r="R584" s="94">
        <v>1</v>
      </c>
    </row>
    <row r="585" spans="1:18" ht="24">
      <c r="A585" s="90">
        <v>324</v>
      </c>
      <c r="B585" s="87" t="s">
        <v>1058</v>
      </c>
      <c r="C585" s="91" t="s">
        <v>1059</v>
      </c>
      <c r="D585" s="92">
        <v>8327.18</v>
      </c>
      <c r="E585" s="92">
        <v>5641.59</v>
      </c>
      <c r="F585" s="92">
        <v>2559.3000000000002</v>
      </c>
      <c r="G585" s="92">
        <v>126.29</v>
      </c>
      <c r="H585" s="93">
        <v>78307.520000000004</v>
      </c>
      <c r="I585" s="93">
        <v>64880.74</v>
      </c>
      <c r="J585" s="93">
        <v>12011.22</v>
      </c>
      <c r="K585" s="93">
        <v>1415.56</v>
      </c>
      <c r="L585" s="43">
        <v>9.4038462000341045</v>
      </c>
      <c r="M585" s="43">
        <v>11.500435161009573</v>
      </c>
      <c r="N585" s="43">
        <v>4.693166100105497</v>
      </c>
      <c r="O585" s="43">
        <v>11.208805131047589</v>
      </c>
      <c r="P585" s="94"/>
      <c r="Q585" s="94"/>
      <c r="R585" s="94">
        <v>1</v>
      </c>
    </row>
    <row r="586" spans="1:18" ht="24">
      <c r="A586" s="90">
        <v>325</v>
      </c>
      <c r="B586" s="87" t="s">
        <v>1060</v>
      </c>
      <c r="C586" s="91" t="s">
        <v>1061</v>
      </c>
      <c r="D586" s="92">
        <v>9362.08</v>
      </c>
      <c r="E586" s="92">
        <v>6376.95</v>
      </c>
      <c r="F586" s="92">
        <v>2844.13</v>
      </c>
      <c r="G586" s="92">
        <v>141</v>
      </c>
      <c r="H586" s="93">
        <v>88238.47</v>
      </c>
      <c r="I586" s="93">
        <v>73337.7</v>
      </c>
      <c r="J586" s="93">
        <v>13316.05</v>
      </c>
      <c r="K586" s="93">
        <v>1584.72</v>
      </c>
      <c r="L586" s="43">
        <v>9.4250925008117861</v>
      </c>
      <c r="M586" s="43">
        <v>11.500435161009573</v>
      </c>
      <c r="N586" s="43">
        <v>4.6819414021159362</v>
      </c>
      <c r="O586" s="43">
        <v>11.239148936170213</v>
      </c>
      <c r="P586" s="94"/>
      <c r="Q586" s="94"/>
      <c r="R586" s="94">
        <v>1</v>
      </c>
    </row>
    <row r="587" spans="1:18" ht="18" customHeight="1">
      <c r="A587" s="628" t="s">
        <v>1062</v>
      </c>
      <c r="B587" s="629"/>
      <c r="C587" s="629"/>
      <c r="D587" s="629"/>
      <c r="E587" s="629"/>
      <c r="F587" s="629"/>
      <c r="G587" s="629"/>
      <c r="H587" s="629"/>
      <c r="I587" s="629"/>
      <c r="J587" s="629"/>
      <c r="K587" s="629"/>
      <c r="L587" s="629"/>
      <c r="M587" s="629"/>
      <c r="N587" s="629"/>
      <c r="O587" s="629"/>
      <c r="P587" s="629"/>
      <c r="Q587" s="629"/>
      <c r="R587" s="629"/>
    </row>
    <row r="588" spans="1:18" ht="24">
      <c r="A588" s="90">
        <v>326</v>
      </c>
      <c r="B588" s="87" t="s">
        <v>1063</v>
      </c>
      <c r="C588" s="91" t="s">
        <v>1064</v>
      </c>
      <c r="D588" s="92">
        <v>1477.51</v>
      </c>
      <c r="E588" s="92">
        <v>858.03</v>
      </c>
      <c r="F588" s="92">
        <v>601.4</v>
      </c>
      <c r="G588" s="92">
        <v>18.079999999999998</v>
      </c>
      <c r="H588" s="93">
        <v>13093.92</v>
      </c>
      <c r="I588" s="93">
        <v>9867.35</v>
      </c>
      <c r="J588" s="93">
        <v>3021.18</v>
      </c>
      <c r="K588" s="93">
        <v>205.39</v>
      </c>
      <c r="L588" s="43">
        <v>8.8621532172371094</v>
      </c>
      <c r="M588" s="43">
        <v>11.500005827302077</v>
      </c>
      <c r="N588" s="43">
        <v>5.0235783172597275</v>
      </c>
      <c r="O588" s="43">
        <v>11.360066371681416</v>
      </c>
      <c r="P588" s="94"/>
      <c r="Q588" s="94"/>
      <c r="R588" s="94">
        <v>2</v>
      </c>
    </row>
    <row r="589" spans="1:18" ht="24">
      <c r="A589" s="90">
        <v>327</v>
      </c>
      <c r="B589" s="87" t="s">
        <v>1065</v>
      </c>
      <c r="C589" s="91" t="s">
        <v>1066</v>
      </c>
      <c r="D589" s="92">
        <v>1462.04</v>
      </c>
      <c r="E589" s="92">
        <v>890.22</v>
      </c>
      <c r="F589" s="92">
        <v>553.1</v>
      </c>
      <c r="G589" s="92">
        <v>18.72</v>
      </c>
      <c r="H589" s="93">
        <v>13198.42</v>
      </c>
      <c r="I589" s="93">
        <v>10237.530000000001</v>
      </c>
      <c r="J589" s="93">
        <v>2748.14</v>
      </c>
      <c r="K589" s="93">
        <v>212.75</v>
      </c>
      <c r="L589" s="43">
        <v>9.027400071133485</v>
      </c>
      <c r="M589" s="43">
        <v>11.5</v>
      </c>
      <c r="N589" s="43">
        <v>4.9686132706563004</v>
      </c>
      <c r="O589" s="43">
        <v>11.364850427350428</v>
      </c>
      <c r="P589" s="94"/>
      <c r="Q589" s="94"/>
      <c r="R589" s="94">
        <v>2</v>
      </c>
    </row>
    <row r="590" spans="1:18" ht="24">
      <c r="A590" s="90">
        <v>328</v>
      </c>
      <c r="B590" s="87" t="s">
        <v>1067</v>
      </c>
      <c r="C590" s="91" t="s">
        <v>1068</v>
      </c>
      <c r="D590" s="92">
        <v>1560.32</v>
      </c>
      <c r="E590" s="92">
        <v>953.49</v>
      </c>
      <c r="F590" s="92">
        <v>586.84</v>
      </c>
      <c r="G590" s="92">
        <v>19.989999999999998</v>
      </c>
      <c r="H590" s="93">
        <v>14104.61</v>
      </c>
      <c r="I590" s="93">
        <v>10965.14</v>
      </c>
      <c r="J590" s="93">
        <v>2912.11</v>
      </c>
      <c r="K590" s="93">
        <v>227.36</v>
      </c>
      <c r="L590" s="43">
        <v>9.0395623974569332</v>
      </c>
      <c r="M590" s="43">
        <v>11.500005243893485</v>
      </c>
      <c r="N590" s="43">
        <v>4.9623577124940361</v>
      </c>
      <c r="O590" s="43">
        <v>11.373686843421712</v>
      </c>
      <c r="P590" s="94"/>
      <c r="Q590" s="94"/>
      <c r="R590" s="94">
        <v>2</v>
      </c>
    </row>
    <row r="591" spans="1:18" ht="24">
      <c r="A591" s="90">
        <v>329</v>
      </c>
      <c r="B591" s="87" t="s">
        <v>1069</v>
      </c>
      <c r="C591" s="91" t="s">
        <v>1070</v>
      </c>
      <c r="D591" s="92">
        <v>2104.61</v>
      </c>
      <c r="E591" s="92">
        <v>1287.5999999999999</v>
      </c>
      <c r="F591" s="92">
        <v>789.42</v>
      </c>
      <c r="G591" s="92">
        <v>27.59</v>
      </c>
      <c r="H591" s="93">
        <v>18998.27</v>
      </c>
      <c r="I591" s="93">
        <v>14807.4</v>
      </c>
      <c r="J591" s="93">
        <v>3878.65</v>
      </c>
      <c r="K591" s="93">
        <v>312.22000000000003</v>
      </c>
      <c r="L591" s="43">
        <v>9.026978870194478</v>
      </c>
      <c r="M591" s="43">
        <v>11.5</v>
      </c>
      <c r="N591" s="43">
        <v>4.9132907704390565</v>
      </c>
      <c r="O591" s="43">
        <v>11.316418992388547</v>
      </c>
      <c r="P591" s="94"/>
      <c r="Q591" s="94"/>
      <c r="R591" s="94">
        <v>2</v>
      </c>
    </row>
    <row r="592" spans="1:18" ht="24">
      <c r="A592" s="90">
        <v>330</v>
      </c>
      <c r="B592" s="87" t="s">
        <v>1071</v>
      </c>
      <c r="C592" s="91" t="s">
        <v>1072</v>
      </c>
      <c r="D592" s="92">
        <v>2672.45</v>
      </c>
      <c r="E592" s="92">
        <v>1674.76</v>
      </c>
      <c r="F592" s="92">
        <v>962.35</v>
      </c>
      <c r="G592" s="92">
        <v>35.340000000000003</v>
      </c>
      <c r="H592" s="93">
        <v>24333.49</v>
      </c>
      <c r="I592" s="93">
        <v>19259.740000000002</v>
      </c>
      <c r="J592" s="93">
        <v>4672.41</v>
      </c>
      <c r="K592" s="93">
        <v>401.34</v>
      </c>
      <c r="L592" s="43">
        <v>9.10531160545567</v>
      </c>
      <c r="M592" s="43">
        <v>11.500000000000002</v>
      </c>
      <c r="N592" s="43">
        <v>4.8552086039382756</v>
      </c>
      <c r="O592" s="43">
        <v>11.356536502546687</v>
      </c>
      <c r="P592" s="94"/>
      <c r="Q592" s="94"/>
      <c r="R592" s="94">
        <v>2</v>
      </c>
    </row>
    <row r="593" spans="1:18" ht="24">
      <c r="A593" s="90">
        <v>331</v>
      </c>
      <c r="B593" s="87" t="s">
        <v>1073</v>
      </c>
      <c r="C593" s="91" t="s">
        <v>1074</v>
      </c>
      <c r="D593" s="92">
        <v>3204.76</v>
      </c>
      <c r="E593" s="92">
        <v>2045.68</v>
      </c>
      <c r="F593" s="92">
        <v>1114.8</v>
      </c>
      <c r="G593" s="92">
        <v>44.28</v>
      </c>
      <c r="H593" s="93">
        <v>29371.05</v>
      </c>
      <c r="I593" s="93">
        <v>23525.32</v>
      </c>
      <c r="J593" s="93">
        <v>5345.76</v>
      </c>
      <c r="K593" s="93">
        <v>499.97</v>
      </c>
      <c r="L593" s="43">
        <v>9.164820454573821</v>
      </c>
      <c r="M593" s="43">
        <v>11.5</v>
      </c>
      <c r="N593" s="43">
        <v>4.7952637244348768</v>
      </c>
      <c r="O593" s="43">
        <v>11.291102077687444</v>
      </c>
      <c r="P593" s="94"/>
      <c r="Q593" s="94"/>
      <c r="R593" s="94">
        <v>2</v>
      </c>
    </row>
    <row r="594" spans="1:18" ht="24">
      <c r="A594" s="90">
        <v>332</v>
      </c>
      <c r="B594" s="87" t="s">
        <v>1075</v>
      </c>
      <c r="C594" s="91" t="s">
        <v>1076</v>
      </c>
      <c r="D594" s="92">
        <v>3401.7</v>
      </c>
      <c r="E594" s="92">
        <v>2158.08</v>
      </c>
      <c r="F594" s="92">
        <v>1197.0899999999999</v>
      </c>
      <c r="G594" s="92">
        <v>46.53</v>
      </c>
      <c r="H594" s="93">
        <v>31098.35</v>
      </c>
      <c r="I594" s="93">
        <v>24817.919999999998</v>
      </c>
      <c r="J594" s="93">
        <v>5754.59</v>
      </c>
      <c r="K594" s="93">
        <v>525.84</v>
      </c>
      <c r="L594" s="43">
        <v>9.1420025281476907</v>
      </c>
      <c r="M594" s="43">
        <v>11.5</v>
      </c>
      <c r="N594" s="43">
        <v>4.8071490029989397</v>
      </c>
      <c r="O594" s="43">
        <v>11.301096067053514</v>
      </c>
      <c r="P594" s="94"/>
      <c r="Q594" s="94"/>
      <c r="R594" s="94">
        <v>2</v>
      </c>
    </row>
    <row r="595" spans="1:18" ht="24">
      <c r="A595" s="90">
        <v>333</v>
      </c>
      <c r="B595" s="87" t="s">
        <v>1077</v>
      </c>
      <c r="C595" s="91" t="s">
        <v>1078</v>
      </c>
      <c r="D595" s="92">
        <v>4136.7299999999996</v>
      </c>
      <c r="E595" s="92">
        <v>2686.36</v>
      </c>
      <c r="F595" s="92">
        <v>1392.05</v>
      </c>
      <c r="G595" s="92">
        <v>58.32</v>
      </c>
      <c r="H595" s="93">
        <v>38204.699999999997</v>
      </c>
      <c r="I595" s="93">
        <v>30893.14</v>
      </c>
      <c r="J595" s="93">
        <v>6653.43</v>
      </c>
      <c r="K595" s="93">
        <v>658.13</v>
      </c>
      <c r="L595" s="43">
        <v>9.2354830989694765</v>
      </c>
      <c r="M595" s="43">
        <v>11.5</v>
      </c>
      <c r="N595" s="43">
        <v>4.7795912503142848</v>
      </c>
      <c r="O595" s="43">
        <v>11.284807956104252</v>
      </c>
      <c r="P595" s="94"/>
      <c r="Q595" s="94"/>
      <c r="R595" s="94">
        <v>2</v>
      </c>
    </row>
    <row r="596" spans="1:18" ht="24">
      <c r="A596" s="90">
        <v>334</v>
      </c>
      <c r="B596" s="87" t="s">
        <v>1079</v>
      </c>
      <c r="C596" s="91" t="s">
        <v>1080</v>
      </c>
      <c r="D596" s="92">
        <v>5243.65</v>
      </c>
      <c r="E596" s="92">
        <v>3428.2</v>
      </c>
      <c r="F596" s="92">
        <v>1740.77</v>
      </c>
      <c r="G596" s="92">
        <v>74.680000000000007</v>
      </c>
      <c r="H596" s="93">
        <v>48525.67</v>
      </c>
      <c r="I596" s="93">
        <v>39424.300000000003</v>
      </c>
      <c r="J596" s="93">
        <v>8259.2900000000009</v>
      </c>
      <c r="K596" s="93">
        <v>842.08</v>
      </c>
      <c r="L596" s="43">
        <v>9.2541779104249908</v>
      </c>
      <c r="M596" s="43">
        <v>11.500000000000002</v>
      </c>
      <c r="N596" s="43">
        <v>4.7446187606633847</v>
      </c>
      <c r="O596" s="43">
        <v>11.275843599357257</v>
      </c>
      <c r="P596" s="94"/>
      <c r="Q596" s="94"/>
      <c r="R596" s="94">
        <v>2</v>
      </c>
    </row>
    <row r="597" spans="1:18" ht="24">
      <c r="A597" s="90">
        <v>335</v>
      </c>
      <c r="B597" s="87" t="s">
        <v>1081</v>
      </c>
      <c r="C597" s="91" t="s">
        <v>1082</v>
      </c>
      <c r="D597" s="92">
        <v>6289.04</v>
      </c>
      <c r="E597" s="92">
        <v>4237.28</v>
      </c>
      <c r="F597" s="92">
        <v>1960.89</v>
      </c>
      <c r="G597" s="92">
        <v>90.87</v>
      </c>
      <c r="H597" s="93">
        <v>58910.73</v>
      </c>
      <c r="I597" s="93">
        <v>48728.72</v>
      </c>
      <c r="J597" s="93">
        <v>9153.74</v>
      </c>
      <c r="K597" s="93">
        <v>1028.27</v>
      </c>
      <c r="L597" s="43">
        <v>9.3672054876419928</v>
      </c>
      <c r="M597" s="43">
        <v>11.500000000000002</v>
      </c>
      <c r="N597" s="43">
        <v>4.6681557864031129</v>
      </c>
      <c r="O597" s="43">
        <v>11.31583580939804</v>
      </c>
      <c r="P597" s="94"/>
      <c r="Q597" s="94"/>
      <c r="R597" s="94">
        <v>2</v>
      </c>
    </row>
    <row r="598" spans="1:18" ht="24">
      <c r="A598" s="90">
        <v>336</v>
      </c>
      <c r="B598" s="87" t="s">
        <v>1083</v>
      </c>
      <c r="C598" s="91" t="s">
        <v>1084</v>
      </c>
      <c r="D598" s="92">
        <v>7234.84</v>
      </c>
      <c r="E598" s="92">
        <v>4771.2</v>
      </c>
      <c r="F598" s="92">
        <v>2354.7600000000002</v>
      </c>
      <c r="G598" s="92">
        <v>108.88</v>
      </c>
      <c r="H598" s="93">
        <v>67194.149999999994</v>
      </c>
      <c r="I598" s="93">
        <v>54868.800000000003</v>
      </c>
      <c r="J598" s="93">
        <v>11110.01</v>
      </c>
      <c r="K598" s="93">
        <v>1215.3399999999999</v>
      </c>
      <c r="L598" s="43">
        <v>9.2875792692029115</v>
      </c>
      <c r="M598" s="43">
        <v>11.500000000000002</v>
      </c>
      <c r="N598" s="43">
        <v>4.7181071531705987</v>
      </c>
      <c r="O598" s="43">
        <v>11.162196914033798</v>
      </c>
      <c r="P598" s="94"/>
      <c r="Q598" s="94"/>
      <c r="R598" s="94">
        <v>2</v>
      </c>
    </row>
    <row r="599" spans="1:18" ht="24">
      <c r="A599" s="90">
        <v>337</v>
      </c>
      <c r="B599" s="87" t="s">
        <v>1085</v>
      </c>
      <c r="C599" s="91" t="s">
        <v>1086</v>
      </c>
      <c r="D599" s="92">
        <v>7943.08</v>
      </c>
      <c r="E599" s="92">
        <v>5214.24</v>
      </c>
      <c r="F599" s="92">
        <v>2611.1</v>
      </c>
      <c r="G599" s="92">
        <v>117.74</v>
      </c>
      <c r="H599" s="93">
        <v>73607.520000000004</v>
      </c>
      <c r="I599" s="93">
        <v>59963.76</v>
      </c>
      <c r="J599" s="93">
        <v>12326.53</v>
      </c>
      <c r="K599" s="93">
        <v>1317.23</v>
      </c>
      <c r="L599" s="43">
        <v>9.2668738071377863</v>
      </c>
      <c r="M599" s="43">
        <v>11.5</v>
      </c>
      <c r="N599" s="43">
        <v>4.7208188119949455</v>
      </c>
      <c r="O599" s="43">
        <v>11.187616782741635</v>
      </c>
      <c r="P599" s="94"/>
      <c r="Q599" s="94"/>
      <c r="R599" s="94">
        <v>2</v>
      </c>
    </row>
    <row r="600" spans="1:18" ht="24">
      <c r="A600" s="90">
        <v>338</v>
      </c>
      <c r="B600" s="87" t="s">
        <v>1087</v>
      </c>
      <c r="C600" s="91" t="s">
        <v>1088</v>
      </c>
      <c r="D600" s="92">
        <v>9117.41</v>
      </c>
      <c r="E600" s="92">
        <v>6020.8</v>
      </c>
      <c r="F600" s="92">
        <v>2962.73</v>
      </c>
      <c r="G600" s="92">
        <v>133.88</v>
      </c>
      <c r="H600" s="93">
        <v>84683.4</v>
      </c>
      <c r="I600" s="93">
        <v>69239.199999999997</v>
      </c>
      <c r="J600" s="93">
        <v>13941.36</v>
      </c>
      <c r="K600" s="93">
        <v>1502.84</v>
      </c>
      <c r="L600" s="43">
        <v>9.2880982647484309</v>
      </c>
      <c r="M600" s="43">
        <v>11.5</v>
      </c>
      <c r="N600" s="43">
        <v>4.7055789761469997</v>
      </c>
      <c r="O600" s="43">
        <v>11.225276366895727</v>
      </c>
      <c r="P600" s="94"/>
      <c r="Q600" s="94"/>
      <c r="R600" s="94">
        <v>2</v>
      </c>
    </row>
    <row r="601" spans="1:18" ht="24">
      <c r="A601" s="90">
        <v>339</v>
      </c>
      <c r="B601" s="87" t="s">
        <v>1089</v>
      </c>
      <c r="C601" s="91" t="s">
        <v>1090</v>
      </c>
      <c r="D601" s="92">
        <v>10237.629999999999</v>
      </c>
      <c r="E601" s="92">
        <v>6770.56</v>
      </c>
      <c r="F601" s="92">
        <v>3318.2</v>
      </c>
      <c r="G601" s="92">
        <v>148.87</v>
      </c>
      <c r="H601" s="93">
        <v>95125.06</v>
      </c>
      <c r="I601" s="93">
        <v>77861.440000000002</v>
      </c>
      <c r="J601" s="93">
        <v>15588.39</v>
      </c>
      <c r="K601" s="93">
        <v>1675.23</v>
      </c>
      <c r="L601" s="43">
        <v>9.2917071626929282</v>
      </c>
      <c r="M601" s="43">
        <v>11.5</v>
      </c>
      <c r="N601" s="43">
        <v>4.6978452172864804</v>
      </c>
      <c r="O601" s="43">
        <v>11.252972392019883</v>
      </c>
      <c r="P601" s="94"/>
      <c r="Q601" s="94"/>
      <c r="R601" s="94">
        <v>2</v>
      </c>
    </row>
    <row r="602" spans="1:18" ht="24">
      <c r="A602" s="90">
        <v>340</v>
      </c>
      <c r="B602" s="87" t="s">
        <v>1091</v>
      </c>
      <c r="C602" s="91" t="s">
        <v>1092</v>
      </c>
      <c r="D602" s="92">
        <v>11474.49</v>
      </c>
      <c r="E602" s="92">
        <v>7554.4</v>
      </c>
      <c r="F602" s="92">
        <v>3755.54</v>
      </c>
      <c r="G602" s="92">
        <v>164.55</v>
      </c>
      <c r="H602" s="93">
        <v>106397.19</v>
      </c>
      <c r="I602" s="93">
        <v>86875.6</v>
      </c>
      <c r="J602" s="93">
        <v>17666.04</v>
      </c>
      <c r="K602" s="93">
        <v>1855.55</v>
      </c>
      <c r="L602" s="43">
        <v>9.2724983855491612</v>
      </c>
      <c r="M602" s="43">
        <v>11.500000000000002</v>
      </c>
      <c r="N602" s="43">
        <v>4.7039946319304287</v>
      </c>
      <c r="O602" s="43">
        <v>11.276511698571861</v>
      </c>
      <c r="P602" s="94"/>
      <c r="Q602" s="94"/>
      <c r="R602" s="94">
        <v>2</v>
      </c>
    </row>
    <row r="603" spans="1:18" ht="24">
      <c r="A603" s="90">
        <v>341</v>
      </c>
      <c r="B603" s="87" t="s">
        <v>1093</v>
      </c>
      <c r="C603" s="91" t="s">
        <v>1094</v>
      </c>
      <c r="D603" s="92">
        <v>1714.9</v>
      </c>
      <c r="E603" s="92">
        <v>871.35</v>
      </c>
      <c r="F603" s="92">
        <v>824.28</v>
      </c>
      <c r="G603" s="92">
        <v>19.27</v>
      </c>
      <c r="H603" s="93">
        <v>14449.96</v>
      </c>
      <c r="I603" s="93">
        <v>10020.530000000001</v>
      </c>
      <c r="J603" s="93">
        <v>4212.8900000000003</v>
      </c>
      <c r="K603" s="93">
        <v>216.54</v>
      </c>
      <c r="L603" s="43">
        <v>8.4261239722432784</v>
      </c>
      <c r="M603" s="43">
        <v>11.500005738222299</v>
      </c>
      <c r="N603" s="43">
        <v>5.1109938370456645</v>
      </c>
      <c r="O603" s="43">
        <v>11.237156201349247</v>
      </c>
      <c r="P603" s="94"/>
      <c r="Q603" s="94"/>
      <c r="R603" s="94">
        <v>2</v>
      </c>
    </row>
    <row r="604" spans="1:18" ht="24">
      <c r="A604" s="90">
        <v>342</v>
      </c>
      <c r="B604" s="87" t="s">
        <v>1095</v>
      </c>
      <c r="C604" s="91" t="s">
        <v>1096</v>
      </c>
      <c r="D604" s="92">
        <v>1799.36</v>
      </c>
      <c r="E604" s="92">
        <v>907.98</v>
      </c>
      <c r="F604" s="92">
        <v>871.38</v>
      </c>
      <c r="G604" s="92">
        <v>20</v>
      </c>
      <c r="H604" s="93">
        <v>15123.84</v>
      </c>
      <c r="I604" s="93">
        <v>10441.77</v>
      </c>
      <c r="J604" s="93">
        <v>4457.1400000000003</v>
      </c>
      <c r="K604" s="93">
        <v>224.93</v>
      </c>
      <c r="L604" s="43">
        <v>8.4051218210919441</v>
      </c>
      <c r="M604" s="43">
        <v>11.5</v>
      </c>
      <c r="N604" s="43">
        <v>5.1150359200348872</v>
      </c>
      <c r="O604" s="43">
        <v>11.246500000000001</v>
      </c>
      <c r="P604" s="94"/>
      <c r="Q604" s="94"/>
      <c r="R604" s="94">
        <v>2</v>
      </c>
    </row>
    <row r="605" spans="1:18" ht="24">
      <c r="A605" s="90">
        <v>343</v>
      </c>
      <c r="B605" s="87" t="s">
        <v>1097</v>
      </c>
      <c r="C605" s="91" t="s">
        <v>1098</v>
      </c>
      <c r="D605" s="92">
        <v>1940</v>
      </c>
      <c r="E605" s="92">
        <v>980.13</v>
      </c>
      <c r="F605" s="92">
        <v>938.43</v>
      </c>
      <c r="G605" s="92">
        <v>21.44</v>
      </c>
      <c r="H605" s="93">
        <v>16311.41</v>
      </c>
      <c r="I605" s="93">
        <v>11271.5</v>
      </c>
      <c r="J605" s="93">
        <v>4798.42</v>
      </c>
      <c r="K605" s="93">
        <v>241.49</v>
      </c>
      <c r="L605" s="43">
        <v>8.4079432989690712</v>
      </c>
      <c r="M605" s="43">
        <v>11.500005101364104</v>
      </c>
      <c r="N605" s="43">
        <v>5.1132423302750345</v>
      </c>
      <c r="O605" s="43">
        <v>11.263526119402984</v>
      </c>
      <c r="P605" s="94"/>
      <c r="Q605" s="94"/>
      <c r="R605" s="94">
        <v>2</v>
      </c>
    </row>
    <row r="606" spans="1:18" ht="24">
      <c r="A606" s="90">
        <v>344</v>
      </c>
      <c r="B606" s="87" t="s">
        <v>1099</v>
      </c>
      <c r="C606" s="91" t="s">
        <v>1100</v>
      </c>
      <c r="D606" s="92">
        <v>2358.54</v>
      </c>
      <c r="E606" s="92">
        <v>1315.08</v>
      </c>
      <c r="F606" s="92">
        <v>1013.79</v>
      </c>
      <c r="G606" s="92">
        <v>29.67</v>
      </c>
      <c r="H606" s="93">
        <v>20534.400000000001</v>
      </c>
      <c r="I606" s="93">
        <v>15123.42</v>
      </c>
      <c r="J606" s="93">
        <v>5079.03</v>
      </c>
      <c r="K606" s="93">
        <v>331.95</v>
      </c>
      <c r="L606" s="43">
        <v>8.7064031137907349</v>
      </c>
      <c r="M606" s="43">
        <v>11.5</v>
      </c>
      <c r="N606" s="43">
        <v>5.0099428875802676</v>
      </c>
      <c r="O606" s="43">
        <v>11.188068756319513</v>
      </c>
      <c r="P606" s="94"/>
      <c r="Q606" s="94"/>
      <c r="R606" s="94">
        <v>2</v>
      </c>
    </row>
    <row r="607" spans="1:18" ht="24">
      <c r="A607" s="90">
        <v>345</v>
      </c>
      <c r="B607" s="87" t="s">
        <v>1101</v>
      </c>
      <c r="C607" s="91" t="s">
        <v>1102</v>
      </c>
      <c r="D607" s="92">
        <v>2936.41</v>
      </c>
      <c r="E607" s="92">
        <v>1686</v>
      </c>
      <c r="F607" s="92">
        <v>1213.32</v>
      </c>
      <c r="G607" s="92">
        <v>37.090000000000003</v>
      </c>
      <c r="H607" s="93">
        <v>25821.360000000001</v>
      </c>
      <c r="I607" s="93">
        <v>19389</v>
      </c>
      <c r="J607" s="93">
        <v>6015.08</v>
      </c>
      <c r="K607" s="93">
        <v>417.28</v>
      </c>
      <c r="L607" s="43">
        <v>8.7935131674391531</v>
      </c>
      <c r="M607" s="43">
        <v>11.5</v>
      </c>
      <c r="N607" s="43">
        <v>4.9575379949230216</v>
      </c>
      <c r="O607" s="43">
        <v>11.250471825289834</v>
      </c>
      <c r="P607" s="94"/>
      <c r="Q607" s="94"/>
      <c r="R607" s="94">
        <v>2</v>
      </c>
    </row>
    <row r="608" spans="1:18" ht="24">
      <c r="A608" s="90">
        <v>346</v>
      </c>
      <c r="B608" s="87" t="s">
        <v>1103</v>
      </c>
      <c r="C608" s="91" t="s">
        <v>1104</v>
      </c>
      <c r="D608" s="92">
        <v>3695.85</v>
      </c>
      <c r="E608" s="92">
        <v>2068.16</v>
      </c>
      <c r="F608" s="92">
        <v>1581.74</v>
      </c>
      <c r="G608" s="92">
        <v>45.95</v>
      </c>
      <c r="H608" s="93">
        <v>32184.720000000001</v>
      </c>
      <c r="I608" s="93">
        <v>23783.84</v>
      </c>
      <c r="J608" s="93">
        <v>7885.01</v>
      </c>
      <c r="K608" s="93">
        <v>515.87</v>
      </c>
      <c r="L608" s="43">
        <v>8.7083404358943142</v>
      </c>
      <c r="M608" s="43">
        <v>11.5</v>
      </c>
      <c r="N608" s="43">
        <v>4.9850228229671121</v>
      </c>
      <c r="O608" s="43">
        <v>11.22676822633297</v>
      </c>
      <c r="P608" s="94"/>
      <c r="Q608" s="94"/>
      <c r="R608" s="94">
        <v>2</v>
      </c>
    </row>
    <row r="609" spans="1:18" ht="24">
      <c r="A609" s="90">
        <v>347</v>
      </c>
      <c r="B609" s="87" t="s">
        <v>1105</v>
      </c>
      <c r="C609" s="91" t="s">
        <v>1106</v>
      </c>
      <c r="D609" s="92">
        <v>3923.4</v>
      </c>
      <c r="E609" s="92">
        <v>2180.56</v>
      </c>
      <c r="F609" s="92">
        <v>1694.64</v>
      </c>
      <c r="G609" s="92">
        <v>48.2</v>
      </c>
      <c r="H609" s="93">
        <v>34078.949999999997</v>
      </c>
      <c r="I609" s="93">
        <v>25076.44</v>
      </c>
      <c r="J609" s="93">
        <v>8460.76</v>
      </c>
      <c r="K609" s="93">
        <v>541.75</v>
      </c>
      <c r="L609" s="43">
        <v>8.6860758525768453</v>
      </c>
      <c r="M609" s="43">
        <v>11.5</v>
      </c>
      <c r="N609" s="43">
        <v>4.9926592078553558</v>
      </c>
      <c r="O609" s="43">
        <v>11.239626556016598</v>
      </c>
      <c r="P609" s="94"/>
      <c r="Q609" s="94"/>
      <c r="R609" s="94">
        <v>2</v>
      </c>
    </row>
    <row r="610" spans="1:18" ht="24">
      <c r="A610" s="90">
        <v>348</v>
      </c>
      <c r="B610" s="87" t="s">
        <v>1107</v>
      </c>
      <c r="C610" s="91" t="s">
        <v>1108</v>
      </c>
      <c r="D610" s="92">
        <v>4650.32</v>
      </c>
      <c r="E610" s="92">
        <v>2675.12</v>
      </c>
      <c r="F610" s="92">
        <v>1915.58</v>
      </c>
      <c r="G610" s="92">
        <v>59.62</v>
      </c>
      <c r="H610" s="93">
        <v>40945.03</v>
      </c>
      <c r="I610" s="93">
        <v>30763.88</v>
      </c>
      <c r="J610" s="93">
        <v>9512.26</v>
      </c>
      <c r="K610" s="93">
        <v>668.89</v>
      </c>
      <c r="L610" s="43">
        <v>8.8047768755698534</v>
      </c>
      <c r="M610" s="43">
        <v>11.5</v>
      </c>
      <c r="N610" s="43">
        <v>4.9657336159283352</v>
      </c>
      <c r="O610" s="43">
        <v>11.219221737671923</v>
      </c>
      <c r="P610" s="94"/>
      <c r="Q610" s="94"/>
      <c r="R610" s="94">
        <v>2</v>
      </c>
    </row>
    <row r="611" spans="1:18" ht="24">
      <c r="A611" s="90">
        <v>349</v>
      </c>
      <c r="B611" s="87" t="s">
        <v>1109</v>
      </c>
      <c r="C611" s="91" t="s">
        <v>1110</v>
      </c>
      <c r="D611" s="92">
        <v>5835.96</v>
      </c>
      <c r="E611" s="92">
        <v>3416.96</v>
      </c>
      <c r="F611" s="92">
        <v>2342.6999999999998</v>
      </c>
      <c r="G611" s="92">
        <v>76.3</v>
      </c>
      <c r="H611" s="93">
        <v>51695.67</v>
      </c>
      <c r="I611" s="93">
        <v>39295.040000000001</v>
      </c>
      <c r="J611" s="93">
        <v>11544.99</v>
      </c>
      <c r="K611" s="93">
        <v>855.64</v>
      </c>
      <c r="L611" s="43">
        <v>8.8581261694734028</v>
      </c>
      <c r="M611" s="43">
        <v>11.5</v>
      </c>
      <c r="N611" s="43">
        <v>4.9280701754385969</v>
      </c>
      <c r="O611" s="43">
        <v>11.214154652686762</v>
      </c>
      <c r="P611" s="94"/>
      <c r="Q611" s="94"/>
      <c r="R611" s="94">
        <v>2</v>
      </c>
    </row>
    <row r="612" spans="1:18" ht="24">
      <c r="A612" s="90">
        <v>350</v>
      </c>
      <c r="B612" s="87" t="s">
        <v>1111</v>
      </c>
      <c r="C612" s="91" t="s">
        <v>1112</v>
      </c>
      <c r="D612" s="92">
        <v>7281.23</v>
      </c>
      <c r="E612" s="92">
        <v>4259.96</v>
      </c>
      <c r="F612" s="92">
        <v>2922.61</v>
      </c>
      <c r="G612" s="92">
        <v>98.66</v>
      </c>
      <c r="H612" s="93">
        <v>64460.85</v>
      </c>
      <c r="I612" s="93">
        <v>48989.54</v>
      </c>
      <c r="J612" s="93">
        <v>14373.5</v>
      </c>
      <c r="K612" s="93">
        <v>1097.81</v>
      </c>
      <c r="L612" s="43">
        <v>8.853016591976905</v>
      </c>
      <c r="M612" s="43">
        <v>11.5</v>
      </c>
      <c r="N612" s="43">
        <v>4.9180355914747436</v>
      </c>
      <c r="O612" s="43">
        <v>11.127204540847355</v>
      </c>
      <c r="P612" s="94"/>
      <c r="Q612" s="94"/>
      <c r="R612" s="94">
        <v>2</v>
      </c>
    </row>
    <row r="613" spans="1:18" ht="24">
      <c r="A613" s="90">
        <v>351</v>
      </c>
      <c r="B613" s="87" t="s">
        <v>1113</v>
      </c>
      <c r="C613" s="91" t="s">
        <v>1114</v>
      </c>
      <c r="D613" s="92">
        <v>8463.07</v>
      </c>
      <c r="E613" s="92">
        <v>4799.4799999999996</v>
      </c>
      <c r="F613" s="92">
        <v>3202.79</v>
      </c>
      <c r="G613" s="92">
        <v>460.8</v>
      </c>
      <c r="H613" s="93">
        <v>73788.03</v>
      </c>
      <c r="I613" s="93">
        <v>55194.02</v>
      </c>
      <c r="J613" s="93">
        <v>15686.93</v>
      </c>
      <c r="K613" s="93">
        <v>2907.08</v>
      </c>
      <c r="L613" s="43">
        <v>8.7188254380502581</v>
      </c>
      <c r="M613" s="43">
        <v>11.5</v>
      </c>
      <c r="N613" s="43">
        <v>4.8978952725592375</v>
      </c>
      <c r="O613" s="43">
        <v>6.3087673611111104</v>
      </c>
      <c r="P613" s="94"/>
      <c r="Q613" s="94"/>
      <c r="R613" s="94">
        <v>2</v>
      </c>
    </row>
    <row r="614" spans="1:18" ht="24">
      <c r="A614" s="90">
        <v>352</v>
      </c>
      <c r="B614" s="87" t="s">
        <v>1115</v>
      </c>
      <c r="C614" s="91" t="s">
        <v>1116</v>
      </c>
      <c r="D614" s="92">
        <v>9392.0300000000007</v>
      </c>
      <c r="E614" s="92">
        <v>5350.56</v>
      </c>
      <c r="F614" s="92">
        <v>3564.76</v>
      </c>
      <c r="G614" s="92">
        <v>476.71</v>
      </c>
      <c r="H614" s="93">
        <v>82082.87</v>
      </c>
      <c r="I614" s="93">
        <v>61531.44</v>
      </c>
      <c r="J614" s="93">
        <v>17474.71</v>
      </c>
      <c r="K614" s="93">
        <v>3076.72</v>
      </c>
      <c r="L614" s="43">
        <v>8.7396303035658942</v>
      </c>
      <c r="M614" s="43">
        <v>11.5</v>
      </c>
      <c r="N614" s="43">
        <v>4.9020719487426918</v>
      </c>
      <c r="O614" s="43">
        <v>6.4540706089656181</v>
      </c>
      <c r="P614" s="94"/>
      <c r="Q614" s="94"/>
      <c r="R614" s="94">
        <v>2</v>
      </c>
    </row>
    <row r="615" spans="1:18" ht="24">
      <c r="A615" s="90">
        <v>353</v>
      </c>
      <c r="B615" s="87" t="s">
        <v>1117</v>
      </c>
      <c r="C615" s="91" t="s">
        <v>1118</v>
      </c>
      <c r="D615" s="92">
        <v>10584.73</v>
      </c>
      <c r="E615" s="92">
        <v>6123.04</v>
      </c>
      <c r="F615" s="92">
        <v>3969.53</v>
      </c>
      <c r="G615" s="92">
        <v>492.16</v>
      </c>
      <c r="H615" s="93">
        <v>93046.46</v>
      </c>
      <c r="I615" s="93">
        <v>70414.960000000006</v>
      </c>
      <c r="J615" s="93">
        <v>19377.11</v>
      </c>
      <c r="K615" s="93">
        <v>3254.39</v>
      </c>
      <c r="L615" s="43">
        <v>8.790631409587208</v>
      </c>
      <c r="M615" s="43">
        <v>11.500000000000002</v>
      </c>
      <c r="N615" s="43">
        <v>4.8814620370673607</v>
      </c>
      <c r="O615" s="43">
        <v>6.6124634265279578</v>
      </c>
      <c r="P615" s="94"/>
      <c r="Q615" s="94"/>
      <c r="R615" s="94">
        <v>2</v>
      </c>
    </row>
    <row r="616" spans="1:18" ht="24">
      <c r="A616" s="90">
        <v>354</v>
      </c>
      <c r="B616" s="87" t="s">
        <v>1119</v>
      </c>
      <c r="C616" s="91" t="s">
        <v>1120</v>
      </c>
      <c r="D616" s="92">
        <v>11797.38</v>
      </c>
      <c r="E616" s="92">
        <v>6884.16</v>
      </c>
      <c r="F616" s="92">
        <v>4405.84</v>
      </c>
      <c r="G616" s="92">
        <v>507.38</v>
      </c>
      <c r="H616" s="93">
        <v>104057.91</v>
      </c>
      <c r="I616" s="93">
        <v>79167.839999999997</v>
      </c>
      <c r="J616" s="93">
        <v>21460.65</v>
      </c>
      <c r="K616" s="93">
        <v>3429.42</v>
      </c>
      <c r="L616" s="43">
        <v>8.820425382584947</v>
      </c>
      <c r="M616" s="43">
        <v>11.5</v>
      </c>
      <c r="N616" s="43">
        <v>4.8709553683293088</v>
      </c>
      <c r="O616" s="43">
        <v>6.7590760376837871</v>
      </c>
      <c r="P616" s="94"/>
      <c r="Q616" s="94"/>
      <c r="R616" s="94">
        <v>2</v>
      </c>
    </row>
    <row r="617" spans="1:18" ht="24">
      <c r="A617" s="90">
        <v>355</v>
      </c>
      <c r="B617" s="87" t="s">
        <v>1121</v>
      </c>
      <c r="C617" s="91" t="s">
        <v>1122</v>
      </c>
      <c r="D617" s="92">
        <v>13023.81</v>
      </c>
      <c r="E617" s="92">
        <v>7656.64</v>
      </c>
      <c r="F617" s="92">
        <v>4844.34</v>
      </c>
      <c r="G617" s="92">
        <v>522.83000000000004</v>
      </c>
      <c r="H617" s="93">
        <v>115203.86</v>
      </c>
      <c r="I617" s="93">
        <v>88051.36</v>
      </c>
      <c r="J617" s="93">
        <v>23545.4</v>
      </c>
      <c r="K617" s="93">
        <v>3607.1</v>
      </c>
      <c r="L617" s="43">
        <v>8.8456342652418911</v>
      </c>
      <c r="M617" s="43">
        <v>11.5</v>
      </c>
      <c r="N617" s="43">
        <v>4.8603937791319352</v>
      </c>
      <c r="O617" s="43">
        <v>6.8991832909358672</v>
      </c>
      <c r="P617" s="94"/>
      <c r="Q617" s="94"/>
      <c r="R617" s="94">
        <v>2</v>
      </c>
    </row>
    <row r="618" spans="1:18" ht="24">
      <c r="A618" s="90">
        <v>356</v>
      </c>
      <c r="B618" s="87" t="s">
        <v>1123</v>
      </c>
      <c r="C618" s="91" t="s">
        <v>1124</v>
      </c>
      <c r="D618" s="92">
        <v>2337.9899999999998</v>
      </c>
      <c r="E618" s="92">
        <v>992.34</v>
      </c>
      <c r="F618" s="92">
        <v>1323.96</v>
      </c>
      <c r="G618" s="92">
        <v>21.69</v>
      </c>
      <c r="H618" s="93">
        <v>18553.45</v>
      </c>
      <c r="I618" s="93">
        <v>11411.91</v>
      </c>
      <c r="J618" s="93">
        <v>6897.17</v>
      </c>
      <c r="K618" s="93">
        <v>244.37</v>
      </c>
      <c r="L618" s="43">
        <v>7.9356412987224081</v>
      </c>
      <c r="M618" s="43">
        <v>11.5</v>
      </c>
      <c r="N618" s="43">
        <v>5.2095002870177343</v>
      </c>
      <c r="O618" s="43">
        <v>11.266482249884739</v>
      </c>
      <c r="P618" s="94"/>
      <c r="Q618" s="94"/>
      <c r="R618" s="94">
        <v>2</v>
      </c>
    </row>
    <row r="619" spans="1:18" ht="24">
      <c r="A619" s="90">
        <v>357</v>
      </c>
      <c r="B619" s="87" t="s">
        <v>1125</v>
      </c>
      <c r="C619" s="91" t="s">
        <v>1126</v>
      </c>
      <c r="D619" s="92">
        <v>2446.71</v>
      </c>
      <c r="E619" s="92">
        <v>1040.07</v>
      </c>
      <c r="F619" s="92">
        <v>1384</v>
      </c>
      <c r="G619" s="92">
        <v>22.64</v>
      </c>
      <c r="H619" s="93">
        <v>19426.28</v>
      </c>
      <c r="I619" s="93">
        <v>11960.81</v>
      </c>
      <c r="J619" s="93">
        <v>7210.18</v>
      </c>
      <c r="K619" s="93">
        <v>255.29</v>
      </c>
      <c r="L619" s="43">
        <v>7.9397558353871114</v>
      </c>
      <c r="M619" s="43">
        <v>11.500004807368734</v>
      </c>
      <c r="N619" s="43">
        <v>5.2096676300578038</v>
      </c>
      <c r="O619" s="43">
        <v>11.276060070671377</v>
      </c>
      <c r="P619" s="94"/>
      <c r="Q619" s="94"/>
      <c r="R619" s="94">
        <v>2</v>
      </c>
    </row>
    <row r="620" spans="1:18" ht="24">
      <c r="A620" s="90">
        <v>358</v>
      </c>
      <c r="B620" s="87" t="s">
        <v>1127</v>
      </c>
      <c r="C620" s="91" t="s">
        <v>1128</v>
      </c>
      <c r="D620" s="92">
        <v>2590.5100000000002</v>
      </c>
      <c r="E620" s="92">
        <v>1101.1199999999999</v>
      </c>
      <c r="F620" s="92">
        <v>1465.53</v>
      </c>
      <c r="G620" s="92">
        <v>23.86</v>
      </c>
      <c r="H620" s="93">
        <v>20562.099999999999</v>
      </c>
      <c r="I620" s="93">
        <v>12662.88</v>
      </c>
      <c r="J620" s="93">
        <v>7629.9</v>
      </c>
      <c r="K620" s="93">
        <v>269.32</v>
      </c>
      <c r="L620" s="43">
        <v>7.9374717719676804</v>
      </c>
      <c r="M620" s="43">
        <v>11.5</v>
      </c>
      <c r="N620" s="43">
        <v>5.2062393809748011</v>
      </c>
      <c r="O620" s="43">
        <v>11.287510477787091</v>
      </c>
      <c r="P620" s="94"/>
      <c r="Q620" s="94"/>
      <c r="R620" s="94">
        <v>2</v>
      </c>
    </row>
    <row r="621" spans="1:18" ht="24">
      <c r="A621" s="90">
        <v>359</v>
      </c>
      <c r="B621" s="87" t="s">
        <v>1129</v>
      </c>
      <c r="C621" s="91" t="s">
        <v>1130</v>
      </c>
      <c r="D621" s="92">
        <v>3286.8</v>
      </c>
      <c r="E621" s="92">
        <v>1494.92</v>
      </c>
      <c r="F621" s="92">
        <v>1757.39</v>
      </c>
      <c r="G621" s="92">
        <v>34.49</v>
      </c>
      <c r="H621" s="93">
        <v>26639.69</v>
      </c>
      <c r="I621" s="93">
        <v>17191.580000000002</v>
      </c>
      <c r="J621" s="93">
        <v>9064.0300000000007</v>
      </c>
      <c r="K621" s="93">
        <v>384.08</v>
      </c>
      <c r="L621" s="43">
        <v>8.1050535475234256</v>
      </c>
      <c r="M621" s="43">
        <v>11.5</v>
      </c>
      <c r="N621" s="43">
        <v>5.1576656291432181</v>
      </c>
      <c r="O621" s="43">
        <v>11.13598144389678</v>
      </c>
      <c r="P621" s="94"/>
      <c r="Q621" s="94"/>
      <c r="R621" s="94">
        <v>2</v>
      </c>
    </row>
    <row r="622" spans="1:18" ht="24">
      <c r="A622" s="90">
        <v>360</v>
      </c>
      <c r="B622" s="87" t="s">
        <v>1131</v>
      </c>
      <c r="C622" s="91" t="s">
        <v>1132</v>
      </c>
      <c r="D622" s="92">
        <v>3938.64</v>
      </c>
      <c r="E622" s="92">
        <v>1910.8</v>
      </c>
      <c r="F622" s="92">
        <v>1985.03</v>
      </c>
      <c r="G622" s="92">
        <v>42.81</v>
      </c>
      <c r="H622" s="93">
        <v>32591.9</v>
      </c>
      <c r="I622" s="93">
        <v>21974.2</v>
      </c>
      <c r="J622" s="93">
        <v>10137.94</v>
      </c>
      <c r="K622" s="93">
        <v>479.76</v>
      </c>
      <c r="L622" s="43">
        <v>8.2749121524180946</v>
      </c>
      <c r="M622" s="43">
        <v>11.5</v>
      </c>
      <c r="N622" s="43">
        <v>5.1071973723319051</v>
      </c>
      <c r="O622" s="43">
        <v>11.206727400140153</v>
      </c>
      <c r="P622" s="94"/>
      <c r="Q622" s="94"/>
      <c r="R622" s="94">
        <v>2</v>
      </c>
    </row>
    <row r="623" spans="1:18" ht="24">
      <c r="A623" s="90">
        <v>361</v>
      </c>
      <c r="B623" s="87" t="s">
        <v>1133</v>
      </c>
      <c r="C623" s="91" t="s">
        <v>1134</v>
      </c>
      <c r="D623" s="92">
        <v>4695.2</v>
      </c>
      <c r="E623" s="92">
        <v>2337.92</v>
      </c>
      <c r="F623" s="92">
        <v>2302.56</v>
      </c>
      <c r="G623" s="92">
        <v>54.72</v>
      </c>
      <c r="H623" s="93">
        <v>39191.78</v>
      </c>
      <c r="I623" s="93">
        <v>26886.080000000002</v>
      </c>
      <c r="J623" s="93">
        <v>11698.23</v>
      </c>
      <c r="K623" s="93">
        <v>607.47</v>
      </c>
      <c r="L623" s="43">
        <v>8.3472013971715793</v>
      </c>
      <c r="M623" s="43">
        <v>11.5</v>
      </c>
      <c r="N623" s="43">
        <v>5.0805321033979567</v>
      </c>
      <c r="O623" s="43">
        <v>11.101425438596491</v>
      </c>
      <c r="P623" s="94"/>
      <c r="Q623" s="94"/>
      <c r="R623" s="94">
        <v>2</v>
      </c>
    </row>
    <row r="624" spans="1:18" ht="24">
      <c r="A624" s="90">
        <v>362</v>
      </c>
      <c r="B624" s="87" t="s">
        <v>1135</v>
      </c>
      <c r="C624" s="91" t="s">
        <v>1136</v>
      </c>
      <c r="D624" s="92">
        <v>5000.5200000000004</v>
      </c>
      <c r="E624" s="92">
        <v>2472.8000000000002</v>
      </c>
      <c r="F624" s="92">
        <v>2470.3000000000002</v>
      </c>
      <c r="G624" s="92">
        <v>57.42</v>
      </c>
      <c r="H624" s="93">
        <v>41643</v>
      </c>
      <c r="I624" s="93">
        <v>28437.200000000001</v>
      </c>
      <c r="J624" s="93">
        <v>12567.28</v>
      </c>
      <c r="K624" s="93">
        <v>638.52</v>
      </c>
      <c r="L624" s="43">
        <v>8.3277339156727699</v>
      </c>
      <c r="M624" s="43">
        <v>11.5</v>
      </c>
      <c r="N624" s="43">
        <v>5.0873497146095614</v>
      </c>
      <c r="O624" s="43">
        <v>11.120167189132706</v>
      </c>
      <c r="P624" s="94"/>
      <c r="Q624" s="94"/>
      <c r="R624" s="94">
        <v>2</v>
      </c>
    </row>
    <row r="625" spans="1:18" ht="24">
      <c r="A625" s="90">
        <v>363</v>
      </c>
      <c r="B625" s="87" t="s">
        <v>1137</v>
      </c>
      <c r="C625" s="91" t="s">
        <v>1138</v>
      </c>
      <c r="D625" s="92">
        <v>5805.24</v>
      </c>
      <c r="E625" s="92">
        <v>3001.08</v>
      </c>
      <c r="F625" s="92">
        <v>2736.18</v>
      </c>
      <c r="G625" s="92">
        <v>67.98</v>
      </c>
      <c r="H625" s="93">
        <v>49120.44</v>
      </c>
      <c r="I625" s="93">
        <v>34512.42</v>
      </c>
      <c r="J625" s="93">
        <v>13848.06</v>
      </c>
      <c r="K625" s="93">
        <v>759.96</v>
      </c>
      <c r="L625" s="43">
        <v>8.4613969448291559</v>
      </c>
      <c r="M625" s="43">
        <v>11.5</v>
      </c>
      <c r="N625" s="43">
        <v>5.061092471986492</v>
      </c>
      <c r="O625" s="43">
        <v>11.179170344218887</v>
      </c>
      <c r="P625" s="94"/>
      <c r="Q625" s="94"/>
      <c r="R625" s="94">
        <v>2</v>
      </c>
    </row>
    <row r="626" spans="1:18" ht="24">
      <c r="A626" s="90">
        <v>364</v>
      </c>
      <c r="B626" s="87" t="s">
        <v>1139</v>
      </c>
      <c r="C626" s="91" t="s">
        <v>1140</v>
      </c>
      <c r="D626" s="92">
        <v>7207.1</v>
      </c>
      <c r="E626" s="92">
        <v>3832.84</v>
      </c>
      <c r="F626" s="92">
        <v>3284.14</v>
      </c>
      <c r="G626" s="92">
        <v>90.12</v>
      </c>
      <c r="H626" s="93">
        <v>61576.76</v>
      </c>
      <c r="I626" s="93">
        <v>44077.66</v>
      </c>
      <c r="J626" s="93">
        <v>16499.5</v>
      </c>
      <c r="K626" s="93">
        <v>999.6</v>
      </c>
      <c r="L626" s="43">
        <v>8.54390254055029</v>
      </c>
      <c r="M626" s="43">
        <v>11.5</v>
      </c>
      <c r="N626" s="43">
        <v>5.0239941050016137</v>
      </c>
      <c r="O626" s="43">
        <v>11.091877496671104</v>
      </c>
      <c r="P626" s="94"/>
      <c r="Q626" s="94"/>
      <c r="R626" s="94">
        <v>2</v>
      </c>
    </row>
    <row r="627" spans="1:18" ht="24">
      <c r="A627" s="90">
        <v>365</v>
      </c>
      <c r="B627" s="87" t="s">
        <v>1141</v>
      </c>
      <c r="C627" s="91" t="s">
        <v>1142</v>
      </c>
      <c r="D627" s="92">
        <v>8774.52</v>
      </c>
      <c r="E627" s="92">
        <v>4777</v>
      </c>
      <c r="F627" s="92">
        <v>3883.62</v>
      </c>
      <c r="G627" s="92">
        <v>113.9</v>
      </c>
      <c r="H627" s="93">
        <v>75586.36</v>
      </c>
      <c r="I627" s="93">
        <v>54935.5</v>
      </c>
      <c r="J627" s="93">
        <v>19391.23</v>
      </c>
      <c r="K627" s="93">
        <v>1259.6300000000001</v>
      </c>
      <c r="L627" s="43">
        <v>8.6143014090799266</v>
      </c>
      <c r="M627" s="43">
        <v>11.5</v>
      </c>
      <c r="N627" s="43">
        <v>4.9930811974395022</v>
      </c>
      <c r="O627" s="43">
        <v>11.059086918349429</v>
      </c>
      <c r="P627" s="94"/>
      <c r="Q627" s="94"/>
      <c r="R627" s="94">
        <v>2</v>
      </c>
    </row>
    <row r="628" spans="1:18" ht="24">
      <c r="A628" s="90">
        <v>366</v>
      </c>
      <c r="B628" s="87" t="s">
        <v>1143</v>
      </c>
      <c r="C628" s="91" t="s">
        <v>1144</v>
      </c>
      <c r="D628" s="92">
        <v>10260.77</v>
      </c>
      <c r="E628" s="92">
        <v>5383.96</v>
      </c>
      <c r="F628" s="92">
        <v>4340.42</v>
      </c>
      <c r="G628" s="92">
        <v>536.39</v>
      </c>
      <c r="H628" s="93">
        <v>86921.8</v>
      </c>
      <c r="I628" s="93">
        <v>61915.54</v>
      </c>
      <c r="J628" s="93">
        <v>21638.83</v>
      </c>
      <c r="K628" s="93">
        <v>3367.43</v>
      </c>
      <c r="L628" s="43">
        <v>8.4712745729608994</v>
      </c>
      <c r="M628" s="43">
        <v>11.5</v>
      </c>
      <c r="N628" s="43">
        <v>4.9854230696568536</v>
      </c>
      <c r="O628" s="43">
        <v>6.2779507447939</v>
      </c>
      <c r="P628" s="94"/>
      <c r="Q628" s="94"/>
      <c r="R628" s="94">
        <v>2</v>
      </c>
    </row>
    <row r="629" spans="1:18" ht="24">
      <c r="A629" s="90">
        <v>367</v>
      </c>
      <c r="B629" s="87" t="s">
        <v>1145</v>
      </c>
      <c r="C629" s="91" t="s">
        <v>1146</v>
      </c>
      <c r="D629" s="92">
        <v>11243.47</v>
      </c>
      <c r="E629" s="92">
        <v>5923.48</v>
      </c>
      <c r="F629" s="92">
        <v>4768.53</v>
      </c>
      <c r="G629" s="92">
        <v>551.46</v>
      </c>
      <c r="H629" s="93">
        <v>95412.32</v>
      </c>
      <c r="I629" s="93">
        <v>68120.02</v>
      </c>
      <c r="J629" s="93">
        <v>23763.23</v>
      </c>
      <c r="K629" s="93">
        <v>3529.07</v>
      </c>
      <c r="L629" s="43">
        <v>8.4860207747252421</v>
      </c>
      <c r="M629" s="43">
        <v>11.500000000000002</v>
      </c>
      <c r="N629" s="43">
        <v>4.9833449721402614</v>
      </c>
      <c r="O629" s="43">
        <v>6.3995031371268993</v>
      </c>
      <c r="P629" s="94"/>
      <c r="Q629" s="94"/>
      <c r="R629" s="94">
        <v>2</v>
      </c>
    </row>
    <row r="630" spans="1:18" ht="24">
      <c r="A630" s="90">
        <v>368</v>
      </c>
      <c r="B630" s="87" t="s">
        <v>1147</v>
      </c>
      <c r="C630" s="91" t="s">
        <v>1148</v>
      </c>
      <c r="D630" s="92">
        <v>12658.02</v>
      </c>
      <c r="E630" s="92">
        <v>6777.72</v>
      </c>
      <c r="F630" s="92">
        <v>5311.76</v>
      </c>
      <c r="G630" s="92">
        <v>568.54</v>
      </c>
      <c r="H630" s="93">
        <v>108062.52</v>
      </c>
      <c r="I630" s="93">
        <v>77943.78</v>
      </c>
      <c r="J630" s="93">
        <v>26393.25</v>
      </c>
      <c r="K630" s="93">
        <v>3725.49</v>
      </c>
      <c r="L630" s="43">
        <v>8.5370792588414304</v>
      </c>
      <c r="M630" s="43">
        <v>11.5</v>
      </c>
      <c r="N630" s="43">
        <v>4.9688333057216436</v>
      </c>
      <c r="O630" s="43">
        <v>6.5527315580258207</v>
      </c>
      <c r="P630" s="94"/>
      <c r="Q630" s="94"/>
      <c r="R630" s="94">
        <v>2</v>
      </c>
    </row>
    <row r="631" spans="1:18" ht="24">
      <c r="A631" s="90">
        <v>369</v>
      </c>
      <c r="B631" s="87" t="s">
        <v>1149</v>
      </c>
      <c r="C631" s="91" t="s">
        <v>1150</v>
      </c>
      <c r="D631" s="92">
        <v>14127.94</v>
      </c>
      <c r="E631" s="92">
        <v>7702.08</v>
      </c>
      <c r="F631" s="92">
        <v>5838.83</v>
      </c>
      <c r="G631" s="92">
        <v>587.03</v>
      </c>
      <c r="H631" s="93">
        <v>121437.27</v>
      </c>
      <c r="I631" s="93">
        <v>88573.92</v>
      </c>
      <c r="J631" s="93">
        <v>28925.23</v>
      </c>
      <c r="K631" s="93">
        <v>3938.12</v>
      </c>
      <c r="L631" s="43">
        <v>8.59553976021982</v>
      </c>
      <c r="M631" s="43">
        <v>11.5</v>
      </c>
      <c r="N631" s="43">
        <v>4.9539428275870341</v>
      </c>
      <c r="O631" s="43">
        <v>6.708549818578267</v>
      </c>
      <c r="P631" s="94"/>
      <c r="Q631" s="94"/>
      <c r="R631" s="94">
        <v>2</v>
      </c>
    </row>
    <row r="632" spans="1:18" ht="24">
      <c r="A632" s="90">
        <v>370</v>
      </c>
      <c r="B632" s="87" t="s">
        <v>1151</v>
      </c>
      <c r="C632" s="91" t="s">
        <v>1152</v>
      </c>
      <c r="D632" s="92">
        <v>16731.349999999999</v>
      </c>
      <c r="E632" s="92">
        <v>9156.16</v>
      </c>
      <c r="F632" s="92">
        <v>6954.18</v>
      </c>
      <c r="G632" s="92">
        <v>621.01</v>
      </c>
      <c r="H632" s="93">
        <v>144038</v>
      </c>
      <c r="I632" s="93">
        <v>105295.84</v>
      </c>
      <c r="J632" s="93">
        <v>34426.71</v>
      </c>
      <c r="K632" s="93">
        <v>4315.45</v>
      </c>
      <c r="L632" s="43">
        <v>8.6088689794905982</v>
      </c>
      <c r="M632" s="43">
        <v>11.5</v>
      </c>
      <c r="N632" s="43">
        <v>4.9505060265912011</v>
      </c>
      <c r="O632" s="43">
        <v>6.9490829455242267</v>
      </c>
      <c r="P632" s="94"/>
      <c r="Q632" s="94"/>
      <c r="R632" s="94">
        <v>2</v>
      </c>
    </row>
    <row r="633" spans="1:18" ht="24">
      <c r="A633" s="90">
        <v>371</v>
      </c>
      <c r="B633" s="87" t="s">
        <v>1153</v>
      </c>
      <c r="C633" s="91" t="s">
        <v>1154</v>
      </c>
      <c r="D633" s="92">
        <v>18880.82</v>
      </c>
      <c r="E633" s="92">
        <v>10258.08</v>
      </c>
      <c r="F633" s="92">
        <v>7979.69</v>
      </c>
      <c r="G633" s="92">
        <v>643.04999999999995</v>
      </c>
      <c r="H633" s="93">
        <v>162127.97</v>
      </c>
      <c r="I633" s="93">
        <v>117967.92</v>
      </c>
      <c r="J633" s="93">
        <v>39591.14</v>
      </c>
      <c r="K633" s="93">
        <v>4568.91</v>
      </c>
      <c r="L633" s="43">
        <v>8.5869135980322895</v>
      </c>
      <c r="M633" s="43">
        <v>11.5</v>
      </c>
      <c r="N633" s="43">
        <v>4.9614884788757463</v>
      </c>
      <c r="O633" s="43">
        <v>7.1050618147888969</v>
      </c>
      <c r="P633" s="94"/>
      <c r="Q633" s="94"/>
      <c r="R633" s="94">
        <v>2</v>
      </c>
    </row>
    <row r="634" spans="1:18" ht="24">
      <c r="A634" s="90">
        <v>372</v>
      </c>
      <c r="B634" s="87" t="s">
        <v>1155</v>
      </c>
      <c r="C634" s="91" t="s">
        <v>1156</v>
      </c>
      <c r="D634" s="92">
        <v>21662.99</v>
      </c>
      <c r="E634" s="92">
        <v>11984.8</v>
      </c>
      <c r="F634" s="92">
        <v>8994.48</v>
      </c>
      <c r="G634" s="92">
        <v>683.71</v>
      </c>
      <c r="H634" s="93">
        <v>187276.49</v>
      </c>
      <c r="I634" s="93">
        <v>137825.20000000001</v>
      </c>
      <c r="J634" s="93">
        <v>44431.53</v>
      </c>
      <c r="K634" s="93">
        <v>5019.76</v>
      </c>
      <c r="L634" s="43">
        <v>8.6449972972336688</v>
      </c>
      <c r="M634" s="43">
        <v>11.500000000000002</v>
      </c>
      <c r="N634" s="43">
        <v>4.9398664514235398</v>
      </c>
      <c r="O634" s="43">
        <v>7.341943221541297</v>
      </c>
      <c r="P634" s="94"/>
      <c r="Q634" s="94"/>
      <c r="R634" s="94">
        <v>2</v>
      </c>
    </row>
    <row r="635" spans="1:18" ht="12.75" customHeight="1">
      <c r="A635" s="628" t="s">
        <v>1157</v>
      </c>
      <c r="B635" s="629"/>
      <c r="C635" s="629"/>
      <c r="D635" s="629"/>
      <c r="E635" s="629"/>
      <c r="F635" s="629"/>
      <c r="G635" s="629"/>
      <c r="H635" s="629"/>
      <c r="I635" s="629"/>
      <c r="J635" s="629"/>
      <c r="K635" s="629"/>
      <c r="L635" s="629"/>
      <c r="M635" s="629"/>
      <c r="N635" s="629"/>
      <c r="O635" s="629"/>
      <c r="P635" s="629"/>
      <c r="Q635" s="629"/>
      <c r="R635" s="629"/>
    </row>
    <row r="636" spans="1:18" ht="24">
      <c r="A636" s="90">
        <v>373</v>
      </c>
      <c r="B636" s="87" t="s">
        <v>1158</v>
      </c>
      <c r="C636" s="91" t="s">
        <v>1159</v>
      </c>
      <c r="D636" s="92">
        <v>2571.42</v>
      </c>
      <c r="E636" s="92">
        <v>1121.0999999999999</v>
      </c>
      <c r="F636" s="92">
        <v>1426.06</v>
      </c>
      <c r="G636" s="92">
        <v>24.26</v>
      </c>
      <c r="H636" s="93">
        <v>20570.2</v>
      </c>
      <c r="I636" s="93">
        <v>12892.65</v>
      </c>
      <c r="J636" s="93">
        <v>7403.63</v>
      </c>
      <c r="K636" s="93">
        <v>273.92</v>
      </c>
      <c r="L636" s="43">
        <v>7.9995488873851803</v>
      </c>
      <c r="M636" s="43">
        <v>11.5</v>
      </c>
      <c r="N636" s="43">
        <v>5.1916679522600733</v>
      </c>
      <c r="O636" s="43">
        <v>11.291014014839241</v>
      </c>
      <c r="P636" s="94"/>
      <c r="Q636" s="94"/>
      <c r="R636" s="94">
        <v>3</v>
      </c>
    </row>
    <row r="637" spans="1:18" ht="24">
      <c r="A637" s="90">
        <v>374</v>
      </c>
      <c r="B637" s="87" t="s">
        <v>1160</v>
      </c>
      <c r="C637" s="91" t="s">
        <v>1161</v>
      </c>
      <c r="D637" s="92">
        <v>2699.66</v>
      </c>
      <c r="E637" s="92">
        <v>1176.5999999999999</v>
      </c>
      <c r="F637" s="92">
        <v>1497.69</v>
      </c>
      <c r="G637" s="92">
        <v>25.37</v>
      </c>
      <c r="H637" s="93">
        <v>21596.98</v>
      </c>
      <c r="I637" s="93">
        <v>13530.9</v>
      </c>
      <c r="J637" s="93">
        <v>7779.39</v>
      </c>
      <c r="K637" s="93">
        <v>286.69</v>
      </c>
      <c r="L637" s="43">
        <v>7.9998888748953574</v>
      </c>
      <c r="M637" s="43">
        <v>11.5</v>
      </c>
      <c r="N637" s="43">
        <v>5.1942591591050213</v>
      </c>
      <c r="O637" s="43">
        <v>11.300354749704375</v>
      </c>
      <c r="P637" s="94"/>
      <c r="Q637" s="94"/>
      <c r="R637" s="94">
        <v>3</v>
      </c>
    </row>
    <row r="638" spans="1:18" ht="24">
      <c r="A638" s="90">
        <v>375</v>
      </c>
      <c r="B638" s="87" t="s">
        <v>1162</v>
      </c>
      <c r="C638" s="91" t="s">
        <v>1163</v>
      </c>
      <c r="D638" s="92">
        <v>2843.71</v>
      </c>
      <c r="E638" s="92">
        <v>1243.2</v>
      </c>
      <c r="F638" s="92">
        <v>1573.81</v>
      </c>
      <c r="G638" s="92">
        <v>26.7</v>
      </c>
      <c r="H638" s="93">
        <v>22784.959999999999</v>
      </c>
      <c r="I638" s="93">
        <v>14296.8</v>
      </c>
      <c r="J638" s="93">
        <v>8186.18</v>
      </c>
      <c r="K638" s="93">
        <v>301.98</v>
      </c>
      <c r="L638" s="43">
        <v>8.0124063283527498</v>
      </c>
      <c r="M638" s="43">
        <v>11.499999999999998</v>
      </c>
      <c r="N638" s="43">
        <v>5.2015046288942122</v>
      </c>
      <c r="O638" s="43">
        <v>11.310112359550562</v>
      </c>
      <c r="P638" s="94"/>
      <c r="Q638" s="94"/>
      <c r="R638" s="94">
        <v>3</v>
      </c>
    </row>
    <row r="639" spans="1:18" ht="24">
      <c r="A639" s="90">
        <v>376</v>
      </c>
      <c r="B639" s="87" t="s">
        <v>1164</v>
      </c>
      <c r="C639" s="91" t="s">
        <v>1165</v>
      </c>
      <c r="D639" s="92">
        <v>3714.05</v>
      </c>
      <c r="E639" s="92">
        <v>1698.3</v>
      </c>
      <c r="F639" s="92">
        <v>1977.19</v>
      </c>
      <c r="G639" s="92">
        <v>38.56</v>
      </c>
      <c r="H639" s="93">
        <v>30139.87</v>
      </c>
      <c r="I639" s="93">
        <v>19530.45</v>
      </c>
      <c r="J639" s="93">
        <v>10178.530000000001</v>
      </c>
      <c r="K639" s="93">
        <v>430.89</v>
      </c>
      <c r="L639" s="43">
        <v>8.1150953810530275</v>
      </c>
      <c r="M639" s="43">
        <v>11.5</v>
      </c>
      <c r="N639" s="43">
        <v>5.1479776855031636</v>
      </c>
      <c r="O639" s="43">
        <v>11.174533195020746</v>
      </c>
      <c r="P639" s="94"/>
      <c r="Q639" s="94"/>
      <c r="R639" s="94">
        <v>3</v>
      </c>
    </row>
    <row r="640" spans="1:18" ht="24">
      <c r="A640" s="90">
        <v>377</v>
      </c>
      <c r="B640" s="87" t="s">
        <v>1166</v>
      </c>
      <c r="C640" s="91" t="s">
        <v>1167</v>
      </c>
      <c r="D640" s="92">
        <v>4543.49</v>
      </c>
      <c r="E640" s="92">
        <v>2175.6</v>
      </c>
      <c r="F640" s="92">
        <v>2319.79</v>
      </c>
      <c r="G640" s="92">
        <v>48.1</v>
      </c>
      <c r="H640" s="93">
        <v>37406.74</v>
      </c>
      <c r="I640" s="93">
        <v>25019.4</v>
      </c>
      <c r="J640" s="93">
        <v>11846.74</v>
      </c>
      <c r="K640" s="93">
        <v>540.6</v>
      </c>
      <c r="L640" s="43">
        <v>8.2330411203722242</v>
      </c>
      <c r="M640" s="43">
        <v>11.500000000000002</v>
      </c>
      <c r="N640" s="43">
        <v>5.1068157031455437</v>
      </c>
      <c r="O640" s="43">
        <v>11.23908523908524</v>
      </c>
      <c r="P640" s="94"/>
      <c r="Q640" s="94"/>
      <c r="R640" s="94">
        <v>3</v>
      </c>
    </row>
    <row r="641" spans="1:18" ht="24">
      <c r="A641" s="90">
        <v>378</v>
      </c>
      <c r="B641" s="87" t="s">
        <v>1168</v>
      </c>
      <c r="C641" s="91" t="s">
        <v>1169</v>
      </c>
      <c r="D641" s="92">
        <v>5438.72</v>
      </c>
      <c r="E641" s="92">
        <v>2726.4</v>
      </c>
      <c r="F641" s="92">
        <v>2649.83</v>
      </c>
      <c r="G641" s="92">
        <v>62.49</v>
      </c>
      <c r="H641" s="93">
        <v>45496.35</v>
      </c>
      <c r="I641" s="93">
        <v>31353.599999999999</v>
      </c>
      <c r="J641" s="93">
        <v>13445.92</v>
      </c>
      <c r="K641" s="93">
        <v>696.83</v>
      </c>
      <c r="L641" s="43">
        <v>8.3652679306895728</v>
      </c>
      <c r="M641" s="43">
        <v>11.499999999999998</v>
      </c>
      <c r="N641" s="43">
        <v>5.0742575938833809</v>
      </c>
      <c r="O641" s="43">
        <v>11.151064170267244</v>
      </c>
      <c r="P641" s="94"/>
      <c r="Q641" s="94"/>
      <c r="R641" s="94">
        <v>3</v>
      </c>
    </row>
    <row r="642" spans="1:18" ht="24">
      <c r="A642" s="90">
        <v>379</v>
      </c>
      <c r="B642" s="87" t="s">
        <v>1170</v>
      </c>
      <c r="C642" s="91" t="s">
        <v>1171</v>
      </c>
      <c r="D642" s="92">
        <v>5790.7</v>
      </c>
      <c r="E642" s="92">
        <v>2874.08</v>
      </c>
      <c r="F642" s="92">
        <v>2851.18</v>
      </c>
      <c r="G642" s="92">
        <v>65.44</v>
      </c>
      <c r="H642" s="93">
        <v>48277.279999999999</v>
      </c>
      <c r="I642" s="93">
        <v>33051.919999999998</v>
      </c>
      <c r="J642" s="93">
        <v>14494.61</v>
      </c>
      <c r="K642" s="93">
        <v>730.75</v>
      </c>
      <c r="L642" s="43">
        <v>8.3370369730775202</v>
      </c>
      <c r="M642" s="43">
        <v>11.5</v>
      </c>
      <c r="N642" s="43">
        <v>5.083723230381807</v>
      </c>
      <c r="O642" s="43">
        <v>11.16671760391198</v>
      </c>
      <c r="P642" s="94"/>
      <c r="Q642" s="94"/>
      <c r="R642" s="94">
        <v>3</v>
      </c>
    </row>
    <row r="643" spans="1:18" ht="24">
      <c r="A643" s="90">
        <v>380</v>
      </c>
      <c r="B643" s="87" t="s">
        <v>1172</v>
      </c>
      <c r="C643" s="91" t="s">
        <v>1173</v>
      </c>
      <c r="D643" s="92">
        <v>6733.26</v>
      </c>
      <c r="E643" s="92">
        <v>3476.16</v>
      </c>
      <c r="F643" s="92">
        <v>3179.62</v>
      </c>
      <c r="G643" s="92">
        <v>77.48</v>
      </c>
      <c r="H643" s="93">
        <v>56928.08</v>
      </c>
      <c r="I643" s="93">
        <v>39975.839999999997</v>
      </c>
      <c r="J643" s="93">
        <v>16083.03</v>
      </c>
      <c r="K643" s="93">
        <v>869.21</v>
      </c>
      <c r="L643" s="43">
        <v>8.454757428051197</v>
      </c>
      <c r="M643" s="43">
        <v>11.5</v>
      </c>
      <c r="N643" s="43">
        <v>5.0581610381114732</v>
      </c>
      <c r="O643" s="43">
        <v>11.218508002065049</v>
      </c>
      <c r="P643" s="94"/>
      <c r="Q643" s="94"/>
      <c r="R643" s="94">
        <v>3</v>
      </c>
    </row>
    <row r="644" spans="1:18" ht="24">
      <c r="A644" s="90">
        <v>381</v>
      </c>
      <c r="B644" s="87" t="s">
        <v>1174</v>
      </c>
      <c r="C644" s="91" t="s">
        <v>1175</v>
      </c>
      <c r="D644" s="92">
        <v>8427.1299999999992</v>
      </c>
      <c r="E644" s="92">
        <v>4487.2</v>
      </c>
      <c r="F644" s="92">
        <v>3836.73</v>
      </c>
      <c r="G644" s="92">
        <v>103.2</v>
      </c>
      <c r="H644" s="93">
        <v>72018.06</v>
      </c>
      <c r="I644" s="93">
        <v>51602.8</v>
      </c>
      <c r="J644" s="93">
        <v>19265.240000000002</v>
      </c>
      <c r="K644" s="93">
        <v>1150.02</v>
      </c>
      <c r="L644" s="43">
        <v>8.5459771001515357</v>
      </c>
      <c r="M644" s="43">
        <v>11.500000000000002</v>
      </c>
      <c r="N644" s="43">
        <v>5.0212655047397137</v>
      </c>
      <c r="O644" s="43">
        <v>11.143604651162791</v>
      </c>
      <c r="P644" s="94"/>
      <c r="Q644" s="94"/>
      <c r="R644" s="94">
        <v>3</v>
      </c>
    </row>
    <row r="645" spans="1:18" ht="24">
      <c r="A645" s="90">
        <v>382</v>
      </c>
      <c r="B645" s="87" t="s">
        <v>1176</v>
      </c>
      <c r="C645" s="91" t="s">
        <v>1177</v>
      </c>
      <c r="D645" s="92">
        <v>8969.24</v>
      </c>
      <c r="E645" s="92">
        <v>5589.12</v>
      </c>
      <c r="F645" s="92">
        <v>3249.98</v>
      </c>
      <c r="G645" s="92">
        <v>130.13999999999999</v>
      </c>
      <c r="H645" s="93">
        <v>83112.89</v>
      </c>
      <c r="I645" s="93">
        <v>64274.879999999997</v>
      </c>
      <c r="J645" s="93">
        <v>17391.62</v>
      </c>
      <c r="K645" s="93">
        <v>1446.39</v>
      </c>
      <c r="L645" s="43">
        <v>9.2664361751943307</v>
      </c>
      <c r="M645" s="43">
        <v>11.5</v>
      </c>
      <c r="N645" s="43">
        <v>5.3513006233884512</v>
      </c>
      <c r="O645" s="43">
        <v>11.114107883817429</v>
      </c>
      <c r="P645" s="94"/>
      <c r="Q645" s="94"/>
      <c r="R645" s="94">
        <v>3</v>
      </c>
    </row>
    <row r="646" spans="1:18" ht="24">
      <c r="A646" s="90">
        <v>383</v>
      </c>
      <c r="B646" s="87" t="s">
        <v>1178</v>
      </c>
      <c r="C646" s="91" t="s">
        <v>1179</v>
      </c>
      <c r="D646" s="92">
        <v>11957.98</v>
      </c>
      <c r="E646" s="92">
        <v>6293.44</v>
      </c>
      <c r="F646" s="92">
        <v>5037.55</v>
      </c>
      <c r="G646" s="92">
        <v>626.99</v>
      </c>
      <c r="H646" s="93">
        <v>101399.87</v>
      </c>
      <c r="I646" s="93">
        <v>72374.559999999998</v>
      </c>
      <c r="J646" s="93">
        <v>25101.360000000001</v>
      </c>
      <c r="K646" s="93">
        <v>3923.95</v>
      </c>
      <c r="L646" s="43">
        <v>8.4796821871252508</v>
      </c>
      <c r="M646" s="43">
        <v>11.5</v>
      </c>
      <c r="N646" s="43">
        <v>4.9828507905628729</v>
      </c>
      <c r="O646" s="43">
        <v>6.2583932758098211</v>
      </c>
      <c r="P646" s="94"/>
      <c r="Q646" s="94"/>
      <c r="R646" s="94">
        <v>3</v>
      </c>
    </row>
    <row r="647" spans="1:18" ht="24">
      <c r="A647" s="90">
        <v>384</v>
      </c>
      <c r="B647" s="87" t="s">
        <v>1180</v>
      </c>
      <c r="C647" s="91" t="s">
        <v>1181</v>
      </c>
      <c r="D647" s="92">
        <v>13160.85</v>
      </c>
      <c r="E647" s="92">
        <v>6918.24</v>
      </c>
      <c r="F647" s="92">
        <v>5598.85</v>
      </c>
      <c r="G647" s="92">
        <v>643.76</v>
      </c>
      <c r="H647" s="93">
        <v>111589.88</v>
      </c>
      <c r="I647" s="93">
        <v>79559.759999999995</v>
      </c>
      <c r="J647" s="93">
        <v>27924.99</v>
      </c>
      <c r="K647" s="93">
        <v>4105.13</v>
      </c>
      <c r="L647" s="43">
        <v>8.4789265131051561</v>
      </c>
      <c r="M647" s="43">
        <v>11.5</v>
      </c>
      <c r="N647" s="43">
        <v>4.9876296025076581</v>
      </c>
      <c r="O647" s="43">
        <v>6.3768019137566796</v>
      </c>
      <c r="P647" s="94"/>
      <c r="Q647" s="94"/>
      <c r="R647" s="94">
        <v>3</v>
      </c>
    </row>
    <row r="648" spans="1:18" ht="24">
      <c r="A648" s="90">
        <v>385</v>
      </c>
      <c r="B648" s="87" t="s">
        <v>1182</v>
      </c>
      <c r="C648" s="91" t="s">
        <v>1183</v>
      </c>
      <c r="D648" s="92">
        <v>14809.47</v>
      </c>
      <c r="E648" s="92">
        <v>7929.28</v>
      </c>
      <c r="F648" s="92">
        <v>6216.2</v>
      </c>
      <c r="G648" s="92">
        <v>663.99</v>
      </c>
      <c r="H648" s="93">
        <v>126406.02</v>
      </c>
      <c r="I648" s="93">
        <v>91186.72</v>
      </c>
      <c r="J648" s="93">
        <v>30881.52</v>
      </c>
      <c r="K648" s="93">
        <v>4337.78</v>
      </c>
      <c r="L648" s="43">
        <v>8.5354857398678021</v>
      </c>
      <c r="M648" s="43">
        <v>11.5</v>
      </c>
      <c r="N648" s="43">
        <v>4.9679096554164923</v>
      </c>
      <c r="O648" s="43">
        <v>6.5328995918613231</v>
      </c>
      <c r="P648" s="94"/>
      <c r="Q648" s="94"/>
      <c r="R648" s="94">
        <v>3</v>
      </c>
    </row>
    <row r="649" spans="1:18" ht="24">
      <c r="A649" s="90">
        <v>386</v>
      </c>
      <c r="B649" s="87" t="s">
        <v>1184</v>
      </c>
      <c r="C649" s="91" t="s">
        <v>1185</v>
      </c>
      <c r="D649" s="92">
        <v>16514.71</v>
      </c>
      <c r="E649" s="92">
        <v>8940.32</v>
      </c>
      <c r="F649" s="92">
        <v>6890.18</v>
      </c>
      <c r="G649" s="92">
        <v>684.21</v>
      </c>
      <c r="H649" s="93">
        <v>141538.89000000001</v>
      </c>
      <c r="I649" s="93">
        <v>102813.68</v>
      </c>
      <c r="J649" s="93">
        <v>34154.9</v>
      </c>
      <c r="K649" s="93">
        <v>4570.3100000000004</v>
      </c>
      <c r="L649" s="43">
        <v>8.5704738381721519</v>
      </c>
      <c r="M649" s="43">
        <v>11.5</v>
      </c>
      <c r="N649" s="43">
        <v>4.9570403095419859</v>
      </c>
      <c r="O649" s="43">
        <v>6.679688984376142</v>
      </c>
      <c r="P649" s="94"/>
      <c r="Q649" s="94"/>
      <c r="R649" s="94">
        <v>3</v>
      </c>
    </row>
    <row r="650" spans="1:18" ht="24">
      <c r="A650" s="90">
        <v>387</v>
      </c>
      <c r="B650" s="87" t="s">
        <v>1186</v>
      </c>
      <c r="C650" s="91" t="s">
        <v>1187</v>
      </c>
      <c r="D650" s="92">
        <v>19517.599999999999</v>
      </c>
      <c r="E650" s="92">
        <v>10610.24</v>
      </c>
      <c r="F650" s="92">
        <v>8184.86</v>
      </c>
      <c r="G650" s="92">
        <v>722.5</v>
      </c>
      <c r="H650" s="93">
        <v>167567.01</v>
      </c>
      <c r="I650" s="93">
        <v>122017.76</v>
      </c>
      <c r="J650" s="93">
        <v>40552.050000000003</v>
      </c>
      <c r="K650" s="93">
        <v>4997.2</v>
      </c>
      <c r="L650" s="43">
        <v>8.5854310980858308</v>
      </c>
      <c r="M650" s="43">
        <v>11.5</v>
      </c>
      <c r="N650" s="43">
        <v>4.9545196863477203</v>
      </c>
      <c r="O650" s="43">
        <v>6.9165397923875434</v>
      </c>
      <c r="P650" s="94"/>
      <c r="Q650" s="94"/>
      <c r="R650" s="94">
        <v>3</v>
      </c>
    </row>
    <row r="651" spans="1:18" ht="24">
      <c r="A651" s="90">
        <v>388</v>
      </c>
      <c r="B651" s="87" t="s">
        <v>1188</v>
      </c>
      <c r="C651" s="91" t="s">
        <v>1189</v>
      </c>
      <c r="D651" s="92">
        <v>21848.12</v>
      </c>
      <c r="E651" s="92">
        <v>11837.12</v>
      </c>
      <c r="F651" s="92">
        <v>9263.9599999999991</v>
      </c>
      <c r="G651" s="92">
        <v>747.04</v>
      </c>
      <c r="H651" s="93">
        <v>187348.84</v>
      </c>
      <c r="I651" s="93">
        <v>136126.88</v>
      </c>
      <c r="J651" s="93">
        <v>45942.55</v>
      </c>
      <c r="K651" s="93">
        <v>5279.41</v>
      </c>
      <c r="L651" s="43">
        <v>8.5750554281100619</v>
      </c>
      <c r="M651" s="43">
        <v>11.5</v>
      </c>
      <c r="N651" s="43">
        <v>4.9592776739105098</v>
      </c>
      <c r="O651" s="43">
        <v>7.0671048404369241</v>
      </c>
      <c r="P651" s="94"/>
      <c r="Q651" s="94"/>
      <c r="R651" s="94">
        <v>3</v>
      </c>
    </row>
    <row r="652" spans="1:18" ht="24">
      <c r="A652" s="90">
        <v>389</v>
      </c>
      <c r="B652" s="87" t="s">
        <v>1190</v>
      </c>
      <c r="C652" s="91" t="s">
        <v>1191</v>
      </c>
      <c r="D652" s="92">
        <v>25289.22</v>
      </c>
      <c r="E652" s="92">
        <v>13927.36</v>
      </c>
      <c r="F652" s="92">
        <v>10566.89</v>
      </c>
      <c r="G652" s="92">
        <v>794.97</v>
      </c>
      <c r="H652" s="93">
        <v>218213.75</v>
      </c>
      <c r="I652" s="93">
        <v>160164.64000000001</v>
      </c>
      <c r="J652" s="93">
        <v>52235.24</v>
      </c>
      <c r="K652" s="93">
        <v>5813.87</v>
      </c>
      <c r="L652" s="43">
        <v>8.6287259947123705</v>
      </c>
      <c r="M652" s="43">
        <v>11.5</v>
      </c>
      <c r="N652" s="43">
        <v>4.9432936275479351</v>
      </c>
      <c r="O652" s="43">
        <v>7.3133199994968363</v>
      </c>
      <c r="P652" s="94"/>
      <c r="Q652" s="94"/>
      <c r="R652" s="94">
        <v>3</v>
      </c>
    </row>
    <row r="653" spans="1:18" ht="24">
      <c r="A653" s="90">
        <v>390</v>
      </c>
      <c r="B653" s="87" t="s">
        <v>1192</v>
      </c>
      <c r="C653" s="91" t="s">
        <v>1193</v>
      </c>
      <c r="D653" s="92">
        <v>3444.01</v>
      </c>
      <c r="E653" s="92">
        <v>1348.8</v>
      </c>
      <c r="F653" s="92">
        <v>2066.39</v>
      </c>
      <c r="G653" s="92">
        <v>28.82</v>
      </c>
      <c r="H653" s="93">
        <v>26641.27</v>
      </c>
      <c r="I653" s="93">
        <v>15511.2</v>
      </c>
      <c r="J653" s="93">
        <v>10803.71</v>
      </c>
      <c r="K653" s="93">
        <v>326.36</v>
      </c>
      <c r="L653" s="43">
        <v>7.7355379339781241</v>
      </c>
      <c r="M653" s="43">
        <v>11.500000000000002</v>
      </c>
      <c r="N653" s="43">
        <v>5.2283015306887854</v>
      </c>
      <c r="O653" s="43">
        <v>11.32408049965302</v>
      </c>
      <c r="P653" s="94"/>
      <c r="Q653" s="94"/>
      <c r="R653" s="94">
        <v>3</v>
      </c>
    </row>
    <row r="654" spans="1:18" ht="24">
      <c r="A654" s="90">
        <v>391</v>
      </c>
      <c r="B654" s="87" t="s">
        <v>1194</v>
      </c>
      <c r="C654" s="91" t="s">
        <v>1195</v>
      </c>
      <c r="D654" s="92">
        <v>3676.62</v>
      </c>
      <c r="E654" s="92">
        <v>1405</v>
      </c>
      <c r="F654" s="92">
        <v>2241.6799999999998</v>
      </c>
      <c r="G654" s="92">
        <v>29.94</v>
      </c>
      <c r="H654" s="93">
        <v>28129.51</v>
      </c>
      <c r="I654" s="93">
        <v>16157.5</v>
      </c>
      <c r="J654" s="93">
        <v>11632.77</v>
      </c>
      <c r="K654" s="93">
        <v>339.24</v>
      </c>
      <c r="L654" s="43">
        <v>7.6509157867824253</v>
      </c>
      <c r="M654" s="43">
        <v>11.5</v>
      </c>
      <c r="N654" s="43">
        <v>5.1893089111737627</v>
      </c>
      <c r="O654" s="43">
        <v>11.330661322645291</v>
      </c>
      <c r="P654" s="94"/>
      <c r="Q654" s="94"/>
      <c r="R654" s="94">
        <v>3</v>
      </c>
    </row>
    <row r="655" spans="1:18" ht="24">
      <c r="A655" s="90">
        <v>392</v>
      </c>
      <c r="B655" s="87" t="s">
        <v>1196</v>
      </c>
      <c r="C655" s="91" t="s">
        <v>1197</v>
      </c>
      <c r="D655" s="92">
        <v>3824.05</v>
      </c>
      <c r="E655" s="92">
        <v>1494.92</v>
      </c>
      <c r="F655" s="92">
        <v>2297.39</v>
      </c>
      <c r="G655" s="92">
        <v>31.74</v>
      </c>
      <c r="H655" s="93">
        <v>29566.54</v>
      </c>
      <c r="I655" s="93">
        <v>17191.580000000002</v>
      </c>
      <c r="J655" s="93">
        <v>12015.02</v>
      </c>
      <c r="K655" s="93">
        <v>359.94</v>
      </c>
      <c r="L655" s="43">
        <v>7.7317346792013701</v>
      </c>
      <c r="M655" s="43">
        <v>11.5</v>
      </c>
      <c r="N655" s="43">
        <v>5.2298564893204906</v>
      </c>
      <c r="O655" s="43">
        <v>11.340264650283554</v>
      </c>
      <c r="P655" s="94"/>
      <c r="Q655" s="94"/>
      <c r="R655" s="94">
        <v>3</v>
      </c>
    </row>
    <row r="656" spans="1:18" ht="24">
      <c r="A656" s="90">
        <v>393</v>
      </c>
      <c r="B656" s="87" t="s">
        <v>1198</v>
      </c>
      <c r="C656" s="91" t="s">
        <v>1199</v>
      </c>
      <c r="D656" s="92">
        <v>4772.51</v>
      </c>
      <c r="E656" s="92">
        <v>2034.44</v>
      </c>
      <c r="F656" s="92">
        <v>2692.79</v>
      </c>
      <c r="G656" s="92">
        <v>45.28</v>
      </c>
      <c r="H656" s="93">
        <v>37804.67</v>
      </c>
      <c r="I656" s="93">
        <v>23396.06</v>
      </c>
      <c r="J656" s="93">
        <v>13900.44</v>
      </c>
      <c r="K656" s="93">
        <v>508.17</v>
      </c>
      <c r="L656" s="43">
        <v>7.9213390857221873</v>
      </c>
      <c r="M656" s="43">
        <v>11.5</v>
      </c>
      <c r="N656" s="43">
        <v>5.1620958188347403</v>
      </c>
      <c r="O656" s="43">
        <v>11.222835689045937</v>
      </c>
      <c r="P656" s="94"/>
      <c r="Q656" s="94"/>
      <c r="R656" s="94">
        <v>3</v>
      </c>
    </row>
    <row r="657" spans="1:18" ht="24">
      <c r="A657" s="90">
        <v>394</v>
      </c>
      <c r="B657" s="87" t="s">
        <v>1200</v>
      </c>
      <c r="C657" s="91" t="s">
        <v>1201</v>
      </c>
      <c r="D657" s="92">
        <v>5720.35</v>
      </c>
      <c r="E657" s="92">
        <v>2646.88</v>
      </c>
      <c r="F657" s="92">
        <v>3015.94</v>
      </c>
      <c r="G657" s="92">
        <v>57.53</v>
      </c>
      <c r="H657" s="93">
        <v>46592.46</v>
      </c>
      <c r="I657" s="93">
        <v>30439.119999999999</v>
      </c>
      <c r="J657" s="93">
        <v>15504.3</v>
      </c>
      <c r="K657" s="93">
        <v>649.04</v>
      </c>
      <c r="L657" s="43">
        <v>8.145036579929549</v>
      </c>
      <c r="M657" s="43">
        <v>11.5</v>
      </c>
      <c r="N657" s="43">
        <v>5.1407852941371512</v>
      </c>
      <c r="O657" s="43">
        <v>11.281766035112115</v>
      </c>
      <c r="P657" s="94"/>
      <c r="Q657" s="94"/>
      <c r="R657" s="94">
        <v>3</v>
      </c>
    </row>
    <row r="658" spans="1:18" ht="24">
      <c r="A658" s="90">
        <v>395</v>
      </c>
      <c r="B658" s="87" t="s">
        <v>1202</v>
      </c>
      <c r="C658" s="91" t="s">
        <v>1203</v>
      </c>
      <c r="D658" s="92">
        <v>6772.29</v>
      </c>
      <c r="E658" s="92">
        <v>3248.96</v>
      </c>
      <c r="F658" s="92">
        <v>3450.39</v>
      </c>
      <c r="G658" s="92">
        <v>72.94</v>
      </c>
      <c r="H658" s="93">
        <v>55745.71</v>
      </c>
      <c r="I658" s="93">
        <v>37363.040000000001</v>
      </c>
      <c r="J658" s="93">
        <v>17565.669999999998</v>
      </c>
      <c r="K658" s="93">
        <v>817</v>
      </c>
      <c r="L658" s="43">
        <v>8.2314416541524356</v>
      </c>
      <c r="M658" s="43">
        <v>11.5</v>
      </c>
      <c r="N658" s="43">
        <v>5.0909230550749331</v>
      </c>
      <c r="O658" s="43">
        <v>11.200987112695367</v>
      </c>
      <c r="P658" s="94"/>
      <c r="Q658" s="94"/>
      <c r="R658" s="94">
        <v>3</v>
      </c>
    </row>
    <row r="659" spans="1:18" ht="24">
      <c r="A659" s="90">
        <v>396</v>
      </c>
      <c r="B659" s="87" t="s">
        <v>1204</v>
      </c>
      <c r="C659" s="91" t="s">
        <v>1205</v>
      </c>
      <c r="D659" s="92">
        <v>7162.17</v>
      </c>
      <c r="E659" s="92">
        <v>3408</v>
      </c>
      <c r="F659" s="92">
        <v>3678.05</v>
      </c>
      <c r="G659" s="92">
        <v>76.12</v>
      </c>
      <c r="H659" s="93">
        <v>58797.34</v>
      </c>
      <c r="I659" s="93">
        <v>39192</v>
      </c>
      <c r="J659" s="93">
        <v>18751.77</v>
      </c>
      <c r="K659" s="93">
        <v>853.57</v>
      </c>
      <c r="L659" s="43">
        <v>8.2094309406227435</v>
      </c>
      <c r="M659" s="43">
        <v>11.5</v>
      </c>
      <c r="N659" s="43">
        <v>5.0982912140944245</v>
      </c>
      <c r="O659" s="43">
        <v>11.213478717813977</v>
      </c>
      <c r="P659" s="94"/>
      <c r="Q659" s="94"/>
      <c r="R659" s="94">
        <v>3</v>
      </c>
    </row>
    <row r="660" spans="1:18" ht="24">
      <c r="A660" s="90">
        <v>397</v>
      </c>
      <c r="B660" s="87" t="s">
        <v>1206</v>
      </c>
      <c r="C660" s="91" t="s">
        <v>1207</v>
      </c>
      <c r="D660" s="92">
        <v>8262.36</v>
      </c>
      <c r="E660" s="92">
        <v>4112.32</v>
      </c>
      <c r="F660" s="92">
        <v>4059.83</v>
      </c>
      <c r="G660" s="92">
        <v>90.21</v>
      </c>
      <c r="H660" s="93">
        <v>68898.27</v>
      </c>
      <c r="I660" s="93">
        <v>47291.68</v>
      </c>
      <c r="J660" s="93">
        <v>20590.98</v>
      </c>
      <c r="K660" s="93">
        <v>1015.61</v>
      </c>
      <c r="L660" s="43">
        <v>8.3388123974264019</v>
      </c>
      <c r="M660" s="43">
        <v>11.5</v>
      </c>
      <c r="N660" s="43">
        <v>5.0718823201956731</v>
      </c>
      <c r="O660" s="43">
        <v>11.258286221039796</v>
      </c>
      <c r="P660" s="94"/>
      <c r="Q660" s="94"/>
      <c r="R660" s="94">
        <v>3</v>
      </c>
    </row>
    <row r="661" spans="1:18" ht="24">
      <c r="A661" s="90">
        <v>398</v>
      </c>
      <c r="B661" s="87" t="s">
        <v>1208</v>
      </c>
      <c r="C661" s="91" t="s">
        <v>1209</v>
      </c>
      <c r="D661" s="92">
        <v>10338.299999999999</v>
      </c>
      <c r="E661" s="92">
        <v>5316.48</v>
      </c>
      <c r="F661" s="92">
        <v>4902.03</v>
      </c>
      <c r="G661" s="92">
        <v>119.79</v>
      </c>
      <c r="H661" s="93">
        <v>87221.07</v>
      </c>
      <c r="I661" s="93">
        <v>61139.519999999997</v>
      </c>
      <c r="J661" s="93">
        <v>24740.74</v>
      </c>
      <c r="K661" s="93">
        <v>1340.81</v>
      </c>
      <c r="L661" s="43">
        <v>8.4366936536954835</v>
      </c>
      <c r="M661" s="43">
        <v>11.5</v>
      </c>
      <c r="N661" s="43">
        <v>5.0470396957994961</v>
      </c>
      <c r="O661" s="43">
        <v>11.193004424409382</v>
      </c>
      <c r="P661" s="94"/>
      <c r="Q661" s="94"/>
      <c r="R661" s="94">
        <v>3</v>
      </c>
    </row>
    <row r="662" spans="1:18" ht="24">
      <c r="A662" s="90">
        <v>399</v>
      </c>
      <c r="B662" s="87" t="s">
        <v>1210</v>
      </c>
      <c r="C662" s="91" t="s">
        <v>1211</v>
      </c>
      <c r="D662" s="92">
        <v>12465.6</v>
      </c>
      <c r="E662" s="92">
        <v>6611.52</v>
      </c>
      <c r="F662" s="92">
        <v>5703.49</v>
      </c>
      <c r="G662" s="92">
        <v>150.59</v>
      </c>
      <c r="H662" s="93">
        <v>106311.51</v>
      </c>
      <c r="I662" s="93">
        <v>76032.479999999996</v>
      </c>
      <c r="J662" s="93">
        <v>28597.46</v>
      </c>
      <c r="K662" s="93">
        <v>1681.57</v>
      </c>
      <c r="L662" s="43">
        <v>8.5283909318444344</v>
      </c>
      <c r="M662" s="43">
        <v>11.499999999999998</v>
      </c>
      <c r="N662" s="43">
        <v>5.0140282528767477</v>
      </c>
      <c r="O662" s="43">
        <v>11.166544923301679</v>
      </c>
      <c r="P662" s="94"/>
      <c r="Q662" s="94"/>
      <c r="R662" s="94">
        <v>3</v>
      </c>
    </row>
    <row r="663" spans="1:18" ht="24">
      <c r="A663" s="90">
        <v>400</v>
      </c>
      <c r="B663" s="87" t="s">
        <v>1212</v>
      </c>
      <c r="C663" s="91" t="s">
        <v>1213</v>
      </c>
      <c r="D663" s="92">
        <v>14546.98</v>
      </c>
      <c r="E663" s="92">
        <v>7452.16</v>
      </c>
      <c r="F663" s="92">
        <v>6385.66</v>
      </c>
      <c r="G663" s="92">
        <v>709.16</v>
      </c>
      <c r="H663" s="93">
        <v>122152.24</v>
      </c>
      <c r="I663" s="93">
        <v>85699.839999999997</v>
      </c>
      <c r="J663" s="93">
        <v>31978.99</v>
      </c>
      <c r="K663" s="93">
        <v>4473.41</v>
      </c>
      <c r="L663" s="43">
        <v>8.397085855620892</v>
      </c>
      <c r="M663" s="43">
        <v>11.5</v>
      </c>
      <c r="N663" s="43">
        <v>5.0079380988026303</v>
      </c>
      <c r="O663" s="43">
        <v>6.3080404986180838</v>
      </c>
      <c r="P663" s="94"/>
      <c r="Q663" s="94"/>
      <c r="R663" s="94">
        <v>3</v>
      </c>
    </row>
    <row r="664" spans="1:18" ht="24">
      <c r="A664" s="90">
        <v>401</v>
      </c>
      <c r="B664" s="87" t="s">
        <v>1214</v>
      </c>
      <c r="C664" s="91" t="s">
        <v>1215</v>
      </c>
      <c r="D664" s="92">
        <v>15923.17</v>
      </c>
      <c r="E664" s="92">
        <v>8201.92</v>
      </c>
      <c r="F664" s="92">
        <v>6992.8</v>
      </c>
      <c r="G664" s="92">
        <v>728.45</v>
      </c>
      <c r="H664" s="93">
        <v>134013.56</v>
      </c>
      <c r="I664" s="93">
        <v>94322.08</v>
      </c>
      <c r="J664" s="93">
        <v>35008.019999999997</v>
      </c>
      <c r="K664" s="93">
        <v>4683.46</v>
      </c>
      <c r="L664" s="43">
        <v>8.416261334897511</v>
      </c>
      <c r="M664" s="43">
        <v>11.5</v>
      </c>
      <c r="N664" s="43">
        <v>5.0062950463333706</v>
      </c>
      <c r="O664" s="43">
        <v>6.4293499897041659</v>
      </c>
      <c r="P664" s="94"/>
      <c r="Q664" s="94"/>
      <c r="R664" s="94">
        <v>3</v>
      </c>
    </row>
    <row r="665" spans="1:18" ht="24">
      <c r="A665" s="90">
        <v>402</v>
      </c>
      <c r="B665" s="87" t="s">
        <v>1216</v>
      </c>
      <c r="C665" s="91" t="s">
        <v>1217</v>
      </c>
      <c r="D665" s="92">
        <v>17614.46</v>
      </c>
      <c r="E665" s="92">
        <v>9394.7199999999993</v>
      </c>
      <c r="F665" s="92">
        <v>7467.44</v>
      </c>
      <c r="G665" s="92">
        <v>752.3</v>
      </c>
      <c r="H665" s="93">
        <v>150476.99</v>
      </c>
      <c r="I665" s="93">
        <v>108039.28</v>
      </c>
      <c r="J665" s="93">
        <v>37479.97</v>
      </c>
      <c r="K665" s="93">
        <v>4957.74</v>
      </c>
      <c r="L665" s="43">
        <v>8.5428102820069416</v>
      </c>
      <c r="M665" s="43">
        <v>11.5</v>
      </c>
      <c r="N665" s="43">
        <v>5.0191190019605116</v>
      </c>
      <c r="O665" s="43">
        <v>6.5901103283264657</v>
      </c>
      <c r="P665" s="94"/>
      <c r="Q665" s="94"/>
      <c r="R665" s="94">
        <v>3</v>
      </c>
    </row>
    <row r="666" spans="1:18" ht="24">
      <c r="A666" s="90">
        <v>403</v>
      </c>
      <c r="B666" s="87" t="s">
        <v>1218</v>
      </c>
      <c r="C666" s="91" t="s">
        <v>1219</v>
      </c>
      <c r="D666" s="92">
        <v>19757.46</v>
      </c>
      <c r="E666" s="92">
        <v>10598.88</v>
      </c>
      <c r="F666" s="92">
        <v>8382.19</v>
      </c>
      <c r="G666" s="92">
        <v>776.39</v>
      </c>
      <c r="H666" s="93">
        <v>168741.43</v>
      </c>
      <c r="I666" s="93">
        <v>121887.12</v>
      </c>
      <c r="J666" s="93">
        <v>41619.54</v>
      </c>
      <c r="K666" s="93">
        <v>5234.7700000000004</v>
      </c>
      <c r="L666" s="43">
        <v>8.5406438884350511</v>
      </c>
      <c r="M666" s="43">
        <v>11.5</v>
      </c>
      <c r="N666" s="43">
        <v>4.9652346224554682</v>
      </c>
      <c r="O666" s="43">
        <v>6.7424490269065815</v>
      </c>
      <c r="P666" s="94"/>
      <c r="Q666" s="94"/>
      <c r="R666" s="94">
        <v>3</v>
      </c>
    </row>
    <row r="667" spans="1:18" ht="24">
      <c r="A667" s="90">
        <v>404</v>
      </c>
      <c r="B667" s="87" t="s">
        <v>1220</v>
      </c>
      <c r="C667" s="91" t="s">
        <v>1221</v>
      </c>
      <c r="D667" s="92">
        <v>23348.53</v>
      </c>
      <c r="E667" s="92">
        <v>12598.24</v>
      </c>
      <c r="F667" s="92">
        <v>9929.0300000000007</v>
      </c>
      <c r="G667" s="92">
        <v>821.26</v>
      </c>
      <c r="H667" s="93">
        <v>199880.87</v>
      </c>
      <c r="I667" s="93">
        <v>144879.76</v>
      </c>
      <c r="J667" s="93">
        <v>49263.66</v>
      </c>
      <c r="K667" s="93">
        <v>5737.45</v>
      </c>
      <c r="L667" s="43">
        <v>8.5607475074447947</v>
      </c>
      <c r="M667" s="43">
        <v>11.500000000000002</v>
      </c>
      <c r="N667" s="43">
        <v>4.9615783213465967</v>
      </c>
      <c r="O667" s="43">
        <v>6.9861554197209168</v>
      </c>
      <c r="P667" s="94"/>
      <c r="Q667" s="94"/>
      <c r="R667" s="94">
        <v>3</v>
      </c>
    </row>
    <row r="668" spans="1:18" ht="24">
      <c r="A668" s="90">
        <v>405</v>
      </c>
      <c r="B668" s="87" t="s">
        <v>1222</v>
      </c>
      <c r="C668" s="91" t="s">
        <v>1223</v>
      </c>
      <c r="D668" s="92">
        <v>26088.2</v>
      </c>
      <c r="E668" s="92">
        <v>14086.4</v>
      </c>
      <c r="F668" s="92">
        <v>11150.77</v>
      </c>
      <c r="G668" s="92">
        <v>851.03</v>
      </c>
      <c r="H668" s="93">
        <v>223424.75</v>
      </c>
      <c r="I668" s="93">
        <v>161993.60000000001</v>
      </c>
      <c r="J668" s="93">
        <v>55351.34</v>
      </c>
      <c r="K668" s="93">
        <v>6079.81</v>
      </c>
      <c r="L668" s="43">
        <v>8.5642071894573029</v>
      </c>
      <c r="M668" s="43">
        <v>11.5</v>
      </c>
      <c r="N668" s="43">
        <v>4.9639029412318605</v>
      </c>
      <c r="O668" s="43">
        <v>7.1440607264138754</v>
      </c>
      <c r="P668" s="94"/>
      <c r="Q668" s="94"/>
      <c r="R668" s="94">
        <v>3</v>
      </c>
    </row>
    <row r="669" spans="1:18" ht="24">
      <c r="A669" s="90">
        <v>406</v>
      </c>
      <c r="B669" s="87" t="s">
        <v>1224</v>
      </c>
      <c r="C669" s="91" t="s">
        <v>1225</v>
      </c>
      <c r="D669" s="92">
        <v>30176.38</v>
      </c>
      <c r="E669" s="92">
        <v>16528.8</v>
      </c>
      <c r="F669" s="92">
        <v>12741.58</v>
      </c>
      <c r="G669" s="92">
        <v>906</v>
      </c>
      <c r="H669" s="93">
        <v>259818.11</v>
      </c>
      <c r="I669" s="93">
        <v>190081.2</v>
      </c>
      <c r="J669" s="93">
        <v>63041.69</v>
      </c>
      <c r="K669" s="93">
        <v>6695.22</v>
      </c>
      <c r="L669" s="43">
        <v>8.6099827083301577</v>
      </c>
      <c r="M669" s="43">
        <v>11.500000000000002</v>
      </c>
      <c r="N669" s="43">
        <v>4.9477137058355405</v>
      </c>
      <c r="O669" s="43">
        <v>7.3898675496688746</v>
      </c>
      <c r="P669" s="94"/>
      <c r="Q669" s="94"/>
      <c r="R669" s="94">
        <v>3</v>
      </c>
    </row>
    <row r="670" spans="1:18" ht="12.75" customHeight="1">
      <c r="A670" s="628" t="s">
        <v>1226</v>
      </c>
      <c r="B670" s="629"/>
      <c r="C670" s="629"/>
      <c r="D670" s="629"/>
      <c r="E670" s="629"/>
      <c r="F670" s="629"/>
      <c r="G670" s="629"/>
      <c r="H670" s="629"/>
      <c r="I670" s="629"/>
      <c r="J670" s="629"/>
      <c r="K670" s="629"/>
      <c r="L670" s="629"/>
      <c r="M670" s="629"/>
      <c r="N670" s="629"/>
      <c r="O670" s="629"/>
      <c r="P670" s="629"/>
      <c r="Q670" s="629"/>
      <c r="R670" s="629"/>
    </row>
    <row r="671" spans="1:18" ht="24">
      <c r="A671" s="90">
        <v>407</v>
      </c>
      <c r="B671" s="87" t="s">
        <v>1227</v>
      </c>
      <c r="C671" s="91" t="s">
        <v>1228</v>
      </c>
      <c r="D671" s="92">
        <v>9646.2000000000007</v>
      </c>
      <c r="E671" s="92">
        <v>1978.24</v>
      </c>
      <c r="F671" s="92">
        <v>6710.56</v>
      </c>
      <c r="G671" s="92">
        <v>957.4</v>
      </c>
      <c r="H671" s="93">
        <v>64288</v>
      </c>
      <c r="I671" s="93">
        <v>22749.759999999998</v>
      </c>
      <c r="J671" s="93">
        <v>36016.46</v>
      </c>
      <c r="K671" s="93">
        <v>5521.78</v>
      </c>
      <c r="L671" s="43">
        <v>6.6645933113557669</v>
      </c>
      <c r="M671" s="43">
        <v>11.5</v>
      </c>
      <c r="N671" s="43">
        <v>5.3671318042011391</v>
      </c>
      <c r="O671" s="43">
        <v>5.7674744098600375</v>
      </c>
      <c r="P671" s="94"/>
      <c r="Q671" s="94"/>
      <c r="R671" s="94">
        <v>4</v>
      </c>
    </row>
    <row r="672" spans="1:18" ht="24">
      <c r="A672" s="90">
        <v>408</v>
      </c>
      <c r="B672" s="87" t="s">
        <v>1229</v>
      </c>
      <c r="C672" s="91" t="s">
        <v>1230</v>
      </c>
      <c r="D672" s="92">
        <v>12975.86</v>
      </c>
      <c r="E672" s="92">
        <v>2540.2399999999998</v>
      </c>
      <c r="F672" s="92">
        <v>9431.2900000000009</v>
      </c>
      <c r="G672" s="92">
        <v>1004.33</v>
      </c>
      <c r="H672" s="93">
        <v>85702.04</v>
      </c>
      <c r="I672" s="93">
        <v>29212.76</v>
      </c>
      <c r="J672" s="93">
        <v>50649.86</v>
      </c>
      <c r="K672" s="93">
        <v>5839.42</v>
      </c>
      <c r="L672" s="43">
        <v>6.6047290892472628</v>
      </c>
      <c r="M672" s="43">
        <v>11.5</v>
      </c>
      <c r="N672" s="43">
        <v>5.3704063813115699</v>
      </c>
      <c r="O672" s="43">
        <v>5.8142443220853703</v>
      </c>
      <c r="P672" s="94"/>
      <c r="Q672" s="94"/>
      <c r="R672" s="94">
        <v>4</v>
      </c>
    </row>
    <row r="673" spans="1:18" ht="24">
      <c r="A673" s="90">
        <v>409</v>
      </c>
      <c r="B673" s="87" t="s">
        <v>1231</v>
      </c>
      <c r="C673" s="91" t="s">
        <v>1232</v>
      </c>
      <c r="D673" s="92">
        <v>16538.3</v>
      </c>
      <c r="E673" s="92">
        <v>3124.72</v>
      </c>
      <c r="F673" s="92">
        <v>12328.1</v>
      </c>
      <c r="G673" s="92">
        <v>1085.48</v>
      </c>
      <c r="H673" s="93">
        <v>108503.43</v>
      </c>
      <c r="I673" s="93">
        <v>35934.28</v>
      </c>
      <c r="J673" s="93">
        <v>66235.539999999994</v>
      </c>
      <c r="K673" s="93">
        <v>6333.61</v>
      </c>
      <c r="L673" s="43">
        <v>6.5607365932411428</v>
      </c>
      <c r="M673" s="43">
        <v>11.5</v>
      </c>
      <c r="N673" s="43">
        <v>5.3727289687786435</v>
      </c>
      <c r="O673" s="43">
        <v>5.834847256513247</v>
      </c>
      <c r="P673" s="94"/>
      <c r="Q673" s="94"/>
      <c r="R673" s="94">
        <v>4</v>
      </c>
    </row>
    <row r="674" spans="1:18" ht="24">
      <c r="A674" s="90">
        <v>410</v>
      </c>
      <c r="B674" s="87" t="s">
        <v>1233</v>
      </c>
      <c r="C674" s="91" t="s">
        <v>1234</v>
      </c>
      <c r="D674" s="92">
        <v>20487.37</v>
      </c>
      <c r="E674" s="92">
        <v>3922.76</v>
      </c>
      <c r="F674" s="92">
        <v>15455.64</v>
      </c>
      <c r="G674" s="92">
        <v>1108.97</v>
      </c>
      <c r="H674" s="93">
        <v>134674.01</v>
      </c>
      <c r="I674" s="93">
        <v>45111.74</v>
      </c>
      <c r="J674" s="93">
        <v>82999.81</v>
      </c>
      <c r="K674" s="93">
        <v>6562.46</v>
      </c>
      <c r="L674" s="43">
        <v>6.5735138282756651</v>
      </c>
      <c r="M674" s="43">
        <v>11.499999999999998</v>
      </c>
      <c r="N674" s="43">
        <v>5.3701956049700952</v>
      </c>
      <c r="O674" s="43">
        <v>5.9176172484377396</v>
      </c>
      <c r="P674" s="94"/>
      <c r="Q674" s="94"/>
      <c r="R674" s="94">
        <v>4</v>
      </c>
    </row>
    <row r="675" spans="1:18" ht="24">
      <c r="A675" s="90">
        <v>411</v>
      </c>
      <c r="B675" s="87" t="s">
        <v>1235</v>
      </c>
      <c r="C675" s="91" t="s">
        <v>1236</v>
      </c>
      <c r="D675" s="92">
        <v>25019.599999999999</v>
      </c>
      <c r="E675" s="92">
        <v>4833.2</v>
      </c>
      <c r="F675" s="92">
        <v>18862.400000000001</v>
      </c>
      <c r="G675" s="92">
        <v>1324</v>
      </c>
      <c r="H675" s="93">
        <v>164769.09</v>
      </c>
      <c r="I675" s="93">
        <v>55581.8</v>
      </c>
      <c r="J675" s="93">
        <v>101322.68</v>
      </c>
      <c r="K675" s="93">
        <v>7864.61</v>
      </c>
      <c r="L675" s="43">
        <v>6.5856004892164544</v>
      </c>
      <c r="M675" s="43">
        <v>11.500000000000002</v>
      </c>
      <c r="N675" s="43">
        <v>5.3716748664008813</v>
      </c>
      <c r="O675" s="43">
        <v>5.9400377643504525</v>
      </c>
      <c r="P675" s="94"/>
      <c r="Q675" s="94"/>
      <c r="R675" s="94">
        <v>4</v>
      </c>
    </row>
    <row r="676" spans="1:18" ht="24">
      <c r="A676" s="90">
        <v>412</v>
      </c>
      <c r="B676" s="87" t="s">
        <v>1237</v>
      </c>
      <c r="C676" s="91" t="s">
        <v>1238</v>
      </c>
      <c r="D676" s="92">
        <v>29862.29</v>
      </c>
      <c r="E676" s="92">
        <v>5709.92</v>
      </c>
      <c r="F676" s="92">
        <v>22640.31</v>
      </c>
      <c r="G676" s="92">
        <v>1512.06</v>
      </c>
      <c r="H676" s="93">
        <v>196218.71</v>
      </c>
      <c r="I676" s="93">
        <v>65664.08</v>
      </c>
      <c r="J676" s="93">
        <v>121616.19</v>
      </c>
      <c r="K676" s="93">
        <v>8938.44</v>
      </c>
      <c r="L676" s="43">
        <v>6.5707857635834355</v>
      </c>
      <c r="M676" s="43">
        <v>11.5</v>
      </c>
      <c r="N676" s="43">
        <v>5.3716662890216611</v>
      </c>
      <c r="O676" s="43">
        <v>5.9114320860283325</v>
      </c>
      <c r="P676" s="94"/>
      <c r="Q676" s="94"/>
      <c r="R676" s="94">
        <v>4</v>
      </c>
    </row>
    <row r="677" spans="1:18" ht="24">
      <c r="A677" s="90">
        <v>413</v>
      </c>
      <c r="B677" s="87" t="s">
        <v>1239</v>
      </c>
      <c r="C677" s="91" t="s">
        <v>1240</v>
      </c>
      <c r="D677" s="92">
        <v>33816.620000000003</v>
      </c>
      <c r="E677" s="92">
        <v>6328.12</v>
      </c>
      <c r="F677" s="92">
        <v>25827.25</v>
      </c>
      <c r="G677" s="92">
        <v>1661.25</v>
      </c>
      <c r="H677" s="93">
        <v>221330.96</v>
      </c>
      <c r="I677" s="93">
        <v>72773.38</v>
      </c>
      <c r="J677" s="93">
        <v>138775.67999999999</v>
      </c>
      <c r="K677" s="93">
        <v>9781.9</v>
      </c>
      <c r="L677" s="43">
        <v>6.5450349561842662</v>
      </c>
      <c r="M677" s="43">
        <v>11.500000000000002</v>
      </c>
      <c r="N677" s="43">
        <v>5.3732271147721882</v>
      </c>
      <c r="O677" s="43">
        <v>5.8882768999247554</v>
      </c>
      <c r="P677" s="94"/>
      <c r="Q677" s="94"/>
      <c r="R677" s="94">
        <v>4</v>
      </c>
    </row>
    <row r="678" spans="1:18" ht="24">
      <c r="A678" s="90">
        <v>414</v>
      </c>
      <c r="B678" s="87" t="s">
        <v>1241</v>
      </c>
      <c r="C678" s="91" t="s">
        <v>1242</v>
      </c>
      <c r="D678" s="92">
        <v>37446.400000000001</v>
      </c>
      <c r="E678" s="92">
        <v>6935.08</v>
      </c>
      <c r="F678" s="92">
        <v>28756.48</v>
      </c>
      <c r="G678" s="92">
        <v>1754.84</v>
      </c>
      <c r="H678" s="93">
        <v>244635.99</v>
      </c>
      <c r="I678" s="93">
        <v>79753.42</v>
      </c>
      <c r="J678" s="93">
        <v>154537.73000000001</v>
      </c>
      <c r="K678" s="93">
        <v>10344.84</v>
      </c>
      <c r="L678" s="43">
        <v>6.5329641834729104</v>
      </c>
      <c r="M678" s="43">
        <v>11.5</v>
      </c>
      <c r="N678" s="43">
        <v>5.3740141352488209</v>
      </c>
      <c r="O678" s="43">
        <v>5.8950331654167902</v>
      </c>
      <c r="P678" s="94"/>
      <c r="Q678" s="94"/>
      <c r="R678" s="94">
        <v>4</v>
      </c>
    </row>
    <row r="679" spans="1:18" ht="24">
      <c r="A679" s="90">
        <v>415</v>
      </c>
      <c r="B679" s="87" t="s">
        <v>1243</v>
      </c>
      <c r="C679" s="91" t="s">
        <v>1244</v>
      </c>
      <c r="D679" s="92">
        <v>40708.480000000003</v>
      </c>
      <c r="E679" s="92">
        <v>7497.08</v>
      </c>
      <c r="F679" s="92">
        <v>31443.73</v>
      </c>
      <c r="G679" s="92">
        <v>1767.67</v>
      </c>
      <c r="H679" s="93">
        <v>265693.52</v>
      </c>
      <c r="I679" s="93">
        <v>86216.42</v>
      </c>
      <c r="J679" s="93">
        <v>168988.99</v>
      </c>
      <c r="K679" s="93">
        <v>10488.11</v>
      </c>
      <c r="L679" s="43">
        <v>6.5267364441020641</v>
      </c>
      <c r="M679" s="43">
        <v>11.5</v>
      </c>
      <c r="N679" s="43">
        <v>5.3743302718856825</v>
      </c>
      <c r="O679" s="43">
        <v>5.9332963731918289</v>
      </c>
      <c r="P679" s="94"/>
      <c r="Q679" s="94"/>
      <c r="R679" s="94">
        <v>4</v>
      </c>
    </row>
    <row r="680" spans="1:18" ht="24">
      <c r="A680" s="90">
        <v>416</v>
      </c>
      <c r="B680" s="87" t="s">
        <v>1245</v>
      </c>
      <c r="C680" s="91" t="s">
        <v>1246</v>
      </c>
      <c r="D680" s="92">
        <v>44453.06</v>
      </c>
      <c r="E680" s="92">
        <v>8115.28</v>
      </c>
      <c r="F680" s="92">
        <v>34426.46</v>
      </c>
      <c r="G680" s="92">
        <v>1911.32</v>
      </c>
      <c r="H680" s="93">
        <v>289675.13</v>
      </c>
      <c r="I680" s="93">
        <v>93325.72</v>
      </c>
      <c r="J680" s="93">
        <v>185045.63</v>
      </c>
      <c r="K680" s="93">
        <v>11303.78</v>
      </c>
      <c r="L680" s="43">
        <v>6.5164272155842591</v>
      </c>
      <c r="M680" s="43">
        <v>11.5</v>
      </c>
      <c r="N680" s="43">
        <v>5.3750989790992163</v>
      </c>
      <c r="O680" s="43">
        <v>5.9141221773434074</v>
      </c>
      <c r="P680" s="94"/>
      <c r="Q680" s="94"/>
      <c r="R680" s="94">
        <v>4</v>
      </c>
    </row>
    <row r="681" spans="1:18" ht="24">
      <c r="A681" s="90">
        <v>417</v>
      </c>
      <c r="B681" s="87" t="s">
        <v>1247</v>
      </c>
      <c r="C681" s="91" t="s">
        <v>1248</v>
      </c>
      <c r="D681" s="92">
        <v>10979.17</v>
      </c>
      <c r="E681" s="92">
        <v>2248</v>
      </c>
      <c r="F681" s="92">
        <v>7721.01</v>
      </c>
      <c r="G681" s="92">
        <v>1010.16</v>
      </c>
      <c r="H681" s="93">
        <v>73120.08</v>
      </c>
      <c r="I681" s="93">
        <v>25852</v>
      </c>
      <c r="J681" s="93">
        <v>41429.599999999999</v>
      </c>
      <c r="K681" s="93">
        <v>5838.48</v>
      </c>
      <c r="L681" s="43">
        <v>6.6598914125566866</v>
      </c>
      <c r="M681" s="43">
        <v>11.5</v>
      </c>
      <c r="N681" s="43">
        <v>5.3658264916118483</v>
      </c>
      <c r="O681" s="43">
        <v>5.7797576621525302</v>
      </c>
      <c r="P681" s="94"/>
      <c r="Q681" s="94"/>
      <c r="R681" s="94">
        <v>4</v>
      </c>
    </row>
    <row r="682" spans="1:18" ht="24">
      <c r="A682" s="90">
        <v>418</v>
      </c>
      <c r="B682" s="87" t="s">
        <v>1249</v>
      </c>
      <c r="C682" s="91" t="s">
        <v>1250</v>
      </c>
      <c r="D682" s="92">
        <v>14772.8</v>
      </c>
      <c r="E682" s="92">
        <v>2854.96</v>
      </c>
      <c r="F682" s="92">
        <v>10803.23</v>
      </c>
      <c r="G682" s="92">
        <v>1114.6099999999999</v>
      </c>
      <c r="H682" s="93">
        <v>97304.05</v>
      </c>
      <c r="I682" s="93">
        <v>32832.04</v>
      </c>
      <c r="J682" s="93">
        <v>58016.84</v>
      </c>
      <c r="K682" s="93">
        <v>6455.17</v>
      </c>
      <c r="L682" s="43">
        <v>6.5867032654608471</v>
      </c>
      <c r="M682" s="43">
        <v>11.5</v>
      </c>
      <c r="N682" s="43">
        <v>5.3703235050998632</v>
      </c>
      <c r="O682" s="43">
        <v>5.7914158315464608</v>
      </c>
      <c r="P682" s="94"/>
      <c r="Q682" s="94"/>
      <c r="R682" s="94">
        <v>4</v>
      </c>
    </row>
    <row r="683" spans="1:18" ht="24">
      <c r="A683" s="90">
        <v>419</v>
      </c>
      <c r="B683" s="87" t="s">
        <v>1251</v>
      </c>
      <c r="C683" s="91" t="s">
        <v>1252</v>
      </c>
      <c r="D683" s="92">
        <v>18359.560000000001</v>
      </c>
      <c r="E683" s="92">
        <v>3473.16</v>
      </c>
      <c r="F683" s="92">
        <v>13728.94</v>
      </c>
      <c r="G683" s="92">
        <v>1157.46</v>
      </c>
      <c r="H683" s="93">
        <v>120452.87</v>
      </c>
      <c r="I683" s="93">
        <v>39941.339999999997</v>
      </c>
      <c r="J683" s="93">
        <v>73750.789999999994</v>
      </c>
      <c r="K683" s="93">
        <v>6760.74</v>
      </c>
      <c r="L683" s="43">
        <v>6.5607710642302965</v>
      </c>
      <c r="M683" s="43">
        <v>11.5</v>
      </c>
      <c r="N683" s="43">
        <v>5.3719216487216048</v>
      </c>
      <c r="O683" s="43">
        <v>5.8410139443263693</v>
      </c>
      <c r="P683" s="94"/>
      <c r="Q683" s="94"/>
      <c r="R683" s="94">
        <v>4</v>
      </c>
    </row>
    <row r="684" spans="1:18" ht="24">
      <c r="A684" s="90">
        <v>420</v>
      </c>
      <c r="B684" s="87" t="s">
        <v>1253</v>
      </c>
      <c r="C684" s="91" t="s">
        <v>1254</v>
      </c>
      <c r="D684" s="92">
        <v>22649.95</v>
      </c>
      <c r="E684" s="92">
        <v>4304.92</v>
      </c>
      <c r="F684" s="92">
        <v>17134.8</v>
      </c>
      <c r="G684" s="92">
        <v>1210.23</v>
      </c>
      <c r="H684" s="93">
        <v>148668.17000000001</v>
      </c>
      <c r="I684" s="93">
        <v>49506.58</v>
      </c>
      <c r="J684" s="93">
        <v>92017.25</v>
      </c>
      <c r="K684" s="93">
        <v>7144.34</v>
      </c>
      <c r="L684" s="43">
        <v>6.5637306042618198</v>
      </c>
      <c r="M684" s="43">
        <v>11.5</v>
      </c>
      <c r="N684" s="43">
        <v>5.3701969092139974</v>
      </c>
      <c r="O684" s="43">
        <v>5.9032911099543064</v>
      </c>
      <c r="P684" s="94"/>
      <c r="Q684" s="94"/>
      <c r="R684" s="94">
        <v>4</v>
      </c>
    </row>
    <row r="685" spans="1:18" ht="24">
      <c r="A685" s="90">
        <v>421</v>
      </c>
      <c r="B685" s="87" t="s">
        <v>1255</v>
      </c>
      <c r="C685" s="91" t="s">
        <v>1256</v>
      </c>
      <c r="D685" s="92">
        <v>26727.95</v>
      </c>
      <c r="E685" s="92">
        <v>5035.5200000000004</v>
      </c>
      <c r="F685" s="92">
        <v>20263.240000000002</v>
      </c>
      <c r="G685" s="92">
        <v>1429.19</v>
      </c>
      <c r="H685" s="93">
        <v>175202.13</v>
      </c>
      <c r="I685" s="93">
        <v>57908.480000000003</v>
      </c>
      <c r="J685" s="93">
        <v>108837.93</v>
      </c>
      <c r="K685" s="93">
        <v>8455.7199999999993</v>
      </c>
      <c r="L685" s="43">
        <v>6.5550156297059816</v>
      </c>
      <c r="M685" s="43">
        <v>11.5</v>
      </c>
      <c r="N685" s="43">
        <v>5.3712007556540806</v>
      </c>
      <c r="O685" s="43">
        <v>5.9164421805358272</v>
      </c>
      <c r="P685" s="94"/>
      <c r="Q685" s="94"/>
      <c r="R685" s="94">
        <v>4</v>
      </c>
    </row>
    <row r="686" spans="1:18" ht="24">
      <c r="A686" s="90">
        <v>422</v>
      </c>
      <c r="B686" s="87" t="s">
        <v>1257</v>
      </c>
      <c r="C686" s="91" t="s">
        <v>1258</v>
      </c>
      <c r="D686" s="92">
        <v>32675.26</v>
      </c>
      <c r="E686" s="92">
        <v>6226.96</v>
      </c>
      <c r="F686" s="92">
        <v>24779.32</v>
      </c>
      <c r="G686" s="92">
        <v>1668.98</v>
      </c>
      <c r="H686" s="93">
        <v>214553.8</v>
      </c>
      <c r="I686" s="93">
        <v>71610.039999999994</v>
      </c>
      <c r="J686" s="93">
        <v>133109.6</v>
      </c>
      <c r="K686" s="93">
        <v>9834.16</v>
      </c>
      <c r="L686" s="43">
        <v>6.5662461446366454</v>
      </c>
      <c r="M686" s="43">
        <v>11.499999999999998</v>
      </c>
      <c r="N686" s="43">
        <v>5.3718019703526974</v>
      </c>
      <c r="O686" s="43">
        <v>5.8923174633608548</v>
      </c>
      <c r="P686" s="94"/>
      <c r="Q686" s="94"/>
      <c r="R686" s="94">
        <v>4</v>
      </c>
    </row>
    <row r="687" spans="1:18" ht="24">
      <c r="A687" s="90">
        <v>423</v>
      </c>
      <c r="B687" s="87" t="s">
        <v>1259</v>
      </c>
      <c r="C687" s="91" t="s">
        <v>1260</v>
      </c>
      <c r="D687" s="92">
        <v>36893.78</v>
      </c>
      <c r="E687" s="92">
        <v>6901.36</v>
      </c>
      <c r="F687" s="92">
        <v>28155.78</v>
      </c>
      <c r="G687" s="92">
        <v>1836.64</v>
      </c>
      <c r="H687" s="93">
        <v>241437.05</v>
      </c>
      <c r="I687" s="93">
        <v>79365.64</v>
      </c>
      <c r="J687" s="93">
        <v>151291.07</v>
      </c>
      <c r="K687" s="93">
        <v>10780.34</v>
      </c>
      <c r="L687" s="43">
        <v>6.5441125848313728</v>
      </c>
      <c r="M687" s="43">
        <v>11.5</v>
      </c>
      <c r="N687" s="43">
        <v>5.3733574420598549</v>
      </c>
      <c r="O687" s="43">
        <v>5.8695988326509276</v>
      </c>
      <c r="P687" s="94"/>
      <c r="Q687" s="94"/>
      <c r="R687" s="94">
        <v>4</v>
      </c>
    </row>
    <row r="688" spans="1:18" ht="24">
      <c r="A688" s="90">
        <v>424</v>
      </c>
      <c r="B688" s="87" t="s">
        <v>1261</v>
      </c>
      <c r="C688" s="91" t="s">
        <v>1262</v>
      </c>
      <c r="D688" s="92">
        <v>40044.36</v>
      </c>
      <c r="E688" s="92">
        <v>7047.48</v>
      </c>
      <c r="F688" s="92">
        <v>31081.87</v>
      </c>
      <c r="G688" s="92">
        <v>1915.01</v>
      </c>
      <c r="H688" s="93">
        <v>259287.27</v>
      </c>
      <c r="I688" s="93">
        <v>81046.02</v>
      </c>
      <c r="J688" s="93">
        <v>167035.79</v>
      </c>
      <c r="K688" s="93">
        <v>11205.46</v>
      </c>
      <c r="L688" s="43">
        <v>6.4750009739199221</v>
      </c>
      <c r="M688" s="43">
        <v>11.500000000000002</v>
      </c>
      <c r="N688" s="43">
        <v>5.3740585749827794</v>
      </c>
      <c r="O688" s="43">
        <v>5.8513845880700357</v>
      </c>
      <c r="P688" s="94"/>
      <c r="Q688" s="94"/>
      <c r="R688" s="94">
        <v>4</v>
      </c>
    </row>
    <row r="689" spans="1:18" ht="24">
      <c r="A689" s="90">
        <v>425</v>
      </c>
      <c r="B689" s="87" t="s">
        <v>1263</v>
      </c>
      <c r="C689" s="91" t="s">
        <v>1264</v>
      </c>
      <c r="D689" s="92">
        <v>44584.9</v>
      </c>
      <c r="E689" s="92">
        <v>8160.24</v>
      </c>
      <c r="F689" s="92">
        <v>34383.85</v>
      </c>
      <c r="G689" s="92">
        <v>2040.81</v>
      </c>
      <c r="H689" s="93">
        <v>290645.36</v>
      </c>
      <c r="I689" s="93">
        <v>93842.76</v>
      </c>
      <c r="J689" s="93">
        <v>184807.15</v>
      </c>
      <c r="K689" s="93">
        <v>11995.45</v>
      </c>
      <c r="L689" s="43">
        <v>6.5189191856435693</v>
      </c>
      <c r="M689" s="43">
        <v>11.5</v>
      </c>
      <c r="N689" s="43">
        <v>5.3748242270717208</v>
      </c>
      <c r="O689" s="43">
        <v>5.8777887211450359</v>
      </c>
      <c r="P689" s="94"/>
      <c r="Q689" s="94"/>
      <c r="R689" s="94">
        <v>4</v>
      </c>
    </row>
    <row r="690" spans="1:18" ht="24">
      <c r="A690" s="90">
        <v>426</v>
      </c>
      <c r="B690" s="87" t="s">
        <v>1265</v>
      </c>
      <c r="C690" s="91" t="s">
        <v>1266</v>
      </c>
      <c r="D690" s="92">
        <v>48309.25</v>
      </c>
      <c r="E690" s="92">
        <v>8767.2000000000007</v>
      </c>
      <c r="F690" s="92">
        <v>37441.760000000002</v>
      </c>
      <c r="G690" s="92">
        <v>2100.29</v>
      </c>
      <c r="H690" s="93">
        <v>314462.98</v>
      </c>
      <c r="I690" s="93">
        <v>100822.8</v>
      </c>
      <c r="J690" s="93">
        <v>201256.15</v>
      </c>
      <c r="K690" s="93">
        <v>12384.03</v>
      </c>
      <c r="L690" s="43">
        <v>6.5093740846732251</v>
      </c>
      <c r="M690" s="43">
        <v>11.5</v>
      </c>
      <c r="N690" s="43">
        <v>5.3751786774980657</v>
      </c>
      <c r="O690" s="43">
        <v>5.8963428859824125</v>
      </c>
      <c r="P690" s="94"/>
      <c r="Q690" s="94"/>
      <c r="R690" s="94">
        <v>4</v>
      </c>
    </row>
    <row r="691" spans="1:18" ht="24">
      <c r="A691" s="90">
        <v>427</v>
      </c>
      <c r="B691" s="87" t="s">
        <v>1267</v>
      </c>
      <c r="C691" s="91" t="s">
        <v>1268</v>
      </c>
      <c r="D691" s="92">
        <v>12949.88</v>
      </c>
      <c r="E691" s="92">
        <v>2630.16</v>
      </c>
      <c r="F691" s="92">
        <v>9114.31</v>
      </c>
      <c r="G691" s="92">
        <v>1205.4100000000001</v>
      </c>
      <c r="H691" s="93">
        <v>86083.15</v>
      </c>
      <c r="I691" s="93">
        <v>30246.84</v>
      </c>
      <c r="J691" s="93">
        <v>48944.93</v>
      </c>
      <c r="K691" s="93">
        <v>6891.38</v>
      </c>
      <c r="L691" s="43">
        <v>6.6474090879606607</v>
      </c>
      <c r="M691" s="43">
        <v>11.5</v>
      </c>
      <c r="N691" s="43">
        <v>5.3701190764852198</v>
      </c>
      <c r="O691" s="43">
        <v>5.717042334143569</v>
      </c>
      <c r="P691" s="94"/>
      <c r="Q691" s="94"/>
      <c r="R691" s="94">
        <v>4</v>
      </c>
    </row>
    <row r="692" spans="1:18" ht="24">
      <c r="A692" s="90">
        <v>428</v>
      </c>
      <c r="B692" s="87" t="s">
        <v>1269</v>
      </c>
      <c r="C692" s="91" t="s">
        <v>1270</v>
      </c>
      <c r="D692" s="92">
        <v>16658.939999999999</v>
      </c>
      <c r="E692" s="92">
        <v>3282.08</v>
      </c>
      <c r="F692" s="92">
        <v>12121.96</v>
      </c>
      <c r="G692" s="92">
        <v>1254.9000000000001</v>
      </c>
      <c r="H692" s="93">
        <v>110099.55</v>
      </c>
      <c r="I692" s="93">
        <v>37743.919999999998</v>
      </c>
      <c r="J692" s="93">
        <v>65119.37</v>
      </c>
      <c r="K692" s="93">
        <v>7236.26</v>
      </c>
      <c r="L692" s="43">
        <v>6.6090369495298029</v>
      </c>
      <c r="M692" s="43">
        <v>11.5</v>
      </c>
      <c r="N692" s="43">
        <v>5.3720165715775341</v>
      </c>
      <c r="O692" s="43">
        <v>5.7664036975057771</v>
      </c>
      <c r="P692" s="94"/>
      <c r="Q692" s="94"/>
      <c r="R692" s="94">
        <v>4</v>
      </c>
    </row>
    <row r="693" spans="1:18" ht="24">
      <c r="A693" s="90">
        <v>429</v>
      </c>
      <c r="B693" s="87" t="s">
        <v>1271</v>
      </c>
      <c r="C693" s="91" t="s">
        <v>1272</v>
      </c>
      <c r="D693" s="92">
        <v>20627.47</v>
      </c>
      <c r="E693" s="92">
        <v>3945.24</v>
      </c>
      <c r="F693" s="92">
        <v>15349.56</v>
      </c>
      <c r="G693" s="92">
        <v>1332.67</v>
      </c>
      <c r="H693" s="93">
        <v>135579.5</v>
      </c>
      <c r="I693" s="93">
        <v>45370.26</v>
      </c>
      <c r="J693" s="93">
        <v>82483.289999999994</v>
      </c>
      <c r="K693" s="93">
        <v>7725.95</v>
      </c>
      <c r="L693" s="43">
        <v>6.5727643768237209</v>
      </c>
      <c r="M693" s="43">
        <v>11.500000000000002</v>
      </c>
      <c r="N693" s="43">
        <v>5.3736582677288469</v>
      </c>
      <c r="O693" s="43">
        <v>5.7973466799732867</v>
      </c>
      <c r="P693" s="94"/>
      <c r="Q693" s="94"/>
      <c r="R693" s="94">
        <v>4</v>
      </c>
    </row>
    <row r="694" spans="1:18" ht="24">
      <c r="A694" s="90">
        <v>430</v>
      </c>
      <c r="B694" s="87" t="s">
        <v>1273</v>
      </c>
      <c r="C694" s="91" t="s">
        <v>1274</v>
      </c>
      <c r="D694" s="92">
        <v>25134.23</v>
      </c>
      <c r="E694" s="92">
        <v>4799.4799999999996</v>
      </c>
      <c r="F694" s="92">
        <v>18948.580000000002</v>
      </c>
      <c r="G694" s="92">
        <v>1386.17</v>
      </c>
      <c r="H694" s="93">
        <v>165099.76</v>
      </c>
      <c r="I694" s="93">
        <v>55194.02</v>
      </c>
      <c r="J694" s="93">
        <v>101788.63</v>
      </c>
      <c r="K694" s="93">
        <v>8117.11</v>
      </c>
      <c r="L694" s="43">
        <v>6.5687216198785485</v>
      </c>
      <c r="M694" s="43">
        <v>11.5</v>
      </c>
      <c r="N694" s="43">
        <v>5.3718341954911661</v>
      </c>
      <c r="O694" s="43">
        <v>5.8557824797824214</v>
      </c>
      <c r="P694" s="94"/>
      <c r="Q694" s="94"/>
      <c r="R694" s="94">
        <v>4</v>
      </c>
    </row>
    <row r="695" spans="1:18" ht="24">
      <c r="A695" s="90">
        <v>431</v>
      </c>
      <c r="B695" s="87" t="s">
        <v>1275</v>
      </c>
      <c r="C695" s="91" t="s">
        <v>1276</v>
      </c>
      <c r="D695" s="92">
        <v>30721.65</v>
      </c>
      <c r="E695" s="92">
        <v>5957.2</v>
      </c>
      <c r="F695" s="92">
        <v>23059.07</v>
      </c>
      <c r="G695" s="92">
        <v>1705.38</v>
      </c>
      <c r="H695" s="93">
        <v>202414.05</v>
      </c>
      <c r="I695" s="93">
        <v>68507.8</v>
      </c>
      <c r="J695" s="93">
        <v>123902.21</v>
      </c>
      <c r="K695" s="93">
        <v>10004.040000000001</v>
      </c>
      <c r="L695" s="43">
        <v>6.5886451411301143</v>
      </c>
      <c r="M695" s="43">
        <v>11.5</v>
      </c>
      <c r="N695" s="43">
        <v>5.3732526940592145</v>
      </c>
      <c r="O695" s="43">
        <v>5.8661647257502727</v>
      </c>
      <c r="P695" s="94"/>
      <c r="Q695" s="94"/>
      <c r="R695" s="94">
        <v>4</v>
      </c>
    </row>
    <row r="696" spans="1:18" ht="24">
      <c r="A696" s="90">
        <v>432</v>
      </c>
      <c r="B696" s="87" t="s">
        <v>1277</v>
      </c>
      <c r="C696" s="91" t="s">
        <v>1278</v>
      </c>
      <c r="D696" s="92">
        <v>44662.92</v>
      </c>
      <c r="E696" s="92">
        <v>6845.16</v>
      </c>
      <c r="F696" s="92">
        <v>35996.39</v>
      </c>
      <c r="G696" s="92">
        <v>1821.37</v>
      </c>
      <c r="H696" s="93">
        <v>282610.7</v>
      </c>
      <c r="I696" s="93">
        <v>78719.34</v>
      </c>
      <c r="J696" s="93">
        <v>193174.8</v>
      </c>
      <c r="K696" s="93">
        <v>10716.56</v>
      </c>
      <c r="L696" s="43">
        <v>6.3276359897651124</v>
      </c>
      <c r="M696" s="43">
        <v>11.5</v>
      </c>
      <c r="N696" s="43">
        <v>5.3665048078432305</v>
      </c>
      <c r="O696" s="43">
        <v>5.8837907728797552</v>
      </c>
      <c r="P696" s="94"/>
      <c r="Q696" s="94"/>
      <c r="R696" s="94">
        <v>4</v>
      </c>
    </row>
    <row r="697" spans="1:18" ht="24">
      <c r="A697" s="90">
        <v>433</v>
      </c>
      <c r="B697" s="87" t="s">
        <v>1279</v>
      </c>
      <c r="C697" s="91" t="s">
        <v>1280</v>
      </c>
      <c r="D697" s="92">
        <v>49961.97</v>
      </c>
      <c r="E697" s="92">
        <v>7530.8</v>
      </c>
      <c r="F697" s="92">
        <v>40469.74</v>
      </c>
      <c r="G697" s="92">
        <v>1961.43</v>
      </c>
      <c r="H697" s="93">
        <v>315346.28000000003</v>
      </c>
      <c r="I697" s="93">
        <v>86604.2</v>
      </c>
      <c r="J697" s="93">
        <v>217216.89</v>
      </c>
      <c r="K697" s="93">
        <v>11525.19</v>
      </c>
      <c r="L697" s="43">
        <v>6.3117262990230376</v>
      </c>
      <c r="M697" s="43">
        <v>11.5</v>
      </c>
      <c r="N697" s="43">
        <v>5.3673903019885971</v>
      </c>
      <c r="O697" s="43">
        <v>5.8759119621908509</v>
      </c>
      <c r="P697" s="94"/>
      <c r="Q697" s="94"/>
      <c r="R697" s="94">
        <v>4</v>
      </c>
    </row>
    <row r="698" spans="1:18" ht="24">
      <c r="A698" s="90">
        <v>434</v>
      </c>
      <c r="B698" s="87" t="s">
        <v>1281</v>
      </c>
      <c r="C698" s="91" t="s">
        <v>1282</v>
      </c>
      <c r="D698" s="92">
        <v>56517.52</v>
      </c>
      <c r="E698" s="92">
        <v>8306.36</v>
      </c>
      <c r="F698" s="92">
        <v>45944.85</v>
      </c>
      <c r="G698" s="92">
        <v>2266.31</v>
      </c>
      <c r="H698" s="93">
        <v>355373.54</v>
      </c>
      <c r="I698" s="93">
        <v>95523.14</v>
      </c>
      <c r="J698" s="93">
        <v>246668.79</v>
      </c>
      <c r="K698" s="93">
        <v>13181.61</v>
      </c>
      <c r="L698" s="43">
        <v>6.2878473790074301</v>
      </c>
      <c r="M698" s="43">
        <v>11.5</v>
      </c>
      <c r="N698" s="43">
        <v>5.3688017264176509</v>
      </c>
      <c r="O698" s="43">
        <v>5.8163313933221845</v>
      </c>
      <c r="P698" s="94"/>
      <c r="Q698" s="94"/>
      <c r="R698" s="94">
        <v>4</v>
      </c>
    </row>
    <row r="699" spans="1:18" ht="24">
      <c r="A699" s="90">
        <v>435</v>
      </c>
      <c r="B699" s="87" t="s">
        <v>1283</v>
      </c>
      <c r="C699" s="91" t="s">
        <v>1284</v>
      </c>
      <c r="D699" s="92">
        <v>62078.13</v>
      </c>
      <c r="E699" s="92">
        <v>9003.24</v>
      </c>
      <c r="F699" s="92">
        <v>50657.07</v>
      </c>
      <c r="G699" s="92">
        <v>2417.8200000000002</v>
      </c>
      <c r="H699" s="93">
        <v>389579.81</v>
      </c>
      <c r="I699" s="93">
        <v>103537.26</v>
      </c>
      <c r="J699" s="93">
        <v>271992.86</v>
      </c>
      <c r="K699" s="93">
        <v>14049.69</v>
      </c>
      <c r="L699" s="43">
        <v>6.275637007751361</v>
      </c>
      <c r="M699" s="43">
        <v>11.5</v>
      </c>
      <c r="N699" s="43">
        <v>5.3692971188424439</v>
      </c>
      <c r="O699" s="43">
        <v>5.8108916296498494</v>
      </c>
      <c r="P699" s="94"/>
      <c r="Q699" s="94"/>
      <c r="R699" s="94">
        <v>4</v>
      </c>
    </row>
    <row r="700" spans="1:18" ht="24">
      <c r="A700" s="90">
        <v>436</v>
      </c>
      <c r="B700" s="87" t="s">
        <v>1285</v>
      </c>
      <c r="C700" s="91" t="s">
        <v>1286</v>
      </c>
      <c r="D700" s="92">
        <v>67909.95</v>
      </c>
      <c r="E700" s="92">
        <v>9733.84</v>
      </c>
      <c r="F700" s="92">
        <v>55527.4</v>
      </c>
      <c r="G700" s="92">
        <v>2648.71</v>
      </c>
      <c r="H700" s="93">
        <v>425446.66</v>
      </c>
      <c r="I700" s="93">
        <v>111939.16</v>
      </c>
      <c r="J700" s="93">
        <v>298182.59999999998</v>
      </c>
      <c r="K700" s="93">
        <v>15324.9</v>
      </c>
      <c r="L700" s="43">
        <v>6.2648648688446977</v>
      </c>
      <c r="M700" s="43">
        <v>11.5</v>
      </c>
      <c r="N700" s="43">
        <v>5.3700083202166855</v>
      </c>
      <c r="O700" s="43">
        <v>5.7857976146879047</v>
      </c>
      <c r="P700" s="94"/>
      <c r="Q700" s="94"/>
      <c r="R700" s="94">
        <v>4</v>
      </c>
    </row>
    <row r="701" spans="1:18" ht="24">
      <c r="A701" s="90">
        <v>437</v>
      </c>
      <c r="B701" s="87" t="s">
        <v>1287</v>
      </c>
      <c r="C701" s="91" t="s">
        <v>1288</v>
      </c>
      <c r="D701" s="92">
        <v>13112.71</v>
      </c>
      <c r="E701" s="92">
        <v>2989.84</v>
      </c>
      <c r="F701" s="92">
        <v>8821.11</v>
      </c>
      <c r="G701" s="92">
        <v>1301.76</v>
      </c>
      <c r="H701" s="93">
        <v>89276.18</v>
      </c>
      <c r="I701" s="93">
        <v>34383.160000000003</v>
      </c>
      <c r="J701" s="93">
        <v>47371.35</v>
      </c>
      <c r="K701" s="93">
        <v>7521.67</v>
      </c>
      <c r="L701" s="43">
        <v>6.8083698945526896</v>
      </c>
      <c r="M701" s="43">
        <v>11.5</v>
      </c>
      <c r="N701" s="43">
        <v>5.3702255158364416</v>
      </c>
      <c r="O701" s="43">
        <v>5.7780773721730583</v>
      </c>
      <c r="P701" s="94"/>
      <c r="Q701" s="94"/>
      <c r="R701" s="94">
        <v>4</v>
      </c>
    </row>
    <row r="702" spans="1:18" ht="24">
      <c r="A702" s="90">
        <v>438</v>
      </c>
      <c r="B702" s="87" t="s">
        <v>1289</v>
      </c>
      <c r="C702" s="91" t="s">
        <v>1290</v>
      </c>
      <c r="D702" s="92">
        <v>16269.34</v>
      </c>
      <c r="E702" s="92">
        <v>3742.92</v>
      </c>
      <c r="F702" s="92">
        <v>11122.23</v>
      </c>
      <c r="G702" s="92">
        <v>1404.19</v>
      </c>
      <c r="H702" s="93">
        <v>110952.04</v>
      </c>
      <c r="I702" s="93">
        <v>43043.58</v>
      </c>
      <c r="J702" s="93">
        <v>59759.06</v>
      </c>
      <c r="K702" s="93">
        <v>8149.4</v>
      </c>
      <c r="L702" s="43">
        <v>6.8197013523597141</v>
      </c>
      <c r="M702" s="43">
        <v>11.5</v>
      </c>
      <c r="N702" s="43">
        <v>5.372938700242667</v>
      </c>
      <c r="O702" s="43">
        <v>5.8036305628155729</v>
      </c>
      <c r="P702" s="94"/>
      <c r="Q702" s="94"/>
      <c r="R702" s="94">
        <v>4</v>
      </c>
    </row>
    <row r="703" spans="1:18" ht="24">
      <c r="A703" s="90">
        <v>439</v>
      </c>
      <c r="B703" s="87" t="s">
        <v>1291</v>
      </c>
      <c r="C703" s="91" t="s">
        <v>1292</v>
      </c>
      <c r="D703" s="92">
        <v>19413.560000000001</v>
      </c>
      <c r="E703" s="92">
        <v>4518.4799999999996</v>
      </c>
      <c r="F703" s="92">
        <v>13399.22</v>
      </c>
      <c r="G703" s="92">
        <v>1495.86</v>
      </c>
      <c r="H703" s="93">
        <v>132702</v>
      </c>
      <c r="I703" s="93">
        <v>51962.52</v>
      </c>
      <c r="J703" s="93">
        <v>72013.91</v>
      </c>
      <c r="K703" s="93">
        <v>8725.57</v>
      </c>
      <c r="L703" s="43">
        <v>6.8355314532728668</v>
      </c>
      <c r="M703" s="43">
        <v>11.5</v>
      </c>
      <c r="N703" s="43">
        <v>5.3744852312298779</v>
      </c>
      <c r="O703" s="43">
        <v>5.8331461500407791</v>
      </c>
      <c r="P703" s="94"/>
      <c r="Q703" s="94"/>
      <c r="R703" s="94">
        <v>4</v>
      </c>
    </row>
    <row r="704" spans="1:18" ht="24">
      <c r="A704" s="90">
        <v>440</v>
      </c>
      <c r="B704" s="87" t="s">
        <v>1293</v>
      </c>
      <c r="C704" s="91" t="s">
        <v>1294</v>
      </c>
      <c r="D704" s="92">
        <v>23482.81</v>
      </c>
      <c r="E704" s="92">
        <v>5496.36</v>
      </c>
      <c r="F704" s="92">
        <v>16355.52</v>
      </c>
      <c r="G704" s="92">
        <v>1630.93</v>
      </c>
      <c r="H704" s="93">
        <v>160636.65</v>
      </c>
      <c r="I704" s="93">
        <v>63208.14</v>
      </c>
      <c r="J704" s="93">
        <v>87880.61</v>
      </c>
      <c r="K704" s="93">
        <v>9547.9</v>
      </c>
      <c r="L704" s="43">
        <v>6.8406059581455532</v>
      </c>
      <c r="M704" s="43">
        <v>11.5</v>
      </c>
      <c r="N704" s="43">
        <v>5.3731468030365281</v>
      </c>
      <c r="O704" s="43">
        <v>5.8542671972432903</v>
      </c>
      <c r="P704" s="94"/>
      <c r="Q704" s="94"/>
      <c r="R704" s="94">
        <v>4</v>
      </c>
    </row>
    <row r="705" spans="1:18" ht="24">
      <c r="A705" s="90">
        <v>441</v>
      </c>
      <c r="B705" s="87" t="s">
        <v>1295</v>
      </c>
      <c r="C705" s="91" t="s">
        <v>1296</v>
      </c>
      <c r="D705" s="92">
        <v>28876.74</v>
      </c>
      <c r="E705" s="92">
        <v>6923.84</v>
      </c>
      <c r="F705" s="92">
        <v>19908.86</v>
      </c>
      <c r="G705" s="92">
        <v>2044.04</v>
      </c>
      <c r="H705" s="93">
        <v>198667.01</v>
      </c>
      <c r="I705" s="93">
        <v>79624.160000000003</v>
      </c>
      <c r="J705" s="93">
        <v>107004.08</v>
      </c>
      <c r="K705" s="93">
        <v>12038.77</v>
      </c>
      <c r="L705" s="43">
        <v>6.8798281939027746</v>
      </c>
      <c r="M705" s="43">
        <v>11.5</v>
      </c>
      <c r="N705" s="43">
        <v>5.3746964919136504</v>
      </c>
      <c r="O705" s="43">
        <v>5.8896939394532399</v>
      </c>
      <c r="P705" s="94"/>
      <c r="Q705" s="94"/>
      <c r="R705" s="94">
        <v>4</v>
      </c>
    </row>
    <row r="706" spans="1:18" ht="24">
      <c r="A706" s="90">
        <v>442</v>
      </c>
      <c r="B706" s="87" t="s">
        <v>1297</v>
      </c>
      <c r="C706" s="91" t="s">
        <v>1298</v>
      </c>
      <c r="D706" s="92">
        <v>33290.42</v>
      </c>
      <c r="E706" s="92">
        <v>7980.4</v>
      </c>
      <c r="F706" s="92">
        <v>23061.9</v>
      </c>
      <c r="G706" s="92">
        <v>2248.12</v>
      </c>
      <c r="H706" s="93">
        <v>228939.21</v>
      </c>
      <c r="I706" s="93">
        <v>91774.6</v>
      </c>
      <c r="J706" s="93">
        <v>123943.27</v>
      </c>
      <c r="K706" s="93">
        <v>13221.34</v>
      </c>
      <c r="L706" s="43">
        <v>6.8770297881492635</v>
      </c>
      <c r="M706" s="43">
        <v>11.500000000000002</v>
      </c>
      <c r="N706" s="43">
        <v>5.3743737506450033</v>
      </c>
      <c r="O706" s="43">
        <v>5.8810650677010123</v>
      </c>
      <c r="P706" s="94"/>
      <c r="Q706" s="94"/>
      <c r="R706" s="94">
        <v>4</v>
      </c>
    </row>
    <row r="707" spans="1:18" ht="24">
      <c r="A707" s="90">
        <v>443</v>
      </c>
      <c r="B707" s="87" t="s">
        <v>1299</v>
      </c>
      <c r="C707" s="91" t="s">
        <v>1300</v>
      </c>
      <c r="D707" s="92">
        <v>36717.769999999997</v>
      </c>
      <c r="E707" s="92">
        <v>8767.2000000000007</v>
      </c>
      <c r="F707" s="92">
        <v>25559.97</v>
      </c>
      <c r="G707" s="92">
        <v>2390.6</v>
      </c>
      <c r="H707" s="93">
        <v>252275.54</v>
      </c>
      <c r="I707" s="93">
        <v>100822.8</v>
      </c>
      <c r="J707" s="93">
        <v>137396.07999999999</v>
      </c>
      <c r="K707" s="93">
        <v>14056.66</v>
      </c>
      <c r="L707" s="43">
        <v>6.8706661651837795</v>
      </c>
      <c r="M707" s="43">
        <v>11.5</v>
      </c>
      <c r="N707" s="43">
        <v>5.3754397990294978</v>
      </c>
      <c r="O707" s="43">
        <v>5.879971555258094</v>
      </c>
      <c r="P707" s="94"/>
      <c r="Q707" s="94"/>
      <c r="R707" s="94">
        <v>4</v>
      </c>
    </row>
    <row r="708" spans="1:18" ht="24">
      <c r="A708" s="90">
        <v>444</v>
      </c>
      <c r="B708" s="87" t="s">
        <v>1301</v>
      </c>
      <c r="C708" s="91" t="s">
        <v>1302</v>
      </c>
      <c r="D708" s="92">
        <v>41273.660000000003</v>
      </c>
      <c r="E708" s="92">
        <v>9666.4</v>
      </c>
      <c r="F708" s="92">
        <v>28875.24</v>
      </c>
      <c r="G708" s="92">
        <v>2732.02</v>
      </c>
      <c r="H708" s="93">
        <v>282363.08</v>
      </c>
      <c r="I708" s="93">
        <v>111163.6</v>
      </c>
      <c r="J708" s="93">
        <v>155283.81</v>
      </c>
      <c r="K708" s="93">
        <v>15915.67</v>
      </c>
      <c r="L708" s="43">
        <v>6.8412416054209872</v>
      </c>
      <c r="M708" s="43">
        <v>11.500000000000002</v>
      </c>
      <c r="N708" s="43">
        <v>5.3777495875358952</v>
      </c>
      <c r="O708" s="43">
        <v>5.825605229829943</v>
      </c>
      <c r="P708" s="94"/>
      <c r="Q708" s="94"/>
      <c r="R708" s="94">
        <v>4</v>
      </c>
    </row>
    <row r="709" spans="1:18" ht="24">
      <c r="A709" s="90">
        <v>445</v>
      </c>
      <c r="B709" s="87" t="s">
        <v>1303</v>
      </c>
      <c r="C709" s="91" t="s">
        <v>1304</v>
      </c>
      <c r="D709" s="92">
        <v>44507.22</v>
      </c>
      <c r="E709" s="92">
        <v>10453.200000000001</v>
      </c>
      <c r="F709" s="92">
        <v>31196.38</v>
      </c>
      <c r="G709" s="92">
        <v>2857.64</v>
      </c>
      <c r="H709" s="93">
        <v>304661.21000000002</v>
      </c>
      <c r="I709" s="93">
        <v>120211.8</v>
      </c>
      <c r="J709" s="93">
        <v>167783.96</v>
      </c>
      <c r="K709" s="93">
        <v>16665.45</v>
      </c>
      <c r="L709" s="43">
        <v>6.8452087099576202</v>
      </c>
      <c r="M709" s="43">
        <v>11.5</v>
      </c>
      <c r="N709" s="43">
        <v>5.3783150480921176</v>
      </c>
      <c r="O709" s="43">
        <v>5.8318927506613853</v>
      </c>
      <c r="P709" s="94"/>
      <c r="Q709" s="94"/>
      <c r="R709" s="94">
        <v>4</v>
      </c>
    </row>
    <row r="710" spans="1:18" ht="24">
      <c r="A710" s="90">
        <v>446</v>
      </c>
      <c r="B710" s="87" t="s">
        <v>1305</v>
      </c>
      <c r="C710" s="91" t="s">
        <v>1306</v>
      </c>
      <c r="D710" s="92">
        <v>48754.86</v>
      </c>
      <c r="E710" s="92">
        <v>11318.68</v>
      </c>
      <c r="F710" s="92">
        <v>34277.01</v>
      </c>
      <c r="G710" s="92">
        <v>3159.17</v>
      </c>
      <c r="H710" s="93">
        <v>332884.39</v>
      </c>
      <c r="I710" s="93">
        <v>130164.82</v>
      </c>
      <c r="J710" s="93">
        <v>184401.33</v>
      </c>
      <c r="K710" s="93">
        <v>18318.240000000002</v>
      </c>
      <c r="L710" s="43">
        <v>6.8277170727184942</v>
      </c>
      <c r="M710" s="43">
        <v>11.5</v>
      </c>
      <c r="N710" s="43">
        <v>5.3797379059608748</v>
      </c>
      <c r="O710" s="43">
        <v>5.798434398908574</v>
      </c>
      <c r="P710" s="94"/>
      <c r="Q710" s="94"/>
      <c r="R710" s="94">
        <v>4</v>
      </c>
    </row>
    <row r="711" spans="1:18" ht="12.75" customHeight="1">
      <c r="A711" s="628" t="s">
        <v>1307</v>
      </c>
      <c r="B711" s="629"/>
      <c r="C711" s="629"/>
      <c r="D711" s="629"/>
      <c r="E711" s="629"/>
      <c r="F711" s="629"/>
      <c r="G711" s="629"/>
      <c r="H711" s="629"/>
      <c r="I711" s="629"/>
      <c r="J711" s="629"/>
      <c r="K711" s="629"/>
      <c r="L711" s="629"/>
      <c r="M711" s="629"/>
      <c r="N711" s="629"/>
      <c r="O711" s="629"/>
      <c r="P711" s="629"/>
      <c r="Q711" s="629"/>
      <c r="R711" s="629"/>
    </row>
    <row r="712" spans="1:18" ht="12.75" customHeight="1">
      <c r="A712" s="628" t="s">
        <v>1308</v>
      </c>
      <c r="B712" s="629"/>
      <c r="C712" s="629"/>
      <c r="D712" s="629"/>
      <c r="E712" s="629"/>
      <c r="F712" s="629"/>
      <c r="G712" s="629"/>
      <c r="H712" s="629"/>
      <c r="I712" s="629"/>
      <c r="J712" s="629"/>
      <c r="K712" s="629"/>
      <c r="L712" s="629"/>
      <c r="M712" s="629"/>
      <c r="N712" s="629"/>
      <c r="O712" s="629"/>
      <c r="P712" s="629"/>
      <c r="Q712" s="629"/>
      <c r="R712" s="629"/>
    </row>
    <row r="713" spans="1:18" ht="24">
      <c r="A713" s="90">
        <v>447</v>
      </c>
      <c r="B713" s="87" t="s">
        <v>1309</v>
      </c>
      <c r="C713" s="91" t="s">
        <v>1310</v>
      </c>
      <c r="D713" s="92">
        <v>1014.63</v>
      </c>
      <c r="E713" s="92">
        <v>808.16</v>
      </c>
      <c r="F713" s="92">
        <v>189.39</v>
      </c>
      <c r="G713" s="92">
        <v>17.079999999999998</v>
      </c>
      <c r="H713" s="93">
        <v>10331.629999999999</v>
      </c>
      <c r="I713" s="93">
        <v>9293.7900000000009</v>
      </c>
      <c r="J713" s="93">
        <v>843.95</v>
      </c>
      <c r="K713" s="93">
        <v>193.89</v>
      </c>
      <c r="L713" s="43">
        <v>10.182657717591633</v>
      </c>
      <c r="M713" s="43">
        <v>11.499938131063157</v>
      </c>
      <c r="N713" s="43">
        <v>4.4561486878927088</v>
      </c>
      <c r="O713" s="43">
        <v>11.351873536299767</v>
      </c>
      <c r="P713" s="94"/>
      <c r="Q713" s="94"/>
      <c r="R713" s="94">
        <v>1</v>
      </c>
    </row>
    <row r="714" spans="1:18" ht="24">
      <c r="A714" s="90">
        <v>448</v>
      </c>
      <c r="B714" s="87" t="s">
        <v>1311</v>
      </c>
      <c r="C714" s="91" t="s">
        <v>1312</v>
      </c>
      <c r="D714" s="92">
        <v>1426.7</v>
      </c>
      <c r="E714" s="92">
        <v>1121.75</v>
      </c>
      <c r="F714" s="92">
        <v>281.58999999999997</v>
      </c>
      <c r="G714" s="92">
        <v>23.36</v>
      </c>
      <c r="H714" s="93">
        <v>14427.01</v>
      </c>
      <c r="I714" s="93">
        <v>12900.15</v>
      </c>
      <c r="J714" s="93">
        <v>1260.75</v>
      </c>
      <c r="K714" s="93">
        <v>266.11</v>
      </c>
      <c r="L714" s="43">
        <v>10.112153921637345</v>
      </c>
      <c r="M714" s="43">
        <v>11.50002228660575</v>
      </c>
      <c r="N714" s="43">
        <v>4.4772541638552505</v>
      </c>
      <c r="O714" s="43">
        <v>11.391695205479452</v>
      </c>
      <c r="P714" s="94"/>
      <c r="Q714" s="94"/>
      <c r="R714" s="94">
        <v>1</v>
      </c>
    </row>
    <row r="715" spans="1:18" ht="24">
      <c r="A715" s="90">
        <v>449</v>
      </c>
      <c r="B715" s="87" t="s">
        <v>1313</v>
      </c>
      <c r="C715" s="91" t="s">
        <v>1314</v>
      </c>
      <c r="D715" s="92">
        <v>1870.12</v>
      </c>
      <c r="E715" s="92">
        <v>1472.44</v>
      </c>
      <c r="F715" s="92">
        <v>367.31</v>
      </c>
      <c r="G715" s="92">
        <v>30.37</v>
      </c>
      <c r="H715" s="93">
        <v>18920.37</v>
      </c>
      <c r="I715" s="93">
        <v>16933.060000000001</v>
      </c>
      <c r="J715" s="93">
        <v>1640.58</v>
      </c>
      <c r="K715" s="93">
        <v>346.73</v>
      </c>
      <c r="L715" s="43">
        <v>10.117195687977242</v>
      </c>
      <c r="M715" s="43">
        <v>11.5</v>
      </c>
      <c r="N715" s="43">
        <v>4.466472461953118</v>
      </c>
      <c r="O715" s="43">
        <v>11.416858742179782</v>
      </c>
      <c r="P715" s="94"/>
      <c r="Q715" s="94"/>
      <c r="R715" s="94">
        <v>1</v>
      </c>
    </row>
    <row r="716" spans="1:18" ht="24">
      <c r="A716" s="90">
        <v>450</v>
      </c>
      <c r="B716" s="87" t="s">
        <v>1315</v>
      </c>
      <c r="C716" s="91" t="s">
        <v>1316</v>
      </c>
      <c r="D716" s="92">
        <v>2389.46</v>
      </c>
      <c r="E716" s="92">
        <v>1874.83</v>
      </c>
      <c r="F716" s="92">
        <v>475.29</v>
      </c>
      <c r="G716" s="92">
        <v>39.340000000000003</v>
      </c>
      <c r="H716" s="93">
        <v>24124.34</v>
      </c>
      <c r="I716" s="93">
        <v>21560.57</v>
      </c>
      <c r="J716" s="93">
        <v>2116.4299999999998</v>
      </c>
      <c r="K716" s="93">
        <v>447.34</v>
      </c>
      <c r="L716" s="43">
        <v>10.096147246658241</v>
      </c>
      <c r="M716" s="43">
        <v>11.500013334542333</v>
      </c>
      <c r="N716" s="43">
        <v>4.4529234782974596</v>
      </c>
      <c r="O716" s="43">
        <v>11.371123538383323</v>
      </c>
      <c r="P716" s="94"/>
      <c r="Q716" s="94"/>
      <c r="R716" s="94">
        <v>1</v>
      </c>
    </row>
    <row r="717" spans="1:18" ht="24">
      <c r="A717" s="90">
        <v>451</v>
      </c>
      <c r="B717" s="87" t="s">
        <v>1317</v>
      </c>
      <c r="C717" s="91" t="s">
        <v>1318</v>
      </c>
      <c r="D717" s="92">
        <v>2719.52</v>
      </c>
      <c r="E717" s="92">
        <v>2135.6</v>
      </c>
      <c r="F717" s="92">
        <v>539.37</v>
      </c>
      <c r="G717" s="92">
        <v>44.55</v>
      </c>
      <c r="H717" s="93">
        <v>27470.560000000001</v>
      </c>
      <c r="I717" s="93">
        <v>24559.4</v>
      </c>
      <c r="J717" s="93">
        <v>2403.9</v>
      </c>
      <c r="K717" s="93">
        <v>507.26</v>
      </c>
      <c r="L717" s="43">
        <v>10.101253162322763</v>
      </c>
      <c r="M717" s="43">
        <v>11.500000000000002</v>
      </c>
      <c r="N717" s="43">
        <v>4.4568663440680796</v>
      </c>
      <c r="O717" s="43">
        <v>11.386307519640853</v>
      </c>
      <c r="P717" s="94"/>
      <c r="Q717" s="94"/>
      <c r="R717" s="94">
        <v>1</v>
      </c>
    </row>
    <row r="718" spans="1:18" ht="24">
      <c r="A718" s="90">
        <v>452</v>
      </c>
      <c r="B718" s="87" t="s">
        <v>1319</v>
      </c>
      <c r="C718" s="91" t="s">
        <v>1320</v>
      </c>
      <c r="D718" s="92">
        <v>1658.7</v>
      </c>
      <c r="E718" s="92">
        <v>1077.81</v>
      </c>
      <c r="F718" s="92">
        <v>558.41</v>
      </c>
      <c r="G718" s="92">
        <v>22.48</v>
      </c>
      <c r="H718" s="93">
        <v>15441.91</v>
      </c>
      <c r="I718" s="93">
        <v>12394.82</v>
      </c>
      <c r="J718" s="93">
        <v>2791.1</v>
      </c>
      <c r="K718" s="93">
        <v>255.99</v>
      </c>
      <c r="L718" s="43">
        <v>9.3096461083981428</v>
      </c>
      <c r="M718" s="43">
        <v>11.500004639036565</v>
      </c>
      <c r="N718" s="43">
        <v>4.9982987410683908</v>
      </c>
      <c r="O718" s="43">
        <v>11.387455516014235</v>
      </c>
      <c r="P718" s="94"/>
      <c r="Q718" s="94"/>
      <c r="R718" s="94">
        <v>1</v>
      </c>
    </row>
    <row r="719" spans="1:18" ht="24">
      <c r="A719" s="90">
        <v>453</v>
      </c>
      <c r="B719" s="87" t="s">
        <v>1321</v>
      </c>
      <c r="C719" s="91" t="s">
        <v>1322</v>
      </c>
      <c r="D719" s="92">
        <v>2272.96</v>
      </c>
      <c r="E719" s="92">
        <v>1506.16</v>
      </c>
      <c r="F719" s="92">
        <v>735.76</v>
      </c>
      <c r="G719" s="92">
        <v>31.04</v>
      </c>
      <c r="H719" s="93">
        <v>21319.5</v>
      </c>
      <c r="I719" s="93">
        <v>17320.84</v>
      </c>
      <c r="J719" s="93">
        <v>3644.23</v>
      </c>
      <c r="K719" s="93">
        <v>354.43</v>
      </c>
      <c r="L719" s="43">
        <v>9.3796195269604397</v>
      </c>
      <c r="M719" s="43">
        <v>11.5</v>
      </c>
      <c r="N719" s="43">
        <v>4.9530145699684685</v>
      </c>
      <c r="O719" s="43">
        <v>11.418492268041238</v>
      </c>
      <c r="P719" s="94"/>
      <c r="Q719" s="94"/>
      <c r="R719" s="94">
        <v>1</v>
      </c>
    </row>
    <row r="720" spans="1:18" ht="24">
      <c r="A720" s="90">
        <v>454</v>
      </c>
      <c r="B720" s="87" t="s">
        <v>1323</v>
      </c>
      <c r="C720" s="91" t="s">
        <v>1324</v>
      </c>
      <c r="D720" s="92">
        <v>2859.41</v>
      </c>
      <c r="E720" s="92">
        <v>1933.28</v>
      </c>
      <c r="F720" s="92">
        <v>886.54</v>
      </c>
      <c r="G720" s="92">
        <v>39.590000000000003</v>
      </c>
      <c r="H720" s="93">
        <v>27040.78</v>
      </c>
      <c r="I720" s="93">
        <v>22232.720000000001</v>
      </c>
      <c r="J720" s="93">
        <v>4355.3</v>
      </c>
      <c r="K720" s="93">
        <v>452.76</v>
      </c>
      <c r="L720" s="43">
        <v>9.4567690537558455</v>
      </c>
      <c r="M720" s="43">
        <v>11.5</v>
      </c>
      <c r="N720" s="43">
        <v>4.9126942946736758</v>
      </c>
      <c r="O720" s="43">
        <v>11.436221267996968</v>
      </c>
      <c r="P720" s="94"/>
      <c r="Q720" s="94"/>
      <c r="R720" s="94">
        <v>1</v>
      </c>
    </row>
    <row r="721" spans="1:18" ht="24">
      <c r="A721" s="90">
        <v>455</v>
      </c>
      <c r="B721" s="87" t="s">
        <v>1325</v>
      </c>
      <c r="C721" s="91" t="s">
        <v>1326</v>
      </c>
      <c r="D721" s="92">
        <v>3662.55</v>
      </c>
      <c r="E721" s="92">
        <v>2495.2800000000002</v>
      </c>
      <c r="F721" s="92">
        <v>1115.52</v>
      </c>
      <c r="G721" s="92">
        <v>51.75</v>
      </c>
      <c r="H721" s="93">
        <v>34741.879999999997</v>
      </c>
      <c r="I721" s="93">
        <v>28695.72</v>
      </c>
      <c r="J721" s="93">
        <v>5456.1</v>
      </c>
      <c r="K721" s="93">
        <v>590.05999999999995</v>
      </c>
      <c r="L721" s="43">
        <v>9.4857080449413651</v>
      </c>
      <c r="M721" s="43">
        <v>11.5</v>
      </c>
      <c r="N721" s="43">
        <v>4.8910821858864031</v>
      </c>
      <c r="O721" s="43">
        <v>11.402125603864734</v>
      </c>
      <c r="P721" s="94"/>
      <c r="Q721" s="94"/>
      <c r="R721" s="94">
        <v>1</v>
      </c>
    </row>
    <row r="722" spans="1:18" ht="24">
      <c r="A722" s="90">
        <v>456</v>
      </c>
      <c r="B722" s="87" t="s">
        <v>1327</v>
      </c>
      <c r="C722" s="91" t="s">
        <v>1328</v>
      </c>
      <c r="D722" s="92">
        <v>4160.2299999999996</v>
      </c>
      <c r="E722" s="92">
        <v>2821.24</v>
      </c>
      <c r="F722" s="92">
        <v>1280.73</v>
      </c>
      <c r="G722" s="92">
        <v>58.26</v>
      </c>
      <c r="H722" s="93">
        <v>39384.22</v>
      </c>
      <c r="I722" s="93">
        <v>32444.26</v>
      </c>
      <c r="J722" s="93">
        <v>6275.04</v>
      </c>
      <c r="K722" s="93">
        <v>664.92</v>
      </c>
      <c r="L722" s="43">
        <v>9.4668371700603107</v>
      </c>
      <c r="M722" s="43">
        <v>11.5</v>
      </c>
      <c r="N722" s="43">
        <v>4.8995807078775382</v>
      </c>
      <c r="O722" s="43">
        <v>11.4129763130793</v>
      </c>
      <c r="P722" s="94"/>
      <c r="Q722" s="94"/>
      <c r="R722" s="94">
        <v>1</v>
      </c>
    </row>
    <row r="723" spans="1:18" ht="24">
      <c r="A723" s="90">
        <v>457</v>
      </c>
      <c r="B723" s="87" t="s">
        <v>1329</v>
      </c>
      <c r="C723" s="91" t="s">
        <v>1330</v>
      </c>
      <c r="D723" s="92">
        <v>4755.78</v>
      </c>
      <c r="E723" s="92">
        <v>3248.36</v>
      </c>
      <c r="F723" s="92">
        <v>1440.61</v>
      </c>
      <c r="G723" s="92">
        <v>66.81</v>
      </c>
      <c r="H723" s="93">
        <v>45174.03</v>
      </c>
      <c r="I723" s="93">
        <v>37356.14</v>
      </c>
      <c r="J723" s="93">
        <v>7054.64</v>
      </c>
      <c r="K723" s="93">
        <v>763.25</v>
      </c>
      <c r="L723" s="43">
        <v>9.4987636097548673</v>
      </c>
      <c r="M723" s="43">
        <v>11.5</v>
      </c>
      <c r="N723" s="43">
        <v>4.8969811399337786</v>
      </c>
      <c r="O723" s="43">
        <v>11.42418799580901</v>
      </c>
      <c r="P723" s="94"/>
      <c r="Q723" s="94"/>
      <c r="R723" s="94">
        <v>1</v>
      </c>
    </row>
    <row r="724" spans="1:18" ht="24">
      <c r="A724" s="90">
        <v>458</v>
      </c>
      <c r="B724" s="87" t="s">
        <v>1331</v>
      </c>
      <c r="C724" s="91" t="s">
        <v>1332</v>
      </c>
      <c r="D724" s="92">
        <v>6023.21</v>
      </c>
      <c r="E724" s="92">
        <v>4113.84</v>
      </c>
      <c r="F724" s="92">
        <v>1823.72</v>
      </c>
      <c r="G724" s="92">
        <v>85.65</v>
      </c>
      <c r="H724" s="93">
        <v>57204.46</v>
      </c>
      <c r="I724" s="93">
        <v>47309.16</v>
      </c>
      <c r="J724" s="93">
        <v>8919.58</v>
      </c>
      <c r="K724" s="93">
        <v>975.72</v>
      </c>
      <c r="L724" s="43">
        <v>9.49733779828364</v>
      </c>
      <c r="M724" s="43">
        <v>11.5</v>
      </c>
      <c r="N724" s="43">
        <v>4.8908714056982427</v>
      </c>
      <c r="O724" s="43">
        <v>11.391943957968476</v>
      </c>
      <c r="P724" s="94"/>
      <c r="Q724" s="94"/>
      <c r="R724" s="94">
        <v>1</v>
      </c>
    </row>
    <row r="725" spans="1:18" ht="24">
      <c r="A725" s="90">
        <v>459</v>
      </c>
      <c r="B725" s="87" t="s">
        <v>1333</v>
      </c>
      <c r="C725" s="91" t="s">
        <v>1334</v>
      </c>
      <c r="D725" s="92">
        <v>6819.97</v>
      </c>
      <c r="E725" s="92">
        <v>4608.3999999999996</v>
      </c>
      <c r="F725" s="92">
        <v>2116.0300000000002</v>
      </c>
      <c r="G725" s="92">
        <v>95.54</v>
      </c>
      <c r="H725" s="93">
        <v>64485.760000000002</v>
      </c>
      <c r="I725" s="93">
        <v>52996.6</v>
      </c>
      <c r="J725" s="93">
        <v>10399.700000000001</v>
      </c>
      <c r="K725" s="93">
        <v>1089.46</v>
      </c>
      <c r="L725" s="43">
        <v>9.4554316221332346</v>
      </c>
      <c r="M725" s="43">
        <v>11.5</v>
      </c>
      <c r="N725" s="43">
        <v>4.9147223810626501</v>
      </c>
      <c r="O725" s="43">
        <v>11.403181913334729</v>
      </c>
      <c r="P725" s="94"/>
      <c r="Q725" s="94"/>
      <c r="R725" s="94">
        <v>1</v>
      </c>
    </row>
    <row r="726" spans="1:18" ht="24">
      <c r="A726" s="90">
        <v>460</v>
      </c>
      <c r="B726" s="87" t="s">
        <v>1335</v>
      </c>
      <c r="C726" s="91" t="s">
        <v>1336</v>
      </c>
      <c r="D726" s="92">
        <v>8632.94</v>
      </c>
      <c r="E726" s="92">
        <v>5979.68</v>
      </c>
      <c r="F726" s="92">
        <v>2529.08</v>
      </c>
      <c r="G726" s="92">
        <v>124.18</v>
      </c>
      <c r="H726" s="93">
        <v>82501.02</v>
      </c>
      <c r="I726" s="93">
        <v>68766.320000000007</v>
      </c>
      <c r="J726" s="93">
        <v>12319.18</v>
      </c>
      <c r="K726" s="93">
        <v>1415.52</v>
      </c>
      <c r="L726" s="43">
        <v>9.5565380971024929</v>
      </c>
      <c r="M726" s="43">
        <v>11.5</v>
      </c>
      <c r="N726" s="43">
        <v>4.8710123839498953</v>
      </c>
      <c r="O726" s="43">
        <v>11.398937026896441</v>
      </c>
      <c r="P726" s="94"/>
      <c r="Q726" s="94"/>
      <c r="R726" s="94">
        <v>1</v>
      </c>
    </row>
    <row r="727" spans="1:18" ht="24">
      <c r="A727" s="90">
        <v>461</v>
      </c>
      <c r="B727" s="87" t="s">
        <v>1337</v>
      </c>
      <c r="C727" s="91" t="s">
        <v>1338</v>
      </c>
      <c r="D727" s="92">
        <v>9894.3700000000008</v>
      </c>
      <c r="E727" s="92">
        <v>6845.16</v>
      </c>
      <c r="F727" s="92">
        <v>2907.72</v>
      </c>
      <c r="G727" s="92">
        <v>141.49</v>
      </c>
      <c r="H727" s="93">
        <v>94499.22</v>
      </c>
      <c r="I727" s="93">
        <v>78719.34</v>
      </c>
      <c r="J727" s="93">
        <v>14165.3</v>
      </c>
      <c r="K727" s="93">
        <v>1614.58</v>
      </c>
      <c r="L727" s="43">
        <v>9.5508071762022233</v>
      </c>
      <c r="M727" s="43">
        <v>11.5</v>
      </c>
      <c r="N727" s="43">
        <v>4.8716176248056895</v>
      </c>
      <c r="O727" s="43">
        <v>11.411265813838433</v>
      </c>
      <c r="P727" s="94"/>
      <c r="Q727" s="94"/>
      <c r="R727" s="94">
        <v>1</v>
      </c>
    </row>
    <row r="728" spans="1:18" ht="24">
      <c r="A728" s="90">
        <v>462</v>
      </c>
      <c r="B728" s="87" t="s">
        <v>1339</v>
      </c>
      <c r="C728" s="91" t="s">
        <v>1340</v>
      </c>
      <c r="D728" s="92">
        <v>11174.73</v>
      </c>
      <c r="E728" s="92">
        <v>7721.88</v>
      </c>
      <c r="F728" s="92">
        <v>3293.82</v>
      </c>
      <c r="G728" s="92">
        <v>159.03</v>
      </c>
      <c r="H728" s="93">
        <v>106658.93</v>
      </c>
      <c r="I728" s="93">
        <v>88801.62</v>
      </c>
      <c r="J728" s="93">
        <v>16041.02</v>
      </c>
      <c r="K728" s="93">
        <v>1816.29</v>
      </c>
      <c r="L728" s="43">
        <v>9.5446538753061585</v>
      </c>
      <c r="M728" s="43">
        <v>11.5</v>
      </c>
      <c r="N728" s="43">
        <v>4.8700353996271808</v>
      </c>
      <c r="O728" s="43">
        <v>11.421052631578947</v>
      </c>
      <c r="P728" s="94"/>
      <c r="Q728" s="94"/>
      <c r="R728" s="94">
        <v>1</v>
      </c>
    </row>
    <row r="729" spans="1:18" ht="24">
      <c r="A729" s="90">
        <v>463</v>
      </c>
      <c r="B729" s="87" t="s">
        <v>1341</v>
      </c>
      <c r="C729" s="91" t="s">
        <v>1342</v>
      </c>
      <c r="D729" s="92">
        <v>2092.6</v>
      </c>
      <c r="E729" s="92">
        <v>1270.1199999999999</v>
      </c>
      <c r="F729" s="92">
        <v>796.16</v>
      </c>
      <c r="G729" s="92">
        <v>26.32</v>
      </c>
      <c r="H729" s="93">
        <v>18955.5</v>
      </c>
      <c r="I729" s="93">
        <v>14606.38</v>
      </c>
      <c r="J729" s="93">
        <v>4048.97</v>
      </c>
      <c r="K729" s="93">
        <v>300.14999999999998</v>
      </c>
      <c r="L729" s="43">
        <v>9.0583484660231299</v>
      </c>
      <c r="M729" s="43">
        <v>11.5</v>
      </c>
      <c r="N729" s="43">
        <v>5.085623492765273</v>
      </c>
      <c r="O729" s="43">
        <v>11.403875379939208</v>
      </c>
      <c r="P729" s="94"/>
      <c r="Q729" s="94"/>
      <c r="R729" s="94">
        <v>1</v>
      </c>
    </row>
    <row r="730" spans="1:18" ht="24">
      <c r="A730" s="90">
        <v>464</v>
      </c>
      <c r="B730" s="87" t="s">
        <v>1343</v>
      </c>
      <c r="C730" s="91" t="s">
        <v>1344</v>
      </c>
      <c r="D730" s="92">
        <v>2690.82</v>
      </c>
      <c r="E730" s="92">
        <v>1708.48</v>
      </c>
      <c r="F730" s="92">
        <v>947.25</v>
      </c>
      <c r="G730" s="92">
        <v>35.090000000000003</v>
      </c>
      <c r="H730" s="93">
        <v>24810.38</v>
      </c>
      <c r="I730" s="93">
        <v>19647.52</v>
      </c>
      <c r="J730" s="93">
        <v>4761.8500000000004</v>
      </c>
      <c r="K730" s="93">
        <v>401.01</v>
      </c>
      <c r="L730" s="43">
        <v>9.2203789179506614</v>
      </c>
      <c r="M730" s="43">
        <v>11.5</v>
      </c>
      <c r="N730" s="43">
        <v>5.0270256004222755</v>
      </c>
      <c r="O730" s="43">
        <v>11.428042177258478</v>
      </c>
      <c r="P730" s="94"/>
      <c r="Q730" s="94"/>
      <c r="R730" s="94">
        <v>1</v>
      </c>
    </row>
    <row r="731" spans="1:18" ht="24">
      <c r="A731" s="90">
        <v>465</v>
      </c>
      <c r="B731" s="87" t="s">
        <v>1345</v>
      </c>
      <c r="C731" s="91" t="s">
        <v>1346</v>
      </c>
      <c r="D731" s="92">
        <v>3355.81</v>
      </c>
      <c r="E731" s="92">
        <v>2146.84</v>
      </c>
      <c r="F731" s="92">
        <v>1165.1099999999999</v>
      </c>
      <c r="G731" s="92">
        <v>43.86</v>
      </c>
      <c r="H731" s="93">
        <v>31025.74</v>
      </c>
      <c r="I731" s="93">
        <v>24688.66</v>
      </c>
      <c r="J731" s="93">
        <v>5835.22</v>
      </c>
      <c r="K731" s="93">
        <v>501.86</v>
      </c>
      <c r="L731" s="43">
        <v>9.2453803999630502</v>
      </c>
      <c r="M731" s="43">
        <v>11.5</v>
      </c>
      <c r="N731" s="43">
        <v>5.0082996455270328</v>
      </c>
      <c r="O731" s="43">
        <v>11.442316461468309</v>
      </c>
      <c r="P731" s="94"/>
      <c r="Q731" s="94"/>
      <c r="R731" s="94">
        <v>1</v>
      </c>
    </row>
    <row r="732" spans="1:18" ht="24">
      <c r="A732" s="90">
        <v>466</v>
      </c>
      <c r="B732" s="87" t="s">
        <v>1347</v>
      </c>
      <c r="C732" s="91" t="s">
        <v>1348</v>
      </c>
      <c r="D732" s="92">
        <v>3794.96</v>
      </c>
      <c r="E732" s="92">
        <v>2573.96</v>
      </c>
      <c r="F732" s="92">
        <v>1167.68</v>
      </c>
      <c r="G732" s="92">
        <v>53.32</v>
      </c>
      <c r="H732" s="93">
        <v>35950.99</v>
      </c>
      <c r="I732" s="93">
        <v>29600.54</v>
      </c>
      <c r="J732" s="93">
        <v>5742.34</v>
      </c>
      <c r="K732" s="93">
        <v>608.11</v>
      </c>
      <c r="L732" s="43">
        <v>9.4733514977759974</v>
      </c>
      <c r="M732" s="43">
        <v>11.5</v>
      </c>
      <c r="N732" s="43">
        <v>4.9177343107700739</v>
      </c>
      <c r="O732" s="43">
        <v>11.404913728432108</v>
      </c>
      <c r="P732" s="94"/>
      <c r="Q732" s="94"/>
      <c r="R732" s="94">
        <v>1</v>
      </c>
    </row>
    <row r="733" spans="1:18" ht="24">
      <c r="A733" s="90">
        <v>467</v>
      </c>
      <c r="B733" s="87" t="s">
        <v>1349</v>
      </c>
      <c r="C733" s="91" t="s">
        <v>1350</v>
      </c>
      <c r="D733" s="92">
        <v>4718.41</v>
      </c>
      <c r="E733" s="92">
        <v>3034.8</v>
      </c>
      <c r="F733" s="92">
        <v>1621.07</v>
      </c>
      <c r="G733" s="92">
        <v>62.54</v>
      </c>
      <c r="H733" s="93">
        <v>43695.14</v>
      </c>
      <c r="I733" s="93">
        <v>34900.199999999997</v>
      </c>
      <c r="J733" s="93">
        <v>8080.8</v>
      </c>
      <c r="K733" s="93">
        <v>714.14</v>
      </c>
      <c r="L733" s="43">
        <v>9.2605644698108058</v>
      </c>
      <c r="M733" s="43">
        <v>11.499999999999998</v>
      </c>
      <c r="N733" s="43">
        <v>4.984855681741073</v>
      </c>
      <c r="O733" s="43">
        <v>11.4189318835945</v>
      </c>
      <c r="P733" s="94"/>
      <c r="Q733" s="94"/>
      <c r="R733" s="94">
        <v>1</v>
      </c>
    </row>
    <row r="734" spans="1:18" ht="24">
      <c r="A734" s="90">
        <v>468</v>
      </c>
      <c r="B734" s="87" t="s">
        <v>1351</v>
      </c>
      <c r="C734" s="91" t="s">
        <v>1352</v>
      </c>
      <c r="D734" s="92">
        <v>5399.99</v>
      </c>
      <c r="E734" s="92">
        <v>3484.4</v>
      </c>
      <c r="F734" s="92">
        <v>1844.06</v>
      </c>
      <c r="G734" s="92">
        <v>71.53</v>
      </c>
      <c r="H734" s="93">
        <v>50068.81</v>
      </c>
      <c r="I734" s="93">
        <v>40070.6</v>
      </c>
      <c r="J734" s="93">
        <v>9180.68</v>
      </c>
      <c r="K734" s="93">
        <v>817.53</v>
      </c>
      <c r="L734" s="43">
        <v>9.2720190222574494</v>
      </c>
      <c r="M734" s="43">
        <v>11.5</v>
      </c>
      <c r="N734" s="43">
        <v>4.9785147988677165</v>
      </c>
      <c r="O734" s="43">
        <v>11.429190549419824</v>
      </c>
      <c r="P734" s="94"/>
      <c r="Q734" s="94"/>
      <c r="R734" s="94">
        <v>1</v>
      </c>
    </row>
    <row r="735" spans="1:18" ht="24">
      <c r="A735" s="90">
        <v>469</v>
      </c>
      <c r="B735" s="87" t="s">
        <v>1353</v>
      </c>
      <c r="C735" s="91" t="s">
        <v>1354</v>
      </c>
      <c r="D735" s="92">
        <v>6767.63</v>
      </c>
      <c r="E735" s="92">
        <v>4372.3599999999997</v>
      </c>
      <c r="F735" s="92">
        <v>2304.4499999999998</v>
      </c>
      <c r="G735" s="92">
        <v>90.82</v>
      </c>
      <c r="H735" s="93">
        <v>62774.61</v>
      </c>
      <c r="I735" s="93">
        <v>50282.14</v>
      </c>
      <c r="J735" s="93">
        <v>11457.29</v>
      </c>
      <c r="K735" s="93">
        <v>1035.18</v>
      </c>
      <c r="L735" s="43">
        <v>9.2757154277051193</v>
      </c>
      <c r="M735" s="43">
        <v>11.5</v>
      </c>
      <c r="N735" s="43">
        <v>4.9718110612076645</v>
      </c>
      <c r="O735" s="43">
        <v>11.398150187183441</v>
      </c>
      <c r="P735" s="94"/>
      <c r="Q735" s="94"/>
      <c r="R735" s="94">
        <v>1</v>
      </c>
    </row>
    <row r="736" spans="1:18" ht="24">
      <c r="A736" s="90">
        <v>470</v>
      </c>
      <c r="B736" s="87" t="s">
        <v>1355</v>
      </c>
      <c r="C736" s="91" t="s">
        <v>1356</v>
      </c>
      <c r="D736" s="92">
        <v>8120.96</v>
      </c>
      <c r="E736" s="92">
        <v>5271.56</v>
      </c>
      <c r="F736" s="92">
        <v>2740.6</v>
      </c>
      <c r="G736" s="92">
        <v>108.8</v>
      </c>
      <c r="H736" s="93">
        <v>75466.61</v>
      </c>
      <c r="I736" s="93">
        <v>60622.94</v>
      </c>
      <c r="J736" s="93">
        <v>13601.72</v>
      </c>
      <c r="K736" s="93">
        <v>1241.95</v>
      </c>
      <c r="L736" s="43">
        <v>9.2928188293009697</v>
      </c>
      <c r="M736" s="43">
        <v>11.5</v>
      </c>
      <c r="N736" s="43">
        <v>4.9630445887761807</v>
      </c>
      <c r="O736" s="43">
        <v>11.41498161764706</v>
      </c>
      <c r="P736" s="94"/>
      <c r="Q736" s="94"/>
      <c r="R736" s="94">
        <v>1</v>
      </c>
    </row>
    <row r="737" spans="1:18" ht="24">
      <c r="A737" s="90">
        <v>471</v>
      </c>
      <c r="B737" s="87" t="s">
        <v>1357</v>
      </c>
      <c r="C737" s="91" t="s">
        <v>1358</v>
      </c>
      <c r="D737" s="92">
        <v>9702.23</v>
      </c>
      <c r="E737" s="92">
        <v>6283.16</v>
      </c>
      <c r="F737" s="92">
        <v>3288.82</v>
      </c>
      <c r="G737" s="92">
        <v>130.25</v>
      </c>
      <c r="H737" s="93">
        <v>90096.17</v>
      </c>
      <c r="I737" s="93">
        <v>72256.34</v>
      </c>
      <c r="J737" s="93">
        <v>16354.51</v>
      </c>
      <c r="K737" s="93">
        <v>1485.32</v>
      </c>
      <c r="L737" s="43">
        <v>9.286130095864559</v>
      </c>
      <c r="M737" s="43">
        <v>11.5</v>
      </c>
      <c r="N737" s="43">
        <v>4.9727592267135323</v>
      </c>
      <c r="O737" s="43">
        <v>11.403608445297504</v>
      </c>
      <c r="P737" s="94"/>
      <c r="Q737" s="94"/>
      <c r="R737" s="94">
        <v>1</v>
      </c>
    </row>
    <row r="738" spans="1:18" ht="24">
      <c r="A738" s="90">
        <v>472</v>
      </c>
      <c r="B738" s="87" t="s">
        <v>1359</v>
      </c>
      <c r="C738" s="91" t="s">
        <v>1360</v>
      </c>
      <c r="D738" s="92">
        <v>11556.29</v>
      </c>
      <c r="E738" s="92">
        <v>7216.08</v>
      </c>
      <c r="F738" s="92">
        <v>4187.93</v>
      </c>
      <c r="G738" s="92">
        <v>152.28</v>
      </c>
      <c r="H738" s="93">
        <v>105506.91</v>
      </c>
      <c r="I738" s="93">
        <v>82984.92</v>
      </c>
      <c r="J738" s="93">
        <v>20792.580000000002</v>
      </c>
      <c r="K738" s="93">
        <v>1729.41</v>
      </c>
      <c r="L738" s="43">
        <v>9.1298254024431706</v>
      </c>
      <c r="M738" s="43">
        <v>11.5</v>
      </c>
      <c r="N738" s="43">
        <v>4.9648824120747008</v>
      </c>
      <c r="O738" s="43">
        <v>11.356776989755714</v>
      </c>
      <c r="P738" s="94"/>
      <c r="Q738" s="94"/>
      <c r="R738" s="94">
        <v>1</v>
      </c>
    </row>
    <row r="739" spans="1:18" ht="36">
      <c r="A739" s="90">
        <v>473</v>
      </c>
      <c r="B739" s="87" t="s">
        <v>1361</v>
      </c>
      <c r="C739" s="91" t="s">
        <v>1362</v>
      </c>
      <c r="D739" s="92">
        <v>2177.48</v>
      </c>
      <c r="E739" s="92">
        <v>1564.2</v>
      </c>
      <c r="F739" s="92">
        <v>582</v>
      </c>
      <c r="G739" s="92">
        <v>31.28</v>
      </c>
      <c r="H739" s="93">
        <v>21387.41</v>
      </c>
      <c r="I739" s="93">
        <v>17988.96</v>
      </c>
      <c r="J739" s="93">
        <v>3038.73</v>
      </c>
      <c r="K739" s="93">
        <v>359.72</v>
      </c>
      <c r="L739" s="43">
        <v>9.8220925106085932</v>
      </c>
      <c r="M739" s="43">
        <v>11.50042194092827</v>
      </c>
      <c r="N739" s="43">
        <v>5.2211855670103091</v>
      </c>
      <c r="O739" s="43">
        <v>11.5</v>
      </c>
      <c r="P739" s="94"/>
      <c r="Q739" s="94"/>
      <c r="R739" s="94">
        <v>1</v>
      </c>
    </row>
    <row r="740" spans="1:18" ht="24">
      <c r="A740" s="90">
        <v>474</v>
      </c>
      <c r="B740" s="87" t="s">
        <v>1363</v>
      </c>
      <c r="C740" s="91" t="s">
        <v>1364</v>
      </c>
      <c r="D740" s="92">
        <v>2464.5100000000002</v>
      </c>
      <c r="E740" s="92">
        <v>1287.5999999999999</v>
      </c>
      <c r="F740" s="92">
        <v>1150.24</v>
      </c>
      <c r="G740" s="92">
        <v>26.67</v>
      </c>
      <c r="H740" s="93">
        <v>21068.92</v>
      </c>
      <c r="I740" s="93">
        <v>14807.4</v>
      </c>
      <c r="J740" s="93">
        <v>5957.34</v>
      </c>
      <c r="K740" s="93">
        <v>304.18</v>
      </c>
      <c r="L740" s="43">
        <v>8.548928590267435</v>
      </c>
      <c r="M740" s="43">
        <v>11.5</v>
      </c>
      <c r="N740" s="43">
        <v>5.1792147725692033</v>
      </c>
      <c r="O740" s="43">
        <v>11.405324334458193</v>
      </c>
      <c r="P740" s="94"/>
      <c r="Q740" s="94"/>
      <c r="R740" s="94">
        <v>1</v>
      </c>
    </row>
    <row r="741" spans="1:18" ht="24">
      <c r="A741" s="90">
        <v>475</v>
      </c>
      <c r="B741" s="87" t="s">
        <v>1365</v>
      </c>
      <c r="C741" s="91" t="s">
        <v>1366</v>
      </c>
      <c r="D741" s="92">
        <v>3279.14</v>
      </c>
      <c r="E741" s="92">
        <v>1709.4</v>
      </c>
      <c r="F741" s="92">
        <v>1534.63</v>
      </c>
      <c r="G741" s="92">
        <v>35.11</v>
      </c>
      <c r="H741" s="93">
        <v>27992.74</v>
      </c>
      <c r="I741" s="93">
        <v>19658.099999999999</v>
      </c>
      <c r="J741" s="93">
        <v>7933.4</v>
      </c>
      <c r="K741" s="93">
        <v>401.24</v>
      </c>
      <c r="L741" s="43">
        <v>8.5366102087742526</v>
      </c>
      <c r="M741" s="43">
        <v>11.499999999999998</v>
      </c>
      <c r="N741" s="43">
        <v>5.1695848510715932</v>
      </c>
      <c r="O741" s="43">
        <v>11.428083167188836</v>
      </c>
      <c r="P741" s="94"/>
      <c r="Q741" s="94"/>
      <c r="R741" s="94">
        <v>1</v>
      </c>
    </row>
    <row r="742" spans="1:18" ht="24">
      <c r="A742" s="90">
        <v>476</v>
      </c>
      <c r="B742" s="87" t="s">
        <v>1367</v>
      </c>
      <c r="C742" s="91" t="s">
        <v>1368</v>
      </c>
      <c r="D742" s="92">
        <v>4138.58</v>
      </c>
      <c r="E742" s="92">
        <v>2164.5</v>
      </c>
      <c r="F742" s="92">
        <v>1929.87</v>
      </c>
      <c r="G742" s="92">
        <v>44.21</v>
      </c>
      <c r="H742" s="93">
        <v>35362.68</v>
      </c>
      <c r="I742" s="93">
        <v>24891.75</v>
      </c>
      <c r="J742" s="93">
        <v>9965.0400000000009</v>
      </c>
      <c r="K742" s="93">
        <v>505.89</v>
      </c>
      <c r="L742" s="43">
        <v>8.5446409154830878</v>
      </c>
      <c r="M742" s="43">
        <v>11.5</v>
      </c>
      <c r="N742" s="43">
        <v>5.1635809665936057</v>
      </c>
      <c r="O742" s="43">
        <v>11.442886224836009</v>
      </c>
      <c r="P742" s="94"/>
      <c r="Q742" s="94"/>
      <c r="R742" s="94">
        <v>1</v>
      </c>
    </row>
    <row r="743" spans="1:18" ht="24">
      <c r="A743" s="90">
        <v>477</v>
      </c>
      <c r="B743" s="87" t="s">
        <v>1369</v>
      </c>
      <c r="C743" s="91" t="s">
        <v>1370</v>
      </c>
      <c r="D743" s="92">
        <v>4977.49</v>
      </c>
      <c r="E743" s="92">
        <v>2608.5</v>
      </c>
      <c r="F743" s="92">
        <v>2314.98</v>
      </c>
      <c r="G743" s="92">
        <v>54.01</v>
      </c>
      <c r="H743" s="93">
        <v>42555.78</v>
      </c>
      <c r="I743" s="93">
        <v>29997.75</v>
      </c>
      <c r="J743" s="93">
        <v>11941.98</v>
      </c>
      <c r="K743" s="93">
        <v>616.04999999999995</v>
      </c>
      <c r="L743" s="43">
        <v>8.5496465085816347</v>
      </c>
      <c r="M743" s="43">
        <v>11.5</v>
      </c>
      <c r="N743" s="43">
        <v>5.1585672446414224</v>
      </c>
      <c r="O743" s="43">
        <v>11.40622107017219</v>
      </c>
      <c r="P743" s="94"/>
      <c r="Q743" s="94"/>
      <c r="R743" s="94">
        <v>1</v>
      </c>
    </row>
    <row r="744" spans="1:18" ht="24">
      <c r="A744" s="90">
        <v>478</v>
      </c>
      <c r="B744" s="87" t="s">
        <v>1371</v>
      </c>
      <c r="C744" s="91" t="s">
        <v>1372</v>
      </c>
      <c r="D744" s="92">
        <v>5849.09</v>
      </c>
      <c r="E744" s="92">
        <v>3074.7</v>
      </c>
      <c r="F744" s="92">
        <v>2711.06</v>
      </c>
      <c r="G744" s="92">
        <v>63.33</v>
      </c>
      <c r="H744" s="93">
        <v>50059.47</v>
      </c>
      <c r="I744" s="93">
        <v>35359.050000000003</v>
      </c>
      <c r="J744" s="93">
        <v>13977.19</v>
      </c>
      <c r="K744" s="93">
        <v>723.23</v>
      </c>
      <c r="L744" s="43">
        <v>8.5585056820804599</v>
      </c>
      <c r="M744" s="43">
        <v>11.500000000000002</v>
      </c>
      <c r="N744" s="43">
        <v>5.1556180977182358</v>
      </c>
      <c r="O744" s="43">
        <v>11.420022106426655</v>
      </c>
      <c r="P744" s="94"/>
      <c r="Q744" s="94"/>
      <c r="R744" s="94">
        <v>1</v>
      </c>
    </row>
    <row r="745" spans="1:18" ht="24">
      <c r="A745" s="90">
        <v>479</v>
      </c>
      <c r="B745" s="87" t="s">
        <v>1373</v>
      </c>
      <c r="C745" s="91" t="s">
        <v>1374</v>
      </c>
      <c r="D745" s="92">
        <v>6698.68</v>
      </c>
      <c r="E745" s="92">
        <v>3518.7</v>
      </c>
      <c r="F745" s="92">
        <v>3107.77</v>
      </c>
      <c r="G745" s="92">
        <v>72.209999999999994</v>
      </c>
      <c r="H745" s="93">
        <v>57307.29</v>
      </c>
      <c r="I745" s="93">
        <v>40465.050000000003</v>
      </c>
      <c r="J745" s="93">
        <v>16016.89</v>
      </c>
      <c r="K745" s="93">
        <v>825.35</v>
      </c>
      <c r="L745" s="43">
        <v>8.5550123307875587</v>
      </c>
      <c r="M745" s="43">
        <v>11.500000000000002</v>
      </c>
      <c r="N745" s="43">
        <v>5.1538209069525731</v>
      </c>
      <c r="O745" s="43">
        <v>11.42985736047639</v>
      </c>
      <c r="P745" s="94"/>
      <c r="Q745" s="94"/>
      <c r="R745" s="94">
        <v>1</v>
      </c>
    </row>
    <row r="746" spans="1:18" ht="24">
      <c r="A746" s="90">
        <v>480</v>
      </c>
      <c r="B746" s="87" t="s">
        <v>1375</v>
      </c>
      <c r="C746" s="91" t="s">
        <v>1376</v>
      </c>
      <c r="D746" s="92">
        <v>8634.14</v>
      </c>
      <c r="E746" s="92">
        <v>4496</v>
      </c>
      <c r="F746" s="92">
        <v>4044.85</v>
      </c>
      <c r="G746" s="92">
        <v>93.29</v>
      </c>
      <c r="H746" s="93">
        <v>73639.649999999994</v>
      </c>
      <c r="I746" s="93">
        <v>51704</v>
      </c>
      <c r="J746" s="93">
        <v>20872.07</v>
      </c>
      <c r="K746" s="93">
        <v>1063.58</v>
      </c>
      <c r="L746" s="43">
        <v>8.5288922811073249</v>
      </c>
      <c r="M746" s="43">
        <v>11.5</v>
      </c>
      <c r="N746" s="43">
        <v>5.1601592148040103</v>
      </c>
      <c r="O746" s="43">
        <v>11.400793225426089</v>
      </c>
      <c r="P746" s="94"/>
      <c r="Q746" s="94"/>
      <c r="R746" s="94">
        <v>1</v>
      </c>
    </row>
    <row r="747" spans="1:18" ht="24">
      <c r="A747" s="90">
        <v>481</v>
      </c>
      <c r="B747" s="87" t="s">
        <v>1377</v>
      </c>
      <c r="C747" s="91" t="s">
        <v>1378</v>
      </c>
      <c r="D747" s="92">
        <v>10304.719999999999</v>
      </c>
      <c r="E747" s="92">
        <v>5417.68</v>
      </c>
      <c r="F747" s="92">
        <v>4775.32</v>
      </c>
      <c r="G747" s="92">
        <v>111.72</v>
      </c>
      <c r="H747" s="93">
        <v>88187.46</v>
      </c>
      <c r="I747" s="93">
        <v>62303.32</v>
      </c>
      <c r="J747" s="93">
        <v>24608.61</v>
      </c>
      <c r="K747" s="93">
        <v>1275.53</v>
      </c>
      <c r="L747" s="43">
        <v>8.5579676109588636</v>
      </c>
      <c r="M747" s="43">
        <v>11.5</v>
      </c>
      <c r="N747" s="43">
        <v>5.1532902507057123</v>
      </c>
      <c r="O747" s="43">
        <v>11.417203723594701</v>
      </c>
      <c r="P747" s="94"/>
      <c r="Q747" s="94"/>
      <c r="R747" s="94">
        <v>1</v>
      </c>
    </row>
    <row r="748" spans="1:18" ht="24">
      <c r="A748" s="90">
        <v>482</v>
      </c>
      <c r="B748" s="87" t="s">
        <v>1379</v>
      </c>
      <c r="C748" s="91" t="s">
        <v>1380</v>
      </c>
      <c r="D748" s="92">
        <v>12132.96</v>
      </c>
      <c r="E748" s="92">
        <v>6440.52</v>
      </c>
      <c r="F748" s="92">
        <v>5559.04</v>
      </c>
      <c r="G748" s="92">
        <v>133.4</v>
      </c>
      <c r="H748" s="93">
        <v>104222.95</v>
      </c>
      <c r="I748" s="93">
        <v>74065.98</v>
      </c>
      <c r="J748" s="93">
        <v>28635.42</v>
      </c>
      <c r="K748" s="93">
        <v>1521.55</v>
      </c>
      <c r="L748" s="43">
        <v>8.5900678812095315</v>
      </c>
      <c r="M748" s="43">
        <v>11.499999999999998</v>
      </c>
      <c r="N748" s="43">
        <v>5.1511448019801973</v>
      </c>
      <c r="O748" s="43">
        <v>11.405922038980508</v>
      </c>
      <c r="P748" s="94"/>
      <c r="Q748" s="94"/>
      <c r="R748" s="94">
        <v>1</v>
      </c>
    </row>
    <row r="749" spans="1:18" ht="24">
      <c r="A749" s="90">
        <v>483</v>
      </c>
      <c r="B749" s="87" t="s">
        <v>1381</v>
      </c>
      <c r="C749" s="91" t="s">
        <v>1382</v>
      </c>
      <c r="D749" s="92">
        <v>15629.33</v>
      </c>
      <c r="E749" s="92">
        <v>8283.8799999999992</v>
      </c>
      <c r="F749" s="92">
        <v>7171.81</v>
      </c>
      <c r="G749" s="92">
        <v>173.64</v>
      </c>
      <c r="H749" s="93">
        <v>134173.84</v>
      </c>
      <c r="I749" s="93">
        <v>95264.62</v>
      </c>
      <c r="J749" s="93">
        <v>36934.17</v>
      </c>
      <c r="K749" s="93">
        <v>1975.05</v>
      </c>
      <c r="L749" s="43">
        <v>8.5847467549792604</v>
      </c>
      <c r="M749" s="43">
        <v>11.5</v>
      </c>
      <c r="N749" s="43">
        <v>5.1499091582180787</v>
      </c>
      <c r="O749" s="43">
        <v>11.374395300621977</v>
      </c>
      <c r="P749" s="94"/>
      <c r="Q749" s="94"/>
      <c r="R749" s="94">
        <v>1</v>
      </c>
    </row>
    <row r="750" spans="1:18" ht="36">
      <c r="A750" s="90">
        <v>484</v>
      </c>
      <c r="B750" s="87" t="s">
        <v>1383</v>
      </c>
      <c r="C750" s="91" t="s">
        <v>1384</v>
      </c>
      <c r="D750" s="92">
        <v>2421.37</v>
      </c>
      <c r="E750" s="92">
        <v>1551.12</v>
      </c>
      <c r="F750" s="92">
        <v>839.23</v>
      </c>
      <c r="G750" s="92">
        <v>31.02</v>
      </c>
      <c r="H750" s="93">
        <v>22617.99</v>
      </c>
      <c r="I750" s="93">
        <v>17837.88</v>
      </c>
      <c r="J750" s="93">
        <v>4423.38</v>
      </c>
      <c r="K750" s="93">
        <v>356.73</v>
      </c>
      <c r="L750" s="43">
        <v>9.3409887790796127</v>
      </c>
      <c r="M750" s="43">
        <v>11.500000000000002</v>
      </c>
      <c r="N750" s="43">
        <v>5.270760101521633</v>
      </c>
      <c r="O750" s="43">
        <v>11.5</v>
      </c>
      <c r="P750" s="94"/>
      <c r="Q750" s="94"/>
      <c r="R750" s="94">
        <v>1</v>
      </c>
    </row>
    <row r="751" spans="1:18" ht="24">
      <c r="A751" s="90">
        <v>485</v>
      </c>
      <c r="B751" s="87" t="s">
        <v>1385</v>
      </c>
      <c r="C751" s="91" t="s">
        <v>1386</v>
      </c>
      <c r="D751" s="92">
        <v>2720.72</v>
      </c>
      <c r="E751" s="92">
        <v>1443</v>
      </c>
      <c r="F751" s="92">
        <v>1247.02</v>
      </c>
      <c r="G751" s="92">
        <v>30.7</v>
      </c>
      <c r="H751" s="93">
        <v>23383.85</v>
      </c>
      <c r="I751" s="93">
        <v>16594.5</v>
      </c>
      <c r="J751" s="93">
        <v>6441.37</v>
      </c>
      <c r="K751" s="93">
        <v>347.98</v>
      </c>
      <c r="L751" s="43">
        <v>8.5947286012526103</v>
      </c>
      <c r="M751" s="43">
        <v>11.5</v>
      </c>
      <c r="N751" s="43">
        <v>5.165410338246379</v>
      </c>
      <c r="O751" s="43">
        <v>11.33485342019544</v>
      </c>
      <c r="P751" s="94"/>
      <c r="Q751" s="94"/>
      <c r="R751" s="94">
        <v>1</v>
      </c>
    </row>
    <row r="752" spans="1:18" ht="24">
      <c r="A752" s="90">
        <v>486</v>
      </c>
      <c r="B752" s="87" t="s">
        <v>1387</v>
      </c>
      <c r="C752" s="91" t="s">
        <v>1388</v>
      </c>
      <c r="D752" s="92">
        <v>3604.19</v>
      </c>
      <c r="E752" s="92">
        <v>1898.1</v>
      </c>
      <c r="F752" s="92">
        <v>1666.29</v>
      </c>
      <c r="G752" s="92">
        <v>39.799999999999997</v>
      </c>
      <c r="H752" s="93">
        <v>30882.92</v>
      </c>
      <c r="I752" s="93">
        <v>21828.15</v>
      </c>
      <c r="J752" s="93">
        <v>8602.14</v>
      </c>
      <c r="K752" s="93">
        <v>452.63</v>
      </c>
      <c r="L752" s="43">
        <v>8.5686159719659614</v>
      </c>
      <c r="M752" s="43">
        <v>11.500000000000002</v>
      </c>
      <c r="N752" s="43">
        <v>5.1624507138613325</v>
      </c>
      <c r="O752" s="43">
        <v>11.372613065326634</v>
      </c>
      <c r="P752" s="94"/>
      <c r="Q752" s="94"/>
      <c r="R752" s="94">
        <v>1</v>
      </c>
    </row>
    <row r="753" spans="1:18" ht="24">
      <c r="A753" s="90">
        <v>487</v>
      </c>
      <c r="B753" s="87" t="s">
        <v>1389</v>
      </c>
      <c r="C753" s="91" t="s">
        <v>1390</v>
      </c>
      <c r="D753" s="92">
        <v>4558.42</v>
      </c>
      <c r="E753" s="92">
        <v>2375.4</v>
      </c>
      <c r="F753" s="92">
        <v>2133.67</v>
      </c>
      <c r="G753" s="92">
        <v>49.35</v>
      </c>
      <c r="H753" s="93">
        <v>38899.269999999997</v>
      </c>
      <c r="I753" s="93">
        <v>27317.1</v>
      </c>
      <c r="J753" s="93">
        <v>11019.71</v>
      </c>
      <c r="K753" s="93">
        <v>562.46</v>
      </c>
      <c r="L753" s="43">
        <v>8.5334984490240036</v>
      </c>
      <c r="M753" s="43">
        <v>11.499999999999998</v>
      </c>
      <c r="N753" s="43">
        <v>5.1646740123824202</v>
      </c>
      <c r="O753" s="43">
        <v>11.397365754812563</v>
      </c>
      <c r="P753" s="94"/>
      <c r="Q753" s="94"/>
      <c r="R753" s="94">
        <v>1</v>
      </c>
    </row>
    <row r="754" spans="1:18" ht="24">
      <c r="A754" s="90">
        <v>488</v>
      </c>
      <c r="B754" s="87" t="s">
        <v>1391</v>
      </c>
      <c r="C754" s="91" t="s">
        <v>1392</v>
      </c>
      <c r="D754" s="92">
        <v>5441.28</v>
      </c>
      <c r="E754" s="92">
        <v>2841.6</v>
      </c>
      <c r="F754" s="92">
        <v>2538.2600000000002</v>
      </c>
      <c r="G754" s="92">
        <v>61.42</v>
      </c>
      <c r="H754" s="93">
        <v>46471.05</v>
      </c>
      <c r="I754" s="93">
        <v>32678.400000000001</v>
      </c>
      <c r="J754" s="93">
        <v>13098.87</v>
      </c>
      <c r="K754" s="93">
        <v>693.78</v>
      </c>
      <c r="L754" s="43">
        <v>8.5404629057868746</v>
      </c>
      <c r="M754" s="43">
        <v>11.5</v>
      </c>
      <c r="N754" s="43">
        <v>5.1605706271225165</v>
      </c>
      <c r="O754" s="43">
        <v>11.295669163139042</v>
      </c>
      <c r="P754" s="94"/>
      <c r="Q754" s="94"/>
      <c r="R754" s="94">
        <v>1</v>
      </c>
    </row>
    <row r="755" spans="1:18" ht="24">
      <c r="A755" s="90">
        <v>489</v>
      </c>
      <c r="B755" s="87" t="s">
        <v>1393</v>
      </c>
      <c r="C755" s="91" t="s">
        <v>1394</v>
      </c>
      <c r="D755" s="92">
        <v>6421.64</v>
      </c>
      <c r="E755" s="92">
        <v>3360.76</v>
      </c>
      <c r="F755" s="92">
        <v>2989.07</v>
      </c>
      <c r="G755" s="92">
        <v>71.81</v>
      </c>
      <c r="H755" s="93">
        <v>54886.67</v>
      </c>
      <c r="I755" s="93">
        <v>38648.74</v>
      </c>
      <c r="J755" s="93">
        <v>15424.67</v>
      </c>
      <c r="K755" s="93">
        <v>813.26</v>
      </c>
      <c r="L755" s="43">
        <v>8.5471421630611495</v>
      </c>
      <c r="M755" s="43">
        <v>11.499999999999998</v>
      </c>
      <c r="N755" s="43">
        <v>5.1603575694112216</v>
      </c>
      <c r="O755" s="43">
        <v>11.3251636262359</v>
      </c>
      <c r="P755" s="94"/>
      <c r="Q755" s="94"/>
      <c r="R755" s="94">
        <v>1</v>
      </c>
    </row>
    <row r="756" spans="1:18" ht="24">
      <c r="A756" s="90">
        <v>490</v>
      </c>
      <c r="B756" s="87" t="s">
        <v>1395</v>
      </c>
      <c r="C756" s="91" t="s">
        <v>1396</v>
      </c>
      <c r="D756" s="92">
        <v>7314.46</v>
      </c>
      <c r="E756" s="92">
        <v>3799.12</v>
      </c>
      <c r="F756" s="92">
        <v>3434.77</v>
      </c>
      <c r="G756" s="92">
        <v>80.569999999999993</v>
      </c>
      <c r="H756" s="93">
        <v>62331.01</v>
      </c>
      <c r="I756" s="93">
        <v>43689.88</v>
      </c>
      <c r="J756" s="93">
        <v>17727.13</v>
      </c>
      <c r="K756" s="93">
        <v>914</v>
      </c>
      <c r="L756" s="43">
        <v>8.5216147193367657</v>
      </c>
      <c r="M756" s="43">
        <v>11.5</v>
      </c>
      <c r="N756" s="43">
        <v>5.1610821103014182</v>
      </c>
      <c r="O756" s="43">
        <v>11.344172769020728</v>
      </c>
      <c r="P756" s="94"/>
      <c r="Q756" s="94"/>
      <c r="R756" s="94">
        <v>1</v>
      </c>
    </row>
    <row r="757" spans="1:18" ht="24">
      <c r="A757" s="90">
        <v>491</v>
      </c>
      <c r="B757" s="87" t="s">
        <v>1397</v>
      </c>
      <c r="C757" s="91" t="s">
        <v>1398</v>
      </c>
      <c r="D757" s="92">
        <v>9340.02</v>
      </c>
      <c r="E757" s="92">
        <v>4754.5200000000004</v>
      </c>
      <c r="F757" s="92">
        <v>4484.29</v>
      </c>
      <c r="G757" s="92">
        <v>101.21</v>
      </c>
      <c r="H757" s="93">
        <v>78986.11</v>
      </c>
      <c r="I757" s="93">
        <v>54676.98</v>
      </c>
      <c r="J757" s="93">
        <v>23161.95</v>
      </c>
      <c r="K757" s="93">
        <v>1147.18</v>
      </c>
      <c r="L757" s="43">
        <v>8.4567388506662731</v>
      </c>
      <c r="M757" s="43">
        <v>11.5</v>
      </c>
      <c r="N757" s="43">
        <v>5.165132049889726</v>
      </c>
      <c r="O757" s="43">
        <v>11.334650726212827</v>
      </c>
      <c r="P757" s="94"/>
      <c r="Q757" s="94"/>
      <c r="R757" s="94">
        <v>1</v>
      </c>
    </row>
    <row r="758" spans="1:18" ht="24">
      <c r="A758" s="90">
        <v>492</v>
      </c>
      <c r="B758" s="87" t="s">
        <v>1399</v>
      </c>
      <c r="C758" s="91" t="s">
        <v>1400</v>
      </c>
      <c r="D758" s="92">
        <v>11183.42</v>
      </c>
      <c r="E758" s="92">
        <v>5698.68</v>
      </c>
      <c r="F758" s="92">
        <v>5362.81</v>
      </c>
      <c r="G758" s="92">
        <v>121.93</v>
      </c>
      <c r="H758" s="93">
        <v>94627.38</v>
      </c>
      <c r="I758" s="93">
        <v>65534.82</v>
      </c>
      <c r="J758" s="93">
        <v>27712.17</v>
      </c>
      <c r="K758" s="93">
        <v>1380.39</v>
      </c>
      <c r="L758" s="43">
        <v>8.4613991068921681</v>
      </c>
      <c r="M758" s="43">
        <v>11.5</v>
      </c>
      <c r="N758" s="43">
        <v>5.1674719037221148</v>
      </c>
      <c r="O758" s="43">
        <v>11.321167883211679</v>
      </c>
      <c r="P758" s="94"/>
      <c r="Q758" s="94"/>
      <c r="R758" s="94">
        <v>1</v>
      </c>
    </row>
    <row r="759" spans="1:18" ht="24">
      <c r="A759" s="90">
        <v>493</v>
      </c>
      <c r="B759" s="87" t="s">
        <v>1401</v>
      </c>
      <c r="C759" s="91" t="s">
        <v>1402</v>
      </c>
      <c r="D759" s="92">
        <v>13123.46</v>
      </c>
      <c r="E759" s="92">
        <v>6766.48</v>
      </c>
      <c r="F759" s="92">
        <v>6213.69</v>
      </c>
      <c r="G759" s="92">
        <v>143.29</v>
      </c>
      <c r="H759" s="93">
        <v>111536.48</v>
      </c>
      <c r="I759" s="93">
        <v>77814.52</v>
      </c>
      <c r="J759" s="93">
        <v>32095.93</v>
      </c>
      <c r="K759" s="93">
        <v>1626.03</v>
      </c>
      <c r="L759" s="43">
        <v>8.4990147415391988</v>
      </c>
      <c r="M759" s="43">
        <v>11.500000000000002</v>
      </c>
      <c r="N759" s="43">
        <v>5.1653574607037047</v>
      </c>
      <c r="O759" s="43">
        <v>11.347826086956522</v>
      </c>
      <c r="P759" s="94"/>
      <c r="Q759" s="94"/>
      <c r="R759" s="94">
        <v>1</v>
      </c>
    </row>
    <row r="760" spans="1:18" ht="24">
      <c r="A760" s="90">
        <v>494</v>
      </c>
      <c r="B760" s="87" t="s">
        <v>1403</v>
      </c>
      <c r="C760" s="91" t="s">
        <v>1404</v>
      </c>
      <c r="D760" s="92">
        <v>16799</v>
      </c>
      <c r="E760" s="92">
        <v>8654.7999999999993</v>
      </c>
      <c r="F760" s="92">
        <v>7957.64</v>
      </c>
      <c r="G760" s="92">
        <v>186.56</v>
      </c>
      <c r="H760" s="93">
        <v>142728.25</v>
      </c>
      <c r="I760" s="93">
        <v>99530.2</v>
      </c>
      <c r="J760" s="93">
        <v>41089.39</v>
      </c>
      <c r="K760" s="93">
        <v>2108.66</v>
      </c>
      <c r="L760" s="43">
        <v>8.4962348949342221</v>
      </c>
      <c r="M760" s="43">
        <v>11.5</v>
      </c>
      <c r="N760" s="43">
        <v>5.163514559593045</v>
      </c>
      <c r="O760" s="43">
        <v>11.302851629502571</v>
      </c>
      <c r="P760" s="94"/>
      <c r="Q760" s="94"/>
      <c r="R760" s="94">
        <v>1</v>
      </c>
    </row>
    <row r="761" spans="1:18" ht="36">
      <c r="A761" s="90">
        <v>495</v>
      </c>
      <c r="B761" s="87" t="s">
        <v>1405</v>
      </c>
      <c r="C761" s="91" t="s">
        <v>1406</v>
      </c>
      <c r="D761" s="92">
        <v>2596.88</v>
      </c>
      <c r="E761" s="92">
        <v>1618.56</v>
      </c>
      <c r="F761" s="92">
        <v>945.95</v>
      </c>
      <c r="G761" s="92">
        <v>32.369999999999997</v>
      </c>
      <c r="H761" s="93">
        <v>23980.94</v>
      </c>
      <c r="I761" s="93">
        <v>18613.439999999999</v>
      </c>
      <c r="J761" s="93">
        <v>4995.24</v>
      </c>
      <c r="K761" s="93">
        <v>372.26</v>
      </c>
      <c r="L761" s="43">
        <v>9.2345198854009425</v>
      </c>
      <c r="M761" s="43">
        <v>11.5</v>
      </c>
      <c r="N761" s="43">
        <v>5.2806596543157669</v>
      </c>
      <c r="O761" s="43">
        <v>11.500154464009887</v>
      </c>
      <c r="P761" s="94"/>
      <c r="Q761" s="94"/>
      <c r="R761" s="94">
        <v>1</v>
      </c>
    </row>
    <row r="762" spans="1:18" ht="24">
      <c r="A762" s="90">
        <v>496</v>
      </c>
      <c r="B762" s="87" t="s">
        <v>1407</v>
      </c>
      <c r="C762" s="91" t="s">
        <v>1408</v>
      </c>
      <c r="D762" s="92">
        <v>3013.58</v>
      </c>
      <c r="E762" s="92">
        <v>1620.6</v>
      </c>
      <c r="F762" s="92">
        <v>1358.73</v>
      </c>
      <c r="G762" s="92">
        <v>34.25</v>
      </c>
      <c r="H762" s="93">
        <v>26025.82</v>
      </c>
      <c r="I762" s="93">
        <v>18636.900000000001</v>
      </c>
      <c r="J762" s="93">
        <v>7000.11</v>
      </c>
      <c r="K762" s="93">
        <v>388.81</v>
      </c>
      <c r="L762" s="43">
        <v>8.636180224185189</v>
      </c>
      <c r="M762" s="43">
        <v>11.500000000000002</v>
      </c>
      <c r="N762" s="43">
        <v>5.1519507186858311</v>
      </c>
      <c r="O762" s="43">
        <v>11.352116788321167</v>
      </c>
      <c r="P762" s="94"/>
      <c r="Q762" s="94"/>
      <c r="R762" s="94">
        <v>1</v>
      </c>
    </row>
    <row r="763" spans="1:18" ht="24">
      <c r="A763" s="90">
        <v>497</v>
      </c>
      <c r="B763" s="87" t="s">
        <v>1409</v>
      </c>
      <c r="C763" s="91" t="s">
        <v>1410</v>
      </c>
      <c r="D763" s="92">
        <v>3931.31</v>
      </c>
      <c r="E763" s="92">
        <v>2064.6</v>
      </c>
      <c r="F763" s="92">
        <v>1823.58</v>
      </c>
      <c r="G763" s="92">
        <v>43.13</v>
      </c>
      <c r="H763" s="93">
        <v>33636.839999999997</v>
      </c>
      <c r="I763" s="93">
        <v>23742.9</v>
      </c>
      <c r="J763" s="93">
        <v>9403.01</v>
      </c>
      <c r="K763" s="93">
        <v>490.93</v>
      </c>
      <c r="L763" s="43">
        <v>8.5561403196390007</v>
      </c>
      <c r="M763" s="43">
        <v>11.500000000000002</v>
      </c>
      <c r="N763" s="43">
        <v>5.1563463078121066</v>
      </c>
      <c r="O763" s="43">
        <v>11.382564340366335</v>
      </c>
      <c r="P763" s="94"/>
      <c r="Q763" s="94"/>
      <c r="R763" s="94">
        <v>1</v>
      </c>
    </row>
    <row r="764" spans="1:18" ht="24">
      <c r="A764" s="90">
        <v>498</v>
      </c>
      <c r="B764" s="87" t="s">
        <v>1411</v>
      </c>
      <c r="C764" s="91" t="s">
        <v>1412</v>
      </c>
      <c r="D764" s="92">
        <v>4866.24</v>
      </c>
      <c r="E764" s="92">
        <v>2553</v>
      </c>
      <c r="F764" s="92">
        <v>2260.34</v>
      </c>
      <c r="G764" s="92">
        <v>52.9</v>
      </c>
      <c r="H764" s="93">
        <v>41614.5</v>
      </c>
      <c r="I764" s="93">
        <v>29359.5</v>
      </c>
      <c r="J764" s="93">
        <v>11651.72</v>
      </c>
      <c r="K764" s="93">
        <v>603.28</v>
      </c>
      <c r="L764" s="43">
        <v>8.5516743933714743</v>
      </c>
      <c r="M764" s="43">
        <v>11.5</v>
      </c>
      <c r="N764" s="43">
        <v>5.1548528097542841</v>
      </c>
      <c r="O764" s="43">
        <v>11.404158790170133</v>
      </c>
      <c r="P764" s="94"/>
      <c r="Q764" s="94"/>
      <c r="R764" s="94">
        <v>1</v>
      </c>
    </row>
    <row r="765" spans="1:18" ht="24">
      <c r="A765" s="90">
        <v>499</v>
      </c>
      <c r="B765" s="87" t="s">
        <v>1413</v>
      </c>
      <c r="C765" s="91" t="s">
        <v>1414</v>
      </c>
      <c r="D765" s="92">
        <v>5894.75</v>
      </c>
      <c r="E765" s="92">
        <v>3068.52</v>
      </c>
      <c r="F765" s="92">
        <v>2760.27</v>
      </c>
      <c r="G765" s="92">
        <v>65.959999999999994</v>
      </c>
      <c r="H765" s="93">
        <v>50276.31</v>
      </c>
      <c r="I765" s="93">
        <v>35287.980000000003</v>
      </c>
      <c r="J765" s="93">
        <v>14242.34</v>
      </c>
      <c r="K765" s="93">
        <v>745.99</v>
      </c>
      <c r="L765" s="43">
        <v>8.5289978370583999</v>
      </c>
      <c r="M765" s="43">
        <v>11.500000000000002</v>
      </c>
      <c r="N765" s="43">
        <v>5.1597633564832428</v>
      </c>
      <c r="O765" s="43">
        <v>11.309733171619165</v>
      </c>
      <c r="P765" s="94"/>
      <c r="Q765" s="94"/>
      <c r="R765" s="94">
        <v>1</v>
      </c>
    </row>
    <row r="766" spans="1:18" ht="24">
      <c r="A766" s="90">
        <v>500</v>
      </c>
      <c r="B766" s="87" t="s">
        <v>1415</v>
      </c>
      <c r="C766" s="91" t="s">
        <v>1416</v>
      </c>
      <c r="D766" s="92">
        <v>6863</v>
      </c>
      <c r="E766" s="92">
        <v>3551.84</v>
      </c>
      <c r="F766" s="92">
        <v>3235.53</v>
      </c>
      <c r="G766" s="92">
        <v>75.63</v>
      </c>
      <c r="H766" s="93">
        <v>58402.73</v>
      </c>
      <c r="I766" s="93">
        <v>40846.160000000003</v>
      </c>
      <c r="J766" s="93">
        <v>16699.38</v>
      </c>
      <c r="K766" s="93">
        <v>857.19</v>
      </c>
      <c r="L766" s="43">
        <v>8.5097960075768615</v>
      </c>
      <c r="M766" s="43">
        <v>11.5</v>
      </c>
      <c r="N766" s="43">
        <v>5.1612502433913452</v>
      </c>
      <c r="O766" s="43">
        <v>11.333994446648157</v>
      </c>
      <c r="P766" s="94"/>
      <c r="Q766" s="94"/>
      <c r="R766" s="94">
        <v>1</v>
      </c>
    </row>
    <row r="767" spans="1:18" ht="24">
      <c r="A767" s="90">
        <v>501</v>
      </c>
      <c r="B767" s="87" t="s">
        <v>1417</v>
      </c>
      <c r="C767" s="91" t="s">
        <v>1418</v>
      </c>
      <c r="D767" s="92">
        <v>7832.72</v>
      </c>
      <c r="E767" s="92">
        <v>4035.16</v>
      </c>
      <c r="F767" s="92">
        <v>3712.27</v>
      </c>
      <c r="G767" s="92">
        <v>85.29</v>
      </c>
      <c r="H767" s="93">
        <v>66537.08</v>
      </c>
      <c r="I767" s="93">
        <v>46404.34</v>
      </c>
      <c r="J767" s="93">
        <v>19164.46</v>
      </c>
      <c r="K767" s="93">
        <v>968.28</v>
      </c>
      <c r="L767" s="43">
        <v>8.4947604408174939</v>
      </c>
      <c r="M767" s="43">
        <v>11.5</v>
      </c>
      <c r="N767" s="43">
        <v>5.1624639371597434</v>
      </c>
      <c r="O767" s="43">
        <v>11.352796341892367</v>
      </c>
      <c r="P767" s="94"/>
      <c r="Q767" s="94"/>
      <c r="R767" s="94">
        <v>1</v>
      </c>
    </row>
    <row r="768" spans="1:18" ht="24">
      <c r="A768" s="90">
        <v>502</v>
      </c>
      <c r="B768" s="87" t="s">
        <v>1419</v>
      </c>
      <c r="C768" s="91" t="s">
        <v>1420</v>
      </c>
      <c r="D768" s="92">
        <v>10152.6</v>
      </c>
      <c r="E768" s="92">
        <v>5077.92</v>
      </c>
      <c r="F768" s="92">
        <v>4965.16</v>
      </c>
      <c r="G768" s="92">
        <v>109.52</v>
      </c>
      <c r="H768" s="93">
        <v>85343.83</v>
      </c>
      <c r="I768" s="93">
        <v>58396.08</v>
      </c>
      <c r="J768" s="93">
        <v>25710.080000000002</v>
      </c>
      <c r="K768" s="93">
        <v>1237.67</v>
      </c>
      <c r="L768" s="43">
        <v>8.4061058251088383</v>
      </c>
      <c r="M768" s="43">
        <v>11.5</v>
      </c>
      <c r="N768" s="43">
        <v>5.1780969797549332</v>
      </c>
      <c r="O768" s="43">
        <v>11.300858290723157</v>
      </c>
      <c r="P768" s="94"/>
      <c r="Q768" s="94"/>
      <c r="R768" s="94">
        <v>1</v>
      </c>
    </row>
    <row r="769" spans="1:18" ht="24">
      <c r="A769" s="90">
        <v>503</v>
      </c>
      <c r="B769" s="87" t="s">
        <v>1421</v>
      </c>
      <c r="C769" s="91" t="s">
        <v>1422</v>
      </c>
      <c r="D769" s="92">
        <v>12067.62</v>
      </c>
      <c r="E769" s="92">
        <v>6043.52</v>
      </c>
      <c r="F769" s="92">
        <v>5895.27</v>
      </c>
      <c r="G769" s="92">
        <v>128.83000000000001</v>
      </c>
      <c r="H769" s="93">
        <v>101478.23</v>
      </c>
      <c r="I769" s="93">
        <v>69500.479999999996</v>
      </c>
      <c r="J769" s="93">
        <v>30518.01</v>
      </c>
      <c r="K769" s="93">
        <v>1459.74</v>
      </c>
      <c r="L769" s="43">
        <v>8.4091336982768752</v>
      </c>
      <c r="M769" s="43">
        <v>11.499999999999998</v>
      </c>
      <c r="N769" s="43">
        <v>5.176694197212341</v>
      </c>
      <c r="O769" s="43">
        <v>11.330745944267639</v>
      </c>
      <c r="P769" s="94"/>
      <c r="Q769" s="94"/>
      <c r="R769" s="94">
        <v>1</v>
      </c>
    </row>
    <row r="770" spans="1:18" ht="24">
      <c r="A770" s="90">
        <v>504</v>
      </c>
      <c r="B770" s="87" t="s">
        <v>1423</v>
      </c>
      <c r="C770" s="91" t="s">
        <v>1424</v>
      </c>
      <c r="D770" s="92">
        <v>14244.82</v>
      </c>
      <c r="E770" s="92">
        <v>7145.44</v>
      </c>
      <c r="F770" s="92">
        <v>6948.51</v>
      </c>
      <c r="G770" s="92">
        <v>150.87</v>
      </c>
      <c r="H770" s="93">
        <v>119878.01</v>
      </c>
      <c r="I770" s="93">
        <v>82172.56</v>
      </c>
      <c r="J770" s="93">
        <v>35992.25</v>
      </c>
      <c r="K770" s="93">
        <v>1713.2</v>
      </c>
      <c r="L770" s="43">
        <v>8.4155510564542055</v>
      </c>
      <c r="M770" s="43">
        <v>11.5</v>
      </c>
      <c r="N770" s="43">
        <v>5.1798515077333125</v>
      </c>
      <c r="O770" s="43">
        <v>11.355471598064559</v>
      </c>
      <c r="P770" s="94"/>
      <c r="Q770" s="94"/>
      <c r="R770" s="94">
        <v>1</v>
      </c>
    </row>
    <row r="771" spans="1:18" ht="24">
      <c r="A771" s="90">
        <v>505</v>
      </c>
      <c r="B771" s="87" t="s">
        <v>1425</v>
      </c>
      <c r="C771" s="91" t="s">
        <v>1426</v>
      </c>
      <c r="D771" s="92">
        <v>17849.560000000001</v>
      </c>
      <c r="E771" s="92">
        <v>8924.56</v>
      </c>
      <c r="F771" s="92">
        <v>8733.0499999999993</v>
      </c>
      <c r="G771" s="92">
        <v>191.95</v>
      </c>
      <c r="H771" s="93">
        <v>150001.96</v>
      </c>
      <c r="I771" s="93">
        <v>102632.44</v>
      </c>
      <c r="J771" s="93">
        <v>45198.87</v>
      </c>
      <c r="K771" s="93">
        <v>2170.65</v>
      </c>
      <c r="L771" s="43">
        <v>8.4036782979524407</v>
      </c>
      <c r="M771" s="43">
        <v>11.500000000000002</v>
      </c>
      <c r="N771" s="43">
        <v>5.1756110408162108</v>
      </c>
      <c r="O771" s="43">
        <v>11.308413649387862</v>
      </c>
      <c r="P771" s="94"/>
      <c r="Q771" s="94"/>
      <c r="R771" s="94">
        <v>1</v>
      </c>
    </row>
    <row r="772" spans="1:18" ht="36">
      <c r="A772" s="90">
        <v>506</v>
      </c>
      <c r="B772" s="87" t="s">
        <v>1427</v>
      </c>
      <c r="C772" s="91" t="s">
        <v>1428</v>
      </c>
      <c r="D772" s="92">
        <v>2745.54</v>
      </c>
      <c r="E772" s="92">
        <v>1674.76</v>
      </c>
      <c r="F772" s="92">
        <v>1037.28</v>
      </c>
      <c r="G772" s="92">
        <v>33.5</v>
      </c>
      <c r="H772" s="93">
        <v>25128.97</v>
      </c>
      <c r="I772" s="93">
        <v>19259.740000000002</v>
      </c>
      <c r="J772" s="93">
        <v>5483.98</v>
      </c>
      <c r="K772" s="93">
        <v>385.25</v>
      </c>
      <c r="L772" s="43">
        <v>9.1526512088696581</v>
      </c>
      <c r="M772" s="43">
        <v>11.500000000000002</v>
      </c>
      <c r="N772" s="43">
        <v>5.2868849298164431</v>
      </c>
      <c r="O772" s="43">
        <v>11.5</v>
      </c>
      <c r="P772" s="94"/>
      <c r="Q772" s="94"/>
      <c r="R772" s="94">
        <v>1</v>
      </c>
    </row>
    <row r="773" spans="1:18" ht="12.75" customHeight="1">
      <c r="A773" s="628" t="s">
        <v>1429</v>
      </c>
      <c r="B773" s="629"/>
      <c r="C773" s="629"/>
      <c r="D773" s="629"/>
      <c r="E773" s="629"/>
      <c r="F773" s="629"/>
      <c r="G773" s="629"/>
      <c r="H773" s="629"/>
      <c r="I773" s="629"/>
      <c r="J773" s="629"/>
      <c r="K773" s="629"/>
      <c r="L773" s="629"/>
      <c r="M773" s="629"/>
      <c r="N773" s="629"/>
      <c r="O773" s="629"/>
      <c r="P773" s="629"/>
      <c r="Q773" s="629"/>
      <c r="R773" s="629"/>
    </row>
    <row r="774" spans="1:18" ht="12.75" customHeight="1">
      <c r="A774" s="628" t="s">
        <v>1430</v>
      </c>
      <c r="B774" s="629"/>
      <c r="C774" s="629"/>
      <c r="D774" s="629"/>
      <c r="E774" s="629"/>
      <c r="F774" s="629"/>
      <c r="G774" s="629"/>
      <c r="H774" s="629"/>
      <c r="I774" s="629"/>
      <c r="J774" s="629"/>
      <c r="K774" s="629"/>
      <c r="L774" s="629"/>
      <c r="M774" s="629"/>
      <c r="N774" s="629"/>
      <c r="O774" s="629"/>
      <c r="P774" s="629"/>
      <c r="Q774" s="629"/>
      <c r="R774" s="629"/>
    </row>
    <row r="775" spans="1:18" ht="36">
      <c r="A775" s="90">
        <v>507</v>
      </c>
      <c r="B775" s="87" t="s">
        <v>1431</v>
      </c>
      <c r="C775" s="91" t="s">
        <v>1432</v>
      </c>
      <c r="D775" s="92">
        <v>23841.17</v>
      </c>
      <c r="E775" s="92">
        <v>6124.17</v>
      </c>
      <c r="F775" s="92">
        <v>16784.77</v>
      </c>
      <c r="G775" s="92">
        <v>932.23</v>
      </c>
      <c r="H775" s="93">
        <v>166607.78</v>
      </c>
      <c r="I775" s="93">
        <v>70430.62</v>
      </c>
      <c r="J775" s="93">
        <v>90305.33</v>
      </c>
      <c r="K775" s="93">
        <v>5871.83</v>
      </c>
      <c r="L775" s="43">
        <v>6.9882384127960169</v>
      </c>
      <c r="M775" s="43">
        <v>11.500435161009573</v>
      </c>
      <c r="N775" s="43">
        <v>5.3801946645679388</v>
      </c>
      <c r="O775" s="43">
        <v>6.2986923827810735</v>
      </c>
      <c r="P775" s="94"/>
      <c r="Q775" s="94"/>
      <c r="R775" s="94">
        <v>1</v>
      </c>
    </row>
    <row r="776" spans="1:18" ht="36">
      <c r="A776" s="90">
        <v>508</v>
      </c>
      <c r="B776" s="87" t="s">
        <v>1433</v>
      </c>
      <c r="C776" s="91" t="s">
        <v>1434</v>
      </c>
      <c r="D776" s="92">
        <v>38049.43</v>
      </c>
      <c r="E776" s="92">
        <v>9341.3700000000008</v>
      </c>
      <c r="F776" s="92">
        <v>27380.63</v>
      </c>
      <c r="G776" s="92">
        <v>1327.43</v>
      </c>
      <c r="H776" s="93">
        <v>263090.59999999998</v>
      </c>
      <c r="I776" s="93">
        <v>107429.82</v>
      </c>
      <c r="J776" s="93">
        <v>147331.84</v>
      </c>
      <c r="K776" s="93">
        <v>8328.94</v>
      </c>
      <c r="L776" s="43">
        <v>6.914442607944455</v>
      </c>
      <c r="M776" s="43">
        <v>11.500435161009573</v>
      </c>
      <c r="N776" s="43">
        <v>5.3808783800811009</v>
      </c>
      <c r="O776" s="43">
        <v>6.2744852835931084</v>
      </c>
      <c r="P776" s="94"/>
      <c r="Q776" s="94"/>
      <c r="R776" s="94">
        <v>1</v>
      </c>
    </row>
    <row r="777" spans="1:18" ht="36">
      <c r="A777" s="90">
        <v>509</v>
      </c>
      <c r="B777" s="87" t="s">
        <v>1435</v>
      </c>
      <c r="C777" s="91" t="s">
        <v>1436</v>
      </c>
      <c r="D777" s="92">
        <v>40873.370000000003</v>
      </c>
      <c r="E777" s="92">
        <v>10007.790000000001</v>
      </c>
      <c r="F777" s="92">
        <v>29460.85</v>
      </c>
      <c r="G777" s="92">
        <v>1404.73</v>
      </c>
      <c r="H777" s="93">
        <v>282435.58</v>
      </c>
      <c r="I777" s="93">
        <v>115093.94</v>
      </c>
      <c r="J777" s="93">
        <v>158526.97</v>
      </c>
      <c r="K777" s="93">
        <v>8814.67</v>
      </c>
      <c r="L777" s="43">
        <v>6.9100145155635566</v>
      </c>
      <c r="M777" s="43">
        <v>11.500435161009573</v>
      </c>
      <c r="N777" s="43">
        <v>5.3809367346834867</v>
      </c>
      <c r="O777" s="43">
        <v>6.2749923472838196</v>
      </c>
      <c r="P777" s="94"/>
      <c r="Q777" s="94"/>
      <c r="R777" s="94">
        <v>1</v>
      </c>
    </row>
    <row r="778" spans="1:18" ht="36">
      <c r="A778" s="90">
        <v>510</v>
      </c>
      <c r="B778" s="87" t="s">
        <v>1437</v>
      </c>
      <c r="C778" s="91" t="s">
        <v>1438</v>
      </c>
      <c r="D778" s="92">
        <v>43817.760000000002</v>
      </c>
      <c r="E778" s="92">
        <v>10651.23</v>
      </c>
      <c r="F778" s="92">
        <v>31690.73</v>
      </c>
      <c r="G778" s="92">
        <v>1475.8</v>
      </c>
      <c r="H778" s="93">
        <v>302283.64</v>
      </c>
      <c r="I778" s="93">
        <v>122493.78</v>
      </c>
      <c r="J778" s="93">
        <v>170524.58</v>
      </c>
      <c r="K778" s="93">
        <v>9265.2800000000007</v>
      </c>
      <c r="L778" s="43">
        <v>6.8986557049013912</v>
      </c>
      <c r="M778" s="43">
        <v>11.500435161009573</v>
      </c>
      <c r="N778" s="43">
        <v>5.380897820908511</v>
      </c>
      <c r="O778" s="43">
        <v>6.2781406694674082</v>
      </c>
      <c r="P778" s="94"/>
      <c r="Q778" s="94"/>
      <c r="R778" s="94">
        <v>1</v>
      </c>
    </row>
    <row r="779" spans="1:18" ht="36">
      <c r="A779" s="90">
        <v>511</v>
      </c>
      <c r="B779" s="87" t="s">
        <v>1439</v>
      </c>
      <c r="C779" s="91" t="s">
        <v>1440</v>
      </c>
      <c r="D779" s="92">
        <v>46420.29</v>
      </c>
      <c r="E779" s="92">
        <v>11294.67</v>
      </c>
      <c r="F779" s="92">
        <v>33589.81</v>
      </c>
      <c r="G779" s="92">
        <v>1535.81</v>
      </c>
      <c r="H779" s="93">
        <v>320298.03000000003</v>
      </c>
      <c r="I779" s="93">
        <v>129893.62</v>
      </c>
      <c r="J779" s="93">
        <v>180743.94</v>
      </c>
      <c r="K779" s="93">
        <v>9660.4699999999993</v>
      </c>
      <c r="L779" s="43">
        <v>6.8999575401187716</v>
      </c>
      <c r="M779" s="43">
        <v>11.500435161009573</v>
      </c>
      <c r="N779" s="43">
        <v>5.380915819410709</v>
      </c>
      <c r="O779" s="43">
        <v>6.2901465676092743</v>
      </c>
      <c r="P779" s="94"/>
      <c r="Q779" s="94"/>
      <c r="R779" s="94">
        <v>1</v>
      </c>
    </row>
    <row r="780" spans="1:18" ht="36">
      <c r="A780" s="90">
        <v>512</v>
      </c>
      <c r="B780" s="87" t="s">
        <v>1441</v>
      </c>
      <c r="C780" s="91" t="s">
        <v>1442</v>
      </c>
      <c r="D780" s="92">
        <v>49223.67</v>
      </c>
      <c r="E780" s="92">
        <v>11949.6</v>
      </c>
      <c r="F780" s="92">
        <v>35666.879999999997</v>
      </c>
      <c r="G780" s="92">
        <v>1607.19</v>
      </c>
      <c r="H780" s="93">
        <v>339461.79</v>
      </c>
      <c r="I780" s="93">
        <v>137425.60000000001</v>
      </c>
      <c r="J780" s="93">
        <v>191921.75</v>
      </c>
      <c r="K780" s="93">
        <v>10114.44</v>
      </c>
      <c r="L780" s="43">
        <v>6.8963120791277852</v>
      </c>
      <c r="M780" s="43">
        <v>11.500435161009573</v>
      </c>
      <c r="N780" s="43">
        <v>5.3809514597295873</v>
      </c>
      <c r="O780" s="43">
        <v>6.2932447314878761</v>
      </c>
      <c r="P780" s="94"/>
      <c r="Q780" s="94"/>
      <c r="R780" s="94">
        <v>1</v>
      </c>
    </row>
    <row r="781" spans="1:18" ht="36">
      <c r="A781" s="90">
        <v>513</v>
      </c>
      <c r="B781" s="87" t="s">
        <v>1443</v>
      </c>
      <c r="C781" s="91" t="s">
        <v>1444</v>
      </c>
      <c r="D781" s="92">
        <v>52031.63</v>
      </c>
      <c r="E781" s="92">
        <v>12604.53</v>
      </c>
      <c r="F781" s="92">
        <v>37742.910000000003</v>
      </c>
      <c r="G781" s="92">
        <v>1684.19</v>
      </c>
      <c r="H781" s="93">
        <v>358648.28</v>
      </c>
      <c r="I781" s="93">
        <v>144957.57999999999</v>
      </c>
      <c r="J781" s="93">
        <v>203093.77</v>
      </c>
      <c r="K781" s="93">
        <v>10596.93</v>
      </c>
      <c r="L781" s="43">
        <v>6.8928895750527142</v>
      </c>
      <c r="M781" s="43">
        <v>11.500435161009571</v>
      </c>
      <c r="N781" s="43">
        <v>5.3809780432934282</v>
      </c>
      <c r="O781" s="43">
        <v>6.2920038712971813</v>
      </c>
      <c r="P781" s="94"/>
      <c r="Q781" s="94"/>
      <c r="R781" s="94">
        <v>1</v>
      </c>
    </row>
    <row r="782" spans="1:18" ht="36">
      <c r="A782" s="90">
        <v>514</v>
      </c>
      <c r="B782" s="87" t="s">
        <v>1445</v>
      </c>
      <c r="C782" s="91" t="s">
        <v>1446</v>
      </c>
      <c r="D782" s="92">
        <v>55004.86</v>
      </c>
      <c r="E782" s="92">
        <v>13247.97</v>
      </c>
      <c r="F782" s="92">
        <v>39995.86</v>
      </c>
      <c r="G782" s="92">
        <v>1761.03</v>
      </c>
      <c r="H782" s="93">
        <v>378653.22</v>
      </c>
      <c r="I782" s="93">
        <v>152357.42000000001</v>
      </c>
      <c r="J782" s="93">
        <v>215218.45</v>
      </c>
      <c r="K782" s="93">
        <v>11077.35</v>
      </c>
      <c r="L782" s="43">
        <v>6.8839957051067842</v>
      </c>
      <c r="M782" s="43">
        <v>11.500435161009575</v>
      </c>
      <c r="N782" s="43">
        <v>5.381018185382187</v>
      </c>
      <c r="O782" s="43">
        <v>6.2902676274680163</v>
      </c>
      <c r="P782" s="94"/>
      <c r="Q782" s="94"/>
      <c r="R782" s="94">
        <v>1</v>
      </c>
    </row>
    <row r="783" spans="1:18" ht="36">
      <c r="A783" s="90">
        <v>515</v>
      </c>
      <c r="B783" s="87" t="s">
        <v>1447</v>
      </c>
      <c r="C783" s="91" t="s">
        <v>1448</v>
      </c>
      <c r="D783" s="92">
        <v>57501.599999999999</v>
      </c>
      <c r="E783" s="92">
        <v>13776.51</v>
      </c>
      <c r="F783" s="92">
        <v>41906.49</v>
      </c>
      <c r="G783" s="92">
        <v>1818.6</v>
      </c>
      <c r="H783" s="93">
        <v>395382.13</v>
      </c>
      <c r="I783" s="93">
        <v>158435.85999999999</v>
      </c>
      <c r="J783" s="93">
        <v>225501.36</v>
      </c>
      <c r="K783" s="93">
        <v>11444.91</v>
      </c>
      <c r="L783" s="43">
        <v>6.8760196238017723</v>
      </c>
      <c r="M783" s="43">
        <v>11.500435161009573</v>
      </c>
      <c r="N783" s="43">
        <v>5.3810605469463084</v>
      </c>
      <c r="O783" s="43">
        <v>6.2932530517980867</v>
      </c>
      <c r="P783" s="94"/>
      <c r="Q783" s="94"/>
      <c r="R783" s="94">
        <v>1</v>
      </c>
    </row>
    <row r="784" spans="1:18" ht="36">
      <c r="A784" s="90">
        <v>516</v>
      </c>
      <c r="B784" s="87" t="s">
        <v>1449</v>
      </c>
      <c r="C784" s="91" t="s">
        <v>1450</v>
      </c>
      <c r="D784" s="92">
        <v>60638.5</v>
      </c>
      <c r="E784" s="92">
        <v>14557.83</v>
      </c>
      <c r="F784" s="92">
        <v>44170.99</v>
      </c>
      <c r="G784" s="92">
        <v>1909.68</v>
      </c>
      <c r="H784" s="93">
        <v>417127.16</v>
      </c>
      <c r="I784" s="93">
        <v>167421.38</v>
      </c>
      <c r="J784" s="93">
        <v>237689.59</v>
      </c>
      <c r="K784" s="93">
        <v>12016.19</v>
      </c>
      <c r="L784" s="43">
        <v>6.8789162001038937</v>
      </c>
      <c r="M784" s="43">
        <v>11.500435161009573</v>
      </c>
      <c r="N784" s="43">
        <v>5.3811243533368849</v>
      </c>
      <c r="O784" s="43">
        <v>6.2922531523606047</v>
      </c>
      <c r="P784" s="94"/>
      <c r="Q784" s="94"/>
      <c r="R784" s="94">
        <v>1</v>
      </c>
    </row>
    <row r="785" spans="1:18" ht="36">
      <c r="A785" s="90">
        <v>517</v>
      </c>
      <c r="B785" s="87" t="s">
        <v>1451</v>
      </c>
      <c r="C785" s="91" t="s">
        <v>1452</v>
      </c>
      <c r="D785" s="92">
        <v>63331.98</v>
      </c>
      <c r="E785" s="92">
        <v>15201.27</v>
      </c>
      <c r="F785" s="92">
        <v>46155.74</v>
      </c>
      <c r="G785" s="92">
        <v>1974.97</v>
      </c>
      <c r="H785" s="93">
        <v>435617.22</v>
      </c>
      <c r="I785" s="93">
        <v>174821.22</v>
      </c>
      <c r="J785" s="93">
        <v>248359.08</v>
      </c>
      <c r="K785" s="93">
        <v>12436.92</v>
      </c>
      <c r="L785" s="43">
        <v>6.8783136102803031</v>
      </c>
      <c r="M785" s="43">
        <v>11.500435161009573</v>
      </c>
      <c r="N785" s="43">
        <v>5.3808926040401479</v>
      </c>
      <c r="O785" s="43">
        <v>6.297270338283619</v>
      </c>
      <c r="P785" s="94"/>
      <c r="Q785" s="94"/>
      <c r="R785" s="94">
        <v>1</v>
      </c>
    </row>
    <row r="786" spans="1:18" ht="36">
      <c r="A786" s="90">
        <v>518</v>
      </c>
      <c r="B786" s="87" t="s">
        <v>1453</v>
      </c>
      <c r="C786" s="91" t="s">
        <v>1454</v>
      </c>
      <c r="D786" s="92">
        <v>66174.73</v>
      </c>
      <c r="E786" s="92">
        <v>15867.69</v>
      </c>
      <c r="F786" s="92">
        <v>48254.85</v>
      </c>
      <c r="G786" s="92">
        <v>2052.19</v>
      </c>
      <c r="H786" s="93">
        <v>455065.44</v>
      </c>
      <c r="I786" s="93">
        <v>182485.34</v>
      </c>
      <c r="J786" s="93">
        <v>259658.17</v>
      </c>
      <c r="K786" s="93">
        <v>12921.93</v>
      </c>
      <c r="L786" s="43">
        <v>6.8767252998236641</v>
      </c>
      <c r="M786" s="43">
        <v>11.500435161009573</v>
      </c>
      <c r="N786" s="43">
        <v>5.380975591054578</v>
      </c>
      <c r="O786" s="43">
        <v>6.2966538186035406</v>
      </c>
      <c r="P786" s="94"/>
      <c r="Q786" s="94"/>
      <c r="R786" s="94">
        <v>1</v>
      </c>
    </row>
    <row r="787" spans="1:18" ht="36">
      <c r="A787" s="90">
        <v>519</v>
      </c>
      <c r="B787" s="87" t="s">
        <v>1455</v>
      </c>
      <c r="C787" s="91" t="s">
        <v>1456</v>
      </c>
      <c r="D787" s="92">
        <v>25304.57</v>
      </c>
      <c r="E787" s="92">
        <v>6273.54</v>
      </c>
      <c r="F787" s="92">
        <v>17842.88</v>
      </c>
      <c r="G787" s="92">
        <v>1188.1500000000001</v>
      </c>
      <c r="H787" s="93">
        <v>175383.07</v>
      </c>
      <c r="I787" s="93">
        <v>72148.44</v>
      </c>
      <c r="J787" s="93">
        <v>96045.27</v>
      </c>
      <c r="K787" s="93">
        <v>7189.36</v>
      </c>
      <c r="L787" s="43">
        <v>6.9308852116435888</v>
      </c>
      <c r="M787" s="43">
        <v>11.500435161009573</v>
      </c>
      <c r="N787" s="43">
        <v>5.382834497569899</v>
      </c>
      <c r="O787" s="43">
        <v>6.0508858309136047</v>
      </c>
      <c r="P787" s="94"/>
      <c r="Q787" s="94"/>
      <c r="R787" s="94">
        <v>1</v>
      </c>
    </row>
    <row r="788" spans="1:18" ht="36">
      <c r="A788" s="90">
        <v>520</v>
      </c>
      <c r="B788" s="87" t="s">
        <v>1457</v>
      </c>
      <c r="C788" s="91" t="s">
        <v>1458</v>
      </c>
      <c r="D788" s="92">
        <v>39754.44</v>
      </c>
      <c r="E788" s="92">
        <v>9536.7000000000007</v>
      </c>
      <c r="F788" s="92">
        <v>28560.42</v>
      </c>
      <c r="G788" s="92">
        <v>1657.32</v>
      </c>
      <c r="H788" s="93">
        <v>273445.64</v>
      </c>
      <c r="I788" s="93">
        <v>109676.2</v>
      </c>
      <c r="J788" s="93">
        <v>153741.82999999999</v>
      </c>
      <c r="K788" s="93">
        <v>10027.61</v>
      </c>
      <c r="L788" s="43">
        <v>6.8783672968352718</v>
      </c>
      <c r="M788" s="43">
        <v>11.500435161009573</v>
      </c>
      <c r="N788" s="43">
        <v>5.3830381345932583</v>
      </c>
      <c r="O788" s="43">
        <v>6.0504971882316037</v>
      </c>
      <c r="P788" s="94"/>
      <c r="Q788" s="94"/>
      <c r="R788" s="94">
        <v>1</v>
      </c>
    </row>
    <row r="789" spans="1:18" ht="36">
      <c r="A789" s="90">
        <v>521</v>
      </c>
      <c r="B789" s="87" t="s">
        <v>1459</v>
      </c>
      <c r="C789" s="91" t="s">
        <v>1460</v>
      </c>
      <c r="D789" s="92">
        <v>42933.21</v>
      </c>
      <c r="E789" s="92">
        <v>10203.120000000001</v>
      </c>
      <c r="F789" s="92">
        <v>30939.26</v>
      </c>
      <c r="G789" s="92">
        <v>1790.83</v>
      </c>
      <c r="H789" s="93">
        <v>294698.48</v>
      </c>
      <c r="I789" s="93">
        <v>117340.32</v>
      </c>
      <c r="J789" s="93">
        <v>166559.67999999999</v>
      </c>
      <c r="K789" s="93">
        <v>10798.48</v>
      </c>
      <c r="L789" s="43">
        <v>6.8641147493979595</v>
      </c>
      <c r="M789" s="43">
        <v>11.500435161009573</v>
      </c>
      <c r="N789" s="43">
        <v>5.3834409743478027</v>
      </c>
      <c r="O789" s="43">
        <v>6.0298744157736914</v>
      </c>
      <c r="P789" s="94"/>
      <c r="Q789" s="94"/>
      <c r="R789" s="94">
        <v>1</v>
      </c>
    </row>
    <row r="790" spans="1:18" ht="36">
      <c r="A790" s="90">
        <v>522</v>
      </c>
      <c r="B790" s="87" t="s">
        <v>1461</v>
      </c>
      <c r="C790" s="91" t="s">
        <v>1462</v>
      </c>
      <c r="D790" s="92">
        <v>45627.38</v>
      </c>
      <c r="E790" s="92">
        <v>10858.05</v>
      </c>
      <c r="F790" s="92">
        <v>32924.019999999997</v>
      </c>
      <c r="G790" s="92">
        <v>1845.31</v>
      </c>
      <c r="H790" s="93">
        <v>313268.07</v>
      </c>
      <c r="I790" s="93">
        <v>124872.3</v>
      </c>
      <c r="J790" s="93">
        <v>177229.16</v>
      </c>
      <c r="K790" s="93">
        <v>11166.61</v>
      </c>
      <c r="L790" s="43">
        <v>6.8657913296796798</v>
      </c>
      <c r="M790" s="43">
        <v>11.500435161009575</v>
      </c>
      <c r="N790" s="43">
        <v>5.3829744970389406</v>
      </c>
      <c r="O790" s="43">
        <v>6.0513463862440462</v>
      </c>
      <c r="P790" s="94"/>
      <c r="Q790" s="94"/>
      <c r="R790" s="94">
        <v>1</v>
      </c>
    </row>
    <row r="791" spans="1:18" ht="36">
      <c r="A791" s="90">
        <v>523</v>
      </c>
      <c r="B791" s="87" t="s">
        <v>1463</v>
      </c>
      <c r="C791" s="91" t="s">
        <v>1464</v>
      </c>
      <c r="D791" s="92">
        <v>48817.86</v>
      </c>
      <c r="E791" s="92">
        <v>11535.96</v>
      </c>
      <c r="F791" s="92">
        <v>35302.85</v>
      </c>
      <c r="G791" s="92">
        <v>1979.05</v>
      </c>
      <c r="H791" s="93">
        <v>334655.67</v>
      </c>
      <c r="I791" s="93">
        <v>132668.56</v>
      </c>
      <c r="J791" s="93">
        <v>190047</v>
      </c>
      <c r="K791" s="93">
        <v>11940.11</v>
      </c>
      <c r="L791" s="43">
        <v>6.855189268845459</v>
      </c>
      <c r="M791" s="43">
        <v>11.500435161009575</v>
      </c>
      <c r="N791" s="43">
        <v>5.3833330736753551</v>
      </c>
      <c r="O791" s="43">
        <v>6.033253328617266</v>
      </c>
      <c r="P791" s="94"/>
      <c r="Q791" s="94"/>
      <c r="R791" s="94">
        <v>1</v>
      </c>
    </row>
    <row r="792" spans="1:18" ht="36">
      <c r="A792" s="90">
        <v>524</v>
      </c>
      <c r="B792" s="87" t="s">
        <v>1465</v>
      </c>
      <c r="C792" s="91" t="s">
        <v>1466</v>
      </c>
      <c r="D792" s="92">
        <v>51535.14</v>
      </c>
      <c r="E792" s="92">
        <v>12190.89</v>
      </c>
      <c r="F792" s="92">
        <v>37310.69</v>
      </c>
      <c r="G792" s="92">
        <v>2033.56</v>
      </c>
      <c r="H792" s="93">
        <v>353352.65</v>
      </c>
      <c r="I792" s="93">
        <v>140200.54</v>
      </c>
      <c r="J792" s="93">
        <v>200843.57</v>
      </c>
      <c r="K792" s="93">
        <v>12308.54</v>
      </c>
      <c r="L792" s="43">
        <v>6.8565380825588136</v>
      </c>
      <c r="M792" s="43">
        <v>11.500435161009575</v>
      </c>
      <c r="N792" s="43">
        <v>5.3830033698117079</v>
      </c>
      <c r="O792" s="43">
        <v>6.0527056000314721</v>
      </c>
      <c r="P792" s="94"/>
      <c r="Q792" s="94"/>
      <c r="R792" s="94">
        <v>1</v>
      </c>
    </row>
    <row r="793" spans="1:18" ht="36">
      <c r="A793" s="90">
        <v>525</v>
      </c>
      <c r="B793" s="87" t="s">
        <v>1467</v>
      </c>
      <c r="C793" s="91" t="s">
        <v>1468</v>
      </c>
      <c r="D793" s="92">
        <v>54382.86</v>
      </c>
      <c r="E793" s="92">
        <v>12834.33</v>
      </c>
      <c r="F793" s="92">
        <v>39421.33</v>
      </c>
      <c r="G793" s="92">
        <v>2127.1999999999998</v>
      </c>
      <c r="H793" s="93">
        <v>372680.53</v>
      </c>
      <c r="I793" s="93">
        <v>147600.38</v>
      </c>
      <c r="J793" s="93">
        <v>212206.22</v>
      </c>
      <c r="K793" s="93">
        <v>12873.93</v>
      </c>
      <c r="L793" s="43">
        <v>6.8529042054794473</v>
      </c>
      <c r="M793" s="43">
        <v>11.500435161009573</v>
      </c>
      <c r="N793" s="43">
        <v>5.383030455847126</v>
      </c>
      <c r="O793" s="43">
        <v>6.0520543437382477</v>
      </c>
      <c r="P793" s="94"/>
      <c r="Q793" s="94"/>
      <c r="R793" s="94">
        <v>1</v>
      </c>
    </row>
    <row r="794" spans="1:18" ht="36">
      <c r="A794" s="90">
        <v>526</v>
      </c>
      <c r="B794" s="87" t="s">
        <v>1469</v>
      </c>
      <c r="C794" s="91" t="s">
        <v>1470</v>
      </c>
      <c r="D794" s="92">
        <v>57196.97</v>
      </c>
      <c r="E794" s="92">
        <v>13500.75</v>
      </c>
      <c r="F794" s="92">
        <v>41497.35</v>
      </c>
      <c r="G794" s="92">
        <v>2198.87</v>
      </c>
      <c r="H794" s="93">
        <v>391973.86</v>
      </c>
      <c r="I794" s="93">
        <v>155264.5</v>
      </c>
      <c r="J794" s="93">
        <v>223378.23</v>
      </c>
      <c r="K794" s="93">
        <v>13331.13</v>
      </c>
      <c r="L794" s="43">
        <v>6.8530528802487263</v>
      </c>
      <c r="M794" s="43">
        <v>11.500435161009573</v>
      </c>
      <c r="N794" s="43">
        <v>5.3829516824568318</v>
      </c>
      <c r="O794" s="43">
        <v>6.0627185781787913</v>
      </c>
      <c r="P794" s="94"/>
      <c r="Q794" s="94"/>
      <c r="R794" s="94">
        <v>1</v>
      </c>
    </row>
    <row r="795" spans="1:18" ht="36">
      <c r="A795" s="90">
        <v>527</v>
      </c>
      <c r="B795" s="87" t="s">
        <v>1471</v>
      </c>
      <c r="C795" s="91" t="s">
        <v>1472</v>
      </c>
      <c r="D795" s="92">
        <v>60581.03</v>
      </c>
      <c r="E795" s="92">
        <v>14190.15</v>
      </c>
      <c r="F795" s="92">
        <v>44030.05</v>
      </c>
      <c r="G795" s="92">
        <v>2360.83</v>
      </c>
      <c r="H795" s="93">
        <v>414463.42</v>
      </c>
      <c r="I795" s="93">
        <v>163192.9</v>
      </c>
      <c r="J795" s="93">
        <v>237021.67</v>
      </c>
      <c r="K795" s="93">
        <v>14248.85</v>
      </c>
      <c r="L795" s="43">
        <v>6.8414719921401135</v>
      </c>
      <c r="M795" s="43">
        <v>11.500435161009573</v>
      </c>
      <c r="N795" s="43">
        <v>5.3831796693394622</v>
      </c>
      <c r="O795" s="43">
        <v>6.0355256414057772</v>
      </c>
      <c r="P795" s="94"/>
      <c r="Q795" s="94"/>
      <c r="R795" s="94">
        <v>1</v>
      </c>
    </row>
    <row r="796" spans="1:18" ht="36">
      <c r="A796" s="90">
        <v>528</v>
      </c>
      <c r="B796" s="87" t="s">
        <v>1473</v>
      </c>
      <c r="C796" s="91" t="s">
        <v>1474</v>
      </c>
      <c r="D796" s="92">
        <v>63343.49</v>
      </c>
      <c r="E796" s="92">
        <v>14845.08</v>
      </c>
      <c r="F796" s="92">
        <v>46082.99</v>
      </c>
      <c r="G796" s="92">
        <v>2415.42</v>
      </c>
      <c r="H796" s="93">
        <v>433409.38</v>
      </c>
      <c r="I796" s="93">
        <v>170724.88</v>
      </c>
      <c r="J796" s="93">
        <v>248066.62</v>
      </c>
      <c r="K796" s="93">
        <v>14617.88</v>
      </c>
      <c r="L796" s="43">
        <v>6.8422087257901332</v>
      </c>
      <c r="M796" s="43">
        <v>11.500435161009573</v>
      </c>
      <c r="N796" s="43">
        <v>5.3830409007748852</v>
      </c>
      <c r="O796" s="43">
        <v>6.0518998766260106</v>
      </c>
      <c r="P796" s="94"/>
      <c r="Q796" s="94"/>
      <c r="R796" s="94">
        <v>1</v>
      </c>
    </row>
    <row r="797" spans="1:18" ht="36">
      <c r="A797" s="90">
        <v>529</v>
      </c>
      <c r="B797" s="87" t="s">
        <v>1475</v>
      </c>
      <c r="C797" s="91" t="s">
        <v>1476</v>
      </c>
      <c r="D797" s="92">
        <v>66500.33</v>
      </c>
      <c r="E797" s="92">
        <v>15522.99</v>
      </c>
      <c r="F797" s="92">
        <v>48428.26</v>
      </c>
      <c r="G797" s="92">
        <v>2549.08</v>
      </c>
      <c r="H797" s="93">
        <v>454611.54</v>
      </c>
      <c r="I797" s="93">
        <v>178521.14</v>
      </c>
      <c r="J797" s="93">
        <v>260699.62</v>
      </c>
      <c r="K797" s="93">
        <v>15390.78</v>
      </c>
      <c r="L797" s="43">
        <v>6.8362298352504407</v>
      </c>
      <c r="M797" s="43">
        <v>11.500435161009575</v>
      </c>
      <c r="N797" s="43">
        <v>5.3832126118097161</v>
      </c>
      <c r="O797" s="43">
        <v>6.037778335713277</v>
      </c>
      <c r="P797" s="94"/>
      <c r="Q797" s="94"/>
      <c r="R797" s="94">
        <v>1</v>
      </c>
    </row>
    <row r="798" spans="1:18" ht="36">
      <c r="A798" s="90">
        <v>530</v>
      </c>
      <c r="B798" s="87" t="s">
        <v>1477</v>
      </c>
      <c r="C798" s="91" t="s">
        <v>1478</v>
      </c>
      <c r="D798" s="92">
        <v>69062.350000000006</v>
      </c>
      <c r="E798" s="92">
        <v>16154.94</v>
      </c>
      <c r="F798" s="92">
        <v>50304.27</v>
      </c>
      <c r="G798" s="92">
        <v>2603.14</v>
      </c>
      <c r="H798" s="93">
        <v>472334.66</v>
      </c>
      <c r="I798" s="93">
        <v>185788.84</v>
      </c>
      <c r="J798" s="93">
        <v>270791.90000000002</v>
      </c>
      <c r="K798" s="93">
        <v>15753.92</v>
      </c>
      <c r="L798" s="43">
        <v>6.8392497504066965</v>
      </c>
      <c r="M798" s="43">
        <v>11.500435161009573</v>
      </c>
      <c r="N798" s="43">
        <v>5.3830798061476699</v>
      </c>
      <c r="O798" s="43">
        <v>6.0518911775778488</v>
      </c>
      <c r="P798" s="94"/>
      <c r="Q798" s="94"/>
      <c r="R798" s="94">
        <v>1</v>
      </c>
    </row>
    <row r="799" spans="1:18" ht="36">
      <c r="A799" s="90">
        <v>531</v>
      </c>
      <c r="B799" s="87" t="s">
        <v>1479</v>
      </c>
      <c r="C799" s="91" t="s">
        <v>1480</v>
      </c>
      <c r="D799" s="92">
        <v>26745.98</v>
      </c>
      <c r="E799" s="92">
        <v>6939.96</v>
      </c>
      <c r="F799" s="92">
        <v>18435.919999999998</v>
      </c>
      <c r="G799" s="92">
        <v>1370.1</v>
      </c>
      <c r="H799" s="93">
        <v>187278.23</v>
      </c>
      <c r="I799" s="93">
        <v>79812.56</v>
      </c>
      <c r="J799" s="93">
        <v>99267.6</v>
      </c>
      <c r="K799" s="93">
        <v>8198.07</v>
      </c>
      <c r="L799" s="43">
        <v>7.0021076064515118</v>
      </c>
      <c r="M799" s="43">
        <v>11.500435161009573</v>
      </c>
      <c r="N799" s="43">
        <v>5.3844668451587996</v>
      </c>
      <c r="O799" s="43">
        <v>5.9835559448215463</v>
      </c>
      <c r="P799" s="94"/>
      <c r="Q799" s="94"/>
      <c r="R799" s="94">
        <v>1</v>
      </c>
    </row>
    <row r="800" spans="1:18" ht="36">
      <c r="A800" s="90">
        <v>532</v>
      </c>
      <c r="B800" s="87" t="s">
        <v>1481</v>
      </c>
      <c r="C800" s="91" t="s">
        <v>1482</v>
      </c>
      <c r="D800" s="92">
        <v>43438.73</v>
      </c>
      <c r="E800" s="92">
        <v>10249.08</v>
      </c>
      <c r="F800" s="92">
        <v>31265.15</v>
      </c>
      <c r="G800" s="92">
        <v>1924.5</v>
      </c>
      <c r="H800" s="93">
        <v>297676.07</v>
      </c>
      <c r="I800" s="93">
        <v>117868.88</v>
      </c>
      <c r="J800" s="93">
        <v>168332.57</v>
      </c>
      <c r="K800" s="93">
        <v>11474.62</v>
      </c>
      <c r="L800" s="43">
        <v>6.8527802263095623</v>
      </c>
      <c r="M800" s="43">
        <v>11.500435161009573</v>
      </c>
      <c r="N800" s="43">
        <v>5.3840320612567023</v>
      </c>
      <c r="O800" s="43">
        <v>5.9623902312288912</v>
      </c>
      <c r="P800" s="94"/>
      <c r="Q800" s="94"/>
      <c r="R800" s="94">
        <v>1</v>
      </c>
    </row>
    <row r="801" spans="1:18" ht="36">
      <c r="A801" s="90">
        <v>533</v>
      </c>
      <c r="B801" s="87" t="s">
        <v>1483</v>
      </c>
      <c r="C801" s="91" t="s">
        <v>1484</v>
      </c>
      <c r="D801" s="92">
        <v>46805.56</v>
      </c>
      <c r="E801" s="92">
        <v>10926.99</v>
      </c>
      <c r="F801" s="92">
        <v>33797.85</v>
      </c>
      <c r="G801" s="92">
        <v>2080.7199999999998</v>
      </c>
      <c r="H801" s="93">
        <v>320003.33</v>
      </c>
      <c r="I801" s="93">
        <v>125665.14</v>
      </c>
      <c r="J801" s="93">
        <v>181976</v>
      </c>
      <c r="K801" s="93">
        <v>12362.19</v>
      </c>
      <c r="L801" s="43">
        <v>6.8368657484281785</v>
      </c>
      <c r="M801" s="43">
        <v>11.500435161009573</v>
      </c>
      <c r="N801" s="43">
        <v>5.384247814579922</v>
      </c>
      <c r="O801" s="43">
        <v>5.9413039717021041</v>
      </c>
      <c r="P801" s="94"/>
      <c r="Q801" s="94"/>
      <c r="R801" s="94">
        <v>1</v>
      </c>
    </row>
    <row r="802" spans="1:18" ht="36">
      <c r="A802" s="90">
        <v>534</v>
      </c>
      <c r="B802" s="87" t="s">
        <v>1485</v>
      </c>
      <c r="C802" s="91" t="s">
        <v>1486</v>
      </c>
      <c r="D802" s="92">
        <v>49578.97</v>
      </c>
      <c r="E802" s="92">
        <v>11570.43</v>
      </c>
      <c r="F802" s="92">
        <v>35862.33</v>
      </c>
      <c r="G802" s="92">
        <v>2146.21</v>
      </c>
      <c r="H802" s="93">
        <v>338934.17</v>
      </c>
      <c r="I802" s="93">
        <v>133064.98000000001</v>
      </c>
      <c r="J802" s="93">
        <v>193084.48</v>
      </c>
      <c r="K802" s="93">
        <v>12784.71</v>
      </c>
      <c r="L802" s="43">
        <v>6.8362487159374226</v>
      </c>
      <c r="M802" s="43">
        <v>11.500435161009575</v>
      </c>
      <c r="N802" s="43">
        <v>5.3840472718866845</v>
      </c>
      <c r="O802" s="43">
        <v>5.9568774723815467</v>
      </c>
      <c r="P802" s="94"/>
      <c r="Q802" s="94"/>
      <c r="R802" s="94">
        <v>1</v>
      </c>
    </row>
    <row r="803" spans="1:18" ht="36">
      <c r="A803" s="90">
        <v>535</v>
      </c>
      <c r="B803" s="87" t="s">
        <v>1487</v>
      </c>
      <c r="C803" s="91" t="s">
        <v>1488</v>
      </c>
      <c r="D803" s="92">
        <v>52803.839999999997</v>
      </c>
      <c r="E803" s="92">
        <v>12271.32</v>
      </c>
      <c r="F803" s="92">
        <v>38229.629999999997</v>
      </c>
      <c r="G803" s="92">
        <v>2302.89</v>
      </c>
      <c r="H803" s="93">
        <v>360641.87</v>
      </c>
      <c r="I803" s="93">
        <v>141125.51999999999</v>
      </c>
      <c r="J803" s="93">
        <v>205838.79</v>
      </c>
      <c r="K803" s="93">
        <v>13677.56</v>
      </c>
      <c r="L803" s="43">
        <v>6.829841731207428</v>
      </c>
      <c r="M803" s="43">
        <v>11.500435161009573</v>
      </c>
      <c r="N803" s="43">
        <v>5.3842736641709594</v>
      </c>
      <c r="O803" s="43">
        <v>5.9393023548671451</v>
      </c>
      <c r="P803" s="94"/>
      <c r="Q803" s="94"/>
      <c r="R803" s="94">
        <v>1</v>
      </c>
    </row>
    <row r="804" spans="1:18" ht="36">
      <c r="A804" s="90">
        <v>536</v>
      </c>
      <c r="B804" s="87" t="s">
        <v>1489</v>
      </c>
      <c r="C804" s="91" t="s">
        <v>1490</v>
      </c>
      <c r="D804" s="92">
        <v>55589.01</v>
      </c>
      <c r="E804" s="92">
        <v>12926.25</v>
      </c>
      <c r="F804" s="92">
        <v>40294.11</v>
      </c>
      <c r="G804" s="92">
        <v>2368.65</v>
      </c>
      <c r="H804" s="93">
        <v>379707.8</v>
      </c>
      <c r="I804" s="93">
        <v>148657.5</v>
      </c>
      <c r="J804" s="93">
        <v>216947.28</v>
      </c>
      <c r="K804" s="93">
        <v>14103.02</v>
      </c>
      <c r="L804" s="43">
        <v>6.8306271329530777</v>
      </c>
      <c r="M804" s="43">
        <v>11.500435161009573</v>
      </c>
      <c r="N804" s="43">
        <v>5.3840941020908515</v>
      </c>
      <c r="O804" s="43">
        <v>5.9540328879319446</v>
      </c>
      <c r="P804" s="94"/>
      <c r="Q804" s="94"/>
      <c r="R804" s="94">
        <v>1</v>
      </c>
    </row>
    <row r="805" spans="1:18" ht="36">
      <c r="A805" s="90">
        <v>537</v>
      </c>
      <c r="B805" s="87" t="s">
        <v>1491</v>
      </c>
      <c r="C805" s="91" t="s">
        <v>1492</v>
      </c>
      <c r="D805" s="92">
        <v>58824.68</v>
      </c>
      <c r="E805" s="92">
        <v>13604.16</v>
      </c>
      <c r="F805" s="92">
        <v>42684.49</v>
      </c>
      <c r="G805" s="92">
        <v>2536.0300000000002</v>
      </c>
      <c r="H805" s="93">
        <v>401329.32</v>
      </c>
      <c r="I805" s="93">
        <v>156453.76000000001</v>
      </c>
      <c r="J805" s="93">
        <v>229828.66</v>
      </c>
      <c r="K805" s="93">
        <v>15046.9</v>
      </c>
      <c r="L805" s="43">
        <v>6.8224649925847451</v>
      </c>
      <c r="M805" s="43">
        <v>11.500435161009575</v>
      </c>
      <c r="N805" s="43">
        <v>5.3843599864962659</v>
      </c>
      <c r="O805" s="43">
        <v>5.933250000985792</v>
      </c>
      <c r="P805" s="94"/>
      <c r="Q805" s="94"/>
      <c r="R805" s="94">
        <v>1</v>
      </c>
    </row>
    <row r="806" spans="1:18" ht="36">
      <c r="A806" s="90">
        <v>538</v>
      </c>
      <c r="B806" s="87" t="s">
        <v>1493</v>
      </c>
      <c r="C806" s="91" t="s">
        <v>1494</v>
      </c>
      <c r="D806" s="92">
        <v>61622.68</v>
      </c>
      <c r="E806" s="92">
        <v>14270.58</v>
      </c>
      <c r="F806" s="92">
        <v>44750.02</v>
      </c>
      <c r="G806" s="92">
        <v>2602.08</v>
      </c>
      <c r="H806" s="93">
        <v>420536.39</v>
      </c>
      <c r="I806" s="93">
        <v>164117.88</v>
      </c>
      <c r="J806" s="93">
        <v>240942.92</v>
      </c>
      <c r="K806" s="93">
        <v>15475.59</v>
      </c>
      <c r="L806" s="43">
        <v>6.8243768365802984</v>
      </c>
      <c r="M806" s="43">
        <v>11.500435161009573</v>
      </c>
      <c r="N806" s="43">
        <v>5.3841969232639455</v>
      </c>
      <c r="O806" s="43">
        <v>5.9473920863309351</v>
      </c>
      <c r="P806" s="94"/>
      <c r="Q806" s="94"/>
      <c r="R806" s="94">
        <v>1</v>
      </c>
    </row>
    <row r="807" spans="1:18" ht="36">
      <c r="A807" s="90">
        <v>539</v>
      </c>
      <c r="B807" s="87" t="s">
        <v>1495</v>
      </c>
      <c r="C807" s="91" t="s">
        <v>1496</v>
      </c>
      <c r="D807" s="92">
        <v>65012.85</v>
      </c>
      <c r="E807" s="92">
        <v>14971.47</v>
      </c>
      <c r="F807" s="92">
        <v>47282.720000000001</v>
      </c>
      <c r="G807" s="92">
        <v>2758.66</v>
      </c>
      <c r="H807" s="93">
        <v>443132.33</v>
      </c>
      <c r="I807" s="93">
        <v>172178.42</v>
      </c>
      <c r="J807" s="93">
        <v>254586.35</v>
      </c>
      <c r="K807" s="93">
        <v>16367.56</v>
      </c>
      <c r="L807" s="43">
        <v>6.8160729763423697</v>
      </c>
      <c r="M807" s="43">
        <v>11.500435161009575</v>
      </c>
      <c r="N807" s="43">
        <v>5.3843423136401629</v>
      </c>
      <c r="O807" s="43">
        <v>5.9331559525276765</v>
      </c>
      <c r="P807" s="94"/>
      <c r="Q807" s="94"/>
      <c r="R807" s="94">
        <v>1</v>
      </c>
    </row>
    <row r="808" spans="1:18" ht="36">
      <c r="A808" s="90">
        <v>540</v>
      </c>
      <c r="B808" s="87" t="s">
        <v>1497</v>
      </c>
      <c r="C808" s="91" t="s">
        <v>1498</v>
      </c>
      <c r="D808" s="92">
        <v>67803.53</v>
      </c>
      <c r="E808" s="92">
        <v>15614.91</v>
      </c>
      <c r="F808" s="92">
        <v>49358.74</v>
      </c>
      <c r="G808" s="92">
        <v>2829.88</v>
      </c>
      <c r="H808" s="93">
        <v>462156.12</v>
      </c>
      <c r="I808" s="93">
        <v>179578.26</v>
      </c>
      <c r="J808" s="93">
        <v>265758.38</v>
      </c>
      <c r="K808" s="93">
        <v>16819.48</v>
      </c>
      <c r="L808" s="43">
        <v>6.8161070669919397</v>
      </c>
      <c r="M808" s="43">
        <v>11.500435161009575</v>
      </c>
      <c r="N808" s="43">
        <v>5.384221315211855</v>
      </c>
      <c r="O808" s="43">
        <v>5.9435311744667612</v>
      </c>
      <c r="P808" s="94"/>
      <c r="Q808" s="94"/>
      <c r="R808" s="94">
        <v>1</v>
      </c>
    </row>
    <row r="809" spans="1:18" ht="36">
      <c r="A809" s="90">
        <v>541</v>
      </c>
      <c r="B809" s="87" t="s">
        <v>1499</v>
      </c>
      <c r="C809" s="91" t="s">
        <v>1500</v>
      </c>
      <c r="D809" s="92">
        <v>71033.77</v>
      </c>
      <c r="E809" s="92">
        <v>16304.31</v>
      </c>
      <c r="F809" s="92">
        <v>51737.58</v>
      </c>
      <c r="G809" s="92">
        <v>2991.88</v>
      </c>
      <c r="H809" s="93">
        <v>483820.48</v>
      </c>
      <c r="I809" s="93">
        <v>187506.66</v>
      </c>
      <c r="J809" s="93">
        <v>278576.21999999997</v>
      </c>
      <c r="K809" s="93">
        <v>17737.599999999999</v>
      </c>
      <c r="L809" s="43">
        <v>6.8111333524885413</v>
      </c>
      <c r="M809" s="43">
        <v>11.500435161009575</v>
      </c>
      <c r="N809" s="43">
        <v>5.3844076201476749</v>
      </c>
      <c r="O809" s="43">
        <v>5.9285800232629642</v>
      </c>
      <c r="P809" s="94"/>
      <c r="Q809" s="94"/>
      <c r="R809" s="94">
        <v>1</v>
      </c>
    </row>
    <row r="810" spans="1:18" ht="36">
      <c r="A810" s="90">
        <v>542</v>
      </c>
      <c r="B810" s="87" t="s">
        <v>1501</v>
      </c>
      <c r="C810" s="91" t="s">
        <v>1502</v>
      </c>
      <c r="D810" s="92">
        <v>73801.77</v>
      </c>
      <c r="E810" s="92">
        <v>16959.240000000002</v>
      </c>
      <c r="F810" s="92">
        <v>53790.52</v>
      </c>
      <c r="G810" s="92">
        <v>3052.01</v>
      </c>
      <c r="H810" s="93">
        <v>502794.23999999999</v>
      </c>
      <c r="I810" s="93">
        <v>195038.64</v>
      </c>
      <c r="J810" s="93">
        <v>289621.17</v>
      </c>
      <c r="K810" s="93">
        <v>18134.43</v>
      </c>
      <c r="L810" s="43">
        <v>6.8127666856770501</v>
      </c>
      <c r="M810" s="43">
        <v>11.500435161009573</v>
      </c>
      <c r="N810" s="43">
        <v>5.3842418701287889</v>
      </c>
      <c r="O810" s="43">
        <v>5.941799011143476</v>
      </c>
      <c r="P810" s="94"/>
      <c r="Q810" s="94"/>
      <c r="R810" s="94">
        <v>1</v>
      </c>
    </row>
    <row r="811" spans="1:18" ht="36">
      <c r="A811" s="90">
        <v>543</v>
      </c>
      <c r="B811" s="87" t="s">
        <v>1503</v>
      </c>
      <c r="C811" s="91" t="s">
        <v>1504</v>
      </c>
      <c r="D811" s="92">
        <v>31456.04</v>
      </c>
      <c r="E811" s="92">
        <v>7319.13</v>
      </c>
      <c r="F811" s="92">
        <v>22236.52</v>
      </c>
      <c r="G811" s="92">
        <v>1900.39</v>
      </c>
      <c r="H811" s="93">
        <v>214916.45</v>
      </c>
      <c r="I811" s="93">
        <v>84173.18</v>
      </c>
      <c r="J811" s="93">
        <v>119806.22</v>
      </c>
      <c r="K811" s="93">
        <v>10937.05</v>
      </c>
      <c r="L811" s="43">
        <v>6.8322792697364321</v>
      </c>
      <c r="M811" s="43">
        <v>11.500435161009573</v>
      </c>
      <c r="N811" s="43">
        <v>5.3878133808707478</v>
      </c>
      <c r="O811" s="43">
        <v>5.7551607827866906</v>
      </c>
      <c r="P811" s="94"/>
      <c r="Q811" s="94"/>
      <c r="R811" s="94">
        <v>1</v>
      </c>
    </row>
    <row r="812" spans="1:18" ht="36">
      <c r="A812" s="90">
        <v>544</v>
      </c>
      <c r="B812" s="87" t="s">
        <v>1505</v>
      </c>
      <c r="C812" s="91" t="s">
        <v>1506</v>
      </c>
      <c r="D812" s="92">
        <v>48866.29</v>
      </c>
      <c r="E812" s="92">
        <v>10800.6</v>
      </c>
      <c r="F812" s="92">
        <v>35135.32</v>
      </c>
      <c r="G812" s="92">
        <v>2930.37</v>
      </c>
      <c r="H812" s="93">
        <v>330200.84000000003</v>
      </c>
      <c r="I812" s="93">
        <v>124211.6</v>
      </c>
      <c r="J812" s="93">
        <v>189340.78</v>
      </c>
      <c r="K812" s="93">
        <v>16648.46</v>
      </c>
      <c r="L812" s="43">
        <v>6.7572316212260031</v>
      </c>
      <c r="M812" s="43">
        <v>11.500435161009573</v>
      </c>
      <c r="N812" s="43">
        <v>5.3889015383949825</v>
      </c>
      <c r="O812" s="43">
        <v>5.6813508191798308</v>
      </c>
      <c r="P812" s="94"/>
      <c r="Q812" s="94"/>
      <c r="R812" s="94">
        <v>1</v>
      </c>
    </row>
    <row r="813" spans="1:18" ht="36">
      <c r="A813" s="90">
        <v>545</v>
      </c>
      <c r="B813" s="87" t="s">
        <v>1507</v>
      </c>
      <c r="C813" s="91" t="s">
        <v>1508</v>
      </c>
      <c r="D813" s="92">
        <v>52667.12</v>
      </c>
      <c r="E813" s="92">
        <v>11524.47</v>
      </c>
      <c r="F813" s="92">
        <v>37970.83</v>
      </c>
      <c r="G813" s="92">
        <v>3171.82</v>
      </c>
      <c r="H813" s="93">
        <v>355140.78</v>
      </c>
      <c r="I813" s="93">
        <v>132536.42000000001</v>
      </c>
      <c r="J813" s="93">
        <v>204630.03</v>
      </c>
      <c r="K813" s="93">
        <v>17974.330000000002</v>
      </c>
      <c r="L813" s="43">
        <v>6.7431213250316331</v>
      </c>
      <c r="M813" s="43">
        <v>11.500435161009575</v>
      </c>
      <c r="N813" s="43">
        <v>5.3891376617261191</v>
      </c>
      <c r="O813" s="43">
        <v>5.6668821055419292</v>
      </c>
      <c r="P813" s="94"/>
      <c r="Q813" s="94"/>
      <c r="R813" s="94">
        <v>1</v>
      </c>
    </row>
    <row r="814" spans="1:18" ht="36">
      <c r="A814" s="90">
        <v>546</v>
      </c>
      <c r="B814" s="87" t="s">
        <v>1509</v>
      </c>
      <c r="C814" s="91" t="s">
        <v>1510</v>
      </c>
      <c r="D814" s="92">
        <v>55909.04</v>
      </c>
      <c r="E814" s="92">
        <v>12225.36</v>
      </c>
      <c r="F814" s="92">
        <v>40349.67</v>
      </c>
      <c r="G814" s="92">
        <v>3334.01</v>
      </c>
      <c r="H814" s="93">
        <v>376939.63</v>
      </c>
      <c r="I814" s="93">
        <v>140596.96</v>
      </c>
      <c r="J814" s="93">
        <v>217447.87</v>
      </c>
      <c r="K814" s="93">
        <v>18894.8</v>
      </c>
      <c r="L814" s="43">
        <v>6.7420157813477033</v>
      </c>
      <c r="M814" s="43">
        <v>11.500435161009573</v>
      </c>
      <c r="N814" s="43">
        <v>5.3890867013286607</v>
      </c>
      <c r="O814" s="43">
        <v>5.6672895402233339</v>
      </c>
      <c r="P814" s="94"/>
      <c r="Q814" s="94"/>
      <c r="R814" s="94">
        <v>1</v>
      </c>
    </row>
    <row r="815" spans="1:18" ht="36">
      <c r="A815" s="90">
        <v>547</v>
      </c>
      <c r="B815" s="87" t="s">
        <v>1511</v>
      </c>
      <c r="C815" s="91" t="s">
        <v>1512</v>
      </c>
      <c r="D815" s="92">
        <v>59829.29</v>
      </c>
      <c r="E815" s="92">
        <v>12972.21</v>
      </c>
      <c r="F815" s="92">
        <v>43241.83</v>
      </c>
      <c r="G815" s="92">
        <v>3615.25</v>
      </c>
      <c r="H815" s="93">
        <v>402660.53</v>
      </c>
      <c r="I815" s="93">
        <v>149186.06</v>
      </c>
      <c r="J815" s="93">
        <v>233049.04</v>
      </c>
      <c r="K815" s="93">
        <v>20425.43</v>
      </c>
      <c r="L815" s="43">
        <v>6.7301572524093132</v>
      </c>
      <c r="M815" s="43">
        <v>11.500435161009575</v>
      </c>
      <c r="N815" s="43">
        <v>5.3894351834785903</v>
      </c>
      <c r="O815" s="43">
        <v>5.6497973860728861</v>
      </c>
      <c r="P815" s="94"/>
      <c r="Q815" s="94"/>
      <c r="R815" s="94">
        <v>1</v>
      </c>
    </row>
    <row r="816" spans="1:18" ht="36">
      <c r="A816" s="90">
        <v>548</v>
      </c>
      <c r="B816" s="87" t="s">
        <v>1513</v>
      </c>
      <c r="C816" s="91" t="s">
        <v>1514</v>
      </c>
      <c r="D816" s="92">
        <v>62963.54</v>
      </c>
      <c r="E816" s="92">
        <v>13661.61</v>
      </c>
      <c r="F816" s="92">
        <v>45564.02</v>
      </c>
      <c r="G816" s="92">
        <v>3737.91</v>
      </c>
      <c r="H816" s="93">
        <v>423813.38</v>
      </c>
      <c r="I816" s="93">
        <v>157114.46</v>
      </c>
      <c r="J816" s="93">
        <v>245554.96</v>
      </c>
      <c r="K816" s="93">
        <v>21143.96</v>
      </c>
      <c r="L816" s="43">
        <v>6.7310919938745499</v>
      </c>
      <c r="M816" s="43">
        <v>11.500435161009573</v>
      </c>
      <c r="N816" s="43">
        <v>5.3892294841412154</v>
      </c>
      <c r="O816" s="43">
        <v>5.6566262965132923</v>
      </c>
      <c r="P816" s="94"/>
      <c r="Q816" s="94"/>
      <c r="R816" s="94">
        <v>1</v>
      </c>
    </row>
    <row r="817" spans="1:18" ht="36">
      <c r="A817" s="90">
        <v>549</v>
      </c>
      <c r="B817" s="87" t="s">
        <v>1515</v>
      </c>
      <c r="C817" s="91" t="s">
        <v>1516</v>
      </c>
      <c r="D817" s="92">
        <v>67004.210000000006</v>
      </c>
      <c r="E817" s="92">
        <v>14431.44</v>
      </c>
      <c r="F817" s="92">
        <v>48513.87</v>
      </c>
      <c r="G817" s="92">
        <v>4058.9</v>
      </c>
      <c r="H817" s="93">
        <v>450320.67</v>
      </c>
      <c r="I817" s="93">
        <v>165967.84</v>
      </c>
      <c r="J817" s="93">
        <v>261473.83</v>
      </c>
      <c r="K817" s="93">
        <v>22879</v>
      </c>
      <c r="L817" s="43">
        <v>6.7207817240140573</v>
      </c>
      <c r="M817" s="43">
        <v>11.500435161009573</v>
      </c>
      <c r="N817" s="43">
        <v>5.3896716547247205</v>
      </c>
      <c r="O817" s="43">
        <v>5.6367488728473232</v>
      </c>
      <c r="P817" s="94"/>
      <c r="Q817" s="94"/>
      <c r="R817" s="94">
        <v>1</v>
      </c>
    </row>
    <row r="818" spans="1:18" ht="36">
      <c r="A818" s="90">
        <v>550</v>
      </c>
      <c r="B818" s="87" t="s">
        <v>1517</v>
      </c>
      <c r="C818" s="91" t="s">
        <v>1518</v>
      </c>
      <c r="D818" s="92">
        <v>69847.199999999997</v>
      </c>
      <c r="E818" s="92">
        <v>15109.35</v>
      </c>
      <c r="F818" s="92">
        <v>50601.43</v>
      </c>
      <c r="G818" s="92">
        <v>4136.42</v>
      </c>
      <c r="H818" s="93">
        <v>469840.87</v>
      </c>
      <c r="I818" s="93">
        <v>173764.1</v>
      </c>
      <c r="J818" s="93">
        <v>272709.40000000002</v>
      </c>
      <c r="K818" s="93">
        <v>23367.37</v>
      </c>
      <c r="L818" s="43">
        <v>6.7266958446437366</v>
      </c>
      <c r="M818" s="43">
        <v>11.500435161009573</v>
      </c>
      <c r="N818" s="43">
        <v>5.3893615259489707</v>
      </c>
      <c r="O818" s="43">
        <v>5.6491773079136065</v>
      </c>
      <c r="P818" s="94"/>
      <c r="Q818" s="94"/>
      <c r="R818" s="94">
        <v>1</v>
      </c>
    </row>
    <row r="819" spans="1:18" ht="36">
      <c r="A819" s="90">
        <v>551</v>
      </c>
      <c r="B819" s="87" t="s">
        <v>1519</v>
      </c>
      <c r="C819" s="91" t="s">
        <v>1520</v>
      </c>
      <c r="D819" s="92">
        <v>73373.94</v>
      </c>
      <c r="E819" s="92">
        <v>15833.22</v>
      </c>
      <c r="F819" s="92">
        <v>53202.31</v>
      </c>
      <c r="G819" s="92">
        <v>4338.41</v>
      </c>
      <c r="H819" s="93">
        <v>493309.82</v>
      </c>
      <c r="I819" s="93">
        <v>182088.92</v>
      </c>
      <c r="J819" s="93">
        <v>286728.28000000003</v>
      </c>
      <c r="K819" s="93">
        <v>24492.62</v>
      </c>
      <c r="L819" s="43">
        <v>6.7232292555095174</v>
      </c>
      <c r="M819" s="43">
        <v>11.500435161009575</v>
      </c>
      <c r="N819" s="43">
        <v>5.38939531009086</v>
      </c>
      <c r="O819" s="43">
        <v>5.6455291224204256</v>
      </c>
      <c r="P819" s="94"/>
      <c r="Q819" s="94"/>
      <c r="R819" s="94">
        <v>1</v>
      </c>
    </row>
    <row r="820" spans="1:18" ht="36">
      <c r="A820" s="90">
        <v>552</v>
      </c>
      <c r="B820" s="87" t="s">
        <v>1521</v>
      </c>
      <c r="C820" s="91" t="s">
        <v>1522</v>
      </c>
      <c r="D820" s="92">
        <v>76896.22</v>
      </c>
      <c r="E820" s="92">
        <v>16557.09</v>
      </c>
      <c r="F820" s="92">
        <v>55804.24</v>
      </c>
      <c r="G820" s="92">
        <v>4534.8900000000003</v>
      </c>
      <c r="H820" s="93">
        <v>516757.06</v>
      </c>
      <c r="I820" s="93">
        <v>190413.74</v>
      </c>
      <c r="J820" s="93">
        <v>300752.95</v>
      </c>
      <c r="K820" s="93">
        <v>25590.37</v>
      </c>
      <c r="L820" s="43">
        <v>6.7201880664615246</v>
      </c>
      <c r="M820" s="43">
        <v>11.500435161009573</v>
      </c>
      <c r="N820" s="43">
        <v>5.3894282943374918</v>
      </c>
      <c r="O820" s="43">
        <v>5.6429968532864079</v>
      </c>
      <c r="P820" s="94"/>
      <c r="Q820" s="94"/>
      <c r="R820" s="94">
        <v>1</v>
      </c>
    </row>
    <row r="821" spans="1:18" ht="36">
      <c r="A821" s="90">
        <v>553</v>
      </c>
      <c r="B821" s="87" t="s">
        <v>1523</v>
      </c>
      <c r="C821" s="91" t="s">
        <v>1524</v>
      </c>
      <c r="D821" s="92">
        <v>80457.33</v>
      </c>
      <c r="E821" s="92">
        <v>17280.96</v>
      </c>
      <c r="F821" s="92">
        <v>58428.2</v>
      </c>
      <c r="G821" s="92">
        <v>4748.17</v>
      </c>
      <c r="H821" s="93">
        <v>540410.52</v>
      </c>
      <c r="I821" s="93">
        <v>198738.56</v>
      </c>
      <c r="J821" s="93">
        <v>314898.90999999997</v>
      </c>
      <c r="K821" s="93">
        <v>26773.05</v>
      </c>
      <c r="L821" s="43">
        <v>6.7167344479365649</v>
      </c>
      <c r="M821" s="43">
        <v>11.500435161009573</v>
      </c>
      <c r="N821" s="43">
        <v>5.3895021582044285</v>
      </c>
      <c r="O821" s="43">
        <v>5.6386039253017479</v>
      </c>
      <c r="P821" s="94"/>
      <c r="Q821" s="94"/>
      <c r="R821" s="94">
        <v>1</v>
      </c>
    </row>
    <row r="822" spans="1:18" ht="36">
      <c r="A822" s="90">
        <v>554</v>
      </c>
      <c r="B822" s="87" t="s">
        <v>1525</v>
      </c>
      <c r="C822" s="91" t="s">
        <v>1526</v>
      </c>
      <c r="D822" s="92">
        <v>83994.99</v>
      </c>
      <c r="E822" s="92">
        <v>17981.849999999999</v>
      </c>
      <c r="F822" s="92">
        <v>61052.160000000003</v>
      </c>
      <c r="G822" s="92">
        <v>4960.9799999999996</v>
      </c>
      <c r="H822" s="93">
        <v>563794.43000000005</v>
      </c>
      <c r="I822" s="93">
        <v>206799.1</v>
      </c>
      <c r="J822" s="93">
        <v>329044.88</v>
      </c>
      <c r="K822" s="93">
        <v>27950.45</v>
      </c>
      <c r="L822" s="43">
        <v>6.7122387894801827</v>
      </c>
      <c r="M822" s="43">
        <v>11.500435161009575</v>
      </c>
      <c r="N822" s="43">
        <v>5.3895698366773592</v>
      </c>
      <c r="O822" s="43">
        <v>5.6340581901156632</v>
      </c>
      <c r="P822" s="94"/>
      <c r="Q822" s="94"/>
      <c r="R822" s="94">
        <v>1</v>
      </c>
    </row>
    <row r="823" spans="1:18" ht="12.75" customHeight="1">
      <c r="A823" s="628" t="s">
        <v>1527</v>
      </c>
      <c r="B823" s="629"/>
      <c r="C823" s="629"/>
      <c r="D823" s="629"/>
      <c r="E823" s="629"/>
      <c r="F823" s="629"/>
      <c r="G823" s="629"/>
      <c r="H823" s="629"/>
      <c r="I823" s="629"/>
      <c r="J823" s="629"/>
      <c r="K823" s="629"/>
      <c r="L823" s="629"/>
      <c r="M823" s="629"/>
      <c r="N823" s="629"/>
      <c r="O823" s="629"/>
      <c r="P823" s="629"/>
      <c r="Q823" s="629"/>
      <c r="R823" s="629"/>
    </row>
    <row r="824" spans="1:18" ht="12.75" customHeight="1">
      <c r="A824" s="628" t="s">
        <v>1528</v>
      </c>
      <c r="B824" s="629"/>
      <c r="C824" s="629"/>
      <c r="D824" s="629"/>
      <c r="E824" s="629"/>
      <c r="F824" s="629"/>
      <c r="G824" s="629"/>
      <c r="H824" s="629"/>
      <c r="I824" s="629"/>
      <c r="J824" s="629"/>
      <c r="K824" s="629"/>
      <c r="L824" s="629"/>
      <c r="M824" s="629"/>
      <c r="N824" s="629"/>
      <c r="O824" s="629"/>
      <c r="P824" s="629"/>
      <c r="Q824" s="629"/>
      <c r="R824" s="629"/>
    </row>
    <row r="825" spans="1:18" ht="24">
      <c r="A825" s="90">
        <v>555</v>
      </c>
      <c r="B825" s="87" t="s">
        <v>1529</v>
      </c>
      <c r="C825" s="91" t="s">
        <v>1530</v>
      </c>
      <c r="D825" s="92">
        <v>462.82</v>
      </c>
      <c r="E825" s="92">
        <v>310.8</v>
      </c>
      <c r="F825" s="92">
        <v>144.44999999999999</v>
      </c>
      <c r="G825" s="92">
        <v>7.57</v>
      </c>
      <c r="H825" s="93">
        <v>4389.78</v>
      </c>
      <c r="I825" s="93">
        <v>3574.2</v>
      </c>
      <c r="J825" s="93">
        <v>732.25</v>
      </c>
      <c r="K825" s="93">
        <v>83.33</v>
      </c>
      <c r="L825" s="43">
        <v>9.4848537228296088</v>
      </c>
      <c r="M825" s="43">
        <v>11.499999999999998</v>
      </c>
      <c r="N825" s="43">
        <v>5.069228106611285</v>
      </c>
      <c r="O825" s="43">
        <v>11.007926023778071</v>
      </c>
      <c r="P825" s="94"/>
      <c r="Q825" s="94"/>
      <c r="R825" s="94">
        <v>1</v>
      </c>
    </row>
    <row r="826" spans="1:18" ht="24">
      <c r="A826" s="90">
        <v>556</v>
      </c>
      <c r="B826" s="87" t="s">
        <v>1531</v>
      </c>
      <c r="C826" s="91" t="s">
        <v>1532</v>
      </c>
      <c r="D826" s="92">
        <v>683.35</v>
      </c>
      <c r="E826" s="92">
        <v>462.87</v>
      </c>
      <c r="F826" s="92">
        <v>209.87</v>
      </c>
      <c r="G826" s="92">
        <v>10.61</v>
      </c>
      <c r="H826" s="93">
        <v>6498.04</v>
      </c>
      <c r="I826" s="93">
        <v>5323.01</v>
      </c>
      <c r="J826" s="93">
        <v>1056.74</v>
      </c>
      <c r="K826" s="93">
        <v>118.29</v>
      </c>
      <c r="L826" s="43">
        <v>9.5090949001243867</v>
      </c>
      <c r="M826" s="43">
        <v>11.500010802169076</v>
      </c>
      <c r="N826" s="43">
        <v>5.0352122742650209</v>
      </c>
      <c r="O826" s="43">
        <v>11.148916116870877</v>
      </c>
      <c r="P826" s="94"/>
      <c r="Q826" s="94"/>
      <c r="R826" s="94">
        <v>1</v>
      </c>
    </row>
    <row r="827" spans="1:18" ht="24">
      <c r="A827" s="90">
        <v>557</v>
      </c>
      <c r="B827" s="87" t="s">
        <v>1533</v>
      </c>
      <c r="C827" s="91" t="s">
        <v>1534</v>
      </c>
      <c r="D827" s="92">
        <v>950.84</v>
      </c>
      <c r="E827" s="92">
        <v>660.45</v>
      </c>
      <c r="F827" s="92">
        <v>275.83</v>
      </c>
      <c r="G827" s="92">
        <v>14.56</v>
      </c>
      <c r="H827" s="93">
        <v>9142.4</v>
      </c>
      <c r="I827" s="93">
        <v>7595.18</v>
      </c>
      <c r="J827" s="93">
        <v>1383.5</v>
      </c>
      <c r="K827" s="93">
        <v>163.72</v>
      </c>
      <c r="L827" s="43">
        <v>9.6150771949013496</v>
      </c>
      <c r="M827" s="43">
        <v>11.500007570595805</v>
      </c>
      <c r="N827" s="43">
        <v>5.0157705833303128</v>
      </c>
      <c r="O827" s="43">
        <v>11.244505494505495</v>
      </c>
      <c r="P827" s="94"/>
      <c r="Q827" s="94"/>
      <c r="R827" s="94">
        <v>1</v>
      </c>
    </row>
    <row r="828" spans="1:18" ht="24">
      <c r="A828" s="90">
        <v>558</v>
      </c>
      <c r="B828" s="87" t="s">
        <v>1535</v>
      </c>
      <c r="C828" s="91" t="s">
        <v>1536</v>
      </c>
      <c r="D828" s="92">
        <v>1173.49</v>
      </c>
      <c r="E828" s="92">
        <v>828.14</v>
      </c>
      <c r="F828" s="92">
        <v>327.44</v>
      </c>
      <c r="G828" s="92">
        <v>17.91</v>
      </c>
      <c r="H828" s="93">
        <v>11358.63</v>
      </c>
      <c r="I828" s="93">
        <v>9523.66</v>
      </c>
      <c r="J828" s="93">
        <v>1632.73</v>
      </c>
      <c r="K828" s="93">
        <v>202.24</v>
      </c>
      <c r="L828" s="43">
        <v>9.6793581538828608</v>
      </c>
      <c r="M828" s="43">
        <v>11.500060376264884</v>
      </c>
      <c r="N828" s="43">
        <v>4.9863486440263864</v>
      </c>
      <c r="O828" s="43">
        <v>11.292015633724176</v>
      </c>
      <c r="P828" s="94"/>
      <c r="Q828" s="94"/>
      <c r="R828" s="94">
        <v>1</v>
      </c>
    </row>
    <row r="829" spans="1:18" ht="24">
      <c r="A829" s="90">
        <v>559</v>
      </c>
      <c r="B829" s="87" t="s">
        <v>1537</v>
      </c>
      <c r="C829" s="91" t="s">
        <v>1538</v>
      </c>
      <c r="D829" s="92">
        <v>1458.8</v>
      </c>
      <c r="E829" s="92">
        <v>1045.1199999999999</v>
      </c>
      <c r="F829" s="92">
        <v>391.28</v>
      </c>
      <c r="G829" s="92">
        <v>22.4</v>
      </c>
      <c r="H829" s="93">
        <v>14221.35</v>
      </c>
      <c r="I829" s="93">
        <v>12018.88</v>
      </c>
      <c r="J829" s="93">
        <v>1949.01</v>
      </c>
      <c r="K829" s="93">
        <v>253.46</v>
      </c>
      <c r="L829" s="43">
        <v>9.748663284891693</v>
      </c>
      <c r="M829" s="43">
        <v>11.5</v>
      </c>
      <c r="N829" s="43">
        <v>4.9811132692700886</v>
      </c>
      <c r="O829" s="43">
        <v>11.315178571428573</v>
      </c>
      <c r="P829" s="94"/>
      <c r="Q829" s="94"/>
      <c r="R829" s="94">
        <v>1</v>
      </c>
    </row>
    <row r="830" spans="1:18" ht="24">
      <c r="A830" s="90">
        <v>560</v>
      </c>
      <c r="B830" s="87" t="s">
        <v>1539</v>
      </c>
      <c r="C830" s="91" t="s">
        <v>1540</v>
      </c>
      <c r="D830" s="92">
        <v>1614.8</v>
      </c>
      <c r="E830" s="92">
        <v>1115.55</v>
      </c>
      <c r="F830" s="92">
        <v>474.22</v>
      </c>
      <c r="G830" s="92">
        <v>25.03</v>
      </c>
      <c r="H830" s="93">
        <v>15478.41</v>
      </c>
      <c r="I830" s="93">
        <v>12828.85</v>
      </c>
      <c r="J830" s="93">
        <v>2369.15</v>
      </c>
      <c r="K830" s="93">
        <v>280.41000000000003</v>
      </c>
      <c r="L830" s="43">
        <v>9.5853418379985147</v>
      </c>
      <c r="M830" s="43">
        <v>11.500022410470173</v>
      </c>
      <c r="N830" s="43">
        <v>4.9958879844797774</v>
      </c>
      <c r="O830" s="43">
        <v>11.202956452257292</v>
      </c>
      <c r="P830" s="94"/>
      <c r="Q830" s="94"/>
      <c r="R830" s="94">
        <v>1</v>
      </c>
    </row>
    <row r="831" spans="1:18" ht="24">
      <c r="A831" s="90">
        <v>561</v>
      </c>
      <c r="B831" s="87" t="s">
        <v>1541</v>
      </c>
      <c r="C831" s="91" t="s">
        <v>1542</v>
      </c>
      <c r="D831" s="92">
        <v>1836.42</v>
      </c>
      <c r="E831" s="92">
        <v>1272.32</v>
      </c>
      <c r="F831" s="92">
        <v>535.92999999999995</v>
      </c>
      <c r="G831" s="92">
        <v>28.17</v>
      </c>
      <c r="H831" s="93">
        <v>17621.54</v>
      </c>
      <c r="I831" s="93">
        <v>14631.68</v>
      </c>
      <c r="J831" s="93">
        <v>2673.34</v>
      </c>
      <c r="K831" s="93">
        <v>316.52</v>
      </c>
      <c r="L831" s="43">
        <v>9.5955936005924567</v>
      </c>
      <c r="M831" s="43">
        <v>11.5</v>
      </c>
      <c r="N831" s="43">
        <v>4.9882260743007487</v>
      </c>
      <c r="O831" s="43">
        <v>11.23606673766418</v>
      </c>
      <c r="P831" s="94"/>
      <c r="Q831" s="94"/>
      <c r="R831" s="94">
        <v>1</v>
      </c>
    </row>
    <row r="832" spans="1:18" ht="24">
      <c r="A832" s="90">
        <v>562</v>
      </c>
      <c r="B832" s="87" t="s">
        <v>1543</v>
      </c>
      <c r="C832" s="91" t="s">
        <v>1544</v>
      </c>
      <c r="D832" s="92">
        <v>720.22</v>
      </c>
      <c r="E832" s="92">
        <v>434.41</v>
      </c>
      <c r="F832" s="92">
        <v>274.67</v>
      </c>
      <c r="G832" s="92">
        <v>11.14</v>
      </c>
      <c r="H832" s="93">
        <v>6549.63</v>
      </c>
      <c r="I832" s="93">
        <v>4995.9399999999996</v>
      </c>
      <c r="J832" s="93">
        <v>1432.29</v>
      </c>
      <c r="K832" s="93">
        <v>121.4</v>
      </c>
      <c r="L832" s="43">
        <v>9.093929632612257</v>
      </c>
      <c r="M832" s="43">
        <v>11.500517943877902</v>
      </c>
      <c r="N832" s="43">
        <v>5.2145847744566201</v>
      </c>
      <c r="O832" s="43">
        <v>10.897666068222621</v>
      </c>
      <c r="P832" s="94"/>
      <c r="Q832" s="94"/>
      <c r="R832" s="94">
        <v>1</v>
      </c>
    </row>
    <row r="833" spans="1:18" ht="24">
      <c r="A833" s="90">
        <v>563</v>
      </c>
      <c r="B833" s="87" t="s">
        <v>1545</v>
      </c>
      <c r="C833" s="91" t="s">
        <v>1546</v>
      </c>
      <c r="D833" s="92">
        <v>1085.1500000000001</v>
      </c>
      <c r="E833" s="92">
        <v>640.65</v>
      </c>
      <c r="F833" s="92">
        <v>428.32</v>
      </c>
      <c r="G833" s="92">
        <v>16.18</v>
      </c>
      <c r="H833" s="93">
        <v>9773.14</v>
      </c>
      <c r="I833" s="93">
        <v>7367.74</v>
      </c>
      <c r="J833" s="93">
        <v>2228.58</v>
      </c>
      <c r="K833" s="93">
        <v>176.82</v>
      </c>
      <c r="L833" s="43">
        <v>9.0062571994655105</v>
      </c>
      <c r="M833" s="43">
        <v>11.500413642394443</v>
      </c>
      <c r="N833" s="43">
        <v>5.2030724691819197</v>
      </c>
      <c r="O833" s="43">
        <v>10.928306551297899</v>
      </c>
      <c r="P833" s="94"/>
      <c r="Q833" s="94"/>
      <c r="R833" s="94">
        <v>1</v>
      </c>
    </row>
    <row r="834" spans="1:18" ht="24">
      <c r="A834" s="90">
        <v>564</v>
      </c>
      <c r="B834" s="87" t="s">
        <v>1547</v>
      </c>
      <c r="C834" s="91" t="s">
        <v>1548</v>
      </c>
      <c r="D834" s="92">
        <v>1320.99</v>
      </c>
      <c r="E834" s="92">
        <v>834.82</v>
      </c>
      <c r="F834" s="92">
        <v>464.88</v>
      </c>
      <c r="G834" s="92">
        <v>21.29</v>
      </c>
      <c r="H834" s="93">
        <v>12218.07</v>
      </c>
      <c r="I834" s="93">
        <v>9600.7800000000007</v>
      </c>
      <c r="J834" s="93">
        <v>2385.0100000000002</v>
      </c>
      <c r="K834" s="93">
        <v>232.28</v>
      </c>
      <c r="L834" s="43">
        <v>9.2491767537982881</v>
      </c>
      <c r="M834" s="43">
        <v>11.500419252054336</v>
      </c>
      <c r="N834" s="43">
        <v>5.1303777318877994</v>
      </c>
      <c r="O834" s="43">
        <v>10.91028651949272</v>
      </c>
      <c r="P834" s="94"/>
      <c r="Q834" s="94"/>
      <c r="R834" s="94">
        <v>1</v>
      </c>
    </row>
    <row r="835" spans="1:18" ht="24">
      <c r="A835" s="90">
        <v>565</v>
      </c>
      <c r="B835" s="87" t="s">
        <v>1549</v>
      </c>
      <c r="C835" s="91" t="s">
        <v>1550</v>
      </c>
      <c r="D835" s="92">
        <v>1678.93</v>
      </c>
      <c r="E835" s="92">
        <v>1071.25</v>
      </c>
      <c r="F835" s="92">
        <v>579.53</v>
      </c>
      <c r="G835" s="92">
        <v>28.15</v>
      </c>
      <c r="H835" s="93">
        <v>15572.32</v>
      </c>
      <c r="I835" s="93">
        <v>12319.35</v>
      </c>
      <c r="J835" s="93">
        <v>2947.64</v>
      </c>
      <c r="K835" s="93">
        <v>305.33</v>
      </c>
      <c r="L835" s="43">
        <v>9.2751454795613864</v>
      </c>
      <c r="M835" s="43">
        <v>11.499976662777129</v>
      </c>
      <c r="N835" s="43">
        <v>5.0862595551567651</v>
      </c>
      <c r="O835" s="43">
        <v>10.846536412078153</v>
      </c>
      <c r="P835" s="94"/>
      <c r="Q835" s="94"/>
      <c r="R835" s="94">
        <v>1</v>
      </c>
    </row>
    <row r="836" spans="1:18" ht="24">
      <c r="A836" s="90">
        <v>566</v>
      </c>
      <c r="B836" s="87" t="s">
        <v>1551</v>
      </c>
      <c r="C836" s="91" t="s">
        <v>1552</v>
      </c>
      <c r="D836" s="92">
        <v>2024.56</v>
      </c>
      <c r="E836" s="92">
        <v>1283.68</v>
      </c>
      <c r="F836" s="92">
        <v>708.48</v>
      </c>
      <c r="G836" s="92">
        <v>32.4</v>
      </c>
      <c r="H836" s="93">
        <v>18720.73</v>
      </c>
      <c r="I836" s="93">
        <v>14762.32</v>
      </c>
      <c r="J836" s="93">
        <v>3604.2</v>
      </c>
      <c r="K836" s="93">
        <v>354.21</v>
      </c>
      <c r="L836" s="43">
        <v>9.2468141225747811</v>
      </c>
      <c r="M836" s="43">
        <v>11.5</v>
      </c>
      <c r="N836" s="43">
        <v>5.0872289972899729</v>
      </c>
      <c r="O836" s="43">
        <v>10.932407407407407</v>
      </c>
      <c r="P836" s="94"/>
      <c r="Q836" s="94"/>
      <c r="R836" s="94">
        <v>1</v>
      </c>
    </row>
    <row r="837" spans="1:18" ht="24">
      <c r="A837" s="90">
        <v>567</v>
      </c>
      <c r="B837" s="87" t="s">
        <v>1553</v>
      </c>
      <c r="C837" s="91" t="s">
        <v>1554</v>
      </c>
      <c r="D837" s="92">
        <v>2317.5300000000002</v>
      </c>
      <c r="E837" s="92">
        <v>1488.16</v>
      </c>
      <c r="F837" s="92">
        <v>792.88</v>
      </c>
      <c r="G837" s="92">
        <v>36.49</v>
      </c>
      <c r="H837" s="93">
        <v>21524.21</v>
      </c>
      <c r="I837" s="93">
        <v>17113.84</v>
      </c>
      <c r="J837" s="93">
        <v>4009.13</v>
      </c>
      <c r="K837" s="93">
        <v>401.24</v>
      </c>
      <c r="L837" s="43">
        <v>9.2875647780179751</v>
      </c>
      <c r="M837" s="43">
        <v>11.5</v>
      </c>
      <c r="N837" s="43">
        <v>5.0564145898496617</v>
      </c>
      <c r="O837" s="43">
        <v>10.995889284735544</v>
      </c>
      <c r="P837" s="94"/>
      <c r="Q837" s="94"/>
      <c r="R837" s="94">
        <v>1</v>
      </c>
    </row>
    <row r="838" spans="1:18" ht="24">
      <c r="A838" s="90">
        <v>568</v>
      </c>
      <c r="B838" s="87" t="s">
        <v>1555</v>
      </c>
      <c r="C838" s="91" t="s">
        <v>1556</v>
      </c>
      <c r="D838" s="92">
        <v>2666.11</v>
      </c>
      <c r="E838" s="92">
        <v>1692.64</v>
      </c>
      <c r="F838" s="92">
        <v>930.44</v>
      </c>
      <c r="G838" s="92">
        <v>43.03</v>
      </c>
      <c r="H838" s="93">
        <v>24645.35</v>
      </c>
      <c r="I838" s="93">
        <v>19465.36</v>
      </c>
      <c r="J838" s="93">
        <v>4710.25</v>
      </c>
      <c r="K838" s="93">
        <v>469.74</v>
      </c>
      <c r="L838" s="43">
        <v>9.2439359216236383</v>
      </c>
      <c r="M838" s="43">
        <v>11.5</v>
      </c>
      <c r="N838" s="43">
        <v>5.0623898370663341</v>
      </c>
      <c r="O838" s="43">
        <v>10.916569834998837</v>
      </c>
      <c r="P838" s="94"/>
      <c r="Q838" s="94"/>
      <c r="R838" s="94">
        <v>1</v>
      </c>
    </row>
    <row r="839" spans="1:18" ht="24">
      <c r="A839" s="90">
        <v>569</v>
      </c>
      <c r="B839" s="87" t="s">
        <v>1557</v>
      </c>
      <c r="C839" s="91" t="s">
        <v>1558</v>
      </c>
      <c r="D839" s="92">
        <v>3274.29</v>
      </c>
      <c r="E839" s="92">
        <v>2101.6</v>
      </c>
      <c r="F839" s="92">
        <v>1117.2</v>
      </c>
      <c r="G839" s="92">
        <v>55.49</v>
      </c>
      <c r="H839" s="93">
        <v>30405.599999999999</v>
      </c>
      <c r="I839" s="93">
        <v>24168.400000000001</v>
      </c>
      <c r="J839" s="93">
        <v>5635.84</v>
      </c>
      <c r="K839" s="93">
        <v>601.36</v>
      </c>
      <c r="L839" s="43">
        <v>9.2861658558038531</v>
      </c>
      <c r="M839" s="43">
        <v>11.500000000000002</v>
      </c>
      <c r="N839" s="43">
        <v>5.0446115288220552</v>
      </c>
      <c r="O839" s="43">
        <v>10.83726797621193</v>
      </c>
      <c r="P839" s="94"/>
      <c r="Q839" s="94"/>
      <c r="R839" s="94">
        <v>1</v>
      </c>
    </row>
    <row r="840" spans="1:18" ht="24">
      <c r="A840" s="90">
        <v>570</v>
      </c>
      <c r="B840" s="87" t="s">
        <v>1559</v>
      </c>
      <c r="C840" s="91" t="s">
        <v>1560</v>
      </c>
      <c r="D840" s="92">
        <v>982</v>
      </c>
      <c r="E840" s="92">
        <v>550.55999999999995</v>
      </c>
      <c r="F840" s="92">
        <v>417.98</v>
      </c>
      <c r="G840" s="92">
        <v>13.46</v>
      </c>
      <c r="H840" s="93">
        <v>8663.2099999999991</v>
      </c>
      <c r="I840" s="93">
        <v>6331.44</v>
      </c>
      <c r="J840" s="93">
        <v>2183.69</v>
      </c>
      <c r="K840" s="93">
        <v>148.08000000000001</v>
      </c>
      <c r="L840" s="43">
        <v>8.8220061099796325</v>
      </c>
      <c r="M840" s="43">
        <v>11.5</v>
      </c>
      <c r="N840" s="43">
        <v>5.224388726733336</v>
      </c>
      <c r="O840" s="43">
        <v>11.00148588410104</v>
      </c>
      <c r="P840" s="94"/>
      <c r="Q840" s="94"/>
      <c r="R840" s="94">
        <v>1</v>
      </c>
    </row>
    <row r="841" spans="1:18" ht="24">
      <c r="A841" s="90">
        <v>571</v>
      </c>
      <c r="B841" s="87" t="s">
        <v>1561</v>
      </c>
      <c r="C841" s="91" t="s">
        <v>1562</v>
      </c>
      <c r="D841" s="92">
        <v>1484.03</v>
      </c>
      <c r="E841" s="92">
        <v>810.3</v>
      </c>
      <c r="F841" s="92">
        <v>652.92999999999995</v>
      </c>
      <c r="G841" s="92">
        <v>20.8</v>
      </c>
      <c r="H841" s="93">
        <v>12946.82</v>
      </c>
      <c r="I841" s="93">
        <v>9318.4500000000007</v>
      </c>
      <c r="J841" s="93">
        <v>3401.72</v>
      </c>
      <c r="K841" s="93">
        <v>226.65</v>
      </c>
      <c r="L841" s="43">
        <v>8.724095874072626</v>
      </c>
      <c r="M841" s="43">
        <v>11.500000000000002</v>
      </c>
      <c r="N841" s="43">
        <v>5.2099306204340436</v>
      </c>
      <c r="O841" s="43">
        <v>10.896634615384615</v>
      </c>
      <c r="P841" s="94"/>
      <c r="Q841" s="94"/>
      <c r="R841" s="94">
        <v>1</v>
      </c>
    </row>
    <row r="842" spans="1:18" ht="24">
      <c r="A842" s="90">
        <v>572</v>
      </c>
      <c r="B842" s="87" t="s">
        <v>1563</v>
      </c>
      <c r="C842" s="91" t="s">
        <v>1564</v>
      </c>
      <c r="D842" s="92">
        <v>1907.89</v>
      </c>
      <c r="E842" s="92">
        <v>1092.83</v>
      </c>
      <c r="F842" s="92">
        <v>786.47</v>
      </c>
      <c r="G842" s="92">
        <v>28.59</v>
      </c>
      <c r="H842" s="93">
        <v>16957.439999999999</v>
      </c>
      <c r="I842" s="93">
        <v>12567.57</v>
      </c>
      <c r="J842" s="93">
        <v>4079.48</v>
      </c>
      <c r="K842" s="93">
        <v>310.39</v>
      </c>
      <c r="L842" s="43">
        <v>8.888059584147932</v>
      </c>
      <c r="M842" s="43">
        <v>11.500022876385165</v>
      </c>
      <c r="N842" s="43">
        <v>5.1870764301244803</v>
      </c>
      <c r="O842" s="43">
        <v>10.856593214410633</v>
      </c>
      <c r="P842" s="94"/>
      <c r="Q842" s="94"/>
      <c r="R842" s="94">
        <v>1</v>
      </c>
    </row>
    <row r="843" spans="1:18" ht="24">
      <c r="A843" s="90">
        <v>573</v>
      </c>
      <c r="B843" s="87" t="s">
        <v>1565</v>
      </c>
      <c r="C843" s="91" t="s">
        <v>1566</v>
      </c>
      <c r="D843" s="92">
        <v>2398.9699999999998</v>
      </c>
      <c r="E843" s="92">
        <v>1351.84</v>
      </c>
      <c r="F843" s="92">
        <v>1006.63</v>
      </c>
      <c r="G843" s="92">
        <v>40.5</v>
      </c>
      <c r="H843" s="93">
        <v>21188.22</v>
      </c>
      <c r="I843" s="93">
        <v>15546.16</v>
      </c>
      <c r="J843" s="93">
        <v>5213.09</v>
      </c>
      <c r="K843" s="93">
        <v>428.97</v>
      </c>
      <c r="L843" s="43">
        <v>8.8322154924821916</v>
      </c>
      <c r="M843" s="43">
        <v>11.5</v>
      </c>
      <c r="N843" s="43">
        <v>5.1787548553092995</v>
      </c>
      <c r="O843" s="43">
        <v>10.591851851851853</v>
      </c>
      <c r="P843" s="94"/>
      <c r="Q843" s="94"/>
      <c r="R843" s="94">
        <v>1</v>
      </c>
    </row>
    <row r="844" spans="1:18" ht="24">
      <c r="A844" s="90">
        <v>574</v>
      </c>
      <c r="B844" s="87" t="s">
        <v>1567</v>
      </c>
      <c r="C844" s="91" t="s">
        <v>1568</v>
      </c>
      <c r="D844" s="92">
        <v>2966.44</v>
      </c>
      <c r="E844" s="92">
        <v>1624.48</v>
      </c>
      <c r="F844" s="92">
        <v>1296.01</v>
      </c>
      <c r="G844" s="92">
        <v>45.95</v>
      </c>
      <c r="H844" s="93">
        <v>25900.58</v>
      </c>
      <c r="I844" s="93">
        <v>18681.52</v>
      </c>
      <c r="J844" s="93">
        <v>6727.41</v>
      </c>
      <c r="K844" s="93">
        <v>491.65</v>
      </c>
      <c r="L844" s="43">
        <v>8.7311996871671091</v>
      </c>
      <c r="M844" s="43">
        <v>11.5</v>
      </c>
      <c r="N844" s="43">
        <v>5.1908627248246537</v>
      </c>
      <c r="O844" s="43">
        <v>10.69967355821545</v>
      </c>
      <c r="P844" s="94"/>
      <c r="Q844" s="94"/>
      <c r="R844" s="94">
        <v>1</v>
      </c>
    </row>
    <row r="845" spans="1:18" ht="24">
      <c r="A845" s="90">
        <v>575</v>
      </c>
      <c r="B845" s="87" t="s">
        <v>1569</v>
      </c>
      <c r="C845" s="91" t="s">
        <v>1570</v>
      </c>
      <c r="D845" s="92">
        <v>3443.03</v>
      </c>
      <c r="E845" s="92">
        <v>1885.76</v>
      </c>
      <c r="F845" s="92">
        <v>1501.19</v>
      </c>
      <c r="G845" s="92">
        <v>56.08</v>
      </c>
      <c r="H845" s="93">
        <v>30066.02</v>
      </c>
      <c r="I845" s="93">
        <v>21686.240000000002</v>
      </c>
      <c r="J845" s="93">
        <v>7785.08</v>
      </c>
      <c r="K845" s="93">
        <v>594.70000000000005</v>
      </c>
      <c r="L845" s="43">
        <v>8.7324304464381655</v>
      </c>
      <c r="M845" s="43">
        <v>11.500000000000002</v>
      </c>
      <c r="N845" s="43">
        <v>5.185939154937083</v>
      </c>
      <c r="O845" s="43">
        <v>10.604493580599145</v>
      </c>
      <c r="P845" s="94"/>
      <c r="Q845" s="94"/>
      <c r="R845" s="94">
        <v>1</v>
      </c>
    </row>
    <row r="846" spans="1:18" ht="24">
      <c r="A846" s="90">
        <v>576</v>
      </c>
      <c r="B846" s="87" t="s">
        <v>1571</v>
      </c>
      <c r="C846" s="91" t="s">
        <v>1572</v>
      </c>
      <c r="D846" s="92">
        <v>3946.12</v>
      </c>
      <c r="E846" s="92">
        <v>2158.4</v>
      </c>
      <c r="F846" s="92">
        <v>1726.19</v>
      </c>
      <c r="G846" s="92">
        <v>61.53</v>
      </c>
      <c r="H846" s="93">
        <v>34429.040000000001</v>
      </c>
      <c r="I846" s="93">
        <v>24821.599999999999</v>
      </c>
      <c r="J846" s="93">
        <v>8950.06</v>
      </c>
      <c r="K846" s="93">
        <v>657.38</v>
      </c>
      <c r="L846" s="43">
        <v>8.7247828246480097</v>
      </c>
      <c r="M846" s="43">
        <v>11.499999999999998</v>
      </c>
      <c r="N846" s="43">
        <v>5.1848637751348337</v>
      </c>
      <c r="O846" s="43">
        <v>10.683894035429871</v>
      </c>
      <c r="P846" s="94"/>
      <c r="Q846" s="94"/>
      <c r="R846" s="94">
        <v>1</v>
      </c>
    </row>
    <row r="847" spans="1:18" ht="12.75" customHeight="1">
      <c r="A847" s="628" t="s">
        <v>1573</v>
      </c>
      <c r="B847" s="629"/>
      <c r="C847" s="629"/>
      <c r="D847" s="629"/>
      <c r="E847" s="629"/>
      <c r="F847" s="629"/>
      <c r="G847" s="629"/>
      <c r="H847" s="629"/>
      <c r="I847" s="629"/>
      <c r="J847" s="629"/>
      <c r="K847" s="629"/>
      <c r="L847" s="629"/>
      <c r="M847" s="629"/>
      <c r="N847" s="629"/>
      <c r="O847" s="629"/>
      <c r="P847" s="629"/>
      <c r="Q847" s="629"/>
      <c r="R847" s="629"/>
    </row>
    <row r="848" spans="1:18" ht="12.75" customHeight="1">
      <c r="A848" s="628" t="s">
        <v>1574</v>
      </c>
      <c r="B848" s="629"/>
      <c r="C848" s="629"/>
      <c r="D848" s="629"/>
      <c r="E848" s="629"/>
      <c r="F848" s="629"/>
      <c r="G848" s="629"/>
      <c r="H848" s="629"/>
      <c r="I848" s="629"/>
      <c r="J848" s="629"/>
      <c r="K848" s="629"/>
      <c r="L848" s="629"/>
      <c r="M848" s="629"/>
      <c r="N848" s="629"/>
      <c r="O848" s="629"/>
      <c r="P848" s="629"/>
      <c r="Q848" s="629"/>
      <c r="R848" s="629"/>
    </row>
    <row r="849" spans="1:18" ht="24">
      <c r="A849" s="90">
        <v>577</v>
      </c>
      <c r="B849" s="87" t="s">
        <v>1575</v>
      </c>
      <c r="C849" s="91" t="s">
        <v>1576</v>
      </c>
      <c r="D849" s="92">
        <v>12843.23</v>
      </c>
      <c r="E849" s="92">
        <v>3338.28</v>
      </c>
      <c r="F849" s="92">
        <v>8566.66</v>
      </c>
      <c r="G849" s="92">
        <v>938.29</v>
      </c>
      <c r="H849" s="93">
        <v>89565.43</v>
      </c>
      <c r="I849" s="93">
        <v>38390.22</v>
      </c>
      <c r="J849" s="93">
        <v>45697.91</v>
      </c>
      <c r="K849" s="93">
        <v>5477.3</v>
      </c>
      <c r="L849" s="43">
        <v>6.9737464796628261</v>
      </c>
      <c r="M849" s="43">
        <v>11.5</v>
      </c>
      <c r="N849" s="43">
        <v>5.3343905325996364</v>
      </c>
      <c r="O849" s="43">
        <v>5.8375342378156008</v>
      </c>
      <c r="P849" s="94"/>
      <c r="Q849" s="94"/>
      <c r="R849" s="94">
        <v>1</v>
      </c>
    </row>
    <row r="850" spans="1:18" ht="24">
      <c r="A850" s="90">
        <v>578</v>
      </c>
      <c r="B850" s="87" t="s">
        <v>1577</v>
      </c>
      <c r="C850" s="91" t="s">
        <v>1578</v>
      </c>
      <c r="D850" s="92">
        <v>15013.56</v>
      </c>
      <c r="E850" s="92">
        <v>3934</v>
      </c>
      <c r="F850" s="92">
        <v>10078.780000000001</v>
      </c>
      <c r="G850" s="92">
        <v>1000.78</v>
      </c>
      <c r="H850" s="93">
        <v>104872.88</v>
      </c>
      <c r="I850" s="93">
        <v>45241</v>
      </c>
      <c r="J850" s="93">
        <v>53761</v>
      </c>
      <c r="K850" s="93">
        <v>5870.88</v>
      </c>
      <c r="L850" s="43">
        <v>6.98521070285795</v>
      </c>
      <c r="M850" s="43">
        <v>11.5</v>
      </c>
      <c r="N850" s="43">
        <v>5.3340781324723823</v>
      </c>
      <c r="O850" s="43">
        <v>5.8663042826595255</v>
      </c>
      <c r="P850" s="94"/>
      <c r="Q850" s="94"/>
      <c r="R850" s="94">
        <v>1</v>
      </c>
    </row>
    <row r="851" spans="1:18" ht="24">
      <c r="A851" s="90">
        <v>579</v>
      </c>
      <c r="B851" s="87" t="s">
        <v>1579</v>
      </c>
      <c r="C851" s="91" t="s">
        <v>1580</v>
      </c>
      <c r="D851" s="92">
        <v>17201.16</v>
      </c>
      <c r="E851" s="92">
        <v>4540.96</v>
      </c>
      <c r="F851" s="92">
        <v>11596.69</v>
      </c>
      <c r="G851" s="92">
        <v>1063.51</v>
      </c>
      <c r="H851" s="93">
        <v>120343.84</v>
      </c>
      <c r="I851" s="93">
        <v>52221.04</v>
      </c>
      <c r="J851" s="93">
        <v>61855.68</v>
      </c>
      <c r="K851" s="93">
        <v>6267.12</v>
      </c>
      <c r="L851" s="43">
        <v>6.9962630427250252</v>
      </c>
      <c r="M851" s="43">
        <v>11.5</v>
      </c>
      <c r="N851" s="43">
        <v>5.3339082100150987</v>
      </c>
      <c r="O851" s="43">
        <v>5.89286419497701</v>
      </c>
      <c r="P851" s="94"/>
      <c r="Q851" s="94"/>
      <c r="R851" s="94">
        <v>1</v>
      </c>
    </row>
    <row r="852" spans="1:18" ht="24">
      <c r="A852" s="90">
        <v>580</v>
      </c>
      <c r="B852" s="87" t="s">
        <v>1581</v>
      </c>
      <c r="C852" s="91" t="s">
        <v>1582</v>
      </c>
      <c r="D852" s="92">
        <v>19389.72</v>
      </c>
      <c r="E852" s="92">
        <v>5147.92</v>
      </c>
      <c r="F852" s="92">
        <v>13115.57</v>
      </c>
      <c r="G852" s="92">
        <v>1126.23</v>
      </c>
      <c r="H852" s="93">
        <v>135820.26</v>
      </c>
      <c r="I852" s="93">
        <v>59201.08</v>
      </c>
      <c r="J852" s="93">
        <v>69955.820000000007</v>
      </c>
      <c r="K852" s="93">
        <v>6663.36</v>
      </c>
      <c r="L852" s="43">
        <v>7.0047561285052078</v>
      </c>
      <c r="M852" s="43">
        <v>11.5</v>
      </c>
      <c r="N852" s="43">
        <v>5.333799446001966</v>
      </c>
      <c r="O852" s="43">
        <v>5.9165179403851784</v>
      </c>
      <c r="P852" s="94"/>
      <c r="Q852" s="94"/>
      <c r="R852" s="94">
        <v>1</v>
      </c>
    </row>
    <row r="853" spans="1:18" ht="24">
      <c r="A853" s="90">
        <v>581</v>
      </c>
      <c r="B853" s="87" t="s">
        <v>1583</v>
      </c>
      <c r="C853" s="91" t="s">
        <v>1584</v>
      </c>
      <c r="D853" s="92">
        <v>21576.77</v>
      </c>
      <c r="E853" s="92">
        <v>5754.88</v>
      </c>
      <c r="F853" s="92">
        <v>14632.93</v>
      </c>
      <c r="G853" s="92">
        <v>1188.96</v>
      </c>
      <c r="H853" s="93">
        <v>151288.51</v>
      </c>
      <c r="I853" s="93">
        <v>66181.119999999995</v>
      </c>
      <c r="J853" s="93">
        <v>78047.789999999994</v>
      </c>
      <c r="K853" s="93">
        <v>7059.6</v>
      </c>
      <c r="L853" s="43">
        <v>7.0116384426399323</v>
      </c>
      <c r="M853" s="43">
        <v>11.499999999999998</v>
      </c>
      <c r="N853" s="43">
        <v>5.3337089701105649</v>
      </c>
      <c r="O853" s="43">
        <v>5.9376261606782403</v>
      </c>
      <c r="P853" s="94"/>
      <c r="Q853" s="94"/>
      <c r="R853" s="94">
        <v>1</v>
      </c>
    </row>
    <row r="854" spans="1:18" ht="24">
      <c r="A854" s="90">
        <v>582</v>
      </c>
      <c r="B854" s="87" t="s">
        <v>1585</v>
      </c>
      <c r="C854" s="91" t="s">
        <v>1586</v>
      </c>
      <c r="D854" s="92">
        <v>23753.5</v>
      </c>
      <c r="E854" s="92">
        <v>6361.84</v>
      </c>
      <c r="F854" s="92">
        <v>16145.6</v>
      </c>
      <c r="G854" s="92">
        <v>1246.06</v>
      </c>
      <c r="H854" s="93">
        <v>166702.07</v>
      </c>
      <c r="I854" s="93">
        <v>73161.16</v>
      </c>
      <c r="J854" s="93">
        <v>86113.59</v>
      </c>
      <c r="K854" s="93">
        <v>7427.32</v>
      </c>
      <c r="L854" s="43">
        <v>7.0180002946934135</v>
      </c>
      <c r="M854" s="43">
        <v>11.5</v>
      </c>
      <c r="N854" s="43">
        <v>5.3335639431176292</v>
      </c>
      <c r="O854" s="43">
        <v>5.9606439497295476</v>
      </c>
      <c r="P854" s="94"/>
      <c r="Q854" s="94"/>
      <c r="R854" s="94">
        <v>1</v>
      </c>
    </row>
    <row r="855" spans="1:18" ht="24">
      <c r="A855" s="90">
        <v>583</v>
      </c>
      <c r="B855" s="87" t="s">
        <v>1587</v>
      </c>
      <c r="C855" s="91" t="s">
        <v>1588</v>
      </c>
      <c r="D855" s="92">
        <v>26188.7</v>
      </c>
      <c r="E855" s="92">
        <v>6991.28</v>
      </c>
      <c r="F855" s="92">
        <v>17837.59</v>
      </c>
      <c r="G855" s="92">
        <v>1359.83</v>
      </c>
      <c r="H855" s="93">
        <v>183639.12</v>
      </c>
      <c r="I855" s="93">
        <v>80399.72</v>
      </c>
      <c r="J855" s="93">
        <v>95154.04</v>
      </c>
      <c r="K855" s="93">
        <v>8085.36</v>
      </c>
      <c r="L855" s="43">
        <v>7.0121510422434099</v>
      </c>
      <c r="M855" s="43">
        <v>11.5</v>
      </c>
      <c r="N855" s="43">
        <v>5.3344672682800756</v>
      </c>
      <c r="O855" s="43">
        <v>5.945860879668782</v>
      </c>
      <c r="P855" s="94"/>
      <c r="Q855" s="94"/>
      <c r="R855" s="94">
        <v>1</v>
      </c>
    </row>
    <row r="856" spans="1:18" ht="12.75" customHeight="1">
      <c r="A856" s="628" t="s">
        <v>1589</v>
      </c>
      <c r="B856" s="629"/>
      <c r="C856" s="629"/>
      <c r="D856" s="629"/>
      <c r="E856" s="629"/>
      <c r="F856" s="629"/>
      <c r="G856" s="629"/>
      <c r="H856" s="629"/>
      <c r="I856" s="629"/>
      <c r="J856" s="629"/>
      <c r="K856" s="629"/>
      <c r="L856" s="629"/>
      <c r="M856" s="629"/>
      <c r="N856" s="629"/>
      <c r="O856" s="629"/>
      <c r="P856" s="629"/>
      <c r="Q856" s="629"/>
      <c r="R856" s="629"/>
    </row>
    <row r="857" spans="1:18" ht="24">
      <c r="A857" s="90">
        <v>584</v>
      </c>
      <c r="B857" s="87" t="s">
        <v>1590</v>
      </c>
      <c r="C857" s="91" t="s">
        <v>1591</v>
      </c>
      <c r="D857" s="92">
        <v>6827.65</v>
      </c>
      <c r="E857" s="92">
        <v>2056.92</v>
      </c>
      <c r="F857" s="92">
        <v>4199.6499999999996</v>
      </c>
      <c r="G857" s="92">
        <v>571.08000000000004</v>
      </c>
      <c r="H857" s="93">
        <v>49459.99</v>
      </c>
      <c r="I857" s="93">
        <v>23654.58</v>
      </c>
      <c r="J857" s="93">
        <v>22330.25</v>
      </c>
      <c r="K857" s="93">
        <v>3475.16</v>
      </c>
      <c r="L857" s="43">
        <v>7.2440722649813623</v>
      </c>
      <c r="M857" s="43">
        <v>11.5</v>
      </c>
      <c r="N857" s="43">
        <v>5.3171692879168511</v>
      </c>
      <c r="O857" s="43">
        <v>6.0852419976185468</v>
      </c>
      <c r="P857" s="94"/>
      <c r="Q857" s="94"/>
      <c r="R857" s="94">
        <v>2</v>
      </c>
    </row>
    <row r="858" spans="1:18" ht="24">
      <c r="A858" s="90">
        <v>585</v>
      </c>
      <c r="B858" s="87" t="s">
        <v>1592</v>
      </c>
      <c r="C858" s="91" t="s">
        <v>1593</v>
      </c>
      <c r="D858" s="92">
        <v>8298.11</v>
      </c>
      <c r="E858" s="92">
        <v>2517.7600000000002</v>
      </c>
      <c r="F858" s="92">
        <v>5176.6499999999996</v>
      </c>
      <c r="G858" s="92">
        <v>603.70000000000005</v>
      </c>
      <c r="H858" s="93">
        <v>60195.43</v>
      </c>
      <c r="I858" s="93">
        <v>28954.240000000002</v>
      </c>
      <c r="J858" s="93">
        <v>27537.89</v>
      </c>
      <c r="K858" s="93">
        <v>3703.3</v>
      </c>
      <c r="L858" s="43">
        <v>7.2541132860374224</v>
      </c>
      <c r="M858" s="43">
        <v>11.5</v>
      </c>
      <c r="N858" s="43">
        <v>5.3196352853679505</v>
      </c>
      <c r="O858" s="43">
        <v>6.1343382474739103</v>
      </c>
      <c r="P858" s="94"/>
      <c r="Q858" s="94"/>
      <c r="R858" s="94">
        <v>2</v>
      </c>
    </row>
    <row r="859" spans="1:18" ht="24">
      <c r="A859" s="90">
        <v>586</v>
      </c>
      <c r="B859" s="87" t="s">
        <v>1594</v>
      </c>
      <c r="C859" s="91" t="s">
        <v>1595</v>
      </c>
      <c r="D859" s="92">
        <v>9760.76</v>
      </c>
      <c r="E859" s="92">
        <v>2967.36</v>
      </c>
      <c r="F859" s="92">
        <v>6157.37</v>
      </c>
      <c r="G859" s="92">
        <v>636.03</v>
      </c>
      <c r="H859" s="93">
        <v>70819.100000000006</v>
      </c>
      <c r="I859" s="93">
        <v>34124.639999999999</v>
      </c>
      <c r="J859" s="93">
        <v>32766.26</v>
      </c>
      <c r="K859" s="93">
        <v>3928.2</v>
      </c>
      <c r="L859" s="43">
        <v>7.2554903511611801</v>
      </c>
      <c r="M859" s="43">
        <v>11.5</v>
      </c>
      <c r="N859" s="43">
        <v>5.321470043216503</v>
      </c>
      <c r="O859" s="43">
        <v>6.1761237677468044</v>
      </c>
      <c r="P859" s="94"/>
      <c r="Q859" s="94"/>
      <c r="R859" s="94">
        <v>2</v>
      </c>
    </row>
    <row r="860" spans="1:18" ht="24">
      <c r="A860" s="90">
        <v>587</v>
      </c>
      <c r="B860" s="87" t="s">
        <v>1596</v>
      </c>
      <c r="C860" s="91" t="s">
        <v>1597</v>
      </c>
      <c r="D860" s="92">
        <v>11243.56</v>
      </c>
      <c r="E860" s="92">
        <v>3416.96</v>
      </c>
      <c r="F860" s="92">
        <v>7158.22</v>
      </c>
      <c r="G860" s="92">
        <v>668.38</v>
      </c>
      <c r="H860" s="93">
        <v>81550.42</v>
      </c>
      <c r="I860" s="93">
        <v>39295.040000000001</v>
      </c>
      <c r="J860" s="93">
        <v>38102</v>
      </c>
      <c r="K860" s="93">
        <v>4153.38</v>
      </c>
      <c r="L860" s="43">
        <v>7.2530782065466815</v>
      </c>
      <c r="M860" s="43">
        <v>11.5</v>
      </c>
      <c r="N860" s="43">
        <v>5.3228316536792661</v>
      </c>
      <c r="O860" s="43">
        <v>6.2140997636075292</v>
      </c>
      <c r="P860" s="94"/>
      <c r="Q860" s="94"/>
      <c r="R860" s="94">
        <v>2</v>
      </c>
    </row>
    <row r="861" spans="1:18" ht="24">
      <c r="A861" s="90">
        <v>588</v>
      </c>
      <c r="B861" s="87" t="s">
        <v>1598</v>
      </c>
      <c r="C861" s="91" t="s">
        <v>1599</v>
      </c>
      <c r="D861" s="92">
        <v>12662.01</v>
      </c>
      <c r="E861" s="92">
        <v>3855.32</v>
      </c>
      <c r="F861" s="92">
        <v>8111.76</v>
      </c>
      <c r="G861" s="92">
        <v>694.93</v>
      </c>
      <c r="H861" s="93">
        <v>91866.87</v>
      </c>
      <c r="I861" s="93">
        <v>44336.18</v>
      </c>
      <c r="J861" s="93">
        <v>43182.87</v>
      </c>
      <c r="K861" s="93">
        <v>4347.82</v>
      </c>
      <c r="L861" s="43">
        <v>7.2553149144567088</v>
      </c>
      <c r="M861" s="43">
        <v>11.5</v>
      </c>
      <c r="N861" s="43">
        <v>5.3234896002840326</v>
      </c>
      <c r="O861" s="43">
        <v>6.256486264803649</v>
      </c>
      <c r="P861" s="94"/>
      <c r="Q861" s="94"/>
      <c r="R861" s="94">
        <v>2</v>
      </c>
    </row>
    <row r="862" spans="1:18" ht="24">
      <c r="A862" s="90">
        <v>589</v>
      </c>
      <c r="B862" s="87" t="s">
        <v>1600</v>
      </c>
      <c r="C862" s="91" t="s">
        <v>1601</v>
      </c>
      <c r="D862" s="92">
        <v>8167.71</v>
      </c>
      <c r="E862" s="92">
        <v>2405.36</v>
      </c>
      <c r="F862" s="92">
        <v>5127.6899999999996</v>
      </c>
      <c r="G862" s="92">
        <v>634.66</v>
      </c>
      <c r="H862" s="93">
        <v>58825.37</v>
      </c>
      <c r="I862" s="93">
        <v>27661.64</v>
      </c>
      <c r="J862" s="93">
        <v>27299.03</v>
      </c>
      <c r="K862" s="93">
        <v>3864.7</v>
      </c>
      <c r="L862" s="43">
        <v>7.202186414551937</v>
      </c>
      <c r="M862" s="43">
        <v>11.5</v>
      </c>
      <c r="N862" s="43">
        <v>5.3238456302935635</v>
      </c>
      <c r="O862" s="43">
        <v>6.0894021996029366</v>
      </c>
      <c r="P862" s="94"/>
      <c r="Q862" s="94"/>
      <c r="R862" s="94">
        <v>2</v>
      </c>
    </row>
    <row r="863" spans="1:18" ht="24">
      <c r="A863" s="90">
        <v>590</v>
      </c>
      <c r="B863" s="87" t="s">
        <v>1602</v>
      </c>
      <c r="C863" s="91" t="s">
        <v>1603</v>
      </c>
      <c r="D863" s="92">
        <v>10020.209999999999</v>
      </c>
      <c r="E863" s="92">
        <v>3001.08</v>
      </c>
      <c r="F863" s="92">
        <v>6337.14</v>
      </c>
      <c r="G863" s="92">
        <v>681.99</v>
      </c>
      <c r="H863" s="93">
        <v>72448.61</v>
      </c>
      <c r="I863" s="93">
        <v>34512.42</v>
      </c>
      <c r="J863" s="93">
        <v>33748.550000000003</v>
      </c>
      <c r="K863" s="93">
        <v>4187.6400000000003</v>
      </c>
      <c r="L863" s="43">
        <v>7.2302486674430986</v>
      </c>
      <c r="M863" s="43">
        <v>11.5</v>
      </c>
      <c r="N863" s="43">
        <v>5.325517504741887</v>
      </c>
      <c r="O863" s="43">
        <v>6.140324638191176</v>
      </c>
      <c r="P863" s="94"/>
      <c r="Q863" s="94"/>
      <c r="R863" s="94">
        <v>2</v>
      </c>
    </row>
    <row r="864" spans="1:18" ht="24">
      <c r="A864" s="90">
        <v>591</v>
      </c>
      <c r="B864" s="87" t="s">
        <v>1604</v>
      </c>
      <c r="C864" s="91" t="s">
        <v>1605</v>
      </c>
      <c r="D864" s="92">
        <v>11806.84</v>
      </c>
      <c r="E864" s="92">
        <v>3506.88</v>
      </c>
      <c r="F864" s="92">
        <v>7572.43</v>
      </c>
      <c r="G864" s="92">
        <v>727.53</v>
      </c>
      <c r="H864" s="93">
        <v>85158.58</v>
      </c>
      <c r="I864" s="93">
        <v>40329.120000000003</v>
      </c>
      <c r="J864" s="93">
        <v>40339.449999999997</v>
      </c>
      <c r="K864" s="93">
        <v>4490.01</v>
      </c>
      <c r="L864" s="43">
        <v>7.2126479227295368</v>
      </c>
      <c r="M864" s="43">
        <v>11.5</v>
      </c>
      <c r="N864" s="43">
        <v>5.3271472961783726</v>
      </c>
      <c r="O864" s="43">
        <v>6.1715805533792425</v>
      </c>
      <c r="P864" s="94"/>
      <c r="Q864" s="94"/>
      <c r="R864" s="94">
        <v>2</v>
      </c>
    </row>
    <row r="865" spans="1:18" ht="24">
      <c r="A865" s="90">
        <v>592</v>
      </c>
      <c r="B865" s="87" t="s">
        <v>1606</v>
      </c>
      <c r="C865" s="91" t="s">
        <v>1607</v>
      </c>
      <c r="D865" s="92">
        <v>12206.69</v>
      </c>
      <c r="E865" s="92">
        <v>3686.72</v>
      </c>
      <c r="F865" s="92">
        <v>7753.49</v>
      </c>
      <c r="G865" s="92">
        <v>766.48</v>
      </c>
      <c r="H865" s="93">
        <v>88433.12</v>
      </c>
      <c r="I865" s="93">
        <v>42397.279999999999</v>
      </c>
      <c r="J865" s="93">
        <v>41319.160000000003</v>
      </c>
      <c r="K865" s="93">
        <v>4716.68</v>
      </c>
      <c r="L865" s="43">
        <v>7.2446437158640054</v>
      </c>
      <c r="M865" s="43">
        <v>11.5</v>
      </c>
      <c r="N865" s="43">
        <v>5.329104699948024</v>
      </c>
      <c r="O865" s="43">
        <v>6.1536895939881013</v>
      </c>
      <c r="P865" s="94"/>
      <c r="Q865" s="94"/>
      <c r="R865" s="94">
        <v>2</v>
      </c>
    </row>
    <row r="866" spans="1:18" ht="24">
      <c r="A866" s="90">
        <v>593</v>
      </c>
      <c r="B866" s="87" t="s">
        <v>1608</v>
      </c>
      <c r="C866" s="91" t="s">
        <v>1609</v>
      </c>
      <c r="D866" s="92">
        <v>15458.48</v>
      </c>
      <c r="E866" s="92">
        <v>4619.6400000000003</v>
      </c>
      <c r="F866" s="92">
        <v>10018.209999999999</v>
      </c>
      <c r="G866" s="92">
        <v>820.63</v>
      </c>
      <c r="H866" s="93">
        <v>111629.36</v>
      </c>
      <c r="I866" s="93">
        <v>53125.86</v>
      </c>
      <c r="J866" s="93">
        <v>53385.64</v>
      </c>
      <c r="K866" s="93">
        <v>5117.8599999999997</v>
      </c>
      <c r="L866" s="43">
        <v>7.2212377931077318</v>
      </c>
      <c r="M866" s="43">
        <v>11.5</v>
      </c>
      <c r="N866" s="43">
        <v>5.3288601456747271</v>
      </c>
      <c r="O866" s="43">
        <v>6.236501224668852</v>
      </c>
      <c r="P866" s="94"/>
      <c r="Q866" s="94"/>
      <c r="R866" s="94">
        <v>2</v>
      </c>
    </row>
    <row r="867" spans="1:18" ht="24">
      <c r="A867" s="90">
        <v>594</v>
      </c>
      <c r="B867" s="87" t="s">
        <v>1610</v>
      </c>
      <c r="C867" s="91" t="s">
        <v>1611</v>
      </c>
      <c r="D867" s="92">
        <v>11878.95</v>
      </c>
      <c r="E867" s="92">
        <v>3394.48</v>
      </c>
      <c r="F867" s="92">
        <v>7759.89</v>
      </c>
      <c r="G867" s="92">
        <v>724.58</v>
      </c>
      <c r="H867" s="93">
        <v>84857.39</v>
      </c>
      <c r="I867" s="93">
        <v>39036.519999999997</v>
      </c>
      <c r="J867" s="93">
        <v>41321.379999999997</v>
      </c>
      <c r="K867" s="93">
        <v>4499.49</v>
      </c>
      <c r="L867" s="43">
        <v>7.1435093169009036</v>
      </c>
      <c r="M867" s="43">
        <v>11.499999999999998</v>
      </c>
      <c r="N867" s="43">
        <v>5.3249955862776401</v>
      </c>
      <c r="O867" s="43">
        <v>6.2097904993237458</v>
      </c>
      <c r="P867" s="94"/>
      <c r="Q867" s="94"/>
      <c r="R867" s="94">
        <v>2</v>
      </c>
    </row>
    <row r="868" spans="1:18" ht="24">
      <c r="A868" s="90">
        <v>595</v>
      </c>
      <c r="B868" s="87" t="s">
        <v>1612</v>
      </c>
      <c r="C868" s="91" t="s">
        <v>1613</v>
      </c>
      <c r="D868" s="92">
        <v>15004.64</v>
      </c>
      <c r="E868" s="92">
        <v>4316.16</v>
      </c>
      <c r="F868" s="92">
        <v>9902.6200000000008</v>
      </c>
      <c r="G868" s="92">
        <v>785.86</v>
      </c>
      <c r="H868" s="93">
        <v>107346.63</v>
      </c>
      <c r="I868" s="93">
        <v>49635.839999999997</v>
      </c>
      <c r="J868" s="93">
        <v>52769.07</v>
      </c>
      <c r="K868" s="93">
        <v>4941.72</v>
      </c>
      <c r="L868" s="43">
        <v>7.1542289585088348</v>
      </c>
      <c r="M868" s="43">
        <v>11.5</v>
      </c>
      <c r="N868" s="43">
        <v>5.3287988431344431</v>
      </c>
      <c r="O868" s="43">
        <v>6.2882956251749675</v>
      </c>
      <c r="P868" s="94"/>
      <c r="Q868" s="94"/>
      <c r="R868" s="94">
        <v>2</v>
      </c>
    </row>
    <row r="869" spans="1:18" ht="24">
      <c r="A869" s="90">
        <v>596</v>
      </c>
      <c r="B869" s="87" t="s">
        <v>1614</v>
      </c>
      <c r="C869" s="91" t="s">
        <v>1615</v>
      </c>
      <c r="D869" s="92">
        <v>18119.009999999998</v>
      </c>
      <c r="E869" s="92">
        <v>5215.3599999999997</v>
      </c>
      <c r="F869" s="92">
        <v>12062.44</v>
      </c>
      <c r="G869" s="92">
        <v>841.21</v>
      </c>
      <c r="H869" s="93">
        <v>129607.09</v>
      </c>
      <c r="I869" s="93">
        <v>59976.639999999999</v>
      </c>
      <c r="J869" s="93">
        <v>64278.87</v>
      </c>
      <c r="K869" s="93">
        <v>5351.58</v>
      </c>
      <c r="L869" s="43">
        <v>7.1530999762128289</v>
      </c>
      <c r="M869" s="43">
        <v>11.5</v>
      </c>
      <c r="N869" s="43">
        <v>5.3288447445127192</v>
      </c>
      <c r="O869" s="43">
        <v>6.361764600991429</v>
      </c>
      <c r="P869" s="94"/>
      <c r="Q869" s="94"/>
      <c r="R869" s="94">
        <v>2</v>
      </c>
    </row>
    <row r="870" spans="1:18" ht="24">
      <c r="A870" s="90">
        <v>597</v>
      </c>
      <c r="B870" s="87" t="s">
        <v>1616</v>
      </c>
      <c r="C870" s="91" t="s">
        <v>1617</v>
      </c>
      <c r="D870" s="92">
        <v>21296.080000000002</v>
      </c>
      <c r="E870" s="92">
        <v>6125.8</v>
      </c>
      <c r="F870" s="92">
        <v>14251.15</v>
      </c>
      <c r="G870" s="92">
        <v>919.13</v>
      </c>
      <c r="H870" s="93">
        <v>152270.91</v>
      </c>
      <c r="I870" s="93">
        <v>70446.7</v>
      </c>
      <c r="J870" s="93">
        <v>75947.38</v>
      </c>
      <c r="K870" s="93">
        <v>5876.83</v>
      </c>
      <c r="L870" s="43">
        <v>7.1501849166607183</v>
      </c>
      <c r="M870" s="43">
        <v>11.5</v>
      </c>
      <c r="N870" s="43">
        <v>5.3292106251074483</v>
      </c>
      <c r="O870" s="43">
        <v>6.3939051059153762</v>
      </c>
      <c r="P870" s="94"/>
      <c r="Q870" s="94"/>
      <c r="R870" s="94">
        <v>2</v>
      </c>
    </row>
    <row r="871" spans="1:18" ht="24">
      <c r="A871" s="90">
        <v>598</v>
      </c>
      <c r="B871" s="87" t="s">
        <v>1618</v>
      </c>
      <c r="C871" s="91" t="s">
        <v>1619</v>
      </c>
      <c r="D871" s="92">
        <v>24439.62</v>
      </c>
      <c r="E871" s="92">
        <v>7047.48</v>
      </c>
      <c r="F871" s="92">
        <v>16411.599999999999</v>
      </c>
      <c r="G871" s="92">
        <v>980.54</v>
      </c>
      <c r="H871" s="93">
        <v>174825.66</v>
      </c>
      <c r="I871" s="93">
        <v>81046.02</v>
      </c>
      <c r="J871" s="93">
        <v>87459.38</v>
      </c>
      <c r="K871" s="93">
        <v>6320.26</v>
      </c>
      <c r="L871" s="43">
        <v>7.1533706334222877</v>
      </c>
      <c r="M871" s="43">
        <v>11.500000000000002</v>
      </c>
      <c r="N871" s="43">
        <v>5.3291196470788957</v>
      </c>
      <c r="O871" s="43">
        <v>6.4456931894670291</v>
      </c>
      <c r="P871" s="94"/>
      <c r="Q871" s="94"/>
      <c r="R871" s="94">
        <v>2</v>
      </c>
    </row>
    <row r="872" spans="1:18" ht="24">
      <c r="A872" s="90">
        <v>599</v>
      </c>
      <c r="B872" s="87" t="s">
        <v>1620</v>
      </c>
      <c r="C872" s="91" t="s">
        <v>1621</v>
      </c>
      <c r="D872" s="92">
        <v>26583.83</v>
      </c>
      <c r="E872" s="92">
        <v>7946.68</v>
      </c>
      <c r="F872" s="92">
        <v>17590.259999999998</v>
      </c>
      <c r="G872" s="92">
        <v>1046.8900000000001</v>
      </c>
      <c r="H872" s="93">
        <v>191867.9</v>
      </c>
      <c r="I872" s="93">
        <v>91386.82</v>
      </c>
      <c r="J872" s="93">
        <v>93696.13</v>
      </c>
      <c r="K872" s="93">
        <v>6784.95</v>
      </c>
      <c r="L872" s="43">
        <v>7.2174664072106989</v>
      </c>
      <c r="M872" s="43">
        <v>11.5</v>
      </c>
      <c r="N872" s="43">
        <v>5.3265915341785748</v>
      </c>
      <c r="O872" s="43">
        <v>6.481053405801946</v>
      </c>
      <c r="P872" s="94"/>
      <c r="Q872" s="94"/>
      <c r="R872" s="94">
        <v>2</v>
      </c>
    </row>
    <row r="873" spans="1:18" ht="24">
      <c r="A873" s="90">
        <v>600</v>
      </c>
      <c r="B873" s="87" t="s">
        <v>1622</v>
      </c>
      <c r="C873" s="91" t="s">
        <v>1623</v>
      </c>
      <c r="D873" s="92">
        <v>13568.17</v>
      </c>
      <c r="E873" s="92">
        <v>3646.56</v>
      </c>
      <c r="F873" s="92">
        <v>9029.93</v>
      </c>
      <c r="G873" s="92">
        <v>891.68</v>
      </c>
      <c r="H873" s="93">
        <v>95665.73</v>
      </c>
      <c r="I873" s="93">
        <v>41935.440000000002</v>
      </c>
      <c r="J873" s="93">
        <v>48167.48</v>
      </c>
      <c r="K873" s="93">
        <v>5562.81</v>
      </c>
      <c r="L873" s="43">
        <v>7.0507467108681565</v>
      </c>
      <c r="M873" s="43">
        <v>11.5</v>
      </c>
      <c r="N873" s="43">
        <v>5.334203033689076</v>
      </c>
      <c r="O873" s="43">
        <v>6.2385721335008082</v>
      </c>
      <c r="P873" s="94"/>
      <c r="Q873" s="94"/>
      <c r="R873" s="94">
        <v>2</v>
      </c>
    </row>
    <row r="874" spans="1:18" ht="24">
      <c r="A874" s="90">
        <v>601</v>
      </c>
      <c r="B874" s="87" t="s">
        <v>1624</v>
      </c>
      <c r="C874" s="91" t="s">
        <v>1625</v>
      </c>
      <c r="D874" s="92">
        <v>16673.189999999999</v>
      </c>
      <c r="E874" s="92">
        <v>4487.2</v>
      </c>
      <c r="F874" s="92">
        <v>11222.34</v>
      </c>
      <c r="G874" s="92">
        <v>963.65</v>
      </c>
      <c r="H874" s="93">
        <v>117529.91</v>
      </c>
      <c r="I874" s="93">
        <v>51602.8</v>
      </c>
      <c r="J874" s="93">
        <v>59853.47</v>
      </c>
      <c r="K874" s="93">
        <v>6073.64</v>
      </c>
      <c r="L874" s="43">
        <v>7.0490356074632396</v>
      </c>
      <c r="M874" s="43">
        <v>11.500000000000002</v>
      </c>
      <c r="N874" s="43">
        <v>5.333421550229275</v>
      </c>
      <c r="O874" s="43">
        <v>6.3027447724796355</v>
      </c>
      <c r="P874" s="94"/>
      <c r="Q874" s="94"/>
      <c r="R874" s="94">
        <v>2</v>
      </c>
    </row>
    <row r="875" spans="1:18" ht="24">
      <c r="A875" s="90">
        <v>602</v>
      </c>
      <c r="B875" s="87" t="s">
        <v>1626</v>
      </c>
      <c r="C875" s="91" t="s">
        <v>1627</v>
      </c>
      <c r="D875" s="92">
        <v>20018.34</v>
      </c>
      <c r="E875" s="92">
        <v>5350.56</v>
      </c>
      <c r="F875" s="92">
        <v>13597.97</v>
      </c>
      <c r="G875" s="92">
        <v>1069.81</v>
      </c>
      <c r="H875" s="93">
        <v>140824.04999999999</v>
      </c>
      <c r="I875" s="93">
        <v>61531.44</v>
      </c>
      <c r="J875" s="93">
        <v>72531.77</v>
      </c>
      <c r="K875" s="93">
        <v>6760.84</v>
      </c>
      <c r="L875" s="43">
        <v>7.0347516327527648</v>
      </c>
      <c r="M875" s="43">
        <v>11.5</v>
      </c>
      <c r="N875" s="43">
        <v>5.3340145624677806</v>
      </c>
      <c r="O875" s="43">
        <v>6.3196642394443874</v>
      </c>
      <c r="P875" s="94"/>
      <c r="Q875" s="94"/>
      <c r="R875" s="94">
        <v>2</v>
      </c>
    </row>
    <row r="876" spans="1:18" ht="24">
      <c r="A876" s="90">
        <v>603</v>
      </c>
      <c r="B876" s="87" t="s">
        <v>1628</v>
      </c>
      <c r="C876" s="91" t="s">
        <v>1629</v>
      </c>
      <c r="D876" s="92">
        <v>23362.21</v>
      </c>
      <c r="E876" s="92">
        <v>6225.28</v>
      </c>
      <c r="F876" s="92">
        <v>15960.73</v>
      </c>
      <c r="G876" s="92">
        <v>1176.2</v>
      </c>
      <c r="H876" s="93">
        <v>164184.20000000001</v>
      </c>
      <c r="I876" s="93">
        <v>71590.720000000001</v>
      </c>
      <c r="J876" s="93">
        <v>85142.79</v>
      </c>
      <c r="K876" s="93">
        <v>7450.69</v>
      </c>
      <c r="L876" s="43">
        <v>7.0277683489704108</v>
      </c>
      <c r="M876" s="43">
        <v>11.5</v>
      </c>
      <c r="N876" s="43">
        <v>5.3345172808511885</v>
      </c>
      <c r="O876" s="43">
        <v>6.3345434449923479</v>
      </c>
      <c r="P876" s="94"/>
      <c r="Q876" s="94"/>
      <c r="R876" s="94">
        <v>2</v>
      </c>
    </row>
    <row r="877" spans="1:18" ht="24">
      <c r="A877" s="90">
        <v>604</v>
      </c>
      <c r="B877" s="87" t="s">
        <v>1630</v>
      </c>
      <c r="C877" s="91" t="s">
        <v>1631</v>
      </c>
      <c r="D877" s="92">
        <v>26727.06</v>
      </c>
      <c r="E877" s="92">
        <v>7036.24</v>
      </c>
      <c r="F877" s="92">
        <v>18392.53</v>
      </c>
      <c r="G877" s="92">
        <v>1298.29</v>
      </c>
      <c r="H877" s="93">
        <v>187318.78</v>
      </c>
      <c r="I877" s="93">
        <v>80916.759999999995</v>
      </c>
      <c r="J877" s="93">
        <v>98127.32</v>
      </c>
      <c r="K877" s="93">
        <v>8274.7000000000007</v>
      </c>
      <c r="L877" s="43">
        <v>7.00858156490089</v>
      </c>
      <c r="M877" s="43">
        <v>11.5</v>
      </c>
      <c r="N877" s="43">
        <v>5.3351724857863498</v>
      </c>
      <c r="O877" s="43">
        <v>6.3735374993260372</v>
      </c>
      <c r="P877" s="94"/>
      <c r="Q877" s="94"/>
      <c r="R877" s="94">
        <v>2</v>
      </c>
    </row>
    <row r="878" spans="1:18" ht="24">
      <c r="A878" s="90">
        <v>605</v>
      </c>
      <c r="B878" s="87" t="s">
        <v>1632</v>
      </c>
      <c r="C878" s="91" t="s">
        <v>1633</v>
      </c>
      <c r="D878" s="92">
        <v>29893.06</v>
      </c>
      <c r="E878" s="92">
        <v>7879.24</v>
      </c>
      <c r="F878" s="92">
        <v>20638.02</v>
      </c>
      <c r="G878" s="92">
        <v>1375.8</v>
      </c>
      <c r="H878" s="93">
        <v>209465.68</v>
      </c>
      <c r="I878" s="93">
        <v>90611.26</v>
      </c>
      <c r="J878" s="93">
        <v>110103.26</v>
      </c>
      <c r="K878" s="93">
        <v>8751.16</v>
      </c>
      <c r="L878" s="43">
        <v>7.0071675499263035</v>
      </c>
      <c r="M878" s="43">
        <v>11.5</v>
      </c>
      <c r="N878" s="43">
        <v>5.3349720564278931</v>
      </c>
      <c r="O878" s="43">
        <v>6.3607791830207878</v>
      </c>
      <c r="P878" s="94"/>
      <c r="Q878" s="94"/>
      <c r="R878" s="94">
        <v>2</v>
      </c>
    </row>
    <row r="879" spans="1:18" ht="24">
      <c r="A879" s="90">
        <v>606</v>
      </c>
      <c r="B879" s="87" t="s">
        <v>1634</v>
      </c>
      <c r="C879" s="91" t="s">
        <v>1635</v>
      </c>
      <c r="D879" s="92">
        <v>33605.040000000001</v>
      </c>
      <c r="E879" s="92">
        <v>8789.68</v>
      </c>
      <c r="F879" s="92">
        <v>23276.25</v>
      </c>
      <c r="G879" s="92">
        <v>1539.11</v>
      </c>
      <c r="H879" s="93">
        <v>235019.54</v>
      </c>
      <c r="I879" s="93">
        <v>101081.32</v>
      </c>
      <c r="J879" s="93">
        <v>124203.9</v>
      </c>
      <c r="K879" s="93">
        <v>9734.32</v>
      </c>
      <c r="L879" s="43">
        <v>6.9935801296472198</v>
      </c>
      <c r="M879" s="43">
        <v>11.5</v>
      </c>
      <c r="N879" s="43">
        <v>5.3360786209118736</v>
      </c>
      <c r="O879" s="43">
        <v>6.3246421633281571</v>
      </c>
      <c r="P879" s="94"/>
      <c r="Q879" s="94"/>
      <c r="R879" s="94">
        <v>2</v>
      </c>
    </row>
    <row r="880" spans="1:18" ht="24">
      <c r="A880" s="90">
        <v>607</v>
      </c>
      <c r="B880" s="87" t="s">
        <v>1636</v>
      </c>
      <c r="C880" s="91" t="s">
        <v>1637</v>
      </c>
      <c r="D880" s="92">
        <v>14268.88</v>
      </c>
      <c r="E880" s="92">
        <v>3675.48</v>
      </c>
      <c r="F880" s="92">
        <v>9392.84</v>
      </c>
      <c r="G880" s="92">
        <v>1200.56</v>
      </c>
      <c r="H880" s="93">
        <v>99826.87</v>
      </c>
      <c r="I880" s="93">
        <v>42268.02</v>
      </c>
      <c r="J880" s="93">
        <v>50137.87</v>
      </c>
      <c r="K880" s="93">
        <v>7420.98</v>
      </c>
      <c r="L880" s="43">
        <v>6.9961251338577384</v>
      </c>
      <c r="M880" s="43">
        <v>11.499999999999998</v>
      </c>
      <c r="N880" s="43">
        <v>5.3378818333965024</v>
      </c>
      <c r="O880" s="43">
        <v>6.1812654094755777</v>
      </c>
      <c r="P880" s="94"/>
      <c r="Q880" s="94"/>
      <c r="R880" s="94">
        <v>2</v>
      </c>
    </row>
    <row r="881" spans="1:18" ht="24">
      <c r="A881" s="90">
        <v>608</v>
      </c>
      <c r="B881" s="87" t="s">
        <v>1638</v>
      </c>
      <c r="C881" s="91" t="s">
        <v>1639</v>
      </c>
      <c r="D881" s="92">
        <v>17273.73</v>
      </c>
      <c r="E881" s="92">
        <v>4496</v>
      </c>
      <c r="F881" s="92">
        <v>11501.02</v>
      </c>
      <c r="G881" s="92">
        <v>1276.71</v>
      </c>
      <c r="H881" s="93">
        <v>121058.52</v>
      </c>
      <c r="I881" s="93">
        <v>51704</v>
      </c>
      <c r="J881" s="93">
        <v>61366.43</v>
      </c>
      <c r="K881" s="93">
        <v>7988.09</v>
      </c>
      <c r="L881" s="43">
        <v>7.0082443108697428</v>
      </c>
      <c r="M881" s="43">
        <v>11.5</v>
      </c>
      <c r="N881" s="43">
        <v>5.3357380475818665</v>
      </c>
      <c r="O881" s="43">
        <v>6.2567771851085991</v>
      </c>
      <c r="P881" s="94"/>
      <c r="Q881" s="94"/>
      <c r="R881" s="94">
        <v>2</v>
      </c>
    </row>
    <row r="882" spans="1:18" ht="24">
      <c r="A882" s="90">
        <v>609</v>
      </c>
      <c r="B882" s="87" t="s">
        <v>1640</v>
      </c>
      <c r="C882" s="91" t="s">
        <v>1641</v>
      </c>
      <c r="D882" s="92">
        <v>20945.23</v>
      </c>
      <c r="E882" s="92">
        <v>5372.72</v>
      </c>
      <c r="F882" s="92">
        <v>14128.25</v>
      </c>
      <c r="G882" s="92">
        <v>1444.26</v>
      </c>
      <c r="H882" s="93">
        <v>146096.92000000001</v>
      </c>
      <c r="I882" s="93">
        <v>61786.28</v>
      </c>
      <c r="J882" s="93">
        <v>75283.350000000006</v>
      </c>
      <c r="K882" s="93">
        <v>9027.2900000000009</v>
      </c>
      <c r="L882" s="43">
        <v>6.9751881454631919</v>
      </c>
      <c r="M882" s="43">
        <v>11.5</v>
      </c>
      <c r="N882" s="43">
        <v>5.3285686479217178</v>
      </c>
      <c r="O882" s="43">
        <v>6.2504604434104669</v>
      </c>
      <c r="P882" s="94"/>
      <c r="Q882" s="94"/>
      <c r="R882" s="94">
        <v>2</v>
      </c>
    </row>
    <row r="883" spans="1:18" ht="24">
      <c r="A883" s="90">
        <v>610</v>
      </c>
      <c r="B883" s="87" t="s">
        <v>1642</v>
      </c>
      <c r="C883" s="91" t="s">
        <v>1643</v>
      </c>
      <c r="D883" s="92">
        <v>24357.64</v>
      </c>
      <c r="E883" s="92">
        <v>6238.2</v>
      </c>
      <c r="F883" s="92">
        <v>16525.060000000001</v>
      </c>
      <c r="G883" s="92">
        <v>1594.38</v>
      </c>
      <c r="H883" s="93">
        <v>169772.69</v>
      </c>
      <c r="I883" s="93">
        <v>71739.3</v>
      </c>
      <c r="J883" s="93">
        <v>88057.95</v>
      </c>
      <c r="K883" s="93">
        <v>9975.44</v>
      </c>
      <c r="L883" s="43">
        <v>6.9699975038632642</v>
      </c>
      <c r="M883" s="43">
        <v>11.5</v>
      </c>
      <c r="N883" s="43">
        <v>5.3287522102794176</v>
      </c>
      <c r="O883" s="43">
        <v>6.256626400230811</v>
      </c>
      <c r="P883" s="94"/>
      <c r="Q883" s="94"/>
      <c r="R883" s="94">
        <v>2</v>
      </c>
    </row>
    <row r="884" spans="1:18" ht="24">
      <c r="A884" s="90">
        <v>611</v>
      </c>
      <c r="B884" s="87" t="s">
        <v>1644</v>
      </c>
      <c r="C884" s="91" t="s">
        <v>1645</v>
      </c>
      <c r="D884" s="92">
        <v>27712.22</v>
      </c>
      <c r="E884" s="92">
        <v>7047.48</v>
      </c>
      <c r="F884" s="92">
        <v>18915.400000000001</v>
      </c>
      <c r="G884" s="92">
        <v>1749.34</v>
      </c>
      <c r="H884" s="93">
        <v>192785.89</v>
      </c>
      <c r="I884" s="93">
        <v>81046.02</v>
      </c>
      <c r="J884" s="93">
        <v>100797.67</v>
      </c>
      <c r="K884" s="93">
        <v>10942.2</v>
      </c>
      <c r="L884" s="43">
        <v>6.9567104331590901</v>
      </c>
      <c r="M884" s="43">
        <v>11.500000000000002</v>
      </c>
      <c r="N884" s="43">
        <v>5.3288680123074315</v>
      </c>
      <c r="O884" s="43">
        <v>6.2550447597379586</v>
      </c>
      <c r="P884" s="94"/>
      <c r="Q884" s="94"/>
      <c r="R884" s="94">
        <v>2</v>
      </c>
    </row>
    <row r="885" spans="1:18" ht="24">
      <c r="A885" s="90">
        <v>612</v>
      </c>
      <c r="B885" s="87" t="s">
        <v>1646</v>
      </c>
      <c r="C885" s="91" t="s">
        <v>1647</v>
      </c>
      <c r="D885" s="92">
        <v>31103.65</v>
      </c>
      <c r="E885" s="92">
        <v>7901.72</v>
      </c>
      <c r="F885" s="92">
        <v>21325.18</v>
      </c>
      <c r="G885" s="92">
        <v>1876.75</v>
      </c>
      <c r="H885" s="93">
        <v>216286.96</v>
      </c>
      <c r="I885" s="93">
        <v>90869.78</v>
      </c>
      <c r="J885" s="93">
        <v>113643.53</v>
      </c>
      <c r="K885" s="93">
        <v>11773.65</v>
      </c>
      <c r="L885" s="43">
        <v>6.9537485150456613</v>
      </c>
      <c r="M885" s="43">
        <v>11.5</v>
      </c>
      <c r="N885" s="43">
        <v>5.3290771754329853</v>
      </c>
      <c r="O885" s="43">
        <v>6.2734248035167175</v>
      </c>
      <c r="P885" s="94"/>
      <c r="Q885" s="94"/>
      <c r="R885" s="94">
        <v>2</v>
      </c>
    </row>
    <row r="886" spans="1:18" ht="24">
      <c r="A886" s="90">
        <v>613</v>
      </c>
      <c r="B886" s="87" t="s">
        <v>1648</v>
      </c>
      <c r="C886" s="91" t="s">
        <v>1649</v>
      </c>
      <c r="D886" s="92">
        <v>34679.35</v>
      </c>
      <c r="E886" s="92">
        <v>8834.64</v>
      </c>
      <c r="F886" s="92">
        <v>23799.29</v>
      </c>
      <c r="G886" s="92">
        <v>2045.42</v>
      </c>
      <c r="H886" s="93">
        <v>241251.1</v>
      </c>
      <c r="I886" s="93">
        <v>101598.36</v>
      </c>
      <c r="J886" s="93">
        <v>126826.9</v>
      </c>
      <c r="K886" s="93">
        <v>12825.84</v>
      </c>
      <c r="L886" s="43">
        <v>6.956621159277784</v>
      </c>
      <c r="M886" s="43">
        <v>11.5</v>
      </c>
      <c r="N886" s="43">
        <v>5.3290203195137327</v>
      </c>
      <c r="O886" s="43">
        <v>6.2705165687242719</v>
      </c>
      <c r="P886" s="94"/>
      <c r="Q886" s="94"/>
      <c r="R886" s="94">
        <v>2</v>
      </c>
    </row>
    <row r="887" spans="1:18" ht="12.75" customHeight="1">
      <c r="A887" s="628" t="s">
        <v>1650</v>
      </c>
      <c r="B887" s="629"/>
      <c r="C887" s="629"/>
      <c r="D887" s="629"/>
      <c r="E887" s="629"/>
      <c r="F887" s="629"/>
      <c r="G887" s="629"/>
      <c r="H887" s="629"/>
      <c r="I887" s="629"/>
      <c r="J887" s="629"/>
      <c r="K887" s="629"/>
      <c r="L887" s="629"/>
      <c r="M887" s="629"/>
      <c r="N887" s="629"/>
      <c r="O887" s="629"/>
      <c r="P887" s="629"/>
      <c r="Q887" s="629"/>
      <c r="R887" s="629"/>
    </row>
    <row r="888" spans="1:18" ht="24.75" customHeight="1">
      <c r="A888" s="628" t="s">
        <v>1651</v>
      </c>
      <c r="B888" s="629"/>
      <c r="C888" s="629"/>
      <c r="D888" s="629"/>
      <c r="E888" s="629"/>
      <c r="F888" s="629"/>
      <c r="G888" s="629"/>
      <c r="H888" s="629"/>
      <c r="I888" s="629"/>
      <c r="J888" s="629"/>
      <c r="K888" s="629"/>
      <c r="L888" s="629"/>
      <c r="M888" s="629"/>
      <c r="N888" s="629"/>
      <c r="O888" s="629"/>
      <c r="P888" s="629"/>
      <c r="Q888" s="629"/>
      <c r="R888" s="629"/>
    </row>
    <row r="889" spans="1:18" ht="48">
      <c r="A889" s="90">
        <v>614</v>
      </c>
      <c r="B889" s="87" t="s">
        <v>1652</v>
      </c>
      <c r="C889" s="91" t="s">
        <v>1653</v>
      </c>
      <c r="D889" s="92">
        <v>22249.13</v>
      </c>
      <c r="E889" s="92">
        <v>16323.16</v>
      </c>
      <c r="F889" s="92">
        <v>4429.6899999999996</v>
      </c>
      <c r="G889" s="92">
        <v>1496.28</v>
      </c>
      <c r="H889" s="93">
        <v>215232.63</v>
      </c>
      <c r="I889" s="93">
        <v>187716.34</v>
      </c>
      <c r="J889" s="93">
        <v>20167.650000000001</v>
      </c>
      <c r="K889" s="93">
        <v>7348.64</v>
      </c>
      <c r="L889" s="43">
        <v>9.6737548838988303</v>
      </c>
      <c r="M889" s="43">
        <v>11.5</v>
      </c>
      <c r="N889" s="43">
        <v>4.5528355257365645</v>
      </c>
      <c r="O889" s="43">
        <v>4.9112732910952497</v>
      </c>
      <c r="P889" s="94"/>
      <c r="Q889" s="94"/>
      <c r="R889" s="94">
        <v>1</v>
      </c>
    </row>
    <row r="890" spans="1:18" ht="30.75" customHeight="1">
      <c r="A890" s="90">
        <v>615</v>
      </c>
      <c r="B890" s="87" t="s">
        <v>1654</v>
      </c>
      <c r="C890" s="91" t="s">
        <v>1655</v>
      </c>
      <c r="D890" s="92">
        <v>1543.3</v>
      </c>
      <c r="E890" s="92">
        <v>1139.5</v>
      </c>
      <c r="F890" s="92">
        <v>237.53</v>
      </c>
      <c r="G890" s="92">
        <v>166.27</v>
      </c>
      <c r="H890" s="93">
        <v>14872.62</v>
      </c>
      <c r="I890" s="93">
        <v>13104.2</v>
      </c>
      <c r="J890" s="93">
        <v>1022.29</v>
      </c>
      <c r="K890" s="93">
        <v>746.13</v>
      </c>
      <c r="L890" s="43">
        <v>9.6368949653340259</v>
      </c>
      <c r="M890" s="43">
        <v>11.499956121105749</v>
      </c>
      <c r="N890" s="43">
        <v>4.3038353050141032</v>
      </c>
      <c r="O890" s="43">
        <v>4.4874601551693027</v>
      </c>
      <c r="P890" s="94"/>
      <c r="Q890" s="94"/>
      <c r="R890" s="94">
        <v>1</v>
      </c>
    </row>
    <row r="891" spans="1:18" ht="36">
      <c r="A891" s="95">
        <v>616</v>
      </c>
      <c r="B891" s="96" t="s">
        <v>1656</v>
      </c>
      <c r="C891" s="97" t="s">
        <v>1657</v>
      </c>
      <c r="D891" s="98">
        <v>456.53</v>
      </c>
      <c r="E891" s="98">
        <v>330.55</v>
      </c>
      <c r="F891" s="98">
        <v>69.38</v>
      </c>
      <c r="G891" s="98">
        <v>56.6</v>
      </c>
      <c r="H891" s="99">
        <v>4358.18</v>
      </c>
      <c r="I891" s="99">
        <v>3801.33</v>
      </c>
      <c r="J891" s="99">
        <v>300.38</v>
      </c>
      <c r="K891" s="99">
        <v>256.47000000000003</v>
      </c>
      <c r="L891" s="611">
        <v>9.5463167809344416</v>
      </c>
      <c r="M891" s="611">
        <v>11.500015126304643</v>
      </c>
      <c r="N891" s="611">
        <v>4.3294897665033156</v>
      </c>
      <c r="O891" s="611">
        <v>4.5312720848056545</v>
      </c>
      <c r="P891" s="100"/>
      <c r="Q891" s="100"/>
      <c r="R891" s="100">
        <v>1</v>
      </c>
    </row>
    <row r="892" spans="1:18" ht="12.75" customHeight="1">
      <c r="A892" s="630" t="s">
        <v>1658</v>
      </c>
      <c r="B892" s="631"/>
      <c r="C892" s="631"/>
      <c r="D892" s="631"/>
      <c r="E892" s="631"/>
      <c r="F892" s="631"/>
      <c r="G892" s="631"/>
      <c r="H892" s="631"/>
      <c r="I892" s="631"/>
      <c r="J892" s="631"/>
      <c r="K892" s="631"/>
      <c r="L892" s="631"/>
      <c r="M892" s="631"/>
      <c r="N892" s="631"/>
      <c r="O892" s="631"/>
      <c r="P892" s="631"/>
      <c r="Q892" s="631"/>
      <c r="R892" s="631"/>
    </row>
    <row r="893" spans="1:18" ht="12.75" customHeight="1">
      <c r="A893" s="628" t="s">
        <v>1659</v>
      </c>
      <c r="B893" s="629"/>
      <c r="C893" s="629"/>
      <c r="D893" s="629"/>
      <c r="E893" s="629"/>
      <c r="F893" s="629"/>
      <c r="G893" s="629"/>
      <c r="H893" s="629"/>
      <c r="I893" s="629"/>
      <c r="J893" s="629"/>
      <c r="K893" s="629"/>
      <c r="L893" s="629"/>
      <c r="M893" s="629"/>
      <c r="N893" s="629"/>
      <c r="O893" s="629"/>
      <c r="P893" s="629"/>
      <c r="Q893" s="629"/>
      <c r="R893" s="629"/>
    </row>
    <row r="894" spans="1:18" ht="12.75" customHeight="1">
      <c r="A894" s="628" t="s">
        <v>1660</v>
      </c>
      <c r="B894" s="629"/>
      <c r="C894" s="629"/>
      <c r="D894" s="629"/>
      <c r="E894" s="629"/>
      <c r="F894" s="629"/>
      <c r="G894" s="629"/>
      <c r="H894" s="629"/>
      <c r="I894" s="629"/>
      <c r="J894" s="629"/>
      <c r="K894" s="629"/>
      <c r="L894" s="629"/>
      <c r="M894" s="629"/>
      <c r="N894" s="629"/>
      <c r="O894" s="629"/>
      <c r="P894" s="629"/>
      <c r="Q894" s="629"/>
      <c r="R894" s="629"/>
    </row>
    <row r="895" spans="1:18" ht="24">
      <c r="A895" s="90">
        <v>617</v>
      </c>
      <c r="B895" s="87" t="s">
        <v>1661</v>
      </c>
      <c r="C895" s="91" t="s">
        <v>1662</v>
      </c>
      <c r="D895" s="92">
        <v>58.68</v>
      </c>
      <c r="E895" s="92">
        <v>56.46</v>
      </c>
      <c r="F895" s="92">
        <v>1.0900000000000001</v>
      </c>
      <c r="G895" s="92">
        <v>1.1299999999999999</v>
      </c>
      <c r="H895" s="93">
        <v>667.92</v>
      </c>
      <c r="I895" s="93">
        <v>649.28</v>
      </c>
      <c r="J895" s="93">
        <v>5.64</v>
      </c>
      <c r="K895" s="93">
        <v>13</v>
      </c>
      <c r="L895" s="43">
        <v>11.382413087934559</v>
      </c>
      <c r="M895" s="43">
        <v>11.499822883457314</v>
      </c>
      <c r="N895" s="43">
        <v>5.1743119266055038</v>
      </c>
      <c r="O895" s="43">
        <v>11.504424778761063</v>
      </c>
      <c r="P895" s="94"/>
      <c r="Q895" s="94"/>
      <c r="R895" s="94">
        <v>1</v>
      </c>
    </row>
    <row r="896" spans="1:18" ht="24">
      <c r="A896" s="90">
        <v>618</v>
      </c>
      <c r="B896" s="87" t="s">
        <v>1663</v>
      </c>
      <c r="C896" s="91" t="s">
        <v>1664</v>
      </c>
      <c r="D896" s="92">
        <v>80.58</v>
      </c>
      <c r="E896" s="92">
        <v>77.930000000000007</v>
      </c>
      <c r="F896" s="92">
        <v>1.0900000000000001</v>
      </c>
      <c r="G896" s="92">
        <v>1.56</v>
      </c>
      <c r="H896" s="93">
        <v>919.77</v>
      </c>
      <c r="I896" s="93">
        <v>896.19</v>
      </c>
      <c r="J896" s="93">
        <v>5.64</v>
      </c>
      <c r="K896" s="93">
        <v>17.940000000000001</v>
      </c>
      <c r="L896" s="43">
        <v>11.414370811615786</v>
      </c>
      <c r="M896" s="43">
        <v>11.499935839856281</v>
      </c>
      <c r="N896" s="43">
        <v>5.1743119266055038</v>
      </c>
      <c r="O896" s="43">
        <v>11.5</v>
      </c>
      <c r="P896" s="94"/>
      <c r="Q896" s="94"/>
      <c r="R896" s="94">
        <v>1</v>
      </c>
    </row>
    <row r="897" spans="1:18" ht="24">
      <c r="A897" s="90">
        <v>619</v>
      </c>
      <c r="B897" s="87" t="s">
        <v>1665</v>
      </c>
      <c r="C897" s="91" t="s">
        <v>1666</v>
      </c>
      <c r="D897" s="92">
        <v>1485.24</v>
      </c>
      <c r="E897" s="92">
        <v>272.64</v>
      </c>
      <c r="F897" s="92">
        <v>1024.92</v>
      </c>
      <c r="G897" s="92">
        <v>187.68</v>
      </c>
      <c r="H897" s="93">
        <v>9563.6200000000008</v>
      </c>
      <c r="I897" s="93">
        <v>3135.36</v>
      </c>
      <c r="J897" s="93">
        <v>5511.65</v>
      </c>
      <c r="K897" s="93">
        <v>916.61</v>
      </c>
      <c r="L897" s="43">
        <v>6.4391074843123004</v>
      </c>
      <c r="M897" s="43">
        <v>11.500000000000002</v>
      </c>
      <c r="N897" s="43">
        <v>5.3776392303789553</v>
      </c>
      <c r="O897" s="43">
        <v>4.8838981244671782</v>
      </c>
      <c r="P897" s="94"/>
      <c r="Q897" s="94"/>
      <c r="R897" s="94">
        <v>1</v>
      </c>
    </row>
    <row r="898" spans="1:18" ht="24">
      <c r="A898" s="90">
        <v>620</v>
      </c>
      <c r="B898" s="87" t="s">
        <v>1667</v>
      </c>
      <c r="C898" s="91" t="s">
        <v>1668</v>
      </c>
      <c r="D898" s="92">
        <v>1376.3</v>
      </c>
      <c r="E898" s="92">
        <v>247.65</v>
      </c>
      <c r="F898" s="92">
        <v>941.47</v>
      </c>
      <c r="G898" s="92">
        <v>187.18</v>
      </c>
      <c r="H898" s="93">
        <v>8821.82</v>
      </c>
      <c r="I898" s="93">
        <v>2847.95</v>
      </c>
      <c r="J898" s="93">
        <v>5063.01</v>
      </c>
      <c r="K898" s="93">
        <v>910.86</v>
      </c>
      <c r="L898" s="43">
        <v>6.4098089079415823</v>
      </c>
      <c r="M898" s="43">
        <v>11.499899051080153</v>
      </c>
      <c r="N898" s="43">
        <v>5.3777709326903675</v>
      </c>
      <c r="O898" s="43">
        <v>4.8662250240410296</v>
      </c>
      <c r="P898" s="94"/>
      <c r="Q898" s="94"/>
      <c r="R898" s="94">
        <v>1</v>
      </c>
    </row>
    <row r="899" spans="1:18" ht="24">
      <c r="A899" s="90">
        <v>621</v>
      </c>
      <c r="B899" s="87" t="s">
        <v>1669</v>
      </c>
      <c r="C899" s="91" t="s">
        <v>1670</v>
      </c>
      <c r="D899" s="92">
        <v>1308.92</v>
      </c>
      <c r="E899" s="92">
        <v>235.15</v>
      </c>
      <c r="F899" s="92">
        <v>886.84</v>
      </c>
      <c r="G899" s="92">
        <v>186.93</v>
      </c>
      <c r="H899" s="93">
        <v>8381.58</v>
      </c>
      <c r="I899" s="93">
        <v>2704.25</v>
      </c>
      <c r="J899" s="93">
        <v>4769.3500000000004</v>
      </c>
      <c r="K899" s="93">
        <v>907.98</v>
      </c>
      <c r="L899" s="43">
        <v>6.4034318369342662</v>
      </c>
      <c r="M899" s="43">
        <v>11.500106315118009</v>
      </c>
      <c r="N899" s="43">
        <v>5.3779148437147626</v>
      </c>
      <c r="O899" s="43">
        <v>4.8573262718664738</v>
      </c>
      <c r="P899" s="94"/>
      <c r="Q899" s="94"/>
      <c r="R899" s="94">
        <v>1</v>
      </c>
    </row>
    <row r="900" spans="1:18" ht="24">
      <c r="A900" s="90">
        <v>622</v>
      </c>
      <c r="B900" s="87" t="s">
        <v>1671</v>
      </c>
      <c r="C900" s="91" t="s">
        <v>1672</v>
      </c>
      <c r="D900" s="92">
        <v>1214.24</v>
      </c>
      <c r="E900" s="92">
        <v>222.66</v>
      </c>
      <c r="F900" s="92">
        <v>804.9</v>
      </c>
      <c r="G900" s="92">
        <v>186.68</v>
      </c>
      <c r="H900" s="93">
        <v>7794.52</v>
      </c>
      <c r="I900" s="93">
        <v>2560.54</v>
      </c>
      <c r="J900" s="93">
        <v>4328.87</v>
      </c>
      <c r="K900" s="93">
        <v>905.11</v>
      </c>
      <c r="L900" s="43">
        <v>6.4192581367769144</v>
      </c>
      <c r="M900" s="43">
        <v>11.499775442378514</v>
      </c>
      <c r="N900" s="43">
        <v>5.3781463535842962</v>
      </c>
      <c r="O900" s="43">
        <v>4.8484572530533532</v>
      </c>
      <c r="P900" s="94"/>
      <c r="Q900" s="94"/>
      <c r="R900" s="94">
        <v>1</v>
      </c>
    </row>
    <row r="901" spans="1:18" ht="12.75" customHeight="1">
      <c r="A901" s="628" t="s">
        <v>1673</v>
      </c>
      <c r="B901" s="629"/>
      <c r="C901" s="629"/>
      <c r="D901" s="629"/>
      <c r="E901" s="629"/>
      <c r="F901" s="629"/>
      <c r="G901" s="629"/>
      <c r="H901" s="629"/>
      <c r="I901" s="629"/>
      <c r="J901" s="629"/>
      <c r="K901" s="629"/>
      <c r="L901" s="629"/>
      <c r="M901" s="629"/>
      <c r="N901" s="629"/>
      <c r="O901" s="629"/>
      <c r="P901" s="629"/>
      <c r="Q901" s="629"/>
      <c r="R901" s="629"/>
    </row>
    <row r="902" spans="1:18" ht="36">
      <c r="A902" s="90">
        <v>623</v>
      </c>
      <c r="B902" s="87" t="s">
        <v>1674</v>
      </c>
      <c r="C902" s="91" t="s">
        <v>1675</v>
      </c>
      <c r="D902" s="92">
        <v>1119.7</v>
      </c>
      <c r="E902" s="92">
        <v>524.83000000000004</v>
      </c>
      <c r="F902" s="92">
        <v>46.66</v>
      </c>
      <c r="G902" s="92">
        <v>548.21</v>
      </c>
      <c r="H902" s="93">
        <v>8874.93</v>
      </c>
      <c r="I902" s="93">
        <v>6035.57</v>
      </c>
      <c r="J902" s="93">
        <v>208.58</v>
      </c>
      <c r="K902" s="93">
        <v>2630.78</v>
      </c>
      <c r="L902" s="43">
        <v>7.9261677234973655</v>
      </c>
      <c r="M902" s="43">
        <v>11.500047634472113</v>
      </c>
      <c r="N902" s="43">
        <v>4.4702100300042868</v>
      </c>
      <c r="O902" s="43">
        <v>4.7988544535853048</v>
      </c>
      <c r="P902" s="94"/>
      <c r="Q902" s="94"/>
      <c r="R902" s="94">
        <v>2</v>
      </c>
    </row>
    <row r="903" spans="1:18" ht="36">
      <c r="A903" s="90">
        <v>624</v>
      </c>
      <c r="B903" s="87" t="s">
        <v>1676</v>
      </c>
      <c r="C903" s="91" t="s">
        <v>1677</v>
      </c>
      <c r="D903" s="92">
        <v>331</v>
      </c>
      <c r="E903" s="92">
        <v>174.94</v>
      </c>
      <c r="F903" s="92">
        <v>12.5</v>
      </c>
      <c r="G903" s="92">
        <v>143.56</v>
      </c>
      <c r="H903" s="93">
        <v>2900.12</v>
      </c>
      <c r="I903" s="93">
        <v>2011.86</v>
      </c>
      <c r="J903" s="93">
        <v>55.46</v>
      </c>
      <c r="K903" s="93">
        <v>832.8</v>
      </c>
      <c r="L903" s="43">
        <v>8.7616918429003015</v>
      </c>
      <c r="M903" s="43">
        <v>11.500285812278495</v>
      </c>
      <c r="N903" s="43">
        <v>4.4367999999999999</v>
      </c>
      <c r="O903" s="43">
        <v>5.8010587907495124</v>
      </c>
      <c r="P903" s="94"/>
      <c r="Q903" s="94"/>
      <c r="R903" s="94">
        <v>2</v>
      </c>
    </row>
    <row r="904" spans="1:18" ht="36">
      <c r="A904" s="90">
        <v>625</v>
      </c>
      <c r="B904" s="87" t="s">
        <v>1678</v>
      </c>
      <c r="C904" s="91" t="s">
        <v>1679</v>
      </c>
      <c r="D904" s="92">
        <v>312.32</v>
      </c>
      <c r="E904" s="92">
        <v>154.5</v>
      </c>
      <c r="F904" s="92">
        <v>14.67</v>
      </c>
      <c r="G904" s="92">
        <v>143.15</v>
      </c>
      <c r="H904" s="93">
        <v>2670.53</v>
      </c>
      <c r="I904" s="93">
        <v>1776.7</v>
      </c>
      <c r="J904" s="93">
        <v>65.739999999999995</v>
      </c>
      <c r="K904" s="93">
        <v>828.09</v>
      </c>
      <c r="L904" s="43">
        <v>8.5506211577868854</v>
      </c>
      <c r="M904" s="43">
        <v>11.499676375404531</v>
      </c>
      <c r="N904" s="43">
        <v>4.4812542603953647</v>
      </c>
      <c r="O904" s="43">
        <v>5.7847712190010476</v>
      </c>
      <c r="P904" s="94"/>
      <c r="Q904" s="94"/>
      <c r="R904" s="94">
        <v>2</v>
      </c>
    </row>
    <row r="905" spans="1:18" ht="48">
      <c r="A905" s="90">
        <v>626</v>
      </c>
      <c r="B905" s="87" t="s">
        <v>1680</v>
      </c>
      <c r="C905" s="91" t="s">
        <v>1681</v>
      </c>
      <c r="D905" s="92">
        <v>125.82</v>
      </c>
      <c r="E905" s="92">
        <v>76.45</v>
      </c>
      <c r="F905" s="92">
        <v>16.22</v>
      </c>
      <c r="G905" s="92">
        <v>33.15</v>
      </c>
      <c r="H905" s="93">
        <v>1155.01</v>
      </c>
      <c r="I905" s="93">
        <v>879.21</v>
      </c>
      <c r="J905" s="93">
        <v>82.24</v>
      </c>
      <c r="K905" s="93">
        <v>193.56</v>
      </c>
      <c r="L905" s="43">
        <v>9.1798601176283583</v>
      </c>
      <c r="M905" s="43">
        <v>11.50045781556573</v>
      </c>
      <c r="N905" s="43">
        <v>5.0702836004932186</v>
      </c>
      <c r="O905" s="43">
        <v>5.8389140271493218</v>
      </c>
      <c r="P905" s="94"/>
      <c r="Q905" s="94"/>
      <c r="R905" s="94">
        <v>2</v>
      </c>
    </row>
    <row r="906" spans="1:18" ht="48">
      <c r="A906" s="90">
        <v>627</v>
      </c>
      <c r="B906" s="87" t="s">
        <v>1682</v>
      </c>
      <c r="C906" s="91" t="s">
        <v>1683</v>
      </c>
      <c r="D906" s="92">
        <v>136.03</v>
      </c>
      <c r="E906" s="92">
        <v>79.41</v>
      </c>
      <c r="F906" s="92">
        <v>23.41</v>
      </c>
      <c r="G906" s="92">
        <v>33.21</v>
      </c>
      <c r="H906" s="93">
        <v>1226.3499999999999</v>
      </c>
      <c r="I906" s="93">
        <v>913.17</v>
      </c>
      <c r="J906" s="93">
        <v>118.93</v>
      </c>
      <c r="K906" s="93">
        <v>194.25</v>
      </c>
      <c r="L906" s="43">
        <v>9.0152907446886701</v>
      </c>
      <c r="M906" s="43">
        <v>11.499433320740462</v>
      </c>
      <c r="N906" s="43">
        <v>5.0803075608714225</v>
      </c>
      <c r="O906" s="43">
        <v>5.8491418247515803</v>
      </c>
      <c r="P906" s="94"/>
      <c r="Q906" s="94"/>
      <c r="R906" s="94">
        <v>2</v>
      </c>
    </row>
    <row r="907" spans="1:18" ht="36">
      <c r="A907" s="90">
        <v>628</v>
      </c>
      <c r="B907" s="87" t="s">
        <v>1684</v>
      </c>
      <c r="C907" s="91" t="s">
        <v>1685</v>
      </c>
      <c r="D907" s="92">
        <v>173.74</v>
      </c>
      <c r="E907" s="92">
        <v>100.99</v>
      </c>
      <c r="F907" s="92">
        <v>7.49</v>
      </c>
      <c r="G907" s="92">
        <v>65.260000000000005</v>
      </c>
      <c r="H907" s="93">
        <v>1571.56</v>
      </c>
      <c r="I907" s="93">
        <v>1161.3900000000001</v>
      </c>
      <c r="J907" s="93">
        <v>35</v>
      </c>
      <c r="K907" s="93">
        <v>375.17</v>
      </c>
      <c r="L907" s="43">
        <v>9.0454702428916764</v>
      </c>
      <c r="M907" s="43">
        <v>11.500049509852461</v>
      </c>
      <c r="N907" s="43">
        <v>4.6728971962616823</v>
      </c>
      <c r="O907" s="43">
        <v>5.7488507508427826</v>
      </c>
      <c r="P907" s="94"/>
      <c r="Q907" s="94"/>
      <c r="R907" s="94">
        <v>2</v>
      </c>
    </row>
    <row r="908" spans="1:18" ht="36">
      <c r="A908" s="90">
        <v>629</v>
      </c>
      <c r="B908" s="87" t="s">
        <v>1686</v>
      </c>
      <c r="C908" s="91" t="s">
        <v>1687</v>
      </c>
      <c r="D908" s="92">
        <v>95.45</v>
      </c>
      <c r="E908" s="92">
        <v>68.39</v>
      </c>
      <c r="F908" s="92">
        <v>1.1200000000000001</v>
      </c>
      <c r="G908" s="92">
        <v>25.94</v>
      </c>
      <c r="H908" s="93">
        <v>948.35</v>
      </c>
      <c r="I908" s="93">
        <v>786.45</v>
      </c>
      <c r="J908" s="93">
        <v>4.8</v>
      </c>
      <c r="K908" s="93">
        <v>157.1</v>
      </c>
      <c r="L908" s="43">
        <v>9.9355683603981149</v>
      </c>
      <c r="M908" s="43">
        <v>11.499488229273286</v>
      </c>
      <c r="N908" s="43">
        <v>4.2857142857142856</v>
      </c>
      <c r="O908" s="43">
        <v>6.0562837316885112</v>
      </c>
      <c r="P908" s="94"/>
      <c r="Q908" s="94"/>
      <c r="R908" s="94">
        <v>2</v>
      </c>
    </row>
    <row r="909" spans="1:18" ht="36">
      <c r="A909" s="90">
        <v>630</v>
      </c>
      <c r="B909" s="87" t="s">
        <v>1688</v>
      </c>
      <c r="C909" s="91" t="s">
        <v>1689</v>
      </c>
      <c r="D909" s="92">
        <v>21.37</v>
      </c>
      <c r="E909" s="92">
        <v>7.27</v>
      </c>
      <c r="F909" s="92"/>
      <c r="G909" s="92">
        <v>14.1</v>
      </c>
      <c r="H909" s="93">
        <v>165.43</v>
      </c>
      <c r="I909" s="93">
        <v>83.61</v>
      </c>
      <c r="J909" s="93"/>
      <c r="K909" s="93">
        <v>81.819999999999993</v>
      </c>
      <c r="L909" s="43">
        <v>7.741226017781937</v>
      </c>
      <c r="M909" s="43">
        <v>11.500687757909217</v>
      </c>
      <c r="N909" s="43" t="s">
        <v>1690</v>
      </c>
      <c r="O909" s="43">
        <v>5.8028368794326237</v>
      </c>
      <c r="P909" s="94"/>
      <c r="Q909" s="94"/>
      <c r="R909" s="94">
        <v>2</v>
      </c>
    </row>
    <row r="910" spans="1:18" ht="36">
      <c r="A910" s="90">
        <v>631</v>
      </c>
      <c r="B910" s="87" t="s">
        <v>1691</v>
      </c>
      <c r="C910" s="91" t="s">
        <v>1692</v>
      </c>
      <c r="D910" s="92">
        <v>23.92</v>
      </c>
      <c r="E910" s="92">
        <v>9.77</v>
      </c>
      <c r="F910" s="92"/>
      <c r="G910" s="92">
        <v>14.15</v>
      </c>
      <c r="H910" s="93">
        <v>194.74</v>
      </c>
      <c r="I910" s="93">
        <v>112.35</v>
      </c>
      <c r="J910" s="93"/>
      <c r="K910" s="93">
        <v>82.39</v>
      </c>
      <c r="L910" s="43">
        <v>8.141304347826086</v>
      </c>
      <c r="M910" s="43">
        <v>11.499488229273286</v>
      </c>
      <c r="N910" s="43" t="s">
        <v>1690</v>
      </c>
      <c r="O910" s="43">
        <v>5.8226148409893987</v>
      </c>
      <c r="P910" s="94"/>
      <c r="Q910" s="94"/>
      <c r="R910" s="94">
        <v>2</v>
      </c>
    </row>
    <row r="911" spans="1:18" ht="36">
      <c r="A911" s="90">
        <v>632</v>
      </c>
      <c r="B911" s="87" t="s">
        <v>1693</v>
      </c>
      <c r="C911" s="91" t="s">
        <v>1694</v>
      </c>
      <c r="D911" s="92">
        <v>7.2</v>
      </c>
      <c r="E911" s="92">
        <v>6.36</v>
      </c>
      <c r="F911" s="92"/>
      <c r="G911" s="92">
        <v>0.84</v>
      </c>
      <c r="H911" s="93">
        <v>80.92</v>
      </c>
      <c r="I911" s="93">
        <v>73.16</v>
      </c>
      <c r="J911" s="93"/>
      <c r="K911" s="93">
        <v>7.76</v>
      </c>
      <c r="L911" s="43">
        <v>11.238888888888889</v>
      </c>
      <c r="M911" s="43">
        <v>11.503144654088048</v>
      </c>
      <c r="N911" s="43" t="s">
        <v>1690</v>
      </c>
      <c r="O911" s="43">
        <v>9.238095238095239</v>
      </c>
      <c r="P911" s="94"/>
      <c r="Q911" s="94"/>
      <c r="R911" s="94">
        <v>2</v>
      </c>
    </row>
    <row r="912" spans="1:18" ht="12.75" customHeight="1">
      <c r="A912" s="628" t="s">
        <v>1695</v>
      </c>
      <c r="B912" s="629"/>
      <c r="C912" s="629"/>
      <c r="D912" s="629"/>
      <c r="E912" s="629"/>
      <c r="F912" s="629"/>
      <c r="G912" s="629"/>
      <c r="H912" s="629"/>
      <c r="I912" s="629"/>
      <c r="J912" s="629"/>
      <c r="K912" s="629"/>
      <c r="L912" s="629"/>
      <c r="M912" s="629"/>
      <c r="N912" s="629"/>
      <c r="O912" s="629"/>
      <c r="P912" s="629"/>
      <c r="Q912" s="629"/>
      <c r="R912" s="629"/>
    </row>
    <row r="913" spans="1:18" ht="60">
      <c r="A913" s="90">
        <v>633</v>
      </c>
      <c r="B913" s="87" t="s">
        <v>1696</v>
      </c>
      <c r="C913" s="91" t="s">
        <v>1697</v>
      </c>
      <c r="D913" s="92">
        <v>309.49</v>
      </c>
      <c r="E913" s="92">
        <v>243.1</v>
      </c>
      <c r="F913" s="92">
        <v>28.55</v>
      </c>
      <c r="G913" s="92">
        <v>37.840000000000003</v>
      </c>
      <c r="H913" s="93">
        <v>3100.56</v>
      </c>
      <c r="I913" s="93">
        <v>2795.7</v>
      </c>
      <c r="J913" s="93">
        <v>127.12</v>
      </c>
      <c r="K913" s="93">
        <v>177.74</v>
      </c>
      <c r="L913" s="43">
        <v>10.018288151475007</v>
      </c>
      <c r="M913" s="43">
        <v>11.500205676676265</v>
      </c>
      <c r="N913" s="43">
        <v>4.4525394045534155</v>
      </c>
      <c r="O913" s="43">
        <v>4.6971458773784356</v>
      </c>
      <c r="P913" s="94"/>
      <c r="Q913" s="94"/>
      <c r="R913" s="94">
        <v>3</v>
      </c>
    </row>
    <row r="914" spans="1:18" ht="36">
      <c r="A914" s="90">
        <v>634</v>
      </c>
      <c r="B914" s="87" t="s">
        <v>1698</v>
      </c>
      <c r="C914" s="91" t="s">
        <v>1699</v>
      </c>
      <c r="D914" s="92">
        <v>206.22</v>
      </c>
      <c r="E914" s="92">
        <v>170.4</v>
      </c>
      <c r="F914" s="92">
        <v>18.07</v>
      </c>
      <c r="G914" s="92">
        <v>17.75</v>
      </c>
      <c r="H914" s="93">
        <v>2131.11</v>
      </c>
      <c r="I914" s="93">
        <v>1959.6</v>
      </c>
      <c r="J914" s="93">
        <v>79.31</v>
      </c>
      <c r="K914" s="93">
        <v>92.2</v>
      </c>
      <c r="L914" s="43">
        <v>10.334157695664825</v>
      </c>
      <c r="M914" s="43">
        <v>11.499999999999998</v>
      </c>
      <c r="N914" s="43">
        <v>4.3890426120641948</v>
      </c>
      <c r="O914" s="43">
        <v>5.1943661971830988</v>
      </c>
      <c r="P914" s="94"/>
      <c r="Q914" s="94"/>
      <c r="R914" s="94">
        <v>3</v>
      </c>
    </row>
    <row r="915" spans="1:18" ht="48">
      <c r="A915" s="90">
        <v>635</v>
      </c>
      <c r="B915" s="87" t="s">
        <v>1700</v>
      </c>
      <c r="C915" s="91" t="s">
        <v>1701</v>
      </c>
      <c r="D915" s="92">
        <v>142.15</v>
      </c>
      <c r="E915" s="92">
        <v>113.6</v>
      </c>
      <c r="F915" s="92">
        <v>10.51</v>
      </c>
      <c r="G915" s="92">
        <v>18.04</v>
      </c>
      <c r="H915" s="93">
        <v>1444</v>
      </c>
      <c r="I915" s="93">
        <v>1306.4000000000001</v>
      </c>
      <c r="J915" s="93">
        <v>45.99</v>
      </c>
      <c r="K915" s="93">
        <v>91.61</v>
      </c>
      <c r="L915" s="43">
        <v>10.15828350334154</v>
      </c>
      <c r="M915" s="43">
        <v>11.500000000000002</v>
      </c>
      <c r="N915" s="43">
        <v>4.3758325404376786</v>
      </c>
      <c r="O915" s="43">
        <v>5.0781596452328159</v>
      </c>
      <c r="P915" s="94"/>
      <c r="Q915" s="94"/>
      <c r="R915" s="94">
        <v>3</v>
      </c>
    </row>
    <row r="916" spans="1:18" ht="12.75" customHeight="1">
      <c r="A916" s="628" t="s">
        <v>1702</v>
      </c>
      <c r="B916" s="629"/>
      <c r="C916" s="629"/>
      <c r="D916" s="629"/>
      <c r="E916" s="629"/>
      <c r="F916" s="629"/>
      <c r="G916" s="629"/>
      <c r="H916" s="629"/>
      <c r="I916" s="629"/>
      <c r="J916" s="629"/>
      <c r="K916" s="629"/>
      <c r="L916" s="629"/>
      <c r="M916" s="629"/>
      <c r="N916" s="629"/>
      <c r="O916" s="629"/>
      <c r="P916" s="629"/>
      <c r="Q916" s="629"/>
      <c r="R916" s="629"/>
    </row>
    <row r="917" spans="1:18" ht="24">
      <c r="A917" s="90">
        <v>636</v>
      </c>
      <c r="B917" s="87" t="s">
        <v>1703</v>
      </c>
      <c r="C917" s="91" t="s">
        <v>1704</v>
      </c>
      <c r="D917" s="92">
        <v>12.1</v>
      </c>
      <c r="E917" s="92">
        <v>10.79</v>
      </c>
      <c r="F917" s="92">
        <v>1.0900000000000001</v>
      </c>
      <c r="G917" s="92">
        <v>0.22</v>
      </c>
      <c r="H917" s="93">
        <v>132.26</v>
      </c>
      <c r="I917" s="93">
        <v>124.09</v>
      </c>
      <c r="J917" s="93">
        <v>5.64</v>
      </c>
      <c r="K917" s="93">
        <v>2.5299999999999998</v>
      </c>
      <c r="L917" s="43">
        <v>10.930578512396695</v>
      </c>
      <c r="M917" s="43">
        <v>11.500463392029658</v>
      </c>
      <c r="N917" s="43">
        <v>5.1743119266055038</v>
      </c>
      <c r="O917" s="43">
        <v>11.499999999999998</v>
      </c>
      <c r="P917" s="94"/>
      <c r="Q917" s="94"/>
      <c r="R917" s="94">
        <v>4</v>
      </c>
    </row>
    <row r="918" spans="1:18" ht="24">
      <c r="A918" s="90">
        <v>637</v>
      </c>
      <c r="B918" s="87" t="s">
        <v>1705</v>
      </c>
      <c r="C918" s="91" t="s">
        <v>1706</v>
      </c>
      <c r="D918" s="92">
        <v>14.79</v>
      </c>
      <c r="E918" s="92">
        <v>13.43</v>
      </c>
      <c r="F918" s="92">
        <v>1.0900000000000001</v>
      </c>
      <c r="G918" s="92">
        <v>0.27</v>
      </c>
      <c r="H918" s="93">
        <v>163.21</v>
      </c>
      <c r="I918" s="93">
        <v>154.46</v>
      </c>
      <c r="J918" s="93">
        <v>5.64</v>
      </c>
      <c r="K918" s="93">
        <v>3.11</v>
      </c>
      <c r="L918" s="43">
        <v>11.035158891142665</v>
      </c>
      <c r="M918" s="43">
        <v>11.501116902457186</v>
      </c>
      <c r="N918" s="43">
        <v>5.1743119266055038</v>
      </c>
      <c r="O918" s="43">
        <v>11.497991967871487</v>
      </c>
      <c r="P918" s="94"/>
      <c r="Q918" s="94"/>
      <c r="R918" s="94">
        <v>4</v>
      </c>
    </row>
    <row r="919" spans="1:18" ht="24">
      <c r="A919" s="90">
        <v>638</v>
      </c>
      <c r="B919" s="87" t="s">
        <v>1707</v>
      </c>
      <c r="C919" s="91" t="s">
        <v>1708</v>
      </c>
      <c r="D919" s="92">
        <v>19.95</v>
      </c>
      <c r="E919" s="92">
        <v>17.43</v>
      </c>
      <c r="F919" s="92">
        <v>2.17</v>
      </c>
      <c r="G919" s="92">
        <v>0.35</v>
      </c>
      <c r="H919" s="93">
        <v>215.71</v>
      </c>
      <c r="I919" s="93">
        <v>200.41</v>
      </c>
      <c r="J919" s="93">
        <v>11.27</v>
      </c>
      <c r="K919" s="93">
        <v>4.03</v>
      </c>
      <c r="L919" s="43">
        <v>10.812531328320803</v>
      </c>
      <c r="M919" s="43">
        <v>11.497991967871487</v>
      </c>
      <c r="N919" s="43">
        <v>5.193548387096774</v>
      </c>
      <c r="O919" s="43">
        <v>11.497991967871487</v>
      </c>
      <c r="P919" s="94"/>
      <c r="Q919" s="94"/>
      <c r="R919" s="94">
        <v>4</v>
      </c>
    </row>
    <row r="920" spans="1:18" ht="24">
      <c r="A920" s="90">
        <v>639</v>
      </c>
      <c r="B920" s="87" t="s">
        <v>1709</v>
      </c>
      <c r="C920" s="91" t="s">
        <v>1710</v>
      </c>
      <c r="D920" s="92">
        <v>18.22</v>
      </c>
      <c r="E920" s="92">
        <v>15.74</v>
      </c>
      <c r="F920" s="92">
        <v>2.17</v>
      </c>
      <c r="G920" s="92">
        <v>0.31</v>
      </c>
      <c r="H920" s="93">
        <v>195.8</v>
      </c>
      <c r="I920" s="93">
        <v>180.96</v>
      </c>
      <c r="J920" s="93">
        <v>11.27</v>
      </c>
      <c r="K920" s="93">
        <v>3.57</v>
      </c>
      <c r="L920" s="43">
        <v>10.74643249176729</v>
      </c>
      <c r="M920" s="43">
        <v>11.496823379923761</v>
      </c>
      <c r="N920" s="43">
        <v>5.193548387096774</v>
      </c>
      <c r="O920" s="43">
        <v>11.497991967871487</v>
      </c>
      <c r="P920" s="94"/>
      <c r="Q920" s="94"/>
      <c r="R920" s="94">
        <v>4</v>
      </c>
    </row>
    <row r="921" spans="1:18" ht="24">
      <c r="A921" s="90">
        <v>640</v>
      </c>
      <c r="B921" s="87" t="s">
        <v>1711</v>
      </c>
      <c r="C921" s="91" t="s">
        <v>1712</v>
      </c>
      <c r="D921" s="92">
        <v>22.64</v>
      </c>
      <c r="E921" s="92">
        <v>19</v>
      </c>
      <c r="F921" s="92">
        <v>3.26</v>
      </c>
      <c r="G921" s="92">
        <v>0.38</v>
      </c>
      <c r="H921" s="93">
        <v>239.73</v>
      </c>
      <c r="I921" s="93">
        <v>218.45</v>
      </c>
      <c r="J921" s="93">
        <v>16.91</v>
      </c>
      <c r="K921" s="93">
        <v>4.37</v>
      </c>
      <c r="L921" s="43">
        <v>10.588780918727915</v>
      </c>
      <c r="M921" s="43">
        <v>11.497368421052631</v>
      </c>
      <c r="N921" s="43">
        <v>5.1871165644171784</v>
      </c>
      <c r="O921" s="43">
        <v>11.497991967871487</v>
      </c>
      <c r="P921" s="94"/>
      <c r="Q921" s="94"/>
      <c r="R921" s="94">
        <v>4</v>
      </c>
    </row>
    <row r="922" spans="1:18" ht="24">
      <c r="A922" s="90">
        <v>641</v>
      </c>
      <c r="B922" s="87" t="s">
        <v>1713</v>
      </c>
      <c r="C922" s="91" t="s">
        <v>1714</v>
      </c>
      <c r="D922" s="92">
        <v>28.88</v>
      </c>
      <c r="E922" s="92">
        <v>24.05</v>
      </c>
      <c r="F922" s="92">
        <v>4.3499999999999996</v>
      </c>
      <c r="G922" s="92">
        <v>0.48</v>
      </c>
      <c r="H922" s="93">
        <v>304.68</v>
      </c>
      <c r="I922" s="93">
        <v>276.62</v>
      </c>
      <c r="J922" s="93">
        <v>22.54</v>
      </c>
      <c r="K922" s="93">
        <v>5.52</v>
      </c>
      <c r="L922" s="43">
        <v>10.549861495844876</v>
      </c>
      <c r="M922" s="43">
        <v>11.501871101871101</v>
      </c>
      <c r="N922" s="43">
        <v>5.1816091954022987</v>
      </c>
      <c r="O922" s="43">
        <v>11.497991967871487</v>
      </c>
      <c r="P922" s="94"/>
      <c r="Q922" s="94"/>
      <c r="R922" s="94">
        <v>4</v>
      </c>
    </row>
    <row r="923" spans="1:18" ht="24">
      <c r="A923" s="90">
        <v>642</v>
      </c>
      <c r="B923" s="87" t="s">
        <v>1715</v>
      </c>
      <c r="C923" s="91" t="s">
        <v>1716</v>
      </c>
      <c r="D923" s="92">
        <v>34.9</v>
      </c>
      <c r="E923" s="92">
        <v>28.89</v>
      </c>
      <c r="F923" s="92">
        <v>5.43</v>
      </c>
      <c r="G923" s="92">
        <v>0.57999999999999996</v>
      </c>
      <c r="H923" s="93">
        <v>367.05</v>
      </c>
      <c r="I923" s="93">
        <v>332.2</v>
      </c>
      <c r="J923" s="93">
        <v>28.18</v>
      </c>
      <c r="K923" s="93">
        <v>6.67</v>
      </c>
      <c r="L923" s="43">
        <v>10.517191977077365</v>
      </c>
      <c r="M923" s="43">
        <v>11.498788508134302</v>
      </c>
      <c r="N923" s="43">
        <v>5.1896869244935546</v>
      </c>
      <c r="O923" s="43">
        <v>11.497991967871487</v>
      </c>
      <c r="P923" s="94"/>
      <c r="Q923" s="94"/>
      <c r="R923" s="94">
        <v>4</v>
      </c>
    </row>
    <row r="924" spans="1:18" ht="24">
      <c r="A924" s="90">
        <v>643</v>
      </c>
      <c r="B924" s="87" t="s">
        <v>1717</v>
      </c>
      <c r="C924" s="91" t="s">
        <v>1718</v>
      </c>
      <c r="D924" s="92">
        <v>31.68</v>
      </c>
      <c r="E924" s="92">
        <v>25.74</v>
      </c>
      <c r="F924" s="92">
        <v>5.43</v>
      </c>
      <c r="G924" s="92">
        <v>0.51</v>
      </c>
      <c r="H924" s="93">
        <v>330.06</v>
      </c>
      <c r="I924" s="93">
        <v>296.01</v>
      </c>
      <c r="J924" s="93">
        <v>28.18</v>
      </c>
      <c r="K924" s="93">
        <v>5.87</v>
      </c>
      <c r="L924" s="43">
        <v>10.418560606060606</v>
      </c>
      <c r="M924" s="43">
        <v>11.5</v>
      </c>
      <c r="N924" s="43">
        <v>5.1896869244935546</v>
      </c>
      <c r="O924" s="43">
        <v>11.497991967871487</v>
      </c>
      <c r="P924" s="94"/>
      <c r="Q924" s="94"/>
      <c r="R924" s="94">
        <v>4</v>
      </c>
    </row>
    <row r="925" spans="1:18" ht="24">
      <c r="A925" s="90">
        <v>644</v>
      </c>
      <c r="B925" s="87" t="s">
        <v>1719</v>
      </c>
      <c r="C925" s="91" t="s">
        <v>1720</v>
      </c>
      <c r="D925" s="92">
        <v>39.71</v>
      </c>
      <c r="E925" s="92">
        <v>31.47</v>
      </c>
      <c r="F925" s="92">
        <v>7.61</v>
      </c>
      <c r="G925" s="92">
        <v>0.63</v>
      </c>
      <c r="H925" s="93">
        <v>408.63</v>
      </c>
      <c r="I925" s="93">
        <v>361.93</v>
      </c>
      <c r="J925" s="93">
        <v>39.450000000000003</v>
      </c>
      <c r="K925" s="93">
        <v>7.25</v>
      </c>
      <c r="L925" s="43">
        <v>10.290355074288591</v>
      </c>
      <c r="M925" s="43">
        <v>11.500794407372101</v>
      </c>
      <c r="N925" s="43">
        <v>5.1839684625492772</v>
      </c>
      <c r="O925" s="43">
        <v>11.497991967871487</v>
      </c>
      <c r="P925" s="94"/>
      <c r="Q925" s="94"/>
      <c r="R925" s="94">
        <v>4</v>
      </c>
    </row>
    <row r="926" spans="1:18" ht="24">
      <c r="A926" s="90">
        <v>645</v>
      </c>
      <c r="B926" s="87" t="s">
        <v>1721</v>
      </c>
      <c r="C926" s="91" t="s">
        <v>1722</v>
      </c>
      <c r="D926" s="92">
        <v>48.36</v>
      </c>
      <c r="E926" s="92">
        <v>38.89</v>
      </c>
      <c r="F926" s="92">
        <v>8.69</v>
      </c>
      <c r="G926" s="92">
        <v>0.78</v>
      </c>
      <c r="H926" s="93">
        <v>501.3</v>
      </c>
      <c r="I926" s="93">
        <v>447.24</v>
      </c>
      <c r="J926" s="93">
        <v>45.09</v>
      </c>
      <c r="K926" s="93">
        <v>8.9700000000000006</v>
      </c>
      <c r="L926" s="43">
        <v>10.366004962779156</v>
      </c>
      <c r="M926" s="43">
        <v>11.500128567755207</v>
      </c>
      <c r="N926" s="43">
        <v>5.1887226697353288</v>
      </c>
      <c r="O926" s="43">
        <v>11.497991967871487</v>
      </c>
      <c r="P926" s="94"/>
      <c r="Q926" s="94"/>
      <c r="R926" s="94">
        <v>4</v>
      </c>
    </row>
    <row r="927" spans="1:18" ht="24">
      <c r="A927" s="90">
        <v>646</v>
      </c>
      <c r="B927" s="87" t="s">
        <v>1723</v>
      </c>
      <c r="C927" s="91" t="s">
        <v>1724</v>
      </c>
      <c r="D927" s="92">
        <v>60.16</v>
      </c>
      <c r="E927" s="92">
        <v>46.2</v>
      </c>
      <c r="F927" s="92">
        <v>13.04</v>
      </c>
      <c r="G927" s="92">
        <v>0.92</v>
      </c>
      <c r="H927" s="93">
        <v>609.47</v>
      </c>
      <c r="I927" s="93">
        <v>531.26</v>
      </c>
      <c r="J927" s="93">
        <v>67.63</v>
      </c>
      <c r="K927" s="93">
        <v>10.58</v>
      </c>
      <c r="L927" s="43">
        <v>10.130817819148938</v>
      </c>
      <c r="M927" s="43">
        <v>11.499134199134199</v>
      </c>
      <c r="N927" s="43">
        <v>5.1863496932515334</v>
      </c>
      <c r="O927" s="43">
        <v>11.497991967871487</v>
      </c>
      <c r="P927" s="94"/>
      <c r="Q927" s="94"/>
      <c r="R927" s="94">
        <v>4</v>
      </c>
    </row>
    <row r="928" spans="1:18" ht="12.75" customHeight="1">
      <c r="A928" s="628" t="s">
        <v>1725</v>
      </c>
      <c r="B928" s="629"/>
      <c r="C928" s="629"/>
      <c r="D928" s="629"/>
      <c r="E928" s="629"/>
      <c r="F928" s="629"/>
      <c r="G928" s="629"/>
      <c r="H928" s="629"/>
      <c r="I928" s="629"/>
      <c r="J928" s="629"/>
      <c r="K928" s="629"/>
      <c r="L928" s="629"/>
      <c r="M928" s="629"/>
      <c r="N928" s="629"/>
      <c r="O928" s="629"/>
      <c r="P928" s="629"/>
      <c r="Q928" s="629"/>
      <c r="R928" s="629"/>
    </row>
    <row r="929" spans="1:18" ht="24">
      <c r="A929" s="90">
        <v>647</v>
      </c>
      <c r="B929" s="87" t="s">
        <v>1726</v>
      </c>
      <c r="C929" s="91" t="s">
        <v>1727</v>
      </c>
      <c r="D929" s="92">
        <v>89.52</v>
      </c>
      <c r="E929" s="92">
        <v>43.61</v>
      </c>
      <c r="F929" s="92">
        <v>39.5</v>
      </c>
      <c r="G929" s="92">
        <v>6.41</v>
      </c>
      <c r="H929" s="93">
        <v>748.46</v>
      </c>
      <c r="I929" s="93">
        <v>501.51</v>
      </c>
      <c r="J929" s="93">
        <v>207.39</v>
      </c>
      <c r="K929" s="93">
        <v>39.56</v>
      </c>
      <c r="L929" s="43">
        <v>8.360813226094729</v>
      </c>
      <c r="M929" s="43">
        <v>11.499885347397386</v>
      </c>
      <c r="N929" s="43">
        <v>5.250379746835443</v>
      </c>
      <c r="O929" s="43">
        <v>6.1716068642745716</v>
      </c>
      <c r="P929" s="94"/>
      <c r="Q929" s="94"/>
      <c r="R929" s="94">
        <v>5</v>
      </c>
    </row>
    <row r="930" spans="1:18" ht="24">
      <c r="A930" s="90">
        <v>648</v>
      </c>
      <c r="B930" s="87" t="s">
        <v>1728</v>
      </c>
      <c r="C930" s="91" t="s">
        <v>1729</v>
      </c>
      <c r="D930" s="92">
        <v>114.49</v>
      </c>
      <c r="E930" s="92">
        <v>56.41</v>
      </c>
      <c r="F930" s="92">
        <v>51.41</v>
      </c>
      <c r="G930" s="92">
        <v>6.67</v>
      </c>
      <c r="H930" s="93">
        <v>959.42</v>
      </c>
      <c r="I930" s="93">
        <v>648.69000000000005</v>
      </c>
      <c r="J930" s="93">
        <v>268.18</v>
      </c>
      <c r="K930" s="93">
        <v>42.55</v>
      </c>
      <c r="L930" s="43">
        <v>8.3799458467988472</v>
      </c>
      <c r="M930" s="43">
        <v>11.499556816167347</v>
      </c>
      <c r="N930" s="43">
        <v>5.2164948453608249</v>
      </c>
      <c r="O930" s="43">
        <v>6.3793103448275854</v>
      </c>
      <c r="P930" s="94"/>
      <c r="Q930" s="94"/>
      <c r="R930" s="94">
        <v>5</v>
      </c>
    </row>
    <row r="931" spans="1:18" ht="36">
      <c r="A931" s="90">
        <v>649</v>
      </c>
      <c r="B931" s="87" t="s">
        <v>1730</v>
      </c>
      <c r="C931" s="91" t="s">
        <v>1731</v>
      </c>
      <c r="D931" s="92">
        <v>129.83000000000001</v>
      </c>
      <c r="E931" s="92">
        <v>69.400000000000006</v>
      </c>
      <c r="F931" s="92">
        <v>45.74</v>
      </c>
      <c r="G931" s="92">
        <v>14.69</v>
      </c>
      <c r="H931" s="93">
        <v>1127.33</v>
      </c>
      <c r="I931" s="93">
        <v>798.13</v>
      </c>
      <c r="J931" s="93">
        <v>242.29</v>
      </c>
      <c r="K931" s="93">
        <v>86.91</v>
      </c>
      <c r="L931" s="43">
        <v>8.683124085342369</v>
      </c>
      <c r="M931" s="43">
        <v>11.50043227665706</v>
      </c>
      <c r="N931" s="43">
        <v>5.29711412330564</v>
      </c>
      <c r="O931" s="43">
        <v>5.9162695711368274</v>
      </c>
      <c r="P931" s="94"/>
      <c r="Q931" s="94"/>
      <c r="R931" s="94">
        <v>5</v>
      </c>
    </row>
    <row r="932" spans="1:18" ht="36">
      <c r="A932" s="90">
        <v>650</v>
      </c>
      <c r="B932" s="87" t="s">
        <v>1732</v>
      </c>
      <c r="C932" s="91" t="s">
        <v>1733</v>
      </c>
      <c r="D932" s="92">
        <v>151.94999999999999</v>
      </c>
      <c r="E932" s="92">
        <v>73.28</v>
      </c>
      <c r="F932" s="92">
        <v>57.25</v>
      </c>
      <c r="G932" s="92">
        <v>21.42</v>
      </c>
      <c r="H932" s="93">
        <v>1270.06</v>
      </c>
      <c r="I932" s="93">
        <v>842.75</v>
      </c>
      <c r="J932" s="93">
        <v>304.01</v>
      </c>
      <c r="K932" s="93">
        <v>123.3</v>
      </c>
      <c r="L932" s="43">
        <v>8.3584073708456739</v>
      </c>
      <c r="M932" s="43">
        <v>11.500409388646288</v>
      </c>
      <c r="N932" s="43">
        <v>5.3102183406113532</v>
      </c>
      <c r="O932" s="43">
        <v>5.7563025210084025</v>
      </c>
      <c r="P932" s="94"/>
      <c r="Q932" s="94"/>
      <c r="R932" s="94">
        <v>5</v>
      </c>
    </row>
    <row r="933" spans="1:18" ht="36">
      <c r="A933" s="90">
        <v>651</v>
      </c>
      <c r="B933" s="87" t="s">
        <v>1734</v>
      </c>
      <c r="C933" s="91" t="s">
        <v>1735</v>
      </c>
      <c r="D933" s="92">
        <v>28.12</v>
      </c>
      <c r="E933" s="92">
        <v>20.89</v>
      </c>
      <c r="F933" s="92">
        <v>6.81</v>
      </c>
      <c r="G933" s="92">
        <v>0.42</v>
      </c>
      <c r="H933" s="93">
        <v>277.97000000000003</v>
      </c>
      <c r="I933" s="93">
        <v>240.24</v>
      </c>
      <c r="J933" s="93">
        <v>32.9</v>
      </c>
      <c r="K933" s="93">
        <v>4.83</v>
      </c>
      <c r="L933" s="43">
        <v>9.8851351351351351</v>
      </c>
      <c r="M933" s="43">
        <v>11.500239348970799</v>
      </c>
      <c r="N933" s="43">
        <v>4.831130690161527</v>
      </c>
      <c r="O933" s="43">
        <v>11.5</v>
      </c>
      <c r="P933" s="94"/>
      <c r="Q933" s="94"/>
      <c r="R933" s="94">
        <v>5</v>
      </c>
    </row>
    <row r="934" spans="1:18" ht="24">
      <c r="A934" s="90">
        <v>652</v>
      </c>
      <c r="B934" s="87" t="s">
        <v>1736</v>
      </c>
      <c r="C934" s="91" t="s">
        <v>1737</v>
      </c>
      <c r="D934" s="92">
        <v>746.54</v>
      </c>
      <c r="E934" s="92">
        <v>510.16</v>
      </c>
      <c r="F934" s="92">
        <v>181.3</v>
      </c>
      <c r="G934" s="92">
        <v>55.08</v>
      </c>
      <c r="H934" s="93">
        <v>7123.5</v>
      </c>
      <c r="I934" s="93">
        <v>5867.02</v>
      </c>
      <c r="J934" s="93">
        <v>899.81</v>
      </c>
      <c r="K934" s="93">
        <v>356.67</v>
      </c>
      <c r="L934" s="43">
        <v>9.5420205213384417</v>
      </c>
      <c r="M934" s="43">
        <v>11.500352830484553</v>
      </c>
      <c r="N934" s="43">
        <v>4.9630998345284052</v>
      </c>
      <c r="O934" s="43">
        <v>6.4754901960784315</v>
      </c>
      <c r="P934" s="94"/>
      <c r="Q934" s="94"/>
      <c r="R934" s="94">
        <v>5</v>
      </c>
    </row>
    <row r="935" spans="1:18" ht="24">
      <c r="A935" s="90">
        <v>653</v>
      </c>
      <c r="B935" s="87" t="s">
        <v>1738</v>
      </c>
      <c r="C935" s="91" t="s">
        <v>1739</v>
      </c>
      <c r="D935" s="92">
        <v>1101.31</v>
      </c>
      <c r="E935" s="92">
        <v>745.22</v>
      </c>
      <c r="F935" s="92">
        <v>249.33</v>
      </c>
      <c r="G935" s="92">
        <v>106.76</v>
      </c>
      <c r="H935" s="93">
        <v>10482.57</v>
      </c>
      <c r="I935" s="93">
        <v>8569.98</v>
      </c>
      <c r="J935" s="93">
        <v>1251.27</v>
      </c>
      <c r="K935" s="93">
        <v>661.32</v>
      </c>
      <c r="L935" s="43">
        <v>9.5182736922392426</v>
      </c>
      <c r="M935" s="43">
        <v>11.499932905719115</v>
      </c>
      <c r="N935" s="43">
        <v>5.0185296594874256</v>
      </c>
      <c r="O935" s="43">
        <v>6.1944548520044966</v>
      </c>
      <c r="P935" s="94"/>
      <c r="Q935" s="94"/>
      <c r="R935" s="94">
        <v>5</v>
      </c>
    </row>
    <row r="936" spans="1:18" ht="24">
      <c r="A936" s="90">
        <v>654</v>
      </c>
      <c r="B936" s="87" t="s">
        <v>1740</v>
      </c>
      <c r="C936" s="91" t="s">
        <v>1741</v>
      </c>
      <c r="D936" s="92">
        <v>1580.47</v>
      </c>
      <c r="E936" s="92">
        <v>598.37</v>
      </c>
      <c r="F936" s="92">
        <v>916.72</v>
      </c>
      <c r="G936" s="92">
        <v>65.38</v>
      </c>
      <c r="H936" s="93">
        <v>12157.29</v>
      </c>
      <c r="I936" s="93">
        <v>6881.23</v>
      </c>
      <c r="J936" s="93">
        <v>4853.5200000000004</v>
      </c>
      <c r="K936" s="93">
        <v>422.54</v>
      </c>
      <c r="L936" s="43">
        <v>7.6921991559472822</v>
      </c>
      <c r="M936" s="43">
        <v>11.499958219830539</v>
      </c>
      <c r="N936" s="43">
        <v>5.2944410507025053</v>
      </c>
      <c r="O936" s="43">
        <v>6.4628326705414505</v>
      </c>
      <c r="P936" s="94"/>
      <c r="Q936" s="94"/>
      <c r="R936" s="94">
        <v>5</v>
      </c>
    </row>
    <row r="937" spans="1:18" ht="24">
      <c r="A937" s="90">
        <v>655</v>
      </c>
      <c r="B937" s="87" t="s">
        <v>1742</v>
      </c>
      <c r="C937" s="91" t="s">
        <v>1743</v>
      </c>
      <c r="D937" s="92">
        <v>2506.7600000000002</v>
      </c>
      <c r="E937" s="92">
        <v>873.57</v>
      </c>
      <c r="F937" s="92">
        <v>1540.92</v>
      </c>
      <c r="G937" s="92">
        <v>92.27</v>
      </c>
      <c r="H937" s="93">
        <v>18807.88</v>
      </c>
      <c r="I937" s="93">
        <v>10046.06</v>
      </c>
      <c r="J937" s="93">
        <v>8161.96</v>
      </c>
      <c r="K937" s="93">
        <v>599.86</v>
      </c>
      <c r="L937" s="43">
        <v>7.502864255054333</v>
      </c>
      <c r="M937" s="43">
        <v>11.500005723639775</v>
      </c>
      <c r="N937" s="43">
        <v>5.2968096981024324</v>
      </c>
      <c r="O937" s="43">
        <v>6.5011379646689065</v>
      </c>
      <c r="P937" s="94"/>
      <c r="Q937" s="94"/>
      <c r="R937" s="94">
        <v>5</v>
      </c>
    </row>
    <row r="938" spans="1:18" ht="24">
      <c r="A938" s="90">
        <v>656</v>
      </c>
      <c r="B938" s="87" t="s">
        <v>1744</v>
      </c>
      <c r="C938" s="91" t="s">
        <v>1745</v>
      </c>
      <c r="D938" s="92">
        <v>2303.42</v>
      </c>
      <c r="E938" s="92">
        <v>893.92</v>
      </c>
      <c r="F938" s="92">
        <v>1301.97</v>
      </c>
      <c r="G938" s="92">
        <v>107.53</v>
      </c>
      <c r="H938" s="93">
        <v>17859.990000000002</v>
      </c>
      <c r="I938" s="93">
        <v>10280.49</v>
      </c>
      <c r="J938" s="93">
        <v>6895.73</v>
      </c>
      <c r="K938" s="93">
        <v>683.77</v>
      </c>
      <c r="L938" s="43">
        <v>7.7536836530029269</v>
      </c>
      <c r="M938" s="43">
        <v>11.500458654018257</v>
      </c>
      <c r="N938" s="43">
        <v>5.2963816370576895</v>
      </c>
      <c r="O938" s="43">
        <v>6.3588765925788149</v>
      </c>
      <c r="P938" s="94"/>
      <c r="Q938" s="94"/>
      <c r="R938" s="94">
        <v>5</v>
      </c>
    </row>
    <row r="939" spans="1:18" ht="24">
      <c r="A939" s="90">
        <v>657</v>
      </c>
      <c r="B939" s="87" t="s">
        <v>1746</v>
      </c>
      <c r="C939" s="91" t="s">
        <v>1747</v>
      </c>
      <c r="D939" s="92">
        <v>3349.69</v>
      </c>
      <c r="E939" s="92">
        <v>1263.9000000000001</v>
      </c>
      <c r="F939" s="92">
        <v>1931.97</v>
      </c>
      <c r="G939" s="92">
        <v>153.82</v>
      </c>
      <c r="H939" s="93">
        <v>25738.86</v>
      </c>
      <c r="I939" s="93">
        <v>14535.4</v>
      </c>
      <c r="J939" s="93">
        <v>10227.14</v>
      </c>
      <c r="K939" s="93">
        <v>976.32</v>
      </c>
      <c r="L939" s="43">
        <v>7.6839528433974484</v>
      </c>
      <c r="M939" s="43">
        <v>11.500435161009573</v>
      </c>
      <c r="N939" s="43">
        <v>5.2936329239066859</v>
      </c>
      <c r="O939" s="43">
        <v>6.3471590170328964</v>
      </c>
      <c r="P939" s="94"/>
      <c r="Q939" s="94"/>
      <c r="R939" s="94">
        <v>5</v>
      </c>
    </row>
    <row r="940" spans="1:18" ht="24">
      <c r="A940" s="90">
        <v>658</v>
      </c>
      <c r="B940" s="87" t="s">
        <v>1748</v>
      </c>
      <c r="C940" s="91" t="s">
        <v>1749</v>
      </c>
      <c r="D940" s="92">
        <v>2587.92</v>
      </c>
      <c r="E940" s="92">
        <v>998.36</v>
      </c>
      <c r="F940" s="92">
        <v>1490.91</v>
      </c>
      <c r="G940" s="92">
        <v>98.65</v>
      </c>
      <c r="H940" s="93">
        <v>20007.61</v>
      </c>
      <c r="I940" s="93">
        <v>11481.19</v>
      </c>
      <c r="J940" s="93">
        <v>7877.12</v>
      </c>
      <c r="K940" s="93">
        <v>649.29999999999995</v>
      </c>
      <c r="L940" s="43">
        <v>7.7311547497604254</v>
      </c>
      <c r="M940" s="43">
        <v>11.500050082134701</v>
      </c>
      <c r="N940" s="43">
        <v>5.2834309247372406</v>
      </c>
      <c r="O940" s="43">
        <v>6.5818550430816005</v>
      </c>
      <c r="P940" s="94"/>
      <c r="Q940" s="94"/>
      <c r="R940" s="94">
        <v>5</v>
      </c>
    </row>
    <row r="941" spans="1:18" ht="24">
      <c r="A941" s="90">
        <v>659</v>
      </c>
      <c r="B941" s="87" t="s">
        <v>1750</v>
      </c>
      <c r="C941" s="91" t="s">
        <v>1751</v>
      </c>
      <c r="D941" s="92">
        <v>1854.22</v>
      </c>
      <c r="E941" s="92">
        <v>842.57</v>
      </c>
      <c r="F941" s="92">
        <v>855.95</v>
      </c>
      <c r="G941" s="92">
        <v>155.69999999999999</v>
      </c>
      <c r="H941" s="93">
        <v>15117.36</v>
      </c>
      <c r="I941" s="93">
        <v>9689.9599999999991</v>
      </c>
      <c r="J941" s="93">
        <v>4493.05</v>
      </c>
      <c r="K941" s="93">
        <v>934.35</v>
      </c>
      <c r="L941" s="43">
        <v>8.1529484095738365</v>
      </c>
      <c r="M941" s="43">
        <v>11.500480672229012</v>
      </c>
      <c r="N941" s="43">
        <v>5.2491967988784394</v>
      </c>
      <c r="O941" s="43">
        <v>6.0009633911368025</v>
      </c>
      <c r="P941" s="94"/>
      <c r="Q941" s="94"/>
      <c r="R941" s="94">
        <v>5</v>
      </c>
    </row>
    <row r="942" spans="1:18" ht="24">
      <c r="A942" s="90">
        <v>660</v>
      </c>
      <c r="B942" s="87" t="s">
        <v>1752</v>
      </c>
      <c r="C942" s="91" t="s">
        <v>1753</v>
      </c>
      <c r="D942" s="92">
        <v>2668.44</v>
      </c>
      <c r="E942" s="92">
        <v>717.71</v>
      </c>
      <c r="F942" s="92">
        <v>1872.11</v>
      </c>
      <c r="G942" s="92">
        <v>78.62</v>
      </c>
      <c r="H942" s="93">
        <v>18821.2</v>
      </c>
      <c r="I942" s="93">
        <v>8253.92</v>
      </c>
      <c r="J942" s="93">
        <v>10059.450000000001</v>
      </c>
      <c r="K942" s="93">
        <v>507.83</v>
      </c>
      <c r="L942" s="43">
        <v>7.0532595823777191</v>
      </c>
      <c r="M942" s="43">
        <v>11.500355296707584</v>
      </c>
      <c r="N942" s="43">
        <v>5.3733220804333088</v>
      </c>
      <c r="O942" s="43">
        <v>6.4592978885779697</v>
      </c>
      <c r="P942" s="94"/>
      <c r="Q942" s="94"/>
      <c r="R942" s="94">
        <v>5</v>
      </c>
    </row>
    <row r="943" spans="1:18" ht="24">
      <c r="A943" s="90">
        <v>661</v>
      </c>
      <c r="B943" s="87" t="s">
        <v>1754</v>
      </c>
      <c r="C943" s="91" t="s">
        <v>1755</v>
      </c>
      <c r="D943" s="92">
        <v>2917.22</v>
      </c>
      <c r="E943" s="92">
        <v>780.72</v>
      </c>
      <c r="F943" s="92">
        <v>2054.63</v>
      </c>
      <c r="G943" s="92">
        <v>81.87</v>
      </c>
      <c r="H943" s="93">
        <v>20553.689999999999</v>
      </c>
      <c r="I943" s="93">
        <v>8978.65</v>
      </c>
      <c r="J943" s="93">
        <v>11042.08</v>
      </c>
      <c r="K943" s="93">
        <v>532.96</v>
      </c>
      <c r="L943" s="43">
        <v>7.045642769486018</v>
      </c>
      <c r="M943" s="43">
        <v>11.50047392150835</v>
      </c>
      <c r="N943" s="43">
        <v>5.3742425643546525</v>
      </c>
      <c r="O943" s="43">
        <v>6.5098326615365822</v>
      </c>
      <c r="P943" s="94"/>
      <c r="Q943" s="94"/>
      <c r="R943" s="94">
        <v>5</v>
      </c>
    </row>
    <row r="944" spans="1:18" ht="24">
      <c r="A944" s="90">
        <v>662</v>
      </c>
      <c r="B944" s="87" t="s">
        <v>1756</v>
      </c>
      <c r="C944" s="91" t="s">
        <v>1757</v>
      </c>
      <c r="D944" s="92">
        <v>3431.42</v>
      </c>
      <c r="E944" s="92">
        <v>919.6</v>
      </c>
      <c r="F944" s="92">
        <v>2414.42</v>
      </c>
      <c r="G944" s="92">
        <v>97.4</v>
      </c>
      <c r="H944" s="93">
        <v>24184.32</v>
      </c>
      <c r="I944" s="93">
        <v>10575.75</v>
      </c>
      <c r="J944" s="93">
        <v>12975.67</v>
      </c>
      <c r="K944" s="93">
        <v>632.9</v>
      </c>
      <c r="L944" s="43">
        <v>7.0479043661224798</v>
      </c>
      <c r="M944" s="43">
        <v>11.500380600260982</v>
      </c>
      <c r="N944" s="43">
        <v>5.3742389476561661</v>
      </c>
      <c r="O944" s="43">
        <v>6.4979466119096507</v>
      </c>
      <c r="P944" s="94"/>
      <c r="Q944" s="94"/>
      <c r="R944" s="94">
        <v>5</v>
      </c>
    </row>
    <row r="945" spans="1:18" ht="24">
      <c r="A945" s="90">
        <v>663</v>
      </c>
      <c r="B945" s="87" t="s">
        <v>1758</v>
      </c>
      <c r="C945" s="91" t="s">
        <v>1759</v>
      </c>
      <c r="D945" s="92">
        <v>2698.1</v>
      </c>
      <c r="E945" s="92">
        <v>760.88</v>
      </c>
      <c r="F945" s="92">
        <v>1862.16</v>
      </c>
      <c r="G945" s="92">
        <v>75.06</v>
      </c>
      <c r="H945" s="93">
        <v>19252.13</v>
      </c>
      <c r="I945" s="93">
        <v>8750.49</v>
      </c>
      <c r="J945" s="93">
        <v>10007.450000000001</v>
      </c>
      <c r="K945" s="93">
        <v>494.19</v>
      </c>
      <c r="L945" s="43">
        <v>7.1354397539008936</v>
      </c>
      <c r="M945" s="43">
        <v>11.500486279045315</v>
      </c>
      <c r="N945" s="43">
        <v>5.3741085620999272</v>
      </c>
      <c r="O945" s="43">
        <v>6.5839328537170259</v>
      </c>
      <c r="P945" s="94"/>
      <c r="Q945" s="94"/>
      <c r="R945" s="94">
        <v>5</v>
      </c>
    </row>
    <row r="946" spans="1:18" ht="24">
      <c r="A946" s="90">
        <v>664</v>
      </c>
      <c r="B946" s="87" t="s">
        <v>1760</v>
      </c>
      <c r="C946" s="91" t="s">
        <v>1761</v>
      </c>
      <c r="D946" s="92">
        <v>2917.22</v>
      </c>
      <c r="E946" s="92">
        <v>780.72</v>
      </c>
      <c r="F946" s="92">
        <v>2054.63</v>
      </c>
      <c r="G946" s="92">
        <v>81.87</v>
      </c>
      <c r="H946" s="93">
        <v>20553.689999999999</v>
      </c>
      <c r="I946" s="93">
        <v>8978.65</v>
      </c>
      <c r="J946" s="93">
        <v>11042.08</v>
      </c>
      <c r="K946" s="93">
        <v>532.96</v>
      </c>
      <c r="L946" s="43">
        <v>7.045642769486018</v>
      </c>
      <c r="M946" s="43">
        <v>11.50047392150835</v>
      </c>
      <c r="N946" s="43">
        <v>5.3742425643546525</v>
      </c>
      <c r="O946" s="43">
        <v>6.5098326615365822</v>
      </c>
      <c r="P946" s="94"/>
      <c r="Q946" s="94"/>
      <c r="R946" s="94">
        <v>5</v>
      </c>
    </row>
    <row r="947" spans="1:18" ht="24">
      <c r="A947" s="90">
        <v>665</v>
      </c>
      <c r="B947" s="87" t="s">
        <v>1762</v>
      </c>
      <c r="C947" s="91" t="s">
        <v>1763</v>
      </c>
      <c r="D947" s="92">
        <v>3473.35</v>
      </c>
      <c r="E947" s="92">
        <v>927.77</v>
      </c>
      <c r="F947" s="92">
        <v>2441.59</v>
      </c>
      <c r="G947" s="92">
        <v>103.99</v>
      </c>
      <c r="H947" s="93">
        <v>24460.47</v>
      </c>
      <c r="I947" s="93">
        <v>10669.7</v>
      </c>
      <c r="J947" s="93">
        <v>13121.64</v>
      </c>
      <c r="K947" s="93">
        <v>669.13</v>
      </c>
      <c r="L947" s="43">
        <v>7.0423280118617475</v>
      </c>
      <c r="M947" s="43">
        <v>11.50037185940481</v>
      </c>
      <c r="N947" s="43">
        <v>5.3742192587617081</v>
      </c>
      <c r="O947" s="43">
        <v>6.4345610154822586</v>
      </c>
      <c r="P947" s="94"/>
      <c r="Q947" s="94"/>
      <c r="R947" s="94">
        <v>5</v>
      </c>
    </row>
    <row r="948" spans="1:18" ht="36">
      <c r="A948" s="90">
        <v>666</v>
      </c>
      <c r="B948" s="87" t="s">
        <v>1764</v>
      </c>
      <c r="C948" s="91" t="s">
        <v>1765</v>
      </c>
      <c r="D948" s="92">
        <v>2150.09</v>
      </c>
      <c r="E948" s="92">
        <v>1449.96</v>
      </c>
      <c r="F948" s="92">
        <v>451.73</v>
      </c>
      <c r="G948" s="92">
        <v>248.4</v>
      </c>
      <c r="H948" s="93">
        <v>20389.68</v>
      </c>
      <c r="I948" s="93">
        <v>16674.54</v>
      </c>
      <c r="J948" s="93">
        <v>2211.39</v>
      </c>
      <c r="K948" s="93">
        <v>1503.75</v>
      </c>
      <c r="L948" s="43">
        <v>9.483175122901832</v>
      </c>
      <c r="M948" s="43">
        <v>11.5</v>
      </c>
      <c r="N948" s="43">
        <v>4.8953799836185325</v>
      </c>
      <c r="O948" s="43">
        <v>6.0537439613526569</v>
      </c>
      <c r="P948" s="94"/>
      <c r="Q948" s="94"/>
      <c r="R948" s="94">
        <v>5</v>
      </c>
    </row>
    <row r="949" spans="1:18" ht="36">
      <c r="A949" s="90">
        <v>667</v>
      </c>
      <c r="B949" s="87" t="s">
        <v>1766</v>
      </c>
      <c r="C949" s="91" t="s">
        <v>1767</v>
      </c>
      <c r="D949" s="92">
        <v>2603.12</v>
      </c>
      <c r="E949" s="92">
        <v>1730.96</v>
      </c>
      <c r="F949" s="92">
        <v>581.12</v>
      </c>
      <c r="G949" s="92">
        <v>291.04000000000002</v>
      </c>
      <c r="H949" s="93">
        <v>24544.06</v>
      </c>
      <c r="I949" s="93">
        <v>19906.04</v>
      </c>
      <c r="J949" s="93">
        <v>2872.23</v>
      </c>
      <c r="K949" s="93">
        <v>1765.79</v>
      </c>
      <c r="L949" s="43">
        <v>9.4287086265711917</v>
      </c>
      <c r="M949" s="43">
        <v>11.5</v>
      </c>
      <c r="N949" s="43">
        <v>4.9425764041850222</v>
      </c>
      <c r="O949" s="43">
        <v>6.0671728971962615</v>
      </c>
      <c r="P949" s="94"/>
      <c r="Q949" s="94"/>
      <c r="R949" s="94">
        <v>5</v>
      </c>
    </row>
    <row r="950" spans="1:18" ht="36">
      <c r="A950" s="90">
        <v>668</v>
      </c>
      <c r="B950" s="87" t="s">
        <v>1768</v>
      </c>
      <c r="C950" s="91" t="s">
        <v>1769</v>
      </c>
      <c r="D950" s="92">
        <v>3117.06</v>
      </c>
      <c r="E950" s="92">
        <v>2114.16</v>
      </c>
      <c r="F950" s="92">
        <v>682.49</v>
      </c>
      <c r="G950" s="92">
        <v>320.41000000000003</v>
      </c>
      <c r="H950" s="93">
        <v>29616.85</v>
      </c>
      <c r="I950" s="93">
        <v>24313.759999999998</v>
      </c>
      <c r="J950" s="93">
        <v>3333.37</v>
      </c>
      <c r="K950" s="93">
        <v>1969.72</v>
      </c>
      <c r="L950" s="43">
        <v>9.5015334963074167</v>
      </c>
      <c r="M950" s="43">
        <v>11.500435161009573</v>
      </c>
      <c r="N950" s="43">
        <v>4.8841301704054265</v>
      </c>
      <c r="O950" s="43">
        <v>6.1474985175244212</v>
      </c>
      <c r="P950" s="94"/>
      <c r="Q950" s="94"/>
      <c r="R950" s="94">
        <v>5</v>
      </c>
    </row>
    <row r="951" spans="1:18" ht="36">
      <c r="A951" s="90">
        <v>669</v>
      </c>
      <c r="B951" s="87" t="s">
        <v>1770</v>
      </c>
      <c r="C951" s="91" t="s">
        <v>1771</v>
      </c>
      <c r="D951" s="92">
        <v>3831.69</v>
      </c>
      <c r="E951" s="92">
        <v>2608.23</v>
      </c>
      <c r="F951" s="92">
        <v>872.11</v>
      </c>
      <c r="G951" s="92">
        <v>351.35</v>
      </c>
      <c r="H951" s="93">
        <v>36445.050000000003</v>
      </c>
      <c r="I951" s="93">
        <v>29995.78</v>
      </c>
      <c r="J951" s="93">
        <v>4253.63</v>
      </c>
      <c r="K951" s="93">
        <v>2195.64</v>
      </c>
      <c r="L951" s="43">
        <v>9.5114818787532407</v>
      </c>
      <c r="M951" s="43">
        <v>11.500435161009573</v>
      </c>
      <c r="N951" s="43">
        <v>4.8774007865980211</v>
      </c>
      <c r="O951" s="43">
        <v>6.2491532659740994</v>
      </c>
      <c r="P951" s="94"/>
      <c r="Q951" s="94"/>
      <c r="R951" s="94">
        <v>5</v>
      </c>
    </row>
    <row r="952" spans="1:18" ht="36">
      <c r="A952" s="90">
        <v>670</v>
      </c>
      <c r="B952" s="87" t="s">
        <v>1772</v>
      </c>
      <c r="C952" s="91" t="s">
        <v>1773</v>
      </c>
      <c r="D952" s="92">
        <v>5190.84</v>
      </c>
      <c r="E952" s="92">
        <v>3515.94</v>
      </c>
      <c r="F952" s="92">
        <v>1205.6600000000001</v>
      </c>
      <c r="G952" s="92">
        <v>469.24</v>
      </c>
      <c r="H952" s="93">
        <v>49207.040000000001</v>
      </c>
      <c r="I952" s="93">
        <v>40434.839999999997</v>
      </c>
      <c r="J952" s="93">
        <v>5835.79</v>
      </c>
      <c r="K952" s="93">
        <v>2936.41</v>
      </c>
      <c r="L952" s="43">
        <v>9.4795909717887668</v>
      </c>
      <c r="M952" s="43">
        <v>11.500435161009573</v>
      </c>
      <c r="N952" s="43">
        <v>4.840328119038535</v>
      </c>
      <c r="O952" s="43">
        <v>6.2577998465603955</v>
      </c>
      <c r="P952" s="94"/>
      <c r="Q952" s="94"/>
      <c r="R952" s="94">
        <v>5</v>
      </c>
    </row>
    <row r="953" spans="1:18" ht="36">
      <c r="A953" s="90">
        <v>671</v>
      </c>
      <c r="B953" s="87" t="s">
        <v>1774</v>
      </c>
      <c r="C953" s="91" t="s">
        <v>1775</v>
      </c>
      <c r="D953" s="92">
        <v>6015.57</v>
      </c>
      <c r="E953" s="92">
        <v>4090.44</v>
      </c>
      <c r="F953" s="92">
        <v>1330.27</v>
      </c>
      <c r="G953" s="92">
        <v>594.86</v>
      </c>
      <c r="H953" s="93">
        <v>57281.72</v>
      </c>
      <c r="I953" s="93">
        <v>47041.84</v>
      </c>
      <c r="J953" s="93">
        <v>6562.57</v>
      </c>
      <c r="K953" s="93">
        <v>3677.31</v>
      </c>
      <c r="L953" s="43">
        <v>9.5222431124565095</v>
      </c>
      <c r="M953" s="43">
        <v>11.500435161009573</v>
      </c>
      <c r="N953" s="43">
        <v>4.9332616686838007</v>
      </c>
      <c r="O953" s="43">
        <v>6.181807484113909</v>
      </c>
      <c r="P953" s="94"/>
      <c r="Q953" s="94"/>
      <c r="R953" s="94">
        <v>5</v>
      </c>
    </row>
    <row r="954" spans="1:18" ht="24">
      <c r="A954" s="90">
        <v>672</v>
      </c>
      <c r="B954" s="87" t="s">
        <v>1776</v>
      </c>
      <c r="C954" s="91" t="s">
        <v>1777</v>
      </c>
      <c r="D954" s="92">
        <v>5515.39</v>
      </c>
      <c r="E954" s="92">
        <v>3584.88</v>
      </c>
      <c r="F954" s="92">
        <v>1324.7</v>
      </c>
      <c r="G954" s="92">
        <v>605.80999999999995</v>
      </c>
      <c r="H954" s="93">
        <v>51642.33</v>
      </c>
      <c r="I954" s="93">
        <v>41227.68</v>
      </c>
      <c r="J954" s="93">
        <v>6741.31</v>
      </c>
      <c r="K954" s="93">
        <v>3673.34</v>
      </c>
      <c r="L954" s="43">
        <v>9.3633142896513206</v>
      </c>
      <c r="M954" s="43">
        <v>11.500435161009573</v>
      </c>
      <c r="N954" s="43">
        <v>5.0889333433985051</v>
      </c>
      <c r="O954" s="43">
        <v>6.0635182648024966</v>
      </c>
      <c r="P954" s="94"/>
      <c r="Q954" s="94"/>
      <c r="R954" s="94">
        <v>5</v>
      </c>
    </row>
    <row r="955" spans="1:18" ht="24">
      <c r="A955" s="90">
        <v>673</v>
      </c>
      <c r="B955" s="87" t="s">
        <v>1778</v>
      </c>
      <c r="C955" s="91" t="s">
        <v>1779</v>
      </c>
      <c r="D955" s="92">
        <v>5321.87</v>
      </c>
      <c r="E955" s="92">
        <v>3305.76</v>
      </c>
      <c r="F955" s="92">
        <v>1137.75</v>
      </c>
      <c r="G955" s="92">
        <v>878.36</v>
      </c>
      <c r="H955" s="93">
        <v>48899.09</v>
      </c>
      <c r="I955" s="93">
        <v>38016.239999999998</v>
      </c>
      <c r="J955" s="93">
        <v>5790.18</v>
      </c>
      <c r="K955" s="93">
        <v>5092.67</v>
      </c>
      <c r="L955" s="43">
        <v>9.1883285386527671</v>
      </c>
      <c r="M955" s="43">
        <v>11.499999999999998</v>
      </c>
      <c r="N955" s="43">
        <v>5.0891496374423202</v>
      </c>
      <c r="O955" s="43">
        <v>5.7979302336171958</v>
      </c>
      <c r="P955" s="94"/>
      <c r="Q955" s="94"/>
      <c r="R955" s="94">
        <v>5</v>
      </c>
    </row>
    <row r="956" spans="1:18" ht="24">
      <c r="A956" s="90">
        <v>674</v>
      </c>
      <c r="B956" s="87" t="s">
        <v>1780</v>
      </c>
      <c r="C956" s="91" t="s">
        <v>1781</v>
      </c>
      <c r="D956" s="92">
        <v>559.54</v>
      </c>
      <c r="E956" s="92">
        <v>295.74</v>
      </c>
      <c r="F956" s="92">
        <v>129.35</v>
      </c>
      <c r="G956" s="92">
        <v>134.44999999999999</v>
      </c>
      <c r="H956" s="93">
        <v>4841.8900000000003</v>
      </c>
      <c r="I956" s="93">
        <v>3401.09</v>
      </c>
      <c r="J956" s="93">
        <v>687.23</v>
      </c>
      <c r="K956" s="93">
        <v>753.57</v>
      </c>
      <c r="L956" s="43">
        <v>8.6533402437716713</v>
      </c>
      <c r="M956" s="43">
        <v>11.500270507878541</v>
      </c>
      <c r="N956" s="43">
        <v>5.3129493621955941</v>
      </c>
      <c r="O956" s="43">
        <v>5.6048345109706217</v>
      </c>
      <c r="P956" s="94"/>
      <c r="Q956" s="94"/>
      <c r="R956" s="94">
        <v>5</v>
      </c>
    </row>
    <row r="957" spans="1:18" ht="24">
      <c r="A957" s="90">
        <v>675</v>
      </c>
      <c r="B957" s="87" t="s">
        <v>1782</v>
      </c>
      <c r="C957" s="91" t="s">
        <v>1783</v>
      </c>
      <c r="D957" s="92">
        <v>868.01</v>
      </c>
      <c r="E957" s="92">
        <v>461.46</v>
      </c>
      <c r="F957" s="92">
        <v>226.67</v>
      </c>
      <c r="G957" s="92">
        <v>179.88</v>
      </c>
      <c r="H957" s="93">
        <v>7510.56</v>
      </c>
      <c r="I957" s="93">
        <v>5306.99</v>
      </c>
      <c r="J957" s="93">
        <v>1187.23</v>
      </c>
      <c r="K957" s="93">
        <v>1016.34</v>
      </c>
      <c r="L957" s="43">
        <v>8.6526192094561125</v>
      </c>
      <c r="M957" s="43">
        <v>11.500433407012526</v>
      </c>
      <c r="N957" s="43">
        <v>5.2377023867296071</v>
      </c>
      <c r="O957" s="43">
        <v>5.6501000667111407</v>
      </c>
      <c r="P957" s="94"/>
      <c r="Q957" s="94"/>
      <c r="R957" s="94">
        <v>5</v>
      </c>
    </row>
    <row r="958" spans="1:18" ht="36">
      <c r="A958" s="90">
        <v>676</v>
      </c>
      <c r="B958" s="87" t="s">
        <v>1784</v>
      </c>
      <c r="C958" s="91" t="s">
        <v>1785</v>
      </c>
      <c r="D958" s="92">
        <v>193.4</v>
      </c>
      <c r="E958" s="92">
        <v>164.99</v>
      </c>
      <c r="F958" s="92">
        <v>25.11</v>
      </c>
      <c r="G958" s="92">
        <v>3.3</v>
      </c>
      <c r="H958" s="93">
        <v>2070.15</v>
      </c>
      <c r="I958" s="93">
        <v>1897.47</v>
      </c>
      <c r="J958" s="93">
        <v>134.72999999999999</v>
      </c>
      <c r="K958" s="93">
        <v>37.950000000000003</v>
      </c>
      <c r="L958" s="43">
        <v>10.703981385729058</v>
      </c>
      <c r="M958" s="43">
        <v>11.500515182738347</v>
      </c>
      <c r="N958" s="43">
        <v>5.365591397849462</v>
      </c>
      <c r="O958" s="43">
        <v>11.500000000000002</v>
      </c>
      <c r="P958" s="94"/>
      <c r="Q958" s="94"/>
      <c r="R958" s="94">
        <v>5</v>
      </c>
    </row>
    <row r="959" spans="1:18" ht="24">
      <c r="A959" s="90">
        <v>677</v>
      </c>
      <c r="B959" s="87" t="s">
        <v>1786</v>
      </c>
      <c r="C959" s="91" t="s">
        <v>1787</v>
      </c>
      <c r="D959" s="92">
        <v>865.03</v>
      </c>
      <c r="E959" s="92">
        <v>626.21</v>
      </c>
      <c r="F959" s="92">
        <v>108.84</v>
      </c>
      <c r="G959" s="92">
        <v>129.97999999999999</v>
      </c>
      <c r="H959" s="93">
        <v>8549.51</v>
      </c>
      <c r="I959" s="93">
        <v>7201.63</v>
      </c>
      <c r="J959" s="93">
        <v>577.4</v>
      </c>
      <c r="K959" s="93">
        <v>770.48</v>
      </c>
      <c r="L959" s="43">
        <v>9.8834838098100644</v>
      </c>
      <c r="M959" s="43">
        <v>11.500343335302853</v>
      </c>
      <c r="N959" s="43">
        <v>5.3050349136346924</v>
      </c>
      <c r="O959" s="43">
        <v>5.9276811817202653</v>
      </c>
      <c r="P959" s="94"/>
      <c r="Q959" s="94"/>
      <c r="R959" s="94">
        <v>5</v>
      </c>
    </row>
    <row r="960" spans="1:18" ht="24">
      <c r="A960" s="90">
        <v>678</v>
      </c>
      <c r="B960" s="87" t="s">
        <v>1788</v>
      </c>
      <c r="C960" s="91" t="s">
        <v>1789</v>
      </c>
      <c r="D960" s="92">
        <v>1678.88</v>
      </c>
      <c r="E960" s="92">
        <v>1426.6</v>
      </c>
      <c r="F960" s="92">
        <v>223.75</v>
      </c>
      <c r="G960" s="92">
        <v>28.53</v>
      </c>
      <c r="H960" s="93">
        <v>17865.18</v>
      </c>
      <c r="I960" s="93">
        <v>16406.599999999999</v>
      </c>
      <c r="J960" s="93">
        <v>1130.48</v>
      </c>
      <c r="K960" s="93">
        <v>328.1</v>
      </c>
      <c r="L960" s="43">
        <v>10.641129800819593</v>
      </c>
      <c r="M960" s="43">
        <v>11.500490677134446</v>
      </c>
      <c r="N960" s="43">
        <v>5.052424581005587</v>
      </c>
      <c r="O960" s="43">
        <v>11.500175254118473</v>
      </c>
      <c r="P960" s="94"/>
      <c r="Q960" s="94"/>
      <c r="R960" s="94">
        <v>5</v>
      </c>
    </row>
    <row r="961" spans="1:18" ht="24">
      <c r="A961" s="90">
        <v>679</v>
      </c>
      <c r="B961" s="87" t="s">
        <v>1790</v>
      </c>
      <c r="C961" s="91" t="s">
        <v>1791</v>
      </c>
      <c r="D961" s="92">
        <v>2024.93</v>
      </c>
      <c r="E961" s="92">
        <v>1650.78</v>
      </c>
      <c r="F961" s="92">
        <v>341.13</v>
      </c>
      <c r="G961" s="92">
        <v>33.020000000000003</v>
      </c>
      <c r="H961" s="93">
        <v>21060.68</v>
      </c>
      <c r="I961" s="93">
        <v>18984.78</v>
      </c>
      <c r="J961" s="93">
        <v>1696.17</v>
      </c>
      <c r="K961" s="93">
        <v>379.73</v>
      </c>
      <c r="L961" s="43">
        <v>10.400695332678167</v>
      </c>
      <c r="M961" s="43">
        <v>11.500490677134446</v>
      </c>
      <c r="N961" s="43">
        <v>4.972210007914871</v>
      </c>
      <c r="O961" s="43">
        <v>11.5</v>
      </c>
      <c r="P961" s="94"/>
      <c r="Q961" s="94"/>
      <c r="R961" s="94">
        <v>5</v>
      </c>
    </row>
    <row r="962" spans="1:18" ht="24">
      <c r="A962" s="90">
        <v>680</v>
      </c>
      <c r="B962" s="87" t="s">
        <v>1792</v>
      </c>
      <c r="C962" s="91" t="s">
        <v>1793</v>
      </c>
      <c r="D962" s="92">
        <v>2282.29</v>
      </c>
      <c r="E962" s="92">
        <v>1885.15</v>
      </c>
      <c r="F962" s="92">
        <v>359.44</v>
      </c>
      <c r="G962" s="92">
        <v>37.700000000000003</v>
      </c>
      <c r="H962" s="93">
        <v>23837.02</v>
      </c>
      <c r="I962" s="93">
        <v>21680.15</v>
      </c>
      <c r="J962" s="93">
        <v>1723.32</v>
      </c>
      <c r="K962" s="93">
        <v>433.55</v>
      </c>
      <c r="L962" s="43">
        <v>10.444343181628978</v>
      </c>
      <c r="M962" s="43">
        <v>11.500490677134446</v>
      </c>
      <c r="N962" s="43">
        <v>4.7944580458490984</v>
      </c>
      <c r="O962" s="43">
        <v>11.5</v>
      </c>
      <c r="P962" s="94"/>
      <c r="Q962" s="94"/>
      <c r="R962" s="94">
        <v>5</v>
      </c>
    </row>
    <row r="963" spans="1:18" ht="24">
      <c r="A963" s="90">
        <v>681</v>
      </c>
      <c r="B963" s="87" t="s">
        <v>1794</v>
      </c>
      <c r="C963" s="91" t="s">
        <v>1795</v>
      </c>
      <c r="D963" s="92">
        <v>489.35</v>
      </c>
      <c r="E963" s="92">
        <v>279.17</v>
      </c>
      <c r="F963" s="92">
        <v>68.3</v>
      </c>
      <c r="G963" s="92">
        <v>141.88</v>
      </c>
      <c r="H963" s="93">
        <v>4365.78</v>
      </c>
      <c r="I963" s="93">
        <v>3210.5</v>
      </c>
      <c r="J963" s="93">
        <v>364.14</v>
      </c>
      <c r="K963" s="93">
        <v>791.14</v>
      </c>
      <c r="L963" s="43">
        <v>8.9215898641054459</v>
      </c>
      <c r="M963" s="43">
        <v>11.500161192105168</v>
      </c>
      <c r="N963" s="43">
        <v>5.3314787701317714</v>
      </c>
      <c r="O963" s="43">
        <v>5.5761206653510014</v>
      </c>
      <c r="P963" s="94"/>
      <c r="Q963" s="94"/>
      <c r="R963" s="94">
        <v>5</v>
      </c>
    </row>
    <row r="964" spans="1:18" ht="24">
      <c r="A964" s="90">
        <v>682</v>
      </c>
      <c r="B964" s="87" t="s">
        <v>1796</v>
      </c>
      <c r="C964" s="91" t="s">
        <v>1797</v>
      </c>
      <c r="D964" s="92">
        <v>3475.37</v>
      </c>
      <c r="E964" s="92">
        <v>2506.52</v>
      </c>
      <c r="F964" s="92">
        <v>826.86</v>
      </c>
      <c r="G964" s="92">
        <v>141.99</v>
      </c>
      <c r="H964" s="93">
        <v>33920.28</v>
      </c>
      <c r="I964" s="93">
        <v>28824.98</v>
      </c>
      <c r="J964" s="93">
        <v>4028.83</v>
      </c>
      <c r="K964" s="93">
        <v>1066.47</v>
      </c>
      <c r="L964" s="43">
        <v>9.7601924399416458</v>
      </c>
      <c r="M964" s="43">
        <v>11.5</v>
      </c>
      <c r="N964" s="43">
        <v>4.8724451539559297</v>
      </c>
      <c r="O964" s="43">
        <v>7.5108810479611234</v>
      </c>
      <c r="P964" s="94"/>
      <c r="Q964" s="94"/>
      <c r="R964" s="94">
        <v>5</v>
      </c>
    </row>
    <row r="965" spans="1:18" ht="24">
      <c r="A965" s="90">
        <v>683</v>
      </c>
      <c r="B965" s="87" t="s">
        <v>1798</v>
      </c>
      <c r="C965" s="91" t="s">
        <v>1799</v>
      </c>
      <c r="D965" s="92">
        <v>4897.6400000000003</v>
      </c>
      <c r="E965" s="92">
        <v>3315.8</v>
      </c>
      <c r="F965" s="92">
        <v>1237.3900000000001</v>
      </c>
      <c r="G965" s="92">
        <v>344.45</v>
      </c>
      <c r="H965" s="93">
        <v>46467.19</v>
      </c>
      <c r="I965" s="93">
        <v>38131.699999999997</v>
      </c>
      <c r="J965" s="93">
        <v>6089.31</v>
      </c>
      <c r="K965" s="93">
        <v>2246.1799999999998</v>
      </c>
      <c r="L965" s="43">
        <v>9.4876695714670731</v>
      </c>
      <c r="M965" s="43">
        <v>11.499999999999998</v>
      </c>
      <c r="N965" s="43">
        <v>4.9210919758523985</v>
      </c>
      <c r="O965" s="43">
        <v>6.5210625635070398</v>
      </c>
      <c r="P965" s="94"/>
      <c r="Q965" s="94"/>
      <c r="R965" s="94">
        <v>5</v>
      </c>
    </row>
    <row r="966" spans="1:18" ht="24">
      <c r="A966" s="90">
        <v>684</v>
      </c>
      <c r="B966" s="87" t="s">
        <v>1800</v>
      </c>
      <c r="C966" s="91" t="s">
        <v>1801</v>
      </c>
      <c r="D966" s="92">
        <v>163.66</v>
      </c>
      <c r="E966" s="92">
        <v>95.39</v>
      </c>
      <c r="F966" s="92">
        <v>61.29</v>
      </c>
      <c r="G966" s="92">
        <v>6.98</v>
      </c>
      <c r="H966" s="93">
        <v>1475.48</v>
      </c>
      <c r="I966" s="93">
        <v>1096.98</v>
      </c>
      <c r="J966" s="93">
        <v>312.13</v>
      </c>
      <c r="K966" s="93">
        <v>66.37</v>
      </c>
      <c r="L966" s="43">
        <v>9.0155199804472694</v>
      </c>
      <c r="M966" s="43">
        <v>11.499947583604152</v>
      </c>
      <c r="N966" s="43">
        <v>5.0926741719693265</v>
      </c>
      <c r="O966" s="43">
        <v>9.5085959885386817</v>
      </c>
      <c r="P966" s="94"/>
      <c r="Q966" s="94"/>
      <c r="R966" s="94">
        <v>5</v>
      </c>
    </row>
    <row r="967" spans="1:18" ht="12.75" customHeight="1">
      <c r="A967" s="628" t="s">
        <v>1802</v>
      </c>
      <c r="B967" s="629"/>
      <c r="C967" s="629"/>
      <c r="D967" s="629"/>
      <c r="E967" s="629"/>
      <c r="F967" s="629"/>
      <c r="G967" s="629"/>
      <c r="H967" s="629"/>
      <c r="I967" s="629"/>
      <c r="J967" s="629"/>
      <c r="K967" s="629"/>
      <c r="L967" s="629"/>
      <c r="M967" s="629"/>
      <c r="N967" s="629"/>
      <c r="O967" s="629"/>
      <c r="P967" s="629"/>
      <c r="Q967" s="629"/>
      <c r="R967" s="629"/>
    </row>
    <row r="968" spans="1:18" ht="36">
      <c r="A968" s="90">
        <v>685</v>
      </c>
      <c r="B968" s="87" t="s">
        <v>1803</v>
      </c>
      <c r="C968" s="91" t="s">
        <v>1804</v>
      </c>
      <c r="D968" s="92">
        <v>1640.52</v>
      </c>
      <c r="E968" s="92">
        <v>413.5</v>
      </c>
      <c r="F968" s="92">
        <v>1129.75</v>
      </c>
      <c r="G968" s="92">
        <v>97.27</v>
      </c>
      <c r="H968" s="93">
        <v>11346.23</v>
      </c>
      <c r="I968" s="93">
        <v>4755.3</v>
      </c>
      <c r="J968" s="93">
        <v>6021.53</v>
      </c>
      <c r="K968" s="93">
        <v>569.4</v>
      </c>
      <c r="L968" s="43">
        <v>6.9162399726915851</v>
      </c>
      <c r="M968" s="43">
        <v>11.500120918984281</v>
      </c>
      <c r="N968" s="43">
        <v>5.3299668068156674</v>
      </c>
      <c r="O968" s="43">
        <v>5.8538089852986532</v>
      </c>
      <c r="P968" s="94"/>
      <c r="Q968" s="94"/>
      <c r="R968" s="94">
        <v>6</v>
      </c>
    </row>
    <row r="969" spans="1:18" ht="36">
      <c r="A969" s="90">
        <v>686</v>
      </c>
      <c r="B969" s="87" t="s">
        <v>1805</v>
      </c>
      <c r="C969" s="91" t="s">
        <v>1806</v>
      </c>
      <c r="D969" s="92">
        <v>2415.41</v>
      </c>
      <c r="E969" s="92">
        <v>661.49</v>
      </c>
      <c r="F969" s="92">
        <v>1641.07</v>
      </c>
      <c r="G969" s="92">
        <v>112.85</v>
      </c>
      <c r="H969" s="93">
        <v>17043.900000000001</v>
      </c>
      <c r="I969" s="93">
        <v>7607.45</v>
      </c>
      <c r="J969" s="93">
        <v>8753.41</v>
      </c>
      <c r="K969" s="93">
        <v>683.04</v>
      </c>
      <c r="L969" s="43">
        <v>7.0563175609937865</v>
      </c>
      <c r="M969" s="43">
        <v>11.500476197674946</v>
      </c>
      <c r="N969" s="43">
        <v>5.3339650350076475</v>
      </c>
      <c r="O969" s="43">
        <v>6.052636242800177</v>
      </c>
      <c r="P969" s="94"/>
      <c r="Q969" s="94"/>
      <c r="R969" s="94">
        <v>6</v>
      </c>
    </row>
    <row r="970" spans="1:18" ht="48">
      <c r="A970" s="90">
        <v>687</v>
      </c>
      <c r="B970" s="87" t="s">
        <v>1807</v>
      </c>
      <c r="C970" s="91" t="s">
        <v>1808</v>
      </c>
      <c r="D970" s="92">
        <v>4.96</v>
      </c>
      <c r="E970" s="92">
        <v>4.8600000000000003</v>
      </c>
      <c r="F970" s="92"/>
      <c r="G970" s="92">
        <v>0.1</v>
      </c>
      <c r="H970" s="93">
        <v>57.02</v>
      </c>
      <c r="I970" s="93">
        <v>55.87</v>
      </c>
      <c r="J970" s="93"/>
      <c r="K970" s="93">
        <v>1.1499999999999999</v>
      </c>
      <c r="L970" s="43">
        <v>11.495967741935484</v>
      </c>
      <c r="M970" s="43">
        <v>11.495884773662549</v>
      </c>
      <c r="N970" s="43" t="s">
        <v>1690</v>
      </c>
      <c r="O970" s="43">
        <v>11.499999999999998</v>
      </c>
      <c r="P970" s="94"/>
      <c r="Q970" s="94"/>
      <c r="R970" s="94">
        <v>6</v>
      </c>
    </row>
    <row r="971" spans="1:18" ht="48">
      <c r="A971" s="90">
        <v>688</v>
      </c>
      <c r="B971" s="87" t="s">
        <v>1809</v>
      </c>
      <c r="C971" s="91" t="s">
        <v>1810</v>
      </c>
      <c r="D971" s="92">
        <v>396.57</v>
      </c>
      <c r="E971" s="92">
        <v>344.42</v>
      </c>
      <c r="F971" s="92">
        <v>45.26</v>
      </c>
      <c r="G971" s="92">
        <v>6.89</v>
      </c>
      <c r="H971" s="93">
        <v>4266.3999999999996</v>
      </c>
      <c r="I971" s="93">
        <v>3961.02</v>
      </c>
      <c r="J971" s="93">
        <v>226.14</v>
      </c>
      <c r="K971" s="93">
        <v>79.239999999999995</v>
      </c>
      <c r="L971" s="43">
        <v>10.758252010994275</v>
      </c>
      <c r="M971" s="43">
        <v>11.500551652052726</v>
      </c>
      <c r="N971" s="43">
        <v>4.9964648696420682</v>
      </c>
      <c r="O971" s="43">
        <v>11.500725689404934</v>
      </c>
      <c r="P971" s="94"/>
      <c r="Q971" s="94"/>
      <c r="R971" s="94">
        <v>6</v>
      </c>
    </row>
    <row r="972" spans="1:18" ht="48">
      <c r="A972" s="90">
        <v>689</v>
      </c>
      <c r="B972" s="87" t="s">
        <v>1811</v>
      </c>
      <c r="C972" s="91" t="s">
        <v>1812</v>
      </c>
      <c r="D972" s="92">
        <v>402.73</v>
      </c>
      <c r="E972" s="92">
        <v>344.42</v>
      </c>
      <c r="F972" s="92">
        <v>51.42</v>
      </c>
      <c r="G972" s="92">
        <v>6.89</v>
      </c>
      <c r="H972" s="93">
        <v>4293.47</v>
      </c>
      <c r="I972" s="93">
        <v>3961.02</v>
      </c>
      <c r="J972" s="93">
        <v>253.21</v>
      </c>
      <c r="K972" s="93">
        <v>79.239999999999995</v>
      </c>
      <c r="L972" s="43">
        <v>10.660914260174311</v>
      </c>
      <c r="M972" s="43">
        <v>11.500551652052726</v>
      </c>
      <c r="N972" s="43">
        <v>4.9243485025281988</v>
      </c>
      <c r="O972" s="43">
        <v>11.500725689404934</v>
      </c>
      <c r="P972" s="94"/>
      <c r="Q972" s="94"/>
      <c r="R972" s="94">
        <v>6</v>
      </c>
    </row>
    <row r="973" spans="1:18" ht="48">
      <c r="A973" s="90">
        <v>690</v>
      </c>
      <c r="B973" s="87" t="s">
        <v>1813</v>
      </c>
      <c r="C973" s="91" t="s">
        <v>1814</v>
      </c>
      <c r="D973" s="92">
        <v>385.55</v>
      </c>
      <c r="E973" s="92">
        <v>344.42</v>
      </c>
      <c r="F973" s="92">
        <v>34.24</v>
      </c>
      <c r="G973" s="92">
        <v>6.89</v>
      </c>
      <c r="H973" s="93">
        <v>4220</v>
      </c>
      <c r="I973" s="93">
        <v>3961.02</v>
      </c>
      <c r="J973" s="93">
        <v>179.74</v>
      </c>
      <c r="K973" s="93">
        <v>79.239999999999995</v>
      </c>
      <c r="L973" s="43">
        <v>10.945402671508235</v>
      </c>
      <c r="M973" s="43">
        <v>11.500551652052726</v>
      </c>
      <c r="N973" s="43">
        <v>5.2494158878504669</v>
      </c>
      <c r="O973" s="43">
        <v>11.500725689404934</v>
      </c>
      <c r="P973" s="94"/>
      <c r="Q973" s="94"/>
      <c r="R973" s="94">
        <v>6</v>
      </c>
    </row>
    <row r="974" spans="1:18" ht="48">
      <c r="A974" s="90">
        <v>691</v>
      </c>
      <c r="B974" s="87" t="s">
        <v>1815</v>
      </c>
      <c r="C974" s="91" t="s">
        <v>1816</v>
      </c>
      <c r="D974" s="92">
        <v>408.91</v>
      </c>
      <c r="E974" s="92">
        <v>364.8</v>
      </c>
      <c r="F974" s="92">
        <v>36.81</v>
      </c>
      <c r="G974" s="92">
        <v>7.3</v>
      </c>
      <c r="H974" s="93">
        <v>4471.03</v>
      </c>
      <c r="I974" s="93">
        <v>4195.3999999999996</v>
      </c>
      <c r="J974" s="93">
        <v>191.68</v>
      </c>
      <c r="K974" s="93">
        <v>83.95</v>
      </c>
      <c r="L974" s="43">
        <v>10.934019710938836</v>
      </c>
      <c r="M974" s="43">
        <v>11.500548245614034</v>
      </c>
      <c r="N974" s="43">
        <v>5.2072806302635151</v>
      </c>
      <c r="O974" s="43">
        <v>11.5</v>
      </c>
      <c r="P974" s="94"/>
      <c r="Q974" s="94"/>
      <c r="R974" s="94">
        <v>6</v>
      </c>
    </row>
    <row r="975" spans="1:18" ht="36">
      <c r="A975" s="90">
        <v>692</v>
      </c>
      <c r="B975" s="87" t="s">
        <v>1817</v>
      </c>
      <c r="C975" s="91" t="s">
        <v>1818</v>
      </c>
      <c r="D975" s="92">
        <v>179.52</v>
      </c>
      <c r="E975" s="92">
        <v>112.46</v>
      </c>
      <c r="F975" s="92">
        <v>31.22</v>
      </c>
      <c r="G975" s="92">
        <v>35.840000000000003</v>
      </c>
      <c r="H975" s="93">
        <v>1662.79</v>
      </c>
      <c r="I975" s="93">
        <v>1293.29</v>
      </c>
      <c r="J975" s="93">
        <v>164.62</v>
      </c>
      <c r="K975" s="93">
        <v>204.88</v>
      </c>
      <c r="L975" s="43">
        <v>9.2624220142602489</v>
      </c>
      <c r="M975" s="43">
        <v>11.5</v>
      </c>
      <c r="N975" s="43">
        <v>5.2729019859064703</v>
      </c>
      <c r="O975" s="43">
        <v>5.7165178571428568</v>
      </c>
      <c r="P975" s="94"/>
      <c r="Q975" s="94"/>
      <c r="R975" s="94">
        <v>6</v>
      </c>
    </row>
    <row r="976" spans="1:18" ht="36">
      <c r="A976" s="90">
        <v>693</v>
      </c>
      <c r="B976" s="87" t="s">
        <v>1819</v>
      </c>
      <c r="C976" s="91" t="s">
        <v>1820</v>
      </c>
      <c r="D976" s="92">
        <v>628.47</v>
      </c>
      <c r="E976" s="92">
        <v>160.16</v>
      </c>
      <c r="F976" s="92">
        <v>428.79</v>
      </c>
      <c r="G976" s="92">
        <v>39.520000000000003</v>
      </c>
      <c r="H976" s="93">
        <v>4372.16</v>
      </c>
      <c r="I976" s="93">
        <v>1841.94</v>
      </c>
      <c r="J976" s="93">
        <v>2299.88</v>
      </c>
      <c r="K976" s="93">
        <v>230.34</v>
      </c>
      <c r="L976" s="43">
        <v>6.9568316705650224</v>
      </c>
      <c r="M976" s="43">
        <v>11.500624375624376</v>
      </c>
      <c r="N976" s="43">
        <v>5.3636512045523448</v>
      </c>
      <c r="O976" s="43">
        <v>5.8284412955465585</v>
      </c>
      <c r="P976" s="94"/>
      <c r="Q976" s="94"/>
      <c r="R976" s="94">
        <v>6</v>
      </c>
    </row>
    <row r="977" spans="1:18" ht="36">
      <c r="A977" s="90">
        <v>694</v>
      </c>
      <c r="B977" s="87" t="s">
        <v>1821</v>
      </c>
      <c r="C977" s="91" t="s">
        <v>1822</v>
      </c>
      <c r="D977" s="92">
        <v>720.82</v>
      </c>
      <c r="E977" s="92">
        <v>172.23</v>
      </c>
      <c r="F977" s="92">
        <v>506.1</v>
      </c>
      <c r="G977" s="92">
        <v>42.49</v>
      </c>
      <c r="H977" s="93">
        <v>4943.63</v>
      </c>
      <c r="I977" s="93">
        <v>1980.71</v>
      </c>
      <c r="J977" s="93">
        <v>2715.29</v>
      </c>
      <c r="K977" s="93">
        <v>247.63</v>
      </c>
      <c r="L977" s="43">
        <v>6.8583418884048717</v>
      </c>
      <c r="M977" s="43">
        <v>11.500377402310864</v>
      </c>
      <c r="N977" s="43">
        <v>5.3651254692748465</v>
      </c>
      <c r="O977" s="43">
        <v>5.827959519887032</v>
      </c>
      <c r="P977" s="94"/>
      <c r="Q977" s="94"/>
      <c r="R977" s="94">
        <v>6</v>
      </c>
    </row>
    <row r="978" spans="1:18" ht="24">
      <c r="A978" s="90">
        <v>695</v>
      </c>
      <c r="B978" s="87" t="s">
        <v>1823</v>
      </c>
      <c r="C978" s="91" t="s">
        <v>1824</v>
      </c>
      <c r="D978" s="92">
        <v>822.11</v>
      </c>
      <c r="E978" s="92">
        <v>199.8</v>
      </c>
      <c r="F978" s="92">
        <v>566.63</v>
      </c>
      <c r="G978" s="92">
        <v>55.68</v>
      </c>
      <c r="H978" s="93">
        <v>5656.5</v>
      </c>
      <c r="I978" s="93">
        <v>2297.6999999999998</v>
      </c>
      <c r="J978" s="93">
        <v>3037.41</v>
      </c>
      <c r="K978" s="93">
        <v>321.39</v>
      </c>
      <c r="L978" s="43">
        <v>6.8804661176728175</v>
      </c>
      <c r="M978" s="43">
        <v>11.499999999999998</v>
      </c>
      <c r="N978" s="43">
        <v>5.360482148844925</v>
      </c>
      <c r="O978" s="43">
        <v>5.772090517241379</v>
      </c>
      <c r="P978" s="94"/>
      <c r="Q978" s="94"/>
      <c r="R978" s="94">
        <v>6</v>
      </c>
    </row>
    <row r="979" spans="1:18" ht="36">
      <c r="A979" s="90">
        <v>696</v>
      </c>
      <c r="B979" s="87" t="s">
        <v>1825</v>
      </c>
      <c r="C979" s="91" t="s">
        <v>1826</v>
      </c>
      <c r="D979" s="92">
        <v>11.85</v>
      </c>
      <c r="E979" s="92">
        <v>5.4</v>
      </c>
      <c r="F979" s="92">
        <v>6.34</v>
      </c>
      <c r="G979" s="92">
        <v>0.11</v>
      </c>
      <c r="H979" s="93">
        <v>97.31</v>
      </c>
      <c r="I979" s="93">
        <v>62.04</v>
      </c>
      <c r="J979" s="93">
        <v>34</v>
      </c>
      <c r="K979" s="93">
        <v>1.27</v>
      </c>
      <c r="L979" s="43">
        <v>8.2118143459915611</v>
      </c>
      <c r="M979" s="43">
        <v>11.5</v>
      </c>
      <c r="N979" s="43">
        <v>5.3627760252365935</v>
      </c>
      <c r="O979" s="43">
        <v>11.545454545454545</v>
      </c>
      <c r="P979" s="94"/>
      <c r="Q979" s="94"/>
      <c r="R979" s="94">
        <v>6</v>
      </c>
    </row>
    <row r="980" spans="1:18" ht="36">
      <c r="A980" s="90">
        <v>697</v>
      </c>
      <c r="B980" s="87" t="s">
        <v>1827</v>
      </c>
      <c r="C980" s="91" t="s">
        <v>1828</v>
      </c>
      <c r="D980" s="92">
        <v>25.42</v>
      </c>
      <c r="E980" s="92">
        <v>11.12</v>
      </c>
      <c r="F980" s="92">
        <v>14.08</v>
      </c>
      <c r="G980" s="92">
        <v>0.22</v>
      </c>
      <c r="H980" s="93">
        <v>206.4</v>
      </c>
      <c r="I980" s="93">
        <v>127.9</v>
      </c>
      <c r="J980" s="93">
        <v>75.97</v>
      </c>
      <c r="K980" s="93">
        <v>2.5299999999999998</v>
      </c>
      <c r="L980" s="43">
        <v>8.1195908733280877</v>
      </c>
      <c r="M980" s="43">
        <v>11.50179856115108</v>
      </c>
      <c r="N980" s="43">
        <v>5.3955965909090908</v>
      </c>
      <c r="O980" s="43">
        <v>11.499999999999998</v>
      </c>
      <c r="P980" s="94"/>
      <c r="Q980" s="94"/>
      <c r="R980" s="94">
        <v>6</v>
      </c>
    </row>
    <row r="981" spans="1:18" ht="36">
      <c r="A981" s="90">
        <v>698</v>
      </c>
      <c r="B981" s="87" t="s">
        <v>1829</v>
      </c>
      <c r="C981" s="91" t="s">
        <v>1830</v>
      </c>
      <c r="D981" s="92">
        <v>44.02</v>
      </c>
      <c r="E981" s="92">
        <v>28.84</v>
      </c>
      <c r="F981" s="92">
        <v>14.6</v>
      </c>
      <c r="G981" s="92">
        <v>0.57999999999999996</v>
      </c>
      <c r="H981" s="93">
        <v>416.56</v>
      </c>
      <c r="I981" s="93">
        <v>331.67</v>
      </c>
      <c r="J981" s="93">
        <v>78.22</v>
      </c>
      <c r="K981" s="93">
        <v>6.67</v>
      </c>
      <c r="L981" s="43">
        <v>9.4629713766469781</v>
      </c>
      <c r="M981" s="43">
        <v>11.500346740638003</v>
      </c>
      <c r="N981" s="43">
        <v>5.3575342465753426</v>
      </c>
      <c r="O981" s="43">
        <v>11.5</v>
      </c>
      <c r="P981" s="94"/>
      <c r="Q981" s="94"/>
      <c r="R981" s="94">
        <v>6</v>
      </c>
    </row>
    <row r="982" spans="1:18" ht="36">
      <c r="A982" s="90">
        <v>699</v>
      </c>
      <c r="B982" s="87" t="s">
        <v>1831</v>
      </c>
      <c r="C982" s="91" t="s">
        <v>1832</v>
      </c>
      <c r="D982" s="92">
        <v>70.930000000000007</v>
      </c>
      <c r="E982" s="92">
        <v>38.840000000000003</v>
      </c>
      <c r="F982" s="92">
        <v>31.31</v>
      </c>
      <c r="G982" s="92">
        <v>0.78</v>
      </c>
      <c r="H982" s="93">
        <v>623.96</v>
      </c>
      <c r="I982" s="93">
        <v>446.63</v>
      </c>
      <c r="J982" s="93">
        <v>168.36</v>
      </c>
      <c r="K982" s="93">
        <v>8.9700000000000006</v>
      </c>
      <c r="L982" s="43">
        <v>8.7968419568588754</v>
      </c>
      <c r="M982" s="43">
        <v>11.499227600411945</v>
      </c>
      <c r="N982" s="43">
        <v>5.377195784094539</v>
      </c>
      <c r="O982" s="43">
        <v>11.5</v>
      </c>
      <c r="P982" s="94"/>
      <c r="Q982" s="94"/>
      <c r="R982" s="94">
        <v>6</v>
      </c>
    </row>
    <row r="983" spans="1:18" ht="36">
      <c r="A983" s="90">
        <v>700</v>
      </c>
      <c r="B983" s="87" t="s">
        <v>1833</v>
      </c>
      <c r="C983" s="91" t="s">
        <v>1834</v>
      </c>
      <c r="D983" s="92">
        <v>2738.4</v>
      </c>
      <c r="E983" s="92">
        <v>697.97</v>
      </c>
      <c r="F983" s="92">
        <v>1848.47</v>
      </c>
      <c r="G983" s="92">
        <v>191.96</v>
      </c>
      <c r="H983" s="93">
        <v>18988.72</v>
      </c>
      <c r="I983" s="93">
        <v>8026.89</v>
      </c>
      <c r="J983" s="93">
        <v>9852.7199999999993</v>
      </c>
      <c r="K983" s="93">
        <v>1109.1099999999999</v>
      </c>
      <c r="L983" s="43">
        <v>6.9342389716622845</v>
      </c>
      <c r="M983" s="43">
        <v>11.500336690688712</v>
      </c>
      <c r="N983" s="43">
        <v>5.3302028163832791</v>
      </c>
      <c r="O983" s="43">
        <v>5.777818295478224</v>
      </c>
      <c r="P983" s="94"/>
      <c r="Q983" s="94"/>
      <c r="R983" s="94">
        <v>6</v>
      </c>
    </row>
    <row r="984" spans="1:18" ht="36">
      <c r="A984" s="90">
        <v>701</v>
      </c>
      <c r="B984" s="87" t="s">
        <v>1835</v>
      </c>
      <c r="C984" s="91" t="s">
        <v>1836</v>
      </c>
      <c r="D984" s="92">
        <v>4049.04</v>
      </c>
      <c r="E984" s="92">
        <v>996.59</v>
      </c>
      <c r="F984" s="92">
        <v>2778.44</v>
      </c>
      <c r="G984" s="92">
        <v>274.01</v>
      </c>
      <c r="H984" s="93">
        <v>27865.75</v>
      </c>
      <c r="I984" s="93">
        <v>11461.15</v>
      </c>
      <c r="J984" s="93">
        <v>14821.39</v>
      </c>
      <c r="K984" s="93">
        <v>1583.21</v>
      </c>
      <c r="L984" s="43">
        <v>6.8820634026831051</v>
      </c>
      <c r="M984" s="43">
        <v>11.500366248908778</v>
      </c>
      <c r="N984" s="43">
        <v>5.3344286722045462</v>
      </c>
      <c r="O984" s="43">
        <v>5.7779278128535454</v>
      </c>
      <c r="P984" s="94"/>
      <c r="Q984" s="94"/>
      <c r="R984" s="94">
        <v>6</v>
      </c>
    </row>
    <row r="985" spans="1:18" ht="24">
      <c r="A985" s="90">
        <v>702</v>
      </c>
      <c r="B985" s="87" t="s">
        <v>1837</v>
      </c>
      <c r="C985" s="91" t="s">
        <v>1838</v>
      </c>
      <c r="D985" s="92">
        <v>557.87</v>
      </c>
      <c r="E985" s="92">
        <v>260.14</v>
      </c>
      <c r="F985" s="92">
        <v>124.58</v>
      </c>
      <c r="G985" s="92">
        <v>173.15</v>
      </c>
      <c r="H985" s="93">
        <v>4539.12</v>
      </c>
      <c r="I985" s="93">
        <v>2991.66</v>
      </c>
      <c r="J985" s="93">
        <v>592.64</v>
      </c>
      <c r="K985" s="93">
        <v>954.82</v>
      </c>
      <c r="L985" s="43">
        <v>8.136519260759675</v>
      </c>
      <c r="M985" s="43">
        <v>11.50019220419774</v>
      </c>
      <c r="N985" s="43">
        <v>4.7571038689998391</v>
      </c>
      <c r="O985" s="43">
        <v>5.514409471556454</v>
      </c>
      <c r="P985" s="94"/>
      <c r="Q985" s="94"/>
      <c r="R985" s="94">
        <v>6</v>
      </c>
    </row>
    <row r="986" spans="1:18" ht="48">
      <c r="A986" s="90">
        <v>703</v>
      </c>
      <c r="B986" s="87" t="s">
        <v>1839</v>
      </c>
      <c r="C986" s="91" t="s">
        <v>1840</v>
      </c>
      <c r="D986" s="92">
        <v>1832.39</v>
      </c>
      <c r="E986" s="92">
        <v>1180.8499999999999</v>
      </c>
      <c r="F986" s="92">
        <v>627.91999999999996</v>
      </c>
      <c r="G986" s="92">
        <v>23.62</v>
      </c>
      <c r="H986" s="93">
        <v>17035.32</v>
      </c>
      <c r="I986" s="93">
        <v>13580.34</v>
      </c>
      <c r="J986" s="93">
        <v>3183.35</v>
      </c>
      <c r="K986" s="93">
        <v>271.63</v>
      </c>
      <c r="L986" s="43">
        <v>9.296776341281058</v>
      </c>
      <c r="M986" s="43">
        <v>11.500478468899523</v>
      </c>
      <c r="N986" s="43">
        <v>5.0696744808255829</v>
      </c>
      <c r="O986" s="43">
        <v>11.5</v>
      </c>
      <c r="P986" s="94"/>
      <c r="Q986" s="94"/>
      <c r="R986" s="94">
        <v>6</v>
      </c>
    </row>
    <row r="987" spans="1:18" ht="48">
      <c r="A987" s="90">
        <v>704</v>
      </c>
      <c r="B987" s="87" t="s">
        <v>1841</v>
      </c>
      <c r="C987" s="91" t="s">
        <v>1842</v>
      </c>
      <c r="D987" s="92">
        <v>3137.12</v>
      </c>
      <c r="E987" s="92">
        <v>1964.6</v>
      </c>
      <c r="F987" s="92">
        <v>1133.23</v>
      </c>
      <c r="G987" s="92">
        <v>39.29</v>
      </c>
      <c r="H987" s="93">
        <v>28792.95</v>
      </c>
      <c r="I987" s="93">
        <v>22593.84</v>
      </c>
      <c r="J987" s="93">
        <v>5747.27</v>
      </c>
      <c r="K987" s="93">
        <v>451.84</v>
      </c>
      <c r="L987" s="43">
        <v>9.1781474728413333</v>
      </c>
      <c r="M987" s="43">
        <v>11.500478468899523</v>
      </c>
      <c r="N987" s="43">
        <v>5.0715829972732811</v>
      </c>
      <c r="O987" s="43">
        <v>11.50012725884449</v>
      </c>
      <c r="P987" s="94"/>
      <c r="Q987" s="94"/>
      <c r="R987" s="94">
        <v>6</v>
      </c>
    </row>
    <row r="988" spans="1:18" ht="48">
      <c r="A988" s="90">
        <v>705</v>
      </c>
      <c r="B988" s="87" t="s">
        <v>1843</v>
      </c>
      <c r="C988" s="91" t="s">
        <v>1844</v>
      </c>
      <c r="D988" s="92">
        <v>5421.68</v>
      </c>
      <c r="E988" s="92">
        <v>3438.05</v>
      </c>
      <c r="F988" s="92">
        <v>1914.87</v>
      </c>
      <c r="G988" s="92">
        <v>68.760000000000005</v>
      </c>
      <c r="H988" s="93">
        <v>49977.760000000002</v>
      </c>
      <c r="I988" s="93">
        <v>39539.22</v>
      </c>
      <c r="J988" s="93">
        <v>9647.7999999999993</v>
      </c>
      <c r="K988" s="93">
        <v>790.74</v>
      </c>
      <c r="L988" s="43">
        <v>9.2181316492304965</v>
      </c>
      <c r="M988" s="43">
        <v>11.500478468899521</v>
      </c>
      <c r="N988" s="43">
        <v>5.0383576953004638</v>
      </c>
      <c r="O988" s="43">
        <v>11.5</v>
      </c>
      <c r="P988" s="94"/>
      <c r="Q988" s="94"/>
      <c r="R988" s="94">
        <v>6</v>
      </c>
    </row>
    <row r="989" spans="1:18" ht="24">
      <c r="A989" s="90">
        <v>706</v>
      </c>
      <c r="B989" s="87" t="s">
        <v>1845</v>
      </c>
      <c r="C989" s="91" t="s">
        <v>1846</v>
      </c>
      <c r="D989" s="92">
        <v>197.59</v>
      </c>
      <c r="E989" s="92">
        <v>116</v>
      </c>
      <c r="F989" s="92">
        <v>79.27</v>
      </c>
      <c r="G989" s="92">
        <v>2.3199999999999998</v>
      </c>
      <c r="H989" s="93">
        <v>1767.92</v>
      </c>
      <c r="I989" s="93">
        <v>1334</v>
      </c>
      <c r="J989" s="93">
        <v>407.24</v>
      </c>
      <c r="K989" s="93">
        <v>26.68</v>
      </c>
      <c r="L989" s="43">
        <v>8.9474163672250615</v>
      </c>
      <c r="M989" s="43">
        <v>11.5</v>
      </c>
      <c r="N989" s="43">
        <v>5.1373785795382876</v>
      </c>
      <c r="O989" s="43">
        <v>11.5</v>
      </c>
      <c r="P989" s="94"/>
      <c r="Q989" s="94"/>
      <c r="R989" s="94">
        <v>6</v>
      </c>
    </row>
    <row r="990" spans="1:18" ht="24">
      <c r="A990" s="90">
        <v>707</v>
      </c>
      <c r="B990" s="87" t="s">
        <v>1847</v>
      </c>
      <c r="C990" s="91" t="s">
        <v>1848</v>
      </c>
      <c r="D990" s="92">
        <v>339.3</v>
      </c>
      <c r="E990" s="92">
        <v>237.22</v>
      </c>
      <c r="F990" s="92">
        <v>97.34</v>
      </c>
      <c r="G990" s="92">
        <v>4.74</v>
      </c>
      <c r="H990" s="93">
        <v>3269.41</v>
      </c>
      <c r="I990" s="93">
        <v>2728.09</v>
      </c>
      <c r="J990" s="93">
        <v>486.81</v>
      </c>
      <c r="K990" s="93">
        <v>54.51</v>
      </c>
      <c r="L990" s="43">
        <v>9.6357500736811073</v>
      </c>
      <c r="M990" s="43">
        <v>11.500252929769834</v>
      </c>
      <c r="N990" s="43">
        <v>5.0011300595849599</v>
      </c>
      <c r="O990" s="43">
        <v>11.499999999999998</v>
      </c>
      <c r="P990" s="94"/>
      <c r="Q990" s="94"/>
      <c r="R990" s="94">
        <v>6</v>
      </c>
    </row>
    <row r="991" spans="1:18" ht="24">
      <c r="A991" s="90">
        <v>708</v>
      </c>
      <c r="B991" s="87" t="s">
        <v>1849</v>
      </c>
      <c r="C991" s="91" t="s">
        <v>1850</v>
      </c>
      <c r="D991" s="92">
        <v>548.37</v>
      </c>
      <c r="E991" s="92">
        <v>356.35</v>
      </c>
      <c r="F991" s="92">
        <v>184.89</v>
      </c>
      <c r="G991" s="92">
        <v>7.13</v>
      </c>
      <c r="H991" s="93">
        <v>5109.22</v>
      </c>
      <c r="I991" s="93">
        <v>4098.1400000000003</v>
      </c>
      <c r="J991" s="93">
        <v>929.08</v>
      </c>
      <c r="K991" s="93">
        <v>82</v>
      </c>
      <c r="L991" s="43">
        <v>9.3171034155770744</v>
      </c>
      <c r="M991" s="43">
        <v>11.500322716430476</v>
      </c>
      <c r="N991" s="43">
        <v>5.0250419168154039</v>
      </c>
      <c r="O991" s="43">
        <v>11.50070126227209</v>
      </c>
      <c r="P991" s="94"/>
      <c r="Q991" s="94"/>
      <c r="R991" s="94">
        <v>6</v>
      </c>
    </row>
    <row r="992" spans="1:18" ht="48">
      <c r="A992" s="90">
        <v>709</v>
      </c>
      <c r="B992" s="87" t="s">
        <v>1851</v>
      </c>
      <c r="C992" s="91" t="s">
        <v>1852</v>
      </c>
      <c r="D992" s="92">
        <v>2022.76</v>
      </c>
      <c r="E992" s="92">
        <v>1337.6</v>
      </c>
      <c r="F992" s="92">
        <v>658.41</v>
      </c>
      <c r="G992" s="92">
        <v>26.75</v>
      </c>
      <c r="H992" s="93">
        <v>19003.05</v>
      </c>
      <c r="I992" s="93">
        <v>15383.04</v>
      </c>
      <c r="J992" s="93">
        <v>3312.38</v>
      </c>
      <c r="K992" s="93">
        <v>307.63</v>
      </c>
      <c r="L992" s="43">
        <v>9.3946142893867783</v>
      </c>
      <c r="M992" s="43">
        <v>11.500478468899523</v>
      </c>
      <c r="N992" s="43">
        <v>5.0308774168071571</v>
      </c>
      <c r="O992" s="43">
        <v>11.50018691588785</v>
      </c>
      <c r="P992" s="94"/>
      <c r="Q992" s="94"/>
      <c r="R992" s="94">
        <v>6</v>
      </c>
    </row>
    <row r="993" spans="1:18" ht="48">
      <c r="A993" s="90">
        <v>710</v>
      </c>
      <c r="B993" s="87" t="s">
        <v>1853</v>
      </c>
      <c r="C993" s="91" t="s">
        <v>1854</v>
      </c>
      <c r="D993" s="92">
        <v>3277.45</v>
      </c>
      <c r="E993" s="92">
        <v>2079.5500000000002</v>
      </c>
      <c r="F993" s="92">
        <v>1156.31</v>
      </c>
      <c r="G993" s="92">
        <v>41.59</v>
      </c>
      <c r="H993" s="93">
        <v>30239.09</v>
      </c>
      <c r="I993" s="93">
        <v>23915.82</v>
      </c>
      <c r="J993" s="93">
        <v>5844.98</v>
      </c>
      <c r="K993" s="93">
        <v>478.29</v>
      </c>
      <c r="L993" s="43">
        <v>9.2264077255183157</v>
      </c>
      <c r="M993" s="43">
        <v>11.500478468899521</v>
      </c>
      <c r="N993" s="43">
        <v>5.0548555318210511</v>
      </c>
      <c r="O993" s="43">
        <v>11.50012022120702</v>
      </c>
      <c r="P993" s="94"/>
      <c r="Q993" s="94"/>
      <c r="R993" s="94">
        <v>6</v>
      </c>
    </row>
    <row r="994" spans="1:18" ht="48">
      <c r="A994" s="90">
        <v>711</v>
      </c>
      <c r="B994" s="87" t="s">
        <v>1855</v>
      </c>
      <c r="C994" s="91" t="s">
        <v>1856</v>
      </c>
      <c r="D994" s="92">
        <v>5559.44</v>
      </c>
      <c r="E994" s="92">
        <v>3553</v>
      </c>
      <c r="F994" s="92">
        <v>1935.38</v>
      </c>
      <c r="G994" s="92">
        <v>71.06</v>
      </c>
      <c r="H994" s="93">
        <v>51409.97</v>
      </c>
      <c r="I994" s="93">
        <v>40861.199999999997</v>
      </c>
      <c r="J994" s="93">
        <v>9731.58</v>
      </c>
      <c r="K994" s="93">
        <v>817.19</v>
      </c>
      <c r="L994" s="43">
        <v>9.2473288676557353</v>
      </c>
      <c r="M994" s="43">
        <v>11.500478468899521</v>
      </c>
      <c r="N994" s="43">
        <v>5.0282528495695935</v>
      </c>
      <c r="O994" s="43">
        <v>11.5</v>
      </c>
      <c r="P994" s="94"/>
      <c r="Q994" s="94"/>
      <c r="R994" s="94">
        <v>6</v>
      </c>
    </row>
    <row r="995" spans="1:18" ht="24">
      <c r="A995" s="90">
        <v>712</v>
      </c>
      <c r="B995" s="87" t="s">
        <v>1857</v>
      </c>
      <c r="C995" s="91" t="s">
        <v>1858</v>
      </c>
      <c r="D995" s="92">
        <v>173.21</v>
      </c>
      <c r="E995" s="92">
        <v>117.04</v>
      </c>
      <c r="F995" s="92">
        <v>53.83</v>
      </c>
      <c r="G995" s="92">
        <v>2.34</v>
      </c>
      <c r="H995" s="93">
        <v>1638.69</v>
      </c>
      <c r="I995" s="93">
        <v>1346.02</v>
      </c>
      <c r="J995" s="93">
        <v>265.76</v>
      </c>
      <c r="K995" s="93">
        <v>26.91</v>
      </c>
      <c r="L995" s="43">
        <v>9.4607124299982672</v>
      </c>
      <c r="M995" s="43">
        <v>11.500512645249486</v>
      </c>
      <c r="N995" s="43">
        <v>4.9370239643321572</v>
      </c>
      <c r="O995" s="43">
        <v>11.5</v>
      </c>
      <c r="P995" s="94"/>
      <c r="Q995" s="94"/>
      <c r="R995" s="94">
        <v>6</v>
      </c>
    </row>
    <row r="996" spans="1:18" ht="24">
      <c r="A996" s="90">
        <v>713</v>
      </c>
      <c r="B996" s="87" t="s">
        <v>1859</v>
      </c>
      <c r="C996" s="91" t="s">
        <v>1860</v>
      </c>
      <c r="D996" s="92">
        <v>370.43</v>
      </c>
      <c r="E996" s="92">
        <v>238.26</v>
      </c>
      <c r="F996" s="92">
        <v>127.4</v>
      </c>
      <c r="G996" s="92">
        <v>4.7699999999999996</v>
      </c>
      <c r="H996" s="93">
        <v>3442.78</v>
      </c>
      <c r="I996" s="93">
        <v>2740.1</v>
      </c>
      <c r="J996" s="93">
        <v>647.82000000000005</v>
      </c>
      <c r="K996" s="93">
        <v>54.86</v>
      </c>
      <c r="L996" s="43">
        <v>9.2940096644440242</v>
      </c>
      <c r="M996" s="43">
        <v>11.500461680517082</v>
      </c>
      <c r="N996" s="43">
        <v>5.0849293563579279</v>
      </c>
      <c r="O996" s="43">
        <v>11.501048218029352</v>
      </c>
      <c r="P996" s="94"/>
      <c r="Q996" s="94"/>
      <c r="R996" s="94">
        <v>6</v>
      </c>
    </row>
    <row r="997" spans="1:18" ht="24">
      <c r="A997" s="90">
        <v>714</v>
      </c>
      <c r="B997" s="87" t="s">
        <v>1861</v>
      </c>
      <c r="C997" s="91" t="s">
        <v>1862</v>
      </c>
      <c r="D997" s="92">
        <v>549.03</v>
      </c>
      <c r="E997" s="92">
        <v>354.26</v>
      </c>
      <c r="F997" s="92">
        <v>187.68</v>
      </c>
      <c r="G997" s="92">
        <v>7.09</v>
      </c>
      <c r="H997" s="93">
        <v>5096.51</v>
      </c>
      <c r="I997" s="93">
        <v>4074.1</v>
      </c>
      <c r="J997" s="93">
        <v>940.87</v>
      </c>
      <c r="K997" s="93">
        <v>81.540000000000006</v>
      </c>
      <c r="L997" s="43">
        <v>9.2827532193140634</v>
      </c>
      <c r="M997" s="43">
        <v>11.500310506407724</v>
      </c>
      <c r="N997" s="43">
        <v>5.013160699062233</v>
      </c>
      <c r="O997" s="43">
        <v>11.500705218617773</v>
      </c>
      <c r="P997" s="94"/>
      <c r="Q997" s="94"/>
      <c r="R997" s="94">
        <v>6</v>
      </c>
    </row>
    <row r="998" spans="1:18" ht="48">
      <c r="A998" s="90">
        <v>715</v>
      </c>
      <c r="B998" s="87" t="s">
        <v>1863</v>
      </c>
      <c r="C998" s="91" t="s">
        <v>1864</v>
      </c>
      <c r="D998" s="92">
        <v>247.79</v>
      </c>
      <c r="E998" s="92">
        <v>242.93</v>
      </c>
      <c r="F998" s="92"/>
      <c r="G998" s="92">
        <v>4.8600000000000003</v>
      </c>
      <c r="H998" s="93">
        <v>2849.63</v>
      </c>
      <c r="I998" s="93">
        <v>2793.74</v>
      </c>
      <c r="J998" s="93"/>
      <c r="K998" s="93">
        <v>55.89</v>
      </c>
      <c r="L998" s="43">
        <v>11.500181605391663</v>
      </c>
      <c r="M998" s="43">
        <v>11.500185238546083</v>
      </c>
      <c r="N998" s="43" t="s">
        <v>1690</v>
      </c>
      <c r="O998" s="43">
        <v>11.5</v>
      </c>
      <c r="P998" s="94"/>
      <c r="Q998" s="94"/>
      <c r="R998" s="94">
        <v>6</v>
      </c>
    </row>
    <row r="999" spans="1:18" ht="48">
      <c r="A999" s="90">
        <v>716</v>
      </c>
      <c r="B999" s="87" t="s">
        <v>1865</v>
      </c>
      <c r="C999" s="91" t="s">
        <v>1866</v>
      </c>
      <c r="D999" s="92">
        <v>297.33999999999997</v>
      </c>
      <c r="E999" s="92">
        <v>291.51</v>
      </c>
      <c r="F999" s="92"/>
      <c r="G999" s="92">
        <v>5.83</v>
      </c>
      <c r="H999" s="93">
        <v>3419.54</v>
      </c>
      <c r="I999" s="93">
        <v>3352.49</v>
      </c>
      <c r="J999" s="93"/>
      <c r="K999" s="93">
        <v>67.05</v>
      </c>
      <c r="L999" s="43">
        <v>11.500437209928029</v>
      </c>
      <c r="M999" s="43">
        <v>11.500428801756371</v>
      </c>
      <c r="N999" s="43" t="s">
        <v>1690</v>
      </c>
      <c r="O999" s="43">
        <v>11.500857632933103</v>
      </c>
      <c r="P999" s="94"/>
      <c r="Q999" s="94"/>
      <c r="R999" s="94">
        <v>6</v>
      </c>
    </row>
    <row r="1000" spans="1:18" ht="48">
      <c r="A1000" s="90">
        <v>717</v>
      </c>
      <c r="B1000" s="87" t="s">
        <v>1867</v>
      </c>
      <c r="C1000" s="91" t="s">
        <v>1868</v>
      </c>
      <c r="D1000" s="92">
        <v>12.89</v>
      </c>
      <c r="E1000" s="92">
        <v>12.21</v>
      </c>
      <c r="F1000" s="92"/>
      <c r="G1000" s="92">
        <v>0.68</v>
      </c>
      <c r="H1000" s="93">
        <v>147</v>
      </c>
      <c r="I1000" s="93">
        <v>140.37</v>
      </c>
      <c r="J1000" s="93"/>
      <c r="K1000" s="93">
        <v>6.63</v>
      </c>
      <c r="L1000" s="43">
        <v>11.404189294026377</v>
      </c>
      <c r="M1000" s="43">
        <v>11.496314496314495</v>
      </c>
      <c r="N1000" s="43" t="s">
        <v>1690</v>
      </c>
      <c r="O1000" s="43">
        <v>9.75</v>
      </c>
      <c r="P1000" s="94"/>
      <c r="Q1000" s="94"/>
      <c r="R1000" s="94">
        <v>6</v>
      </c>
    </row>
    <row r="1001" spans="1:18" ht="48">
      <c r="A1001" s="90">
        <v>718</v>
      </c>
      <c r="B1001" s="87" t="s">
        <v>1869</v>
      </c>
      <c r="C1001" s="91" t="s">
        <v>1870</v>
      </c>
      <c r="D1001" s="92">
        <v>11.42</v>
      </c>
      <c r="E1001" s="92">
        <v>10.67</v>
      </c>
      <c r="F1001" s="92"/>
      <c r="G1001" s="92">
        <v>0.75</v>
      </c>
      <c r="H1001" s="93">
        <v>129.84</v>
      </c>
      <c r="I1001" s="93">
        <v>122.65</v>
      </c>
      <c r="J1001" s="93"/>
      <c r="K1001" s="93">
        <v>7.19</v>
      </c>
      <c r="L1001" s="43">
        <v>11.369527145359019</v>
      </c>
      <c r="M1001" s="43">
        <v>11.5</v>
      </c>
      <c r="N1001" s="43" t="s">
        <v>1690</v>
      </c>
      <c r="O1001" s="43">
        <v>9.5866666666666678</v>
      </c>
      <c r="P1001" s="94"/>
      <c r="Q1001" s="94"/>
      <c r="R1001" s="94">
        <v>6</v>
      </c>
    </row>
    <row r="1002" spans="1:18" ht="48">
      <c r="A1002" s="95">
        <v>719</v>
      </c>
      <c r="B1002" s="96" t="s">
        <v>1871</v>
      </c>
      <c r="C1002" s="97" t="s">
        <v>1872</v>
      </c>
      <c r="D1002" s="98">
        <v>152.30000000000001</v>
      </c>
      <c r="E1002" s="98">
        <v>149.31</v>
      </c>
      <c r="F1002" s="98"/>
      <c r="G1002" s="98">
        <v>2.99</v>
      </c>
      <c r="H1002" s="99">
        <v>1751.52</v>
      </c>
      <c r="I1002" s="99">
        <v>1717.13</v>
      </c>
      <c r="J1002" s="99"/>
      <c r="K1002" s="99">
        <v>34.39</v>
      </c>
      <c r="L1002" s="611">
        <v>11.500459619172684</v>
      </c>
      <c r="M1002" s="611">
        <v>11.500435335878374</v>
      </c>
      <c r="N1002" s="611" t="s">
        <v>1690</v>
      </c>
      <c r="O1002" s="611">
        <v>11.501672240802675</v>
      </c>
      <c r="P1002" s="100"/>
      <c r="Q1002" s="100"/>
      <c r="R1002" s="100">
        <v>6</v>
      </c>
    </row>
    <row r="1003" spans="1:18" ht="12.75" customHeight="1">
      <c r="A1003" s="630" t="s">
        <v>1873</v>
      </c>
      <c r="B1003" s="631"/>
      <c r="C1003" s="631"/>
      <c r="D1003" s="631"/>
      <c r="E1003" s="631"/>
      <c r="F1003" s="631"/>
      <c r="G1003" s="631"/>
      <c r="H1003" s="631"/>
      <c r="I1003" s="631"/>
      <c r="J1003" s="631"/>
      <c r="K1003" s="631"/>
      <c r="L1003" s="631"/>
      <c r="M1003" s="631"/>
      <c r="N1003" s="631"/>
      <c r="O1003" s="631"/>
      <c r="P1003" s="631"/>
      <c r="Q1003" s="631"/>
      <c r="R1003" s="631"/>
    </row>
    <row r="1004" spans="1:18" ht="12.75" customHeight="1">
      <c r="A1004" s="628" t="s">
        <v>1874</v>
      </c>
      <c r="B1004" s="629"/>
      <c r="C1004" s="629"/>
      <c r="D1004" s="629"/>
      <c r="E1004" s="629"/>
      <c r="F1004" s="629"/>
      <c r="G1004" s="629"/>
      <c r="H1004" s="629"/>
      <c r="I1004" s="629"/>
      <c r="J1004" s="629"/>
      <c r="K1004" s="629"/>
      <c r="L1004" s="629"/>
      <c r="M1004" s="629"/>
      <c r="N1004" s="629"/>
      <c r="O1004" s="629"/>
      <c r="P1004" s="629"/>
      <c r="Q1004" s="629"/>
      <c r="R1004" s="629"/>
    </row>
    <row r="1005" spans="1:18" ht="12.75" customHeight="1">
      <c r="A1005" s="628" t="s">
        <v>1875</v>
      </c>
      <c r="B1005" s="629"/>
      <c r="C1005" s="629"/>
      <c r="D1005" s="629"/>
      <c r="E1005" s="629"/>
      <c r="F1005" s="629"/>
      <c r="G1005" s="629"/>
      <c r="H1005" s="629"/>
      <c r="I1005" s="629"/>
      <c r="J1005" s="629"/>
      <c r="K1005" s="629"/>
      <c r="L1005" s="629"/>
      <c r="M1005" s="629"/>
      <c r="N1005" s="629"/>
      <c r="O1005" s="629"/>
      <c r="P1005" s="629"/>
      <c r="Q1005" s="629"/>
      <c r="R1005" s="629"/>
    </row>
    <row r="1006" spans="1:18" ht="24">
      <c r="A1006" s="90">
        <v>720</v>
      </c>
      <c r="B1006" s="87" t="s">
        <v>1876</v>
      </c>
      <c r="C1006" s="91" t="s">
        <v>1877</v>
      </c>
      <c r="D1006" s="92">
        <v>2845.09</v>
      </c>
      <c r="E1006" s="92">
        <v>654.9</v>
      </c>
      <c r="F1006" s="92">
        <v>1214.55</v>
      </c>
      <c r="G1006" s="92">
        <v>975.64</v>
      </c>
      <c r="H1006" s="93">
        <v>20416.23</v>
      </c>
      <c r="I1006" s="93">
        <v>7531.35</v>
      </c>
      <c r="J1006" s="93">
        <v>7297.25</v>
      </c>
      <c r="K1006" s="93">
        <v>5587.63</v>
      </c>
      <c r="L1006" s="43">
        <v>7.1759522545859706</v>
      </c>
      <c r="M1006" s="43">
        <v>11.500000000000002</v>
      </c>
      <c r="N1006" s="43">
        <v>6.0081923346095261</v>
      </c>
      <c r="O1006" s="43">
        <v>5.7271432085605349</v>
      </c>
      <c r="P1006" s="94"/>
      <c r="Q1006" s="94"/>
      <c r="R1006" s="94">
        <v>1</v>
      </c>
    </row>
    <row r="1007" spans="1:18" ht="24">
      <c r="A1007" s="90">
        <v>721</v>
      </c>
      <c r="B1007" s="87" t="s">
        <v>1878</v>
      </c>
      <c r="C1007" s="91" t="s">
        <v>1879</v>
      </c>
      <c r="D1007" s="92">
        <v>2073.1</v>
      </c>
      <c r="E1007" s="92">
        <v>482.2</v>
      </c>
      <c r="F1007" s="92">
        <v>924.39</v>
      </c>
      <c r="G1007" s="92">
        <v>666.51</v>
      </c>
      <c r="H1007" s="93">
        <v>15142.38</v>
      </c>
      <c r="I1007" s="93">
        <v>5545.25</v>
      </c>
      <c r="J1007" s="93">
        <v>5606.69</v>
      </c>
      <c r="K1007" s="93">
        <v>3990.44</v>
      </c>
      <c r="L1007" s="43">
        <v>7.3042207322367467</v>
      </c>
      <c r="M1007" s="43">
        <v>11.499896308585649</v>
      </c>
      <c r="N1007" s="43">
        <v>6.0652862969093126</v>
      </c>
      <c r="O1007" s="43">
        <v>5.9870669607357732</v>
      </c>
      <c r="P1007" s="94"/>
      <c r="Q1007" s="94"/>
      <c r="R1007" s="94">
        <v>1</v>
      </c>
    </row>
    <row r="1008" spans="1:18" ht="24">
      <c r="A1008" s="90">
        <v>722</v>
      </c>
      <c r="B1008" s="87" t="s">
        <v>1880</v>
      </c>
      <c r="C1008" s="91" t="s">
        <v>1881</v>
      </c>
      <c r="D1008" s="92">
        <v>1826.51</v>
      </c>
      <c r="E1008" s="92">
        <v>432.74</v>
      </c>
      <c r="F1008" s="92">
        <v>839.53</v>
      </c>
      <c r="G1008" s="92">
        <v>554.24</v>
      </c>
      <c r="H1008" s="93">
        <v>13624.15</v>
      </c>
      <c r="I1008" s="93">
        <v>4976.51</v>
      </c>
      <c r="J1008" s="93">
        <v>5196.91</v>
      </c>
      <c r="K1008" s="93">
        <v>3450.73</v>
      </c>
      <c r="L1008" s="43">
        <v>7.4591160190746288</v>
      </c>
      <c r="M1008" s="43">
        <v>11.5</v>
      </c>
      <c r="N1008" s="43">
        <v>6.1902612175860305</v>
      </c>
      <c r="O1008" s="43">
        <v>6.2260573036951499</v>
      </c>
      <c r="P1008" s="94"/>
      <c r="Q1008" s="94"/>
      <c r="R1008" s="94">
        <v>1</v>
      </c>
    </row>
    <row r="1009" spans="1:18" ht="24">
      <c r="A1009" s="90">
        <v>723</v>
      </c>
      <c r="B1009" s="87" t="s">
        <v>1882</v>
      </c>
      <c r="C1009" s="91" t="s">
        <v>1883</v>
      </c>
      <c r="D1009" s="92">
        <v>4466.1899999999996</v>
      </c>
      <c r="E1009" s="92">
        <v>947.42</v>
      </c>
      <c r="F1009" s="92">
        <v>1976.23</v>
      </c>
      <c r="G1009" s="92">
        <v>1542.54</v>
      </c>
      <c r="H1009" s="93">
        <v>34042.36</v>
      </c>
      <c r="I1009" s="93">
        <v>10895.38</v>
      </c>
      <c r="J1009" s="93">
        <v>11973.04</v>
      </c>
      <c r="K1009" s="93">
        <v>11173.94</v>
      </c>
      <c r="L1009" s="43">
        <v>7.6222372984579705</v>
      </c>
      <c r="M1009" s="43">
        <v>11.500052774904477</v>
      </c>
      <c r="N1009" s="43">
        <v>6.0585255764764225</v>
      </c>
      <c r="O1009" s="43">
        <v>7.2438575336782192</v>
      </c>
      <c r="P1009" s="94"/>
      <c r="Q1009" s="94"/>
      <c r="R1009" s="94">
        <v>1</v>
      </c>
    </row>
    <row r="1010" spans="1:18" ht="24">
      <c r="A1010" s="90">
        <v>724</v>
      </c>
      <c r="B1010" s="87" t="s">
        <v>1884</v>
      </c>
      <c r="C1010" s="91" t="s">
        <v>1885</v>
      </c>
      <c r="D1010" s="92">
        <v>3656.66</v>
      </c>
      <c r="E1010" s="92">
        <v>748.62</v>
      </c>
      <c r="F1010" s="92">
        <v>1659.98</v>
      </c>
      <c r="G1010" s="92">
        <v>1248.06</v>
      </c>
      <c r="H1010" s="93">
        <v>27743.88</v>
      </c>
      <c r="I1010" s="93">
        <v>8609.18</v>
      </c>
      <c r="J1010" s="93">
        <v>10080.870000000001</v>
      </c>
      <c r="K1010" s="93">
        <v>9053.83</v>
      </c>
      <c r="L1010" s="43">
        <v>7.5872189375003423</v>
      </c>
      <c r="M1010" s="43">
        <v>11.500066789559456</v>
      </c>
      <c r="N1010" s="43">
        <v>6.0728864203183175</v>
      </c>
      <c r="O1010" s="43">
        <v>7.2543227088441267</v>
      </c>
      <c r="P1010" s="94"/>
      <c r="Q1010" s="94"/>
      <c r="R1010" s="94">
        <v>1</v>
      </c>
    </row>
    <row r="1011" spans="1:18" ht="24">
      <c r="A1011" s="90">
        <v>725</v>
      </c>
      <c r="B1011" s="87" t="s">
        <v>1886</v>
      </c>
      <c r="C1011" s="91" t="s">
        <v>1887</v>
      </c>
      <c r="D1011" s="92">
        <v>3421.48</v>
      </c>
      <c r="E1011" s="92">
        <v>698.64</v>
      </c>
      <c r="F1011" s="92">
        <v>1599.74</v>
      </c>
      <c r="G1011" s="92">
        <v>1123.0999999999999</v>
      </c>
      <c r="H1011" s="93">
        <v>25994.799999999999</v>
      </c>
      <c r="I1011" s="93">
        <v>8034.36</v>
      </c>
      <c r="J1011" s="93">
        <v>9760.9699999999993</v>
      </c>
      <c r="K1011" s="93">
        <v>8199.4699999999993</v>
      </c>
      <c r="L1011" s="43">
        <v>7.5975308930638201</v>
      </c>
      <c r="M1011" s="43">
        <v>11.5</v>
      </c>
      <c r="N1011" s="43">
        <v>6.1015977596359408</v>
      </c>
      <c r="O1011" s="43">
        <v>7.3007479298370583</v>
      </c>
      <c r="P1011" s="94"/>
      <c r="Q1011" s="94"/>
      <c r="R1011" s="94">
        <v>1</v>
      </c>
    </row>
    <row r="1012" spans="1:18" ht="12.75" customHeight="1">
      <c r="A1012" s="628" t="s">
        <v>1888</v>
      </c>
      <c r="B1012" s="629"/>
      <c r="C1012" s="629"/>
      <c r="D1012" s="629"/>
      <c r="E1012" s="629"/>
      <c r="F1012" s="629"/>
      <c r="G1012" s="629"/>
      <c r="H1012" s="629"/>
      <c r="I1012" s="629"/>
      <c r="J1012" s="629"/>
      <c r="K1012" s="629"/>
      <c r="L1012" s="629"/>
      <c r="M1012" s="629"/>
      <c r="N1012" s="629"/>
      <c r="O1012" s="629"/>
      <c r="P1012" s="629"/>
      <c r="Q1012" s="629"/>
      <c r="R1012" s="629"/>
    </row>
    <row r="1013" spans="1:18" ht="48">
      <c r="A1013" s="90">
        <v>726</v>
      </c>
      <c r="B1013" s="87" t="s">
        <v>1889</v>
      </c>
      <c r="C1013" s="91" t="s">
        <v>1890</v>
      </c>
      <c r="D1013" s="92">
        <v>3114.53</v>
      </c>
      <c r="E1013" s="92">
        <v>2964.7</v>
      </c>
      <c r="F1013" s="92">
        <v>36.06</v>
      </c>
      <c r="G1013" s="92">
        <v>113.77</v>
      </c>
      <c r="H1013" s="93">
        <v>35376.78</v>
      </c>
      <c r="I1013" s="93">
        <v>34095.199999999997</v>
      </c>
      <c r="J1013" s="93">
        <v>194.16</v>
      </c>
      <c r="K1013" s="93">
        <v>1087.42</v>
      </c>
      <c r="L1013" s="43">
        <v>11.358625539005883</v>
      </c>
      <c r="M1013" s="43">
        <v>11.500387897595035</v>
      </c>
      <c r="N1013" s="43">
        <v>5.3843594009983358</v>
      </c>
      <c r="O1013" s="43">
        <v>9.5580557264656765</v>
      </c>
      <c r="P1013" s="94"/>
      <c r="Q1013" s="94"/>
      <c r="R1013" s="94">
        <v>2</v>
      </c>
    </row>
    <row r="1014" spans="1:18" ht="48">
      <c r="A1014" s="90">
        <v>727</v>
      </c>
      <c r="B1014" s="87" t="s">
        <v>1891</v>
      </c>
      <c r="C1014" s="91" t="s">
        <v>1892</v>
      </c>
      <c r="D1014" s="92">
        <v>3959.55</v>
      </c>
      <c r="E1014" s="92">
        <v>3765.12</v>
      </c>
      <c r="F1014" s="92">
        <v>53.75</v>
      </c>
      <c r="G1014" s="92">
        <v>140.68</v>
      </c>
      <c r="H1014" s="93">
        <v>44941.22</v>
      </c>
      <c r="I1014" s="93">
        <v>43298.879999999997</v>
      </c>
      <c r="J1014" s="93">
        <v>289.69</v>
      </c>
      <c r="K1014" s="93">
        <v>1352.65</v>
      </c>
      <c r="L1014" s="43">
        <v>11.350082711419226</v>
      </c>
      <c r="M1014" s="43">
        <v>11.5</v>
      </c>
      <c r="N1014" s="43">
        <v>5.389581395348837</v>
      </c>
      <c r="O1014" s="43">
        <v>9.6150838783053736</v>
      </c>
      <c r="P1014" s="94"/>
      <c r="Q1014" s="94"/>
      <c r="R1014" s="94">
        <v>2</v>
      </c>
    </row>
    <row r="1015" spans="1:18" ht="48">
      <c r="A1015" s="90">
        <v>728</v>
      </c>
      <c r="B1015" s="87" t="s">
        <v>1893</v>
      </c>
      <c r="C1015" s="91" t="s">
        <v>1894</v>
      </c>
      <c r="D1015" s="92">
        <v>5636.93</v>
      </c>
      <c r="E1015" s="92">
        <v>5362.24</v>
      </c>
      <c r="F1015" s="92">
        <v>85.73</v>
      </c>
      <c r="G1015" s="92">
        <v>188.96</v>
      </c>
      <c r="H1015" s="93">
        <v>63971.4</v>
      </c>
      <c r="I1015" s="93">
        <v>61667.839999999997</v>
      </c>
      <c r="J1015" s="93">
        <v>461.93</v>
      </c>
      <c r="K1015" s="93">
        <v>1841.63</v>
      </c>
      <c r="L1015" s="43">
        <v>11.348624162443032</v>
      </c>
      <c r="M1015" s="43">
        <v>11.500387897595035</v>
      </c>
      <c r="N1015" s="43">
        <v>5.3881954974921262</v>
      </c>
      <c r="O1015" s="43">
        <v>9.7461367485182056</v>
      </c>
      <c r="P1015" s="94"/>
      <c r="Q1015" s="94"/>
      <c r="R1015" s="94">
        <v>2</v>
      </c>
    </row>
    <row r="1016" spans="1:18" ht="36">
      <c r="A1016" s="90">
        <v>729</v>
      </c>
      <c r="B1016" s="87" t="s">
        <v>1895</v>
      </c>
      <c r="C1016" s="91" t="s">
        <v>1896</v>
      </c>
      <c r="D1016" s="92">
        <v>6251.63</v>
      </c>
      <c r="E1016" s="92">
        <v>5306.42</v>
      </c>
      <c r="F1016" s="92">
        <v>75.52</v>
      </c>
      <c r="G1016" s="92">
        <v>869.69</v>
      </c>
      <c r="H1016" s="93">
        <v>67179.77</v>
      </c>
      <c r="I1016" s="93">
        <v>61025.86</v>
      </c>
      <c r="J1016" s="93">
        <v>407.13</v>
      </c>
      <c r="K1016" s="93">
        <v>5746.78</v>
      </c>
      <c r="L1016" s="43">
        <v>10.745960653461578</v>
      </c>
      <c r="M1016" s="43">
        <v>11.500382555470543</v>
      </c>
      <c r="N1016" s="43">
        <v>5.3910222457627119</v>
      </c>
      <c r="O1016" s="43">
        <v>6.6078487737009732</v>
      </c>
      <c r="P1016" s="94"/>
      <c r="Q1016" s="94"/>
      <c r="R1016" s="94">
        <v>2</v>
      </c>
    </row>
    <row r="1017" spans="1:18" ht="44.25" customHeight="1">
      <c r="A1017" s="90">
        <v>730</v>
      </c>
      <c r="B1017" s="87" t="s">
        <v>1897</v>
      </c>
      <c r="C1017" s="91" t="s">
        <v>1898</v>
      </c>
      <c r="D1017" s="92">
        <v>9880.9500000000007</v>
      </c>
      <c r="E1017" s="92">
        <v>8743.83</v>
      </c>
      <c r="F1017" s="92">
        <v>198.68</v>
      </c>
      <c r="G1017" s="92">
        <v>938.44</v>
      </c>
      <c r="H1017" s="93">
        <v>108165.87</v>
      </c>
      <c r="I1017" s="93">
        <v>100557.39</v>
      </c>
      <c r="J1017" s="93">
        <v>1071.08</v>
      </c>
      <c r="K1017" s="93">
        <v>6537.4</v>
      </c>
      <c r="L1017" s="43">
        <v>10.946909963110834</v>
      </c>
      <c r="M1017" s="43">
        <v>11.500382555470543</v>
      </c>
      <c r="N1017" s="43">
        <v>5.3909804711093212</v>
      </c>
      <c r="O1017" s="43">
        <v>6.9662418481735635</v>
      </c>
      <c r="P1017" s="94"/>
      <c r="Q1017" s="94"/>
      <c r="R1017" s="94">
        <v>2</v>
      </c>
    </row>
    <row r="1018" spans="1:18" ht="12.75" customHeight="1">
      <c r="A1018" s="628" t="s">
        <v>1899</v>
      </c>
      <c r="B1018" s="629"/>
      <c r="C1018" s="629"/>
      <c r="D1018" s="629"/>
      <c r="E1018" s="629"/>
      <c r="F1018" s="629"/>
      <c r="G1018" s="629"/>
      <c r="H1018" s="629"/>
      <c r="I1018" s="629"/>
      <c r="J1018" s="629"/>
      <c r="K1018" s="629"/>
      <c r="L1018" s="629"/>
      <c r="M1018" s="629"/>
      <c r="N1018" s="629"/>
      <c r="O1018" s="629"/>
      <c r="P1018" s="629"/>
      <c r="Q1018" s="629"/>
      <c r="R1018" s="629"/>
    </row>
    <row r="1019" spans="1:18" ht="36">
      <c r="A1019" s="90">
        <v>731</v>
      </c>
      <c r="B1019" s="87" t="s">
        <v>1900</v>
      </c>
      <c r="C1019" s="91" t="s">
        <v>1901</v>
      </c>
      <c r="D1019" s="92">
        <v>2716.45</v>
      </c>
      <c r="E1019" s="92">
        <v>1283.68</v>
      </c>
      <c r="F1019" s="92">
        <v>1275.77</v>
      </c>
      <c r="G1019" s="92">
        <v>157</v>
      </c>
      <c r="H1019" s="93">
        <v>22672.46</v>
      </c>
      <c r="I1019" s="93">
        <v>14762.32</v>
      </c>
      <c r="J1019" s="93">
        <v>7083.49</v>
      </c>
      <c r="K1019" s="93">
        <v>826.65</v>
      </c>
      <c r="L1019" s="43">
        <v>8.3463564578770093</v>
      </c>
      <c r="M1019" s="43">
        <v>11.5</v>
      </c>
      <c r="N1019" s="43">
        <v>5.5523252623905561</v>
      </c>
      <c r="O1019" s="43">
        <v>5.2652866242038217</v>
      </c>
      <c r="P1019" s="94"/>
      <c r="Q1019" s="94"/>
      <c r="R1019" s="94">
        <v>3</v>
      </c>
    </row>
    <row r="1020" spans="1:18" ht="36">
      <c r="A1020" s="90">
        <v>732</v>
      </c>
      <c r="B1020" s="87" t="s">
        <v>1902</v>
      </c>
      <c r="C1020" s="91" t="s">
        <v>1903</v>
      </c>
      <c r="D1020" s="92">
        <v>2714.25</v>
      </c>
      <c r="E1020" s="92">
        <v>1329.12</v>
      </c>
      <c r="F1020" s="92">
        <v>1231.6400000000001</v>
      </c>
      <c r="G1020" s="92">
        <v>153.49</v>
      </c>
      <c r="H1020" s="93">
        <v>22900.74</v>
      </c>
      <c r="I1020" s="93">
        <v>15284.88</v>
      </c>
      <c r="J1020" s="93">
        <v>6797.97</v>
      </c>
      <c r="K1020" s="93">
        <v>817.89</v>
      </c>
      <c r="L1020" s="43">
        <v>8.4372257529704342</v>
      </c>
      <c r="M1020" s="43">
        <v>11.5</v>
      </c>
      <c r="N1020" s="43">
        <v>5.5194456172258128</v>
      </c>
      <c r="O1020" s="43">
        <v>5.3286207570525761</v>
      </c>
      <c r="P1020" s="94"/>
      <c r="Q1020" s="94"/>
      <c r="R1020" s="94">
        <v>3</v>
      </c>
    </row>
    <row r="1021" spans="1:18" ht="12.75" customHeight="1">
      <c r="A1021" s="628" t="s">
        <v>1904</v>
      </c>
      <c r="B1021" s="629"/>
      <c r="C1021" s="629"/>
      <c r="D1021" s="629"/>
      <c r="E1021" s="629"/>
      <c r="F1021" s="629"/>
      <c r="G1021" s="629"/>
      <c r="H1021" s="629"/>
      <c r="I1021" s="629"/>
      <c r="J1021" s="629"/>
      <c r="K1021" s="629"/>
      <c r="L1021" s="629"/>
      <c r="M1021" s="629"/>
      <c r="N1021" s="629"/>
      <c r="O1021" s="629"/>
      <c r="P1021" s="629"/>
      <c r="Q1021" s="629"/>
      <c r="R1021" s="629"/>
    </row>
    <row r="1022" spans="1:18" ht="24">
      <c r="A1022" s="90">
        <v>733</v>
      </c>
      <c r="B1022" s="87" t="s">
        <v>1905</v>
      </c>
      <c r="C1022" s="91" t="s">
        <v>1906</v>
      </c>
      <c r="D1022" s="92">
        <v>2510.44</v>
      </c>
      <c r="E1022" s="92">
        <v>1392.3</v>
      </c>
      <c r="F1022" s="92">
        <v>848.75</v>
      </c>
      <c r="G1022" s="92">
        <v>269.39</v>
      </c>
      <c r="H1022" s="93">
        <v>22268.28</v>
      </c>
      <c r="I1022" s="93">
        <v>16012.1</v>
      </c>
      <c r="J1022" s="93">
        <v>4803.47</v>
      </c>
      <c r="K1022" s="93">
        <v>1452.71</v>
      </c>
      <c r="L1022" s="43">
        <v>8.8702697535093442</v>
      </c>
      <c r="M1022" s="43">
        <v>11.50046685340803</v>
      </c>
      <c r="N1022" s="43">
        <v>5.6594639175257733</v>
      </c>
      <c r="O1022" s="43">
        <v>5.3925906678050417</v>
      </c>
      <c r="P1022" s="94"/>
      <c r="Q1022" s="94"/>
      <c r="R1022" s="94">
        <v>4</v>
      </c>
    </row>
    <row r="1023" spans="1:18" ht="24">
      <c r="A1023" s="90">
        <v>734</v>
      </c>
      <c r="B1023" s="87" t="s">
        <v>1907</v>
      </c>
      <c r="C1023" s="91" t="s">
        <v>1908</v>
      </c>
      <c r="D1023" s="92">
        <v>2526.8200000000002</v>
      </c>
      <c r="E1023" s="92">
        <v>1242.3599999999999</v>
      </c>
      <c r="F1023" s="92">
        <v>1087.67</v>
      </c>
      <c r="G1023" s="92">
        <v>196.79</v>
      </c>
      <c r="H1023" s="93">
        <v>21660.7</v>
      </c>
      <c r="I1023" s="93">
        <v>14287.72</v>
      </c>
      <c r="J1023" s="93">
        <v>6281.06</v>
      </c>
      <c r="K1023" s="93">
        <v>1091.92</v>
      </c>
      <c r="L1023" s="43">
        <v>8.5723161918933677</v>
      </c>
      <c r="M1023" s="43">
        <v>11.50046685340803</v>
      </c>
      <c r="N1023" s="43">
        <v>5.7747846313679698</v>
      </c>
      <c r="O1023" s="43">
        <v>5.5486559276385998</v>
      </c>
      <c r="P1023" s="94"/>
      <c r="Q1023" s="94"/>
      <c r="R1023" s="94">
        <v>4</v>
      </c>
    </row>
    <row r="1024" spans="1:18" ht="12.75" customHeight="1">
      <c r="A1024" s="628" t="s">
        <v>1909</v>
      </c>
      <c r="B1024" s="629"/>
      <c r="C1024" s="629"/>
      <c r="D1024" s="629"/>
      <c r="E1024" s="629"/>
      <c r="F1024" s="629"/>
      <c r="G1024" s="629"/>
      <c r="H1024" s="629"/>
      <c r="I1024" s="629"/>
      <c r="J1024" s="629"/>
      <c r="K1024" s="629"/>
      <c r="L1024" s="629"/>
      <c r="M1024" s="629"/>
      <c r="N1024" s="629"/>
      <c r="O1024" s="629"/>
      <c r="P1024" s="629"/>
      <c r="Q1024" s="629"/>
      <c r="R1024" s="629"/>
    </row>
    <row r="1025" spans="1:18" ht="24">
      <c r="A1025" s="90">
        <v>735</v>
      </c>
      <c r="B1025" s="87" t="s">
        <v>1910</v>
      </c>
      <c r="C1025" s="91" t="s">
        <v>1911</v>
      </c>
      <c r="D1025" s="92">
        <v>2993.31</v>
      </c>
      <c r="E1025" s="92">
        <v>1100.78</v>
      </c>
      <c r="F1025" s="92">
        <v>335.79</v>
      </c>
      <c r="G1025" s="92">
        <v>1556.74</v>
      </c>
      <c r="H1025" s="93">
        <v>20699.97</v>
      </c>
      <c r="I1025" s="93">
        <v>12659.02</v>
      </c>
      <c r="J1025" s="93">
        <v>1690.74</v>
      </c>
      <c r="K1025" s="93">
        <v>6350.21</v>
      </c>
      <c r="L1025" s="43">
        <v>6.915411367349189</v>
      </c>
      <c r="M1025" s="43">
        <v>11.500045422336889</v>
      </c>
      <c r="N1025" s="43">
        <v>5.0351112302331815</v>
      </c>
      <c r="O1025" s="43">
        <v>4.0791718591415398</v>
      </c>
      <c r="P1025" s="94"/>
      <c r="Q1025" s="94"/>
      <c r="R1025" s="94">
        <v>5</v>
      </c>
    </row>
    <row r="1026" spans="1:18" ht="24">
      <c r="A1026" s="90">
        <v>736</v>
      </c>
      <c r="B1026" s="87" t="s">
        <v>1912</v>
      </c>
      <c r="C1026" s="91" t="s">
        <v>1913</v>
      </c>
      <c r="D1026" s="92">
        <v>1532.63</v>
      </c>
      <c r="E1026" s="92">
        <v>574.82000000000005</v>
      </c>
      <c r="F1026" s="92">
        <v>404.49</v>
      </c>
      <c r="G1026" s="92">
        <v>553.32000000000005</v>
      </c>
      <c r="H1026" s="93">
        <v>11236.16</v>
      </c>
      <c r="I1026" s="93">
        <v>6610.38</v>
      </c>
      <c r="J1026" s="93">
        <v>2092.33</v>
      </c>
      <c r="K1026" s="93">
        <v>2533.4499999999998</v>
      </c>
      <c r="L1026" s="43">
        <v>7.3312932671290518</v>
      </c>
      <c r="M1026" s="43">
        <v>11.499913016248565</v>
      </c>
      <c r="N1026" s="43">
        <v>5.1727607604637935</v>
      </c>
      <c r="O1026" s="43">
        <v>4.5786344249259008</v>
      </c>
      <c r="P1026" s="94"/>
      <c r="Q1026" s="94"/>
      <c r="R1026" s="94">
        <v>5</v>
      </c>
    </row>
    <row r="1027" spans="1:18" ht="24">
      <c r="A1027" s="90">
        <v>737</v>
      </c>
      <c r="B1027" s="87" t="s">
        <v>1914</v>
      </c>
      <c r="C1027" s="91" t="s">
        <v>1915</v>
      </c>
      <c r="D1027" s="92">
        <v>3081.89</v>
      </c>
      <c r="E1027" s="92">
        <v>996.46</v>
      </c>
      <c r="F1027" s="92">
        <v>991.87</v>
      </c>
      <c r="G1027" s="92">
        <v>1093.56</v>
      </c>
      <c r="H1027" s="93">
        <v>21262.959999999999</v>
      </c>
      <c r="I1027" s="93">
        <v>11459.27</v>
      </c>
      <c r="J1027" s="93">
        <v>5414.2</v>
      </c>
      <c r="K1027" s="93">
        <v>4389.49</v>
      </c>
      <c r="L1027" s="43">
        <v>6.8993247649981022</v>
      </c>
      <c r="M1027" s="43">
        <v>11.499979928948477</v>
      </c>
      <c r="N1027" s="43">
        <v>5.4585782411001436</v>
      </c>
      <c r="O1027" s="43">
        <v>4.0139452796371486</v>
      </c>
      <c r="P1027" s="94"/>
      <c r="Q1027" s="94"/>
      <c r="R1027" s="94">
        <v>5</v>
      </c>
    </row>
    <row r="1028" spans="1:18" ht="24">
      <c r="A1028" s="90">
        <v>738</v>
      </c>
      <c r="B1028" s="87" t="s">
        <v>1916</v>
      </c>
      <c r="C1028" s="91" t="s">
        <v>1917</v>
      </c>
      <c r="D1028" s="92">
        <v>2929.77</v>
      </c>
      <c r="E1028" s="92">
        <v>927.86</v>
      </c>
      <c r="F1028" s="92">
        <v>1015.74</v>
      </c>
      <c r="G1028" s="92">
        <v>986.17</v>
      </c>
      <c r="H1028" s="93">
        <v>19947.38</v>
      </c>
      <c r="I1028" s="93">
        <v>10670.72</v>
      </c>
      <c r="J1028" s="93">
        <v>5365.65</v>
      </c>
      <c r="K1028" s="93">
        <v>3911.01</v>
      </c>
      <c r="L1028" s="43">
        <v>6.8085139789130205</v>
      </c>
      <c r="M1028" s="43">
        <v>11.500355657103441</v>
      </c>
      <c r="N1028" s="43">
        <v>5.282503396538484</v>
      </c>
      <c r="O1028" s="43">
        <v>3.9658578135615565</v>
      </c>
      <c r="P1028" s="94"/>
      <c r="Q1028" s="94"/>
      <c r="R1028" s="94">
        <v>5</v>
      </c>
    </row>
    <row r="1029" spans="1:18" ht="26.25" customHeight="1">
      <c r="A1029" s="90">
        <v>739</v>
      </c>
      <c r="B1029" s="87" t="s">
        <v>1918</v>
      </c>
      <c r="C1029" s="91" t="s">
        <v>1919</v>
      </c>
      <c r="D1029" s="92">
        <v>2321.37</v>
      </c>
      <c r="E1029" s="92">
        <v>875.79</v>
      </c>
      <c r="F1029" s="92">
        <v>1428.06</v>
      </c>
      <c r="G1029" s="92">
        <v>17.52</v>
      </c>
      <c r="H1029" s="93">
        <v>17864.45</v>
      </c>
      <c r="I1029" s="93">
        <v>10071.59</v>
      </c>
      <c r="J1029" s="93">
        <v>7591.38</v>
      </c>
      <c r="K1029" s="93">
        <v>201.48</v>
      </c>
      <c r="L1029" s="43">
        <v>7.6956495517733066</v>
      </c>
      <c r="M1029" s="43">
        <v>11.500005709131186</v>
      </c>
      <c r="N1029" s="43">
        <v>5.3158690811310452</v>
      </c>
      <c r="O1029" s="43">
        <v>11.5</v>
      </c>
      <c r="P1029" s="94"/>
      <c r="Q1029" s="94"/>
      <c r="R1029" s="94">
        <v>5</v>
      </c>
    </row>
    <row r="1030" spans="1:18" ht="12.75" customHeight="1">
      <c r="A1030" s="628" t="s">
        <v>1920</v>
      </c>
      <c r="B1030" s="629"/>
      <c r="C1030" s="629"/>
      <c r="D1030" s="629"/>
      <c r="E1030" s="629"/>
      <c r="F1030" s="629"/>
      <c r="G1030" s="629"/>
      <c r="H1030" s="629"/>
      <c r="I1030" s="629"/>
      <c r="J1030" s="629"/>
      <c r="K1030" s="629"/>
      <c r="L1030" s="629"/>
      <c r="M1030" s="629"/>
      <c r="N1030" s="629"/>
      <c r="O1030" s="629"/>
      <c r="P1030" s="629"/>
      <c r="Q1030" s="629"/>
      <c r="R1030" s="629"/>
    </row>
    <row r="1031" spans="1:18" ht="24">
      <c r="A1031" s="90">
        <v>740</v>
      </c>
      <c r="B1031" s="87" t="s">
        <v>1921</v>
      </c>
      <c r="C1031" s="91" t="s">
        <v>1922</v>
      </c>
      <c r="D1031" s="92">
        <v>2373.87</v>
      </c>
      <c r="E1031" s="92">
        <v>1097.3</v>
      </c>
      <c r="F1031" s="92">
        <v>947.21</v>
      </c>
      <c r="G1031" s="92">
        <v>329.36</v>
      </c>
      <c r="H1031" s="93">
        <v>19019.59</v>
      </c>
      <c r="I1031" s="93">
        <v>12619.37</v>
      </c>
      <c r="J1031" s="93">
        <v>4857.5200000000004</v>
      </c>
      <c r="K1031" s="93">
        <v>1542.7</v>
      </c>
      <c r="L1031" s="43">
        <v>8.0120604750891999</v>
      </c>
      <c r="M1031" s="43">
        <v>11.500382757677938</v>
      </c>
      <c r="N1031" s="43">
        <v>5.1282397778739668</v>
      </c>
      <c r="O1031" s="43">
        <v>4.6839324751032301</v>
      </c>
      <c r="P1031" s="94"/>
      <c r="Q1031" s="94"/>
      <c r="R1031" s="94">
        <v>6</v>
      </c>
    </row>
    <row r="1032" spans="1:18" ht="24">
      <c r="A1032" s="90">
        <v>741</v>
      </c>
      <c r="B1032" s="87" t="s">
        <v>1923</v>
      </c>
      <c r="C1032" s="91" t="s">
        <v>1924</v>
      </c>
      <c r="D1032" s="92">
        <v>2292.3000000000002</v>
      </c>
      <c r="E1032" s="92">
        <v>1044.44</v>
      </c>
      <c r="F1032" s="92">
        <v>919.56</v>
      </c>
      <c r="G1032" s="92">
        <v>328.3</v>
      </c>
      <c r="H1032" s="93">
        <v>18262.54</v>
      </c>
      <c r="I1032" s="93">
        <v>12011.53</v>
      </c>
      <c r="J1032" s="93">
        <v>4720.5</v>
      </c>
      <c r="K1032" s="93">
        <v>1530.51</v>
      </c>
      <c r="L1032" s="43">
        <v>7.9669066003577189</v>
      </c>
      <c r="M1032" s="43">
        <v>11.500450001914901</v>
      </c>
      <c r="N1032" s="43">
        <v>5.1334333811823045</v>
      </c>
      <c r="O1032" s="43">
        <v>4.6619250685348765</v>
      </c>
      <c r="P1032" s="94"/>
      <c r="Q1032" s="94"/>
      <c r="R1032" s="94">
        <v>6</v>
      </c>
    </row>
    <row r="1033" spans="1:18" ht="24">
      <c r="A1033" s="90">
        <v>742</v>
      </c>
      <c r="B1033" s="87" t="s">
        <v>1925</v>
      </c>
      <c r="C1033" s="91" t="s">
        <v>1926</v>
      </c>
      <c r="D1033" s="92">
        <v>3267.19</v>
      </c>
      <c r="E1033" s="92">
        <v>1319.58</v>
      </c>
      <c r="F1033" s="92">
        <v>908.4</v>
      </c>
      <c r="G1033" s="92">
        <v>1039.21</v>
      </c>
      <c r="H1033" s="93">
        <v>24192.91</v>
      </c>
      <c r="I1033" s="93">
        <v>15175.12</v>
      </c>
      <c r="J1033" s="93">
        <v>4612.55</v>
      </c>
      <c r="K1033" s="93">
        <v>4405.24</v>
      </c>
      <c r="L1033" s="43">
        <v>7.4048065769055365</v>
      </c>
      <c r="M1033" s="43">
        <v>11.499962109155945</v>
      </c>
      <c r="N1033" s="43">
        <v>5.0776640246587412</v>
      </c>
      <c r="O1033" s="43">
        <v>4.2390277229818798</v>
      </c>
      <c r="P1033" s="94"/>
      <c r="Q1033" s="94"/>
      <c r="R1033" s="94">
        <v>6</v>
      </c>
    </row>
    <row r="1034" spans="1:18" ht="24">
      <c r="A1034" s="90">
        <v>743</v>
      </c>
      <c r="B1034" s="87" t="s">
        <v>1927</v>
      </c>
      <c r="C1034" s="91" t="s">
        <v>1928</v>
      </c>
      <c r="D1034" s="92">
        <v>3208.86</v>
      </c>
      <c r="E1034" s="92">
        <v>1111.08</v>
      </c>
      <c r="F1034" s="92">
        <v>963.68</v>
      </c>
      <c r="G1034" s="92">
        <v>1134.0999999999999</v>
      </c>
      <c r="H1034" s="93">
        <v>22550.46</v>
      </c>
      <c r="I1034" s="93">
        <v>12777.94</v>
      </c>
      <c r="J1034" s="93">
        <v>5010.33</v>
      </c>
      <c r="K1034" s="93">
        <v>4762.1899999999996</v>
      </c>
      <c r="L1034" s="43">
        <v>7.0275611899553105</v>
      </c>
      <c r="M1034" s="43">
        <v>11.500468013104369</v>
      </c>
      <c r="N1034" s="43">
        <v>5.1991636227793459</v>
      </c>
      <c r="O1034" s="43">
        <v>4.1990917908473682</v>
      </c>
      <c r="P1034" s="94"/>
      <c r="Q1034" s="94"/>
      <c r="R1034" s="94">
        <v>6</v>
      </c>
    </row>
    <row r="1035" spans="1:18" ht="24">
      <c r="A1035" s="90">
        <v>744</v>
      </c>
      <c r="B1035" s="87" t="s">
        <v>1929</v>
      </c>
      <c r="C1035" s="91" t="s">
        <v>1930</v>
      </c>
      <c r="D1035" s="92">
        <v>2073.5700000000002</v>
      </c>
      <c r="E1035" s="92">
        <v>917.89</v>
      </c>
      <c r="F1035" s="92">
        <v>624.66</v>
      </c>
      <c r="G1035" s="92">
        <v>531.02</v>
      </c>
      <c r="H1035" s="93">
        <v>16071.03</v>
      </c>
      <c r="I1035" s="93">
        <v>10555.71</v>
      </c>
      <c r="J1035" s="93">
        <v>3176.25</v>
      </c>
      <c r="K1035" s="93">
        <v>2339.0700000000002</v>
      </c>
      <c r="L1035" s="43">
        <v>7.7504159493048217</v>
      </c>
      <c r="M1035" s="43">
        <v>11.499972763620912</v>
      </c>
      <c r="N1035" s="43">
        <v>5.0847661127653447</v>
      </c>
      <c r="O1035" s="43">
        <v>4.4048623404014915</v>
      </c>
      <c r="P1035" s="94"/>
      <c r="Q1035" s="94"/>
      <c r="R1035" s="94">
        <v>6</v>
      </c>
    </row>
    <row r="1036" spans="1:18" ht="24">
      <c r="A1036" s="90">
        <v>745</v>
      </c>
      <c r="B1036" s="87" t="s">
        <v>1931</v>
      </c>
      <c r="C1036" s="91" t="s">
        <v>1932</v>
      </c>
      <c r="D1036" s="92">
        <v>2695.54</v>
      </c>
      <c r="E1036" s="92">
        <v>1125.78</v>
      </c>
      <c r="F1036" s="92">
        <v>909.39</v>
      </c>
      <c r="G1036" s="92">
        <v>660.37</v>
      </c>
      <c r="H1036" s="93">
        <v>20694.79</v>
      </c>
      <c r="I1036" s="93">
        <v>12946.42</v>
      </c>
      <c r="J1036" s="93">
        <v>4833.17</v>
      </c>
      <c r="K1036" s="93">
        <v>2915.2</v>
      </c>
      <c r="L1036" s="43">
        <v>7.6774189958227295</v>
      </c>
      <c r="M1036" s="43">
        <v>11.499955586349021</v>
      </c>
      <c r="N1036" s="43">
        <v>5.314738451049605</v>
      </c>
      <c r="O1036" s="43">
        <v>4.4144949043717912</v>
      </c>
      <c r="P1036" s="94"/>
      <c r="Q1036" s="94"/>
      <c r="R1036" s="94">
        <v>6</v>
      </c>
    </row>
    <row r="1037" spans="1:18" ht="24">
      <c r="A1037" s="90">
        <v>746</v>
      </c>
      <c r="B1037" s="87" t="s">
        <v>1933</v>
      </c>
      <c r="C1037" s="91" t="s">
        <v>1934</v>
      </c>
      <c r="D1037" s="92">
        <v>4348.9799999999996</v>
      </c>
      <c r="E1037" s="92">
        <v>1722.29</v>
      </c>
      <c r="F1037" s="92">
        <v>1445.2</v>
      </c>
      <c r="G1037" s="92">
        <v>1181.49</v>
      </c>
      <c r="H1037" s="93">
        <v>33075.980000000003</v>
      </c>
      <c r="I1037" s="93">
        <v>19807.12</v>
      </c>
      <c r="J1037" s="93">
        <v>8104.99</v>
      </c>
      <c r="K1037" s="93">
        <v>5163.87</v>
      </c>
      <c r="L1037" s="43">
        <v>7.6054569117356268</v>
      </c>
      <c r="M1037" s="43">
        <v>11.500455788514129</v>
      </c>
      <c r="N1037" s="43">
        <v>5.6082133960697478</v>
      </c>
      <c r="O1037" s="43">
        <v>4.3706421552446484</v>
      </c>
      <c r="P1037" s="94"/>
      <c r="Q1037" s="94"/>
      <c r="R1037" s="94">
        <v>6</v>
      </c>
    </row>
    <row r="1038" spans="1:18" ht="12.75" customHeight="1">
      <c r="A1038" s="628" t="s">
        <v>1935</v>
      </c>
      <c r="B1038" s="629"/>
      <c r="C1038" s="629"/>
      <c r="D1038" s="629"/>
      <c r="E1038" s="629"/>
      <c r="F1038" s="629"/>
      <c r="G1038" s="629"/>
      <c r="H1038" s="629"/>
      <c r="I1038" s="629"/>
      <c r="J1038" s="629"/>
      <c r="K1038" s="629"/>
      <c r="L1038" s="629"/>
      <c r="M1038" s="629"/>
      <c r="N1038" s="629"/>
      <c r="O1038" s="629"/>
      <c r="P1038" s="629"/>
      <c r="Q1038" s="629"/>
      <c r="R1038" s="629"/>
    </row>
    <row r="1039" spans="1:18" ht="24">
      <c r="A1039" s="90">
        <v>747</v>
      </c>
      <c r="B1039" s="87" t="s">
        <v>1936</v>
      </c>
      <c r="C1039" s="91" t="s">
        <v>1937</v>
      </c>
      <c r="D1039" s="92">
        <v>972</v>
      </c>
      <c r="E1039" s="92">
        <v>493.65</v>
      </c>
      <c r="F1039" s="92">
        <v>158.43</v>
      </c>
      <c r="G1039" s="92">
        <v>319.92</v>
      </c>
      <c r="H1039" s="93">
        <v>8084.85</v>
      </c>
      <c r="I1039" s="93">
        <v>5677.2</v>
      </c>
      <c r="J1039" s="93">
        <v>827.42</v>
      </c>
      <c r="K1039" s="93">
        <v>1580.23</v>
      </c>
      <c r="L1039" s="43">
        <v>8.3177469135802475</v>
      </c>
      <c r="M1039" s="43">
        <v>11.500455788514129</v>
      </c>
      <c r="N1039" s="43">
        <v>5.2226219781607011</v>
      </c>
      <c r="O1039" s="43">
        <v>4.9394536134033507</v>
      </c>
      <c r="P1039" s="94"/>
      <c r="Q1039" s="94"/>
      <c r="R1039" s="94">
        <v>7</v>
      </c>
    </row>
    <row r="1040" spans="1:18" ht="24">
      <c r="A1040" s="90">
        <v>748</v>
      </c>
      <c r="B1040" s="87" t="s">
        <v>1938</v>
      </c>
      <c r="C1040" s="91" t="s">
        <v>1939</v>
      </c>
      <c r="D1040" s="92">
        <v>1560.03</v>
      </c>
      <c r="E1040" s="92">
        <v>733.89</v>
      </c>
      <c r="F1040" s="92">
        <v>260.58999999999997</v>
      </c>
      <c r="G1040" s="92">
        <v>565.54999999999995</v>
      </c>
      <c r="H1040" s="93">
        <v>12572.45</v>
      </c>
      <c r="I1040" s="93">
        <v>8440.1</v>
      </c>
      <c r="J1040" s="93">
        <v>1359.04</v>
      </c>
      <c r="K1040" s="93">
        <v>2773.31</v>
      </c>
      <c r="L1040" s="43">
        <v>8.0591078376697887</v>
      </c>
      <c r="M1040" s="43">
        <v>11.500497349739062</v>
      </c>
      <c r="N1040" s="43">
        <v>5.2152423347020225</v>
      </c>
      <c r="O1040" s="43">
        <v>4.9037397223941301</v>
      </c>
      <c r="P1040" s="94"/>
      <c r="Q1040" s="94"/>
      <c r="R1040" s="94">
        <v>7</v>
      </c>
    </row>
    <row r="1041" spans="1:18" ht="24">
      <c r="A1041" s="90">
        <v>749</v>
      </c>
      <c r="B1041" s="87" t="s">
        <v>1940</v>
      </c>
      <c r="C1041" s="91" t="s">
        <v>1941</v>
      </c>
      <c r="D1041" s="92">
        <v>2712.21</v>
      </c>
      <c r="E1041" s="92">
        <v>1600.64</v>
      </c>
      <c r="F1041" s="92">
        <v>41.01</v>
      </c>
      <c r="G1041" s="92">
        <v>1070.56</v>
      </c>
      <c r="H1041" s="93">
        <v>23930.81</v>
      </c>
      <c r="I1041" s="93">
        <v>18407.36</v>
      </c>
      <c r="J1041" s="93">
        <v>220.93</v>
      </c>
      <c r="K1041" s="93">
        <v>5302.52</v>
      </c>
      <c r="L1041" s="43">
        <v>8.8233617603356684</v>
      </c>
      <c r="M1041" s="43">
        <v>11.5</v>
      </c>
      <c r="N1041" s="43">
        <v>5.3872226286271649</v>
      </c>
      <c r="O1041" s="43">
        <v>4.953033926169482</v>
      </c>
      <c r="P1041" s="94"/>
      <c r="Q1041" s="94"/>
      <c r="R1041" s="94">
        <v>7</v>
      </c>
    </row>
    <row r="1042" spans="1:18" ht="24">
      <c r="A1042" s="90">
        <v>750</v>
      </c>
      <c r="B1042" s="87" t="s">
        <v>1942</v>
      </c>
      <c r="C1042" s="91" t="s">
        <v>1943</v>
      </c>
      <c r="D1042" s="92">
        <v>3140.16</v>
      </c>
      <c r="E1042" s="92">
        <v>1989.7</v>
      </c>
      <c r="F1042" s="92">
        <v>72.12</v>
      </c>
      <c r="G1042" s="92">
        <v>1078.3399999999999</v>
      </c>
      <c r="H1042" s="93">
        <v>28661.86</v>
      </c>
      <c r="I1042" s="93">
        <v>22881.55</v>
      </c>
      <c r="J1042" s="93">
        <v>388.32</v>
      </c>
      <c r="K1042" s="93">
        <v>5391.99</v>
      </c>
      <c r="L1042" s="43">
        <v>9.1275157953734851</v>
      </c>
      <c r="M1042" s="43">
        <v>11.5</v>
      </c>
      <c r="N1042" s="43">
        <v>5.3843594009983358</v>
      </c>
      <c r="O1042" s="43">
        <v>5.0002689318767741</v>
      </c>
      <c r="P1042" s="94"/>
      <c r="Q1042" s="94"/>
      <c r="R1042" s="94">
        <v>7</v>
      </c>
    </row>
    <row r="1043" spans="1:18" ht="24">
      <c r="A1043" s="90">
        <v>751</v>
      </c>
      <c r="B1043" s="87" t="s">
        <v>1944</v>
      </c>
      <c r="C1043" s="91" t="s">
        <v>1945</v>
      </c>
      <c r="D1043" s="92">
        <v>3454.41</v>
      </c>
      <c r="E1043" s="92">
        <v>2211.9</v>
      </c>
      <c r="F1043" s="92">
        <v>159.72</v>
      </c>
      <c r="G1043" s="92">
        <v>1082.79</v>
      </c>
      <c r="H1043" s="93">
        <v>31639.99</v>
      </c>
      <c r="I1043" s="93">
        <v>25436.85</v>
      </c>
      <c r="J1043" s="93">
        <v>759.98</v>
      </c>
      <c r="K1043" s="93">
        <v>5443.16</v>
      </c>
      <c r="L1043" s="43">
        <v>9.159303614799633</v>
      </c>
      <c r="M1043" s="43">
        <v>11.499999999999998</v>
      </c>
      <c r="N1043" s="43">
        <v>4.7582018532431753</v>
      </c>
      <c r="O1043" s="43">
        <v>5.0269766067289137</v>
      </c>
      <c r="P1043" s="94"/>
      <c r="Q1043" s="94"/>
      <c r="R1043" s="94">
        <v>7</v>
      </c>
    </row>
    <row r="1044" spans="1:18" ht="12.75" customHeight="1">
      <c r="A1044" s="628" t="s">
        <v>1946</v>
      </c>
      <c r="B1044" s="629"/>
      <c r="C1044" s="629"/>
      <c r="D1044" s="629"/>
      <c r="E1044" s="629"/>
      <c r="F1044" s="629"/>
      <c r="G1044" s="629"/>
      <c r="H1044" s="629"/>
      <c r="I1044" s="629"/>
      <c r="J1044" s="629"/>
      <c r="K1044" s="629"/>
      <c r="L1044" s="629"/>
      <c r="M1044" s="629"/>
      <c r="N1044" s="629"/>
      <c r="O1044" s="629"/>
      <c r="P1044" s="629"/>
      <c r="Q1044" s="629"/>
      <c r="R1044" s="629"/>
    </row>
    <row r="1045" spans="1:18" ht="12.75" customHeight="1">
      <c r="A1045" s="628" t="s">
        <v>1947</v>
      </c>
      <c r="B1045" s="629"/>
      <c r="C1045" s="629"/>
      <c r="D1045" s="629"/>
      <c r="E1045" s="629"/>
      <c r="F1045" s="629"/>
      <c r="G1045" s="629"/>
      <c r="H1045" s="629"/>
      <c r="I1045" s="629"/>
      <c r="J1045" s="629"/>
      <c r="K1045" s="629"/>
      <c r="L1045" s="629"/>
      <c r="M1045" s="629"/>
      <c r="N1045" s="629"/>
      <c r="O1045" s="629"/>
      <c r="P1045" s="629"/>
      <c r="Q1045" s="629"/>
      <c r="R1045" s="629"/>
    </row>
    <row r="1046" spans="1:18" ht="24">
      <c r="A1046" s="90">
        <v>752</v>
      </c>
      <c r="B1046" s="87" t="s">
        <v>1948</v>
      </c>
      <c r="C1046" s="91" t="s">
        <v>1949</v>
      </c>
      <c r="D1046" s="92">
        <v>2894.67</v>
      </c>
      <c r="E1046" s="92">
        <v>627.48</v>
      </c>
      <c r="F1046" s="92">
        <v>1549.25</v>
      </c>
      <c r="G1046" s="92">
        <v>717.94</v>
      </c>
      <c r="H1046" s="93">
        <v>21414.41</v>
      </c>
      <c r="I1046" s="93">
        <v>7216.35</v>
      </c>
      <c r="J1046" s="93">
        <v>9606.1200000000008</v>
      </c>
      <c r="K1046" s="93">
        <v>4591.9399999999996</v>
      </c>
      <c r="L1046" s="43">
        <v>7.3978760964116805</v>
      </c>
      <c r="M1046" s="43">
        <v>11.500525913176515</v>
      </c>
      <c r="N1046" s="43">
        <v>6.2004970146845251</v>
      </c>
      <c r="O1046" s="43">
        <v>6.3959940942140001</v>
      </c>
      <c r="P1046" s="94"/>
      <c r="Q1046" s="94"/>
      <c r="R1046" s="94">
        <v>1</v>
      </c>
    </row>
    <row r="1047" spans="1:18" ht="24">
      <c r="A1047" s="90">
        <v>753</v>
      </c>
      <c r="B1047" s="87" t="s">
        <v>1950</v>
      </c>
      <c r="C1047" s="91" t="s">
        <v>1951</v>
      </c>
      <c r="D1047" s="92">
        <v>2711.68</v>
      </c>
      <c r="E1047" s="92">
        <v>591.28</v>
      </c>
      <c r="F1047" s="92">
        <v>1449.97</v>
      </c>
      <c r="G1047" s="92">
        <v>670.43</v>
      </c>
      <c r="H1047" s="93">
        <v>20106.87</v>
      </c>
      <c r="I1047" s="93">
        <v>6800.02</v>
      </c>
      <c r="J1047" s="93">
        <v>8934.42</v>
      </c>
      <c r="K1047" s="93">
        <v>4372.43</v>
      </c>
      <c r="L1047" s="43">
        <v>7.4149125265518059</v>
      </c>
      <c r="M1047" s="43">
        <v>11.500507373833042</v>
      </c>
      <c r="N1047" s="43">
        <v>6.1617964509610541</v>
      </c>
      <c r="O1047" s="43">
        <v>6.5218292737496837</v>
      </c>
      <c r="P1047" s="94"/>
      <c r="Q1047" s="94"/>
      <c r="R1047" s="94">
        <v>1</v>
      </c>
    </row>
    <row r="1048" spans="1:18" ht="24">
      <c r="A1048" s="90">
        <v>754</v>
      </c>
      <c r="B1048" s="87" t="s">
        <v>1952</v>
      </c>
      <c r="C1048" s="91" t="s">
        <v>1953</v>
      </c>
      <c r="D1048" s="92">
        <v>7369.42</v>
      </c>
      <c r="E1048" s="92">
        <v>2346.3000000000002</v>
      </c>
      <c r="F1048" s="92">
        <v>3752.83</v>
      </c>
      <c r="G1048" s="92">
        <v>1270.29</v>
      </c>
      <c r="H1048" s="93">
        <v>59590.29</v>
      </c>
      <c r="I1048" s="93">
        <v>26983.439999999999</v>
      </c>
      <c r="J1048" s="93">
        <v>23118.81</v>
      </c>
      <c r="K1048" s="93">
        <v>9488.0400000000009</v>
      </c>
      <c r="L1048" s="43">
        <v>8.0861573909479993</v>
      </c>
      <c r="M1048" s="43">
        <v>11.500421940928268</v>
      </c>
      <c r="N1048" s="43">
        <v>6.1603669763884863</v>
      </c>
      <c r="O1048" s="43">
        <v>7.4691920742507625</v>
      </c>
      <c r="P1048" s="94"/>
      <c r="Q1048" s="94"/>
      <c r="R1048" s="94">
        <v>1</v>
      </c>
    </row>
    <row r="1049" spans="1:18" ht="24">
      <c r="A1049" s="90">
        <v>755</v>
      </c>
      <c r="B1049" s="87" t="s">
        <v>1954</v>
      </c>
      <c r="C1049" s="91" t="s">
        <v>1955</v>
      </c>
      <c r="D1049" s="92">
        <v>5146.43</v>
      </c>
      <c r="E1049" s="92">
        <v>1706.4</v>
      </c>
      <c r="F1049" s="92">
        <v>2392.17</v>
      </c>
      <c r="G1049" s="92">
        <v>1047.8599999999999</v>
      </c>
      <c r="H1049" s="93">
        <v>42528.11</v>
      </c>
      <c r="I1049" s="93">
        <v>19624.32</v>
      </c>
      <c r="J1049" s="93">
        <v>15162.43</v>
      </c>
      <c r="K1049" s="93">
        <v>7741.36</v>
      </c>
      <c r="L1049" s="43">
        <v>8.2636138060752788</v>
      </c>
      <c r="M1049" s="43">
        <v>11.50042194092827</v>
      </c>
      <c r="N1049" s="43">
        <v>6.3383580598368843</v>
      </c>
      <c r="O1049" s="43">
        <v>7.3877808104136049</v>
      </c>
      <c r="P1049" s="94"/>
      <c r="Q1049" s="94"/>
      <c r="R1049" s="94">
        <v>1</v>
      </c>
    </row>
    <row r="1050" spans="1:18" ht="24">
      <c r="A1050" s="90">
        <v>756</v>
      </c>
      <c r="B1050" s="87" t="s">
        <v>1956</v>
      </c>
      <c r="C1050" s="91" t="s">
        <v>1957</v>
      </c>
      <c r="D1050" s="92">
        <v>7733.65</v>
      </c>
      <c r="E1050" s="92">
        <v>2849.52</v>
      </c>
      <c r="F1050" s="92">
        <v>2278.67</v>
      </c>
      <c r="G1050" s="92">
        <v>2605.46</v>
      </c>
      <c r="H1050" s="93">
        <v>65303.85</v>
      </c>
      <c r="I1050" s="93">
        <v>32770.720000000001</v>
      </c>
      <c r="J1050" s="93">
        <v>13919.4</v>
      </c>
      <c r="K1050" s="93">
        <v>18613.73</v>
      </c>
      <c r="L1050" s="43">
        <v>8.4441175900124783</v>
      </c>
      <c r="M1050" s="43">
        <v>11.500435161009573</v>
      </c>
      <c r="N1050" s="43">
        <v>6.1085633286083549</v>
      </c>
      <c r="O1050" s="43">
        <v>7.1441242621264571</v>
      </c>
      <c r="P1050" s="94"/>
      <c r="Q1050" s="94"/>
      <c r="R1050" s="94">
        <v>1</v>
      </c>
    </row>
    <row r="1051" spans="1:18" ht="36">
      <c r="A1051" s="90">
        <v>757</v>
      </c>
      <c r="B1051" s="87" t="s">
        <v>1958</v>
      </c>
      <c r="C1051" s="91" t="s">
        <v>1959</v>
      </c>
      <c r="D1051" s="92">
        <v>4821.87</v>
      </c>
      <c r="E1051" s="92">
        <v>1135.26</v>
      </c>
      <c r="F1051" s="92">
        <v>2127.58</v>
      </c>
      <c r="G1051" s="92">
        <v>1559.03</v>
      </c>
      <c r="H1051" s="93">
        <v>37439.56</v>
      </c>
      <c r="I1051" s="93">
        <v>13056.02</v>
      </c>
      <c r="J1051" s="93">
        <v>13100.52</v>
      </c>
      <c r="K1051" s="93">
        <v>11283.02</v>
      </c>
      <c r="L1051" s="43">
        <v>7.7645311881075179</v>
      </c>
      <c r="M1051" s="43">
        <v>11.50046685340803</v>
      </c>
      <c r="N1051" s="43">
        <v>6.1574746895533901</v>
      </c>
      <c r="O1051" s="43">
        <v>7.2372051852754602</v>
      </c>
      <c r="P1051" s="94"/>
      <c r="Q1051" s="94"/>
      <c r="R1051" s="94">
        <v>1</v>
      </c>
    </row>
    <row r="1052" spans="1:18" ht="36">
      <c r="A1052" s="90">
        <v>758</v>
      </c>
      <c r="B1052" s="87" t="s">
        <v>1960</v>
      </c>
      <c r="C1052" s="91" t="s">
        <v>1961</v>
      </c>
      <c r="D1052" s="92">
        <v>3729.49</v>
      </c>
      <c r="E1052" s="92">
        <v>900.85</v>
      </c>
      <c r="F1052" s="92">
        <v>1676.18</v>
      </c>
      <c r="G1052" s="92">
        <v>1152.46</v>
      </c>
      <c r="H1052" s="93">
        <v>28924.75</v>
      </c>
      <c r="I1052" s="93">
        <v>10359.75</v>
      </c>
      <c r="J1052" s="93">
        <v>10216</v>
      </c>
      <c r="K1052" s="93">
        <v>8349</v>
      </c>
      <c r="L1052" s="43">
        <v>7.7556850936723256</v>
      </c>
      <c r="M1052" s="43">
        <v>11.499972248432035</v>
      </c>
      <c r="N1052" s="43">
        <v>6.094810819840351</v>
      </c>
      <c r="O1052" s="43">
        <v>7.2445030630130329</v>
      </c>
      <c r="P1052" s="94"/>
      <c r="Q1052" s="94"/>
      <c r="R1052" s="94">
        <v>1</v>
      </c>
    </row>
    <row r="1053" spans="1:18" ht="36">
      <c r="A1053" s="90">
        <v>759</v>
      </c>
      <c r="B1053" s="87" t="s">
        <v>1962</v>
      </c>
      <c r="C1053" s="91" t="s">
        <v>1963</v>
      </c>
      <c r="D1053" s="92">
        <v>3312.63</v>
      </c>
      <c r="E1053" s="92">
        <v>778.16</v>
      </c>
      <c r="F1053" s="92">
        <v>1480.67</v>
      </c>
      <c r="G1053" s="92">
        <v>1053.8</v>
      </c>
      <c r="H1053" s="93">
        <v>25578.41</v>
      </c>
      <c r="I1053" s="93">
        <v>8948.84</v>
      </c>
      <c r="J1053" s="93">
        <v>8984.9500000000007</v>
      </c>
      <c r="K1053" s="93">
        <v>7644.62</v>
      </c>
      <c r="L1053" s="43">
        <v>7.7214811192315471</v>
      </c>
      <c r="M1053" s="43">
        <v>11.5</v>
      </c>
      <c r="N1053" s="43">
        <v>6.068165087426638</v>
      </c>
      <c r="O1053" s="43">
        <v>7.254336686278231</v>
      </c>
      <c r="P1053" s="94"/>
      <c r="Q1053" s="94"/>
      <c r="R1053" s="94">
        <v>1</v>
      </c>
    </row>
    <row r="1054" spans="1:18" ht="36">
      <c r="A1054" s="90">
        <v>760</v>
      </c>
      <c r="B1054" s="87" t="s">
        <v>1964</v>
      </c>
      <c r="C1054" s="91" t="s">
        <v>1965</v>
      </c>
      <c r="D1054" s="92">
        <v>4758.8900000000003</v>
      </c>
      <c r="E1054" s="92">
        <v>3802.55</v>
      </c>
      <c r="F1054" s="92">
        <v>18.059999999999999</v>
      </c>
      <c r="G1054" s="92">
        <v>938.28</v>
      </c>
      <c r="H1054" s="93">
        <v>49052.85</v>
      </c>
      <c r="I1054" s="93">
        <v>43730.8</v>
      </c>
      <c r="J1054" s="93">
        <v>97.37</v>
      </c>
      <c r="K1054" s="93">
        <v>5224.68</v>
      </c>
      <c r="L1054" s="43">
        <v>10.307624256917054</v>
      </c>
      <c r="M1054" s="43">
        <v>11.500387897595035</v>
      </c>
      <c r="N1054" s="43">
        <v>5.391472868217055</v>
      </c>
      <c r="O1054" s="43">
        <v>5.5683591252078273</v>
      </c>
      <c r="P1054" s="94"/>
      <c r="Q1054" s="94"/>
      <c r="R1054" s="94">
        <v>1</v>
      </c>
    </row>
    <row r="1055" spans="1:18" ht="48">
      <c r="A1055" s="90">
        <v>761</v>
      </c>
      <c r="B1055" s="87" t="s">
        <v>1966</v>
      </c>
      <c r="C1055" s="91" t="s">
        <v>1967</v>
      </c>
      <c r="D1055" s="92">
        <v>8005.18</v>
      </c>
      <c r="E1055" s="92">
        <v>6212.98</v>
      </c>
      <c r="F1055" s="92">
        <v>71.81</v>
      </c>
      <c r="G1055" s="92">
        <v>1720.39</v>
      </c>
      <c r="H1055" s="93">
        <v>81460.88</v>
      </c>
      <c r="I1055" s="93">
        <v>71451.679999999993</v>
      </c>
      <c r="J1055" s="93">
        <v>387.06</v>
      </c>
      <c r="K1055" s="93">
        <v>9622.14</v>
      </c>
      <c r="L1055" s="43">
        <v>10.176021026385415</v>
      </c>
      <c r="M1055" s="43">
        <v>11.500387897595035</v>
      </c>
      <c r="N1055" s="43">
        <v>5.390057095112101</v>
      </c>
      <c r="O1055" s="43">
        <v>5.5929992617952902</v>
      </c>
      <c r="P1055" s="94"/>
      <c r="Q1055" s="94"/>
      <c r="R1055" s="94">
        <v>1</v>
      </c>
    </row>
    <row r="1056" spans="1:18" ht="48">
      <c r="A1056" s="90">
        <v>762</v>
      </c>
      <c r="B1056" s="87" t="s">
        <v>1968</v>
      </c>
      <c r="C1056" s="91" t="s">
        <v>1969</v>
      </c>
      <c r="D1056" s="92">
        <v>9431.36</v>
      </c>
      <c r="E1056" s="92">
        <v>7218.4</v>
      </c>
      <c r="F1056" s="92">
        <v>90.68</v>
      </c>
      <c r="G1056" s="92">
        <v>2122.2800000000002</v>
      </c>
      <c r="H1056" s="93">
        <v>95619.65</v>
      </c>
      <c r="I1056" s="93">
        <v>83014.399999999994</v>
      </c>
      <c r="J1056" s="93">
        <v>488.7</v>
      </c>
      <c r="K1056" s="93">
        <v>12116.55</v>
      </c>
      <c r="L1056" s="43">
        <v>10.138479498184777</v>
      </c>
      <c r="M1056" s="43">
        <v>11.500387897595035</v>
      </c>
      <c r="N1056" s="43">
        <v>5.3892809880899861</v>
      </c>
      <c r="O1056" s="43">
        <v>5.709213675858039</v>
      </c>
      <c r="P1056" s="94"/>
      <c r="Q1056" s="94"/>
      <c r="R1056" s="94">
        <v>1</v>
      </c>
    </row>
    <row r="1057" spans="1:18" ht="12.75" customHeight="1">
      <c r="A1057" s="628" t="s">
        <v>1970</v>
      </c>
      <c r="B1057" s="629"/>
      <c r="C1057" s="629"/>
      <c r="D1057" s="629"/>
      <c r="E1057" s="629"/>
      <c r="F1057" s="629"/>
      <c r="G1057" s="629"/>
      <c r="H1057" s="629"/>
      <c r="I1057" s="629"/>
      <c r="J1057" s="629"/>
      <c r="K1057" s="629"/>
      <c r="L1057" s="629"/>
      <c r="M1057" s="629"/>
      <c r="N1057" s="629"/>
      <c r="O1057" s="629"/>
      <c r="P1057" s="629"/>
      <c r="Q1057" s="629"/>
      <c r="R1057" s="629"/>
    </row>
    <row r="1058" spans="1:18" ht="24">
      <c r="A1058" s="90">
        <v>763</v>
      </c>
      <c r="B1058" s="87" t="s">
        <v>1971</v>
      </c>
      <c r="C1058" s="91" t="s">
        <v>1972</v>
      </c>
      <c r="D1058" s="92">
        <v>912.1</v>
      </c>
      <c r="E1058" s="92">
        <v>333.06</v>
      </c>
      <c r="F1058" s="92">
        <v>472.3</v>
      </c>
      <c r="G1058" s="92">
        <v>106.74</v>
      </c>
      <c r="H1058" s="93">
        <v>6870.28</v>
      </c>
      <c r="I1058" s="93">
        <v>3830.19</v>
      </c>
      <c r="J1058" s="93">
        <v>2494.9499999999998</v>
      </c>
      <c r="K1058" s="93">
        <v>545.14</v>
      </c>
      <c r="L1058" s="43">
        <v>7.5323758359828963</v>
      </c>
      <c r="M1058" s="43">
        <v>11.5</v>
      </c>
      <c r="N1058" s="43">
        <v>5.282553461782765</v>
      </c>
      <c r="O1058" s="43">
        <v>5.1071763162825556</v>
      </c>
      <c r="P1058" s="94"/>
      <c r="Q1058" s="94"/>
      <c r="R1058" s="94">
        <v>2</v>
      </c>
    </row>
    <row r="1059" spans="1:18" ht="24">
      <c r="A1059" s="90">
        <v>764</v>
      </c>
      <c r="B1059" s="87" t="s">
        <v>1973</v>
      </c>
      <c r="C1059" s="91" t="s">
        <v>1974</v>
      </c>
      <c r="D1059" s="92">
        <v>3882.99</v>
      </c>
      <c r="E1059" s="92">
        <v>452.97</v>
      </c>
      <c r="F1059" s="92">
        <v>1595.42</v>
      </c>
      <c r="G1059" s="92">
        <v>1834.6</v>
      </c>
      <c r="H1059" s="93">
        <v>20599.48</v>
      </c>
      <c r="I1059" s="93">
        <v>5209.18</v>
      </c>
      <c r="J1059" s="93">
        <v>8565.02</v>
      </c>
      <c r="K1059" s="93">
        <v>6825.28</v>
      </c>
      <c r="L1059" s="43">
        <v>5.3050561551793853</v>
      </c>
      <c r="M1059" s="43">
        <v>11.500055191293022</v>
      </c>
      <c r="N1059" s="43">
        <v>5.3685048451191539</v>
      </c>
      <c r="O1059" s="43">
        <v>3.7203096042734112</v>
      </c>
      <c r="P1059" s="94"/>
      <c r="Q1059" s="94"/>
      <c r="R1059" s="94">
        <v>2</v>
      </c>
    </row>
    <row r="1060" spans="1:18" ht="36">
      <c r="A1060" s="90">
        <v>765</v>
      </c>
      <c r="B1060" s="87" t="s">
        <v>1975</v>
      </c>
      <c r="C1060" s="91" t="s">
        <v>1976</v>
      </c>
      <c r="D1060" s="92">
        <v>522.54999999999995</v>
      </c>
      <c r="E1060" s="92">
        <v>219.46</v>
      </c>
      <c r="F1060" s="92">
        <v>215.44</v>
      </c>
      <c r="G1060" s="92">
        <v>87.65</v>
      </c>
      <c r="H1060" s="93">
        <v>4005.13</v>
      </c>
      <c r="I1060" s="93">
        <v>2523.87</v>
      </c>
      <c r="J1060" s="93">
        <v>1121.98</v>
      </c>
      <c r="K1060" s="93">
        <v>359.28</v>
      </c>
      <c r="L1060" s="43">
        <v>7.6645871208496805</v>
      </c>
      <c r="M1060" s="43">
        <v>11.500364531121843</v>
      </c>
      <c r="N1060" s="43">
        <v>5.2078536947642036</v>
      </c>
      <c r="O1060" s="43">
        <v>4.0990302338847684</v>
      </c>
      <c r="P1060" s="94"/>
      <c r="Q1060" s="94"/>
      <c r="R1060" s="94">
        <v>2</v>
      </c>
    </row>
    <row r="1061" spans="1:18" ht="24">
      <c r="A1061" s="90">
        <v>766</v>
      </c>
      <c r="B1061" s="87" t="s">
        <v>1977</v>
      </c>
      <c r="C1061" s="91" t="s">
        <v>1978</v>
      </c>
      <c r="D1061" s="92">
        <v>2280.46</v>
      </c>
      <c r="E1061" s="92">
        <v>557.22</v>
      </c>
      <c r="F1061" s="92">
        <v>1033.72</v>
      </c>
      <c r="G1061" s="92">
        <v>689.52</v>
      </c>
      <c r="H1061" s="93">
        <v>14737.24</v>
      </c>
      <c r="I1061" s="93">
        <v>6408.03</v>
      </c>
      <c r="J1061" s="93">
        <v>5547.48</v>
      </c>
      <c r="K1061" s="93">
        <v>2781.73</v>
      </c>
      <c r="L1061" s="43">
        <v>6.4623979372582721</v>
      </c>
      <c r="M1061" s="43">
        <v>11.499999999999998</v>
      </c>
      <c r="N1061" s="43">
        <v>5.3665209147544788</v>
      </c>
      <c r="O1061" s="43">
        <v>4.0342992226476388</v>
      </c>
      <c r="P1061" s="94"/>
      <c r="Q1061" s="94"/>
      <c r="R1061" s="94">
        <v>2</v>
      </c>
    </row>
    <row r="1062" spans="1:18" ht="24">
      <c r="A1062" s="90">
        <v>767</v>
      </c>
      <c r="B1062" s="87" t="s">
        <v>1979</v>
      </c>
      <c r="C1062" s="91" t="s">
        <v>1980</v>
      </c>
      <c r="D1062" s="92">
        <v>1334.55</v>
      </c>
      <c r="E1062" s="92">
        <v>337.39</v>
      </c>
      <c r="F1062" s="92">
        <v>586.83000000000004</v>
      </c>
      <c r="G1062" s="92">
        <v>410.33</v>
      </c>
      <c r="H1062" s="93">
        <v>8679.93</v>
      </c>
      <c r="I1062" s="93">
        <v>3880.01</v>
      </c>
      <c r="J1062" s="93">
        <v>3150.47</v>
      </c>
      <c r="K1062" s="93">
        <v>1649.45</v>
      </c>
      <c r="L1062" s="43">
        <v>6.5040125885129827</v>
      </c>
      <c r="M1062" s="43">
        <v>11.500074098224607</v>
      </c>
      <c r="N1062" s="43">
        <v>5.3686246442751724</v>
      </c>
      <c r="O1062" s="43">
        <v>4.0198133209855484</v>
      </c>
      <c r="P1062" s="94"/>
      <c r="Q1062" s="94"/>
      <c r="R1062" s="94">
        <v>2</v>
      </c>
    </row>
    <row r="1063" spans="1:18" ht="36">
      <c r="A1063" s="90">
        <v>768</v>
      </c>
      <c r="B1063" s="87" t="s">
        <v>1981</v>
      </c>
      <c r="C1063" s="91" t="s">
        <v>1982</v>
      </c>
      <c r="D1063" s="92">
        <v>2230.65</v>
      </c>
      <c r="E1063" s="92">
        <v>588.98</v>
      </c>
      <c r="F1063" s="92">
        <v>800.87</v>
      </c>
      <c r="G1063" s="92">
        <v>840.8</v>
      </c>
      <c r="H1063" s="93">
        <v>14450.14</v>
      </c>
      <c r="I1063" s="93">
        <v>6773.22</v>
      </c>
      <c r="J1063" s="93">
        <v>4296.05</v>
      </c>
      <c r="K1063" s="93">
        <v>3380.87</v>
      </c>
      <c r="L1063" s="43">
        <v>6.4779952031918944</v>
      </c>
      <c r="M1063" s="43">
        <v>11.499915107473939</v>
      </c>
      <c r="N1063" s="43">
        <v>5.3642289010700868</v>
      </c>
      <c r="O1063" s="43">
        <v>4.0210156993339679</v>
      </c>
      <c r="P1063" s="94"/>
      <c r="Q1063" s="94"/>
      <c r="R1063" s="94">
        <v>2</v>
      </c>
    </row>
    <row r="1064" spans="1:18" ht="36">
      <c r="A1064" s="90">
        <v>769</v>
      </c>
      <c r="B1064" s="87" t="s">
        <v>1983</v>
      </c>
      <c r="C1064" s="91" t="s">
        <v>1984</v>
      </c>
      <c r="D1064" s="92">
        <v>1926.95</v>
      </c>
      <c r="E1064" s="92">
        <v>744.35</v>
      </c>
      <c r="F1064" s="92">
        <v>545.30999999999995</v>
      </c>
      <c r="G1064" s="92">
        <v>637.29</v>
      </c>
      <c r="H1064" s="93">
        <v>13968.51</v>
      </c>
      <c r="I1064" s="93">
        <v>8560.32</v>
      </c>
      <c r="J1064" s="93">
        <v>2938.89</v>
      </c>
      <c r="K1064" s="93">
        <v>2469.3000000000002</v>
      </c>
      <c r="L1064" s="43">
        <v>7.2490256623160949</v>
      </c>
      <c r="M1064" s="43">
        <v>11.500396318935984</v>
      </c>
      <c r="N1064" s="43">
        <v>5.389393189195137</v>
      </c>
      <c r="O1064" s="43">
        <v>3.8746881325613147</v>
      </c>
      <c r="P1064" s="94"/>
      <c r="Q1064" s="94"/>
      <c r="R1064" s="94">
        <v>2</v>
      </c>
    </row>
    <row r="1065" spans="1:18" ht="36">
      <c r="A1065" s="90">
        <v>770</v>
      </c>
      <c r="B1065" s="87" t="s">
        <v>1985</v>
      </c>
      <c r="C1065" s="91" t="s">
        <v>1986</v>
      </c>
      <c r="D1065" s="92">
        <v>2031.26</v>
      </c>
      <c r="E1065" s="92">
        <v>757.2</v>
      </c>
      <c r="F1065" s="92">
        <v>619.16</v>
      </c>
      <c r="G1065" s="92">
        <v>654.9</v>
      </c>
      <c r="H1065" s="93">
        <v>14589.31</v>
      </c>
      <c r="I1065" s="93">
        <v>8708.1200000000008</v>
      </c>
      <c r="J1065" s="93">
        <v>3336.9</v>
      </c>
      <c r="K1065" s="93">
        <v>2544.29</v>
      </c>
      <c r="L1065" s="43">
        <v>7.182394178982503</v>
      </c>
      <c r="M1065" s="43">
        <v>11.500422609614368</v>
      </c>
      <c r="N1065" s="43">
        <v>5.3893985399573623</v>
      </c>
      <c r="O1065" s="43">
        <v>3.8850053443273782</v>
      </c>
      <c r="P1065" s="94"/>
      <c r="Q1065" s="94"/>
      <c r="R1065" s="94">
        <v>2</v>
      </c>
    </row>
    <row r="1066" spans="1:18" ht="36">
      <c r="A1066" s="90">
        <v>771</v>
      </c>
      <c r="B1066" s="87" t="s">
        <v>1987</v>
      </c>
      <c r="C1066" s="91" t="s">
        <v>1988</v>
      </c>
      <c r="D1066" s="92">
        <v>2367.81</v>
      </c>
      <c r="E1066" s="92">
        <v>827.88</v>
      </c>
      <c r="F1066" s="92">
        <v>883.61</v>
      </c>
      <c r="G1066" s="92">
        <v>656.32</v>
      </c>
      <c r="H1066" s="93">
        <v>16687.330000000002</v>
      </c>
      <c r="I1066" s="93">
        <v>9521.0400000000009</v>
      </c>
      <c r="J1066" s="93">
        <v>4605.67</v>
      </c>
      <c r="K1066" s="93">
        <v>2560.62</v>
      </c>
      <c r="L1066" s="43">
        <v>7.0475798311519933</v>
      </c>
      <c r="M1066" s="43">
        <v>11.500507319901436</v>
      </c>
      <c r="N1066" s="43">
        <v>5.2123334955466776</v>
      </c>
      <c r="O1066" s="43">
        <v>3.9014809848854215</v>
      </c>
      <c r="P1066" s="94"/>
      <c r="Q1066" s="94"/>
      <c r="R1066" s="94">
        <v>2</v>
      </c>
    </row>
    <row r="1067" spans="1:18" ht="36">
      <c r="A1067" s="90">
        <v>772</v>
      </c>
      <c r="B1067" s="87" t="s">
        <v>1989</v>
      </c>
      <c r="C1067" s="91" t="s">
        <v>1990</v>
      </c>
      <c r="D1067" s="92">
        <v>2403.5100000000002</v>
      </c>
      <c r="E1067" s="92">
        <v>803.15</v>
      </c>
      <c r="F1067" s="92">
        <v>309.61</v>
      </c>
      <c r="G1067" s="92">
        <v>1290.75</v>
      </c>
      <c r="H1067" s="93">
        <v>15768</v>
      </c>
      <c r="I1067" s="93">
        <v>9236.25</v>
      </c>
      <c r="J1067" s="93">
        <v>1531.91</v>
      </c>
      <c r="K1067" s="93">
        <v>4999.84</v>
      </c>
      <c r="L1067" s="43">
        <v>6.5604054070921274</v>
      </c>
      <c r="M1067" s="43">
        <v>11.500031127435722</v>
      </c>
      <c r="N1067" s="43">
        <v>4.9478699008429965</v>
      </c>
      <c r="O1067" s="43">
        <v>3.8735928723610304</v>
      </c>
      <c r="P1067" s="94"/>
      <c r="Q1067" s="94"/>
      <c r="R1067" s="94">
        <v>2</v>
      </c>
    </row>
    <row r="1068" spans="1:18" ht="24">
      <c r="A1068" s="90">
        <v>773</v>
      </c>
      <c r="B1068" s="87" t="s">
        <v>1991</v>
      </c>
      <c r="C1068" s="91" t="s">
        <v>1992</v>
      </c>
      <c r="D1068" s="92">
        <v>1610.28</v>
      </c>
      <c r="E1068" s="92">
        <v>443.3</v>
      </c>
      <c r="F1068" s="92">
        <v>731.15</v>
      </c>
      <c r="G1068" s="92">
        <v>435.83</v>
      </c>
      <c r="H1068" s="93">
        <v>12026.54</v>
      </c>
      <c r="I1068" s="93">
        <v>5097.97</v>
      </c>
      <c r="J1068" s="93">
        <v>4038.06</v>
      </c>
      <c r="K1068" s="93">
        <v>2890.51</v>
      </c>
      <c r="L1068" s="43">
        <v>7.4686017338599502</v>
      </c>
      <c r="M1068" s="43">
        <v>11.500045116174149</v>
      </c>
      <c r="N1068" s="43">
        <v>5.5228886001504476</v>
      </c>
      <c r="O1068" s="43">
        <v>6.6321960397402666</v>
      </c>
      <c r="P1068" s="94"/>
      <c r="Q1068" s="94"/>
      <c r="R1068" s="94">
        <v>2</v>
      </c>
    </row>
    <row r="1069" spans="1:18" ht="24">
      <c r="A1069" s="90">
        <v>774</v>
      </c>
      <c r="B1069" s="87" t="s">
        <v>1993</v>
      </c>
      <c r="C1069" s="91" t="s">
        <v>1994</v>
      </c>
      <c r="D1069" s="92">
        <v>2890.08</v>
      </c>
      <c r="E1069" s="92">
        <v>802</v>
      </c>
      <c r="F1069" s="92">
        <v>1963.55</v>
      </c>
      <c r="G1069" s="92">
        <v>124.53</v>
      </c>
      <c r="H1069" s="93">
        <v>20454.8</v>
      </c>
      <c r="I1069" s="93">
        <v>9223.3700000000008</v>
      </c>
      <c r="J1069" s="93">
        <v>10538.34</v>
      </c>
      <c r="K1069" s="93">
        <v>693.09</v>
      </c>
      <c r="L1069" s="43">
        <v>7.0775895476941812</v>
      </c>
      <c r="M1069" s="43">
        <v>11.500461346633417</v>
      </c>
      <c r="N1069" s="43">
        <v>5.3669832700975277</v>
      </c>
      <c r="O1069" s="43">
        <v>5.5656468320886532</v>
      </c>
      <c r="P1069" s="94"/>
      <c r="Q1069" s="94"/>
      <c r="R1069" s="94">
        <v>2</v>
      </c>
    </row>
    <row r="1070" spans="1:18" ht="24">
      <c r="A1070" s="90">
        <v>775</v>
      </c>
      <c r="B1070" s="87" t="s">
        <v>1995</v>
      </c>
      <c r="C1070" s="91" t="s">
        <v>1996</v>
      </c>
      <c r="D1070" s="92">
        <v>3303.19</v>
      </c>
      <c r="E1070" s="92">
        <v>2989</v>
      </c>
      <c r="F1070" s="92">
        <v>254.41</v>
      </c>
      <c r="G1070" s="92">
        <v>59.78</v>
      </c>
      <c r="H1070" s="93">
        <v>36432.120000000003</v>
      </c>
      <c r="I1070" s="93">
        <v>34373.5</v>
      </c>
      <c r="J1070" s="93">
        <v>1371.15</v>
      </c>
      <c r="K1070" s="93">
        <v>687.47</v>
      </c>
      <c r="L1070" s="43">
        <v>11.029374634822702</v>
      </c>
      <c r="M1070" s="43">
        <v>11.5</v>
      </c>
      <c r="N1070" s="43">
        <v>5.3895287134939664</v>
      </c>
      <c r="O1070" s="43">
        <v>11.5</v>
      </c>
      <c r="P1070" s="94"/>
      <c r="Q1070" s="94"/>
      <c r="R1070" s="94">
        <v>2</v>
      </c>
    </row>
    <row r="1071" spans="1:18" ht="24">
      <c r="A1071" s="90">
        <v>776</v>
      </c>
      <c r="B1071" s="87" t="s">
        <v>1997</v>
      </c>
      <c r="C1071" s="91" t="s">
        <v>1998</v>
      </c>
      <c r="D1071" s="92">
        <v>185.22</v>
      </c>
      <c r="E1071" s="92">
        <v>111.19</v>
      </c>
      <c r="F1071" s="92">
        <v>71.81</v>
      </c>
      <c r="G1071" s="92">
        <v>2.2200000000000002</v>
      </c>
      <c r="H1071" s="93">
        <v>1691.3</v>
      </c>
      <c r="I1071" s="93">
        <v>1278.71</v>
      </c>
      <c r="J1071" s="93">
        <v>387.06</v>
      </c>
      <c r="K1071" s="93">
        <v>25.53</v>
      </c>
      <c r="L1071" s="43">
        <v>9.131303314976785</v>
      </c>
      <c r="M1071" s="43">
        <v>11.500224840363343</v>
      </c>
      <c r="N1071" s="43">
        <v>5.390057095112101</v>
      </c>
      <c r="O1071" s="43">
        <v>11.5</v>
      </c>
      <c r="P1071" s="94"/>
      <c r="Q1071" s="94"/>
      <c r="R1071" s="94">
        <v>2</v>
      </c>
    </row>
    <row r="1072" spans="1:18" ht="24">
      <c r="A1072" s="90">
        <v>777</v>
      </c>
      <c r="B1072" s="87" t="s">
        <v>1999</v>
      </c>
      <c r="C1072" s="91" t="s">
        <v>2000</v>
      </c>
      <c r="D1072" s="92">
        <v>637.37</v>
      </c>
      <c r="E1072" s="92">
        <v>572.17999999999995</v>
      </c>
      <c r="F1072" s="92">
        <v>53.75</v>
      </c>
      <c r="G1072" s="92">
        <v>11.44</v>
      </c>
      <c r="H1072" s="93">
        <v>7001.32</v>
      </c>
      <c r="I1072" s="93">
        <v>6580.07</v>
      </c>
      <c r="J1072" s="93">
        <v>289.69</v>
      </c>
      <c r="K1072" s="93">
        <v>131.56</v>
      </c>
      <c r="L1072" s="43">
        <v>10.984702762916358</v>
      </c>
      <c r="M1072" s="43">
        <v>11.5</v>
      </c>
      <c r="N1072" s="43">
        <v>5.389581395348837</v>
      </c>
      <c r="O1072" s="43">
        <v>11.5</v>
      </c>
      <c r="P1072" s="94"/>
      <c r="Q1072" s="94"/>
      <c r="R1072" s="94">
        <v>2</v>
      </c>
    </row>
    <row r="1073" spans="1:18" ht="24">
      <c r="A1073" s="90">
        <v>778</v>
      </c>
      <c r="B1073" s="87" t="s">
        <v>2001</v>
      </c>
      <c r="C1073" s="91" t="s">
        <v>2002</v>
      </c>
      <c r="D1073" s="92">
        <v>2580.11</v>
      </c>
      <c r="E1073" s="92">
        <v>1996.54</v>
      </c>
      <c r="F1073" s="92">
        <v>543.64</v>
      </c>
      <c r="G1073" s="92">
        <v>39.93</v>
      </c>
      <c r="H1073" s="93">
        <v>26350.09</v>
      </c>
      <c r="I1073" s="93">
        <v>22961.119999999999</v>
      </c>
      <c r="J1073" s="93">
        <v>2929.77</v>
      </c>
      <c r="K1073" s="93">
        <v>459.2</v>
      </c>
      <c r="L1073" s="43">
        <v>10.212777749785861</v>
      </c>
      <c r="M1073" s="43">
        <v>11.500455788514129</v>
      </c>
      <c r="N1073" s="43">
        <v>5.3891729821205212</v>
      </c>
      <c r="O1073" s="43">
        <v>11.500125219133484</v>
      </c>
      <c r="P1073" s="94"/>
      <c r="Q1073" s="94"/>
      <c r="R1073" s="94">
        <v>2</v>
      </c>
    </row>
    <row r="1074" spans="1:18" ht="24">
      <c r="A1074" s="90">
        <v>779</v>
      </c>
      <c r="B1074" s="87" t="s">
        <v>2003</v>
      </c>
      <c r="C1074" s="91" t="s">
        <v>2004</v>
      </c>
      <c r="D1074" s="92">
        <v>3881.72</v>
      </c>
      <c r="E1074" s="92">
        <v>2902.41</v>
      </c>
      <c r="F1074" s="92">
        <v>921.26</v>
      </c>
      <c r="G1074" s="92">
        <v>58.05</v>
      </c>
      <c r="H1074" s="93">
        <v>39012.089999999997</v>
      </c>
      <c r="I1074" s="93">
        <v>33379.07</v>
      </c>
      <c r="J1074" s="93">
        <v>4965.4399999999996</v>
      </c>
      <c r="K1074" s="93">
        <v>667.58</v>
      </c>
      <c r="L1074" s="43">
        <v>10.050207124676689</v>
      </c>
      <c r="M1074" s="43">
        <v>11.50046685340803</v>
      </c>
      <c r="N1074" s="43">
        <v>5.3898356598571517</v>
      </c>
      <c r="O1074" s="43">
        <v>11.500086132644274</v>
      </c>
      <c r="P1074" s="94"/>
      <c r="Q1074" s="94"/>
      <c r="R1074" s="94">
        <v>2</v>
      </c>
    </row>
    <row r="1075" spans="1:18" ht="12.75" customHeight="1">
      <c r="A1075" s="628" t="s">
        <v>2005</v>
      </c>
      <c r="B1075" s="629"/>
      <c r="C1075" s="629"/>
      <c r="D1075" s="629"/>
      <c r="E1075" s="629"/>
      <c r="F1075" s="629"/>
      <c r="G1075" s="629"/>
      <c r="H1075" s="629"/>
      <c r="I1075" s="629"/>
      <c r="J1075" s="629"/>
      <c r="K1075" s="629"/>
      <c r="L1075" s="629"/>
      <c r="M1075" s="629"/>
      <c r="N1075" s="629"/>
      <c r="O1075" s="629"/>
      <c r="P1075" s="629"/>
      <c r="Q1075" s="629"/>
      <c r="R1075" s="629"/>
    </row>
    <row r="1076" spans="1:18" ht="24">
      <c r="A1076" s="90">
        <v>780</v>
      </c>
      <c r="B1076" s="87" t="s">
        <v>2006</v>
      </c>
      <c r="C1076" s="91" t="s">
        <v>2007</v>
      </c>
      <c r="D1076" s="92">
        <v>952.23</v>
      </c>
      <c r="E1076" s="92">
        <v>305.31</v>
      </c>
      <c r="F1076" s="92">
        <v>529.74</v>
      </c>
      <c r="G1076" s="92">
        <v>117.18</v>
      </c>
      <c r="H1076" s="93">
        <v>6864.43</v>
      </c>
      <c r="I1076" s="93">
        <v>3511.04</v>
      </c>
      <c r="J1076" s="93">
        <v>2795.16</v>
      </c>
      <c r="K1076" s="93">
        <v>558.23</v>
      </c>
      <c r="L1076" s="43">
        <v>7.2087940938638777</v>
      </c>
      <c r="M1076" s="43">
        <v>11.499918116013232</v>
      </c>
      <c r="N1076" s="43">
        <v>5.2764752520104201</v>
      </c>
      <c r="O1076" s="43">
        <v>4.763867554190135</v>
      </c>
      <c r="P1076" s="94"/>
      <c r="Q1076" s="94"/>
      <c r="R1076" s="94">
        <v>3</v>
      </c>
    </row>
    <row r="1077" spans="1:18" ht="24">
      <c r="A1077" s="90">
        <v>781</v>
      </c>
      <c r="B1077" s="87" t="s">
        <v>2008</v>
      </c>
      <c r="C1077" s="91" t="s">
        <v>2009</v>
      </c>
      <c r="D1077" s="92">
        <v>749.56</v>
      </c>
      <c r="E1077" s="92">
        <v>211.55</v>
      </c>
      <c r="F1077" s="92">
        <v>360.69</v>
      </c>
      <c r="G1077" s="92">
        <v>177.32</v>
      </c>
      <c r="H1077" s="93">
        <v>5473.53</v>
      </c>
      <c r="I1077" s="93">
        <v>2432.87</v>
      </c>
      <c r="J1077" s="93">
        <v>2169.61</v>
      </c>
      <c r="K1077" s="93">
        <v>871.05</v>
      </c>
      <c r="L1077" s="43">
        <v>7.3023240300976573</v>
      </c>
      <c r="M1077" s="43">
        <v>11.500212715670052</v>
      </c>
      <c r="N1077" s="43">
        <v>6.015165377470959</v>
      </c>
      <c r="O1077" s="43">
        <v>4.9123054364989844</v>
      </c>
      <c r="P1077" s="94"/>
      <c r="Q1077" s="94"/>
      <c r="R1077" s="94">
        <v>3</v>
      </c>
    </row>
    <row r="1078" spans="1:18" ht="24">
      <c r="A1078" s="90">
        <v>782</v>
      </c>
      <c r="B1078" s="87" t="s">
        <v>2010</v>
      </c>
      <c r="C1078" s="91" t="s">
        <v>2011</v>
      </c>
      <c r="D1078" s="92">
        <v>949.25</v>
      </c>
      <c r="E1078" s="92">
        <v>255.53</v>
      </c>
      <c r="F1078" s="92">
        <v>515.52</v>
      </c>
      <c r="G1078" s="92">
        <v>178.2</v>
      </c>
      <c r="H1078" s="93">
        <v>6911.06</v>
      </c>
      <c r="I1078" s="93">
        <v>2938.6</v>
      </c>
      <c r="J1078" s="93">
        <v>3091.29</v>
      </c>
      <c r="K1078" s="93">
        <v>881.17</v>
      </c>
      <c r="L1078" s="43">
        <v>7.2805478008954445</v>
      </c>
      <c r="M1078" s="43">
        <v>11.500019567174109</v>
      </c>
      <c r="N1078" s="43">
        <v>5.9964501862197395</v>
      </c>
      <c r="O1078" s="43">
        <v>4.9448372615039284</v>
      </c>
      <c r="P1078" s="94"/>
      <c r="Q1078" s="94"/>
      <c r="R1078" s="94">
        <v>3</v>
      </c>
    </row>
    <row r="1079" spans="1:18" ht="24">
      <c r="A1079" s="90">
        <v>783</v>
      </c>
      <c r="B1079" s="87" t="s">
        <v>2012</v>
      </c>
      <c r="C1079" s="91" t="s">
        <v>2013</v>
      </c>
      <c r="D1079" s="92">
        <v>1339.43</v>
      </c>
      <c r="E1079" s="92">
        <v>340.77</v>
      </c>
      <c r="F1079" s="92">
        <v>818.75</v>
      </c>
      <c r="G1079" s="92">
        <v>179.91</v>
      </c>
      <c r="H1079" s="93">
        <v>9694.9599999999991</v>
      </c>
      <c r="I1079" s="93">
        <v>3918.86</v>
      </c>
      <c r="J1079" s="93">
        <v>4875.2700000000004</v>
      </c>
      <c r="K1079" s="93">
        <v>900.83</v>
      </c>
      <c r="L1079" s="43">
        <v>7.2381236794755965</v>
      </c>
      <c r="M1079" s="43">
        <v>11.50001467265311</v>
      </c>
      <c r="N1079" s="43">
        <v>5.95452824427481</v>
      </c>
      <c r="O1079" s="43">
        <v>5.0071146684453343</v>
      </c>
      <c r="P1079" s="94"/>
      <c r="Q1079" s="94"/>
      <c r="R1079" s="94">
        <v>3</v>
      </c>
    </row>
    <row r="1080" spans="1:18" ht="24">
      <c r="A1080" s="90">
        <v>784</v>
      </c>
      <c r="B1080" s="87" t="s">
        <v>2014</v>
      </c>
      <c r="C1080" s="91" t="s">
        <v>2015</v>
      </c>
      <c r="D1080" s="92">
        <v>4548.87</v>
      </c>
      <c r="E1080" s="92">
        <v>663.68</v>
      </c>
      <c r="F1080" s="92">
        <v>3232.16</v>
      </c>
      <c r="G1080" s="92">
        <v>653.03</v>
      </c>
      <c r="H1080" s="93">
        <v>27513.21</v>
      </c>
      <c r="I1080" s="93">
        <v>7632.32</v>
      </c>
      <c r="J1080" s="93">
        <v>17358.099999999999</v>
      </c>
      <c r="K1080" s="93">
        <v>2522.79</v>
      </c>
      <c r="L1080" s="43">
        <v>6.0483614611980556</v>
      </c>
      <c r="M1080" s="43">
        <v>11.5</v>
      </c>
      <c r="N1080" s="43">
        <v>5.3704333943864162</v>
      </c>
      <c r="O1080" s="43">
        <v>3.8632068970797668</v>
      </c>
      <c r="P1080" s="94"/>
      <c r="Q1080" s="94"/>
      <c r="R1080" s="94">
        <v>3</v>
      </c>
    </row>
    <row r="1081" spans="1:18" ht="24">
      <c r="A1081" s="90">
        <v>785</v>
      </c>
      <c r="B1081" s="87" t="s">
        <v>2016</v>
      </c>
      <c r="C1081" s="91" t="s">
        <v>2017</v>
      </c>
      <c r="D1081" s="92">
        <v>5597.83</v>
      </c>
      <c r="E1081" s="92">
        <v>831.78</v>
      </c>
      <c r="F1081" s="92">
        <v>4109.6499999999996</v>
      </c>
      <c r="G1081" s="92">
        <v>656.4</v>
      </c>
      <c r="H1081" s="93">
        <v>34207.35</v>
      </c>
      <c r="I1081" s="93">
        <v>9565.52</v>
      </c>
      <c r="J1081" s="93">
        <v>22080.29</v>
      </c>
      <c r="K1081" s="93">
        <v>2561.54</v>
      </c>
      <c r="L1081" s="43">
        <v>6.1108233011720614</v>
      </c>
      <c r="M1081" s="43">
        <v>11.50006011204886</v>
      </c>
      <c r="N1081" s="43">
        <v>5.3727908702687586</v>
      </c>
      <c r="O1081" s="43">
        <v>3.9024070688604509</v>
      </c>
      <c r="P1081" s="94"/>
      <c r="Q1081" s="94"/>
      <c r="R1081" s="94">
        <v>3</v>
      </c>
    </row>
    <row r="1082" spans="1:18" ht="24">
      <c r="A1082" s="90">
        <v>786</v>
      </c>
      <c r="B1082" s="87" t="s">
        <v>2018</v>
      </c>
      <c r="C1082" s="91" t="s">
        <v>2019</v>
      </c>
      <c r="D1082" s="92">
        <v>1727.92</v>
      </c>
      <c r="E1082" s="92">
        <v>492.96</v>
      </c>
      <c r="F1082" s="92">
        <v>1184.1600000000001</v>
      </c>
      <c r="G1082" s="92">
        <v>50.8</v>
      </c>
      <c r="H1082" s="93">
        <v>12334.29</v>
      </c>
      <c r="I1082" s="93">
        <v>5669.25</v>
      </c>
      <c r="J1082" s="93">
        <v>6359.72</v>
      </c>
      <c r="K1082" s="93">
        <v>305.32</v>
      </c>
      <c r="L1082" s="43">
        <v>7.1382297791564424</v>
      </c>
      <c r="M1082" s="43">
        <v>11.500425998052581</v>
      </c>
      <c r="N1082" s="43">
        <v>5.3706593703553569</v>
      </c>
      <c r="O1082" s="43">
        <v>6.0102362204724411</v>
      </c>
      <c r="P1082" s="94"/>
      <c r="Q1082" s="94"/>
      <c r="R1082" s="94">
        <v>3</v>
      </c>
    </row>
    <row r="1083" spans="1:18" ht="24">
      <c r="A1083" s="90">
        <v>787</v>
      </c>
      <c r="B1083" s="87" t="s">
        <v>2020</v>
      </c>
      <c r="C1083" s="91" t="s">
        <v>2021</v>
      </c>
      <c r="D1083" s="92">
        <v>2361.65</v>
      </c>
      <c r="E1083" s="92">
        <v>641.85</v>
      </c>
      <c r="F1083" s="92">
        <v>1666.02</v>
      </c>
      <c r="G1083" s="92">
        <v>53.78</v>
      </c>
      <c r="H1083" s="93">
        <v>16668.93</v>
      </c>
      <c r="I1083" s="93">
        <v>7381.55</v>
      </c>
      <c r="J1083" s="93">
        <v>8947.7900000000009</v>
      </c>
      <c r="K1083" s="93">
        <v>339.59</v>
      </c>
      <c r="L1083" s="43">
        <v>7.0581711938686933</v>
      </c>
      <c r="M1083" s="43">
        <v>11.500428449014567</v>
      </c>
      <c r="N1083" s="43">
        <v>5.3707578540473708</v>
      </c>
      <c r="O1083" s="43">
        <v>6.3144291558200072</v>
      </c>
      <c r="P1083" s="94"/>
      <c r="Q1083" s="94"/>
      <c r="R1083" s="94">
        <v>3</v>
      </c>
    </row>
    <row r="1084" spans="1:18" ht="24">
      <c r="A1084" s="90">
        <v>788</v>
      </c>
      <c r="B1084" s="87" t="s">
        <v>2022</v>
      </c>
      <c r="C1084" s="91" t="s">
        <v>2023</v>
      </c>
      <c r="D1084" s="92">
        <v>1153.55</v>
      </c>
      <c r="E1084" s="92">
        <v>283.02999999999997</v>
      </c>
      <c r="F1084" s="92">
        <v>450.04</v>
      </c>
      <c r="G1084" s="92">
        <v>420.48</v>
      </c>
      <c r="H1084" s="93">
        <v>7173.33</v>
      </c>
      <c r="I1084" s="93">
        <v>3254.93</v>
      </c>
      <c r="J1084" s="93">
        <v>2308.6</v>
      </c>
      <c r="K1084" s="93">
        <v>1609.8</v>
      </c>
      <c r="L1084" s="43">
        <v>6.2184820770664473</v>
      </c>
      <c r="M1084" s="43">
        <v>11.500300321520687</v>
      </c>
      <c r="N1084" s="43">
        <v>5.1297662430006215</v>
      </c>
      <c r="O1084" s="43">
        <v>3.828481735159817</v>
      </c>
      <c r="P1084" s="94"/>
      <c r="Q1084" s="94"/>
      <c r="R1084" s="94">
        <v>3</v>
      </c>
    </row>
    <row r="1085" spans="1:18" ht="24">
      <c r="A1085" s="90">
        <v>789</v>
      </c>
      <c r="B1085" s="87" t="s">
        <v>2024</v>
      </c>
      <c r="C1085" s="91" t="s">
        <v>2025</v>
      </c>
      <c r="D1085" s="92">
        <v>923.5</v>
      </c>
      <c r="E1085" s="92">
        <v>188.83</v>
      </c>
      <c r="F1085" s="92">
        <v>395.88</v>
      </c>
      <c r="G1085" s="92">
        <v>338.79</v>
      </c>
      <c r="H1085" s="93">
        <v>5496.98</v>
      </c>
      <c r="I1085" s="93">
        <v>2171.5700000000002</v>
      </c>
      <c r="J1085" s="93">
        <v>2041.2</v>
      </c>
      <c r="K1085" s="93">
        <v>1284.21</v>
      </c>
      <c r="L1085" s="43">
        <v>5.9523335138061713</v>
      </c>
      <c r="M1085" s="43">
        <v>11.500132394217021</v>
      </c>
      <c r="N1085" s="43">
        <v>5.1561079114883297</v>
      </c>
      <c r="O1085" s="43">
        <v>3.7905782343044363</v>
      </c>
      <c r="P1085" s="94"/>
      <c r="Q1085" s="94"/>
      <c r="R1085" s="94">
        <v>3</v>
      </c>
    </row>
    <row r="1086" spans="1:18" ht="12.75" customHeight="1">
      <c r="A1086" s="628" t="s">
        <v>2026</v>
      </c>
      <c r="B1086" s="629"/>
      <c r="C1086" s="629"/>
      <c r="D1086" s="629"/>
      <c r="E1086" s="629"/>
      <c r="F1086" s="629"/>
      <c r="G1086" s="629"/>
      <c r="H1086" s="629"/>
      <c r="I1086" s="629"/>
      <c r="J1086" s="629"/>
      <c r="K1086" s="629"/>
      <c r="L1086" s="629"/>
      <c r="M1086" s="629"/>
      <c r="N1086" s="629"/>
      <c r="O1086" s="629"/>
      <c r="P1086" s="629"/>
      <c r="Q1086" s="629"/>
      <c r="R1086" s="629"/>
    </row>
    <row r="1087" spans="1:18" ht="24">
      <c r="A1087" s="90">
        <v>790</v>
      </c>
      <c r="B1087" s="87" t="s">
        <v>2027</v>
      </c>
      <c r="C1087" s="91" t="s">
        <v>2028</v>
      </c>
      <c r="D1087" s="92">
        <v>1301.72</v>
      </c>
      <c r="E1087" s="92">
        <v>501.26</v>
      </c>
      <c r="F1087" s="92">
        <v>543.33000000000004</v>
      </c>
      <c r="G1087" s="92">
        <v>257.13</v>
      </c>
      <c r="H1087" s="93">
        <v>9790.58</v>
      </c>
      <c r="I1087" s="93">
        <v>5764.64</v>
      </c>
      <c r="J1087" s="93">
        <v>2862.4</v>
      </c>
      <c r="K1087" s="93">
        <v>1163.54</v>
      </c>
      <c r="L1087" s="43">
        <v>7.5212641735549886</v>
      </c>
      <c r="M1087" s="43">
        <v>11.500299245900331</v>
      </c>
      <c r="N1087" s="43">
        <v>5.2682531794673588</v>
      </c>
      <c r="O1087" s="43">
        <v>4.525104032979427</v>
      </c>
      <c r="P1087" s="94"/>
      <c r="Q1087" s="94"/>
      <c r="R1087" s="94">
        <v>4</v>
      </c>
    </row>
    <row r="1088" spans="1:18" ht="24">
      <c r="A1088" s="90">
        <v>791</v>
      </c>
      <c r="B1088" s="87" t="s">
        <v>2029</v>
      </c>
      <c r="C1088" s="91" t="s">
        <v>2030</v>
      </c>
      <c r="D1088" s="92">
        <v>2736.21</v>
      </c>
      <c r="E1088" s="92">
        <v>1062.96</v>
      </c>
      <c r="F1088" s="92">
        <v>613.44000000000005</v>
      </c>
      <c r="G1088" s="92">
        <v>1059.81</v>
      </c>
      <c r="H1088" s="93">
        <v>21084.49</v>
      </c>
      <c r="I1088" s="93">
        <v>12224.04</v>
      </c>
      <c r="J1088" s="93">
        <v>3681.56</v>
      </c>
      <c r="K1088" s="93">
        <v>5178.8900000000003</v>
      </c>
      <c r="L1088" s="43">
        <v>7.7057279960236977</v>
      </c>
      <c r="M1088" s="43">
        <v>11.5</v>
      </c>
      <c r="N1088" s="43">
        <v>6.0014997391757952</v>
      </c>
      <c r="O1088" s="43">
        <v>4.8866211868165053</v>
      </c>
      <c r="P1088" s="94"/>
      <c r="Q1088" s="94"/>
      <c r="R1088" s="94">
        <v>4</v>
      </c>
    </row>
    <row r="1089" spans="1:18" ht="24">
      <c r="A1089" s="90">
        <v>792</v>
      </c>
      <c r="B1089" s="87" t="s">
        <v>2031</v>
      </c>
      <c r="C1089" s="91" t="s">
        <v>2032</v>
      </c>
      <c r="D1089" s="92">
        <v>3089.61</v>
      </c>
      <c r="E1089" s="92">
        <v>1186.8</v>
      </c>
      <c r="F1089" s="92">
        <v>840.52</v>
      </c>
      <c r="G1089" s="92">
        <v>1062.29</v>
      </c>
      <c r="H1089" s="93">
        <v>23886.26</v>
      </c>
      <c r="I1089" s="93">
        <v>13648.2</v>
      </c>
      <c r="J1089" s="93">
        <v>5030.6499999999996</v>
      </c>
      <c r="K1089" s="93">
        <v>5207.41</v>
      </c>
      <c r="L1089" s="43">
        <v>7.7311570068714168</v>
      </c>
      <c r="M1089" s="43">
        <v>11.500000000000002</v>
      </c>
      <c r="N1089" s="43">
        <v>5.985163946128587</v>
      </c>
      <c r="O1089" s="43">
        <v>4.902060642574062</v>
      </c>
      <c r="P1089" s="94"/>
      <c r="Q1089" s="94"/>
      <c r="R1089" s="94">
        <v>4</v>
      </c>
    </row>
    <row r="1090" spans="1:18" ht="24">
      <c r="A1090" s="90">
        <v>793</v>
      </c>
      <c r="B1090" s="87" t="s">
        <v>2033</v>
      </c>
      <c r="C1090" s="91" t="s">
        <v>2034</v>
      </c>
      <c r="D1090" s="92">
        <v>3279.37</v>
      </c>
      <c r="E1090" s="92">
        <v>1283.94</v>
      </c>
      <c r="F1090" s="92">
        <v>931.2</v>
      </c>
      <c r="G1090" s="92">
        <v>1064.23</v>
      </c>
      <c r="H1090" s="93">
        <v>25552.95</v>
      </c>
      <c r="I1090" s="93">
        <v>14765.94</v>
      </c>
      <c r="J1090" s="93">
        <v>5557.29</v>
      </c>
      <c r="K1090" s="93">
        <v>5229.72</v>
      </c>
      <c r="L1090" s="43">
        <v>7.7920301765278088</v>
      </c>
      <c r="M1090" s="43">
        <v>11.500490677134446</v>
      </c>
      <c r="N1090" s="43">
        <v>5.9678801546391753</v>
      </c>
      <c r="O1090" s="43">
        <v>4.9140881200492377</v>
      </c>
      <c r="P1090" s="94"/>
      <c r="Q1090" s="94"/>
      <c r="R1090" s="94">
        <v>4</v>
      </c>
    </row>
    <row r="1091" spans="1:18" ht="24">
      <c r="A1091" s="95">
        <v>794</v>
      </c>
      <c r="B1091" s="96" t="s">
        <v>2035</v>
      </c>
      <c r="C1091" s="97" t="s">
        <v>2036</v>
      </c>
      <c r="D1091" s="98">
        <v>4290.0200000000004</v>
      </c>
      <c r="E1091" s="98">
        <v>3449.74</v>
      </c>
      <c r="F1091" s="98">
        <v>361.91</v>
      </c>
      <c r="G1091" s="98">
        <v>478.37</v>
      </c>
      <c r="H1091" s="99">
        <v>44335.3</v>
      </c>
      <c r="I1091" s="99">
        <v>39672.01</v>
      </c>
      <c r="J1091" s="99">
        <v>1950.52</v>
      </c>
      <c r="K1091" s="99">
        <v>2712.77</v>
      </c>
      <c r="L1091" s="611">
        <v>10.334520584985617</v>
      </c>
      <c r="M1091" s="611">
        <v>11.500000000000002</v>
      </c>
      <c r="N1091" s="611">
        <v>5.3895167306788974</v>
      </c>
      <c r="O1091" s="611">
        <v>5.670861467065242</v>
      </c>
      <c r="P1091" s="100"/>
      <c r="Q1091" s="100"/>
      <c r="R1091" s="100">
        <v>4</v>
      </c>
    </row>
    <row r="1092" spans="1:18" ht="12.75" customHeight="1">
      <c r="A1092" s="630" t="s">
        <v>2037</v>
      </c>
      <c r="B1092" s="631"/>
      <c r="C1092" s="631"/>
      <c r="D1092" s="631"/>
      <c r="E1092" s="631"/>
      <c r="F1092" s="631"/>
      <c r="G1092" s="631"/>
      <c r="H1092" s="631"/>
      <c r="I1092" s="631"/>
      <c r="J1092" s="631"/>
      <c r="K1092" s="631"/>
      <c r="L1092" s="631"/>
      <c r="M1092" s="631"/>
      <c r="N1092" s="631"/>
      <c r="O1092" s="631"/>
      <c r="P1092" s="631"/>
      <c r="Q1092" s="631"/>
      <c r="R1092" s="631"/>
    </row>
    <row r="1093" spans="1:18" ht="12.75" customHeight="1">
      <c r="A1093" s="628" t="s">
        <v>2038</v>
      </c>
      <c r="B1093" s="629"/>
      <c r="C1093" s="629"/>
      <c r="D1093" s="629"/>
      <c r="E1093" s="629"/>
      <c r="F1093" s="629"/>
      <c r="G1093" s="629"/>
      <c r="H1093" s="629"/>
      <c r="I1093" s="629"/>
      <c r="J1093" s="629"/>
      <c r="K1093" s="629"/>
      <c r="L1093" s="629"/>
      <c r="M1093" s="629"/>
      <c r="N1093" s="629"/>
      <c r="O1093" s="629"/>
      <c r="P1093" s="629"/>
      <c r="Q1093" s="629"/>
      <c r="R1093" s="629"/>
    </row>
    <row r="1094" spans="1:18" ht="17.25" customHeight="1">
      <c r="A1094" s="628" t="s">
        <v>2039</v>
      </c>
      <c r="B1094" s="629"/>
      <c r="C1094" s="629"/>
      <c r="D1094" s="629"/>
      <c r="E1094" s="629"/>
      <c r="F1094" s="629"/>
      <c r="G1094" s="629"/>
      <c r="H1094" s="629"/>
      <c r="I1094" s="629"/>
      <c r="J1094" s="629"/>
      <c r="K1094" s="629"/>
      <c r="L1094" s="629"/>
      <c r="M1094" s="629"/>
      <c r="N1094" s="629"/>
      <c r="O1094" s="629"/>
      <c r="P1094" s="629"/>
      <c r="Q1094" s="629"/>
      <c r="R1094" s="629"/>
    </row>
    <row r="1095" spans="1:18" ht="38.25" customHeight="1">
      <c r="A1095" s="90">
        <v>795</v>
      </c>
      <c r="B1095" s="87" t="s">
        <v>2040</v>
      </c>
      <c r="C1095" s="91" t="s">
        <v>2041</v>
      </c>
      <c r="D1095" s="92">
        <v>20552.27</v>
      </c>
      <c r="E1095" s="92">
        <v>10805.04</v>
      </c>
      <c r="F1095" s="92">
        <v>7131.86</v>
      </c>
      <c r="G1095" s="92">
        <v>2615.37</v>
      </c>
      <c r="H1095" s="93">
        <v>179542.63</v>
      </c>
      <c r="I1095" s="93">
        <v>124257.96</v>
      </c>
      <c r="J1095" s="93">
        <v>43158.15</v>
      </c>
      <c r="K1095" s="93">
        <v>12126.52</v>
      </c>
      <c r="L1095" s="43">
        <v>8.7359026521158007</v>
      </c>
      <c r="M1095" s="43">
        <v>11.5</v>
      </c>
      <c r="N1095" s="43">
        <v>6.0514578244665493</v>
      </c>
      <c r="O1095" s="43">
        <v>4.6366364988510229</v>
      </c>
      <c r="P1095" s="94"/>
      <c r="Q1095" s="94"/>
      <c r="R1095" s="94">
        <v>1</v>
      </c>
    </row>
    <row r="1096" spans="1:18" ht="36">
      <c r="A1096" s="90">
        <v>796</v>
      </c>
      <c r="B1096" s="87" t="s">
        <v>2042</v>
      </c>
      <c r="C1096" s="91" t="s">
        <v>2043</v>
      </c>
      <c r="D1096" s="92">
        <v>27262.06</v>
      </c>
      <c r="E1096" s="92">
        <v>14389.65</v>
      </c>
      <c r="F1096" s="92">
        <v>9565.1299999999992</v>
      </c>
      <c r="G1096" s="92">
        <v>3307.28</v>
      </c>
      <c r="H1096" s="93">
        <v>239086.87</v>
      </c>
      <c r="I1096" s="93">
        <v>165487.85999999999</v>
      </c>
      <c r="J1096" s="93">
        <v>57719.27</v>
      </c>
      <c r="K1096" s="93">
        <v>15879.74</v>
      </c>
      <c r="L1096" s="43">
        <v>8.7699487859684844</v>
      </c>
      <c r="M1096" s="43">
        <v>11.500478468899521</v>
      </c>
      <c r="N1096" s="43">
        <v>6.034342450128749</v>
      </c>
      <c r="O1096" s="43">
        <v>4.8014501342492917</v>
      </c>
      <c r="P1096" s="94"/>
      <c r="Q1096" s="94"/>
      <c r="R1096" s="94">
        <v>1</v>
      </c>
    </row>
    <row r="1097" spans="1:18" ht="36">
      <c r="A1097" s="90">
        <v>797</v>
      </c>
      <c r="B1097" s="87" t="s">
        <v>2044</v>
      </c>
      <c r="C1097" s="91" t="s">
        <v>2045</v>
      </c>
      <c r="D1097" s="92">
        <v>34103.5</v>
      </c>
      <c r="E1097" s="92">
        <v>17702.3</v>
      </c>
      <c r="F1097" s="92">
        <v>12746.72</v>
      </c>
      <c r="G1097" s="92">
        <v>3654.48</v>
      </c>
      <c r="H1097" s="93">
        <v>299242.43</v>
      </c>
      <c r="I1097" s="93">
        <v>203584.92</v>
      </c>
      <c r="J1097" s="93">
        <v>76933.56</v>
      </c>
      <c r="K1097" s="93">
        <v>18723.95</v>
      </c>
      <c r="L1097" s="43">
        <v>8.7745372175876373</v>
      </c>
      <c r="M1097" s="43">
        <v>11.500478468899523</v>
      </c>
      <c r="N1097" s="43">
        <v>6.0355573826050941</v>
      </c>
      <c r="O1097" s="43">
        <v>5.1235606707383816</v>
      </c>
      <c r="P1097" s="94"/>
      <c r="Q1097" s="94"/>
      <c r="R1097" s="94">
        <v>1</v>
      </c>
    </row>
    <row r="1098" spans="1:18" ht="48">
      <c r="A1098" s="90">
        <v>798</v>
      </c>
      <c r="B1098" s="87" t="s">
        <v>2046</v>
      </c>
      <c r="C1098" s="91" t="s">
        <v>2047</v>
      </c>
      <c r="D1098" s="92">
        <v>1128.68</v>
      </c>
      <c r="E1098" s="92">
        <v>565.35</v>
      </c>
      <c r="F1098" s="92">
        <v>405.79</v>
      </c>
      <c r="G1098" s="92">
        <v>157.54</v>
      </c>
      <c r="H1098" s="93">
        <v>9677.7199999999993</v>
      </c>
      <c r="I1098" s="93">
        <v>6501.74</v>
      </c>
      <c r="J1098" s="93">
        <v>2449.3200000000002</v>
      </c>
      <c r="K1098" s="93">
        <v>726.66</v>
      </c>
      <c r="L1098" s="43">
        <v>8.5743700606017637</v>
      </c>
      <c r="M1098" s="43">
        <v>11.500380295392233</v>
      </c>
      <c r="N1098" s="43">
        <v>6.0359299144877889</v>
      </c>
      <c r="O1098" s="43">
        <v>4.6125428462612668</v>
      </c>
      <c r="P1098" s="94"/>
      <c r="Q1098" s="94"/>
      <c r="R1098" s="94">
        <v>1</v>
      </c>
    </row>
    <row r="1099" spans="1:18" ht="48">
      <c r="A1099" s="90">
        <v>799</v>
      </c>
      <c r="B1099" s="87" t="s">
        <v>2048</v>
      </c>
      <c r="C1099" s="91" t="s">
        <v>2049</v>
      </c>
      <c r="D1099" s="92">
        <v>1350.03</v>
      </c>
      <c r="E1099" s="92">
        <v>671.94</v>
      </c>
      <c r="F1099" s="92">
        <v>504.26</v>
      </c>
      <c r="G1099" s="92">
        <v>173.83</v>
      </c>
      <c r="H1099" s="93">
        <v>11599.07</v>
      </c>
      <c r="I1099" s="93">
        <v>7727.57</v>
      </c>
      <c r="J1099" s="93">
        <v>3044.53</v>
      </c>
      <c r="K1099" s="93">
        <v>826.97</v>
      </c>
      <c r="L1099" s="43">
        <v>8.5917127767531092</v>
      </c>
      <c r="M1099" s="43">
        <v>11.500386939310056</v>
      </c>
      <c r="N1099" s="43">
        <v>6.0376194820132474</v>
      </c>
      <c r="O1099" s="43">
        <v>4.7573491342115855</v>
      </c>
      <c r="P1099" s="94"/>
      <c r="Q1099" s="94"/>
      <c r="R1099" s="94">
        <v>1</v>
      </c>
    </row>
    <row r="1100" spans="1:18" ht="48">
      <c r="A1100" s="90">
        <v>800</v>
      </c>
      <c r="B1100" s="87" t="s">
        <v>2050</v>
      </c>
      <c r="C1100" s="91" t="s">
        <v>2051</v>
      </c>
      <c r="D1100" s="92">
        <v>109.79</v>
      </c>
      <c r="E1100" s="92">
        <v>107.64</v>
      </c>
      <c r="F1100" s="92"/>
      <c r="G1100" s="92">
        <v>2.15</v>
      </c>
      <c r="H1100" s="93">
        <v>1262.58</v>
      </c>
      <c r="I1100" s="93">
        <v>1237.8499999999999</v>
      </c>
      <c r="J1100" s="93"/>
      <c r="K1100" s="93">
        <v>24.73</v>
      </c>
      <c r="L1100" s="43">
        <v>11.499954458511702</v>
      </c>
      <c r="M1100" s="43">
        <v>11.499907097733184</v>
      </c>
      <c r="N1100" s="43" t="s">
        <v>1690</v>
      </c>
      <c r="O1100" s="43">
        <v>11.502325581395349</v>
      </c>
      <c r="P1100" s="94"/>
      <c r="Q1100" s="94"/>
      <c r="R1100" s="94">
        <v>1</v>
      </c>
    </row>
    <row r="1101" spans="1:18" ht="48">
      <c r="A1101" s="90">
        <v>801</v>
      </c>
      <c r="B1101" s="87" t="s">
        <v>2052</v>
      </c>
      <c r="C1101" s="91" t="s">
        <v>2053</v>
      </c>
      <c r="D1101" s="92">
        <v>141.77000000000001</v>
      </c>
      <c r="E1101" s="92">
        <v>138.99</v>
      </c>
      <c r="F1101" s="92"/>
      <c r="G1101" s="92">
        <v>2.78</v>
      </c>
      <c r="H1101" s="93">
        <v>1630.36</v>
      </c>
      <c r="I1101" s="93">
        <v>1598.39</v>
      </c>
      <c r="J1101" s="93"/>
      <c r="K1101" s="93">
        <v>31.97</v>
      </c>
      <c r="L1101" s="43">
        <v>11.500035268392464</v>
      </c>
      <c r="M1101" s="43">
        <v>11.500035973811066</v>
      </c>
      <c r="N1101" s="43" t="s">
        <v>1690</v>
      </c>
      <c r="O1101" s="43">
        <v>11.5</v>
      </c>
      <c r="P1101" s="94"/>
      <c r="Q1101" s="94"/>
      <c r="R1101" s="94">
        <v>1</v>
      </c>
    </row>
    <row r="1102" spans="1:18" ht="12.75" customHeight="1">
      <c r="A1102" s="628" t="s">
        <v>2054</v>
      </c>
      <c r="B1102" s="629"/>
      <c r="C1102" s="629"/>
      <c r="D1102" s="629"/>
      <c r="E1102" s="629"/>
      <c r="F1102" s="629"/>
      <c r="G1102" s="629"/>
      <c r="H1102" s="629"/>
      <c r="I1102" s="629"/>
      <c r="J1102" s="629"/>
      <c r="K1102" s="629"/>
      <c r="L1102" s="629"/>
      <c r="M1102" s="629"/>
      <c r="N1102" s="629"/>
      <c r="O1102" s="629"/>
      <c r="P1102" s="629"/>
      <c r="Q1102" s="629"/>
      <c r="R1102" s="629"/>
    </row>
    <row r="1103" spans="1:18" ht="36">
      <c r="A1103" s="90">
        <v>802</v>
      </c>
      <c r="B1103" s="87" t="s">
        <v>2055</v>
      </c>
      <c r="C1103" s="91" t="s">
        <v>2056</v>
      </c>
      <c r="D1103" s="92">
        <v>36374.68</v>
      </c>
      <c r="E1103" s="92">
        <v>20703.400000000001</v>
      </c>
      <c r="F1103" s="92">
        <v>11029.35</v>
      </c>
      <c r="G1103" s="92">
        <v>4641.93</v>
      </c>
      <c r="H1103" s="93">
        <v>323800.05</v>
      </c>
      <c r="I1103" s="93">
        <v>238089.1</v>
      </c>
      <c r="J1103" s="93">
        <v>63406.53</v>
      </c>
      <c r="K1103" s="93">
        <v>22304.42</v>
      </c>
      <c r="L1103" s="43">
        <v>8.9017978989780797</v>
      </c>
      <c r="M1103" s="43">
        <v>11.5</v>
      </c>
      <c r="N1103" s="43">
        <v>5.7488909137891167</v>
      </c>
      <c r="O1103" s="43">
        <v>4.8049884423074021</v>
      </c>
      <c r="P1103" s="94"/>
      <c r="Q1103" s="94"/>
      <c r="R1103" s="94">
        <v>2</v>
      </c>
    </row>
    <row r="1104" spans="1:18" ht="36">
      <c r="A1104" s="90">
        <v>803</v>
      </c>
      <c r="B1104" s="87" t="s">
        <v>2057</v>
      </c>
      <c r="C1104" s="91" t="s">
        <v>2058</v>
      </c>
      <c r="D1104" s="92">
        <v>1308.0999999999999</v>
      </c>
      <c r="E1104" s="92">
        <v>646.29999999999995</v>
      </c>
      <c r="F1104" s="92">
        <v>435.69</v>
      </c>
      <c r="G1104" s="92">
        <v>226.11</v>
      </c>
      <c r="H1104" s="93">
        <v>10978.9</v>
      </c>
      <c r="I1104" s="93">
        <v>7432.45</v>
      </c>
      <c r="J1104" s="93">
        <v>2500.36</v>
      </c>
      <c r="K1104" s="93">
        <v>1046.0899999999999</v>
      </c>
      <c r="L1104" s="43">
        <v>8.3930127666080576</v>
      </c>
      <c r="M1104" s="43">
        <v>11.5</v>
      </c>
      <c r="N1104" s="43">
        <v>5.7388510179255894</v>
      </c>
      <c r="O1104" s="43">
        <v>4.6264649949139791</v>
      </c>
      <c r="P1104" s="94"/>
      <c r="Q1104" s="94"/>
      <c r="R1104" s="94">
        <v>2</v>
      </c>
    </row>
    <row r="1105" spans="1:18" ht="36">
      <c r="A1105" s="90">
        <v>804</v>
      </c>
      <c r="B1105" s="87" t="s">
        <v>2059</v>
      </c>
      <c r="C1105" s="91" t="s">
        <v>2060</v>
      </c>
      <c r="D1105" s="92">
        <v>204.25</v>
      </c>
      <c r="E1105" s="92">
        <v>138.25</v>
      </c>
      <c r="F1105" s="92">
        <v>63.23</v>
      </c>
      <c r="G1105" s="92">
        <v>2.77</v>
      </c>
      <c r="H1105" s="93">
        <v>1985.38</v>
      </c>
      <c r="I1105" s="93">
        <v>1589.9</v>
      </c>
      <c r="J1105" s="93">
        <v>363.62</v>
      </c>
      <c r="K1105" s="93">
        <v>31.86</v>
      </c>
      <c r="L1105" s="43">
        <v>9.7203427172582622</v>
      </c>
      <c r="M1105" s="43">
        <v>11.500180831826402</v>
      </c>
      <c r="N1105" s="43">
        <v>5.7507512256840112</v>
      </c>
      <c r="O1105" s="43">
        <v>11.501805054151625</v>
      </c>
      <c r="P1105" s="94"/>
      <c r="Q1105" s="94"/>
      <c r="R1105" s="94">
        <v>2</v>
      </c>
    </row>
    <row r="1106" spans="1:18" ht="15" customHeight="1">
      <c r="A1106" s="628" t="s">
        <v>2061</v>
      </c>
      <c r="B1106" s="629"/>
      <c r="C1106" s="629"/>
      <c r="D1106" s="629"/>
      <c r="E1106" s="629"/>
      <c r="F1106" s="629"/>
      <c r="G1106" s="629"/>
      <c r="H1106" s="629"/>
      <c r="I1106" s="629"/>
      <c r="J1106" s="629"/>
      <c r="K1106" s="629"/>
      <c r="L1106" s="629"/>
      <c r="M1106" s="629"/>
      <c r="N1106" s="629"/>
      <c r="O1106" s="629"/>
      <c r="P1106" s="629"/>
      <c r="Q1106" s="629"/>
      <c r="R1106" s="629"/>
    </row>
    <row r="1107" spans="1:18" ht="36">
      <c r="A1107" s="90">
        <v>805</v>
      </c>
      <c r="B1107" s="87" t="s">
        <v>2062</v>
      </c>
      <c r="C1107" s="91" t="s">
        <v>2063</v>
      </c>
      <c r="D1107" s="92">
        <v>77704.429999999993</v>
      </c>
      <c r="E1107" s="92">
        <v>51476.4</v>
      </c>
      <c r="F1107" s="92">
        <v>20612.060000000001</v>
      </c>
      <c r="G1107" s="92">
        <v>5615.97</v>
      </c>
      <c r="H1107" s="93">
        <v>741905.19</v>
      </c>
      <c r="I1107" s="93">
        <v>592000.31999999995</v>
      </c>
      <c r="J1107" s="93">
        <v>118887.48</v>
      </c>
      <c r="K1107" s="93">
        <v>31017.39</v>
      </c>
      <c r="L1107" s="43">
        <v>9.5477849847170884</v>
      </c>
      <c r="M1107" s="43">
        <v>11.500421940928268</v>
      </c>
      <c r="N1107" s="43">
        <v>5.7678601750625598</v>
      </c>
      <c r="O1107" s="43">
        <v>5.5230690334884267</v>
      </c>
      <c r="P1107" s="94"/>
      <c r="Q1107" s="94"/>
      <c r="R1107" s="94">
        <v>3</v>
      </c>
    </row>
    <row r="1108" spans="1:18" ht="36">
      <c r="A1108" s="90">
        <v>806</v>
      </c>
      <c r="B1108" s="87" t="s">
        <v>2064</v>
      </c>
      <c r="C1108" s="91" t="s">
        <v>2065</v>
      </c>
      <c r="D1108" s="92">
        <v>78667.59</v>
      </c>
      <c r="E1108" s="92">
        <v>52211.58</v>
      </c>
      <c r="F1108" s="92">
        <v>20825.34</v>
      </c>
      <c r="G1108" s="92">
        <v>5630.67</v>
      </c>
      <c r="H1108" s="93">
        <v>751691.03</v>
      </c>
      <c r="I1108" s="93">
        <v>600455.54</v>
      </c>
      <c r="J1108" s="93">
        <v>120049.05</v>
      </c>
      <c r="K1108" s="93">
        <v>31186.44</v>
      </c>
      <c r="L1108" s="43">
        <v>9.5552822960510166</v>
      </c>
      <c r="M1108" s="43">
        <v>11.500428449014567</v>
      </c>
      <c r="N1108" s="43">
        <v>5.7645661487399487</v>
      </c>
      <c r="O1108" s="43">
        <v>5.5386730175982608</v>
      </c>
      <c r="P1108" s="94"/>
      <c r="Q1108" s="94"/>
      <c r="R1108" s="94">
        <v>3</v>
      </c>
    </row>
    <row r="1109" spans="1:18" ht="36">
      <c r="A1109" s="90">
        <v>807</v>
      </c>
      <c r="B1109" s="87" t="s">
        <v>2066</v>
      </c>
      <c r="C1109" s="91" t="s">
        <v>2067</v>
      </c>
      <c r="D1109" s="92">
        <v>2510.14</v>
      </c>
      <c r="E1109" s="92">
        <v>1365.39</v>
      </c>
      <c r="F1109" s="92">
        <v>887.05</v>
      </c>
      <c r="G1109" s="92">
        <v>257.7</v>
      </c>
      <c r="H1109" s="93">
        <v>22136.45</v>
      </c>
      <c r="I1109" s="93">
        <v>15702.57</v>
      </c>
      <c r="J1109" s="93">
        <v>5133.04</v>
      </c>
      <c r="K1109" s="93">
        <v>1300.8399999999999</v>
      </c>
      <c r="L1109" s="43">
        <v>8.8188109029775248</v>
      </c>
      <c r="M1109" s="43">
        <v>11.500428449014565</v>
      </c>
      <c r="N1109" s="43">
        <v>5.7866411138041824</v>
      </c>
      <c r="O1109" s="43">
        <v>5.0478851377570821</v>
      </c>
      <c r="P1109" s="94"/>
      <c r="Q1109" s="94"/>
      <c r="R1109" s="94">
        <v>3</v>
      </c>
    </row>
    <row r="1110" spans="1:18" ht="36">
      <c r="A1110" s="90">
        <v>808</v>
      </c>
      <c r="B1110" s="87" t="s">
        <v>2068</v>
      </c>
      <c r="C1110" s="91" t="s">
        <v>2069</v>
      </c>
      <c r="D1110" s="92">
        <v>2557.75</v>
      </c>
      <c r="E1110" s="92">
        <v>1412.07</v>
      </c>
      <c r="F1110" s="92">
        <v>887.05</v>
      </c>
      <c r="G1110" s="92">
        <v>258.63</v>
      </c>
      <c r="H1110" s="93">
        <v>22683.98</v>
      </c>
      <c r="I1110" s="93">
        <v>16239.41</v>
      </c>
      <c r="J1110" s="93">
        <v>5133.04</v>
      </c>
      <c r="K1110" s="93">
        <v>1311.53</v>
      </c>
      <c r="L1110" s="43">
        <v>8.8687244648616943</v>
      </c>
      <c r="M1110" s="43">
        <v>11.500428449014567</v>
      </c>
      <c r="N1110" s="43">
        <v>5.7866411138041824</v>
      </c>
      <c r="O1110" s="43">
        <v>5.0710667749294362</v>
      </c>
      <c r="P1110" s="94"/>
      <c r="Q1110" s="94"/>
      <c r="R1110" s="94">
        <v>3</v>
      </c>
    </row>
    <row r="1111" spans="1:18" ht="48">
      <c r="A1111" s="90">
        <v>809</v>
      </c>
      <c r="B1111" s="87" t="s">
        <v>2070</v>
      </c>
      <c r="C1111" s="91" t="s">
        <v>2071</v>
      </c>
      <c r="D1111" s="92">
        <v>336.2</v>
      </c>
      <c r="E1111" s="92">
        <v>249.54</v>
      </c>
      <c r="F1111" s="92">
        <v>81.67</v>
      </c>
      <c r="G1111" s="92">
        <v>4.99</v>
      </c>
      <c r="H1111" s="93">
        <v>3397.19</v>
      </c>
      <c r="I1111" s="93">
        <v>2869.86</v>
      </c>
      <c r="J1111" s="93">
        <v>469.94</v>
      </c>
      <c r="K1111" s="93">
        <v>57.39</v>
      </c>
      <c r="L1111" s="43">
        <v>10.104669839381321</v>
      </c>
      <c r="M1111" s="43">
        <v>11.500601106035106</v>
      </c>
      <c r="N1111" s="43">
        <v>5.7541324843883919</v>
      </c>
      <c r="O1111" s="43">
        <v>11.501002004008015</v>
      </c>
      <c r="P1111" s="94"/>
      <c r="Q1111" s="94"/>
      <c r="R1111" s="94">
        <v>3</v>
      </c>
    </row>
    <row r="1112" spans="1:18" ht="14.25" customHeight="1">
      <c r="A1112" s="628" t="s">
        <v>2072</v>
      </c>
      <c r="B1112" s="629"/>
      <c r="C1112" s="629"/>
      <c r="D1112" s="629"/>
      <c r="E1112" s="629"/>
      <c r="F1112" s="629"/>
      <c r="G1112" s="629"/>
      <c r="H1112" s="629"/>
      <c r="I1112" s="629"/>
      <c r="J1112" s="629"/>
      <c r="K1112" s="629"/>
      <c r="L1112" s="629"/>
      <c r="M1112" s="629"/>
      <c r="N1112" s="629"/>
      <c r="O1112" s="629"/>
      <c r="P1112" s="629"/>
      <c r="Q1112" s="629"/>
      <c r="R1112" s="629"/>
    </row>
    <row r="1113" spans="1:18" ht="48">
      <c r="A1113" s="90">
        <v>810</v>
      </c>
      <c r="B1113" s="87" t="s">
        <v>2073</v>
      </c>
      <c r="C1113" s="91" t="s">
        <v>2074</v>
      </c>
      <c r="D1113" s="92">
        <v>13964.38</v>
      </c>
      <c r="E1113" s="92">
        <v>7095.55</v>
      </c>
      <c r="F1113" s="92">
        <v>4820.03</v>
      </c>
      <c r="G1113" s="92">
        <v>2048.8000000000002</v>
      </c>
      <c r="H1113" s="93">
        <v>119574.5</v>
      </c>
      <c r="I1113" s="93">
        <v>81602.22</v>
      </c>
      <c r="J1113" s="93">
        <v>28449.8</v>
      </c>
      <c r="K1113" s="93">
        <v>9522.48</v>
      </c>
      <c r="L1113" s="43">
        <v>8.5628219799232053</v>
      </c>
      <c r="M1113" s="43">
        <v>11.500478468899521</v>
      </c>
      <c r="N1113" s="43">
        <v>5.9024113957796942</v>
      </c>
      <c r="O1113" s="43">
        <v>4.6478328777821156</v>
      </c>
      <c r="P1113" s="94"/>
      <c r="Q1113" s="94"/>
      <c r="R1113" s="94">
        <v>4</v>
      </c>
    </row>
    <row r="1114" spans="1:18" ht="48">
      <c r="A1114" s="90">
        <v>811</v>
      </c>
      <c r="B1114" s="87" t="s">
        <v>2075</v>
      </c>
      <c r="C1114" s="91" t="s">
        <v>2076</v>
      </c>
      <c r="D1114" s="92">
        <v>16508.52</v>
      </c>
      <c r="E1114" s="92">
        <v>8339.1</v>
      </c>
      <c r="F1114" s="92">
        <v>6011.23</v>
      </c>
      <c r="G1114" s="92">
        <v>2158.19</v>
      </c>
      <c r="H1114" s="93">
        <v>141710.28</v>
      </c>
      <c r="I1114" s="93">
        <v>95903.64</v>
      </c>
      <c r="J1114" s="93">
        <v>35330.69</v>
      </c>
      <c r="K1114" s="93">
        <v>10475.950000000001</v>
      </c>
      <c r="L1114" s="43">
        <v>8.5840693169345279</v>
      </c>
      <c r="M1114" s="43">
        <v>11.500478468899521</v>
      </c>
      <c r="N1114" s="43">
        <v>5.8774477103687603</v>
      </c>
      <c r="O1114" s="43">
        <v>4.8540443612471567</v>
      </c>
      <c r="P1114" s="94"/>
      <c r="Q1114" s="94"/>
      <c r="R1114" s="94">
        <v>4</v>
      </c>
    </row>
    <row r="1115" spans="1:18" ht="48">
      <c r="A1115" s="90">
        <v>812</v>
      </c>
      <c r="B1115" s="87" t="s">
        <v>2077</v>
      </c>
      <c r="C1115" s="91" t="s">
        <v>2078</v>
      </c>
      <c r="D1115" s="92">
        <v>18024.8</v>
      </c>
      <c r="E1115" s="92">
        <v>8872.0499999999993</v>
      </c>
      <c r="F1115" s="92">
        <v>6839.24</v>
      </c>
      <c r="G1115" s="92">
        <v>2313.5100000000002</v>
      </c>
      <c r="H1115" s="93">
        <v>153739.62</v>
      </c>
      <c r="I1115" s="93">
        <v>102032.82</v>
      </c>
      <c r="J1115" s="93">
        <v>39877.1</v>
      </c>
      <c r="K1115" s="93">
        <v>11829.7</v>
      </c>
      <c r="L1115" s="43">
        <v>8.5293384670010202</v>
      </c>
      <c r="M1115" s="43">
        <v>11.500478468899523</v>
      </c>
      <c r="N1115" s="43">
        <v>5.8306332282534319</v>
      </c>
      <c r="O1115" s="43">
        <v>5.1133126720870017</v>
      </c>
      <c r="P1115" s="94"/>
      <c r="Q1115" s="94"/>
      <c r="R1115" s="94">
        <v>4</v>
      </c>
    </row>
    <row r="1116" spans="1:18" ht="48">
      <c r="A1116" s="90">
        <v>813</v>
      </c>
      <c r="B1116" s="87" t="s">
        <v>2079</v>
      </c>
      <c r="C1116" s="91" t="s">
        <v>2080</v>
      </c>
      <c r="D1116" s="92">
        <v>20904.71</v>
      </c>
      <c r="E1116" s="92">
        <v>10157.4</v>
      </c>
      <c r="F1116" s="92">
        <v>8208.0499999999993</v>
      </c>
      <c r="G1116" s="92">
        <v>2539.2600000000002</v>
      </c>
      <c r="H1116" s="93">
        <v>178288.7</v>
      </c>
      <c r="I1116" s="93">
        <v>116814.96</v>
      </c>
      <c r="J1116" s="93">
        <v>47705.13</v>
      </c>
      <c r="K1116" s="93">
        <v>13768.61</v>
      </c>
      <c r="L1116" s="43">
        <v>8.5286378045904492</v>
      </c>
      <c r="M1116" s="43">
        <v>11.500478468899523</v>
      </c>
      <c r="N1116" s="43">
        <v>5.8119931043305053</v>
      </c>
      <c r="O1116" s="43">
        <v>5.4222923213849699</v>
      </c>
      <c r="P1116" s="94"/>
      <c r="Q1116" s="94"/>
      <c r="R1116" s="94">
        <v>4</v>
      </c>
    </row>
    <row r="1117" spans="1:18" ht="48">
      <c r="A1117" s="90">
        <v>814</v>
      </c>
      <c r="B1117" s="87" t="s">
        <v>2081</v>
      </c>
      <c r="C1117" s="91" t="s">
        <v>2082</v>
      </c>
      <c r="D1117" s="92">
        <v>24056.09</v>
      </c>
      <c r="E1117" s="92">
        <v>11714.45</v>
      </c>
      <c r="F1117" s="92">
        <v>9653.66</v>
      </c>
      <c r="G1117" s="92">
        <v>2687.98</v>
      </c>
      <c r="H1117" s="93">
        <v>205815.95</v>
      </c>
      <c r="I1117" s="93">
        <v>134721.78</v>
      </c>
      <c r="J1117" s="93">
        <v>56083.69</v>
      </c>
      <c r="K1117" s="93">
        <v>15010.48</v>
      </c>
      <c r="L1117" s="43">
        <v>8.5556692712739277</v>
      </c>
      <c r="M1117" s="43">
        <v>11.500478468899521</v>
      </c>
      <c r="N1117" s="43">
        <v>5.8095779217415986</v>
      </c>
      <c r="O1117" s="43">
        <v>5.5842975022135581</v>
      </c>
      <c r="P1117" s="94"/>
      <c r="Q1117" s="94"/>
      <c r="R1117" s="94">
        <v>4</v>
      </c>
    </row>
    <row r="1118" spans="1:18" ht="36">
      <c r="A1118" s="90">
        <v>815</v>
      </c>
      <c r="B1118" s="87" t="s">
        <v>2083</v>
      </c>
      <c r="C1118" s="91" t="s">
        <v>2084</v>
      </c>
      <c r="D1118" s="92">
        <v>745.73</v>
      </c>
      <c r="E1118" s="92">
        <v>432.63</v>
      </c>
      <c r="F1118" s="92">
        <v>104.08</v>
      </c>
      <c r="G1118" s="92">
        <v>209.02</v>
      </c>
      <c r="H1118" s="93">
        <v>6474.78</v>
      </c>
      <c r="I1118" s="93">
        <v>4975.45</v>
      </c>
      <c r="J1118" s="93">
        <v>563.17999999999995</v>
      </c>
      <c r="K1118" s="93">
        <v>936.15</v>
      </c>
      <c r="L1118" s="43">
        <v>8.6824722084400516</v>
      </c>
      <c r="M1118" s="43">
        <v>11.500473846011603</v>
      </c>
      <c r="N1118" s="43">
        <v>5.4110299769408146</v>
      </c>
      <c r="O1118" s="43">
        <v>4.4787580135872158</v>
      </c>
      <c r="P1118" s="94"/>
      <c r="Q1118" s="94"/>
      <c r="R1118" s="94">
        <v>4</v>
      </c>
    </row>
    <row r="1119" spans="1:18" ht="36">
      <c r="A1119" s="90">
        <v>816</v>
      </c>
      <c r="B1119" s="87" t="s">
        <v>2085</v>
      </c>
      <c r="C1119" s="91" t="s">
        <v>2086</v>
      </c>
      <c r="D1119" s="92">
        <v>818.21</v>
      </c>
      <c r="E1119" s="92">
        <v>444.13</v>
      </c>
      <c r="F1119" s="92">
        <v>164.83</v>
      </c>
      <c r="G1119" s="92">
        <v>209.25</v>
      </c>
      <c r="H1119" s="93">
        <v>6939.54</v>
      </c>
      <c r="I1119" s="93">
        <v>5107.6499999999996</v>
      </c>
      <c r="J1119" s="93">
        <v>893.1</v>
      </c>
      <c r="K1119" s="93">
        <v>938.79</v>
      </c>
      <c r="L1119" s="43">
        <v>8.4813678639957946</v>
      </c>
      <c r="M1119" s="43">
        <v>11.500348996915317</v>
      </c>
      <c r="N1119" s="43">
        <v>5.4183097737062429</v>
      </c>
      <c r="O1119" s="43">
        <v>4.4864516129032257</v>
      </c>
      <c r="P1119" s="94"/>
      <c r="Q1119" s="94"/>
      <c r="R1119" s="94">
        <v>4</v>
      </c>
    </row>
    <row r="1120" spans="1:18" ht="36">
      <c r="A1120" s="90">
        <v>817</v>
      </c>
      <c r="B1120" s="87" t="s">
        <v>2087</v>
      </c>
      <c r="C1120" s="91" t="s">
        <v>2088</v>
      </c>
      <c r="D1120" s="92">
        <v>908.72</v>
      </c>
      <c r="E1120" s="92">
        <v>501.6</v>
      </c>
      <c r="F1120" s="92">
        <v>196.72</v>
      </c>
      <c r="G1120" s="92">
        <v>210.4</v>
      </c>
      <c r="H1120" s="93">
        <v>7786.42</v>
      </c>
      <c r="I1120" s="93">
        <v>5768.64</v>
      </c>
      <c r="J1120" s="93">
        <v>1065.76</v>
      </c>
      <c r="K1120" s="93">
        <v>952.02</v>
      </c>
      <c r="L1120" s="43">
        <v>8.5685579716524334</v>
      </c>
      <c r="M1120" s="43">
        <v>11.500478468899521</v>
      </c>
      <c r="N1120" s="43">
        <v>5.4176494509963398</v>
      </c>
      <c r="O1120" s="43">
        <v>4.5248098859315586</v>
      </c>
      <c r="P1120" s="94"/>
      <c r="Q1120" s="94"/>
      <c r="R1120" s="94">
        <v>4</v>
      </c>
    </row>
    <row r="1121" spans="1:18" ht="36">
      <c r="A1121" s="90">
        <v>818</v>
      </c>
      <c r="B1121" s="87" t="s">
        <v>2089</v>
      </c>
      <c r="C1121" s="91" t="s">
        <v>2090</v>
      </c>
      <c r="D1121" s="92">
        <v>1032.6400000000001</v>
      </c>
      <c r="E1121" s="92">
        <v>558.03</v>
      </c>
      <c r="F1121" s="92">
        <v>263.08</v>
      </c>
      <c r="G1121" s="92">
        <v>211.53</v>
      </c>
      <c r="H1121" s="93">
        <v>8808.3700000000008</v>
      </c>
      <c r="I1121" s="93">
        <v>6417.61</v>
      </c>
      <c r="J1121" s="93">
        <v>1425.75</v>
      </c>
      <c r="K1121" s="93">
        <v>965.01</v>
      </c>
      <c r="L1121" s="43">
        <v>8.5299523551286018</v>
      </c>
      <c r="M1121" s="43">
        <v>11.500474884862822</v>
      </c>
      <c r="N1121" s="43">
        <v>5.419454158430896</v>
      </c>
      <c r="O1121" s="43">
        <v>4.5620479364629132</v>
      </c>
      <c r="P1121" s="94"/>
      <c r="Q1121" s="94"/>
      <c r="R1121" s="94">
        <v>4</v>
      </c>
    </row>
    <row r="1122" spans="1:18" ht="36">
      <c r="A1122" s="90">
        <v>819</v>
      </c>
      <c r="B1122" s="87" t="s">
        <v>2091</v>
      </c>
      <c r="C1122" s="91" t="s">
        <v>2092</v>
      </c>
      <c r="D1122" s="92">
        <v>1178.54</v>
      </c>
      <c r="E1122" s="92">
        <v>640.59</v>
      </c>
      <c r="F1122" s="92">
        <v>320.49</v>
      </c>
      <c r="G1122" s="92">
        <v>217.46</v>
      </c>
      <c r="H1122" s="93">
        <v>10110.83</v>
      </c>
      <c r="I1122" s="93">
        <v>7367.03</v>
      </c>
      <c r="J1122" s="93">
        <v>1736.99</v>
      </c>
      <c r="K1122" s="93">
        <v>1006.81</v>
      </c>
      <c r="L1122" s="43">
        <v>8.5791148370017147</v>
      </c>
      <c r="M1122" s="43">
        <v>11.500382459919761</v>
      </c>
      <c r="N1122" s="43">
        <v>5.4197946893818836</v>
      </c>
      <c r="O1122" s="43">
        <v>4.6298629633035953</v>
      </c>
      <c r="P1122" s="94"/>
      <c r="Q1122" s="94"/>
      <c r="R1122" s="94">
        <v>4</v>
      </c>
    </row>
    <row r="1123" spans="1:18" ht="36">
      <c r="A1123" s="90">
        <v>820</v>
      </c>
      <c r="B1123" s="87" t="s">
        <v>2093</v>
      </c>
      <c r="C1123" s="91" t="s">
        <v>2094</v>
      </c>
      <c r="D1123" s="92">
        <v>108.15</v>
      </c>
      <c r="E1123" s="92">
        <v>106.03</v>
      </c>
      <c r="F1123" s="92"/>
      <c r="G1123" s="92">
        <v>2.12</v>
      </c>
      <c r="H1123" s="93">
        <v>1243.76</v>
      </c>
      <c r="I1123" s="93">
        <v>1219.3800000000001</v>
      </c>
      <c r="J1123" s="93"/>
      <c r="K1123" s="93">
        <v>24.38</v>
      </c>
      <c r="L1123" s="43">
        <v>11.500323624595469</v>
      </c>
      <c r="M1123" s="43">
        <v>11.500330095256061</v>
      </c>
      <c r="N1123" s="43" t="s">
        <v>1690</v>
      </c>
      <c r="O1123" s="43">
        <v>11.499999999999998</v>
      </c>
      <c r="P1123" s="94"/>
      <c r="Q1123" s="94"/>
      <c r="R1123" s="94">
        <v>4</v>
      </c>
    </row>
    <row r="1124" spans="1:18" ht="36">
      <c r="A1124" s="90">
        <v>821</v>
      </c>
      <c r="B1124" s="87" t="s">
        <v>2095</v>
      </c>
      <c r="C1124" s="91" t="s">
        <v>2096</v>
      </c>
      <c r="D1124" s="92">
        <v>113.69</v>
      </c>
      <c r="E1124" s="92">
        <v>111.46</v>
      </c>
      <c r="F1124" s="92"/>
      <c r="G1124" s="92">
        <v>2.23</v>
      </c>
      <c r="H1124" s="93">
        <v>1307.3900000000001</v>
      </c>
      <c r="I1124" s="93">
        <v>1281.74</v>
      </c>
      <c r="J1124" s="93"/>
      <c r="K1124" s="93">
        <v>25.65</v>
      </c>
      <c r="L1124" s="43">
        <v>11.49960418682382</v>
      </c>
      <c r="M1124" s="43">
        <v>11.499551408577069</v>
      </c>
      <c r="N1124" s="43" t="s">
        <v>1690</v>
      </c>
      <c r="O1124" s="43">
        <v>11.502242152466367</v>
      </c>
      <c r="P1124" s="94"/>
      <c r="Q1124" s="94"/>
      <c r="R1124" s="94">
        <v>4</v>
      </c>
    </row>
    <row r="1125" spans="1:18" ht="36">
      <c r="A1125" s="90">
        <v>822</v>
      </c>
      <c r="B1125" s="87" t="s">
        <v>2097</v>
      </c>
      <c r="C1125" s="91" t="s">
        <v>2098</v>
      </c>
      <c r="D1125" s="92">
        <v>125.27</v>
      </c>
      <c r="E1125" s="92">
        <v>122.81</v>
      </c>
      <c r="F1125" s="92"/>
      <c r="G1125" s="92">
        <v>2.46</v>
      </c>
      <c r="H1125" s="93">
        <v>1440.58</v>
      </c>
      <c r="I1125" s="93">
        <v>1412.29</v>
      </c>
      <c r="J1125" s="93"/>
      <c r="K1125" s="93">
        <v>28.29</v>
      </c>
      <c r="L1125" s="43">
        <v>11.499800431068891</v>
      </c>
      <c r="M1125" s="43">
        <v>11.499796433515186</v>
      </c>
      <c r="N1125" s="43" t="s">
        <v>1690</v>
      </c>
      <c r="O1125" s="43">
        <v>11.5</v>
      </c>
      <c r="P1125" s="94"/>
      <c r="Q1125" s="94"/>
      <c r="R1125" s="94">
        <v>4</v>
      </c>
    </row>
    <row r="1126" spans="1:18" ht="36">
      <c r="A1126" s="90">
        <v>823</v>
      </c>
      <c r="B1126" s="87" t="s">
        <v>2099</v>
      </c>
      <c r="C1126" s="91" t="s">
        <v>2100</v>
      </c>
      <c r="D1126" s="92">
        <v>130</v>
      </c>
      <c r="E1126" s="92">
        <v>127.45</v>
      </c>
      <c r="F1126" s="92"/>
      <c r="G1126" s="92">
        <v>2.5499999999999998</v>
      </c>
      <c r="H1126" s="93">
        <v>1495.05</v>
      </c>
      <c r="I1126" s="93">
        <v>1465.72</v>
      </c>
      <c r="J1126" s="93"/>
      <c r="K1126" s="93">
        <v>29.33</v>
      </c>
      <c r="L1126" s="43">
        <v>11.500384615384615</v>
      </c>
      <c r="M1126" s="43">
        <v>11.500353079639074</v>
      </c>
      <c r="N1126" s="43" t="s">
        <v>1690</v>
      </c>
      <c r="O1126" s="43">
        <v>11.501960784313725</v>
      </c>
      <c r="P1126" s="94"/>
      <c r="Q1126" s="94"/>
      <c r="R1126" s="94">
        <v>4</v>
      </c>
    </row>
    <row r="1127" spans="1:18" ht="36">
      <c r="A1127" s="90">
        <v>824</v>
      </c>
      <c r="B1127" s="87" t="s">
        <v>2101</v>
      </c>
      <c r="C1127" s="91" t="s">
        <v>2102</v>
      </c>
      <c r="D1127" s="92">
        <v>280.58</v>
      </c>
      <c r="E1127" s="92">
        <v>275.08</v>
      </c>
      <c r="F1127" s="92"/>
      <c r="G1127" s="92">
        <v>5.5</v>
      </c>
      <c r="H1127" s="93">
        <v>3226.67</v>
      </c>
      <c r="I1127" s="93">
        <v>3163.42</v>
      </c>
      <c r="J1127" s="93"/>
      <c r="K1127" s="93">
        <v>63.25</v>
      </c>
      <c r="L1127" s="43">
        <v>11.500000000000002</v>
      </c>
      <c r="M1127" s="43">
        <v>11.500000000000002</v>
      </c>
      <c r="N1127" s="43" t="s">
        <v>1690</v>
      </c>
      <c r="O1127" s="43">
        <v>11.5</v>
      </c>
      <c r="P1127" s="94"/>
      <c r="Q1127" s="94"/>
      <c r="R1127" s="94">
        <v>4</v>
      </c>
    </row>
    <row r="1128" spans="1:18" ht="36">
      <c r="A1128" s="90">
        <v>825</v>
      </c>
      <c r="B1128" s="87" t="s">
        <v>2103</v>
      </c>
      <c r="C1128" s="91" t="s">
        <v>2104</v>
      </c>
      <c r="D1128" s="92">
        <v>291.37</v>
      </c>
      <c r="E1128" s="92">
        <v>285.66000000000003</v>
      </c>
      <c r="F1128" s="92"/>
      <c r="G1128" s="92">
        <v>5.71</v>
      </c>
      <c r="H1128" s="93">
        <v>3350.76</v>
      </c>
      <c r="I1128" s="93">
        <v>3285.09</v>
      </c>
      <c r="J1128" s="93"/>
      <c r="K1128" s="93">
        <v>65.67</v>
      </c>
      <c r="L1128" s="43">
        <v>11.500017160311632</v>
      </c>
      <c r="M1128" s="43">
        <v>11.5</v>
      </c>
      <c r="N1128" s="43" t="s">
        <v>1690</v>
      </c>
      <c r="O1128" s="43">
        <v>11.500875656742558</v>
      </c>
      <c r="P1128" s="94"/>
      <c r="Q1128" s="94"/>
      <c r="R1128" s="94">
        <v>4</v>
      </c>
    </row>
    <row r="1129" spans="1:18" ht="18" customHeight="1">
      <c r="A1129" s="628" t="s">
        <v>2105</v>
      </c>
      <c r="B1129" s="629"/>
      <c r="C1129" s="629"/>
      <c r="D1129" s="629"/>
      <c r="E1129" s="629"/>
      <c r="F1129" s="629"/>
      <c r="G1129" s="629"/>
      <c r="H1129" s="629"/>
      <c r="I1129" s="629"/>
      <c r="J1129" s="629"/>
      <c r="K1129" s="629"/>
      <c r="L1129" s="629"/>
      <c r="M1129" s="629"/>
      <c r="N1129" s="629"/>
      <c r="O1129" s="629"/>
      <c r="P1129" s="629"/>
      <c r="Q1129" s="629"/>
      <c r="R1129" s="629"/>
    </row>
    <row r="1130" spans="1:18" ht="48">
      <c r="A1130" s="90">
        <v>826</v>
      </c>
      <c r="B1130" s="87" t="s">
        <v>2106</v>
      </c>
      <c r="C1130" s="91" t="s">
        <v>2107</v>
      </c>
      <c r="D1130" s="92">
        <v>6595.09</v>
      </c>
      <c r="E1130" s="92">
        <v>3988.66</v>
      </c>
      <c r="F1130" s="92">
        <v>691.57</v>
      </c>
      <c r="G1130" s="92">
        <v>1914.86</v>
      </c>
      <c r="H1130" s="93">
        <v>57331.54</v>
      </c>
      <c r="I1130" s="93">
        <v>45869.59</v>
      </c>
      <c r="J1130" s="93">
        <v>3270.24</v>
      </c>
      <c r="K1130" s="93">
        <v>8191.71</v>
      </c>
      <c r="L1130" s="43">
        <v>8.6930640825219978</v>
      </c>
      <c r="M1130" s="43">
        <v>11.5</v>
      </c>
      <c r="N1130" s="43">
        <v>4.7287187124947581</v>
      </c>
      <c r="O1130" s="43">
        <v>4.2779681021066818</v>
      </c>
      <c r="P1130" s="94"/>
      <c r="Q1130" s="94"/>
      <c r="R1130" s="94">
        <v>5</v>
      </c>
    </row>
    <row r="1131" spans="1:18" ht="48">
      <c r="A1131" s="90">
        <v>827</v>
      </c>
      <c r="B1131" s="87" t="s">
        <v>2108</v>
      </c>
      <c r="C1131" s="91" t="s">
        <v>2109</v>
      </c>
      <c r="D1131" s="92">
        <v>1924.53</v>
      </c>
      <c r="E1131" s="92">
        <v>1128.5999999999999</v>
      </c>
      <c r="F1131" s="92">
        <v>248.29</v>
      </c>
      <c r="G1131" s="92">
        <v>547.64</v>
      </c>
      <c r="H1131" s="93">
        <v>16508.740000000002</v>
      </c>
      <c r="I1131" s="93">
        <v>12979.44</v>
      </c>
      <c r="J1131" s="93">
        <v>1219.81</v>
      </c>
      <c r="K1131" s="93">
        <v>2309.4899999999998</v>
      </c>
      <c r="L1131" s="43">
        <v>8.578063215434419</v>
      </c>
      <c r="M1131" s="43">
        <v>11.500478468899523</v>
      </c>
      <c r="N1131" s="43">
        <v>4.9128438519473194</v>
      </c>
      <c r="O1131" s="43">
        <v>4.217168212694471</v>
      </c>
      <c r="P1131" s="94"/>
      <c r="Q1131" s="94"/>
      <c r="R1131" s="94">
        <v>5</v>
      </c>
    </row>
    <row r="1132" spans="1:18" ht="36">
      <c r="A1132" s="90">
        <v>828</v>
      </c>
      <c r="B1132" s="87" t="s">
        <v>2110</v>
      </c>
      <c r="C1132" s="91" t="s">
        <v>2111</v>
      </c>
      <c r="D1132" s="92">
        <v>6219.24</v>
      </c>
      <c r="E1132" s="92">
        <v>3950.1</v>
      </c>
      <c r="F1132" s="92">
        <v>482.62</v>
      </c>
      <c r="G1132" s="92">
        <v>1786.52</v>
      </c>
      <c r="H1132" s="93">
        <v>55334.06</v>
      </c>
      <c r="I1132" s="93">
        <v>45428.04</v>
      </c>
      <c r="J1132" s="93">
        <v>2273</v>
      </c>
      <c r="K1132" s="93">
        <v>7633.02</v>
      </c>
      <c r="L1132" s="43">
        <v>8.8972382477601766</v>
      </c>
      <c r="M1132" s="43">
        <v>11.500478468899521</v>
      </c>
      <c r="N1132" s="43">
        <v>4.7097095022999458</v>
      </c>
      <c r="O1132" s="43">
        <v>4.2725634193851736</v>
      </c>
      <c r="P1132" s="94"/>
      <c r="Q1132" s="94"/>
      <c r="R1132" s="94">
        <v>5</v>
      </c>
    </row>
    <row r="1133" spans="1:18" ht="36">
      <c r="A1133" s="90">
        <v>829</v>
      </c>
      <c r="B1133" s="87" t="s">
        <v>2112</v>
      </c>
      <c r="C1133" s="91" t="s">
        <v>2113</v>
      </c>
      <c r="D1133" s="92">
        <v>490.59</v>
      </c>
      <c r="E1133" s="92">
        <v>252.84</v>
      </c>
      <c r="F1133" s="92">
        <v>33.909999999999997</v>
      </c>
      <c r="G1133" s="92">
        <v>203.84</v>
      </c>
      <c r="H1133" s="93">
        <v>3979.97</v>
      </c>
      <c r="I1133" s="93">
        <v>2907.66</v>
      </c>
      <c r="J1133" s="93">
        <v>182.32</v>
      </c>
      <c r="K1133" s="93">
        <v>889.99</v>
      </c>
      <c r="L1133" s="43">
        <v>8.1126194989706271</v>
      </c>
      <c r="M1133" s="43">
        <v>11.5</v>
      </c>
      <c r="N1133" s="43">
        <v>5.3765850781480395</v>
      </c>
      <c r="O1133" s="43">
        <v>4.3661204866562011</v>
      </c>
      <c r="P1133" s="94"/>
      <c r="Q1133" s="94"/>
      <c r="R1133" s="94">
        <v>5</v>
      </c>
    </row>
    <row r="1134" spans="1:18" ht="36">
      <c r="A1134" s="90">
        <v>830</v>
      </c>
      <c r="B1134" s="87" t="s">
        <v>2114</v>
      </c>
      <c r="C1134" s="91" t="s">
        <v>2115</v>
      </c>
      <c r="D1134" s="92">
        <v>67.16</v>
      </c>
      <c r="E1134" s="92">
        <v>65.84</v>
      </c>
      <c r="F1134" s="92"/>
      <c r="G1134" s="92">
        <v>1.32</v>
      </c>
      <c r="H1134" s="93">
        <v>772.31</v>
      </c>
      <c r="I1134" s="93">
        <v>757.13</v>
      </c>
      <c r="J1134" s="93"/>
      <c r="K1134" s="93">
        <v>15.18</v>
      </c>
      <c r="L1134" s="43">
        <v>11.499553305539012</v>
      </c>
      <c r="M1134" s="43">
        <v>11.499544349939246</v>
      </c>
      <c r="N1134" s="43" t="s">
        <v>1690</v>
      </c>
      <c r="O1134" s="43">
        <v>11.5</v>
      </c>
      <c r="P1134" s="94"/>
      <c r="Q1134" s="94"/>
      <c r="R1134" s="94">
        <v>5</v>
      </c>
    </row>
    <row r="1135" spans="1:18" ht="48">
      <c r="A1135" s="90">
        <v>831</v>
      </c>
      <c r="B1135" s="87" t="s">
        <v>2116</v>
      </c>
      <c r="C1135" s="91" t="s">
        <v>2117</v>
      </c>
      <c r="D1135" s="92">
        <v>199.33</v>
      </c>
      <c r="E1135" s="92">
        <v>195.42</v>
      </c>
      <c r="F1135" s="92"/>
      <c r="G1135" s="92">
        <v>3.91</v>
      </c>
      <c r="H1135" s="93">
        <v>2292.34</v>
      </c>
      <c r="I1135" s="93">
        <v>2247.37</v>
      </c>
      <c r="J1135" s="93"/>
      <c r="K1135" s="93">
        <v>44.97</v>
      </c>
      <c r="L1135" s="43">
        <v>11.50022575628355</v>
      </c>
      <c r="M1135" s="43">
        <v>11.500204687340089</v>
      </c>
      <c r="N1135" s="43" t="s">
        <v>1690</v>
      </c>
      <c r="O1135" s="43">
        <v>11.501278772378516</v>
      </c>
      <c r="P1135" s="94"/>
      <c r="Q1135" s="94"/>
      <c r="R1135" s="94">
        <v>5</v>
      </c>
    </row>
    <row r="1136" spans="1:18" ht="48">
      <c r="A1136" s="90">
        <v>832</v>
      </c>
      <c r="B1136" s="87" t="s">
        <v>2118</v>
      </c>
      <c r="C1136" s="91" t="s">
        <v>2119</v>
      </c>
      <c r="D1136" s="92">
        <v>73.680000000000007</v>
      </c>
      <c r="E1136" s="92">
        <v>72.239999999999995</v>
      </c>
      <c r="F1136" s="92"/>
      <c r="G1136" s="92">
        <v>1.44</v>
      </c>
      <c r="H1136" s="93">
        <v>847.32</v>
      </c>
      <c r="I1136" s="93">
        <v>830.76</v>
      </c>
      <c r="J1136" s="93"/>
      <c r="K1136" s="93">
        <v>16.559999999999999</v>
      </c>
      <c r="L1136" s="43">
        <v>11.5</v>
      </c>
      <c r="M1136" s="43">
        <v>11.5</v>
      </c>
      <c r="N1136" s="43" t="s">
        <v>1690</v>
      </c>
      <c r="O1136" s="43">
        <v>11.5</v>
      </c>
      <c r="P1136" s="94"/>
      <c r="Q1136" s="94"/>
      <c r="R1136" s="94">
        <v>5</v>
      </c>
    </row>
    <row r="1137" spans="1:18" ht="36">
      <c r="A1137" s="95">
        <v>833</v>
      </c>
      <c r="B1137" s="96" t="s">
        <v>2120</v>
      </c>
      <c r="C1137" s="97" t="s">
        <v>2121</v>
      </c>
      <c r="D1137" s="98">
        <v>252.62</v>
      </c>
      <c r="E1137" s="98">
        <v>247.67</v>
      </c>
      <c r="F1137" s="98"/>
      <c r="G1137" s="98">
        <v>4.95</v>
      </c>
      <c r="H1137" s="99">
        <v>2905.2</v>
      </c>
      <c r="I1137" s="99">
        <v>2848.27</v>
      </c>
      <c r="J1137" s="99"/>
      <c r="K1137" s="99">
        <v>56.93</v>
      </c>
      <c r="L1137" s="611">
        <v>11.500277096033567</v>
      </c>
      <c r="M1137" s="611">
        <v>11.50026244599669</v>
      </c>
      <c r="N1137" s="611" t="s">
        <v>1690</v>
      </c>
      <c r="O1137" s="611">
        <v>11.501010101010101</v>
      </c>
      <c r="P1137" s="100"/>
      <c r="Q1137" s="100"/>
      <c r="R1137" s="100">
        <v>5</v>
      </c>
    </row>
    <row r="1138" spans="1:18" ht="19.5" customHeight="1">
      <c r="A1138" s="630" t="s">
        <v>2122</v>
      </c>
      <c r="B1138" s="631"/>
      <c r="C1138" s="631"/>
      <c r="D1138" s="631"/>
      <c r="E1138" s="631"/>
      <c r="F1138" s="631"/>
      <c r="G1138" s="631"/>
      <c r="H1138" s="631"/>
      <c r="I1138" s="631"/>
      <c r="J1138" s="631"/>
      <c r="K1138" s="631"/>
      <c r="L1138" s="631"/>
      <c r="M1138" s="631"/>
      <c r="N1138" s="631"/>
      <c r="O1138" s="631"/>
      <c r="P1138" s="631"/>
      <c r="Q1138" s="631"/>
      <c r="R1138" s="631"/>
    </row>
    <row r="1139" spans="1:18" ht="15" customHeight="1">
      <c r="A1139" s="628" t="s">
        <v>2123</v>
      </c>
      <c r="B1139" s="629"/>
      <c r="C1139" s="629"/>
      <c r="D1139" s="629"/>
      <c r="E1139" s="629"/>
      <c r="F1139" s="629"/>
      <c r="G1139" s="629"/>
      <c r="H1139" s="629"/>
      <c r="I1139" s="629"/>
      <c r="J1139" s="629"/>
      <c r="K1139" s="629"/>
      <c r="L1139" s="629"/>
      <c r="M1139" s="629"/>
      <c r="N1139" s="629"/>
      <c r="O1139" s="629"/>
      <c r="P1139" s="629"/>
      <c r="Q1139" s="629"/>
      <c r="R1139" s="629"/>
    </row>
    <row r="1140" spans="1:18" ht="12.75" customHeight="1">
      <c r="A1140" s="628" t="s">
        <v>2124</v>
      </c>
      <c r="B1140" s="629"/>
      <c r="C1140" s="629"/>
      <c r="D1140" s="629"/>
      <c r="E1140" s="629"/>
      <c r="F1140" s="629"/>
      <c r="G1140" s="629"/>
      <c r="H1140" s="629"/>
      <c r="I1140" s="629"/>
      <c r="J1140" s="629"/>
      <c r="K1140" s="629"/>
      <c r="L1140" s="629"/>
      <c r="M1140" s="629"/>
      <c r="N1140" s="629"/>
      <c r="O1140" s="629"/>
      <c r="P1140" s="629"/>
      <c r="Q1140" s="629"/>
      <c r="R1140" s="629"/>
    </row>
    <row r="1141" spans="1:18" ht="30.75" customHeight="1">
      <c r="A1141" s="90">
        <v>834</v>
      </c>
      <c r="B1141" s="87" t="s">
        <v>2125</v>
      </c>
      <c r="C1141" s="91" t="s">
        <v>2126</v>
      </c>
      <c r="D1141" s="92">
        <v>3917.01</v>
      </c>
      <c r="E1141" s="92">
        <v>207.04</v>
      </c>
      <c r="F1141" s="92">
        <v>644.88</v>
      </c>
      <c r="G1141" s="92">
        <v>3065.09</v>
      </c>
      <c r="H1141" s="93">
        <v>17361.439999999999</v>
      </c>
      <c r="I1141" s="93">
        <v>2381.0100000000002</v>
      </c>
      <c r="J1141" s="93">
        <v>3475.81</v>
      </c>
      <c r="K1141" s="93">
        <v>11504.62</v>
      </c>
      <c r="L1141" s="43">
        <v>4.4323195498607353</v>
      </c>
      <c r="M1141" s="43">
        <v>11.500241499227204</v>
      </c>
      <c r="N1141" s="43">
        <v>5.3898554769879663</v>
      </c>
      <c r="O1141" s="43">
        <v>3.7534362775644436</v>
      </c>
      <c r="P1141" s="94"/>
      <c r="Q1141" s="94"/>
      <c r="R1141" s="94">
        <v>1</v>
      </c>
    </row>
    <row r="1142" spans="1:18" ht="26.25" customHeight="1">
      <c r="A1142" s="90">
        <v>835</v>
      </c>
      <c r="B1142" s="87" t="s">
        <v>2127</v>
      </c>
      <c r="C1142" s="91" t="s">
        <v>2128</v>
      </c>
      <c r="D1142" s="92">
        <v>5853.14</v>
      </c>
      <c r="E1142" s="92">
        <v>238.83</v>
      </c>
      <c r="F1142" s="92">
        <v>891.46</v>
      </c>
      <c r="G1142" s="92">
        <v>4722.8500000000004</v>
      </c>
      <c r="H1142" s="93">
        <v>25249.71</v>
      </c>
      <c r="I1142" s="93">
        <v>2746.69</v>
      </c>
      <c r="J1142" s="93">
        <v>4806.9799999999996</v>
      </c>
      <c r="K1142" s="93">
        <v>17696.04</v>
      </c>
      <c r="L1142" s="43">
        <v>4.3138742623617405</v>
      </c>
      <c r="M1142" s="43">
        <v>11.500607126407905</v>
      </c>
      <c r="N1142" s="43">
        <v>5.3922554012518784</v>
      </c>
      <c r="O1142" s="43">
        <v>3.7468985887758448</v>
      </c>
      <c r="P1142" s="94"/>
      <c r="Q1142" s="94"/>
      <c r="R1142" s="94">
        <v>1</v>
      </c>
    </row>
    <row r="1143" spans="1:18" ht="36">
      <c r="A1143" s="90">
        <v>836</v>
      </c>
      <c r="B1143" s="87" t="s">
        <v>2129</v>
      </c>
      <c r="C1143" s="91" t="s">
        <v>2130</v>
      </c>
      <c r="D1143" s="92">
        <v>7352.01</v>
      </c>
      <c r="E1143" s="92">
        <v>264.54000000000002</v>
      </c>
      <c r="F1143" s="92">
        <v>1054.79</v>
      </c>
      <c r="G1143" s="92">
        <v>6032.68</v>
      </c>
      <c r="H1143" s="93">
        <v>31297</v>
      </c>
      <c r="I1143" s="93">
        <v>3042.3</v>
      </c>
      <c r="J1143" s="93">
        <v>5693.23</v>
      </c>
      <c r="K1143" s="93">
        <v>22561.47</v>
      </c>
      <c r="L1143" s="43">
        <v>4.2569310977542196</v>
      </c>
      <c r="M1143" s="43">
        <v>11.500340213200271</v>
      </c>
      <c r="N1143" s="43">
        <v>5.3975009243546106</v>
      </c>
      <c r="O1143" s="43">
        <v>3.7398751467009688</v>
      </c>
      <c r="P1143" s="94"/>
      <c r="Q1143" s="94"/>
      <c r="R1143" s="94">
        <v>1</v>
      </c>
    </row>
    <row r="1144" spans="1:18" ht="36">
      <c r="A1144" s="90">
        <v>837</v>
      </c>
      <c r="B1144" s="87" t="s">
        <v>2131</v>
      </c>
      <c r="C1144" s="91" t="s">
        <v>2132</v>
      </c>
      <c r="D1144" s="92">
        <v>4183.84</v>
      </c>
      <c r="E1144" s="92">
        <v>236.69</v>
      </c>
      <c r="F1144" s="92">
        <v>881.47</v>
      </c>
      <c r="G1144" s="92">
        <v>3065.68</v>
      </c>
      <c r="H1144" s="93">
        <v>18986.2</v>
      </c>
      <c r="I1144" s="93">
        <v>2722.06</v>
      </c>
      <c r="J1144" s="93">
        <v>4752.7299999999996</v>
      </c>
      <c r="K1144" s="93">
        <v>11511.41</v>
      </c>
      <c r="L1144" s="43">
        <v>4.5379842441393556</v>
      </c>
      <c r="M1144" s="43">
        <v>11.500528116946217</v>
      </c>
      <c r="N1144" s="43">
        <v>5.3918227506324659</v>
      </c>
      <c r="O1144" s="43">
        <v>3.7549287596878997</v>
      </c>
      <c r="P1144" s="94"/>
      <c r="Q1144" s="94"/>
      <c r="R1144" s="94">
        <v>1</v>
      </c>
    </row>
    <row r="1145" spans="1:18" ht="36">
      <c r="A1145" s="90">
        <v>838</v>
      </c>
      <c r="B1145" s="87" t="s">
        <v>2133</v>
      </c>
      <c r="C1145" s="91" t="s">
        <v>2134</v>
      </c>
      <c r="D1145" s="92">
        <v>9030.7199999999993</v>
      </c>
      <c r="E1145" s="92">
        <v>614.70000000000005</v>
      </c>
      <c r="F1145" s="92">
        <v>2369.7800000000002</v>
      </c>
      <c r="G1145" s="92">
        <v>6046.24</v>
      </c>
      <c r="H1145" s="93">
        <v>42545.68</v>
      </c>
      <c r="I1145" s="93">
        <v>7069.03</v>
      </c>
      <c r="J1145" s="93">
        <v>12777.16</v>
      </c>
      <c r="K1145" s="93">
        <v>22699.49</v>
      </c>
      <c r="L1145" s="43">
        <v>4.7112168243506609</v>
      </c>
      <c r="M1145" s="43">
        <v>11.499967463803481</v>
      </c>
      <c r="N1145" s="43">
        <v>5.3917072470862273</v>
      </c>
      <c r="O1145" s="43">
        <v>3.7543150784619868</v>
      </c>
      <c r="P1145" s="94"/>
      <c r="Q1145" s="94"/>
      <c r="R1145" s="94">
        <v>1</v>
      </c>
    </row>
    <row r="1146" spans="1:18" ht="36">
      <c r="A1146" s="90">
        <v>839</v>
      </c>
      <c r="B1146" s="87" t="s">
        <v>2135</v>
      </c>
      <c r="C1146" s="91" t="s">
        <v>2136</v>
      </c>
      <c r="D1146" s="92">
        <v>16402.810000000001</v>
      </c>
      <c r="E1146" s="92">
        <v>2052.52</v>
      </c>
      <c r="F1146" s="92">
        <v>5679.44</v>
      </c>
      <c r="G1146" s="92">
        <v>8670.85</v>
      </c>
      <c r="H1146" s="93">
        <v>86898.15</v>
      </c>
      <c r="I1146" s="93">
        <v>23603.98</v>
      </c>
      <c r="J1146" s="93">
        <v>30514.39</v>
      </c>
      <c r="K1146" s="93">
        <v>32779.78</v>
      </c>
      <c r="L1146" s="43">
        <v>5.2977599569829792</v>
      </c>
      <c r="M1146" s="43">
        <v>11.5</v>
      </c>
      <c r="N1146" s="43">
        <v>5.3727814714126749</v>
      </c>
      <c r="O1146" s="43">
        <v>3.7804575099327051</v>
      </c>
      <c r="P1146" s="94"/>
      <c r="Q1146" s="94"/>
      <c r="R1146" s="94">
        <v>1</v>
      </c>
    </row>
    <row r="1147" spans="1:18" ht="36">
      <c r="A1147" s="90">
        <v>840</v>
      </c>
      <c r="B1147" s="87" t="s">
        <v>2137</v>
      </c>
      <c r="C1147" s="91" t="s">
        <v>2138</v>
      </c>
      <c r="D1147" s="92">
        <v>18121.45</v>
      </c>
      <c r="E1147" s="92">
        <v>2496.88</v>
      </c>
      <c r="F1147" s="92">
        <v>6915.69</v>
      </c>
      <c r="G1147" s="92">
        <v>8708.8799999999992</v>
      </c>
      <c r="H1147" s="93">
        <v>99007.85</v>
      </c>
      <c r="I1147" s="93">
        <v>28714.12</v>
      </c>
      <c r="J1147" s="93">
        <v>37156.33</v>
      </c>
      <c r="K1147" s="93">
        <v>33137.4</v>
      </c>
      <c r="L1147" s="43">
        <v>5.4635721755157567</v>
      </c>
      <c r="M1147" s="43">
        <v>11.499999999999998</v>
      </c>
      <c r="N1147" s="43">
        <v>5.3727581774197519</v>
      </c>
      <c r="O1147" s="43">
        <v>3.8050128145065729</v>
      </c>
      <c r="P1147" s="94"/>
      <c r="Q1147" s="94"/>
      <c r="R1147" s="94">
        <v>1</v>
      </c>
    </row>
    <row r="1148" spans="1:18" ht="36">
      <c r="A1148" s="90">
        <v>841</v>
      </c>
      <c r="B1148" s="87" t="s">
        <v>2139</v>
      </c>
      <c r="C1148" s="91" t="s">
        <v>2140</v>
      </c>
      <c r="D1148" s="92">
        <v>35183.31</v>
      </c>
      <c r="E1148" s="92">
        <v>5247.68</v>
      </c>
      <c r="F1148" s="92">
        <v>17126.080000000002</v>
      </c>
      <c r="G1148" s="92">
        <v>12809.55</v>
      </c>
      <c r="H1148" s="93">
        <v>200704.93</v>
      </c>
      <c r="I1148" s="93">
        <v>60348.32</v>
      </c>
      <c r="J1148" s="93">
        <v>91892.22</v>
      </c>
      <c r="K1148" s="93">
        <v>48464.39</v>
      </c>
      <c r="L1148" s="43">
        <v>5.7045494014065197</v>
      </c>
      <c r="M1148" s="43">
        <v>11.5</v>
      </c>
      <c r="N1148" s="43">
        <v>5.36563066387638</v>
      </c>
      <c r="O1148" s="43">
        <v>3.7834576546404834</v>
      </c>
      <c r="P1148" s="94"/>
      <c r="Q1148" s="94"/>
      <c r="R1148" s="94">
        <v>1</v>
      </c>
    </row>
    <row r="1149" spans="1:18" ht="24">
      <c r="A1149" s="90">
        <v>842</v>
      </c>
      <c r="B1149" s="87" t="s">
        <v>2141</v>
      </c>
      <c r="C1149" s="91" t="s">
        <v>2142</v>
      </c>
      <c r="D1149" s="92">
        <v>12361.22</v>
      </c>
      <c r="E1149" s="92">
        <v>678.18</v>
      </c>
      <c r="F1149" s="92">
        <v>3570.91</v>
      </c>
      <c r="G1149" s="92">
        <v>8112.13</v>
      </c>
      <c r="H1149" s="93">
        <v>57347.01</v>
      </c>
      <c r="I1149" s="93">
        <v>7799.05</v>
      </c>
      <c r="J1149" s="93">
        <v>19240.39</v>
      </c>
      <c r="K1149" s="93">
        <v>30307.57</v>
      </c>
      <c r="L1149" s="43">
        <v>4.6392678068993192</v>
      </c>
      <c r="M1149" s="43">
        <v>11.499970509304315</v>
      </c>
      <c r="N1149" s="43">
        <v>5.3880915508931899</v>
      </c>
      <c r="O1149" s="43">
        <v>3.7360804129125147</v>
      </c>
      <c r="P1149" s="94"/>
      <c r="Q1149" s="94"/>
      <c r="R1149" s="94">
        <v>1</v>
      </c>
    </row>
    <row r="1150" spans="1:18" ht="24">
      <c r="A1150" s="90">
        <v>843</v>
      </c>
      <c r="B1150" s="87" t="s">
        <v>2143</v>
      </c>
      <c r="C1150" s="91" t="s">
        <v>2144</v>
      </c>
      <c r="D1150" s="92">
        <v>24940.86</v>
      </c>
      <c r="E1150" s="92">
        <v>3798.22</v>
      </c>
      <c r="F1150" s="92">
        <v>10800.7</v>
      </c>
      <c r="G1150" s="92">
        <v>10341.94</v>
      </c>
      <c r="H1150" s="93">
        <v>140670.91</v>
      </c>
      <c r="I1150" s="93">
        <v>43679.53</v>
      </c>
      <c r="J1150" s="93">
        <v>57925.18</v>
      </c>
      <c r="K1150" s="93">
        <v>39066.199999999997</v>
      </c>
      <c r="L1150" s="43">
        <v>5.6401788069858059</v>
      </c>
      <c r="M1150" s="43">
        <v>11.5</v>
      </c>
      <c r="N1150" s="43">
        <v>5.3630949845843325</v>
      </c>
      <c r="O1150" s="43">
        <v>3.7774537465891309</v>
      </c>
      <c r="P1150" s="94"/>
      <c r="Q1150" s="94"/>
      <c r="R1150" s="94">
        <v>1</v>
      </c>
    </row>
    <row r="1151" spans="1:18" ht="36">
      <c r="A1151" s="90">
        <v>844</v>
      </c>
      <c r="B1151" s="87" t="s">
        <v>2145</v>
      </c>
      <c r="C1151" s="91" t="s">
        <v>2146</v>
      </c>
      <c r="D1151" s="92">
        <v>6177.74</v>
      </c>
      <c r="E1151" s="92">
        <v>392.52</v>
      </c>
      <c r="F1151" s="92">
        <v>2020.43</v>
      </c>
      <c r="G1151" s="92">
        <v>3764.79</v>
      </c>
      <c r="H1151" s="93">
        <v>29435.45</v>
      </c>
      <c r="I1151" s="93">
        <v>4513.96</v>
      </c>
      <c r="J1151" s="93">
        <v>10884.55</v>
      </c>
      <c r="K1151" s="93">
        <v>14036.94</v>
      </c>
      <c r="L1151" s="43">
        <v>4.7647602521310386</v>
      </c>
      <c r="M1151" s="43">
        <v>11.49994904718231</v>
      </c>
      <c r="N1151" s="43">
        <v>5.3872442994808027</v>
      </c>
      <c r="O1151" s="43">
        <v>3.7284788793000407</v>
      </c>
      <c r="P1151" s="94"/>
      <c r="Q1151" s="94"/>
      <c r="R1151" s="94">
        <v>1</v>
      </c>
    </row>
    <row r="1152" spans="1:18" ht="36">
      <c r="A1152" s="90">
        <v>845</v>
      </c>
      <c r="B1152" s="87" t="s">
        <v>2147</v>
      </c>
      <c r="C1152" s="91" t="s">
        <v>2148</v>
      </c>
      <c r="D1152" s="92">
        <v>12402.57</v>
      </c>
      <c r="E1152" s="92">
        <v>553.33000000000004</v>
      </c>
      <c r="F1152" s="92">
        <v>4874.17</v>
      </c>
      <c r="G1152" s="92">
        <v>6975.07</v>
      </c>
      <c r="H1152" s="93">
        <v>58468.3</v>
      </c>
      <c r="I1152" s="93">
        <v>6363.34</v>
      </c>
      <c r="J1152" s="93">
        <v>26195.55</v>
      </c>
      <c r="K1152" s="93">
        <v>25909.41</v>
      </c>
      <c r="L1152" s="43">
        <v>4.7142084261568371</v>
      </c>
      <c r="M1152" s="43">
        <v>11.500081325791118</v>
      </c>
      <c r="N1152" s="43">
        <v>5.374361173286939</v>
      </c>
      <c r="O1152" s="43">
        <v>3.7145734738145997</v>
      </c>
      <c r="P1152" s="94"/>
      <c r="Q1152" s="94"/>
      <c r="R1152" s="94">
        <v>1</v>
      </c>
    </row>
    <row r="1153" spans="1:18" ht="36">
      <c r="A1153" s="90">
        <v>846</v>
      </c>
      <c r="B1153" s="87" t="s">
        <v>2149</v>
      </c>
      <c r="C1153" s="91" t="s">
        <v>2150</v>
      </c>
      <c r="D1153" s="92">
        <v>28683.29</v>
      </c>
      <c r="E1153" s="92">
        <v>2416.6</v>
      </c>
      <c r="F1153" s="92">
        <v>19213.09</v>
      </c>
      <c r="G1153" s="92">
        <v>7053.6</v>
      </c>
      <c r="H1153" s="93">
        <v>157101.76999999999</v>
      </c>
      <c r="I1153" s="93">
        <v>27790.9</v>
      </c>
      <c r="J1153" s="93">
        <v>102683.97</v>
      </c>
      <c r="K1153" s="93">
        <v>26626.9</v>
      </c>
      <c r="L1153" s="43">
        <v>5.4771182106376219</v>
      </c>
      <c r="M1153" s="43">
        <v>11.500000000000002</v>
      </c>
      <c r="N1153" s="43">
        <v>5.34447972710272</v>
      </c>
      <c r="O1153" s="43">
        <v>3.7749376205058409</v>
      </c>
      <c r="P1153" s="94"/>
      <c r="Q1153" s="94"/>
      <c r="R1153" s="94">
        <v>1</v>
      </c>
    </row>
    <row r="1154" spans="1:18" ht="36">
      <c r="A1154" s="90">
        <v>847</v>
      </c>
      <c r="B1154" s="87" t="s">
        <v>2151</v>
      </c>
      <c r="C1154" s="91" t="s">
        <v>2152</v>
      </c>
      <c r="D1154" s="92">
        <v>34546.35</v>
      </c>
      <c r="E1154" s="92">
        <v>2989.84</v>
      </c>
      <c r="F1154" s="92">
        <v>23803.73</v>
      </c>
      <c r="G1154" s="92">
        <v>7752.78</v>
      </c>
      <c r="H1154" s="93">
        <v>191085.56</v>
      </c>
      <c r="I1154" s="93">
        <v>34383.160000000003</v>
      </c>
      <c r="J1154" s="93">
        <v>127175.23</v>
      </c>
      <c r="K1154" s="93">
        <v>29527.17</v>
      </c>
      <c r="L1154" s="43">
        <v>5.5312807286442709</v>
      </c>
      <c r="M1154" s="43">
        <v>11.5</v>
      </c>
      <c r="N1154" s="43">
        <v>5.3426597428218185</v>
      </c>
      <c r="O1154" s="43">
        <v>3.808591240819422</v>
      </c>
      <c r="P1154" s="94"/>
      <c r="Q1154" s="94"/>
      <c r="R1154" s="94">
        <v>1</v>
      </c>
    </row>
    <row r="1155" spans="1:18" ht="36">
      <c r="A1155" s="90">
        <v>848</v>
      </c>
      <c r="B1155" s="87" t="s">
        <v>2153</v>
      </c>
      <c r="C1155" s="91" t="s">
        <v>2154</v>
      </c>
      <c r="D1155" s="92">
        <v>35301.18</v>
      </c>
      <c r="E1155" s="92">
        <v>2956.12</v>
      </c>
      <c r="F1155" s="92">
        <v>23304.46</v>
      </c>
      <c r="G1155" s="92">
        <v>9040.6</v>
      </c>
      <c r="H1155" s="93">
        <v>192424.4</v>
      </c>
      <c r="I1155" s="93">
        <v>33995.379999999997</v>
      </c>
      <c r="J1155" s="93">
        <v>124510.85</v>
      </c>
      <c r="K1155" s="93">
        <v>33918.17</v>
      </c>
      <c r="L1155" s="43">
        <v>5.4509339347863159</v>
      </c>
      <c r="M1155" s="43">
        <v>11.5</v>
      </c>
      <c r="N1155" s="43">
        <v>5.3427906074631215</v>
      </c>
      <c r="O1155" s="43">
        <v>3.7517609450700173</v>
      </c>
      <c r="P1155" s="94"/>
      <c r="Q1155" s="94"/>
      <c r="R1155" s="94">
        <v>1</v>
      </c>
    </row>
    <row r="1156" spans="1:18" ht="12.75" customHeight="1">
      <c r="A1156" s="628" t="s">
        <v>2155</v>
      </c>
      <c r="B1156" s="629"/>
      <c r="C1156" s="629"/>
      <c r="D1156" s="629"/>
      <c r="E1156" s="629"/>
      <c r="F1156" s="629"/>
      <c r="G1156" s="629"/>
      <c r="H1156" s="629"/>
      <c r="I1156" s="629"/>
      <c r="J1156" s="629"/>
      <c r="K1156" s="629"/>
      <c r="L1156" s="629"/>
      <c r="M1156" s="629"/>
      <c r="N1156" s="629"/>
      <c r="O1156" s="629"/>
      <c r="P1156" s="629"/>
      <c r="Q1156" s="629"/>
      <c r="R1156" s="629"/>
    </row>
    <row r="1157" spans="1:18" ht="24">
      <c r="A1157" s="90">
        <v>849</v>
      </c>
      <c r="B1157" s="87" t="s">
        <v>2156</v>
      </c>
      <c r="C1157" s="91" t="s">
        <v>2157</v>
      </c>
      <c r="D1157" s="92">
        <v>172.35</v>
      </c>
      <c r="E1157" s="92">
        <v>81.180000000000007</v>
      </c>
      <c r="F1157" s="92">
        <v>89.55</v>
      </c>
      <c r="G1157" s="92">
        <v>1.62</v>
      </c>
      <c r="H1157" s="93">
        <v>1523.44</v>
      </c>
      <c r="I1157" s="93">
        <v>933.58</v>
      </c>
      <c r="J1157" s="93">
        <v>571.23</v>
      </c>
      <c r="K1157" s="93">
        <v>18.63</v>
      </c>
      <c r="L1157" s="43">
        <v>8.8392225123295631</v>
      </c>
      <c r="M1157" s="43">
        <v>11.500123183050011</v>
      </c>
      <c r="N1157" s="43">
        <v>6.3788944723618091</v>
      </c>
      <c r="O1157" s="43">
        <v>11.499999999999998</v>
      </c>
      <c r="P1157" s="94"/>
      <c r="Q1157" s="94"/>
      <c r="R1157" s="94">
        <v>2</v>
      </c>
    </row>
    <row r="1158" spans="1:18" ht="24">
      <c r="A1158" s="90">
        <v>850</v>
      </c>
      <c r="B1158" s="87" t="s">
        <v>2158</v>
      </c>
      <c r="C1158" s="91" t="s">
        <v>2159</v>
      </c>
      <c r="D1158" s="92">
        <v>240.45</v>
      </c>
      <c r="E1158" s="92">
        <v>111.89</v>
      </c>
      <c r="F1158" s="92">
        <v>126.32</v>
      </c>
      <c r="G1158" s="92">
        <v>2.2400000000000002</v>
      </c>
      <c r="H1158" s="93">
        <v>2116.14</v>
      </c>
      <c r="I1158" s="93">
        <v>1286.83</v>
      </c>
      <c r="J1158" s="93">
        <v>803.55</v>
      </c>
      <c r="K1158" s="93">
        <v>25.76</v>
      </c>
      <c r="L1158" s="43">
        <v>8.8007485963817835</v>
      </c>
      <c r="M1158" s="43">
        <v>11.500849048172311</v>
      </c>
      <c r="N1158" s="43">
        <v>6.3612254591513615</v>
      </c>
      <c r="O1158" s="43">
        <v>11.5</v>
      </c>
      <c r="P1158" s="94"/>
      <c r="Q1158" s="94"/>
      <c r="R1158" s="94">
        <v>2</v>
      </c>
    </row>
    <row r="1159" spans="1:18" ht="24">
      <c r="A1159" s="90">
        <v>851</v>
      </c>
      <c r="B1159" s="87" t="s">
        <v>2160</v>
      </c>
      <c r="C1159" s="91" t="s">
        <v>2161</v>
      </c>
      <c r="D1159" s="92">
        <v>356.08</v>
      </c>
      <c r="E1159" s="92">
        <v>163.44999999999999</v>
      </c>
      <c r="F1159" s="92">
        <v>189.36</v>
      </c>
      <c r="G1159" s="92">
        <v>3.27</v>
      </c>
      <c r="H1159" s="93">
        <v>3115.58</v>
      </c>
      <c r="I1159" s="93">
        <v>1879.78</v>
      </c>
      <c r="J1159" s="93">
        <v>1198.19</v>
      </c>
      <c r="K1159" s="93">
        <v>37.61</v>
      </c>
      <c r="L1159" s="43">
        <v>8.7496629970793087</v>
      </c>
      <c r="M1159" s="43">
        <v>11.500642398286939</v>
      </c>
      <c r="N1159" s="43">
        <v>6.3275771018166456</v>
      </c>
      <c r="O1159" s="43">
        <v>11.501529051987767</v>
      </c>
      <c r="P1159" s="94"/>
      <c r="Q1159" s="94"/>
      <c r="R1159" s="94">
        <v>2</v>
      </c>
    </row>
    <row r="1160" spans="1:18" ht="24">
      <c r="A1160" s="90">
        <v>852</v>
      </c>
      <c r="B1160" s="87" t="s">
        <v>2162</v>
      </c>
      <c r="C1160" s="91" t="s">
        <v>2163</v>
      </c>
      <c r="D1160" s="92">
        <v>364.89</v>
      </c>
      <c r="E1160" s="92">
        <v>164.55</v>
      </c>
      <c r="F1160" s="92">
        <v>197.05</v>
      </c>
      <c r="G1160" s="92">
        <v>3.29</v>
      </c>
      <c r="H1160" s="93">
        <v>3170.22</v>
      </c>
      <c r="I1160" s="93">
        <v>1892.4</v>
      </c>
      <c r="J1160" s="93">
        <v>1239.98</v>
      </c>
      <c r="K1160" s="93">
        <v>37.840000000000003</v>
      </c>
      <c r="L1160" s="43">
        <v>8.6881525939324185</v>
      </c>
      <c r="M1160" s="43">
        <v>11.500455788514129</v>
      </c>
      <c r="N1160" s="43">
        <v>6.2927175843694494</v>
      </c>
      <c r="O1160" s="43">
        <v>11.501519756838906</v>
      </c>
      <c r="P1160" s="94"/>
      <c r="Q1160" s="94"/>
      <c r="R1160" s="94">
        <v>2</v>
      </c>
    </row>
    <row r="1161" spans="1:18" ht="24">
      <c r="A1161" s="90">
        <v>853</v>
      </c>
      <c r="B1161" s="87" t="s">
        <v>2164</v>
      </c>
      <c r="C1161" s="91" t="s">
        <v>2165</v>
      </c>
      <c r="D1161" s="92">
        <v>548.42999999999995</v>
      </c>
      <c r="E1161" s="92">
        <v>210.62</v>
      </c>
      <c r="F1161" s="92">
        <v>259.66000000000003</v>
      </c>
      <c r="G1161" s="92">
        <v>78.150000000000006</v>
      </c>
      <c r="H1161" s="93">
        <v>4391.34</v>
      </c>
      <c r="I1161" s="93">
        <v>2422.27</v>
      </c>
      <c r="J1161" s="93">
        <v>1628.59</v>
      </c>
      <c r="K1161" s="93">
        <v>340.48</v>
      </c>
      <c r="L1161" s="43">
        <v>8.0071112083584062</v>
      </c>
      <c r="M1161" s="43">
        <v>11.500664704206628</v>
      </c>
      <c r="N1161" s="43">
        <v>6.2720095509512426</v>
      </c>
      <c r="O1161" s="43">
        <v>4.3567498400511839</v>
      </c>
      <c r="P1161" s="94"/>
      <c r="Q1161" s="94"/>
      <c r="R1161" s="94">
        <v>2</v>
      </c>
    </row>
    <row r="1162" spans="1:18" ht="12.75" customHeight="1">
      <c r="A1162" s="628" t="s">
        <v>2166</v>
      </c>
      <c r="B1162" s="629"/>
      <c r="C1162" s="629"/>
      <c r="D1162" s="629"/>
      <c r="E1162" s="629"/>
      <c r="F1162" s="629"/>
      <c r="G1162" s="629"/>
      <c r="H1162" s="629"/>
      <c r="I1162" s="629"/>
      <c r="J1162" s="629"/>
      <c r="K1162" s="629"/>
      <c r="L1162" s="629"/>
      <c r="M1162" s="629"/>
      <c r="N1162" s="629"/>
      <c r="O1162" s="629"/>
      <c r="P1162" s="629"/>
      <c r="Q1162" s="629"/>
      <c r="R1162" s="629"/>
    </row>
    <row r="1163" spans="1:18" ht="36">
      <c r="A1163" s="90">
        <v>854</v>
      </c>
      <c r="B1163" s="87" t="s">
        <v>2167</v>
      </c>
      <c r="C1163" s="91" t="s">
        <v>2168</v>
      </c>
      <c r="D1163" s="92">
        <v>113.28</v>
      </c>
      <c r="E1163" s="92">
        <v>95.96</v>
      </c>
      <c r="F1163" s="92">
        <v>15.4</v>
      </c>
      <c r="G1163" s="92">
        <v>1.92</v>
      </c>
      <c r="H1163" s="93">
        <v>1206.22</v>
      </c>
      <c r="I1163" s="93">
        <v>1103.5999999999999</v>
      </c>
      <c r="J1163" s="93">
        <v>80.540000000000006</v>
      </c>
      <c r="K1163" s="93">
        <v>22.08</v>
      </c>
      <c r="L1163" s="43">
        <v>10.648128531073446</v>
      </c>
      <c r="M1163" s="43">
        <v>11.500625260525219</v>
      </c>
      <c r="N1163" s="43">
        <v>5.2298701298701298</v>
      </c>
      <c r="O1163" s="43">
        <v>11.5</v>
      </c>
      <c r="P1163" s="94"/>
      <c r="Q1163" s="94"/>
      <c r="R1163" s="94">
        <v>3</v>
      </c>
    </row>
    <row r="1164" spans="1:18" ht="36">
      <c r="A1164" s="90">
        <v>855</v>
      </c>
      <c r="B1164" s="87" t="s">
        <v>2169</v>
      </c>
      <c r="C1164" s="91" t="s">
        <v>2170</v>
      </c>
      <c r="D1164" s="92">
        <v>126.63</v>
      </c>
      <c r="E1164" s="92">
        <v>103.78</v>
      </c>
      <c r="F1164" s="92">
        <v>20.77</v>
      </c>
      <c r="G1164" s="92">
        <v>2.08</v>
      </c>
      <c r="H1164" s="93">
        <v>1326.84</v>
      </c>
      <c r="I1164" s="93">
        <v>1193.52</v>
      </c>
      <c r="J1164" s="93">
        <v>109.4</v>
      </c>
      <c r="K1164" s="93">
        <v>23.92</v>
      </c>
      <c r="L1164" s="43">
        <v>10.478085761667851</v>
      </c>
      <c r="M1164" s="43">
        <v>11.500481788398535</v>
      </c>
      <c r="N1164" s="43">
        <v>5.2672123254694272</v>
      </c>
      <c r="O1164" s="43">
        <v>11.5</v>
      </c>
      <c r="P1164" s="94"/>
      <c r="Q1164" s="94"/>
      <c r="R1164" s="94">
        <v>3</v>
      </c>
    </row>
    <row r="1165" spans="1:18" ht="36">
      <c r="A1165" s="90">
        <v>856</v>
      </c>
      <c r="B1165" s="87" t="s">
        <v>2171</v>
      </c>
      <c r="C1165" s="91" t="s">
        <v>2172</v>
      </c>
      <c r="D1165" s="92">
        <v>187.22</v>
      </c>
      <c r="E1165" s="92">
        <v>153.93</v>
      </c>
      <c r="F1165" s="92">
        <v>30.21</v>
      </c>
      <c r="G1165" s="92">
        <v>3.08</v>
      </c>
      <c r="H1165" s="93">
        <v>1964.18</v>
      </c>
      <c r="I1165" s="93">
        <v>1770.17</v>
      </c>
      <c r="J1165" s="93">
        <v>158.59</v>
      </c>
      <c r="K1165" s="93">
        <v>35.42</v>
      </c>
      <c r="L1165" s="43">
        <v>10.49129366520671</v>
      </c>
      <c r="M1165" s="43">
        <v>11.499837588514259</v>
      </c>
      <c r="N1165" s="43">
        <v>5.2495862297252565</v>
      </c>
      <c r="O1165" s="43">
        <v>11.5</v>
      </c>
      <c r="P1165" s="94"/>
      <c r="Q1165" s="94"/>
      <c r="R1165" s="94">
        <v>3</v>
      </c>
    </row>
    <row r="1166" spans="1:18" ht="36">
      <c r="A1166" s="90">
        <v>857</v>
      </c>
      <c r="B1166" s="87" t="s">
        <v>2173</v>
      </c>
      <c r="C1166" s="91" t="s">
        <v>2174</v>
      </c>
      <c r="D1166" s="92">
        <v>128.37</v>
      </c>
      <c r="E1166" s="92">
        <v>110.31</v>
      </c>
      <c r="F1166" s="92">
        <v>15.85</v>
      </c>
      <c r="G1166" s="92">
        <v>2.21</v>
      </c>
      <c r="H1166" s="93">
        <v>1376.52</v>
      </c>
      <c r="I1166" s="93">
        <v>1268.6500000000001</v>
      </c>
      <c r="J1166" s="93">
        <v>82.45</v>
      </c>
      <c r="K1166" s="93">
        <v>25.42</v>
      </c>
      <c r="L1166" s="43">
        <v>10.723066136947885</v>
      </c>
      <c r="M1166" s="43">
        <v>11.500770555706646</v>
      </c>
      <c r="N1166" s="43">
        <v>5.2018927444794958</v>
      </c>
      <c r="O1166" s="43">
        <v>11.502262443438916</v>
      </c>
      <c r="P1166" s="94"/>
      <c r="Q1166" s="94"/>
      <c r="R1166" s="94">
        <v>3</v>
      </c>
    </row>
    <row r="1167" spans="1:18" ht="36">
      <c r="A1167" s="90">
        <v>858</v>
      </c>
      <c r="B1167" s="87" t="s">
        <v>2175</v>
      </c>
      <c r="C1167" s="91" t="s">
        <v>2176</v>
      </c>
      <c r="D1167" s="92">
        <v>145.19999999999999</v>
      </c>
      <c r="E1167" s="92">
        <v>118.88</v>
      </c>
      <c r="F1167" s="92">
        <v>23.94</v>
      </c>
      <c r="G1167" s="92">
        <v>2.38</v>
      </c>
      <c r="H1167" s="93">
        <v>1520.47</v>
      </c>
      <c r="I1167" s="93">
        <v>1367.19</v>
      </c>
      <c r="J1167" s="93">
        <v>125.91</v>
      </c>
      <c r="K1167" s="93">
        <v>27.37</v>
      </c>
      <c r="L1167" s="43">
        <v>10.471556473829201</v>
      </c>
      <c r="M1167" s="43">
        <v>11.500588829071333</v>
      </c>
      <c r="N1167" s="43">
        <v>5.2593984962406015</v>
      </c>
      <c r="O1167" s="43">
        <v>11.500000000000002</v>
      </c>
      <c r="P1167" s="94"/>
      <c r="Q1167" s="94"/>
      <c r="R1167" s="94">
        <v>3</v>
      </c>
    </row>
    <row r="1168" spans="1:18" ht="36">
      <c r="A1168" s="90">
        <v>859</v>
      </c>
      <c r="B1168" s="87" t="s">
        <v>2177</v>
      </c>
      <c r="C1168" s="91" t="s">
        <v>2178</v>
      </c>
      <c r="D1168" s="92">
        <v>159.08000000000001</v>
      </c>
      <c r="E1168" s="92">
        <v>129.59</v>
      </c>
      <c r="F1168" s="92">
        <v>26.9</v>
      </c>
      <c r="G1168" s="92">
        <v>2.59</v>
      </c>
      <c r="H1168" s="93">
        <v>1661.65</v>
      </c>
      <c r="I1168" s="93">
        <v>1490.36</v>
      </c>
      <c r="J1168" s="93">
        <v>141.5</v>
      </c>
      <c r="K1168" s="93">
        <v>29.79</v>
      </c>
      <c r="L1168" s="43">
        <v>10.44537339703294</v>
      </c>
      <c r="M1168" s="43">
        <v>11.500578748360212</v>
      </c>
      <c r="N1168" s="43">
        <v>5.2602230483271377</v>
      </c>
      <c r="O1168" s="43">
        <v>11.501930501930502</v>
      </c>
      <c r="P1168" s="94"/>
      <c r="Q1168" s="94"/>
      <c r="R1168" s="94">
        <v>3</v>
      </c>
    </row>
    <row r="1169" spans="1:18" ht="36">
      <c r="A1169" s="90">
        <v>860</v>
      </c>
      <c r="B1169" s="87" t="s">
        <v>2179</v>
      </c>
      <c r="C1169" s="91" t="s">
        <v>2180</v>
      </c>
      <c r="D1169" s="92">
        <v>172.93</v>
      </c>
      <c r="E1169" s="92">
        <v>140.30000000000001</v>
      </c>
      <c r="F1169" s="92">
        <v>29.82</v>
      </c>
      <c r="G1169" s="92">
        <v>2.81</v>
      </c>
      <c r="H1169" s="93">
        <v>1802.78</v>
      </c>
      <c r="I1169" s="93">
        <v>1613.53</v>
      </c>
      <c r="J1169" s="93">
        <v>156.93</v>
      </c>
      <c r="K1169" s="93">
        <v>32.32</v>
      </c>
      <c r="L1169" s="43">
        <v>10.424911814028798</v>
      </c>
      <c r="M1169" s="43">
        <v>11.500570206699928</v>
      </c>
      <c r="N1169" s="43">
        <v>5.2625754527162982</v>
      </c>
      <c r="O1169" s="43">
        <v>11.501779359430605</v>
      </c>
      <c r="P1169" s="94"/>
      <c r="Q1169" s="94"/>
      <c r="R1169" s="94">
        <v>3</v>
      </c>
    </row>
    <row r="1170" spans="1:18" ht="36">
      <c r="A1170" s="90">
        <v>861</v>
      </c>
      <c r="B1170" s="87" t="s">
        <v>2181</v>
      </c>
      <c r="C1170" s="91" t="s">
        <v>2182</v>
      </c>
      <c r="D1170" s="92">
        <v>205.87</v>
      </c>
      <c r="E1170" s="92">
        <v>169.1</v>
      </c>
      <c r="F1170" s="92">
        <v>33.39</v>
      </c>
      <c r="G1170" s="92">
        <v>3.38</v>
      </c>
      <c r="H1170" s="93">
        <v>2158.67</v>
      </c>
      <c r="I1170" s="93">
        <v>1944.7</v>
      </c>
      <c r="J1170" s="93">
        <v>175.1</v>
      </c>
      <c r="K1170" s="93">
        <v>38.869999999999997</v>
      </c>
      <c r="L1170" s="43">
        <v>10.485597707291008</v>
      </c>
      <c r="M1170" s="43">
        <v>11.500295683027796</v>
      </c>
      <c r="N1170" s="43">
        <v>5.2440850554058098</v>
      </c>
      <c r="O1170" s="43">
        <v>11.5</v>
      </c>
      <c r="P1170" s="94"/>
      <c r="Q1170" s="94"/>
      <c r="R1170" s="94">
        <v>3</v>
      </c>
    </row>
    <row r="1171" spans="1:18" ht="36">
      <c r="A1171" s="90">
        <v>862</v>
      </c>
      <c r="B1171" s="87" t="s">
        <v>2183</v>
      </c>
      <c r="C1171" s="91" t="s">
        <v>2184</v>
      </c>
      <c r="D1171" s="92">
        <v>216.12</v>
      </c>
      <c r="E1171" s="92">
        <v>178.86</v>
      </c>
      <c r="F1171" s="92">
        <v>33.68</v>
      </c>
      <c r="G1171" s="92">
        <v>3.58</v>
      </c>
      <c r="H1171" s="93">
        <v>2274.4</v>
      </c>
      <c r="I1171" s="93">
        <v>2056.89</v>
      </c>
      <c r="J1171" s="93">
        <v>176.34</v>
      </c>
      <c r="K1171" s="93">
        <v>41.17</v>
      </c>
      <c r="L1171" s="43">
        <v>10.523783083472145</v>
      </c>
      <c r="M1171" s="43">
        <v>11.499999999999998</v>
      </c>
      <c r="N1171" s="43">
        <v>5.2357482185273163</v>
      </c>
      <c r="O1171" s="43">
        <v>11.5</v>
      </c>
      <c r="P1171" s="94"/>
      <c r="Q1171" s="94"/>
      <c r="R1171" s="94">
        <v>3</v>
      </c>
    </row>
    <row r="1172" spans="1:18" ht="36">
      <c r="A1172" s="90">
        <v>863</v>
      </c>
      <c r="B1172" s="87" t="s">
        <v>2185</v>
      </c>
      <c r="C1172" s="91" t="s">
        <v>2186</v>
      </c>
      <c r="D1172" s="92">
        <v>237.26</v>
      </c>
      <c r="E1172" s="92">
        <v>194.04</v>
      </c>
      <c r="F1172" s="92">
        <v>39.340000000000003</v>
      </c>
      <c r="G1172" s="92">
        <v>3.88</v>
      </c>
      <c r="H1172" s="93">
        <v>2482.48</v>
      </c>
      <c r="I1172" s="93">
        <v>2231.41</v>
      </c>
      <c r="J1172" s="93">
        <v>206.45</v>
      </c>
      <c r="K1172" s="93">
        <v>44.62</v>
      </c>
      <c r="L1172" s="43">
        <v>10.463120627160079</v>
      </c>
      <c r="M1172" s="43">
        <v>11.499742321170892</v>
      </c>
      <c r="N1172" s="43">
        <v>5.2478393492628364</v>
      </c>
      <c r="O1172" s="43">
        <v>11.5</v>
      </c>
      <c r="P1172" s="94"/>
      <c r="Q1172" s="94"/>
      <c r="R1172" s="94">
        <v>3</v>
      </c>
    </row>
    <row r="1173" spans="1:18" ht="19.5" customHeight="1">
      <c r="A1173" s="628" t="s">
        <v>2187</v>
      </c>
      <c r="B1173" s="629"/>
      <c r="C1173" s="629"/>
      <c r="D1173" s="629"/>
      <c r="E1173" s="629"/>
      <c r="F1173" s="629"/>
      <c r="G1173" s="629"/>
      <c r="H1173" s="629"/>
      <c r="I1173" s="629"/>
      <c r="J1173" s="629"/>
      <c r="K1173" s="629"/>
      <c r="L1173" s="629"/>
      <c r="M1173" s="629"/>
      <c r="N1173" s="629"/>
      <c r="O1173" s="629"/>
      <c r="P1173" s="629"/>
      <c r="Q1173" s="629"/>
      <c r="R1173" s="629"/>
    </row>
    <row r="1174" spans="1:18" ht="36">
      <c r="A1174" s="90">
        <v>864</v>
      </c>
      <c r="B1174" s="87" t="s">
        <v>2188</v>
      </c>
      <c r="C1174" s="91" t="s">
        <v>2189</v>
      </c>
      <c r="D1174" s="92">
        <v>4868.79</v>
      </c>
      <c r="E1174" s="92">
        <v>1470.62</v>
      </c>
      <c r="F1174" s="92">
        <v>3074.99</v>
      </c>
      <c r="G1174" s="92">
        <v>323.18</v>
      </c>
      <c r="H1174" s="93">
        <v>38408.370000000003</v>
      </c>
      <c r="I1174" s="93">
        <v>16912.13</v>
      </c>
      <c r="J1174" s="93">
        <v>19895.009999999998</v>
      </c>
      <c r="K1174" s="93">
        <v>1601.23</v>
      </c>
      <c r="L1174" s="43">
        <v>7.8886889761111085</v>
      </c>
      <c r="M1174" s="43">
        <v>11.500000000000002</v>
      </c>
      <c r="N1174" s="43">
        <v>6.4699429916845261</v>
      </c>
      <c r="O1174" s="43">
        <v>4.9546073395630916</v>
      </c>
      <c r="P1174" s="94"/>
      <c r="Q1174" s="94"/>
      <c r="R1174" s="94">
        <v>4</v>
      </c>
    </row>
    <row r="1175" spans="1:18" ht="36">
      <c r="A1175" s="90">
        <v>865</v>
      </c>
      <c r="B1175" s="87" t="s">
        <v>2190</v>
      </c>
      <c r="C1175" s="91" t="s">
        <v>2191</v>
      </c>
      <c r="D1175" s="92">
        <v>5859.32</v>
      </c>
      <c r="E1175" s="92">
        <v>1777.44</v>
      </c>
      <c r="F1175" s="92">
        <v>3708.36</v>
      </c>
      <c r="G1175" s="92">
        <v>373.52</v>
      </c>
      <c r="H1175" s="93">
        <v>46334.97</v>
      </c>
      <c r="I1175" s="93">
        <v>20440.560000000001</v>
      </c>
      <c r="J1175" s="93">
        <v>24034.02</v>
      </c>
      <c r="K1175" s="93">
        <v>1860.39</v>
      </c>
      <c r="L1175" s="43">
        <v>7.9079091089068365</v>
      </c>
      <c r="M1175" s="43">
        <v>11.5</v>
      </c>
      <c r="N1175" s="43">
        <v>6.4810374397307706</v>
      </c>
      <c r="O1175" s="43">
        <v>4.9806971514242884</v>
      </c>
      <c r="P1175" s="94"/>
      <c r="Q1175" s="94"/>
      <c r="R1175" s="94">
        <v>4</v>
      </c>
    </row>
    <row r="1176" spans="1:18" ht="36">
      <c r="A1176" s="90">
        <v>866</v>
      </c>
      <c r="B1176" s="87" t="s">
        <v>2192</v>
      </c>
      <c r="C1176" s="91" t="s">
        <v>2193</v>
      </c>
      <c r="D1176" s="92">
        <v>6719.39</v>
      </c>
      <c r="E1176" s="92">
        <v>1989.04</v>
      </c>
      <c r="F1176" s="92">
        <v>4310.46</v>
      </c>
      <c r="G1176" s="92">
        <v>419.89</v>
      </c>
      <c r="H1176" s="93">
        <v>52924.35</v>
      </c>
      <c r="I1176" s="93">
        <v>22873.96</v>
      </c>
      <c r="J1176" s="93">
        <v>27959.08</v>
      </c>
      <c r="K1176" s="93">
        <v>2091.31</v>
      </c>
      <c r="L1176" s="43">
        <v>7.8763622888387186</v>
      </c>
      <c r="M1176" s="43">
        <v>11.5</v>
      </c>
      <c r="N1176" s="43">
        <v>6.4863332451756897</v>
      </c>
      <c r="O1176" s="43">
        <v>4.9806139703255612</v>
      </c>
      <c r="P1176" s="94"/>
      <c r="Q1176" s="94"/>
      <c r="R1176" s="94">
        <v>4</v>
      </c>
    </row>
    <row r="1177" spans="1:18" ht="36">
      <c r="A1177" s="90">
        <v>867</v>
      </c>
      <c r="B1177" s="87" t="s">
        <v>2194</v>
      </c>
      <c r="C1177" s="91" t="s">
        <v>2195</v>
      </c>
      <c r="D1177" s="92">
        <v>8174.87</v>
      </c>
      <c r="E1177" s="92">
        <v>2391.08</v>
      </c>
      <c r="F1177" s="92">
        <v>5282.93</v>
      </c>
      <c r="G1177" s="92">
        <v>500.86</v>
      </c>
      <c r="H1177" s="93">
        <v>64359.74</v>
      </c>
      <c r="I1177" s="93">
        <v>27497.42</v>
      </c>
      <c r="J1177" s="93">
        <v>34368.81</v>
      </c>
      <c r="K1177" s="93">
        <v>2493.5100000000002</v>
      </c>
      <c r="L1177" s="43">
        <v>7.8728762659222715</v>
      </c>
      <c r="M1177" s="43">
        <v>11.5</v>
      </c>
      <c r="N1177" s="43">
        <v>6.5056341840607379</v>
      </c>
      <c r="O1177" s="43">
        <v>4.9784570538673485</v>
      </c>
      <c r="P1177" s="94"/>
      <c r="Q1177" s="94"/>
      <c r="R1177" s="94">
        <v>4</v>
      </c>
    </row>
    <row r="1178" spans="1:18" ht="36">
      <c r="A1178" s="90">
        <v>868</v>
      </c>
      <c r="B1178" s="87" t="s">
        <v>2196</v>
      </c>
      <c r="C1178" s="91" t="s">
        <v>2197</v>
      </c>
      <c r="D1178" s="92">
        <v>10333.39</v>
      </c>
      <c r="E1178" s="92">
        <v>2920.08</v>
      </c>
      <c r="F1178" s="92">
        <v>6802.95</v>
      </c>
      <c r="G1178" s="92">
        <v>610.36</v>
      </c>
      <c r="H1178" s="93">
        <v>80944.399999999994</v>
      </c>
      <c r="I1178" s="93">
        <v>33580.92</v>
      </c>
      <c r="J1178" s="93">
        <v>44332.52</v>
      </c>
      <c r="K1178" s="93">
        <v>3030.96</v>
      </c>
      <c r="L1178" s="43">
        <v>7.8332860755279725</v>
      </c>
      <c r="M1178" s="43">
        <v>11.5</v>
      </c>
      <c r="N1178" s="43">
        <v>6.516661154352156</v>
      </c>
      <c r="O1178" s="43">
        <v>4.9658562160036697</v>
      </c>
      <c r="P1178" s="94"/>
      <c r="Q1178" s="94"/>
      <c r="R1178" s="94">
        <v>4</v>
      </c>
    </row>
    <row r="1179" spans="1:18" ht="36">
      <c r="A1179" s="90">
        <v>869</v>
      </c>
      <c r="B1179" s="87" t="s">
        <v>2198</v>
      </c>
      <c r="C1179" s="91" t="s">
        <v>2199</v>
      </c>
      <c r="D1179" s="92">
        <v>16692.37</v>
      </c>
      <c r="E1179" s="92">
        <v>4464.76</v>
      </c>
      <c r="F1179" s="92">
        <v>11293.07</v>
      </c>
      <c r="G1179" s="92">
        <v>934.54</v>
      </c>
      <c r="H1179" s="93">
        <v>129289.77</v>
      </c>
      <c r="I1179" s="93">
        <v>51344.74</v>
      </c>
      <c r="J1179" s="93">
        <v>73315.070000000007</v>
      </c>
      <c r="K1179" s="93">
        <v>4629.96</v>
      </c>
      <c r="L1179" s="43">
        <v>7.7454411806112624</v>
      </c>
      <c r="M1179" s="43">
        <v>11.499999999999998</v>
      </c>
      <c r="N1179" s="43">
        <v>6.4920406939831246</v>
      </c>
      <c r="O1179" s="43">
        <v>4.9542662700365954</v>
      </c>
      <c r="P1179" s="94"/>
      <c r="Q1179" s="94"/>
      <c r="R1179" s="94">
        <v>4</v>
      </c>
    </row>
    <row r="1180" spans="1:18" ht="36">
      <c r="A1180" s="90">
        <v>870</v>
      </c>
      <c r="B1180" s="87" t="s">
        <v>2200</v>
      </c>
      <c r="C1180" s="91" t="s">
        <v>2201</v>
      </c>
      <c r="D1180" s="92">
        <v>9828.43</v>
      </c>
      <c r="E1180" s="92">
        <v>3184.58</v>
      </c>
      <c r="F1180" s="92">
        <v>5992.62</v>
      </c>
      <c r="G1180" s="92">
        <v>651.23</v>
      </c>
      <c r="H1180" s="93">
        <v>78712.67</v>
      </c>
      <c r="I1180" s="93">
        <v>36622.67</v>
      </c>
      <c r="J1180" s="93">
        <v>38831.550000000003</v>
      </c>
      <c r="K1180" s="93">
        <v>3258.45</v>
      </c>
      <c r="L1180" s="43">
        <v>8.0086717817596504</v>
      </c>
      <c r="M1180" s="43">
        <v>11.5</v>
      </c>
      <c r="N1180" s="43">
        <v>6.4798952711835565</v>
      </c>
      <c r="O1180" s="43">
        <v>5.0035317783271651</v>
      </c>
      <c r="P1180" s="94"/>
      <c r="Q1180" s="94"/>
      <c r="R1180" s="94">
        <v>4</v>
      </c>
    </row>
    <row r="1181" spans="1:18" ht="36">
      <c r="A1181" s="90">
        <v>871</v>
      </c>
      <c r="B1181" s="87" t="s">
        <v>2202</v>
      </c>
      <c r="C1181" s="91" t="s">
        <v>2203</v>
      </c>
      <c r="D1181" s="92">
        <v>11749.49</v>
      </c>
      <c r="E1181" s="92">
        <v>3660.68</v>
      </c>
      <c r="F1181" s="92">
        <v>7339.14</v>
      </c>
      <c r="G1181" s="92">
        <v>749.67</v>
      </c>
      <c r="H1181" s="93">
        <v>93400.74</v>
      </c>
      <c r="I1181" s="93">
        <v>42097.82</v>
      </c>
      <c r="J1181" s="93">
        <v>47556.31</v>
      </c>
      <c r="K1181" s="93">
        <v>3746.61</v>
      </c>
      <c r="L1181" s="43">
        <v>7.9493441843007657</v>
      </c>
      <c r="M1181" s="43">
        <v>11.5</v>
      </c>
      <c r="N1181" s="43">
        <v>6.4798205239305959</v>
      </c>
      <c r="O1181" s="43">
        <v>4.9976789787506508</v>
      </c>
      <c r="P1181" s="94"/>
      <c r="Q1181" s="94"/>
      <c r="R1181" s="94">
        <v>4</v>
      </c>
    </row>
    <row r="1182" spans="1:18" ht="36">
      <c r="A1182" s="90">
        <v>872</v>
      </c>
      <c r="B1182" s="87" t="s">
        <v>2204</v>
      </c>
      <c r="C1182" s="91" t="s">
        <v>2205</v>
      </c>
      <c r="D1182" s="92">
        <v>13474.72</v>
      </c>
      <c r="E1182" s="92">
        <v>4115.62</v>
      </c>
      <c r="F1182" s="92">
        <v>8513.99</v>
      </c>
      <c r="G1182" s="92">
        <v>845.11</v>
      </c>
      <c r="H1182" s="93">
        <v>106767.73</v>
      </c>
      <c r="I1182" s="93">
        <v>47329.63</v>
      </c>
      <c r="J1182" s="93">
        <v>55216.01</v>
      </c>
      <c r="K1182" s="93">
        <v>4222.09</v>
      </c>
      <c r="L1182" s="43">
        <v>7.9235583373903129</v>
      </c>
      <c r="M1182" s="43">
        <v>11.5</v>
      </c>
      <c r="N1182" s="43">
        <v>6.4853270910583642</v>
      </c>
      <c r="O1182" s="43">
        <v>4.9959058584089648</v>
      </c>
      <c r="P1182" s="94"/>
      <c r="Q1182" s="94"/>
      <c r="R1182" s="94">
        <v>4</v>
      </c>
    </row>
    <row r="1183" spans="1:18" ht="39" customHeight="1">
      <c r="A1183" s="95">
        <v>873</v>
      </c>
      <c r="B1183" s="96" t="s">
        <v>2206</v>
      </c>
      <c r="C1183" s="97" t="s">
        <v>2207</v>
      </c>
      <c r="D1183" s="98">
        <v>16961.93</v>
      </c>
      <c r="E1183" s="98">
        <v>5046.66</v>
      </c>
      <c r="F1183" s="98">
        <v>10871.51</v>
      </c>
      <c r="G1183" s="98">
        <v>1043.76</v>
      </c>
      <c r="H1183" s="99">
        <v>133619.47</v>
      </c>
      <c r="I1183" s="99">
        <v>58036.59</v>
      </c>
      <c r="J1183" s="99">
        <v>70355.429999999993</v>
      </c>
      <c r="K1183" s="99">
        <v>5227.45</v>
      </c>
      <c r="L1183" s="611">
        <v>7.8776100361220687</v>
      </c>
      <c r="M1183" s="611">
        <v>11.5</v>
      </c>
      <c r="N1183" s="611">
        <v>6.4715416717640872</v>
      </c>
      <c r="O1183" s="611">
        <v>5.0082873457499808</v>
      </c>
      <c r="P1183" s="100"/>
      <c r="Q1183" s="100"/>
      <c r="R1183" s="100">
        <v>4</v>
      </c>
    </row>
    <row r="1184" spans="1:18" ht="12.75" customHeight="1">
      <c r="A1184" s="630" t="s">
        <v>2208</v>
      </c>
      <c r="B1184" s="631"/>
      <c r="C1184" s="631"/>
      <c r="D1184" s="631"/>
      <c r="E1184" s="631"/>
      <c r="F1184" s="631"/>
      <c r="G1184" s="631"/>
      <c r="H1184" s="631"/>
      <c r="I1184" s="631"/>
      <c r="J1184" s="631"/>
      <c r="K1184" s="631"/>
      <c r="L1184" s="631"/>
      <c r="M1184" s="631"/>
      <c r="N1184" s="631"/>
      <c r="O1184" s="631"/>
      <c r="P1184" s="631"/>
      <c r="Q1184" s="631"/>
      <c r="R1184" s="631"/>
    </row>
    <row r="1185" spans="1:18" ht="12.75" customHeight="1">
      <c r="A1185" s="628" t="s">
        <v>2209</v>
      </c>
      <c r="B1185" s="629"/>
      <c r="C1185" s="629"/>
      <c r="D1185" s="629"/>
      <c r="E1185" s="629"/>
      <c r="F1185" s="629"/>
      <c r="G1185" s="629"/>
      <c r="H1185" s="629"/>
      <c r="I1185" s="629"/>
      <c r="J1185" s="629"/>
      <c r="K1185" s="629"/>
      <c r="L1185" s="629"/>
      <c r="M1185" s="629"/>
      <c r="N1185" s="629"/>
      <c r="O1185" s="629"/>
      <c r="P1185" s="629"/>
      <c r="Q1185" s="629"/>
      <c r="R1185" s="629"/>
    </row>
    <row r="1186" spans="1:18" ht="24">
      <c r="A1186" s="90">
        <v>874</v>
      </c>
      <c r="B1186" s="87" t="s">
        <v>2210</v>
      </c>
      <c r="C1186" s="91" t="s">
        <v>2211</v>
      </c>
      <c r="D1186" s="92">
        <v>3057.07</v>
      </c>
      <c r="E1186" s="92">
        <v>2349.16</v>
      </c>
      <c r="F1186" s="92">
        <v>659.26</v>
      </c>
      <c r="G1186" s="92">
        <v>48.65</v>
      </c>
      <c r="H1186" s="93">
        <v>30969.34</v>
      </c>
      <c r="I1186" s="93">
        <v>27015.34</v>
      </c>
      <c r="J1186" s="93">
        <v>3399.13</v>
      </c>
      <c r="K1186" s="93">
        <v>554.87</v>
      </c>
      <c r="L1186" s="43">
        <v>10.130399369330764</v>
      </c>
      <c r="M1186" s="43">
        <v>11.5</v>
      </c>
      <c r="N1186" s="43">
        <v>5.1559779146315572</v>
      </c>
      <c r="O1186" s="43">
        <v>11.405344295991778</v>
      </c>
      <c r="P1186" s="94"/>
      <c r="Q1186" s="94"/>
      <c r="R1186" s="94">
        <v>1</v>
      </c>
    </row>
    <row r="1187" spans="1:18" ht="24">
      <c r="A1187" s="90">
        <v>875</v>
      </c>
      <c r="B1187" s="87" t="s">
        <v>2212</v>
      </c>
      <c r="C1187" s="91" t="s">
        <v>2213</v>
      </c>
      <c r="D1187" s="92">
        <v>1403.05</v>
      </c>
      <c r="E1187" s="92">
        <v>992.79</v>
      </c>
      <c r="F1187" s="92">
        <v>389.86</v>
      </c>
      <c r="G1187" s="92">
        <v>20.399999999999999</v>
      </c>
      <c r="H1187" s="93">
        <v>13683.19</v>
      </c>
      <c r="I1187" s="93">
        <v>11417.48</v>
      </c>
      <c r="J1187" s="93">
        <v>2032.55</v>
      </c>
      <c r="K1187" s="93">
        <v>233.16</v>
      </c>
      <c r="L1187" s="43">
        <v>9.7524607105947769</v>
      </c>
      <c r="M1187" s="43">
        <v>11.500397868632843</v>
      </c>
      <c r="N1187" s="43">
        <v>5.2135381931975582</v>
      </c>
      <c r="O1187" s="43">
        <v>11.429411764705883</v>
      </c>
      <c r="P1187" s="94"/>
      <c r="Q1187" s="94"/>
      <c r="R1187" s="94">
        <v>1</v>
      </c>
    </row>
    <row r="1188" spans="1:18" ht="24">
      <c r="A1188" s="90">
        <v>876</v>
      </c>
      <c r="B1188" s="87" t="s">
        <v>2214</v>
      </c>
      <c r="C1188" s="91" t="s">
        <v>2215</v>
      </c>
      <c r="D1188" s="92">
        <v>2930.7</v>
      </c>
      <c r="E1188" s="92">
        <v>2225.52</v>
      </c>
      <c r="F1188" s="92">
        <v>659.92</v>
      </c>
      <c r="G1188" s="92">
        <v>45.26</v>
      </c>
      <c r="H1188" s="93">
        <v>29591.98</v>
      </c>
      <c r="I1188" s="93">
        <v>25593.48</v>
      </c>
      <c r="J1188" s="93">
        <v>3480.07</v>
      </c>
      <c r="K1188" s="93">
        <v>518.42999999999995</v>
      </c>
      <c r="L1188" s="43">
        <v>10.097239567338862</v>
      </c>
      <c r="M1188" s="43">
        <v>11.5</v>
      </c>
      <c r="N1188" s="43">
        <v>5.2734725421263189</v>
      </c>
      <c r="O1188" s="43">
        <v>11.454485196641626</v>
      </c>
      <c r="P1188" s="94"/>
      <c r="Q1188" s="94"/>
      <c r="R1188" s="94">
        <v>1</v>
      </c>
    </row>
    <row r="1189" spans="1:18" ht="12.75" customHeight="1">
      <c r="A1189" s="628" t="s">
        <v>2216</v>
      </c>
      <c r="B1189" s="629"/>
      <c r="C1189" s="629"/>
      <c r="D1189" s="629"/>
      <c r="E1189" s="629"/>
      <c r="F1189" s="629"/>
      <c r="G1189" s="629"/>
      <c r="H1189" s="629"/>
      <c r="I1189" s="629"/>
      <c r="J1189" s="629"/>
      <c r="K1189" s="629"/>
      <c r="L1189" s="629"/>
      <c r="M1189" s="629"/>
      <c r="N1189" s="629"/>
      <c r="O1189" s="629"/>
      <c r="P1189" s="629"/>
      <c r="Q1189" s="629"/>
      <c r="R1189" s="629"/>
    </row>
    <row r="1190" spans="1:18" ht="24">
      <c r="A1190" s="90">
        <v>877</v>
      </c>
      <c r="B1190" s="87" t="s">
        <v>2217</v>
      </c>
      <c r="C1190" s="91" t="s">
        <v>2218</v>
      </c>
      <c r="D1190" s="92">
        <v>2135.7600000000002</v>
      </c>
      <c r="E1190" s="92">
        <v>1539.88</v>
      </c>
      <c r="F1190" s="92">
        <v>562.97</v>
      </c>
      <c r="G1190" s="92">
        <v>32.909999999999997</v>
      </c>
      <c r="H1190" s="93">
        <v>20903.25</v>
      </c>
      <c r="I1190" s="93">
        <v>17708.62</v>
      </c>
      <c r="J1190" s="93">
        <v>2821.95</v>
      </c>
      <c r="K1190" s="93">
        <v>372.68</v>
      </c>
      <c r="L1190" s="43">
        <v>9.7872654230812444</v>
      </c>
      <c r="M1190" s="43">
        <v>11.499999999999998</v>
      </c>
      <c r="N1190" s="43">
        <v>5.0126116844592072</v>
      </c>
      <c r="O1190" s="43">
        <v>11.324217563050746</v>
      </c>
      <c r="P1190" s="94"/>
      <c r="Q1190" s="94"/>
      <c r="R1190" s="94">
        <v>2</v>
      </c>
    </row>
    <row r="1191" spans="1:18" ht="24">
      <c r="A1191" s="90">
        <v>878</v>
      </c>
      <c r="B1191" s="87" t="s">
        <v>2219</v>
      </c>
      <c r="C1191" s="91" t="s">
        <v>2220</v>
      </c>
      <c r="D1191" s="92">
        <v>4632.0200000000004</v>
      </c>
      <c r="E1191" s="92">
        <v>3529.36</v>
      </c>
      <c r="F1191" s="92">
        <v>1026.3599999999999</v>
      </c>
      <c r="G1191" s="92">
        <v>76.3</v>
      </c>
      <c r="H1191" s="93">
        <v>46482.879999999997</v>
      </c>
      <c r="I1191" s="93">
        <v>40587.64</v>
      </c>
      <c r="J1191" s="93">
        <v>5033.3900000000003</v>
      </c>
      <c r="K1191" s="93">
        <v>861.85</v>
      </c>
      <c r="L1191" s="43">
        <v>10.035120746456188</v>
      </c>
      <c r="M1191" s="43">
        <v>11.5</v>
      </c>
      <c r="N1191" s="43">
        <v>4.9041174636579763</v>
      </c>
      <c r="O1191" s="43">
        <v>11.29554390563565</v>
      </c>
      <c r="P1191" s="94"/>
      <c r="Q1191" s="94"/>
      <c r="R1191" s="94">
        <v>2</v>
      </c>
    </row>
    <row r="1192" spans="1:18" ht="12.75" customHeight="1">
      <c r="A1192" s="628" t="s">
        <v>2221</v>
      </c>
      <c r="B1192" s="629"/>
      <c r="C1192" s="629"/>
      <c r="D1192" s="629"/>
      <c r="E1192" s="629"/>
      <c r="F1192" s="629"/>
      <c r="G1192" s="629"/>
      <c r="H1192" s="629"/>
      <c r="I1192" s="629"/>
      <c r="J1192" s="629"/>
      <c r="K1192" s="629"/>
      <c r="L1192" s="629"/>
      <c r="M1192" s="629"/>
      <c r="N1192" s="629"/>
      <c r="O1192" s="629"/>
      <c r="P1192" s="629"/>
      <c r="Q1192" s="629"/>
      <c r="R1192" s="629"/>
    </row>
    <row r="1193" spans="1:18" ht="24">
      <c r="A1193" s="90">
        <v>879</v>
      </c>
      <c r="B1193" s="87" t="s">
        <v>2222</v>
      </c>
      <c r="C1193" s="91" t="s">
        <v>2223</v>
      </c>
      <c r="D1193" s="92">
        <v>1136.42</v>
      </c>
      <c r="E1193" s="92">
        <v>833.72</v>
      </c>
      <c r="F1193" s="92">
        <v>283.58</v>
      </c>
      <c r="G1193" s="92">
        <v>19.12</v>
      </c>
      <c r="H1193" s="93">
        <v>11282.75</v>
      </c>
      <c r="I1193" s="93">
        <v>9588.16</v>
      </c>
      <c r="J1193" s="93">
        <v>1481.42</v>
      </c>
      <c r="K1193" s="93">
        <v>213.17</v>
      </c>
      <c r="L1193" s="43">
        <v>9.9283275549532739</v>
      </c>
      <c r="M1193" s="43">
        <v>11.500455788514129</v>
      </c>
      <c r="N1193" s="43">
        <v>5.2239932294237965</v>
      </c>
      <c r="O1193" s="43">
        <v>11.149058577405857</v>
      </c>
      <c r="P1193" s="94"/>
      <c r="Q1193" s="94"/>
      <c r="R1193" s="94">
        <v>3</v>
      </c>
    </row>
    <row r="1194" spans="1:18" ht="12.75" customHeight="1">
      <c r="A1194" s="628" t="s">
        <v>2224</v>
      </c>
      <c r="B1194" s="629"/>
      <c r="C1194" s="629"/>
      <c r="D1194" s="629"/>
      <c r="E1194" s="629"/>
      <c r="F1194" s="629"/>
      <c r="G1194" s="629"/>
      <c r="H1194" s="629"/>
      <c r="I1194" s="629"/>
      <c r="J1194" s="629"/>
      <c r="K1194" s="629"/>
      <c r="L1194" s="629"/>
      <c r="M1194" s="629"/>
      <c r="N1194" s="629"/>
      <c r="O1194" s="629"/>
      <c r="P1194" s="629"/>
      <c r="Q1194" s="629"/>
      <c r="R1194" s="629"/>
    </row>
    <row r="1195" spans="1:18" ht="24">
      <c r="A1195" s="90">
        <v>880</v>
      </c>
      <c r="B1195" s="87" t="s">
        <v>2225</v>
      </c>
      <c r="C1195" s="91" t="s">
        <v>2226</v>
      </c>
      <c r="D1195" s="92">
        <v>10545.94</v>
      </c>
      <c r="E1195" s="92">
        <v>8317.6</v>
      </c>
      <c r="F1195" s="92">
        <v>2059.88</v>
      </c>
      <c r="G1195" s="92">
        <v>168.46</v>
      </c>
      <c r="H1195" s="93">
        <v>107511.21</v>
      </c>
      <c r="I1195" s="93">
        <v>95652.4</v>
      </c>
      <c r="J1195" s="93">
        <v>9927.2999999999993</v>
      </c>
      <c r="K1195" s="93">
        <v>1931.51</v>
      </c>
      <c r="L1195" s="43">
        <v>10.194559233221506</v>
      </c>
      <c r="M1195" s="43">
        <v>11.499999999999998</v>
      </c>
      <c r="N1195" s="43">
        <v>4.8193584092277213</v>
      </c>
      <c r="O1195" s="43">
        <v>11.465689184376112</v>
      </c>
      <c r="P1195" s="94"/>
      <c r="Q1195" s="94"/>
      <c r="R1195" s="94">
        <v>4</v>
      </c>
    </row>
    <row r="1196" spans="1:18" ht="24">
      <c r="A1196" s="90">
        <v>881</v>
      </c>
      <c r="B1196" s="87" t="s">
        <v>2227</v>
      </c>
      <c r="C1196" s="91" t="s">
        <v>2228</v>
      </c>
      <c r="D1196" s="92">
        <v>5648.96</v>
      </c>
      <c r="E1196" s="92">
        <v>4574.68</v>
      </c>
      <c r="F1196" s="92">
        <v>981.36</v>
      </c>
      <c r="G1196" s="92">
        <v>92.92</v>
      </c>
      <c r="H1196" s="93">
        <v>58332</v>
      </c>
      <c r="I1196" s="93">
        <v>52608.82</v>
      </c>
      <c r="J1196" s="93">
        <v>4658.5200000000004</v>
      </c>
      <c r="K1196" s="93">
        <v>1064.6600000000001</v>
      </c>
      <c r="L1196" s="43">
        <v>10.326148529994901</v>
      </c>
      <c r="M1196" s="43">
        <v>11.5</v>
      </c>
      <c r="N1196" s="43">
        <v>4.7470041574957209</v>
      </c>
      <c r="O1196" s="43">
        <v>11.457813172621611</v>
      </c>
      <c r="P1196" s="94"/>
      <c r="Q1196" s="94"/>
      <c r="R1196" s="94">
        <v>4</v>
      </c>
    </row>
    <row r="1197" spans="1:18" ht="12.75" customHeight="1">
      <c r="A1197" s="628" t="s">
        <v>2229</v>
      </c>
      <c r="B1197" s="629"/>
      <c r="C1197" s="629"/>
      <c r="D1197" s="629"/>
      <c r="E1197" s="629"/>
      <c r="F1197" s="629"/>
      <c r="G1197" s="629"/>
      <c r="H1197" s="629"/>
      <c r="I1197" s="629"/>
      <c r="J1197" s="629"/>
      <c r="K1197" s="629"/>
      <c r="L1197" s="629"/>
      <c r="M1197" s="629"/>
      <c r="N1197" s="629"/>
      <c r="O1197" s="629"/>
      <c r="P1197" s="629"/>
      <c r="Q1197" s="629"/>
      <c r="R1197" s="629"/>
    </row>
    <row r="1198" spans="1:18" ht="24">
      <c r="A1198" s="90">
        <v>882</v>
      </c>
      <c r="B1198" s="87" t="s">
        <v>2230</v>
      </c>
      <c r="C1198" s="91" t="s">
        <v>2231</v>
      </c>
      <c r="D1198" s="92">
        <v>2411.14</v>
      </c>
      <c r="E1198" s="92">
        <v>1908.48</v>
      </c>
      <c r="F1198" s="92">
        <v>462.38</v>
      </c>
      <c r="G1198" s="92">
        <v>40.28</v>
      </c>
      <c r="H1198" s="93">
        <v>24673.96</v>
      </c>
      <c r="I1198" s="93">
        <v>21947.52</v>
      </c>
      <c r="J1198" s="93">
        <v>2269</v>
      </c>
      <c r="K1198" s="93">
        <v>457.44</v>
      </c>
      <c r="L1198" s="43">
        <v>10.233317020164735</v>
      </c>
      <c r="M1198" s="43">
        <v>11.5</v>
      </c>
      <c r="N1198" s="43">
        <v>4.9072191703793413</v>
      </c>
      <c r="O1198" s="43">
        <v>11.356504468718967</v>
      </c>
      <c r="P1198" s="94"/>
      <c r="Q1198" s="94"/>
      <c r="R1198" s="94">
        <v>5</v>
      </c>
    </row>
    <row r="1199" spans="1:18" ht="12.75" customHeight="1">
      <c r="A1199" s="628" t="s">
        <v>2232</v>
      </c>
      <c r="B1199" s="629"/>
      <c r="C1199" s="629"/>
      <c r="D1199" s="629"/>
      <c r="E1199" s="629"/>
      <c r="F1199" s="629"/>
      <c r="G1199" s="629"/>
      <c r="H1199" s="629"/>
      <c r="I1199" s="629"/>
      <c r="J1199" s="629"/>
      <c r="K1199" s="629"/>
      <c r="L1199" s="629"/>
      <c r="M1199" s="629"/>
      <c r="N1199" s="629"/>
      <c r="O1199" s="629"/>
      <c r="P1199" s="629"/>
      <c r="Q1199" s="629"/>
      <c r="R1199" s="629"/>
    </row>
    <row r="1200" spans="1:18" ht="24">
      <c r="A1200" s="90">
        <v>883</v>
      </c>
      <c r="B1200" s="87" t="s">
        <v>2233</v>
      </c>
      <c r="C1200" s="91" t="s">
        <v>2234</v>
      </c>
      <c r="D1200" s="92">
        <v>3100.79</v>
      </c>
      <c r="E1200" s="92">
        <v>2564.1</v>
      </c>
      <c r="F1200" s="92">
        <v>484.87</v>
      </c>
      <c r="G1200" s="92">
        <v>51.82</v>
      </c>
      <c r="H1200" s="93">
        <v>32536.36</v>
      </c>
      <c r="I1200" s="93">
        <v>29487.15</v>
      </c>
      <c r="J1200" s="93">
        <v>2454.7199999999998</v>
      </c>
      <c r="K1200" s="93">
        <v>594.49</v>
      </c>
      <c r="L1200" s="43">
        <v>10.492925996278368</v>
      </c>
      <c r="M1200" s="43">
        <v>11.500000000000002</v>
      </c>
      <c r="N1200" s="43">
        <v>5.06263534555654</v>
      </c>
      <c r="O1200" s="43">
        <v>11.472211501350831</v>
      </c>
      <c r="P1200" s="94"/>
      <c r="Q1200" s="94"/>
      <c r="R1200" s="94">
        <v>6</v>
      </c>
    </row>
    <row r="1201" spans="1:18" ht="12.75" customHeight="1">
      <c r="A1201" s="628" t="s">
        <v>2235</v>
      </c>
      <c r="B1201" s="629"/>
      <c r="C1201" s="629"/>
      <c r="D1201" s="629"/>
      <c r="E1201" s="629"/>
      <c r="F1201" s="629"/>
      <c r="G1201" s="629"/>
      <c r="H1201" s="629"/>
      <c r="I1201" s="629"/>
      <c r="J1201" s="629"/>
      <c r="K1201" s="629"/>
      <c r="L1201" s="629"/>
      <c r="M1201" s="629"/>
      <c r="N1201" s="629"/>
      <c r="O1201" s="629"/>
      <c r="P1201" s="629"/>
      <c r="Q1201" s="629"/>
      <c r="R1201" s="629"/>
    </row>
    <row r="1202" spans="1:18" ht="24">
      <c r="A1202" s="95">
        <v>884</v>
      </c>
      <c r="B1202" s="96" t="s">
        <v>2236</v>
      </c>
      <c r="C1202" s="97" t="s">
        <v>2237</v>
      </c>
      <c r="D1202" s="98">
        <v>602.04999999999995</v>
      </c>
      <c r="E1202" s="98">
        <v>448.13</v>
      </c>
      <c r="F1202" s="98">
        <v>144.69</v>
      </c>
      <c r="G1202" s="98">
        <v>9.23</v>
      </c>
      <c r="H1202" s="99">
        <v>5980.91</v>
      </c>
      <c r="I1202" s="99">
        <v>5153.66</v>
      </c>
      <c r="J1202" s="99">
        <v>721.83</v>
      </c>
      <c r="K1202" s="99">
        <v>105.42</v>
      </c>
      <c r="L1202" s="611">
        <v>9.9342413420812221</v>
      </c>
      <c r="M1202" s="611">
        <v>11.500368196728628</v>
      </c>
      <c r="N1202" s="611">
        <v>4.9888036491810084</v>
      </c>
      <c r="O1202" s="611">
        <v>11.421451787648971</v>
      </c>
      <c r="P1202" s="100"/>
      <c r="Q1202" s="100"/>
      <c r="R1202" s="100">
        <v>7</v>
      </c>
    </row>
    <row r="1203" spans="1:18" ht="12.75" customHeight="1">
      <c r="A1203" s="630" t="s">
        <v>2238</v>
      </c>
      <c r="B1203" s="631"/>
      <c r="C1203" s="631"/>
      <c r="D1203" s="631"/>
      <c r="E1203" s="631"/>
      <c r="F1203" s="631"/>
      <c r="G1203" s="631"/>
      <c r="H1203" s="631"/>
      <c r="I1203" s="631"/>
      <c r="J1203" s="631"/>
      <c r="K1203" s="631"/>
      <c r="L1203" s="631"/>
      <c r="M1203" s="631"/>
      <c r="N1203" s="631"/>
      <c r="O1203" s="631"/>
      <c r="P1203" s="631"/>
      <c r="Q1203" s="631"/>
      <c r="R1203" s="631"/>
    </row>
    <row r="1204" spans="1:18" ht="12.75" customHeight="1">
      <c r="A1204" s="628" t="s">
        <v>2239</v>
      </c>
      <c r="B1204" s="629"/>
      <c r="C1204" s="629"/>
      <c r="D1204" s="629"/>
      <c r="E1204" s="629"/>
      <c r="F1204" s="629"/>
      <c r="G1204" s="629"/>
      <c r="H1204" s="629"/>
      <c r="I1204" s="629"/>
      <c r="J1204" s="629"/>
      <c r="K1204" s="629"/>
      <c r="L1204" s="629"/>
      <c r="M1204" s="629"/>
      <c r="N1204" s="629"/>
      <c r="O1204" s="629"/>
      <c r="P1204" s="629"/>
      <c r="Q1204" s="629"/>
      <c r="R1204" s="629"/>
    </row>
    <row r="1205" spans="1:18" ht="15.75" customHeight="1">
      <c r="A1205" s="628" t="s">
        <v>2240</v>
      </c>
      <c r="B1205" s="629"/>
      <c r="C1205" s="629"/>
      <c r="D1205" s="629"/>
      <c r="E1205" s="629"/>
      <c r="F1205" s="629"/>
      <c r="G1205" s="629"/>
      <c r="H1205" s="629"/>
      <c r="I1205" s="629"/>
      <c r="J1205" s="629"/>
      <c r="K1205" s="629"/>
      <c r="L1205" s="629"/>
      <c r="M1205" s="629"/>
      <c r="N1205" s="629"/>
      <c r="O1205" s="629"/>
      <c r="P1205" s="629"/>
      <c r="Q1205" s="629"/>
      <c r="R1205" s="629"/>
    </row>
    <row r="1206" spans="1:18" ht="36">
      <c r="A1206" s="90">
        <v>885</v>
      </c>
      <c r="B1206" s="87" t="s">
        <v>2241</v>
      </c>
      <c r="C1206" s="91" t="s">
        <v>2242</v>
      </c>
      <c r="D1206" s="92">
        <v>307.42</v>
      </c>
      <c r="E1206" s="92">
        <v>131.44999999999999</v>
      </c>
      <c r="F1206" s="92">
        <v>173.34</v>
      </c>
      <c r="G1206" s="92">
        <v>2.63</v>
      </c>
      <c r="H1206" s="93">
        <v>2481.0300000000002</v>
      </c>
      <c r="I1206" s="93">
        <v>1511.75</v>
      </c>
      <c r="J1206" s="93">
        <v>939.03</v>
      </c>
      <c r="K1206" s="93">
        <v>30.25</v>
      </c>
      <c r="L1206" s="43">
        <v>8.070489883546939</v>
      </c>
      <c r="M1206" s="43">
        <v>11.500570559147967</v>
      </c>
      <c r="N1206" s="43">
        <v>5.4172724125995151</v>
      </c>
      <c r="O1206" s="43">
        <v>11.501901140684412</v>
      </c>
      <c r="P1206" s="94"/>
      <c r="Q1206" s="94"/>
      <c r="R1206" s="94">
        <v>1</v>
      </c>
    </row>
    <row r="1207" spans="1:18" ht="12.75" customHeight="1">
      <c r="A1207" s="628" t="s">
        <v>2243</v>
      </c>
      <c r="B1207" s="629"/>
      <c r="C1207" s="629"/>
      <c r="D1207" s="629"/>
      <c r="E1207" s="629"/>
      <c r="F1207" s="629"/>
      <c r="G1207" s="629"/>
      <c r="H1207" s="629"/>
      <c r="I1207" s="629"/>
      <c r="J1207" s="629"/>
      <c r="K1207" s="629"/>
      <c r="L1207" s="629"/>
      <c r="M1207" s="629"/>
      <c r="N1207" s="629"/>
      <c r="O1207" s="629"/>
      <c r="P1207" s="629"/>
      <c r="Q1207" s="629"/>
      <c r="R1207" s="629"/>
    </row>
    <row r="1208" spans="1:18" ht="12.75" customHeight="1">
      <c r="A1208" s="628" t="s">
        <v>2244</v>
      </c>
      <c r="B1208" s="629"/>
      <c r="C1208" s="629"/>
      <c r="D1208" s="629"/>
      <c r="E1208" s="629"/>
      <c r="F1208" s="629"/>
      <c r="G1208" s="629"/>
      <c r="H1208" s="629"/>
      <c r="I1208" s="629"/>
      <c r="J1208" s="629"/>
      <c r="K1208" s="629"/>
      <c r="L1208" s="629"/>
      <c r="M1208" s="629"/>
      <c r="N1208" s="629"/>
      <c r="O1208" s="629"/>
      <c r="P1208" s="629"/>
      <c r="Q1208" s="629"/>
      <c r="R1208" s="629"/>
    </row>
    <row r="1209" spans="1:18" ht="36">
      <c r="A1209" s="90">
        <v>886</v>
      </c>
      <c r="B1209" s="87" t="s">
        <v>2245</v>
      </c>
      <c r="C1209" s="91" t="s">
        <v>2246</v>
      </c>
      <c r="D1209" s="92">
        <v>3580.67</v>
      </c>
      <c r="E1209" s="92">
        <v>2761.49</v>
      </c>
      <c r="F1209" s="92">
        <v>662.03</v>
      </c>
      <c r="G1209" s="92">
        <v>157.15</v>
      </c>
      <c r="H1209" s="93">
        <v>36438.129999999997</v>
      </c>
      <c r="I1209" s="93">
        <v>31758.49</v>
      </c>
      <c r="J1209" s="93">
        <v>3555.66</v>
      </c>
      <c r="K1209" s="93">
        <v>1123.98</v>
      </c>
      <c r="L1209" s="43">
        <v>10.176344092027469</v>
      </c>
      <c r="M1209" s="43">
        <v>11.500490677134447</v>
      </c>
      <c r="N1209" s="43">
        <v>5.3708442215609562</v>
      </c>
      <c r="O1209" s="43">
        <v>7.1522748965956096</v>
      </c>
      <c r="P1209" s="94"/>
      <c r="Q1209" s="94"/>
      <c r="R1209" s="94">
        <v>1</v>
      </c>
    </row>
    <row r="1210" spans="1:18" ht="24">
      <c r="A1210" s="90">
        <v>887</v>
      </c>
      <c r="B1210" s="87" t="s">
        <v>2247</v>
      </c>
      <c r="C1210" s="91" t="s">
        <v>2248</v>
      </c>
      <c r="D1210" s="92">
        <v>2095.25</v>
      </c>
      <c r="E1210" s="92">
        <v>1820.4</v>
      </c>
      <c r="F1210" s="92">
        <v>129.55000000000001</v>
      </c>
      <c r="G1210" s="92">
        <v>145.30000000000001</v>
      </c>
      <c r="H1210" s="93">
        <v>22554.51</v>
      </c>
      <c r="I1210" s="93">
        <v>20934.599999999999</v>
      </c>
      <c r="J1210" s="93">
        <v>678.91</v>
      </c>
      <c r="K1210" s="93">
        <v>941</v>
      </c>
      <c r="L1210" s="43">
        <v>10.764591337549218</v>
      </c>
      <c r="M1210" s="43">
        <v>11.499999999999998</v>
      </c>
      <c r="N1210" s="43">
        <v>5.2405248938633724</v>
      </c>
      <c r="O1210" s="43">
        <v>6.4762560220233993</v>
      </c>
      <c r="P1210" s="94"/>
      <c r="Q1210" s="94"/>
      <c r="R1210" s="94">
        <v>1</v>
      </c>
    </row>
    <row r="1211" spans="1:18" ht="12.75" customHeight="1">
      <c r="A1211" s="628" t="s">
        <v>2249</v>
      </c>
      <c r="B1211" s="629"/>
      <c r="C1211" s="629"/>
      <c r="D1211" s="629"/>
      <c r="E1211" s="629"/>
      <c r="F1211" s="629"/>
      <c r="G1211" s="629"/>
      <c r="H1211" s="629"/>
      <c r="I1211" s="629"/>
      <c r="J1211" s="629"/>
      <c r="K1211" s="629"/>
      <c r="L1211" s="629"/>
      <c r="M1211" s="629"/>
      <c r="N1211" s="629"/>
      <c r="O1211" s="629"/>
      <c r="P1211" s="629"/>
      <c r="Q1211" s="629"/>
      <c r="R1211" s="629"/>
    </row>
    <row r="1212" spans="1:18" ht="36">
      <c r="A1212" s="90">
        <v>888</v>
      </c>
      <c r="B1212" s="87" t="s">
        <v>2250</v>
      </c>
      <c r="C1212" s="91" t="s">
        <v>2251</v>
      </c>
      <c r="D1212" s="92">
        <v>5120.6000000000004</v>
      </c>
      <c r="E1212" s="92">
        <v>3328.48</v>
      </c>
      <c r="F1212" s="92">
        <v>1293.75</v>
      </c>
      <c r="G1212" s="92">
        <v>498.37</v>
      </c>
      <c r="H1212" s="93">
        <v>48102.04</v>
      </c>
      <c r="I1212" s="93">
        <v>38277.519999999997</v>
      </c>
      <c r="J1212" s="93">
        <v>6987.86</v>
      </c>
      <c r="K1212" s="93">
        <v>2836.66</v>
      </c>
      <c r="L1212" s="43">
        <v>9.3938288481818528</v>
      </c>
      <c r="M1212" s="43">
        <v>11.499999999999998</v>
      </c>
      <c r="N1212" s="43">
        <v>5.4012444444444441</v>
      </c>
      <c r="O1212" s="43">
        <v>5.6918755141762141</v>
      </c>
      <c r="P1212" s="94"/>
      <c r="Q1212" s="94"/>
      <c r="R1212" s="94">
        <v>2</v>
      </c>
    </row>
    <row r="1213" spans="1:18" ht="12.75" customHeight="1">
      <c r="A1213" s="628" t="s">
        <v>2252</v>
      </c>
      <c r="B1213" s="629"/>
      <c r="C1213" s="629"/>
      <c r="D1213" s="629"/>
      <c r="E1213" s="629"/>
      <c r="F1213" s="629"/>
      <c r="G1213" s="629"/>
      <c r="H1213" s="629"/>
      <c r="I1213" s="629"/>
      <c r="J1213" s="629"/>
      <c r="K1213" s="629"/>
      <c r="L1213" s="629"/>
      <c r="M1213" s="629"/>
      <c r="N1213" s="629"/>
      <c r="O1213" s="629"/>
      <c r="P1213" s="629"/>
      <c r="Q1213" s="629"/>
      <c r="R1213" s="629"/>
    </row>
    <row r="1214" spans="1:18" ht="24">
      <c r="A1214" s="90">
        <v>889</v>
      </c>
      <c r="B1214" s="87" t="s">
        <v>2253</v>
      </c>
      <c r="C1214" s="91" t="s">
        <v>2254</v>
      </c>
      <c r="D1214" s="92">
        <v>701.7</v>
      </c>
      <c r="E1214" s="92">
        <v>469.21</v>
      </c>
      <c r="F1214" s="92">
        <v>179.21</v>
      </c>
      <c r="G1214" s="92">
        <v>53.28</v>
      </c>
      <c r="H1214" s="93">
        <v>6697.26</v>
      </c>
      <c r="I1214" s="93">
        <v>5396.08</v>
      </c>
      <c r="J1214" s="93">
        <v>959.16</v>
      </c>
      <c r="K1214" s="93">
        <v>342.02</v>
      </c>
      <c r="L1214" s="43">
        <v>9.5443351859769123</v>
      </c>
      <c r="M1214" s="43">
        <v>11.500351654909316</v>
      </c>
      <c r="N1214" s="43">
        <v>5.3521566876848388</v>
      </c>
      <c r="O1214" s="43">
        <v>6.4192942942942937</v>
      </c>
      <c r="P1214" s="94"/>
      <c r="Q1214" s="94"/>
      <c r="R1214" s="94">
        <v>3</v>
      </c>
    </row>
    <row r="1215" spans="1:18" ht="24">
      <c r="A1215" s="90">
        <v>890</v>
      </c>
      <c r="B1215" s="87" t="s">
        <v>2255</v>
      </c>
      <c r="C1215" s="91" t="s">
        <v>2256</v>
      </c>
      <c r="D1215" s="92">
        <v>1189.96</v>
      </c>
      <c r="E1215" s="92">
        <v>586.13</v>
      </c>
      <c r="F1215" s="92">
        <v>476.09</v>
      </c>
      <c r="G1215" s="92">
        <v>127.74</v>
      </c>
      <c r="H1215" s="93">
        <v>10053.83</v>
      </c>
      <c r="I1215" s="93">
        <v>6740.52</v>
      </c>
      <c r="J1215" s="93">
        <v>2559.6999999999998</v>
      </c>
      <c r="K1215" s="93">
        <v>753.61</v>
      </c>
      <c r="L1215" s="43">
        <v>8.4488806346431815</v>
      </c>
      <c r="M1215" s="43">
        <v>11.50004265265385</v>
      </c>
      <c r="N1215" s="43">
        <v>5.376504442437354</v>
      </c>
      <c r="O1215" s="43">
        <v>5.8995616095193366</v>
      </c>
      <c r="P1215" s="94"/>
      <c r="Q1215" s="94"/>
      <c r="R1215" s="94">
        <v>3</v>
      </c>
    </row>
    <row r="1216" spans="1:18" ht="12.75" customHeight="1">
      <c r="A1216" s="628" t="s">
        <v>2257</v>
      </c>
      <c r="B1216" s="629"/>
      <c r="C1216" s="629"/>
      <c r="D1216" s="629"/>
      <c r="E1216" s="629"/>
      <c r="F1216" s="629"/>
      <c r="G1216" s="629"/>
      <c r="H1216" s="629"/>
      <c r="I1216" s="629"/>
      <c r="J1216" s="629"/>
      <c r="K1216" s="629"/>
      <c r="L1216" s="629"/>
      <c r="M1216" s="629"/>
      <c r="N1216" s="629"/>
      <c r="O1216" s="629"/>
      <c r="P1216" s="629"/>
      <c r="Q1216" s="629"/>
      <c r="R1216" s="629"/>
    </row>
    <row r="1217" spans="1:18" ht="48">
      <c r="A1217" s="90">
        <v>891</v>
      </c>
      <c r="B1217" s="87" t="s">
        <v>2258</v>
      </c>
      <c r="C1217" s="91" t="s">
        <v>2259</v>
      </c>
      <c r="D1217" s="92">
        <v>1381.79</v>
      </c>
      <c r="E1217" s="92">
        <v>344.85</v>
      </c>
      <c r="F1217" s="92">
        <v>1006.72</v>
      </c>
      <c r="G1217" s="92">
        <v>30.22</v>
      </c>
      <c r="H1217" s="93">
        <v>9586.0400000000009</v>
      </c>
      <c r="I1217" s="93">
        <v>3965.94</v>
      </c>
      <c r="J1217" s="93">
        <v>5434.73</v>
      </c>
      <c r="K1217" s="93">
        <v>185.37</v>
      </c>
      <c r="L1217" s="43">
        <v>6.9374072760694467</v>
      </c>
      <c r="M1217" s="43">
        <v>11.500478468899521</v>
      </c>
      <c r="N1217" s="43">
        <v>5.3984523998728537</v>
      </c>
      <c r="O1217" s="43">
        <v>6.1340172071475845</v>
      </c>
      <c r="P1217" s="94"/>
      <c r="Q1217" s="94"/>
      <c r="R1217" s="94">
        <v>4</v>
      </c>
    </row>
    <row r="1218" spans="1:18" ht="48">
      <c r="A1218" s="90">
        <v>892</v>
      </c>
      <c r="B1218" s="87" t="s">
        <v>2260</v>
      </c>
      <c r="C1218" s="91" t="s">
        <v>2261</v>
      </c>
      <c r="D1218" s="92">
        <v>391.84</v>
      </c>
      <c r="E1218" s="92">
        <v>264.62</v>
      </c>
      <c r="F1218" s="92">
        <v>68.73</v>
      </c>
      <c r="G1218" s="92">
        <v>58.49</v>
      </c>
      <c r="H1218" s="93">
        <v>3735.6</v>
      </c>
      <c r="I1218" s="93">
        <v>3043.13</v>
      </c>
      <c r="J1218" s="93">
        <v>370.9</v>
      </c>
      <c r="K1218" s="93">
        <v>321.57</v>
      </c>
      <c r="L1218" s="43">
        <v>9.5334830543078812</v>
      </c>
      <c r="M1218" s="43">
        <v>11.5</v>
      </c>
      <c r="N1218" s="43">
        <v>5.3964789757020215</v>
      </c>
      <c r="O1218" s="43">
        <v>5.4978628825440241</v>
      </c>
      <c r="P1218" s="94"/>
      <c r="Q1218" s="94"/>
      <c r="R1218" s="94">
        <v>4</v>
      </c>
    </row>
    <row r="1219" spans="1:18" ht="12.75" customHeight="1">
      <c r="A1219" s="628" t="s">
        <v>2262</v>
      </c>
      <c r="B1219" s="629"/>
      <c r="C1219" s="629"/>
      <c r="D1219" s="629"/>
      <c r="E1219" s="629"/>
      <c r="F1219" s="629"/>
      <c r="G1219" s="629"/>
      <c r="H1219" s="629"/>
      <c r="I1219" s="629"/>
      <c r="J1219" s="629"/>
      <c r="K1219" s="629"/>
      <c r="L1219" s="629"/>
      <c r="M1219" s="629"/>
      <c r="N1219" s="629"/>
      <c r="O1219" s="629"/>
      <c r="P1219" s="629"/>
      <c r="Q1219" s="629"/>
      <c r="R1219" s="629"/>
    </row>
    <row r="1220" spans="1:18" ht="24">
      <c r="A1220" s="90">
        <v>893</v>
      </c>
      <c r="B1220" s="87" t="s">
        <v>2263</v>
      </c>
      <c r="C1220" s="91" t="s">
        <v>2264</v>
      </c>
      <c r="D1220" s="92">
        <v>387.42</v>
      </c>
      <c r="E1220" s="92">
        <v>344.21</v>
      </c>
      <c r="F1220" s="92">
        <v>36.33</v>
      </c>
      <c r="G1220" s="92">
        <v>6.88</v>
      </c>
      <c r="H1220" s="93">
        <v>4231.2</v>
      </c>
      <c r="I1220" s="93">
        <v>3958.39</v>
      </c>
      <c r="J1220" s="93">
        <v>193.69</v>
      </c>
      <c r="K1220" s="93">
        <v>79.12</v>
      </c>
      <c r="L1220" s="43">
        <v>10.921480563729284</v>
      </c>
      <c r="M1220" s="43">
        <v>11.499927369919526</v>
      </c>
      <c r="N1220" s="43">
        <v>5.3314065510597306</v>
      </c>
      <c r="O1220" s="43">
        <v>11.5</v>
      </c>
      <c r="P1220" s="94"/>
      <c r="Q1220" s="94"/>
      <c r="R1220" s="94">
        <v>5</v>
      </c>
    </row>
    <row r="1221" spans="1:18" ht="12.75" customHeight="1">
      <c r="A1221" s="628" t="s">
        <v>2265</v>
      </c>
      <c r="B1221" s="629"/>
      <c r="C1221" s="629"/>
      <c r="D1221" s="629"/>
      <c r="E1221" s="629"/>
      <c r="F1221" s="629"/>
      <c r="G1221" s="629"/>
      <c r="H1221" s="629"/>
      <c r="I1221" s="629"/>
      <c r="J1221" s="629"/>
      <c r="K1221" s="629"/>
      <c r="L1221" s="629"/>
      <c r="M1221" s="629"/>
      <c r="N1221" s="629"/>
      <c r="O1221" s="629"/>
      <c r="P1221" s="629"/>
      <c r="Q1221" s="629"/>
      <c r="R1221" s="629"/>
    </row>
    <row r="1222" spans="1:18" ht="60">
      <c r="A1222" s="90">
        <v>894</v>
      </c>
      <c r="B1222" s="87" t="s">
        <v>2266</v>
      </c>
      <c r="C1222" s="91" t="s">
        <v>2267</v>
      </c>
      <c r="D1222" s="92">
        <v>689.53</v>
      </c>
      <c r="E1222" s="92">
        <v>365.82</v>
      </c>
      <c r="F1222" s="92">
        <v>266.49</v>
      </c>
      <c r="G1222" s="92">
        <v>57.22</v>
      </c>
      <c r="H1222" s="93">
        <v>5981.65</v>
      </c>
      <c r="I1222" s="93">
        <v>4207.12</v>
      </c>
      <c r="J1222" s="93">
        <v>1441.56</v>
      </c>
      <c r="K1222" s="93">
        <v>332.97</v>
      </c>
      <c r="L1222" s="43">
        <v>8.6749670065116824</v>
      </c>
      <c r="M1222" s="43">
        <v>11.500519381116396</v>
      </c>
      <c r="N1222" s="43">
        <v>5.4094337498592813</v>
      </c>
      <c r="O1222" s="43">
        <v>5.8191191890947227</v>
      </c>
      <c r="P1222" s="94"/>
      <c r="Q1222" s="94"/>
      <c r="R1222" s="94">
        <v>6</v>
      </c>
    </row>
    <row r="1223" spans="1:18" ht="48">
      <c r="A1223" s="90">
        <v>895</v>
      </c>
      <c r="B1223" s="87" t="s">
        <v>2268</v>
      </c>
      <c r="C1223" s="91" t="s">
        <v>2269</v>
      </c>
      <c r="D1223" s="92">
        <v>349.49</v>
      </c>
      <c r="E1223" s="92">
        <v>246.49</v>
      </c>
      <c r="F1223" s="92">
        <v>49.34</v>
      </c>
      <c r="G1223" s="92">
        <v>53.66</v>
      </c>
      <c r="H1223" s="93">
        <v>3389.42</v>
      </c>
      <c r="I1223" s="93">
        <v>2834.66</v>
      </c>
      <c r="J1223" s="93">
        <v>263.79000000000002</v>
      </c>
      <c r="K1223" s="93">
        <v>290.97000000000003</v>
      </c>
      <c r="L1223" s="43">
        <v>9.6981887893788095</v>
      </c>
      <c r="M1223" s="43">
        <v>11.500101423992859</v>
      </c>
      <c r="N1223" s="43">
        <v>5.3463721118767733</v>
      </c>
      <c r="O1223" s="43">
        <v>5.4224748415952302</v>
      </c>
      <c r="P1223" s="94"/>
      <c r="Q1223" s="94"/>
      <c r="R1223" s="94">
        <v>6</v>
      </c>
    </row>
    <row r="1224" spans="1:18" ht="12.75" customHeight="1">
      <c r="A1224" s="628" t="s">
        <v>2270</v>
      </c>
      <c r="B1224" s="629"/>
      <c r="C1224" s="629"/>
      <c r="D1224" s="629"/>
      <c r="E1224" s="629"/>
      <c r="F1224" s="629"/>
      <c r="G1224" s="629"/>
      <c r="H1224" s="629"/>
      <c r="I1224" s="629"/>
      <c r="J1224" s="629"/>
      <c r="K1224" s="629"/>
      <c r="L1224" s="629"/>
      <c r="M1224" s="629"/>
      <c r="N1224" s="629"/>
      <c r="O1224" s="629"/>
      <c r="P1224" s="629"/>
      <c r="Q1224" s="629"/>
      <c r="R1224" s="629"/>
    </row>
    <row r="1225" spans="1:18" ht="60">
      <c r="A1225" s="90">
        <v>896</v>
      </c>
      <c r="B1225" s="87" t="s">
        <v>2271</v>
      </c>
      <c r="C1225" s="91" t="s">
        <v>2272</v>
      </c>
      <c r="D1225" s="92">
        <v>229.35</v>
      </c>
      <c r="E1225" s="92">
        <v>202.4</v>
      </c>
      <c r="F1225" s="92">
        <v>15.66</v>
      </c>
      <c r="G1225" s="92">
        <v>11.29</v>
      </c>
      <c r="H1225" s="93">
        <v>2492.1799999999998</v>
      </c>
      <c r="I1225" s="93">
        <v>2327.65</v>
      </c>
      <c r="J1225" s="93">
        <v>83.22</v>
      </c>
      <c r="K1225" s="93">
        <v>81.31</v>
      </c>
      <c r="L1225" s="43">
        <v>10.866274253324612</v>
      </c>
      <c r="M1225" s="43">
        <v>11.500247035573123</v>
      </c>
      <c r="N1225" s="43">
        <v>5.314176245210728</v>
      </c>
      <c r="O1225" s="43">
        <v>7.2019486271036319</v>
      </c>
      <c r="P1225" s="94"/>
      <c r="Q1225" s="94"/>
      <c r="R1225" s="94">
        <v>7</v>
      </c>
    </row>
    <row r="1226" spans="1:18" ht="60">
      <c r="A1226" s="90">
        <v>897</v>
      </c>
      <c r="B1226" s="87" t="s">
        <v>2273</v>
      </c>
      <c r="C1226" s="91" t="s">
        <v>2274</v>
      </c>
      <c r="D1226" s="92">
        <v>312.13</v>
      </c>
      <c r="E1226" s="92">
        <v>251.5</v>
      </c>
      <c r="F1226" s="92">
        <v>49.65</v>
      </c>
      <c r="G1226" s="92">
        <v>10.98</v>
      </c>
      <c r="H1226" s="93">
        <v>3250.01</v>
      </c>
      <c r="I1226" s="93">
        <v>2892.27</v>
      </c>
      <c r="J1226" s="93">
        <v>266.89999999999998</v>
      </c>
      <c r="K1226" s="93">
        <v>90.84</v>
      </c>
      <c r="L1226" s="43">
        <v>10.412360234517669</v>
      </c>
      <c r="M1226" s="43">
        <v>11.500079522862823</v>
      </c>
      <c r="N1226" s="43">
        <v>5.3756294058408862</v>
      </c>
      <c r="O1226" s="43">
        <v>8.2732240437158477</v>
      </c>
      <c r="P1226" s="94"/>
      <c r="Q1226" s="94"/>
      <c r="R1226" s="94">
        <v>7</v>
      </c>
    </row>
    <row r="1227" spans="1:18" ht="60">
      <c r="A1227" s="90">
        <v>898</v>
      </c>
      <c r="B1227" s="87" t="s">
        <v>2275</v>
      </c>
      <c r="C1227" s="91" t="s">
        <v>2276</v>
      </c>
      <c r="D1227" s="92">
        <v>432.05</v>
      </c>
      <c r="E1227" s="92">
        <v>351.91</v>
      </c>
      <c r="F1227" s="92">
        <v>64.739999999999995</v>
      </c>
      <c r="G1227" s="92">
        <v>15.4</v>
      </c>
      <c r="H1227" s="93">
        <v>4520.72</v>
      </c>
      <c r="I1227" s="93">
        <v>4046.99</v>
      </c>
      <c r="J1227" s="93">
        <v>348.21</v>
      </c>
      <c r="K1227" s="93">
        <v>125.52</v>
      </c>
      <c r="L1227" s="43">
        <v>10.463418585811828</v>
      </c>
      <c r="M1227" s="43">
        <v>11.500071040891136</v>
      </c>
      <c r="N1227" s="43">
        <v>5.3785912882298428</v>
      </c>
      <c r="O1227" s="43">
        <v>8.1506493506493509</v>
      </c>
      <c r="P1227" s="94"/>
      <c r="Q1227" s="94"/>
      <c r="R1227" s="94">
        <v>7</v>
      </c>
    </row>
    <row r="1228" spans="1:18" ht="60">
      <c r="A1228" s="90">
        <v>899</v>
      </c>
      <c r="B1228" s="87" t="s">
        <v>2277</v>
      </c>
      <c r="C1228" s="91" t="s">
        <v>2278</v>
      </c>
      <c r="D1228" s="92">
        <v>659.6</v>
      </c>
      <c r="E1228" s="92">
        <v>513.94000000000005</v>
      </c>
      <c r="F1228" s="92">
        <v>119.37</v>
      </c>
      <c r="G1228" s="92">
        <v>26.29</v>
      </c>
      <c r="H1228" s="93">
        <v>6750.08</v>
      </c>
      <c r="I1228" s="93">
        <v>5910.26</v>
      </c>
      <c r="J1228" s="93">
        <v>638.72</v>
      </c>
      <c r="K1228" s="93">
        <v>201.1</v>
      </c>
      <c r="L1228" s="43">
        <v>10.233596118859914</v>
      </c>
      <c r="M1228" s="43">
        <v>11.499902712378876</v>
      </c>
      <c r="N1228" s="43">
        <v>5.3507581469380918</v>
      </c>
      <c r="O1228" s="43">
        <v>7.6492963103841767</v>
      </c>
      <c r="P1228" s="94"/>
      <c r="Q1228" s="94"/>
      <c r="R1228" s="94">
        <v>7</v>
      </c>
    </row>
    <row r="1229" spans="1:18" ht="60">
      <c r="A1229" s="90">
        <v>900</v>
      </c>
      <c r="B1229" s="87" t="s">
        <v>2279</v>
      </c>
      <c r="C1229" s="91" t="s">
        <v>2280</v>
      </c>
      <c r="D1229" s="92">
        <v>863.21</v>
      </c>
      <c r="E1229" s="92">
        <v>683.18</v>
      </c>
      <c r="F1229" s="92">
        <v>146.41999999999999</v>
      </c>
      <c r="G1229" s="92">
        <v>33.61</v>
      </c>
      <c r="H1229" s="93">
        <v>8900.58</v>
      </c>
      <c r="I1229" s="93">
        <v>7856.62</v>
      </c>
      <c r="J1229" s="93">
        <v>782.3</v>
      </c>
      <c r="K1229" s="93">
        <v>261.66000000000003</v>
      </c>
      <c r="L1229" s="43">
        <v>10.311025127141715</v>
      </c>
      <c r="M1229" s="43">
        <v>11.500073187154191</v>
      </c>
      <c r="N1229" s="43">
        <v>5.3428493375221962</v>
      </c>
      <c r="O1229" s="43">
        <v>7.7851829812555797</v>
      </c>
      <c r="P1229" s="94"/>
      <c r="Q1229" s="94"/>
      <c r="R1229" s="94">
        <v>7</v>
      </c>
    </row>
    <row r="1230" spans="1:18" ht="12.75" customHeight="1">
      <c r="A1230" s="628" t="s">
        <v>2281</v>
      </c>
      <c r="B1230" s="629"/>
      <c r="C1230" s="629"/>
      <c r="D1230" s="629"/>
      <c r="E1230" s="629"/>
      <c r="F1230" s="629"/>
      <c r="G1230" s="629"/>
      <c r="H1230" s="629"/>
      <c r="I1230" s="629"/>
      <c r="J1230" s="629"/>
      <c r="K1230" s="629"/>
      <c r="L1230" s="629"/>
      <c r="M1230" s="629"/>
      <c r="N1230" s="629"/>
      <c r="O1230" s="629"/>
      <c r="P1230" s="629"/>
      <c r="Q1230" s="629"/>
      <c r="R1230" s="629"/>
    </row>
    <row r="1231" spans="1:18" ht="24">
      <c r="A1231" s="90">
        <v>901</v>
      </c>
      <c r="B1231" s="87" t="s">
        <v>2282</v>
      </c>
      <c r="C1231" s="91" t="s">
        <v>2283</v>
      </c>
      <c r="D1231" s="92">
        <v>193.08</v>
      </c>
      <c r="E1231" s="92">
        <v>158.88</v>
      </c>
      <c r="F1231" s="92">
        <v>28.55</v>
      </c>
      <c r="G1231" s="92">
        <v>5.65</v>
      </c>
      <c r="H1231" s="93">
        <v>2028.77</v>
      </c>
      <c r="I1231" s="93">
        <v>1827.2</v>
      </c>
      <c r="J1231" s="93">
        <v>153.16999999999999</v>
      </c>
      <c r="K1231" s="93">
        <v>48.4</v>
      </c>
      <c r="L1231" s="43">
        <v>10.507406256473999</v>
      </c>
      <c r="M1231" s="43">
        <v>11.500503524672709</v>
      </c>
      <c r="N1231" s="43">
        <v>5.3649737302977227</v>
      </c>
      <c r="O1231" s="43">
        <v>8.5663716814159283</v>
      </c>
      <c r="P1231" s="94"/>
      <c r="Q1231" s="94"/>
      <c r="R1231" s="94">
        <v>8</v>
      </c>
    </row>
    <row r="1232" spans="1:18" ht="24">
      <c r="A1232" s="90">
        <v>902</v>
      </c>
      <c r="B1232" s="87" t="s">
        <v>2284</v>
      </c>
      <c r="C1232" s="91" t="s">
        <v>2285</v>
      </c>
      <c r="D1232" s="92">
        <v>226.13</v>
      </c>
      <c r="E1232" s="92">
        <v>200.59</v>
      </c>
      <c r="F1232" s="92">
        <v>18.309999999999999</v>
      </c>
      <c r="G1232" s="92">
        <v>7.23</v>
      </c>
      <c r="H1232" s="93">
        <v>2465.3000000000002</v>
      </c>
      <c r="I1232" s="93">
        <v>2306.84</v>
      </c>
      <c r="J1232" s="93">
        <v>96.9</v>
      </c>
      <c r="K1232" s="93">
        <v>61.56</v>
      </c>
      <c r="L1232" s="43">
        <v>10.902135939503827</v>
      </c>
      <c r="M1232" s="43">
        <v>11.50027419113615</v>
      </c>
      <c r="N1232" s="43">
        <v>5.2921900600764618</v>
      </c>
      <c r="O1232" s="43">
        <v>8.5145228215767634</v>
      </c>
      <c r="P1232" s="94"/>
      <c r="Q1232" s="94"/>
      <c r="R1232" s="94">
        <v>8</v>
      </c>
    </row>
    <row r="1233" spans="1:18" ht="24">
      <c r="A1233" s="90">
        <v>903</v>
      </c>
      <c r="B1233" s="87" t="s">
        <v>2286</v>
      </c>
      <c r="C1233" s="91" t="s">
        <v>2287</v>
      </c>
      <c r="D1233" s="92">
        <v>177.68</v>
      </c>
      <c r="E1233" s="92">
        <v>158.88</v>
      </c>
      <c r="F1233" s="92">
        <v>13.15</v>
      </c>
      <c r="G1233" s="92">
        <v>5.65</v>
      </c>
      <c r="H1233" s="93">
        <v>1945.17</v>
      </c>
      <c r="I1233" s="93">
        <v>1827.2</v>
      </c>
      <c r="J1233" s="93">
        <v>69.569999999999993</v>
      </c>
      <c r="K1233" s="93">
        <v>48.4</v>
      </c>
      <c r="L1233" s="43">
        <v>10.947602431337236</v>
      </c>
      <c r="M1233" s="43">
        <v>11.500503524672709</v>
      </c>
      <c r="N1233" s="43">
        <v>5.290494296577946</v>
      </c>
      <c r="O1233" s="43">
        <v>8.5663716814159283</v>
      </c>
      <c r="P1233" s="94"/>
      <c r="Q1233" s="94"/>
      <c r="R1233" s="94">
        <v>8</v>
      </c>
    </row>
    <row r="1234" spans="1:18" ht="12.75" customHeight="1">
      <c r="A1234" s="628" t="s">
        <v>2288</v>
      </c>
      <c r="B1234" s="629"/>
      <c r="C1234" s="629"/>
      <c r="D1234" s="629"/>
      <c r="E1234" s="629"/>
      <c r="F1234" s="629"/>
      <c r="G1234" s="629"/>
      <c r="H1234" s="629"/>
      <c r="I1234" s="629"/>
      <c r="J1234" s="629"/>
      <c r="K1234" s="629"/>
      <c r="L1234" s="629"/>
      <c r="M1234" s="629"/>
      <c r="N1234" s="629"/>
      <c r="O1234" s="629"/>
      <c r="P1234" s="629"/>
      <c r="Q1234" s="629"/>
      <c r="R1234" s="629"/>
    </row>
    <row r="1235" spans="1:18" ht="36">
      <c r="A1235" s="90">
        <v>904</v>
      </c>
      <c r="B1235" s="87" t="s">
        <v>2289</v>
      </c>
      <c r="C1235" s="91" t="s">
        <v>2290</v>
      </c>
      <c r="D1235" s="92">
        <v>135.18</v>
      </c>
      <c r="E1235" s="92">
        <v>124.93</v>
      </c>
      <c r="F1235" s="92">
        <v>5.98</v>
      </c>
      <c r="G1235" s="92">
        <v>4.2699999999999996</v>
      </c>
      <c r="H1235" s="93">
        <v>1505.14</v>
      </c>
      <c r="I1235" s="93">
        <v>1436.67</v>
      </c>
      <c r="J1235" s="93">
        <v>31.23</v>
      </c>
      <c r="K1235" s="93">
        <v>37.24</v>
      </c>
      <c r="L1235" s="43">
        <v>11.134339399319426</v>
      </c>
      <c r="M1235" s="43">
        <v>11.499799887937245</v>
      </c>
      <c r="N1235" s="43">
        <v>5.2224080267558524</v>
      </c>
      <c r="O1235" s="43">
        <v>8.7213114754098378</v>
      </c>
      <c r="P1235" s="94"/>
      <c r="Q1235" s="94"/>
      <c r="R1235" s="94">
        <v>9</v>
      </c>
    </row>
    <row r="1236" spans="1:18" ht="36">
      <c r="A1236" s="90">
        <v>905</v>
      </c>
      <c r="B1236" s="87" t="s">
        <v>2291</v>
      </c>
      <c r="C1236" s="91" t="s">
        <v>2292</v>
      </c>
      <c r="D1236" s="92">
        <v>174.1</v>
      </c>
      <c r="E1236" s="92">
        <v>157.88999999999999</v>
      </c>
      <c r="F1236" s="92">
        <v>10.58</v>
      </c>
      <c r="G1236" s="92">
        <v>5.63</v>
      </c>
      <c r="H1236" s="93">
        <v>1919.58</v>
      </c>
      <c r="I1236" s="93">
        <v>1815.78</v>
      </c>
      <c r="J1236" s="93">
        <v>55.63</v>
      </c>
      <c r="K1236" s="93">
        <v>48.17</v>
      </c>
      <c r="L1236" s="43">
        <v>11.025732337736933</v>
      </c>
      <c r="M1236" s="43">
        <v>11.500285008550257</v>
      </c>
      <c r="N1236" s="43">
        <v>5.2580340264650287</v>
      </c>
      <c r="O1236" s="43">
        <v>8.555950266429841</v>
      </c>
      <c r="P1236" s="94"/>
      <c r="Q1236" s="94"/>
      <c r="R1236" s="94">
        <v>9</v>
      </c>
    </row>
    <row r="1237" spans="1:18" ht="36">
      <c r="A1237" s="90">
        <v>906</v>
      </c>
      <c r="B1237" s="87" t="s">
        <v>2293</v>
      </c>
      <c r="C1237" s="91" t="s">
        <v>2294</v>
      </c>
      <c r="D1237" s="92">
        <v>228.69</v>
      </c>
      <c r="E1237" s="92">
        <v>200.59</v>
      </c>
      <c r="F1237" s="92">
        <v>20.87</v>
      </c>
      <c r="G1237" s="92">
        <v>7.23</v>
      </c>
      <c r="H1237" s="93">
        <v>2479.23</v>
      </c>
      <c r="I1237" s="93">
        <v>2306.84</v>
      </c>
      <c r="J1237" s="93">
        <v>110.83</v>
      </c>
      <c r="K1237" s="93">
        <v>61.56</v>
      </c>
      <c r="L1237" s="43">
        <v>10.841007477371114</v>
      </c>
      <c r="M1237" s="43">
        <v>11.50027419113615</v>
      </c>
      <c r="N1237" s="43">
        <v>5.3104935313847621</v>
      </c>
      <c r="O1237" s="43">
        <v>8.5145228215767634</v>
      </c>
      <c r="P1237" s="94"/>
      <c r="Q1237" s="94"/>
      <c r="R1237" s="94">
        <v>9</v>
      </c>
    </row>
    <row r="1238" spans="1:18" ht="36">
      <c r="A1238" s="90">
        <v>907</v>
      </c>
      <c r="B1238" s="87" t="s">
        <v>2295</v>
      </c>
      <c r="C1238" s="91" t="s">
        <v>2296</v>
      </c>
      <c r="D1238" s="92">
        <v>332.35</v>
      </c>
      <c r="E1238" s="92">
        <v>287.36</v>
      </c>
      <c r="F1238" s="92">
        <v>30.66</v>
      </c>
      <c r="G1238" s="92">
        <v>14.33</v>
      </c>
      <c r="H1238" s="93">
        <v>3575.44</v>
      </c>
      <c r="I1238" s="93">
        <v>3304.76</v>
      </c>
      <c r="J1238" s="93">
        <v>163.38999999999999</v>
      </c>
      <c r="K1238" s="93">
        <v>107.29</v>
      </c>
      <c r="L1238" s="43">
        <v>10.758056265984655</v>
      </c>
      <c r="M1238" s="43">
        <v>11.500417594654788</v>
      </c>
      <c r="N1238" s="43">
        <v>5.3290932811480749</v>
      </c>
      <c r="O1238" s="43">
        <v>7.4870900209351019</v>
      </c>
      <c r="P1238" s="94"/>
      <c r="Q1238" s="94"/>
      <c r="R1238" s="94">
        <v>9</v>
      </c>
    </row>
    <row r="1239" spans="1:18" ht="12.75" customHeight="1">
      <c r="A1239" s="628" t="s">
        <v>2297</v>
      </c>
      <c r="B1239" s="629"/>
      <c r="C1239" s="629"/>
      <c r="D1239" s="629"/>
      <c r="E1239" s="629"/>
      <c r="F1239" s="629"/>
      <c r="G1239" s="629"/>
      <c r="H1239" s="629"/>
      <c r="I1239" s="629"/>
      <c r="J1239" s="629"/>
      <c r="K1239" s="629"/>
      <c r="L1239" s="629"/>
      <c r="M1239" s="629"/>
      <c r="N1239" s="629"/>
      <c r="O1239" s="629"/>
      <c r="P1239" s="629"/>
      <c r="Q1239" s="629"/>
      <c r="R1239" s="629"/>
    </row>
    <row r="1240" spans="1:18" ht="24">
      <c r="A1240" s="90">
        <v>908</v>
      </c>
      <c r="B1240" s="87" t="s">
        <v>2298</v>
      </c>
      <c r="C1240" s="91" t="s">
        <v>2299</v>
      </c>
      <c r="D1240" s="92">
        <v>203.29</v>
      </c>
      <c r="E1240" s="92">
        <v>177.12</v>
      </c>
      <c r="F1240" s="92">
        <v>12.97</v>
      </c>
      <c r="G1240" s="92">
        <v>13.2</v>
      </c>
      <c r="H1240" s="93">
        <v>2191.85</v>
      </c>
      <c r="I1240" s="93">
        <v>2036.88</v>
      </c>
      <c r="J1240" s="93">
        <v>67.95</v>
      </c>
      <c r="K1240" s="93">
        <v>87.02</v>
      </c>
      <c r="L1240" s="43">
        <v>10.781887943332185</v>
      </c>
      <c r="M1240" s="43">
        <v>11.5</v>
      </c>
      <c r="N1240" s="43">
        <v>5.2390131071703934</v>
      </c>
      <c r="O1240" s="43">
        <v>6.5924242424242427</v>
      </c>
      <c r="P1240" s="94"/>
      <c r="Q1240" s="94"/>
      <c r="R1240" s="94">
        <v>10</v>
      </c>
    </row>
    <row r="1241" spans="1:18" ht="12.75" customHeight="1">
      <c r="A1241" s="628" t="s">
        <v>2300</v>
      </c>
      <c r="B1241" s="629"/>
      <c r="C1241" s="629"/>
      <c r="D1241" s="629"/>
      <c r="E1241" s="629"/>
      <c r="F1241" s="629"/>
      <c r="G1241" s="629"/>
      <c r="H1241" s="629"/>
      <c r="I1241" s="629"/>
      <c r="J1241" s="629"/>
      <c r="K1241" s="629"/>
      <c r="L1241" s="629"/>
      <c r="M1241" s="629"/>
      <c r="N1241" s="629"/>
      <c r="O1241" s="629"/>
      <c r="P1241" s="629"/>
      <c r="Q1241" s="629"/>
      <c r="R1241" s="629"/>
    </row>
    <row r="1242" spans="1:18" ht="12.75" customHeight="1">
      <c r="A1242" s="628" t="s">
        <v>2301</v>
      </c>
      <c r="B1242" s="629"/>
      <c r="C1242" s="629"/>
      <c r="D1242" s="629"/>
      <c r="E1242" s="629"/>
      <c r="F1242" s="629"/>
      <c r="G1242" s="629"/>
      <c r="H1242" s="629"/>
      <c r="I1242" s="629"/>
      <c r="J1242" s="629"/>
      <c r="K1242" s="629"/>
      <c r="L1242" s="629"/>
      <c r="M1242" s="629"/>
      <c r="N1242" s="629"/>
      <c r="O1242" s="629"/>
      <c r="P1242" s="629"/>
      <c r="Q1242" s="629"/>
      <c r="R1242" s="629"/>
    </row>
    <row r="1243" spans="1:18" ht="36">
      <c r="A1243" s="90">
        <v>909</v>
      </c>
      <c r="B1243" s="87" t="s">
        <v>2302</v>
      </c>
      <c r="C1243" s="91" t="s">
        <v>2303</v>
      </c>
      <c r="D1243" s="92">
        <v>580.51</v>
      </c>
      <c r="E1243" s="92">
        <v>332.21</v>
      </c>
      <c r="F1243" s="92">
        <v>238.19</v>
      </c>
      <c r="G1243" s="92">
        <v>10.11</v>
      </c>
      <c r="H1243" s="93">
        <v>5205.76</v>
      </c>
      <c r="I1243" s="93">
        <v>3820.44</v>
      </c>
      <c r="J1243" s="93">
        <v>1291.28</v>
      </c>
      <c r="K1243" s="93">
        <v>94.04</v>
      </c>
      <c r="L1243" s="43">
        <v>8.9675630049439299</v>
      </c>
      <c r="M1243" s="43">
        <v>11.500075253604649</v>
      </c>
      <c r="N1243" s="43">
        <v>5.4212183550946724</v>
      </c>
      <c r="O1243" s="43">
        <v>9.3016815034619196</v>
      </c>
      <c r="P1243" s="94"/>
      <c r="Q1243" s="94"/>
      <c r="R1243" s="94">
        <v>1</v>
      </c>
    </row>
    <row r="1244" spans="1:18" ht="12.75" customHeight="1">
      <c r="A1244" s="628" t="s">
        <v>2304</v>
      </c>
      <c r="B1244" s="629"/>
      <c r="C1244" s="629"/>
      <c r="D1244" s="629"/>
      <c r="E1244" s="629"/>
      <c r="F1244" s="629"/>
      <c r="G1244" s="629"/>
      <c r="H1244" s="629"/>
      <c r="I1244" s="629"/>
      <c r="J1244" s="629"/>
      <c r="K1244" s="629"/>
      <c r="L1244" s="629"/>
      <c r="M1244" s="629"/>
      <c r="N1244" s="629"/>
      <c r="O1244" s="629"/>
      <c r="P1244" s="629"/>
      <c r="Q1244" s="629"/>
      <c r="R1244" s="629"/>
    </row>
    <row r="1245" spans="1:18" ht="36">
      <c r="A1245" s="90">
        <v>910</v>
      </c>
      <c r="B1245" s="87" t="s">
        <v>2305</v>
      </c>
      <c r="C1245" s="91" t="s">
        <v>2306</v>
      </c>
      <c r="D1245" s="92">
        <v>897.78</v>
      </c>
      <c r="E1245" s="92">
        <v>526.82000000000005</v>
      </c>
      <c r="F1245" s="92">
        <v>341.6</v>
      </c>
      <c r="G1245" s="92">
        <v>29.36</v>
      </c>
      <c r="H1245" s="93">
        <v>8125.62</v>
      </c>
      <c r="I1245" s="93">
        <v>6058.48</v>
      </c>
      <c r="J1245" s="93">
        <v>1851.2</v>
      </c>
      <c r="K1245" s="93">
        <v>215.94</v>
      </c>
      <c r="L1245" s="43">
        <v>9.0507919534852643</v>
      </c>
      <c r="M1245" s="43">
        <v>11.500094909077102</v>
      </c>
      <c r="N1245" s="43">
        <v>5.4192037470725989</v>
      </c>
      <c r="O1245" s="43">
        <v>7.3549046321525884</v>
      </c>
      <c r="P1245" s="94"/>
      <c r="Q1245" s="94"/>
      <c r="R1245" s="94">
        <v>2</v>
      </c>
    </row>
    <row r="1246" spans="1:18" ht="12.75" customHeight="1">
      <c r="A1246" s="628" t="s">
        <v>2307</v>
      </c>
      <c r="B1246" s="629"/>
      <c r="C1246" s="629"/>
      <c r="D1246" s="629"/>
      <c r="E1246" s="629"/>
      <c r="F1246" s="629"/>
      <c r="G1246" s="629"/>
      <c r="H1246" s="629"/>
      <c r="I1246" s="629"/>
      <c r="J1246" s="629"/>
      <c r="K1246" s="629"/>
      <c r="L1246" s="629"/>
      <c r="M1246" s="629"/>
      <c r="N1246" s="629"/>
      <c r="O1246" s="629"/>
      <c r="P1246" s="629"/>
      <c r="Q1246" s="629"/>
      <c r="R1246" s="629"/>
    </row>
    <row r="1247" spans="1:18" ht="48">
      <c r="A1247" s="90">
        <v>911</v>
      </c>
      <c r="B1247" s="87" t="s">
        <v>2308</v>
      </c>
      <c r="C1247" s="91" t="s">
        <v>2309</v>
      </c>
      <c r="D1247" s="92">
        <v>1146.74</v>
      </c>
      <c r="E1247" s="92">
        <v>664.02</v>
      </c>
      <c r="F1247" s="92">
        <v>455.69</v>
      </c>
      <c r="G1247" s="92">
        <v>27.03</v>
      </c>
      <c r="H1247" s="93">
        <v>10415.91</v>
      </c>
      <c r="I1247" s="93">
        <v>7636.54</v>
      </c>
      <c r="J1247" s="93">
        <v>2529.5100000000002</v>
      </c>
      <c r="K1247" s="93">
        <v>249.86</v>
      </c>
      <c r="L1247" s="43">
        <v>9.0830615483893471</v>
      </c>
      <c r="M1247" s="43">
        <v>11.50046685340803</v>
      </c>
      <c r="N1247" s="43">
        <v>5.5509447211920389</v>
      </c>
      <c r="O1247" s="43">
        <v>9.2438031816500192</v>
      </c>
      <c r="P1247" s="94"/>
      <c r="Q1247" s="94"/>
      <c r="R1247" s="94">
        <v>3</v>
      </c>
    </row>
    <row r="1248" spans="1:18" ht="48">
      <c r="A1248" s="90">
        <v>912</v>
      </c>
      <c r="B1248" s="87" t="s">
        <v>2310</v>
      </c>
      <c r="C1248" s="91" t="s">
        <v>2311</v>
      </c>
      <c r="D1248" s="92">
        <v>1404.07</v>
      </c>
      <c r="E1248" s="92">
        <v>787.19</v>
      </c>
      <c r="F1248" s="92">
        <v>586.64</v>
      </c>
      <c r="G1248" s="92">
        <v>30.24</v>
      </c>
      <c r="H1248" s="93">
        <v>12584.93</v>
      </c>
      <c r="I1248" s="93">
        <v>9053</v>
      </c>
      <c r="J1248" s="93">
        <v>3257.91</v>
      </c>
      <c r="K1248" s="93">
        <v>274.02</v>
      </c>
      <c r="L1248" s="43">
        <v>8.963178474007707</v>
      </c>
      <c r="M1248" s="43">
        <v>11.500400157522325</v>
      </c>
      <c r="N1248" s="43">
        <v>5.5535081140051821</v>
      </c>
      <c r="O1248" s="43">
        <v>9.0615079365079367</v>
      </c>
      <c r="P1248" s="94"/>
      <c r="Q1248" s="94"/>
      <c r="R1248" s="94">
        <v>3</v>
      </c>
    </row>
    <row r="1249" spans="1:18" ht="48">
      <c r="A1249" s="90">
        <v>913</v>
      </c>
      <c r="B1249" s="87" t="s">
        <v>2312</v>
      </c>
      <c r="C1249" s="91" t="s">
        <v>2313</v>
      </c>
      <c r="D1249" s="92">
        <v>297.83</v>
      </c>
      <c r="E1249" s="92">
        <v>175.61</v>
      </c>
      <c r="F1249" s="92">
        <v>115.49</v>
      </c>
      <c r="G1249" s="92">
        <v>6.73</v>
      </c>
      <c r="H1249" s="93">
        <v>2702.3</v>
      </c>
      <c r="I1249" s="93">
        <v>2019.49</v>
      </c>
      <c r="J1249" s="93">
        <v>627</v>
      </c>
      <c r="K1249" s="93">
        <v>55.81</v>
      </c>
      <c r="L1249" s="43">
        <v>9.07329684719471</v>
      </c>
      <c r="M1249" s="43">
        <v>11.499857639086612</v>
      </c>
      <c r="N1249" s="43">
        <v>5.4290414754524203</v>
      </c>
      <c r="O1249" s="43">
        <v>8.2927191679049024</v>
      </c>
      <c r="P1249" s="94"/>
      <c r="Q1249" s="94"/>
      <c r="R1249" s="94">
        <v>3</v>
      </c>
    </row>
    <row r="1250" spans="1:18" ht="48">
      <c r="A1250" s="90">
        <v>914</v>
      </c>
      <c r="B1250" s="87" t="s">
        <v>2314</v>
      </c>
      <c r="C1250" s="91" t="s">
        <v>2315</v>
      </c>
      <c r="D1250" s="92">
        <v>516.44000000000005</v>
      </c>
      <c r="E1250" s="92">
        <v>318.45999999999998</v>
      </c>
      <c r="F1250" s="92">
        <v>188.39</v>
      </c>
      <c r="G1250" s="92">
        <v>9.59</v>
      </c>
      <c r="H1250" s="93">
        <v>4822.68</v>
      </c>
      <c r="I1250" s="93">
        <v>3662.27</v>
      </c>
      <c r="J1250" s="93">
        <v>1071.71</v>
      </c>
      <c r="K1250" s="93">
        <v>88.7</v>
      </c>
      <c r="L1250" s="43">
        <v>9.3383161645108821</v>
      </c>
      <c r="M1250" s="43">
        <v>11.499937197764242</v>
      </c>
      <c r="N1250" s="43">
        <v>5.6887839057274805</v>
      </c>
      <c r="O1250" s="43">
        <v>9.2492179353493231</v>
      </c>
      <c r="P1250" s="94"/>
      <c r="Q1250" s="94"/>
      <c r="R1250" s="94">
        <v>3</v>
      </c>
    </row>
    <row r="1251" spans="1:18" ht="12.75" customHeight="1">
      <c r="A1251" s="628" t="s">
        <v>2316</v>
      </c>
      <c r="B1251" s="629"/>
      <c r="C1251" s="629"/>
      <c r="D1251" s="629"/>
      <c r="E1251" s="629"/>
      <c r="F1251" s="629"/>
      <c r="G1251" s="629"/>
      <c r="H1251" s="629"/>
      <c r="I1251" s="629"/>
      <c r="J1251" s="629"/>
      <c r="K1251" s="629"/>
      <c r="L1251" s="629"/>
      <c r="M1251" s="629"/>
      <c r="N1251" s="629"/>
      <c r="O1251" s="629"/>
      <c r="P1251" s="629"/>
      <c r="Q1251" s="629"/>
      <c r="R1251" s="629"/>
    </row>
    <row r="1252" spans="1:18" ht="24">
      <c r="A1252" s="90">
        <v>915</v>
      </c>
      <c r="B1252" s="87" t="s">
        <v>2317</v>
      </c>
      <c r="C1252" s="91" t="s">
        <v>2318</v>
      </c>
      <c r="D1252" s="92">
        <v>754.37</v>
      </c>
      <c r="E1252" s="92">
        <v>324.51</v>
      </c>
      <c r="F1252" s="92">
        <v>412.15</v>
      </c>
      <c r="G1252" s="92">
        <v>17.71</v>
      </c>
      <c r="H1252" s="93">
        <v>6137.76</v>
      </c>
      <c r="I1252" s="93">
        <v>3732.05</v>
      </c>
      <c r="J1252" s="93">
        <v>2232.73</v>
      </c>
      <c r="K1252" s="93">
        <v>172.98</v>
      </c>
      <c r="L1252" s="43">
        <v>8.1362726513514598</v>
      </c>
      <c r="M1252" s="43">
        <v>11.500570090289976</v>
      </c>
      <c r="N1252" s="43">
        <v>5.4172752638602457</v>
      </c>
      <c r="O1252" s="43">
        <v>9.7673630717108963</v>
      </c>
      <c r="P1252" s="94"/>
      <c r="Q1252" s="94"/>
      <c r="R1252" s="94">
        <v>4</v>
      </c>
    </row>
    <row r="1253" spans="1:18" ht="24">
      <c r="A1253" s="90">
        <v>916</v>
      </c>
      <c r="B1253" s="87" t="s">
        <v>2319</v>
      </c>
      <c r="C1253" s="91" t="s">
        <v>2320</v>
      </c>
      <c r="D1253" s="92">
        <v>684.11</v>
      </c>
      <c r="E1253" s="92">
        <v>272.95999999999998</v>
      </c>
      <c r="F1253" s="92">
        <v>400.08</v>
      </c>
      <c r="G1253" s="92">
        <v>11.07</v>
      </c>
      <c r="H1253" s="93">
        <v>5418.17</v>
      </c>
      <c r="I1253" s="93">
        <v>3139.09</v>
      </c>
      <c r="J1253" s="93">
        <v>2167.12</v>
      </c>
      <c r="K1253" s="93">
        <v>111.96</v>
      </c>
      <c r="L1253" s="43">
        <v>7.9200274809606643</v>
      </c>
      <c r="M1253" s="43">
        <v>11.500183177022276</v>
      </c>
      <c r="N1253" s="43">
        <v>5.4167166566686662</v>
      </c>
      <c r="O1253" s="43">
        <v>10.113821138211382</v>
      </c>
      <c r="P1253" s="94"/>
      <c r="Q1253" s="94"/>
      <c r="R1253" s="94">
        <v>4</v>
      </c>
    </row>
    <row r="1254" spans="1:18" ht="12.75" customHeight="1">
      <c r="A1254" s="628" t="s">
        <v>2321</v>
      </c>
      <c r="B1254" s="629"/>
      <c r="C1254" s="629"/>
      <c r="D1254" s="629"/>
      <c r="E1254" s="629"/>
      <c r="F1254" s="629"/>
      <c r="G1254" s="629"/>
      <c r="H1254" s="629"/>
      <c r="I1254" s="629"/>
      <c r="J1254" s="629"/>
      <c r="K1254" s="629"/>
      <c r="L1254" s="629"/>
      <c r="M1254" s="629"/>
      <c r="N1254" s="629"/>
      <c r="O1254" s="629"/>
      <c r="P1254" s="629"/>
      <c r="Q1254" s="629"/>
      <c r="R1254" s="629"/>
    </row>
    <row r="1255" spans="1:18" ht="48">
      <c r="A1255" s="90">
        <v>917</v>
      </c>
      <c r="B1255" s="87" t="s">
        <v>2322</v>
      </c>
      <c r="C1255" s="91" t="s">
        <v>2323</v>
      </c>
      <c r="D1255" s="92">
        <v>182.77</v>
      </c>
      <c r="E1255" s="92">
        <v>172.21</v>
      </c>
      <c r="F1255" s="92">
        <v>5.51</v>
      </c>
      <c r="G1255" s="92">
        <v>5.05</v>
      </c>
      <c r="H1255" s="93">
        <v>2057.23</v>
      </c>
      <c r="I1255" s="93">
        <v>1980.51</v>
      </c>
      <c r="J1255" s="93">
        <v>29.44</v>
      </c>
      <c r="K1255" s="93">
        <v>47.28</v>
      </c>
      <c r="L1255" s="43">
        <v>11.255840674071237</v>
      </c>
      <c r="M1255" s="43">
        <v>11.500551652052726</v>
      </c>
      <c r="N1255" s="43">
        <v>5.343012704174229</v>
      </c>
      <c r="O1255" s="43">
        <v>9.3623762376237636</v>
      </c>
      <c r="P1255" s="94"/>
      <c r="Q1255" s="94"/>
      <c r="R1255" s="94">
        <v>5</v>
      </c>
    </row>
    <row r="1256" spans="1:18" ht="12.75" customHeight="1">
      <c r="A1256" s="628" t="s">
        <v>2324</v>
      </c>
      <c r="B1256" s="629"/>
      <c r="C1256" s="629"/>
      <c r="D1256" s="629"/>
      <c r="E1256" s="629"/>
      <c r="F1256" s="629"/>
      <c r="G1256" s="629"/>
      <c r="H1256" s="629"/>
      <c r="I1256" s="629"/>
      <c r="J1256" s="629"/>
      <c r="K1256" s="629"/>
      <c r="L1256" s="629"/>
      <c r="M1256" s="629"/>
      <c r="N1256" s="629"/>
      <c r="O1256" s="629"/>
      <c r="P1256" s="629"/>
      <c r="Q1256" s="629"/>
      <c r="R1256" s="629"/>
    </row>
    <row r="1257" spans="1:18" ht="12.75" customHeight="1">
      <c r="A1257" s="628" t="s">
        <v>2325</v>
      </c>
      <c r="B1257" s="629"/>
      <c r="C1257" s="629"/>
      <c r="D1257" s="629"/>
      <c r="E1257" s="629"/>
      <c r="F1257" s="629"/>
      <c r="G1257" s="629"/>
      <c r="H1257" s="629"/>
      <c r="I1257" s="629"/>
      <c r="J1257" s="629"/>
      <c r="K1257" s="629"/>
      <c r="L1257" s="629"/>
      <c r="M1257" s="629"/>
      <c r="N1257" s="629"/>
      <c r="O1257" s="629"/>
      <c r="P1257" s="629"/>
      <c r="Q1257" s="629"/>
      <c r="R1257" s="629"/>
    </row>
    <row r="1258" spans="1:18" ht="24">
      <c r="A1258" s="90">
        <v>918</v>
      </c>
      <c r="B1258" s="87" t="s">
        <v>2326</v>
      </c>
      <c r="C1258" s="91" t="s">
        <v>2327</v>
      </c>
      <c r="D1258" s="92">
        <v>161.75</v>
      </c>
      <c r="E1258" s="92">
        <v>146</v>
      </c>
      <c r="F1258" s="92">
        <v>12.83</v>
      </c>
      <c r="G1258" s="92">
        <v>2.92</v>
      </c>
      <c r="H1258" s="93">
        <v>1782.3</v>
      </c>
      <c r="I1258" s="93">
        <v>1679.05</v>
      </c>
      <c r="J1258" s="93">
        <v>69.67</v>
      </c>
      <c r="K1258" s="93">
        <v>33.58</v>
      </c>
      <c r="L1258" s="43">
        <v>11.01885625965997</v>
      </c>
      <c r="M1258" s="43">
        <v>11.500342465753425</v>
      </c>
      <c r="N1258" s="43">
        <v>5.4302416212003122</v>
      </c>
      <c r="O1258" s="43">
        <v>11.5</v>
      </c>
      <c r="P1258" s="94"/>
      <c r="Q1258" s="94"/>
      <c r="R1258" s="94">
        <v>1</v>
      </c>
    </row>
    <row r="1259" spans="1:18" ht="24">
      <c r="A1259" s="90">
        <v>919</v>
      </c>
      <c r="B1259" s="87" t="s">
        <v>2328</v>
      </c>
      <c r="C1259" s="91" t="s">
        <v>2329</v>
      </c>
      <c r="D1259" s="92">
        <v>202.79</v>
      </c>
      <c r="E1259" s="92">
        <v>166.11</v>
      </c>
      <c r="F1259" s="92">
        <v>33.36</v>
      </c>
      <c r="G1259" s="92">
        <v>3.32</v>
      </c>
      <c r="H1259" s="93">
        <v>2129.5300000000002</v>
      </c>
      <c r="I1259" s="93">
        <v>1910.22</v>
      </c>
      <c r="J1259" s="93">
        <v>181.13</v>
      </c>
      <c r="K1259" s="93">
        <v>38.18</v>
      </c>
      <c r="L1259" s="43">
        <v>10.501158834262046</v>
      </c>
      <c r="M1259" s="43">
        <v>11.499729095177893</v>
      </c>
      <c r="N1259" s="43">
        <v>5.429556354916067</v>
      </c>
      <c r="O1259" s="43">
        <v>11.5</v>
      </c>
      <c r="P1259" s="94"/>
      <c r="Q1259" s="94"/>
      <c r="R1259" s="94">
        <v>1</v>
      </c>
    </row>
    <row r="1260" spans="1:18" ht="12.75" customHeight="1">
      <c r="A1260" s="628" t="s">
        <v>2330</v>
      </c>
      <c r="B1260" s="629"/>
      <c r="C1260" s="629"/>
      <c r="D1260" s="629"/>
      <c r="E1260" s="629"/>
      <c r="F1260" s="629"/>
      <c r="G1260" s="629"/>
      <c r="H1260" s="629"/>
      <c r="I1260" s="629"/>
      <c r="J1260" s="629"/>
      <c r="K1260" s="629"/>
      <c r="L1260" s="629"/>
      <c r="M1260" s="629"/>
      <c r="N1260" s="629"/>
      <c r="O1260" s="629"/>
      <c r="P1260" s="629"/>
      <c r="Q1260" s="629"/>
      <c r="R1260" s="629"/>
    </row>
    <row r="1261" spans="1:18" ht="12.75" customHeight="1">
      <c r="A1261" s="628" t="s">
        <v>2331</v>
      </c>
      <c r="B1261" s="629"/>
      <c r="C1261" s="629"/>
      <c r="D1261" s="629"/>
      <c r="E1261" s="629"/>
      <c r="F1261" s="629"/>
      <c r="G1261" s="629"/>
      <c r="H1261" s="629"/>
      <c r="I1261" s="629"/>
      <c r="J1261" s="629"/>
      <c r="K1261" s="629"/>
      <c r="L1261" s="629"/>
      <c r="M1261" s="629"/>
      <c r="N1261" s="629"/>
      <c r="O1261" s="629"/>
      <c r="P1261" s="629"/>
      <c r="Q1261" s="629"/>
      <c r="R1261" s="629"/>
    </row>
    <row r="1262" spans="1:18" ht="24">
      <c r="A1262" s="90">
        <v>920</v>
      </c>
      <c r="B1262" s="87" t="s">
        <v>2332</v>
      </c>
      <c r="C1262" s="91" t="s">
        <v>2333</v>
      </c>
      <c r="D1262" s="92">
        <v>191.46</v>
      </c>
      <c r="E1262" s="92">
        <v>119.55</v>
      </c>
      <c r="F1262" s="92">
        <v>67.91</v>
      </c>
      <c r="G1262" s="92">
        <v>4</v>
      </c>
      <c r="H1262" s="93">
        <v>1777.46</v>
      </c>
      <c r="I1262" s="93">
        <v>1374.87</v>
      </c>
      <c r="J1262" s="93">
        <v>367.38</v>
      </c>
      <c r="K1262" s="93">
        <v>35.21</v>
      </c>
      <c r="L1262" s="43">
        <v>9.283714614018594</v>
      </c>
      <c r="M1262" s="43">
        <v>11.500376411543286</v>
      </c>
      <c r="N1262" s="43">
        <v>5.4098070976292156</v>
      </c>
      <c r="O1262" s="43">
        <v>8.8025000000000002</v>
      </c>
      <c r="P1262" s="94"/>
      <c r="Q1262" s="94"/>
      <c r="R1262" s="94">
        <v>1</v>
      </c>
    </row>
    <row r="1263" spans="1:18" ht="12.75" customHeight="1">
      <c r="A1263" s="628" t="s">
        <v>2334</v>
      </c>
      <c r="B1263" s="629"/>
      <c r="C1263" s="629"/>
      <c r="D1263" s="629"/>
      <c r="E1263" s="629"/>
      <c r="F1263" s="629"/>
      <c r="G1263" s="629"/>
      <c r="H1263" s="629"/>
      <c r="I1263" s="629"/>
      <c r="J1263" s="629"/>
      <c r="K1263" s="629"/>
      <c r="L1263" s="629"/>
      <c r="M1263" s="629"/>
      <c r="N1263" s="629"/>
      <c r="O1263" s="629"/>
      <c r="P1263" s="629"/>
      <c r="Q1263" s="629"/>
      <c r="R1263" s="629"/>
    </row>
    <row r="1264" spans="1:18" ht="36">
      <c r="A1264" s="90">
        <v>921</v>
      </c>
      <c r="B1264" s="87" t="s">
        <v>2335</v>
      </c>
      <c r="C1264" s="91" t="s">
        <v>2336</v>
      </c>
      <c r="D1264" s="92">
        <v>173.04</v>
      </c>
      <c r="E1264" s="92">
        <v>122.73</v>
      </c>
      <c r="F1264" s="92">
        <v>45.39</v>
      </c>
      <c r="G1264" s="92">
        <v>4.92</v>
      </c>
      <c r="H1264" s="93">
        <v>1696.75</v>
      </c>
      <c r="I1264" s="93">
        <v>1411.37</v>
      </c>
      <c r="J1264" s="93">
        <v>245.37</v>
      </c>
      <c r="K1264" s="93">
        <v>40.01</v>
      </c>
      <c r="L1264" s="43">
        <v>9.8055362921867779</v>
      </c>
      <c r="M1264" s="43">
        <v>11.499796300822943</v>
      </c>
      <c r="N1264" s="43">
        <v>5.4058162590879046</v>
      </c>
      <c r="O1264" s="43">
        <v>8.1321138211382102</v>
      </c>
      <c r="P1264" s="94"/>
      <c r="Q1264" s="94"/>
      <c r="R1264" s="94">
        <v>2</v>
      </c>
    </row>
    <row r="1265" spans="1:18" ht="36">
      <c r="A1265" s="90">
        <v>922</v>
      </c>
      <c r="B1265" s="87" t="s">
        <v>2337</v>
      </c>
      <c r="C1265" s="91" t="s">
        <v>2338</v>
      </c>
      <c r="D1265" s="92">
        <v>490.66</v>
      </c>
      <c r="E1265" s="92">
        <v>190.44</v>
      </c>
      <c r="F1265" s="92">
        <v>293.19</v>
      </c>
      <c r="G1265" s="92">
        <v>7.03</v>
      </c>
      <c r="H1265" s="93">
        <v>3837.77</v>
      </c>
      <c r="I1265" s="93">
        <v>2190.06</v>
      </c>
      <c r="J1265" s="93">
        <v>1588.45</v>
      </c>
      <c r="K1265" s="93">
        <v>59.26</v>
      </c>
      <c r="L1265" s="43">
        <v>7.8216483919618467</v>
      </c>
      <c r="M1265" s="43">
        <v>11.5</v>
      </c>
      <c r="N1265" s="43">
        <v>5.4178177973327877</v>
      </c>
      <c r="O1265" s="43">
        <v>8.4295874822190608</v>
      </c>
      <c r="P1265" s="94"/>
      <c r="Q1265" s="94"/>
      <c r="R1265" s="94">
        <v>2</v>
      </c>
    </row>
    <row r="1266" spans="1:18" ht="12.75" customHeight="1">
      <c r="A1266" s="628" t="s">
        <v>2339</v>
      </c>
      <c r="B1266" s="629"/>
      <c r="C1266" s="629"/>
      <c r="D1266" s="629"/>
      <c r="E1266" s="629"/>
      <c r="F1266" s="629"/>
      <c r="G1266" s="629"/>
      <c r="H1266" s="629"/>
      <c r="I1266" s="629"/>
      <c r="J1266" s="629"/>
      <c r="K1266" s="629"/>
      <c r="L1266" s="629"/>
      <c r="M1266" s="629"/>
      <c r="N1266" s="629"/>
      <c r="O1266" s="629"/>
      <c r="P1266" s="629"/>
      <c r="Q1266" s="629"/>
      <c r="R1266" s="629"/>
    </row>
    <row r="1267" spans="1:18" ht="12.75" customHeight="1">
      <c r="A1267" s="628" t="s">
        <v>2340</v>
      </c>
      <c r="B1267" s="629"/>
      <c r="C1267" s="629"/>
      <c r="D1267" s="629"/>
      <c r="E1267" s="629"/>
      <c r="F1267" s="629"/>
      <c r="G1267" s="629"/>
      <c r="H1267" s="629"/>
      <c r="I1267" s="629"/>
      <c r="J1267" s="629"/>
      <c r="K1267" s="629"/>
      <c r="L1267" s="629"/>
      <c r="M1267" s="629"/>
      <c r="N1267" s="629"/>
      <c r="O1267" s="629"/>
      <c r="P1267" s="629"/>
      <c r="Q1267" s="629"/>
      <c r="R1267" s="629"/>
    </row>
    <row r="1268" spans="1:18" ht="36">
      <c r="A1268" s="90">
        <v>923</v>
      </c>
      <c r="B1268" s="87" t="s">
        <v>2341</v>
      </c>
      <c r="C1268" s="91" t="s">
        <v>2342</v>
      </c>
      <c r="D1268" s="92">
        <v>176.74</v>
      </c>
      <c r="E1268" s="92">
        <v>148.12</v>
      </c>
      <c r="F1268" s="92">
        <v>25.66</v>
      </c>
      <c r="G1268" s="92">
        <v>2.96</v>
      </c>
      <c r="H1268" s="93">
        <v>1876.75</v>
      </c>
      <c r="I1268" s="93">
        <v>1703.38</v>
      </c>
      <c r="J1268" s="93">
        <v>139.33000000000001</v>
      </c>
      <c r="K1268" s="93">
        <v>34.04</v>
      </c>
      <c r="L1268" s="43">
        <v>10.61870544302365</v>
      </c>
      <c r="M1268" s="43">
        <v>11.5</v>
      </c>
      <c r="N1268" s="43">
        <v>5.4298519095869064</v>
      </c>
      <c r="O1268" s="43">
        <v>11.5</v>
      </c>
      <c r="P1268" s="94"/>
      <c r="Q1268" s="94"/>
      <c r="R1268" s="94">
        <v>1</v>
      </c>
    </row>
    <row r="1269" spans="1:18" ht="12.75">
      <c r="A1269" s="632" t="s">
        <v>18</v>
      </c>
      <c r="B1269" s="632"/>
      <c r="C1269" s="632"/>
      <c r="D1269" s="88">
        <v>45256359.409999996</v>
      </c>
      <c r="E1269" s="88">
        <v>6774603.5099999998</v>
      </c>
      <c r="F1269" s="88">
        <v>34621124.079999998</v>
      </c>
      <c r="G1269" s="88">
        <v>3860631.82</v>
      </c>
      <c r="H1269" s="89">
        <v>282153138.24000001</v>
      </c>
      <c r="I1269" s="89">
        <v>77908954.430000007</v>
      </c>
      <c r="J1269" s="89">
        <v>186782078.91</v>
      </c>
      <c r="K1269" s="89">
        <v>17462104.899999999</v>
      </c>
      <c r="L1269" s="612">
        <v>6.2345522688609041</v>
      </c>
      <c r="M1269" s="612">
        <v>11.500149686250792</v>
      </c>
      <c r="N1269" s="612">
        <v>5.3950321912829127</v>
      </c>
      <c r="O1269" s="612">
        <v>4.5231210107986932</v>
      </c>
      <c r="P1269" s="86"/>
      <c r="Q1269" s="86"/>
      <c r="R1269" s="86"/>
    </row>
    <row r="1270" spans="1:18" ht="18">
      <c r="A1270" s="616" t="s">
        <v>2343</v>
      </c>
      <c r="B1270" s="626"/>
      <c r="C1270" s="626"/>
      <c r="D1270" s="626"/>
      <c r="E1270" s="626"/>
      <c r="F1270" s="626"/>
      <c r="G1270" s="626"/>
      <c r="H1270" s="626"/>
      <c r="I1270" s="626"/>
      <c r="J1270" s="626"/>
      <c r="K1270" s="626"/>
      <c r="L1270" s="626"/>
      <c r="M1270" s="626"/>
      <c r="N1270" s="626"/>
      <c r="O1270" s="626"/>
      <c r="P1270" s="626"/>
      <c r="Q1270" s="626"/>
      <c r="R1270" s="627"/>
    </row>
    <row r="1271" spans="1:18" ht="12.75" customHeight="1">
      <c r="A1271" s="630" t="s">
        <v>2344</v>
      </c>
      <c r="B1271" s="631"/>
      <c r="C1271" s="631"/>
      <c r="D1271" s="631"/>
      <c r="E1271" s="631"/>
      <c r="F1271" s="631"/>
      <c r="G1271" s="631"/>
      <c r="H1271" s="631"/>
      <c r="I1271" s="631"/>
      <c r="J1271" s="631"/>
      <c r="K1271" s="631"/>
      <c r="L1271" s="631"/>
      <c r="M1271" s="631"/>
      <c r="N1271" s="631"/>
      <c r="O1271" s="631"/>
      <c r="P1271" s="631"/>
      <c r="Q1271" s="631"/>
      <c r="R1271" s="631"/>
    </row>
    <row r="1272" spans="1:18" ht="12.75" customHeight="1">
      <c r="A1272" s="628" t="s">
        <v>2345</v>
      </c>
      <c r="B1272" s="629"/>
      <c r="C1272" s="629"/>
      <c r="D1272" s="629"/>
      <c r="E1272" s="629"/>
      <c r="F1272" s="629"/>
      <c r="G1272" s="629"/>
      <c r="H1272" s="629"/>
      <c r="I1272" s="629"/>
      <c r="J1272" s="629"/>
      <c r="K1272" s="629"/>
      <c r="L1272" s="629"/>
      <c r="M1272" s="629"/>
      <c r="N1272" s="629"/>
      <c r="O1272" s="629"/>
      <c r="P1272" s="629"/>
      <c r="Q1272" s="629"/>
      <c r="R1272" s="629"/>
    </row>
    <row r="1273" spans="1:18" ht="12.75" customHeight="1">
      <c r="A1273" s="628" t="s">
        <v>2346</v>
      </c>
      <c r="B1273" s="629"/>
      <c r="C1273" s="629"/>
      <c r="D1273" s="629"/>
      <c r="E1273" s="629"/>
      <c r="F1273" s="629"/>
      <c r="G1273" s="629"/>
      <c r="H1273" s="629"/>
      <c r="I1273" s="629"/>
      <c r="J1273" s="629"/>
      <c r="K1273" s="629"/>
      <c r="L1273" s="629"/>
      <c r="M1273" s="629"/>
      <c r="N1273" s="629"/>
      <c r="O1273" s="629"/>
      <c r="P1273" s="629"/>
      <c r="Q1273" s="629"/>
      <c r="R1273" s="629"/>
    </row>
    <row r="1274" spans="1:18" ht="24">
      <c r="A1274" s="105">
        <v>1</v>
      </c>
      <c r="B1274" s="102" t="s">
        <v>2347</v>
      </c>
      <c r="C1274" s="106" t="s">
        <v>2348</v>
      </c>
      <c r="D1274" s="107">
        <v>8595.14</v>
      </c>
      <c r="E1274" s="107">
        <v>1201.75</v>
      </c>
      <c r="F1274" s="107">
        <v>6193.59</v>
      </c>
      <c r="G1274" s="107">
        <v>1199.8</v>
      </c>
      <c r="H1274" s="108">
        <v>53179.26</v>
      </c>
      <c r="I1274" s="108">
        <v>13820.7</v>
      </c>
      <c r="J1274" s="108">
        <v>34593.379999999997</v>
      </c>
      <c r="K1274" s="108">
        <v>4765.18</v>
      </c>
      <c r="L1274" s="43">
        <v>6.1871313323575885</v>
      </c>
      <c r="M1274" s="43">
        <v>11.500478468899523</v>
      </c>
      <c r="N1274" s="43">
        <v>5.5853519525832347</v>
      </c>
      <c r="O1274" s="43">
        <v>3.9716452742123689</v>
      </c>
      <c r="P1274" s="109"/>
      <c r="Q1274" s="109"/>
      <c r="R1274" s="109">
        <v>1</v>
      </c>
    </row>
    <row r="1275" spans="1:18" ht="24">
      <c r="A1275" s="105">
        <v>2</v>
      </c>
      <c r="B1275" s="102" t="s">
        <v>2349</v>
      </c>
      <c r="C1275" s="106" t="s">
        <v>2350</v>
      </c>
      <c r="D1275" s="107">
        <v>16065.79</v>
      </c>
      <c r="E1275" s="107">
        <v>2685.65</v>
      </c>
      <c r="F1275" s="107">
        <v>12255.99</v>
      </c>
      <c r="G1275" s="107">
        <v>1124.1500000000001</v>
      </c>
      <c r="H1275" s="108">
        <v>102868.4</v>
      </c>
      <c r="I1275" s="108">
        <v>30886.26</v>
      </c>
      <c r="J1275" s="108">
        <v>67071.789999999994</v>
      </c>
      <c r="K1275" s="108">
        <v>4910.3500000000004</v>
      </c>
      <c r="L1275" s="43">
        <v>6.4029468827863418</v>
      </c>
      <c r="M1275" s="43">
        <v>11.500478468899521</v>
      </c>
      <c r="N1275" s="43">
        <v>5.4725721871509352</v>
      </c>
      <c r="O1275" s="43">
        <v>4.3680558644309029</v>
      </c>
      <c r="P1275" s="109"/>
      <c r="Q1275" s="109"/>
      <c r="R1275" s="109">
        <v>1</v>
      </c>
    </row>
    <row r="1276" spans="1:18" ht="12.75" customHeight="1">
      <c r="A1276" s="628" t="s">
        <v>2351</v>
      </c>
      <c r="B1276" s="629"/>
      <c r="C1276" s="629"/>
      <c r="D1276" s="629"/>
      <c r="E1276" s="629"/>
      <c r="F1276" s="629"/>
      <c r="G1276" s="629"/>
      <c r="H1276" s="629"/>
      <c r="I1276" s="629"/>
      <c r="J1276" s="629"/>
      <c r="K1276" s="629"/>
      <c r="L1276" s="629"/>
      <c r="M1276" s="629"/>
      <c r="N1276" s="629"/>
      <c r="O1276" s="629"/>
      <c r="P1276" s="629"/>
      <c r="Q1276" s="629"/>
      <c r="R1276" s="629"/>
    </row>
    <row r="1277" spans="1:18" ht="24">
      <c r="A1277" s="105">
        <v>3</v>
      </c>
      <c r="B1277" s="102" t="s">
        <v>2352</v>
      </c>
      <c r="C1277" s="106" t="s">
        <v>2353</v>
      </c>
      <c r="D1277" s="107">
        <v>23870.22</v>
      </c>
      <c r="E1277" s="107">
        <v>3469.98</v>
      </c>
      <c r="F1277" s="107">
        <v>19274.68</v>
      </c>
      <c r="G1277" s="107">
        <v>1125.56</v>
      </c>
      <c r="H1277" s="108">
        <v>144320.57</v>
      </c>
      <c r="I1277" s="108">
        <v>39906.28</v>
      </c>
      <c r="J1277" s="108">
        <v>99448.67</v>
      </c>
      <c r="K1277" s="108">
        <v>4965.62</v>
      </c>
      <c r="L1277" s="43">
        <v>6.0460511046819008</v>
      </c>
      <c r="M1277" s="43">
        <v>11.500435161009573</v>
      </c>
      <c r="N1277" s="43">
        <v>5.1595497305273028</v>
      </c>
      <c r="O1277" s="43">
        <v>4.4116884039944564</v>
      </c>
      <c r="P1277" s="109"/>
      <c r="Q1277" s="109"/>
      <c r="R1277" s="109">
        <v>2</v>
      </c>
    </row>
    <row r="1278" spans="1:18" ht="24">
      <c r="A1278" s="105">
        <v>4</v>
      </c>
      <c r="B1278" s="102" t="s">
        <v>2354</v>
      </c>
      <c r="C1278" s="106" t="s">
        <v>2355</v>
      </c>
      <c r="D1278" s="107">
        <v>42267.17</v>
      </c>
      <c r="E1278" s="107">
        <v>4377.6899999999996</v>
      </c>
      <c r="F1278" s="107">
        <v>34700.21</v>
      </c>
      <c r="G1278" s="107">
        <v>3189.27</v>
      </c>
      <c r="H1278" s="108">
        <v>240275.26</v>
      </c>
      <c r="I1278" s="108">
        <v>50345.34</v>
      </c>
      <c r="J1278" s="108">
        <v>176860.25</v>
      </c>
      <c r="K1278" s="108">
        <v>13069.67</v>
      </c>
      <c r="L1278" s="43">
        <v>5.6846782029646183</v>
      </c>
      <c r="M1278" s="43">
        <v>11.500435161009573</v>
      </c>
      <c r="N1278" s="43">
        <v>5.096806330566876</v>
      </c>
      <c r="O1278" s="43">
        <v>4.0980130249241986</v>
      </c>
      <c r="P1278" s="109"/>
      <c r="Q1278" s="109"/>
      <c r="R1278" s="109">
        <v>2</v>
      </c>
    </row>
    <row r="1279" spans="1:18" ht="24">
      <c r="A1279" s="105">
        <v>5</v>
      </c>
      <c r="B1279" s="102" t="s">
        <v>2356</v>
      </c>
      <c r="C1279" s="106" t="s">
        <v>2357</v>
      </c>
      <c r="D1279" s="107">
        <v>6542.99</v>
      </c>
      <c r="E1279" s="107">
        <v>2194.59</v>
      </c>
      <c r="F1279" s="107">
        <v>3257.87</v>
      </c>
      <c r="G1279" s="107">
        <v>1090.53</v>
      </c>
      <c r="H1279" s="108">
        <v>47760.46</v>
      </c>
      <c r="I1279" s="108">
        <v>25238.74</v>
      </c>
      <c r="J1279" s="108">
        <v>17932.900000000001</v>
      </c>
      <c r="K1279" s="108">
        <v>4588.82</v>
      </c>
      <c r="L1279" s="43">
        <v>7.2994854034623318</v>
      </c>
      <c r="M1279" s="43">
        <v>11.500435161009573</v>
      </c>
      <c r="N1279" s="43">
        <v>5.5044860599103105</v>
      </c>
      <c r="O1279" s="43">
        <v>4.2078805718320451</v>
      </c>
      <c r="P1279" s="109"/>
      <c r="Q1279" s="109"/>
      <c r="R1279" s="109">
        <v>2</v>
      </c>
    </row>
    <row r="1280" spans="1:18" ht="24">
      <c r="A1280" s="105">
        <v>6</v>
      </c>
      <c r="B1280" s="102" t="s">
        <v>2358</v>
      </c>
      <c r="C1280" s="106" t="s">
        <v>2359</v>
      </c>
      <c r="D1280" s="107">
        <v>18458.150000000001</v>
      </c>
      <c r="E1280" s="107">
        <v>3228.69</v>
      </c>
      <c r="F1280" s="107">
        <v>13416.01</v>
      </c>
      <c r="G1280" s="107">
        <v>1813.45</v>
      </c>
      <c r="H1280" s="108">
        <v>116234.33</v>
      </c>
      <c r="I1280" s="108">
        <v>37131.339999999997</v>
      </c>
      <c r="J1280" s="108">
        <v>71175.070000000007</v>
      </c>
      <c r="K1280" s="108">
        <v>7927.92</v>
      </c>
      <c r="L1280" s="43">
        <v>6.2971820036135799</v>
      </c>
      <c r="M1280" s="43">
        <v>11.500435161009571</v>
      </c>
      <c r="N1280" s="43">
        <v>5.3052338213820658</v>
      </c>
      <c r="O1280" s="43">
        <v>4.3717334362678875</v>
      </c>
      <c r="P1280" s="109"/>
      <c r="Q1280" s="109"/>
      <c r="R1280" s="109">
        <v>2</v>
      </c>
    </row>
    <row r="1281" spans="1:18" ht="24">
      <c r="A1281" s="105">
        <v>7</v>
      </c>
      <c r="B1281" s="102" t="s">
        <v>2360</v>
      </c>
      <c r="C1281" s="106" t="s">
        <v>2361</v>
      </c>
      <c r="D1281" s="107">
        <v>83016.509999999995</v>
      </c>
      <c r="E1281" s="107">
        <v>12570.06</v>
      </c>
      <c r="F1281" s="107">
        <v>63073.85</v>
      </c>
      <c r="G1281" s="107">
        <v>7372.6</v>
      </c>
      <c r="H1281" s="108">
        <v>500126.91</v>
      </c>
      <c r="I1281" s="108">
        <v>144561.16</v>
      </c>
      <c r="J1281" s="108">
        <v>325158.25</v>
      </c>
      <c r="K1281" s="108">
        <v>30407.5</v>
      </c>
      <c r="L1281" s="43">
        <v>6.02442706878427</v>
      </c>
      <c r="M1281" s="43">
        <v>11.500435161009575</v>
      </c>
      <c r="N1281" s="43">
        <v>5.155199024635408</v>
      </c>
      <c r="O1281" s="43">
        <v>4.1243930228142034</v>
      </c>
      <c r="P1281" s="109"/>
      <c r="Q1281" s="109"/>
      <c r="R1281" s="109">
        <v>2</v>
      </c>
    </row>
    <row r="1282" spans="1:18" ht="24">
      <c r="A1282" s="105">
        <v>8</v>
      </c>
      <c r="B1282" s="102" t="s">
        <v>2362</v>
      </c>
      <c r="C1282" s="106" t="s">
        <v>2363</v>
      </c>
      <c r="D1282" s="107">
        <v>1110.07</v>
      </c>
      <c r="E1282" s="107">
        <v>340.8</v>
      </c>
      <c r="F1282" s="107">
        <v>587.99</v>
      </c>
      <c r="G1282" s="107">
        <v>181.28</v>
      </c>
      <c r="H1282" s="108">
        <v>7882.87</v>
      </c>
      <c r="I1282" s="108">
        <v>3919.2</v>
      </c>
      <c r="J1282" s="108">
        <v>3228.62</v>
      </c>
      <c r="K1282" s="108">
        <v>735.05</v>
      </c>
      <c r="L1282" s="43">
        <v>7.101236858936824</v>
      </c>
      <c r="M1282" s="43">
        <v>11.499999999999998</v>
      </c>
      <c r="N1282" s="43">
        <v>5.4909437235327125</v>
      </c>
      <c r="O1282" s="43">
        <v>4.0547771403353927</v>
      </c>
      <c r="P1282" s="109"/>
      <c r="Q1282" s="109"/>
      <c r="R1282" s="109">
        <v>2</v>
      </c>
    </row>
    <row r="1283" spans="1:18" ht="12.75" customHeight="1">
      <c r="A1283" s="628" t="s">
        <v>2364</v>
      </c>
      <c r="B1283" s="629"/>
      <c r="C1283" s="629"/>
      <c r="D1283" s="629"/>
      <c r="E1283" s="629"/>
      <c r="F1283" s="629"/>
      <c r="G1283" s="629"/>
      <c r="H1283" s="629"/>
      <c r="I1283" s="629"/>
      <c r="J1283" s="629"/>
      <c r="K1283" s="629"/>
      <c r="L1283" s="629"/>
      <c r="M1283" s="629"/>
      <c r="N1283" s="629"/>
      <c r="O1283" s="629"/>
      <c r="P1283" s="629"/>
      <c r="Q1283" s="629"/>
      <c r="R1283" s="629"/>
    </row>
    <row r="1284" spans="1:18" ht="36">
      <c r="A1284" s="105">
        <v>9</v>
      </c>
      <c r="B1284" s="102" t="s">
        <v>2365</v>
      </c>
      <c r="C1284" s="106" t="s">
        <v>2366</v>
      </c>
      <c r="D1284" s="107">
        <v>35092.74</v>
      </c>
      <c r="E1284" s="107">
        <v>7690.72</v>
      </c>
      <c r="F1284" s="107">
        <v>26193.57</v>
      </c>
      <c r="G1284" s="107">
        <v>1208.45</v>
      </c>
      <c r="H1284" s="108">
        <v>232795.71</v>
      </c>
      <c r="I1284" s="108">
        <v>88443.28</v>
      </c>
      <c r="J1284" s="108">
        <v>137411.53</v>
      </c>
      <c r="K1284" s="108">
        <v>6940.9</v>
      </c>
      <c r="L1284" s="43">
        <v>6.633728514786819</v>
      </c>
      <c r="M1284" s="43">
        <v>11.5</v>
      </c>
      <c r="N1284" s="43">
        <v>5.2460023585941133</v>
      </c>
      <c r="O1284" s="43">
        <v>5.7436385452439067</v>
      </c>
      <c r="P1284" s="109"/>
      <c r="Q1284" s="109"/>
      <c r="R1284" s="109">
        <v>3</v>
      </c>
    </row>
    <row r="1285" spans="1:18" ht="36">
      <c r="A1285" s="105">
        <v>10</v>
      </c>
      <c r="B1285" s="102" t="s">
        <v>2367</v>
      </c>
      <c r="C1285" s="106" t="s">
        <v>2368</v>
      </c>
      <c r="D1285" s="107">
        <v>170621.95</v>
      </c>
      <c r="E1285" s="107">
        <v>37005.57</v>
      </c>
      <c r="F1285" s="107">
        <v>128499.79</v>
      </c>
      <c r="G1285" s="107">
        <v>5116.59</v>
      </c>
      <c r="H1285" s="108">
        <v>1085738.9099999999</v>
      </c>
      <c r="I1285" s="108">
        <v>425579.91</v>
      </c>
      <c r="J1285" s="108">
        <v>633065.17000000004</v>
      </c>
      <c r="K1285" s="108">
        <v>27093.83</v>
      </c>
      <c r="L1285" s="43">
        <v>6.3634187160561693</v>
      </c>
      <c r="M1285" s="43">
        <v>11.500428449014567</v>
      </c>
      <c r="N1285" s="43">
        <v>4.9265852496723932</v>
      </c>
      <c r="O1285" s="43">
        <v>5.2952904180323221</v>
      </c>
      <c r="P1285" s="109"/>
      <c r="Q1285" s="109"/>
      <c r="R1285" s="109">
        <v>3</v>
      </c>
    </row>
    <row r="1286" spans="1:18" ht="36">
      <c r="A1286" s="105">
        <v>11</v>
      </c>
      <c r="B1286" s="102" t="s">
        <v>2369</v>
      </c>
      <c r="C1286" s="106" t="s">
        <v>2370</v>
      </c>
      <c r="D1286" s="107">
        <v>280769.27</v>
      </c>
      <c r="E1286" s="107">
        <v>43809.18</v>
      </c>
      <c r="F1286" s="107">
        <v>231344.71</v>
      </c>
      <c r="G1286" s="107">
        <v>5615.38</v>
      </c>
      <c r="H1286" s="108">
        <v>1643227.71</v>
      </c>
      <c r="I1286" s="108">
        <v>503824.34</v>
      </c>
      <c r="J1286" s="108">
        <v>1108728.8999999999</v>
      </c>
      <c r="K1286" s="108">
        <v>30674.47</v>
      </c>
      <c r="L1286" s="43">
        <v>5.8525910260763219</v>
      </c>
      <c r="M1286" s="43">
        <v>11.500428449014567</v>
      </c>
      <c r="N1286" s="43">
        <v>4.7925405339936233</v>
      </c>
      <c r="O1286" s="43">
        <v>5.4625813391079499</v>
      </c>
      <c r="P1286" s="109"/>
      <c r="Q1286" s="109"/>
      <c r="R1286" s="109">
        <v>3</v>
      </c>
    </row>
    <row r="1287" spans="1:18" ht="36">
      <c r="A1287" s="105">
        <v>12</v>
      </c>
      <c r="B1287" s="102" t="s">
        <v>2371</v>
      </c>
      <c r="C1287" s="106" t="s">
        <v>2372</v>
      </c>
      <c r="D1287" s="107">
        <v>534344.56000000006</v>
      </c>
      <c r="E1287" s="107">
        <v>66090.48</v>
      </c>
      <c r="F1287" s="107">
        <v>458427.07</v>
      </c>
      <c r="G1287" s="107">
        <v>9827.01</v>
      </c>
      <c r="H1287" s="108">
        <v>2957003.38</v>
      </c>
      <c r="I1287" s="108">
        <v>760069.28</v>
      </c>
      <c r="J1287" s="108">
        <v>2146448.88</v>
      </c>
      <c r="K1287" s="108">
        <v>50485.22</v>
      </c>
      <c r="L1287" s="43">
        <v>5.5338888076262993</v>
      </c>
      <c r="M1287" s="43">
        <v>11.500435161009575</v>
      </c>
      <c r="N1287" s="43">
        <v>4.6822036054720764</v>
      </c>
      <c r="O1287" s="43">
        <v>5.1373937749122058</v>
      </c>
      <c r="P1287" s="109"/>
      <c r="Q1287" s="109"/>
      <c r="R1287" s="109">
        <v>3</v>
      </c>
    </row>
    <row r="1288" spans="1:18" ht="36">
      <c r="A1288" s="105">
        <v>13</v>
      </c>
      <c r="B1288" s="102" t="s">
        <v>2373</v>
      </c>
      <c r="C1288" s="106" t="s">
        <v>2374</v>
      </c>
      <c r="D1288" s="107">
        <v>685163.64</v>
      </c>
      <c r="E1288" s="107">
        <v>83095.679999999993</v>
      </c>
      <c r="F1288" s="107">
        <v>589319.65</v>
      </c>
      <c r="G1288" s="107">
        <v>12748.31</v>
      </c>
      <c r="H1288" s="108">
        <v>3803285</v>
      </c>
      <c r="I1288" s="108">
        <v>955636.48</v>
      </c>
      <c r="J1288" s="108">
        <v>2783715.75</v>
      </c>
      <c r="K1288" s="108">
        <v>63932.77</v>
      </c>
      <c r="L1288" s="43">
        <v>5.5509148150360108</v>
      </c>
      <c r="M1288" s="43">
        <v>11.500435161009575</v>
      </c>
      <c r="N1288" s="43">
        <v>4.7236092500903366</v>
      </c>
      <c r="O1288" s="43">
        <v>5.0149996352457702</v>
      </c>
      <c r="P1288" s="109"/>
      <c r="Q1288" s="109"/>
      <c r="R1288" s="109">
        <v>3</v>
      </c>
    </row>
    <row r="1289" spans="1:18" ht="24">
      <c r="A1289" s="105">
        <v>14</v>
      </c>
      <c r="B1289" s="102" t="s">
        <v>2375</v>
      </c>
      <c r="C1289" s="106" t="s">
        <v>2376</v>
      </c>
      <c r="D1289" s="107">
        <v>12162.06</v>
      </c>
      <c r="E1289" s="107">
        <v>3512.56</v>
      </c>
      <c r="F1289" s="107">
        <v>7174.53</v>
      </c>
      <c r="G1289" s="107">
        <v>1474.97</v>
      </c>
      <c r="H1289" s="108">
        <v>87916.63</v>
      </c>
      <c r="I1289" s="108">
        <v>40394.44</v>
      </c>
      <c r="J1289" s="108">
        <v>40800.47</v>
      </c>
      <c r="K1289" s="108">
        <v>6721.72</v>
      </c>
      <c r="L1289" s="43">
        <v>7.2287614104847373</v>
      </c>
      <c r="M1289" s="43">
        <v>11.5</v>
      </c>
      <c r="N1289" s="43">
        <v>5.6868491733953306</v>
      </c>
      <c r="O1289" s="43">
        <v>4.5571909937151265</v>
      </c>
      <c r="P1289" s="109"/>
      <c r="Q1289" s="109"/>
      <c r="R1289" s="109">
        <v>3</v>
      </c>
    </row>
    <row r="1290" spans="1:18" ht="24">
      <c r="A1290" s="105">
        <v>15</v>
      </c>
      <c r="B1290" s="102" t="s">
        <v>2377</v>
      </c>
      <c r="C1290" s="106" t="s">
        <v>2378</v>
      </c>
      <c r="D1290" s="107">
        <v>42397.440000000002</v>
      </c>
      <c r="E1290" s="107">
        <v>7284.66</v>
      </c>
      <c r="F1290" s="107">
        <v>33285.81</v>
      </c>
      <c r="G1290" s="107">
        <v>1826.97</v>
      </c>
      <c r="H1290" s="108">
        <v>263782.62</v>
      </c>
      <c r="I1290" s="108">
        <v>83776.759999999995</v>
      </c>
      <c r="J1290" s="108">
        <v>170574.26</v>
      </c>
      <c r="K1290" s="108">
        <v>9431.6</v>
      </c>
      <c r="L1290" s="43">
        <v>6.2216638551761614</v>
      </c>
      <c r="M1290" s="43">
        <v>11.500435161009573</v>
      </c>
      <c r="N1290" s="43">
        <v>5.124533847906962</v>
      </c>
      <c r="O1290" s="43">
        <v>5.162427407127649</v>
      </c>
      <c r="P1290" s="109"/>
      <c r="Q1290" s="109"/>
      <c r="R1290" s="109">
        <v>3</v>
      </c>
    </row>
    <row r="1291" spans="1:18" ht="24">
      <c r="A1291" s="105">
        <v>16</v>
      </c>
      <c r="B1291" s="102" t="s">
        <v>2379</v>
      </c>
      <c r="C1291" s="106" t="s">
        <v>2380</v>
      </c>
      <c r="D1291" s="107">
        <v>71123.399999999994</v>
      </c>
      <c r="E1291" s="107">
        <v>11666.1</v>
      </c>
      <c r="F1291" s="107">
        <v>56912.46</v>
      </c>
      <c r="G1291" s="107">
        <v>2544.84</v>
      </c>
      <c r="H1291" s="108">
        <v>434273.14</v>
      </c>
      <c r="I1291" s="108">
        <v>134160.15</v>
      </c>
      <c r="J1291" s="108">
        <v>286476.37</v>
      </c>
      <c r="K1291" s="108">
        <v>13636.62</v>
      </c>
      <c r="L1291" s="43">
        <v>6.1059108535306246</v>
      </c>
      <c r="M1291" s="43">
        <v>11.5</v>
      </c>
      <c r="N1291" s="43">
        <v>5.0336318268442444</v>
      </c>
      <c r="O1291" s="43">
        <v>5.358537275427925</v>
      </c>
      <c r="P1291" s="109"/>
      <c r="Q1291" s="109"/>
      <c r="R1291" s="109">
        <v>3</v>
      </c>
    </row>
    <row r="1292" spans="1:18" ht="24">
      <c r="A1292" s="105">
        <v>17</v>
      </c>
      <c r="B1292" s="102" t="s">
        <v>2381</v>
      </c>
      <c r="C1292" s="106" t="s">
        <v>2382</v>
      </c>
      <c r="D1292" s="107">
        <v>336671.98</v>
      </c>
      <c r="E1292" s="107">
        <v>56059.71</v>
      </c>
      <c r="F1292" s="107">
        <v>274868.03999999998</v>
      </c>
      <c r="G1292" s="107">
        <v>5744.23</v>
      </c>
      <c r="H1292" s="108">
        <v>1976181.25</v>
      </c>
      <c r="I1292" s="108">
        <v>644711.06000000006</v>
      </c>
      <c r="J1292" s="108">
        <v>1296669.6200000001</v>
      </c>
      <c r="K1292" s="108">
        <v>34800.57</v>
      </c>
      <c r="L1292" s="43">
        <v>5.8697526595471361</v>
      </c>
      <c r="M1292" s="43">
        <v>11.500435161009575</v>
      </c>
      <c r="N1292" s="43">
        <v>4.7174259328221648</v>
      </c>
      <c r="O1292" s="43">
        <v>6.0583524684770635</v>
      </c>
      <c r="P1292" s="109"/>
      <c r="Q1292" s="109"/>
      <c r="R1292" s="109">
        <v>3</v>
      </c>
    </row>
    <row r="1293" spans="1:18" ht="12.75" customHeight="1">
      <c r="A1293" s="628" t="s">
        <v>2383</v>
      </c>
      <c r="B1293" s="629"/>
      <c r="C1293" s="629"/>
      <c r="D1293" s="629"/>
      <c r="E1293" s="629"/>
      <c r="F1293" s="629"/>
      <c r="G1293" s="629"/>
      <c r="H1293" s="629"/>
      <c r="I1293" s="629"/>
      <c r="J1293" s="629"/>
      <c r="K1293" s="629"/>
      <c r="L1293" s="629"/>
      <c r="M1293" s="629"/>
      <c r="N1293" s="629"/>
      <c r="O1293" s="629"/>
      <c r="P1293" s="629"/>
      <c r="Q1293" s="629"/>
      <c r="R1293" s="629"/>
    </row>
    <row r="1294" spans="1:18" ht="24">
      <c r="A1294" s="105">
        <v>18</v>
      </c>
      <c r="B1294" s="102" t="s">
        <v>2384</v>
      </c>
      <c r="C1294" s="106" t="s">
        <v>2385</v>
      </c>
      <c r="D1294" s="107">
        <v>34692.9</v>
      </c>
      <c r="E1294" s="107">
        <v>5146.08</v>
      </c>
      <c r="F1294" s="107">
        <v>25730.06</v>
      </c>
      <c r="G1294" s="107">
        <v>3816.76</v>
      </c>
      <c r="H1294" s="108">
        <v>207886</v>
      </c>
      <c r="I1294" s="108">
        <v>59179.92</v>
      </c>
      <c r="J1294" s="108">
        <v>127768.02</v>
      </c>
      <c r="K1294" s="108">
        <v>20938.060000000001</v>
      </c>
      <c r="L1294" s="43">
        <v>5.9921770736951938</v>
      </c>
      <c r="M1294" s="43">
        <v>11.5</v>
      </c>
      <c r="N1294" s="43">
        <v>4.9657101460315287</v>
      </c>
      <c r="O1294" s="43">
        <v>5.4858204340854551</v>
      </c>
      <c r="P1294" s="109"/>
      <c r="Q1294" s="109"/>
      <c r="R1294" s="109">
        <v>4</v>
      </c>
    </row>
    <row r="1295" spans="1:18" ht="24">
      <c r="A1295" s="105">
        <v>19</v>
      </c>
      <c r="B1295" s="102" t="s">
        <v>2386</v>
      </c>
      <c r="C1295" s="106" t="s">
        <v>2387</v>
      </c>
      <c r="D1295" s="107">
        <v>9116.65</v>
      </c>
      <c r="E1295" s="107">
        <v>2225.52</v>
      </c>
      <c r="F1295" s="107">
        <v>4870.22</v>
      </c>
      <c r="G1295" s="107">
        <v>2020.91</v>
      </c>
      <c r="H1295" s="108">
        <v>62260.29</v>
      </c>
      <c r="I1295" s="108">
        <v>25593.48</v>
      </c>
      <c r="J1295" s="108">
        <v>25812.14</v>
      </c>
      <c r="K1295" s="108">
        <v>10854.67</v>
      </c>
      <c r="L1295" s="43">
        <v>6.8292947519099672</v>
      </c>
      <c r="M1295" s="43">
        <v>11.5</v>
      </c>
      <c r="N1295" s="43">
        <v>5.299994661432132</v>
      </c>
      <c r="O1295" s="43">
        <v>5.3711793202072329</v>
      </c>
      <c r="P1295" s="109"/>
      <c r="Q1295" s="109"/>
      <c r="R1295" s="109">
        <v>4</v>
      </c>
    </row>
    <row r="1296" spans="1:18" ht="12.75" customHeight="1">
      <c r="A1296" s="628" t="s">
        <v>2388</v>
      </c>
      <c r="B1296" s="629"/>
      <c r="C1296" s="629"/>
      <c r="D1296" s="629"/>
      <c r="E1296" s="629"/>
      <c r="F1296" s="629"/>
      <c r="G1296" s="629"/>
      <c r="H1296" s="629"/>
      <c r="I1296" s="629"/>
      <c r="J1296" s="629"/>
      <c r="K1296" s="629"/>
      <c r="L1296" s="629"/>
      <c r="M1296" s="629"/>
      <c r="N1296" s="629"/>
      <c r="O1296" s="629"/>
      <c r="P1296" s="629"/>
      <c r="Q1296" s="629"/>
      <c r="R1296" s="629"/>
    </row>
    <row r="1297" spans="1:18" ht="24">
      <c r="A1297" s="105">
        <v>20</v>
      </c>
      <c r="B1297" s="102" t="s">
        <v>2389</v>
      </c>
      <c r="C1297" s="106" t="s">
        <v>2390</v>
      </c>
      <c r="D1297" s="107">
        <v>67892</v>
      </c>
      <c r="E1297" s="107">
        <v>13075.62</v>
      </c>
      <c r="F1297" s="107">
        <v>51300.11</v>
      </c>
      <c r="G1297" s="107">
        <v>3516.27</v>
      </c>
      <c r="H1297" s="108">
        <v>422356.1</v>
      </c>
      <c r="I1297" s="108">
        <v>150375.32</v>
      </c>
      <c r="J1297" s="108">
        <v>256441.69</v>
      </c>
      <c r="K1297" s="108">
        <v>15539.09</v>
      </c>
      <c r="L1297" s="43">
        <v>6.220999528663171</v>
      </c>
      <c r="M1297" s="43">
        <v>11.500435161009573</v>
      </c>
      <c r="N1297" s="43">
        <v>4.9988526340391859</v>
      </c>
      <c r="O1297" s="43">
        <v>4.41919704687069</v>
      </c>
      <c r="P1297" s="109"/>
      <c r="Q1297" s="109"/>
      <c r="R1297" s="109">
        <v>5</v>
      </c>
    </row>
    <row r="1298" spans="1:18" ht="24">
      <c r="A1298" s="105">
        <v>21</v>
      </c>
      <c r="B1298" s="102" t="s">
        <v>2391</v>
      </c>
      <c r="C1298" s="106" t="s">
        <v>2392</v>
      </c>
      <c r="D1298" s="107">
        <v>114283.74</v>
      </c>
      <c r="E1298" s="107">
        <v>16373.25</v>
      </c>
      <c r="F1298" s="107">
        <v>93974.82</v>
      </c>
      <c r="G1298" s="107">
        <v>3935.67</v>
      </c>
      <c r="H1298" s="108">
        <v>671366.38</v>
      </c>
      <c r="I1298" s="108">
        <v>188299.5</v>
      </c>
      <c r="J1298" s="108">
        <v>465125.57</v>
      </c>
      <c r="K1298" s="108">
        <v>17941.310000000001</v>
      </c>
      <c r="L1298" s="43">
        <v>5.8745573079774953</v>
      </c>
      <c r="M1298" s="43">
        <v>11.500435161009573</v>
      </c>
      <c r="N1298" s="43">
        <v>4.9494701878652174</v>
      </c>
      <c r="O1298" s="43">
        <v>4.5586418576760757</v>
      </c>
      <c r="P1298" s="109"/>
      <c r="Q1298" s="109"/>
      <c r="R1298" s="109">
        <v>5</v>
      </c>
    </row>
    <row r="1299" spans="1:18" ht="24">
      <c r="A1299" s="105">
        <v>22</v>
      </c>
      <c r="B1299" s="102" t="s">
        <v>2393</v>
      </c>
      <c r="C1299" s="106" t="s">
        <v>2394</v>
      </c>
      <c r="D1299" s="107">
        <v>188381.58</v>
      </c>
      <c r="E1299" s="107">
        <v>22549.599999999999</v>
      </c>
      <c r="F1299" s="107">
        <v>159942.51</v>
      </c>
      <c r="G1299" s="107">
        <v>5889.47</v>
      </c>
      <c r="H1299" s="108">
        <v>1071397.49</v>
      </c>
      <c r="I1299" s="108">
        <v>259320.4</v>
      </c>
      <c r="J1299" s="108">
        <v>785398.14</v>
      </c>
      <c r="K1299" s="108">
        <v>26678.95</v>
      </c>
      <c r="L1299" s="43">
        <v>5.6873792543835764</v>
      </c>
      <c r="M1299" s="43">
        <v>11.5</v>
      </c>
      <c r="N1299" s="43">
        <v>4.9105027800301491</v>
      </c>
      <c r="O1299" s="43">
        <v>4.5299407247171644</v>
      </c>
      <c r="P1299" s="109"/>
      <c r="Q1299" s="109"/>
      <c r="R1299" s="109">
        <v>5</v>
      </c>
    </row>
    <row r="1300" spans="1:18" ht="12.75" customHeight="1">
      <c r="A1300" s="628" t="s">
        <v>2395</v>
      </c>
      <c r="B1300" s="629"/>
      <c r="C1300" s="629"/>
      <c r="D1300" s="629"/>
      <c r="E1300" s="629"/>
      <c r="F1300" s="629"/>
      <c r="G1300" s="629"/>
      <c r="H1300" s="629"/>
      <c r="I1300" s="629"/>
      <c r="J1300" s="629"/>
      <c r="K1300" s="629"/>
      <c r="L1300" s="629"/>
      <c r="M1300" s="629"/>
      <c r="N1300" s="629"/>
      <c r="O1300" s="629"/>
      <c r="P1300" s="629"/>
      <c r="Q1300" s="629"/>
      <c r="R1300" s="629"/>
    </row>
    <row r="1301" spans="1:18" ht="24">
      <c r="A1301" s="105">
        <v>23</v>
      </c>
      <c r="B1301" s="102" t="s">
        <v>2396</v>
      </c>
      <c r="C1301" s="106" t="s">
        <v>2397</v>
      </c>
      <c r="D1301" s="107">
        <v>2814.7</v>
      </c>
      <c r="E1301" s="107">
        <v>423.73</v>
      </c>
      <c r="F1301" s="107">
        <v>2382.5</v>
      </c>
      <c r="G1301" s="107">
        <v>8.4700000000000006</v>
      </c>
      <c r="H1301" s="108">
        <v>17827.009999999998</v>
      </c>
      <c r="I1301" s="108">
        <v>4872.87</v>
      </c>
      <c r="J1301" s="108">
        <v>12856.73</v>
      </c>
      <c r="K1301" s="108">
        <v>97.41</v>
      </c>
      <c r="L1301" s="43">
        <v>6.3335382101112021</v>
      </c>
      <c r="M1301" s="43">
        <v>11.499941000165199</v>
      </c>
      <c r="N1301" s="43">
        <v>5.3963189926547743</v>
      </c>
      <c r="O1301" s="43">
        <v>11.500590318772137</v>
      </c>
      <c r="P1301" s="109"/>
      <c r="Q1301" s="109"/>
      <c r="R1301" s="109">
        <v>6</v>
      </c>
    </row>
    <row r="1302" spans="1:18" ht="12.75" customHeight="1">
      <c r="A1302" s="628" t="s">
        <v>2398</v>
      </c>
      <c r="B1302" s="629"/>
      <c r="C1302" s="629"/>
      <c r="D1302" s="629"/>
      <c r="E1302" s="629"/>
      <c r="F1302" s="629"/>
      <c r="G1302" s="629"/>
      <c r="H1302" s="629"/>
      <c r="I1302" s="629"/>
      <c r="J1302" s="629"/>
      <c r="K1302" s="629"/>
      <c r="L1302" s="629"/>
      <c r="M1302" s="629"/>
      <c r="N1302" s="629"/>
      <c r="O1302" s="629"/>
      <c r="P1302" s="629"/>
      <c r="Q1302" s="629"/>
      <c r="R1302" s="629"/>
    </row>
    <row r="1303" spans="1:18" ht="24">
      <c r="A1303" s="105">
        <v>24</v>
      </c>
      <c r="B1303" s="102" t="s">
        <v>2399</v>
      </c>
      <c r="C1303" s="106" t="s">
        <v>2400</v>
      </c>
      <c r="D1303" s="107">
        <v>15153.55</v>
      </c>
      <c r="E1303" s="107">
        <v>2658.24</v>
      </c>
      <c r="F1303" s="107">
        <v>10530.47</v>
      </c>
      <c r="G1303" s="107">
        <v>1964.84</v>
      </c>
      <c r="H1303" s="108">
        <v>91854.74</v>
      </c>
      <c r="I1303" s="108">
        <v>30569.759999999998</v>
      </c>
      <c r="J1303" s="108">
        <v>53224.68</v>
      </c>
      <c r="K1303" s="108">
        <v>8060.3</v>
      </c>
      <c r="L1303" s="43">
        <v>6.0615987672855542</v>
      </c>
      <c r="M1303" s="43">
        <v>11.5</v>
      </c>
      <c r="N1303" s="43">
        <v>5.054349900811645</v>
      </c>
      <c r="O1303" s="43">
        <v>4.1022678691394718</v>
      </c>
      <c r="P1303" s="109"/>
      <c r="Q1303" s="109"/>
      <c r="R1303" s="109">
        <v>7</v>
      </c>
    </row>
    <row r="1304" spans="1:18" ht="12.75" customHeight="1">
      <c r="A1304" s="628" t="s">
        <v>2401</v>
      </c>
      <c r="B1304" s="629"/>
      <c r="C1304" s="629"/>
      <c r="D1304" s="629"/>
      <c r="E1304" s="629"/>
      <c r="F1304" s="629"/>
      <c r="G1304" s="629"/>
      <c r="H1304" s="629"/>
      <c r="I1304" s="629"/>
      <c r="J1304" s="629"/>
      <c r="K1304" s="629"/>
      <c r="L1304" s="629"/>
      <c r="M1304" s="629"/>
      <c r="N1304" s="629"/>
      <c r="O1304" s="629"/>
      <c r="P1304" s="629"/>
      <c r="Q1304" s="629"/>
      <c r="R1304" s="629"/>
    </row>
    <row r="1305" spans="1:18" ht="12.75" customHeight="1">
      <c r="A1305" s="628" t="s">
        <v>2402</v>
      </c>
      <c r="B1305" s="629"/>
      <c r="C1305" s="629"/>
      <c r="D1305" s="629"/>
      <c r="E1305" s="629"/>
      <c r="F1305" s="629"/>
      <c r="G1305" s="629"/>
      <c r="H1305" s="629"/>
      <c r="I1305" s="629"/>
      <c r="J1305" s="629"/>
      <c r="K1305" s="629"/>
      <c r="L1305" s="629"/>
      <c r="M1305" s="629"/>
      <c r="N1305" s="629"/>
      <c r="O1305" s="629"/>
      <c r="P1305" s="629"/>
      <c r="Q1305" s="629"/>
      <c r="R1305" s="629"/>
    </row>
    <row r="1306" spans="1:18" ht="24">
      <c r="A1306" s="105">
        <v>25</v>
      </c>
      <c r="B1306" s="102" t="s">
        <v>2403</v>
      </c>
      <c r="C1306" s="106" t="s">
        <v>2404</v>
      </c>
      <c r="D1306" s="107">
        <v>3241.04</v>
      </c>
      <c r="E1306" s="107">
        <v>457.46</v>
      </c>
      <c r="F1306" s="107">
        <v>2038.51</v>
      </c>
      <c r="G1306" s="107">
        <v>745.07</v>
      </c>
      <c r="H1306" s="108">
        <v>19486.75</v>
      </c>
      <c r="I1306" s="108">
        <v>5261.03</v>
      </c>
      <c r="J1306" s="108">
        <v>11160.25</v>
      </c>
      <c r="K1306" s="108">
        <v>3065.47</v>
      </c>
      <c r="L1306" s="43">
        <v>6.0124990743711892</v>
      </c>
      <c r="M1306" s="43">
        <v>11.500524636033752</v>
      </c>
      <c r="N1306" s="43">
        <v>5.4747094691711107</v>
      </c>
      <c r="O1306" s="43">
        <v>4.1143382500973056</v>
      </c>
      <c r="P1306" s="109"/>
      <c r="Q1306" s="109"/>
      <c r="R1306" s="109">
        <v>1</v>
      </c>
    </row>
    <row r="1307" spans="1:18" ht="12.75" customHeight="1">
      <c r="A1307" s="628" t="s">
        <v>2405</v>
      </c>
      <c r="B1307" s="629"/>
      <c r="C1307" s="629"/>
      <c r="D1307" s="629"/>
      <c r="E1307" s="629"/>
      <c r="F1307" s="629"/>
      <c r="G1307" s="629"/>
      <c r="H1307" s="629"/>
      <c r="I1307" s="629"/>
      <c r="J1307" s="629"/>
      <c r="K1307" s="629"/>
      <c r="L1307" s="629"/>
      <c r="M1307" s="629"/>
      <c r="N1307" s="629"/>
      <c r="O1307" s="629"/>
      <c r="P1307" s="629"/>
      <c r="Q1307" s="629"/>
      <c r="R1307" s="629"/>
    </row>
    <row r="1308" spans="1:18" ht="12.75" customHeight="1">
      <c r="A1308" s="628" t="s">
        <v>2406</v>
      </c>
      <c r="B1308" s="629"/>
      <c r="C1308" s="629"/>
      <c r="D1308" s="629"/>
      <c r="E1308" s="629"/>
      <c r="F1308" s="629"/>
      <c r="G1308" s="629"/>
      <c r="H1308" s="629"/>
      <c r="I1308" s="629"/>
      <c r="J1308" s="629"/>
      <c r="K1308" s="629"/>
      <c r="L1308" s="629"/>
      <c r="M1308" s="629"/>
      <c r="N1308" s="629"/>
      <c r="O1308" s="629"/>
      <c r="P1308" s="629"/>
      <c r="Q1308" s="629"/>
      <c r="R1308" s="629"/>
    </row>
    <row r="1309" spans="1:18" ht="24">
      <c r="A1309" s="105">
        <v>26</v>
      </c>
      <c r="B1309" s="102" t="s">
        <v>2407</v>
      </c>
      <c r="C1309" s="106" t="s">
        <v>2408</v>
      </c>
      <c r="D1309" s="107">
        <v>116402.12</v>
      </c>
      <c r="E1309" s="107">
        <v>25809.919999999998</v>
      </c>
      <c r="F1309" s="107">
        <v>70116.84</v>
      </c>
      <c r="G1309" s="107">
        <v>20475.36</v>
      </c>
      <c r="H1309" s="108">
        <v>785981.64</v>
      </c>
      <c r="I1309" s="108">
        <v>296814.08000000002</v>
      </c>
      <c r="J1309" s="108">
        <v>379241.5</v>
      </c>
      <c r="K1309" s="108">
        <v>109926.06</v>
      </c>
      <c r="L1309" s="43">
        <v>6.7522966076562874</v>
      </c>
      <c r="M1309" s="43">
        <v>11.500000000000002</v>
      </c>
      <c r="N1309" s="43">
        <v>5.4087078082811493</v>
      </c>
      <c r="O1309" s="43">
        <v>5.3686997444733571</v>
      </c>
      <c r="P1309" s="109"/>
      <c r="Q1309" s="109"/>
      <c r="R1309" s="109">
        <v>1</v>
      </c>
    </row>
    <row r="1310" spans="1:18" ht="24">
      <c r="A1310" s="105">
        <v>27</v>
      </c>
      <c r="B1310" s="102" t="s">
        <v>2409</v>
      </c>
      <c r="C1310" s="106" t="s">
        <v>2410</v>
      </c>
      <c r="D1310" s="107">
        <v>406302.56</v>
      </c>
      <c r="E1310" s="107">
        <v>30558.400000000001</v>
      </c>
      <c r="F1310" s="107">
        <v>320033.15000000002</v>
      </c>
      <c r="G1310" s="107">
        <v>55711.01</v>
      </c>
      <c r="H1310" s="108">
        <v>2370475.4</v>
      </c>
      <c r="I1310" s="108">
        <v>351421.6</v>
      </c>
      <c r="J1310" s="108">
        <v>1747905.2</v>
      </c>
      <c r="K1310" s="108">
        <v>271148.59999999998</v>
      </c>
      <c r="L1310" s="43">
        <v>5.8342615414483232</v>
      </c>
      <c r="M1310" s="43">
        <v>11.499999999999998</v>
      </c>
      <c r="N1310" s="43">
        <v>5.4616379584427417</v>
      </c>
      <c r="O1310" s="43">
        <v>4.8670559015174915</v>
      </c>
      <c r="P1310" s="109"/>
      <c r="Q1310" s="109"/>
      <c r="R1310" s="109">
        <v>1</v>
      </c>
    </row>
    <row r="1311" spans="1:18" ht="24">
      <c r="A1311" s="105">
        <v>28</v>
      </c>
      <c r="B1311" s="102" t="s">
        <v>2411</v>
      </c>
      <c r="C1311" s="106" t="s">
        <v>2412</v>
      </c>
      <c r="D1311" s="107">
        <v>760900.35</v>
      </c>
      <c r="E1311" s="107">
        <v>53925.919999999998</v>
      </c>
      <c r="F1311" s="107">
        <v>635961.91</v>
      </c>
      <c r="G1311" s="107">
        <v>71012.52</v>
      </c>
      <c r="H1311" s="108">
        <v>4490114.3499999996</v>
      </c>
      <c r="I1311" s="108">
        <v>620148.07999999996</v>
      </c>
      <c r="J1311" s="108">
        <v>3478296.17</v>
      </c>
      <c r="K1311" s="108">
        <v>391670.1</v>
      </c>
      <c r="L1311" s="43">
        <v>5.9010543890537042</v>
      </c>
      <c r="M1311" s="43">
        <v>11.5</v>
      </c>
      <c r="N1311" s="43">
        <v>5.4693466940496478</v>
      </c>
      <c r="O1311" s="43">
        <v>5.5155076879400982</v>
      </c>
      <c r="P1311" s="109"/>
      <c r="Q1311" s="109"/>
      <c r="R1311" s="109">
        <v>1</v>
      </c>
    </row>
    <row r="1312" spans="1:18" ht="24">
      <c r="A1312" s="105">
        <v>29</v>
      </c>
      <c r="B1312" s="102" t="s">
        <v>2413</v>
      </c>
      <c r="C1312" s="106" t="s">
        <v>2414</v>
      </c>
      <c r="D1312" s="107">
        <v>901522.45</v>
      </c>
      <c r="E1312" s="107">
        <v>55907.76</v>
      </c>
      <c r="F1312" s="107">
        <v>731406.57</v>
      </c>
      <c r="G1312" s="107">
        <v>114208.12</v>
      </c>
      <c r="H1312" s="108">
        <v>5315619.8099999996</v>
      </c>
      <c r="I1312" s="108">
        <v>642939.24</v>
      </c>
      <c r="J1312" s="108">
        <v>4000323.73</v>
      </c>
      <c r="K1312" s="108">
        <v>672356.84</v>
      </c>
      <c r="L1312" s="43">
        <v>5.896270037423915</v>
      </c>
      <c r="M1312" s="43">
        <v>11.5</v>
      </c>
      <c r="N1312" s="43">
        <v>5.4693571182987872</v>
      </c>
      <c r="O1312" s="43">
        <v>5.8871194097232316</v>
      </c>
      <c r="P1312" s="109"/>
      <c r="Q1312" s="109"/>
      <c r="R1312" s="109">
        <v>1</v>
      </c>
    </row>
    <row r="1313" spans="1:18" ht="12.75" customHeight="1">
      <c r="A1313" s="628" t="s">
        <v>2415</v>
      </c>
      <c r="B1313" s="629"/>
      <c r="C1313" s="629"/>
      <c r="D1313" s="629"/>
      <c r="E1313" s="629"/>
      <c r="F1313" s="629"/>
      <c r="G1313" s="629"/>
      <c r="H1313" s="629"/>
      <c r="I1313" s="629"/>
      <c r="J1313" s="629"/>
      <c r="K1313" s="629"/>
      <c r="L1313" s="629"/>
      <c r="M1313" s="629"/>
      <c r="N1313" s="629"/>
      <c r="O1313" s="629"/>
      <c r="P1313" s="629"/>
      <c r="Q1313" s="629"/>
      <c r="R1313" s="629"/>
    </row>
    <row r="1314" spans="1:18" ht="36">
      <c r="A1314" s="105">
        <v>30</v>
      </c>
      <c r="B1314" s="102" t="s">
        <v>2416</v>
      </c>
      <c r="C1314" s="106" t="s">
        <v>2417</v>
      </c>
      <c r="D1314" s="107">
        <v>4307.25</v>
      </c>
      <c r="E1314" s="107">
        <v>766.8</v>
      </c>
      <c r="F1314" s="107">
        <v>2894.39</v>
      </c>
      <c r="G1314" s="107">
        <v>646.05999999999995</v>
      </c>
      <c r="H1314" s="108">
        <v>27227.59</v>
      </c>
      <c r="I1314" s="108">
        <v>8818.2000000000007</v>
      </c>
      <c r="J1314" s="108">
        <v>15613.14</v>
      </c>
      <c r="K1314" s="108">
        <v>2796.25</v>
      </c>
      <c r="L1314" s="43">
        <v>6.3213396018341168</v>
      </c>
      <c r="M1314" s="43">
        <v>11.500000000000002</v>
      </c>
      <c r="N1314" s="43">
        <v>5.3942765142223408</v>
      </c>
      <c r="O1314" s="43">
        <v>4.3281583753830919</v>
      </c>
      <c r="P1314" s="109"/>
      <c r="Q1314" s="109"/>
      <c r="R1314" s="109">
        <v>2</v>
      </c>
    </row>
    <row r="1315" spans="1:18" ht="36">
      <c r="A1315" s="105">
        <v>31</v>
      </c>
      <c r="B1315" s="102" t="s">
        <v>2418</v>
      </c>
      <c r="C1315" s="106" t="s">
        <v>2419</v>
      </c>
      <c r="D1315" s="107">
        <v>105522.37</v>
      </c>
      <c r="E1315" s="107">
        <v>21051.43</v>
      </c>
      <c r="F1315" s="107">
        <v>68146.710000000006</v>
      </c>
      <c r="G1315" s="107">
        <v>16324.23</v>
      </c>
      <c r="H1315" s="108">
        <v>649464.02</v>
      </c>
      <c r="I1315" s="108">
        <v>242101.04</v>
      </c>
      <c r="J1315" s="108">
        <v>340056.53</v>
      </c>
      <c r="K1315" s="108">
        <v>67306.45</v>
      </c>
      <c r="L1315" s="43">
        <v>6.1547520208274324</v>
      </c>
      <c r="M1315" s="43">
        <v>11.500455788514129</v>
      </c>
      <c r="N1315" s="43">
        <v>4.9900652577358464</v>
      </c>
      <c r="O1315" s="43">
        <v>4.1231010589779729</v>
      </c>
      <c r="P1315" s="109"/>
      <c r="Q1315" s="109"/>
      <c r="R1315" s="109">
        <v>2</v>
      </c>
    </row>
    <row r="1316" spans="1:18" ht="36">
      <c r="A1316" s="105">
        <v>32</v>
      </c>
      <c r="B1316" s="102" t="s">
        <v>2420</v>
      </c>
      <c r="C1316" s="106" t="s">
        <v>2421</v>
      </c>
      <c r="D1316" s="107">
        <v>152278.43</v>
      </c>
      <c r="E1316" s="107">
        <v>26437.7</v>
      </c>
      <c r="F1316" s="107">
        <v>105428.94</v>
      </c>
      <c r="G1316" s="107">
        <v>20411.79</v>
      </c>
      <c r="H1316" s="108">
        <v>918531</v>
      </c>
      <c r="I1316" s="108">
        <v>304045.59999999998</v>
      </c>
      <c r="J1316" s="108">
        <v>525860.85</v>
      </c>
      <c r="K1316" s="108">
        <v>88624.55</v>
      </c>
      <c r="L1316" s="43">
        <v>6.0319179807672043</v>
      </c>
      <c r="M1316" s="43">
        <v>11.500455788514127</v>
      </c>
      <c r="N1316" s="43">
        <v>4.987822603546995</v>
      </c>
      <c r="O1316" s="43">
        <v>4.3418313631484544</v>
      </c>
      <c r="P1316" s="109"/>
      <c r="Q1316" s="109"/>
      <c r="R1316" s="109">
        <v>2</v>
      </c>
    </row>
    <row r="1317" spans="1:18" ht="36">
      <c r="A1317" s="105">
        <v>33</v>
      </c>
      <c r="B1317" s="102" t="s">
        <v>2422</v>
      </c>
      <c r="C1317" s="106" t="s">
        <v>2423</v>
      </c>
      <c r="D1317" s="107">
        <v>588467.79</v>
      </c>
      <c r="E1317" s="107">
        <v>79620.479999999996</v>
      </c>
      <c r="F1317" s="107">
        <v>466808.15</v>
      </c>
      <c r="G1317" s="107">
        <v>42039.16</v>
      </c>
      <c r="H1317" s="108">
        <v>3289302.72</v>
      </c>
      <c r="I1317" s="108">
        <v>915635.52</v>
      </c>
      <c r="J1317" s="108">
        <v>2176578.4500000002</v>
      </c>
      <c r="K1317" s="108">
        <v>197088.75</v>
      </c>
      <c r="L1317" s="43">
        <v>5.5896053716041108</v>
      </c>
      <c r="M1317" s="43">
        <v>11.5</v>
      </c>
      <c r="N1317" s="43">
        <v>4.6626830529844003</v>
      </c>
      <c r="O1317" s="43">
        <v>4.6882180804754423</v>
      </c>
      <c r="P1317" s="109"/>
      <c r="Q1317" s="109"/>
      <c r="R1317" s="109">
        <v>2</v>
      </c>
    </row>
    <row r="1318" spans="1:18" ht="36">
      <c r="A1318" s="105">
        <v>34</v>
      </c>
      <c r="B1318" s="102" t="s">
        <v>2424</v>
      </c>
      <c r="C1318" s="106" t="s">
        <v>2425</v>
      </c>
      <c r="D1318" s="107">
        <v>854745.81</v>
      </c>
      <c r="E1318" s="107">
        <v>101902.44</v>
      </c>
      <c r="F1318" s="107">
        <v>699109.37</v>
      </c>
      <c r="G1318" s="107">
        <v>53734</v>
      </c>
      <c r="H1318" s="108">
        <v>4780817.28</v>
      </c>
      <c r="I1318" s="108">
        <v>1171921.72</v>
      </c>
      <c r="J1318" s="108">
        <v>3343922.15</v>
      </c>
      <c r="K1318" s="108">
        <v>264973.40999999997</v>
      </c>
      <c r="L1318" s="43">
        <v>5.5932620248819935</v>
      </c>
      <c r="M1318" s="43">
        <v>11.500428449014567</v>
      </c>
      <c r="N1318" s="43">
        <v>4.7831173397089497</v>
      </c>
      <c r="O1318" s="43">
        <v>4.9312057542710379</v>
      </c>
      <c r="P1318" s="109"/>
      <c r="Q1318" s="109"/>
      <c r="R1318" s="109">
        <v>2</v>
      </c>
    </row>
    <row r="1319" spans="1:18" ht="36">
      <c r="A1319" s="105">
        <v>35</v>
      </c>
      <c r="B1319" s="102" t="s">
        <v>2426</v>
      </c>
      <c r="C1319" s="106" t="s">
        <v>2427</v>
      </c>
      <c r="D1319" s="107">
        <v>23116.85</v>
      </c>
      <c r="E1319" s="107">
        <v>5320.45</v>
      </c>
      <c r="F1319" s="107">
        <v>6141.51</v>
      </c>
      <c r="G1319" s="107">
        <v>11654.89</v>
      </c>
      <c r="H1319" s="108">
        <v>139225.34</v>
      </c>
      <c r="I1319" s="108">
        <v>61187.6</v>
      </c>
      <c r="J1319" s="108">
        <v>33352.1</v>
      </c>
      <c r="K1319" s="108">
        <v>44685.64</v>
      </c>
      <c r="L1319" s="43">
        <v>6.0226778302407125</v>
      </c>
      <c r="M1319" s="43">
        <v>11.500455788514129</v>
      </c>
      <c r="N1319" s="43">
        <v>5.4306025716802537</v>
      </c>
      <c r="O1319" s="43">
        <v>3.8340679320010742</v>
      </c>
      <c r="P1319" s="109"/>
      <c r="Q1319" s="109"/>
      <c r="R1319" s="109">
        <v>2</v>
      </c>
    </row>
    <row r="1320" spans="1:18" ht="36">
      <c r="A1320" s="105">
        <v>36</v>
      </c>
      <c r="B1320" s="102" t="s">
        <v>2428</v>
      </c>
      <c r="C1320" s="106" t="s">
        <v>2429</v>
      </c>
      <c r="D1320" s="107">
        <v>49201.29</v>
      </c>
      <c r="E1320" s="107">
        <v>8600.48</v>
      </c>
      <c r="F1320" s="107">
        <v>25896.68</v>
      </c>
      <c r="G1320" s="107">
        <v>14704.13</v>
      </c>
      <c r="H1320" s="108">
        <v>288058.71999999997</v>
      </c>
      <c r="I1320" s="108">
        <v>98909.440000000002</v>
      </c>
      <c r="J1320" s="108">
        <v>132047.92000000001</v>
      </c>
      <c r="K1320" s="108">
        <v>57101.36</v>
      </c>
      <c r="L1320" s="43">
        <v>5.8546985251809449</v>
      </c>
      <c r="M1320" s="43">
        <v>11.500455788514131</v>
      </c>
      <c r="N1320" s="43">
        <v>5.0990289102695794</v>
      </c>
      <c r="O1320" s="43">
        <v>3.8833552206080881</v>
      </c>
      <c r="P1320" s="109"/>
      <c r="Q1320" s="109"/>
      <c r="R1320" s="109">
        <v>2</v>
      </c>
    </row>
    <row r="1321" spans="1:18" ht="12.75" customHeight="1">
      <c r="A1321" s="628" t="s">
        <v>2430</v>
      </c>
      <c r="B1321" s="629"/>
      <c r="C1321" s="629"/>
      <c r="D1321" s="629"/>
      <c r="E1321" s="629"/>
      <c r="F1321" s="629"/>
      <c r="G1321" s="629"/>
      <c r="H1321" s="629"/>
      <c r="I1321" s="629"/>
      <c r="J1321" s="629"/>
      <c r="K1321" s="629"/>
      <c r="L1321" s="629"/>
      <c r="M1321" s="629"/>
      <c r="N1321" s="629"/>
      <c r="O1321" s="629"/>
      <c r="P1321" s="629"/>
      <c r="Q1321" s="629"/>
      <c r="R1321" s="629"/>
    </row>
    <row r="1322" spans="1:18" ht="36">
      <c r="A1322" s="105">
        <v>37</v>
      </c>
      <c r="B1322" s="102" t="s">
        <v>2431</v>
      </c>
      <c r="C1322" s="106" t="s">
        <v>2432</v>
      </c>
      <c r="D1322" s="107">
        <v>4953.1499999999996</v>
      </c>
      <c r="E1322" s="107">
        <v>943.33</v>
      </c>
      <c r="F1322" s="107">
        <v>2557.19</v>
      </c>
      <c r="G1322" s="107">
        <v>1452.63</v>
      </c>
      <c r="H1322" s="108">
        <v>32076.95</v>
      </c>
      <c r="I1322" s="108">
        <v>10848.69</v>
      </c>
      <c r="J1322" s="108">
        <v>15424.53</v>
      </c>
      <c r="K1322" s="108">
        <v>5803.73</v>
      </c>
      <c r="L1322" s="43">
        <v>6.4760707832389492</v>
      </c>
      <c r="M1322" s="43">
        <v>11.500418729394804</v>
      </c>
      <c r="N1322" s="43">
        <v>6.031827904848682</v>
      </c>
      <c r="O1322" s="43">
        <v>3.9953257195569409</v>
      </c>
      <c r="P1322" s="109"/>
      <c r="Q1322" s="109"/>
      <c r="R1322" s="109">
        <v>3</v>
      </c>
    </row>
    <row r="1323" spans="1:18" ht="36">
      <c r="A1323" s="105">
        <v>38</v>
      </c>
      <c r="B1323" s="102" t="s">
        <v>2433</v>
      </c>
      <c r="C1323" s="106" t="s">
        <v>2434</v>
      </c>
      <c r="D1323" s="107">
        <v>57674.99</v>
      </c>
      <c r="E1323" s="107">
        <v>9565.84</v>
      </c>
      <c r="F1323" s="107">
        <v>33017.230000000003</v>
      </c>
      <c r="G1323" s="107">
        <v>15091.92</v>
      </c>
      <c r="H1323" s="108">
        <v>336546.77</v>
      </c>
      <c r="I1323" s="108">
        <v>110011.52</v>
      </c>
      <c r="J1323" s="108">
        <v>167022.67000000001</v>
      </c>
      <c r="K1323" s="108">
        <v>59512.58</v>
      </c>
      <c r="L1323" s="43">
        <v>5.8352289267843833</v>
      </c>
      <c r="M1323" s="43">
        <v>11.500455788514129</v>
      </c>
      <c r="N1323" s="43">
        <v>5.058651800893049</v>
      </c>
      <c r="O1323" s="43">
        <v>3.9433405424889609</v>
      </c>
      <c r="P1323" s="109"/>
      <c r="Q1323" s="109"/>
      <c r="R1323" s="109">
        <v>3</v>
      </c>
    </row>
    <row r="1324" spans="1:18" ht="36">
      <c r="A1324" s="105">
        <v>39</v>
      </c>
      <c r="B1324" s="102" t="s">
        <v>2435</v>
      </c>
      <c r="C1324" s="106" t="s">
        <v>2436</v>
      </c>
      <c r="D1324" s="107">
        <v>59168.34</v>
      </c>
      <c r="E1324" s="107">
        <v>13065.27</v>
      </c>
      <c r="F1324" s="107">
        <v>29919.52</v>
      </c>
      <c r="G1324" s="107">
        <v>16183.55</v>
      </c>
      <c r="H1324" s="108">
        <v>374449.54</v>
      </c>
      <c r="I1324" s="108">
        <v>150256.56</v>
      </c>
      <c r="J1324" s="108">
        <v>158556.43</v>
      </c>
      <c r="K1324" s="108">
        <v>65636.55</v>
      </c>
      <c r="L1324" s="43">
        <v>6.3285456377515406</v>
      </c>
      <c r="M1324" s="43">
        <v>11.500455788514129</v>
      </c>
      <c r="N1324" s="43">
        <v>5.2994309400685573</v>
      </c>
      <c r="O1324" s="43">
        <v>4.0557572349700779</v>
      </c>
      <c r="P1324" s="109"/>
      <c r="Q1324" s="109"/>
      <c r="R1324" s="109">
        <v>3</v>
      </c>
    </row>
    <row r="1325" spans="1:18" ht="36">
      <c r="A1325" s="105">
        <v>40</v>
      </c>
      <c r="B1325" s="102" t="s">
        <v>2437</v>
      </c>
      <c r="C1325" s="106" t="s">
        <v>2438</v>
      </c>
      <c r="D1325" s="107">
        <v>134054.88</v>
      </c>
      <c r="E1325" s="107">
        <v>23728.11</v>
      </c>
      <c r="F1325" s="107">
        <v>90540.37</v>
      </c>
      <c r="G1325" s="107">
        <v>19786.400000000001</v>
      </c>
      <c r="H1325" s="108">
        <v>803714.6</v>
      </c>
      <c r="I1325" s="108">
        <v>272884.08</v>
      </c>
      <c r="J1325" s="108">
        <v>447835.56</v>
      </c>
      <c r="K1325" s="108">
        <v>82994.960000000006</v>
      </c>
      <c r="L1325" s="43">
        <v>5.9954147137351503</v>
      </c>
      <c r="M1325" s="43">
        <v>11.500455788514129</v>
      </c>
      <c r="N1325" s="43">
        <v>4.9462528151806762</v>
      </c>
      <c r="O1325" s="43">
        <v>4.1945457485949946</v>
      </c>
      <c r="P1325" s="109"/>
      <c r="Q1325" s="109"/>
      <c r="R1325" s="109">
        <v>3</v>
      </c>
    </row>
    <row r="1326" spans="1:18" ht="36">
      <c r="A1326" s="105">
        <v>41</v>
      </c>
      <c r="B1326" s="102" t="s">
        <v>2439</v>
      </c>
      <c r="C1326" s="106" t="s">
        <v>2440</v>
      </c>
      <c r="D1326" s="107">
        <v>174012.78</v>
      </c>
      <c r="E1326" s="107">
        <v>29147.29</v>
      </c>
      <c r="F1326" s="107">
        <v>118343.82</v>
      </c>
      <c r="G1326" s="107">
        <v>26521.67</v>
      </c>
      <c r="H1326" s="108">
        <v>1039670.39</v>
      </c>
      <c r="I1326" s="108">
        <v>335207.12</v>
      </c>
      <c r="J1326" s="108">
        <v>591744.78</v>
      </c>
      <c r="K1326" s="108">
        <v>112718.49</v>
      </c>
      <c r="L1326" s="43">
        <v>5.9746783540841086</v>
      </c>
      <c r="M1326" s="43">
        <v>11.500455788514129</v>
      </c>
      <c r="N1326" s="43">
        <v>5.0002169948544841</v>
      </c>
      <c r="O1326" s="43">
        <v>4.2500525042352164</v>
      </c>
      <c r="P1326" s="109"/>
      <c r="Q1326" s="109"/>
      <c r="R1326" s="109">
        <v>3</v>
      </c>
    </row>
    <row r="1327" spans="1:18" ht="36">
      <c r="A1327" s="105">
        <v>42</v>
      </c>
      <c r="B1327" s="102" t="s">
        <v>2441</v>
      </c>
      <c r="C1327" s="106" t="s">
        <v>2442</v>
      </c>
      <c r="D1327" s="107">
        <v>634439.38</v>
      </c>
      <c r="E1327" s="107">
        <v>83364.75</v>
      </c>
      <c r="F1327" s="107">
        <v>506780.31</v>
      </c>
      <c r="G1327" s="107">
        <v>44294.32</v>
      </c>
      <c r="H1327" s="108">
        <v>3542784.34</v>
      </c>
      <c r="I1327" s="108">
        <v>958729.8</v>
      </c>
      <c r="J1327" s="108">
        <v>2373097.46</v>
      </c>
      <c r="K1327" s="108">
        <v>210957.08</v>
      </c>
      <c r="L1327" s="43">
        <v>5.5841179656912212</v>
      </c>
      <c r="M1327" s="43">
        <v>11.50042194092827</v>
      </c>
      <c r="N1327" s="43">
        <v>4.682694676910395</v>
      </c>
      <c r="O1327" s="43">
        <v>4.7626214828447528</v>
      </c>
      <c r="P1327" s="109"/>
      <c r="Q1327" s="109"/>
      <c r="R1327" s="109">
        <v>3</v>
      </c>
    </row>
    <row r="1328" spans="1:18" ht="12.75" customHeight="1">
      <c r="A1328" s="628" t="s">
        <v>2443</v>
      </c>
      <c r="B1328" s="629"/>
      <c r="C1328" s="629"/>
      <c r="D1328" s="629"/>
      <c r="E1328" s="629"/>
      <c r="F1328" s="629"/>
      <c r="G1328" s="629"/>
      <c r="H1328" s="629"/>
      <c r="I1328" s="629"/>
      <c r="J1328" s="629"/>
      <c r="K1328" s="629"/>
      <c r="L1328" s="629"/>
      <c r="M1328" s="629"/>
      <c r="N1328" s="629"/>
      <c r="O1328" s="629"/>
      <c r="P1328" s="629"/>
      <c r="Q1328" s="629"/>
      <c r="R1328" s="629"/>
    </row>
    <row r="1329" spans="1:18" ht="24">
      <c r="A1329" s="105">
        <v>43</v>
      </c>
      <c r="B1329" s="102" t="s">
        <v>2444</v>
      </c>
      <c r="C1329" s="106" t="s">
        <v>2445</v>
      </c>
      <c r="D1329" s="107">
        <v>2972.55</v>
      </c>
      <c r="E1329" s="107">
        <v>725.94</v>
      </c>
      <c r="F1329" s="107">
        <v>2060.4899999999998</v>
      </c>
      <c r="G1329" s="107">
        <v>186.12</v>
      </c>
      <c r="H1329" s="108">
        <v>20891.8</v>
      </c>
      <c r="I1329" s="108">
        <v>8348.31</v>
      </c>
      <c r="J1329" s="108">
        <v>11163.31</v>
      </c>
      <c r="K1329" s="108">
        <v>1380.18</v>
      </c>
      <c r="L1329" s="43">
        <v>7.0282417453028536</v>
      </c>
      <c r="M1329" s="43">
        <v>11.499999999999998</v>
      </c>
      <c r="N1329" s="43">
        <v>5.4177938257404792</v>
      </c>
      <c r="O1329" s="43">
        <v>7.4155383623468731</v>
      </c>
      <c r="P1329" s="109"/>
      <c r="Q1329" s="109"/>
      <c r="R1329" s="109">
        <v>4</v>
      </c>
    </row>
    <row r="1330" spans="1:18" ht="24">
      <c r="A1330" s="105">
        <v>44</v>
      </c>
      <c r="B1330" s="102" t="s">
        <v>2446</v>
      </c>
      <c r="C1330" s="106" t="s">
        <v>2447</v>
      </c>
      <c r="D1330" s="107">
        <v>7678.97</v>
      </c>
      <c r="E1330" s="107">
        <v>1206.7</v>
      </c>
      <c r="F1330" s="107">
        <v>5981.3</v>
      </c>
      <c r="G1330" s="107">
        <v>490.97</v>
      </c>
      <c r="H1330" s="108">
        <v>49981.34</v>
      </c>
      <c r="I1330" s="108">
        <v>13877.6</v>
      </c>
      <c r="J1330" s="108">
        <v>32170.76</v>
      </c>
      <c r="K1330" s="108">
        <v>3932.98</v>
      </c>
      <c r="L1330" s="43">
        <v>6.5088599122017659</v>
      </c>
      <c r="M1330" s="43">
        <v>11.500455788514129</v>
      </c>
      <c r="N1330" s="43">
        <v>5.3785565010950789</v>
      </c>
      <c r="O1330" s="43">
        <v>8.0106320141760179</v>
      </c>
      <c r="P1330" s="109"/>
      <c r="Q1330" s="109"/>
      <c r="R1330" s="109">
        <v>4</v>
      </c>
    </row>
    <row r="1331" spans="1:18" ht="24">
      <c r="A1331" s="105">
        <v>45</v>
      </c>
      <c r="B1331" s="102" t="s">
        <v>2448</v>
      </c>
      <c r="C1331" s="106" t="s">
        <v>2449</v>
      </c>
      <c r="D1331" s="107">
        <v>14289.57</v>
      </c>
      <c r="E1331" s="107">
        <v>1557.74</v>
      </c>
      <c r="F1331" s="107">
        <v>11853.04</v>
      </c>
      <c r="G1331" s="107">
        <v>878.79</v>
      </c>
      <c r="H1331" s="108">
        <v>89199.97</v>
      </c>
      <c r="I1331" s="108">
        <v>17914.72</v>
      </c>
      <c r="J1331" s="108">
        <v>63933.94</v>
      </c>
      <c r="K1331" s="108">
        <v>7351.31</v>
      </c>
      <c r="L1331" s="43">
        <v>6.2423130996943925</v>
      </c>
      <c r="M1331" s="43">
        <v>11.500455788514131</v>
      </c>
      <c r="N1331" s="43">
        <v>5.3938854504835891</v>
      </c>
      <c r="O1331" s="43">
        <v>8.3652636010878609</v>
      </c>
      <c r="P1331" s="109"/>
      <c r="Q1331" s="109"/>
      <c r="R1331" s="109">
        <v>4</v>
      </c>
    </row>
    <row r="1332" spans="1:18" ht="12.75" customHeight="1">
      <c r="A1332" s="628" t="s">
        <v>2450</v>
      </c>
      <c r="B1332" s="629"/>
      <c r="C1332" s="629"/>
      <c r="D1332" s="629"/>
      <c r="E1332" s="629"/>
      <c r="F1332" s="629"/>
      <c r="G1332" s="629"/>
      <c r="H1332" s="629"/>
      <c r="I1332" s="629"/>
      <c r="J1332" s="629"/>
      <c r="K1332" s="629"/>
      <c r="L1332" s="629"/>
      <c r="M1332" s="629"/>
      <c r="N1332" s="629"/>
      <c r="O1332" s="629"/>
      <c r="P1332" s="629"/>
      <c r="Q1332" s="629"/>
      <c r="R1332" s="629"/>
    </row>
    <row r="1333" spans="1:18" ht="24">
      <c r="A1333" s="105">
        <v>46</v>
      </c>
      <c r="B1333" s="102" t="s">
        <v>2451</v>
      </c>
      <c r="C1333" s="106" t="s">
        <v>2452</v>
      </c>
      <c r="D1333" s="107">
        <v>35589.01</v>
      </c>
      <c r="E1333" s="107">
        <v>6307.75</v>
      </c>
      <c r="F1333" s="107">
        <v>17520.939999999999</v>
      </c>
      <c r="G1333" s="107">
        <v>11760.32</v>
      </c>
      <c r="H1333" s="108">
        <v>206224.91</v>
      </c>
      <c r="I1333" s="108">
        <v>72542</v>
      </c>
      <c r="J1333" s="108">
        <v>88019.19</v>
      </c>
      <c r="K1333" s="108">
        <v>45663.72</v>
      </c>
      <c r="L1333" s="43">
        <v>5.7946233963799498</v>
      </c>
      <c r="M1333" s="43">
        <v>11.500455788514129</v>
      </c>
      <c r="N1333" s="43">
        <v>5.0236568357633784</v>
      </c>
      <c r="O1333" s="43">
        <v>3.8828637315991403</v>
      </c>
      <c r="P1333" s="109"/>
      <c r="Q1333" s="109"/>
      <c r="R1333" s="109">
        <v>5</v>
      </c>
    </row>
    <row r="1334" spans="1:18" ht="24">
      <c r="A1334" s="105">
        <v>47</v>
      </c>
      <c r="B1334" s="102" t="s">
        <v>2453</v>
      </c>
      <c r="C1334" s="106" t="s">
        <v>2454</v>
      </c>
      <c r="D1334" s="107">
        <v>289575.73</v>
      </c>
      <c r="E1334" s="107">
        <v>45960</v>
      </c>
      <c r="F1334" s="107">
        <v>206125.45</v>
      </c>
      <c r="G1334" s="107">
        <v>37490.28</v>
      </c>
      <c r="H1334" s="108">
        <v>1704248.15</v>
      </c>
      <c r="I1334" s="108">
        <v>528560</v>
      </c>
      <c r="J1334" s="108">
        <v>1006905.17</v>
      </c>
      <c r="K1334" s="108">
        <v>168782.98</v>
      </c>
      <c r="L1334" s="43">
        <v>5.8853279934751441</v>
      </c>
      <c r="M1334" s="43">
        <v>11.500435161009573</v>
      </c>
      <c r="N1334" s="43">
        <v>4.8849143567667168</v>
      </c>
      <c r="O1334" s="43">
        <v>4.5020463970927933</v>
      </c>
      <c r="P1334" s="109"/>
      <c r="Q1334" s="109"/>
      <c r="R1334" s="109">
        <v>5</v>
      </c>
    </row>
    <row r="1335" spans="1:18" ht="24">
      <c r="A1335" s="105">
        <v>48</v>
      </c>
      <c r="B1335" s="102" t="s">
        <v>2455</v>
      </c>
      <c r="C1335" s="106" t="s">
        <v>2456</v>
      </c>
      <c r="D1335" s="107">
        <v>353288.69</v>
      </c>
      <c r="E1335" s="107">
        <v>50733.760000000002</v>
      </c>
      <c r="F1335" s="107">
        <v>258025.58</v>
      </c>
      <c r="G1335" s="107">
        <v>44529.35</v>
      </c>
      <c r="H1335" s="108">
        <v>2040203.41</v>
      </c>
      <c r="I1335" s="108">
        <v>583438.24</v>
      </c>
      <c r="J1335" s="108">
        <v>1252490.8600000001</v>
      </c>
      <c r="K1335" s="108">
        <v>204274.31</v>
      </c>
      <c r="L1335" s="43">
        <v>5.7748902462742295</v>
      </c>
      <c r="M1335" s="43">
        <v>11.5</v>
      </c>
      <c r="N1335" s="43">
        <v>4.8541344621723175</v>
      </c>
      <c r="O1335" s="43">
        <v>4.5874083048596042</v>
      </c>
      <c r="P1335" s="109"/>
      <c r="Q1335" s="109"/>
      <c r="R1335" s="109">
        <v>5</v>
      </c>
    </row>
    <row r="1336" spans="1:18" ht="24">
      <c r="A1336" s="105">
        <v>49</v>
      </c>
      <c r="B1336" s="102" t="s">
        <v>2457</v>
      </c>
      <c r="C1336" s="106" t="s">
        <v>2458</v>
      </c>
      <c r="D1336" s="107">
        <v>5235.09</v>
      </c>
      <c r="E1336" s="107">
        <v>857.68</v>
      </c>
      <c r="F1336" s="107">
        <v>3500.1</v>
      </c>
      <c r="G1336" s="107">
        <v>877.31</v>
      </c>
      <c r="H1336" s="108">
        <v>32451.08</v>
      </c>
      <c r="I1336" s="108">
        <v>9863.32</v>
      </c>
      <c r="J1336" s="108">
        <v>18923.009999999998</v>
      </c>
      <c r="K1336" s="108">
        <v>3664.75</v>
      </c>
      <c r="L1336" s="43">
        <v>6.1987625809680447</v>
      </c>
      <c r="M1336" s="43">
        <v>11.5</v>
      </c>
      <c r="N1336" s="43">
        <v>5.406419816576669</v>
      </c>
      <c r="O1336" s="43">
        <v>4.177257753815641</v>
      </c>
      <c r="P1336" s="109"/>
      <c r="Q1336" s="109"/>
      <c r="R1336" s="109">
        <v>5</v>
      </c>
    </row>
    <row r="1337" spans="1:18" ht="12.75" customHeight="1">
      <c r="A1337" s="628" t="s">
        <v>2459</v>
      </c>
      <c r="B1337" s="629"/>
      <c r="C1337" s="629"/>
      <c r="D1337" s="629"/>
      <c r="E1337" s="629"/>
      <c r="F1337" s="629"/>
      <c r="G1337" s="629"/>
      <c r="H1337" s="629"/>
      <c r="I1337" s="629"/>
      <c r="J1337" s="629"/>
      <c r="K1337" s="629"/>
      <c r="L1337" s="629"/>
      <c r="M1337" s="629"/>
      <c r="N1337" s="629"/>
      <c r="O1337" s="629"/>
      <c r="P1337" s="629"/>
      <c r="Q1337" s="629"/>
      <c r="R1337" s="629"/>
    </row>
    <row r="1338" spans="1:18" ht="24">
      <c r="A1338" s="105">
        <v>50</v>
      </c>
      <c r="B1338" s="102" t="s">
        <v>2460</v>
      </c>
      <c r="C1338" s="106" t="s">
        <v>2461</v>
      </c>
      <c r="D1338" s="107">
        <v>825464.69</v>
      </c>
      <c r="E1338" s="107">
        <v>103817.85</v>
      </c>
      <c r="F1338" s="107">
        <v>612746.19999999995</v>
      </c>
      <c r="G1338" s="107">
        <v>108900.64</v>
      </c>
      <c r="H1338" s="108">
        <v>4516687.2</v>
      </c>
      <c r="I1338" s="108">
        <v>1193949.08</v>
      </c>
      <c r="J1338" s="108">
        <v>2869824.82</v>
      </c>
      <c r="K1338" s="108">
        <v>452913.3</v>
      </c>
      <c r="L1338" s="43">
        <v>5.4716903759990032</v>
      </c>
      <c r="M1338" s="43">
        <v>11.50042194092827</v>
      </c>
      <c r="N1338" s="43">
        <v>4.6835456833514435</v>
      </c>
      <c r="O1338" s="43">
        <v>4.1589590290745768</v>
      </c>
      <c r="P1338" s="109"/>
      <c r="Q1338" s="109"/>
      <c r="R1338" s="109">
        <v>6</v>
      </c>
    </row>
    <row r="1339" spans="1:18" ht="24">
      <c r="A1339" s="105">
        <v>51</v>
      </c>
      <c r="B1339" s="102" t="s">
        <v>2462</v>
      </c>
      <c r="C1339" s="106" t="s">
        <v>2463</v>
      </c>
      <c r="D1339" s="107">
        <v>1220405.55</v>
      </c>
      <c r="E1339" s="107">
        <v>152047.35</v>
      </c>
      <c r="F1339" s="107">
        <v>898352.63</v>
      </c>
      <c r="G1339" s="107">
        <v>170005.57</v>
      </c>
      <c r="H1339" s="108">
        <v>6773352.4100000001</v>
      </c>
      <c r="I1339" s="108">
        <v>1748608.68</v>
      </c>
      <c r="J1339" s="108">
        <v>4286746.3</v>
      </c>
      <c r="K1339" s="108">
        <v>737997.43</v>
      </c>
      <c r="L1339" s="43">
        <v>5.5500832571598844</v>
      </c>
      <c r="M1339" s="43">
        <v>11.50042194092827</v>
      </c>
      <c r="N1339" s="43">
        <v>4.7717857741452816</v>
      </c>
      <c r="O1339" s="43">
        <v>4.3410191207264566</v>
      </c>
      <c r="P1339" s="109"/>
      <c r="Q1339" s="109"/>
      <c r="R1339" s="109">
        <v>6</v>
      </c>
    </row>
    <row r="1340" spans="1:18" ht="12.75" customHeight="1">
      <c r="A1340" s="628" t="s">
        <v>2464</v>
      </c>
      <c r="B1340" s="629"/>
      <c r="C1340" s="629"/>
      <c r="D1340" s="629"/>
      <c r="E1340" s="629"/>
      <c r="F1340" s="629"/>
      <c r="G1340" s="629"/>
      <c r="H1340" s="629"/>
      <c r="I1340" s="629"/>
      <c r="J1340" s="629"/>
      <c r="K1340" s="629"/>
      <c r="L1340" s="629"/>
      <c r="M1340" s="629"/>
      <c r="N1340" s="629"/>
      <c r="O1340" s="629"/>
      <c r="P1340" s="629"/>
      <c r="Q1340" s="629"/>
      <c r="R1340" s="629"/>
    </row>
    <row r="1341" spans="1:18" ht="24">
      <c r="A1341" s="105">
        <v>52</v>
      </c>
      <c r="B1341" s="102" t="s">
        <v>2465</v>
      </c>
      <c r="C1341" s="106" t="s">
        <v>2466</v>
      </c>
      <c r="D1341" s="107">
        <v>15007.89</v>
      </c>
      <c r="E1341" s="107">
        <v>4596</v>
      </c>
      <c r="F1341" s="107">
        <v>8829.09</v>
      </c>
      <c r="G1341" s="107">
        <v>1582.8</v>
      </c>
      <c r="H1341" s="108">
        <v>109853.14</v>
      </c>
      <c r="I1341" s="108">
        <v>52856</v>
      </c>
      <c r="J1341" s="108">
        <v>49852.7</v>
      </c>
      <c r="K1341" s="108">
        <v>7144.44</v>
      </c>
      <c r="L1341" s="43">
        <v>7.3196925084072451</v>
      </c>
      <c r="M1341" s="43">
        <v>11.500435161009573</v>
      </c>
      <c r="N1341" s="43">
        <v>5.6464142963770891</v>
      </c>
      <c r="O1341" s="43">
        <v>4.5137983320697499</v>
      </c>
      <c r="P1341" s="109"/>
      <c r="Q1341" s="109"/>
      <c r="R1341" s="109">
        <v>7</v>
      </c>
    </row>
    <row r="1342" spans="1:18" ht="36">
      <c r="A1342" s="105">
        <v>53</v>
      </c>
      <c r="B1342" s="102" t="s">
        <v>2467</v>
      </c>
      <c r="C1342" s="106" t="s">
        <v>2468</v>
      </c>
      <c r="D1342" s="107">
        <v>24254.32</v>
      </c>
      <c r="E1342" s="107">
        <v>4703.04</v>
      </c>
      <c r="F1342" s="107">
        <v>15854.38</v>
      </c>
      <c r="G1342" s="107">
        <v>3696.9</v>
      </c>
      <c r="H1342" s="108">
        <v>156046.72</v>
      </c>
      <c r="I1342" s="108">
        <v>54084.959999999999</v>
      </c>
      <c r="J1342" s="108">
        <v>86024.59</v>
      </c>
      <c r="K1342" s="108">
        <v>15937.17</v>
      </c>
      <c r="L1342" s="43">
        <v>6.4337701489878913</v>
      </c>
      <c r="M1342" s="43">
        <v>11.5</v>
      </c>
      <c r="N1342" s="43">
        <v>5.4259195250776129</v>
      </c>
      <c r="O1342" s="43">
        <v>4.310955124563824</v>
      </c>
      <c r="P1342" s="109"/>
      <c r="Q1342" s="109"/>
      <c r="R1342" s="109">
        <v>7</v>
      </c>
    </row>
    <row r="1343" spans="1:18" ht="24">
      <c r="A1343" s="105">
        <v>54</v>
      </c>
      <c r="B1343" s="102" t="s">
        <v>2469</v>
      </c>
      <c r="C1343" s="106" t="s">
        <v>2470</v>
      </c>
      <c r="D1343" s="107">
        <v>2829040.92</v>
      </c>
      <c r="E1343" s="107">
        <v>422376.16</v>
      </c>
      <c r="F1343" s="107">
        <v>2317739.89</v>
      </c>
      <c r="G1343" s="107">
        <v>88924.87</v>
      </c>
      <c r="H1343" s="108">
        <v>16340974.08</v>
      </c>
      <c r="I1343" s="108">
        <v>4857325.84</v>
      </c>
      <c r="J1343" s="108">
        <v>10913636.41</v>
      </c>
      <c r="K1343" s="108">
        <v>570011.82999999996</v>
      </c>
      <c r="L1343" s="43">
        <v>5.7761533120560165</v>
      </c>
      <c r="M1343" s="43">
        <v>11.5</v>
      </c>
      <c r="N1343" s="43">
        <v>4.7087408112909506</v>
      </c>
      <c r="O1343" s="43">
        <v>6.410038384087601</v>
      </c>
      <c r="P1343" s="109"/>
      <c r="Q1343" s="109"/>
      <c r="R1343" s="109">
        <v>7</v>
      </c>
    </row>
    <row r="1344" spans="1:18" ht="12.75" customHeight="1">
      <c r="A1344" s="628" t="s">
        <v>2471</v>
      </c>
      <c r="B1344" s="629"/>
      <c r="C1344" s="629"/>
      <c r="D1344" s="629"/>
      <c r="E1344" s="629"/>
      <c r="F1344" s="629"/>
      <c r="G1344" s="629"/>
      <c r="H1344" s="629"/>
      <c r="I1344" s="629"/>
      <c r="J1344" s="629"/>
      <c r="K1344" s="629"/>
      <c r="L1344" s="629"/>
      <c r="M1344" s="629"/>
      <c r="N1344" s="629"/>
      <c r="O1344" s="629"/>
      <c r="P1344" s="629"/>
      <c r="Q1344" s="629"/>
      <c r="R1344" s="629"/>
    </row>
    <row r="1345" spans="1:18" ht="12.75" customHeight="1">
      <c r="A1345" s="628" t="s">
        <v>2472</v>
      </c>
      <c r="B1345" s="629"/>
      <c r="C1345" s="629"/>
      <c r="D1345" s="629"/>
      <c r="E1345" s="629"/>
      <c r="F1345" s="629"/>
      <c r="G1345" s="629"/>
      <c r="H1345" s="629"/>
      <c r="I1345" s="629"/>
      <c r="J1345" s="629"/>
      <c r="K1345" s="629"/>
      <c r="L1345" s="629"/>
      <c r="M1345" s="629"/>
      <c r="N1345" s="629"/>
      <c r="O1345" s="629"/>
      <c r="P1345" s="629"/>
      <c r="Q1345" s="629"/>
      <c r="R1345" s="629"/>
    </row>
    <row r="1346" spans="1:18" ht="24">
      <c r="A1346" s="110">
        <v>55</v>
      </c>
      <c r="B1346" s="111" t="s">
        <v>2473</v>
      </c>
      <c r="C1346" s="112" t="s">
        <v>2474</v>
      </c>
      <c r="D1346" s="113">
        <v>3321.45</v>
      </c>
      <c r="E1346" s="113">
        <v>1645.47</v>
      </c>
      <c r="F1346" s="113">
        <v>1638.31</v>
      </c>
      <c r="G1346" s="113">
        <v>37.67</v>
      </c>
      <c r="H1346" s="114">
        <v>28463.08</v>
      </c>
      <c r="I1346" s="114">
        <v>18923.61</v>
      </c>
      <c r="J1346" s="114">
        <v>9119.2800000000007</v>
      </c>
      <c r="K1346" s="114">
        <v>420.19</v>
      </c>
      <c r="L1346" s="611">
        <v>8.5694741754354276</v>
      </c>
      <c r="M1346" s="611">
        <v>11.500428449014567</v>
      </c>
      <c r="N1346" s="611">
        <v>5.5662725613589616</v>
      </c>
      <c r="O1346" s="611">
        <v>11.154499601805149</v>
      </c>
      <c r="P1346" s="115"/>
      <c r="Q1346" s="115"/>
      <c r="R1346" s="115">
        <v>1</v>
      </c>
    </row>
    <row r="1347" spans="1:18" ht="12.75" customHeight="1">
      <c r="A1347" s="630" t="s">
        <v>2475</v>
      </c>
      <c r="B1347" s="631"/>
      <c r="C1347" s="631"/>
      <c r="D1347" s="631"/>
      <c r="E1347" s="631"/>
      <c r="F1347" s="631"/>
      <c r="G1347" s="631"/>
      <c r="H1347" s="631"/>
      <c r="I1347" s="631"/>
      <c r="J1347" s="631"/>
      <c r="K1347" s="631"/>
      <c r="L1347" s="631"/>
      <c r="M1347" s="631"/>
      <c r="N1347" s="631"/>
      <c r="O1347" s="631"/>
      <c r="P1347" s="631"/>
      <c r="Q1347" s="631"/>
      <c r="R1347" s="631"/>
    </row>
    <row r="1348" spans="1:18" ht="12.75" customHeight="1">
      <c r="A1348" s="628" t="s">
        <v>2476</v>
      </c>
      <c r="B1348" s="629"/>
      <c r="C1348" s="629"/>
      <c r="D1348" s="629"/>
      <c r="E1348" s="629"/>
      <c r="F1348" s="629"/>
      <c r="G1348" s="629"/>
      <c r="H1348" s="629"/>
      <c r="I1348" s="629"/>
      <c r="J1348" s="629"/>
      <c r="K1348" s="629"/>
      <c r="L1348" s="629"/>
      <c r="M1348" s="629"/>
      <c r="N1348" s="629"/>
      <c r="O1348" s="629"/>
      <c r="P1348" s="629"/>
      <c r="Q1348" s="629"/>
      <c r="R1348" s="629"/>
    </row>
    <row r="1349" spans="1:18" ht="12.75" customHeight="1">
      <c r="A1349" s="628" t="s">
        <v>2477</v>
      </c>
      <c r="B1349" s="629"/>
      <c r="C1349" s="629"/>
      <c r="D1349" s="629"/>
      <c r="E1349" s="629"/>
      <c r="F1349" s="629"/>
      <c r="G1349" s="629"/>
      <c r="H1349" s="629"/>
      <c r="I1349" s="629"/>
      <c r="J1349" s="629"/>
      <c r="K1349" s="629"/>
      <c r="L1349" s="629"/>
      <c r="M1349" s="629"/>
      <c r="N1349" s="629"/>
      <c r="O1349" s="629"/>
      <c r="P1349" s="629"/>
      <c r="Q1349" s="629"/>
      <c r="R1349" s="629"/>
    </row>
    <row r="1350" spans="1:18" ht="24">
      <c r="A1350" s="105">
        <v>56</v>
      </c>
      <c r="B1350" s="102" t="s">
        <v>2478</v>
      </c>
      <c r="C1350" s="106" t="s">
        <v>2479</v>
      </c>
      <c r="D1350" s="107">
        <v>3379.99</v>
      </c>
      <c r="E1350" s="107">
        <v>530.08000000000004</v>
      </c>
      <c r="F1350" s="107">
        <v>2260.9499999999998</v>
      </c>
      <c r="G1350" s="107">
        <v>588.96</v>
      </c>
      <c r="H1350" s="108">
        <v>20611.87</v>
      </c>
      <c r="I1350" s="108">
        <v>6095.87</v>
      </c>
      <c r="J1350" s="108">
        <v>12233.18</v>
      </c>
      <c r="K1350" s="108">
        <v>2282.8200000000002</v>
      </c>
      <c r="L1350" s="43">
        <v>6.0982044325574929</v>
      </c>
      <c r="M1350" s="43">
        <v>11.499905674615151</v>
      </c>
      <c r="N1350" s="43">
        <v>5.4106371215639451</v>
      </c>
      <c r="O1350" s="43">
        <v>3.8760187449062755</v>
      </c>
      <c r="P1350" s="109"/>
      <c r="Q1350" s="109"/>
      <c r="R1350" s="109">
        <v>1</v>
      </c>
    </row>
    <row r="1351" spans="1:18" ht="24">
      <c r="A1351" s="105">
        <v>57</v>
      </c>
      <c r="B1351" s="102" t="s">
        <v>2480</v>
      </c>
      <c r="C1351" s="106" t="s">
        <v>2481</v>
      </c>
      <c r="D1351" s="107">
        <v>9353.44</v>
      </c>
      <c r="E1351" s="107">
        <v>2709.63</v>
      </c>
      <c r="F1351" s="107">
        <v>5667.1</v>
      </c>
      <c r="G1351" s="107">
        <v>976.71</v>
      </c>
      <c r="H1351" s="108">
        <v>65596.100000000006</v>
      </c>
      <c r="I1351" s="108">
        <v>31162.01</v>
      </c>
      <c r="J1351" s="108">
        <v>30378.46</v>
      </c>
      <c r="K1351" s="108">
        <v>4055.63</v>
      </c>
      <c r="L1351" s="43">
        <v>7.0130454677637317</v>
      </c>
      <c r="M1351" s="43">
        <v>11.500466853408028</v>
      </c>
      <c r="N1351" s="43">
        <v>5.3604947856928584</v>
      </c>
      <c r="O1351" s="43">
        <v>4.1523379508759</v>
      </c>
      <c r="P1351" s="109"/>
      <c r="Q1351" s="109"/>
      <c r="R1351" s="109">
        <v>1</v>
      </c>
    </row>
    <row r="1352" spans="1:18" ht="24">
      <c r="A1352" s="105">
        <v>58</v>
      </c>
      <c r="B1352" s="102" t="s">
        <v>2482</v>
      </c>
      <c r="C1352" s="106" t="s">
        <v>2483</v>
      </c>
      <c r="D1352" s="107">
        <v>12726.3</v>
      </c>
      <c r="E1352" s="107">
        <v>3545.01</v>
      </c>
      <c r="F1352" s="107">
        <v>7834.19</v>
      </c>
      <c r="G1352" s="107">
        <v>1347.1</v>
      </c>
      <c r="H1352" s="108">
        <v>88268.14</v>
      </c>
      <c r="I1352" s="108">
        <v>40769.269999999997</v>
      </c>
      <c r="J1352" s="108">
        <v>41896.120000000003</v>
      </c>
      <c r="K1352" s="108">
        <v>5602.75</v>
      </c>
      <c r="L1352" s="43">
        <v>6.9358839568452737</v>
      </c>
      <c r="M1352" s="43">
        <v>11.500466853408028</v>
      </c>
      <c r="N1352" s="43">
        <v>5.34785600042889</v>
      </c>
      <c r="O1352" s="43">
        <v>4.1591195902308664</v>
      </c>
      <c r="P1352" s="109"/>
      <c r="Q1352" s="109"/>
      <c r="R1352" s="109">
        <v>1</v>
      </c>
    </row>
    <row r="1353" spans="1:18" ht="12.75" customHeight="1">
      <c r="A1353" s="628" t="s">
        <v>2484</v>
      </c>
      <c r="B1353" s="629"/>
      <c r="C1353" s="629"/>
      <c r="D1353" s="629"/>
      <c r="E1353" s="629"/>
      <c r="F1353" s="629"/>
      <c r="G1353" s="629"/>
      <c r="H1353" s="629"/>
      <c r="I1353" s="629"/>
      <c r="J1353" s="629"/>
      <c r="K1353" s="629"/>
      <c r="L1353" s="629"/>
      <c r="M1353" s="629"/>
      <c r="N1353" s="629"/>
      <c r="O1353" s="629"/>
      <c r="P1353" s="629"/>
      <c r="Q1353" s="629"/>
      <c r="R1353" s="629"/>
    </row>
    <row r="1354" spans="1:18" ht="36">
      <c r="A1354" s="105">
        <v>59</v>
      </c>
      <c r="B1354" s="102" t="s">
        <v>2485</v>
      </c>
      <c r="C1354" s="106" t="s">
        <v>2486</v>
      </c>
      <c r="D1354" s="107">
        <v>6012.03</v>
      </c>
      <c r="E1354" s="107">
        <v>1756.08</v>
      </c>
      <c r="F1354" s="107">
        <v>3355.67</v>
      </c>
      <c r="G1354" s="107">
        <v>900.28</v>
      </c>
      <c r="H1354" s="108">
        <v>41692.82</v>
      </c>
      <c r="I1354" s="108">
        <v>20194.919999999998</v>
      </c>
      <c r="J1354" s="108">
        <v>17873.5</v>
      </c>
      <c r="K1354" s="108">
        <v>3624.4</v>
      </c>
      <c r="L1354" s="43">
        <v>6.9348988611167943</v>
      </c>
      <c r="M1354" s="43">
        <v>11.5</v>
      </c>
      <c r="N1354" s="43">
        <v>5.3263580745424903</v>
      </c>
      <c r="O1354" s="43">
        <v>4.0258586217621186</v>
      </c>
      <c r="P1354" s="109"/>
      <c r="Q1354" s="109"/>
      <c r="R1354" s="109">
        <v>2</v>
      </c>
    </row>
    <row r="1355" spans="1:18" ht="36">
      <c r="A1355" s="105">
        <v>60</v>
      </c>
      <c r="B1355" s="102" t="s">
        <v>2487</v>
      </c>
      <c r="C1355" s="106" t="s">
        <v>2488</v>
      </c>
      <c r="D1355" s="107">
        <v>7333.77</v>
      </c>
      <c r="E1355" s="107">
        <v>2109.87</v>
      </c>
      <c r="F1355" s="107">
        <v>4315.18</v>
      </c>
      <c r="G1355" s="107">
        <v>908.72</v>
      </c>
      <c r="H1355" s="108">
        <v>50998.36</v>
      </c>
      <c r="I1355" s="108">
        <v>24264.49</v>
      </c>
      <c r="J1355" s="108">
        <v>23016.13</v>
      </c>
      <c r="K1355" s="108">
        <v>3717.74</v>
      </c>
      <c r="L1355" s="43">
        <v>6.9539077445842992</v>
      </c>
      <c r="M1355" s="43">
        <v>11.500466853408032</v>
      </c>
      <c r="N1355" s="43">
        <v>5.3337589625461739</v>
      </c>
      <c r="O1355" s="43">
        <v>4.0911832027467199</v>
      </c>
      <c r="P1355" s="109"/>
      <c r="Q1355" s="109"/>
      <c r="R1355" s="109">
        <v>2</v>
      </c>
    </row>
    <row r="1356" spans="1:18" ht="36">
      <c r="A1356" s="105">
        <v>61</v>
      </c>
      <c r="B1356" s="102" t="s">
        <v>2489</v>
      </c>
      <c r="C1356" s="106" t="s">
        <v>2490</v>
      </c>
      <c r="D1356" s="107">
        <v>8022.22</v>
      </c>
      <c r="E1356" s="107">
        <v>2886</v>
      </c>
      <c r="F1356" s="107">
        <v>4035.48</v>
      </c>
      <c r="G1356" s="107">
        <v>1100.74</v>
      </c>
      <c r="H1356" s="108">
        <v>59488.37</v>
      </c>
      <c r="I1356" s="108">
        <v>33189</v>
      </c>
      <c r="J1356" s="108">
        <v>21728.65</v>
      </c>
      <c r="K1356" s="108">
        <v>4570.72</v>
      </c>
      <c r="L1356" s="43">
        <v>7.4154498380747471</v>
      </c>
      <c r="M1356" s="43">
        <v>11.5</v>
      </c>
      <c r="N1356" s="43">
        <v>5.3844028467493334</v>
      </c>
      <c r="O1356" s="43">
        <v>4.1524065628577143</v>
      </c>
      <c r="P1356" s="109"/>
      <c r="Q1356" s="109"/>
      <c r="R1356" s="109">
        <v>2</v>
      </c>
    </row>
    <row r="1357" spans="1:18" ht="12.75" customHeight="1">
      <c r="A1357" s="628" t="s">
        <v>2491</v>
      </c>
      <c r="B1357" s="629"/>
      <c r="C1357" s="629"/>
      <c r="D1357" s="629"/>
      <c r="E1357" s="629"/>
      <c r="F1357" s="629"/>
      <c r="G1357" s="629"/>
      <c r="H1357" s="629"/>
      <c r="I1357" s="629"/>
      <c r="J1357" s="629"/>
      <c r="K1357" s="629"/>
      <c r="L1357" s="629"/>
      <c r="M1357" s="629"/>
      <c r="N1357" s="629"/>
      <c r="O1357" s="629"/>
      <c r="P1357" s="629"/>
      <c r="Q1357" s="629"/>
      <c r="R1357" s="629"/>
    </row>
    <row r="1358" spans="1:18" ht="24">
      <c r="A1358" s="105">
        <v>62</v>
      </c>
      <c r="B1358" s="102" t="s">
        <v>2492</v>
      </c>
      <c r="C1358" s="106" t="s">
        <v>2493</v>
      </c>
      <c r="D1358" s="107">
        <v>13653.62</v>
      </c>
      <c r="E1358" s="107">
        <v>2495.2800000000002</v>
      </c>
      <c r="F1358" s="107">
        <v>8728.07</v>
      </c>
      <c r="G1358" s="107">
        <v>2430.27</v>
      </c>
      <c r="H1358" s="108">
        <v>85087.35</v>
      </c>
      <c r="I1358" s="108">
        <v>28695.72</v>
      </c>
      <c r="J1358" s="108">
        <v>46743.48</v>
      </c>
      <c r="K1358" s="108">
        <v>9648.15</v>
      </c>
      <c r="L1358" s="43">
        <v>6.2318527980125422</v>
      </c>
      <c r="M1358" s="43">
        <v>11.5</v>
      </c>
      <c r="N1358" s="43">
        <v>5.3555344996087344</v>
      </c>
      <c r="O1358" s="43">
        <v>3.9699909886555815</v>
      </c>
      <c r="P1358" s="109"/>
      <c r="Q1358" s="109"/>
      <c r="R1358" s="109">
        <v>3</v>
      </c>
    </row>
    <row r="1359" spans="1:18" ht="24">
      <c r="A1359" s="105">
        <v>63</v>
      </c>
      <c r="B1359" s="102" t="s">
        <v>2494</v>
      </c>
      <c r="C1359" s="106" t="s">
        <v>2495</v>
      </c>
      <c r="D1359" s="107">
        <v>21447.27</v>
      </c>
      <c r="E1359" s="107">
        <v>3360.76</v>
      </c>
      <c r="F1359" s="107">
        <v>14795.18</v>
      </c>
      <c r="G1359" s="107">
        <v>3291.33</v>
      </c>
      <c r="H1359" s="108">
        <v>123983.81</v>
      </c>
      <c r="I1359" s="108">
        <v>38648.74</v>
      </c>
      <c r="J1359" s="108">
        <v>71864</v>
      </c>
      <c r="K1359" s="108">
        <v>13471.07</v>
      </c>
      <c r="L1359" s="43">
        <v>5.7808667490081485</v>
      </c>
      <c r="M1359" s="43">
        <v>11.499999999999998</v>
      </c>
      <c r="N1359" s="43">
        <v>4.857257566315516</v>
      </c>
      <c r="O1359" s="43">
        <v>4.0928955771678925</v>
      </c>
      <c r="P1359" s="109"/>
      <c r="Q1359" s="109"/>
      <c r="R1359" s="109">
        <v>3</v>
      </c>
    </row>
    <row r="1360" spans="1:18" ht="12.75" customHeight="1">
      <c r="A1360" s="628" t="s">
        <v>2496</v>
      </c>
      <c r="B1360" s="629"/>
      <c r="C1360" s="629"/>
      <c r="D1360" s="629"/>
      <c r="E1360" s="629"/>
      <c r="F1360" s="629"/>
      <c r="G1360" s="629"/>
      <c r="H1360" s="629"/>
      <c r="I1360" s="629"/>
      <c r="J1360" s="629"/>
      <c r="K1360" s="629"/>
      <c r="L1360" s="629"/>
      <c r="M1360" s="629"/>
      <c r="N1360" s="629"/>
      <c r="O1360" s="629"/>
      <c r="P1360" s="629"/>
      <c r="Q1360" s="629"/>
      <c r="R1360" s="629"/>
    </row>
    <row r="1361" spans="1:18" ht="24">
      <c r="A1361" s="105">
        <v>64</v>
      </c>
      <c r="B1361" s="102" t="s">
        <v>2497</v>
      </c>
      <c r="C1361" s="106" t="s">
        <v>2498</v>
      </c>
      <c r="D1361" s="107">
        <v>3043.45</v>
      </c>
      <c r="E1361" s="107">
        <v>362.01</v>
      </c>
      <c r="F1361" s="107">
        <v>2655.16</v>
      </c>
      <c r="G1361" s="107">
        <v>26.28</v>
      </c>
      <c r="H1361" s="108">
        <v>18786.939999999999</v>
      </c>
      <c r="I1361" s="108">
        <v>4163.28</v>
      </c>
      <c r="J1361" s="108">
        <v>14373.52</v>
      </c>
      <c r="K1361" s="108">
        <v>250.14</v>
      </c>
      <c r="L1361" s="43">
        <v>6.1729090341553174</v>
      </c>
      <c r="M1361" s="43">
        <v>11.500455788514129</v>
      </c>
      <c r="N1361" s="43">
        <v>5.4134289459015656</v>
      </c>
      <c r="O1361" s="43">
        <v>9.5182648401826473</v>
      </c>
      <c r="P1361" s="109"/>
      <c r="Q1361" s="109"/>
      <c r="R1361" s="109">
        <v>4</v>
      </c>
    </row>
    <row r="1362" spans="1:18" ht="24">
      <c r="A1362" s="105">
        <v>65</v>
      </c>
      <c r="B1362" s="102" t="s">
        <v>2499</v>
      </c>
      <c r="C1362" s="106" t="s">
        <v>2500</v>
      </c>
      <c r="D1362" s="107">
        <v>3356.13</v>
      </c>
      <c r="E1362" s="107">
        <v>602.46</v>
      </c>
      <c r="F1362" s="107">
        <v>2722.58</v>
      </c>
      <c r="G1362" s="107">
        <v>31.09</v>
      </c>
      <c r="H1362" s="108">
        <v>22424.77</v>
      </c>
      <c r="I1362" s="108">
        <v>6928.34</v>
      </c>
      <c r="J1362" s="108">
        <v>15190.97</v>
      </c>
      <c r="K1362" s="108">
        <v>305.45999999999998</v>
      </c>
      <c r="L1362" s="43">
        <v>6.681734616954647</v>
      </c>
      <c r="M1362" s="43">
        <v>11.500082993061779</v>
      </c>
      <c r="N1362" s="43">
        <v>5.5796230046500011</v>
      </c>
      <c r="O1362" s="43">
        <v>9.8250241235123834</v>
      </c>
      <c r="P1362" s="109"/>
      <c r="Q1362" s="109"/>
      <c r="R1362" s="109">
        <v>4</v>
      </c>
    </row>
    <row r="1363" spans="1:18" ht="12.75" customHeight="1">
      <c r="A1363" s="628" t="s">
        <v>2501</v>
      </c>
      <c r="B1363" s="629"/>
      <c r="C1363" s="629"/>
      <c r="D1363" s="629"/>
      <c r="E1363" s="629"/>
      <c r="F1363" s="629"/>
      <c r="G1363" s="629"/>
      <c r="H1363" s="629"/>
      <c r="I1363" s="629"/>
      <c r="J1363" s="629"/>
      <c r="K1363" s="629"/>
      <c r="L1363" s="629"/>
      <c r="M1363" s="629"/>
      <c r="N1363" s="629"/>
      <c r="O1363" s="629"/>
      <c r="P1363" s="629"/>
      <c r="Q1363" s="629"/>
      <c r="R1363" s="629"/>
    </row>
    <row r="1364" spans="1:18" ht="12.75" customHeight="1">
      <c r="A1364" s="628" t="s">
        <v>2502</v>
      </c>
      <c r="B1364" s="629"/>
      <c r="C1364" s="629"/>
      <c r="D1364" s="629"/>
      <c r="E1364" s="629"/>
      <c r="F1364" s="629"/>
      <c r="G1364" s="629"/>
      <c r="H1364" s="629"/>
      <c r="I1364" s="629"/>
      <c r="J1364" s="629"/>
      <c r="K1364" s="629"/>
      <c r="L1364" s="629"/>
      <c r="M1364" s="629"/>
      <c r="N1364" s="629"/>
      <c r="O1364" s="629"/>
      <c r="P1364" s="629"/>
      <c r="Q1364" s="629"/>
      <c r="R1364" s="629"/>
    </row>
    <row r="1365" spans="1:18" ht="36">
      <c r="A1365" s="105">
        <v>66</v>
      </c>
      <c r="B1365" s="102" t="s">
        <v>2503</v>
      </c>
      <c r="C1365" s="106" t="s">
        <v>2504</v>
      </c>
      <c r="D1365" s="107">
        <v>4671.96</v>
      </c>
      <c r="E1365" s="107">
        <v>852.48</v>
      </c>
      <c r="F1365" s="107">
        <v>2994.29</v>
      </c>
      <c r="G1365" s="107">
        <v>825.19</v>
      </c>
      <c r="H1365" s="108">
        <v>29003.919999999998</v>
      </c>
      <c r="I1365" s="108">
        <v>9803.52</v>
      </c>
      <c r="J1365" s="108">
        <v>15992.74</v>
      </c>
      <c r="K1365" s="108">
        <v>3207.66</v>
      </c>
      <c r="L1365" s="43">
        <v>6.2080839733216893</v>
      </c>
      <c r="M1365" s="43">
        <v>11.5</v>
      </c>
      <c r="N1365" s="43">
        <v>5.3410791873866597</v>
      </c>
      <c r="O1365" s="43">
        <v>3.8871774985154928</v>
      </c>
      <c r="P1365" s="109"/>
      <c r="Q1365" s="109"/>
      <c r="R1365" s="109">
        <v>1</v>
      </c>
    </row>
    <row r="1366" spans="1:18" ht="36">
      <c r="A1366" s="105">
        <v>67</v>
      </c>
      <c r="B1366" s="102" t="s">
        <v>2505</v>
      </c>
      <c r="C1366" s="106" t="s">
        <v>2506</v>
      </c>
      <c r="D1366" s="107">
        <v>7458.22</v>
      </c>
      <c r="E1366" s="107">
        <v>1720.5</v>
      </c>
      <c r="F1366" s="107">
        <v>4893.47</v>
      </c>
      <c r="G1366" s="107">
        <v>844.25</v>
      </c>
      <c r="H1366" s="108">
        <v>49566.53</v>
      </c>
      <c r="I1366" s="108">
        <v>19785.75</v>
      </c>
      <c r="J1366" s="108">
        <v>26358.58</v>
      </c>
      <c r="K1366" s="108">
        <v>3422.2</v>
      </c>
      <c r="L1366" s="43">
        <v>6.6458927197106012</v>
      </c>
      <c r="M1366" s="43">
        <v>11.5</v>
      </c>
      <c r="N1366" s="43">
        <v>5.3864803503444385</v>
      </c>
      <c r="O1366" s="43">
        <v>4.0535386437666565</v>
      </c>
      <c r="P1366" s="109"/>
      <c r="Q1366" s="109"/>
      <c r="R1366" s="109">
        <v>1</v>
      </c>
    </row>
    <row r="1367" spans="1:18" ht="12.75" customHeight="1">
      <c r="A1367" s="628" t="s">
        <v>2507</v>
      </c>
      <c r="B1367" s="629"/>
      <c r="C1367" s="629"/>
      <c r="D1367" s="629"/>
      <c r="E1367" s="629"/>
      <c r="F1367" s="629"/>
      <c r="G1367" s="629"/>
      <c r="H1367" s="629"/>
      <c r="I1367" s="629"/>
      <c r="J1367" s="629"/>
      <c r="K1367" s="629"/>
      <c r="L1367" s="629"/>
      <c r="M1367" s="629"/>
      <c r="N1367" s="629"/>
      <c r="O1367" s="629"/>
      <c r="P1367" s="629"/>
      <c r="Q1367" s="629"/>
      <c r="R1367" s="629"/>
    </row>
    <row r="1368" spans="1:18" ht="36">
      <c r="A1368" s="105">
        <v>68</v>
      </c>
      <c r="B1368" s="102" t="s">
        <v>2508</v>
      </c>
      <c r="C1368" s="106" t="s">
        <v>2509</v>
      </c>
      <c r="D1368" s="107">
        <v>37115.29</v>
      </c>
      <c r="E1368" s="107">
        <v>7525.95</v>
      </c>
      <c r="F1368" s="107">
        <v>27181.62</v>
      </c>
      <c r="G1368" s="107">
        <v>2407.7199999999998</v>
      </c>
      <c r="H1368" s="108">
        <v>239009.23</v>
      </c>
      <c r="I1368" s="108">
        <v>86551.7</v>
      </c>
      <c r="J1368" s="108">
        <v>141994.15</v>
      </c>
      <c r="K1368" s="108">
        <v>10463.379999999999</v>
      </c>
      <c r="L1368" s="43">
        <v>6.4396433383654017</v>
      </c>
      <c r="M1368" s="43">
        <v>11.500435161009573</v>
      </c>
      <c r="N1368" s="43">
        <v>5.223903137487758</v>
      </c>
      <c r="O1368" s="43">
        <v>4.3457627963384446</v>
      </c>
      <c r="P1368" s="109"/>
      <c r="Q1368" s="109"/>
      <c r="R1368" s="109">
        <v>2</v>
      </c>
    </row>
    <row r="1369" spans="1:18" ht="12.75" customHeight="1">
      <c r="A1369" s="628" t="s">
        <v>2510</v>
      </c>
      <c r="B1369" s="629"/>
      <c r="C1369" s="629"/>
      <c r="D1369" s="629"/>
      <c r="E1369" s="629"/>
      <c r="F1369" s="629"/>
      <c r="G1369" s="629"/>
      <c r="H1369" s="629"/>
      <c r="I1369" s="629"/>
      <c r="J1369" s="629"/>
      <c r="K1369" s="629"/>
      <c r="L1369" s="629"/>
      <c r="M1369" s="629"/>
      <c r="N1369" s="629"/>
      <c r="O1369" s="629"/>
      <c r="P1369" s="629"/>
      <c r="Q1369" s="629"/>
      <c r="R1369" s="629"/>
    </row>
    <row r="1370" spans="1:18" ht="36">
      <c r="A1370" s="105">
        <v>69</v>
      </c>
      <c r="B1370" s="102" t="s">
        <v>2511</v>
      </c>
      <c r="C1370" s="106" t="s">
        <v>2512</v>
      </c>
      <c r="D1370" s="107">
        <v>17851.95</v>
      </c>
      <c r="E1370" s="107">
        <v>6671.1</v>
      </c>
      <c r="F1370" s="107">
        <v>8247.1</v>
      </c>
      <c r="G1370" s="107">
        <v>2933.75</v>
      </c>
      <c r="H1370" s="108">
        <v>134843.9</v>
      </c>
      <c r="I1370" s="108">
        <v>76717.649999999994</v>
      </c>
      <c r="J1370" s="108">
        <v>46009.56</v>
      </c>
      <c r="K1370" s="108">
        <v>12116.69</v>
      </c>
      <c r="L1370" s="43">
        <v>7.5534549446979176</v>
      </c>
      <c r="M1370" s="43">
        <v>11.499999999999998</v>
      </c>
      <c r="N1370" s="43">
        <v>5.5788774235791969</v>
      </c>
      <c r="O1370" s="43">
        <v>4.1301031103536427</v>
      </c>
      <c r="P1370" s="109"/>
      <c r="Q1370" s="109"/>
      <c r="R1370" s="109">
        <v>3</v>
      </c>
    </row>
    <row r="1371" spans="1:18" ht="12.75" customHeight="1">
      <c r="A1371" s="628" t="s">
        <v>2513</v>
      </c>
      <c r="B1371" s="629"/>
      <c r="C1371" s="629"/>
      <c r="D1371" s="629"/>
      <c r="E1371" s="629"/>
      <c r="F1371" s="629"/>
      <c r="G1371" s="629"/>
      <c r="H1371" s="629"/>
      <c r="I1371" s="629"/>
      <c r="J1371" s="629"/>
      <c r="K1371" s="629"/>
      <c r="L1371" s="629"/>
      <c r="M1371" s="629"/>
      <c r="N1371" s="629"/>
      <c r="O1371" s="629"/>
      <c r="P1371" s="629"/>
      <c r="Q1371" s="629"/>
      <c r="R1371" s="629"/>
    </row>
    <row r="1372" spans="1:18" ht="12.75" customHeight="1">
      <c r="A1372" s="628" t="s">
        <v>2514</v>
      </c>
      <c r="B1372" s="629"/>
      <c r="C1372" s="629"/>
      <c r="D1372" s="629"/>
      <c r="E1372" s="629"/>
      <c r="F1372" s="629"/>
      <c r="G1372" s="629"/>
      <c r="H1372" s="629"/>
      <c r="I1372" s="629"/>
      <c r="J1372" s="629"/>
      <c r="K1372" s="629"/>
      <c r="L1372" s="629"/>
      <c r="M1372" s="629"/>
      <c r="N1372" s="629"/>
      <c r="O1372" s="629"/>
      <c r="P1372" s="629"/>
      <c r="Q1372" s="629"/>
      <c r="R1372" s="629"/>
    </row>
    <row r="1373" spans="1:18" ht="24">
      <c r="A1373" s="105">
        <v>70</v>
      </c>
      <c r="B1373" s="102" t="s">
        <v>2515</v>
      </c>
      <c r="C1373" s="106" t="s">
        <v>2516</v>
      </c>
      <c r="D1373" s="107">
        <v>2225.38</v>
      </c>
      <c r="E1373" s="107">
        <v>571.54</v>
      </c>
      <c r="F1373" s="107">
        <v>1497.94</v>
      </c>
      <c r="G1373" s="107">
        <v>155.9</v>
      </c>
      <c r="H1373" s="108">
        <v>15934.65</v>
      </c>
      <c r="I1373" s="108">
        <v>6572.94</v>
      </c>
      <c r="J1373" s="108">
        <v>8394.3799999999992</v>
      </c>
      <c r="K1373" s="108">
        <v>967.33</v>
      </c>
      <c r="L1373" s="43">
        <v>7.1604175466661868</v>
      </c>
      <c r="M1373" s="43">
        <v>11.500402421527802</v>
      </c>
      <c r="N1373" s="43">
        <v>5.6039494238754548</v>
      </c>
      <c r="O1373" s="43">
        <v>6.20481077613855</v>
      </c>
      <c r="P1373" s="109"/>
      <c r="Q1373" s="109"/>
      <c r="R1373" s="109">
        <v>1</v>
      </c>
    </row>
    <row r="1374" spans="1:18" ht="24">
      <c r="A1374" s="105">
        <v>71</v>
      </c>
      <c r="B1374" s="102" t="s">
        <v>2517</v>
      </c>
      <c r="C1374" s="106" t="s">
        <v>2518</v>
      </c>
      <c r="D1374" s="107">
        <v>3215.06</v>
      </c>
      <c r="E1374" s="107">
        <v>676.42</v>
      </c>
      <c r="F1374" s="107">
        <v>2349.2800000000002</v>
      </c>
      <c r="G1374" s="107">
        <v>189.36</v>
      </c>
      <c r="H1374" s="108">
        <v>22115.91</v>
      </c>
      <c r="I1374" s="108">
        <v>7778.78</v>
      </c>
      <c r="J1374" s="108">
        <v>13178.39</v>
      </c>
      <c r="K1374" s="108">
        <v>1158.74</v>
      </c>
      <c r="L1374" s="43">
        <v>6.8788482952106653</v>
      </c>
      <c r="M1374" s="43">
        <v>11.499926081428699</v>
      </c>
      <c r="N1374" s="43">
        <v>5.6095442007764076</v>
      </c>
      <c r="O1374" s="43">
        <v>6.1192437684833116</v>
      </c>
      <c r="P1374" s="109"/>
      <c r="Q1374" s="109"/>
      <c r="R1374" s="109">
        <v>1</v>
      </c>
    </row>
    <row r="1375" spans="1:18" ht="24">
      <c r="A1375" s="105">
        <v>72</v>
      </c>
      <c r="B1375" s="102" t="s">
        <v>2519</v>
      </c>
      <c r="C1375" s="106" t="s">
        <v>2520</v>
      </c>
      <c r="D1375" s="107">
        <v>4892.79</v>
      </c>
      <c r="E1375" s="107">
        <v>1019.11</v>
      </c>
      <c r="F1375" s="107">
        <v>3646.12</v>
      </c>
      <c r="G1375" s="107">
        <v>227.56</v>
      </c>
      <c r="H1375" s="108">
        <v>33290.239999999998</v>
      </c>
      <c r="I1375" s="108">
        <v>11720.26</v>
      </c>
      <c r="J1375" s="108">
        <v>20165.22</v>
      </c>
      <c r="K1375" s="108">
        <v>1404.76</v>
      </c>
      <c r="L1375" s="43">
        <v>6.8039380394417091</v>
      </c>
      <c r="M1375" s="43">
        <v>11.500485717930351</v>
      </c>
      <c r="N1375" s="43">
        <v>5.5305969084945099</v>
      </c>
      <c r="O1375" s="43">
        <v>6.1731411495869217</v>
      </c>
      <c r="P1375" s="109"/>
      <c r="Q1375" s="109"/>
      <c r="R1375" s="109">
        <v>1</v>
      </c>
    </row>
    <row r="1376" spans="1:18" ht="24">
      <c r="A1376" s="105">
        <v>73</v>
      </c>
      <c r="B1376" s="102" t="s">
        <v>2521</v>
      </c>
      <c r="C1376" s="106" t="s">
        <v>2522</v>
      </c>
      <c r="D1376" s="107">
        <v>6925.43</v>
      </c>
      <c r="E1376" s="107">
        <v>1127.3599999999999</v>
      </c>
      <c r="F1376" s="107">
        <v>5547.43</v>
      </c>
      <c r="G1376" s="107">
        <v>250.64</v>
      </c>
      <c r="H1376" s="108">
        <v>44922.86</v>
      </c>
      <c r="I1376" s="108">
        <v>12964.64</v>
      </c>
      <c r="J1376" s="108">
        <v>30417</v>
      </c>
      <c r="K1376" s="108">
        <v>1541.22</v>
      </c>
      <c r="L1376" s="43">
        <v>6.4866528143378819</v>
      </c>
      <c r="M1376" s="43">
        <v>11.5</v>
      </c>
      <c r="N1376" s="43">
        <v>5.4830795521529785</v>
      </c>
      <c r="O1376" s="43">
        <v>6.1491382061921485</v>
      </c>
      <c r="P1376" s="109"/>
      <c r="Q1376" s="109"/>
      <c r="R1376" s="109">
        <v>1</v>
      </c>
    </row>
    <row r="1377" spans="1:18" ht="12.75" customHeight="1">
      <c r="A1377" s="628" t="s">
        <v>2523</v>
      </c>
      <c r="B1377" s="629"/>
      <c r="C1377" s="629"/>
      <c r="D1377" s="629"/>
      <c r="E1377" s="629"/>
      <c r="F1377" s="629"/>
      <c r="G1377" s="629"/>
      <c r="H1377" s="629"/>
      <c r="I1377" s="629"/>
      <c r="J1377" s="629"/>
      <c r="K1377" s="629"/>
      <c r="L1377" s="629"/>
      <c r="M1377" s="629"/>
      <c r="N1377" s="629"/>
      <c r="O1377" s="629"/>
      <c r="P1377" s="629"/>
      <c r="Q1377" s="629"/>
      <c r="R1377" s="629"/>
    </row>
    <row r="1378" spans="1:18" ht="24">
      <c r="A1378" s="105">
        <v>74</v>
      </c>
      <c r="B1378" s="102" t="s">
        <v>2524</v>
      </c>
      <c r="C1378" s="106" t="s">
        <v>2525</v>
      </c>
      <c r="D1378" s="107">
        <v>8212.4599999999991</v>
      </c>
      <c r="E1378" s="107">
        <v>2877.44</v>
      </c>
      <c r="F1378" s="107">
        <v>4120.2700000000004</v>
      </c>
      <c r="G1378" s="107">
        <v>1214.75</v>
      </c>
      <c r="H1378" s="108">
        <v>61309.65</v>
      </c>
      <c r="I1378" s="108">
        <v>33090.559999999998</v>
      </c>
      <c r="J1378" s="108">
        <v>23231.25</v>
      </c>
      <c r="K1378" s="108">
        <v>4987.84</v>
      </c>
      <c r="L1378" s="43">
        <v>7.4654427540590769</v>
      </c>
      <c r="M1378" s="43">
        <v>11.499999999999998</v>
      </c>
      <c r="N1378" s="43">
        <v>5.6382834134656221</v>
      </c>
      <c r="O1378" s="43">
        <v>4.1060629759209712</v>
      </c>
      <c r="P1378" s="109"/>
      <c r="Q1378" s="109"/>
      <c r="R1378" s="109">
        <v>2</v>
      </c>
    </row>
    <row r="1379" spans="1:18" ht="12.75" customHeight="1">
      <c r="A1379" s="628" t="s">
        <v>2526</v>
      </c>
      <c r="B1379" s="629"/>
      <c r="C1379" s="629"/>
      <c r="D1379" s="629"/>
      <c r="E1379" s="629"/>
      <c r="F1379" s="629"/>
      <c r="G1379" s="629"/>
      <c r="H1379" s="629"/>
      <c r="I1379" s="629"/>
      <c r="J1379" s="629"/>
      <c r="K1379" s="629"/>
      <c r="L1379" s="629"/>
      <c r="M1379" s="629"/>
      <c r="N1379" s="629"/>
      <c r="O1379" s="629"/>
      <c r="P1379" s="629"/>
      <c r="Q1379" s="629"/>
      <c r="R1379" s="629"/>
    </row>
    <row r="1380" spans="1:18" ht="12.75" customHeight="1">
      <c r="A1380" s="628" t="s">
        <v>2527</v>
      </c>
      <c r="B1380" s="629"/>
      <c r="C1380" s="629"/>
      <c r="D1380" s="629"/>
      <c r="E1380" s="629"/>
      <c r="F1380" s="629"/>
      <c r="G1380" s="629"/>
      <c r="H1380" s="629"/>
      <c r="I1380" s="629"/>
      <c r="J1380" s="629"/>
      <c r="K1380" s="629"/>
      <c r="L1380" s="629"/>
      <c r="M1380" s="629"/>
      <c r="N1380" s="629"/>
      <c r="O1380" s="629"/>
      <c r="P1380" s="629"/>
      <c r="Q1380" s="629"/>
      <c r="R1380" s="629"/>
    </row>
    <row r="1381" spans="1:18" ht="24">
      <c r="A1381" s="105">
        <v>75</v>
      </c>
      <c r="B1381" s="102" t="s">
        <v>2528</v>
      </c>
      <c r="C1381" s="106" t="s">
        <v>2529</v>
      </c>
      <c r="D1381" s="107">
        <v>4197.3900000000003</v>
      </c>
      <c r="E1381" s="107">
        <v>1340.48</v>
      </c>
      <c r="F1381" s="107">
        <v>2136.65</v>
      </c>
      <c r="G1381" s="107">
        <v>720.26</v>
      </c>
      <c r="H1381" s="108">
        <v>32546.400000000001</v>
      </c>
      <c r="I1381" s="108">
        <v>15415.52</v>
      </c>
      <c r="J1381" s="108">
        <v>12061.4</v>
      </c>
      <c r="K1381" s="108">
        <v>5069.4799999999996</v>
      </c>
      <c r="L1381" s="43">
        <v>7.7539613902925391</v>
      </c>
      <c r="M1381" s="43">
        <v>11.5</v>
      </c>
      <c r="N1381" s="43">
        <v>5.6450050312404931</v>
      </c>
      <c r="O1381" s="43">
        <v>7.038402798989253</v>
      </c>
      <c r="P1381" s="109"/>
      <c r="Q1381" s="109"/>
      <c r="R1381" s="109">
        <v>1</v>
      </c>
    </row>
    <row r="1382" spans="1:18" ht="24">
      <c r="A1382" s="105">
        <v>76</v>
      </c>
      <c r="B1382" s="102" t="s">
        <v>2530</v>
      </c>
      <c r="C1382" s="106" t="s">
        <v>2531</v>
      </c>
      <c r="D1382" s="107">
        <v>6440.26</v>
      </c>
      <c r="E1382" s="107">
        <v>1863.04</v>
      </c>
      <c r="F1382" s="107">
        <v>3212.61</v>
      </c>
      <c r="G1382" s="107">
        <v>1364.61</v>
      </c>
      <c r="H1382" s="108">
        <v>47781.65</v>
      </c>
      <c r="I1382" s="108">
        <v>21424.959999999999</v>
      </c>
      <c r="J1382" s="108">
        <v>17997.43</v>
      </c>
      <c r="K1382" s="108">
        <v>8359.26</v>
      </c>
      <c r="L1382" s="43">
        <v>7.4192113361882903</v>
      </c>
      <c r="M1382" s="43">
        <v>11.5</v>
      </c>
      <c r="N1382" s="43">
        <v>5.6021210168679048</v>
      </c>
      <c r="O1382" s="43">
        <v>6.1257502143469571</v>
      </c>
      <c r="P1382" s="109"/>
      <c r="Q1382" s="109"/>
      <c r="R1382" s="109">
        <v>1</v>
      </c>
    </row>
    <row r="1383" spans="1:18" ht="24">
      <c r="A1383" s="105">
        <v>77</v>
      </c>
      <c r="B1383" s="102" t="s">
        <v>2532</v>
      </c>
      <c r="C1383" s="106" t="s">
        <v>2533</v>
      </c>
      <c r="D1383" s="107">
        <v>8874.2199999999993</v>
      </c>
      <c r="E1383" s="107">
        <v>2760.48</v>
      </c>
      <c r="F1383" s="107">
        <v>4140.0200000000004</v>
      </c>
      <c r="G1383" s="107">
        <v>1973.72</v>
      </c>
      <c r="H1383" s="108">
        <v>67543.16</v>
      </c>
      <c r="I1383" s="108">
        <v>31745.52</v>
      </c>
      <c r="J1383" s="108">
        <v>23350.97</v>
      </c>
      <c r="K1383" s="108">
        <v>12446.67</v>
      </c>
      <c r="L1383" s="43">
        <v>7.6111658264050259</v>
      </c>
      <c r="M1383" s="43">
        <v>11.5</v>
      </c>
      <c r="N1383" s="43">
        <v>5.6403036700305789</v>
      </c>
      <c r="O1383" s="43">
        <v>6.3061984476014832</v>
      </c>
      <c r="P1383" s="109"/>
      <c r="Q1383" s="109"/>
      <c r="R1383" s="109">
        <v>1</v>
      </c>
    </row>
    <row r="1384" spans="1:18" ht="12.75" customHeight="1">
      <c r="A1384" s="628" t="s">
        <v>2534</v>
      </c>
      <c r="B1384" s="629"/>
      <c r="C1384" s="629"/>
      <c r="D1384" s="629"/>
      <c r="E1384" s="629"/>
      <c r="F1384" s="629"/>
      <c r="G1384" s="629"/>
      <c r="H1384" s="629"/>
      <c r="I1384" s="629"/>
      <c r="J1384" s="629"/>
      <c r="K1384" s="629"/>
      <c r="L1384" s="629"/>
      <c r="M1384" s="629"/>
      <c r="N1384" s="629"/>
      <c r="O1384" s="629"/>
      <c r="P1384" s="629"/>
      <c r="Q1384" s="629"/>
      <c r="R1384" s="629"/>
    </row>
    <row r="1385" spans="1:18" ht="12.75" customHeight="1">
      <c r="A1385" s="628" t="s">
        <v>2535</v>
      </c>
      <c r="B1385" s="629"/>
      <c r="C1385" s="629"/>
      <c r="D1385" s="629"/>
      <c r="E1385" s="629"/>
      <c r="F1385" s="629"/>
      <c r="G1385" s="629"/>
      <c r="H1385" s="629"/>
      <c r="I1385" s="629"/>
      <c r="J1385" s="629"/>
      <c r="K1385" s="629"/>
      <c r="L1385" s="629"/>
      <c r="M1385" s="629"/>
      <c r="N1385" s="629"/>
      <c r="O1385" s="629"/>
      <c r="P1385" s="629"/>
      <c r="Q1385" s="629"/>
      <c r="R1385" s="629"/>
    </row>
    <row r="1386" spans="1:18" ht="24">
      <c r="A1386" s="105">
        <v>78</v>
      </c>
      <c r="B1386" s="102" t="s">
        <v>2536</v>
      </c>
      <c r="C1386" s="106" t="s">
        <v>2537</v>
      </c>
      <c r="D1386" s="107">
        <v>456.7</v>
      </c>
      <c r="E1386" s="107">
        <v>141.52000000000001</v>
      </c>
      <c r="F1386" s="107">
        <v>223.93</v>
      </c>
      <c r="G1386" s="107">
        <v>91.25</v>
      </c>
      <c r="H1386" s="108">
        <v>3230.23</v>
      </c>
      <c r="I1386" s="108">
        <v>1627.48</v>
      </c>
      <c r="J1386" s="108">
        <v>1231.46</v>
      </c>
      <c r="K1386" s="108">
        <v>371.29</v>
      </c>
      <c r="L1386" s="43">
        <v>7.0729800744471207</v>
      </c>
      <c r="M1386" s="43">
        <v>11.5</v>
      </c>
      <c r="N1386" s="43">
        <v>5.4993078194078509</v>
      </c>
      <c r="O1386" s="43">
        <v>4.0689315068493155</v>
      </c>
      <c r="P1386" s="109"/>
      <c r="Q1386" s="109"/>
      <c r="R1386" s="109">
        <v>1</v>
      </c>
    </row>
    <row r="1387" spans="1:18" ht="24">
      <c r="A1387" s="105">
        <v>79</v>
      </c>
      <c r="B1387" s="102" t="s">
        <v>2538</v>
      </c>
      <c r="C1387" s="106" t="s">
        <v>2539</v>
      </c>
      <c r="D1387" s="107">
        <v>491.21</v>
      </c>
      <c r="E1387" s="107">
        <v>131.78</v>
      </c>
      <c r="F1387" s="107">
        <v>268.37</v>
      </c>
      <c r="G1387" s="107">
        <v>91.06</v>
      </c>
      <c r="H1387" s="108">
        <v>3360.32</v>
      </c>
      <c r="I1387" s="108">
        <v>1515.42</v>
      </c>
      <c r="J1387" s="108">
        <v>1475.8</v>
      </c>
      <c r="K1387" s="108">
        <v>369.1</v>
      </c>
      <c r="L1387" s="43">
        <v>6.8409030760774421</v>
      </c>
      <c r="M1387" s="43">
        <v>11.499620579754136</v>
      </c>
      <c r="N1387" s="43">
        <v>5.499124343257443</v>
      </c>
      <c r="O1387" s="43">
        <v>4.0533714034702397</v>
      </c>
      <c r="P1387" s="109"/>
      <c r="Q1387" s="109"/>
      <c r="R1387" s="109">
        <v>1</v>
      </c>
    </row>
    <row r="1388" spans="1:18" ht="12.75" customHeight="1">
      <c r="A1388" s="628" t="s">
        <v>2540</v>
      </c>
      <c r="B1388" s="629"/>
      <c r="C1388" s="629"/>
      <c r="D1388" s="629"/>
      <c r="E1388" s="629"/>
      <c r="F1388" s="629"/>
      <c r="G1388" s="629"/>
      <c r="H1388" s="629"/>
      <c r="I1388" s="629"/>
      <c r="J1388" s="629"/>
      <c r="K1388" s="629"/>
      <c r="L1388" s="629"/>
      <c r="M1388" s="629"/>
      <c r="N1388" s="629"/>
      <c r="O1388" s="629"/>
      <c r="P1388" s="629"/>
      <c r="Q1388" s="629"/>
      <c r="R1388" s="629"/>
    </row>
    <row r="1389" spans="1:18" ht="24">
      <c r="A1389" s="105">
        <v>80</v>
      </c>
      <c r="B1389" s="102" t="s">
        <v>2541</v>
      </c>
      <c r="C1389" s="106" t="s">
        <v>2542</v>
      </c>
      <c r="D1389" s="107">
        <v>761.32</v>
      </c>
      <c r="E1389" s="107">
        <v>145.26</v>
      </c>
      <c r="F1389" s="107">
        <v>481.71</v>
      </c>
      <c r="G1389" s="107">
        <v>134.35</v>
      </c>
      <c r="H1389" s="108">
        <v>4840.63</v>
      </c>
      <c r="I1389" s="108">
        <v>1670.5</v>
      </c>
      <c r="J1389" s="108">
        <v>2638.98</v>
      </c>
      <c r="K1389" s="108">
        <v>531.15</v>
      </c>
      <c r="L1389" s="43">
        <v>6.3582067987180162</v>
      </c>
      <c r="M1389" s="43">
        <v>11.500068842076278</v>
      </c>
      <c r="N1389" s="43">
        <v>5.4783583483838827</v>
      </c>
      <c r="O1389" s="43">
        <v>3.9534797171566805</v>
      </c>
      <c r="P1389" s="109"/>
      <c r="Q1389" s="109"/>
      <c r="R1389" s="109">
        <v>2</v>
      </c>
    </row>
    <row r="1390" spans="1:18" ht="24">
      <c r="A1390" s="105">
        <v>81</v>
      </c>
      <c r="B1390" s="102" t="s">
        <v>2543</v>
      </c>
      <c r="C1390" s="106" t="s">
        <v>2544</v>
      </c>
      <c r="D1390" s="107">
        <v>1026.24</v>
      </c>
      <c r="E1390" s="107">
        <v>178.71</v>
      </c>
      <c r="F1390" s="107">
        <v>659.94</v>
      </c>
      <c r="G1390" s="107">
        <v>187.59</v>
      </c>
      <c r="H1390" s="108">
        <v>6403.57</v>
      </c>
      <c r="I1390" s="108">
        <v>2055.17</v>
      </c>
      <c r="J1390" s="108">
        <v>3610.59</v>
      </c>
      <c r="K1390" s="108">
        <v>737.81</v>
      </c>
      <c r="L1390" s="43">
        <v>6.2398366853757405</v>
      </c>
      <c r="M1390" s="43">
        <v>11.500027978288848</v>
      </c>
      <c r="N1390" s="43">
        <v>5.4710882807527952</v>
      </c>
      <c r="O1390" s="43">
        <v>3.9330987792526249</v>
      </c>
      <c r="P1390" s="109"/>
      <c r="Q1390" s="109"/>
      <c r="R1390" s="109">
        <v>2</v>
      </c>
    </row>
    <row r="1391" spans="1:18" ht="12.75" customHeight="1">
      <c r="A1391" s="628" t="s">
        <v>2545</v>
      </c>
      <c r="B1391" s="629"/>
      <c r="C1391" s="629"/>
      <c r="D1391" s="629"/>
      <c r="E1391" s="629"/>
      <c r="F1391" s="629"/>
      <c r="G1391" s="629"/>
      <c r="H1391" s="629"/>
      <c r="I1391" s="629"/>
      <c r="J1391" s="629"/>
      <c r="K1391" s="629"/>
      <c r="L1391" s="629"/>
      <c r="M1391" s="629"/>
      <c r="N1391" s="629"/>
      <c r="O1391" s="629"/>
      <c r="P1391" s="629"/>
      <c r="Q1391" s="629"/>
      <c r="R1391" s="629"/>
    </row>
    <row r="1392" spans="1:18" ht="24">
      <c r="A1392" s="105">
        <v>82</v>
      </c>
      <c r="B1392" s="102" t="s">
        <v>2546</v>
      </c>
      <c r="C1392" s="106" t="s">
        <v>2547</v>
      </c>
      <c r="D1392" s="107">
        <v>767.7</v>
      </c>
      <c r="E1392" s="107">
        <v>144.27000000000001</v>
      </c>
      <c r="F1392" s="107">
        <v>489.1</v>
      </c>
      <c r="G1392" s="107">
        <v>134.33000000000001</v>
      </c>
      <c r="H1392" s="108">
        <v>4870.57</v>
      </c>
      <c r="I1392" s="108">
        <v>1659.13</v>
      </c>
      <c r="J1392" s="108">
        <v>2680.52</v>
      </c>
      <c r="K1392" s="108">
        <v>530.91999999999996</v>
      </c>
      <c r="L1392" s="43">
        <v>6.3443662889149399</v>
      </c>
      <c r="M1392" s="43">
        <v>11.500173286199487</v>
      </c>
      <c r="N1392" s="43">
        <v>5.4805152320588837</v>
      </c>
      <c r="O1392" s="43">
        <v>3.9523561378694252</v>
      </c>
      <c r="P1392" s="109"/>
      <c r="Q1392" s="109"/>
      <c r="R1392" s="109">
        <v>3</v>
      </c>
    </row>
    <row r="1393" spans="1:18" ht="12.75" customHeight="1">
      <c r="A1393" s="628" t="s">
        <v>2548</v>
      </c>
      <c r="B1393" s="629"/>
      <c r="C1393" s="629"/>
      <c r="D1393" s="629"/>
      <c r="E1393" s="629"/>
      <c r="F1393" s="629"/>
      <c r="G1393" s="629"/>
      <c r="H1393" s="629"/>
      <c r="I1393" s="629"/>
      <c r="J1393" s="629"/>
      <c r="K1393" s="629"/>
      <c r="L1393" s="629"/>
      <c r="M1393" s="629"/>
      <c r="N1393" s="629"/>
      <c r="O1393" s="629"/>
      <c r="P1393" s="629"/>
      <c r="Q1393" s="629"/>
      <c r="R1393" s="629"/>
    </row>
    <row r="1394" spans="1:18" ht="24">
      <c r="A1394" s="105">
        <v>83</v>
      </c>
      <c r="B1394" s="102" t="s">
        <v>2549</v>
      </c>
      <c r="C1394" s="106" t="s">
        <v>2550</v>
      </c>
      <c r="D1394" s="107">
        <v>526.12</v>
      </c>
      <c r="E1394" s="107">
        <v>142.08000000000001</v>
      </c>
      <c r="F1394" s="107">
        <v>292.77999999999997</v>
      </c>
      <c r="G1394" s="107">
        <v>91.26</v>
      </c>
      <c r="H1394" s="108">
        <v>3611.28</v>
      </c>
      <c r="I1394" s="108">
        <v>1633.92</v>
      </c>
      <c r="J1394" s="108">
        <v>1605.96</v>
      </c>
      <c r="K1394" s="108">
        <v>371.4</v>
      </c>
      <c r="L1394" s="43">
        <v>6.8639854025697566</v>
      </c>
      <c r="M1394" s="43">
        <v>11.5</v>
      </c>
      <c r="N1394" s="43">
        <v>5.4852107384384183</v>
      </c>
      <c r="O1394" s="43">
        <v>4.0696909927679155</v>
      </c>
      <c r="P1394" s="109"/>
      <c r="Q1394" s="109"/>
      <c r="R1394" s="109">
        <v>4</v>
      </c>
    </row>
    <row r="1395" spans="1:18" ht="24">
      <c r="A1395" s="105">
        <v>84</v>
      </c>
      <c r="B1395" s="102" t="s">
        <v>2551</v>
      </c>
      <c r="C1395" s="106" t="s">
        <v>2552</v>
      </c>
      <c r="D1395" s="107">
        <v>1735.4</v>
      </c>
      <c r="E1395" s="107">
        <v>209.92</v>
      </c>
      <c r="F1395" s="107">
        <v>945.3</v>
      </c>
      <c r="G1395" s="107">
        <v>580.17999999999995</v>
      </c>
      <c r="H1395" s="108">
        <v>9768.52</v>
      </c>
      <c r="I1395" s="108">
        <v>2414.13</v>
      </c>
      <c r="J1395" s="108">
        <v>5166.03</v>
      </c>
      <c r="K1395" s="108">
        <v>2188.36</v>
      </c>
      <c r="L1395" s="43">
        <v>5.628973147401175</v>
      </c>
      <c r="M1395" s="43">
        <v>11.500238185975611</v>
      </c>
      <c r="N1395" s="43">
        <v>5.4649635036496349</v>
      </c>
      <c r="O1395" s="43">
        <v>3.7718639043055608</v>
      </c>
      <c r="P1395" s="109"/>
      <c r="Q1395" s="109"/>
      <c r="R1395" s="109">
        <v>4</v>
      </c>
    </row>
    <row r="1396" spans="1:18" ht="24">
      <c r="A1396" s="105">
        <v>85</v>
      </c>
      <c r="B1396" s="102" t="s">
        <v>2553</v>
      </c>
      <c r="C1396" s="106" t="s">
        <v>2554</v>
      </c>
      <c r="D1396" s="107">
        <v>2839.1</v>
      </c>
      <c r="E1396" s="107">
        <v>306.31</v>
      </c>
      <c r="F1396" s="107">
        <v>1948.3</v>
      </c>
      <c r="G1396" s="107">
        <v>584.49</v>
      </c>
      <c r="H1396" s="108">
        <v>16370.39</v>
      </c>
      <c r="I1396" s="108">
        <v>3522.66</v>
      </c>
      <c r="J1396" s="108">
        <v>10616.31</v>
      </c>
      <c r="K1396" s="108">
        <v>2231.42</v>
      </c>
      <c r="L1396" s="43">
        <v>5.7660491000669225</v>
      </c>
      <c r="M1396" s="43">
        <v>11.50031014331886</v>
      </c>
      <c r="N1396" s="43">
        <v>5.4490119591438688</v>
      </c>
      <c r="O1396" s="43">
        <v>3.8177214323598352</v>
      </c>
      <c r="P1396" s="109"/>
      <c r="Q1396" s="109"/>
      <c r="R1396" s="109">
        <v>4</v>
      </c>
    </row>
    <row r="1397" spans="1:18" ht="24">
      <c r="A1397" s="105">
        <v>86</v>
      </c>
      <c r="B1397" s="102" t="s">
        <v>2555</v>
      </c>
      <c r="C1397" s="106" t="s">
        <v>2556</v>
      </c>
      <c r="D1397" s="107">
        <v>2054.61</v>
      </c>
      <c r="E1397" s="107">
        <v>236.31</v>
      </c>
      <c r="F1397" s="107">
        <v>1235.21</v>
      </c>
      <c r="G1397" s="107">
        <v>583.09</v>
      </c>
      <c r="H1397" s="108">
        <v>11666.42</v>
      </c>
      <c r="I1397" s="108">
        <v>2717.59</v>
      </c>
      <c r="J1397" s="108">
        <v>6733.51</v>
      </c>
      <c r="K1397" s="108">
        <v>2215.3200000000002</v>
      </c>
      <c r="L1397" s="43">
        <v>5.6781676327867574</v>
      </c>
      <c r="M1397" s="43">
        <v>11.500105793237697</v>
      </c>
      <c r="N1397" s="43">
        <v>5.4513078747743302</v>
      </c>
      <c r="O1397" s="43">
        <v>3.7992762695295754</v>
      </c>
      <c r="P1397" s="109"/>
      <c r="Q1397" s="109"/>
      <c r="R1397" s="109">
        <v>4</v>
      </c>
    </row>
    <row r="1398" spans="1:18" ht="12.75" customHeight="1">
      <c r="A1398" s="628" t="s">
        <v>2557</v>
      </c>
      <c r="B1398" s="629"/>
      <c r="C1398" s="629"/>
      <c r="D1398" s="629"/>
      <c r="E1398" s="629"/>
      <c r="F1398" s="629"/>
      <c r="G1398" s="629"/>
      <c r="H1398" s="629"/>
      <c r="I1398" s="629"/>
      <c r="J1398" s="629"/>
      <c r="K1398" s="629"/>
      <c r="L1398" s="629"/>
      <c r="M1398" s="629"/>
      <c r="N1398" s="629"/>
      <c r="O1398" s="629"/>
      <c r="P1398" s="629"/>
      <c r="Q1398" s="629"/>
      <c r="R1398" s="629"/>
    </row>
    <row r="1399" spans="1:18" ht="24">
      <c r="A1399" s="105">
        <v>87</v>
      </c>
      <c r="B1399" s="102" t="s">
        <v>2558</v>
      </c>
      <c r="C1399" s="106" t="s">
        <v>2559</v>
      </c>
      <c r="D1399" s="107">
        <v>449.9</v>
      </c>
      <c r="E1399" s="107">
        <v>97.46</v>
      </c>
      <c r="F1399" s="107">
        <v>348.11</v>
      </c>
      <c r="G1399" s="107">
        <v>4.33</v>
      </c>
      <c r="H1399" s="108">
        <v>3068.81</v>
      </c>
      <c r="I1399" s="108">
        <v>1120.8499999999999</v>
      </c>
      <c r="J1399" s="108">
        <v>1904.67</v>
      </c>
      <c r="K1399" s="108">
        <v>43.29</v>
      </c>
      <c r="L1399" s="43">
        <v>6.8210935763503002</v>
      </c>
      <c r="M1399" s="43">
        <v>11.500615637184486</v>
      </c>
      <c r="N1399" s="43">
        <v>5.4714601706357184</v>
      </c>
      <c r="O1399" s="43">
        <v>9.9976905311778292</v>
      </c>
      <c r="P1399" s="109"/>
      <c r="Q1399" s="109"/>
      <c r="R1399" s="109">
        <v>5</v>
      </c>
    </row>
    <row r="1400" spans="1:18" ht="24">
      <c r="A1400" s="105">
        <v>88</v>
      </c>
      <c r="B1400" s="102" t="s">
        <v>2560</v>
      </c>
      <c r="C1400" s="106" t="s">
        <v>2561</v>
      </c>
      <c r="D1400" s="107">
        <v>2121.59</v>
      </c>
      <c r="E1400" s="107">
        <v>354.26</v>
      </c>
      <c r="F1400" s="107">
        <v>1757.86</v>
      </c>
      <c r="G1400" s="107">
        <v>9.4700000000000006</v>
      </c>
      <c r="H1400" s="108">
        <v>13770.11</v>
      </c>
      <c r="I1400" s="108">
        <v>4074.13</v>
      </c>
      <c r="J1400" s="108">
        <v>9593.58</v>
      </c>
      <c r="K1400" s="108">
        <v>102.4</v>
      </c>
      <c r="L1400" s="43">
        <v>6.4904670553688506</v>
      </c>
      <c r="M1400" s="43">
        <v>11.500395189973466</v>
      </c>
      <c r="N1400" s="43">
        <v>5.4575335919811589</v>
      </c>
      <c r="O1400" s="43">
        <v>10.813093980992608</v>
      </c>
      <c r="P1400" s="109"/>
      <c r="Q1400" s="109"/>
      <c r="R1400" s="109">
        <v>5</v>
      </c>
    </row>
    <row r="1401" spans="1:18" ht="24">
      <c r="A1401" s="105">
        <v>89</v>
      </c>
      <c r="B1401" s="102" t="s">
        <v>2562</v>
      </c>
      <c r="C1401" s="106" t="s">
        <v>2563</v>
      </c>
      <c r="D1401" s="107">
        <v>1198.51</v>
      </c>
      <c r="E1401" s="107">
        <v>483.46</v>
      </c>
      <c r="F1401" s="107">
        <v>703</v>
      </c>
      <c r="G1401" s="107">
        <v>12.05</v>
      </c>
      <c r="H1401" s="108">
        <v>9966.08</v>
      </c>
      <c r="I1401" s="108">
        <v>5559.84</v>
      </c>
      <c r="J1401" s="108">
        <v>4274.17</v>
      </c>
      <c r="K1401" s="108">
        <v>132.07</v>
      </c>
      <c r="L1401" s="43">
        <v>8.3153916112506359</v>
      </c>
      <c r="M1401" s="43">
        <v>11.500103421172383</v>
      </c>
      <c r="N1401" s="43">
        <v>6.0799004267425323</v>
      </c>
      <c r="O1401" s="43">
        <v>10.960165975103733</v>
      </c>
      <c r="P1401" s="109"/>
      <c r="Q1401" s="109"/>
      <c r="R1401" s="109">
        <v>5</v>
      </c>
    </row>
    <row r="1402" spans="1:18" ht="24">
      <c r="A1402" s="105">
        <v>90</v>
      </c>
      <c r="B1402" s="102" t="s">
        <v>2564</v>
      </c>
      <c r="C1402" s="106" t="s">
        <v>2565</v>
      </c>
      <c r="D1402" s="107">
        <v>1519.44</v>
      </c>
      <c r="E1402" s="107">
        <v>561.20000000000005</v>
      </c>
      <c r="F1402" s="107">
        <v>944.64</v>
      </c>
      <c r="G1402" s="107">
        <v>13.6</v>
      </c>
      <c r="H1402" s="108">
        <v>12231.77</v>
      </c>
      <c r="I1402" s="108">
        <v>6454.11</v>
      </c>
      <c r="J1402" s="108">
        <v>5627.77</v>
      </c>
      <c r="K1402" s="108">
        <v>149.88999999999999</v>
      </c>
      <c r="L1402" s="43">
        <v>8.050182962143948</v>
      </c>
      <c r="M1402" s="43">
        <v>11.500552387740555</v>
      </c>
      <c r="N1402" s="43">
        <v>5.9575817242547435</v>
      </c>
      <c r="O1402" s="43">
        <v>11.021323529411765</v>
      </c>
      <c r="P1402" s="109"/>
      <c r="Q1402" s="109"/>
      <c r="R1402" s="109">
        <v>5</v>
      </c>
    </row>
    <row r="1403" spans="1:18" ht="12.75" customHeight="1">
      <c r="A1403" s="628" t="s">
        <v>2566</v>
      </c>
      <c r="B1403" s="629"/>
      <c r="C1403" s="629"/>
      <c r="D1403" s="629"/>
      <c r="E1403" s="629"/>
      <c r="F1403" s="629"/>
      <c r="G1403" s="629"/>
      <c r="H1403" s="629"/>
      <c r="I1403" s="629"/>
      <c r="J1403" s="629"/>
      <c r="K1403" s="629"/>
      <c r="L1403" s="629"/>
      <c r="M1403" s="629"/>
      <c r="N1403" s="629"/>
      <c r="O1403" s="629"/>
      <c r="P1403" s="629"/>
      <c r="Q1403" s="629"/>
      <c r="R1403" s="629"/>
    </row>
    <row r="1404" spans="1:18" ht="24">
      <c r="A1404" s="105">
        <v>91</v>
      </c>
      <c r="B1404" s="102" t="s">
        <v>2567</v>
      </c>
      <c r="C1404" s="106" t="s">
        <v>2568</v>
      </c>
      <c r="D1404" s="107">
        <v>4017.95</v>
      </c>
      <c r="E1404" s="107">
        <v>969.03</v>
      </c>
      <c r="F1404" s="107">
        <v>1535.56</v>
      </c>
      <c r="G1404" s="107">
        <v>1513.36</v>
      </c>
      <c r="H1404" s="108">
        <v>25596.04</v>
      </c>
      <c r="I1404" s="108">
        <v>11143.85</v>
      </c>
      <c r="J1404" s="108">
        <v>8696.4500000000007</v>
      </c>
      <c r="K1404" s="108">
        <v>5755.74</v>
      </c>
      <c r="L1404" s="43">
        <v>6.3704227280080641</v>
      </c>
      <c r="M1404" s="43">
        <v>11.500005159798976</v>
      </c>
      <c r="N1404" s="43">
        <v>5.6633736226523226</v>
      </c>
      <c r="O1404" s="43">
        <v>3.8032854046624731</v>
      </c>
      <c r="P1404" s="109"/>
      <c r="Q1404" s="109"/>
      <c r="R1404" s="109">
        <v>6</v>
      </c>
    </row>
    <row r="1405" spans="1:18" ht="24">
      <c r="A1405" s="105">
        <v>92</v>
      </c>
      <c r="B1405" s="102" t="s">
        <v>2569</v>
      </c>
      <c r="C1405" s="106" t="s">
        <v>2570</v>
      </c>
      <c r="D1405" s="107">
        <v>5389.76</v>
      </c>
      <c r="E1405" s="107">
        <v>1195.73</v>
      </c>
      <c r="F1405" s="107">
        <v>2327.46</v>
      </c>
      <c r="G1405" s="107">
        <v>1866.57</v>
      </c>
      <c r="H1405" s="108">
        <v>34000.21</v>
      </c>
      <c r="I1405" s="108">
        <v>13751.44</v>
      </c>
      <c r="J1405" s="108">
        <v>13129.78</v>
      </c>
      <c r="K1405" s="108">
        <v>7118.99</v>
      </c>
      <c r="L1405" s="43">
        <v>6.308297586534465</v>
      </c>
      <c r="M1405" s="43">
        <v>11.500455788514129</v>
      </c>
      <c r="N1405" s="43">
        <v>5.6412483995428495</v>
      </c>
      <c r="O1405" s="43">
        <v>3.813942150575655</v>
      </c>
      <c r="P1405" s="109"/>
      <c r="Q1405" s="109"/>
      <c r="R1405" s="109">
        <v>6</v>
      </c>
    </row>
    <row r="1406" spans="1:18" ht="24">
      <c r="A1406" s="105">
        <v>93</v>
      </c>
      <c r="B1406" s="102" t="s">
        <v>2571</v>
      </c>
      <c r="C1406" s="106" t="s">
        <v>2572</v>
      </c>
      <c r="D1406" s="107">
        <v>7066.92</v>
      </c>
      <c r="E1406" s="107">
        <v>1609.5</v>
      </c>
      <c r="F1406" s="107">
        <v>3583.52</v>
      </c>
      <c r="G1406" s="107">
        <v>1873.9</v>
      </c>
      <c r="H1406" s="108">
        <v>45826.87</v>
      </c>
      <c r="I1406" s="108">
        <v>18509.25</v>
      </c>
      <c r="J1406" s="108">
        <v>20111.75</v>
      </c>
      <c r="K1406" s="108">
        <v>7205.87</v>
      </c>
      <c r="L1406" s="43">
        <v>6.4847019635145156</v>
      </c>
      <c r="M1406" s="43">
        <v>11.5</v>
      </c>
      <c r="N1406" s="43">
        <v>5.6122890342456575</v>
      </c>
      <c r="O1406" s="43">
        <v>3.8453866268210679</v>
      </c>
      <c r="P1406" s="109"/>
      <c r="Q1406" s="109"/>
      <c r="R1406" s="109">
        <v>6</v>
      </c>
    </row>
    <row r="1407" spans="1:18" ht="24">
      <c r="A1407" s="105">
        <v>94</v>
      </c>
      <c r="B1407" s="102" t="s">
        <v>2573</v>
      </c>
      <c r="C1407" s="106" t="s">
        <v>2574</v>
      </c>
      <c r="D1407" s="107">
        <v>8555.42</v>
      </c>
      <c r="E1407" s="107">
        <v>1820.4</v>
      </c>
      <c r="F1407" s="107">
        <v>4504.6499999999996</v>
      </c>
      <c r="G1407" s="107">
        <v>2230.37</v>
      </c>
      <c r="H1407" s="108">
        <v>54765.06</v>
      </c>
      <c r="I1407" s="108">
        <v>20934.599999999999</v>
      </c>
      <c r="J1407" s="108">
        <v>25233.62</v>
      </c>
      <c r="K1407" s="108">
        <v>8596.84</v>
      </c>
      <c r="L1407" s="43">
        <v>6.4012123308966711</v>
      </c>
      <c r="M1407" s="43">
        <v>11.499999999999998</v>
      </c>
      <c r="N1407" s="43">
        <v>5.6016827056486074</v>
      </c>
      <c r="O1407" s="43">
        <v>3.8544456749328591</v>
      </c>
      <c r="P1407" s="109"/>
      <c r="Q1407" s="109"/>
      <c r="R1407" s="109">
        <v>6</v>
      </c>
    </row>
    <row r="1408" spans="1:18" ht="24">
      <c r="A1408" s="105">
        <v>95</v>
      </c>
      <c r="B1408" s="102" t="s">
        <v>2575</v>
      </c>
      <c r="C1408" s="106" t="s">
        <v>2576</v>
      </c>
      <c r="D1408" s="107">
        <v>9652.9699999999993</v>
      </c>
      <c r="E1408" s="107">
        <v>2009.1</v>
      </c>
      <c r="F1408" s="107">
        <v>5411.16</v>
      </c>
      <c r="G1408" s="107">
        <v>2232.71</v>
      </c>
      <c r="H1408" s="108">
        <v>61986.59</v>
      </c>
      <c r="I1408" s="108">
        <v>23104.65</v>
      </c>
      <c r="J1408" s="108">
        <v>30254.27</v>
      </c>
      <c r="K1408" s="108">
        <v>8627.67</v>
      </c>
      <c r="L1408" s="43">
        <v>6.4215044696088359</v>
      </c>
      <c r="M1408" s="43">
        <v>11.500000000000002</v>
      </c>
      <c r="N1408" s="43">
        <v>5.5910876780579395</v>
      </c>
      <c r="O1408" s="43">
        <v>3.8642143404203861</v>
      </c>
      <c r="P1408" s="109"/>
      <c r="Q1408" s="109"/>
      <c r="R1408" s="109">
        <v>6</v>
      </c>
    </row>
    <row r="1409" spans="1:18" ht="24">
      <c r="A1409" s="105">
        <v>96</v>
      </c>
      <c r="B1409" s="102" t="s">
        <v>2577</v>
      </c>
      <c r="C1409" s="106" t="s">
        <v>2578</v>
      </c>
      <c r="D1409" s="107">
        <v>34143.980000000003</v>
      </c>
      <c r="E1409" s="107">
        <v>7414.8</v>
      </c>
      <c r="F1409" s="107">
        <v>22874.14</v>
      </c>
      <c r="G1409" s="107">
        <v>3855.04</v>
      </c>
      <c r="H1409" s="108">
        <v>216516.19</v>
      </c>
      <c r="I1409" s="108">
        <v>85270.2</v>
      </c>
      <c r="J1409" s="108">
        <v>115664.76</v>
      </c>
      <c r="K1409" s="108">
        <v>15581.23</v>
      </c>
      <c r="L1409" s="43">
        <v>6.3412698226744508</v>
      </c>
      <c r="M1409" s="43">
        <v>11.5</v>
      </c>
      <c r="N1409" s="43">
        <v>5.0565730558613353</v>
      </c>
      <c r="O1409" s="43">
        <v>4.0417816676350959</v>
      </c>
      <c r="P1409" s="109"/>
      <c r="Q1409" s="109"/>
      <c r="R1409" s="109">
        <v>6</v>
      </c>
    </row>
    <row r="1410" spans="1:18" ht="24">
      <c r="A1410" s="105">
        <v>97</v>
      </c>
      <c r="B1410" s="102" t="s">
        <v>2579</v>
      </c>
      <c r="C1410" s="106" t="s">
        <v>2580</v>
      </c>
      <c r="D1410" s="107">
        <v>49116.42</v>
      </c>
      <c r="E1410" s="107">
        <v>10167.6</v>
      </c>
      <c r="F1410" s="107">
        <v>34120.97</v>
      </c>
      <c r="G1410" s="107">
        <v>4827.8500000000004</v>
      </c>
      <c r="H1410" s="108">
        <v>309840.59000000003</v>
      </c>
      <c r="I1410" s="108">
        <v>116927.4</v>
      </c>
      <c r="J1410" s="108">
        <v>173308.16</v>
      </c>
      <c r="K1410" s="108">
        <v>19605.03</v>
      </c>
      <c r="L1410" s="43">
        <v>6.3082893663666866</v>
      </c>
      <c r="M1410" s="43">
        <v>11.499999999999998</v>
      </c>
      <c r="N1410" s="43">
        <v>5.07922723181668</v>
      </c>
      <c r="O1410" s="43">
        <v>4.0608200337624405</v>
      </c>
      <c r="P1410" s="109"/>
      <c r="Q1410" s="109"/>
      <c r="R1410" s="109">
        <v>6</v>
      </c>
    </row>
    <row r="1411" spans="1:18" ht="24">
      <c r="A1411" s="105">
        <v>98</v>
      </c>
      <c r="B1411" s="102" t="s">
        <v>2581</v>
      </c>
      <c r="C1411" s="106" t="s">
        <v>2582</v>
      </c>
      <c r="D1411" s="107">
        <v>75812.78</v>
      </c>
      <c r="E1411" s="107">
        <v>11599.5</v>
      </c>
      <c r="F1411" s="107">
        <v>58668.47</v>
      </c>
      <c r="G1411" s="107">
        <v>5544.81</v>
      </c>
      <c r="H1411" s="108">
        <v>448654.95</v>
      </c>
      <c r="I1411" s="108">
        <v>133394.25</v>
      </c>
      <c r="J1411" s="108">
        <v>292783.27</v>
      </c>
      <c r="K1411" s="108">
        <v>22477.43</v>
      </c>
      <c r="L1411" s="43">
        <v>5.9179329659194666</v>
      </c>
      <c r="M1411" s="43">
        <v>11.5</v>
      </c>
      <c r="N1411" s="43">
        <v>4.9904705201959416</v>
      </c>
      <c r="O1411" s="43">
        <v>4.0537782178289241</v>
      </c>
      <c r="P1411" s="109"/>
      <c r="Q1411" s="109"/>
      <c r="R1411" s="109">
        <v>6</v>
      </c>
    </row>
    <row r="1412" spans="1:18" ht="24">
      <c r="A1412" s="105">
        <v>99</v>
      </c>
      <c r="B1412" s="102" t="s">
        <v>2583</v>
      </c>
      <c r="C1412" s="106" t="s">
        <v>2584</v>
      </c>
      <c r="D1412" s="107">
        <v>51352.76</v>
      </c>
      <c r="E1412" s="107">
        <v>8802.2999999999993</v>
      </c>
      <c r="F1412" s="107">
        <v>38392.769999999997</v>
      </c>
      <c r="G1412" s="107">
        <v>4157.6899999999996</v>
      </c>
      <c r="H1412" s="108">
        <v>308116.2</v>
      </c>
      <c r="I1412" s="108">
        <v>101226.45</v>
      </c>
      <c r="J1412" s="108">
        <v>190034.09</v>
      </c>
      <c r="K1412" s="108">
        <v>16855.66</v>
      </c>
      <c r="L1412" s="43">
        <v>5.9999929896659889</v>
      </c>
      <c r="M1412" s="43">
        <v>11.5</v>
      </c>
      <c r="N1412" s="43">
        <v>4.949736369634179</v>
      </c>
      <c r="O1412" s="43">
        <v>4.0540925369616305</v>
      </c>
      <c r="P1412" s="109"/>
      <c r="Q1412" s="109"/>
      <c r="R1412" s="109">
        <v>6</v>
      </c>
    </row>
    <row r="1413" spans="1:18" ht="24">
      <c r="A1413" s="105">
        <v>100</v>
      </c>
      <c r="B1413" s="102" t="s">
        <v>2585</v>
      </c>
      <c r="C1413" s="106" t="s">
        <v>2586</v>
      </c>
      <c r="D1413" s="107">
        <v>68212.17</v>
      </c>
      <c r="E1413" s="107">
        <v>9268.5</v>
      </c>
      <c r="F1413" s="107">
        <v>54145.7</v>
      </c>
      <c r="G1413" s="107">
        <v>4797.97</v>
      </c>
      <c r="H1413" s="108">
        <v>391750.55</v>
      </c>
      <c r="I1413" s="108">
        <v>106587.75</v>
      </c>
      <c r="J1413" s="108">
        <v>265868.84000000003</v>
      </c>
      <c r="K1413" s="108">
        <v>19293.96</v>
      </c>
      <c r="L1413" s="43">
        <v>5.7431181268679765</v>
      </c>
      <c r="M1413" s="43">
        <v>11.5</v>
      </c>
      <c r="N1413" s="43">
        <v>4.9102484592497655</v>
      </c>
      <c r="O1413" s="43">
        <v>4.021275664499778</v>
      </c>
      <c r="P1413" s="109"/>
      <c r="Q1413" s="109"/>
      <c r="R1413" s="109">
        <v>6</v>
      </c>
    </row>
    <row r="1414" spans="1:18" ht="29.25" customHeight="1">
      <c r="A1414" s="105">
        <v>101</v>
      </c>
      <c r="B1414" s="102" t="s">
        <v>2587</v>
      </c>
      <c r="C1414" s="106" t="s">
        <v>2588</v>
      </c>
      <c r="D1414" s="107">
        <v>78074.850000000006</v>
      </c>
      <c r="E1414" s="107">
        <v>12288.45</v>
      </c>
      <c r="F1414" s="107">
        <v>60254.05</v>
      </c>
      <c r="G1414" s="107">
        <v>5532.35</v>
      </c>
      <c r="H1414" s="108">
        <v>465150.68</v>
      </c>
      <c r="I1414" s="108">
        <v>141322.35999999999</v>
      </c>
      <c r="J1414" s="108">
        <v>301349.7</v>
      </c>
      <c r="K1414" s="108">
        <v>22478.62</v>
      </c>
      <c r="L1414" s="43">
        <v>5.9577531048730794</v>
      </c>
      <c r="M1414" s="43">
        <v>11.500421940928268</v>
      </c>
      <c r="N1414" s="43">
        <v>5.0013185835640925</v>
      </c>
      <c r="O1414" s="43">
        <v>4.063123265881587</v>
      </c>
      <c r="P1414" s="109"/>
      <c r="Q1414" s="109"/>
      <c r="R1414" s="109">
        <v>6</v>
      </c>
    </row>
    <row r="1415" spans="1:18" ht="12.75" customHeight="1">
      <c r="A1415" s="628" t="s">
        <v>2589</v>
      </c>
      <c r="B1415" s="629"/>
      <c r="C1415" s="629"/>
      <c r="D1415" s="629"/>
      <c r="E1415" s="629"/>
      <c r="F1415" s="629"/>
      <c r="G1415" s="629"/>
      <c r="H1415" s="629"/>
      <c r="I1415" s="629"/>
      <c r="J1415" s="629"/>
      <c r="K1415" s="629"/>
      <c r="L1415" s="629"/>
      <c r="M1415" s="629"/>
      <c r="N1415" s="629"/>
      <c r="O1415" s="629"/>
      <c r="P1415" s="629"/>
      <c r="Q1415" s="629"/>
      <c r="R1415" s="629"/>
    </row>
    <row r="1416" spans="1:18" ht="24">
      <c r="A1416" s="105">
        <v>102</v>
      </c>
      <c r="B1416" s="102" t="s">
        <v>2590</v>
      </c>
      <c r="C1416" s="106" t="s">
        <v>2591</v>
      </c>
      <c r="D1416" s="107">
        <v>3062.28</v>
      </c>
      <c r="E1416" s="107">
        <v>773.39</v>
      </c>
      <c r="F1416" s="107">
        <v>1981.86</v>
      </c>
      <c r="G1416" s="107">
        <v>307.02999999999997</v>
      </c>
      <c r="H1416" s="108">
        <v>21334.29</v>
      </c>
      <c r="I1416" s="108">
        <v>8894.2800000000007</v>
      </c>
      <c r="J1416" s="108">
        <v>11160.78</v>
      </c>
      <c r="K1416" s="108">
        <v>1279.23</v>
      </c>
      <c r="L1416" s="43">
        <v>6.9667992476194209</v>
      </c>
      <c r="M1416" s="43">
        <v>11.500381437567077</v>
      </c>
      <c r="N1416" s="43">
        <v>5.6314674094032888</v>
      </c>
      <c r="O1416" s="43">
        <v>4.1664658176725409</v>
      </c>
      <c r="P1416" s="109"/>
      <c r="Q1416" s="109"/>
      <c r="R1416" s="109">
        <v>7</v>
      </c>
    </row>
    <row r="1417" spans="1:18" ht="24">
      <c r="A1417" s="105">
        <v>103</v>
      </c>
      <c r="B1417" s="102" t="s">
        <v>2592</v>
      </c>
      <c r="C1417" s="106" t="s">
        <v>2593</v>
      </c>
      <c r="D1417" s="107">
        <v>3306.36</v>
      </c>
      <c r="E1417" s="107">
        <v>801.42</v>
      </c>
      <c r="F1417" s="107">
        <v>2191.23</v>
      </c>
      <c r="G1417" s="107">
        <v>313.70999999999998</v>
      </c>
      <c r="H1417" s="108">
        <v>22882.28</v>
      </c>
      <c r="I1417" s="108">
        <v>9216.33</v>
      </c>
      <c r="J1417" s="108">
        <v>12326.64</v>
      </c>
      <c r="K1417" s="108">
        <v>1339.31</v>
      </c>
      <c r="L1417" s="43">
        <v>6.9206861926710941</v>
      </c>
      <c r="M1417" s="43">
        <v>11.5</v>
      </c>
      <c r="N1417" s="43">
        <v>5.6254432442053091</v>
      </c>
      <c r="O1417" s="43">
        <v>4.2692614197826018</v>
      </c>
      <c r="P1417" s="109"/>
      <c r="Q1417" s="109"/>
      <c r="R1417" s="109">
        <v>7</v>
      </c>
    </row>
    <row r="1418" spans="1:18" ht="12.75" customHeight="1">
      <c r="A1418" s="628" t="s">
        <v>2594</v>
      </c>
      <c r="B1418" s="629"/>
      <c r="C1418" s="629"/>
      <c r="D1418" s="629"/>
      <c r="E1418" s="629"/>
      <c r="F1418" s="629"/>
      <c r="G1418" s="629"/>
      <c r="H1418" s="629"/>
      <c r="I1418" s="629"/>
      <c r="J1418" s="629"/>
      <c r="K1418" s="629"/>
      <c r="L1418" s="629"/>
      <c r="M1418" s="629"/>
      <c r="N1418" s="629"/>
      <c r="O1418" s="629"/>
      <c r="P1418" s="629"/>
      <c r="Q1418" s="629"/>
      <c r="R1418" s="629"/>
    </row>
    <row r="1419" spans="1:18" ht="12.75" customHeight="1">
      <c r="A1419" s="628" t="s">
        <v>2595</v>
      </c>
      <c r="B1419" s="629"/>
      <c r="C1419" s="629"/>
      <c r="D1419" s="629"/>
      <c r="E1419" s="629"/>
      <c r="F1419" s="629"/>
      <c r="G1419" s="629"/>
      <c r="H1419" s="629"/>
      <c r="I1419" s="629"/>
      <c r="J1419" s="629"/>
      <c r="K1419" s="629"/>
      <c r="L1419" s="629"/>
      <c r="M1419" s="629"/>
      <c r="N1419" s="629"/>
      <c r="O1419" s="629"/>
      <c r="P1419" s="629"/>
      <c r="Q1419" s="629"/>
      <c r="R1419" s="629"/>
    </row>
    <row r="1420" spans="1:18" ht="24">
      <c r="A1420" s="105">
        <v>104</v>
      </c>
      <c r="B1420" s="102" t="s">
        <v>2596</v>
      </c>
      <c r="C1420" s="106" t="s">
        <v>2597</v>
      </c>
      <c r="D1420" s="107">
        <v>1446.98</v>
      </c>
      <c r="E1420" s="107">
        <v>279.72000000000003</v>
      </c>
      <c r="F1420" s="107">
        <v>1152.1500000000001</v>
      </c>
      <c r="G1420" s="107">
        <v>15.11</v>
      </c>
      <c r="H1420" s="108">
        <v>9586.3799999999992</v>
      </c>
      <c r="I1420" s="108">
        <v>3216.78</v>
      </c>
      <c r="J1420" s="108">
        <v>6221.87</v>
      </c>
      <c r="K1420" s="108">
        <v>147.72999999999999</v>
      </c>
      <c r="L1420" s="43">
        <v>6.6250950255013885</v>
      </c>
      <c r="M1420" s="43">
        <v>11.5</v>
      </c>
      <c r="N1420" s="43">
        <v>5.4002256650609723</v>
      </c>
      <c r="O1420" s="43">
        <v>9.7769688947716737</v>
      </c>
      <c r="P1420" s="109"/>
      <c r="Q1420" s="109"/>
      <c r="R1420" s="109">
        <v>1</v>
      </c>
    </row>
    <row r="1421" spans="1:18" ht="24">
      <c r="A1421" s="105">
        <v>105</v>
      </c>
      <c r="B1421" s="102" t="s">
        <v>2598</v>
      </c>
      <c r="C1421" s="106" t="s">
        <v>2599</v>
      </c>
      <c r="D1421" s="107">
        <v>2307.71</v>
      </c>
      <c r="E1421" s="107">
        <v>351.04</v>
      </c>
      <c r="F1421" s="107">
        <v>1940.13</v>
      </c>
      <c r="G1421" s="107">
        <v>16.54</v>
      </c>
      <c r="H1421" s="108">
        <v>14686.27</v>
      </c>
      <c r="I1421" s="108">
        <v>4037.12</v>
      </c>
      <c r="J1421" s="108">
        <v>10484.98</v>
      </c>
      <c r="K1421" s="108">
        <v>164.17</v>
      </c>
      <c r="L1421" s="43">
        <v>6.3640015426548393</v>
      </c>
      <c r="M1421" s="43">
        <v>11.500455788514129</v>
      </c>
      <c r="N1421" s="43">
        <v>5.4042667243947564</v>
      </c>
      <c r="O1421" s="43">
        <v>9.9256348246674726</v>
      </c>
      <c r="P1421" s="109"/>
      <c r="Q1421" s="109"/>
      <c r="R1421" s="109">
        <v>1</v>
      </c>
    </row>
    <row r="1422" spans="1:18" ht="12.75" customHeight="1">
      <c r="A1422" s="628" t="s">
        <v>2600</v>
      </c>
      <c r="B1422" s="629"/>
      <c r="C1422" s="629"/>
      <c r="D1422" s="629"/>
      <c r="E1422" s="629"/>
      <c r="F1422" s="629"/>
      <c r="G1422" s="629"/>
      <c r="H1422" s="629"/>
      <c r="I1422" s="629"/>
      <c r="J1422" s="629"/>
      <c r="K1422" s="629"/>
      <c r="L1422" s="629"/>
      <c r="M1422" s="629"/>
      <c r="N1422" s="629"/>
      <c r="O1422" s="629"/>
      <c r="P1422" s="629"/>
      <c r="Q1422" s="629"/>
      <c r="R1422" s="629"/>
    </row>
    <row r="1423" spans="1:18" ht="24">
      <c r="A1423" s="105">
        <v>106</v>
      </c>
      <c r="B1423" s="102" t="s">
        <v>2601</v>
      </c>
      <c r="C1423" s="106" t="s">
        <v>2602</v>
      </c>
      <c r="D1423" s="107">
        <v>714.27</v>
      </c>
      <c r="E1423" s="107">
        <v>118.14</v>
      </c>
      <c r="F1423" s="107">
        <v>387.81</v>
      </c>
      <c r="G1423" s="107">
        <v>208.32</v>
      </c>
      <c r="H1423" s="108">
        <v>4274.66</v>
      </c>
      <c r="I1423" s="108">
        <v>1358.66</v>
      </c>
      <c r="J1423" s="108">
        <v>2092.16</v>
      </c>
      <c r="K1423" s="108">
        <v>823.84</v>
      </c>
      <c r="L1423" s="43">
        <v>5.984655662424573</v>
      </c>
      <c r="M1423" s="43">
        <v>11.50042322668021</v>
      </c>
      <c r="N1423" s="43">
        <v>5.3948067352569558</v>
      </c>
      <c r="O1423" s="43">
        <v>3.9546850998463903</v>
      </c>
      <c r="P1423" s="109"/>
      <c r="Q1423" s="109"/>
      <c r="R1423" s="109">
        <v>2</v>
      </c>
    </row>
    <row r="1424" spans="1:18" ht="24">
      <c r="A1424" s="105">
        <v>107</v>
      </c>
      <c r="B1424" s="102" t="s">
        <v>2603</v>
      </c>
      <c r="C1424" s="106" t="s">
        <v>2604</v>
      </c>
      <c r="D1424" s="107">
        <v>1349.66</v>
      </c>
      <c r="E1424" s="107">
        <v>550.55999999999995</v>
      </c>
      <c r="F1424" s="107">
        <v>582.13</v>
      </c>
      <c r="G1424" s="107">
        <v>216.97</v>
      </c>
      <c r="H1424" s="108">
        <v>10395.200000000001</v>
      </c>
      <c r="I1424" s="108">
        <v>6331.44</v>
      </c>
      <c r="J1424" s="108">
        <v>3140.44</v>
      </c>
      <c r="K1424" s="108">
        <v>923.32</v>
      </c>
      <c r="L1424" s="43">
        <v>7.7020879332572649</v>
      </c>
      <c r="M1424" s="43">
        <v>11.5</v>
      </c>
      <c r="N1424" s="43">
        <v>5.3947400065277513</v>
      </c>
      <c r="O1424" s="43">
        <v>4.2555191962022398</v>
      </c>
      <c r="P1424" s="109"/>
      <c r="Q1424" s="109"/>
      <c r="R1424" s="109">
        <v>2</v>
      </c>
    </row>
    <row r="1425" spans="1:18" ht="12.75" customHeight="1">
      <c r="A1425" s="628" t="s">
        <v>2605</v>
      </c>
      <c r="B1425" s="629"/>
      <c r="C1425" s="629"/>
      <c r="D1425" s="629"/>
      <c r="E1425" s="629"/>
      <c r="F1425" s="629"/>
      <c r="G1425" s="629"/>
      <c r="H1425" s="629"/>
      <c r="I1425" s="629"/>
      <c r="J1425" s="629"/>
      <c r="K1425" s="629"/>
      <c r="L1425" s="629"/>
      <c r="M1425" s="629"/>
      <c r="N1425" s="629"/>
      <c r="O1425" s="629"/>
      <c r="P1425" s="629"/>
      <c r="Q1425" s="629"/>
      <c r="R1425" s="629"/>
    </row>
    <row r="1426" spans="1:18" ht="36">
      <c r="A1426" s="105">
        <v>108</v>
      </c>
      <c r="B1426" s="102" t="s">
        <v>2606</v>
      </c>
      <c r="C1426" s="106" t="s">
        <v>2607</v>
      </c>
      <c r="D1426" s="107">
        <v>841.03</v>
      </c>
      <c r="E1426" s="107">
        <v>144.27000000000001</v>
      </c>
      <c r="F1426" s="107">
        <v>462.05</v>
      </c>
      <c r="G1426" s="107">
        <v>234.71</v>
      </c>
      <c r="H1426" s="108">
        <v>5054.47</v>
      </c>
      <c r="I1426" s="108">
        <v>1659.13</v>
      </c>
      <c r="J1426" s="108">
        <v>2493.56</v>
      </c>
      <c r="K1426" s="108">
        <v>901.78</v>
      </c>
      <c r="L1426" s="43">
        <v>6.0098569611072143</v>
      </c>
      <c r="M1426" s="43">
        <v>11.500173286199487</v>
      </c>
      <c r="N1426" s="43">
        <v>5.3967319554160804</v>
      </c>
      <c r="O1426" s="43">
        <v>3.842103020749009</v>
      </c>
      <c r="P1426" s="109"/>
      <c r="Q1426" s="109"/>
      <c r="R1426" s="109">
        <v>3</v>
      </c>
    </row>
    <row r="1427" spans="1:18" ht="36">
      <c r="A1427" s="105">
        <v>109</v>
      </c>
      <c r="B1427" s="102" t="s">
        <v>2608</v>
      </c>
      <c r="C1427" s="106" t="s">
        <v>2609</v>
      </c>
      <c r="D1427" s="107">
        <v>1453.04</v>
      </c>
      <c r="E1427" s="107">
        <v>178.71</v>
      </c>
      <c r="F1427" s="107">
        <v>694.78</v>
      </c>
      <c r="G1427" s="107">
        <v>579.54999999999995</v>
      </c>
      <c r="H1427" s="108">
        <v>7985.81</v>
      </c>
      <c r="I1427" s="108">
        <v>2055.17</v>
      </c>
      <c r="J1427" s="108">
        <v>3749.52</v>
      </c>
      <c r="K1427" s="108">
        <v>2181.12</v>
      </c>
      <c r="L1427" s="43">
        <v>5.4959326653085947</v>
      </c>
      <c r="M1427" s="43">
        <v>11.500027978288848</v>
      </c>
      <c r="N1427" s="43">
        <v>5.3967011140217052</v>
      </c>
      <c r="O1427" s="43">
        <v>3.7634716590458117</v>
      </c>
      <c r="P1427" s="109"/>
      <c r="Q1427" s="109"/>
      <c r="R1427" s="109">
        <v>3</v>
      </c>
    </row>
    <row r="1428" spans="1:18" ht="36">
      <c r="A1428" s="105">
        <v>110</v>
      </c>
      <c r="B1428" s="102" t="s">
        <v>2610</v>
      </c>
      <c r="C1428" s="106" t="s">
        <v>2611</v>
      </c>
      <c r="D1428" s="107">
        <v>3694.04</v>
      </c>
      <c r="E1428" s="107">
        <v>629.65</v>
      </c>
      <c r="F1428" s="107">
        <v>2191.64</v>
      </c>
      <c r="G1428" s="107">
        <v>872.75</v>
      </c>
      <c r="H1428" s="108">
        <v>22704.03</v>
      </c>
      <c r="I1428" s="108">
        <v>7241.27</v>
      </c>
      <c r="J1428" s="108">
        <v>11850.45</v>
      </c>
      <c r="K1428" s="108">
        <v>3612.31</v>
      </c>
      <c r="L1428" s="43">
        <v>6.1461245682234082</v>
      </c>
      <c r="M1428" s="43">
        <v>11.500468514253951</v>
      </c>
      <c r="N1428" s="43">
        <v>5.4071152196528631</v>
      </c>
      <c r="O1428" s="43">
        <v>4.138997421942137</v>
      </c>
      <c r="P1428" s="109"/>
      <c r="Q1428" s="109"/>
      <c r="R1428" s="109">
        <v>3</v>
      </c>
    </row>
    <row r="1429" spans="1:18" ht="36">
      <c r="A1429" s="105">
        <v>111</v>
      </c>
      <c r="B1429" s="102" t="s">
        <v>2612</v>
      </c>
      <c r="C1429" s="106" t="s">
        <v>2613</v>
      </c>
      <c r="D1429" s="107">
        <v>40267.03</v>
      </c>
      <c r="E1429" s="107">
        <v>11296.56</v>
      </c>
      <c r="F1429" s="107">
        <v>25948.81</v>
      </c>
      <c r="G1429" s="107">
        <v>3021.66</v>
      </c>
      <c r="H1429" s="108">
        <v>275043.01</v>
      </c>
      <c r="I1429" s="108">
        <v>129915.28</v>
      </c>
      <c r="J1429" s="108">
        <v>129919.39</v>
      </c>
      <c r="K1429" s="108">
        <v>15208.34</v>
      </c>
      <c r="L1429" s="43">
        <v>6.8304766952020053</v>
      </c>
      <c r="M1429" s="43">
        <v>11.500428449014567</v>
      </c>
      <c r="N1429" s="43">
        <v>5.006757149942521</v>
      </c>
      <c r="O1429" s="43">
        <v>5.0331076295810915</v>
      </c>
      <c r="P1429" s="109"/>
      <c r="Q1429" s="109"/>
      <c r="R1429" s="109">
        <v>3</v>
      </c>
    </row>
    <row r="1430" spans="1:18" ht="36">
      <c r="A1430" s="105">
        <v>112</v>
      </c>
      <c r="B1430" s="102" t="s">
        <v>2614</v>
      </c>
      <c r="C1430" s="106" t="s">
        <v>2615</v>
      </c>
      <c r="D1430" s="107">
        <v>42726.79</v>
      </c>
      <c r="E1430" s="107">
        <v>11401.59</v>
      </c>
      <c r="F1430" s="107">
        <v>28305.14</v>
      </c>
      <c r="G1430" s="107">
        <v>3020.06</v>
      </c>
      <c r="H1430" s="108">
        <v>289356.58</v>
      </c>
      <c r="I1430" s="108">
        <v>131123.17000000001</v>
      </c>
      <c r="J1430" s="108">
        <v>142960.04</v>
      </c>
      <c r="K1430" s="108">
        <v>15273.37</v>
      </c>
      <c r="L1430" s="43">
        <v>6.7722517886319098</v>
      </c>
      <c r="M1430" s="43">
        <v>11.500428449014569</v>
      </c>
      <c r="N1430" s="43">
        <v>5.0506741885042787</v>
      </c>
      <c r="O1430" s="43">
        <v>5.0573068084740038</v>
      </c>
      <c r="P1430" s="109"/>
      <c r="Q1430" s="109"/>
      <c r="R1430" s="109">
        <v>3</v>
      </c>
    </row>
    <row r="1431" spans="1:18" ht="36">
      <c r="A1431" s="105">
        <v>113</v>
      </c>
      <c r="B1431" s="102" t="s">
        <v>2616</v>
      </c>
      <c r="C1431" s="106" t="s">
        <v>2617</v>
      </c>
      <c r="D1431" s="107">
        <v>71548.55</v>
      </c>
      <c r="E1431" s="107">
        <v>19647.3</v>
      </c>
      <c r="F1431" s="107">
        <v>47230.87</v>
      </c>
      <c r="G1431" s="107">
        <v>4670.38</v>
      </c>
      <c r="H1431" s="108">
        <v>488375.47</v>
      </c>
      <c r="I1431" s="108">
        <v>225952.24</v>
      </c>
      <c r="J1431" s="108">
        <v>237760.97</v>
      </c>
      <c r="K1431" s="108">
        <v>24662.26</v>
      </c>
      <c r="L1431" s="43">
        <v>6.8257912983561502</v>
      </c>
      <c r="M1431" s="43">
        <v>11.50042194092827</v>
      </c>
      <c r="N1431" s="43">
        <v>5.0340163117893022</v>
      </c>
      <c r="O1431" s="43">
        <v>5.2805681764652981</v>
      </c>
      <c r="P1431" s="109"/>
      <c r="Q1431" s="109"/>
      <c r="R1431" s="109">
        <v>3</v>
      </c>
    </row>
    <row r="1432" spans="1:18" ht="24">
      <c r="A1432" s="105">
        <v>114</v>
      </c>
      <c r="B1432" s="102" t="s">
        <v>2618</v>
      </c>
      <c r="C1432" s="106" t="s">
        <v>2619</v>
      </c>
      <c r="D1432" s="107">
        <v>65430.12</v>
      </c>
      <c r="E1432" s="107">
        <v>14622.51</v>
      </c>
      <c r="F1432" s="107">
        <v>44841.57</v>
      </c>
      <c r="G1432" s="107">
        <v>5966.04</v>
      </c>
      <c r="H1432" s="108">
        <v>422343.05</v>
      </c>
      <c r="I1432" s="108">
        <v>168165.13</v>
      </c>
      <c r="J1432" s="108">
        <v>225737.35</v>
      </c>
      <c r="K1432" s="108">
        <v>28440.57</v>
      </c>
      <c r="L1432" s="43">
        <v>6.4548720069594854</v>
      </c>
      <c r="M1432" s="43">
        <v>11.500428449014567</v>
      </c>
      <c r="N1432" s="43">
        <v>5.0341089752209838</v>
      </c>
      <c r="O1432" s="43">
        <v>4.767076653860852</v>
      </c>
      <c r="P1432" s="109"/>
      <c r="Q1432" s="109"/>
      <c r="R1432" s="109">
        <v>3</v>
      </c>
    </row>
    <row r="1433" spans="1:18" ht="12.75" customHeight="1">
      <c r="A1433" s="628" t="s">
        <v>2620</v>
      </c>
      <c r="B1433" s="629"/>
      <c r="C1433" s="629"/>
      <c r="D1433" s="629"/>
      <c r="E1433" s="629"/>
      <c r="F1433" s="629"/>
      <c r="G1433" s="629"/>
      <c r="H1433" s="629"/>
      <c r="I1433" s="629"/>
      <c r="J1433" s="629"/>
      <c r="K1433" s="629"/>
      <c r="L1433" s="629"/>
      <c r="M1433" s="629"/>
      <c r="N1433" s="629"/>
      <c r="O1433" s="629"/>
      <c r="P1433" s="629"/>
      <c r="Q1433" s="629"/>
      <c r="R1433" s="629"/>
    </row>
    <row r="1434" spans="1:18" ht="12.75" customHeight="1">
      <c r="A1434" s="628" t="s">
        <v>2621</v>
      </c>
      <c r="B1434" s="629"/>
      <c r="C1434" s="629"/>
      <c r="D1434" s="629"/>
      <c r="E1434" s="629"/>
      <c r="F1434" s="629"/>
      <c r="G1434" s="629"/>
      <c r="H1434" s="629"/>
      <c r="I1434" s="629"/>
      <c r="J1434" s="629"/>
      <c r="K1434" s="629"/>
      <c r="L1434" s="629"/>
      <c r="M1434" s="629"/>
      <c r="N1434" s="629"/>
      <c r="O1434" s="629"/>
      <c r="P1434" s="629"/>
      <c r="Q1434" s="629"/>
      <c r="R1434" s="629"/>
    </row>
    <row r="1435" spans="1:18" ht="24">
      <c r="A1435" s="105">
        <v>115</v>
      </c>
      <c r="B1435" s="102" t="s">
        <v>2622</v>
      </c>
      <c r="C1435" s="106" t="s">
        <v>2623</v>
      </c>
      <c r="D1435" s="107">
        <v>29583.66</v>
      </c>
      <c r="E1435" s="107">
        <v>10059.540000000001</v>
      </c>
      <c r="F1435" s="107">
        <v>19312.93</v>
      </c>
      <c r="G1435" s="107">
        <v>211.19</v>
      </c>
      <c r="H1435" s="108">
        <v>222806.21</v>
      </c>
      <c r="I1435" s="108">
        <v>115689.02</v>
      </c>
      <c r="J1435" s="108">
        <v>104715.89</v>
      </c>
      <c r="K1435" s="108">
        <v>2401.3000000000002</v>
      </c>
      <c r="L1435" s="43">
        <v>7.5313943575608961</v>
      </c>
      <c r="M1435" s="43">
        <v>11.500428449014567</v>
      </c>
      <c r="N1435" s="43">
        <v>5.4220612822601231</v>
      </c>
      <c r="O1435" s="43">
        <v>11.370330034566031</v>
      </c>
      <c r="P1435" s="109"/>
      <c r="Q1435" s="109"/>
      <c r="R1435" s="109">
        <v>1</v>
      </c>
    </row>
    <row r="1436" spans="1:18" ht="24">
      <c r="A1436" s="105">
        <v>116</v>
      </c>
      <c r="B1436" s="102" t="s">
        <v>2624</v>
      </c>
      <c r="C1436" s="106" t="s">
        <v>2625</v>
      </c>
      <c r="D1436" s="107">
        <v>53287.96</v>
      </c>
      <c r="E1436" s="107">
        <v>14099.46</v>
      </c>
      <c r="F1436" s="107">
        <v>33356.44</v>
      </c>
      <c r="G1436" s="107">
        <v>5832.06</v>
      </c>
      <c r="H1436" s="108">
        <v>376438.77</v>
      </c>
      <c r="I1436" s="108">
        <v>162143.79</v>
      </c>
      <c r="J1436" s="108">
        <v>181413.22</v>
      </c>
      <c r="K1436" s="108">
        <v>32881.760000000002</v>
      </c>
      <c r="L1436" s="43">
        <v>7.0642368369890693</v>
      </c>
      <c r="M1436" s="43">
        <v>11.500000000000002</v>
      </c>
      <c r="N1436" s="43">
        <v>5.4386265440796437</v>
      </c>
      <c r="O1436" s="43">
        <v>5.6381038603855238</v>
      </c>
      <c r="P1436" s="109"/>
      <c r="Q1436" s="109"/>
      <c r="R1436" s="109">
        <v>1</v>
      </c>
    </row>
    <row r="1437" spans="1:18" ht="12.75" customHeight="1">
      <c r="A1437" s="628" t="s">
        <v>2626</v>
      </c>
      <c r="B1437" s="629"/>
      <c r="C1437" s="629"/>
      <c r="D1437" s="629"/>
      <c r="E1437" s="629"/>
      <c r="F1437" s="629"/>
      <c r="G1437" s="629"/>
      <c r="H1437" s="629"/>
      <c r="I1437" s="629"/>
      <c r="J1437" s="629"/>
      <c r="K1437" s="629"/>
      <c r="L1437" s="629"/>
      <c r="M1437" s="629"/>
      <c r="N1437" s="629"/>
      <c r="O1437" s="629"/>
      <c r="P1437" s="629"/>
      <c r="Q1437" s="629"/>
      <c r="R1437" s="629"/>
    </row>
    <row r="1438" spans="1:18" ht="24">
      <c r="A1438" s="105">
        <v>117</v>
      </c>
      <c r="B1438" s="102" t="s">
        <v>2627</v>
      </c>
      <c r="C1438" s="106" t="s">
        <v>2628</v>
      </c>
      <c r="D1438" s="107">
        <v>5011.2299999999996</v>
      </c>
      <c r="E1438" s="107">
        <v>1355</v>
      </c>
      <c r="F1438" s="107">
        <v>3627.09</v>
      </c>
      <c r="G1438" s="107">
        <v>29.14</v>
      </c>
      <c r="H1438" s="108">
        <v>35237.370000000003</v>
      </c>
      <c r="I1438" s="108">
        <v>15582.5</v>
      </c>
      <c r="J1438" s="108">
        <v>19325.34</v>
      </c>
      <c r="K1438" s="108">
        <v>329.53</v>
      </c>
      <c r="L1438" s="43">
        <v>7.0316808448225299</v>
      </c>
      <c r="M1438" s="43">
        <v>11.5</v>
      </c>
      <c r="N1438" s="43">
        <v>5.3280563757723129</v>
      </c>
      <c r="O1438" s="43">
        <v>11.308510638297872</v>
      </c>
      <c r="P1438" s="109"/>
      <c r="Q1438" s="109"/>
      <c r="R1438" s="109">
        <v>2</v>
      </c>
    </row>
    <row r="1439" spans="1:18" ht="24">
      <c r="A1439" s="105">
        <v>118</v>
      </c>
      <c r="B1439" s="102" t="s">
        <v>2629</v>
      </c>
      <c r="C1439" s="106" t="s">
        <v>2630</v>
      </c>
      <c r="D1439" s="107">
        <v>11852.09</v>
      </c>
      <c r="E1439" s="107">
        <v>4440</v>
      </c>
      <c r="F1439" s="107">
        <v>7317.37</v>
      </c>
      <c r="G1439" s="107">
        <v>94.72</v>
      </c>
      <c r="H1439" s="108">
        <v>91410.62</v>
      </c>
      <c r="I1439" s="108">
        <v>51060</v>
      </c>
      <c r="J1439" s="108">
        <v>39277.57</v>
      </c>
      <c r="K1439" s="108">
        <v>1073.05</v>
      </c>
      <c r="L1439" s="43">
        <v>7.712616087120499</v>
      </c>
      <c r="M1439" s="43">
        <v>11.5</v>
      </c>
      <c r="N1439" s="43">
        <v>5.3677168162878193</v>
      </c>
      <c r="O1439" s="43">
        <v>11.328652871621621</v>
      </c>
      <c r="P1439" s="109"/>
      <c r="Q1439" s="109"/>
      <c r="R1439" s="109">
        <v>2</v>
      </c>
    </row>
    <row r="1440" spans="1:18" ht="24">
      <c r="A1440" s="105">
        <v>119</v>
      </c>
      <c r="B1440" s="102" t="s">
        <v>2631</v>
      </c>
      <c r="C1440" s="106" t="s">
        <v>2632</v>
      </c>
      <c r="D1440" s="107">
        <v>162228.17000000001</v>
      </c>
      <c r="E1440" s="107">
        <v>24253.599999999999</v>
      </c>
      <c r="F1440" s="107">
        <v>121866.62</v>
      </c>
      <c r="G1440" s="107">
        <v>16107.95</v>
      </c>
      <c r="H1440" s="108">
        <v>955657.18</v>
      </c>
      <c r="I1440" s="108">
        <v>278916.40000000002</v>
      </c>
      <c r="J1440" s="108">
        <v>587801.29</v>
      </c>
      <c r="K1440" s="108">
        <v>88939.49</v>
      </c>
      <c r="L1440" s="43">
        <v>5.8908214276225888</v>
      </c>
      <c r="M1440" s="43">
        <v>11.500000000000002</v>
      </c>
      <c r="N1440" s="43">
        <v>4.8233165898914736</v>
      </c>
      <c r="O1440" s="43">
        <v>5.5214654875387623</v>
      </c>
      <c r="P1440" s="109"/>
      <c r="Q1440" s="109"/>
      <c r="R1440" s="109">
        <v>2</v>
      </c>
    </row>
    <row r="1441" spans="1:18" ht="36">
      <c r="A1441" s="105">
        <v>120</v>
      </c>
      <c r="B1441" s="102" t="s">
        <v>2633</v>
      </c>
      <c r="C1441" s="106" t="s">
        <v>2634</v>
      </c>
      <c r="D1441" s="107">
        <v>17305.810000000001</v>
      </c>
      <c r="E1441" s="107">
        <v>7982.28</v>
      </c>
      <c r="F1441" s="107">
        <v>9158</v>
      </c>
      <c r="G1441" s="107">
        <v>165.53</v>
      </c>
      <c r="H1441" s="108">
        <v>142850.67000000001</v>
      </c>
      <c r="I1441" s="108">
        <v>91799.64</v>
      </c>
      <c r="J1441" s="108">
        <v>49163.5</v>
      </c>
      <c r="K1441" s="108">
        <v>1887.53</v>
      </c>
      <c r="L1441" s="43">
        <v>8.2544919885287076</v>
      </c>
      <c r="M1441" s="43">
        <v>11.500428449014567</v>
      </c>
      <c r="N1441" s="43">
        <v>5.3683664555579824</v>
      </c>
      <c r="O1441" s="43">
        <v>11.402948106083489</v>
      </c>
      <c r="P1441" s="109"/>
      <c r="Q1441" s="109"/>
      <c r="R1441" s="109">
        <v>2</v>
      </c>
    </row>
    <row r="1442" spans="1:18" ht="12.75" customHeight="1">
      <c r="A1442" s="628" t="s">
        <v>2635</v>
      </c>
      <c r="B1442" s="629"/>
      <c r="C1442" s="629"/>
      <c r="D1442" s="629"/>
      <c r="E1442" s="629"/>
      <c r="F1442" s="629"/>
      <c r="G1442" s="629"/>
      <c r="H1442" s="629"/>
      <c r="I1442" s="629"/>
      <c r="J1442" s="629"/>
      <c r="K1442" s="629"/>
      <c r="L1442" s="629"/>
      <c r="M1442" s="629"/>
      <c r="N1442" s="629"/>
      <c r="O1442" s="629"/>
      <c r="P1442" s="629"/>
      <c r="Q1442" s="629"/>
      <c r="R1442" s="629"/>
    </row>
    <row r="1443" spans="1:18" ht="24">
      <c r="A1443" s="105">
        <v>121</v>
      </c>
      <c r="B1443" s="102" t="s">
        <v>2636</v>
      </c>
      <c r="C1443" s="106" t="s">
        <v>2637</v>
      </c>
      <c r="D1443" s="107">
        <v>1349.64</v>
      </c>
      <c r="E1443" s="107">
        <v>555.08000000000004</v>
      </c>
      <c r="F1443" s="107">
        <v>655.13</v>
      </c>
      <c r="G1443" s="107">
        <v>139.43</v>
      </c>
      <c r="H1443" s="108">
        <v>10474.870000000001</v>
      </c>
      <c r="I1443" s="108">
        <v>6383.7</v>
      </c>
      <c r="J1443" s="108">
        <v>3476.1</v>
      </c>
      <c r="K1443" s="108">
        <v>615.07000000000005</v>
      </c>
      <c r="L1443" s="43">
        <v>7.7612326249962953</v>
      </c>
      <c r="M1443" s="43">
        <v>11.500504431793614</v>
      </c>
      <c r="N1443" s="43">
        <v>5.3059698075191184</v>
      </c>
      <c r="O1443" s="43">
        <v>4.4113175069927566</v>
      </c>
      <c r="P1443" s="109"/>
      <c r="Q1443" s="109"/>
      <c r="R1443" s="109">
        <v>3</v>
      </c>
    </row>
    <row r="1444" spans="1:18" ht="24">
      <c r="A1444" s="105">
        <v>122</v>
      </c>
      <c r="B1444" s="102" t="s">
        <v>2638</v>
      </c>
      <c r="C1444" s="106" t="s">
        <v>2639</v>
      </c>
      <c r="D1444" s="107">
        <v>4182.18</v>
      </c>
      <c r="E1444" s="107">
        <v>1089.42</v>
      </c>
      <c r="F1444" s="107">
        <v>2762.24</v>
      </c>
      <c r="G1444" s="107">
        <v>330.52</v>
      </c>
      <c r="H1444" s="108">
        <v>28686.85</v>
      </c>
      <c r="I1444" s="108">
        <v>12528.38</v>
      </c>
      <c r="J1444" s="108">
        <v>14741.58</v>
      </c>
      <c r="K1444" s="108">
        <v>1416.89</v>
      </c>
      <c r="L1444" s="43">
        <v>6.8593054340081006</v>
      </c>
      <c r="M1444" s="43">
        <v>11.500045895981346</v>
      </c>
      <c r="N1444" s="43">
        <v>5.3368208410565341</v>
      </c>
      <c r="O1444" s="43">
        <v>4.2868510226310059</v>
      </c>
      <c r="P1444" s="109"/>
      <c r="Q1444" s="109"/>
      <c r="R1444" s="109">
        <v>3</v>
      </c>
    </row>
    <row r="1445" spans="1:18" ht="12.75" customHeight="1">
      <c r="A1445" s="628" t="s">
        <v>2640</v>
      </c>
      <c r="B1445" s="629"/>
      <c r="C1445" s="629"/>
      <c r="D1445" s="629"/>
      <c r="E1445" s="629"/>
      <c r="F1445" s="629"/>
      <c r="G1445" s="629"/>
      <c r="H1445" s="629"/>
      <c r="I1445" s="629"/>
      <c r="J1445" s="629"/>
      <c r="K1445" s="629"/>
      <c r="L1445" s="629"/>
      <c r="M1445" s="629"/>
      <c r="N1445" s="629"/>
      <c r="O1445" s="629"/>
      <c r="P1445" s="629"/>
      <c r="Q1445" s="629"/>
      <c r="R1445" s="629"/>
    </row>
    <row r="1446" spans="1:18" ht="12.75" customHeight="1">
      <c r="A1446" s="628" t="s">
        <v>2641</v>
      </c>
      <c r="B1446" s="629"/>
      <c r="C1446" s="629"/>
      <c r="D1446" s="629"/>
      <c r="E1446" s="629"/>
      <c r="F1446" s="629"/>
      <c r="G1446" s="629"/>
      <c r="H1446" s="629"/>
      <c r="I1446" s="629"/>
      <c r="J1446" s="629"/>
      <c r="K1446" s="629"/>
      <c r="L1446" s="629"/>
      <c r="M1446" s="629"/>
      <c r="N1446" s="629"/>
      <c r="O1446" s="629"/>
      <c r="P1446" s="629"/>
      <c r="Q1446" s="629"/>
      <c r="R1446" s="629"/>
    </row>
    <row r="1447" spans="1:18" ht="36">
      <c r="A1447" s="105">
        <v>123</v>
      </c>
      <c r="B1447" s="102" t="s">
        <v>2642</v>
      </c>
      <c r="C1447" s="106" t="s">
        <v>2643</v>
      </c>
      <c r="D1447" s="107">
        <v>1552.02</v>
      </c>
      <c r="E1447" s="107">
        <v>212.82</v>
      </c>
      <c r="F1447" s="107">
        <v>758.96</v>
      </c>
      <c r="G1447" s="107">
        <v>580.24</v>
      </c>
      <c r="H1447" s="108">
        <v>8788.85</v>
      </c>
      <c r="I1447" s="108">
        <v>2447.5</v>
      </c>
      <c r="J1447" s="108">
        <v>4152.3</v>
      </c>
      <c r="K1447" s="108">
        <v>2189.0500000000002</v>
      </c>
      <c r="L1447" s="43">
        <v>5.6628458396154695</v>
      </c>
      <c r="M1447" s="43">
        <v>11.500328916455221</v>
      </c>
      <c r="N1447" s="43">
        <v>5.4710393169600504</v>
      </c>
      <c r="O1447" s="43">
        <v>3.7726630359851097</v>
      </c>
      <c r="P1447" s="109"/>
      <c r="Q1447" s="109"/>
      <c r="R1447" s="109">
        <v>1</v>
      </c>
    </row>
    <row r="1448" spans="1:18" ht="24">
      <c r="A1448" s="105">
        <v>124</v>
      </c>
      <c r="B1448" s="102" t="s">
        <v>2644</v>
      </c>
      <c r="C1448" s="106" t="s">
        <v>2645</v>
      </c>
      <c r="D1448" s="107">
        <v>2618.2800000000002</v>
      </c>
      <c r="E1448" s="107">
        <v>209.53</v>
      </c>
      <c r="F1448" s="107">
        <v>1828.58</v>
      </c>
      <c r="G1448" s="107">
        <v>580.16999999999996</v>
      </c>
      <c r="H1448" s="108">
        <v>14539.27</v>
      </c>
      <c r="I1448" s="108">
        <v>2409.66</v>
      </c>
      <c r="J1448" s="108">
        <v>9941.36</v>
      </c>
      <c r="K1448" s="108">
        <v>2188.25</v>
      </c>
      <c r="L1448" s="43">
        <v>5.552985165834059</v>
      </c>
      <c r="M1448" s="43">
        <v>11.500310218107192</v>
      </c>
      <c r="N1448" s="43">
        <v>5.4366557656760985</v>
      </c>
      <c r="O1448" s="43">
        <v>3.7717393177861664</v>
      </c>
      <c r="P1448" s="109"/>
      <c r="Q1448" s="109"/>
      <c r="R1448" s="109">
        <v>1</v>
      </c>
    </row>
    <row r="1449" spans="1:18" ht="36">
      <c r="A1449" s="105">
        <v>125</v>
      </c>
      <c r="B1449" s="102" t="s">
        <v>2646</v>
      </c>
      <c r="C1449" s="106" t="s">
        <v>2647</v>
      </c>
      <c r="D1449" s="107">
        <v>2247.75</v>
      </c>
      <c r="E1449" s="107">
        <v>266.95999999999998</v>
      </c>
      <c r="F1449" s="107">
        <v>1399.47</v>
      </c>
      <c r="G1449" s="107">
        <v>581.32000000000005</v>
      </c>
      <c r="H1449" s="108">
        <v>12880.13</v>
      </c>
      <c r="I1449" s="108">
        <v>3070.04</v>
      </c>
      <c r="J1449" s="108">
        <v>7608.62</v>
      </c>
      <c r="K1449" s="108">
        <v>2201.4699999999998</v>
      </c>
      <c r="L1449" s="43">
        <v>5.7302324546768988</v>
      </c>
      <c r="M1449" s="43">
        <v>11.5</v>
      </c>
      <c r="N1449" s="43">
        <v>5.4367867835680652</v>
      </c>
      <c r="O1449" s="43">
        <v>3.7870191976880196</v>
      </c>
      <c r="P1449" s="109"/>
      <c r="Q1449" s="109"/>
      <c r="R1449" s="109">
        <v>1</v>
      </c>
    </row>
    <row r="1450" spans="1:18" ht="12.75" customHeight="1">
      <c r="A1450" s="628" t="s">
        <v>2648</v>
      </c>
      <c r="B1450" s="629"/>
      <c r="C1450" s="629"/>
      <c r="D1450" s="629"/>
      <c r="E1450" s="629"/>
      <c r="F1450" s="629"/>
      <c r="G1450" s="629"/>
      <c r="H1450" s="629"/>
      <c r="I1450" s="629"/>
      <c r="J1450" s="629"/>
      <c r="K1450" s="629"/>
      <c r="L1450" s="629"/>
      <c r="M1450" s="629"/>
      <c r="N1450" s="629"/>
      <c r="O1450" s="629"/>
      <c r="P1450" s="629"/>
      <c r="Q1450" s="629"/>
      <c r="R1450" s="629"/>
    </row>
    <row r="1451" spans="1:18" ht="12.75" customHeight="1">
      <c r="A1451" s="628" t="s">
        <v>2649</v>
      </c>
      <c r="B1451" s="629"/>
      <c r="C1451" s="629"/>
      <c r="D1451" s="629"/>
      <c r="E1451" s="629"/>
      <c r="F1451" s="629"/>
      <c r="G1451" s="629"/>
      <c r="H1451" s="629"/>
      <c r="I1451" s="629"/>
      <c r="J1451" s="629"/>
      <c r="K1451" s="629"/>
      <c r="L1451" s="629"/>
      <c r="M1451" s="629"/>
      <c r="N1451" s="629"/>
      <c r="O1451" s="629"/>
      <c r="P1451" s="629"/>
      <c r="Q1451" s="629"/>
      <c r="R1451" s="629"/>
    </row>
    <row r="1452" spans="1:18" ht="24">
      <c r="A1452" s="105">
        <v>126</v>
      </c>
      <c r="B1452" s="102" t="s">
        <v>2650</v>
      </c>
      <c r="C1452" s="106" t="s">
        <v>2651</v>
      </c>
      <c r="D1452" s="107">
        <v>23577.97</v>
      </c>
      <c r="E1452" s="107">
        <v>9172.6200000000008</v>
      </c>
      <c r="F1452" s="107">
        <v>13014.91</v>
      </c>
      <c r="G1452" s="107">
        <v>1390.44</v>
      </c>
      <c r="H1452" s="108">
        <v>181393.99</v>
      </c>
      <c r="I1452" s="108">
        <v>105489.06</v>
      </c>
      <c r="J1452" s="108">
        <v>69068.39</v>
      </c>
      <c r="K1452" s="108">
        <v>6836.54</v>
      </c>
      <c r="L1452" s="43">
        <v>7.6933675799909826</v>
      </c>
      <c r="M1452" s="43">
        <v>11.500428449014565</v>
      </c>
      <c r="N1452" s="43">
        <v>5.3068665092574596</v>
      </c>
      <c r="O1452" s="43">
        <v>4.9168176979948788</v>
      </c>
      <c r="P1452" s="109"/>
      <c r="Q1452" s="109"/>
      <c r="R1452" s="109">
        <v>1</v>
      </c>
    </row>
    <row r="1453" spans="1:18" ht="24">
      <c r="A1453" s="105">
        <v>127</v>
      </c>
      <c r="B1453" s="102" t="s">
        <v>2652</v>
      </c>
      <c r="C1453" s="106" t="s">
        <v>2653</v>
      </c>
      <c r="D1453" s="107">
        <v>30539.43</v>
      </c>
      <c r="E1453" s="107">
        <v>11331.57</v>
      </c>
      <c r="F1453" s="107">
        <v>16308.83</v>
      </c>
      <c r="G1453" s="107">
        <v>2899.03</v>
      </c>
      <c r="H1453" s="108">
        <v>229200.7</v>
      </c>
      <c r="I1453" s="108">
        <v>130317.91</v>
      </c>
      <c r="J1453" s="108">
        <v>86055.38</v>
      </c>
      <c r="K1453" s="108">
        <v>12827.41</v>
      </c>
      <c r="L1453" s="43">
        <v>7.5050745871812277</v>
      </c>
      <c r="M1453" s="43">
        <v>11.500428449014567</v>
      </c>
      <c r="N1453" s="43">
        <v>5.2766127306495934</v>
      </c>
      <c r="O1453" s="43">
        <v>4.4247248217507229</v>
      </c>
      <c r="P1453" s="109"/>
      <c r="Q1453" s="109"/>
      <c r="R1453" s="109">
        <v>1</v>
      </c>
    </row>
    <row r="1454" spans="1:18" ht="24">
      <c r="A1454" s="105">
        <v>128</v>
      </c>
      <c r="B1454" s="102" t="s">
        <v>2654</v>
      </c>
      <c r="C1454" s="106" t="s">
        <v>2655</v>
      </c>
      <c r="D1454" s="107">
        <v>3552.17</v>
      </c>
      <c r="E1454" s="107">
        <v>351.87</v>
      </c>
      <c r="F1454" s="107">
        <v>2502.56</v>
      </c>
      <c r="G1454" s="107">
        <v>697.74</v>
      </c>
      <c r="H1454" s="108">
        <v>20104.599999999999</v>
      </c>
      <c r="I1454" s="108">
        <v>4046.51</v>
      </c>
      <c r="J1454" s="108">
        <v>13413.23</v>
      </c>
      <c r="K1454" s="108">
        <v>2644.86</v>
      </c>
      <c r="L1454" s="43">
        <v>5.6598079483808483</v>
      </c>
      <c r="M1454" s="43">
        <v>11.50001420979339</v>
      </c>
      <c r="N1454" s="43">
        <v>5.3598035611533792</v>
      </c>
      <c r="O1454" s="43">
        <v>3.7906096826898272</v>
      </c>
      <c r="P1454" s="109"/>
      <c r="Q1454" s="109"/>
      <c r="R1454" s="109">
        <v>1</v>
      </c>
    </row>
    <row r="1455" spans="1:18" ht="36">
      <c r="A1455" s="105">
        <v>129</v>
      </c>
      <c r="B1455" s="102" t="s">
        <v>2656</v>
      </c>
      <c r="C1455" s="106" t="s">
        <v>2657</v>
      </c>
      <c r="D1455" s="107">
        <v>5440.26</v>
      </c>
      <c r="E1455" s="107">
        <v>531.65</v>
      </c>
      <c r="F1455" s="107">
        <v>3977.84</v>
      </c>
      <c r="G1455" s="107">
        <v>930.77</v>
      </c>
      <c r="H1455" s="108">
        <v>31788.71</v>
      </c>
      <c r="I1455" s="108">
        <v>6114</v>
      </c>
      <c r="J1455" s="108">
        <v>22140.880000000001</v>
      </c>
      <c r="K1455" s="108">
        <v>3533.83</v>
      </c>
      <c r="L1455" s="43">
        <v>5.8432335954531585</v>
      </c>
      <c r="M1455" s="43">
        <v>11.500047023417663</v>
      </c>
      <c r="N1455" s="43">
        <v>5.5660559499627942</v>
      </c>
      <c r="O1455" s="43">
        <v>3.7966737217572546</v>
      </c>
      <c r="P1455" s="109"/>
      <c r="Q1455" s="109"/>
      <c r="R1455" s="109">
        <v>1</v>
      </c>
    </row>
    <row r="1456" spans="1:18" ht="12.75" customHeight="1">
      <c r="A1456" s="628" t="s">
        <v>2658</v>
      </c>
      <c r="B1456" s="629"/>
      <c r="C1456" s="629"/>
      <c r="D1456" s="629"/>
      <c r="E1456" s="629"/>
      <c r="F1456" s="629"/>
      <c r="G1456" s="629"/>
      <c r="H1456" s="629"/>
      <c r="I1456" s="629"/>
      <c r="J1456" s="629"/>
      <c r="K1456" s="629"/>
      <c r="L1456" s="629"/>
      <c r="M1456" s="629"/>
      <c r="N1456" s="629"/>
      <c r="O1456" s="629"/>
      <c r="P1456" s="629"/>
      <c r="Q1456" s="629"/>
      <c r="R1456" s="629"/>
    </row>
    <row r="1457" spans="1:18" ht="12.75" customHeight="1">
      <c r="A1457" s="628" t="s">
        <v>2659</v>
      </c>
      <c r="B1457" s="629"/>
      <c r="C1457" s="629"/>
      <c r="D1457" s="629"/>
      <c r="E1457" s="629"/>
      <c r="F1457" s="629"/>
      <c r="G1457" s="629"/>
      <c r="H1457" s="629"/>
      <c r="I1457" s="629"/>
      <c r="J1457" s="629"/>
      <c r="K1457" s="629"/>
      <c r="L1457" s="629"/>
      <c r="M1457" s="629"/>
      <c r="N1457" s="629"/>
      <c r="O1457" s="629"/>
      <c r="P1457" s="629"/>
      <c r="Q1457" s="629"/>
      <c r="R1457" s="629"/>
    </row>
    <row r="1458" spans="1:18" ht="24">
      <c r="A1458" s="105">
        <v>130</v>
      </c>
      <c r="B1458" s="102" t="s">
        <v>2660</v>
      </c>
      <c r="C1458" s="106" t="s">
        <v>2661</v>
      </c>
      <c r="D1458" s="107">
        <v>2708.16</v>
      </c>
      <c r="E1458" s="107">
        <v>855.81</v>
      </c>
      <c r="F1458" s="107">
        <v>1396.09</v>
      </c>
      <c r="G1458" s="107">
        <v>456.26</v>
      </c>
      <c r="H1458" s="108">
        <v>19405.54</v>
      </c>
      <c r="I1458" s="108">
        <v>9841.82</v>
      </c>
      <c r="J1458" s="108">
        <v>7467.96</v>
      </c>
      <c r="K1458" s="108">
        <v>2095.7600000000002</v>
      </c>
      <c r="L1458" s="43">
        <v>7.1655810587262208</v>
      </c>
      <c r="M1458" s="43">
        <v>11.500005842418295</v>
      </c>
      <c r="N1458" s="43">
        <v>5.3491966850274695</v>
      </c>
      <c r="O1458" s="43">
        <v>4.5933458992679617</v>
      </c>
      <c r="P1458" s="109"/>
      <c r="Q1458" s="109"/>
      <c r="R1458" s="109">
        <v>1</v>
      </c>
    </row>
    <row r="1459" spans="1:18" ht="24">
      <c r="A1459" s="105">
        <v>131</v>
      </c>
      <c r="B1459" s="102" t="s">
        <v>2662</v>
      </c>
      <c r="C1459" s="106" t="s">
        <v>2663</v>
      </c>
      <c r="D1459" s="107">
        <v>3339.75</v>
      </c>
      <c r="E1459" s="107">
        <v>919.43</v>
      </c>
      <c r="F1459" s="107">
        <v>1764.3</v>
      </c>
      <c r="G1459" s="107">
        <v>656.02</v>
      </c>
      <c r="H1459" s="108">
        <v>23036.21</v>
      </c>
      <c r="I1459" s="108">
        <v>10573.47</v>
      </c>
      <c r="J1459" s="108">
        <v>9438.6299999999992</v>
      </c>
      <c r="K1459" s="108">
        <v>3024.11</v>
      </c>
      <c r="L1459" s="43">
        <v>6.8975851485889663</v>
      </c>
      <c r="M1459" s="43">
        <v>11.500027190759493</v>
      </c>
      <c r="N1459" s="43">
        <v>5.3497874511137562</v>
      </c>
      <c r="O1459" s="43">
        <v>4.609783238315905</v>
      </c>
      <c r="P1459" s="109"/>
      <c r="Q1459" s="109"/>
      <c r="R1459" s="109">
        <v>1</v>
      </c>
    </row>
    <row r="1460" spans="1:18" ht="24">
      <c r="A1460" s="105">
        <v>132</v>
      </c>
      <c r="B1460" s="102" t="s">
        <v>2664</v>
      </c>
      <c r="C1460" s="106" t="s">
        <v>2665</v>
      </c>
      <c r="D1460" s="107">
        <v>4272.9799999999996</v>
      </c>
      <c r="E1460" s="107">
        <v>1046.44</v>
      </c>
      <c r="F1460" s="107">
        <v>2285.46</v>
      </c>
      <c r="G1460" s="107">
        <v>941.08</v>
      </c>
      <c r="H1460" s="108">
        <v>28770.34</v>
      </c>
      <c r="I1460" s="108">
        <v>12034.11</v>
      </c>
      <c r="J1460" s="108">
        <v>12269.77</v>
      </c>
      <c r="K1460" s="108">
        <v>4466.46</v>
      </c>
      <c r="L1460" s="43">
        <v>6.7330855749383343</v>
      </c>
      <c r="M1460" s="43">
        <v>11.500047781048124</v>
      </c>
      <c r="N1460" s="43">
        <v>5.3686216341568</v>
      </c>
      <c r="O1460" s="43">
        <v>4.7461002252730902</v>
      </c>
      <c r="P1460" s="109"/>
      <c r="Q1460" s="109"/>
      <c r="R1460" s="109">
        <v>1</v>
      </c>
    </row>
    <row r="1461" spans="1:18" ht="24">
      <c r="A1461" s="105">
        <v>133</v>
      </c>
      <c r="B1461" s="102" t="s">
        <v>2666</v>
      </c>
      <c r="C1461" s="106" t="s">
        <v>2667</v>
      </c>
      <c r="D1461" s="107">
        <v>2949.94</v>
      </c>
      <c r="E1461" s="107">
        <v>831.76</v>
      </c>
      <c r="F1461" s="107">
        <v>1525.97</v>
      </c>
      <c r="G1461" s="107">
        <v>592.21</v>
      </c>
      <c r="H1461" s="108">
        <v>20454.650000000001</v>
      </c>
      <c r="I1461" s="108">
        <v>9565.24</v>
      </c>
      <c r="J1461" s="108">
        <v>8179.71</v>
      </c>
      <c r="K1461" s="108">
        <v>2709.7</v>
      </c>
      <c r="L1461" s="43">
        <v>6.9339206899123376</v>
      </c>
      <c r="M1461" s="43">
        <v>11.5</v>
      </c>
      <c r="N1461" s="43">
        <v>5.3603347379044148</v>
      </c>
      <c r="O1461" s="43">
        <v>4.5755728542240082</v>
      </c>
      <c r="P1461" s="109"/>
      <c r="Q1461" s="109"/>
      <c r="R1461" s="109">
        <v>1</v>
      </c>
    </row>
    <row r="1462" spans="1:18" ht="24">
      <c r="A1462" s="105">
        <v>134</v>
      </c>
      <c r="B1462" s="102" t="s">
        <v>2668</v>
      </c>
      <c r="C1462" s="106" t="s">
        <v>2669</v>
      </c>
      <c r="D1462" s="107">
        <v>3255.55</v>
      </c>
      <c r="E1462" s="107">
        <v>911.56</v>
      </c>
      <c r="F1462" s="107">
        <v>1670.33</v>
      </c>
      <c r="G1462" s="107">
        <v>673.66</v>
      </c>
      <c r="H1462" s="108">
        <v>22546.880000000001</v>
      </c>
      <c r="I1462" s="108">
        <v>10482.99</v>
      </c>
      <c r="J1462" s="108">
        <v>8953.51</v>
      </c>
      <c r="K1462" s="108">
        <v>3110.38</v>
      </c>
      <c r="L1462" s="43">
        <v>6.925674617192179</v>
      </c>
      <c r="M1462" s="43">
        <v>11.500054851024618</v>
      </c>
      <c r="N1462" s="43">
        <v>5.3603240078307879</v>
      </c>
      <c r="O1462" s="43">
        <v>4.6171362408336556</v>
      </c>
      <c r="P1462" s="109"/>
      <c r="Q1462" s="109"/>
      <c r="R1462" s="109">
        <v>1</v>
      </c>
    </row>
    <row r="1463" spans="1:18" ht="24">
      <c r="A1463" s="105">
        <v>135</v>
      </c>
      <c r="B1463" s="102" t="s">
        <v>2670</v>
      </c>
      <c r="C1463" s="106" t="s">
        <v>2671</v>
      </c>
      <c r="D1463" s="107">
        <v>4879.88</v>
      </c>
      <c r="E1463" s="107">
        <v>1540.44</v>
      </c>
      <c r="F1463" s="107">
        <v>1514.7</v>
      </c>
      <c r="G1463" s="107">
        <v>1824.74</v>
      </c>
      <c r="H1463" s="108">
        <v>34741.699999999997</v>
      </c>
      <c r="I1463" s="108">
        <v>17715.72</v>
      </c>
      <c r="J1463" s="108">
        <v>8448.17</v>
      </c>
      <c r="K1463" s="108">
        <v>8577.81</v>
      </c>
      <c r="L1463" s="43">
        <v>7.1193758862922847</v>
      </c>
      <c r="M1463" s="43">
        <v>11.500428449014567</v>
      </c>
      <c r="N1463" s="43">
        <v>5.5774542813758501</v>
      </c>
      <c r="O1463" s="43">
        <v>4.7008395716650044</v>
      </c>
      <c r="P1463" s="109"/>
      <c r="Q1463" s="109"/>
      <c r="R1463" s="109">
        <v>1</v>
      </c>
    </row>
    <row r="1464" spans="1:18" ht="24">
      <c r="A1464" s="105">
        <v>136</v>
      </c>
      <c r="B1464" s="102" t="s">
        <v>2672</v>
      </c>
      <c r="C1464" s="106" t="s">
        <v>2673</v>
      </c>
      <c r="D1464" s="107">
        <v>10168.25</v>
      </c>
      <c r="E1464" s="107">
        <v>2713.65</v>
      </c>
      <c r="F1464" s="107">
        <v>4155.75</v>
      </c>
      <c r="G1464" s="107">
        <v>3298.85</v>
      </c>
      <c r="H1464" s="108">
        <v>68080.289999999994</v>
      </c>
      <c r="I1464" s="108">
        <v>31208.12</v>
      </c>
      <c r="J1464" s="108">
        <v>21585.8</v>
      </c>
      <c r="K1464" s="108">
        <v>15286.37</v>
      </c>
      <c r="L1464" s="43">
        <v>6.6953792442160642</v>
      </c>
      <c r="M1464" s="43">
        <v>11.50042194092827</v>
      </c>
      <c r="N1464" s="43">
        <v>5.1942008061120131</v>
      </c>
      <c r="O1464" s="43">
        <v>4.6338481592069964</v>
      </c>
      <c r="P1464" s="109"/>
      <c r="Q1464" s="109"/>
      <c r="R1464" s="109">
        <v>1</v>
      </c>
    </row>
    <row r="1465" spans="1:18" ht="24">
      <c r="A1465" s="105">
        <v>137</v>
      </c>
      <c r="B1465" s="102" t="s">
        <v>2674</v>
      </c>
      <c r="C1465" s="106" t="s">
        <v>2675</v>
      </c>
      <c r="D1465" s="107">
        <v>16124.83</v>
      </c>
      <c r="E1465" s="107">
        <v>4881.6499999999996</v>
      </c>
      <c r="F1465" s="107">
        <v>5504.32</v>
      </c>
      <c r="G1465" s="107">
        <v>5738.86</v>
      </c>
      <c r="H1465" s="108">
        <v>109890.75</v>
      </c>
      <c r="I1465" s="108">
        <v>56141.2</v>
      </c>
      <c r="J1465" s="108">
        <v>30516.560000000001</v>
      </c>
      <c r="K1465" s="108">
        <v>23232.99</v>
      </c>
      <c r="L1465" s="43">
        <v>6.8150020806420901</v>
      </c>
      <c r="M1465" s="43">
        <v>11.500455788514129</v>
      </c>
      <c r="N1465" s="43">
        <v>5.544110807511192</v>
      </c>
      <c r="O1465" s="43">
        <v>4.0483632637840969</v>
      </c>
      <c r="P1465" s="109"/>
      <c r="Q1465" s="109"/>
      <c r="R1465" s="109">
        <v>1</v>
      </c>
    </row>
    <row r="1466" spans="1:18" ht="24">
      <c r="A1466" s="105">
        <v>138</v>
      </c>
      <c r="B1466" s="102" t="s">
        <v>2676</v>
      </c>
      <c r="C1466" s="106" t="s">
        <v>2677</v>
      </c>
      <c r="D1466" s="107">
        <v>26768.71</v>
      </c>
      <c r="E1466" s="107">
        <v>7998.75</v>
      </c>
      <c r="F1466" s="107">
        <v>12947.54</v>
      </c>
      <c r="G1466" s="107">
        <v>5822.42</v>
      </c>
      <c r="H1466" s="108">
        <v>185489.77</v>
      </c>
      <c r="I1466" s="108">
        <v>91989</v>
      </c>
      <c r="J1466" s="108">
        <v>68990.52</v>
      </c>
      <c r="K1466" s="108">
        <v>24510.25</v>
      </c>
      <c r="L1466" s="43">
        <v>6.9293503497180104</v>
      </c>
      <c r="M1466" s="43">
        <v>11.50042194092827</v>
      </c>
      <c r="N1466" s="43">
        <v>5.3284654845630905</v>
      </c>
      <c r="O1466" s="43">
        <v>4.209632764383195</v>
      </c>
      <c r="P1466" s="109"/>
      <c r="Q1466" s="109"/>
      <c r="R1466" s="109">
        <v>1</v>
      </c>
    </row>
    <row r="1467" spans="1:18" ht="24">
      <c r="A1467" s="105">
        <v>139</v>
      </c>
      <c r="B1467" s="102" t="s">
        <v>2678</v>
      </c>
      <c r="C1467" s="106" t="s">
        <v>2679</v>
      </c>
      <c r="D1467" s="107">
        <v>42847.41</v>
      </c>
      <c r="E1467" s="107">
        <v>8635.7999999999993</v>
      </c>
      <c r="F1467" s="107">
        <v>27466.16</v>
      </c>
      <c r="G1467" s="107">
        <v>6745.45</v>
      </c>
      <c r="H1467" s="108">
        <v>273032.12</v>
      </c>
      <c r="I1467" s="108">
        <v>99315.4</v>
      </c>
      <c r="J1467" s="108">
        <v>145401.28</v>
      </c>
      <c r="K1467" s="108">
        <v>28315.439999999999</v>
      </c>
      <c r="L1467" s="43">
        <v>6.3721965925128261</v>
      </c>
      <c r="M1467" s="43">
        <v>11.500428449014567</v>
      </c>
      <c r="N1467" s="43">
        <v>5.2938335755708117</v>
      </c>
      <c r="O1467" s="43">
        <v>4.1977095671897349</v>
      </c>
      <c r="P1467" s="109"/>
      <c r="Q1467" s="109"/>
      <c r="R1467" s="109">
        <v>1</v>
      </c>
    </row>
    <row r="1468" spans="1:18" ht="12.75" customHeight="1">
      <c r="A1468" s="628" t="s">
        <v>2680</v>
      </c>
      <c r="B1468" s="629"/>
      <c r="C1468" s="629"/>
      <c r="D1468" s="629"/>
      <c r="E1468" s="629"/>
      <c r="F1468" s="629"/>
      <c r="G1468" s="629"/>
      <c r="H1468" s="629"/>
      <c r="I1468" s="629"/>
      <c r="J1468" s="629"/>
      <c r="K1468" s="629"/>
      <c r="L1468" s="629"/>
      <c r="M1468" s="629"/>
      <c r="N1468" s="629"/>
      <c r="O1468" s="629"/>
      <c r="P1468" s="629"/>
      <c r="Q1468" s="629"/>
      <c r="R1468" s="629"/>
    </row>
    <row r="1469" spans="1:18" ht="12.75" customHeight="1">
      <c r="A1469" s="628" t="s">
        <v>2681</v>
      </c>
      <c r="B1469" s="629"/>
      <c r="C1469" s="629"/>
      <c r="D1469" s="629"/>
      <c r="E1469" s="629"/>
      <c r="F1469" s="629"/>
      <c r="G1469" s="629"/>
      <c r="H1469" s="629"/>
      <c r="I1469" s="629"/>
      <c r="J1469" s="629"/>
      <c r="K1469" s="629"/>
      <c r="L1469" s="629"/>
      <c r="M1469" s="629"/>
      <c r="N1469" s="629"/>
      <c r="O1469" s="629"/>
      <c r="P1469" s="629"/>
      <c r="Q1469" s="629"/>
      <c r="R1469" s="629"/>
    </row>
    <row r="1470" spans="1:18" ht="36">
      <c r="A1470" s="105">
        <v>140</v>
      </c>
      <c r="B1470" s="102" t="s">
        <v>2682</v>
      </c>
      <c r="C1470" s="106" t="s">
        <v>2683</v>
      </c>
      <c r="D1470" s="107">
        <v>1114.8</v>
      </c>
      <c r="E1470" s="107">
        <v>188.68</v>
      </c>
      <c r="F1470" s="107">
        <v>919.97</v>
      </c>
      <c r="G1470" s="107">
        <v>6.15</v>
      </c>
      <c r="H1470" s="108">
        <v>7258.51</v>
      </c>
      <c r="I1470" s="108">
        <v>2169.9499999999998</v>
      </c>
      <c r="J1470" s="108">
        <v>5024.34</v>
      </c>
      <c r="K1470" s="108">
        <v>64.22</v>
      </c>
      <c r="L1470" s="43">
        <v>6.5110423394330823</v>
      </c>
      <c r="M1470" s="43">
        <v>11.50068899724401</v>
      </c>
      <c r="N1470" s="43">
        <v>5.4614172201267435</v>
      </c>
      <c r="O1470" s="43">
        <v>10.442276422764227</v>
      </c>
      <c r="P1470" s="109"/>
      <c r="Q1470" s="109"/>
      <c r="R1470" s="109">
        <v>1</v>
      </c>
    </row>
    <row r="1471" spans="1:18" ht="36">
      <c r="A1471" s="105">
        <v>141</v>
      </c>
      <c r="B1471" s="102" t="s">
        <v>2684</v>
      </c>
      <c r="C1471" s="106" t="s">
        <v>2685</v>
      </c>
      <c r="D1471" s="107">
        <v>1397.88</v>
      </c>
      <c r="E1471" s="107">
        <v>300.58</v>
      </c>
      <c r="F1471" s="107">
        <v>1072.25</v>
      </c>
      <c r="G1471" s="107">
        <v>25.05</v>
      </c>
      <c r="H1471" s="108">
        <v>9547.93</v>
      </c>
      <c r="I1471" s="108">
        <v>3456.78</v>
      </c>
      <c r="J1471" s="108">
        <v>5855.15</v>
      </c>
      <c r="K1471" s="108">
        <v>236</v>
      </c>
      <c r="L1471" s="43">
        <v>6.8302930151372072</v>
      </c>
      <c r="M1471" s="43">
        <v>11.500365959145652</v>
      </c>
      <c r="N1471" s="43">
        <v>5.4606201911867567</v>
      </c>
      <c r="O1471" s="43">
        <v>9.4211576846307388</v>
      </c>
      <c r="P1471" s="109"/>
      <c r="Q1471" s="109"/>
      <c r="R1471" s="109">
        <v>1</v>
      </c>
    </row>
    <row r="1472" spans="1:18" ht="36">
      <c r="A1472" s="105">
        <v>142</v>
      </c>
      <c r="B1472" s="102" t="s">
        <v>2686</v>
      </c>
      <c r="C1472" s="106" t="s">
        <v>2687</v>
      </c>
      <c r="D1472" s="107">
        <v>2809.81</v>
      </c>
      <c r="E1472" s="107">
        <v>707</v>
      </c>
      <c r="F1472" s="107">
        <v>2069.63</v>
      </c>
      <c r="G1472" s="107">
        <v>33.18</v>
      </c>
      <c r="H1472" s="108">
        <v>19778.689999999999</v>
      </c>
      <c r="I1472" s="108">
        <v>8130.45</v>
      </c>
      <c r="J1472" s="108">
        <v>11318.75</v>
      </c>
      <c r="K1472" s="108">
        <v>329.49</v>
      </c>
      <c r="L1472" s="43">
        <v>7.0391556724476025</v>
      </c>
      <c r="M1472" s="43">
        <v>11.499929278642149</v>
      </c>
      <c r="N1472" s="43">
        <v>5.4689727149297216</v>
      </c>
      <c r="O1472" s="43">
        <v>9.9303797468354436</v>
      </c>
      <c r="P1472" s="109"/>
      <c r="Q1472" s="109"/>
      <c r="R1472" s="109">
        <v>1</v>
      </c>
    </row>
    <row r="1473" spans="1:18" ht="36">
      <c r="A1473" s="105">
        <v>143</v>
      </c>
      <c r="B1473" s="102" t="s">
        <v>2688</v>
      </c>
      <c r="C1473" s="106" t="s">
        <v>2689</v>
      </c>
      <c r="D1473" s="107">
        <v>3432.19</v>
      </c>
      <c r="E1473" s="107">
        <v>788.1</v>
      </c>
      <c r="F1473" s="107">
        <v>2604.5300000000002</v>
      </c>
      <c r="G1473" s="107">
        <v>39.56</v>
      </c>
      <c r="H1473" s="108">
        <v>23696.93</v>
      </c>
      <c r="I1473" s="108">
        <v>9063.15</v>
      </c>
      <c r="J1473" s="108">
        <v>14243.94</v>
      </c>
      <c r="K1473" s="108">
        <v>389.84</v>
      </c>
      <c r="L1473" s="43">
        <v>6.9043176514120725</v>
      </c>
      <c r="M1473" s="43">
        <v>11.5</v>
      </c>
      <c r="N1473" s="43">
        <v>5.4689099376854937</v>
      </c>
      <c r="O1473" s="43">
        <v>9.8543983822042449</v>
      </c>
      <c r="P1473" s="109"/>
      <c r="Q1473" s="109"/>
      <c r="R1473" s="109">
        <v>1</v>
      </c>
    </row>
    <row r="1474" spans="1:18" ht="36">
      <c r="A1474" s="105">
        <v>144</v>
      </c>
      <c r="B1474" s="102" t="s">
        <v>2690</v>
      </c>
      <c r="C1474" s="106" t="s">
        <v>2691</v>
      </c>
      <c r="D1474" s="107">
        <v>477.34</v>
      </c>
      <c r="E1474" s="107">
        <v>118.68</v>
      </c>
      <c r="F1474" s="107">
        <v>353.91</v>
      </c>
      <c r="G1474" s="107">
        <v>4.75</v>
      </c>
      <c r="H1474" s="108">
        <v>3351.24</v>
      </c>
      <c r="I1474" s="108">
        <v>1364.82</v>
      </c>
      <c r="J1474" s="108">
        <v>1938.3</v>
      </c>
      <c r="K1474" s="108">
        <v>48.12</v>
      </c>
      <c r="L1474" s="43">
        <v>7.0206561360874851</v>
      </c>
      <c r="M1474" s="43">
        <v>11.499999999999998</v>
      </c>
      <c r="N1474" s="43">
        <v>5.4768161396965329</v>
      </c>
      <c r="O1474" s="43">
        <v>10.130526315789472</v>
      </c>
      <c r="P1474" s="109"/>
      <c r="Q1474" s="109"/>
      <c r="R1474" s="109">
        <v>1</v>
      </c>
    </row>
    <row r="1475" spans="1:18" ht="36">
      <c r="A1475" s="105">
        <v>145</v>
      </c>
      <c r="B1475" s="102" t="s">
        <v>2692</v>
      </c>
      <c r="C1475" s="106" t="s">
        <v>2693</v>
      </c>
      <c r="D1475" s="107">
        <v>603.20000000000005</v>
      </c>
      <c r="E1475" s="107">
        <v>147.06</v>
      </c>
      <c r="F1475" s="107">
        <v>450.21</v>
      </c>
      <c r="G1475" s="107">
        <v>5.93</v>
      </c>
      <c r="H1475" s="108">
        <v>4216.62</v>
      </c>
      <c r="I1475" s="108">
        <v>1691.21</v>
      </c>
      <c r="J1475" s="108">
        <v>2465.38</v>
      </c>
      <c r="K1475" s="108">
        <v>60.03</v>
      </c>
      <c r="L1475" s="43">
        <v>6.9904177718832887</v>
      </c>
      <c r="M1475" s="43">
        <v>11.500135998912009</v>
      </c>
      <c r="N1475" s="43">
        <v>5.4760667244174943</v>
      </c>
      <c r="O1475" s="43">
        <v>10.123102866779091</v>
      </c>
      <c r="P1475" s="109"/>
      <c r="Q1475" s="109"/>
      <c r="R1475" s="109">
        <v>1</v>
      </c>
    </row>
    <row r="1476" spans="1:18" ht="12.75" customHeight="1">
      <c r="A1476" s="628" t="s">
        <v>2694</v>
      </c>
      <c r="B1476" s="629"/>
      <c r="C1476" s="629"/>
      <c r="D1476" s="629"/>
      <c r="E1476" s="629"/>
      <c r="F1476" s="629"/>
      <c r="G1476" s="629"/>
      <c r="H1476" s="629"/>
      <c r="I1476" s="629"/>
      <c r="J1476" s="629"/>
      <c r="K1476" s="629"/>
      <c r="L1476" s="629"/>
      <c r="M1476" s="629"/>
      <c r="N1476" s="629"/>
      <c r="O1476" s="629"/>
      <c r="P1476" s="629"/>
      <c r="Q1476" s="629"/>
      <c r="R1476" s="629"/>
    </row>
    <row r="1477" spans="1:18" ht="12.75" customHeight="1">
      <c r="A1477" s="628" t="s">
        <v>2695</v>
      </c>
      <c r="B1477" s="629"/>
      <c r="C1477" s="629"/>
      <c r="D1477" s="629"/>
      <c r="E1477" s="629"/>
      <c r="F1477" s="629"/>
      <c r="G1477" s="629"/>
      <c r="H1477" s="629"/>
      <c r="I1477" s="629"/>
      <c r="J1477" s="629"/>
      <c r="K1477" s="629"/>
      <c r="L1477" s="629"/>
      <c r="M1477" s="629"/>
      <c r="N1477" s="629"/>
      <c r="O1477" s="629"/>
      <c r="P1477" s="629"/>
      <c r="Q1477" s="629"/>
      <c r="R1477" s="629"/>
    </row>
    <row r="1478" spans="1:18" ht="24">
      <c r="A1478" s="105">
        <v>146</v>
      </c>
      <c r="B1478" s="102" t="s">
        <v>2696</v>
      </c>
      <c r="C1478" s="106" t="s">
        <v>2697</v>
      </c>
      <c r="D1478" s="107">
        <v>4951.95</v>
      </c>
      <c r="E1478" s="107">
        <v>1322.48</v>
      </c>
      <c r="F1478" s="107">
        <v>3156.5</v>
      </c>
      <c r="G1478" s="107">
        <v>472.97</v>
      </c>
      <c r="H1478" s="108">
        <v>34238.519999999997</v>
      </c>
      <c r="I1478" s="108">
        <v>15208.52</v>
      </c>
      <c r="J1478" s="108">
        <v>16993.38</v>
      </c>
      <c r="K1478" s="108">
        <v>2036.62</v>
      </c>
      <c r="L1478" s="43">
        <v>6.9141489716172417</v>
      </c>
      <c r="M1478" s="43">
        <v>11.5</v>
      </c>
      <c r="N1478" s="43">
        <v>5.383614763187075</v>
      </c>
      <c r="O1478" s="43">
        <v>4.3060236378628662</v>
      </c>
      <c r="P1478" s="109"/>
      <c r="Q1478" s="109"/>
      <c r="R1478" s="109">
        <v>1</v>
      </c>
    </row>
    <row r="1479" spans="1:18" ht="24">
      <c r="A1479" s="110">
        <v>147</v>
      </c>
      <c r="B1479" s="111" t="s">
        <v>2698</v>
      </c>
      <c r="C1479" s="112" t="s">
        <v>2699</v>
      </c>
      <c r="D1479" s="113">
        <v>7174.59</v>
      </c>
      <c r="E1479" s="113">
        <v>1918.68</v>
      </c>
      <c r="F1479" s="113">
        <v>4758.78</v>
      </c>
      <c r="G1479" s="113">
        <v>497.13</v>
      </c>
      <c r="H1479" s="114">
        <v>49970.15</v>
      </c>
      <c r="I1479" s="114">
        <v>22064.82</v>
      </c>
      <c r="J1479" s="114">
        <v>25624.35</v>
      </c>
      <c r="K1479" s="114">
        <v>2280.98</v>
      </c>
      <c r="L1479" s="611">
        <v>6.9648788293128945</v>
      </c>
      <c r="M1479" s="611">
        <v>11.5</v>
      </c>
      <c r="N1479" s="611">
        <v>5.3846469052992569</v>
      </c>
      <c r="O1479" s="611">
        <v>4.588296823768431</v>
      </c>
      <c r="P1479" s="115"/>
      <c r="Q1479" s="115"/>
      <c r="R1479" s="115">
        <v>1</v>
      </c>
    </row>
    <row r="1480" spans="1:18" ht="12.75" customHeight="1">
      <c r="A1480" s="630" t="s">
        <v>2700</v>
      </c>
      <c r="B1480" s="631"/>
      <c r="C1480" s="631"/>
      <c r="D1480" s="631"/>
      <c r="E1480" s="631"/>
      <c r="F1480" s="631"/>
      <c r="G1480" s="631"/>
      <c r="H1480" s="631"/>
      <c r="I1480" s="631"/>
      <c r="J1480" s="631"/>
      <c r="K1480" s="631"/>
      <c r="L1480" s="631"/>
      <c r="M1480" s="631"/>
      <c r="N1480" s="631"/>
      <c r="O1480" s="631"/>
      <c r="P1480" s="631"/>
      <c r="Q1480" s="631"/>
      <c r="R1480" s="631"/>
    </row>
    <row r="1481" spans="1:18" ht="12.75" customHeight="1">
      <c r="A1481" s="628" t="s">
        <v>2701</v>
      </c>
      <c r="B1481" s="629"/>
      <c r="C1481" s="629"/>
      <c r="D1481" s="629"/>
      <c r="E1481" s="629"/>
      <c r="F1481" s="629"/>
      <c r="G1481" s="629"/>
      <c r="H1481" s="629"/>
      <c r="I1481" s="629"/>
      <c r="J1481" s="629"/>
      <c r="K1481" s="629"/>
      <c r="L1481" s="629"/>
      <c r="M1481" s="629"/>
      <c r="N1481" s="629"/>
      <c r="O1481" s="629"/>
      <c r="P1481" s="629"/>
      <c r="Q1481" s="629"/>
      <c r="R1481" s="629"/>
    </row>
    <row r="1482" spans="1:18" ht="12.75" customHeight="1">
      <c r="A1482" s="628" t="s">
        <v>2702</v>
      </c>
      <c r="B1482" s="629"/>
      <c r="C1482" s="629"/>
      <c r="D1482" s="629"/>
      <c r="E1482" s="629"/>
      <c r="F1482" s="629"/>
      <c r="G1482" s="629"/>
      <c r="H1482" s="629"/>
      <c r="I1482" s="629"/>
      <c r="J1482" s="629"/>
      <c r="K1482" s="629"/>
      <c r="L1482" s="629"/>
      <c r="M1482" s="629"/>
      <c r="N1482" s="629"/>
      <c r="O1482" s="629"/>
      <c r="P1482" s="629"/>
      <c r="Q1482" s="629"/>
      <c r="R1482" s="629"/>
    </row>
    <row r="1483" spans="1:18" ht="24">
      <c r="A1483" s="105">
        <v>148</v>
      </c>
      <c r="B1483" s="102" t="s">
        <v>2703</v>
      </c>
      <c r="C1483" s="106" t="s">
        <v>2704</v>
      </c>
      <c r="D1483" s="107">
        <v>549655.93999999994</v>
      </c>
      <c r="E1483" s="107">
        <v>62604.959999999999</v>
      </c>
      <c r="F1483" s="107">
        <v>434487.51</v>
      </c>
      <c r="G1483" s="107">
        <v>52563.47</v>
      </c>
      <c r="H1483" s="108">
        <v>3394939.2</v>
      </c>
      <c r="I1483" s="108">
        <v>719957.04</v>
      </c>
      <c r="J1483" s="108">
        <v>2298714.4300000002</v>
      </c>
      <c r="K1483" s="108">
        <v>376267.73</v>
      </c>
      <c r="L1483" s="43">
        <v>6.1764805088797923</v>
      </c>
      <c r="M1483" s="43">
        <v>11.5</v>
      </c>
      <c r="N1483" s="43">
        <v>5.2906340852007467</v>
      </c>
      <c r="O1483" s="43">
        <v>7.1583502763421052</v>
      </c>
      <c r="P1483" s="109"/>
      <c r="Q1483" s="109"/>
      <c r="R1483" s="109">
        <v>1</v>
      </c>
    </row>
    <row r="1484" spans="1:18" ht="24">
      <c r="A1484" s="105">
        <v>149</v>
      </c>
      <c r="B1484" s="102" t="s">
        <v>2705</v>
      </c>
      <c r="C1484" s="106" t="s">
        <v>2706</v>
      </c>
      <c r="D1484" s="107">
        <v>2621336.6800000002</v>
      </c>
      <c r="E1484" s="107">
        <v>290467.20000000001</v>
      </c>
      <c r="F1484" s="107">
        <v>2025191.71</v>
      </c>
      <c r="G1484" s="107">
        <v>305677.77</v>
      </c>
      <c r="H1484" s="108">
        <v>16302308.91</v>
      </c>
      <c r="I1484" s="108">
        <v>3340499.2</v>
      </c>
      <c r="J1484" s="108">
        <v>10545049.5</v>
      </c>
      <c r="K1484" s="108">
        <v>2416760.21</v>
      </c>
      <c r="L1484" s="43">
        <v>6.2190824377431744</v>
      </c>
      <c r="M1484" s="43">
        <v>11.500435161009573</v>
      </c>
      <c r="N1484" s="43">
        <v>5.2069389025891279</v>
      </c>
      <c r="O1484" s="43">
        <v>7.9062347582554002</v>
      </c>
      <c r="P1484" s="109"/>
      <c r="Q1484" s="109"/>
      <c r="R1484" s="109">
        <v>1</v>
      </c>
    </row>
    <row r="1485" spans="1:18" ht="24">
      <c r="A1485" s="105">
        <v>150</v>
      </c>
      <c r="B1485" s="102" t="s">
        <v>2707</v>
      </c>
      <c r="C1485" s="106" t="s">
        <v>2708</v>
      </c>
      <c r="D1485" s="107">
        <v>2322741.92</v>
      </c>
      <c r="E1485" s="107">
        <v>660030.22</v>
      </c>
      <c r="F1485" s="107">
        <v>1386973.8</v>
      </c>
      <c r="G1485" s="107">
        <v>275737.90000000002</v>
      </c>
      <c r="H1485" s="108">
        <v>16468121.15</v>
      </c>
      <c r="I1485" s="108">
        <v>7590347.5300000003</v>
      </c>
      <c r="J1485" s="108">
        <v>6748627.0300000003</v>
      </c>
      <c r="K1485" s="108">
        <v>2129146.59</v>
      </c>
      <c r="L1485" s="43">
        <v>7.0899487404093522</v>
      </c>
      <c r="M1485" s="43">
        <v>11.5</v>
      </c>
      <c r="N1485" s="43">
        <v>4.8657206286088464</v>
      </c>
      <c r="O1485" s="43">
        <v>7.7216319918299217</v>
      </c>
      <c r="P1485" s="109"/>
      <c r="Q1485" s="109"/>
      <c r="R1485" s="109">
        <v>1</v>
      </c>
    </row>
    <row r="1486" spans="1:18" ht="12.75" customHeight="1">
      <c r="A1486" s="628" t="s">
        <v>2709</v>
      </c>
      <c r="B1486" s="629"/>
      <c r="C1486" s="629"/>
      <c r="D1486" s="629"/>
      <c r="E1486" s="629"/>
      <c r="F1486" s="629"/>
      <c r="G1486" s="629"/>
      <c r="H1486" s="629"/>
      <c r="I1486" s="629"/>
      <c r="J1486" s="629"/>
      <c r="K1486" s="629"/>
      <c r="L1486" s="629"/>
      <c r="M1486" s="629"/>
      <c r="N1486" s="629"/>
      <c r="O1486" s="629"/>
      <c r="P1486" s="629"/>
      <c r="Q1486" s="629"/>
      <c r="R1486" s="629"/>
    </row>
    <row r="1487" spans="1:18" ht="24">
      <c r="A1487" s="105">
        <v>151</v>
      </c>
      <c r="B1487" s="102" t="s">
        <v>2710</v>
      </c>
      <c r="C1487" s="106" t="s">
        <v>2711</v>
      </c>
      <c r="D1487" s="107">
        <v>20782.939999999999</v>
      </c>
      <c r="E1487" s="107">
        <v>4295.4799999999996</v>
      </c>
      <c r="F1487" s="107">
        <v>14887.79</v>
      </c>
      <c r="G1487" s="107">
        <v>1599.67</v>
      </c>
      <c r="H1487" s="108">
        <v>130579.58</v>
      </c>
      <c r="I1487" s="108">
        <v>49398.02</v>
      </c>
      <c r="J1487" s="108">
        <v>74429.91</v>
      </c>
      <c r="K1487" s="108">
        <v>6751.65</v>
      </c>
      <c r="L1487" s="43">
        <v>6.2830177058683709</v>
      </c>
      <c r="M1487" s="43">
        <v>11.5</v>
      </c>
      <c r="N1487" s="43">
        <v>4.9993927910052465</v>
      </c>
      <c r="O1487" s="43">
        <v>4.2206517594253814</v>
      </c>
      <c r="P1487" s="109"/>
      <c r="Q1487" s="109"/>
      <c r="R1487" s="109">
        <v>2</v>
      </c>
    </row>
    <row r="1488" spans="1:18" ht="12.75" customHeight="1">
      <c r="A1488" s="628" t="s">
        <v>2712</v>
      </c>
      <c r="B1488" s="629"/>
      <c r="C1488" s="629"/>
      <c r="D1488" s="629"/>
      <c r="E1488" s="629"/>
      <c r="F1488" s="629"/>
      <c r="G1488" s="629"/>
      <c r="H1488" s="629"/>
      <c r="I1488" s="629"/>
      <c r="J1488" s="629"/>
      <c r="K1488" s="629"/>
      <c r="L1488" s="629"/>
      <c r="M1488" s="629"/>
      <c r="N1488" s="629"/>
      <c r="O1488" s="629"/>
      <c r="P1488" s="629"/>
      <c r="Q1488" s="629"/>
      <c r="R1488" s="629"/>
    </row>
    <row r="1489" spans="1:18" ht="12.75" customHeight="1">
      <c r="A1489" s="628" t="s">
        <v>2713</v>
      </c>
      <c r="B1489" s="629"/>
      <c r="C1489" s="629"/>
      <c r="D1489" s="629"/>
      <c r="E1489" s="629"/>
      <c r="F1489" s="629"/>
      <c r="G1489" s="629"/>
      <c r="H1489" s="629"/>
      <c r="I1489" s="629"/>
      <c r="J1489" s="629"/>
      <c r="K1489" s="629"/>
      <c r="L1489" s="629"/>
      <c r="M1489" s="629"/>
      <c r="N1489" s="629"/>
      <c r="O1489" s="629"/>
      <c r="P1489" s="629"/>
      <c r="Q1489" s="629"/>
      <c r="R1489" s="629"/>
    </row>
    <row r="1490" spans="1:18" ht="24">
      <c r="A1490" s="105">
        <v>152</v>
      </c>
      <c r="B1490" s="102" t="s">
        <v>2714</v>
      </c>
      <c r="C1490" s="106" t="s">
        <v>2715</v>
      </c>
      <c r="D1490" s="107">
        <v>23398.65</v>
      </c>
      <c r="E1490" s="107">
        <v>3674.1</v>
      </c>
      <c r="F1490" s="107">
        <v>15251.22</v>
      </c>
      <c r="G1490" s="107">
        <v>4473.33</v>
      </c>
      <c r="H1490" s="108">
        <v>141215.63</v>
      </c>
      <c r="I1490" s="108">
        <v>42252.15</v>
      </c>
      <c r="J1490" s="108">
        <v>80798.710000000006</v>
      </c>
      <c r="K1490" s="108">
        <v>18164.77</v>
      </c>
      <c r="L1490" s="43">
        <v>6.0352041677618153</v>
      </c>
      <c r="M1490" s="43">
        <v>11.5</v>
      </c>
      <c r="N1490" s="43">
        <v>5.2978522373947792</v>
      </c>
      <c r="O1490" s="43">
        <v>4.060681863399302</v>
      </c>
      <c r="P1490" s="109"/>
      <c r="Q1490" s="109"/>
      <c r="R1490" s="109">
        <v>1</v>
      </c>
    </row>
    <row r="1491" spans="1:18" ht="24">
      <c r="A1491" s="105">
        <v>153</v>
      </c>
      <c r="B1491" s="102" t="s">
        <v>2716</v>
      </c>
      <c r="C1491" s="106" t="s">
        <v>2717</v>
      </c>
      <c r="D1491" s="107">
        <v>45862.35</v>
      </c>
      <c r="E1491" s="107">
        <v>6493.16</v>
      </c>
      <c r="F1491" s="107">
        <v>32016.400000000001</v>
      </c>
      <c r="G1491" s="107">
        <v>7352.79</v>
      </c>
      <c r="H1491" s="108">
        <v>276892.94</v>
      </c>
      <c r="I1491" s="108">
        <v>74671.34</v>
      </c>
      <c r="J1491" s="108">
        <v>172417.58</v>
      </c>
      <c r="K1491" s="108">
        <v>29804.02</v>
      </c>
      <c r="L1491" s="43">
        <v>6.0374782365055433</v>
      </c>
      <c r="M1491" s="43">
        <v>11.5</v>
      </c>
      <c r="N1491" s="43">
        <v>5.3852894141752348</v>
      </c>
      <c r="O1491" s="43">
        <v>4.0534300585220029</v>
      </c>
      <c r="P1491" s="109"/>
      <c r="Q1491" s="109"/>
      <c r="R1491" s="109">
        <v>1</v>
      </c>
    </row>
    <row r="1492" spans="1:18" ht="24">
      <c r="A1492" s="105">
        <v>154</v>
      </c>
      <c r="B1492" s="102" t="s">
        <v>2718</v>
      </c>
      <c r="C1492" s="106" t="s">
        <v>2719</v>
      </c>
      <c r="D1492" s="107">
        <v>92889.76</v>
      </c>
      <c r="E1492" s="107">
        <v>11066.7</v>
      </c>
      <c r="F1492" s="107">
        <v>71582.7</v>
      </c>
      <c r="G1492" s="107">
        <v>10240.36</v>
      </c>
      <c r="H1492" s="108">
        <v>562971.4</v>
      </c>
      <c r="I1492" s="108">
        <v>127267.05</v>
      </c>
      <c r="J1492" s="108">
        <v>393473.05</v>
      </c>
      <c r="K1492" s="108">
        <v>42231.3</v>
      </c>
      <c r="L1492" s="43">
        <v>6.06064005332773</v>
      </c>
      <c r="M1492" s="43">
        <v>11.5</v>
      </c>
      <c r="N1492" s="43">
        <v>5.4967617874151156</v>
      </c>
      <c r="O1492" s="43">
        <v>4.1240054060599434</v>
      </c>
      <c r="P1492" s="109"/>
      <c r="Q1492" s="109"/>
      <c r="R1492" s="109">
        <v>1</v>
      </c>
    </row>
    <row r="1493" spans="1:18" ht="24">
      <c r="A1493" s="105">
        <v>155</v>
      </c>
      <c r="B1493" s="102" t="s">
        <v>2720</v>
      </c>
      <c r="C1493" s="106" t="s">
        <v>2721</v>
      </c>
      <c r="D1493" s="107">
        <v>32243.31</v>
      </c>
      <c r="E1493" s="107">
        <v>3996</v>
      </c>
      <c r="F1493" s="107">
        <v>22851.040000000001</v>
      </c>
      <c r="G1493" s="107">
        <v>5396.27</v>
      </c>
      <c r="H1493" s="108">
        <v>187452.76</v>
      </c>
      <c r="I1493" s="108">
        <v>45954</v>
      </c>
      <c r="J1493" s="108">
        <v>119867.81</v>
      </c>
      <c r="K1493" s="108">
        <v>21630.95</v>
      </c>
      <c r="L1493" s="43">
        <v>5.8136946858123437</v>
      </c>
      <c r="M1493" s="43">
        <v>11.5</v>
      </c>
      <c r="N1493" s="43">
        <v>5.2456172673103714</v>
      </c>
      <c r="O1493" s="43">
        <v>4.0085003159589867</v>
      </c>
      <c r="P1493" s="109"/>
      <c r="Q1493" s="109"/>
      <c r="R1493" s="109">
        <v>1</v>
      </c>
    </row>
    <row r="1494" spans="1:18" ht="12.75" customHeight="1">
      <c r="A1494" s="628" t="s">
        <v>2722</v>
      </c>
      <c r="B1494" s="629"/>
      <c r="C1494" s="629"/>
      <c r="D1494" s="629"/>
      <c r="E1494" s="629"/>
      <c r="F1494" s="629"/>
      <c r="G1494" s="629"/>
      <c r="H1494" s="629"/>
      <c r="I1494" s="629"/>
      <c r="J1494" s="629"/>
      <c r="K1494" s="629"/>
      <c r="L1494" s="629"/>
      <c r="M1494" s="629"/>
      <c r="N1494" s="629"/>
      <c r="O1494" s="629"/>
      <c r="P1494" s="629"/>
      <c r="Q1494" s="629"/>
      <c r="R1494" s="629"/>
    </row>
    <row r="1495" spans="1:18" ht="24">
      <c r="A1495" s="105">
        <v>156</v>
      </c>
      <c r="B1495" s="102" t="s">
        <v>2723</v>
      </c>
      <c r="C1495" s="106" t="s">
        <v>2724</v>
      </c>
      <c r="D1495" s="107">
        <v>1646.45</v>
      </c>
      <c r="E1495" s="107">
        <v>200.54</v>
      </c>
      <c r="F1495" s="107">
        <v>865.92</v>
      </c>
      <c r="G1495" s="107">
        <v>579.99</v>
      </c>
      <c r="H1495" s="108">
        <v>9225.0499999999993</v>
      </c>
      <c r="I1495" s="108">
        <v>2306.21</v>
      </c>
      <c r="J1495" s="108">
        <v>4732.66</v>
      </c>
      <c r="K1495" s="108">
        <v>2186.1799999999998</v>
      </c>
      <c r="L1495" s="43">
        <v>5.6029943211151263</v>
      </c>
      <c r="M1495" s="43">
        <v>11.5</v>
      </c>
      <c r="N1495" s="43">
        <v>5.4654702512934223</v>
      </c>
      <c r="O1495" s="43">
        <v>3.7693408507043222</v>
      </c>
      <c r="P1495" s="109"/>
      <c r="Q1495" s="109"/>
      <c r="R1495" s="109">
        <v>2</v>
      </c>
    </row>
    <row r="1496" spans="1:18" ht="24">
      <c r="A1496" s="105">
        <v>157</v>
      </c>
      <c r="B1496" s="102" t="s">
        <v>2725</v>
      </c>
      <c r="C1496" s="106" t="s">
        <v>2726</v>
      </c>
      <c r="D1496" s="107">
        <v>4196.8</v>
      </c>
      <c r="E1496" s="107">
        <v>420.59</v>
      </c>
      <c r="F1496" s="107">
        <v>2960</v>
      </c>
      <c r="G1496" s="107">
        <v>816.21</v>
      </c>
      <c r="H1496" s="108">
        <v>24052.84</v>
      </c>
      <c r="I1496" s="108">
        <v>4836.8100000000004</v>
      </c>
      <c r="J1496" s="108">
        <v>16110.71</v>
      </c>
      <c r="K1496" s="108">
        <v>3105.32</v>
      </c>
      <c r="L1496" s="43">
        <v>5.7312333206252379</v>
      </c>
      <c r="M1496" s="43">
        <v>11.500059440310043</v>
      </c>
      <c r="N1496" s="43">
        <v>5.4428074324324323</v>
      </c>
      <c r="O1496" s="43">
        <v>3.8045601009544114</v>
      </c>
      <c r="P1496" s="109"/>
      <c r="Q1496" s="109"/>
      <c r="R1496" s="109">
        <v>2</v>
      </c>
    </row>
    <row r="1497" spans="1:18" ht="24">
      <c r="A1497" s="105">
        <v>158</v>
      </c>
      <c r="B1497" s="102" t="s">
        <v>2727</v>
      </c>
      <c r="C1497" s="106" t="s">
        <v>2728</v>
      </c>
      <c r="D1497" s="107">
        <v>5077.46</v>
      </c>
      <c r="E1497" s="107">
        <v>571.54</v>
      </c>
      <c r="F1497" s="107">
        <v>3653.37</v>
      </c>
      <c r="G1497" s="107">
        <v>852.55</v>
      </c>
      <c r="H1497" s="108">
        <v>29855.4</v>
      </c>
      <c r="I1497" s="108">
        <v>6572.94</v>
      </c>
      <c r="J1497" s="108">
        <v>19850.37</v>
      </c>
      <c r="K1497" s="108">
        <v>3432.09</v>
      </c>
      <c r="L1497" s="43">
        <v>5.8799872377133449</v>
      </c>
      <c r="M1497" s="43">
        <v>11.500402421527802</v>
      </c>
      <c r="N1497" s="43">
        <v>5.433440905246389</v>
      </c>
      <c r="O1497" s="43">
        <v>4.0256759134361628</v>
      </c>
      <c r="P1497" s="109"/>
      <c r="Q1497" s="109"/>
      <c r="R1497" s="109">
        <v>2</v>
      </c>
    </row>
    <row r="1498" spans="1:18" ht="12.75" customHeight="1">
      <c r="A1498" s="628" t="s">
        <v>2729</v>
      </c>
      <c r="B1498" s="629"/>
      <c r="C1498" s="629"/>
      <c r="D1498" s="629"/>
      <c r="E1498" s="629"/>
      <c r="F1498" s="629"/>
      <c r="G1498" s="629"/>
      <c r="H1498" s="629"/>
      <c r="I1498" s="629"/>
      <c r="J1498" s="629"/>
      <c r="K1498" s="629"/>
      <c r="L1498" s="629"/>
      <c r="M1498" s="629"/>
      <c r="N1498" s="629"/>
      <c r="O1498" s="629"/>
      <c r="P1498" s="629"/>
      <c r="Q1498" s="629"/>
      <c r="R1498" s="629"/>
    </row>
    <row r="1499" spans="1:18" ht="24">
      <c r="A1499" s="105">
        <v>159</v>
      </c>
      <c r="B1499" s="102" t="s">
        <v>2730</v>
      </c>
      <c r="C1499" s="106" t="s">
        <v>2731</v>
      </c>
      <c r="D1499" s="107">
        <v>32247.62</v>
      </c>
      <c r="E1499" s="107">
        <v>7165.38</v>
      </c>
      <c r="F1499" s="107">
        <v>23371.07</v>
      </c>
      <c r="G1499" s="107">
        <v>1711.17</v>
      </c>
      <c r="H1499" s="108">
        <v>207578.15</v>
      </c>
      <c r="I1499" s="108">
        <v>82404.94</v>
      </c>
      <c r="J1499" s="108">
        <v>117344.72</v>
      </c>
      <c r="K1499" s="108">
        <v>7828.49</v>
      </c>
      <c r="L1499" s="43">
        <v>6.4370068240694973</v>
      </c>
      <c r="M1499" s="43">
        <v>11.500428449014567</v>
      </c>
      <c r="N1499" s="43">
        <v>5.0209391354353912</v>
      </c>
      <c r="O1499" s="43">
        <v>4.5749341094105196</v>
      </c>
      <c r="P1499" s="109"/>
      <c r="Q1499" s="109"/>
      <c r="R1499" s="109">
        <v>3</v>
      </c>
    </row>
    <row r="1500" spans="1:18" ht="24">
      <c r="A1500" s="105">
        <v>160</v>
      </c>
      <c r="B1500" s="102" t="s">
        <v>2732</v>
      </c>
      <c r="C1500" s="106" t="s">
        <v>2733</v>
      </c>
      <c r="D1500" s="107">
        <v>59633.24</v>
      </c>
      <c r="E1500" s="107">
        <v>15415.52</v>
      </c>
      <c r="F1500" s="107">
        <v>40896.85</v>
      </c>
      <c r="G1500" s="107">
        <v>3320.87</v>
      </c>
      <c r="H1500" s="108">
        <v>404206.45</v>
      </c>
      <c r="I1500" s="108">
        <v>177278.48</v>
      </c>
      <c r="J1500" s="108">
        <v>210356.08</v>
      </c>
      <c r="K1500" s="108">
        <v>16571.89</v>
      </c>
      <c r="L1500" s="43">
        <v>6.7782070871882869</v>
      </c>
      <c r="M1500" s="43">
        <v>11.5</v>
      </c>
      <c r="N1500" s="43">
        <v>5.1435765835266043</v>
      </c>
      <c r="O1500" s="43">
        <v>4.9902254529686498</v>
      </c>
      <c r="P1500" s="109"/>
      <c r="Q1500" s="109"/>
      <c r="R1500" s="109">
        <v>3</v>
      </c>
    </row>
    <row r="1501" spans="1:18" ht="12.75" customHeight="1">
      <c r="A1501" s="628" t="s">
        <v>2734</v>
      </c>
      <c r="B1501" s="629"/>
      <c r="C1501" s="629"/>
      <c r="D1501" s="629"/>
      <c r="E1501" s="629"/>
      <c r="F1501" s="629"/>
      <c r="G1501" s="629"/>
      <c r="H1501" s="629"/>
      <c r="I1501" s="629"/>
      <c r="J1501" s="629"/>
      <c r="K1501" s="629"/>
      <c r="L1501" s="629"/>
      <c r="M1501" s="629"/>
      <c r="N1501" s="629"/>
      <c r="O1501" s="629"/>
      <c r="P1501" s="629"/>
      <c r="Q1501" s="629"/>
      <c r="R1501" s="629"/>
    </row>
    <row r="1502" spans="1:18" ht="36">
      <c r="A1502" s="105">
        <v>161</v>
      </c>
      <c r="B1502" s="102" t="s">
        <v>2735</v>
      </c>
      <c r="C1502" s="106" t="s">
        <v>2736</v>
      </c>
      <c r="D1502" s="107">
        <v>750998.9</v>
      </c>
      <c r="E1502" s="107">
        <v>91737.87</v>
      </c>
      <c r="F1502" s="107">
        <v>605279.06999999995</v>
      </c>
      <c r="G1502" s="107">
        <v>53981.96</v>
      </c>
      <c r="H1502" s="108">
        <v>4510980.72</v>
      </c>
      <c r="I1502" s="108">
        <v>1055024.81</v>
      </c>
      <c r="J1502" s="108">
        <v>3142298.94</v>
      </c>
      <c r="K1502" s="108">
        <v>313656.96999999997</v>
      </c>
      <c r="L1502" s="43">
        <v>6.0066409151864262</v>
      </c>
      <c r="M1502" s="43">
        <v>11.500428449014569</v>
      </c>
      <c r="N1502" s="43">
        <v>5.1914878536936691</v>
      </c>
      <c r="O1502" s="43">
        <v>5.8104035125808693</v>
      </c>
      <c r="P1502" s="109"/>
      <c r="Q1502" s="109"/>
      <c r="R1502" s="109">
        <v>4</v>
      </c>
    </row>
    <row r="1503" spans="1:18" ht="36">
      <c r="A1503" s="105">
        <v>162</v>
      </c>
      <c r="B1503" s="102" t="s">
        <v>2737</v>
      </c>
      <c r="C1503" s="106" t="s">
        <v>2738</v>
      </c>
      <c r="D1503" s="107">
        <v>1884093.93</v>
      </c>
      <c r="E1503" s="107">
        <v>152130.12</v>
      </c>
      <c r="F1503" s="107">
        <v>1676988.1</v>
      </c>
      <c r="G1503" s="107">
        <v>54975.71</v>
      </c>
      <c r="H1503" s="108">
        <v>10854056.470000001</v>
      </c>
      <c r="I1503" s="108">
        <v>1749561.56</v>
      </c>
      <c r="J1503" s="108">
        <v>8784552.7400000002</v>
      </c>
      <c r="K1503" s="108">
        <v>319942.17</v>
      </c>
      <c r="L1503" s="43">
        <v>5.7608892514185852</v>
      </c>
      <c r="M1503" s="43">
        <v>11.500428449014567</v>
      </c>
      <c r="N1503" s="43">
        <v>5.238291637251332</v>
      </c>
      <c r="O1503" s="43">
        <v>5.8197005550269383</v>
      </c>
      <c r="P1503" s="109"/>
      <c r="Q1503" s="109"/>
      <c r="R1503" s="109">
        <v>4</v>
      </c>
    </row>
    <row r="1504" spans="1:18" ht="12.75" customHeight="1">
      <c r="A1504" s="628" t="s">
        <v>2739</v>
      </c>
      <c r="B1504" s="629"/>
      <c r="C1504" s="629"/>
      <c r="D1504" s="629"/>
      <c r="E1504" s="629"/>
      <c r="F1504" s="629"/>
      <c r="G1504" s="629"/>
      <c r="H1504" s="629"/>
      <c r="I1504" s="629"/>
      <c r="J1504" s="629"/>
      <c r="K1504" s="629"/>
      <c r="L1504" s="629"/>
      <c r="M1504" s="629"/>
      <c r="N1504" s="629"/>
      <c r="O1504" s="629"/>
      <c r="P1504" s="629"/>
      <c r="Q1504" s="629"/>
      <c r="R1504" s="629"/>
    </row>
    <row r="1505" spans="1:18" ht="24">
      <c r="A1505" s="105">
        <v>163</v>
      </c>
      <c r="B1505" s="102" t="s">
        <v>2740</v>
      </c>
      <c r="C1505" s="106" t="s">
        <v>2741</v>
      </c>
      <c r="D1505" s="107">
        <v>422.94</v>
      </c>
      <c r="E1505" s="107">
        <v>127.65</v>
      </c>
      <c r="F1505" s="107">
        <v>204.32</v>
      </c>
      <c r="G1505" s="107">
        <v>90.97</v>
      </c>
      <c r="H1505" s="108">
        <v>2956.4</v>
      </c>
      <c r="I1505" s="108">
        <v>1467.98</v>
      </c>
      <c r="J1505" s="108">
        <v>1120.3499999999999</v>
      </c>
      <c r="K1505" s="108">
        <v>368.07</v>
      </c>
      <c r="L1505" s="43">
        <v>6.9901168014375568</v>
      </c>
      <c r="M1505" s="43">
        <v>11.500039169604387</v>
      </c>
      <c r="N1505" s="43">
        <v>5.4833104933437742</v>
      </c>
      <c r="O1505" s="43">
        <v>4.0460591403759478</v>
      </c>
      <c r="P1505" s="109"/>
      <c r="Q1505" s="109"/>
      <c r="R1505" s="109">
        <v>5</v>
      </c>
    </row>
    <row r="1506" spans="1:18" ht="24">
      <c r="A1506" s="105">
        <v>164</v>
      </c>
      <c r="B1506" s="102" t="s">
        <v>2742</v>
      </c>
      <c r="C1506" s="106" t="s">
        <v>2743</v>
      </c>
      <c r="D1506" s="107">
        <v>1209.24</v>
      </c>
      <c r="E1506" s="107">
        <v>159.71</v>
      </c>
      <c r="F1506" s="107">
        <v>470.36</v>
      </c>
      <c r="G1506" s="107">
        <v>579.16999999999996</v>
      </c>
      <c r="H1506" s="108">
        <v>6583.94</v>
      </c>
      <c r="I1506" s="108">
        <v>1836.75</v>
      </c>
      <c r="J1506" s="108">
        <v>2570.44</v>
      </c>
      <c r="K1506" s="108">
        <v>2176.75</v>
      </c>
      <c r="L1506" s="43">
        <v>5.4446925341536829</v>
      </c>
      <c r="M1506" s="43">
        <v>11.500532214639033</v>
      </c>
      <c r="N1506" s="43">
        <v>5.4648354451909178</v>
      </c>
      <c r="O1506" s="43">
        <v>3.7583956351330357</v>
      </c>
      <c r="P1506" s="109"/>
      <c r="Q1506" s="109"/>
      <c r="R1506" s="109">
        <v>5</v>
      </c>
    </row>
    <row r="1507" spans="1:18" ht="12.75">
      <c r="A1507" s="632" t="s">
        <v>18</v>
      </c>
      <c r="B1507" s="632"/>
      <c r="C1507" s="632"/>
      <c r="D1507" s="103">
        <v>23244988.739999998</v>
      </c>
      <c r="E1507" s="103">
        <v>3388175.26</v>
      </c>
      <c r="F1507" s="103">
        <v>17834642.91</v>
      </c>
      <c r="G1507" s="103">
        <v>2022170.57</v>
      </c>
      <c r="H1507" s="104">
        <v>139741858.30000001</v>
      </c>
      <c r="I1507" s="104">
        <v>38964747.509999998</v>
      </c>
      <c r="J1507" s="104">
        <v>89070103.060000002</v>
      </c>
      <c r="K1507" s="104">
        <v>11707007.73</v>
      </c>
      <c r="L1507" s="612">
        <v>6.0116982573337232</v>
      </c>
      <c r="M1507" s="612">
        <v>11.50021605139753</v>
      </c>
      <c r="N1507" s="612">
        <v>4.9942184718516467</v>
      </c>
      <c r="O1507" s="612">
        <v>5.7893275194881308</v>
      </c>
      <c r="P1507" s="101"/>
      <c r="Q1507" s="101"/>
      <c r="R1507" s="101"/>
    </row>
    <row r="1508" spans="1:18" ht="18">
      <c r="A1508" s="616" t="s">
        <v>2744</v>
      </c>
      <c r="B1508" s="626"/>
      <c r="C1508" s="626"/>
      <c r="D1508" s="626"/>
      <c r="E1508" s="626"/>
      <c r="F1508" s="626"/>
      <c r="G1508" s="626"/>
      <c r="H1508" s="626"/>
      <c r="I1508" s="626"/>
      <c r="J1508" s="626"/>
      <c r="K1508" s="626"/>
      <c r="L1508" s="626"/>
      <c r="M1508" s="626"/>
      <c r="N1508" s="626"/>
      <c r="O1508" s="626"/>
      <c r="P1508" s="626"/>
      <c r="Q1508" s="626"/>
      <c r="R1508" s="627"/>
    </row>
    <row r="1509" spans="1:18" ht="12.75" customHeight="1">
      <c r="A1509" s="630" t="s">
        <v>2745</v>
      </c>
      <c r="B1509" s="631"/>
      <c r="C1509" s="631"/>
      <c r="D1509" s="631"/>
      <c r="E1509" s="631"/>
      <c r="F1509" s="631"/>
      <c r="G1509" s="631"/>
      <c r="H1509" s="631"/>
      <c r="I1509" s="631"/>
      <c r="J1509" s="631"/>
      <c r="K1509" s="631"/>
      <c r="L1509" s="631"/>
      <c r="M1509" s="631"/>
      <c r="N1509" s="631"/>
      <c r="O1509" s="631"/>
      <c r="P1509" s="631"/>
      <c r="Q1509" s="631"/>
      <c r="R1509" s="631"/>
    </row>
    <row r="1510" spans="1:18" ht="12.75" customHeight="1">
      <c r="A1510" s="628" t="s">
        <v>2746</v>
      </c>
      <c r="B1510" s="629"/>
      <c r="C1510" s="629"/>
      <c r="D1510" s="629"/>
      <c r="E1510" s="629"/>
      <c r="F1510" s="629"/>
      <c r="G1510" s="629"/>
      <c r="H1510" s="629"/>
      <c r="I1510" s="629"/>
      <c r="J1510" s="629"/>
      <c r="K1510" s="629"/>
      <c r="L1510" s="629"/>
      <c r="M1510" s="629"/>
      <c r="N1510" s="629"/>
      <c r="O1510" s="629"/>
      <c r="P1510" s="629"/>
      <c r="Q1510" s="629"/>
      <c r="R1510" s="629"/>
    </row>
    <row r="1511" spans="1:18" ht="12.75" customHeight="1">
      <c r="A1511" s="628" t="s">
        <v>2747</v>
      </c>
      <c r="B1511" s="629"/>
      <c r="C1511" s="629"/>
      <c r="D1511" s="629"/>
      <c r="E1511" s="629"/>
      <c r="F1511" s="629"/>
      <c r="G1511" s="629"/>
      <c r="H1511" s="629"/>
      <c r="I1511" s="629"/>
      <c r="J1511" s="629"/>
      <c r="K1511" s="629"/>
      <c r="L1511" s="629"/>
      <c r="M1511" s="629"/>
      <c r="N1511" s="629"/>
      <c r="O1511" s="629"/>
      <c r="P1511" s="629"/>
      <c r="Q1511" s="629"/>
      <c r="R1511" s="629"/>
    </row>
    <row r="1512" spans="1:18" ht="24">
      <c r="A1512" s="120">
        <v>1</v>
      </c>
      <c r="B1512" s="117" t="s">
        <v>2748</v>
      </c>
      <c r="C1512" s="121" t="s">
        <v>2749</v>
      </c>
      <c r="D1512" s="122">
        <v>22147.48</v>
      </c>
      <c r="E1512" s="122">
        <v>5296.89</v>
      </c>
      <c r="F1512" s="122">
        <v>15699.23</v>
      </c>
      <c r="G1512" s="122">
        <v>1151.3599999999999</v>
      </c>
      <c r="H1512" s="123">
        <v>163322.29</v>
      </c>
      <c r="I1512" s="123">
        <v>60916.54</v>
      </c>
      <c r="J1512" s="123">
        <v>97088.31</v>
      </c>
      <c r="K1512" s="123">
        <v>5317.44</v>
      </c>
      <c r="L1512" s="43">
        <v>7.3743057900944038</v>
      </c>
      <c r="M1512" s="43">
        <v>11.500435161009573</v>
      </c>
      <c r="N1512" s="43">
        <v>6.1842720948734424</v>
      </c>
      <c r="O1512" s="43">
        <v>4.6183991106170099</v>
      </c>
      <c r="P1512" s="124"/>
      <c r="Q1512" s="124"/>
      <c r="R1512" s="124">
        <v>1</v>
      </c>
    </row>
    <row r="1513" spans="1:18" ht="24">
      <c r="A1513" s="120">
        <v>2</v>
      </c>
      <c r="B1513" s="117" t="s">
        <v>2750</v>
      </c>
      <c r="C1513" s="121" t="s">
        <v>2751</v>
      </c>
      <c r="D1513" s="122">
        <v>6099.65</v>
      </c>
      <c r="E1513" s="122">
        <v>1645.47</v>
      </c>
      <c r="F1513" s="122">
        <v>3919.7</v>
      </c>
      <c r="G1513" s="122">
        <v>534.48</v>
      </c>
      <c r="H1513" s="123">
        <v>45345.58</v>
      </c>
      <c r="I1513" s="123">
        <v>18923.61</v>
      </c>
      <c r="J1513" s="123">
        <v>24015.99</v>
      </c>
      <c r="K1513" s="123">
        <v>2405.98</v>
      </c>
      <c r="L1513" s="43">
        <v>7.4341281876829006</v>
      </c>
      <c r="M1513" s="43">
        <v>11.500428449014567</v>
      </c>
      <c r="N1513" s="43">
        <v>6.1269969640533724</v>
      </c>
      <c r="O1513" s="43">
        <v>4.5015342014668462</v>
      </c>
      <c r="P1513" s="124"/>
      <c r="Q1513" s="124"/>
      <c r="R1513" s="124">
        <v>1</v>
      </c>
    </row>
    <row r="1514" spans="1:18" ht="24">
      <c r="A1514" s="120">
        <v>3</v>
      </c>
      <c r="B1514" s="117" t="s">
        <v>2752</v>
      </c>
      <c r="C1514" s="121" t="s">
        <v>2753</v>
      </c>
      <c r="D1514" s="122">
        <v>28339.8</v>
      </c>
      <c r="E1514" s="122">
        <v>6710.16</v>
      </c>
      <c r="F1514" s="122">
        <v>20032.8</v>
      </c>
      <c r="G1514" s="122">
        <v>1596.84</v>
      </c>
      <c r="H1514" s="123">
        <v>207818.75</v>
      </c>
      <c r="I1514" s="123">
        <v>77169.759999999995</v>
      </c>
      <c r="J1514" s="123">
        <v>123458.22</v>
      </c>
      <c r="K1514" s="123">
        <v>7190.77</v>
      </c>
      <c r="L1514" s="43">
        <v>7.3331057382197473</v>
      </c>
      <c r="M1514" s="43">
        <v>11.500435161009573</v>
      </c>
      <c r="N1514" s="43">
        <v>6.1628040014376424</v>
      </c>
      <c r="O1514" s="43">
        <v>4.5031249217203984</v>
      </c>
      <c r="P1514" s="124"/>
      <c r="Q1514" s="124"/>
      <c r="R1514" s="124">
        <v>1</v>
      </c>
    </row>
    <row r="1515" spans="1:18" ht="12.75" customHeight="1">
      <c r="A1515" s="628" t="s">
        <v>2754</v>
      </c>
      <c r="B1515" s="629"/>
      <c r="C1515" s="629"/>
      <c r="D1515" s="629"/>
      <c r="E1515" s="629"/>
      <c r="F1515" s="629"/>
      <c r="G1515" s="629"/>
      <c r="H1515" s="629"/>
      <c r="I1515" s="629"/>
      <c r="J1515" s="629"/>
      <c r="K1515" s="629"/>
      <c r="L1515" s="629"/>
      <c r="M1515" s="629"/>
      <c r="N1515" s="629"/>
      <c r="O1515" s="629"/>
      <c r="P1515" s="629"/>
      <c r="Q1515" s="629"/>
      <c r="R1515" s="629"/>
    </row>
    <row r="1516" spans="1:18" ht="24">
      <c r="A1516" s="120">
        <v>4</v>
      </c>
      <c r="B1516" s="117" t="s">
        <v>2755</v>
      </c>
      <c r="C1516" s="121" t="s">
        <v>2756</v>
      </c>
      <c r="D1516" s="122">
        <v>645.80999999999995</v>
      </c>
      <c r="E1516" s="122">
        <v>280.08</v>
      </c>
      <c r="F1516" s="122">
        <v>355.37</v>
      </c>
      <c r="G1516" s="122">
        <v>10.36</v>
      </c>
      <c r="H1516" s="123">
        <v>5241.28</v>
      </c>
      <c r="I1516" s="123">
        <v>3221.04</v>
      </c>
      <c r="J1516" s="123">
        <v>1914.12</v>
      </c>
      <c r="K1516" s="123">
        <v>106.12</v>
      </c>
      <c r="L1516" s="43">
        <v>8.1158235394311031</v>
      </c>
      <c r="M1516" s="43">
        <v>11.500428449014567</v>
      </c>
      <c r="N1516" s="43">
        <v>5.3862734614627001</v>
      </c>
      <c r="O1516" s="43">
        <v>10.243243243243244</v>
      </c>
      <c r="P1516" s="124"/>
      <c r="Q1516" s="124"/>
      <c r="R1516" s="124">
        <v>2</v>
      </c>
    </row>
    <row r="1517" spans="1:18" ht="12.75" customHeight="1">
      <c r="A1517" s="628" t="s">
        <v>2757</v>
      </c>
      <c r="B1517" s="629"/>
      <c r="C1517" s="629"/>
      <c r="D1517" s="629"/>
      <c r="E1517" s="629"/>
      <c r="F1517" s="629"/>
      <c r="G1517" s="629"/>
      <c r="H1517" s="629"/>
      <c r="I1517" s="629"/>
      <c r="J1517" s="629"/>
      <c r="K1517" s="629"/>
      <c r="L1517" s="629"/>
      <c r="M1517" s="629"/>
      <c r="N1517" s="629"/>
      <c r="O1517" s="629"/>
      <c r="P1517" s="629"/>
      <c r="Q1517" s="629"/>
      <c r="R1517" s="629"/>
    </row>
    <row r="1518" spans="1:18" ht="24">
      <c r="A1518" s="120">
        <v>5</v>
      </c>
      <c r="B1518" s="117" t="s">
        <v>2758</v>
      </c>
      <c r="C1518" s="121" t="s">
        <v>2759</v>
      </c>
      <c r="D1518" s="122">
        <v>8672.67</v>
      </c>
      <c r="E1518" s="122">
        <v>1738.83</v>
      </c>
      <c r="F1518" s="122">
        <v>6576.31</v>
      </c>
      <c r="G1518" s="122">
        <v>357.53</v>
      </c>
      <c r="H1518" s="123">
        <v>57074.1</v>
      </c>
      <c r="I1518" s="123">
        <v>19997.29</v>
      </c>
      <c r="J1518" s="123">
        <v>35446.57</v>
      </c>
      <c r="K1518" s="123">
        <v>1630.24</v>
      </c>
      <c r="L1518" s="43">
        <v>6.580914528051915</v>
      </c>
      <c r="M1518" s="43">
        <v>11.500428449014569</v>
      </c>
      <c r="N1518" s="43">
        <v>5.3900393989942685</v>
      </c>
      <c r="O1518" s="43">
        <v>4.559729253489218</v>
      </c>
      <c r="P1518" s="124"/>
      <c r="Q1518" s="124"/>
      <c r="R1518" s="124">
        <v>3</v>
      </c>
    </row>
    <row r="1519" spans="1:18" ht="24">
      <c r="A1519" s="120">
        <v>6</v>
      </c>
      <c r="B1519" s="117" t="s">
        <v>2760</v>
      </c>
      <c r="C1519" s="121" t="s">
        <v>2761</v>
      </c>
      <c r="D1519" s="122">
        <v>8271.5</v>
      </c>
      <c r="E1519" s="122">
        <v>1925.55</v>
      </c>
      <c r="F1519" s="122">
        <v>5977.5</v>
      </c>
      <c r="G1519" s="122">
        <v>368.45</v>
      </c>
      <c r="H1519" s="123">
        <v>56070.43</v>
      </c>
      <c r="I1519" s="123">
        <v>22144.65</v>
      </c>
      <c r="J1519" s="123">
        <v>32218.5</v>
      </c>
      <c r="K1519" s="123">
        <v>1707.28</v>
      </c>
      <c r="L1519" s="43">
        <v>6.7787499244393397</v>
      </c>
      <c r="M1519" s="43">
        <v>11.500428449014569</v>
      </c>
      <c r="N1519" s="43">
        <v>5.3899623588456711</v>
      </c>
      <c r="O1519" s="43">
        <v>4.6336816392997697</v>
      </c>
      <c r="P1519" s="124"/>
      <c r="Q1519" s="124"/>
      <c r="R1519" s="124">
        <v>3</v>
      </c>
    </row>
    <row r="1520" spans="1:18" ht="24">
      <c r="A1520" s="120">
        <v>7</v>
      </c>
      <c r="B1520" s="117" t="s">
        <v>2762</v>
      </c>
      <c r="C1520" s="121" t="s">
        <v>2763</v>
      </c>
      <c r="D1520" s="122">
        <v>9964.33</v>
      </c>
      <c r="E1520" s="122">
        <v>2891.4</v>
      </c>
      <c r="F1520" s="122">
        <v>6636.41</v>
      </c>
      <c r="G1520" s="122">
        <v>436.52</v>
      </c>
      <c r="H1520" s="123">
        <v>71195.22</v>
      </c>
      <c r="I1520" s="123">
        <v>33252.32</v>
      </c>
      <c r="J1520" s="123">
        <v>35771.14</v>
      </c>
      <c r="K1520" s="123">
        <v>2171.7600000000002</v>
      </c>
      <c r="L1520" s="43">
        <v>7.1450082444078031</v>
      </c>
      <c r="M1520" s="43">
        <v>11.50042194092827</v>
      </c>
      <c r="N1520" s="43">
        <v>5.3901341237205056</v>
      </c>
      <c r="O1520" s="43">
        <v>4.9751672317419597</v>
      </c>
      <c r="P1520" s="124"/>
      <c r="Q1520" s="124"/>
      <c r="R1520" s="124">
        <v>3</v>
      </c>
    </row>
    <row r="1521" spans="1:18" ht="12.75" customHeight="1">
      <c r="A1521" s="628" t="s">
        <v>2764</v>
      </c>
      <c r="B1521" s="629"/>
      <c r="C1521" s="629"/>
      <c r="D1521" s="629"/>
      <c r="E1521" s="629"/>
      <c r="F1521" s="629"/>
      <c r="G1521" s="629"/>
      <c r="H1521" s="629"/>
      <c r="I1521" s="629"/>
      <c r="J1521" s="629"/>
      <c r="K1521" s="629"/>
      <c r="L1521" s="629"/>
      <c r="M1521" s="629"/>
      <c r="N1521" s="629"/>
      <c r="O1521" s="629"/>
      <c r="P1521" s="629"/>
      <c r="Q1521" s="629"/>
      <c r="R1521" s="629"/>
    </row>
    <row r="1522" spans="1:18" ht="12.75" customHeight="1">
      <c r="A1522" s="628" t="s">
        <v>2765</v>
      </c>
      <c r="B1522" s="629"/>
      <c r="C1522" s="629"/>
      <c r="D1522" s="629"/>
      <c r="E1522" s="629"/>
      <c r="F1522" s="629"/>
      <c r="G1522" s="629"/>
      <c r="H1522" s="629"/>
      <c r="I1522" s="629"/>
      <c r="J1522" s="629"/>
      <c r="K1522" s="629"/>
      <c r="L1522" s="629"/>
      <c r="M1522" s="629"/>
      <c r="N1522" s="629"/>
      <c r="O1522" s="629"/>
      <c r="P1522" s="629"/>
      <c r="Q1522" s="629"/>
      <c r="R1522" s="629"/>
    </row>
    <row r="1523" spans="1:18" ht="36">
      <c r="A1523" s="120">
        <v>8</v>
      </c>
      <c r="B1523" s="117" t="s">
        <v>2766</v>
      </c>
      <c r="C1523" s="121" t="s">
        <v>2767</v>
      </c>
      <c r="D1523" s="122">
        <v>884.32</v>
      </c>
      <c r="E1523" s="122">
        <v>432.72</v>
      </c>
      <c r="F1523" s="122">
        <v>301.33</v>
      </c>
      <c r="G1523" s="122">
        <v>150.27000000000001</v>
      </c>
      <c r="H1523" s="123">
        <v>7370.1</v>
      </c>
      <c r="I1523" s="123">
        <v>4976.28</v>
      </c>
      <c r="J1523" s="123">
        <v>1622.06</v>
      </c>
      <c r="K1523" s="123">
        <v>771.76</v>
      </c>
      <c r="L1523" s="43">
        <v>8.3342002894879688</v>
      </c>
      <c r="M1523" s="43">
        <v>11.499999999999998</v>
      </c>
      <c r="N1523" s="43">
        <v>5.3830020243586763</v>
      </c>
      <c r="O1523" s="43">
        <v>5.1358221867305511</v>
      </c>
      <c r="P1523" s="124"/>
      <c r="Q1523" s="124"/>
      <c r="R1523" s="124">
        <v>1</v>
      </c>
    </row>
    <row r="1524" spans="1:18" ht="36">
      <c r="A1524" s="120">
        <v>9</v>
      </c>
      <c r="B1524" s="117" t="s">
        <v>2768</v>
      </c>
      <c r="C1524" s="121" t="s">
        <v>2769</v>
      </c>
      <c r="D1524" s="122">
        <v>1130.51</v>
      </c>
      <c r="E1524" s="122">
        <v>531.91999999999996</v>
      </c>
      <c r="F1524" s="122">
        <v>392.96</v>
      </c>
      <c r="G1524" s="122">
        <v>205.63</v>
      </c>
      <c r="H1524" s="123">
        <v>9324.16</v>
      </c>
      <c r="I1524" s="123">
        <v>6117.08</v>
      </c>
      <c r="J1524" s="123">
        <v>2115.39</v>
      </c>
      <c r="K1524" s="123">
        <v>1091.69</v>
      </c>
      <c r="L1524" s="43">
        <v>8.2477465922459778</v>
      </c>
      <c r="M1524" s="43">
        <v>11.5</v>
      </c>
      <c r="N1524" s="43">
        <v>5.3832196661237788</v>
      </c>
      <c r="O1524" s="43">
        <v>5.309001604824199</v>
      </c>
      <c r="P1524" s="124"/>
      <c r="Q1524" s="124"/>
      <c r="R1524" s="124">
        <v>1</v>
      </c>
    </row>
    <row r="1525" spans="1:18" ht="36">
      <c r="A1525" s="120">
        <v>10</v>
      </c>
      <c r="B1525" s="117" t="s">
        <v>2770</v>
      </c>
      <c r="C1525" s="121" t="s">
        <v>2771</v>
      </c>
      <c r="D1525" s="122">
        <v>1135.3399999999999</v>
      </c>
      <c r="E1525" s="122">
        <v>547.32000000000005</v>
      </c>
      <c r="F1525" s="122">
        <v>392.96</v>
      </c>
      <c r="G1525" s="122">
        <v>195.06</v>
      </c>
      <c r="H1525" s="123">
        <v>9409.74</v>
      </c>
      <c r="I1525" s="123">
        <v>6294.45</v>
      </c>
      <c r="J1525" s="123">
        <v>2115.39</v>
      </c>
      <c r="K1525" s="123">
        <v>999.9</v>
      </c>
      <c r="L1525" s="43">
        <v>8.2880370637870602</v>
      </c>
      <c r="M1525" s="43">
        <v>11.500493312869983</v>
      </c>
      <c r="N1525" s="43">
        <v>5.3832196661237788</v>
      </c>
      <c r="O1525" s="43">
        <v>5.1261150415256846</v>
      </c>
      <c r="P1525" s="124"/>
      <c r="Q1525" s="124"/>
      <c r="R1525" s="124">
        <v>1</v>
      </c>
    </row>
    <row r="1526" spans="1:18" ht="12.75" customHeight="1">
      <c r="A1526" s="628" t="s">
        <v>2772</v>
      </c>
      <c r="B1526" s="629"/>
      <c r="C1526" s="629"/>
      <c r="D1526" s="629"/>
      <c r="E1526" s="629"/>
      <c r="F1526" s="629"/>
      <c r="G1526" s="629"/>
      <c r="H1526" s="629"/>
      <c r="I1526" s="629"/>
      <c r="J1526" s="629"/>
      <c r="K1526" s="629"/>
      <c r="L1526" s="629"/>
      <c r="M1526" s="629"/>
      <c r="N1526" s="629"/>
      <c r="O1526" s="629"/>
      <c r="P1526" s="629"/>
      <c r="Q1526" s="629"/>
      <c r="R1526" s="629"/>
    </row>
    <row r="1527" spans="1:18" ht="36">
      <c r="A1527" s="120">
        <v>11</v>
      </c>
      <c r="B1527" s="117" t="s">
        <v>2773</v>
      </c>
      <c r="C1527" s="121" t="s">
        <v>2774</v>
      </c>
      <c r="D1527" s="122">
        <v>1101.49</v>
      </c>
      <c r="E1527" s="122">
        <v>313.92</v>
      </c>
      <c r="F1527" s="122">
        <v>318.27999999999997</v>
      </c>
      <c r="G1527" s="122">
        <v>469.29</v>
      </c>
      <c r="H1527" s="123">
        <v>7422</v>
      </c>
      <c r="I1527" s="123">
        <v>3610.25</v>
      </c>
      <c r="J1527" s="123">
        <v>1722.16</v>
      </c>
      <c r="K1527" s="123">
        <v>2089.59</v>
      </c>
      <c r="L1527" s="43">
        <v>6.7381456027744235</v>
      </c>
      <c r="M1527" s="43">
        <v>11.500541539245667</v>
      </c>
      <c r="N1527" s="43">
        <v>5.4108332286037459</v>
      </c>
      <c r="O1527" s="43">
        <v>4.4526625327622584</v>
      </c>
      <c r="P1527" s="124"/>
      <c r="Q1527" s="124"/>
      <c r="R1527" s="124">
        <v>2</v>
      </c>
    </row>
    <row r="1528" spans="1:18" ht="36">
      <c r="A1528" s="120">
        <v>12</v>
      </c>
      <c r="B1528" s="117" t="s">
        <v>2775</v>
      </c>
      <c r="C1528" s="121" t="s">
        <v>2776</v>
      </c>
      <c r="D1528" s="122">
        <v>2776.09</v>
      </c>
      <c r="E1528" s="122">
        <v>621.42999999999995</v>
      </c>
      <c r="F1528" s="122">
        <v>1246.6300000000001</v>
      </c>
      <c r="G1528" s="122">
        <v>908.03</v>
      </c>
      <c r="H1528" s="123">
        <v>18044.810000000001</v>
      </c>
      <c r="I1528" s="123">
        <v>7146.49</v>
      </c>
      <c r="J1528" s="123">
        <v>6745.37</v>
      </c>
      <c r="K1528" s="123">
        <v>4152.95</v>
      </c>
      <c r="L1528" s="43">
        <v>6.5000810492455221</v>
      </c>
      <c r="M1528" s="43">
        <v>11.500072413626636</v>
      </c>
      <c r="N1528" s="43">
        <v>5.4108837425699683</v>
      </c>
      <c r="O1528" s="43">
        <v>4.5735823706265215</v>
      </c>
      <c r="P1528" s="124"/>
      <c r="Q1528" s="124"/>
      <c r="R1528" s="124">
        <v>2</v>
      </c>
    </row>
    <row r="1529" spans="1:18" ht="24">
      <c r="A1529" s="120">
        <v>13</v>
      </c>
      <c r="B1529" s="117" t="s">
        <v>2777</v>
      </c>
      <c r="C1529" s="121" t="s">
        <v>2778</v>
      </c>
      <c r="D1529" s="122">
        <v>2388.4899999999998</v>
      </c>
      <c r="E1529" s="122">
        <v>944.28</v>
      </c>
      <c r="F1529" s="122">
        <v>1233.6600000000001</v>
      </c>
      <c r="G1529" s="122">
        <v>210.55</v>
      </c>
      <c r="H1529" s="123">
        <v>18957.29</v>
      </c>
      <c r="I1529" s="123">
        <v>10859.22</v>
      </c>
      <c r="J1529" s="123">
        <v>6677.25</v>
      </c>
      <c r="K1529" s="123">
        <v>1420.82</v>
      </c>
      <c r="L1529" s="43">
        <v>7.9369350510154959</v>
      </c>
      <c r="M1529" s="43">
        <v>11.5</v>
      </c>
      <c r="N1529" s="43">
        <v>5.4125528913963326</v>
      </c>
      <c r="O1529" s="43">
        <v>6.7481358347185934</v>
      </c>
      <c r="P1529" s="124"/>
      <c r="Q1529" s="124"/>
      <c r="R1529" s="124">
        <v>2</v>
      </c>
    </row>
    <row r="1530" spans="1:18" ht="24">
      <c r="A1530" s="120">
        <v>14</v>
      </c>
      <c r="B1530" s="117" t="s">
        <v>2779</v>
      </c>
      <c r="C1530" s="121" t="s">
        <v>2780</v>
      </c>
      <c r="D1530" s="122">
        <v>2795.25</v>
      </c>
      <c r="E1530" s="122">
        <v>1123.6199999999999</v>
      </c>
      <c r="F1530" s="122">
        <v>1419.58</v>
      </c>
      <c r="G1530" s="122">
        <v>252.05</v>
      </c>
      <c r="H1530" s="123">
        <v>22327.75</v>
      </c>
      <c r="I1530" s="123">
        <v>12921.63</v>
      </c>
      <c r="J1530" s="123">
        <v>7683.63</v>
      </c>
      <c r="K1530" s="123">
        <v>1722.49</v>
      </c>
      <c r="L1530" s="43">
        <v>7.9877470709238887</v>
      </c>
      <c r="M1530" s="43">
        <v>11.5</v>
      </c>
      <c r="N1530" s="43">
        <v>5.4126079544654058</v>
      </c>
      <c r="O1530" s="43">
        <v>6.8339218409045825</v>
      </c>
      <c r="P1530" s="124"/>
      <c r="Q1530" s="124"/>
      <c r="R1530" s="124">
        <v>2</v>
      </c>
    </row>
    <row r="1531" spans="1:18" ht="24">
      <c r="A1531" s="120">
        <v>15</v>
      </c>
      <c r="B1531" s="117" t="s">
        <v>2781</v>
      </c>
      <c r="C1531" s="121" t="s">
        <v>2782</v>
      </c>
      <c r="D1531" s="122">
        <v>3008.72</v>
      </c>
      <c r="E1531" s="122">
        <v>1250.08</v>
      </c>
      <c r="F1531" s="122">
        <v>1403.94</v>
      </c>
      <c r="G1531" s="122">
        <v>354.7</v>
      </c>
      <c r="H1531" s="123">
        <v>24673.17</v>
      </c>
      <c r="I1531" s="123">
        <v>14375.92</v>
      </c>
      <c r="J1531" s="123">
        <v>7596.29</v>
      </c>
      <c r="K1531" s="123">
        <v>2700.96</v>
      </c>
      <c r="L1531" s="43">
        <v>8.2005537238426971</v>
      </c>
      <c r="M1531" s="43">
        <v>11.5</v>
      </c>
      <c r="N1531" s="43">
        <v>5.410694189210365</v>
      </c>
      <c r="O1531" s="43">
        <v>7.6147730476458984</v>
      </c>
      <c r="P1531" s="124"/>
      <c r="Q1531" s="124"/>
      <c r="R1531" s="124">
        <v>2</v>
      </c>
    </row>
    <row r="1532" spans="1:18" ht="24">
      <c r="A1532" s="125">
        <v>16</v>
      </c>
      <c r="B1532" s="126" t="s">
        <v>2783</v>
      </c>
      <c r="C1532" s="127" t="s">
        <v>2784</v>
      </c>
      <c r="D1532" s="128">
        <v>3353.5</v>
      </c>
      <c r="E1532" s="128">
        <v>1406.34</v>
      </c>
      <c r="F1532" s="128">
        <v>1544.01</v>
      </c>
      <c r="G1532" s="128">
        <v>403.15</v>
      </c>
      <c r="H1532" s="129">
        <v>27611.78</v>
      </c>
      <c r="I1532" s="129">
        <v>16172.91</v>
      </c>
      <c r="J1532" s="129">
        <v>8354.07</v>
      </c>
      <c r="K1532" s="129">
        <v>3084.8</v>
      </c>
      <c r="L1532" s="611">
        <v>8.2337199940360808</v>
      </c>
      <c r="M1532" s="611">
        <v>11.5</v>
      </c>
      <c r="N1532" s="611">
        <v>5.4106320554918685</v>
      </c>
      <c r="O1532" s="611">
        <v>7.6517425275951885</v>
      </c>
      <c r="P1532" s="130"/>
      <c r="Q1532" s="130"/>
      <c r="R1532" s="130">
        <v>2</v>
      </c>
    </row>
    <row r="1533" spans="1:18" ht="12.75" customHeight="1">
      <c r="A1533" s="630" t="s">
        <v>2785</v>
      </c>
      <c r="B1533" s="631"/>
      <c r="C1533" s="631"/>
      <c r="D1533" s="631"/>
      <c r="E1533" s="631"/>
      <c r="F1533" s="631"/>
      <c r="G1533" s="631"/>
      <c r="H1533" s="631"/>
      <c r="I1533" s="631"/>
      <c r="J1533" s="631"/>
      <c r="K1533" s="631"/>
      <c r="L1533" s="631"/>
      <c r="M1533" s="631"/>
      <c r="N1533" s="631"/>
      <c r="O1533" s="631"/>
      <c r="P1533" s="631"/>
      <c r="Q1533" s="631"/>
      <c r="R1533" s="631"/>
    </row>
    <row r="1534" spans="1:18" ht="12.75" customHeight="1">
      <c r="A1534" s="628" t="s">
        <v>2786</v>
      </c>
      <c r="B1534" s="629"/>
      <c r="C1534" s="629"/>
      <c r="D1534" s="629"/>
      <c r="E1534" s="629"/>
      <c r="F1534" s="629"/>
      <c r="G1534" s="629"/>
      <c r="H1534" s="629"/>
      <c r="I1534" s="629"/>
      <c r="J1534" s="629"/>
      <c r="K1534" s="629"/>
      <c r="L1534" s="629"/>
      <c r="M1534" s="629"/>
      <c r="N1534" s="629"/>
      <c r="O1534" s="629"/>
      <c r="P1534" s="629"/>
      <c r="Q1534" s="629"/>
      <c r="R1534" s="629"/>
    </row>
    <row r="1535" spans="1:18" ht="12.75" customHeight="1">
      <c r="A1535" s="628" t="s">
        <v>2787</v>
      </c>
      <c r="B1535" s="629"/>
      <c r="C1535" s="629"/>
      <c r="D1535" s="629"/>
      <c r="E1535" s="629"/>
      <c r="F1535" s="629"/>
      <c r="G1535" s="629"/>
      <c r="H1535" s="629"/>
      <c r="I1535" s="629"/>
      <c r="J1535" s="629"/>
      <c r="K1535" s="629"/>
      <c r="L1535" s="629"/>
      <c r="M1535" s="629"/>
      <c r="N1535" s="629"/>
      <c r="O1535" s="629"/>
      <c r="P1535" s="629"/>
      <c r="Q1535" s="629"/>
      <c r="R1535" s="629"/>
    </row>
    <row r="1536" spans="1:18" ht="36">
      <c r="A1536" s="120">
        <v>17</v>
      </c>
      <c r="B1536" s="117" t="s">
        <v>2788</v>
      </c>
      <c r="C1536" s="121" t="s">
        <v>2789</v>
      </c>
      <c r="D1536" s="122">
        <v>923.89</v>
      </c>
      <c r="E1536" s="122">
        <v>356.7</v>
      </c>
      <c r="F1536" s="122">
        <v>258.19</v>
      </c>
      <c r="G1536" s="122">
        <v>309</v>
      </c>
      <c r="H1536" s="123">
        <v>6765.86</v>
      </c>
      <c r="I1536" s="123">
        <v>4102.1000000000004</v>
      </c>
      <c r="J1536" s="123">
        <v>1397.5</v>
      </c>
      <c r="K1536" s="123">
        <v>1266.26</v>
      </c>
      <c r="L1536" s="43">
        <v>7.3232311205879483</v>
      </c>
      <c r="M1536" s="43">
        <v>11.500140173815533</v>
      </c>
      <c r="N1536" s="43">
        <v>5.4126805840659982</v>
      </c>
      <c r="O1536" s="43">
        <v>4.0979288025889966</v>
      </c>
      <c r="P1536" s="124"/>
      <c r="Q1536" s="124"/>
      <c r="R1536" s="124">
        <v>1</v>
      </c>
    </row>
    <row r="1537" spans="1:18" ht="36">
      <c r="A1537" s="120">
        <v>18</v>
      </c>
      <c r="B1537" s="117" t="s">
        <v>2790</v>
      </c>
      <c r="C1537" s="121" t="s">
        <v>2791</v>
      </c>
      <c r="D1537" s="122">
        <v>1542.85</v>
      </c>
      <c r="E1537" s="122">
        <v>497.57</v>
      </c>
      <c r="F1537" s="122">
        <v>582.34</v>
      </c>
      <c r="G1537" s="122">
        <v>462.94</v>
      </c>
      <c r="H1537" s="123">
        <v>10854.35</v>
      </c>
      <c r="I1537" s="123">
        <v>5722.03</v>
      </c>
      <c r="J1537" s="123">
        <v>3129.77</v>
      </c>
      <c r="K1537" s="123">
        <v>2002.55</v>
      </c>
      <c r="L1537" s="43">
        <v>7.0352594224973268</v>
      </c>
      <c r="M1537" s="43">
        <v>11.499949755813253</v>
      </c>
      <c r="N1537" s="43">
        <v>5.3744719579627018</v>
      </c>
      <c r="O1537" s="43">
        <v>4.3257225558387695</v>
      </c>
      <c r="P1537" s="124"/>
      <c r="Q1537" s="124"/>
      <c r="R1537" s="124">
        <v>1</v>
      </c>
    </row>
    <row r="1538" spans="1:18" ht="36">
      <c r="A1538" s="120">
        <v>19</v>
      </c>
      <c r="B1538" s="117" t="s">
        <v>2792</v>
      </c>
      <c r="C1538" s="121" t="s">
        <v>2793</v>
      </c>
      <c r="D1538" s="122">
        <v>3033</v>
      </c>
      <c r="E1538" s="122">
        <v>917.13</v>
      </c>
      <c r="F1538" s="122">
        <v>1248.3599999999999</v>
      </c>
      <c r="G1538" s="122">
        <v>867.51</v>
      </c>
      <c r="H1538" s="123">
        <v>21107.47</v>
      </c>
      <c r="I1538" s="123">
        <v>10546.95</v>
      </c>
      <c r="J1538" s="123">
        <v>6754.04</v>
      </c>
      <c r="K1538" s="123">
        <v>3806.48</v>
      </c>
      <c r="L1538" s="43">
        <v>6.9592713484998354</v>
      </c>
      <c r="M1538" s="43">
        <v>11.499950933891597</v>
      </c>
      <c r="N1538" s="43">
        <v>5.4103303534236922</v>
      </c>
      <c r="O1538" s="43">
        <v>4.3878226187594382</v>
      </c>
      <c r="P1538" s="124"/>
      <c r="Q1538" s="124"/>
      <c r="R1538" s="124">
        <v>1</v>
      </c>
    </row>
    <row r="1539" spans="1:18" ht="12.75" customHeight="1">
      <c r="A1539" s="628" t="s">
        <v>2794</v>
      </c>
      <c r="B1539" s="629"/>
      <c r="C1539" s="629"/>
      <c r="D1539" s="629"/>
      <c r="E1539" s="629"/>
      <c r="F1539" s="629"/>
      <c r="G1539" s="629"/>
      <c r="H1539" s="629"/>
      <c r="I1539" s="629"/>
      <c r="J1539" s="629"/>
      <c r="K1539" s="629"/>
      <c r="L1539" s="629"/>
      <c r="M1539" s="629"/>
      <c r="N1539" s="629"/>
      <c r="O1539" s="629"/>
      <c r="P1539" s="629"/>
      <c r="Q1539" s="629"/>
      <c r="R1539" s="629"/>
    </row>
    <row r="1540" spans="1:18" ht="24">
      <c r="A1540" s="120">
        <v>20</v>
      </c>
      <c r="B1540" s="117" t="s">
        <v>2795</v>
      </c>
      <c r="C1540" s="121" t="s">
        <v>2796</v>
      </c>
      <c r="D1540" s="122">
        <v>2049.2600000000002</v>
      </c>
      <c r="E1540" s="122">
        <v>777.67</v>
      </c>
      <c r="F1540" s="122">
        <v>652.08000000000004</v>
      </c>
      <c r="G1540" s="122">
        <v>619.51</v>
      </c>
      <c r="H1540" s="123">
        <v>15197.35</v>
      </c>
      <c r="I1540" s="123">
        <v>8943.4500000000007</v>
      </c>
      <c r="J1540" s="123">
        <v>3529.9</v>
      </c>
      <c r="K1540" s="123">
        <v>2724</v>
      </c>
      <c r="L1540" s="43">
        <v>7.4160184652020726</v>
      </c>
      <c r="M1540" s="43">
        <v>11.500315043656052</v>
      </c>
      <c r="N1540" s="43">
        <v>5.4132928475033735</v>
      </c>
      <c r="O1540" s="43">
        <v>4.397023454020113</v>
      </c>
      <c r="P1540" s="124"/>
      <c r="Q1540" s="124"/>
      <c r="R1540" s="124">
        <v>2</v>
      </c>
    </row>
    <row r="1541" spans="1:18" ht="12.75" customHeight="1">
      <c r="A1541" s="628" t="s">
        <v>2797</v>
      </c>
      <c r="B1541" s="629"/>
      <c r="C1541" s="629"/>
      <c r="D1541" s="629"/>
      <c r="E1541" s="629"/>
      <c r="F1541" s="629"/>
      <c r="G1541" s="629"/>
      <c r="H1541" s="629"/>
      <c r="I1541" s="629"/>
      <c r="J1541" s="629"/>
      <c r="K1541" s="629"/>
      <c r="L1541" s="629"/>
      <c r="M1541" s="629"/>
      <c r="N1541" s="629"/>
      <c r="O1541" s="629"/>
      <c r="P1541" s="629"/>
      <c r="Q1541" s="629"/>
      <c r="R1541" s="629"/>
    </row>
    <row r="1542" spans="1:18" ht="36">
      <c r="A1542" s="120">
        <v>21</v>
      </c>
      <c r="B1542" s="117" t="s">
        <v>2798</v>
      </c>
      <c r="C1542" s="121" t="s">
        <v>2799</v>
      </c>
      <c r="D1542" s="122">
        <v>6148.93</v>
      </c>
      <c r="E1542" s="122">
        <v>1808.85</v>
      </c>
      <c r="F1542" s="122">
        <v>4213.55</v>
      </c>
      <c r="G1542" s="122">
        <v>126.53</v>
      </c>
      <c r="H1542" s="123">
        <v>43731.41</v>
      </c>
      <c r="I1542" s="123">
        <v>20802.55</v>
      </c>
      <c r="J1542" s="123">
        <v>21963.81</v>
      </c>
      <c r="K1542" s="123">
        <v>965.05</v>
      </c>
      <c r="L1542" s="43">
        <v>7.1120357525618276</v>
      </c>
      <c r="M1542" s="43">
        <v>11.500428449014567</v>
      </c>
      <c r="N1542" s="43">
        <v>5.2126615324370187</v>
      </c>
      <c r="O1542" s="43">
        <v>7.6270449695724327</v>
      </c>
      <c r="P1542" s="124"/>
      <c r="Q1542" s="124"/>
      <c r="R1542" s="124">
        <v>3</v>
      </c>
    </row>
    <row r="1543" spans="1:18" ht="30.75" customHeight="1">
      <c r="A1543" s="628" t="s">
        <v>2800</v>
      </c>
      <c r="B1543" s="629"/>
      <c r="C1543" s="629"/>
      <c r="D1543" s="629"/>
      <c r="E1543" s="629"/>
      <c r="F1543" s="629"/>
      <c r="G1543" s="629"/>
      <c r="H1543" s="629"/>
      <c r="I1543" s="629"/>
      <c r="J1543" s="629"/>
      <c r="K1543" s="629"/>
      <c r="L1543" s="629"/>
      <c r="M1543" s="629"/>
      <c r="N1543" s="629"/>
      <c r="O1543" s="629"/>
      <c r="P1543" s="629"/>
      <c r="Q1543" s="629"/>
      <c r="R1543" s="629"/>
    </row>
    <row r="1544" spans="1:18" ht="72">
      <c r="A1544" s="120">
        <v>22</v>
      </c>
      <c r="B1544" s="117" t="s">
        <v>2801</v>
      </c>
      <c r="C1544" s="121" t="s">
        <v>2802</v>
      </c>
      <c r="D1544" s="122">
        <v>4055.55</v>
      </c>
      <c r="E1544" s="122">
        <v>1248.69</v>
      </c>
      <c r="F1544" s="122">
        <v>2744.72</v>
      </c>
      <c r="G1544" s="122">
        <v>62.14</v>
      </c>
      <c r="H1544" s="123">
        <v>29184.18</v>
      </c>
      <c r="I1544" s="123">
        <v>14360.47</v>
      </c>
      <c r="J1544" s="123">
        <v>14218.19</v>
      </c>
      <c r="K1544" s="123">
        <v>605.52</v>
      </c>
      <c r="L1544" s="43">
        <v>7.1961090357658017</v>
      </c>
      <c r="M1544" s="43">
        <v>11.500428449014565</v>
      </c>
      <c r="N1544" s="43">
        <v>5.1801968871141693</v>
      </c>
      <c r="O1544" s="43">
        <v>9.7444480205986483</v>
      </c>
      <c r="P1544" s="124"/>
      <c r="Q1544" s="124"/>
      <c r="R1544" s="124">
        <v>4</v>
      </c>
    </row>
    <row r="1545" spans="1:18" ht="72">
      <c r="A1545" s="120">
        <v>23</v>
      </c>
      <c r="B1545" s="117" t="s">
        <v>2803</v>
      </c>
      <c r="C1545" s="121" t="s">
        <v>2804</v>
      </c>
      <c r="D1545" s="122">
        <v>7158.44</v>
      </c>
      <c r="E1545" s="122">
        <v>2228.9699999999998</v>
      </c>
      <c r="F1545" s="122">
        <v>4792.3</v>
      </c>
      <c r="G1545" s="122">
        <v>137.16999999999999</v>
      </c>
      <c r="H1545" s="123">
        <v>51869.23</v>
      </c>
      <c r="I1545" s="123">
        <v>25634.11</v>
      </c>
      <c r="J1545" s="123">
        <v>24918.35</v>
      </c>
      <c r="K1545" s="123">
        <v>1316.77</v>
      </c>
      <c r="L1545" s="43">
        <v>7.2458845782041905</v>
      </c>
      <c r="M1545" s="43">
        <v>11.500428449014569</v>
      </c>
      <c r="N1545" s="43">
        <v>5.1996640444045648</v>
      </c>
      <c r="O1545" s="43">
        <v>9.5995480061237881</v>
      </c>
      <c r="P1545" s="124"/>
      <c r="Q1545" s="124"/>
      <c r="R1545" s="124">
        <v>4</v>
      </c>
    </row>
    <row r="1546" spans="1:18" ht="72">
      <c r="A1546" s="120">
        <v>24</v>
      </c>
      <c r="B1546" s="117" t="s">
        <v>2805</v>
      </c>
      <c r="C1546" s="121" t="s">
        <v>2806</v>
      </c>
      <c r="D1546" s="122">
        <v>12777.97</v>
      </c>
      <c r="E1546" s="122">
        <v>3127.56</v>
      </c>
      <c r="F1546" s="122">
        <v>9299.6299999999992</v>
      </c>
      <c r="G1546" s="122">
        <v>350.78</v>
      </c>
      <c r="H1546" s="123">
        <v>87388.4</v>
      </c>
      <c r="I1546" s="123">
        <v>35968.28</v>
      </c>
      <c r="J1546" s="123">
        <v>48417.45</v>
      </c>
      <c r="K1546" s="123">
        <v>3002.67</v>
      </c>
      <c r="L1546" s="43">
        <v>6.8389892917263069</v>
      </c>
      <c r="M1546" s="43">
        <v>11.500428449014567</v>
      </c>
      <c r="N1546" s="43">
        <v>5.2063845550844494</v>
      </c>
      <c r="O1546" s="43">
        <v>8.5599806146302537</v>
      </c>
      <c r="P1546" s="124"/>
      <c r="Q1546" s="124"/>
      <c r="R1546" s="124">
        <v>4</v>
      </c>
    </row>
    <row r="1547" spans="1:18" ht="72">
      <c r="A1547" s="120">
        <v>25</v>
      </c>
      <c r="B1547" s="117" t="s">
        <v>2807</v>
      </c>
      <c r="C1547" s="121" t="s">
        <v>2808</v>
      </c>
      <c r="D1547" s="122">
        <v>15590.4</v>
      </c>
      <c r="E1547" s="122">
        <v>4002.81</v>
      </c>
      <c r="F1547" s="122">
        <v>11161.66</v>
      </c>
      <c r="G1547" s="122">
        <v>425.93</v>
      </c>
      <c r="H1547" s="123">
        <v>107808.98</v>
      </c>
      <c r="I1547" s="123">
        <v>46034.03</v>
      </c>
      <c r="J1547" s="123">
        <v>58114.25</v>
      </c>
      <c r="K1547" s="123">
        <v>3660.7</v>
      </c>
      <c r="L1547" s="43">
        <v>6.9150874897372745</v>
      </c>
      <c r="M1547" s="43">
        <v>11.500428449014567</v>
      </c>
      <c r="N1547" s="43">
        <v>5.2065956139140592</v>
      </c>
      <c r="O1547" s="43">
        <v>8.5946047472589395</v>
      </c>
      <c r="P1547" s="124"/>
      <c r="Q1547" s="124"/>
      <c r="R1547" s="124">
        <v>4</v>
      </c>
    </row>
    <row r="1548" spans="1:18" ht="12.75" customHeight="1">
      <c r="A1548" s="628" t="s">
        <v>2809</v>
      </c>
      <c r="B1548" s="629"/>
      <c r="C1548" s="629"/>
      <c r="D1548" s="629"/>
      <c r="E1548" s="629"/>
      <c r="F1548" s="629"/>
      <c r="G1548" s="629"/>
      <c r="H1548" s="629"/>
      <c r="I1548" s="629"/>
      <c r="J1548" s="629"/>
      <c r="K1548" s="629"/>
      <c r="L1548" s="629"/>
      <c r="M1548" s="629"/>
      <c r="N1548" s="629"/>
      <c r="O1548" s="629"/>
      <c r="P1548" s="629"/>
      <c r="Q1548" s="629"/>
      <c r="R1548" s="629"/>
    </row>
    <row r="1549" spans="1:18" ht="36">
      <c r="A1549" s="120">
        <v>26</v>
      </c>
      <c r="B1549" s="117" t="s">
        <v>2810</v>
      </c>
      <c r="C1549" s="121" t="s">
        <v>2811</v>
      </c>
      <c r="D1549" s="122">
        <v>13773.57</v>
      </c>
      <c r="E1549" s="122">
        <v>3757.74</v>
      </c>
      <c r="F1549" s="122">
        <v>9378.65</v>
      </c>
      <c r="G1549" s="122">
        <v>637.17999999999995</v>
      </c>
      <c r="H1549" s="123">
        <v>95636.62</v>
      </c>
      <c r="I1549" s="123">
        <v>43215.62</v>
      </c>
      <c r="J1549" s="123">
        <v>49190.99</v>
      </c>
      <c r="K1549" s="123">
        <v>3230.01</v>
      </c>
      <c r="L1549" s="43">
        <v>6.943488144322786</v>
      </c>
      <c r="M1549" s="43">
        <v>11.500428449014569</v>
      </c>
      <c r="N1549" s="43">
        <v>5.2449968812142469</v>
      </c>
      <c r="O1549" s="43">
        <v>5.069226906054805</v>
      </c>
      <c r="P1549" s="124"/>
      <c r="Q1549" s="124"/>
      <c r="R1549" s="124">
        <v>5</v>
      </c>
    </row>
    <row r="1550" spans="1:18" ht="12.75" customHeight="1">
      <c r="A1550" s="628" t="s">
        <v>2812</v>
      </c>
      <c r="B1550" s="629"/>
      <c r="C1550" s="629"/>
      <c r="D1550" s="629"/>
      <c r="E1550" s="629"/>
      <c r="F1550" s="629"/>
      <c r="G1550" s="629"/>
      <c r="H1550" s="629"/>
      <c r="I1550" s="629"/>
      <c r="J1550" s="629"/>
      <c r="K1550" s="629"/>
      <c r="L1550" s="629"/>
      <c r="M1550" s="629"/>
      <c r="N1550" s="629"/>
      <c r="O1550" s="629"/>
      <c r="P1550" s="629"/>
      <c r="Q1550" s="629"/>
      <c r="R1550" s="629"/>
    </row>
    <row r="1551" spans="1:18" ht="24">
      <c r="A1551" s="120">
        <v>27</v>
      </c>
      <c r="B1551" s="117" t="s">
        <v>2813</v>
      </c>
      <c r="C1551" s="121" t="s">
        <v>2814</v>
      </c>
      <c r="D1551" s="122">
        <v>30144.94</v>
      </c>
      <c r="E1551" s="122">
        <v>5168.8</v>
      </c>
      <c r="F1551" s="122">
        <v>22965.78</v>
      </c>
      <c r="G1551" s="122">
        <v>2010.36</v>
      </c>
      <c r="H1551" s="123">
        <v>200726.46</v>
      </c>
      <c r="I1551" s="123">
        <v>59441.2</v>
      </c>
      <c r="J1551" s="123">
        <v>127282.68</v>
      </c>
      <c r="K1551" s="123">
        <v>14002.58</v>
      </c>
      <c r="L1551" s="43">
        <v>6.6587115449558034</v>
      </c>
      <c r="M1551" s="43">
        <v>11.499999999999998</v>
      </c>
      <c r="N1551" s="43">
        <v>5.5422755072982497</v>
      </c>
      <c r="O1551" s="43">
        <v>6.9652102111064691</v>
      </c>
      <c r="P1551" s="124"/>
      <c r="Q1551" s="124"/>
      <c r="R1551" s="124">
        <v>6</v>
      </c>
    </row>
    <row r="1552" spans="1:18" ht="12.75" customHeight="1">
      <c r="A1552" s="628" t="s">
        <v>2815</v>
      </c>
      <c r="B1552" s="629"/>
      <c r="C1552" s="629"/>
      <c r="D1552" s="629"/>
      <c r="E1552" s="629"/>
      <c r="F1552" s="629"/>
      <c r="G1552" s="629"/>
      <c r="H1552" s="629"/>
      <c r="I1552" s="629"/>
      <c r="J1552" s="629"/>
      <c r="K1552" s="629"/>
      <c r="L1552" s="629"/>
      <c r="M1552" s="629"/>
      <c r="N1552" s="629"/>
      <c r="O1552" s="629"/>
      <c r="P1552" s="629"/>
      <c r="Q1552" s="629"/>
      <c r="R1552" s="629"/>
    </row>
    <row r="1553" spans="1:18" ht="24">
      <c r="A1553" s="120">
        <v>28</v>
      </c>
      <c r="B1553" s="117" t="s">
        <v>2816</v>
      </c>
      <c r="C1553" s="121" t="s">
        <v>2817</v>
      </c>
      <c r="D1553" s="122">
        <v>885.58</v>
      </c>
      <c r="E1553" s="122">
        <v>245.89</v>
      </c>
      <c r="F1553" s="122">
        <v>318.48</v>
      </c>
      <c r="G1553" s="122">
        <v>321.20999999999998</v>
      </c>
      <c r="H1553" s="123">
        <v>5909.82</v>
      </c>
      <c r="I1553" s="123">
        <v>2827.8</v>
      </c>
      <c r="J1553" s="123">
        <v>1725.05</v>
      </c>
      <c r="K1553" s="123">
        <v>1356.97</v>
      </c>
      <c r="L1553" s="43">
        <v>6.6733891912644818</v>
      </c>
      <c r="M1553" s="43">
        <v>11.500264345845705</v>
      </c>
      <c r="N1553" s="43">
        <v>5.41650967093695</v>
      </c>
      <c r="O1553" s="43">
        <v>4.2245571433018902</v>
      </c>
      <c r="P1553" s="124"/>
      <c r="Q1553" s="124"/>
      <c r="R1553" s="124">
        <v>7</v>
      </c>
    </row>
    <row r="1554" spans="1:18" ht="24">
      <c r="A1554" s="120">
        <v>29</v>
      </c>
      <c r="B1554" s="117" t="s">
        <v>2818</v>
      </c>
      <c r="C1554" s="121" t="s">
        <v>2819</v>
      </c>
      <c r="D1554" s="122">
        <v>1209.8900000000001</v>
      </c>
      <c r="E1554" s="122">
        <v>348.15</v>
      </c>
      <c r="F1554" s="122">
        <v>427.78</v>
      </c>
      <c r="G1554" s="122">
        <v>433.96</v>
      </c>
      <c r="H1554" s="123">
        <v>8156.55</v>
      </c>
      <c r="I1554" s="123">
        <v>4003.84</v>
      </c>
      <c r="J1554" s="123">
        <v>2317.15</v>
      </c>
      <c r="K1554" s="123">
        <v>1835.56</v>
      </c>
      <c r="L1554" s="43">
        <v>6.7415632826124687</v>
      </c>
      <c r="M1554" s="43">
        <v>11.50033031739193</v>
      </c>
      <c r="N1554" s="43">
        <v>5.4166861470849508</v>
      </c>
      <c r="O1554" s="43">
        <v>4.2297907641257257</v>
      </c>
      <c r="P1554" s="124"/>
      <c r="Q1554" s="124"/>
      <c r="R1554" s="124">
        <v>7</v>
      </c>
    </row>
    <row r="1555" spans="1:18" ht="12.75" customHeight="1">
      <c r="A1555" s="628" t="s">
        <v>2820</v>
      </c>
      <c r="B1555" s="629"/>
      <c r="C1555" s="629"/>
      <c r="D1555" s="629"/>
      <c r="E1555" s="629"/>
      <c r="F1555" s="629"/>
      <c r="G1555" s="629"/>
      <c r="H1555" s="629"/>
      <c r="I1555" s="629"/>
      <c r="J1555" s="629"/>
      <c r="K1555" s="629"/>
      <c r="L1555" s="629"/>
      <c r="M1555" s="629"/>
      <c r="N1555" s="629"/>
      <c r="O1555" s="629"/>
      <c r="P1555" s="629"/>
      <c r="Q1555" s="629"/>
      <c r="R1555" s="629"/>
    </row>
    <row r="1556" spans="1:18" ht="12.75" customHeight="1">
      <c r="A1556" s="628" t="s">
        <v>2787</v>
      </c>
      <c r="B1556" s="629"/>
      <c r="C1556" s="629"/>
      <c r="D1556" s="629"/>
      <c r="E1556" s="629"/>
      <c r="F1556" s="629"/>
      <c r="G1556" s="629"/>
      <c r="H1556" s="629"/>
      <c r="I1556" s="629"/>
      <c r="J1556" s="629"/>
      <c r="K1556" s="629"/>
      <c r="L1556" s="629"/>
      <c r="M1556" s="629"/>
      <c r="N1556" s="629"/>
      <c r="O1556" s="629"/>
      <c r="P1556" s="629"/>
      <c r="Q1556" s="629"/>
      <c r="R1556" s="629"/>
    </row>
    <row r="1557" spans="1:18" ht="36">
      <c r="A1557" s="120">
        <v>30</v>
      </c>
      <c r="B1557" s="117" t="s">
        <v>2821</v>
      </c>
      <c r="C1557" s="121" t="s">
        <v>2822</v>
      </c>
      <c r="D1557" s="122">
        <v>1310.93</v>
      </c>
      <c r="E1557" s="122">
        <v>550.82000000000005</v>
      </c>
      <c r="F1557" s="122">
        <v>412.06</v>
      </c>
      <c r="G1557" s="122">
        <v>348.05</v>
      </c>
      <c r="H1557" s="123">
        <v>10447.41</v>
      </c>
      <c r="I1557" s="123">
        <v>6334.71</v>
      </c>
      <c r="J1557" s="123">
        <v>2224.35</v>
      </c>
      <c r="K1557" s="123">
        <v>1888.35</v>
      </c>
      <c r="L1557" s="43">
        <v>7.9694644260181695</v>
      </c>
      <c r="M1557" s="43">
        <v>11.500508333030753</v>
      </c>
      <c r="N1557" s="43">
        <v>5.3981216327719261</v>
      </c>
      <c r="O1557" s="43">
        <v>5.4255135756356845</v>
      </c>
      <c r="P1557" s="124"/>
      <c r="Q1557" s="124"/>
      <c r="R1557" s="124">
        <v>1</v>
      </c>
    </row>
    <row r="1558" spans="1:18" ht="36">
      <c r="A1558" s="120">
        <v>31</v>
      </c>
      <c r="B1558" s="117" t="s">
        <v>2823</v>
      </c>
      <c r="C1558" s="121" t="s">
        <v>2824</v>
      </c>
      <c r="D1558" s="122">
        <v>1893.88</v>
      </c>
      <c r="E1558" s="122">
        <v>753.96</v>
      </c>
      <c r="F1558" s="122">
        <v>619.29999999999995</v>
      </c>
      <c r="G1558" s="122">
        <v>520.62</v>
      </c>
      <c r="H1558" s="123">
        <v>14829.52</v>
      </c>
      <c r="I1558" s="123">
        <v>8670.5400000000009</v>
      </c>
      <c r="J1558" s="123">
        <v>3343.14</v>
      </c>
      <c r="K1558" s="123">
        <v>2815.84</v>
      </c>
      <c r="L1558" s="43">
        <v>7.8302321160791601</v>
      </c>
      <c r="M1558" s="43">
        <v>11.5</v>
      </c>
      <c r="N1558" s="43">
        <v>5.3982560955917975</v>
      </c>
      <c r="O1558" s="43">
        <v>5.4086281741001114</v>
      </c>
      <c r="P1558" s="124"/>
      <c r="Q1558" s="124"/>
      <c r="R1558" s="124">
        <v>1</v>
      </c>
    </row>
    <row r="1559" spans="1:18" ht="36">
      <c r="A1559" s="120">
        <v>32</v>
      </c>
      <c r="B1559" s="117" t="s">
        <v>2825</v>
      </c>
      <c r="C1559" s="121" t="s">
        <v>2826</v>
      </c>
      <c r="D1559" s="122">
        <v>1182.68</v>
      </c>
      <c r="E1559" s="122">
        <v>332.99</v>
      </c>
      <c r="F1559" s="122">
        <v>611.16</v>
      </c>
      <c r="G1559" s="122">
        <v>238.53</v>
      </c>
      <c r="H1559" s="123">
        <v>8363.06</v>
      </c>
      <c r="I1559" s="123">
        <v>3829.47</v>
      </c>
      <c r="J1559" s="123">
        <v>3308.12</v>
      </c>
      <c r="K1559" s="123">
        <v>1225.47</v>
      </c>
      <c r="L1559" s="43">
        <v>7.0712787905435102</v>
      </c>
      <c r="M1559" s="43">
        <v>11.500255262920808</v>
      </c>
      <c r="N1559" s="43">
        <v>5.4128542443877219</v>
      </c>
      <c r="O1559" s="43">
        <v>5.1375927556282228</v>
      </c>
      <c r="P1559" s="124"/>
      <c r="Q1559" s="124"/>
      <c r="R1559" s="124">
        <v>1</v>
      </c>
    </row>
    <row r="1560" spans="1:18" ht="36">
      <c r="A1560" s="120">
        <v>33</v>
      </c>
      <c r="B1560" s="117" t="s">
        <v>2827</v>
      </c>
      <c r="C1560" s="121" t="s">
        <v>2828</v>
      </c>
      <c r="D1560" s="122">
        <v>1820.26</v>
      </c>
      <c r="E1560" s="122">
        <v>583.86</v>
      </c>
      <c r="F1560" s="122">
        <v>886.47</v>
      </c>
      <c r="G1560" s="122">
        <v>349.93</v>
      </c>
      <c r="H1560" s="123">
        <v>13330.38</v>
      </c>
      <c r="I1560" s="123">
        <v>6714.67</v>
      </c>
      <c r="J1560" s="123">
        <v>4798.13</v>
      </c>
      <c r="K1560" s="123">
        <v>1817.58</v>
      </c>
      <c r="L1560" s="43">
        <v>7.3233384241811601</v>
      </c>
      <c r="M1560" s="43">
        <v>11.500479567019491</v>
      </c>
      <c r="N1560" s="43">
        <v>5.4126253567520619</v>
      </c>
      <c r="O1560" s="43">
        <v>5.1941245391935524</v>
      </c>
      <c r="P1560" s="124"/>
      <c r="Q1560" s="124"/>
      <c r="R1560" s="124">
        <v>1</v>
      </c>
    </row>
    <row r="1561" spans="1:18" ht="24">
      <c r="A1561" s="120">
        <v>34</v>
      </c>
      <c r="B1561" s="117" t="s">
        <v>2829</v>
      </c>
      <c r="C1561" s="121" t="s">
        <v>2830</v>
      </c>
      <c r="D1561" s="122">
        <v>1405.77</v>
      </c>
      <c r="E1561" s="122">
        <v>471.47</v>
      </c>
      <c r="F1561" s="122">
        <v>558.65</v>
      </c>
      <c r="G1561" s="122">
        <v>375.65</v>
      </c>
      <c r="H1561" s="123">
        <v>10413.98</v>
      </c>
      <c r="I1561" s="123">
        <v>5422.08</v>
      </c>
      <c r="J1561" s="123">
        <v>3021.32</v>
      </c>
      <c r="K1561" s="123">
        <v>1970.58</v>
      </c>
      <c r="L1561" s="43">
        <v>7.4080254949244893</v>
      </c>
      <c r="M1561" s="43">
        <v>11.500371179502407</v>
      </c>
      <c r="N1561" s="43">
        <v>5.4082520361585971</v>
      </c>
      <c r="O1561" s="43">
        <v>5.24578730200985</v>
      </c>
      <c r="P1561" s="124"/>
      <c r="Q1561" s="124"/>
      <c r="R1561" s="124">
        <v>1</v>
      </c>
    </row>
    <row r="1562" spans="1:18" ht="24">
      <c r="A1562" s="120">
        <v>35</v>
      </c>
      <c r="B1562" s="117" t="s">
        <v>2831</v>
      </c>
      <c r="C1562" s="121" t="s">
        <v>2832</v>
      </c>
      <c r="D1562" s="122">
        <v>1134.53</v>
      </c>
      <c r="E1562" s="122">
        <v>616.17999999999995</v>
      </c>
      <c r="F1562" s="122">
        <v>255.22</v>
      </c>
      <c r="G1562" s="122">
        <v>263.13</v>
      </c>
      <c r="H1562" s="123">
        <v>9844.26</v>
      </c>
      <c r="I1562" s="123">
        <v>7086.29</v>
      </c>
      <c r="J1562" s="123">
        <v>1370.98</v>
      </c>
      <c r="K1562" s="123">
        <v>1386.99</v>
      </c>
      <c r="L1562" s="43">
        <v>8.6769499264012406</v>
      </c>
      <c r="M1562" s="43">
        <v>11.500357038527703</v>
      </c>
      <c r="N1562" s="43">
        <v>5.3717576992398719</v>
      </c>
      <c r="O1562" s="43">
        <v>5.271120738798313</v>
      </c>
      <c r="P1562" s="124"/>
      <c r="Q1562" s="124"/>
      <c r="R1562" s="124">
        <v>1</v>
      </c>
    </row>
    <row r="1563" spans="1:18" ht="24">
      <c r="A1563" s="120">
        <v>36</v>
      </c>
      <c r="B1563" s="117" t="s">
        <v>2833</v>
      </c>
      <c r="C1563" s="121" t="s">
        <v>2834</v>
      </c>
      <c r="D1563" s="122">
        <v>1541.67</v>
      </c>
      <c r="E1563" s="122">
        <v>813.4</v>
      </c>
      <c r="F1563" s="122">
        <v>360.86</v>
      </c>
      <c r="G1563" s="122">
        <v>367.41</v>
      </c>
      <c r="H1563" s="123">
        <v>13223.65</v>
      </c>
      <c r="I1563" s="123">
        <v>9354.44</v>
      </c>
      <c r="J1563" s="123">
        <v>1938.65</v>
      </c>
      <c r="K1563" s="123">
        <v>1930.56</v>
      </c>
      <c r="L1563" s="43">
        <v>8.5774841567910123</v>
      </c>
      <c r="M1563" s="43">
        <v>11.500417998524712</v>
      </c>
      <c r="N1563" s="43">
        <v>5.3723050490494932</v>
      </c>
      <c r="O1563" s="43">
        <v>5.2545113088919733</v>
      </c>
      <c r="P1563" s="124"/>
      <c r="Q1563" s="124"/>
      <c r="R1563" s="124">
        <v>1</v>
      </c>
    </row>
    <row r="1564" spans="1:18" ht="24">
      <c r="A1564" s="120">
        <v>37</v>
      </c>
      <c r="B1564" s="117" t="s">
        <v>2835</v>
      </c>
      <c r="C1564" s="121" t="s">
        <v>2836</v>
      </c>
      <c r="D1564" s="122">
        <v>1770.79</v>
      </c>
      <c r="E1564" s="122">
        <v>1083.8399999999999</v>
      </c>
      <c r="F1564" s="122">
        <v>417.94</v>
      </c>
      <c r="G1564" s="122">
        <v>269.01</v>
      </c>
      <c r="H1564" s="123">
        <v>16168.13</v>
      </c>
      <c r="I1564" s="123">
        <v>12464.61</v>
      </c>
      <c r="J1564" s="123">
        <v>2253.4</v>
      </c>
      <c r="K1564" s="123">
        <v>1450.12</v>
      </c>
      <c r="L1564" s="43">
        <v>9.1304615454119347</v>
      </c>
      <c r="M1564" s="43">
        <v>11.500415190434014</v>
      </c>
      <c r="N1564" s="43">
        <v>5.391683016700962</v>
      </c>
      <c r="O1564" s="43">
        <v>5.3905802758261769</v>
      </c>
      <c r="P1564" s="124"/>
      <c r="Q1564" s="124"/>
      <c r="R1564" s="124">
        <v>1</v>
      </c>
    </row>
    <row r="1565" spans="1:18" ht="24">
      <c r="A1565" s="120">
        <v>38</v>
      </c>
      <c r="B1565" s="117" t="s">
        <v>2837</v>
      </c>
      <c r="C1565" s="121" t="s">
        <v>2838</v>
      </c>
      <c r="D1565" s="122">
        <v>2018.58</v>
      </c>
      <c r="E1565" s="122">
        <v>683.66</v>
      </c>
      <c r="F1565" s="122">
        <v>1069</v>
      </c>
      <c r="G1565" s="122">
        <v>265.92</v>
      </c>
      <c r="H1565" s="123">
        <v>15038.02</v>
      </c>
      <c r="I1565" s="123">
        <v>7862.33</v>
      </c>
      <c r="J1565" s="123">
        <v>5779.33</v>
      </c>
      <c r="K1565" s="123">
        <v>1396.36</v>
      </c>
      <c r="L1565" s="43">
        <v>7.4498013455003029</v>
      </c>
      <c r="M1565" s="43">
        <v>11.500351051692363</v>
      </c>
      <c r="N1565" s="43">
        <v>5.4062956033676333</v>
      </c>
      <c r="O1565" s="43">
        <v>5.251052948255114</v>
      </c>
      <c r="P1565" s="124"/>
      <c r="Q1565" s="124"/>
      <c r="R1565" s="124">
        <v>1</v>
      </c>
    </row>
    <row r="1566" spans="1:18" ht="12.75" customHeight="1">
      <c r="A1566" s="628" t="s">
        <v>2839</v>
      </c>
      <c r="B1566" s="629"/>
      <c r="C1566" s="629"/>
      <c r="D1566" s="629"/>
      <c r="E1566" s="629"/>
      <c r="F1566" s="629"/>
      <c r="G1566" s="629"/>
      <c r="H1566" s="629"/>
      <c r="I1566" s="629"/>
      <c r="J1566" s="629"/>
      <c r="K1566" s="629"/>
      <c r="L1566" s="629"/>
      <c r="M1566" s="629"/>
      <c r="N1566" s="629"/>
      <c r="O1566" s="629"/>
      <c r="P1566" s="629"/>
      <c r="Q1566" s="629"/>
      <c r="R1566" s="629"/>
    </row>
    <row r="1567" spans="1:18" ht="24">
      <c r="A1567" s="120">
        <v>39</v>
      </c>
      <c r="B1567" s="117" t="s">
        <v>2840</v>
      </c>
      <c r="C1567" s="121" t="s">
        <v>2841</v>
      </c>
      <c r="D1567" s="122">
        <v>1703.3</v>
      </c>
      <c r="E1567" s="122">
        <v>636.02</v>
      </c>
      <c r="F1567" s="122">
        <v>474.55</v>
      </c>
      <c r="G1567" s="122">
        <v>592.73</v>
      </c>
      <c r="H1567" s="123">
        <v>12606.17</v>
      </c>
      <c r="I1567" s="123">
        <v>7314.45</v>
      </c>
      <c r="J1567" s="123">
        <v>2564.2800000000002</v>
      </c>
      <c r="K1567" s="123">
        <v>2727.44</v>
      </c>
      <c r="L1567" s="43">
        <v>7.4010274173662891</v>
      </c>
      <c r="M1567" s="43">
        <v>11.500345901072293</v>
      </c>
      <c r="N1567" s="43">
        <v>5.403603413760405</v>
      </c>
      <c r="O1567" s="43">
        <v>4.6014880299630523</v>
      </c>
      <c r="P1567" s="124"/>
      <c r="Q1567" s="124"/>
      <c r="R1567" s="124">
        <v>2</v>
      </c>
    </row>
    <row r="1568" spans="1:18" ht="24">
      <c r="A1568" s="120">
        <v>40</v>
      </c>
      <c r="B1568" s="117" t="s">
        <v>2842</v>
      </c>
      <c r="C1568" s="121" t="s">
        <v>2843</v>
      </c>
      <c r="D1568" s="122">
        <v>2647.53</v>
      </c>
      <c r="E1568" s="122">
        <v>969.33</v>
      </c>
      <c r="F1568" s="122">
        <v>880.63</v>
      </c>
      <c r="G1568" s="122">
        <v>797.57</v>
      </c>
      <c r="H1568" s="123">
        <v>19359.95</v>
      </c>
      <c r="I1568" s="123">
        <v>11147.7</v>
      </c>
      <c r="J1568" s="123">
        <v>4766.16</v>
      </c>
      <c r="K1568" s="123">
        <v>3446.09</v>
      </c>
      <c r="L1568" s="43">
        <v>7.3124572714945621</v>
      </c>
      <c r="M1568" s="43">
        <v>11.500417814366624</v>
      </c>
      <c r="N1568" s="43">
        <v>5.4122162542725096</v>
      </c>
      <c r="O1568" s="43">
        <v>4.3207367378411927</v>
      </c>
      <c r="P1568" s="124"/>
      <c r="Q1568" s="124"/>
      <c r="R1568" s="124">
        <v>2</v>
      </c>
    </row>
    <row r="1569" spans="1:18" ht="12.75" customHeight="1">
      <c r="A1569" s="628" t="s">
        <v>2844</v>
      </c>
      <c r="B1569" s="629"/>
      <c r="C1569" s="629"/>
      <c r="D1569" s="629"/>
      <c r="E1569" s="629"/>
      <c r="F1569" s="629"/>
      <c r="G1569" s="629"/>
      <c r="H1569" s="629"/>
      <c r="I1569" s="629"/>
      <c r="J1569" s="629"/>
      <c r="K1569" s="629"/>
      <c r="L1569" s="629"/>
      <c r="M1569" s="629"/>
      <c r="N1569" s="629"/>
      <c r="O1569" s="629"/>
      <c r="P1569" s="629"/>
      <c r="Q1569" s="629"/>
      <c r="R1569" s="629"/>
    </row>
    <row r="1570" spans="1:18" ht="24">
      <c r="A1570" s="120">
        <v>41</v>
      </c>
      <c r="B1570" s="117" t="s">
        <v>2845</v>
      </c>
      <c r="C1570" s="121" t="s">
        <v>2846</v>
      </c>
      <c r="D1570" s="122">
        <v>1479.86</v>
      </c>
      <c r="E1570" s="122">
        <v>548.22</v>
      </c>
      <c r="F1570" s="122">
        <v>340.67</v>
      </c>
      <c r="G1570" s="122">
        <v>590.97</v>
      </c>
      <c r="H1570" s="123">
        <v>10851.46</v>
      </c>
      <c r="I1570" s="123">
        <v>6304.82</v>
      </c>
      <c r="J1570" s="123">
        <v>1839.44</v>
      </c>
      <c r="K1570" s="123">
        <v>2707.2</v>
      </c>
      <c r="L1570" s="43">
        <v>7.3327612071412158</v>
      </c>
      <c r="M1570" s="43">
        <v>11.500528984714165</v>
      </c>
      <c r="N1570" s="43">
        <v>5.3994775002201543</v>
      </c>
      <c r="O1570" s="43">
        <v>4.5809431950860446</v>
      </c>
      <c r="P1570" s="124"/>
      <c r="Q1570" s="124"/>
      <c r="R1570" s="124">
        <v>3</v>
      </c>
    </row>
    <row r="1571" spans="1:18" ht="24">
      <c r="A1571" s="120">
        <v>42</v>
      </c>
      <c r="B1571" s="117" t="s">
        <v>2847</v>
      </c>
      <c r="C1571" s="121" t="s">
        <v>2848</v>
      </c>
      <c r="D1571" s="122">
        <v>1674.78</v>
      </c>
      <c r="E1571" s="122">
        <v>644.59</v>
      </c>
      <c r="F1571" s="122">
        <v>375.94</v>
      </c>
      <c r="G1571" s="122">
        <v>654.25</v>
      </c>
      <c r="H1571" s="123">
        <v>12446.19</v>
      </c>
      <c r="I1571" s="123">
        <v>7413.05</v>
      </c>
      <c r="J1571" s="123">
        <v>2029.93</v>
      </c>
      <c r="K1571" s="123">
        <v>3003.21</v>
      </c>
      <c r="L1571" s="43">
        <v>7.4315372765378145</v>
      </c>
      <c r="M1571" s="43">
        <v>11.500411114041484</v>
      </c>
      <c r="N1571" s="43">
        <v>5.399611640155344</v>
      </c>
      <c r="O1571" s="43">
        <v>4.5903095147115014</v>
      </c>
      <c r="P1571" s="124"/>
      <c r="Q1571" s="124"/>
      <c r="R1571" s="124">
        <v>3</v>
      </c>
    </row>
    <row r="1572" spans="1:18" ht="12.75" customHeight="1">
      <c r="A1572" s="628" t="s">
        <v>2849</v>
      </c>
      <c r="B1572" s="629"/>
      <c r="C1572" s="629"/>
      <c r="D1572" s="629"/>
      <c r="E1572" s="629"/>
      <c r="F1572" s="629"/>
      <c r="G1572" s="629"/>
      <c r="H1572" s="629"/>
      <c r="I1572" s="629"/>
      <c r="J1572" s="629"/>
      <c r="K1572" s="629"/>
      <c r="L1572" s="629"/>
      <c r="M1572" s="629"/>
      <c r="N1572" s="629"/>
      <c r="O1572" s="629"/>
      <c r="P1572" s="629"/>
      <c r="Q1572" s="629"/>
      <c r="R1572" s="629"/>
    </row>
    <row r="1573" spans="1:18" ht="36">
      <c r="A1573" s="120">
        <v>43</v>
      </c>
      <c r="B1573" s="117" t="s">
        <v>2850</v>
      </c>
      <c r="C1573" s="121" t="s">
        <v>2851</v>
      </c>
      <c r="D1573" s="122">
        <v>1767.9</v>
      </c>
      <c r="E1573" s="122">
        <v>735.89</v>
      </c>
      <c r="F1573" s="122">
        <v>437.28</v>
      </c>
      <c r="G1573" s="122">
        <v>594.73</v>
      </c>
      <c r="H1573" s="123">
        <v>13574.9</v>
      </c>
      <c r="I1573" s="123">
        <v>8462.99</v>
      </c>
      <c r="J1573" s="123">
        <v>2361.4699999999998</v>
      </c>
      <c r="K1573" s="123">
        <v>2750.44</v>
      </c>
      <c r="L1573" s="43">
        <v>7.6785451665818201</v>
      </c>
      <c r="M1573" s="43">
        <v>11.500346519180855</v>
      </c>
      <c r="N1573" s="43">
        <v>5.4003613245517741</v>
      </c>
      <c r="O1573" s="43">
        <v>4.6246868326803758</v>
      </c>
      <c r="P1573" s="124"/>
      <c r="Q1573" s="124"/>
      <c r="R1573" s="124">
        <v>4</v>
      </c>
    </row>
    <row r="1574" spans="1:18" ht="12.75" customHeight="1">
      <c r="A1574" s="628" t="s">
        <v>2852</v>
      </c>
      <c r="B1574" s="629"/>
      <c r="C1574" s="629"/>
      <c r="D1574" s="629"/>
      <c r="E1574" s="629"/>
      <c r="F1574" s="629"/>
      <c r="G1574" s="629"/>
      <c r="H1574" s="629"/>
      <c r="I1574" s="629"/>
      <c r="J1574" s="629"/>
      <c r="K1574" s="629"/>
      <c r="L1574" s="629"/>
      <c r="M1574" s="629"/>
      <c r="N1574" s="629"/>
      <c r="O1574" s="629"/>
      <c r="P1574" s="629"/>
      <c r="Q1574" s="629"/>
      <c r="R1574" s="629"/>
    </row>
    <row r="1575" spans="1:18" ht="36">
      <c r="A1575" s="120">
        <v>44</v>
      </c>
      <c r="B1575" s="117" t="s">
        <v>2853</v>
      </c>
      <c r="C1575" s="121" t="s">
        <v>2854</v>
      </c>
      <c r="D1575" s="122">
        <v>1925.57</v>
      </c>
      <c r="E1575" s="122">
        <v>518.5</v>
      </c>
      <c r="F1575" s="122">
        <v>715.57</v>
      </c>
      <c r="G1575" s="122">
        <v>691.5</v>
      </c>
      <c r="H1575" s="123">
        <v>12682.08</v>
      </c>
      <c r="I1575" s="123">
        <v>5962.75</v>
      </c>
      <c r="J1575" s="123">
        <v>3871.5</v>
      </c>
      <c r="K1575" s="123">
        <v>2847.83</v>
      </c>
      <c r="L1575" s="43">
        <v>6.5861433237950324</v>
      </c>
      <c r="M1575" s="43">
        <v>11.5</v>
      </c>
      <c r="N1575" s="43">
        <v>5.41037215087273</v>
      </c>
      <c r="O1575" s="43">
        <v>4.1183369486623285</v>
      </c>
      <c r="P1575" s="124"/>
      <c r="Q1575" s="124"/>
      <c r="R1575" s="124">
        <v>5</v>
      </c>
    </row>
    <row r="1576" spans="1:18" ht="36">
      <c r="A1576" s="120">
        <v>45</v>
      </c>
      <c r="B1576" s="117" t="s">
        <v>2855</v>
      </c>
      <c r="C1576" s="121" t="s">
        <v>2856</v>
      </c>
      <c r="D1576" s="122">
        <v>2900.53</v>
      </c>
      <c r="E1576" s="122">
        <v>757.62</v>
      </c>
      <c r="F1576" s="122">
        <v>1515.19</v>
      </c>
      <c r="G1576" s="122">
        <v>627.72</v>
      </c>
      <c r="H1576" s="123">
        <v>19572.75</v>
      </c>
      <c r="I1576" s="123">
        <v>8712.6299999999992</v>
      </c>
      <c r="J1576" s="123">
        <v>8183.69</v>
      </c>
      <c r="K1576" s="123">
        <v>2676.43</v>
      </c>
      <c r="L1576" s="43">
        <v>6.7479908844245706</v>
      </c>
      <c r="M1576" s="43">
        <v>11.499999999999998</v>
      </c>
      <c r="N1576" s="43">
        <v>5.4010982121054116</v>
      </c>
      <c r="O1576" s="43">
        <v>4.2637322373032553</v>
      </c>
      <c r="P1576" s="124"/>
      <c r="Q1576" s="124"/>
      <c r="R1576" s="124">
        <v>5</v>
      </c>
    </row>
    <row r="1577" spans="1:18" ht="17.25" customHeight="1">
      <c r="A1577" s="628" t="s">
        <v>2857</v>
      </c>
      <c r="B1577" s="629"/>
      <c r="C1577" s="629"/>
      <c r="D1577" s="629"/>
      <c r="E1577" s="629"/>
      <c r="F1577" s="629"/>
      <c r="G1577" s="629"/>
      <c r="H1577" s="629"/>
      <c r="I1577" s="629"/>
      <c r="J1577" s="629"/>
      <c r="K1577" s="629"/>
      <c r="L1577" s="629"/>
      <c r="M1577" s="629"/>
      <c r="N1577" s="629"/>
      <c r="O1577" s="629"/>
      <c r="P1577" s="629"/>
      <c r="Q1577" s="629"/>
      <c r="R1577" s="629"/>
    </row>
    <row r="1578" spans="1:18" ht="12.75" customHeight="1">
      <c r="A1578" s="628" t="s">
        <v>2858</v>
      </c>
      <c r="B1578" s="629"/>
      <c r="C1578" s="629"/>
      <c r="D1578" s="629"/>
      <c r="E1578" s="629"/>
      <c r="F1578" s="629"/>
      <c r="G1578" s="629"/>
      <c r="H1578" s="629"/>
      <c r="I1578" s="629"/>
      <c r="J1578" s="629"/>
      <c r="K1578" s="629"/>
      <c r="L1578" s="629"/>
      <c r="M1578" s="629"/>
      <c r="N1578" s="629"/>
      <c r="O1578" s="629"/>
      <c r="P1578" s="629"/>
      <c r="Q1578" s="629"/>
      <c r="R1578" s="629"/>
    </row>
    <row r="1579" spans="1:18" ht="36">
      <c r="A1579" s="120">
        <v>46</v>
      </c>
      <c r="B1579" s="117" t="s">
        <v>2859</v>
      </c>
      <c r="C1579" s="121" t="s">
        <v>2860</v>
      </c>
      <c r="D1579" s="122">
        <v>14232.81</v>
      </c>
      <c r="E1579" s="122">
        <v>814.1</v>
      </c>
      <c r="F1579" s="122">
        <v>12125.48</v>
      </c>
      <c r="G1579" s="122">
        <v>1293.23</v>
      </c>
      <c r="H1579" s="123">
        <v>90609.71</v>
      </c>
      <c r="I1579" s="123">
        <v>9362.44</v>
      </c>
      <c r="J1579" s="123">
        <v>75777.11</v>
      </c>
      <c r="K1579" s="123">
        <v>5470.16</v>
      </c>
      <c r="L1579" s="43">
        <v>6.3662558553089665</v>
      </c>
      <c r="M1579" s="43">
        <v>11.5003562215944</v>
      </c>
      <c r="N1579" s="43">
        <v>6.2494111573315037</v>
      </c>
      <c r="O1579" s="43">
        <v>4.2298431060213568</v>
      </c>
      <c r="P1579" s="124"/>
      <c r="Q1579" s="124"/>
      <c r="R1579" s="124">
        <v>1</v>
      </c>
    </row>
    <row r="1580" spans="1:18" ht="36">
      <c r="A1580" s="120">
        <v>47</v>
      </c>
      <c r="B1580" s="117" t="s">
        <v>2861</v>
      </c>
      <c r="C1580" s="121" t="s">
        <v>2862</v>
      </c>
      <c r="D1580" s="122">
        <v>12009.65</v>
      </c>
      <c r="E1580" s="122">
        <v>607.91</v>
      </c>
      <c r="F1580" s="122">
        <v>10306.11</v>
      </c>
      <c r="G1580" s="122">
        <v>1095.6300000000001</v>
      </c>
      <c r="H1580" s="123">
        <v>76020.63</v>
      </c>
      <c r="I1580" s="123">
        <v>6991.16</v>
      </c>
      <c r="J1580" s="123">
        <v>64408.28</v>
      </c>
      <c r="K1580" s="123">
        <v>4621.1899999999996</v>
      </c>
      <c r="L1580" s="43">
        <v>6.3299621554333392</v>
      </c>
      <c r="M1580" s="43">
        <v>11.500320771166784</v>
      </c>
      <c r="N1580" s="43">
        <v>6.2495238261574926</v>
      </c>
      <c r="O1580" s="43">
        <v>4.2178381387877284</v>
      </c>
      <c r="P1580" s="124"/>
      <c r="Q1580" s="124"/>
      <c r="R1580" s="124">
        <v>1</v>
      </c>
    </row>
    <row r="1581" spans="1:18" ht="17.25" customHeight="1">
      <c r="A1581" s="628" t="s">
        <v>2863</v>
      </c>
      <c r="B1581" s="629"/>
      <c r="C1581" s="629"/>
      <c r="D1581" s="629"/>
      <c r="E1581" s="629"/>
      <c r="F1581" s="629"/>
      <c r="G1581" s="629"/>
      <c r="H1581" s="629"/>
      <c r="I1581" s="629"/>
      <c r="J1581" s="629"/>
      <c r="K1581" s="629"/>
      <c r="L1581" s="629"/>
      <c r="M1581" s="629"/>
      <c r="N1581" s="629"/>
      <c r="O1581" s="629"/>
      <c r="P1581" s="629"/>
      <c r="Q1581" s="629"/>
      <c r="R1581" s="629"/>
    </row>
    <row r="1582" spans="1:18" ht="12.75" customHeight="1">
      <c r="A1582" s="628" t="s">
        <v>2864</v>
      </c>
      <c r="B1582" s="629"/>
      <c r="C1582" s="629"/>
      <c r="D1582" s="629"/>
      <c r="E1582" s="629"/>
      <c r="F1582" s="629"/>
      <c r="G1582" s="629"/>
      <c r="H1582" s="629"/>
      <c r="I1582" s="629"/>
      <c r="J1582" s="629"/>
      <c r="K1582" s="629"/>
      <c r="L1582" s="629"/>
      <c r="M1582" s="629"/>
      <c r="N1582" s="629"/>
      <c r="O1582" s="629"/>
      <c r="P1582" s="629"/>
      <c r="Q1582" s="629"/>
      <c r="R1582" s="629"/>
    </row>
    <row r="1583" spans="1:18" ht="36">
      <c r="A1583" s="120">
        <v>48</v>
      </c>
      <c r="B1583" s="117" t="s">
        <v>2865</v>
      </c>
      <c r="C1583" s="121" t="s">
        <v>2866</v>
      </c>
      <c r="D1583" s="122">
        <v>1520.47</v>
      </c>
      <c r="E1583" s="122">
        <v>813.4</v>
      </c>
      <c r="F1583" s="122">
        <v>423.84</v>
      </c>
      <c r="G1583" s="122">
        <v>283.23</v>
      </c>
      <c r="H1583" s="123">
        <v>13195.01</v>
      </c>
      <c r="I1583" s="123">
        <v>9354.44</v>
      </c>
      <c r="J1583" s="123">
        <v>2284.9299999999998</v>
      </c>
      <c r="K1583" s="123">
        <v>1555.64</v>
      </c>
      <c r="L1583" s="43">
        <v>8.6782442271139839</v>
      </c>
      <c r="M1583" s="43">
        <v>11.500417998524712</v>
      </c>
      <c r="N1583" s="43">
        <v>5.3910201963004907</v>
      </c>
      <c r="O1583" s="43">
        <v>5.4924972637079401</v>
      </c>
      <c r="P1583" s="124"/>
      <c r="Q1583" s="124"/>
      <c r="R1583" s="124">
        <v>1</v>
      </c>
    </row>
    <row r="1584" spans="1:18" ht="36">
      <c r="A1584" s="120">
        <v>49</v>
      </c>
      <c r="B1584" s="117" t="s">
        <v>2867</v>
      </c>
      <c r="C1584" s="121" t="s">
        <v>2868</v>
      </c>
      <c r="D1584" s="122">
        <v>1697.99</v>
      </c>
      <c r="E1584" s="122">
        <v>877.58</v>
      </c>
      <c r="F1584" s="122">
        <v>473.1</v>
      </c>
      <c r="G1584" s="122">
        <v>347.31</v>
      </c>
      <c r="H1584" s="123">
        <v>14514.93</v>
      </c>
      <c r="I1584" s="123">
        <v>10092.59</v>
      </c>
      <c r="J1584" s="123">
        <v>2550.4499999999998</v>
      </c>
      <c r="K1584" s="123">
        <v>1871.89</v>
      </c>
      <c r="L1584" s="43">
        <v>8.5483012267445631</v>
      </c>
      <c r="M1584" s="43">
        <v>11.500478588846601</v>
      </c>
      <c r="N1584" s="43">
        <v>5.3909321496512357</v>
      </c>
      <c r="O1584" s="43">
        <v>5.3896806887218913</v>
      </c>
      <c r="P1584" s="124"/>
      <c r="Q1584" s="124"/>
      <c r="R1584" s="124">
        <v>1</v>
      </c>
    </row>
    <row r="1585" spans="1:18" ht="36">
      <c r="A1585" s="120">
        <v>50</v>
      </c>
      <c r="B1585" s="117" t="s">
        <v>2869</v>
      </c>
      <c r="C1585" s="121" t="s">
        <v>2870</v>
      </c>
      <c r="D1585" s="122">
        <v>1787.77</v>
      </c>
      <c r="E1585" s="122">
        <v>930.1</v>
      </c>
      <c r="F1585" s="122">
        <v>495.13</v>
      </c>
      <c r="G1585" s="122">
        <v>362.54</v>
      </c>
      <c r="H1585" s="123">
        <v>15322.62</v>
      </c>
      <c r="I1585" s="123">
        <v>10696.54</v>
      </c>
      <c r="J1585" s="123">
        <v>2669.12</v>
      </c>
      <c r="K1585" s="123">
        <v>1956.96</v>
      </c>
      <c r="L1585" s="43">
        <v>8.570800494470765</v>
      </c>
      <c r="M1585" s="43">
        <v>11.50041930975164</v>
      </c>
      <c r="N1585" s="43">
        <v>5.3907458647223958</v>
      </c>
      <c r="O1585" s="43">
        <v>5.3979147128592704</v>
      </c>
      <c r="P1585" s="124"/>
      <c r="Q1585" s="124"/>
      <c r="R1585" s="124">
        <v>1</v>
      </c>
    </row>
    <row r="1586" spans="1:18" ht="36">
      <c r="A1586" s="120">
        <v>51</v>
      </c>
      <c r="B1586" s="117" t="s">
        <v>2871</v>
      </c>
      <c r="C1586" s="121" t="s">
        <v>2872</v>
      </c>
      <c r="D1586" s="122">
        <v>2461.62</v>
      </c>
      <c r="E1586" s="122">
        <v>1140.1600000000001</v>
      </c>
      <c r="F1586" s="122">
        <v>744.03</v>
      </c>
      <c r="G1586" s="122">
        <v>577.42999999999995</v>
      </c>
      <c r="H1586" s="123">
        <v>20325.71</v>
      </c>
      <c r="I1586" s="123">
        <v>13112.32</v>
      </c>
      <c r="J1586" s="123">
        <v>4010.96</v>
      </c>
      <c r="K1586" s="123">
        <v>3202.43</v>
      </c>
      <c r="L1586" s="43">
        <v>8.2570461728455253</v>
      </c>
      <c r="M1586" s="43">
        <v>11.500420993544765</v>
      </c>
      <c r="N1586" s="43">
        <v>5.3908578955149657</v>
      </c>
      <c r="O1586" s="43">
        <v>5.5460055764335072</v>
      </c>
      <c r="P1586" s="124"/>
      <c r="Q1586" s="124"/>
      <c r="R1586" s="124">
        <v>1</v>
      </c>
    </row>
    <row r="1587" spans="1:18" ht="12.75" customHeight="1">
      <c r="A1587" s="628" t="s">
        <v>2873</v>
      </c>
      <c r="B1587" s="629"/>
      <c r="C1587" s="629"/>
      <c r="D1587" s="629"/>
      <c r="E1587" s="629"/>
      <c r="F1587" s="629"/>
      <c r="G1587" s="629"/>
      <c r="H1587" s="629"/>
      <c r="I1587" s="629"/>
      <c r="J1587" s="629"/>
      <c r="K1587" s="629"/>
      <c r="L1587" s="629"/>
      <c r="M1587" s="629"/>
      <c r="N1587" s="629"/>
      <c r="O1587" s="629"/>
      <c r="P1587" s="629"/>
      <c r="Q1587" s="629"/>
      <c r="R1587" s="629"/>
    </row>
    <row r="1588" spans="1:18" ht="24">
      <c r="A1588" s="120">
        <v>52</v>
      </c>
      <c r="B1588" s="117" t="s">
        <v>2874</v>
      </c>
      <c r="C1588" s="121" t="s">
        <v>2875</v>
      </c>
      <c r="D1588" s="122">
        <v>3182.87</v>
      </c>
      <c r="E1588" s="122">
        <v>1237.02</v>
      </c>
      <c r="F1588" s="122">
        <v>1276.79</v>
      </c>
      <c r="G1588" s="122">
        <v>669.06</v>
      </c>
      <c r="H1588" s="123">
        <v>24264.66</v>
      </c>
      <c r="I1588" s="123">
        <v>14226.26</v>
      </c>
      <c r="J1588" s="123">
        <v>6871.28</v>
      </c>
      <c r="K1588" s="123">
        <v>3167.12</v>
      </c>
      <c r="L1588" s="43">
        <v>7.6235158834636669</v>
      </c>
      <c r="M1588" s="43">
        <v>11.500428449014567</v>
      </c>
      <c r="N1588" s="43">
        <v>5.3816837537887983</v>
      </c>
      <c r="O1588" s="43">
        <v>4.7336860670194003</v>
      </c>
      <c r="P1588" s="124"/>
      <c r="Q1588" s="124"/>
      <c r="R1588" s="124">
        <v>2</v>
      </c>
    </row>
    <row r="1589" spans="1:18" ht="12.75" customHeight="1">
      <c r="A1589" s="628" t="s">
        <v>2876</v>
      </c>
      <c r="B1589" s="629"/>
      <c r="C1589" s="629"/>
      <c r="D1589" s="629"/>
      <c r="E1589" s="629"/>
      <c r="F1589" s="629"/>
      <c r="G1589" s="629"/>
      <c r="H1589" s="629"/>
      <c r="I1589" s="629"/>
      <c r="J1589" s="629"/>
      <c r="K1589" s="629"/>
      <c r="L1589" s="629"/>
      <c r="M1589" s="629"/>
      <c r="N1589" s="629"/>
      <c r="O1589" s="629"/>
      <c r="P1589" s="629"/>
      <c r="Q1589" s="629"/>
      <c r="R1589" s="629"/>
    </row>
    <row r="1590" spans="1:18" ht="12.75" customHeight="1">
      <c r="A1590" s="628" t="s">
        <v>2877</v>
      </c>
      <c r="B1590" s="629"/>
      <c r="C1590" s="629"/>
      <c r="D1590" s="629"/>
      <c r="E1590" s="629"/>
      <c r="F1590" s="629"/>
      <c r="G1590" s="629"/>
      <c r="H1590" s="629"/>
      <c r="I1590" s="629"/>
      <c r="J1590" s="629"/>
      <c r="K1590" s="629"/>
      <c r="L1590" s="629"/>
      <c r="M1590" s="629"/>
      <c r="N1590" s="629"/>
      <c r="O1590" s="629"/>
      <c r="P1590" s="629"/>
      <c r="Q1590" s="629"/>
      <c r="R1590" s="629"/>
    </row>
    <row r="1591" spans="1:18" ht="24">
      <c r="A1591" s="120">
        <v>53</v>
      </c>
      <c r="B1591" s="117" t="s">
        <v>2878</v>
      </c>
      <c r="C1591" s="121" t="s">
        <v>2879</v>
      </c>
      <c r="D1591" s="122">
        <v>877.98</v>
      </c>
      <c r="E1591" s="122">
        <v>327.93</v>
      </c>
      <c r="F1591" s="122">
        <v>227.2</v>
      </c>
      <c r="G1591" s="122">
        <v>322.85000000000002</v>
      </c>
      <c r="H1591" s="123">
        <v>6371.1</v>
      </c>
      <c r="I1591" s="123">
        <v>3771.3</v>
      </c>
      <c r="J1591" s="123">
        <v>1223.97</v>
      </c>
      <c r="K1591" s="123">
        <v>1375.83</v>
      </c>
      <c r="L1591" s="43">
        <v>7.2565434292352906</v>
      </c>
      <c r="M1591" s="43">
        <v>11.500320190284512</v>
      </c>
      <c r="N1591" s="43">
        <v>5.3871919014084515</v>
      </c>
      <c r="O1591" s="43">
        <v>4.261514635279541</v>
      </c>
      <c r="P1591" s="124"/>
      <c r="Q1591" s="124"/>
      <c r="R1591" s="124">
        <v>1</v>
      </c>
    </row>
    <row r="1592" spans="1:18" ht="12.75" customHeight="1">
      <c r="A1592" s="628" t="s">
        <v>2880</v>
      </c>
      <c r="B1592" s="629"/>
      <c r="C1592" s="629"/>
      <c r="D1592" s="629"/>
      <c r="E1592" s="629"/>
      <c r="F1592" s="629"/>
      <c r="G1592" s="629"/>
      <c r="H1592" s="629"/>
      <c r="I1592" s="629"/>
      <c r="J1592" s="629"/>
      <c r="K1592" s="629"/>
      <c r="L1592" s="629"/>
      <c r="M1592" s="629"/>
      <c r="N1592" s="629"/>
      <c r="O1592" s="629"/>
      <c r="P1592" s="629"/>
      <c r="Q1592" s="629"/>
      <c r="R1592" s="629"/>
    </row>
    <row r="1593" spans="1:18" ht="24">
      <c r="A1593" s="120">
        <v>54</v>
      </c>
      <c r="B1593" s="117" t="s">
        <v>2881</v>
      </c>
      <c r="C1593" s="121" t="s">
        <v>2882</v>
      </c>
      <c r="D1593" s="122">
        <v>643.08000000000004</v>
      </c>
      <c r="E1593" s="122">
        <v>484.31</v>
      </c>
      <c r="F1593" s="122">
        <v>144.32</v>
      </c>
      <c r="G1593" s="122">
        <v>14.45</v>
      </c>
      <c r="H1593" s="123">
        <v>6504.86</v>
      </c>
      <c r="I1593" s="123">
        <v>5569.72</v>
      </c>
      <c r="J1593" s="123">
        <v>781.98</v>
      </c>
      <c r="K1593" s="123">
        <v>153.16</v>
      </c>
      <c r="L1593" s="43">
        <v>10.115164520743919</v>
      </c>
      <c r="M1593" s="43">
        <v>11.500320042947699</v>
      </c>
      <c r="N1593" s="43">
        <v>5.4183758314855881</v>
      </c>
      <c r="O1593" s="43">
        <v>10.599307958477509</v>
      </c>
      <c r="P1593" s="124"/>
      <c r="Q1593" s="124"/>
      <c r="R1593" s="124">
        <v>2</v>
      </c>
    </row>
    <row r="1594" spans="1:18" ht="12.75" customHeight="1">
      <c r="A1594" s="628" t="s">
        <v>2883</v>
      </c>
      <c r="B1594" s="629"/>
      <c r="C1594" s="629"/>
      <c r="D1594" s="629"/>
      <c r="E1594" s="629"/>
      <c r="F1594" s="629"/>
      <c r="G1594" s="629"/>
      <c r="H1594" s="629"/>
      <c r="I1594" s="629"/>
      <c r="J1594" s="629"/>
      <c r="K1594" s="629"/>
      <c r="L1594" s="629"/>
      <c r="M1594" s="629"/>
      <c r="N1594" s="629"/>
      <c r="O1594" s="629"/>
      <c r="P1594" s="629"/>
      <c r="Q1594" s="629"/>
      <c r="R1594" s="629"/>
    </row>
    <row r="1595" spans="1:18" ht="24">
      <c r="A1595" s="120">
        <v>55</v>
      </c>
      <c r="B1595" s="117" t="s">
        <v>2884</v>
      </c>
      <c r="C1595" s="121" t="s">
        <v>2885</v>
      </c>
      <c r="D1595" s="122">
        <v>1012.75</v>
      </c>
      <c r="E1595" s="122">
        <v>380.44</v>
      </c>
      <c r="F1595" s="122">
        <v>308.41000000000003</v>
      </c>
      <c r="G1595" s="122">
        <v>323.89999999999998</v>
      </c>
      <c r="H1595" s="123">
        <v>7419.11</v>
      </c>
      <c r="I1595" s="123">
        <v>4375.25</v>
      </c>
      <c r="J1595" s="123">
        <v>1655.95</v>
      </c>
      <c r="K1595" s="123">
        <v>1387.91</v>
      </c>
      <c r="L1595" s="43">
        <v>7.3257072327820287</v>
      </c>
      <c r="M1595" s="43">
        <v>11.500499421722216</v>
      </c>
      <c r="N1595" s="43">
        <v>5.3693135760837842</v>
      </c>
      <c r="O1595" s="43">
        <v>4.2849953689410318</v>
      </c>
      <c r="P1595" s="124"/>
      <c r="Q1595" s="124"/>
      <c r="R1595" s="124">
        <v>3</v>
      </c>
    </row>
    <row r="1596" spans="1:18" ht="36">
      <c r="A1596" s="120">
        <v>56</v>
      </c>
      <c r="B1596" s="117" t="s">
        <v>2886</v>
      </c>
      <c r="C1596" s="121" t="s">
        <v>2887</v>
      </c>
      <c r="D1596" s="122">
        <v>1420.42</v>
      </c>
      <c r="E1596" s="122">
        <v>523.98</v>
      </c>
      <c r="F1596" s="122">
        <v>432.27</v>
      </c>
      <c r="G1596" s="122">
        <v>464.17</v>
      </c>
      <c r="H1596" s="123">
        <v>10383.629999999999</v>
      </c>
      <c r="I1596" s="123">
        <v>6026.03</v>
      </c>
      <c r="J1596" s="123">
        <v>2321.1799999999998</v>
      </c>
      <c r="K1596" s="123">
        <v>2036.42</v>
      </c>
      <c r="L1596" s="43">
        <v>7.3102533053603853</v>
      </c>
      <c r="M1596" s="43">
        <v>11.500496202145118</v>
      </c>
      <c r="N1596" s="43">
        <v>5.3697457607513819</v>
      </c>
      <c r="O1596" s="43">
        <v>4.3872288170282436</v>
      </c>
      <c r="P1596" s="124"/>
      <c r="Q1596" s="124"/>
      <c r="R1596" s="124">
        <v>3</v>
      </c>
    </row>
    <row r="1597" spans="1:18" ht="12.75" customHeight="1">
      <c r="A1597" s="628" t="s">
        <v>2888</v>
      </c>
      <c r="B1597" s="629"/>
      <c r="C1597" s="629"/>
      <c r="D1597" s="629"/>
      <c r="E1597" s="629"/>
      <c r="F1597" s="629"/>
      <c r="G1597" s="629"/>
      <c r="H1597" s="629"/>
      <c r="I1597" s="629"/>
      <c r="J1597" s="629"/>
      <c r="K1597" s="629"/>
      <c r="L1597" s="629"/>
      <c r="M1597" s="629"/>
      <c r="N1597" s="629"/>
      <c r="O1597" s="629"/>
      <c r="P1597" s="629"/>
      <c r="Q1597" s="629"/>
      <c r="R1597" s="629"/>
    </row>
    <row r="1598" spans="1:18" ht="12.75" customHeight="1">
      <c r="A1598" s="628" t="s">
        <v>2889</v>
      </c>
      <c r="B1598" s="629"/>
      <c r="C1598" s="629"/>
      <c r="D1598" s="629"/>
      <c r="E1598" s="629"/>
      <c r="F1598" s="629"/>
      <c r="G1598" s="629"/>
      <c r="H1598" s="629"/>
      <c r="I1598" s="629"/>
      <c r="J1598" s="629"/>
      <c r="K1598" s="629"/>
      <c r="L1598" s="629"/>
      <c r="M1598" s="629"/>
      <c r="N1598" s="629"/>
      <c r="O1598" s="629"/>
      <c r="P1598" s="629"/>
      <c r="Q1598" s="629"/>
      <c r="R1598" s="629"/>
    </row>
    <row r="1599" spans="1:18" ht="27" customHeight="1">
      <c r="A1599" s="120">
        <v>57</v>
      </c>
      <c r="B1599" s="117" t="s">
        <v>2890</v>
      </c>
      <c r="C1599" s="121" t="s">
        <v>2891</v>
      </c>
      <c r="D1599" s="122">
        <v>988.21</v>
      </c>
      <c r="E1599" s="122">
        <v>536.82000000000005</v>
      </c>
      <c r="F1599" s="122">
        <v>304.07</v>
      </c>
      <c r="G1599" s="122">
        <v>147.32</v>
      </c>
      <c r="H1599" s="123">
        <v>8691.6</v>
      </c>
      <c r="I1599" s="123">
        <v>6173.66</v>
      </c>
      <c r="J1599" s="123">
        <v>1647.42</v>
      </c>
      <c r="K1599" s="123">
        <v>870.52</v>
      </c>
      <c r="L1599" s="43">
        <v>8.7952965462806496</v>
      </c>
      <c r="M1599" s="43">
        <v>11.500428449014565</v>
      </c>
      <c r="N1599" s="43">
        <v>5.4178971947248993</v>
      </c>
      <c r="O1599" s="43">
        <v>5.9090415422210159</v>
      </c>
      <c r="P1599" s="124"/>
      <c r="Q1599" s="124"/>
      <c r="R1599" s="124">
        <v>1</v>
      </c>
    </row>
    <row r="1600" spans="1:18" ht="36">
      <c r="A1600" s="120">
        <v>58</v>
      </c>
      <c r="B1600" s="117" t="s">
        <v>2892</v>
      </c>
      <c r="C1600" s="121" t="s">
        <v>2893</v>
      </c>
      <c r="D1600" s="122">
        <v>1111.06</v>
      </c>
      <c r="E1600" s="122">
        <v>610.34</v>
      </c>
      <c r="F1600" s="122">
        <v>334.92</v>
      </c>
      <c r="G1600" s="122">
        <v>165.8</v>
      </c>
      <c r="H1600" s="123">
        <v>9811.6</v>
      </c>
      <c r="I1600" s="123">
        <v>7019.18</v>
      </c>
      <c r="J1600" s="123">
        <v>1814.58</v>
      </c>
      <c r="K1600" s="123">
        <v>977.84</v>
      </c>
      <c r="L1600" s="43">
        <v>8.8308462189260712</v>
      </c>
      <c r="M1600" s="43">
        <v>11.500442376380377</v>
      </c>
      <c r="N1600" s="43">
        <v>5.4179505553565024</v>
      </c>
      <c r="O1600" s="43">
        <v>5.8977080820265382</v>
      </c>
      <c r="P1600" s="124"/>
      <c r="Q1600" s="124"/>
      <c r="R1600" s="124">
        <v>1</v>
      </c>
    </row>
    <row r="1601" spans="1:18" ht="36">
      <c r="A1601" s="120">
        <v>59</v>
      </c>
      <c r="B1601" s="117" t="s">
        <v>2894</v>
      </c>
      <c r="C1601" s="121" t="s">
        <v>2895</v>
      </c>
      <c r="D1601" s="122">
        <v>1178.53</v>
      </c>
      <c r="E1601" s="122">
        <v>636.02</v>
      </c>
      <c r="F1601" s="122">
        <v>365.89</v>
      </c>
      <c r="G1601" s="122">
        <v>176.62</v>
      </c>
      <c r="H1601" s="123">
        <v>10339.48</v>
      </c>
      <c r="I1601" s="123">
        <v>7314.45</v>
      </c>
      <c r="J1601" s="123">
        <v>1982.35</v>
      </c>
      <c r="K1601" s="123">
        <v>1042.68</v>
      </c>
      <c r="L1601" s="43">
        <v>8.7732005125028643</v>
      </c>
      <c r="M1601" s="43">
        <v>11.500345901072293</v>
      </c>
      <c r="N1601" s="43">
        <v>5.4178851567410966</v>
      </c>
      <c r="O1601" s="43">
        <v>5.9035216849733896</v>
      </c>
      <c r="P1601" s="124"/>
      <c r="Q1601" s="124"/>
      <c r="R1601" s="124">
        <v>1</v>
      </c>
    </row>
    <row r="1602" spans="1:18" ht="24">
      <c r="A1602" s="120">
        <v>60</v>
      </c>
      <c r="B1602" s="117" t="s">
        <v>2896</v>
      </c>
      <c r="C1602" s="121" t="s">
        <v>2897</v>
      </c>
      <c r="D1602" s="122">
        <v>1030.3499999999999</v>
      </c>
      <c r="E1602" s="122">
        <v>610.34</v>
      </c>
      <c r="F1602" s="122">
        <v>240.38</v>
      </c>
      <c r="G1602" s="122">
        <v>179.63</v>
      </c>
      <c r="H1602" s="123">
        <v>9317.17</v>
      </c>
      <c r="I1602" s="123">
        <v>7019.18</v>
      </c>
      <c r="J1602" s="123">
        <v>1301.47</v>
      </c>
      <c r="K1602" s="123">
        <v>996.52</v>
      </c>
      <c r="L1602" s="43">
        <v>9.0427233464356789</v>
      </c>
      <c r="M1602" s="43">
        <v>11.500442376380377</v>
      </c>
      <c r="N1602" s="43">
        <v>5.4142191530077382</v>
      </c>
      <c r="O1602" s="43">
        <v>5.5476256749986081</v>
      </c>
      <c r="P1602" s="124"/>
      <c r="Q1602" s="124"/>
      <c r="R1602" s="124">
        <v>1</v>
      </c>
    </row>
    <row r="1603" spans="1:18" ht="24">
      <c r="A1603" s="120">
        <v>61</v>
      </c>
      <c r="B1603" s="117" t="s">
        <v>2898</v>
      </c>
      <c r="C1603" s="121" t="s">
        <v>2899</v>
      </c>
      <c r="D1603" s="122">
        <v>1040.18</v>
      </c>
      <c r="E1603" s="122">
        <v>534.49</v>
      </c>
      <c r="F1603" s="122">
        <v>307.49</v>
      </c>
      <c r="G1603" s="122">
        <v>198.2</v>
      </c>
      <c r="H1603" s="123">
        <v>8882.43</v>
      </c>
      <c r="I1603" s="123">
        <v>6146.82</v>
      </c>
      <c r="J1603" s="123">
        <v>1655.24</v>
      </c>
      <c r="K1603" s="123">
        <v>1080.3699999999999</v>
      </c>
      <c r="L1603" s="43">
        <v>8.5393201176719415</v>
      </c>
      <c r="M1603" s="43">
        <v>11.500346124342832</v>
      </c>
      <c r="N1603" s="43">
        <v>5.3830693681095321</v>
      </c>
      <c r="O1603" s="43">
        <v>5.4509081735620581</v>
      </c>
      <c r="P1603" s="124"/>
      <c r="Q1603" s="124"/>
      <c r="R1603" s="124">
        <v>1</v>
      </c>
    </row>
    <row r="1604" spans="1:18" ht="24">
      <c r="A1604" s="120">
        <v>62</v>
      </c>
      <c r="B1604" s="117" t="s">
        <v>2900</v>
      </c>
      <c r="C1604" s="121" t="s">
        <v>2901</v>
      </c>
      <c r="D1604" s="122">
        <v>1345.32</v>
      </c>
      <c r="E1604" s="122">
        <v>667.52</v>
      </c>
      <c r="F1604" s="122">
        <v>521.75</v>
      </c>
      <c r="G1604" s="122">
        <v>156.05000000000001</v>
      </c>
      <c r="H1604" s="123">
        <v>11457.32</v>
      </c>
      <c r="I1604" s="123">
        <v>7676.81</v>
      </c>
      <c r="J1604" s="123">
        <v>2826.33</v>
      </c>
      <c r="K1604" s="123">
        <v>954.18</v>
      </c>
      <c r="L1604" s="43">
        <v>8.5164273184075174</v>
      </c>
      <c r="M1604" s="43">
        <v>11.500494367209972</v>
      </c>
      <c r="N1604" s="43">
        <v>5.4170196454240536</v>
      </c>
      <c r="O1604" s="43">
        <v>6.1145786606856767</v>
      </c>
      <c r="P1604" s="124"/>
      <c r="Q1604" s="124"/>
      <c r="R1604" s="124">
        <v>1</v>
      </c>
    </row>
    <row r="1605" spans="1:18" ht="24">
      <c r="A1605" s="120">
        <v>63</v>
      </c>
      <c r="B1605" s="117" t="s">
        <v>2902</v>
      </c>
      <c r="C1605" s="121" t="s">
        <v>2903</v>
      </c>
      <c r="D1605" s="122">
        <v>1498.31</v>
      </c>
      <c r="E1605" s="122">
        <v>786.56</v>
      </c>
      <c r="F1605" s="122">
        <v>553.32000000000005</v>
      </c>
      <c r="G1605" s="122">
        <v>158.43</v>
      </c>
      <c r="H1605" s="123">
        <v>13022.5</v>
      </c>
      <c r="I1605" s="123">
        <v>9045.75</v>
      </c>
      <c r="J1605" s="123">
        <v>2995.2</v>
      </c>
      <c r="K1605" s="123">
        <v>981.55</v>
      </c>
      <c r="L1605" s="43">
        <v>8.6914590438560779</v>
      </c>
      <c r="M1605" s="43">
        <v>11.500394121236779</v>
      </c>
      <c r="N1605" s="43">
        <v>5.4131424853610923</v>
      </c>
      <c r="O1605" s="43">
        <v>6.1954806539165554</v>
      </c>
      <c r="P1605" s="124"/>
      <c r="Q1605" s="124"/>
      <c r="R1605" s="124">
        <v>1</v>
      </c>
    </row>
    <row r="1606" spans="1:18" ht="24">
      <c r="A1606" s="120">
        <v>64</v>
      </c>
      <c r="B1606" s="117" t="s">
        <v>2904</v>
      </c>
      <c r="C1606" s="121" t="s">
        <v>2905</v>
      </c>
      <c r="D1606" s="122">
        <v>1108.1300000000001</v>
      </c>
      <c r="E1606" s="122">
        <v>627.85</v>
      </c>
      <c r="F1606" s="122">
        <v>325.02</v>
      </c>
      <c r="G1606" s="122">
        <v>155.26</v>
      </c>
      <c r="H1606" s="123">
        <v>9924.7800000000007</v>
      </c>
      <c r="I1606" s="123">
        <v>7220.5</v>
      </c>
      <c r="J1606" s="123">
        <v>1759.19</v>
      </c>
      <c r="K1606" s="123">
        <v>945.09</v>
      </c>
      <c r="L1606" s="43">
        <v>8.9563318383222175</v>
      </c>
      <c r="M1606" s="43">
        <v>11.500358365851715</v>
      </c>
      <c r="N1606" s="43">
        <v>5.4125592271244853</v>
      </c>
      <c r="O1606" s="43">
        <v>6.0871441453046504</v>
      </c>
      <c r="P1606" s="124"/>
      <c r="Q1606" s="124"/>
      <c r="R1606" s="124">
        <v>1</v>
      </c>
    </row>
    <row r="1607" spans="1:18" ht="12.75" customHeight="1">
      <c r="A1607" s="628" t="s">
        <v>2906</v>
      </c>
      <c r="B1607" s="629"/>
      <c r="C1607" s="629"/>
      <c r="D1607" s="629"/>
      <c r="E1607" s="629"/>
      <c r="F1607" s="629"/>
      <c r="G1607" s="629"/>
      <c r="H1607" s="629"/>
      <c r="I1607" s="629"/>
      <c r="J1607" s="629"/>
      <c r="K1607" s="629"/>
      <c r="L1607" s="629"/>
      <c r="M1607" s="629"/>
      <c r="N1607" s="629"/>
      <c r="O1607" s="629"/>
      <c r="P1607" s="629"/>
      <c r="Q1607" s="629"/>
      <c r="R1607" s="629"/>
    </row>
    <row r="1608" spans="1:18" ht="36">
      <c r="A1608" s="120">
        <v>65</v>
      </c>
      <c r="B1608" s="117" t="s">
        <v>2907</v>
      </c>
      <c r="C1608" s="121" t="s">
        <v>2908</v>
      </c>
      <c r="D1608" s="122">
        <v>1187.53</v>
      </c>
      <c r="E1608" s="122">
        <v>534.49</v>
      </c>
      <c r="F1608" s="122">
        <v>499.65</v>
      </c>
      <c r="G1608" s="122">
        <v>153.38999999999999</v>
      </c>
      <c r="H1608" s="123">
        <v>9776.41</v>
      </c>
      <c r="I1608" s="123">
        <v>6146.82</v>
      </c>
      <c r="J1608" s="123">
        <v>2706</v>
      </c>
      <c r="K1608" s="123">
        <v>923.59</v>
      </c>
      <c r="L1608" s="43">
        <v>8.2325583353683705</v>
      </c>
      <c r="M1608" s="43">
        <v>11.500346124342832</v>
      </c>
      <c r="N1608" s="43">
        <v>5.4157910537376166</v>
      </c>
      <c r="O1608" s="43">
        <v>6.0211878218919104</v>
      </c>
      <c r="P1608" s="124"/>
      <c r="Q1608" s="124"/>
      <c r="R1608" s="124">
        <v>2</v>
      </c>
    </row>
    <row r="1609" spans="1:18" ht="36">
      <c r="A1609" s="120">
        <v>66</v>
      </c>
      <c r="B1609" s="117" t="s">
        <v>2909</v>
      </c>
      <c r="C1609" s="121" t="s">
        <v>2910</v>
      </c>
      <c r="D1609" s="122">
        <v>1254.8900000000001</v>
      </c>
      <c r="E1609" s="122">
        <v>534.49</v>
      </c>
      <c r="F1609" s="122">
        <v>549.39</v>
      </c>
      <c r="G1609" s="122">
        <v>171.01</v>
      </c>
      <c r="H1609" s="123">
        <v>10141.65</v>
      </c>
      <c r="I1609" s="123">
        <v>6146.82</v>
      </c>
      <c r="J1609" s="123">
        <v>2975.46</v>
      </c>
      <c r="K1609" s="123">
        <v>1019.37</v>
      </c>
      <c r="L1609" s="43">
        <v>8.0817043724947997</v>
      </c>
      <c r="M1609" s="43">
        <v>11.500346124342832</v>
      </c>
      <c r="N1609" s="43">
        <v>5.4159340359307597</v>
      </c>
      <c r="O1609" s="43">
        <v>5.960879480732121</v>
      </c>
      <c r="P1609" s="124"/>
      <c r="Q1609" s="124"/>
      <c r="R1609" s="124">
        <v>2</v>
      </c>
    </row>
    <row r="1610" spans="1:18" ht="12.75">
      <c r="A1610" s="632" t="s">
        <v>18</v>
      </c>
      <c r="B1610" s="632"/>
      <c r="C1610" s="632"/>
      <c r="D1610" s="118">
        <v>282777.7</v>
      </c>
      <c r="E1610" s="118">
        <v>77062.740000000005</v>
      </c>
      <c r="F1610" s="118">
        <v>176383.24</v>
      </c>
      <c r="G1610" s="118">
        <v>29331.72</v>
      </c>
      <c r="H1610" s="119">
        <v>2034593.95</v>
      </c>
      <c r="I1610" s="119">
        <v>886247.44</v>
      </c>
      <c r="J1610" s="119">
        <v>997375.93</v>
      </c>
      <c r="K1610" s="119">
        <v>150970.57999999999</v>
      </c>
      <c r="L1610" s="612">
        <v>7.1950297000081687</v>
      </c>
      <c r="M1610" s="612">
        <v>11.500336479081849</v>
      </c>
      <c r="N1610" s="612">
        <v>5.6545958108037935</v>
      </c>
      <c r="O1610" s="612">
        <v>5.147007403589015</v>
      </c>
      <c r="P1610" s="116"/>
      <c r="Q1610" s="116"/>
      <c r="R1610" s="116"/>
    </row>
    <row r="1611" spans="1:18" ht="18">
      <c r="A1611" s="616" t="s">
        <v>2911</v>
      </c>
      <c r="B1611" s="626"/>
      <c r="C1611" s="626"/>
      <c r="D1611" s="626"/>
      <c r="E1611" s="626"/>
      <c r="F1611" s="626"/>
      <c r="G1611" s="626"/>
      <c r="H1611" s="626"/>
      <c r="I1611" s="626"/>
      <c r="J1611" s="626"/>
      <c r="K1611" s="626"/>
      <c r="L1611" s="626"/>
      <c r="M1611" s="626"/>
      <c r="N1611" s="626"/>
      <c r="O1611" s="626"/>
      <c r="P1611" s="626"/>
      <c r="Q1611" s="626"/>
      <c r="R1611" s="627"/>
    </row>
    <row r="1612" spans="1:18" ht="12.75" customHeight="1">
      <c r="A1612" s="630" t="s">
        <v>2912</v>
      </c>
      <c r="B1612" s="631"/>
      <c r="C1612" s="631"/>
      <c r="D1612" s="631"/>
      <c r="E1612" s="631"/>
      <c r="F1612" s="631"/>
      <c r="G1612" s="631"/>
      <c r="H1612" s="631"/>
      <c r="I1612" s="631"/>
      <c r="J1612" s="631"/>
      <c r="K1612" s="631"/>
      <c r="L1612" s="631"/>
      <c r="M1612" s="631"/>
      <c r="N1612" s="631"/>
      <c r="O1612" s="631"/>
      <c r="P1612" s="631"/>
      <c r="Q1612" s="631"/>
      <c r="R1612" s="631"/>
    </row>
    <row r="1613" spans="1:18" ht="12.75" customHeight="1">
      <c r="A1613" s="628" t="s">
        <v>2913</v>
      </c>
      <c r="B1613" s="629"/>
      <c r="C1613" s="629"/>
      <c r="D1613" s="629"/>
      <c r="E1613" s="629"/>
      <c r="F1613" s="629"/>
      <c r="G1613" s="629"/>
      <c r="H1613" s="629"/>
      <c r="I1613" s="629"/>
      <c r="J1613" s="629"/>
      <c r="K1613" s="629"/>
      <c r="L1613" s="629"/>
      <c r="M1613" s="629"/>
      <c r="N1613" s="629"/>
      <c r="O1613" s="629"/>
      <c r="P1613" s="629"/>
      <c r="Q1613" s="629"/>
      <c r="R1613" s="629"/>
    </row>
    <row r="1614" spans="1:18" ht="12.75" customHeight="1">
      <c r="A1614" s="628" t="s">
        <v>2914</v>
      </c>
      <c r="B1614" s="629"/>
      <c r="C1614" s="629"/>
      <c r="D1614" s="629"/>
      <c r="E1614" s="629"/>
      <c r="F1614" s="629"/>
      <c r="G1614" s="629"/>
      <c r="H1614" s="629"/>
      <c r="I1614" s="629"/>
      <c r="J1614" s="629"/>
      <c r="K1614" s="629"/>
      <c r="L1614" s="629"/>
      <c r="M1614" s="629"/>
      <c r="N1614" s="629"/>
      <c r="O1614" s="629"/>
      <c r="P1614" s="629"/>
      <c r="Q1614" s="629"/>
      <c r="R1614" s="629"/>
    </row>
    <row r="1615" spans="1:18" ht="36">
      <c r="A1615" s="150">
        <v>1</v>
      </c>
      <c r="B1615" s="147" t="s">
        <v>2915</v>
      </c>
      <c r="C1615" s="151" t="s">
        <v>2916</v>
      </c>
      <c r="D1615" s="152">
        <v>3838.6</v>
      </c>
      <c r="E1615" s="152">
        <v>863.58</v>
      </c>
      <c r="F1615" s="152">
        <v>1234.73</v>
      </c>
      <c r="G1615" s="152">
        <v>1740.29</v>
      </c>
      <c r="H1615" s="153">
        <v>25755.86</v>
      </c>
      <c r="I1615" s="153">
        <v>9931.5400000000009</v>
      </c>
      <c r="J1615" s="153">
        <v>6606.21</v>
      </c>
      <c r="K1615" s="153">
        <v>9218.11</v>
      </c>
      <c r="L1615" s="43">
        <v>6.7097014536549784</v>
      </c>
      <c r="M1615" s="43">
        <v>11.500428449014567</v>
      </c>
      <c r="N1615" s="43">
        <v>5.3503276019858594</v>
      </c>
      <c r="O1615" s="43">
        <v>5.296881554223722</v>
      </c>
      <c r="P1615" s="154"/>
      <c r="Q1615" s="154"/>
      <c r="R1615" s="154">
        <v>1</v>
      </c>
    </row>
    <row r="1616" spans="1:18" ht="36">
      <c r="A1616" s="150">
        <v>2</v>
      </c>
      <c r="B1616" s="147" t="s">
        <v>2917</v>
      </c>
      <c r="C1616" s="151" t="s">
        <v>2918</v>
      </c>
      <c r="D1616" s="152">
        <v>2934.91</v>
      </c>
      <c r="E1616" s="152">
        <v>754.86</v>
      </c>
      <c r="F1616" s="152">
        <v>1144.22</v>
      </c>
      <c r="G1616" s="152">
        <v>1035.83</v>
      </c>
      <c r="H1616" s="153">
        <v>20225.689999999999</v>
      </c>
      <c r="I1616" s="153">
        <v>8680.84</v>
      </c>
      <c r="J1616" s="153">
        <v>6124.65</v>
      </c>
      <c r="K1616" s="153">
        <v>5420.2</v>
      </c>
      <c r="L1616" s="43">
        <v>6.8914174540275512</v>
      </c>
      <c r="M1616" s="43">
        <v>11.499933762551997</v>
      </c>
      <c r="N1616" s="43">
        <v>5.3526856723357392</v>
      </c>
      <c r="O1616" s="43">
        <v>5.2327119314945501</v>
      </c>
      <c r="P1616" s="154"/>
      <c r="Q1616" s="154"/>
      <c r="R1616" s="154">
        <v>1</v>
      </c>
    </row>
    <row r="1617" spans="1:18" ht="36">
      <c r="A1617" s="150">
        <v>3</v>
      </c>
      <c r="B1617" s="147" t="s">
        <v>2919</v>
      </c>
      <c r="C1617" s="151" t="s">
        <v>2920</v>
      </c>
      <c r="D1617" s="152">
        <v>1827.39</v>
      </c>
      <c r="E1617" s="152">
        <v>439.64</v>
      </c>
      <c r="F1617" s="152">
        <v>748.99</v>
      </c>
      <c r="G1617" s="152">
        <v>638.76</v>
      </c>
      <c r="H1617" s="153">
        <v>12519.49</v>
      </c>
      <c r="I1617" s="153">
        <v>5055.99</v>
      </c>
      <c r="J1617" s="153">
        <v>3994.09</v>
      </c>
      <c r="K1617" s="153">
        <v>3469.41</v>
      </c>
      <c r="L1617" s="43">
        <v>6.8510224965661406</v>
      </c>
      <c r="M1617" s="43">
        <v>11.500295696478938</v>
      </c>
      <c r="N1617" s="43">
        <v>5.3326346146143475</v>
      </c>
      <c r="O1617" s="43">
        <v>5.4314766109336841</v>
      </c>
      <c r="P1617" s="154"/>
      <c r="Q1617" s="154"/>
      <c r="R1617" s="154">
        <v>1</v>
      </c>
    </row>
    <row r="1618" spans="1:18" ht="48">
      <c r="A1618" s="150">
        <v>4</v>
      </c>
      <c r="B1618" s="147" t="s">
        <v>2921</v>
      </c>
      <c r="C1618" s="151" t="s">
        <v>2922</v>
      </c>
      <c r="D1618" s="152">
        <v>4806.88</v>
      </c>
      <c r="E1618" s="152">
        <v>1642.74</v>
      </c>
      <c r="F1618" s="152">
        <v>2226.8000000000002</v>
      </c>
      <c r="G1618" s="152">
        <v>937.34</v>
      </c>
      <c r="H1618" s="153">
        <v>36847.32</v>
      </c>
      <c r="I1618" s="153">
        <v>18891.509999999998</v>
      </c>
      <c r="J1618" s="153">
        <v>13238.26</v>
      </c>
      <c r="K1618" s="153">
        <v>4717.55</v>
      </c>
      <c r="L1618" s="43">
        <v>7.6655377292547344</v>
      </c>
      <c r="M1618" s="43">
        <v>11.499999999999998</v>
      </c>
      <c r="N1618" s="43">
        <v>5.9449703610562237</v>
      </c>
      <c r="O1618" s="43">
        <v>5.032912283696418</v>
      </c>
      <c r="P1618" s="154"/>
      <c r="Q1618" s="154"/>
      <c r="R1618" s="154">
        <v>1</v>
      </c>
    </row>
    <row r="1619" spans="1:18" ht="48">
      <c r="A1619" s="150">
        <v>5</v>
      </c>
      <c r="B1619" s="147" t="s">
        <v>2923</v>
      </c>
      <c r="C1619" s="151" t="s">
        <v>2924</v>
      </c>
      <c r="D1619" s="152">
        <v>5975.17</v>
      </c>
      <c r="E1619" s="152">
        <v>1429.56</v>
      </c>
      <c r="F1619" s="152">
        <v>3777.36</v>
      </c>
      <c r="G1619" s="152">
        <v>768.25</v>
      </c>
      <c r="H1619" s="153">
        <v>38960.050000000003</v>
      </c>
      <c r="I1619" s="153">
        <v>16439.939999999999</v>
      </c>
      <c r="J1619" s="153">
        <v>18588.57</v>
      </c>
      <c r="K1619" s="153">
        <v>3931.54</v>
      </c>
      <c r="L1619" s="43">
        <v>6.5203249447296061</v>
      </c>
      <c r="M1619" s="43">
        <v>11.5</v>
      </c>
      <c r="N1619" s="43">
        <v>4.9210480335472395</v>
      </c>
      <c r="O1619" s="43">
        <v>5.1175268467295805</v>
      </c>
      <c r="P1619" s="154"/>
      <c r="Q1619" s="154"/>
      <c r="R1619" s="154">
        <v>1</v>
      </c>
    </row>
    <row r="1620" spans="1:18" ht="60">
      <c r="A1620" s="150">
        <v>6</v>
      </c>
      <c r="B1620" s="147" t="s">
        <v>2925</v>
      </c>
      <c r="C1620" s="151" t="s">
        <v>2926</v>
      </c>
      <c r="D1620" s="152">
        <v>3587.02</v>
      </c>
      <c r="E1620" s="152">
        <v>1359.28</v>
      </c>
      <c r="F1620" s="152">
        <v>1423</v>
      </c>
      <c r="G1620" s="152">
        <v>804.74</v>
      </c>
      <c r="H1620" s="153">
        <v>27949.51</v>
      </c>
      <c r="I1620" s="153">
        <v>15632.24</v>
      </c>
      <c r="J1620" s="153">
        <v>7841.21</v>
      </c>
      <c r="K1620" s="153">
        <v>4476.0600000000004</v>
      </c>
      <c r="L1620" s="43">
        <v>7.7918467139854251</v>
      </c>
      <c r="M1620" s="43">
        <v>11.500382555470543</v>
      </c>
      <c r="N1620" s="43">
        <v>5.5103373155305695</v>
      </c>
      <c r="O1620" s="43">
        <v>5.562119442304347</v>
      </c>
      <c r="P1620" s="154"/>
      <c r="Q1620" s="154"/>
      <c r="R1620" s="154">
        <v>1</v>
      </c>
    </row>
    <row r="1621" spans="1:18" ht="60">
      <c r="A1621" s="150">
        <v>7</v>
      </c>
      <c r="B1621" s="147" t="s">
        <v>2927</v>
      </c>
      <c r="C1621" s="151" t="s">
        <v>2928</v>
      </c>
      <c r="D1621" s="152">
        <v>4522.6899999999996</v>
      </c>
      <c r="E1621" s="152">
        <v>1244.4000000000001</v>
      </c>
      <c r="F1621" s="152">
        <v>2557.85</v>
      </c>
      <c r="G1621" s="152">
        <v>720.44</v>
      </c>
      <c r="H1621" s="153">
        <v>30623.360000000001</v>
      </c>
      <c r="I1621" s="153">
        <v>14310.6</v>
      </c>
      <c r="J1621" s="153">
        <v>12822.7</v>
      </c>
      <c r="K1621" s="153">
        <v>3490.06</v>
      </c>
      <c r="L1621" s="43">
        <v>6.7710499724721354</v>
      </c>
      <c r="M1621" s="43">
        <v>11.5</v>
      </c>
      <c r="N1621" s="43">
        <v>5.0130773892135982</v>
      </c>
      <c r="O1621" s="43">
        <v>4.8443451224251843</v>
      </c>
      <c r="P1621" s="154"/>
      <c r="Q1621" s="154"/>
      <c r="R1621" s="154">
        <v>1</v>
      </c>
    </row>
    <row r="1622" spans="1:18" ht="60">
      <c r="A1622" s="150">
        <v>8</v>
      </c>
      <c r="B1622" s="147" t="s">
        <v>2929</v>
      </c>
      <c r="C1622" s="151" t="s">
        <v>2930</v>
      </c>
      <c r="D1622" s="152">
        <v>5963.78</v>
      </c>
      <c r="E1622" s="152">
        <v>1817.8</v>
      </c>
      <c r="F1622" s="152">
        <v>3488.43</v>
      </c>
      <c r="G1622" s="152">
        <v>657.55</v>
      </c>
      <c r="H1622" s="153">
        <v>41566.18</v>
      </c>
      <c r="I1622" s="153">
        <v>20904.7</v>
      </c>
      <c r="J1622" s="153">
        <v>17107.04</v>
      </c>
      <c r="K1622" s="153">
        <v>3554.44</v>
      </c>
      <c r="L1622" s="43">
        <v>6.969770850031356</v>
      </c>
      <c r="M1622" s="43">
        <v>11.5</v>
      </c>
      <c r="N1622" s="43">
        <v>4.9039367279836492</v>
      </c>
      <c r="O1622" s="43">
        <v>5.405581324614098</v>
      </c>
      <c r="P1622" s="154"/>
      <c r="Q1622" s="154"/>
      <c r="R1622" s="154">
        <v>1</v>
      </c>
    </row>
    <row r="1623" spans="1:18" ht="60">
      <c r="A1623" s="150">
        <v>9</v>
      </c>
      <c r="B1623" s="147" t="s">
        <v>2931</v>
      </c>
      <c r="C1623" s="151" t="s">
        <v>2932</v>
      </c>
      <c r="D1623" s="152">
        <v>3705.74</v>
      </c>
      <c r="E1623" s="152">
        <v>1210.94</v>
      </c>
      <c r="F1623" s="152">
        <v>1425.64</v>
      </c>
      <c r="G1623" s="152">
        <v>1069.1600000000001</v>
      </c>
      <c r="H1623" s="153">
        <v>27402.31</v>
      </c>
      <c r="I1623" s="153">
        <v>13925.86</v>
      </c>
      <c r="J1623" s="153">
        <v>7591.05</v>
      </c>
      <c r="K1623" s="153">
        <v>5885.4</v>
      </c>
      <c r="L1623" s="43">
        <v>7.3945581719170805</v>
      </c>
      <c r="M1623" s="43">
        <v>11.500041290237336</v>
      </c>
      <c r="N1623" s="43">
        <v>5.3246612047922337</v>
      </c>
      <c r="O1623" s="43">
        <v>5.5046952747951652</v>
      </c>
      <c r="P1623" s="154"/>
      <c r="Q1623" s="154"/>
      <c r="R1623" s="154">
        <v>1</v>
      </c>
    </row>
    <row r="1624" spans="1:18" ht="60">
      <c r="A1624" s="150">
        <v>10</v>
      </c>
      <c r="B1624" s="147" t="s">
        <v>2933</v>
      </c>
      <c r="C1624" s="151" t="s">
        <v>2934</v>
      </c>
      <c r="D1624" s="152">
        <v>4633.1099999999997</v>
      </c>
      <c r="E1624" s="152">
        <v>1410.18</v>
      </c>
      <c r="F1624" s="152">
        <v>2458.64</v>
      </c>
      <c r="G1624" s="152">
        <v>764.29</v>
      </c>
      <c r="H1624" s="153">
        <v>32356.34</v>
      </c>
      <c r="I1624" s="153">
        <v>16217.64</v>
      </c>
      <c r="J1624" s="153">
        <v>12093.73</v>
      </c>
      <c r="K1624" s="153">
        <v>4044.97</v>
      </c>
      <c r="L1624" s="43">
        <v>6.9837193591345779</v>
      </c>
      <c r="M1624" s="43">
        <v>11.500404203718674</v>
      </c>
      <c r="N1624" s="43">
        <v>4.9188697816679143</v>
      </c>
      <c r="O1624" s="43">
        <v>5.2924544348349452</v>
      </c>
      <c r="P1624" s="154"/>
      <c r="Q1624" s="154"/>
      <c r="R1624" s="154">
        <v>1</v>
      </c>
    </row>
    <row r="1625" spans="1:18" ht="60">
      <c r="A1625" s="150">
        <v>11</v>
      </c>
      <c r="B1625" s="147" t="s">
        <v>2935</v>
      </c>
      <c r="C1625" s="151" t="s">
        <v>2936</v>
      </c>
      <c r="D1625" s="152">
        <v>4557.16</v>
      </c>
      <c r="E1625" s="152">
        <v>1479.72</v>
      </c>
      <c r="F1625" s="152">
        <v>2283.7399999999998</v>
      </c>
      <c r="G1625" s="152">
        <v>793.7</v>
      </c>
      <c r="H1625" s="153">
        <v>32256.51</v>
      </c>
      <c r="I1625" s="153">
        <v>17016.78</v>
      </c>
      <c r="J1625" s="153">
        <v>11341.57</v>
      </c>
      <c r="K1625" s="153">
        <v>3898.16</v>
      </c>
      <c r="L1625" s="43">
        <v>7.0782044080084967</v>
      </c>
      <c r="M1625" s="43">
        <v>11.499999999999998</v>
      </c>
      <c r="N1625" s="43">
        <v>4.9662264530988649</v>
      </c>
      <c r="O1625" s="43">
        <v>4.9113770946201329</v>
      </c>
      <c r="P1625" s="154"/>
      <c r="Q1625" s="154"/>
      <c r="R1625" s="154">
        <v>1</v>
      </c>
    </row>
    <row r="1626" spans="1:18" ht="60">
      <c r="A1626" s="150">
        <v>12</v>
      </c>
      <c r="B1626" s="147" t="s">
        <v>2937</v>
      </c>
      <c r="C1626" s="151" t="s">
        <v>2938</v>
      </c>
      <c r="D1626" s="152">
        <v>5893.28</v>
      </c>
      <c r="E1626" s="152">
        <v>1817.8</v>
      </c>
      <c r="F1626" s="152">
        <v>3093.16</v>
      </c>
      <c r="G1626" s="152">
        <v>982.32</v>
      </c>
      <c r="H1626" s="153">
        <v>41490.58</v>
      </c>
      <c r="I1626" s="153">
        <v>20904.7</v>
      </c>
      <c r="J1626" s="153">
        <v>15647.3</v>
      </c>
      <c r="K1626" s="153">
        <v>4938.58</v>
      </c>
      <c r="L1626" s="43">
        <v>7.0403205006380158</v>
      </c>
      <c r="M1626" s="43">
        <v>11.5</v>
      </c>
      <c r="N1626" s="43">
        <v>5.0586778569488811</v>
      </c>
      <c r="O1626" s="43">
        <v>5.0274655916605582</v>
      </c>
      <c r="P1626" s="154"/>
      <c r="Q1626" s="154"/>
      <c r="R1626" s="154">
        <v>1</v>
      </c>
    </row>
    <row r="1627" spans="1:18" ht="60">
      <c r="A1627" s="150">
        <v>13</v>
      </c>
      <c r="B1627" s="147" t="s">
        <v>2939</v>
      </c>
      <c r="C1627" s="151" t="s">
        <v>2940</v>
      </c>
      <c r="D1627" s="152">
        <v>10912.73</v>
      </c>
      <c r="E1627" s="152">
        <v>2309.4899999999998</v>
      </c>
      <c r="F1627" s="152">
        <v>7532.1</v>
      </c>
      <c r="G1627" s="152">
        <v>1071.1400000000001</v>
      </c>
      <c r="H1627" s="153">
        <v>68799.17</v>
      </c>
      <c r="I1627" s="153">
        <v>26560.14</v>
      </c>
      <c r="J1627" s="153">
        <v>36602.61</v>
      </c>
      <c r="K1627" s="153">
        <v>5636.42</v>
      </c>
      <c r="L1627" s="43">
        <v>6.3044875113743304</v>
      </c>
      <c r="M1627" s="43">
        <v>11.500435161009575</v>
      </c>
      <c r="N1627" s="43">
        <v>4.8595491297247779</v>
      </c>
      <c r="O1627" s="43">
        <v>5.2620759191142144</v>
      </c>
      <c r="P1627" s="154"/>
      <c r="Q1627" s="154"/>
      <c r="R1627" s="154">
        <v>1</v>
      </c>
    </row>
    <row r="1628" spans="1:18" ht="24">
      <c r="A1628" s="150">
        <v>14</v>
      </c>
      <c r="B1628" s="147" t="s">
        <v>2941</v>
      </c>
      <c r="C1628" s="151" t="s">
        <v>2942</v>
      </c>
      <c r="D1628" s="152">
        <v>8182.53</v>
      </c>
      <c r="E1628" s="152">
        <v>3072.3</v>
      </c>
      <c r="F1628" s="152">
        <v>4544.6499999999996</v>
      </c>
      <c r="G1628" s="152">
        <v>565.58000000000004</v>
      </c>
      <c r="H1628" s="153">
        <v>61790.65</v>
      </c>
      <c r="I1628" s="153">
        <v>35331.449999999997</v>
      </c>
      <c r="J1628" s="153">
        <v>22938.73</v>
      </c>
      <c r="K1628" s="153">
        <v>3520.47</v>
      </c>
      <c r="L1628" s="43">
        <v>7.5515335721347805</v>
      </c>
      <c r="M1628" s="43">
        <v>11.499999999999998</v>
      </c>
      <c r="N1628" s="43">
        <v>5.047413992276633</v>
      </c>
      <c r="O1628" s="43">
        <v>6.2245305703879197</v>
      </c>
      <c r="P1628" s="154"/>
      <c r="Q1628" s="154"/>
      <c r="R1628" s="154">
        <v>1</v>
      </c>
    </row>
    <row r="1629" spans="1:18" ht="12.75" customHeight="1">
      <c r="A1629" s="628" t="s">
        <v>2943</v>
      </c>
      <c r="B1629" s="629"/>
      <c r="C1629" s="629"/>
      <c r="D1629" s="629"/>
      <c r="E1629" s="629"/>
      <c r="F1629" s="629"/>
      <c r="G1629" s="629"/>
      <c r="H1629" s="629"/>
      <c r="I1629" s="629"/>
      <c r="J1629" s="629"/>
      <c r="K1629" s="629"/>
      <c r="L1629" s="629"/>
      <c r="M1629" s="629"/>
      <c r="N1629" s="629"/>
      <c r="O1629" s="629"/>
      <c r="P1629" s="629"/>
      <c r="Q1629" s="629"/>
      <c r="R1629" s="629"/>
    </row>
    <row r="1630" spans="1:18" ht="36">
      <c r="A1630" s="150">
        <v>15</v>
      </c>
      <c r="B1630" s="147" t="s">
        <v>2944</v>
      </c>
      <c r="C1630" s="151" t="s">
        <v>2945</v>
      </c>
      <c r="D1630" s="152">
        <v>4420.2700000000004</v>
      </c>
      <c r="E1630" s="152">
        <v>1015.55</v>
      </c>
      <c r="F1630" s="152">
        <v>1393.2</v>
      </c>
      <c r="G1630" s="152">
        <v>2011.52</v>
      </c>
      <c r="H1630" s="153">
        <v>29544.86</v>
      </c>
      <c r="I1630" s="153">
        <v>11679.2</v>
      </c>
      <c r="J1630" s="153">
        <v>7109.06</v>
      </c>
      <c r="K1630" s="153">
        <v>10756.6</v>
      </c>
      <c r="L1630" s="43">
        <v>6.6839491705257821</v>
      </c>
      <c r="M1630" s="43">
        <v>11.500369258037518</v>
      </c>
      <c r="N1630" s="43">
        <v>5.10268446741315</v>
      </c>
      <c r="O1630" s="43">
        <v>5.3474984091632205</v>
      </c>
      <c r="P1630" s="154"/>
      <c r="Q1630" s="154"/>
      <c r="R1630" s="154">
        <v>2</v>
      </c>
    </row>
    <row r="1631" spans="1:18" ht="36">
      <c r="A1631" s="150">
        <v>16</v>
      </c>
      <c r="B1631" s="147" t="s">
        <v>2946</v>
      </c>
      <c r="C1631" s="151" t="s">
        <v>2947</v>
      </c>
      <c r="D1631" s="152">
        <v>3437.47</v>
      </c>
      <c r="E1631" s="152">
        <v>744.18</v>
      </c>
      <c r="F1631" s="152">
        <v>983.47</v>
      </c>
      <c r="G1631" s="152">
        <v>1709.82</v>
      </c>
      <c r="H1631" s="153">
        <v>22699.21</v>
      </c>
      <c r="I1631" s="153">
        <v>8558.3799999999992</v>
      </c>
      <c r="J1631" s="153">
        <v>5024.57</v>
      </c>
      <c r="K1631" s="153">
        <v>9116.26</v>
      </c>
      <c r="L1631" s="43">
        <v>6.6034641756873516</v>
      </c>
      <c r="M1631" s="43">
        <v>11.500416565884597</v>
      </c>
      <c r="N1631" s="43">
        <v>5.1090221359065344</v>
      </c>
      <c r="O1631" s="43">
        <v>5.331707431191588</v>
      </c>
      <c r="P1631" s="154"/>
      <c r="Q1631" s="154"/>
      <c r="R1631" s="154">
        <v>2</v>
      </c>
    </row>
    <row r="1632" spans="1:18" ht="36">
      <c r="A1632" s="150">
        <v>17</v>
      </c>
      <c r="B1632" s="147" t="s">
        <v>2948</v>
      </c>
      <c r="C1632" s="151" t="s">
        <v>2949</v>
      </c>
      <c r="D1632" s="152">
        <v>1401.4</v>
      </c>
      <c r="E1632" s="152">
        <v>378.32</v>
      </c>
      <c r="F1632" s="152">
        <v>314.47000000000003</v>
      </c>
      <c r="G1632" s="152">
        <v>708.61</v>
      </c>
      <c r="H1632" s="153">
        <v>9725.44</v>
      </c>
      <c r="I1632" s="153">
        <v>4350.63</v>
      </c>
      <c r="J1632" s="153">
        <v>1575.92</v>
      </c>
      <c r="K1632" s="153">
        <v>3798.89</v>
      </c>
      <c r="L1632" s="43">
        <v>6.9398030540887685</v>
      </c>
      <c r="M1632" s="43">
        <v>11.499867836751957</v>
      </c>
      <c r="N1632" s="43">
        <v>5.0113524342544595</v>
      </c>
      <c r="O1632" s="43">
        <v>5.361044862477244</v>
      </c>
      <c r="P1632" s="154"/>
      <c r="Q1632" s="154"/>
      <c r="R1632" s="154">
        <v>2</v>
      </c>
    </row>
    <row r="1633" spans="1:18" ht="36">
      <c r="A1633" s="150">
        <v>18</v>
      </c>
      <c r="B1633" s="147" t="s">
        <v>2950</v>
      </c>
      <c r="C1633" s="151" t="s">
        <v>2951</v>
      </c>
      <c r="D1633" s="152">
        <v>1740.96</v>
      </c>
      <c r="E1633" s="152">
        <v>486.21</v>
      </c>
      <c r="F1633" s="152">
        <v>441.37</v>
      </c>
      <c r="G1633" s="152">
        <v>813.38</v>
      </c>
      <c r="H1633" s="153">
        <v>12185.36</v>
      </c>
      <c r="I1633" s="153">
        <v>5591.39</v>
      </c>
      <c r="J1633" s="153">
        <v>2239.7399999999998</v>
      </c>
      <c r="K1633" s="153">
        <v>4354.2299999999996</v>
      </c>
      <c r="L1633" s="43">
        <v>6.9992188217994675</v>
      </c>
      <c r="M1633" s="43">
        <v>11.499948581888486</v>
      </c>
      <c r="N1633" s="43">
        <v>5.0745179781136001</v>
      </c>
      <c r="O1633" s="43">
        <v>5.3532543214733579</v>
      </c>
      <c r="P1633" s="154"/>
      <c r="Q1633" s="154"/>
      <c r="R1633" s="154">
        <v>2</v>
      </c>
    </row>
    <row r="1634" spans="1:18" ht="36">
      <c r="A1634" s="150">
        <v>19</v>
      </c>
      <c r="B1634" s="147" t="s">
        <v>2952</v>
      </c>
      <c r="C1634" s="151" t="s">
        <v>2953</v>
      </c>
      <c r="D1634" s="152">
        <v>1568.89</v>
      </c>
      <c r="E1634" s="152">
        <v>754.85</v>
      </c>
      <c r="F1634" s="152">
        <v>434.73</v>
      </c>
      <c r="G1634" s="152">
        <v>379.31</v>
      </c>
      <c r="H1634" s="153">
        <v>12920.05</v>
      </c>
      <c r="I1634" s="153">
        <v>8681.0400000000009</v>
      </c>
      <c r="J1634" s="153">
        <v>2143.77</v>
      </c>
      <c r="K1634" s="153">
        <v>2095.2399999999998</v>
      </c>
      <c r="L1634" s="43">
        <v>8.2351535161802278</v>
      </c>
      <c r="M1634" s="43">
        <v>11.500351063125125</v>
      </c>
      <c r="N1634" s="43">
        <v>4.9312676833896898</v>
      </c>
      <c r="O1634" s="43">
        <v>5.5238195671086965</v>
      </c>
      <c r="P1634" s="154"/>
      <c r="Q1634" s="154"/>
      <c r="R1634" s="154">
        <v>2</v>
      </c>
    </row>
    <row r="1635" spans="1:18" ht="36">
      <c r="A1635" s="150">
        <v>20</v>
      </c>
      <c r="B1635" s="147" t="s">
        <v>2954</v>
      </c>
      <c r="C1635" s="151" t="s">
        <v>2955</v>
      </c>
      <c r="D1635" s="152">
        <v>1295.25</v>
      </c>
      <c r="E1635" s="152">
        <v>392.24</v>
      </c>
      <c r="F1635" s="152">
        <v>469.57</v>
      </c>
      <c r="G1635" s="152">
        <v>433.44</v>
      </c>
      <c r="H1635" s="153">
        <v>8589.9599999999991</v>
      </c>
      <c r="I1635" s="153">
        <v>4510.87</v>
      </c>
      <c r="J1635" s="153">
        <v>2313.5100000000002</v>
      </c>
      <c r="K1635" s="153">
        <v>1765.58</v>
      </c>
      <c r="L1635" s="43">
        <v>6.6318934568616088</v>
      </c>
      <c r="M1635" s="43">
        <v>11.500280440546604</v>
      </c>
      <c r="N1635" s="43">
        <v>4.926869263368614</v>
      </c>
      <c r="O1635" s="43">
        <v>4.0734126984126986</v>
      </c>
      <c r="P1635" s="154"/>
      <c r="Q1635" s="154"/>
      <c r="R1635" s="154">
        <v>2</v>
      </c>
    </row>
    <row r="1636" spans="1:18" ht="48">
      <c r="A1636" s="150">
        <v>21</v>
      </c>
      <c r="B1636" s="147" t="s">
        <v>2956</v>
      </c>
      <c r="C1636" s="151" t="s">
        <v>2957</v>
      </c>
      <c r="D1636" s="152">
        <v>2543.94</v>
      </c>
      <c r="E1636" s="152">
        <v>491.77</v>
      </c>
      <c r="F1636" s="152">
        <v>774.43</v>
      </c>
      <c r="G1636" s="152">
        <v>1277.74</v>
      </c>
      <c r="H1636" s="153">
        <v>14615.34</v>
      </c>
      <c r="I1636" s="153">
        <v>5655.59</v>
      </c>
      <c r="J1636" s="153">
        <v>3820.23</v>
      </c>
      <c r="K1636" s="153">
        <v>5139.5200000000004</v>
      </c>
      <c r="L1636" s="43">
        <v>5.745159083940659</v>
      </c>
      <c r="M1636" s="43">
        <v>11.500477865668911</v>
      </c>
      <c r="N1636" s="43">
        <v>4.9329571426726755</v>
      </c>
      <c r="O1636" s="43">
        <v>4.0223519651885367</v>
      </c>
      <c r="P1636" s="154"/>
      <c r="Q1636" s="154"/>
      <c r="R1636" s="154">
        <v>2</v>
      </c>
    </row>
    <row r="1637" spans="1:18" ht="12.75" customHeight="1">
      <c r="A1637" s="628" t="s">
        <v>2958</v>
      </c>
      <c r="B1637" s="629"/>
      <c r="C1637" s="629"/>
      <c r="D1637" s="629"/>
      <c r="E1637" s="629"/>
      <c r="F1637" s="629"/>
      <c r="G1637" s="629"/>
      <c r="H1637" s="629"/>
      <c r="I1637" s="629"/>
      <c r="J1637" s="629"/>
      <c r="K1637" s="629"/>
      <c r="L1637" s="629"/>
      <c r="M1637" s="629"/>
      <c r="N1637" s="629"/>
      <c r="O1637" s="629"/>
      <c r="P1637" s="629"/>
      <c r="Q1637" s="629"/>
      <c r="R1637" s="629"/>
    </row>
    <row r="1638" spans="1:18" ht="72">
      <c r="A1638" s="150">
        <v>22</v>
      </c>
      <c r="B1638" s="147" t="s">
        <v>2959</v>
      </c>
      <c r="C1638" s="151" t="s">
        <v>2960</v>
      </c>
      <c r="D1638" s="152">
        <v>7767.36</v>
      </c>
      <c r="E1638" s="152">
        <v>519.15</v>
      </c>
      <c r="F1638" s="152">
        <v>775.14</v>
      </c>
      <c r="G1638" s="152">
        <v>6473.07</v>
      </c>
      <c r="H1638" s="153">
        <v>44162.18</v>
      </c>
      <c r="I1638" s="153">
        <v>5970.25</v>
      </c>
      <c r="J1638" s="153">
        <v>3859.08</v>
      </c>
      <c r="K1638" s="153">
        <v>34332.85</v>
      </c>
      <c r="L1638" s="43">
        <v>5.6856100399620981</v>
      </c>
      <c r="M1638" s="43">
        <v>11.500048155639027</v>
      </c>
      <c r="N1638" s="43">
        <v>4.9785587119746113</v>
      </c>
      <c r="O1638" s="43">
        <v>5.3039516025626172</v>
      </c>
      <c r="P1638" s="154"/>
      <c r="Q1638" s="154"/>
      <c r="R1638" s="154">
        <v>3</v>
      </c>
    </row>
    <row r="1639" spans="1:18" ht="72">
      <c r="A1639" s="150">
        <v>23</v>
      </c>
      <c r="B1639" s="147" t="s">
        <v>2961</v>
      </c>
      <c r="C1639" s="151" t="s">
        <v>2962</v>
      </c>
      <c r="D1639" s="152">
        <v>6782.43</v>
      </c>
      <c r="E1639" s="152">
        <v>459.6</v>
      </c>
      <c r="F1639" s="152">
        <v>723.36</v>
      </c>
      <c r="G1639" s="152">
        <v>5599.47</v>
      </c>
      <c r="H1639" s="153">
        <v>38621.440000000002</v>
      </c>
      <c r="I1639" s="153">
        <v>5285.6</v>
      </c>
      <c r="J1639" s="153">
        <v>3612</v>
      </c>
      <c r="K1639" s="153">
        <v>29723.84</v>
      </c>
      <c r="L1639" s="43">
        <v>5.6943366905371677</v>
      </c>
      <c r="M1639" s="43">
        <v>11.500435161009573</v>
      </c>
      <c r="N1639" s="43">
        <v>4.9933642999336429</v>
      </c>
      <c r="O1639" s="43">
        <v>5.3083309670379517</v>
      </c>
      <c r="P1639" s="154"/>
      <c r="Q1639" s="154"/>
      <c r="R1639" s="154">
        <v>3</v>
      </c>
    </row>
    <row r="1640" spans="1:18" ht="72">
      <c r="A1640" s="150">
        <v>24</v>
      </c>
      <c r="B1640" s="147" t="s">
        <v>2963</v>
      </c>
      <c r="C1640" s="151" t="s">
        <v>2964</v>
      </c>
      <c r="D1640" s="152">
        <v>4469.3100000000004</v>
      </c>
      <c r="E1640" s="152">
        <v>346.19</v>
      </c>
      <c r="F1640" s="152">
        <v>635.11</v>
      </c>
      <c r="G1640" s="152">
        <v>3488.01</v>
      </c>
      <c r="H1640" s="153">
        <v>25706.240000000002</v>
      </c>
      <c r="I1640" s="153">
        <v>3981.21</v>
      </c>
      <c r="J1640" s="153">
        <v>3175.05</v>
      </c>
      <c r="K1640" s="153">
        <v>18549.98</v>
      </c>
      <c r="L1640" s="43">
        <v>5.7517245391346759</v>
      </c>
      <c r="M1640" s="43">
        <v>11.5000722146798</v>
      </c>
      <c r="N1640" s="43">
        <v>4.9992127348018451</v>
      </c>
      <c r="O1640" s="43">
        <v>5.3182129638389792</v>
      </c>
      <c r="P1640" s="154"/>
      <c r="Q1640" s="154"/>
      <c r="R1640" s="154">
        <v>3</v>
      </c>
    </row>
    <row r="1641" spans="1:18" ht="72">
      <c r="A1641" s="150">
        <v>25</v>
      </c>
      <c r="B1641" s="147" t="s">
        <v>2965</v>
      </c>
      <c r="C1641" s="151" t="s">
        <v>2966</v>
      </c>
      <c r="D1641" s="152">
        <v>7238.3</v>
      </c>
      <c r="E1641" s="152">
        <v>336.26</v>
      </c>
      <c r="F1641" s="152">
        <v>690.13</v>
      </c>
      <c r="G1641" s="152">
        <v>6211.91</v>
      </c>
      <c r="H1641" s="153">
        <v>40276.03</v>
      </c>
      <c r="I1641" s="153">
        <v>3866.94</v>
      </c>
      <c r="J1641" s="153">
        <v>3482.56</v>
      </c>
      <c r="K1641" s="153">
        <v>32926.53</v>
      </c>
      <c r="L1641" s="43">
        <v>5.5642941022063193</v>
      </c>
      <c r="M1641" s="43">
        <v>11.499851305537382</v>
      </c>
      <c r="N1641" s="43">
        <v>5.0462376653673946</v>
      </c>
      <c r="O1641" s="43">
        <v>5.3005484625501653</v>
      </c>
      <c r="P1641" s="154"/>
      <c r="Q1641" s="154"/>
      <c r="R1641" s="154">
        <v>3</v>
      </c>
    </row>
    <row r="1642" spans="1:18" ht="72">
      <c r="A1642" s="150">
        <v>26</v>
      </c>
      <c r="B1642" s="147" t="s">
        <v>2967</v>
      </c>
      <c r="C1642" s="151" t="s">
        <v>2968</v>
      </c>
      <c r="D1642" s="152">
        <v>7025.58</v>
      </c>
      <c r="E1642" s="152">
        <v>310.13</v>
      </c>
      <c r="F1642" s="152">
        <v>750.02</v>
      </c>
      <c r="G1642" s="152">
        <v>5965.43</v>
      </c>
      <c r="H1642" s="153">
        <v>38985.25</v>
      </c>
      <c r="I1642" s="153">
        <v>3566.47</v>
      </c>
      <c r="J1642" s="153">
        <v>3794.73</v>
      </c>
      <c r="K1642" s="153">
        <v>31624.05</v>
      </c>
      <c r="L1642" s="43">
        <v>5.549043637678313</v>
      </c>
      <c r="M1642" s="43">
        <v>11.499919388643471</v>
      </c>
      <c r="N1642" s="43">
        <v>5.0595050798645369</v>
      </c>
      <c r="O1642" s="43">
        <v>5.3012188559751765</v>
      </c>
      <c r="P1642" s="154"/>
      <c r="Q1642" s="154"/>
      <c r="R1642" s="154">
        <v>3</v>
      </c>
    </row>
    <row r="1643" spans="1:18" ht="72">
      <c r="A1643" s="150">
        <v>27</v>
      </c>
      <c r="B1643" s="147" t="s">
        <v>2969</v>
      </c>
      <c r="C1643" s="151" t="s">
        <v>2970</v>
      </c>
      <c r="D1643" s="152">
        <v>3730.89</v>
      </c>
      <c r="E1643" s="152">
        <v>436.11</v>
      </c>
      <c r="F1643" s="152">
        <v>578.69000000000005</v>
      </c>
      <c r="G1643" s="152">
        <v>2716.09</v>
      </c>
      <c r="H1643" s="153">
        <v>22379.52</v>
      </c>
      <c r="I1643" s="153">
        <v>5015.29</v>
      </c>
      <c r="J1643" s="153">
        <v>2847.83</v>
      </c>
      <c r="K1643" s="153">
        <v>14516.4</v>
      </c>
      <c r="L1643" s="43">
        <v>5.9984400504973348</v>
      </c>
      <c r="M1643" s="43">
        <v>11.500057324986814</v>
      </c>
      <c r="N1643" s="43">
        <v>4.9211667732291895</v>
      </c>
      <c r="O1643" s="43">
        <v>5.3445946194713718</v>
      </c>
      <c r="P1643" s="154"/>
      <c r="Q1643" s="154"/>
      <c r="R1643" s="154">
        <v>3</v>
      </c>
    </row>
    <row r="1644" spans="1:18" ht="72">
      <c r="A1644" s="150">
        <v>28</v>
      </c>
      <c r="B1644" s="147" t="s">
        <v>2971</v>
      </c>
      <c r="C1644" s="151" t="s">
        <v>2972</v>
      </c>
      <c r="D1644" s="152">
        <v>7111.77</v>
      </c>
      <c r="E1644" s="152">
        <v>373.43</v>
      </c>
      <c r="F1644" s="152">
        <v>697.5</v>
      </c>
      <c r="G1644" s="152">
        <v>6040.84</v>
      </c>
      <c r="H1644" s="153">
        <v>39829.83</v>
      </c>
      <c r="I1644" s="153">
        <v>4294.55</v>
      </c>
      <c r="J1644" s="153">
        <v>3492.4</v>
      </c>
      <c r="K1644" s="153">
        <v>32042.880000000001</v>
      </c>
      <c r="L1644" s="43">
        <v>5.6005509177040311</v>
      </c>
      <c r="M1644" s="43">
        <v>11.500281177195191</v>
      </c>
      <c r="N1644" s="43">
        <v>5.0070250896057349</v>
      </c>
      <c r="O1644" s="43">
        <v>5.3043748882605728</v>
      </c>
      <c r="P1644" s="154"/>
      <c r="Q1644" s="154"/>
      <c r="R1644" s="154">
        <v>3</v>
      </c>
    </row>
    <row r="1645" spans="1:18" ht="72">
      <c r="A1645" s="150">
        <v>29</v>
      </c>
      <c r="B1645" s="147" t="s">
        <v>2973</v>
      </c>
      <c r="C1645" s="151" t="s">
        <v>2974</v>
      </c>
      <c r="D1645" s="152">
        <v>5598.02</v>
      </c>
      <c r="E1645" s="152">
        <v>298.74</v>
      </c>
      <c r="F1645" s="152">
        <v>621.29999999999995</v>
      </c>
      <c r="G1645" s="152">
        <v>4677.9799999999996</v>
      </c>
      <c r="H1645" s="153">
        <v>31379.99</v>
      </c>
      <c r="I1645" s="153">
        <v>3435.64</v>
      </c>
      <c r="J1645" s="153">
        <v>3109.7</v>
      </c>
      <c r="K1645" s="153">
        <v>24834.65</v>
      </c>
      <c r="L1645" s="43">
        <v>5.6055516057463173</v>
      </c>
      <c r="M1645" s="43">
        <v>11.500435161009573</v>
      </c>
      <c r="N1645" s="43">
        <v>5.0051504909061642</v>
      </c>
      <c r="O1645" s="43">
        <v>5.3088405679374437</v>
      </c>
      <c r="P1645" s="154"/>
      <c r="Q1645" s="154"/>
      <c r="R1645" s="154">
        <v>3</v>
      </c>
    </row>
    <row r="1646" spans="1:18" ht="75" customHeight="1">
      <c r="A1646" s="150">
        <v>30</v>
      </c>
      <c r="B1646" s="147" t="s">
        <v>2975</v>
      </c>
      <c r="C1646" s="151" t="s">
        <v>2976</v>
      </c>
      <c r="D1646" s="152">
        <v>6478.34</v>
      </c>
      <c r="E1646" s="152">
        <v>273.06</v>
      </c>
      <c r="F1646" s="152">
        <v>667.06</v>
      </c>
      <c r="G1646" s="152">
        <v>5538.22</v>
      </c>
      <c r="H1646" s="153">
        <v>35860.67</v>
      </c>
      <c r="I1646" s="153">
        <v>3140.19</v>
      </c>
      <c r="J1646" s="153">
        <v>3359.72</v>
      </c>
      <c r="K1646" s="153">
        <v>29360.76</v>
      </c>
      <c r="L1646" s="43">
        <v>5.5354720499387184</v>
      </c>
      <c r="M1646" s="43">
        <v>11.5</v>
      </c>
      <c r="N1646" s="43">
        <v>5.0366084010433845</v>
      </c>
      <c r="O1646" s="43">
        <v>5.3014795367464629</v>
      </c>
      <c r="P1646" s="154"/>
      <c r="Q1646" s="154"/>
      <c r="R1646" s="154">
        <v>3</v>
      </c>
    </row>
    <row r="1647" spans="1:18" ht="72">
      <c r="A1647" s="150">
        <v>31</v>
      </c>
      <c r="B1647" s="147" t="s">
        <v>2977</v>
      </c>
      <c r="C1647" s="151" t="s">
        <v>2978</v>
      </c>
      <c r="D1647" s="152">
        <v>4734.84</v>
      </c>
      <c r="E1647" s="152">
        <v>269.23</v>
      </c>
      <c r="F1647" s="152">
        <v>542.34</v>
      </c>
      <c r="G1647" s="152">
        <v>3923.27</v>
      </c>
      <c r="H1647" s="153">
        <v>26242.21</v>
      </c>
      <c r="I1647" s="153">
        <v>3096.17</v>
      </c>
      <c r="J1647" s="153">
        <v>2732.14</v>
      </c>
      <c r="K1647" s="153">
        <v>20413.900000000001</v>
      </c>
      <c r="L1647" s="43">
        <v>5.5423646839175129</v>
      </c>
      <c r="M1647" s="43">
        <v>11.500092857408163</v>
      </c>
      <c r="N1647" s="43">
        <v>5.0376885348674261</v>
      </c>
      <c r="O1647" s="43">
        <v>5.2032870539116605</v>
      </c>
      <c r="P1647" s="154"/>
      <c r="Q1647" s="154"/>
      <c r="R1647" s="154">
        <v>3</v>
      </c>
    </row>
    <row r="1648" spans="1:18" ht="12.75" customHeight="1">
      <c r="A1648" s="628" t="s">
        <v>2979</v>
      </c>
      <c r="B1648" s="629"/>
      <c r="C1648" s="629"/>
      <c r="D1648" s="629"/>
      <c r="E1648" s="629"/>
      <c r="F1648" s="629"/>
      <c r="G1648" s="629"/>
      <c r="H1648" s="629"/>
      <c r="I1648" s="629"/>
      <c r="J1648" s="629"/>
      <c r="K1648" s="629"/>
      <c r="L1648" s="629"/>
      <c r="M1648" s="629"/>
      <c r="N1648" s="629"/>
      <c r="O1648" s="629"/>
      <c r="P1648" s="629"/>
      <c r="Q1648" s="629"/>
      <c r="R1648" s="629"/>
    </row>
    <row r="1649" spans="1:18" ht="48">
      <c r="A1649" s="150">
        <v>32</v>
      </c>
      <c r="B1649" s="147" t="s">
        <v>2980</v>
      </c>
      <c r="C1649" s="151" t="s">
        <v>2981</v>
      </c>
      <c r="D1649" s="152">
        <v>12850.26</v>
      </c>
      <c r="E1649" s="152">
        <v>2776.28</v>
      </c>
      <c r="F1649" s="152">
        <v>9574.18</v>
      </c>
      <c r="G1649" s="152">
        <v>499.8</v>
      </c>
      <c r="H1649" s="153">
        <v>84663.33</v>
      </c>
      <c r="I1649" s="153">
        <v>31927.22</v>
      </c>
      <c r="J1649" s="153">
        <v>49120.98</v>
      </c>
      <c r="K1649" s="153">
        <v>3615.13</v>
      </c>
      <c r="L1649" s="43">
        <v>6.5884526850040386</v>
      </c>
      <c r="M1649" s="43">
        <v>11.5</v>
      </c>
      <c r="N1649" s="43">
        <v>5.1305678397523344</v>
      </c>
      <c r="O1649" s="43">
        <v>7.2331532613045217</v>
      </c>
      <c r="P1649" s="154"/>
      <c r="Q1649" s="154"/>
      <c r="R1649" s="154">
        <v>4</v>
      </c>
    </row>
    <row r="1650" spans="1:18" ht="72">
      <c r="A1650" s="150">
        <v>33</v>
      </c>
      <c r="B1650" s="147" t="s">
        <v>2982</v>
      </c>
      <c r="C1650" s="151" t="s">
        <v>2983</v>
      </c>
      <c r="D1650" s="152">
        <v>20883.29</v>
      </c>
      <c r="E1650" s="152">
        <v>5280.48</v>
      </c>
      <c r="F1650" s="152">
        <v>12762.58</v>
      </c>
      <c r="G1650" s="152">
        <v>2840.23</v>
      </c>
      <c r="H1650" s="153">
        <v>142898.43</v>
      </c>
      <c r="I1650" s="153">
        <v>60725.52</v>
      </c>
      <c r="J1650" s="153">
        <v>65838.92</v>
      </c>
      <c r="K1650" s="153">
        <v>16333.99</v>
      </c>
      <c r="L1650" s="43">
        <v>6.8427163536013715</v>
      </c>
      <c r="M1650" s="43">
        <v>11.5</v>
      </c>
      <c r="N1650" s="43">
        <v>5.1587468991379488</v>
      </c>
      <c r="O1650" s="43">
        <v>5.7509391845026636</v>
      </c>
      <c r="P1650" s="154"/>
      <c r="Q1650" s="154"/>
      <c r="R1650" s="154">
        <v>4</v>
      </c>
    </row>
    <row r="1651" spans="1:18" ht="72">
      <c r="A1651" s="150">
        <v>34</v>
      </c>
      <c r="B1651" s="147" t="s">
        <v>2984</v>
      </c>
      <c r="C1651" s="151" t="s">
        <v>2985</v>
      </c>
      <c r="D1651" s="152">
        <v>18140.97</v>
      </c>
      <c r="E1651" s="152">
        <v>4623.84</v>
      </c>
      <c r="F1651" s="152">
        <v>11492.7</v>
      </c>
      <c r="G1651" s="152">
        <v>2024.43</v>
      </c>
      <c r="H1651" s="153">
        <v>124294.05</v>
      </c>
      <c r="I1651" s="153">
        <v>53174.16</v>
      </c>
      <c r="J1651" s="153">
        <v>59189.48</v>
      </c>
      <c r="K1651" s="153">
        <v>11930.41</v>
      </c>
      <c r="L1651" s="43">
        <v>6.8515658203502898</v>
      </c>
      <c r="M1651" s="43">
        <v>11.5</v>
      </c>
      <c r="N1651" s="43">
        <v>5.150180549392223</v>
      </c>
      <c r="O1651" s="43">
        <v>5.8932193259337193</v>
      </c>
      <c r="P1651" s="154"/>
      <c r="Q1651" s="154"/>
      <c r="R1651" s="154">
        <v>4</v>
      </c>
    </row>
    <row r="1652" spans="1:18" ht="72">
      <c r="A1652" s="150">
        <v>35</v>
      </c>
      <c r="B1652" s="147" t="s">
        <v>2986</v>
      </c>
      <c r="C1652" s="151" t="s">
        <v>2987</v>
      </c>
      <c r="D1652" s="152">
        <v>11571.63</v>
      </c>
      <c r="E1652" s="152">
        <v>3306.71</v>
      </c>
      <c r="F1652" s="152">
        <v>6612.99</v>
      </c>
      <c r="G1652" s="152">
        <v>1651.93</v>
      </c>
      <c r="H1652" s="153">
        <v>81277.14</v>
      </c>
      <c r="I1652" s="153">
        <v>38028.43</v>
      </c>
      <c r="J1652" s="153">
        <v>34064.800000000003</v>
      </c>
      <c r="K1652" s="153">
        <v>9183.91</v>
      </c>
      <c r="L1652" s="43">
        <v>7.0238281037330097</v>
      </c>
      <c r="M1652" s="43">
        <v>11.500382555470543</v>
      </c>
      <c r="N1652" s="43">
        <v>5.1511948452969083</v>
      </c>
      <c r="O1652" s="43">
        <v>5.5595031266458017</v>
      </c>
      <c r="P1652" s="154"/>
      <c r="Q1652" s="154"/>
      <c r="R1652" s="154">
        <v>4</v>
      </c>
    </row>
    <row r="1653" spans="1:18" ht="72">
      <c r="A1653" s="150">
        <v>36</v>
      </c>
      <c r="B1653" s="147" t="s">
        <v>2988</v>
      </c>
      <c r="C1653" s="151" t="s">
        <v>2989</v>
      </c>
      <c r="D1653" s="152">
        <v>8636.4500000000007</v>
      </c>
      <c r="E1653" s="152">
        <v>1778.96</v>
      </c>
      <c r="F1653" s="152">
        <v>4043.83</v>
      </c>
      <c r="G1653" s="152">
        <v>2813.66</v>
      </c>
      <c r="H1653" s="153">
        <v>56468.05</v>
      </c>
      <c r="I1653" s="153">
        <v>20458.04</v>
      </c>
      <c r="J1653" s="153">
        <v>21200.2</v>
      </c>
      <c r="K1653" s="153">
        <v>14809.81</v>
      </c>
      <c r="L1653" s="43">
        <v>6.5383404060696231</v>
      </c>
      <c r="M1653" s="43">
        <v>11.5</v>
      </c>
      <c r="N1653" s="43">
        <v>5.2426041648635087</v>
      </c>
      <c r="O1653" s="43">
        <v>5.2635393046778933</v>
      </c>
      <c r="P1653" s="154"/>
      <c r="Q1653" s="154"/>
      <c r="R1653" s="154">
        <v>4</v>
      </c>
    </row>
    <row r="1654" spans="1:18" ht="72">
      <c r="A1654" s="150">
        <v>37</v>
      </c>
      <c r="B1654" s="147" t="s">
        <v>2990</v>
      </c>
      <c r="C1654" s="151" t="s">
        <v>2991</v>
      </c>
      <c r="D1654" s="152">
        <v>2781.43</v>
      </c>
      <c r="E1654" s="152">
        <v>764.33</v>
      </c>
      <c r="F1654" s="152">
        <v>1611.3</v>
      </c>
      <c r="G1654" s="152">
        <v>405.8</v>
      </c>
      <c r="H1654" s="153">
        <v>19563.52</v>
      </c>
      <c r="I1654" s="153">
        <v>8790.06</v>
      </c>
      <c r="J1654" s="153">
        <v>8502.18</v>
      </c>
      <c r="K1654" s="153">
        <v>2271.2800000000002</v>
      </c>
      <c r="L1654" s="43">
        <v>7.0336193972165404</v>
      </c>
      <c r="M1654" s="43">
        <v>11.500346708882288</v>
      </c>
      <c r="N1654" s="43">
        <v>5.2765965369577366</v>
      </c>
      <c r="O1654" s="43">
        <v>5.5970428782651558</v>
      </c>
      <c r="P1654" s="154"/>
      <c r="Q1654" s="154"/>
      <c r="R1654" s="154">
        <v>4</v>
      </c>
    </row>
    <row r="1655" spans="1:18" ht="72">
      <c r="A1655" s="150">
        <v>38</v>
      </c>
      <c r="B1655" s="147" t="s">
        <v>2992</v>
      </c>
      <c r="C1655" s="151" t="s">
        <v>2993</v>
      </c>
      <c r="D1655" s="152">
        <v>1223.52</v>
      </c>
      <c r="E1655" s="152">
        <v>362.94</v>
      </c>
      <c r="F1655" s="152">
        <v>830.74</v>
      </c>
      <c r="G1655" s="152">
        <v>29.84</v>
      </c>
      <c r="H1655" s="153">
        <v>8887.2900000000009</v>
      </c>
      <c r="I1655" s="153">
        <v>4173.93</v>
      </c>
      <c r="J1655" s="153">
        <v>4466.18</v>
      </c>
      <c r="K1655" s="153">
        <v>247.18</v>
      </c>
      <c r="L1655" s="43">
        <v>7.263706355433504</v>
      </c>
      <c r="M1655" s="43">
        <v>11.500330633162507</v>
      </c>
      <c r="N1655" s="43">
        <v>5.3761465681199896</v>
      </c>
      <c r="O1655" s="43">
        <v>8.2835120643431637</v>
      </c>
      <c r="P1655" s="154"/>
      <c r="Q1655" s="154"/>
      <c r="R1655" s="154">
        <v>4</v>
      </c>
    </row>
    <row r="1656" spans="1:18" ht="72">
      <c r="A1656" s="150">
        <v>39</v>
      </c>
      <c r="B1656" s="147" t="s">
        <v>2994</v>
      </c>
      <c r="C1656" s="151" t="s">
        <v>2995</v>
      </c>
      <c r="D1656" s="152">
        <v>1694.54</v>
      </c>
      <c r="E1656" s="152">
        <v>498.31</v>
      </c>
      <c r="F1656" s="152">
        <v>1163.68</v>
      </c>
      <c r="G1656" s="152">
        <v>32.549999999999997</v>
      </c>
      <c r="H1656" s="153">
        <v>12290.64</v>
      </c>
      <c r="I1656" s="153">
        <v>5730.77</v>
      </c>
      <c r="J1656" s="153">
        <v>6281.26</v>
      </c>
      <c r="K1656" s="153">
        <v>278.61</v>
      </c>
      <c r="L1656" s="43">
        <v>7.2530834326719935</v>
      </c>
      <c r="M1656" s="43">
        <v>11.50041139049989</v>
      </c>
      <c r="N1656" s="43">
        <v>5.3977553966726246</v>
      </c>
      <c r="O1656" s="43">
        <v>8.5594470046082964</v>
      </c>
      <c r="P1656" s="154"/>
      <c r="Q1656" s="154"/>
      <c r="R1656" s="154">
        <v>4</v>
      </c>
    </row>
    <row r="1657" spans="1:18" ht="72">
      <c r="A1657" s="150">
        <v>40</v>
      </c>
      <c r="B1657" s="147" t="s">
        <v>2996</v>
      </c>
      <c r="C1657" s="151" t="s">
        <v>2997</v>
      </c>
      <c r="D1657" s="152">
        <v>6325.11</v>
      </c>
      <c r="E1657" s="152">
        <v>1778.96</v>
      </c>
      <c r="F1657" s="152">
        <v>3107.87</v>
      </c>
      <c r="G1657" s="152">
        <v>1438.28</v>
      </c>
      <c r="H1657" s="153">
        <v>46010.91</v>
      </c>
      <c r="I1657" s="153">
        <v>20458.04</v>
      </c>
      <c r="J1657" s="153">
        <v>18624.22</v>
      </c>
      <c r="K1657" s="153">
        <v>6928.65</v>
      </c>
      <c r="L1657" s="43">
        <v>7.2743256639014984</v>
      </c>
      <c r="M1657" s="43">
        <v>11.5</v>
      </c>
      <c r="N1657" s="43">
        <v>5.9925994330522192</v>
      </c>
      <c r="O1657" s="43">
        <v>4.8173165169508021</v>
      </c>
      <c r="P1657" s="154"/>
      <c r="Q1657" s="154"/>
      <c r="R1657" s="154">
        <v>4</v>
      </c>
    </row>
    <row r="1658" spans="1:18" ht="72">
      <c r="A1658" s="150">
        <v>41</v>
      </c>
      <c r="B1658" s="147" t="s">
        <v>2998</v>
      </c>
      <c r="C1658" s="151" t="s">
        <v>2999</v>
      </c>
      <c r="D1658" s="152">
        <v>19891.740000000002</v>
      </c>
      <c r="E1658" s="152">
        <v>5888.12</v>
      </c>
      <c r="F1658" s="152">
        <v>9625.19</v>
      </c>
      <c r="G1658" s="152">
        <v>4378.43</v>
      </c>
      <c r="H1658" s="153">
        <v>135199.9</v>
      </c>
      <c r="I1658" s="153">
        <v>67715.759999999995</v>
      </c>
      <c r="J1658" s="153">
        <v>47874.2</v>
      </c>
      <c r="K1658" s="153">
        <v>19609.939999999999</v>
      </c>
      <c r="L1658" s="43">
        <v>6.7967860026322473</v>
      </c>
      <c r="M1658" s="43">
        <v>11.500404203718674</v>
      </c>
      <c r="N1658" s="43">
        <v>4.9738446721571208</v>
      </c>
      <c r="O1658" s="43">
        <v>4.4787606516491065</v>
      </c>
      <c r="P1658" s="154"/>
      <c r="Q1658" s="154"/>
      <c r="R1658" s="154">
        <v>4</v>
      </c>
    </row>
    <row r="1659" spans="1:18" ht="108">
      <c r="A1659" s="150">
        <v>42</v>
      </c>
      <c r="B1659" s="147" t="s">
        <v>3000</v>
      </c>
      <c r="C1659" s="151" t="s">
        <v>3001</v>
      </c>
      <c r="D1659" s="152">
        <v>6728.96</v>
      </c>
      <c r="E1659" s="152">
        <v>1780.95</v>
      </c>
      <c r="F1659" s="152">
        <v>2733.61</v>
      </c>
      <c r="G1659" s="152">
        <v>2214.4</v>
      </c>
      <c r="H1659" s="153">
        <v>48030.32</v>
      </c>
      <c r="I1659" s="153">
        <v>20481.7</v>
      </c>
      <c r="J1659" s="153">
        <v>14342.02</v>
      </c>
      <c r="K1659" s="153">
        <v>13206.6</v>
      </c>
      <c r="L1659" s="43">
        <v>7.1378519117367318</v>
      </c>
      <c r="M1659" s="43">
        <v>11.500435161009573</v>
      </c>
      <c r="N1659" s="43">
        <v>5.2465494346303974</v>
      </c>
      <c r="O1659" s="43">
        <v>5.9639631502890174</v>
      </c>
      <c r="P1659" s="154"/>
      <c r="Q1659" s="154"/>
      <c r="R1659" s="154">
        <v>4</v>
      </c>
    </row>
    <row r="1660" spans="1:18" ht="108">
      <c r="A1660" s="150">
        <v>43</v>
      </c>
      <c r="B1660" s="147" t="s">
        <v>3002</v>
      </c>
      <c r="C1660" s="151" t="s">
        <v>3003</v>
      </c>
      <c r="D1660" s="152">
        <v>8999.98</v>
      </c>
      <c r="E1660" s="152">
        <v>2259.7600000000002</v>
      </c>
      <c r="F1660" s="152">
        <v>5136.2</v>
      </c>
      <c r="G1660" s="152">
        <v>1604.02</v>
      </c>
      <c r="H1660" s="153">
        <v>61076.23</v>
      </c>
      <c r="I1660" s="153">
        <v>25987.24</v>
      </c>
      <c r="J1660" s="153">
        <v>25147.23</v>
      </c>
      <c r="K1660" s="153">
        <v>9941.76</v>
      </c>
      <c r="L1660" s="43">
        <v>6.7862628583619085</v>
      </c>
      <c r="M1660" s="43">
        <v>11.5</v>
      </c>
      <c r="N1660" s="43">
        <v>4.8960768661656475</v>
      </c>
      <c r="O1660" s="43">
        <v>6.1980274560167583</v>
      </c>
      <c r="P1660" s="154"/>
      <c r="Q1660" s="154"/>
      <c r="R1660" s="154">
        <v>4</v>
      </c>
    </row>
    <row r="1661" spans="1:18" ht="108">
      <c r="A1661" s="150">
        <v>44</v>
      </c>
      <c r="B1661" s="147" t="s">
        <v>3004</v>
      </c>
      <c r="C1661" s="151" t="s">
        <v>3005</v>
      </c>
      <c r="D1661" s="152">
        <v>6794.98</v>
      </c>
      <c r="E1661" s="152">
        <v>1953.3</v>
      </c>
      <c r="F1661" s="152">
        <v>2954.01</v>
      </c>
      <c r="G1661" s="152">
        <v>1887.67</v>
      </c>
      <c r="H1661" s="153">
        <v>48985.55</v>
      </c>
      <c r="I1661" s="153">
        <v>22463.8</v>
      </c>
      <c r="J1661" s="153">
        <v>15768.16</v>
      </c>
      <c r="K1661" s="153">
        <v>10753.59</v>
      </c>
      <c r="L1661" s="43">
        <v>7.2090793497552612</v>
      </c>
      <c r="M1661" s="43">
        <v>11.500435161009573</v>
      </c>
      <c r="N1661" s="43">
        <v>5.3378830809645192</v>
      </c>
      <c r="O1661" s="43">
        <v>5.6967531401145326</v>
      </c>
      <c r="P1661" s="154"/>
      <c r="Q1661" s="154"/>
      <c r="R1661" s="154">
        <v>4</v>
      </c>
    </row>
    <row r="1662" spans="1:18" ht="108">
      <c r="A1662" s="150">
        <v>45</v>
      </c>
      <c r="B1662" s="147" t="s">
        <v>3006</v>
      </c>
      <c r="C1662" s="151" t="s">
        <v>3007</v>
      </c>
      <c r="D1662" s="152">
        <v>9436.09</v>
      </c>
      <c r="E1662" s="152">
        <v>2696.66</v>
      </c>
      <c r="F1662" s="152">
        <v>4390.03</v>
      </c>
      <c r="G1662" s="152">
        <v>2349.4</v>
      </c>
      <c r="H1662" s="153">
        <v>66716.22</v>
      </c>
      <c r="I1662" s="153">
        <v>31012.68</v>
      </c>
      <c r="J1662" s="153">
        <v>21809.05</v>
      </c>
      <c r="K1662" s="153">
        <v>13894.49</v>
      </c>
      <c r="L1662" s="43">
        <v>7.0703246789719048</v>
      </c>
      <c r="M1662" s="43">
        <v>11.500404203718675</v>
      </c>
      <c r="N1662" s="43">
        <v>4.9678589895741032</v>
      </c>
      <c r="O1662" s="43">
        <v>5.9140589086575295</v>
      </c>
      <c r="P1662" s="154"/>
      <c r="Q1662" s="154"/>
      <c r="R1662" s="154">
        <v>4</v>
      </c>
    </row>
    <row r="1663" spans="1:18" ht="108">
      <c r="A1663" s="150">
        <v>46</v>
      </c>
      <c r="B1663" s="147" t="s">
        <v>3008</v>
      </c>
      <c r="C1663" s="151" t="s">
        <v>3009</v>
      </c>
      <c r="D1663" s="152">
        <v>10328.44</v>
      </c>
      <c r="E1663" s="152">
        <v>2560.2600000000002</v>
      </c>
      <c r="F1663" s="152">
        <v>5627.65</v>
      </c>
      <c r="G1663" s="152">
        <v>2140.5300000000002</v>
      </c>
      <c r="H1663" s="153">
        <v>68973.75</v>
      </c>
      <c r="I1663" s="153">
        <v>29442.99</v>
      </c>
      <c r="J1663" s="153">
        <v>27371.11</v>
      </c>
      <c r="K1663" s="153">
        <v>12159.65</v>
      </c>
      <c r="L1663" s="43">
        <v>6.6780414079957859</v>
      </c>
      <c r="M1663" s="43">
        <v>11.5</v>
      </c>
      <c r="N1663" s="43">
        <v>4.8636837756434748</v>
      </c>
      <c r="O1663" s="43">
        <v>5.6806725437158079</v>
      </c>
      <c r="P1663" s="154"/>
      <c r="Q1663" s="154"/>
      <c r="R1663" s="154">
        <v>4</v>
      </c>
    </row>
    <row r="1664" spans="1:18" ht="108">
      <c r="A1664" s="150">
        <v>47</v>
      </c>
      <c r="B1664" s="147" t="s">
        <v>3010</v>
      </c>
      <c r="C1664" s="151" t="s">
        <v>3011</v>
      </c>
      <c r="D1664" s="152">
        <v>15544.58</v>
      </c>
      <c r="E1664" s="152">
        <v>3624.06</v>
      </c>
      <c r="F1664" s="152">
        <v>8349.1299999999992</v>
      </c>
      <c r="G1664" s="152">
        <v>3571.39</v>
      </c>
      <c r="H1664" s="153">
        <v>100323.71</v>
      </c>
      <c r="I1664" s="153">
        <v>41676.69</v>
      </c>
      <c r="J1664" s="153">
        <v>39525.15</v>
      </c>
      <c r="K1664" s="153">
        <v>19121.87</v>
      </c>
      <c r="L1664" s="43">
        <v>6.4539350693296313</v>
      </c>
      <c r="M1664" s="43">
        <v>11.5</v>
      </c>
      <c r="N1664" s="43">
        <v>4.7340441459170002</v>
      </c>
      <c r="O1664" s="43">
        <v>5.3541814251593918</v>
      </c>
      <c r="P1664" s="154"/>
      <c r="Q1664" s="154"/>
      <c r="R1664" s="154">
        <v>4</v>
      </c>
    </row>
    <row r="1665" spans="1:18" ht="108">
      <c r="A1665" s="150">
        <v>48</v>
      </c>
      <c r="B1665" s="147" t="s">
        <v>3012</v>
      </c>
      <c r="C1665" s="151" t="s">
        <v>3013</v>
      </c>
      <c r="D1665" s="152">
        <v>10204.33</v>
      </c>
      <c r="E1665" s="152">
        <v>3839.43</v>
      </c>
      <c r="F1665" s="152">
        <v>3243.14</v>
      </c>
      <c r="G1665" s="152">
        <v>3121.76</v>
      </c>
      <c r="H1665" s="153">
        <v>76846.89</v>
      </c>
      <c r="I1665" s="153">
        <v>44155.09</v>
      </c>
      <c r="J1665" s="153">
        <v>15640</v>
      </c>
      <c r="K1665" s="153">
        <v>17051.8</v>
      </c>
      <c r="L1665" s="43">
        <v>7.5308119200378663</v>
      </c>
      <c r="M1665" s="43">
        <v>11.500428449014567</v>
      </c>
      <c r="N1665" s="43">
        <v>4.8224868491646982</v>
      </c>
      <c r="O1665" s="43">
        <v>5.4622392496540408</v>
      </c>
      <c r="P1665" s="154"/>
      <c r="Q1665" s="154"/>
      <c r="R1665" s="154">
        <v>4</v>
      </c>
    </row>
    <row r="1666" spans="1:18" ht="108">
      <c r="A1666" s="150">
        <v>49</v>
      </c>
      <c r="B1666" s="147" t="s">
        <v>3014</v>
      </c>
      <c r="C1666" s="151" t="s">
        <v>3015</v>
      </c>
      <c r="D1666" s="152">
        <v>16597.37</v>
      </c>
      <c r="E1666" s="152">
        <v>4720.8</v>
      </c>
      <c r="F1666" s="152">
        <v>8803.18</v>
      </c>
      <c r="G1666" s="152">
        <v>3073.39</v>
      </c>
      <c r="H1666" s="153">
        <v>112931.91</v>
      </c>
      <c r="I1666" s="153">
        <v>54289.2</v>
      </c>
      <c r="J1666" s="153">
        <v>41572.31</v>
      </c>
      <c r="K1666" s="153">
        <v>17070.400000000001</v>
      </c>
      <c r="L1666" s="43">
        <v>6.8042051240648371</v>
      </c>
      <c r="M1666" s="43">
        <v>11.499999999999998</v>
      </c>
      <c r="N1666" s="43">
        <v>4.7224196256352817</v>
      </c>
      <c r="O1666" s="43">
        <v>5.5542576763769</v>
      </c>
      <c r="P1666" s="154"/>
      <c r="Q1666" s="154"/>
      <c r="R1666" s="154">
        <v>4</v>
      </c>
    </row>
    <row r="1667" spans="1:18" ht="108">
      <c r="A1667" s="150">
        <v>50</v>
      </c>
      <c r="B1667" s="147" t="s">
        <v>3016</v>
      </c>
      <c r="C1667" s="151" t="s">
        <v>3017</v>
      </c>
      <c r="D1667" s="152">
        <v>21433.05</v>
      </c>
      <c r="E1667" s="152">
        <v>5577.76</v>
      </c>
      <c r="F1667" s="152">
        <v>9872.65</v>
      </c>
      <c r="G1667" s="152">
        <v>5982.64</v>
      </c>
      <c r="H1667" s="153">
        <v>141278.84</v>
      </c>
      <c r="I1667" s="153">
        <v>64144.24</v>
      </c>
      <c r="J1667" s="153">
        <v>47117.61</v>
      </c>
      <c r="K1667" s="153">
        <v>30016.99</v>
      </c>
      <c r="L1667" s="43">
        <v>6.5916348816430697</v>
      </c>
      <c r="M1667" s="43">
        <v>11.5</v>
      </c>
      <c r="N1667" s="43">
        <v>4.7725392878305222</v>
      </c>
      <c r="O1667" s="43">
        <v>5.0173485284088626</v>
      </c>
      <c r="P1667" s="154"/>
      <c r="Q1667" s="154"/>
      <c r="R1667" s="154">
        <v>4</v>
      </c>
    </row>
    <row r="1668" spans="1:18" ht="12.75" customHeight="1">
      <c r="A1668" s="628" t="s">
        <v>3018</v>
      </c>
      <c r="B1668" s="629"/>
      <c r="C1668" s="629"/>
      <c r="D1668" s="629"/>
      <c r="E1668" s="629"/>
      <c r="F1668" s="629"/>
      <c r="G1668" s="629"/>
      <c r="H1668" s="629"/>
      <c r="I1668" s="629"/>
      <c r="J1668" s="629"/>
      <c r="K1668" s="629"/>
      <c r="L1668" s="629"/>
      <c r="M1668" s="629"/>
      <c r="N1668" s="629"/>
      <c r="O1668" s="629"/>
      <c r="P1668" s="629"/>
      <c r="Q1668" s="629"/>
      <c r="R1668" s="629"/>
    </row>
    <row r="1669" spans="1:18" ht="60">
      <c r="A1669" s="150">
        <v>51</v>
      </c>
      <c r="B1669" s="147" t="s">
        <v>3019</v>
      </c>
      <c r="C1669" s="151" t="s">
        <v>3020</v>
      </c>
      <c r="D1669" s="152">
        <v>21638.58</v>
      </c>
      <c r="E1669" s="152">
        <v>11986.58</v>
      </c>
      <c r="F1669" s="152">
        <v>5475.55</v>
      </c>
      <c r="G1669" s="152">
        <v>4176.45</v>
      </c>
      <c r="H1669" s="153">
        <v>192289.68</v>
      </c>
      <c r="I1669" s="153">
        <v>137845.67000000001</v>
      </c>
      <c r="J1669" s="153">
        <v>31096.17</v>
      </c>
      <c r="K1669" s="153">
        <v>23347.84</v>
      </c>
      <c r="L1669" s="43">
        <v>8.8864278524746076</v>
      </c>
      <c r="M1669" s="43">
        <v>11.500000000000002</v>
      </c>
      <c r="N1669" s="43">
        <v>5.6790952507054078</v>
      </c>
      <c r="O1669" s="43">
        <v>5.5903554454141675</v>
      </c>
      <c r="P1669" s="154"/>
      <c r="Q1669" s="154"/>
      <c r="R1669" s="154">
        <v>5</v>
      </c>
    </row>
    <row r="1670" spans="1:18" ht="60">
      <c r="A1670" s="150">
        <v>52</v>
      </c>
      <c r="B1670" s="147" t="s">
        <v>3021</v>
      </c>
      <c r="C1670" s="151" t="s">
        <v>3022</v>
      </c>
      <c r="D1670" s="152">
        <v>17610.509999999998</v>
      </c>
      <c r="E1670" s="152">
        <v>9769.58</v>
      </c>
      <c r="F1670" s="152">
        <v>4500.8900000000003</v>
      </c>
      <c r="G1670" s="152">
        <v>3340.04</v>
      </c>
      <c r="H1670" s="153">
        <v>156536.38</v>
      </c>
      <c r="I1670" s="153">
        <v>112350.17</v>
      </c>
      <c r="J1670" s="153">
        <v>25504.47</v>
      </c>
      <c r="K1670" s="153">
        <v>18681.740000000002</v>
      </c>
      <c r="L1670" s="43">
        <v>8.8888044696036648</v>
      </c>
      <c r="M1670" s="43">
        <v>11.5</v>
      </c>
      <c r="N1670" s="43">
        <v>5.6665392844526306</v>
      </c>
      <c r="O1670" s="43">
        <v>5.5932683440916877</v>
      </c>
      <c r="P1670" s="154"/>
      <c r="Q1670" s="154"/>
      <c r="R1670" s="154">
        <v>5</v>
      </c>
    </row>
    <row r="1671" spans="1:18" ht="60">
      <c r="A1671" s="150">
        <v>53</v>
      </c>
      <c r="B1671" s="147" t="s">
        <v>3023</v>
      </c>
      <c r="C1671" s="151" t="s">
        <v>3024</v>
      </c>
      <c r="D1671" s="152">
        <v>9474.85</v>
      </c>
      <c r="E1671" s="152">
        <v>5209.05</v>
      </c>
      <c r="F1671" s="152">
        <v>2523.66</v>
      </c>
      <c r="G1671" s="152">
        <v>1742.14</v>
      </c>
      <c r="H1671" s="153">
        <v>83919.59</v>
      </c>
      <c r="I1671" s="153">
        <v>59905.89</v>
      </c>
      <c r="J1671" s="153">
        <v>14173.07</v>
      </c>
      <c r="K1671" s="153">
        <v>9840.6299999999992</v>
      </c>
      <c r="L1671" s="43">
        <v>8.8570890304331993</v>
      </c>
      <c r="M1671" s="43">
        <v>11.500348432055748</v>
      </c>
      <c r="N1671" s="43">
        <v>5.6160774430787033</v>
      </c>
      <c r="O1671" s="43">
        <v>5.6485873695569806</v>
      </c>
      <c r="P1671" s="154"/>
      <c r="Q1671" s="154"/>
      <c r="R1671" s="154">
        <v>5</v>
      </c>
    </row>
    <row r="1672" spans="1:18" ht="60">
      <c r="A1672" s="150">
        <v>54</v>
      </c>
      <c r="B1672" s="147" t="s">
        <v>3025</v>
      </c>
      <c r="C1672" s="151" t="s">
        <v>3026</v>
      </c>
      <c r="D1672" s="152">
        <v>6041.88</v>
      </c>
      <c r="E1672" s="152">
        <v>3357.9</v>
      </c>
      <c r="F1672" s="152">
        <v>1676.78</v>
      </c>
      <c r="G1672" s="152">
        <v>1007.2</v>
      </c>
      <c r="H1672" s="153">
        <v>53602.84</v>
      </c>
      <c r="I1672" s="153">
        <v>38617.019999999997</v>
      </c>
      <c r="J1672" s="153">
        <v>9321.23</v>
      </c>
      <c r="K1672" s="153">
        <v>5664.59</v>
      </c>
      <c r="L1672" s="43">
        <v>8.8718809377213699</v>
      </c>
      <c r="M1672" s="43">
        <v>11.500348432055748</v>
      </c>
      <c r="N1672" s="43">
        <v>5.5590059518839681</v>
      </c>
      <c r="O1672" s="43">
        <v>5.6240965051628278</v>
      </c>
      <c r="P1672" s="154"/>
      <c r="Q1672" s="154"/>
      <c r="R1672" s="154">
        <v>5</v>
      </c>
    </row>
    <row r="1673" spans="1:18" ht="60">
      <c r="A1673" s="150">
        <v>55</v>
      </c>
      <c r="B1673" s="147" t="s">
        <v>3027</v>
      </c>
      <c r="C1673" s="151" t="s">
        <v>3028</v>
      </c>
      <c r="D1673" s="152">
        <v>10664.78</v>
      </c>
      <c r="E1673" s="152">
        <v>5899.86</v>
      </c>
      <c r="F1673" s="152">
        <v>2642.68</v>
      </c>
      <c r="G1673" s="152">
        <v>2122.2399999999998</v>
      </c>
      <c r="H1673" s="153">
        <v>95460.18</v>
      </c>
      <c r="I1673" s="153">
        <v>67850.58</v>
      </c>
      <c r="J1673" s="153">
        <v>14568.76</v>
      </c>
      <c r="K1673" s="153">
        <v>13040.84</v>
      </c>
      <c r="L1673" s="43">
        <v>8.9509750787170468</v>
      </c>
      <c r="M1673" s="43">
        <v>11.500371195248702</v>
      </c>
      <c r="N1673" s="43">
        <v>5.5128732952911443</v>
      </c>
      <c r="O1673" s="43">
        <v>6.1448469541616415</v>
      </c>
      <c r="P1673" s="154"/>
      <c r="Q1673" s="154"/>
      <c r="R1673" s="154">
        <v>5</v>
      </c>
    </row>
    <row r="1674" spans="1:18" ht="60">
      <c r="A1674" s="150">
        <v>56</v>
      </c>
      <c r="B1674" s="147" t="s">
        <v>3029</v>
      </c>
      <c r="C1674" s="151" t="s">
        <v>3030</v>
      </c>
      <c r="D1674" s="152">
        <v>6041.74</v>
      </c>
      <c r="E1674" s="152">
        <v>3029.15</v>
      </c>
      <c r="F1674" s="152">
        <v>1886.19</v>
      </c>
      <c r="G1674" s="152">
        <v>1126.4000000000001</v>
      </c>
      <c r="H1674" s="153">
        <v>51770.400000000001</v>
      </c>
      <c r="I1674" s="153">
        <v>34836.400000000001</v>
      </c>
      <c r="J1674" s="153">
        <v>9837.9699999999993</v>
      </c>
      <c r="K1674" s="153">
        <v>7096.03</v>
      </c>
      <c r="L1674" s="43">
        <v>8.5687897857239808</v>
      </c>
      <c r="M1674" s="43">
        <v>11.500387897595035</v>
      </c>
      <c r="N1674" s="43">
        <v>5.2157895015878566</v>
      </c>
      <c r="O1674" s="43">
        <v>6.299742542613636</v>
      </c>
      <c r="P1674" s="154"/>
      <c r="Q1674" s="154"/>
      <c r="R1674" s="154">
        <v>5</v>
      </c>
    </row>
    <row r="1675" spans="1:18" ht="60">
      <c r="A1675" s="150">
        <v>57</v>
      </c>
      <c r="B1675" s="147" t="s">
        <v>3031</v>
      </c>
      <c r="C1675" s="151" t="s">
        <v>3032</v>
      </c>
      <c r="D1675" s="152">
        <v>11916.99</v>
      </c>
      <c r="E1675" s="152">
        <v>4575.95</v>
      </c>
      <c r="F1675" s="152">
        <v>5626.38</v>
      </c>
      <c r="G1675" s="152">
        <v>1714.66</v>
      </c>
      <c r="H1675" s="153">
        <v>94096.97</v>
      </c>
      <c r="I1675" s="153">
        <v>52625.2</v>
      </c>
      <c r="J1675" s="153">
        <v>29399.52</v>
      </c>
      <c r="K1675" s="153">
        <v>12072.25</v>
      </c>
      <c r="L1675" s="43">
        <v>7.8960349887010057</v>
      </c>
      <c r="M1675" s="43">
        <v>11.500387897595035</v>
      </c>
      <c r="N1675" s="43">
        <v>5.2252993932155309</v>
      </c>
      <c r="O1675" s="43">
        <v>7.0406086337816243</v>
      </c>
      <c r="P1675" s="154"/>
      <c r="Q1675" s="154"/>
      <c r="R1675" s="154">
        <v>5</v>
      </c>
    </row>
    <row r="1676" spans="1:18" ht="60">
      <c r="A1676" s="150">
        <v>58</v>
      </c>
      <c r="B1676" s="147" t="s">
        <v>3033</v>
      </c>
      <c r="C1676" s="151" t="s">
        <v>3034</v>
      </c>
      <c r="D1676" s="152">
        <v>11339.36</v>
      </c>
      <c r="E1676" s="152">
        <v>3760.48</v>
      </c>
      <c r="F1676" s="152">
        <v>6097.16</v>
      </c>
      <c r="G1676" s="152">
        <v>1481.72</v>
      </c>
      <c r="H1676" s="153">
        <v>83509.67</v>
      </c>
      <c r="I1676" s="153">
        <v>43247.040000000001</v>
      </c>
      <c r="J1676" s="153">
        <v>31357.54</v>
      </c>
      <c r="K1676" s="153">
        <v>8905.09</v>
      </c>
      <c r="L1676" s="43">
        <v>7.3645840682366552</v>
      </c>
      <c r="M1676" s="43">
        <v>11.500404203718674</v>
      </c>
      <c r="N1676" s="43">
        <v>5.1429747620203505</v>
      </c>
      <c r="O1676" s="43">
        <v>6.0099681451286342</v>
      </c>
      <c r="P1676" s="154"/>
      <c r="Q1676" s="154"/>
      <c r="R1676" s="154">
        <v>5</v>
      </c>
    </row>
    <row r="1677" spans="1:18" ht="72">
      <c r="A1677" s="150">
        <v>59</v>
      </c>
      <c r="B1677" s="147" t="s">
        <v>3035</v>
      </c>
      <c r="C1677" s="151" t="s">
        <v>3036</v>
      </c>
      <c r="D1677" s="152">
        <v>18351.78</v>
      </c>
      <c r="E1677" s="152">
        <v>12733.25</v>
      </c>
      <c r="F1677" s="152">
        <v>2530.58</v>
      </c>
      <c r="G1677" s="152">
        <v>3087.95</v>
      </c>
      <c r="H1677" s="153">
        <v>179530.22</v>
      </c>
      <c r="I1677" s="153">
        <v>146437.18</v>
      </c>
      <c r="J1677" s="153">
        <v>13424.55</v>
      </c>
      <c r="K1677" s="153">
        <v>19668.490000000002</v>
      </c>
      <c r="L1677" s="43">
        <v>9.7827142653192229</v>
      </c>
      <c r="M1677" s="43">
        <v>11.500377358490566</v>
      </c>
      <c r="N1677" s="43">
        <v>5.304930095077018</v>
      </c>
      <c r="O1677" s="43">
        <v>6.3694327952201304</v>
      </c>
      <c r="P1677" s="154"/>
      <c r="Q1677" s="154"/>
      <c r="R1677" s="154">
        <v>5</v>
      </c>
    </row>
    <row r="1678" spans="1:18" ht="72">
      <c r="A1678" s="150">
        <v>60</v>
      </c>
      <c r="B1678" s="147" t="s">
        <v>3037</v>
      </c>
      <c r="C1678" s="151" t="s">
        <v>3038</v>
      </c>
      <c r="D1678" s="152">
        <v>6119.83</v>
      </c>
      <c r="E1678" s="152">
        <v>2303.37</v>
      </c>
      <c r="F1678" s="152">
        <v>2909.28</v>
      </c>
      <c r="G1678" s="152">
        <v>907.18</v>
      </c>
      <c r="H1678" s="153">
        <v>47530.53</v>
      </c>
      <c r="I1678" s="153">
        <v>26489.61</v>
      </c>
      <c r="J1678" s="153">
        <v>15201.54</v>
      </c>
      <c r="K1678" s="153">
        <v>5839.38</v>
      </c>
      <c r="L1678" s="43">
        <v>7.7666422106496418</v>
      </c>
      <c r="M1678" s="43">
        <v>11.500371195248702</v>
      </c>
      <c r="N1678" s="43">
        <v>5.2251897376670513</v>
      </c>
      <c r="O1678" s="43">
        <v>6.4368482550320776</v>
      </c>
      <c r="P1678" s="154"/>
      <c r="Q1678" s="154"/>
      <c r="R1678" s="154">
        <v>5</v>
      </c>
    </row>
    <row r="1679" spans="1:18" ht="72">
      <c r="A1679" s="150">
        <v>61</v>
      </c>
      <c r="B1679" s="147" t="s">
        <v>3039</v>
      </c>
      <c r="C1679" s="151" t="s">
        <v>3040</v>
      </c>
      <c r="D1679" s="152">
        <v>7156.57</v>
      </c>
      <c r="E1679" s="152">
        <v>2836.72</v>
      </c>
      <c r="F1679" s="152">
        <v>3630.66</v>
      </c>
      <c r="G1679" s="152">
        <v>689.19</v>
      </c>
      <c r="H1679" s="153">
        <v>58566.87</v>
      </c>
      <c r="I1679" s="153">
        <v>32622.28</v>
      </c>
      <c r="J1679" s="153">
        <v>21118.29</v>
      </c>
      <c r="K1679" s="153">
        <v>4826.3</v>
      </c>
      <c r="L1679" s="43">
        <v>8.1836508271420527</v>
      </c>
      <c r="M1679" s="43">
        <v>11.5</v>
      </c>
      <c r="N1679" s="43">
        <v>5.8166531704979265</v>
      </c>
      <c r="O1679" s="43">
        <v>7.0028584280096924</v>
      </c>
      <c r="P1679" s="154"/>
      <c r="Q1679" s="154"/>
      <c r="R1679" s="154">
        <v>5</v>
      </c>
    </row>
    <row r="1680" spans="1:18" ht="72">
      <c r="A1680" s="150">
        <v>62</v>
      </c>
      <c r="B1680" s="147" t="s">
        <v>3041</v>
      </c>
      <c r="C1680" s="151" t="s">
        <v>3042</v>
      </c>
      <c r="D1680" s="152">
        <v>7153.66</v>
      </c>
      <c r="E1680" s="152">
        <v>2415.6</v>
      </c>
      <c r="F1680" s="152">
        <v>3617.37</v>
      </c>
      <c r="G1680" s="152">
        <v>1120.69</v>
      </c>
      <c r="H1680" s="153">
        <v>53317.06</v>
      </c>
      <c r="I1680" s="153">
        <v>27779.4</v>
      </c>
      <c r="J1680" s="153">
        <v>18999.669999999998</v>
      </c>
      <c r="K1680" s="153">
        <v>6537.99</v>
      </c>
      <c r="L1680" s="43">
        <v>7.4531163068974484</v>
      </c>
      <c r="M1680" s="43">
        <v>11.500000000000002</v>
      </c>
      <c r="N1680" s="43">
        <v>5.2523435534656393</v>
      </c>
      <c r="O1680" s="43">
        <v>5.8338969741855458</v>
      </c>
      <c r="P1680" s="154"/>
      <c r="Q1680" s="154"/>
      <c r="R1680" s="154">
        <v>5</v>
      </c>
    </row>
    <row r="1681" spans="1:18" ht="12.75" customHeight="1">
      <c r="A1681" s="628" t="s">
        <v>3043</v>
      </c>
      <c r="B1681" s="629"/>
      <c r="C1681" s="629"/>
      <c r="D1681" s="629"/>
      <c r="E1681" s="629"/>
      <c r="F1681" s="629"/>
      <c r="G1681" s="629"/>
      <c r="H1681" s="629"/>
      <c r="I1681" s="629"/>
      <c r="J1681" s="629"/>
      <c r="K1681" s="629"/>
      <c r="L1681" s="629"/>
      <c r="M1681" s="629"/>
      <c r="N1681" s="629"/>
      <c r="O1681" s="629"/>
      <c r="P1681" s="629"/>
      <c r="Q1681" s="629"/>
      <c r="R1681" s="629"/>
    </row>
    <row r="1682" spans="1:18" ht="60">
      <c r="A1682" s="150">
        <v>63</v>
      </c>
      <c r="B1682" s="147" t="s">
        <v>3044</v>
      </c>
      <c r="C1682" s="151" t="s">
        <v>3045</v>
      </c>
      <c r="D1682" s="152">
        <v>4809.05</v>
      </c>
      <c r="E1682" s="152">
        <v>1785.51</v>
      </c>
      <c r="F1682" s="152">
        <v>2196.41</v>
      </c>
      <c r="G1682" s="152">
        <v>827.13</v>
      </c>
      <c r="H1682" s="153">
        <v>36103.5</v>
      </c>
      <c r="I1682" s="153">
        <v>20534.13</v>
      </c>
      <c r="J1682" s="153">
        <v>9936.17</v>
      </c>
      <c r="K1682" s="153">
        <v>5633.2</v>
      </c>
      <c r="L1682" s="43">
        <v>7.5074079080067788</v>
      </c>
      <c r="M1682" s="43">
        <v>11.500428449014567</v>
      </c>
      <c r="N1682" s="43">
        <v>4.5238229656575966</v>
      </c>
      <c r="O1682" s="43">
        <v>6.810537642208601</v>
      </c>
      <c r="P1682" s="154"/>
      <c r="Q1682" s="154"/>
      <c r="R1682" s="154">
        <v>6</v>
      </c>
    </row>
    <row r="1683" spans="1:18" ht="60">
      <c r="A1683" s="150">
        <v>64</v>
      </c>
      <c r="B1683" s="147" t="s">
        <v>3046</v>
      </c>
      <c r="C1683" s="151" t="s">
        <v>3047</v>
      </c>
      <c r="D1683" s="152">
        <v>3226.79</v>
      </c>
      <c r="E1683" s="152">
        <v>741.84</v>
      </c>
      <c r="F1683" s="152">
        <v>1846.96</v>
      </c>
      <c r="G1683" s="152">
        <v>637.99</v>
      </c>
      <c r="H1683" s="153">
        <v>20765.46</v>
      </c>
      <c r="I1683" s="153">
        <v>8531.16</v>
      </c>
      <c r="J1683" s="153">
        <v>8913.35</v>
      </c>
      <c r="K1683" s="153">
        <v>3320.95</v>
      </c>
      <c r="L1683" s="43">
        <v>6.4353304677403855</v>
      </c>
      <c r="M1683" s="43">
        <v>11.5</v>
      </c>
      <c r="N1683" s="43">
        <v>4.8259572486680815</v>
      </c>
      <c r="O1683" s="43">
        <v>5.2053323719807514</v>
      </c>
      <c r="P1683" s="154"/>
      <c r="Q1683" s="154"/>
      <c r="R1683" s="154">
        <v>6</v>
      </c>
    </row>
    <row r="1684" spans="1:18" ht="60">
      <c r="A1684" s="150">
        <v>65</v>
      </c>
      <c r="B1684" s="147" t="s">
        <v>3048</v>
      </c>
      <c r="C1684" s="151" t="s">
        <v>3049</v>
      </c>
      <c r="D1684" s="152">
        <v>14529.78</v>
      </c>
      <c r="E1684" s="152">
        <v>4267.1000000000004</v>
      </c>
      <c r="F1684" s="152">
        <v>9605.7999999999993</v>
      </c>
      <c r="G1684" s="152">
        <v>656.88</v>
      </c>
      <c r="H1684" s="153">
        <v>100790.71</v>
      </c>
      <c r="I1684" s="153">
        <v>49071.65</v>
      </c>
      <c r="J1684" s="153">
        <v>46997.59</v>
      </c>
      <c r="K1684" s="153">
        <v>4721.47</v>
      </c>
      <c r="L1684" s="43">
        <v>6.9368366210637742</v>
      </c>
      <c r="M1684" s="43">
        <v>11.5</v>
      </c>
      <c r="N1684" s="43">
        <v>4.8926263299256698</v>
      </c>
      <c r="O1684" s="43">
        <v>7.1877207404701018</v>
      </c>
      <c r="P1684" s="154"/>
      <c r="Q1684" s="154"/>
      <c r="R1684" s="154">
        <v>6</v>
      </c>
    </row>
    <row r="1685" spans="1:18" ht="72">
      <c r="A1685" s="150">
        <v>66</v>
      </c>
      <c r="B1685" s="147" t="s">
        <v>3050</v>
      </c>
      <c r="C1685" s="151" t="s">
        <v>3051</v>
      </c>
      <c r="D1685" s="152">
        <v>14077.11</v>
      </c>
      <c r="E1685" s="152">
        <v>6642.84</v>
      </c>
      <c r="F1685" s="152">
        <v>5511.95</v>
      </c>
      <c r="G1685" s="152">
        <v>1922.32</v>
      </c>
      <c r="H1685" s="153">
        <v>115508.04</v>
      </c>
      <c r="I1685" s="153">
        <v>76392.66</v>
      </c>
      <c r="J1685" s="153">
        <v>26821.61</v>
      </c>
      <c r="K1685" s="153">
        <v>12293.77</v>
      </c>
      <c r="L1685" s="43">
        <v>8.2053802236396525</v>
      </c>
      <c r="M1685" s="43">
        <v>11.5</v>
      </c>
      <c r="N1685" s="43">
        <v>4.866083690889794</v>
      </c>
      <c r="O1685" s="43">
        <v>6.395277581255983</v>
      </c>
      <c r="P1685" s="154"/>
      <c r="Q1685" s="154"/>
      <c r="R1685" s="154">
        <v>6</v>
      </c>
    </row>
    <row r="1686" spans="1:18" ht="72">
      <c r="A1686" s="150">
        <v>67</v>
      </c>
      <c r="B1686" s="147" t="s">
        <v>3052</v>
      </c>
      <c r="C1686" s="151" t="s">
        <v>3053</v>
      </c>
      <c r="D1686" s="152">
        <v>13414.88</v>
      </c>
      <c r="E1686" s="152">
        <v>2894.16</v>
      </c>
      <c r="F1686" s="152">
        <v>7078.64</v>
      </c>
      <c r="G1686" s="152">
        <v>3442.08</v>
      </c>
      <c r="H1686" s="153">
        <v>82918.240000000005</v>
      </c>
      <c r="I1686" s="153">
        <v>33284.080000000002</v>
      </c>
      <c r="J1686" s="153">
        <v>33773.17</v>
      </c>
      <c r="K1686" s="153">
        <v>15860.99</v>
      </c>
      <c r="L1686" s="43">
        <v>6.1810646088522603</v>
      </c>
      <c r="M1686" s="43">
        <v>11.500428449014569</v>
      </c>
      <c r="N1686" s="43">
        <v>4.7711382412440804</v>
      </c>
      <c r="O1686" s="43">
        <v>4.6079666945567794</v>
      </c>
      <c r="P1686" s="154"/>
      <c r="Q1686" s="154"/>
      <c r="R1686" s="154">
        <v>6</v>
      </c>
    </row>
    <row r="1687" spans="1:18" ht="60">
      <c r="A1687" s="150">
        <v>68</v>
      </c>
      <c r="B1687" s="147" t="s">
        <v>3054</v>
      </c>
      <c r="C1687" s="151" t="s">
        <v>3055</v>
      </c>
      <c r="D1687" s="152">
        <v>4771.72</v>
      </c>
      <c r="E1687" s="152">
        <v>1575.45</v>
      </c>
      <c r="F1687" s="152">
        <v>2709.27</v>
      </c>
      <c r="G1687" s="152">
        <v>487</v>
      </c>
      <c r="H1687" s="153">
        <v>34197.089999999997</v>
      </c>
      <c r="I1687" s="153">
        <v>18118.349999999999</v>
      </c>
      <c r="J1687" s="153">
        <v>12744.13</v>
      </c>
      <c r="K1687" s="153">
        <v>3334.61</v>
      </c>
      <c r="L1687" s="43">
        <v>7.1666170688975868</v>
      </c>
      <c r="M1687" s="43">
        <v>11.500428449014565</v>
      </c>
      <c r="N1687" s="43">
        <v>4.7038980980116412</v>
      </c>
      <c r="O1687" s="43">
        <v>6.8472484599589327</v>
      </c>
      <c r="P1687" s="154"/>
      <c r="Q1687" s="154"/>
      <c r="R1687" s="154">
        <v>6</v>
      </c>
    </row>
    <row r="1688" spans="1:18" ht="60">
      <c r="A1688" s="150">
        <v>69</v>
      </c>
      <c r="B1688" s="147" t="s">
        <v>3056</v>
      </c>
      <c r="C1688" s="151" t="s">
        <v>3057</v>
      </c>
      <c r="D1688" s="152">
        <v>4686.24</v>
      </c>
      <c r="E1688" s="152">
        <v>1412.07</v>
      </c>
      <c r="F1688" s="152">
        <v>2906.7</v>
      </c>
      <c r="G1688" s="152">
        <v>367.47</v>
      </c>
      <c r="H1688" s="153">
        <v>32661.82</v>
      </c>
      <c r="I1688" s="153">
        <v>16239.41</v>
      </c>
      <c r="J1688" s="153">
        <v>13557.26</v>
      </c>
      <c r="K1688" s="153">
        <v>2865.15</v>
      </c>
      <c r="L1688" s="43">
        <v>6.969728396326266</v>
      </c>
      <c r="M1688" s="43">
        <v>11.500428449014567</v>
      </c>
      <c r="N1688" s="43">
        <v>4.6641414662675889</v>
      </c>
      <c r="O1688" s="43">
        <v>7.7969630173891744</v>
      </c>
      <c r="P1688" s="154"/>
      <c r="Q1688" s="154"/>
      <c r="R1688" s="154">
        <v>6</v>
      </c>
    </row>
    <row r="1689" spans="1:18" ht="60">
      <c r="A1689" s="150">
        <v>70</v>
      </c>
      <c r="B1689" s="147" t="s">
        <v>3058</v>
      </c>
      <c r="C1689" s="151" t="s">
        <v>3059</v>
      </c>
      <c r="D1689" s="152">
        <v>4313.04</v>
      </c>
      <c r="E1689" s="152">
        <v>1610.68</v>
      </c>
      <c r="F1689" s="152">
        <v>1836.68</v>
      </c>
      <c r="G1689" s="152">
        <v>865.68</v>
      </c>
      <c r="H1689" s="153">
        <v>33603.800000000003</v>
      </c>
      <c r="I1689" s="153">
        <v>18522.82</v>
      </c>
      <c r="J1689" s="153">
        <v>11268.56</v>
      </c>
      <c r="K1689" s="153">
        <v>3812.42</v>
      </c>
      <c r="L1689" s="43">
        <v>7.7912099122660594</v>
      </c>
      <c r="M1689" s="43">
        <v>11.5</v>
      </c>
      <c r="N1689" s="43">
        <v>6.1352875841191707</v>
      </c>
      <c r="O1689" s="43">
        <v>4.4039598928010353</v>
      </c>
      <c r="P1689" s="154"/>
      <c r="Q1689" s="154"/>
      <c r="R1689" s="154">
        <v>6</v>
      </c>
    </row>
    <row r="1690" spans="1:18" ht="60">
      <c r="A1690" s="150">
        <v>71</v>
      </c>
      <c r="B1690" s="147" t="s">
        <v>3060</v>
      </c>
      <c r="C1690" s="151" t="s">
        <v>3061</v>
      </c>
      <c r="D1690" s="152">
        <v>7553.11</v>
      </c>
      <c r="E1690" s="152">
        <v>1624.48</v>
      </c>
      <c r="F1690" s="152">
        <v>4893.42</v>
      </c>
      <c r="G1690" s="152">
        <v>1035.21</v>
      </c>
      <c r="H1690" s="153">
        <v>48701.62</v>
      </c>
      <c r="I1690" s="153">
        <v>18681.52</v>
      </c>
      <c r="J1690" s="153">
        <v>24564.45</v>
      </c>
      <c r="K1690" s="153">
        <v>5455.65</v>
      </c>
      <c r="L1690" s="43">
        <v>6.4478896772322933</v>
      </c>
      <c r="M1690" s="43">
        <v>11.5</v>
      </c>
      <c r="N1690" s="43">
        <v>5.0198940618217938</v>
      </c>
      <c r="O1690" s="43">
        <v>5.2700901266409712</v>
      </c>
      <c r="P1690" s="154"/>
      <c r="Q1690" s="154"/>
      <c r="R1690" s="154">
        <v>6</v>
      </c>
    </row>
    <row r="1691" spans="1:18" ht="60">
      <c r="A1691" s="150">
        <v>72</v>
      </c>
      <c r="B1691" s="147" t="s">
        <v>3062</v>
      </c>
      <c r="C1691" s="151" t="s">
        <v>3063</v>
      </c>
      <c r="D1691" s="152">
        <v>6189.53</v>
      </c>
      <c r="E1691" s="152">
        <v>2079.46</v>
      </c>
      <c r="F1691" s="152">
        <v>3492.25</v>
      </c>
      <c r="G1691" s="152">
        <v>617.82000000000005</v>
      </c>
      <c r="H1691" s="153">
        <v>44497.85</v>
      </c>
      <c r="I1691" s="153">
        <v>23913.79</v>
      </c>
      <c r="J1691" s="153">
        <v>16513.580000000002</v>
      </c>
      <c r="K1691" s="153">
        <v>4070.48</v>
      </c>
      <c r="L1691" s="43">
        <v>7.1892130743368234</v>
      </c>
      <c r="M1691" s="43">
        <v>11.5</v>
      </c>
      <c r="N1691" s="43">
        <v>4.7286362660176113</v>
      </c>
      <c r="O1691" s="43">
        <v>6.5884561846492504</v>
      </c>
      <c r="P1691" s="154"/>
      <c r="Q1691" s="154"/>
      <c r="R1691" s="154">
        <v>6</v>
      </c>
    </row>
    <row r="1692" spans="1:18" ht="60">
      <c r="A1692" s="150">
        <v>73</v>
      </c>
      <c r="B1692" s="147" t="s">
        <v>3064</v>
      </c>
      <c r="C1692" s="151" t="s">
        <v>3065</v>
      </c>
      <c r="D1692" s="152">
        <v>2594.23</v>
      </c>
      <c r="E1692" s="152">
        <v>779.31</v>
      </c>
      <c r="F1692" s="152">
        <v>1490.84</v>
      </c>
      <c r="G1692" s="152">
        <v>324.08</v>
      </c>
      <c r="H1692" s="153">
        <v>18310.53</v>
      </c>
      <c r="I1692" s="153">
        <v>8962.3799999999992</v>
      </c>
      <c r="J1692" s="153">
        <v>7066.79</v>
      </c>
      <c r="K1692" s="153">
        <v>2281.36</v>
      </c>
      <c r="L1692" s="43">
        <v>7.05817525816909</v>
      </c>
      <c r="M1692" s="43">
        <v>11.500404203718674</v>
      </c>
      <c r="N1692" s="43">
        <v>4.740139786965738</v>
      </c>
      <c r="O1692" s="43">
        <v>7.0394964206368806</v>
      </c>
      <c r="P1692" s="154"/>
      <c r="Q1692" s="154"/>
      <c r="R1692" s="154">
        <v>6</v>
      </c>
    </row>
    <row r="1693" spans="1:18" ht="60">
      <c r="A1693" s="150">
        <v>74</v>
      </c>
      <c r="B1693" s="147" t="s">
        <v>3066</v>
      </c>
      <c r="C1693" s="151" t="s">
        <v>3067</v>
      </c>
      <c r="D1693" s="152">
        <v>17779.66</v>
      </c>
      <c r="E1693" s="152">
        <v>2929.17</v>
      </c>
      <c r="F1693" s="152">
        <v>8790.32</v>
      </c>
      <c r="G1693" s="152">
        <v>6060.17</v>
      </c>
      <c r="H1693" s="153">
        <v>103863.82</v>
      </c>
      <c r="I1693" s="153">
        <v>33686.71</v>
      </c>
      <c r="J1693" s="153">
        <v>41608.18</v>
      </c>
      <c r="K1693" s="153">
        <v>28568.93</v>
      </c>
      <c r="L1693" s="43">
        <v>5.8417213827486023</v>
      </c>
      <c r="M1693" s="43">
        <v>11.500428449014567</v>
      </c>
      <c r="N1693" s="43">
        <v>4.7334090226521903</v>
      </c>
      <c r="O1693" s="43">
        <v>4.7142126375992754</v>
      </c>
      <c r="P1693" s="154"/>
      <c r="Q1693" s="154"/>
      <c r="R1693" s="154">
        <v>6</v>
      </c>
    </row>
    <row r="1694" spans="1:18" ht="60">
      <c r="A1694" s="150">
        <v>75</v>
      </c>
      <c r="B1694" s="147" t="s">
        <v>3068</v>
      </c>
      <c r="C1694" s="151" t="s">
        <v>3069</v>
      </c>
      <c r="D1694" s="152">
        <v>15324.96</v>
      </c>
      <c r="E1694" s="152">
        <v>4715.04</v>
      </c>
      <c r="F1694" s="152">
        <v>7456.34</v>
      </c>
      <c r="G1694" s="152">
        <v>3153.58</v>
      </c>
      <c r="H1694" s="153">
        <v>105556.8</v>
      </c>
      <c r="I1694" s="153">
        <v>54222.96</v>
      </c>
      <c r="J1694" s="153">
        <v>36373.339999999997</v>
      </c>
      <c r="K1694" s="153">
        <v>14960.5</v>
      </c>
      <c r="L1694" s="43">
        <v>6.8879005230682502</v>
      </c>
      <c r="M1694" s="43">
        <v>11.5</v>
      </c>
      <c r="N1694" s="43">
        <v>4.8781761561302188</v>
      </c>
      <c r="O1694" s="43">
        <v>4.7439735158137735</v>
      </c>
      <c r="P1694" s="154"/>
      <c r="Q1694" s="154"/>
      <c r="R1694" s="154">
        <v>6</v>
      </c>
    </row>
    <row r="1695" spans="1:18" ht="60">
      <c r="A1695" s="150">
        <v>76</v>
      </c>
      <c r="B1695" s="147" t="s">
        <v>3070</v>
      </c>
      <c r="C1695" s="151" t="s">
        <v>3071</v>
      </c>
      <c r="D1695" s="152">
        <v>20802.11</v>
      </c>
      <c r="E1695" s="152">
        <v>6490.4</v>
      </c>
      <c r="F1695" s="152">
        <v>7081.81</v>
      </c>
      <c r="G1695" s="152">
        <v>7229.9</v>
      </c>
      <c r="H1695" s="153">
        <v>141152.1</v>
      </c>
      <c r="I1695" s="153">
        <v>74639.600000000006</v>
      </c>
      <c r="J1695" s="153">
        <v>38139.550000000003</v>
      </c>
      <c r="K1695" s="153">
        <v>28372.95</v>
      </c>
      <c r="L1695" s="43">
        <v>6.7854703200781072</v>
      </c>
      <c r="M1695" s="43">
        <v>11.500000000000002</v>
      </c>
      <c r="N1695" s="43">
        <v>5.3855652721550005</v>
      </c>
      <c r="O1695" s="43">
        <v>3.9243903788434142</v>
      </c>
      <c r="P1695" s="154"/>
      <c r="Q1695" s="154"/>
      <c r="R1695" s="154">
        <v>6</v>
      </c>
    </row>
    <row r="1696" spans="1:18" ht="60">
      <c r="A1696" s="150">
        <v>77</v>
      </c>
      <c r="B1696" s="147" t="s">
        <v>3072</v>
      </c>
      <c r="C1696" s="151" t="s">
        <v>3073</v>
      </c>
      <c r="D1696" s="152">
        <v>12395.29</v>
      </c>
      <c r="E1696" s="152">
        <v>3464.8</v>
      </c>
      <c r="F1696" s="152">
        <v>6252.19</v>
      </c>
      <c r="G1696" s="152">
        <v>2678.3</v>
      </c>
      <c r="H1696" s="153">
        <v>82477.61</v>
      </c>
      <c r="I1696" s="153">
        <v>39845.199999999997</v>
      </c>
      <c r="J1696" s="153">
        <v>30893.56</v>
      </c>
      <c r="K1696" s="153">
        <v>11738.85</v>
      </c>
      <c r="L1696" s="43">
        <v>6.6539475881564689</v>
      </c>
      <c r="M1696" s="43">
        <v>11.499999999999998</v>
      </c>
      <c r="N1696" s="43">
        <v>4.9412381901381757</v>
      </c>
      <c r="O1696" s="43">
        <v>4.3829481387447258</v>
      </c>
      <c r="P1696" s="154"/>
      <c r="Q1696" s="154"/>
      <c r="R1696" s="154">
        <v>6</v>
      </c>
    </row>
    <row r="1697" spans="1:18" ht="72">
      <c r="A1697" s="150">
        <v>78</v>
      </c>
      <c r="B1697" s="147" t="s">
        <v>3074</v>
      </c>
      <c r="C1697" s="151" t="s">
        <v>3075</v>
      </c>
      <c r="D1697" s="152">
        <v>15082.04</v>
      </c>
      <c r="E1697" s="152">
        <v>4159.4399999999996</v>
      </c>
      <c r="F1697" s="152">
        <v>5799.41</v>
      </c>
      <c r="G1697" s="152">
        <v>5123.1899999999996</v>
      </c>
      <c r="H1697" s="153">
        <v>107600.53</v>
      </c>
      <c r="I1697" s="153">
        <v>47833.56</v>
      </c>
      <c r="J1697" s="153">
        <v>30067.65</v>
      </c>
      <c r="K1697" s="153">
        <v>29699.32</v>
      </c>
      <c r="L1697" s="43">
        <v>7.1343485364048886</v>
      </c>
      <c r="M1697" s="43">
        <v>11.5</v>
      </c>
      <c r="N1697" s="43">
        <v>5.1846049856795782</v>
      </c>
      <c r="O1697" s="43">
        <v>5.7970366119546615</v>
      </c>
      <c r="P1697" s="154"/>
      <c r="Q1697" s="154"/>
      <c r="R1697" s="154">
        <v>6</v>
      </c>
    </row>
    <row r="1698" spans="1:18" ht="72">
      <c r="A1698" s="150">
        <v>79</v>
      </c>
      <c r="B1698" s="147" t="s">
        <v>3076</v>
      </c>
      <c r="C1698" s="151" t="s">
        <v>3077</v>
      </c>
      <c r="D1698" s="152">
        <v>40738.480000000003</v>
      </c>
      <c r="E1698" s="152">
        <v>12261</v>
      </c>
      <c r="F1698" s="152">
        <v>20548.080000000002</v>
      </c>
      <c r="G1698" s="152">
        <v>7929.4</v>
      </c>
      <c r="H1698" s="153">
        <v>285481.2</v>
      </c>
      <c r="I1698" s="153">
        <v>141001.5</v>
      </c>
      <c r="J1698" s="153">
        <v>105102.77</v>
      </c>
      <c r="K1698" s="153">
        <v>39376.93</v>
      </c>
      <c r="L1698" s="43">
        <v>7.0076546793105683</v>
      </c>
      <c r="M1698" s="43">
        <v>11.5</v>
      </c>
      <c r="N1698" s="43">
        <v>5.1149679191437833</v>
      </c>
      <c r="O1698" s="43">
        <v>4.965940676469847</v>
      </c>
      <c r="P1698" s="154"/>
      <c r="Q1698" s="154"/>
      <c r="R1698" s="154">
        <v>6</v>
      </c>
    </row>
    <row r="1699" spans="1:18" ht="72">
      <c r="A1699" s="150">
        <v>80</v>
      </c>
      <c r="B1699" s="147" t="s">
        <v>3078</v>
      </c>
      <c r="C1699" s="151" t="s">
        <v>3079</v>
      </c>
      <c r="D1699" s="152">
        <v>46011.1</v>
      </c>
      <c r="E1699" s="152">
        <v>14220.36</v>
      </c>
      <c r="F1699" s="152">
        <v>20842.02</v>
      </c>
      <c r="G1699" s="152">
        <v>10948.72</v>
      </c>
      <c r="H1699" s="153">
        <v>322770.48</v>
      </c>
      <c r="I1699" s="153">
        <v>163534.14000000001</v>
      </c>
      <c r="J1699" s="153">
        <v>102456.69</v>
      </c>
      <c r="K1699" s="153">
        <v>56779.65</v>
      </c>
      <c r="L1699" s="43">
        <v>7.0150568015109398</v>
      </c>
      <c r="M1699" s="43">
        <v>11.5</v>
      </c>
      <c r="N1699" s="43">
        <v>4.915871398261781</v>
      </c>
      <c r="O1699" s="43">
        <v>5.1859623773372601</v>
      </c>
      <c r="P1699" s="154"/>
      <c r="Q1699" s="154"/>
      <c r="R1699" s="154">
        <v>6</v>
      </c>
    </row>
    <row r="1700" spans="1:18" ht="72">
      <c r="A1700" s="150">
        <v>81</v>
      </c>
      <c r="B1700" s="147" t="s">
        <v>3080</v>
      </c>
      <c r="C1700" s="151" t="s">
        <v>3081</v>
      </c>
      <c r="D1700" s="152">
        <v>41605.99</v>
      </c>
      <c r="E1700" s="152">
        <v>8918.2000000000007</v>
      </c>
      <c r="F1700" s="152">
        <v>27771.47</v>
      </c>
      <c r="G1700" s="152">
        <v>4916.32</v>
      </c>
      <c r="H1700" s="153">
        <v>261509.88</v>
      </c>
      <c r="I1700" s="153">
        <v>102559.3</v>
      </c>
      <c r="J1700" s="153">
        <v>128502.95</v>
      </c>
      <c r="K1700" s="153">
        <v>30447.63</v>
      </c>
      <c r="L1700" s="43">
        <v>6.2853901565615917</v>
      </c>
      <c r="M1700" s="43">
        <v>11.5</v>
      </c>
      <c r="N1700" s="43">
        <v>4.6271569347967532</v>
      </c>
      <c r="O1700" s="43">
        <v>6.1931749764051167</v>
      </c>
      <c r="P1700" s="154"/>
      <c r="Q1700" s="154"/>
      <c r="R1700" s="154">
        <v>6</v>
      </c>
    </row>
    <row r="1701" spans="1:18" ht="72">
      <c r="A1701" s="150">
        <v>82</v>
      </c>
      <c r="B1701" s="147" t="s">
        <v>3082</v>
      </c>
      <c r="C1701" s="151" t="s">
        <v>3083</v>
      </c>
      <c r="D1701" s="152">
        <v>58158.51</v>
      </c>
      <c r="E1701" s="152">
        <v>10352.49</v>
      </c>
      <c r="F1701" s="152">
        <v>39884.92</v>
      </c>
      <c r="G1701" s="152">
        <v>7921.1</v>
      </c>
      <c r="H1701" s="153">
        <v>354448.27</v>
      </c>
      <c r="I1701" s="153">
        <v>119058.14</v>
      </c>
      <c r="J1701" s="153">
        <v>193605.84</v>
      </c>
      <c r="K1701" s="153">
        <v>41784.29</v>
      </c>
      <c r="L1701" s="43">
        <v>6.0945211629390093</v>
      </c>
      <c r="M1701" s="43">
        <v>11.500435161009573</v>
      </c>
      <c r="N1701" s="43">
        <v>4.8541112781472293</v>
      </c>
      <c r="O1701" s="43">
        <v>5.2750615444824582</v>
      </c>
      <c r="P1701" s="154"/>
      <c r="Q1701" s="154"/>
      <c r="R1701" s="154">
        <v>6</v>
      </c>
    </row>
    <row r="1702" spans="1:18" ht="72">
      <c r="A1702" s="150">
        <v>83</v>
      </c>
      <c r="B1702" s="147" t="s">
        <v>3084</v>
      </c>
      <c r="C1702" s="151" t="s">
        <v>3085</v>
      </c>
      <c r="D1702" s="152">
        <v>42211.5</v>
      </c>
      <c r="E1702" s="152">
        <v>13198.79</v>
      </c>
      <c r="F1702" s="152">
        <v>18839.349999999999</v>
      </c>
      <c r="G1702" s="152">
        <v>10173.36</v>
      </c>
      <c r="H1702" s="153">
        <v>293988.15000000002</v>
      </c>
      <c r="I1702" s="153">
        <v>151791.42000000001</v>
      </c>
      <c r="J1702" s="153">
        <v>91532.45</v>
      </c>
      <c r="K1702" s="153">
        <v>50664.28</v>
      </c>
      <c r="L1702" s="43">
        <v>6.964645890337942</v>
      </c>
      <c r="M1702" s="43">
        <v>11.500404203718674</v>
      </c>
      <c r="N1702" s="43">
        <v>4.8585779233359965</v>
      </c>
      <c r="O1702" s="43">
        <v>4.9800931059158424</v>
      </c>
      <c r="P1702" s="154"/>
      <c r="Q1702" s="154"/>
      <c r="R1702" s="154">
        <v>6</v>
      </c>
    </row>
    <row r="1703" spans="1:18" ht="72">
      <c r="A1703" s="150">
        <v>84</v>
      </c>
      <c r="B1703" s="147" t="s">
        <v>3086</v>
      </c>
      <c r="C1703" s="151" t="s">
        <v>3087</v>
      </c>
      <c r="D1703" s="152">
        <v>40763.57</v>
      </c>
      <c r="E1703" s="152">
        <v>5024.3599999999997</v>
      </c>
      <c r="F1703" s="152">
        <v>23261.48</v>
      </c>
      <c r="G1703" s="152">
        <v>12477.73</v>
      </c>
      <c r="H1703" s="153">
        <v>231401.93</v>
      </c>
      <c r="I1703" s="153">
        <v>57780.14</v>
      </c>
      <c r="J1703" s="153">
        <v>111923.52</v>
      </c>
      <c r="K1703" s="153">
        <v>61698.27</v>
      </c>
      <c r="L1703" s="43">
        <v>5.676684598527558</v>
      </c>
      <c r="M1703" s="43">
        <v>11.5</v>
      </c>
      <c r="N1703" s="43">
        <v>4.8115390766193729</v>
      </c>
      <c r="O1703" s="43">
        <v>4.9446710258997433</v>
      </c>
      <c r="P1703" s="154"/>
      <c r="Q1703" s="154"/>
      <c r="R1703" s="154">
        <v>6</v>
      </c>
    </row>
    <row r="1704" spans="1:18" ht="72">
      <c r="A1704" s="150">
        <v>85</v>
      </c>
      <c r="B1704" s="147" t="s">
        <v>3088</v>
      </c>
      <c r="C1704" s="151" t="s">
        <v>3089</v>
      </c>
      <c r="D1704" s="152">
        <v>46428.19</v>
      </c>
      <c r="E1704" s="152">
        <v>13468.8</v>
      </c>
      <c r="F1704" s="152">
        <v>24462.04</v>
      </c>
      <c r="G1704" s="152">
        <v>8497.35</v>
      </c>
      <c r="H1704" s="153">
        <v>322575.64</v>
      </c>
      <c r="I1704" s="153">
        <v>154891.20000000001</v>
      </c>
      <c r="J1704" s="153">
        <v>113683.34</v>
      </c>
      <c r="K1704" s="153">
        <v>54001.1</v>
      </c>
      <c r="L1704" s="43">
        <v>6.9478400945632384</v>
      </c>
      <c r="M1704" s="43">
        <v>11.500000000000002</v>
      </c>
      <c r="N1704" s="43">
        <v>4.6473368533450188</v>
      </c>
      <c r="O1704" s="43">
        <v>6.3550518691121347</v>
      </c>
      <c r="P1704" s="154"/>
      <c r="Q1704" s="154"/>
      <c r="R1704" s="154">
        <v>6</v>
      </c>
    </row>
    <row r="1705" spans="1:18" ht="72">
      <c r="A1705" s="150">
        <v>86</v>
      </c>
      <c r="B1705" s="147" t="s">
        <v>3090</v>
      </c>
      <c r="C1705" s="151" t="s">
        <v>3091</v>
      </c>
      <c r="D1705" s="152">
        <v>14509.04</v>
      </c>
      <c r="E1705" s="152">
        <v>4477.9399999999996</v>
      </c>
      <c r="F1705" s="152">
        <v>6743.76</v>
      </c>
      <c r="G1705" s="152">
        <v>3287.34</v>
      </c>
      <c r="H1705" s="153">
        <v>102216.61</v>
      </c>
      <c r="I1705" s="153">
        <v>51498.12</v>
      </c>
      <c r="J1705" s="153">
        <v>32751.1</v>
      </c>
      <c r="K1705" s="153">
        <v>17967.39</v>
      </c>
      <c r="L1705" s="43">
        <v>7.0450291680221433</v>
      </c>
      <c r="M1705" s="43">
        <v>11.500404203718675</v>
      </c>
      <c r="N1705" s="43">
        <v>4.8565043833113863</v>
      </c>
      <c r="O1705" s="43">
        <v>5.4656317874025806</v>
      </c>
      <c r="P1705" s="154"/>
      <c r="Q1705" s="154"/>
      <c r="R1705" s="154">
        <v>6</v>
      </c>
    </row>
    <row r="1706" spans="1:18" ht="72">
      <c r="A1706" s="150">
        <v>87</v>
      </c>
      <c r="B1706" s="147" t="s">
        <v>3092</v>
      </c>
      <c r="C1706" s="151" t="s">
        <v>3093</v>
      </c>
      <c r="D1706" s="152">
        <v>10783.37</v>
      </c>
      <c r="E1706" s="152">
        <v>3464.8</v>
      </c>
      <c r="F1706" s="152">
        <v>4733.7</v>
      </c>
      <c r="G1706" s="152">
        <v>2584.87</v>
      </c>
      <c r="H1706" s="153">
        <v>76695.039999999994</v>
      </c>
      <c r="I1706" s="153">
        <v>39845.199999999997</v>
      </c>
      <c r="J1706" s="153">
        <v>23333.09</v>
      </c>
      <c r="K1706" s="153">
        <v>13516.75</v>
      </c>
      <c r="L1706" s="43">
        <v>7.1123442856917629</v>
      </c>
      <c r="M1706" s="43">
        <v>11.499999999999998</v>
      </c>
      <c r="N1706" s="43">
        <v>4.9291442212223</v>
      </c>
      <c r="O1706" s="43">
        <v>5.2291798040133548</v>
      </c>
      <c r="P1706" s="154"/>
      <c r="Q1706" s="154"/>
      <c r="R1706" s="154">
        <v>6</v>
      </c>
    </row>
    <row r="1707" spans="1:18" ht="12.75" customHeight="1">
      <c r="A1707" s="628" t="s">
        <v>3094</v>
      </c>
      <c r="B1707" s="629"/>
      <c r="C1707" s="629"/>
      <c r="D1707" s="629"/>
      <c r="E1707" s="629"/>
      <c r="F1707" s="629"/>
      <c r="G1707" s="629"/>
      <c r="H1707" s="629"/>
      <c r="I1707" s="629"/>
      <c r="J1707" s="629"/>
      <c r="K1707" s="629"/>
      <c r="L1707" s="629"/>
      <c r="M1707" s="629"/>
      <c r="N1707" s="629"/>
      <c r="O1707" s="629"/>
      <c r="P1707" s="629"/>
      <c r="Q1707" s="629"/>
      <c r="R1707" s="629"/>
    </row>
    <row r="1708" spans="1:18" ht="60">
      <c r="A1708" s="150">
        <v>88</v>
      </c>
      <c r="B1708" s="147" t="s">
        <v>3095</v>
      </c>
      <c r="C1708" s="151" t="s">
        <v>3096</v>
      </c>
      <c r="D1708" s="152">
        <v>4129.03</v>
      </c>
      <c r="E1708" s="152">
        <v>2536.2199999999998</v>
      </c>
      <c r="F1708" s="152">
        <v>1398.63</v>
      </c>
      <c r="G1708" s="152">
        <v>194.18</v>
      </c>
      <c r="H1708" s="153">
        <v>37904.83</v>
      </c>
      <c r="I1708" s="153">
        <v>29166.53</v>
      </c>
      <c r="J1708" s="153">
        <v>7374.45</v>
      </c>
      <c r="K1708" s="153">
        <v>1363.85</v>
      </c>
      <c r="L1708" s="43">
        <v>9.1800810359818179</v>
      </c>
      <c r="M1708" s="43">
        <v>11.5</v>
      </c>
      <c r="N1708" s="43">
        <v>5.2726239248407367</v>
      </c>
      <c r="O1708" s="43">
        <v>7.0236378617777309</v>
      </c>
      <c r="P1708" s="154"/>
      <c r="Q1708" s="154"/>
      <c r="R1708" s="154">
        <v>7</v>
      </c>
    </row>
    <row r="1709" spans="1:18" ht="60">
      <c r="A1709" s="150">
        <v>89</v>
      </c>
      <c r="B1709" s="147" t="s">
        <v>3097</v>
      </c>
      <c r="C1709" s="151" t="s">
        <v>3098</v>
      </c>
      <c r="D1709" s="152">
        <v>3536.71</v>
      </c>
      <c r="E1709" s="152">
        <v>1595.73</v>
      </c>
      <c r="F1709" s="152">
        <v>1505.65</v>
      </c>
      <c r="G1709" s="152">
        <v>435.33</v>
      </c>
      <c r="H1709" s="153">
        <v>29334.240000000002</v>
      </c>
      <c r="I1709" s="153">
        <v>18351.54</v>
      </c>
      <c r="J1709" s="153">
        <v>7974.27</v>
      </c>
      <c r="K1709" s="153">
        <v>3008.43</v>
      </c>
      <c r="L1709" s="43">
        <v>8.2942169417339855</v>
      </c>
      <c r="M1709" s="43">
        <v>11.500404203718675</v>
      </c>
      <c r="N1709" s="43">
        <v>5.2962308637465547</v>
      </c>
      <c r="O1709" s="43">
        <v>6.9106884432499482</v>
      </c>
      <c r="P1709" s="154"/>
      <c r="Q1709" s="154"/>
      <c r="R1709" s="154">
        <v>7</v>
      </c>
    </row>
    <row r="1710" spans="1:18" ht="60">
      <c r="A1710" s="150">
        <v>90</v>
      </c>
      <c r="B1710" s="147" t="s">
        <v>3099</v>
      </c>
      <c r="C1710" s="151" t="s">
        <v>3100</v>
      </c>
      <c r="D1710" s="152">
        <v>1929.77</v>
      </c>
      <c r="E1710" s="152">
        <v>1021.76</v>
      </c>
      <c r="F1710" s="152">
        <v>661.94</v>
      </c>
      <c r="G1710" s="152">
        <v>246.07</v>
      </c>
      <c r="H1710" s="153">
        <v>16669.12</v>
      </c>
      <c r="I1710" s="153">
        <v>11750.68</v>
      </c>
      <c r="J1710" s="153">
        <v>3471.72</v>
      </c>
      <c r="K1710" s="153">
        <v>1446.72</v>
      </c>
      <c r="L1710" s="43">
        <v>8.6378791254916383</v>
      </c>
      <c r="M1710" s="43">
        <v>11.500430629502036</v>
      </c>
      <c r="N1710" s="43">
        <v>5.2447653865909292</v>
      </c>
      <c r="O1710" s="43">
        <v>5.879302637460885</v>
      </c>
      <c r="P1710" s="154"/>
      <c r="Q1710" s="154"/>
      <c r="R1710" s="154">
        <v>7</v>
      </c>
    </row>
    <row r="1711" spans="1:18" ht="60">
      <c r="A1711" s="150">
        <v>91</v>
      </c>
      <c r="B1711" s="147" t="s">
        <v>3101</v>
      </c>
      <c r="C1711" s="151" t="s">
        <v>3102</v>
      </c>
      <c r="D1711" s="152">
        <v>3630.45</v>
      </c>
      <c r="E1711" s="152">
        <v>1394.32</v>
      </c>
      <c r="F1711" s="152">
        <v>1631.25</v>
      </c>
      <c r="G1711" s="152">
        <v>604.88</v>
      </c>
      <c r="H1711" s="153">
        <v>28824.89</v>
      </c>
      <c r="I1711" s="153">
        <v>16034.68</v>
      </c>
      <c r="J1711" s="153">
        <v>8797.7199999999993</v>
      </c>
      <c r="K1711" s="153">
        <v>3992.49</v>
      </c>
      <c r="L1711" s="43">
        <v>7.9397567794626012</v>
      </c>
      <c r="M1711" s="43">
        <v>11.5</v>
      </c>
      <c r="N1711" s="43">
        <v>5.3932383141762452</v>
      </c>
      <c r="O1711" s="43">
        <v>6.6004662081735219</v>
      </c>
      <c r="P1711" s="154"/>
      <c r="Q1711" s="154"/>
      <c r="R1711" s="154">
        <v>7</v>
      </c>
    </row>
    <row r="1712" spans="1:18" ht="60">
      <c r="A1712" s="150">
        <v>92</v>
      </c>
      <c r="B1712" s="147" t="s">
        <v>3103</v>
      </c>
      <c r="C1712" s="151" t="s">
        <v>3104</v>
      </c>
      <c r="D1712" s="152">
        <v>1998.49</v>
      </c>
      <c r="E1712" s="152">
        <v>719.93</v>
      </c>
      <c r="F1712" s="152">
        <v>1015.62</v>
      </c>
      <c r="G1712" s="152">
        <v>262.94</v>
      </c>
      <c r="H1712" s="153">
        <v>15327.8</v>
      </c>
      <c r="I1712" s="153">
        <v>8279.5300000000007</v>
      </c>
      <c r="J1712" s="153">
        <v>5383.14</v>
      </c>
      <c r="K1712" s="153">
        <v>1665.13</v>
      </c>
      <c r="L1712" s="43">
        <v>7.6696906164153935</v>
      </c>
      <c r="M1712" s="43">
        <v>11.500465323017517</v>
      </c>
      <c r="N1712" s="43">
        <v>5.3003485555621204</v>
      </c>
      <c r="O1712" s="43">
        <v>6.3327375066555112</v>
      </c>
      <c r="P1712" s="154"/>
      <c r="Q1712" s="154"/>
      <c r="R1712" s="154">
        <v>7</v>
      </c>
    </row>
    <row r="1713" spans="1:18" ht="60">
      <c r="A1713" s="150">
        <v>93</v>
      </c>
      <c r="B1713" s="147" t="s">
        <v>3105</v>
      </c>
      <c r="C1713" s="151" t="s">
        <v>3106</v>
      </c>
      <c r="D1713" s="152">
        <v>4185.1899999999996</v>
      </c>
      <c r="E1713" s="152">
        <v>1646.74</v>
      </c>
      <c r="F1713" s="152">
        <v>1924.01</v>
      </c>
      <c r="G1713" s="152">
        <v>614.44000000000005</v>
      </c>
      <c r="H1713" s="153">
        <v>33530.589999999997</v>
      </c>
      <c r="I1713" s="153">
        <v>18937.509999999998</v>
      </c>
      <c r="J1713" s="153">
        <v>10513.98</v>
      </c>
      <c r="K1713" s="153">
        <v>4079.1</v>
      </c>
      <c r="L1713" s="43">
        <v>8.0117246767769199</v>
      </c>
      <c r="M1713" s="43">
        <v>11.499999999999998</v>
      </c>
      <c r="N1713" s="43">
        <v>5.4646181672652423</v>
      </c>
      <c r="O1713" s="43">
        <v>6.6387279473992571</v>
      </c>
      <c r="P1713" s="154"/>
      <c r="Q1713" s="154"/>
      <c r="R1713" s="154">
        <v>7</v>
      </c>
    </row>
    <row r="1714" spans="1:18" ht="60">
      <c r="A1714" s="150">
        <v>94</v>
      </c>
      <c r="B1714" s="147" t="s">
        <v>3107</v>
      </c>
      <c r="C1714" s="151" t="s">
        <v>3108</v>
      </c>
      <c r="D1714" s="152">
        <v>3293.57</v>
      </c>
      <c r="E1714" s="152">
        <v>1168.96</v>
      </c>
      <c r="F1714" s="152">
        <v>1057.6400000000001</v>
      </c>
      <c r="G1714" s="152">
        <v>1066.97</v>
      </c>
      <c r="H1714" s="153">
        <v>23372.67</v>
      </c>
      <c r="I1714" s="153">
        <v>13443.04</v>
      </c>
      <c r="J1714" s="153">
        <v>4982.32</v>
      </c>
      <c r="K1714" s="153">
        <v>4947.3100000000004</v>
      </c>
      <c r="L1714" s="43">
        <v>7.0964546070069856</v>
      </c>
      <c r="M1714" s="43">
        <v>11.5</v>
      </c>
      <c r="N1714" s="43">
        <v>4.7107900608902833</v>
      </c>
      <c r="O1714" s="43">
        <v>4.6367845393966096</v>
      </c>
      <c r="P1714" s="154"/>
      <c r="Q1714" s="154"/>
      <c r="R1714" s="154">
        <v>7</v>
      </c>
    </row>
    <row r="1715" spans="1:18" ht="60">
      <c r="A1715" s="150">
        <v>95</v>
      </c>
      <c r="B1715" s="147" t="s">
        <v>3109</v>
      </c>
      <c r="C1715" s="151" t="s">
        <v>3110</v>
      </c>
      <c r="D1715" s="152">
        <v>3867.43</v>
      </c>
      <c r="E1715" s="152">
        <v>1240.92</v>
      </c>
      <c r="F1715" s="152">
        <v>2104.37</v>
      </c>
      <c r="G1715" s="152">
        <v>522.14</v>
      </c>
      <c r="H1715" s="153">
        <v>27004.5</v>
      </c>
      <c r="I1715" s="153">
        <v>14271.12</v>
      </c>
      <c r="J1715" s="153">
        <v>9899.7000000000007</v>
      </c>
      <c r="K1715" s="153">
        <v>2833.68</v>
      </c>
      <c r="L1715" s="43">
        <v>6.9825439633037965</v>
      </c>
      <c r="M1715" s="43">
        <v>11.500435161009573</v>
      </c>
      <c r="N1715" s="43">
        <v>4.7043533218968152</v>
      </c>
      <c r="O1715" s="43">
        <v>5.4270502164170527</v>
      </c>
      <c r="P1715" s="154"/>
      <c r="Q1715" s="154"/>
      <c r="R1715" s="154">
        <v>7</v>
      </c>
    </row>
    <row r="1716" spans="1:18" ht="60">
      <c r="A1716" s="150">
        <v>96</v>
      </c>
      <c r="B1716" s="147" t="s">
        <v>3111</v>
      </c>
      <c r="C1716" s="151" t="s">
        <v>3112</v>
      </c>
      <c r="D1716" s="152">
        <v>3137.7</v>
      </c>
      <c r="E1716" s="152">
        <v>1005.36</v>
      </c>
      <c r="F1716" s="152">
        <v>1208.4100000000001</v>
      </c>
      <c r="G1716" s="152">
        <v>923.93</v>
      </c>
      <c r="H1716" s="153">
        <v>21386.93</v>
      </c>
      <c r="I1716" s="153">
        <v>11561.64</v>
      </c>
      <c r="J1716" s="153">
        <v>5738.06</v>
      </c>
      <c r="K1716" s="153">
        <v>4087.23</v>
      </c>
      <c r="L1716" s="43">
        <v>6.8161169009146834</v>
      </c>
      <c r="M1716" s="43">
        <v>11.5</v>
      </c>
      <c r="N1716" s="43">
        <v>4.7484380301387779</v>
      </c>
      <c r="O1716" s="43">
        <v>4.4237442230472004</v>
      </c>
      <c r="P1716" s="154"/>
      <c r="Q1716" s="154"/>
      <c r="R1716" s="154">
        <v>7</v>
      </c>
    </row>
    <row r="1717" spans="1:18" ht="60">
      <c r="A1717" s="150">
        <v>97</v>
      </c>
      <c r="B1717" s="147" t="s">
        <v>3113</v>
      </c>
      <c r="C1717" s="151" t="s">
        <v>3114</v>
      </c>
      <c r="D1717" s="152">
        <v>5492.76</v>
      </c>
      <c r="E1717" s="152">
        <v>1073.5999999999999</v>
      </c>
      <c r="F1717" s="152">
        <v>3053.52</v>
      </c>
      <c r="G1717" s="152">
        <v>1365.64</v>
      </c>
      <c r="H1717" s="153">
        <v>33792.21</v>
      </c>
      <c r="I1717" s="153">
        <v>12346.4</v>
      </c>
      <c r="J1717" s="153">
        <v>15034.78</v>
      </c>
      <c r="K1717" s="153">
        <v>6411.03</v>
      </c>
      <c r="L1717" s="43">
        <v>6.1521366307648613</v>
      </c>
      <c r="M1717" s="43">
        <v>11.5</v>
      </c>
      <c r="N1717" s="43">
        <v>4.9237535696507644</v>
      </c>
      <c r="O1717" s="43">
        <v>4.6945241791394503</v>
      </c>
      <c r="P1717" s="154"/>
      <c r="Q1717" s="154"/>
      <c r="R1717" s="154">
        <v>7</v>
      </c>
    </row>
    <row r="1718" spans="1:18" ht="60">
      <c r="A1718" s="150">
        <v>98</v>
      </c>
      <c r="B1718" s="147" t="s">
        <v>3115</v>
      </c>
      <c r="C1718" s="151" t="s">
        <v>3116</v>
      </c>
      <c r="D1718" s="152">
        <v>3528.29</v>
      </c>
      <c r="E1718" s="152">
        <v>983.54</v>
      </c>
      <c r="F1718" s="152">
        <v>2088.48</v>
      </c>
      <c r="G1718" s="152">
        <v>456.27</v>
      </c>
      <c r="H1718" s="153">
        <v>23835.81</v>
      </c>
      <c r="I1718" s="153">
        <v>11311.18</v>
      </c>
      <c r="J1718" s="153">
        <v>10006.620000000001</v>
      </c>
      <c r="K1718" s="153">
        <v>2518.0100000000002</v>
      </c>
      <c r="L1718" s="43">
        <v>6.7556266633411655</v>
      </c>
      <c r="M1718" s="43">
        <v>11.500477865668911</v>
      </c>
      <c r="N1718" s="43">
        <v>4.7913410710181568</v>
      </c>
      <c r="O1718" s="43">
        <v>5.5186841124772616</v>
      </c>
      <c r="P1718" s="154"/>
      <c r="Q1718" s="154"/>
      <c r="R1718" s="154">
        <v>7</v>
      </c>
    </row>
    <row r="1719" spans="1:18" ht="60">
      <c r="A1719" s="150">
        <v>99</v>
      </c>
      <c r="B1719" s="147" t="s">
        <v>3117</v>
      </c>
      <c r="C1719" s="151" t="s">
        <v>3118</v>
      </c>
      <c r="D1719" s="152">
        <v>3918.53</v>
      </c>
      <c r="E1719" s="152">
        <v>1069.6600000000001</v>
      </c>
      <c r="F1719" s="152">
        <v>1702.11</v>
      </c>
      <c r="G1719" s="152">
        <v>1146.76</v>
      </c>
      <c r="H1719" s="153">
        <v>25386.93</v>
      </c>
      <c r="I1719" s="153">
        <v>12301.11</v>
      </c>
      <c r="J1719" s="153">
        <v>8050.85</v>
      </c>
      <c r="K1719" s="153">
        <v>5034.97</v>
      </c>
      <c r="L1719" s="43">
        <v>6.478687160746504</v>
      </c>
      <c r="M1719" s="43">
        <v>11.500018697530056</v>
      </c>
      <c r="N1719" s="43">
        <v>4.7299234479557732</v>
      </c>
      <c r="O1719" s="43">
        <v>4.3906048344902162</v>
      </c>
      <c r="P1719" s="154"/>
      <c r="Q1719" s="154"/>
      <c r="R1719" s="154">
        <v>7</v>
      </c>
    </row>
    <row r="1720" spans="1:18" ht="60">
      <c r="A1720" s="150">
        <v>100</v>
      </c>
      <c r="B1720" s="147" t="s">
        <v>3119</v>
      </c>
      <c r="C1720" s="151" t="s">
        <v>3120</v>
      </c>
      <c r="D1720" s="152">
        <v>10762.97</v>
      </c>
      <c r="E1720" s="152">
        <v>2796.6</v>
      </c>
      <c r="F1720" s="152">
        <v>4619.67</v>
      </c>
      <c r="G1720" s="152">
        <v>3346.7</v>
      </c>
      <c r="H1720" s="153">
        <v>68500.800000000003</v>
      </c>
      <c r="I1720" s="153">
        <v>32162.080000000002</v>
      </c>
      <c r="J1720" s="153">
        <v>21690.95</v>
      </c>
      <c r="K1720" s="153">
        <v>14647.77</v>
      </c>
      <c r="L1720" s="43">
        <v>6.3644886123439912</v>
      </c>
      <c r="M1720" s="43">
        <v>11.500421940928272</v>
      </c>
      <c r="N1720" s="43">
        <v>4.695346204382564</v>
      </c>
      <c r="O1720" s="43">
        <v>4.3767801117518754</v>
      </c>
      <c r="P1720" s="154"/>
      <c r="Q1720" s="154"/>
      <c r="R1720" s="154">
        <v>7</v>
      </c>
    </row>
    <row r="1721" spans="1:18" ht="72">
      <c r="A1721" s="150">
        <v>101</v>
      </c>
      <c r="B1721" s="147" t="s">
        <v>3121</v>
      </c>
      <c r="C1721" s="151" t="s">
        <v>3122</v>
      </c>
      <c r="D1721" s="152">
        <v>3160.1</v>
      </c>
      <c r="E1721" s="152">
        <v>688.49</v>
      </c>
      <c r="F1721" s="152">
        <v>1369.21</v>
      </c>
      <c r="G1721" s="152">
        <v>1102.4000000000001</v>
      </c>
      <c r="H1721" s="153">
        <v>19447.54</v>
      </c>
      <c r="I1721" s="153">
        <v>7917.87</v>
      </c>
      <c r="J1721" s="153">
        <v>6624.74</v>
      </c>
      <c r="K1721" s="153">
        <v>4904.93</v>
      </c>
      <c r="L1721" s="43">
        <v>6.1540900604411259</v>
      </c>
      <c r="M1721" s="43">
        <v>11.500341326671411</v>
      </c>
      <c r="N1721" s="43">
        <v>4.8383666493817596</v>
      </c>
      <c r="O1721" s="43">
        <v>4.4493196661828733</v>
      </c>
      <c r="P1721" s="154"/>
      <c r="Q1721" s="154"/>
      <c r="R1721" s="154">
        <v>7</v>
      </c>
    </row>
    <row r="1722" spans="1:18" ht="72">
      <c r="A1722" s="150">
        <v>102</v>
      </c>
      <c r="B1722" s="147" t="s">
        <v>3123</v>
      </c>
      <c r="C1722" s="151" t="s">
        <v>3124</v>
      </c>
      <c r="D1722" s="152">
        <v>7521.17</v>
      </c>
      <c r="E1722" s="152">
        <v>2050.0500000000002</v>
      </c>
      <c r="F1722" s="152">
        <v>3750.14</v>
      </c>
      <c r="G1722" s="152">
        <v>1720.98</v>
      </c>
      <c r="H1722" s="153">
        <v>49830.01</v>
      </c>
      <c r="I1722" s="153">
        <v>23576.44</v>
      </c>
      <c r="J1722" s="153">
        <v>17896.02</v>
      </c>
      <c r="K1722" s="153">
        <v>8357.5499999999993</v>
      </c>
      <c r="L1722" s="43">
        <v>6.6253003189663309</v>
      </c>
      <c r="M1722" s="43">
        <v>11.500421940928268</v>
      </c>
      <c r="N1722" s="43">
        <v>4.7720938418299053</v>
      </c>
      <c r="O1722" s="43">
        <v>4.8562737510023357</v>
      </c>
      <c r="P1722" s="154"/>
      <c r="Q1722" s="154"/>
      <c r="R1722" s="154">
        <v>7</v>
      </c>
    </row>
    <row r="1723" spans="1:18" ht="72">
      <c r="A1723" s="150">
        <v>103</v>
      </c>
      <c r="B1723" s="147" t="s">
        <v>3125</v>
      </c>
      <c r="C1723" s="151" t="s">
        <v>3126</v>
      </c>
      <c r="D1723" s="152">
        <v>5248.28</v>
      </c>
      <c r="E1723" s="152">
        <v>1365.39</v>
      </c>
      <c r="F1723" s="152">
        <v>2520.3000000000002</v>
      </c>
      <c r="G1723" s="152">
        <v>1362.59</v>
      </c>
      <c r="H1723" s="153">
        <v>34093.96</v>
      </c>
      <c r="I1723" s="153">
        <v>15702.57</v>
      </c>
      <c r="J1723" s="153">
        <v>12192.92</v>
      </c>
      <c r="K1723" s="153">
        <v>6198.47</v>
      </c>
      <c r="L1723" s="43">
        <v>6.4962159031149254</v>
      </c>
      <c r="M1723" s="43">
        <v>11.500428449014565</v>
      </c>
      <c r="N1723" s="43">
        <v>4.8378843788437882</v>
      </c>
      <c r="O1723" s="43">
        <v>4.5490352930815581</v>
      </c>
      <c r="P1723" s="154"/>
      <c r="Q1723" s="154"/>
      <c r="R1723" s="154">
        <v>7</v>
      </c>
    </row>
    <row r="1724" spans="1:18" ht="72">
      <c r="A1724" s="150">
        <v>104</v>
      </c>
      <c r="B1724" s="147" t="s">
        <v>3127</v>
      </c>
      <c r="C1724" s="151" t="s">
        <v>3128</v>
      </c>
      <c r="D1724" s="152">
        <v>3160.57</v>
      </c>
      <c r="E1724" s="152">
        <v>653.04</v>
      </c>
      <c r="F1724" s="152">
        <v>2030.3</v>
      </c>
      <c r="G1724" s="152">
        <v>477.23</v>
      </c>
      <c r="H1724" s="153">
        <v>19856.18</v>
      </c>
      <c r="I1724" s="153">
        <v>7510.01</v>
      </c>
      <c r="J1724" s="153">
        <v>10066.030000000001</v>
      </c>
      <c r="K1724" s="153">
        <v>2280.14</v>
      </c>
      <c r="L1724" s="43">
        <v>6.2824680358289804</v>
      </c>
      <c r="M1724" s="43">
        <v>11.500076564988364</v>
      </c>
      <c r="N1724" s="43">
        <v>4.9579027729892138</v>
      </c>
      <c r="O1724" s="43">
        <v>4.7778639230559685</v>
      </c>
      <c r="P1724" s="154"/>
      <c r="Q1724" s="154"/>
      <c r="R1724" s="154">
        <v>7</v>
      </c>
    </row>
    <row r="1725" spans="1:18" ht="72">
      <c r="A1725" s="150">
        <v>105</v>
      </c>
      <c r="B1725" s="147" t="s">
        <v>3129</v>
      </c>
      <c r="C1725" s="151" t="s">
        <v>3130</v>
      </c>
      <c r="D1725" s="152">
        <v>7044.18</v>
      </c>
      <c r="E1725" s="152">
        <v>805.34</v>
      </c>
      <c r="F1725" s="152">
        <v>5688.38</v>
      </c>
      <c r="G1725" s="152">
        <v>550.46</v>
      </c>
      <c r="H1725" s="153">
        <v>38066.53</v>
      </c>
      <c r="I1725" s="153">
        <v>9261.41</v>
      </c>
      <c r="J1725" s="153">
        <v>26022.35</v>
      </c>
      <c r="K1725" s="153">
        <v>2782.77</v>
      </c>
      <c r="L1725" s="43">
        <v>5.4039689502539678</v>
      </c>
      <c r="M1725" s="43">
        <v>11.5</v>
      </c>
      <c r="N1725" s="43">
        <v>4.5746504277140412</v>
      </c>
      <c r="O1725" s="43">
        <v>5.0553537041746903</v>
      </c>
      <c r="P1725" s="154"/>
      <c r="Q1725" s="154"/>
      <c r="R1725" s="154">
        <v>7</v>
      </c>
    </row>
    <row r="1726" spans="1:18" ht="72">
      <c r="A1726" s="150">
        <v>106</v>
      </c>
      <c r="B1726" s="147" t="s">
        <v>3131</v>
      </c>
      <c r="C1726" s="151" t="s">
        <v>3132</v>
      </c>
      <c r="D1726" s="152">
        <v>8121.25</v>
      </c>
      <c r="E1726" s="152">
        <v>2720.6</v>
      </c>
      <c r="F1726" s="152">
        <v>3459.04</v>
      </c>
      <c r="G1726" s="152">
        <v>1941.61</v>
      </c>
      <c r="H1726" s="153">
        <v>56610.79</v>
      </c>
      <c r="I1726" s="153">
        <v>31286.9</v>
      </c>
      <c r="J1726" s="153">
        <v>16693.509999999998</v>
      </c>
      <c r="K1726" s="153">
        <v>8630.3799999999992</v>
      </c>
      <c r="L1726" s="43">
        <v>6.9706990918885641</v>
      </c>
      <c r="M1726" s="43">
        <v>11.500000000000002</v>
      </c>
      <c r="N1726" s="43">
        <v>4.8260528932883107</v>
      </c>
      <c r="O1726" s="43">
        <v>4.4449606254603138</v>
      </c>
      <c r="P1726" s="154"/>
      <c r="Q1726" s="154"/>
      <c r="R1726" s="154">
        <v>7</v>
      </c>
    </row>
    <row r="1727" spans="1:18" ht="60">
      <c r="A1727" s="150">
        <v>107</v>
      </c>
      <c r="B1727" s="147" t="s">
        <v>3133</v>
      </c>
      <c r="C1727" s="151" t="s">
        <v>3134</v>
      </c>
      <c r="D1727" s="152">
        <v>18912.88</v>
      </c>
      <c r="E1727" s="152">
        <v>3669.28</v>
      </c>
      <c r="F1727" s="152">
        <v>8397.7800000000007</v>
      </c>
      <c r="G1727" s="152">
        <v>6845.82</v>
      </c>
      <c r="H1727" s="153">
        <v>110352.1</v>
      </c>
      <c r="I1727" s="153">
        <v>42196.72</v>
      </c>
      <c r="J1727" s="153">
        <v>40287.24</v>
      </c>
      <c r="K1727" s="153">
        <v>27868.14</v>
      </c>
      <c r="L1727" s="43">
        <v>5.8347591694125907</v>
      </c>
      <c r="M1727" s="43">
        <v>11.5</v>
      </c>
      <c r="N1727" s="43">
        <v>4.7973678757957456</v>
      </c>
      <c r="O1727" s="43">
        <v>4.0708257009386752</v>
      </c>
      <c r="P1727" s="154"/>
      <c r="Q1727" s="154"/>
      <c r="R1727" s="154">
        <v>7</v>
      </c>
    </row>
    <row r="1728" spans="1:18" ht="60">
      <c r="A1728" s="150">
        <v>108</v>
      </c>
      <c r="B1728" s="147" t="s">
        <v>3135</v>
      </c>
      <c r="C1728" s="151" t="s">
        <v>3136</v>
      </c>
      <c r="D1728" s="152">
        <v>5968.9</v>
      </c>
      <c r="E1728" s="152">
        <v>795.2</v>
      </c>
      <c r="F1728" s="152">
        <v>2772.96</v>
      </c>
      <c r="G1728" s="152">
        <v>2400.7399999999998</v>
      </c>
      <c r="H1728" s="153">
        <v>33325.54</v>
      </c>
      <c r="I1728" s="153">
        <v>9144.7999999999993</v>
      </c>
      <c r="J1728" s="153">
        <v>13696.49</v>
      </c>
      <c r="K1728" s="153">
        <v>10484.25</v>
      </c>
      <c r="L1728" s="43">
        <v>5.5831962338119254</v>
      </c>
      <c r="M1728" s="43">
        <v>11.499999999999998</v>
      </c>
      <c r="N1728" s="43">
        <v>4.9393031273440657</v>
      </c>
      <c r="O1728" s="43">
        <v>4.3670909802810804</v>
      </c>
      <c r="P1728" s="154"/>
      <c r="Q1728" s="154"/>
      <c r="R1728" s="154">
        <v>7</v>
      </c>
    </row>
    <row r="1729" spans="1:18" ht="12.75" customHeight="1">
      <c r="A1729" s="628" t="s">
        <v>3137</v>
      </c>
      <c r="B1729" s="629"/>
      <c r="C1729" s="629"/>
      <c r="D1729" s="629"/>
      <c r="E1729" s="629"/>
      <c r="F1729" s="629"/>
      <c r="G1729" s="629"/>
      <c r="H1729" s="629"/>
      <c r="I1729" s="629"/>
      <c r="J1729" s="629"/>
      <c r="K1729" s="629"/>
      <c r="L1729" s="629"/>
      <c r="M1729" s="629"/>
      <c r="N1729" s="629"/>
      <c r="O1729" s="629"/>
      <c r="P1729" s="629"/>
      <c r="Q1729" s="629"/>
      <c r="R1729" s="629"/>
    </row>
    <row r="1730" spans="1:18" ht="36">
      <c r="A1730" s="150">
        <v>109</v>
      </c>
      <c r="B1730" s="147" t="s">
        <v>3138</v>
      </c>
      <c r="C1730" s="151" t="s">
        <v>3139</v>
      </c>
      <c r="D1730" s="152">
        <v>1438.71</v>
      </c>
      <c r="E1730" s="152">
        <v>337.23</v>
      </c>
      <c r="F1730" s="152">
        <v>938.41</v>
      </c>
      <c r="G1730" s="152">
        <v>163.07</v>
      </c>
      <c r="H1730" s="153">
        <v>9804.0300000000007</v>
      </c>
      <c r="I1730" s="153">
        <v>3878.21</v>
      </c>
      <c r="J1730" s="153">
        <v>4905.6499999999996</v>
      </c>
      <c r="K1730" s="153">
        <v>1020.17</v>
      </c>
      <c r="L1730" s="43">
        <v>6.8144587859957886</v>
      </c>
      <c r="M1730" s="43">
        <v>11.500192746790024</v>
      </c>
      <c r="N1730" s="43">
        <v>5.2276190577679262</v>
      </c>
      <c r="O1730" s="43">
        <v>6.2560250199300915</v>
      </c>
      <c r="P1730" s="154"/>
      <c r="Q1730" s="154"/>
      <c r="R1730" s="154">
        <v>8</v>
      </c>
    </row>
    <row r="1731" spans="1:18" ht="24">
      <c r="A1731" s="150">
        <v>110</v>
      </c>
      <c r="B1731" s="147" t="s">
        <v>3140</v>
      </c>
      <c r="C1731" s="151" t="s">
        <v>3141</v>
      </c>
      <c r="D1731" s="152">
        <v>2301.15</v>
      </c>
      <c r="E1731" s="152">
        <v>169.26</v>
      </c>
      <c r="F1731" s="152">
        <v>422.91</v>
      </c>
      <c r="G1731" s="152">
        <v>1708.98</v>
      </c>
      <c r="H1731" s="153">
        <v>13303.78</v>
      </c>
      <c r="I1731" s="153">
        <v>1946.54</v>
      </c>
      <c r="J1731" s="153">
        <v>2202.2199999999998</v>
      </c>
      <c r="K1731" s="153">
        <v>9155.02</v>
      </c>
      <c r="L1731" s="43">
        <v>5.7813614931664601</v>
      </c>
      <c r="M1731" s="43">
        <v>11.500295403521211</v>
      </c>
      <c r="N1731" s="43">
        <v>5.2073017899789544</v>
      </c>
      <c r="O1731" s="43">
        <v>5.3570082739411813</v>
      </c>
      <c r="P1731" s="154"/>
      <c r="Q1731" s="154"/>
      <c r="R1731" s="154">
        <v>8</v>
      </c>
    </row>
    <row r="1732" spans="1:18" ht="72">
      <c r="A1732" s="150">
        <v>111</v>
      </c>
      <c r="B1732" s="147" t="s">
        <v>3142</v>
      </c>
      <c r="C1732" s="151" t="s">
        <v>3143</v>
      </c>
      <c r="D1732" s="152">
        <v>3295.2</v>
      </c>
      <c r="E1732" s="152">
        <v>925.45</v>
      </c>
      <c r="F1732" s="152">
        <v>1247.8800000000001</v>
      </c>
      <c r="G1732" s="152">
        <v>1121.8699999999999</v>
      </c>
      <c r="H1732" s="153">
        <v>23412.639999999999</v>
      </c>
      <c r="I1732" s="153">
        <v>10642.7</v>
      </c>
      <c r="J1732" s="153">
        <v>6690.95</v>
      </c>
      <c r="K1732" s="153">
        <v>6078.99</v>
      </c>
      <c r="L1732" s="43">
        <v>7.1050740470988103</v>
      </c>
      <c r="M1732" s="43">
        <v>11.500027013885138</v>
      </c>
      <c r="N1732" s="43">
        <v>5.3618537038817831</v>
      </c>
      <c r="O1732" s="43">
        <v>5.4186224785402946</v>
      </c>
      <c r="P1732" s="154"/>
      <c r="Q1732" s="154"/>
      <c r="R1732" s="154">
        <v>8</v>
      </c>
    </row>
    <row r="1733" spans="1:18" ht="60">
      <c r="A1733" s="150">
        <v>112</v>
      </c>
      <c r="B1733" s="147" t="s">
        <v>3144</v>
      </c>
      <c r="C1733" s="151" t="s">
        <v>3145</v>
      </c>
      <c r="D1733" s="152">
        <v>1101.8399999999999</v>
      </c>
      <c r="E1733" s="152">
        <v>372.09</v>
      </c>
      <c r="F1733" s="152">
        <v>474.64</v>
      </c>
      <c r="G1733" s="152">
        <v>255.11</v>
      </c>
      <c r="H1733" s="153">
        <v>8279.81</v>
      </c>
      <c r="I1733" s="153">
        <v>4279.1899999999996</v>
      </c>
      <c r="J1733" s="153">
        <v>2522.17</v>
      </c>
      <c r="K1733" s="153">
        <v>1478.45</v>
      </c>
      <c r="L1733" s="43">
        <v>7.5145302403252741</v>
      </c>
      <c r="M1733" s="43">
        <v>11.500416565884597</v>
      </c>
      <c r="N1733" s="43">
        <v>5.3138589246586889</v>
      </c>
      <c r="O1733" s="43">
        <v>5.7953431852926185</v>
      </c>
      <c r="P1733" s="154"/>
      <c r="Q1733" s="154"/>
      <c r="R1733" s="154">
        <v>8</v>
      </c>
    </row>
    <row r="1734" spans="1:18" ht="60">
      <c r="A1734" s="150">
        <v>113</v>
      </c>
      <c r="B1734" s="147" t="s">
        <v>3146</v>
      </c>
      <c r="C1734" s="151" t="s">
        <v>3147</v>
      </c>
      <c r="D1734" s="152">
        <v>2534.2399999999998</v>
      </c>
      <c r="E1734" s="152">
        <v>763.14</v>
      </c>
      <c r="F1734" s="152">
        <v>1073.94</v>
      </c>
      <c r="G1734" s="152">
        <v>697.16</v>
      </c>
      <c r="H1734" s="153">
        <v>19098.8</v>
      </c>
      <c r="I1734" s="153">
        <v>8776.43</v>
      </c>
      <c r="J1734" s="153">
        <v>5821.64</v>
      </c>
      <c r="K1734" s="153">
        <v>4500.7299999999996</v>
      </c>
      <c r="L1734" s="43">
        <v>7.5363027968937439</v>
      </c>
      <c r="M1734" s="43">
        <v>11.500419320177164</v>
      </c>
      <c r="N1734" s="43">
        <v>5.4208242546138514</v>
      </c>
      <c r="O1734" s="43">
        <v>6.4558064145963616</v>
      </c>
      <c r="P1734" s="154"/>
      <c r="Q1734" s="154"/>
      <c r="R1734" s="154">
        <v>8</v>
      </c>
    </row>
    <row r="1735" spans="1:18" ht="60">
      <c r="A1735" s="150">
        <v>114</v>
      </c>
      <c r="B1735" s="147" t="s">
        <v>3148</v>
      </c>
      <c r="C1735" s="151" t="s">
        <v>3149</v>
      </c>
      <c r="D1735" s="152">
        <v>3568.11</v>
      </c>
      <c r="E1735" s="152">
        <v>1263.0999999999999</v>
      </c>
      <c r="F1735" s="152">
        <v>1552.96</v>
      </c>
      <c r="G1735" s="152">
        <v>752.05</v>
      </c>
      <c r="H1735" s="153">
        <v>27888.61</v>
      </c>
      <c r="I1735" s="153">
        <v>14525.6</v>
      </c>
      <c r="J1735" s="153">
        <v>8508.15</v>
      </c>
      <c r="K1735" s="153">
        <v>4854.8599999999997</v>
      </c>
      <c r="L1735" s="43">
        <v>7.8160734954920112</v>
      </c>
      <c r="M1735" s="43">
        <v>11.499960414852348</v>
      </c>
      <c r="N1735" s="43">
        <v>5.4786665464661031</v>
      </c>
      <c r="O1735" s="43">
        <v>6.4555016288810583</v>
      </c>
      <c r="P1735" s="154"/>
      <c r="Q1735" s="154"/>
      <c r="R1735" s="154">
        <v>8</v>
      </c>
    </row>
    <row r="1736" spans="1:18" ht="60">
      <c r="A1736" s="150">
        <v>115</v>
      </c>
      <c r="B1736" s="147" t="s">
        <v>3150</v>
      </c>
      <c r="C1736" s="151" t="s">
        <v>3151</v>
      </c>
      <c r="D1736" s="152">
        <v>3500.06</v>
      </c>
      <c r="E1736" s="152">
        <v>683.43</v>
      </c>
      <c r="F1736" s="152">
        <v>1446.72</v>
      </c>
      <c r="G1736" s="152">
        <v>1369.91</v>
      </c>
      <c r="H1736" s="153">
        <v>21639.11</v>
      </c>
      <c r="I1736" s="153">
        <v>7859.77</v>
      </c>
      <c r="J1736" s="153">
        <v>7328.96</v>
      </c>
      <c r="K1736" s="153">
        <v>6450.38</v>
      </c>
      <c r="L1736" s="43">
        <v>6.1824968714822033</v>
      </c>
      <c r="M1736" s="43">
        <v>11.500475542484235</v>
      </c>
      <c r="N1736" s="43">
        <v>5.0659146206591465</v>
      </c>
      <c r="O1736" s="43">
        <v>4.7086158944748195</v>
      </c>
      <c r="P1736" s="154"/>
      <c r="Q1736" s="154"/>
      <c r="R1736" s="154">
        <v>8</v>
      </c>
    </row>
    <row r="1737" spans="1:18" ht="60">
      <c r="A1737" s="150">
        <v>116</v>
      </c>
      <c r="B1737" s="147" t="s">
        <v>3152</v>
      </c>
      <c r="C1737" s="151" t="s">
        <v>3153</v>
      </c>
      <c r="D1737" s="152">
        <v>2365.48</v>
      </c>
      <c r="E1737" s="152">
        <v>684.06</v>
      </c>
      <c r="F1737" s="152">
        <v>1075.1300000000001</v>
      </c>
      <c r="G1737" s="152">
        <v>606.29</v>
      </c>
      <c r="H1737" s="153">
        <v>16099.75</v>
      </c>
      <c r="I1737" s="153">
        <v>7866.98</v>
      </c>
      <c r="J1737" s="153">
        <v>5433.36</v>
      </c>
      <c r="K1737" s="153">
        <v>2799.41</v>
      </c>
      <c r="L1737" s="43">
        <v>6.8061239156534823</v>
      </c>
      <c r="M1737" s="43">
        <v>11.50042393942052</v>
      </c>
      <c r="N1737" s="43">
        <v>5.0536772297303569</v>
      </c>
      <c r="O1737" s="43">
        <v>4.617278859951508</v>
      </c>
      <c r="P1737" s="154"/>
      <c r="Q1737" s="154"/>
      <c r="R1737" s="154">
        <v>8</v>
      </c>
    </row>
    <row r="1738" spans="1:18" ht="60">
      <c r="A1738" s="150">
        <v>117</v>
      </c>
      <c r="B1738" s="147" t="s">
        <v>3154</v>
      </c>
      <c r="C1738" s="151" t="s">
        <v>3155</v>
      </c>
      <c r="D1738" s="152">
        <v>2366.5100000000002</v>
      </c>
      <c r="E1738" s="152">
        <v>565.25</v>
      </c>
      <c r="F1738" s="152">
        <v>1184.69</v>
      </c>
      <c r="G1738" s="152">
        <v>616.57000000000005</v>
      </c>
      <c r="H1738" s="153">
        <v>15410.92</v>
      </c>
      <c r="I1738" s="153">
        <v>6500.56</v>
      </c>
      <c r="J1738" s="153">
        <v>5953.67</v>
      </c>
      <c r="K1738" s="153">
        <v>2956.69</v>
      </c>
      <c r="L1738" s="43">
        <v>6.512087419871456</v>
      </c>
      <c r="M1738" s="43">
        <v>11.500327288810261</v>
      </c>
      <c r="N1738" s="43">
        <v>5.02550878288835</v>
      </c>
      <c r="O1738" s="43">
        <v>4.7953841412978244</v>
      </c>
      <c r="P1738" s="154"/>
      <c r="Q1738" s="154"/>
      <c r="R1738" s="154">
        <v>8</v>
      </c>
    </row>
    <row r="1739" spans="1:18" ht="60">
      <c r="A1739" s="150">
        <v>118</v>
      </c>
      <c r="B1739" s="147" t="s">
        <v>3156</v>
      </c>
      <c r="C1739" s="151" t="s">
        <v>3157</v>
      </c>
      <c r="D1739" s="152">
        <v>1408.5</v>
      </c>
      <c r="E1739" s="152">
        <v>346.6</v>
      </c>
      <c r="F1739" s="152">
        <v>750.97</v>
      </c>
      <c r="G1739" s="152">
        <v>310.93</v>
      </c>
      <c r="H1739" s="153">
        <v>9499.07</v>
      </c>
      <c r="I1739" s="153">
        <v>3986.04</v>
      </c>
      <c r="J1739" s="153">
        <v>3578.68</v>
      </c>
      <c r="K1739" s="153">
        <v>1934.35</v>
      </c>
      <c r="L1739" s="43">
        <v>6.7441036563720269</v>
      </c>
      <c r="M1739" s="43">
        <v>11.500403923831506</v>
      </c>
      <c r="N1739" s="43">
        <v>4.7654100696432611</v>
      </c>
      <c r="O1739" s="43">
        <v>6.2211751841250438</v>
      </c>
      <c r="P1739" s="154"/>
      <c r="Q1739" s="154"/>
      <c r="R1739" s="154">
        <v>8</v>
      </c>
    </row>
    <row r="1740" spans="1:18" ht="60">
      <c r="A1740" s="150">
        <v>119</v>
      </c>
      <c r="B1740" s="147" t="s">
        <v>3158</v>
      </c>
      <c r="C1740" s="151" t="s">
        <v>3159</v>
      </c>
      <c r="D1740" s="152">
        <v>4635.03</v>
      </c>
      <c r="E1740" s="152">
        <v>1183.97</v>
      </c>
      <c r="F1740" s="152">
        <v>1704.7</v>
      </c>
      <c r="G1740" s="152">
        <v>1746.36</v>
      </c>
      <c r="H1740" s="153">
        <v>29556.59</v>
      </c>
      <c r="I1740" s="153">
        <v>13615.66</v>
      </c>
      <c r="J1740" s="153">
        <v>8457.98</v>
      </c>
      <c r="K1740" s="153">
        <v>7482.95</v>
      </c>
      <c r="L1740" s="43">
        <v>6.376785047777469</v>
      </c>
      <c r="M1740" s="43">
        <v>11.500004223079976</v>
      </c>
      <c r="N1740" s="43">
        <v>4.9615650847656472</v>
      </c>
      <c r="O1740" s="43">
        <v>4.2848839872649398</v>
      </c>
      <c r="P1740" s="154"/>
      <c r="Q1740" s="154"/>
      <c r="R1740" s="154">
        <v>8</v>
      </c>
    </row>
    <row r="1741" spans="1:18" ht="60">
      <c r="A1741" s="150">
        <v>120</v>
      </c>
      <c r="B1741" s="147" t="s">
        <v>3160</v>
      </c>
      <c r="C1741" s="151" t="s">
        <v>3161</v>
      </c>
      <c r="D1741" s="152">
        <v>8130.07</v>
      </c>
      <c r="E1741" s="152">
        <v>2287.0500000000002</v>
      </c>
      <c r="F1741" s="152">
        <v>4132.63</v>
      </c>
      <c r="G1741" s="152">
        <v>1710.39</v>
      </c>
      <c r="H1741" s="153">
        <v>53219.07</v>
      </c>
      <c r="I1741" s="153">
        <v>26302.04</v>
      </c>
      <c r="J1741" s="153">
        <v>19462.36</v>
      </c>
      <c r="K1741" s="153">
        <v>7454.67</v>
      </c>
      <c r="L1741" s="43">
        <v>6.5459547088770451</v>
      </c>
      <c r="M1741" s="43">
        <v>11.50042194092827</v>
      </c>
      <c r="N1741" s="43">
        <v>4.709436847721669</v>
      </c>
      <c r="O1741" s="43">
        <v>4.358462105133917</v>
      </c>
      <c r="P1741" s="154"/>
      <c r="Q1741" s="154"/>
      <c r="R1741" s="154">
        <v>8</v>
      </c>
    </row>
    <row r="1742" spans="1:18" ht="60">
      <c r="A1742" s="150">
        <v>121</v>
      </c>
      <c r="B1742" s="147" t="s">
        <v>3162</v>
      </c>
      <c r="C1742" s="151" t="s">
        <v>3163</v>
      </c>
      <c r="D1742" s="152">
        <v>3847.73</v>
      </c>
      <c r="E1742" s="152">
        <v>1203.5999999999999</v>
      </c>
      <c r="F1742" s="152">
        <v>1955.31</v>
      </c>
      <c r="G1742" s="152">
        <v>688.82</v>
      </c>
      <c r="H1742" s="153">
        <v>27049.64</v>
      </c>
      <c r="I1742" s="153">
        <v>13841.9</v>
      </c>
      <c r="J1742" s="153">
        <v>9893.92</v>
      </c>
      <c r="K1742" s="153">
        <v>3313.82</v>
      </c>
      <c r="L1742" s="43">
        <v>7.0300254955519224</v>
      </c>
      <c r="M1742" s="43">
        <v>11.500415420405451</v>
      </c>
      <c r="N1742" s="43">
        <v>5.0600262873917696</v>
      </c>
      <c r="O1742" s="43">
        <v>4.8108649574634885</v>
      </c>
      <c r="P1742" s="154"/>
      <c r="Q1742" s="154"/>
      <c r="R1742" s="154">
        <v>8</v>
      </c>
    </row>
    <row r="1743" spans="1:18" ht="60">
      <c r="A1743" s="150">
        <v>122</v>
      </c>
      <c r="B1743" s="147" t="s">
        <v>3164</v>
      </c>
      <c r="C1743" s="151" t="s">
        <v>3165</v>
      </c>
      <c r="D1743" s="152">
        <v>5403.06</v>
      </c>
      <c r="E1743" s="152">
        <v>1366.4</v>
      </c>
      <c r="F1743" s="152">
        <v>3270.75</v>
      </c>
      <c r="G1743" s="152">
        <v>765.91</v>
      </c>
      <c r="H1743" s="153">
        <v>35022.75</v>
      </c>
      <c r="I1743" s="153">
        <v>15713.6</v>
      </c>
      <c r="J1743" s="153">
        <v>15695.84</v>
      </c>
      <c r="K1743" s="153">
        <v>3613.31</v>
      </c>
      <c r="L1743" s="43">
        <v>6.4820212990416533</v>
      </c>
      <c r="M1743" s="43">
        <v>11.5</v>
      </c>
      <c r="N1743" s="43">
        <v>4.7988504165711232</v>
      </c>
      <c r="O1743" s="43">
        <v>4.7176691778407385</v>
      </c>
      <c r="P1743" s="154"/>
      <c r="Q1743" s="154"/>
      <c r="R1743" s="154">
        <v>8</v>
      </c>
    </row>
    <row r="1744" spans="1:18" ht="60">
      <c r="A1744" s="150">
        <v>123</v>
      </c>
      <c r="B1744" s="147" t="s">
        <v>3166</v>
      </c>
      <c r="C1744" s="151" t="s">
        <v>3167</v>
      </c>
      <c r="D1744" s="152">
        <v>11407.6</v>
      </c>
      <c r="E1744" s="152">
        <v>1930.72</v>
      </c>
      <c r="F1744" s="152">
        <v>7741.21</v>
      </c>
      <c r="G1744" s="152">
        <v>1735.67</v>
      </c>
      <c r="H1744" s="153">
        <v>65585.960000000006</v>
      </c>
      <c r="I1744" s="153">
        <v>22204.16</v>
      </c>
      <c r="J1744" s="153">
        <v>36039.69</v>
      </c>
      <c r="K1744" s="153">
        <v>7342.11</v>
      </c>
      <c r="L1744" s="43">
        <v>5.7493215049616051</v>
      </c>
      <c r="M1744" s="43">
        <v>11.500455788514129</v>
      </c>
      <c r="N1744" s="43">
        <v>4.6555628900391541</v>
      </c>
      <c r="O1744" s="43">
        <v>4.2301301514688845</v>
      </c>
      <c r="P1744" s="154"/>
      <c r="Q1744" s="154"/>
      <c r="R1744" s="154">
        <v>8</v>
      </c>
    </row>
    <row r="1745" spans="1:18" ht="12.75" customHeight="1">
      <c r="A1745" s="628" t="s">
        <v>3168</v>
      </c>
      <c r="B1745" s="629"/>
      <c r="C1745" s="629"/>
      <c r="D1745" s="629"/>
      <c r="E1745" s="629"/>
      <c r="F1745" s="629"/>
      <c r="G1745" s="629"/>
      <c r="H1745" s="629"/>
      <c r="I1745" s="629"/>
      <c r="J1745" s="629"/>
      <c r="K1745" s="629"/>
      <c r="L1745" s="629"/>
      <c r="M1745" s="629"/>
      <c r="N1745" s="629"/>
      <c r="O1745" s="629"/>
      <c r="P1745" s="629"/>
      <c r="Q1745" s="629"/>
      <c r="R1745" s="629"/>
    </row>
    <row r="1746" spans="1:18" ht="48">
      <c r="A1746" s="150">
        <v>124</v>
      </c>
      <c r="B1746" s="147" t="s">
        <v>3169</v>
      </c>
      <c r="C1746" s="151" t="s">
        <v>3170</v>
      </c>
      <c r="D1746" s="152">
        <v>341.42</v>
      </c>
      <c r="E1746" s="152">
        <v>174.27</v>
      </c>
      <c r="F1746" s="152">
        <v>136.22999999999999</v>
      </c>
      <c r="G1746" s="152">
        <v>30.92</v>
      </c>
      <c r="H1746" s="153">
        <v>2994.05</v>
      </c>
      <c r="I1746" s="153">
        <v>2004.11</v>
      </c>
      <c r="J1746" s="153">
        <v>735.24</v>
      </c>
      <c r="K1746" s="153">
        <v>254.7</v>
      </c>
      <c r="L1746" s="43">
        <v>8.7694042528264315</v>
      </c>
      <c r="M1746" s="43">
        <v>11.500028691111492</v>
      </c>
      <c r="N1746" s="43">
        <v>5.3970491081259642</v>
      </c>
      <c r="O1746" s="43">
        <v>8.237386804657179</v>
      </c>
      <c r="P1746" s="154"/>
      <c r="Q1746" s="154"/>
      <c r="R1746" s="154">
        <v>9</v>
      </c>
    </row>
    <row r="1747" spans="1:18" ht="60">
      <c r="A1747" s="150">
        <v>125</v>
      </c>
      <c r="B1747" s="147" t="s">
        <v>3171</v>
      </c>
      <c r="C1747" s="151" t="s">
        <v>3172</v>
      </c>
      <c r="D1747" s="152">
        <v>781.89</v>
      </c>
      <c r="E1747" s="152">
        <v>220.3</v>
      </c>
      <c r="F1747" s="152">
        <v>350.92</v>
      </c>
      <c r="G1747" s="152">
        <v>210.67</v>
      </c>
      <c r="H1747" s="153">
        <v>5571.43</v>
      </c>
      <c r="I1747" s="153">
        <v>2533.5</v>
      </c>
      <c r="J1747" s="153">
        <v>1871.01</v>
      </c>
      <c r="K1747" s="153">
        <v>1166.92</v>
      </c>
      <c r="L1747" s="43">
        <v>7.125593114120913</v>
      </c>
      <c r="M1747" s="43">
        <v>11.500226963231956</v>
      </c>
      <c r="N1747" s="43">
        <v>5.3317280291804394</v>
      </c>
      <c r="O1747" s="43">
        <v>5.5390895713675423</v>
      </c>
      <c r="P1747" s="154"/>
      <c r="Q1747" s="154"/>
      <c r="R1747" s="154">
        <v>9</v>
      </c>
    </row>
    <row r="1748" spans="1:18" ht="60">
      <c r="A1748" s="150">
        <v>126</v>
      </c>
      <c r="B1748" s="147" t="s">
        <v>3173</v>
      </c>
      <c r="C1748" s="151" t="s">
        <v>3174</v>
      </c>
      <c r="D1748" s="152">
        <v>1781.3</v>
      </c>
      <c r="E1748" s="152">
        <v>764.47</v>
      </c>
      <c r="F1748" s="152">
        <v>721.33</v>
      </c>
      <c r="G1748" s="152">
        <v>295.5</v>
      </c>
      <c r="H1748" s="153">
        <v>14945.02</v>
      </c>
      <c r="I1748" s="153">
        <v>8791.43</v>
      </c>
      <c r="J1748" s="153">
        <v>4080.11</v>
      </c>
      <c r="K1748" s="153">
        <v>2073.48</v>
      </c>
      <c r="L1748" s="43">
        <v>8.3899511592657046</v>
      </c>
      <c r="M1748" s="43">
        <v>11.500032702395123</v>
      </c>
      <c r="N1748" s="43">
        <v>5.6563708704753717</v>
      </c>
      <c r="O1748" s="43">
        <v>7.0168527918781729</v>
      </c>
      <c r="P1748" s="154"/>
      <c r="Q1748" s="154"/>
      <c r="R1748" s="154">
        <v>9</v>
      </c>
    </row>
    <row r="1749" spans="1:18" ht="60">
      <c r="A1749" s="150">
        <v>127</v>
      </c>
      <c r="B1749" s="147" t="s">
        <v>3175</v>
      </c>
      <c r="C1749" s="151" t="s">
        <v>3176</v>
      </c>
      <c r="D1749" s="152">
        <v>778.18</v>
      </c>
      <c r="E1749" s="152">
        <v>284.26</v>
      </c>
      <c r="F1749" s="152">
        <v>300</v>
      </c>
      <c r="G1749" s="152">
        <v>193.92</v>
      </c>
      <c r="H1749" s="153">
        <v>6210.4</v>
      </c>
      <c r="I1749" s="153">
        <v>3268.99</v>
      </c>
      <c r="J1749" s="153">
        <v>1592.31</v>
      </c>
      <c r="K1749" s="153">
        <v>1349.1</v>
      </c>
      <c r="L1749" s="43">
        <v>7.9806728520393744</v>
      </c>
      <c r="M1749" s="43">
        <v>11.5</v>
      </c>
      <c r="N1749" s="43">
        <v>5.3076999999999996</v>
      </c>
      <c r="O1749" s="43">
        <v>6.9569925742574261</v>
      </c>
      <c r="P1749" s="154"/>
      <c r="Q1749" s="154"/>
      <c r="R1749" s="154">
        <v>9</v>
      </c>
    </row>
    <row r="1750" spans="1:18" ht="60">
      <c r="A1750" s="150">
        <v>128</v>
      </c>
      <c r="B1750" s="147" t="s">
        <v>3177</v>
      </c>
      <c r="C1750" s="151" t="s">
        <v>3178</v>
      </c>
      <c r="D1750" s="152">
        <v>2010.67</v>
      </c>
      <c r="E1750" s="152">
        <v>494.1</v>
      </c>
      <c r="F1750" s="152">
        <v>1262.73</v>
      </c>
      <c r="G1750" s="152">
        <v>253.84</v>
      </c>
      <c r="H1750" s="153">
        <v>13284.31</v>
      </c>
      <c r="I1750" s="153">
        <v>5682.15</v>
      </c>
      <c r="J1750" s="153">
        <v>6129.21</v>
      </c>
      <c r="K1750" s="153">
        <v>1472.95</v>
      </c>
      <c r="L1750" s="43">
        <v>6.6069071503528667</v>
      </c>
      <c r="M1750" s="43">
        <v>11.499999999999998</v>
      </c>
      <c r="N1750" s="43">
        <v>4.8539355206576227</v>
      </c>
      <c r="O1750" s="43">
        <v>5.8026709738417903</v>
      </c>
      <c r="P1750" s="154"/>
      <c r="Q1750" s="154"/>
      <c r="R1750" s="154">
        <v>9</v>
      </c>
    </row>
    <row r="1751" spans="1:18" ht="60">
      <c r="A1751" s="150">
        <v>129</v>
      </c>
      <c r="B1751" s="147" t="s">
        <v>3179</v>
      </c>
      <c r="C1751" s="151" t="s">
        <v>3180</v>
      </c>
      <c r="D1751" s="152">
        <v>1749.29</v>
      </c>
      <c r="E1751" s="152">
        <v>450.41</v>
      </c>
      <c r="F1751" s="152">
        <v>1076.46</v>
      </c>
      <c r="G1751" s="152">
        <v>222.42</v>
      </c>
      <c r="H1751" s="153">
        <v>11648.69</v>
      </c>
      <c r="I1751" s="153">
        <v>5179.8900000000003</v>
      </c>
      <c r="J1751" s="153">
        <v>5302.13</v>
      </c>
      <c r="K1751" s="153">
        <v>1166.67</v>
      </c>
      <c r="L1751" s="43">
        <v>6.6590959760817254</v>
      </c>
      <c r="M1751" s="43">
        <v>11.500388534890433</v>
      </c>
      <c r="N1751" s="43">
        <v>4.9255244040651762</v>
      </c>
      <c r="O1751" s="43">
        <v>5.2453466414890757</v>
      </c>
      <c r="P1751" s="154"/>
      <c r="Q1751" s="154"/>
      <c r="R1751" s="154">
        <v>9</v>
      </c>
    </row>
    <row r="1752" spans="1:18" ht="60">
      <c r="A1752" s="150">
        <v>130</v>
      </c>
      <c r="B1752" s="147" t="s">
        <v>3181</v>
      </c>
      <c r="C1752" s="151" t="s">
        <v>3182</v>
      </c>
      <c r="D1752" s="152">
        <v>1194.5</v>
      </c>
      <c r="E1752" s="152">
        <v>238.56</v>
      </c>
      <c r="F1752" s="152">
        <v>861.72</v>
      </c>
      <c r="G1752" s="152">
        <v>94.22</v>
      </c>
      <c r="H1752" s="153">
        <v>7344.72</v>
      </c>
      <c r="I1752" s="153">
        <v>2743.44</v>
      </c>
      <c r="J1752" s="153">
        <v>4140.54</v>
      </c>
      <c r="K1752" s="153">
        <v>460.74</v>
      </c>
      <c r="L1752" s="43">
        <v>6.1487819171201341</v>
      </c>
      <c r="M1752" s="43">
        <v>11.5</v>
      </c>
      <c r="N1752" s="43">
        <v>4.8049714524439491</v>
      </c>
      <c r="O1752" s="43">
        <v>4.8900445765230316</v>
      </c>
      <c r="P1752" s="154"/>
      <c r="Q1752" s="154"/>
      <c r="R1752" s="154">
        <v>9</v>
      </c>
    </row>
    <row r="1753" spans="1:18" ht="36">
      <c r="A1753" s="150">
        <v>131</v>
      </c>
      <c r="B1753" s="147" t="s">
        <v>3183</v>
      </c>
      <c r="C1753" s="151" t="s">
        <v>3184</v>
      </c>
      <c r="D1753" s="152">
        <v>3541.27</v>
      </c>
      <c r="E1753" s="152">
        <v>595.26</v>
      </c>
      <c r="F1753" s="152">
        <v>2855.84</v>
      </c>
      <c r="G1753" s="152">
        <v>90.17</v>
      </c>
      <c r="H1753" s="153">
        <v>22196.3</v>
      </c>
      <c r="I1753" s="153">
        <v>6845.54</v>
      </c>
      <c r="J1753" s="153">
        <v>14783.58</v>
      </c>
      <c r="K1753" s="153">
        <v>567.17999999999995</v>
      </c>
      <c r="L1753" s="43">
        <v>6.2678925922056212</v>
      </c>
      <c r="M1753" s="43">
        <v>11.500083996908915</v>
      </c>
      <c r="N1753" s="43">
        <v>5.1766135357723115</v>
      </c>
      <c r="O1753" s="43">
        <v>6.2901186647443712</v>
      </c>
      <c r="P1753" s="154"/>
      <c r="Q1753" s="154"/>
      <c r="R1753" s="154">
        <v>9</v>
      </c>
    </row>
    <row r="1754" spans="1:18" ht="36">
      <c r="A1754" s="150">
        <v>132</v>
      </c>
      <c r="B1754" s="147" t="s">
        <v>3185</v>
      </c>
      <c r="C1754" s="151" t="s">
        <v>3186</v>
      </c>
      <c r="D1754" s="152">
        <v>3107.67</v>
      </c>
      <c r="E1754" s="152">
        <v>543.29999999999995</v>
      </c>
      <c r="F1754" s="152">
        <v>2365.13</v>
      </c>
      <c r="G1754" s="152">
        <v>199.24</v>
      </c>
      <c r="H1754" s="153">
        <v>19437.28</v>
      </c>
      <c r="I1754" s="153">
        <v>6248</v>
      </c>
      <c r="J1754" s="153">
        <v>12160.33</v>
      </c>
      <c r="K1754" s="153">
        <v>1028.95</v>
      </c>
      <c r="L1754" s="43">
        <v>6.2546151940199568</v>
      </c>
      <c r="M1754" s="43">
        <v>11.500092030185902</v>
      </c>
      <c r="N1754" s="43">
        <v>5.1415059637313805</v>
      </c>
      <c r="O1754" s="43">
        <v>5.1643746235695644</v>
      </c>
      <c r="P1754" s="154"/>
      <c r="Q1754" s="154"/>
      <c r="R1754" s="154">
        <v>9</v>
      </c>
    </row>
    <row r="1755" spans="1:18" ht="36">
      <c r="A1755" s="150">
        <v>133</v>
      </c>
      <c r="B1755" s="147" t="s">
        <v>3187</v>
      </c>
      <c r="C1755" s="151" t="s">
        <v>3188</v>
      </c>
      <c r="D1755" s="152">
        <v>4487.8900000000003</v>
      </c>
      <c r="E1755" s="152">
        <v>805.8</v>
      </c>
      <c r="F1755" s="152">
        <v>2990.68</v>
      </c>
      <c r="G1755" s="152">
        <v>691.41</v>
      </c>
      <c r="H1755" s="153">
        <v>27707.55</v>
      </c>
      <c r="I1755" s="153">
        <v>9267.0400000000009</v>
      </c>
      <c r="J1755" s="153">
        <v>15293.44</v>
      </c>
      <c r="K1755" s="153">
        <v>3147.07</v>
      </c>
      <c r="L1755" s="43">
        <v>6.173847843864265</v>
      </c>
      <c r="M1755" s="43">
        <v>11.500421940928272</v>
      </c>
      <c r="N1755" s="43">
        <v>5.1136998943384118</v>
      </c>
      <c r="O1755" s="43">
        <v>4.5516697762543217</v>
      </c>
      <c r="P1755" s="154"/>
      <c r="Q1755" s="154"/>
      <c r="R1755" s="154">
        <v>9</v>
      </c>
    </row>
    <row r="1756" spans="1:18" ht="12.75" customHeight="1">
      <c r="A1756" s="628" t="s">
        <v>3189</v>
      </c>
      <c r="B1756" s="629"/>
      <c r="C1756" s="629"/>
      <c r="D1756" s="629"/>
      <c r="E1756" s="629"/>
      <c r="F1756" s="629"/>
      <c r="G1756" s="629"/>
      <c r="H1756" s="629"/>
      <c r="I1756" s="629"/>
      <c r="J1756" s="629"/>
      <c r="K1756" s="629"/>
      <c r="L1756" s="629"/>
      <c r="M1756" s="629"/>
      <c r="N1756" s="629"/>
      <c r="O1756" s="629"/>
      <c r="P1756" s="629"/>
      <c r="Q1756" s="629"/>
      <c r="R1756" s="629"/>
    </row>
    <row r="1757" spans="1:18" ht="84">
      <c r="A1757" s="150">
        <v>134</v>
      </c>
      <c r="B1757" s="147" t="s">
        <v>3190</v>
      </c>
      <c r="C1757" s="151" t="s">
        <v>3191</v>
      </c>
      <c r="D1757" s="152">
        <v>3331.97</v>
      </c>
      <c r="E1757" s="152">
        <v>2300.8200000000002</v>
      </c>
      <c r="F1757" s="152">
        <v>733.77</v>
      </c>
      <c r="G1757" s="152">
        <v>297.38</v>
      </c>
      <c r="H1757" s="153">
        <v>32530.31</v>
      </c>
      <c r="I1757" s="153">
        <v>26460.36</v>
      </c>
      <c r="J1757" s="153">
        <v>4150.78</v>
      </c>
      <c r="K1757" s="153">
        <v>1919.17</v>
      </c>
      <c r="L1757" s="43">
        <v>9.7630861022158069</v>
      </c>
      <c r="M1757" s="43">
        <v>11.500404203718674</v>
      </c>
      <c r="N1757" s="43">
        <v>5.6567861864071842</v>
      </c>
      <c r="O1757" s="43">
        <v>6.4535947272849556</v>
      </c>
      <c r="P1757" s="154"/>
      <c r="Q1757" s="154"/>
      <c r="R1757" s="154">
        <v>10</v>
      </c>
    </row>
    <row r="1758" spans="1:18" ht="84">
      <c r="A1758" s="150">
        <v>135</v>
      </c>
      <c r="B1758" s="147" t="s">
        <v>3192</v>
      </c>
      <c r="C1758" s="151" t="s">
        <v>3193</v>
      </c>
      <c r="D1758" s="152">
        <v>7166.98</v>
      </c>
      <c r="E1758" s="152">
        <v>5838.64</v>
      </c>
      <c r="F1758" s="152">
        <v>988.05</v>
      </c>
      <c r="G1758" s="152">
        <v>340.29</v>
      </c>
      <c r="H1758" s="153">
        <v>75201.7</v>
      </c>
      <c r="I1758" s="153">
        <v>67146.720000000001</v>
      </c>
      <c r="J1758" s="153">
        <v>5418.34</v>
      </c>
      <c r="K1758" s="153">
        <v>2636.64</v>
      </c>
      <c r="L1758" s="43">
        <v>10.49280171006477</v>
      </c>
      <c r="M1758" s="43">
        <v>11.500404203718674</v>
      </c>
      <c r="N1758" s="43">
        <v>5.4838722736703609</v>
      </c>
      <c r="O1758" s="43">
        <v>7.7482147580005281</v>
      </c>
      <c r="P1758" s="154"/>
      <c r="Q1758" s="154"/>
      <c r="R1758" s="154">
        <v>10</v>
      </c>
    </row>
    <row r="1759" spans="1:18" ht="84">
      <c r="A1759" s="150">
        <v>136</v>
      </c>
      <c r="B1759" s="147" t="s">
        <v>3194</v>
      </c>
      <c r="C1759" s="151" t="s">
        <v>3195</v>
      </c>
      <c r="D1759" s="152">
        <v>14194.19</v>
      </c>
      <c r="E1759" s="152">
        <v>8201.31</v>
      </c>
      <c r="F1759" s="152">
        <v>4320.2299999999996</v>
      </c>
      <c r="G1759" s="152">
        <v>1672.65</v>
      </c>
      <c r="H1759" s="153">
        <v>128348.91</v>
      </c>
      <c r="I1759" s="153">
        <v>94318.38</v>
      </c>
      <c r="J1759" s="153">
        <v>23828.39</v>
      </c>
      <c r="K1759" s="153">
        <v>10202.14</v>
      </c>
      <c r="L1759" s="43">
        <v>9.0423553580725642</v>
      </c>
      <c r="M1759" s="43">
        <v>11.500404203718675</v>
      </c>
      <c r="N1759" s="43">
        <v>5.5155373672235051</v>
      </c>
      <c r="O1759" s="43">
        <v>6.0993871999521714</v>
      </c>
      <c r="P1759" s="154"/>
      <c r="Q1759" s="154"/>
      <c r="R1759" s="154">
        <v>10</v>
      </c>
    </row>
    <row r="1760" spans="1:18" ht="84">
      <c r="A1760" s="150">
        <v>137</v>
      </c>
      <c r="B1760" s="147" t="s">
        <v>3196</v>
      </c>
      <c r="C1760" s="151" t="s">
        <v>3197</v>
      </c>
      <c r="D1760" s="152">
        <v>13573.47</v>
      </c>
      <c r="E1760" s="152">
        <v>4675.78</v>
      </c>
      <c r="F1760" s="152">
        <v>8226.52</v>
      </c>
      <c r="G1760" s="152">
        <v>671.17</v>
      </c>
      <c r="H1760" s="153">
        <v>98336.31</v>
      </c>
      <c r="I1760" s="153">
        <v>53771.47</v>
      </c>
      <c r="J1760" s="153">
        <v>39662.06</v>
      </c>
      <c r="K1760" s="153">
        <v>4902.78</v>
      </c>
      <c r="L1760" s="43">
        <v>7.2447436064617232</v>
      </c>
      <c r="M1760" s="43">
        <v>11.5</v>
      </c>
      <c r="N1760" s="43">
        <v>4.8212439767969926</v>
      </c>
      <c r="O1760" s="43">
        <v>7.3048259010384848</v>
      </c>
      <c r="P1760" s="154"/>
      <c r="Q1760" s="154"/>
      <c r="R1760" s="154">
        <v>10</v>
      </c>
    </row>
    <row r="1761" spans="1:18" ht="84">
      <c r="A1761" s="150">
        <v>138</v>
      </c>
      <c r="B1761" s="147" t="s">
        <v>3198</v>
      </c>
      <c r="C1761" s="151" t="s">
        <v>3199</v>
      </c>
      <c r="D1761" s="152">
        <v>18459.02</v>
      </c>
      <c r="E1761" s="152">
        <v>6356.2</v>
      </c>
      <c r="F1761" s="152">
        <v>10829.46</v>
      </c>
      <c r="G1761" s="152">
        <v>1273.3599999999999</v>
      </c>
      <c r="H1761" s="153">
        <v>133193.88</v>
      </c>
      <c r="I1761" s="153">
        <v>73096.3</v>
      </c>
      <c r="J1761" s="153">
        <v>51948.5</v>
      </c>
      <c r="K1761" s="153">
        <v>8149.08</v>
      </c>
      <c r="L1761" s="43">
        <v>7.2156528353076164</v>
      </c>
      <c r="M1761" s="43">
        <v>11.5</v>
      </c>
      <c r="N1761" s="43">
        <v>4.7969612519922515</v>
      </c>
      <c r="O1761" s="43">
        <v>6.3996670226801537</v>
      </c>
      <c r="P1761" s="154"/>
      <c r="Q1761" s="154"/>
      <c r="R1761" s="154">
        <v>10</v>
      </c>
    </row>
    <row r="1762" spans="1:18" ht="84">
      <c r="A1762" s="150">
        <v>139</v>
      </c>
      <c r="B1762" s="147" t="s">
        <v>3200</v>
      </c>
      <c r="C1762" s="151" t="s">
        <v>3201</v>
      </c>
      <c r="D1762" s="152">
        <v>12451.26</v>
      </c>
      <c r="E1762" s="152">
        <v>3847.07</v>
      </c>
      <c r="F1762" s="152">
        <v>7540.82</v>
      </c>
      <c r="G1762" s="152">
        <v>1063.3699999999999</v>
      </c>
      <c r="H1762" s="153">
        <v>87295.679999999993</v>
      </c>
      <c r="I1762" s="153">
        <v>44242.86</v>
      </c>
      <c r="J1762" s="153">
        <v>35696.14</v>
      </c>
      <c r="K1762" s="153">
        <v>7356.68</v>
      </c>
      <c r="L1762" s="43">
        <v>7.0109916586755068</v>
      </c>
      <c r="M1762" s="43">
        <v>11.500404203718674</v>
      </c>
      <c r="N1762" s="43">
        <v>4.7337212663874748</v>
      </c>
      <c r="O1762" s="43">
        <v>6.9182692759810802</v>
      </c>
      <c r="P1762" s="154"/>
      <c r="Q1762" s="154"/>
      <c r="R1762" s="154">
        <v>10</v>
      </c>
    </row>
    <row r="1763" spans="1:18" ht="84">
      <c r="A1763" s="150">
        <v>140</v>
      </c>
      <c r="B1763" s="147" t="s">
        <v>3202</v>
      </c>
      <c r="C1763" s="151" t="s">
        <v>3203</v>
      </c>
      <c r="D1763" s="152">
        <v>9838.4699999999993</v>
      </c>
      <c r="E1763" s="152">
        <v>3209.34</v>
      </c>
      <c r="F1763" s="152">
        <v>5572.48</v>
      </c>
      <c r="G1763" s="152">
        <v>1056.6500000000001</v>
      </c>
      <c r="H1763" s="153">
        <v>71145.100000000006</v>
      </c>
      <c r="I1763" s="153">
        <v>36907.410000000003</v>
      </c>
      <c r="J1763" s="153">
        <v>26605.78</v>
      </c>
      <c r="K1763" s="153">
        <v>7631.91</v>
      </c>
      <c r="L1763" s="43">
        <v>7.231317471110855</v>
      </c>
      <c r="M1763" s="43">
        <v>11.5</v>
      </c>
      <c r="N1763" s="43">
        <v>4.7744953772826459</v>
      </c>
      <c r="O1763" s="43">
        <v>7.2227416836227691</v>
      </c>
      <c r="P1763" s="154"/>
      <c r="Q1763" s="154"/>
      <c r="R1763" s="154">
        <v>10</v>
      </c>
    </row>
    <row r="1764" spans="1:18" ht="84">
      <c r="A1764" s="150">
        <v>141</v>
      </c>
      <c r="B1764" s="147" t="s">
        <v>3204</v>
      </c>
      <c r="C1764" s="151" t="s">
        <v>3205</v>
      </c>
      <c r="D1764" s="152">
        <v>9249.91</v>
      </c>
      <c r="E1764" s="152">
        <v>4826.7700000000004</v>
      </c>
      <c r="F1764" s="152">
        <v>2266.56</v>
      </c>
      <c r="G1764" s="152">
        <v>2156.58</v>
      </c>
      <c r="H1764" s="153">
        <v>79697.75</v>
      </c>
      <c r="I1764" s="153">
        <v>55509.59</v>
      </c>
      <c r="J1764" s="153">
        <v>12763.04</v>
      </c>
      <c r="K1764" s="153">
        <v>11425.12</v>
      </c>
      <c r="L1764" s="43">
        <v>8.6160568048770205</v>
      </c>
      <c r="M1764" s="43">
        <v>11.50035945363048</v>
      </c>
      <c r="N1764" s="43">
        <v>5.6310179302555419</v>
      </c>
      <c r="O1764" s="43">
        <v>5.2977955837483428</v>
      </c>
      <c r="P1764" s="154"/>
      <c r="Q1764" s="154"/>
      <c r="R1764" s="154">
        <v>10</v>
      </c>
    </row>
    <row r="1765" spans="1:18" ht="84">
      <c r="A1765" s="150">
        <v>142</v>
      </c>
      <c r="B1765" s="147" t="s">
        <v>3206</v>
      </c>
      <c r="C1765" s="151" t="s">
        <v>3207</v>
      </c>
      <c r="D1765" s="152">
        <v>16388.66</v>
      </c>
      <c r="E1765" s="152">
        <v>5734</v>
      </c>
      <c r="F1765" s="152">
        <v>9363.3799999999992</v>
      </c>
      <c r="G1765" s="152">
        <v>1291.28</v>
      </c>
      <c r="H1765" s="153">
        <v>122873.75</v>
      </c>
      <c r="I1765" s="153">
        <v>65941</v>
      </c>
      <c r="J1765" s="153">
        <v>48863.91</v>
      </c>
      <c r="K1765" s="153">
        <v>8068.84</v>
      </c>
      <c r="L1765" s="43">
        <v>7.4974860665850658</v>
      </c>
      <c r="M1765" s="43">
        <v>11.5</v>
      </c>
      <c r="N1765" s="43">
        <v>5.2186187039295646</v>
      </c>
      <c r="O1765" s="43">
        <v>6.2487144538752251</v>
      </c>
      <c r="P1765" s="154"/>
      <c r="Q1765" s="154"/>
      <c r="R1765" s="154">
        <v>10</v>
      </c>
    </row>
    <row r="1766" spans="1:18" ht="84">
      <c r="A1766" s="150">
        <v>143</v>
      </c>
      <c r="B1766" s="147" t="s">
        <v>3208</v>
      </c>
      <c r="C1766" s="151" t="s">
        <v>3209</v>
      </c>
      <c r="D1766" s="152">
        <v>17118.71</v>
      </c>
      <c r="E1766" s="152">
        <v>4794.6000000000004</v>
      </c>
      <c r="F1766" s="152">
        <v>10843.01</v>
      </c>
      <c r="G1766" s="152">
        <v>1481.1</v>
      </c>
      <c r="H1766" s="153">
        <v>116683.31</v>
      </c>
      <c r="I1766" s="153">
        <v>55137.9</v>
      </c>
      <c r="J1766" s="153">
        <v>51207.65</v>
      </c>
      <c r="K1766" s="153">
        <v>10337.76</v>
      </c>
      <c r="L1766" s="43">
        <v>6.8161275002614099</v>
      </c>
      <c r="M1766" s="43">
        <v>11.5</v>
      </c>
      <c r="N1766" s="43">
        <v>4.7226415912186743</v>
      </c>
      <c r="O1766" s="43">
        <v>6.9797852947133894</v>
      </c>
      <c r="P1766" s="154"/>
      <c r="Q1766" s="154"/>
      <c r="R1766" s="154">
        <v>10</v>
      </c>
    </row>
    <row r="1767" spans="1:18" ht="84">
      <c r="A1767" s="150">
        <v>144</v>
      </c>
      <c r="B1767" s="147" t="s">
        <v>3210</v>
      </c>
      <c r="C1767" s="151" t="s">
        <v>3211</v>
      </c>
      <c r="D1767" s="152">
        <v>19072.310000000001</v>
      </c>
      <c r="E1767" s="152">
        <v>6181.62</v>
      </c>
      <c r="F1767" s="152">
        <v>11424.85</v>
      </c>
      <c r="G1767" s="152">
        <v>1465.84</v>
      </c>
      <c r="H1767" s="153">
        <v>135582.76999999999</v>
      </c>
      <c r="I1767" s="153">
        <v>71091.320000000007</v>
      </c>
      <c r="J1767" s="153">
        <v>54350.96</v>
      </c>
      <c r="K1767" s="153">
        <v>10140.49</v>
      </c>
      <c r="L1767" s="43">
        <v>7.1088803611099012</v>
      </c>
      <c r="M1767" s="43">
        <v>11.500435161009575</v>
      </c>
      <c r="N1767" s="43">
        <v>4.7572580821630037</v>
      </c>
      <c r="O1767" s="43">
        <v>6.9178696174207284</v>
      </c>
      <c r="P1767" s="154"/>
      <c r="Q1767" s="154"/>
      <c r="R1767" s="154">
        <v>10</v>
      </c>
    </row>
    <row r="1768" spans="1:18" ht="84">
      <c r="A1768" s="150">
        <v>145</v>
      </c>
      <c r="B1768" s="147" t="s">
        <v>3212</v>
      </c>
      <c r="C1768" s="151" t="s">
        <v>3213</v>
      </c>
      <c r="D1768" s="152">
        <v>15013.98</v>
      </c>
      <c r="E1768" s="152">
        <v>4416.3999999999996</v>
      </c>
      <c r="F1768" s="152">
        <v>8533.0400000000009</v>
      </c>
      <c r="G1768" s="152">
        <v>2064.54</v>
      </c>
      <c r="H1768" s="153">
        <v>105471.7</v>
      </c>
      <c r="I1768" s="153">
        <v>50788.6</v>
      </c>
      <c r="J1768" s="153">
        <v>40857.07</v>
      </c>
      <c r="K1768" s="153">
        <v>13826.03</v>
      </c>
      <c r="L1768" s="43">
        <v>7.0248994603696024</v>
      </c>
      <c r="M1768" s="43">
        <v>11.5</v>
      </c>
      <c r="N1768" s="43">
        <v>4.7881024816478064</v>
      </c>
      <c r="O1768" s="43">
        <v>6.6969058482761294</v>
      </c>
      <c r="P1768" s="154"/>
      <c r="Q1768" s="154"/>
      <c r="R1768" s="154">
        <v>10</v>
      </c>
    </row>
    <row r="1769" spans="1:18" ht="84">
      <c r="A1769" s="150">
        <v>146</v>
      </c>
      <c r="B1769" s="147" t="s">
        <v>3214</v>
      </c>
      <c r="C1769" s="151" t="s">
        <v>3215</v>
      </c>
      <c r="D1769" s="152">
        <v>11436.96</v>
      </c>
      <c r="E1769" s="152">
        <v>3342.8</v>
      </c>
      <c r="F1769" s="152">
        <v>6902.18</v>
      </c>
      <c r="G1769" s="152">
        <v>1191.98</v>
      </c>
      <c r="H1769" s="153">
        <v>78939.539999999994</v>
      </c>
      <c r="I1769" s="153">
        <v>38442.199999999997</v>
      </c>
      <c r="J1769" s="153">
        <v>31907.03</v>
      </c>
      <c r="K1769" s="153">
        <v>8590.31</v>
      </c>
      <c r="L1769" s="43">
        <v>6.9021435766147645</v>
      </c>
      <c r="M1769" s="43">
        <v>11.499999999999998</v>
      </c>
      <c r="N1769" s="43">
        <v>4.6227467263965876</v>
      </c>
      <c r="O1769" s="43">
        <v>7.2067568247789389</v>
      </c>
      <c r="P1769" s="154"/>
      <c r="Q1769" s="154"/>
      <c r="R1769" s="154">
        <v>10</v>
      </c>
    </row>
    <row r="1770" spans="1:18" ht="84">
      <c r="A1770" s="150">
        <v>147</v>
      </c>
      <c r="B1770" s="147" t="s">
        <v>3216</v>
      </c>
      <c r="C1770" s="151" t="s">
        <v>3217</v>
      </c>
      <c r="D1770" s="152">
        <v>12447.31</v>
      </c>
      <c r="E1770" s="152">
        <v>3702.16</v>
      </c>
      <c r="F1770" s="152">
        <v>7467.31</v>
      </c>
      <c r="G1770" s="152">
        <v>1277.8399999999999</v>
      </c>
      <c r="H1770" s="153">
        <v>86312.59</v>
      </c>
      <c r="I1770" s="153">
        <v>42574.84</v>
      </c>
      <c r="J1770" s="153">
        <v>34630.269999999997</v>
      </c>
      <c r="K1770" s="153">
        <v>9107.48</v>
      </c>
      <c r="L1770" s="43">
        <v>6.9342363932448059</v>
      </c>
      <c r="M1770" s="43">
        <v>11.5</v>
      </c>
      <c r="N1770" s="43">
        <v>4.6375830118208556</v>
      </c>
      <c r="O1770" s="43">
        <v>7.1272459775871786</v>
      </c>
      <c r="P1770" s="154"/>
      <c r="Q1770" s="154"/>
      <c r="R1770" s="154">
        <v>10</v>
      </c>
    </row>
    <row r="1771" spans="1:18" ht="60">
      <c r="A1771" s="150">
        <v>148</v>
      </c>
      <c r="B1771" s="147" t="s">
        <v>3218</v>
      </c>
      <c r="C1771" s="151" t="s">
        <v>3219</v>
      </c>
      <c r="D1771" s="152">
        <v>5904.8</v>
      </c>
      <c r="E1771" s="152">
        <v>2452.1999999999998</v>
      </c>
      <c r="F1771" s="152">
        <v>2484.46</v>
      </c>
      <c r="G1771" s="152">
        <v>968.14</v>
      </c>
      <c r="H1771" s="153">
        <v>46856.61</v>
      </c>
      <c r="I1771" s="153">
        <v>28200.3</v>
      </c>
      <c r="J1771" s="153">
        <v>12656.5</v>
      </c>
      <c r="K1771" s="153">
        <v>5999.81</v>
      </c>
      <c r="L1771" s="43">
        <v>7.9353424332746236</v>
      </c>
      <c r="M1771" s="43">
        <v>11.5</v>
      </c>
      <c r="N1771" s="43">
        <v>5.0942659571898927</v>
      </c>
      <c r="O1771" s="43">
        <v>6.1972545293036134</v>
      </c>
      <c r="P1771" s="154"/>
      <c r="Q1771" s="154"/>
      <c r="R1771" s="154">
        <v>10</v>
      </c>
    </row>
    <row r="1772" spans="1:18" ht="60">
      <c r="A1772" s="150">
        <v>149</v>
      </c>
      <c r="B1772" s="147" t="s">
        <v>3220</v>
      </c>
      <c r="C1772" s="151" t="s">
        <v>3221</v>
      </c>
      <c r="D1772" s="152">
        <v>19726.14</v>
      </c>
      <c r="E1772" s="152">
        <v>4184.6000000000004</v>
      </c>
      <c r="F1772" s="152">
        <v>7682.07</v>
      </c>
      <c r="G1772" s="152">
        <v>7859.47</v>
      </c>
      <c r="H1772" s="153">
        <v>116882.92</v>
      </c>
      <c r="I1772" s="153">
        <v>48122.9</v>
      </c>
      <c r="J1772" s="153">
        <v>37473</v>
      </c>
      <c r="K1772" s="153">
        <v>31287.02</v>
      </c>
      <c r="L1772" s="43">
        <v>5.9252808709661391</v>
      </c>
      <c r="M1772" s="43">
        <v>11.5</v>
      </c>
      <c r="N1772" s="43">
        <v>4.8779821063853888</v>
      </c>
      <c r="O1772" s="43">
        <v>3.98080532147842</v>
      </c>
      <c r="P1772" s="154"/>
      <c r="Q1772" s="154"/>
      <c r="R1772" s="154">
        <v>10</v>
      </c>
    </row>
    <row r="1773" spans="1:18" ht="60">
      <c r="A1773" s="150">
        <v>150</v>
      </c>
      <c r="B1773" s="147" t="s">
        <v>3222</v>
      </c>
      <c r="C1773" s="151" t="s">
        <v>3223</v>
      </c>
      <c r="D1773" s="152">
        <v>19188.97</v>
      </c>
      <c r="E1773" s="152">
        <v>3843</v>
      </c>
      <c r="F1773" s="152">
        <v>7662.32</v>
      </c>
      <c r="G1773" s="152">
        <v>7683.65</v>
      </c>
      <c r="H1773" s="153">
        <v>111236.8</v>
      </c>
      <c r="I1773" s="153">
        <v>44194.5</v>
      </c>
      <c r="J1773" s="153">
        <v>36440.49</v>
      </c>
      <c r="K1773" s="153">
        <v>30601.81</v>
      </c>
      <c r="L1773" s="43">
        <v>5.7969135393926825</v>
      </c>
      <c r="M1773" s="43">
        <v>11.5</v>
      </c>
      <c r="N1773" s="43">
        <v>4.755803725242485</v>
      </c>
      <c r="O1773" s="43">
        <v>3.9827178489389814</v>
      </c>
      <c r="P1773" s="154"/>
      <c r="Q1773" s="154"/>
      <c r="R1773" s="154">
        <v>10</v>
      </c>
    </row>
    <row r="1774" spans="1:18" ht="60">
      <c r="A1774" s="150">
        <v>151</v>
      </c>
      <c r="B1774" s="147" t="s">
        <v>3224</v>
      </c>
      <c r="C1774" s="151" t="s">
        <v>3225</v>
      </c>
      <c r="D1774" s="152">
        <v>9500.68</v>
      </c>
      <c r="E1774" s="152">
        <v>4626.38</v>
      </c>
      <c r="F1774" s="152">
        <v>3686.31</v>
      </c>
      <c r="G1774" s="152">
        <v>1187.99</v>
      </c>
      <c r="H1774" s="153">
        <v>78583.72</v>
      </c>
      <c r="I1774" s="153">
        <v>53205.24</v>
      </c>
      <c r="J1774" s="153">
        <v>18352.939999999999</v>
      </c>
      <c r="K1774" s="153">
        <v>7025.54</v>
      </c>
      <c r="L1774" s="43">
        <v>8.2713784697516388</v>
      </c>
      <c r="M1774" s="43">
        <v>11.500404203718674</v>
      </c>
      <c r="N1774" s="43">
        <v>4.9786751521168862</v>
      </c>
      <c r="O1774" s="43">
        <v>5.9138039882490592</v>
      </c>
      <c r="P1774" s="154"/>
      <c r="Q1774" s="154"/>
      <c r="R1774" s="154">
        <v>10</v>
      </c>
    </row>
    <row r="1775" spans="1:18" ht="60">
      <c r="A1775" s="150">
        <v>152</v>
      </c>
      <c r="B1775" s="147" t="s">
        <v>3226</v>
      </c>
      <c r="C1775" s="151" t="s">
        <v>3227</v>
      </c>
      <c r="D1775" s="152">
        <v>10054.42</v>
      </c>
      <c r="E1775" s="152">
        <v>2976.8</v>
      </c>
      <c r="F1775" s="152">
        <v>4434.04</v>
      </c>
      <c r="G1775" s="152">
        <v>2643.58</v>
      </c>
      <c r="H1775" s="153">
        <v>69210.240000000005</v>
      </c>
      <c r="I1775" s="153">
        <v>34233.199999999997</v>
      </c>
      <c r="J1775" s="153">
        <v>21442.32</v>
      </c>
      <c r="K1775" s="153">
        <v>13534.72</v>
      </c>
      <c r="L1775" s="43">
        <v>6.8835636466350127</v>
      </c>
      <c r="M1775" s="43">
        <v>11.499999999999998</v>
      </c>
      <c r="N1775" s="43">
        <v>4.8358427077789106</v>
      </c>
      <c r="O1775" s="43">
        <v>5.1198450585947839</v>
      </c>
      <c r="P1775" s="154"/>
      <c r="Q1775" s="154"/>
      <c r="R1775" s="154">
        <v>10</v>
      </c>
    </row>
    <row r="1776" spans="1:18" ht="60">
      <c r="A1776" s="150">
        <v>153</v>
      </c>
      <c r="B1776" s="147" t="s">
        <v>3228</v>
      </c>
      <c r="C1776" s="151" t="s">
        <v>3229</v>
      </c>
      <c r="D1776" s="152">
        <v>11753.86</v>
      </c>
      <c r="E1776" s="152">
        <v>6498</v>
      </c>
      <c r="F1776" s="152">
        <v>4328.32</v>
      </c>
      <c r="G1776" s="152">
        <v>927.54</v>
      </c>
      <c r="H1776" s="153">
        <v>103790.14</v>
      </c>
      <c r="I1776" s="153">
        <v>74727</v>
      </c>
      <c r="J1776" s="153">
        <v>23064.560000000001</v>
      </c>
      <c r="K1776" s="153">
        <v>5998.58</v>
      </c>
      <c r="L1776" s="43">
        <v>8.8303025559263073</v>
      </c>
      <c r="M1776" s="43">
        <v>11.5</v>
      </c>
      <c r="N1776" s="43">
        <v>5.3287557297057528</v>
      </c>
      <c r="O1776" s="43">
        <v>6.4671927895292924</v>
      </c>
      <c r="P1776" s="154"/>
      <c r="Q1776" s="154"/>
      <c r="R1776" s="154">
        <v>10</v>
      </c>
    </row>
    <row r="1777" spans="1:18" ht="60">
      <c r="A1777" s="150">
        <v>154</v>
      </c>
      <c r="B1777" s="147" t="s">
        <v>3230</v>
      </c>
      <c r="C1777" s="151" t="s">
        <v>3231</v>
      </c>
      <c r="D1777" s="152">
        <v>123201.97</v>
      </c>
      <c r="E1777" s="152">
        <v>50267.7</v>
      </c>
      <c r="F1777" s="152">
        <v>58663.93</v>
      </c>
      <c r="G1777" s="152">
        <v>14270.34</v>
      </c>
      <c r="H1777" s="153">
        <v>916411.67</v>
      </c>
      <c r="I1777" s="153">
        <v>578099.76</v>
      </c>
      <c r="J1777" s="153">
        <v>281608.38</v>
      </c>
      <c r="K1777" s="153">
        <v>56703.53</v>
      </c>
      <c r="L1777" s="43">
        <v>7.4382874721889598</v>
      </c>
      <c r="M1777" s="43">
        <v>11.500421940928272</v>
      </c>
      <c r="N1777" s="43">
        <v>4.8003667671088524</v>
      </c>
      <c r="O1777" s="43">
        <v>3.9735234058894182</v>
      </c>
      <c r="P1777" s="154"/>
      <c r="Q1777" s="154"/>
      <c r="R1777" s="154">
        <v>10</v>
      </c>
    </row>
    <row r="1778" spans="1:18" ht="60">
      <c r="A1778" s="150">
        <v>155</v>
      </c>
      <c r="B1778" s="147" t="s">
        <v>3232</v>
      </c>
      <c r="C1778" s="151" t="s">
        <v>3233</v>
      </c>
      <c r="D1778" s="152">
        <v>158308.82999999999</v>
      </c>
      <c r="E1778" s="152">
        <v>58015.3</v>
      </c>
      <c r="F1778" s="152">
        <v>83275.19</v>
      </c>
      <c r="G1778" s="152">
        <v>17018.34</v>
      </c>
      <c r="H1778" s="153">
        <v>1123455.67</v>
      </c>
      <c r="I1778" s="153">
        <v>667199.4</v>
      </c>
      <c r="J1778" s="153">
        <v>388962.53</v>
      </c>
      <c r="K1778" s="153">
        <v>67293.740000000005</v>
      </c>
      <c r="L1778" s="43">
        <v>7.0966077508121312</v>
      </c>
      <c r="M1778" s="43">
        <v>11.500404203718674</v>
      </c>
      <c r="N1778" s="43">
        <v>4.6708092770487823</v>
      </c>
      <c r="O1778" s="43">
        <v>3.9541894215299496</v>
      </c>
      <c r="P1778" s="154"/>
      <c r="Q1778" s="154"/>
      <c r="R1778" s="154">
        <v>10</v>
      </c>
    </row>
    <row r="1779" spans="1:18" ht="60">
      <c r="A1779" s="150">
        <v>156</v>
      </c>
      <c r="B1779" s="147" t="s">
        <v>3234</v>
      </c>
      <c r="C1779" s="151" t="s">
        <v>3235</v>
      </c>
      <c r="D1779" s="152">
        <v>339760.54</v>
      </c>
      <c r="E1779" s="152">
        <v>69534.559999999998</v>
      </c>
      <c r="F1779" s="152">
        <v>230414.71</v>
      </c>
      <c r="G1779" s="152">
        <v>39811.269999999997</v>
      </c>
      <c r="H1779" s="153">
        <v>2018449.28</v>
      </c>
      <c r="I1779" s="153">
        <v>799647.44</v>
      </c>
      <c r="J1779" s="153">
        <v>1072206.18</v>
      </c>
      <c r="K1779" s="153">
        <v>146595.66</v>
      </c>
      <c r="L1779" s="43">
        <v>5.9407995996239</v>
      </c>
      <c r="M1779" s="43">
        <v>11.5</v>
      </c>
      <c r="N1779" s="43">
        <v>4.6533755592253634</v>
      </c>
      <c r="O1779" s="43">
        <v>3.6822653484804682</v>
      </c>
      <c r="P1779" s="154"/>
      <c r="Q1779" s="154"/>
      <c r="R1779" s="154">
        <v>10</v>
      </c>
    </row>
    <row r="1780" spans="1:18" ht="12.75" customHeight="1">
      <c r="A1780" s="628" t="s">
        <v>3236</v>
      </c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</row>
    <row r="1781" spans="1:18" ht="24">
      <c r="A1781" s="150">
        <v>157</v>
      </c>
      <c r="B1781" s="147" t="s">
        <v>3237</v>
      </c>
      <c r="C1781" s="151" t="s">
        <v>3238</v>
      </c>
      <c r="D1781" s="152">
        <v>28435.37</v>
      </c>
      <c r="E1781" s="152">
        <v>12407.11</v>
      </c>
      <c r="F1781" s="152">
        <v>13075.28</v>
      </c>
      <c r="G1781" s="152">
        <v>2952.98</v>
      </c>
      <c r="H1781" s="153">
        <v>227889.51</v>
      </c>
      <c r="I1781" s="153">
        <v>142686.78</v>
      </c>
      <c r="J1781" s="153">
        <v>61203.83</v>
      </c>
      <c r="K1781" s="153">
        <v>23998.9</v>
      </c>
      <c r="L1781" s="43">
        <v>8.0142973346223396</v>
      </c>
      <c r="M1781" s="43">
        <v>11.500404203718674</v>
      </c>
      <c r="N1781" s="43">
        <v>4.6808810212859688</v>
      </c>
      <c r="O1781" s="43">
        <v>8.1270106807360705</v>
      </c>
      <c r="P1781" s="154"/>
      <c r="Q1781" s="154"/>
      <c r="R1781" s="154">
        <v>11</v>
      </c>
    </row>
    <row r="1782" spans="1:18" ht="24">
      <c r="A1782" s="150">
        <v>158</v>
      </c>
      <c r="B1782" s="147" t="s">
        <v>3239</v>
      </c>
      <c r="C1782" s="151" t="s">
        <v>3240</v>
      </c>
      <c r="D1782" s="152">
        <v>12092.22</v>
      </c>
      <c r="E1782" s="152">
        <v>6110.78</v>
      </c>
      <c r="F1782" s="152">
        <v>4913.55</v>
      </c>
      <c r="G1782" s="152">
        <v>1067.8900000000001</v>
      </c>
      <c r="H1782" s="153">
        <v>101530.71</v>
      </c>
      <c r="I1782" s="153">
        <v>70276.44</v>
      </c>
      <c r="J1782" s="153">
        <v>22754.880000000001</v>
      </c>
      <c r="K1782" s="153">
        <v>8499.39</v>
      </c>
      <c r="L1782" s="43">
        <v>8.3963664240313207</v>
      </c>
      <c r="M1782" s="43">
        <v>11.500404203718675</v>
      </c>
      <c r="N1782" s="43">
        <v>4.6310467991574322</v>
      </c>
      <c r="O1782" s="43">
        <v>7.9590500894286853</v>
      </c>
      <c r="P1782" s="154"/>
      <c r="Q1782" s="154"/>
      <c r="R1782" s="154">
        <v>11</v>
      </c>
    </row>
    <row r="1783" spans="1:18" ht="24">
      <c r="A1783" s="150">
        <v>159</v>
      </c>
      <c r="B1783" s="147" t="s">
        <v>3241</v>
      </c>
      <c r="C1783" s="151" t="s">
        <v>3242</v>
      </c>
      <c r="D1783" s="152">
        <v>8462.84</v>
      </c>
      <c r="E1783" s="152">
        <v>3794.2</v>
      </c>
      <c r="F1783" s="152">
        <v>4079.61</v>
      </c>
      <c r="G1783" s="152">
        <v>589.03</v>
      </c>
      <c r="H1783" s="153">
        <v>67580.52</v>
      </c>
      <c r="I1783" s="153">
        <v>43633.3</v>
      </c>
      <c r="J1783" s="153">
        <v>19225.099999999999</v>
      </c>
      <c r="K1783" s="153">
        <v>4722.12</v>
      </c>
      <c r="L1783" s="43">
        <v>7.9855604028907559</v>
      </c>
      <c r="M1783" s="43">
        <v>11.500000000000002</v>
      </c>
      <c r="N1783" s="43">
        <v>4.7124847718286791</v>
      </c>
      <c r="O1783" s="43">
        <v>8.0167733392187159</v>
      </c>
      <c r="P1783" s="154"/>
      <c r="Q1783" s="154"/>
      <c r="R1783" s="154">
        <v>11</v>
      </c>
    </row>
    <row r="1784" spans="1:18" ht="24">
      <c r="A1784" s="150">
        <v>160</v>
      </c>
      <c r="B1784" s="147" t="s">
        <v>3243</v>
      </c>
      <c r="C1784" s="151" t="s">
        <v>3244</v>
      </c>
      <c r="D1784" s="152">
        <v>6948.46</v>
      </c>
      <c r="E1784" s="152">
        <v>3089.14</v>
      </c>
      <c r="F1784" s="152">
        <v>3484.57</v>
      </c>
      <c r="G1784" s="152">
        <v>374.75</v>
      </c>
      <c r="H1784" s="153">
        <v>54731.41</v>
      </c>
      <c r="I1784" s="153">
        <v>35525.11</v>
      </c>
      <c r="J1784" s="153">
        <v>16146.44</v>
      </c>
      <c r="K1784" s="153">
        <v>3059.86</v>
      </c>
      <c r="L1784" s="43">
        <v>7.8767683774534216</v>
      </c>
      <c r="M1784" s="43">
        <v>11.5</v>
      </c>
      <c r="N1784" s="43">
        <v>4.6336965536637233</v>
      </c>
      <c r="O1784" s="43">
        <v>8.1650700466977995</v>
      </c>
      <c r="P1784" s="154"/>
      <c r="Q1784" s="154"/>
      <c r="R1784" s="154">
        <v>11</v>
      </c>
    </row>
    <row r="1785" spans="1:18" ht="36">
      <c r="A1785" s="150">
        <v>161</v>
      </c>
      <c r="B1785" s="147" t="s">
        <v>3245</v>
      </c>
      <c r="C1785" s="151" t="s">
        <v>3246</v>
      </c>
      <c r="D1785" s="152">
        <v>23010.33</v>
      </c>
      <c r="E1785" s="152">
        <v>10406.6</v>
      </c>
      <c r="F1785" s="152">
        <v>11030.7</v>
      </c>
      <c r="G1785" s="152">
        <v>1573.03</v>
      </c>
      <c r="H1785" s="153">
        <v>183865.53</v>
      </c>
      <c r="I1785" s="153">
        <v>119675.9</v>
      </c>
      <c r="J1785" s="153">
        <v>51556.6</v>
      </c>
      <c r="K1785" s="153">
        <v>12633.03</v>
      </c>
      <c r="L1785" s="43">
        <v>7.9905646724753616</v>
      </c>
      <c r="M1785" s="43">
        <v>11.499999999999998</v>
      </c>
      <c r="N1785" s="43">
        <v>4.6739191529096065</v>
      </c>
      <c r="O1785" s="43">
        <v>8.0310165731104934</v>
      </c>
      <c r="P1785" s="154"/>
      <c r="Q1785" s="154"/>
      <c r="R1785" s="154">
        <v>11</v>
      </c>
    </row>
    <row r="1786" spans="1:18" ht="36">
      <c r="A1786" s="150">
        <v>162</v>
      </c>
      <c r="B1786" s="147" t="s">
        <v>3247</v>
      </c>
      <c r="C1786" s="151" t="s">
        <v>3248</v>
      </c>
      <c r="D1786" s="152">
        <v>10006.200000000001</v>
      </c>
      <c r="E1786" s="152">
        <v>4420.05</v>
      </c>
      <c r="F1786" s="152">
        <v>5031.18</v>
      </c>
      <c r="G1786" s="152">
        <v>554.97</v>
      </c>
      <c r="H1786" s="153">
        <v>78985.38</v>
      </c>
      <c r="I1786" s="153">
        <v>50832.44</v>
      </c>
      <c r="J1786" s="153">
        <v>23634.75</v>
      </c>
      <c r="K1786" s="153">
        <v>4518.1899999999996</v>
      </c>
      <c r="L1786" s="43">
        <v>7.8936439407567311</v>
      </c>
      <c r="M1786" s="43">
        <v>11.50042194092827</v>
      </c>
      <c r="N1786" s="43">
        <v>4.6976554207959165</v>
      </c>
      <c r="O1786" s="43">
        <v>8.1413229543939298</v>
      </c>
      <c r="P1786" s="154"/>
      <c r="Q1786" s="154"/>
      <c r="R1786" s="154">
        <v>11</v>
      </c>
    </row>
    <row r="1787" spans="1:18" ht="36">
      <c r="A1787" s="150">
        <v>163</v>
      </c>
      <c r="B1787" s="147" t="s">
        <v>3249</v>
      </c>
      <c r="C1787" s="151" t="s">
        <v>3250</v>
      </c>
      <c r="D1787" s="152">
        <v>7075</v>
      </c>
      <c r="E1787" s="152">
        <v>3460.2</v>
      </c>
      <c r="F1787" s="152">
        <v>3310.88</v>
      </c>
      <c r="G1787" s="152">
        <v>303.92</v>
      </c>
      <c r="H1787" s="153">
        <v>58003.59</v>
      </c>
      <c r="I1787" s="153">
        <v>39793.760000000002</v>
      </c>
      <c r="J1787" s="153">
        <v>15649.94</v>
      </c>
      <c r="K1787" s="153">
        <v>2559.89</v>
      </c>
      <c r="L1787" s="43">
        <v>8.1983872791519428</v>
      </c>
      <c r="M1787" s="43">
        <v>11.500421940928272</v>
      </c>
      <c r="N1787" s="43">
        <v>4.7268218721306718</v>
      </c>
      <c r="O1787" s="43">
        <v>8.4229073440379043</v>
      </c>
      <c r="P1787" s="154"/>
      <c r="Q1787" s="154"/>
      <c r="R1787" s="154">
        <v>11</v>
      </c>
    </row>
    <row r="1788" spans="1:18" ht="24">
      <c r="A1788" s="150">
        <v>164</v>
      </c>
      <c r="B1788" s="147" t="s">
        <v>3251</v>
      </c>
      <c r="C1788" s="151" t="s">
        <v>3252</v>
      </c>
      <c r="D1788" s="152">
        <v>14675.46</v>
      </c>
      <c r="E1788" s="152">
        <v>6069.36</v>
      </c>
      <c r="F1788" s="152">
        <v>7548.44</v>
      </c>
      <c r="G1788" s="152">
        <v>1057.6600000000001</v>
      </c>
      <c r="H1788" s="153">
        <v>113271.62</v>
      </c>
      <c r="I1788" s="153">
        <v>69797.64</v>
      </c>
      <c r="J1788" s="153">
        <v>35057.47</v>
      </c>
      <c r="K1788" s="153">
        <v>8416.51</v>
      </c>
      <c r="L1788" s="43">
        <v>7.7184374459131098</v>
      </c>
      <c r="M1788" s="43">
        <v>11.5</v>
      </c>
      <c r="N1788" s="43">
        <v>4.6443331337335927</v>
      </c>
      <c r="O1788" s="43">
        <v>7.9576707070325057</v>
      </c>
      <c r="P1788" s="154"/>
      <c r="Q1788" s="154"/>
      <c r="R1788" s="154">
        <v>11</v>
      </c>
    </row>
    <row r="1789" spans="1:18" ht="24">
      <c r="A1789" s="150">
        <v>165</v>
      </c>
      <c r="B1789" s="147" t="s">
        <v>3253</v>
      </c>
      <c r="C1789" s="151" t="s">
        <v>3254</v>
      </c>
      <c r="D1789" s="152">
        <v>11419.43</v>
      </c>
      <c r="E1789" s="152">
        <v>4526.2</v>
      </c>
      <c r="F1789" s="152">
        <v>6165.55</v>
      </c>
      <c r="G1789" s="152">
        <v>727.68</v>
      </c>
      <c r="H1789" s="153">
        <v>86451.72</v>
      </c>
      <c r="I1789" s="153">
        <v>52051.3</v>
      </c>
      <c r="J1789" s="153">
        <v>28580.98</v>
      </c>
      <c r="K1789" s="153">
        <v>5819.44</v>
      </c>
      <c r="L1789" s="43">
        <v>7.5705810184921667</v>
      </c>
      <c r="M1789" s="43">
        <v>11.500000000000002</v>
      </c>
      <c r="N1789" s="43">
        <v>4.6355929316930364</v>
      </c>
      <c r="O1789" s="43">
        <v>7.997251539138083</v>
      </c>
      <c r="P1789" s="154"/>
      <c r="Q1789" s="154"/>
      <c r="R1789" s="154">
        <v>11</v>
      </c>
    </row>
    <row r="1790" spans="1:18" ht="36">
      <c r="A1790" s="150">
        <v>166</v>
      </c>
      <c r="B1790" s="147" t="s">
        <v>3255</v>
      </c>
      <c r="C1790" s="151" t="s">
        <v>3256</v>
      </c>
      <c r="D1790" s="152">
        <v>2353.36</v>
      </c>
      <c r="E1790" s="152">
        <v>1107.6400000000001</v>
      </c>
      <c r="F1790" s="152">
        <v>1175.56</v>
      </c>
      <c r="G1790" s="152">
        <v>70.16</v>
      </c>
      <c r="H1790" s="153">
        <v>18875.61</v>
      </c>
      <c r="I1790" s="153">
        <v>12738.3</v>
      </c>
      <c r="J1790" s="153">
        <v>5624.27</v>
      </c>
      <c r="K1790" s="153">
        <v>513.04</v>
      </c>
      <c r="L1790" s="43">
        <v>8.0207065642315669</v>
      </c>
      <c r="M1790" s="43">
        <v>11.500397240980822</v>
      </c>
      <c r="N1790" s="43">
        <v>4.7843325734118212</v>
      </c>
      <c r="O1790" s="43">
        <v>7.3124287343215508</v>
      </c>
      <c r="P1790" s="154"/>
      <c r="Q1790" s="154"/>
      <c r="R1790" s="154">
        <v>11</v>
      </c>
    </row>
    <row r="1791" spans="1:18" ht="36">
      <c r="A1791" s="150">
        <v>167</v>
      </c>
      <c r="B1791" s="147" t="s">
        <v>3257</v>
      </c>
      <c r="C1791" s="151" t="s">
        <v>3258</v>
      </c>
      <c r="D1791" s="152">
        <v>9464.85</v>
      </c>
      <c r="E1791" s="152">
        <v>1884.36</v>
      </c>
      <c r="F1791" s="152">
        <v>7521.49</v>
      </c>
      <c r="G1791" s="152">
        <v>59</v>
      </c>
      <c r="H1791" s="153">
        <v>56446.37</v>
      </c>
      <c r="I1791" s="153">
        <v>21670.959999999999</v>
      </c>
      <c r="J1791" s="153">
        <v>34220.46</v>
      </c>
      <c r="K1791" s="153">
        <v>554.95000000000005</v>
      </c>
      <c r="L1791" s="43">
        <v>5.9637891778527923</v>
      </c>
      <c r="M1791" s="43">
        <v>11.500435161009573</v>
      </c>
      <c r="N1791" s="43">
        <v>4.549691616953556</v>
      </c>
      <c r="O1791" s="43">
        <v>9.4059322033898312</v>
      </c>
      <c r="P1791" s="154"/>
      <c r="Q1791" s="154"/>
      <c r="R1791" s="154">
        <v>11</v>
      </c>
    </row>
    <row r="1792" spans="1:18" ht="36">
      <c r="A1792" s="150">
        <v>168</v>
      </c>
      <c r="B1792" s="147" t="s">
        <v>3259</v>
      </c>
      <c r="C1792" s="151" t="s">
        <v>3260</v>
      </c>
      <c r="D1792" s="152">
        <v>7861.56</v>
      </c>
      <c r="E1792" s="152">
        <v>2115.52</v>
      </c>
      <c r="F1792" s="152">
        <v>5674.04</v>
      </c>
      <c r="G1792" s="152">
        <v>72</v>
      </c>
      <c r="H1792" s="153">
        <v>51037.07</v>
      </c>
      <c r="I1792" s="153">
        <v>24328.48</v>
      </c>
      <c r="J1792" s="153">
        <v>26012.35</v>
      </c>
      <c r="K1792" s="153">
        <v>696.24</v>
      </c>
      <c r="L1792" s="43">
        <v>6.4919774192399471</v>
      </c>
      <c r="M1792" s="43">
        <v>11.5</v>
      </c>
      <c r="N1792" s="43">
        <v>4.5844495280258863</v>
      </c>
      <c r="O1792" s="43">
        <v>9.67</v>
      </c>
      <c r="P1792" s="154"/>
      <c r="Q1792" s="154"/>
      <c r="R1792" s="154">
        <v>11</v>
      </c>
    </row>
    <row r="1793" spans="1:18" ht="24">
      <c r="A1793" s="150">
        <v>169</v>
      </c>
      <c r="B1793" s="147" t="s">
        <v>3261</v>
      </c>
      <c r="C1793" s="151" t="s">
        <v>3262</v>
      </c>
      <c r="D1793" s="152">
        <v>1033.3</v>
      </c>
      <c r="E1793" s="152">
        <v>610.33000000000004</v>
      </c>
      <c r="F1793" s="152">
        <v>372.61</v>
      </c>
      <c r="G1793" s="152">
        <v>50.36</v>
      </c>
      <c r="H1793" s="153">
        <v>9058.74</v>
      </c>
      <c r="I1793" s="153">
        <v>7018.82</v>
      </c>
      <c r="J1793" s="153">
        <v>1676.83</v>
      </c>
      <c r="K1793" s="153">
        <v>363.09</v>
      </c>
      <c r="L1793" s="43">
        <v>8.7668053808187363</v>
      </c>
      <c r="M1793" s="43">
        <v>11.500040961447084</v>
      </c>
      <c r="N1793" s="43">
        <v>4.5002281205550032</v>
      </c>
      <c r="O1793" s="43">
        <v>7.2098888006354249</v>
      </c>
      <c r="P1793" s="154"/>
      <c r="Q1793" s="154"/>
      <c r="R1793" s="154">
        <v>11</v>
      </c>
    </row>
    <row r="1794" spans="1:18" ht="24">
      <c r="A1794" s="150">
        <v>170</v>
      </c>
      <c r="B1794" s="147" t="s">
        <v>3263</v>
      </c>
      <c r="C1794" s="151" t="s">
        <v>3264</v>
      </c>
      <c r="D1794" s="152">
        <v>1237.18</v>
      </c>
      <c r="E1794" s="152">
        <v>742.96</v>
      </c>
      <c r="F1794" s="152">
        <v>363.31</v>
      </c>
      <c r="G1794" s="152">
        <v>130.91</v>
      </c>
      <c r="H1794" s="153">
        <v>11054.44</v>
      </c>
      <c r="I1794" s="153">
        <v>8544.09</v>
      </c>
      <c r="J1794" s="153">
        <v>1710.05</v>
      </c>
      <c r="K1794" s="153">
        <v>800.3</v>
      </c>
      <c r="L1794" s="43">
        <v>8.9351913222004882</v>
      </c>
      <c r="M1794" s="43">
        <v>11.500067298374072</v>
      </c>
      <c r="N1794" s="43">
        <v>4.7068619085629351</v>
      </c>
      <c r="O1794" s="43">
        <v>6.1133603238866394</v>
      </c>
      <c r="P1794" s="154"/>
      <c r="Q1794" s="154"/>
      <c r="R1794" s="154">
        <v>11</v>
      </c>
    </row>
    <row r="1795" spans="1:18" ht="12.75" customHeight="1">
      <c r="A1795" s="628" t="s">
        <v>3265</v>
      </c>
      <c r="B1795" s="629"/>
      <c r="C1795" s="629"/>
      <c r="D1795" s="629"/>
      <c r="E1795" s="629"/>
      <c r="F1795" s="629"/>
      <c r="G1795" s="629"/>
      <c r="H1795" s="629"/>
      <c r="I1795" s="629"/>
      <c r="J1795" s="629"/>
      <c r="K1795" s="629"/>
      <c r="L1795" s="629"/>
      <c r="M1795" s="629"/>
      <c r="N1795" s="629"/>
      <c r="O1795" s="629"/>
      <c r="P1795" s="629"/>
      <c r="Q1795" s="629"/>
      <c r="R1795" s="629"/>
    </row>
    <row r="1796" spans="1:18" ht="24">
      <c r="A1796" s="150">
        <v>171</v>
      </c>
      <c r="B1796" s="147" t="s">
        <v>3266</v>
      </c>
      <c r="C1796" s="151" t="s">
        <v>3267</v>
      </c>
      <c r="D1796" s="152">
        <v>6859.15</v>
      </c>
      <c r="E1796" s="152">
        <v>2041.05</v>
      </c>
      <c r="F1796" s="152">
        <v>4599.04</v>
      </c>
      <c r="G1796" s="152">
        <v>219.06</v>
      </c>
      <c r="H1796" s="153">
        <v>49548.61</v>
      </c>
      <c r="I1796" s="153">
        <v>23472.9</v>
      </c>
      <c r="J1796" s="153">
        <v>24608.58</v>
      </c>
      <c r="K1796" s="153">
        <v>1467.13</v>
      </c>
      <c r="L1796" s="43">
        <v>7.2237245139703905</v>
      </c>
      <c r="M1796" s="43">
        <v>11.500404203718675</v>
      </c>
      <c r="N1796" s="43">
        <v>5.35080799471194</v>
      </c>
      <c r="O1796" s="43">
        <v>6.6973888432392954</v>
      </c>
      <c r="P1796" s="154"/>
      <c r="Q1796" s="154"/>
      <c r="R1796" s="154">
        <v>12</v>
      </c>
    </row>
    <row r="1797" spans="1:18" ht="24">
      <c r="A1797" s="150">
        <v>172</v>
      </c>
      <c r="B1797" s="147" t="s">
        <v>3268</v>
      </c>
      <c r="C1797" s="151" t="s">
        <v>3269</v>
      </c>
      <c r="D1797" s="152">
        <v>6101.89</v>
      </c>
      <c r="E1797" s="152">
        <v>1113.9000000000001</v>
      </c>
      <c r="F1797" s="152">
        <v>4865.92</v>
      </c>
      <c r="G1797" s="152">
        <v>122.07</v>
      </c>
      <c r="H1797" s="153">
        <v>36981</v>
      </c>
      <c r="I1797" s="153">
        <v>12810.32</v>
      </c>
      <c r="J1797" s="153">
        <v>23339.06</v>
      </c>
      <c r="K1797" s="153">
        <v>831.62</v>
      </c>
      <c r="L1797" s="43">
        <v>6.0605812297501265</v>
      </c>
      <c r="M1797" s="43">
        <v>11.500421940928268</v>
      </c>
      <c r="N1797" s="43">
        <v>4.7964331513876104</v>
      </c>
      <c r="O1797" s="43">
        <v>6.8126484803801102</v>
      </c>
      <c r="P1797" s="154"/>
      <c r="Q1797" s="154"/>
      <c r="R1797" s="154">
        <v>12</v>
      </c>
    </row>
    <row r="1798" spans="1:18" ht="24">
      <c r="A1798" s="150">
        <v>173</v>
      </c>
      <c r="B1798" s="147" t="s">
        <v>3270</v>
      </c>
      <c r="C1798" s="151" t="s">
        <v>3271</v>
      </c>
      <c r="D1798" s="152">
        <v>4277.3900000000003</v>
      </c>
      <c r="E1798" s="152">
        <v>1061.97</v>
      </c>
      <c r="F1798" s="152">
        <v>3099.09</v>
      </c>
      <c r="G1798" s="152">
        <v>116.33</v>
      </c>
      <c r="H1798" s="153">
        <v>27144.94</v>
      </c>
      <c r="I1798" s="153">
        <v>12213.11</v>
      </c>
      <c r="J1798" s="153">
        <v>14105.42</v>
      </c>
      <c r="K1798" s="153">
        <v>826.41</v>
      </c>
      <c r="L1798" s="43">
        <v>6.3461456635939202</v>
      </c>
      <c r="M1798" s="43">
        <v>11.500428449014567</v>
      </c>
      <c r="N1798" s="43">
        <v>4.5514715610066183</v>
      </c>
      <c r="O1798" s="43">
        <v>7.1040144416745461</v>
      </c>
      <c r="P1798" s="154"/>
      <c r="Q1798" s="154"/>
      <c r="R1798" s="154">
        <v>12</v>
      </c>
    </row>
    <row r="1799" spans="1:18" ht="24">
      <c r="A1799" s="150">
        <v>174</v>
      </c>
      <c r="B1799" s="147" t="s">
        <v>3272</v>
      </c>
      <c r="C1799" s="151" t="s">
        <v>3273</v>
      </c>
      <c r="D1799" s="152">
        <v>3571.55</v>
      </c>
      <c r="E1799" s="152">
        <v>867.08</v>
      </c>
      <c r="F1799" s="152">
        <v>2632.99</v>
      </c>
      <c r="G1799" s="152">
        <v>71.48</v>
      </c>
      <c r="H1799" s="153">
        <v>22498</v>
      </c>
      <c r="I1799" s="153">
        <v>9971.7999999999993</v>
      </c>
      <c r="J1799" s="153">
        <v>11975.06</v>
      </c>
      <c r="K1799" s="153">
        <v>551.14</v>
      </c>
      <c r="L1799" s="43">
        <v>6.299225826321905</v>
      </c>
      <c r="M1799" s="43">
        <v>11.500438252525717</v>
      </c>
      <c r="N1799" s="43">
        <v>4.5480841172963062</v>
      </c>
      <c r="O1799" s="43">
        <v>7.710408505875769</v>
      </c>
      <c r="P1799" s="154"/>
      <c r="Q1799" s="154"/>
      <c r="R1799" s="154">
        <v>12</v>
      </c>
    </row>
    <row r="1800" spans="1:18" ht="24">
      <c r="A1800" s="150">
        <v>175</v>
      </c>
      <c r="B1800" s="147" t="s">
        <v>3274</v>
      </c>
      <c r="C1800" s="151" t="s">
        <v>3275</v>
      </c>
      <c r="D1800" s="152">
        <v>4526.8999999999996</v>
      </c>
      <c r="E1800" s="152">
        <v>715.68</v>
      </c>
      <c r="F1800" s="152">
        <v>3739.89</v>
      </c>
      <c r="G1800" s="152">
        <v>71.33</v>
      </c>
      <c r="H1800" s="153">
        <v>25926.639999999999</v>
      </c>
      <c r="I1800" s="153">
        <v>8230.32</v>
      </c>
      <c r="J1800" s="153">
        <v>17142.439999999999</v>
      </c>
      <c r="K1800" s="153">
        <v>553.88</v>
      </c>
      <c r="L1800" s="43">
        <v>5.7272393911948578</v>
      </c>
      <c r="M1800" s="43">
        <v>11.5</v>
      </c>
      <c r="N1800" s="43">
        <v>4.5836749209201342</v>
      </c>
      <c r="O1800" s="43">
        <v>7.7650357493340811</v>
      </c>
      <c r="P1800" s="154"/>
      <c r="Q1800" s="154"/>
      <c r="R1800" s="154">
        <v>12</v>
      </c>
    </row>
    <row r="1801" spans="1:18" ht="24">
      <c r="A1801" s="150">
        <v>176</v>
      </c>
      <c r="B1801" s="147" t="s">
        <v>3276</v>
      </c>
      <c r="C1801" s="151" t="s">
        <v>3277</v>
      </c>
      <c r="D1801" s="152">
        <v>3741.5</v>
      </c>
      <c r="E1801" s="152">
        <v>976.65</v>
      </c>
      <c r="F1801" s="152">
        <v>2647.18</v>
      </c>
      <c r="G1801" s="152">
        <v>117.67</v>
      </c>
      <c r="H1801" s="153">
        <v>24089.599999999999</v>
      </c>
      <c r="I1801" s="153">
        <v>11231.9</v>
      </c>
      <c r="J1801" s="153">
        <v>12028.64</v>
      </c>
      <c r="K1801" s="153">
        <v>829.06</v>
      </c>
      <c r="L1801" s="43">
        <v>6.4384872377388742</v>
      </c>
      <c r="M1801" s="43">
        <v>11.500435161009573</v>
      </c>
      <c r="N1801" s="43">
        <v>4.5439448771900661</v>
      </c>
      <c r="O1801" s="43">
        <v>7.0456361009603121</v>
      </c>
      <c r="P1801" s="154"/>
      <c r="Q1801" s="154"/>
      <c r="R1801" s="154">
        <v>12</v>
      </c>
    </row>
    <row r="1802" spans="1:18" ht="24">
      <c r="A1802" s="150">
        <v>177</v>
      </c>
      <c r="B1802" s="147" t="s">
        <v>3278</v>
      </c>
      <c r="C1802" s="151" t="s">
        <v>3279</v>
      </c>
      <c r="D1802" s="152">
        <v>3857.97</v>
      </c>
      <c r="E1802" s="152">
        <v>930.69</v>
      </c>
      <c r="F1802" s="152">
        <v>2757.22</v>
      </c>
      <c r="G1802" s="152">
        <v>170.06</v>
      </c>
      <c r="H1802" s="153">
        <v>24364.13</v>
      </c>
      <c r="I1802" s="153">
        <v>10703.34</v>
      </c>
      <c r="J1802" s="153">
        <v>12344.22</v>
      </c>
      <c r="K1802" s="153">
        <v>1316.57</v>
      </c>
      <c r="L1802" s="43">
        <v>6.3152720212961748</v>
      </c>
      <c r="M1802" s="43">
        <v>11.500435161009573</v>
      </c>
      <c r="N1802" s="43">
        <v>4.4770529736473694</v>
      </c>
      <c r="O1802" s="43">
        <v>7.7417970128190046</v>
      </c>
      <c r="P1802" s="154"/>
      <c r="Q1802" s="154"/>
      <c r="R1802" s="154">
        <v>12</v>
      </c>
    </row>
    <row r="1803" spans="1:18" ht="24">
      <c r="A1803" s="150">
        <v>178</v>
      </c>
      <c r="B1803" s="147" t="s">
        <v>3280</v>
      </c>
      <c r="C1803" s="151" t="s">
        <v>3281</v>
      </c>
      <c r="D1803" s="152">
        <v>18018.2</v>
      </c>
      <c r="E1803" s="152">
        <v>17427</v>
      </c>
      <c r="F1803" s="152">
        <v>109.42</v>
      </c>
      <c r="G1803" s="152">
        <v>481.78</v>
      </c>
      <c r="H1803" s="153">
        <v>205751.7</v>
      </c>
      <c r="I1803" s="153">
        <v>200410.5</v>
      </c>
      <c r="J1803" s="153">
        <v>587.47</v>
      </c>
      <c r="K1803" s="153">
        <v>4753.7299999999996</v>
      </c>
      <c r="L1803" s="43">
        <v>11.419104017049428</v>
      </c>
      <c r="M1803" s="43">
        <v>11.5</v>
      </c>
      <c r="N1803" s="43">
        <v>5.3689453481995981</v>
      </c>
      <c r="O1803" s="43">
        <v>9.8670139897878695</v>
      </c>
      <c r="P1803" s="154"/>
      <c r="Q1803" s="154"/>
      <c r="R1803" s="154">
        <v>12</v>
      </c>
    </row>
    <row r="1804" spans="1:18" ht="24">
      <c r="A1804" s="150">
        <v>179</v>
      </c>
      <c r="B1804" s="147" t="s">
        <v>3282</v>
      </c>
      <c r="C1804" s="151" t="s">
        <v>3283</v>
      </c>
      <c r="D1804" s="152">
        <v>21755.62</v>
      </c>
      <c r="E1804" s="152">
        <v>21084.34</v>
      </c>
      <c r="F1804" s="152">
        <v>112.75</v>
      </c>
      <c r="G1804" s="152">
        <v>558.53</v>
      </c>
      <c r="H1804" s="153">
        <v>248708.72</v>
      </c>
      <c r="I1804" s="153">
        <v>242479.52</v>
      </c>
      <c r="J1804" s="153">
        <v>607.72</v>
      </c>
      <c r="K1804" s="153">
        <v>5621.48</v>
      </c>
      <c r="L1804" s="43">
        <v>11.431929772628866</v>
      </c>
      <c r="M1804" s="43">
        <v>11.500455788514129</v>
      </c>
      <c r="N1804" s="43">
        <v>5.3899778270509984</v>
      </c>
      <c r="O1804" s="43">
        <v>10.06477718296242</v>
      </c>
      <c r="P1804" s="154"/>
      <c r="Q1804" s="154"/>
      <c r="R1804" s="154">
        <v>12</v>
      </c>
    </row>
    <row r="1805" spans="1:18" ht="24">
      <c r="A1805" s="150">
        <v>180</v>
      </c>
      <c r="B1805" s="147" t="s">
        <v>3284</v>
      </c>
      <c r="C1805" s="151" t="s">
        <v>3285</v>
      </c>
      <c r="D1805" s="152">
        <v>42481.18</v>
      </c>
      <c r="E1805" s="152">
        <v>41480.699999999997</v>
      </c>
      <c r="F1805" s="152">
        <v>96.93</v>
      </c>
      <c r="G1805" s="152">
        <v>903.55</v>
      </c>
      <c r="H1805" s="153">
        <v>487567.2</v>
      </c>
      <c r="I1805" s="153">
        <v>477028.05</v>
      </c>
      <c r="J1805" s="153">
        <v>521.28</v>
      </c>
      <c r="K1805" s="153">
        <v>10017.870000000001</v>
      </c>
      <c r="L1805" s="43">
        <v>11.477251808918679</v>
      </c>
      <c r="M1805" s="43">
        <v>11.5</v>
      </c>
      <c r="N1805" s="43">
        <v>5.3779015784586806</v>
      </c>
      <c r="O1805" s="43">
        <v>11.087233689336507</v>
      </c>
      <c r="P1805" s="154"/>
      <c r="Q1805" s="154"/>
      <c r="R1805" s="154">
        <v>12</v>
      </c>
    </row>
    <row r="1806" spans="1:18" ht="24">
      <c r="A1806" s="150">
        <v>181</v>
      </c>
      <c r="B1806" s="147" t="s">
        <v>3286</v>
      </c>
      <c r="C1806" s="151" t="s">
        <v>3287</v>
      </c>
      <c r="D1806" s="152">
        <v>16790.36</v>
      </c>
      <c r="E1806" s="152">
        <v>16289.91</v>
      </c>
      <c r="F1806" s="152">
        <v>98.07</v>
      </c>
      <c r="G1806" s="152">
        <v>402.38</v>
      </c>
      <c r="H1806" s="153">
        <v>192056.66</v>
      </c>
      <c r="I1806" s="153">
        <v>187341.57</v>
      </c>
      <c r="J1806" s="153">
        <v>527.34</v>
      </c>
      <c r="K1806" s="153">
        <v>4187.75</v>
      </c>
      <c r="L1806" s="43">
        <v>11.438507572202145</v>
      </c>
      <c r="M1806" s="43">
        <v>11.50046685340803</v>
      </c>
      <c r="N1806" s="43">
        <v>5.3771795656163972</v>
      </c>
      <c r="O1806" s="43">
        <v>10.407450668522293</v>
      </c>
      <c r="P1806" s="154"/>
      <c r="Q1806" s="154"/>
      <c r="R1806" s="154">
        <v>12</v>
      </c>
    </row>
    <row r="1807" spans="1:18" ht="24">
      <c r="A1807" s="150">
        <v>182</v>
      </c>
      <c r="B1807" s="147" t="s">
        <v>3288</v>
      </c>
      <c r="C1807" s="151" t="s">
        <v>3289</v>
      </c>
      <c r="D1807" s="152">
        <v>372267.94</v>
      </c>
      <c r="E1807" s="152">
        <v>364960.93</v>
      </c>
      <c r="F1807" s="152">
        <v>7.79</v>
      </c>
      <c r="G1807" s="152">
        <v>7299.22</v>
      </c>
      <c r="H1807" s="153">
        <v>4281945.53</v>
      </c>
      <c r="I1807" s="153">
        <v>4197217.04</v>
      </c>
      <c r="J1807" s="153">
        <v>57.54</v>
      </c>
      <c r="K1807" s="153">
        <v>84670.95</v>
      </c>
      <c r="L1807" s="43">
        <v>11.502321499938995</v>
      </c>
      <c r="M1807" s="43">
        <v>11.500455788514129</v>
      </c>
      <c r="N1807" s="43">
        <v>7.3863928112965338</v>
      </c>
      <c r="O1807" s="43">
        <v>11.500455788514129</v>
      </c>
      <c r="P1807" s="154"/>
      <c r="Q1807" s="154"/>
      <c r="R1807" s="154">
        <v>12</v>
      </c>
    </row>
    <row r="1808" spans="1:18" ht="24">
      <c r="A1808" s="150">
        <v>183</v>
      </c>
      <c r="B1808" s="147" t="s">
        <v>3290</v>
      </c>
      <c r="C1808" s="151" t="s">
        <v>3291</v>
      </c>
      <c r="D1808" s="152">
        <v>135530.99</v>
      </c>
      <c r="E1808" s="152">
        <v>132865.88</v>
      </c>
      <c r="F1808" s="152">
        <v>7.79</v>
      </c>
      <c r="G1808" s="152">
        <v>2657.32</v>
      </c>
      <c r="H1808" s="153">
        <v>1558840.07</v>
      </c>
      <c r="I1808" s="153">
        <v>1527957.62</v>
      </c>
      <c r="J1808" s="153">
        <v>57.54</v>
      </c>
      <c r="K1808" s="153">
        <v>30824.91</v>
      </c>
      <c r="L1808" s="43">
        <v>11.50172421820279</v>
      </c>
      <c r="M1808" s="43">
        <v>11.5</v>
      </c>
      <c r="N1808" s="43">
        <v>7.3863928112965338</v>
      </c>
      <c r="O1808" s="43">
        <v>11.500455788514129</v>
      </c>
      <c r="P1808" s="154"/>
      <c r="Q1808" s="154"/>
      <c r="R1808" s="154">
        <v>12</v>
      </c>
    </row>
    <row r="1809" spans="1:18" ht="24">
      <c r="A1809" s="150">
        <v>184</v>
      </c>
      <c r="B1809" s="147" t="s">
        <v>3292</v>
      </c>
      <c r="C1809" s="151" t="s">
        <v>3293</v>
      </c>
      <c r="D1809" s="152">
        <v>70315.94</v>
      </c>
      <c r="E1809" s="152">
        <v>68929.56</v>
      </c>
      <c r="F1809" s="152">
        <v>7.79</v>
      </c>
      <c r="G1809" s="152">
        <v>1378.59</v>
      </c>
      <c r="H1809" s="153">
        <v>808771.3</v>
      </c>
      <c r="I1809" s="153">
        <v>792722.12</v>
      </c>
      <c r="J1809" s="153">
        <v>57.54</v>
      </c>
      <c r="K1809" s="153">
        <v>15991.64</v>
      </c>
      <c r="L1809" s="43">
        <v>11.501962428433723</v>
      </c>
      <c r="M1809" s="43">
        <v>11.50046685340803</v>
      </c>
      <c r="N1809" s="43">
        <v>7.3863928112965338</v>
      </c>
      <c r="O1809" s="43">
        <v>11.500455788514129</v>
      </c>
      <c r="P1809" s="154"/>
      <c r="Q1809" s="154"/>
      <c r="R1809" s="154">
        <v>12</v>
      </c>
    </row>
    <row r="1810" spans="1:18" ht="24">
      <c r="A1810" s="150">
        <v>185</v>
      </c>
      <c r="B1810" s="147" t="s">
        <v>3294</v>
      </c>
      <c r="C1810" s="151" t="s">
        <v>3295</v>
      </c>
      <c r="D1810" s="152">
        <v>38504.67</v>
      </c>
      <c r="E1810" s="152">
        <v>37742.04</v>
      </c>
      <c r="F1810" s="152">
        <v>7.79</v>
      </c>
      <c r="G1810" s="152">
        <v>754.84</v>
      </c>
      <c r="H1810" s="153">
        <v>442864.76</v>
      </c>
      <c r="I1810" s="153">
        <v>434051.08</v>
      </c>
      <c r="J1810" s="153">
        <v>57.54</v>
      </c>
      <c r="K1810" s="153">
        <v>8756.14</v>
      </c>
      <c r="L1810" s="43">
        <v>11.501585651818338</v>
      </c>
      <c r="M1810" s="43">
        <v>11.50046685340803</v>
      </c>
      <c r="N1810" s="43">
        <v>7.3863928112965338</v>
      </c>
      <c r="O1810" s="43">
        <v>11.500455788514129</v>
      </c>
      <c r="P1810" s="154"/>
      <c r="Q1810" s="154"/>
      <c r="R1810" s="154">
        <v>12</v>
      </c>
    </row>
    <row r="1811" spans="1:18" ht="36">
      <c r="A1811" s="150">
        <v>186</v>
      </c>
      <c r="B1811" s="147" t="s">
        <v>3296</v>
      </c>
      <c r="C1811" s="151" t="s">
        <v>3297</v>
      </c>
      <c r="D1811" s="152">
        <v>3240.61</v>
      </c>
      <c r="E1811" s="152">
        <v>1214.02</v>
      </c>
      <c r="F1811" s="152">
        <v>1596.18</v>
      </c>
      <c r="G1811" s="152">
        <v>430.41</v>
      </c>
      <c r="H1811" s="153">
        <v>25121.91</v>
      </c>
      <c r="I1811" s="153">
        <v>13961.23</v>
      </c>
      <c r="J1811" s="153">
        <v>8332.32</v>
      </c>
      <c r="K1811" s="153">
        <v>2828.36</v>
      </c>
      <c r="L1811" s="43">
        <v>7.7522164037017722</v>
      </c>
      <c r="M1811" s="43">
        <v>11.5</v>
      </c>
      <c r="N1811" s="43">
        <v>5.2201631394955452</v>
      </c>
      <c r="O1811" s="43">
        <v>6.5713157222183503</v>
      </c>
      <c r="P1811" s="154"/>
      <c r="Q1811" s="154"/>
      <c r="R1811" s="154">
        <v>12</v>
      </c>
    </row>
    <row r="1812" spans="1:18" ht="36">
      <c r="A1812" s="150">
        <v>187</v>
      </c>
      <c r="B1812" s="147" t="s">
        <v>3298</v>
      </c>
      <c r="C1812" s="151" t="s">
        <v>3299</v>
      </c>
      <c r="D1812" s="152">
        <v>3058.87</v>
      </c>
      <c r="E1812" s="152">
        <v>736.22</v>
      </c>
      <c r="F1812" s="152">
        <v>2152.27</v>
      </c>
      <c r="G1812" s="152">
        <v>170.38</v>
      </c>
      <c r="H1812" s="153">
        <v>20230</v>
      </c>
      <c r="I1812" s="153">
        <v>8466.5300000000007</v>
      </c>
      <c r="J1812" s="153">
        <v>10558.82</v>
      </c>
      <c r="K1812" s="153">
        <v>1204.6500000000001</v>
      </c>
      <c r="L1812" s="43">
        <v>6.6135533710160948</v>
      </c>
      <c r="M1812" s="43">
        <v>11.5</v>
      </c>
      <c r="N1812" s="43">
        <v>4.9058993527763706</v>
      </c>
      <c r="O1812" s="43">
        <v>7.0703721094025127</v>
      </c>
      <c r="P1812" s="154"/>
      <c r="Q1812" s="154"/>
      <c r="R1812" s="154">
        <v>12</v>
      </c>
    </row>
    <row r="1813" spans="1:18" ht="36">
      <c r="A1813" s="150">
        <v>188</v>
      </c>
      <c r="B1813" s="147" t="s">
        <v>3300</v>
      </c>
      <c r="C1813" s="151" t="s">
        <v>3301</v>
      </c>
      <c r="D1813" s="152">
        <v>6034.53</v>
      </c>
      <c r="E1813" s="152">
        <v>1647.68</v>
      </c>
      <c r="F1813" s="152">
        <v>4174.22</v>
      </c>
      <c r="G1813" s="152">
        <v>212.63</v>
      </c>
      <c r="H1813" s="153">
        <v>40660.99</v>
      </c>
      <c r="I1813" s="153">
        <v>18948.32</v>
      </c>
      <c r="J1813" s="153">
        <v>20181.39</v>
      </c>
      <c r="K1813" s="153">
        <v>1531.28</v>
      </c>
      <c r="L1813" s="43">
        <v>6.7380541649473944</v>
      </c>
      <c r="M1813" s="43">
        <v>11.5</v>
      </c>
      <c r="N1813" s="43">
        <v>4.8347691305201925</v>
      </c>
      <c r="O1813" s="43">
        <v>7.2016178337957957</v>
      </c>
      <c r="P1813" s="154"/>
      <c r="Q1813" s="154"/>
      <c r="R1813" s="154">
        <v>12</v>
      </c>
    </row>
    <row r="1814" spans="1:18" ht="36">
      <c r="A1814" s="150">
        <v>189</v>
      </c>
      <c r="B1814" s="147" t="s">
        <v>3302</v>
      </c>
      <c r="C1814" s="151" t="s">
        <v>3303</v>
      </c>
      <c r="D1814" s="152">
        <v>5059.41</v>
      </c>
      <c r="E1814" s="152">
        <v>1390.29</v>
      </c>
      <c r="F1814" s="152">
        <v>3245.57</v>
      </c>
      <c r="G1814" s="152">
        <v>423.55</v>
      </c>
      <c r="H1814" s="153">
        <v>35000.81</v>
      </c>
      <c r="I1814" s="153">
        <v>15988.94</v>
      </c>
      <c r="J1814" s="153">
        <v>16082.45</v>
      </c>
      <c r="K1814" s="153">
        <v>2929.42</v>
      </c>
      <c r="L1814" s="43">
        <v>6.9179627664095218</v>
      </c>
      <c r="M1814" s="43">
        <v>11.500435161009575</v>
      </c>
      <c r="N1814" s="43">
        <v>4.9552004732604749</v>
      </c>
      <c r="O1814" s="43">
        <v>6.9163498996576553</v>
      </c>
      <c r="P1814" s="154"/>
      <c r="Q1814" s="154"/>
      <c r="R1814" s="154">
        <v>12</v>
      </c>
    </row>
    <row r="1815" spans="1:18" ht="48">
      <c r="A1815" s="150">
        <v>190</v>
      </c>
      <c r="B1815" s="147" t="s">
        <v>3304</v>
      </c>
      <c r="C1815" s="151" t="s">
        <v>3305</v>
      </c>
      <c r="D1815" s="152">
        <v>11493.42</v>
      </c>
      <c r="E1815" s="152">
        <v>3067.83</v>
      </c>
      <c r="F1815" s="152">
        <v>8217.7900000000009</v>
      </c>
      <c r="G1815" s="152">
        <v>207.8</v>
      </c>
      <c r="H1815" s="153">
        <v>75805.97</v>
      </c>
      <c r="I1815" s="153">
        <v>35281.379999999997</v>
      </c>
      <c r="J1815" s="153">
        <v>39031.71</v>
      </c>
      <c r="K1815" s="153">
        <v>1492.88</v>
      </c>
      <c r="L1815" s="43">
        <v>6.5955973069808636</v>
      </c>
      <c r="M1815" s="43">
        <v>11.500435161009573</v>
      </c>
      <c r="N1815" s="43">
        <v>4.7496601884448246</v>
      </c>
      <c r="O1815" s="43">
        <v>7.1842155919153035</v>
      </c>
      <c r="P1815" s="154"/>
      <c r="Q1815" s="154"/>
      <c r="R1815" s="154">
        <v>12</v>
      </c>
    </row>
    <row r="1816" spans="1:18" ht="48">
      <c r="A1816" s="150">
        <v>191</v>
      </c>
      <c r="B1816" s="147" t="s">
        <v>3306</v>
      </c>
      <c r="C1816" s="151" t="s">
        <v>3307</v>
      </c>
      <c r="D1816" s="152">
        <v>19471.169999999998</v>
      </c>
      <c r="E1816" s="152">
        <v>2783.2</v>
      </c>
      <c r="F1816" s="152">
        <v>16564.13</v>
      </c>
      <c r="G1816" s="152">
        <v>123.84</v>
      </c>
      <c r="H1816" s="153">
        <v>109175.29</v>
      </c>
      <c r="I1816" s="153">
        <v>32006.799999999999</v>
      </c>
      <c r="J1816" s="153">
        <v>76159.17</v>
      </c>
      <c r="K1816" s="153">
        <v>1009.32</v>
      </c>
      <c r="L1816" s="43">
        <v>5.6070225877541002</v>
      </c>
      <c r="M1816" s="43">
        <v>11.5</v>
      </c>
      <c r="N1816" s="43">
        <v>4.5978370128705821</v>
      </c>
      <c r="O1816" s="43">
        <v>8.150193798449612</v>
      </c>
      <c r="P1816" s="154"/>
      <c r="Q1816" s="154"/>
      <c r="R1816" s="154">
        <v>12</v>
      </c>
    </row>
    <row r="1817" spans="1:18" ht="36">
      <c r="A1817" s="150">
        <v>192</v>
      </c>
      <c r="B1817" s="147" t="s">
        <v>3308</v>
      </c>
      <c r="C1817" s="151" t="s">
        <v>3309</v>
      </c>
      <c r="D1817" s="152">
        <v>10402.44</v>
      </c>
      <c r="E1817" s="152">
        <v>4917.72</v>
      </c>
      <c r="F1817" s="152">
        <v>1546.26</v>
      </c>
      <c r="G1817" s="152">
        <v>3938.46</v>
      </c>
      <c r="H1817" s="153">
        <v>89298.5</v>
      </c>
      <c r="I1817" s="153">
        <v>56555.92</v>
      </c>
      <c r="J1817" s="153">
        <v>8011.05</v>
      </c>
      <c r="K1817" s="153">
        <v>24731.53</v>
      </c>
      <c r="L1817" s="43">
        <v>8.5843802031061944</v>
      </c>
      <c r="M1817" s="43">
        <v>11.500435161009573</v>
      </c>
      <c r="N1817" s="43">
        <v>5.1809204144193091</v>
      </c>
      <c r="O1817" s="43">
        <v>6.2794924919892541</v>
      </c>
      <c r="P1817" s="154"/>
      <c r="Q1817" s="154"/>
      <c r="R1817" s="154">
        <v>12</v>
      </c>
    </row>
    <row r="1818" spans="1:18" ht="36">
      <c r="A1818" s="150">
        <v>193</v>
      </c>
      <c r="B1818" s="147" t="s">
        <v>3310</v>
      </c>
      <c r="C1818" s="151" t="s">
        <v>3311</v>
      </c>
      <c r="D1818" s="152">
        <v>8338.7999999999993</v>
      </c>
      <c r="E1818" s="152">
        <v>5029.76</v>
      </c>
      <c r="F1818" s="152">
        <v>2313.63</v>
      </c>
      <c r="G1818" s="152">
        <v>995.41</v>
      </c>
      <c r="H1818" s="153">
        <v>77026.990000000005</v>
      </c>
      <c r="I1818" s="153">
        <v>57842.239999999998</v>
      </c>
      <c r="J1818" s="153">
        <v>11376.06</v>
      </c>
      <c r="K1818" s="153">
        <v>7808.69</v>
      </c>
      <c r="L1818" s="43">
        <v>9.2371792104379544</v>
      </c>
      <c r="M1818" s="43">
        <v>11.499999999999998</v>
      </c>
      <c r="N1818" s="43">
        <v>4.9169746242916972</v>
      </c>
      <c r="O1818" s="43">
        <v>7.8446971599642357</v>
      </c>
      <c r="P1818" s="154"/>
      <c r="Q1818" s="154"/>
      <c r="R1818" s="154">
        <v>12</v>
      </c>
    </row>
    <row r="1819" spans="1:18" ht="36">
      <c r="A1819" s="150">
        <v>194</v>
      </c>
      <c r="B1819" s="147" t="s">
        <v>3312</v>
      </c>
      <c r="C1819" s="151" t="s">
        <v>3313</v>
      </c>
      <c r="D1819" s="152">
        <v>34711.839999999997</v>
      </c>
      <c r="E1819" s="152">
        <v>6688</v>
      </c>
      <c r="F1819" s="152">
        <v>24998.3</v>
      </c>
      <c r="G1819" s="152">
        <v>3025.54</v>
      </c>
      <c r="H1819" s="153">
        <v>218635.12</v>
      </c>
      <c r="I1819" s="153">
        <v>76915.199999999997</v>
      </c>
      <c r="J1819" s="153">
        <v>116732.59</v>
      </c>
      <c r="K1819" s="153">
        <v>24987.33</v>
      </c>
      <c r="L1819" s="43">
        <v>6.2985747802478933</v>
      </c>
      <c r="M1819" s="43">
        <v>11.500478468899521</v>
      </c>
      <c r="N1819" s="43">
        <v>4.6696211342371283</v>
      </c>
      <c r="O1819" s="43">
        <v>8.2588000819688396</v>
      </c>
      <c r="P1819" s="154"/>
      <c r="Q1819" s="154"/>
      <c r="R1819" s="154">
        <v>12</v>
      </c>
    </row>
    <row r="1820" spans="1:18" ht="36">
      <c r="A1820" s="150">
        <v>195</v>
      </c>
      <c r="B1820" s="147" t="s">
        <v>3314</v>
      </c>
      <c r="C1820" s="151" t="s">
        <v>3315</v>
      </c>
      <c r="D1820" s="152">
        <v>10749.18</v>
      </c>
      <c r="E1820" s="152">
        <v>4825.8</v>
      </c>
      <c r="F1820" s="152">
        <v>1699.05</v>
      </c>
      <c r="G1820" s="152">
        <v>4224.33</v>
      </c>
      <c r="H1820" s="153">
        <v>90561.57</v>
      </c>
      <c r="I1820" s="153">
        <v>55498.8</v>
      </c>
      <c r="J1820" s="153">
        <v>8819.33</v>
      </c>
      <c r="K1820" s="153">
        <v>26243.439999999999</v>
      </c>
      <c r="L1820" s="43">
        <v>8.4249747422594101</v>
      </c>
      <c r="M1820" s="43">
        <v>11.500435161009573</v>
      </c>
      <c r="N1820" s="43">
        <v>5.1907418851711249</v>
      </c>
      <c r="O1820" s="43">
        <v>6.2124502583841696</v>
      </c>
      <c r="P1820" s="154"/>
      <c r="Q1820" s="154"/>
      <c r="R1820" s="154">
        <v>12</v>
      </c>
    </row>
    <row r="1821" spans="1:18" ht="36">
      <c r="A1821" s="150">
        <v>196</v>
      </c>
      <c r="B1821" s="147" t="s">
        <v>3316</v>
      </c>
      <c r="C1821" s="151" t="s">
        <v>3317</v>
      </c>
      <c r="D1821" s="152">
        <v>28144.38</v>
      </c>
      <c r="E1821" s="152">
        <v>6669.76</v>
      </c>
      <c r="F1821" s="152">
        <v>20170.099999999999</v>
      </c>
      <c r="G1821" s="152">
        <v>1304.52</v>
      </c>
      <c r="H1821" s="153">
        <v>187890.98</v>
      </c>
      <c r="I1821" s="153">
        <v>76705.279999999999</v>
      </c>
      <c r="J1821" s="153">
        <v>101182.64</v>
      </c>
      <c r="K1821" s="153">
        <v>10003.06</v>
      </c>
      <c r="L1821" s="43">
        <v>6.6759679907676066</v>
      </c>
      <c r="M1821" s="43">
        <v>11.500455788514129</v>
      </c>
      <c r="N1821" s="43">
        <v>5.0164669486021394</v>
      </c>
      <c r="O1821" s="43">
        <v>7.6680004906019068</v>
      </c>
      <c r="P1821" s="154"/>
      <c r="Q1821" s="154"/>
      <c r="R1821" s="154">
        <v>12</v>
      </c>
    </row>
    <row r="1822" spans="1:18" ht="36">
      <c r="A1822" s="150">
        <v>197</v>
      </c>
      <c r="B1822" s="147" t="s">
        <v>3318</v>
      </c>
      <c r="C1822" s="151" t="s">
        <v>3319</v>
      </c>
      <c r="D1822" s="152">
        <v>23429.65</v>
      </c>
      <c r="E1822" s="152">
        <v>12731.7</v>
      </c>
      <c r="F1822" s="152">
        <v>8393.2999999999993</v>
      </c>
      <c r="G1822" s="152">
        <v>2304.65</v>
      </c>
      <c r="H1822" s="153">
        <v>204867.99</v>
      </c>
      <c r="I1822" s="153">
        <v>146414.54999999999</v>
      </c>
      <c r="J1822" s="153">
        <v>41015.519999999997</v>
      </c>
      <c r="K1822" s="153">
        <v>17437.919999999998</v>
      </c>
      <c r="L1822" s="43">
        <v>8.7439628846354935</v>
      </c>
      <c r="M1822" s="43">
        <v>11.499999999999998</v>
      </c>
      <c r="N1822" s="43">
        <v>4.8866977231839686</v>
      </c>
      <c r="O1822" s="43">
        <v>7.5664070466231301</v>
      </c>
      <c r="P1822" s="154"/>
      <c r="Q1822" s="154"/>
      <c r="R1822" s="154">
        <v>12</v>
      </c>
    </row>
    <row r="1823" spans="1:18" ht="36">
      <c r="A1823" s="150">
        <v>198</v>
      </c>
      <c r="B1823" s="147" t="s">
        <v>3320</v>
      </c>
      <c r="C1823" s="151" t="s">
        <v>3321</v>
      </c>
      <c r="D1823" s="152">
        <v>23262.27</v>
      </c>
      <c r="E1823" s="152">
        <v>7733</v>
      </c>
      <c r="F1823" s="152">
        <v>13583.15</v>
      </c>
      <c r="G1823" s="152">
        <v>1946.12</v>
      </c>
      <c r="H1823" s="153">
        <v>170272.92</v>
      </c>
      <c r="I1823" s="153">
        <v>88933.2</v>
      </c>
      <c r="J1823" s="153">
        <v>65030.52</v>
      </c>
      <c r="K1823" s="153">
        <v>16309.2</v>
      </c>
      <c r="L1823" s="43">
        <v>7.3197035371010655</v>
      </c>
      <c r="M1823" s="43">
        <v>11.500478468899521</v>
      </c>
      <c r="N1823" s="43">
        <v>4.7875875625315185</v>
      </c>
      <c r="O1823" s="43">
        <v>8.3803670893881161</v>
      </c>
      <c r="P1823" s="154"/>
      <c r="Q1823" s="154"/>
      <c r="R1823" s="154">
        <v>12</v>
      </c>
    </row>
    <row r="1824" spans="1:18" ht="36">
      <c r="A1824" s="150">
        <v>199</v>
      </c>
      <c r="B1824" s="147" t="s">
        <v>3322</v>
      </c>
      <c r="C1824" s="151" t="s">
        <v>3323</v>
      </c>
      <c r="D1824" s="152">
        <v>3844.25</v>
      </c>
      <c r="E1824" s="152">
        <v>2757.6</v>
      </c>
      <c r="F1824" s="152">
        <v>629.97</v>
      </c>
      <c r="G1824" s="152">
        <v>456.68</v>
      </c>
      <c r="H1824" s="153">
        <v>37633.46</v>
      </c>
      <c r="I1824" s="153">
        <v>31713.599999999999</v>
      </c>
      <c r="J1824" s="153">
        <v>3123.3</v>
      </c>
      <c r="K1824" s="153">
        <v>2796.56</v>
      </c>
      <c r="L1824" s="43">
        <v>9.7895454249853682</v>
      </c>
      <c r="M1824" s="43">
        <v>11.500435161009573</v>
      </c>
      <c r="N1824" s="43">
        <v>4.9578551359588552</v>
      </c>
      <c r="O1824" s="43">
        <v>6.1236752211614256</v>
      </c>
      <c r="P1824" s="154"/>
      <c r="Q1824" s="154"/>
      <c r="R1824" s="154">
        <v>12</v>
      </c>
    </row>
    <row r="1825" spans="1:18" ht="36">
      <c r="A1825" s="150">
        <v>200</v>
      </c>
      <c r="B1825" s="147" t="s">
        <v>3324</v>
      </c>
      <c r="C1825" s="151" t="s">
        <v>3325</v>
      </c>
      <c r="D1825" s="152">
        <v>1956.44</v>
      </c>
      <c r="E1825" s="152">
        <v>1321.35</v>
      </c>
      <c r="F1825" s="152">
        <v>582.46</v>
      </c>
      <c r="G1825" s="152">
        <v>52.63</v>
      </c>
      <c r="H1825" s="153">
        <v>18460.009999999998</v>
      </c>
      <c r="I1825" s="153">
        <v>15196.1</v>
      </c>
      <c r="J1825" s="153">
        <v>2742.78</v>
      </c>
      <c r="K1825" s="153">
        <v>521.13</v>
      </c>
      <c r="L1825" s="43">
        <v>9.4355104168796373</v>
      </c>
      <c r="M1825" s="43">
        <v>11.500435161009575</v>
      </c>
      <c r="N1825" s="43">
        <v>4.7089585550939121</v>
      </c>
      <c r="O1825" s="43">
        <v>9.9017670530115893</v>
      </c>
      <c r="P1825" s="154"/>
      <c r="Q1825" s="154"/>
      <c r="R1825" s="154">
        <v>12</v>
      </c>
    </row>
    <row r="1826" spans="1:18" ht="36">
      <c r="A1826" s="150">
        <v>201</v>
      </c>
      <c r="B1826" s="147" t="s">
        <v>3326</v>
      </c>
      <c r="C1826" s="151" t="s">
        <v>3327</v>
      </c>
      <c r="D1826" s="152">
        <v>7869.66</v>
      </c>
      <c r="E1826" s="152">
        <v>5802.45</v>
      </c>
      <c r="F1826" s="152">
        <v>1951.16</v>
      </c>
      <c r="G1826" s="152">
        <v>116.05</v>
      </c>
      <c r="H1826" s="153">
        <v>76742.429999999993</v>
      </c>
      <c r="I1826" s="153">
        <v>66730.7</v>
      </c>
      <c r="J1826" s="153">
        <v>8665.5499999999993</v>
      </c>
      <c r="K1826" s="153">
        <v>1346.18</v>
      </c>
      <c r="L1826" s="43">
        <v>9.7516830460274004</v>
      </c>
      <c r="M1826" s="43">
        <v>11.500435161009573</v>
      </c>
      <c r="N1826" s="43">
        <v>4.4412298325098911</v>
      </c>
      <c r="O1826" s="43">
        <v>11.500435161009573</v>
      </c>
      <c r="P1826" s="154"/>
      <c r="Q1826" s="154"/>
      <c r="R1826" s="154">
        <v>12</v>
      </c>
    </row>
    <row r="1827" spans="1:18" ht="36">
      <c r="A1827" s="150">
        <v>202</v>
      </c>
      <c r="B1827" s="147" t="s">
        <v>3328</v>
      </c>
      <c r="C1827" s="151" t="s">
        <v>3329</v>
      </c>
      <c r="D1827" s="152">
        <v>17591.509999999998</v>
      </c>
      <c r="E1827" s="152">
        <v>11928</v>
      </c>
      <c r="F1827" s="152">
        <v>5424.95</v>
      </c>
      <c r="G1827" s="152">
        <v>238.56</v>
      </c>
      <c r="H1827" s="153">
        <v>164649.06</v>
      </c>
      <c r="I1827" s="153">
        <v>137172</v>
      </c>
      <c r="J1827" s="153">
        <v>24709.759999999998</v>
      </c>
      <c r="K1827" s="153">
        <v>2767.3</v>
      </c>
      <c r="L1827" s="43">
        <v>9.3595751586987141</v>
      </c>
      <c r="M1827" s="43">
        <v>11.5</v>
      </c>
      <c r="N1827" s="43">
        <v>4.5548364501055305</v>
      </c>
      <c r="O1827" s="43">
        <v>11.500435161009573</v>
      </c>
      <c r="P1827" s="154"/>
      <c r="Q1827" s="154"/>
      <c r="R1827" s="154">
        <v>12</v>
      </c>
    </row>
    <row r="1828" spans="1:18" ht="24">
      <c r="A1828" s="150">
        <v>203</v>
      </c>
      <c r="B1828" s="147" t="s">
        <v>3330</v>
      </c>
      <c r="C1828" s="151" t="s">
        <v>3331</v>
      </c>
      <c r="D1828" s="152">
        <v>3245.35</v>
      </c>
      <c r="E1828" s="152">
        <v>1187.7</v>
      </c>
      <c r="F1828" s="152">
        <v>1874.25</v>
      </c>
      <c r="G1828" s="152">
        <v>183.4</v>
      </c>
      <c r="H1828" s="153">
        <v>24044.19</v>
      </c>
      <c r="I1828" s="153">
        <v>13658.55</v>
      </c>
      <c r="J1828" s="153">
        <v>9258.6200000000008</v>
      </c>
      <c r="K1828" s="153">
        <v>1127.02</v>
      </c>
      <c r="L1828" s="43">
        <v>7.4088126088095274</v>
      </c>
      <c r="M1828" s="43">
        <v>11.499999999999998</v>
      </c>
      <c r="N1828" s="43">
        <v>4.9399066293183944</v>
      </c>
      <c r="O1828" s="43">
        <v>6.1451472191930208</v>
      </c>
      <c r="P1828" s="154"/>
      <c r="Q1828" s="154"/>
      <c r="R1828" s="154">
        <v>12</v>
      </c>
    </row>
    <row r="1829" spans="1:18" ht="24">
      <c r="A1829" s="150">
        <v>204</v>
      </c>
      <c r="B1829" s="147" t="s">
        <v>3332</v>
      </c>
      <c r="C1829" s="151" t="s">
        <v>3333</v>
      </c>
      <c r="D1829" s="152">
        <v>3895.42</v>
      </c>
      <c r="E1829" s="152">
        <v>1151.8499999999999</v>
      </c>
      <c r="F1829" s="152">
        <v>2584.89</v>
      </c>
      <c r="G1829" s="152">
        <v>158.68</v>
      </c>
      <c r="H1829" s="153">
        <v>26614.720000000001</v>
      </c>
      <c r="I1829" s="153">
        <v>13246.8</v>
      </c>
      <c r="J1829" s="153">
        <v>12377.19</v>
      </c>
      <c r="K1829" s="153">
        <v>990.73</v>
      </c>
      <c r="L1829" s="43">
        <v>6.8323107649496073</v>
      </c>
      <c r="M1829" s="43">
        <v>11.500455788514129</v>
      </c>
      <c r="N1829" s="43">
        <v>4.7882849947193113</v>
      </c>
      <c r="O1829" s="43">
        <v>6.2435719687421223</v>
      </c>
      <c r="P1829" s="154"/>
      <c r="Q1829" s="154"/>
      <c r="R1829" s="154">
        <v>12</v>
      </c>
    </row>
    <row r="1830" spans="1:18" ht="24">
      <c r="A1830" s="150">
        <v>205</v>
      </c>
      <c r="B1830" s="147" t="s">
        <v>3334</v>
      </c>
      <c r="C1830" s="151" t="s">
        <v>3335</v>
      </c>
      <c r="D1830" s="152">
        <v>3064.07</v>
      </c>
      <c r="E1830" s="152">
        <v>2328.8000000000002</v>
      </c>
      <c r="F1830" s="152">
        <v>601.52</v>
      </c>
      <c r="G1830" s="152">
        <v>133.75</v>
      </c>
      <c r="H1830" s="153">
        <v>30812.16</v>
      </c>
      <c r="I1830" s="153">
        <v>26781.200000000001</v>
      </c>
      <c r="J1830" s="153">
        <v>2996.48</v>
      </c>
      <c r="K1830" s="153">
        <v>1034.48</v>
      </c>
      <c r="L1830" s="43">
        <v>10.055958251606523</v>
      </c>
      <c r="M1830" s="43">
        <v>11.5</v>
      </c>
      <c r="N1830" s="43">
        <v>4.9815134991355237</v>
      </c>
      <c r="O1830" s="43">
        <v>7.7344299065420561</v>
      </c>
      <c r="P1830" s="154"/>
      <c r="Q1830" s="154"/>
      <c r="R1830" s="154">
        <v>12</v>
      </c>
    </row>
    <row r="1831" spans="1:18" ht="24">
      <c r="A1831" s="150">
        <v>206</v>
      </c>
      <c r="B1831" s="147" t="s">
        <v>3336</v>
      </c>
      <c r="C1831" s="151" t="s">
        <v>3337</v>
      </c>
      <c r="D1831" s="152">
        <v>6703.19</v>
      </c>
      <c r="E1831" s="152">
        <v>2476.48</v>
      </c>
      <c r="F1831" s="152">
        <v>3992.08</v>
      </c>
      <c r="G1831" s="152">
        <v>234.63</v>
      </c>
      <c r="H1831" s="153">
        <v>49041.55</v>
      </c>
      <c r="I1831" s="153">
        <v>28479.52</v>
      </c>
      <c r="J1831" s="153">
        <v>18989.080000000002</v>
      </c>
      <c r="K1831" s="153">
        <v>1572.95</v>
      </c>
      <c r="L1831" s="43">
        <v>7.3161509669276876</v>
      </c>
      <c r="M1831" s="43">
        <v>11.5</v>
      </c>
      <c r="N1831" s="43">
        <v>4.7566882427205872</v>
      </c>
      <c r="O1831" s="43">
        <v>6.7039594254784127</v>
      </c>
      <c r="P1831" s="154"/>
      <c r="Q1831" s="154"/>
      <c r="R1831" s="154">
        <v>12</v>
      </c>
    </row>
    <row r="1832" spans="1:18" ht="24">
      <c r="A1832" s="150">
        <v>207</v>
      </c>
      <c r="B1832" s="147" t="s">
        <v>3338</v>
      </c>
      <c r="C1832" s="151" t="s">
        <v>3339</v>
      </c>
      <c r="D1832" s="152">
        <v>62526.71</v>
      </c>
      <c r="E1832" s="152">
        <v>33223.94</v>
      </c>
      <c r="F1832" s="152">
        <v>24780.92</v>
      </c>
      <c r="G1832" s="152">
        <v>4521.8500000000004</v>
      </c>
      <c r="H1832" s="153">
        <v>544212.37</v>
      </c>
      <c r="I1832" s="153">
        <v>382088.02</v>
      </c>
      <c r="J1832" s="153">
        <v>132422.15</v>
      </c>
      <c r="K1832" s="153">
        <v>29702.2</v>
      </c>
      <c r="L1832" s="43">
        <v>8.7036783160348588</v>
      </c>
      <c r="M1832" s="43">
        <v>11.500382555470543</v>
      </c>
      <c r="N1832" s="43">
        <v>5.3437140348300227</v>
      </c>
      <c r="O1832" s="43">
        <v>6.5685947123411879</v>
      </c>
      <c r="P1832" s="154"/>
      <c r="Q1832" s="154"/>
      <c r="R1832" s="154">
        <v>12</v>
      </c>
    </row>
    <row r="1833" spans="1:18" ht="24">
      <c r="A1833" s="150">
        <v>208</v>
      </c>
      <c r="B1833" s="147" t="s">
        <v>3340</v>
      </c>
      <c r="C1833" s="151" t="s">
        <v>3341</v>
      </c>
      <c r="D1833" s="152">
        <v>59422.53</v>
      </c>
      <c r="E1833" s="152">
        <v>20734.5</v>
      </c>
      <c r="F1833" s="152">
        <v>34764.79</v>
      </c>
      <c r="G1833" s="152">
        <v>3923.24</v>
      </c>
      <c r="H1833" s="153">
        <v>435034.66</v>
      </c>
      <c r="I1833" s="153">
        <v>238446.75</v>
      </c>
      <c r="J1833" s="153">
        <v>173288.68</v>
      </c>
      <c r="K1833" s="153">
        <v>23299.23</v>
      </c>
      <c r="L1833" s="43">
        <v>7.3210390065855488</v>
      </c>
      <c r="M1833" s="43">
        <v>11.5</v>
      </c>
      <c r="N1833" s="43">
        <v>4.9846030998605197</v>
      </c>
      <c r="O1833" s="43">
        <v>5.9387725451412612</v>
      </c>
      <c r="P1833" s="154"/>
      <c r="Q1833" s="154"/>
      <c r="R1833" s="154">
        <v>12</v>
      </c>
    </row>
    <row r="1834" spans="1:18" ht="24">
      <c r="A1834" s="150">
        <v>209</v>
      </c>
      <c r="B1834" s="147" t="s">
        <v>3342</v>
      </c>
      <c r="C1834" s="151" t="s">
        <v>3343</v>
      </c>
      <c r="D1834" s="152">
        <v>92756.89</v>
      </c>
      <c r="E1834" s="152">
        <v>32129.46</v>
      </c>
      <c r="F1834" s="152">
        <v>57847.38</v>
      </c>
      <c r="G1834" s="152">
        <v>2780.05</v>
      </c>
      <c r="H1834" s="153">
        <v>675072.82</v>
      </c>
      <c r="I1834" s="153">
        <v>369488.79</v>
      </c>
      <c r="J1834" s="153">
        <v>285758.64</v>
      </c>
      <c r="K1834" s="153">
        <v>19825.39</v>
      </c>
      <c r="L1834" s="43">
        <v>7.277872511680803</v>
      </c>
      <c r="M1834" s="43">
        <v>11.5</v>
      </c>
      <c r="N1834" s="43">
        <v>4.9398717798455181</v>
      </c>
      <c r="O1834" s="43">
        <v>7.1313069908814581</v>
      </c>
      <c r="P1834" s="154"/>
      <c r="Q1834" s="154"/>
      <c r="R1834" s="154">
        <v>12</v>
      </c>
    </row>
    <row r="1835" spans="1:18" ht="24">
      <c r="A1835" s="150">
        <v>210</v>
      </c>
      <c r="B1835" s="147" t="s">
        <v>3344</v>
      </c>
      <c r="C1835" s="151" t="s">
        <v>3345</v>
      </c>
      <c r="D1835" s="152">
        <v>93958.35</v>
      </c>
      <c r="E1835" s="152">
        <v>31981.8</v>
      </c>
      <c r="F1835" s="152">
        <v>59291.42</v>
      </c>
      <c r="G1835" s="152">
        <v>2685.13</v>
      </c>
      <c r="H1835" s="153">
        <v>673641.96</v>
      </c>
      <c r="I1835" s="153">
        <v>367790.7</v>
      </c>
      <c r="J1835" s="153">
        <v>286294.82</v>
      </c>
      <c r="K1835" s="153">
        <v>19556.439999999999</v>
      </c>
      <c r="L1835" s="43">
        <v>7.1695805641542227</v>
      </c>
      <c r="M1835" s="43">
        <v>11.5</v>
      </c>
      <c r="N1835" s="43">
        <v>4.8286045434567093</v>
      </c>
      <c r="O1835" s="43">
        <v>7.2832376830916932</v>
      </c>
      <c r="P1835" s="154"/>
      <c r="Q1835" s="154"/>
      <c r="R1835" s="154">
        <v>12</v>
      </c>
    </row>
    <row r="1836" spans="1:18" ht="24">
      <c r="A1836" s="150">
        <v>211</v>
      </c>
      <c r="B1836" s="147" t="s">
        <v>3346</v>
      </c>
      <c r="C1836" s="151" t="s">
        <v>3347</v>
      </c>
      <c r="D1836" s="152">
        <v>76010.09</v>
      </c>
      <c r="E1836" s="152">
        <v>28089.599999999999</v>
      </c>
      <c r="F1836" s="152">
        <v>45017.94</v>
      </c>
      <c r="G1836" s="152">
        <v>2902.55</v>
      </c>
      <c r="H1836" s="153">
        <v>564824.12</v>
      </c>
      <c r="I1836" s="153">
        <v>323030.40000000002</v>
      </c>
      <c r="J1836" s="153">
        <v>221934.24</v>
      </c>
      <c r="K1836" s="153">
        <v>19859.48</v>
      </c>
      <c r="L1836" s="43">
        <v>7.4309097647430757</v>
      </c>
      <c r="M1836" s="43">
        <v>11.500000000000002</v>
      </c>
      <c r="N1836" s="43">
        <v>4.9299066105645881</v>
      </c>
      <c r="O1836" s="43">
        <v>6.8420802397891505</v>
      </c>
      <c r="P1836" s="154"/>
      <c r="Q1836" s="154"/>
      <c r="R1836" s="154">
        <v>12</v>
      </c>
    </row>
    <row r="1837" spans="1:18" ht="24">
      <c r="A1837" s="150">
        <v>212</v>
      </c>
      <c r="B1837" s="147" t="s">
        <v>3348</v>
      </c>
      <c r="C1837" s="151" t="s">
        <v>3349</v>
      </c>
      <c r="D1837" s="152">
        <v>187435.1</v>
      </c>
      <c r="E1837" s="152">
        <v>84607.38</v>
      </c>
      <c r="F1837" s="152">
        <v>90086.31</v>
      </c>
      <c r="G1837" s="152">
        <v>12741.41</v>
      </c>
      <c r="H1837" s="153">
        <v>1478729.84</v>
      </c>
      <c r="I1837" s="153">
        <v>972984.87</v>
      </c>
      <c r="J1837" s="153">
        <v>425421.02</v>
      </c>
      <c r="K1837" s="153">
        <v>80323.95</v>
      </c>
      <c r="L1837" s="43">
        <v>7.8892898928749204</v>
      </c>
      <c r="M1837" s="43">
        <v>11.5</v>
      </c>
      <c r="N1837" s="43">
        <v>4.7223714679844253</v>
      </c>
      <c r="O1837" s="43">
        <v>6.3041649236622943</v>
      </c>
      <c r="P1837" s="154"/>
      <c r="Q1837" s="154"/>
      <c r="R1837" s="154">
        <v>12</v>
      </c>
    </row>
    <row r="1838" spans="1:18" ht="12.75" customHeight="1">
      <c r="A1838" s="628" t="s">
        <v>3350</v>
      </c>
      <c r="B1838" s="629"/>
      <c r="C1838" s="629"/>
      <c r="D1838" s="629"/>
      <c r="E1838" s="629"/>
      <c r="F1838" s="629"/>
      <c r="G1838" s="629"/>
      <c r="H1838" s="629"/>
      <c r="I1838" s="629"/>
      <c r="J1838" s="629"/>
      <c r="K1838" s="629"/>
      <c r="L1838" s="629"/>
      <c r="M1838" s="629"/>
      <c r="N1838" s="629"/>
      <c r="O1838" s="629"/>
      <c r="P1838" s="629"/>
      <c r="Q1838" s="629"/>
      <c r="R1838" s="629"/>
    </row>
    <row r="1839" spans="1:18" ht="60">
      <c r="A1839" s="150">
        <v>213</v>
      </c>
      <c r="B1839" s="147" t="s">
        <v>3351</v>
      </c>
      <c r="C1839" s="151" t="s">
        <v>3352</v>
      </c>
      <c r="D1839" s="152">
        <v>12811.3</v>
      </c>
      <c r="E1839" s="152">
        <v>4633.3500000000004</v>
      </c>
      <c r="F1839" s="152">
        <v>412.38</v>
      </c>
      <c r="G1839" s="152">
        <v>7765.57</v>
      </c>
      <c r="H1839" s="153">
        <v>95826.27</v>
      </c>
      <c r="I1839" s="153">
        <v>53285.48</v>
      </c>
      <c r="J1839" s="153">
        <v>2180.35</v>
      </c>
      <c r="K1839" s="153">
        <v>40360.44</v>
      </c>
      <c r="L1839" s="43">
        <v>7.4798240615706453</v>
      </c>
      <c r="M1839" s="43">
        <v>11.50042194092827</v>
      </c>
      <c r="N1839" s="43">
        <v>5.2872350744458991</v>
      </c>
      <c r="O1839" s="43">
        <v>5.1973570517038681</v>
      </c>
      <c r="P1839" s="154"/>
      <c r="Q1839" s="154"/>
      <c r="R1839" s="154">
        <v>13</v>
      </c>
    </row>
    <row r="1840" spans="1:18" ht="60">
      <c r="A1840" s="150">
        <v>214</v>
      </c>
      <c r="B1840" s="147" t="s">
        <v>3353</v>
      </c>
      <c r="C1840" s="151" t="s">
        <v>3354</v>
      </c>
      <c r="D1840" s="152">
        <v>19916.59</v>
      </c>
      <c r="E1840" s="152">
        <v>6138.3</v>
      </c>
      <c r="F1840" s="152">
        <v>474.57</v>
      </c>
      <c r="G1840" s="152">
        <v>13303.72</v>
      </c>
      <c r="H1840" s="153">
        <v>141972.4</v>
      </c>
      <c r="I1840" s="153">
        <v>70593.039999999994</v>
      </c>
      <c r="J1840" s="153">
        <v>2508.85</v>
      </c>
      <c r="K1840" s="153">
        <v>68870.509999999995</v>
      </c>
      <c r="L1840" s="43">
        <v>7.1283487785810724</v>
      </c>
      <c r="M1840" s="43">
        <v>11.500421940928268</v>
      </c>
      <c r="N1840" s="43">
        <v>5.2865752154582042</v>
      </c>
      <c r="O1840" s="43">
        <v>5.1767858914649434</v>
      </c>
      <c r="P1840" s="154"/>
      <c r="Q1840" s="154"/>
      <c r="R1840" s="154">
        <v>13</v>
      </c>
    </row>
    <row r="1841" spans="1:18" ht="60">
      <c r="A1841" s="150">
        <v>215</v>
      </c>
      <c r="B1841" s="147" t="s">
        <v>3355</v>
      </c>
      <c r="C1841" s="151" t="s">
        <v>3356</v>
      </c>
      <c r="D1841" s="152">
        <v>19801.310000000001</v>
      </c>
      <c r="E1841" s="152">
        <v>7110.48</v>
      </c>
      <c r="F1841" s="152">
        <v>691.27</v>
      </c>
      <c r="G1841" s="152">
        <v>11999.56</v>
      </c>
      <c r="H1841" s="153">
        <v>147622.14000000001</v>
      </c>
      <c r="I1841" s="153">
        <v>81770.52</v>
      </c>
      <c r="J1841" s="153">
        <v>3654.91</v>
      </c>
      <c r="K1841" s="153">
        <v>62196.71</v>
      </c>
      <c r="L1841" s="43">
        <v>7.4551703902418582</v>
      </c>
      <c r="M1841" s="43">
        <v>11.500000000000002</v>
      </c>
      <c r="N1841" s="43">
        <v>5.2872394288772835</v>
      </c>
      <c r="O1841" s="43">
        <v>5.1832492191380348</v>
      </c>
      <c r="P1841" s="154"/>
      <c r="Q1841" s="154"/>
      <c r="R1841" s="154">
        <v>13</v>
      </c>
    </row>
    <row r="1842" spans="1:18" ht="60">
      <c r="A1842" s="150">
        <v>216</v>
      </c>
      <c r="B1842" s="147" t="s">
        <v>3357</v>
      </c>
      <c r="C1842" s="151" t="s">
        <v>3358</v>
      </c>
      <c r="D1842" s="152">
        <v>34543.89</v>
      </c>
      <c r="E1842" s="152">
        <v>9764.4</v>
      </c>
      <c r="F1842" s="152">
        <v>851.74</v>
      </c>
      <c r="G1842" s="152">
        <v>23927.75</v>
      </c>
      <c r="H1842" s="153">
        <v>240098.03</v>
      </c>
      <c r="I1842" s="153">
        <v>112294.72</v>
      </c>
      <c r="J1842" s="153">
        <v>4502.76</v>
      </c>
      <c r="K1842" s="153">
        <v>123300.55</v>
      </c>
      <c r="L1842" s="43">
        <v>6.9505209170131099</v>
      </c>
      <c r="M1842" s="43">
        <v>11.50042194092827</v>
      </c>
      <c r="N1842" s="43">
        <v>5.2865428417122597</v>
      </c>
      <c r="O1842" s="43">
        <v>5.1530357012255648</v>
      </c>
      <c r="P1842" s="154"/>
      <c r="Q1842" s="154"/>
      <c r="R1842" s="154">
        <v>13</v>
      </c>
    </row>
    <row r="1843" spans="1:18" ht="60">
      <c r="A1843" s="150">
        <v>217</v>
      </c>
      <c r="B1843" s="147" t="s">
        <v>3359</v>
      </c>
      <c r="C1843" s="151" t="s">
        <v>3360</v>
      </c>
      <c r="D1843" s="152">
        <v>84429.25</v>
      </c>
      <c r="E1843" s="152">
        <v>27109.41</v>
      </c>
      <c r="F1843" s="152">
        <v>2001.49</v>
      </c>
      <c r="G1843" s="152">
        <v>55318.35</v>
      </c>
      <c r="H1843" s="153">
        <v>615954.21</v>
      </c>
      <c r="I1843" s="153">
        <v>311769.83</v>
      </c>
      <c r="J1843" s="153">
        <v>10581.57</v>
      </c>
      <c r="K1843" s="153">
        <v>293602.81</v>
      </c>
      <c r="L1843" s="43">
        <v>7.2955073034522986</v>
      </c>
      <c r="M1843" s="43">
        <v>11.500428449014567</v>
      </c>
      <c r="N1843" s="43">
        <v>5.286846299506867</v>
      </c>
      <c r="O1843" s="43">
        <v>5.3075120642607745</v>
      </c>
      <c r="P1843" s="154"/>
      <c r="Q1843" s="154"/>
      <c r="R1843" s="154">
        <v>13</v>
      </c>
    </row>
    <row r="1844" spans="1:18" ht="60">
      <c r="A1844" s="150">
        <v>218</v>
      </c>
      <c r="B1844" s="147" t="s">
        <v>3361</v>
      </c>
      <c r="C1844" s="151" t="s">
        <v>3362</v>
      </c>
      <c r="D1844" s="152">
        <v>51312.29</v>
      </c>
      <c r="E1844" s="152">
        <v>33097.050000000003</v>
      </c>
      <c r="F1844" s="152">
        <v>633.57000000000005</v>
      </c>
      <c r="G1844" s="152">
        <v>17581.669999999998</v>
      </c>
      <c r="H1844" s="153">
        <v>480188.2</v>
      </c>
      <c r="I1844" s="153">
        <v>380630.04</v>
      </c>
      <c r="J1844" s="153">
        <v>3349.81</v>
      </c>
      <c r="K1844" s="153">
        <v>96208.35</v>
      </c>
      <c r="L1844" s="43">
        <v>9.3581518189891746</v>
      </c>
      <c r="M1844" s="43">
        <v>11.500421940928268</v>
      </c>
      <c r="N1844" s="43">
        <v>5.2871979418217396</v>
      </c>
      <c r="O1844" s="43">
        <v>5.4720825723608746</v>
      </c>
      <c r="P1844" s="154"/>
      <c r="Q1844" s="154"/>
      <c r="R1844" s="154">
        <v>13</v>
      </c>
    </row>
    <row r="1845" spans="1:18" ht="60">
      <c r="A1845" s="150">
        <v>219</v>
      </c>
      <c r="B1845" s="147" t="s">
        <v>3363</v>
      </c>
      <c r="C1845" s="151" t="s">
        <v>3364</v>
      </c>
      <c r="D1845" s="152">
        <v>57580.57</v>
      </c>
      <c r="E1845" s="152">
        <v>34764.93</v>
      </c>
      <c r="F1845" s="152">
        <v>779.3</v>
      </c>
      <c r="G1845" s="152">
        <v>22036.34</v>
      </c>
      <c r="H1845" s="153">
        <v>527686.55000000005</v>
      </c>
      <c r="I1845" s="153">
        <v>399811.59</v>
      </c>
      <c r="J1845" s="153">
        <v>4120.26</v>
      </c>
      <c r="K1845" s="153">
        <v>123754.7</v>
      </c>
      <c r="L1845" s="43">
        <v>9.1643161920765994</v>
      </c>
      <c r="M1845" s="43">
        <v>11.500428449014567</v>
      </c>
      <c r="N1845" s="43">
        <v>5.2871294751700253</v>
      </c>
      <c r="O1845" s="43">
        <v>5.6159371293055012</v>
      </c>
      <c r="P1845" s="154"/>
      <c r="Q1845" s="154"/>
      <c r="R1845" s="154">
        <v>13</v>
      </c>
    </row>
    <row r="1846" spans="1:18" ht="60">
      <c r="A1846" s="150">
        <v>220</v>
      </c>
      <c r="B1846" s="147" t="s">
        <v>3365</v>
      </c>
      <c r="C1846" s="151" t="s">
        <v>3366</v>
      </c>
      <c r="D1846" s="152">
        <v>73072.929999999993</v>
      </c>
      <c r="E1846" s="152">
        <v>46143.9</v>
      </c>
      <c r="F1846" s="152">
        <v>901.9</v>
      </c>
      <c r="G1846" s="152">
        <v>26027.13</v>
      </c>
      <c r="H1846" s="153">
        <v>681167.04</v>
      </c>
      <c r="I1846" s="153">
        <v>530674.31999999995</v>
      </c>
      <c r="J1846" s="153">
        <v>4768.4399999999996</v>
      </c>
      <c r="K1846" s="153">
        <v>145724.28</v>
      </c>
      <c r="L1846" s="43">
        <v>9.3217425385843988</v>
      </c>
      <c r="M1846" s="43">
        <v>11.500421940928268</v>
      </c>
      <c r="N1846" s="43">
        <v>5.2871050005543845</v>
      </c>
      <c r="O1846" s="43">
        <v>5.5989377238289428</v>
      </c>
      <c r="P1846" s="154"/>
      <c r="Q1846" s="154"/>
      <c r="R1846" s="154">
        <v>13</v>
      </c>
    </row>
    <row r="1847" spans="1:18" ht="60">
      <c r="A1847" s="150">
        <v>221</v>
      </c>
      <c r="B1847" s="147" t="s">
        <v>3367</v>
      </c>
      <c r="C1847" s="151" t="s">
        <v>3368</v>
      </c>
      <c r="D1847" s="152">
        <v>98039.7</v>
      </c>
      <c r="E1847" s="152">
        <v>56331.09</v>
      </c>
      <c r="F1847" s="152">
        <v>1410.16</v>
      </c>
      <c r="G1847" s="152">
        <v>40298.449999999997</v>
      </c>
      <c r="H1847" s="153">
        <v>880571.29</v>
      </c>
      <c r="I1847" s="153">
        <v>647831.67000000004</v>
      </c>
      <c r="J1847" s="153">
        <v>7455.48</v>
      </c>
      <c r="K1847" s="153">
        <v>225284.14</v>
      </c>
      <c r="L1847" s="43">
        <v>8.9817827879930281</v>
      </c>
      <c r="M1847" s="43">
        <v>11.500428449014569</v>
      </c>
      <c r="N1847" s="43">
        <v>5.2869745277131663</v>
      </c>
      <c r="O1847" s="43">
        <v>5.5903921862999697</v>
      </c>
      <c r="P1847" s="154"/>
      <c r="Q1847" s="154"/>
      <c r="R1847" s="154">
        <v>13</v>
      </c>
    </row>
    <row r="1848" spans="1:18" ht="60">
      <c r="A1848" s="150">
        <v>222</v>
      </c>
      <c r="B1848" s="147" t="s">
        <v>3369</v>
      </c>
      <c r="C1848" s="151" t="s">
        <v>3370</v>
      </c>
      <c r="D1848" s="152">
        <v>149519.65</v>
      </c>
      <c r="E1848" s="152">
        <v>86042.91</v>
      </c>
      <c r="F1848" s="152">
        <v>2020.29</v>
      </c>
      <c r="G1848" s="152">
        <v>61456.45</v>
      </c>
      <c r="H1848" s="153">
        <v>1363075.22</v>
      </c>
      <c r="I1848" s="153">
        <v>989530.33</v>
      </c>
      <c r="J1848" s="153">
        <v>10681.12</v>
      </c>
      <c r="K1848" s="153">
        <v>362863.77</v>
      </c>
      <c r="L1848" s="43">
        <v>9.1163617624840612</v>
      </c>
      <c r="M1848" s="43">
        <v>11.500428449014567</v>
      </c>
      <c r="N1848" s="43">
        <v>5.2869241544530743</v>
      </c>
      <c r="O1848" s="43">
        <v>5.9044049892240773</v>
      </c>
      <c r="P1848" s="154"/>
      <c r="Q1848" s="154"/>
      <c r="R1848" s="154">
        <v>13</v>
      </c>
    </row>
    <row r="1849" spans="1:18" ht="60">
      <c r="A1849" s="150">
        <v>223</v>
      </c>
      <c r="B1849" s="147" t="s">
        <v>3371</v>
      </c>
      <c r="C1849" s="151" t="s">
        <v>3372</v>
      </c>
      <c r="D1849" s="152">
        <v>59117.16</v>
      </c>
      <c r="E1849" s="152">
        <v>35418.449999999997</v>
      </c>
      <c r="F1849" s="152">
        <v>860.37</v>
      </c>
      <c r="G1849" s="152">
        <v>22838.34</v>
      </c>
      <c r="H1849" s="153">
        <v>535161.11</v>
      </c>
      <c r="I1849" s="153">
        <v>407327.35</v>
      </c>
      <c r="J1849" s="153">
        <v>4548.92</v>
      </c>
      <c r="K1849" s="153">
        <v>123284.84</v>
      </c>
      <c r="L1849" s="43">
        <v>9.0525510697739868</v>
      </c>
      <c r="M1849" s="43">
        <v>11.500428449014567</v>
      </c>
      <c r="N1849" s="43">
        <v>5.2871671490172831</v>
      </c>
      <c r="O1849" s="43">
        <v>5.3981524051222634</v>
      </c>
      <c r="P1849" s="154"/>
      <c r="Q1849" s="154"/>
      <c r="R1849" s="154">
        <v>13</v>
      </c>
    </row>
    <row r="1850" spans="1:18" ht="60">
      <c r="A1850" s="150">
        <v>224</v>
      </c>
      <c r="B1850" s="147" t="s">
        <v>3373</v>
      </c>
      <c r="C1850" s="151" t="s">
        <v>3374</v>
      </c>
      <c r="D1850" s="152">
        <v>67520.91</v>
      </c>
      <c r="E1850" s="152">
        <v>34869.96</v>
      </c>
      <c r="F1850" s="152">
        <v>1145.82</v>
      </c>
      <c r="G1850" s="152">
        <v>31505.13</v>
      </c>
      <c r="H1850" s="153">
        <v>579336.5</v>
      </c>
      <c r="I1850" s="153">
        <v>401019.48</v>
      </c>
      <c r="J1850" s="153">
        <v>6058.13</v>
      </c>
      <c r="K1850" s="153">
        <v>172258.89</v>
      </c>
      <c r="L1850" s="43">
        <v>8.5801050370914727</v>
      </c>
      <c r="M1850" s="43">
        <v>11.500428449014567</v>
      </c>
      <c r="N1850" s="43">
        <v>5.2871567960063537</v>
      </c>
      <c r="O1850" s="43">
        <v>5.4676457453119545</v>
      </c>
      <c r="P1850" s="154"/>
      <c r="Q1850" s="154"/>
      <c r="R1850" s="154">
        <v>13</v>
      </c>
    </row>
    <row r="1851" spans="1:18" ht="60">
      <c r="A1851" s="150">
        <v>225</v>
      </c>
      <c r="B1851" s="147" t="s">
        <v>3375</v>
      </c>
      <c r="C1851" s="151" t="s">
        <v>3376</v>
      </c>
      <c r="D1851" s="152">
        <v>114261.51</v>
      </c>
      <c r="E1851" s="152">
        <v>63449.79</v>
      </c>
      <c r="F1851" s="152">
        <v>1173.51</v>
      </c>
      <c r="G1851" s="152">
        <v>49638.21</v>
      </c>
      <c r="H1851" s="153">
        <v>1005197.57</v>
      </c>
      <c r="I1851" s="153">
        <v>729699.77</v>
      </c>
      <c r="J1851" s="153">
        <v>6204.64</v>
      </c>
      <c r="K1851" s="153">
        <v>269293.15999999997</v>
      </c>
      <c r="L1851" s="43">
        <v>8.7973419045486096</v>
      </c>
      <c r="M1851" s="43">
        <v>11.500428449014567</v>
      </c>
      <c r="N1851" s="43">
        <v>5.2872493630220454</v>
      </c>
      <c r="O1851" s="43">
        <v>5.4251182707837362</v>
      </c>
      <c r="P1851" s="154"/>
      <c r="Q1851" s="154"/>
      <c r="R1851" s="154">
        <v>13</v>
      </c>
    </row>
    <row r="1852" spans="1:18" ht="60">
      <c r="A1852" s="150">
        <v>226</v>
      </c>
      <c r="B1852" s="147" t="s">
        <v>3377</v>
      </c>
      <c r="C1852" s="151" t="s">
        <v>3378</v>
      </c>
      <c r="D1852" s="152">
        <v>97219.78</v>
      </c>
      <c r="E1852" s="152">
        <v>67522.62</v>
      </c>
      <c r="F1852" s="152">
        <v>1071.1500000000001</v>
      </c>
      <c r="G1852" s="152">
        <v>28626.01</v>
      </c>
      <c r="H1852" s="153">
        <v>940169.69</v>
      </c>
      <c r="I1852" s="153">
        <v>776539.06</v>
      </c>
      <c r="J1852" s="153">
        <v>5663.67</v>
      </c>
      <c r="K1852" s="153">
        <v>157966.96</v>
      </c>
      <c r="L1852" s="43">
        <v>9.6705597358891371</v>
      </c>
      <c r="M1852" s="43">
        <v>11.500428449014569</v>
      </c>
      <c r="N1852" s="43">
        <v>5.287466741352751</v>
      </c>
      <c r="O1852" s="43">
        <v>5.5183017123238622</v>
      </c>
      <c r="P1852" s="154"/>
      <c r="Q1852" s="154"/>
      <c r="R1852" s="154">
        <v>13</v>
      </c>
    </row>
    <row r="1853" spans="1:18" ht="60">
      <c r="A1853" s="150">
        <v>227</v>
      </c>
      <c r="B1853" s="147" t="s">
        <v>3379</v>
      </c>
      <c r="C1853" s="151" t="s">
        <v>3380</v>
      </c>
      <c r="D1853" s="152">
        <v>142007.23000000001</v>
      </c>
      <c r="E1853" s="152">
        <v>94725.39</v>
      </c>
      <c r="F1853" s="152">
        <v>1646.94</v>
      </c>
      <c r="G1853" s="152">
        <v>45634.9</v>
      </c>
      <c r="H1853" s="153">
        <v>1355923.59</v>
      </c>
      <c r="I1853" s="153">
        <v>1089382.57</v>
      </c>
      <c r="J1853" s="153">
        <v>8708.0300000000007</v>
      </c>
      <c r="K1853" s="153">
        <v>257832.99</v>
      </c>
      <c r="L1853" s="43">
        <v>9.5482715211049456</v>
      </c>
      <c r="M1853" s="43">
        <v>11.500428449014567</v>
      </c>
      <c r="N1853" s="43">
        <v>5.2873996624042165</v>
      </c>
      <c r="O1853" s="43">
        <v>5.6499080747410417</v>
      </c>
      <c r="P1853" s="154"/>
      <c r="Q1853" s="154"/>
      <c r="R1853" s="154">
        <v>13</v>
      </c>
    </row>
    <row r="1854" spans="1:18" ht="60">
      <c r="A1854" s="150">
        <v>228</v>
      </c>
      <c r="B1854" s="147" t="s">
        <v>3381</v>
      </c>
      <c r="C1854" s="151" t="s">
        <v>3382</v>
      </c>
      <c r="D1854" s="152">
        <v>188181.59</v>
      </c>
      <c r="E1854" s="152">
        <v>128906.82</v>
      </c>
      <c r="F1854" s="152">
        <v>2004.66</v>
      </c>
      <c r="G1854" s="152">
        <v>57270.11</v>
      </c>
      <c r="H1854" s="153">
        <v>1820422.37</v>
      </c>
      <c r="I1854" s="153">
        <v>1482483.66</v>
      </c>
      <c r="J1854" s="153">
        <v>10599.29</v>
      </c>
      <c r="K1854" s="153">
        <v>327339.42</v>
      </c>
      <c r="L1854" s="43">
        <v>9.6737537928125708</v>
      </c>
      <c r="M1854" s="43">
        <v>11.500428449014565</v>
      </c>
      <c r="N1854" s="43">
        <v>5.2873255315115779</v>
      </c>
      <c r="O1854" s="43">
        <v>5.7157113894141283</v>
      </c>
      <c r="P1854" s="154"/>
      <c r="Q1854" s="154"/>
      <c r="R1854" s="154">
        <v>13</v>
      </c>
    </row>
    <row r="1855" spans="1:18" ht="60">
      <c r="A1855" s="150">
        <v>229</v>
      </c>
      <c r="B1855" s="147" t="s">
        <v>3383</v>
      </c>
      <c r="C1855" s="151" t="s">
        <v>3384</v>
      </c>
      <c r="D1855" s="152">
        <v>300665.39</v>
      </c>
      <c r="E1855" s="152">
        <v>192333.27</v>
      </c>
      <c r="F1855" s="152">
        <v>3686.14</v>
      </c>
      <c r="G1855" s="152">
        <v>104645.98</v>
      </c>
      <c r="H1855" s="153">
        <v>2847115.69</v>
      </c>
      <c r="I1855" s="153">
        <v>2211915.0099999998</v>
      </c>
      <c r="J1855" s="153">
        <v>19486.18</v>
      </c>
      <c r="K1855" s="153">
        <v>615714.5</v>
      </c>
      <c r="L1855" s="43">
        <v>9.4693828578008254</v>
      </c>
      <c r="M1855" s="43">
        <v>11.500428449014567</v>
      </c>
      <c r="N1855" s="43">
        <v>5.2863374695480916</v>
      </c>
      <c r="O1855" s="43">
        <v>5.8837855023193439</v>
      </c>
      <c r="P1855" s="154"/>
      <c r="Q1855" s="154"/>
      <c r="R1855" s="154">
        <v>13</v>
      </c>
    </row>
    <row r="1856" spans="1:18" ht="12.75" customHeight="1">
      <c r="A1856" s="628" t="s">
        <v>3385</v>
      </c>
      <c r="B1856" s="629"/>
      <c r="C1856" s="629"/>
      <c r="D1856" s="629"/>
      <c r="E1856" s="629"/>
      <c r="F1856" s="629"/>
      <c r="G1856" s="629"/>
      <c r="H1856" s="629"/>
      <c r="I1856" s="629"/>
      <c r="J1856" s="629"/>
      <c r="K1856" s="629"/>
      <c r="L1856" s="629"/>
      <c r="M1856" s="629"/>
      <c r="N1856" s="629"/>
      <c r="O1856" s="629"/>
      <c r="P1856" s="629"/>
      <c r="Q1856" s="629"/>
      <c r="R1856" s="629"/>
    </row>
    <row r="1857" spans="1:18" ht="48">
      <c r="A1857" s="150">
        <v>230</v>
      </c>
      <c r="B1857" s="147" t="s">
        <v>3386</v>
      </c>
      <c r="C1857" s="151" t="s">
        <v>3387</v>
      </c>
      <c r="D1857" s="152">
        <v>1962.07</v>
      </c>
      <c r="E1857" s="152">
        <v>707.45</v>
      </c>
      <c r="F1857" s="152">
        <v>886.98</v>
      </c>
      <c r="G1857" s="152">
        <v>367.64</v>
      </c>
      <c r="H1857" s="153">
        <v>13888.32</v>
      </c>
      <c r="I1857" s="153">
        <v>8135.92</v>
      </c>
      <c r="J1857" s="153">
        <v>4099.99</v>
      </c>
      <c r="K1857" s="153">
        <v>1652.41</v>
      </c>
      <c r="L1857" s="43">
        <v>7.0784018918794951</v>
      </c>
      <c r="M1857" s="43">
        <v>11.500346314227153</v>
      </c>
      <c r="N1857" s="43">
        <v>4.6224153870436764</v>
      </c>
      <c r="O1857" s="43">
        <v>4.4946414971167448</v>
      </c>
      <c r="P1857" s="154"/>
      <c r="Q1857" s="154"/>
      <c r="R1857" s="154">
        <v>14</v>
      </c>
    </row>
    <row r="1858" spans="1:18" ht="48">
      <c r="A1858" s="150">
        <v>231</v>
      </c>
      <c r="B1858" s="147" t="s">
        <v>3388</v>
      </c>
      <c r="C1858" s="151" t="s">
        <v>3389</v>
      </c>
      <c r="D1858" s="152">
        <v>2925.73</v>
      </c>
      <c r="E1858" s="152">
        <v>990.66</v>
      </c>
      <c r="F1858" s="152">
        <v>1427.06</v>
      </c>
      <c r="G1858" s="152">
        <v>508.01</v>
      </c>
      <c r="H1858" s="153">
        <v>20211.560000000001</v>
      </c>
      <c r="I1858" s="153">
        <v>11393.01</v>
      </c>
      <c r="J1858" s="153">
        <v>6553.66</v>
      </c>
      <c r="K1858" s="153">
        <v>2264.89</v>
      </c>
      <c r="L1858" s="43">
        <v>6.9082109422263853</v>
      </c>
      <c r="M1858" s="43">
        <v>11.500423959784387</v>
      </c>
      <c r="N1858" s="43">
        <v>4.5924207811864957</v>
      </c>
      <c r="O1858" s="43">
        <v>4.4583571189543507</v>
      </c>
      <c r="P1858" s="154"/>
      <c r="Q1858" s="154"/>
      <c r="R1858" s="154">
        <v>14</v>
      </c>
    </row>
    <row r="1859" spans="1:18" ht="48">
      <c r="A1859" s="150">
        <v>232</v>
      </c>
      <c r="B1859" s="147" t="s">
        <v>3390</v>
      </c>
      <c r="C1859" s="151" t="s">
        <v>3391</v>
      </c>
      <c r="D1859" s="152">
        <v>9159.35</v>
      </c>
      <c r="E1859" s="152">
        <v>2509.0500000000002</v>
      </c>
      <c r="F1859" s="152">
        <v>3891.03</v>
      </c>
      <c r="G1859" s="152">
        <v>2759.27</v>
      </c>
      <c r="H1859" s="153">
        <v>57845.37</v>
      </c>
      <c r="I1859" s="153">
        <v>28855.15</v>
      </c>
      <c r="J1859" s="153">
        <v>17779</v>
      </c>
      <c r="K1859" s="153">
        <v>11211.22</v>
      </c>
      <c r="L1859" s="43">
        <v>6.3154448732715753</v>
      </c>
      <c r="M1859" s="43">
        <v>11.500428449014567</v>
      </c>
      <c r="N1859" s="43">
        <v>4.5692271712117352</v>
      </c>
      <c r="O1859" s="43">
        <v>4.0631108952730246</v>
      </c>
      <c r="P1859" s="154"/>
      <c r="Q1859" s="154"/>
      <c r="R1859" s="154">
        <v>14</v>
      </c>
    </row>
    <row r="1860" spans="1:18" ht="48">
      <c r="A1860" s="150">
        <v>233</v>
      </c>
      <c r="B1860" s="147" t="s">
        <v>3392</v>
      </c>
      <c r="C1860" s="151" t="s">
        <v>3393</v>
      </c>
      <c r="D1860" s="152">
        <v>13367.04</v>
      </c>
      <c r="E1860" s="152">
        <v>3571.02</v>
      </c>
      <c r="F1860" s="152">
        <v>5957.58</v>
      </c>
      <c r="G1860" s="152">
        <v>3838.44</v>
      </c>
      <c r="H1860" s="153">
        <v>83948.3</v>
      </c>
      <c r="I1860" s="153">
        <v>41068.26</v>
      </c>
      <c r="J1860" s="153">
        <v>27193.65</v>
      </c>
      <c r="K1860" s="153">
        <v>15686.39</v>
      </c>
      <c r="L1860" s="43">
        <v>6.2802460380158953</v>
      </c>
      <c r="M1860" s="43">
        <v>11.500428449014567</v>
      </c>
      <c r="N1860" s="43">
        <v>4.5645463426424824</v>
      </c>
      <c r="O1860" s="43">
        <v>4.0866576004835293</v>
      </c>
      <c r="P1860" s="154"/>
      <c r="Q1860" s="154"/>
      <c r="R1860" s="154">
        <v>14</v>
      </c>
    </row>
    <row r="1861" spans="1:18" ht="48">
      <c r="A1861" s="150">
        <v>234</v>
      </c>
      <c r="B1861" s="147" t="s">
        <v>3394</v>
      </c>
      <c r="C1861" s="151" t="s">
        <v>3395</v>
      </c>
      <c r="D1861" s="152">
        <v>26983.19</v>
      </c>
      <c r="E1861" s="152">
        <v>7139.88</v>
      </c>
      <c r="F1861" s="152">
        <v>10024.719999999999</v>
      </c>
      <c r="G1861" s="152">
        <v>9818.59</v>
      </c>
      <c r="H1861" s="153">
        <v>179328.08</v>
      </c>
      <c r="I1861" s="153">
        <v>82108.62</v>
      </c>
      <c r="J1861" s="153">
        <v>54238.76</v>
      </c>
      <c r="K1861" s="153">
        <v>42980.7</v>
      </c>
      <c r="L1861" s="43">
        <v>6.6459184403326663</v>
      </c>
      <c r="M1861" s="43">
        <v>11.5</v>
      </c>
      <c r="N1861" s="43">
        <v>5.4105012409324154</v>
      </c>
      <c r="O1861" s="43">
        <v>4.3774818991321558</v>
      </c>
      <c r="P1861" s="154"/>
      <c r="Q1861" s="154"/>
      <c r="R1861" s="154">
        <v>14</v>
      </c>
    </row>
    <row r="1862" spans="1:18" ht="48">
      <c r="A1862" s="150">
        <v>235</v>
      </c>
      <c r="B1862" s="147" t="s">
        <v>3396</v>
      </c>
      <c r="C1862" s="151" t="s">
        <v>3397</v>
      </c>
      <c r="D1862" s="152">
        <v>42794.05</v>
      </c>
      <c r="E1862" s="152">
        <v>10688.7</v>
      </c>
      <c r="F1862" s="152">
        <v>11367.7</v>
      </c>
      <c r="G1862" s="152">
        <v>20737.650000000001</v>
      </c>
      <c r="H1862" s="153">
        <v>259883.18</v>
      </c>
      <c r="I1862" s="153">
        <v>122924.56</v>
      </c>
      <c r="J1862" s="153">
        <v>60709.26</v>
      </c>
      <c r="K1862" s="153">
        <v>76249.36</v>
      </c>
      <c r="L1862" s="43">
        <v>6.072881159880871</v>
      </c>
      <c r="M1862" s="43">
        <v>11.50042194092827</v>
      </c>
      <c r="N1862" s="43">
        <v>5.3405051153707435</v>
      </c>
      <c r="O1862" s="43">
        <v>3.6768563458251053</v>
      </c>
      <c r="P1862" s="154"/>
      <c r="Q1862" s="154"/>
      <c r="R1862" s="154">
        <v>14</v>
      </c>
    </row>
    <row r="1863" spans="1:18" ht="48">
      <c r="A1863" s="150">
        <v>236</v>
      </c>
      <c r="B1863" s="147" t="s">
        <v>3398</v>
      </c>
      <c r="C1863" s="151" t="s">
        <v>3399</v>
      </c>
      <c r="D1863" s="152">
        <v>74959.63</v>
      </c>
      <c r="E1863" s="152">
        <v>17739.45</v>
      </c>
      <c r="F1863" s="152">
        <v>20220.16</v>
      </c>
      <c r="G1863" s="152">
        <v>37000.019999999997</v>
      </c>
      <c r="H1863" s="153">
        <v>454962.46</v>
      </c>
      <c r="I1863" s="153">
        <v>204011.16</v>
      </c>
      <c r="J1863" s="153">
        <v>112152.09</v>
      </c>
      <c r="K1863" s="153">
        <v>138799.21</v>
      </c>
      <c r="L1863" s="43">
        <v>6.0694331068603189</v>
      </c>
      <c r="M1863" s="43">
        <v>11.50042194092827</v>
      </c>
      <c r="N1863" s="43">
        <v>5.5465480985313667</v>
      </c>
      <c r="O1863" s="43">
        <v>3.75132797225515</v>
      </c>
      <c r="P1863" s="154"/>
      <c r="Q1863" s="154"/>
      <c r="R1863" s="154">
        <v>14</v>
      </c>
    </row>
    <row r="1864" spans="1:18" ht="48">
      <c r="A1864" s="150">
        <v>237</v>
      </c>
      <c r="B1864" s="147" t="s">
        <v>3400</v>
      </c>
      <c r="C1864" s="151" t="s">
        <v>3401</v>
      </c>
      <c r="D1864" s="152">
        <v>97763.46</v>
      </c>
      <c r="E1864" s="152">
        <v>27290.55</v>
      </c>
      <c r="F1864" s="152">
        <v>26102.73</v>
      </c>
      <c r="G1864" s="152">
        <v>44370.18</v>
      </c>
      <c r="H1864" s="153">
        <v>631504.02</v>
      </c>
      <c r="I1864" s="153">
        <v>313852.84000000003</v>
      </c>
      <c r="J1864" s="153">
        <v>148817.53</v>
      </c>
      <c r="K1864" s="153">
        <v>168833.65</v>
      </c>
      <c r="L1864" s="43">
        <v>6.4595097186617574</v>
      </c>
      <c r="M1864" s="43">
        <v>11.500421940928272</v>
      </c>
      <c r="N1864" s="43">
        <v>5.7012247377956253</v>
      </c>
      <c r="O1864" s="43">
        <v>3.8051152823810948</v>
      </c>
      <c r="P1864" s="154"/>
      <c r="Q1864" s="154"/>
      <c r="R1864" s="154">
        <v>14</v>
      </c>
    </row>
    <row r="1865" spans="1:18" ht="48">
      <c r="A1865" s="150">
        <v>238</v>
      </c>
      <c r="B1865" s="147" t="s">
        <v>3402</v>
      </c>
      <c r="C1865" s="151" t="s">
        <v>3403</v>
      </c>
      <c r="D1865" s="152">
        <v>286634.07</v>
      </c>
      <c r="E1865" s="152">
        <v>67384.12</v>
      </c>
      <c r="F1865" s="152">
        <v>86508.92</v>
      </c>
      <c r="G1865" s="152">
        <v>132741.03</v>
      </c>
      <c r="H1865" s="153">
        <v>1741346.6</v>
      </c>
      <c r="I1865" s="153">
        <v>774917.38</v>
      </c>
      <c r="J1865" s="153">
        <v>482312.17</v>
      </c>
      <c r="K1865" s="153">
        <v>484117.05</v>
      </c>
      <c r="L1865" s="43">
        <v>6.0751556854354405</v>
      </c>
      <c r="M1865" s="43">
        <v>11.5</v>
      </c>
      <c r="N1865" s="43">
        <v>5.5752883055296492</v>
      </c>
      <c r="O1865" s="43">
        <v>3.6470792037699269</v>
      </c>
      <c r="P1865" s="154"/>
      <c r="Q1865" s="154"/>
      <c r="R1865" s="154">
        <v>14</v>
      </c>
    </row>
    <row r="1866" spans="1:18" ht="48">
      <c r="A1866" s="150">
        <v>239</v>
      </c>
      <c r="B1866" s="147" t="s">
        <v>3404</v>
      </c>
      <c r="C1866" s="151" t="s">
        <v>3405</v>
      </c>
      <c r="D1866" s="152">
        <v>2296.46</v>
      </c>
      <c r="E1866" s="152">
        <v>822.74</v>
      </c>
      <c r="F1866" s="152">
        <v>1103.78</v>
      </c>
      <c r="G1866" s="152">
        <v>369.94</v>
      </c>
      <c r="H1866" s="153">
        <v>16225.4</v>
      </c>
      <c r="I1866" s="153">
        <v>9461.81</v>
      </c>
      <c r="J1866" s="153">
        <v>5084.5</v>
      </c>
      <c r="K1866" s="153">
        <v>1679.09</v>
      </c>
      <c r="L1866" s="43">
        <v>7.0653963056182123</v>
      </c>
      <c r="M1866" s="43">
        <v>11.50036463524321</v>
      </c>
      <c r="N1866" s="43">
        <v>4.6064433129790361</v>
      </c>
      <c r="O1866" s="43">
        <v>4.5388171054765634</v>
      </c>
      <c r="P1866" s="154"/>
      <c r="Q1866" s="154"/>
      <c r="R1866" s="154">
        <v>14</v>
      </c>
    </row>
    <row r="1867" spans="1:18" ht="48">
      <c r="A1867" s="150">
        <v>240</v>
      </c>
      <c r="B1867" s="147" t="s">
        <v>3406</v>
      </c>
      <c r="C1867" s="151" t="s">
        <v>3407</v>
      </c>
      <c r="D1867" s="152">
        <v>3497.74</v>
      </c>
      <c r="E1867" s="152">
        <v>1170.08</v>
      </c>
      <c r="F1867" s="152">
        <v>1816.06</v>
      </c>
      <c r="G1867" s="152">
        <v>511.6</v>
      </c>
      <c r="H1867" s="153">
        <v>24081.47</v>
      </c>
      <c r="I1867" s="153">
        <v>13455.92</v>
      </c>
      <c r="J1867" s="153">
        <v>8319.02</v>
      </c>
      <c r="K1867" s="153">
        <v>2306.5300000000002</v>
      </c>
      <c r="L1867" s="43">
        <v>6.8848656561093744</v>
      </c>
      <c r="M1867" s="43">
        <v>11.5</v>
      </c>
      <c r="N1867" s="43">
        <v>4.5808068015373946</v>
      </c>
      <c r="O1867" s="43">
        <v>4.5084636434714627</v>
      </c>
      <c r="P1867" s="154"/>
      <c r="Q1867" s="154"/>
      <c r="R1867" s="154">
        <v>14</v>
      </c>
    </row>
    <row r="1868" spans="1:18" ht="48">
      <c r="A1868" s="150">
        <v>241</v>
      </c>
      <c r="B1868" s="147" t="s">
        <v>3408</v>
      </c>
      <c r="C1868" s="151" t="s">
        <v>3409</v>
      </c>
      <c r="D1868" s="152">
        <v>10685.14</v>
      </c>
      <c r="E1868" s="152">
        <v>2917.5</v>
      </c>
      <c r="F1868" s="152">
        <v>5000.2</v>
      </c>
      <c r="G1868" s="152">
        <v>2767.44</v>
      </c>
      <c r="H1868" s="153">
        <v>67674.39</v>
      </c>
      <c r="I1868" s="153">
        <v>33552.5</v>
      </c>
      <c r="J1868" s="153">
        <v>22815.9</v>
      </c>
      <c r="K1868" s="153">
        <v>11305.99</v>
      </c>
      <c r="L1868" s="43">
        <v>6.333505223141672</v>
      </c>
      <c r="M1868" s="43">
        <v>11.500428449014567</v>
      </c>
      <c r="N1868" s="43">
        <v>4.5629974801007966</v>
      </c>
      <c r="O1868" s="43">
        <v>4.0853604775532624</v>
      </c>
      <c r="P1868" s="154"/>
      <c r="Q1868" s="154"/>
      <c r="R1868" s="154">
        <v>14</v>
      </c>
    </row>
    <row r="1869" spans="1:18" ht="48">
      <c r="A1869" s="150">
        <v>242</v>
      </c>
      <c r="B1869" s="147" t="s">
        <v>3410</v>
      </c>
      <c r="C1869" s="151" t="s">
        <v>3411</v>
      </c>
      <c r="D1869" s="152">
        <v>15841.55</v>
      </c>
      <c r="E1869" s="152">
        <v>4306.2299999999996</v>
      </c>
      <c r="F1869" s="152">
        <v>7682.18</v>
      </c>
      <c r="G1869" s="152">
        <v>3853.14</v>
      </c>
      <c r="H1869" s="153">
        <v>100405.69</v>
      </c>
      <c r="I1869" s="153">
        <v>49523.49</v>
      </c>
      <c r="J1869" s="153">
        <v>35025.29</v>
      </c>
      <c r="K1869" s="153">
        <v>15856.91</v>
      </c>
      <c r="L1869" s="43">
        <v>6.3381228478273908</v>
      </c>
      <c r="M1869" s="43">
        <v>11.500428449014567</v>
      </c>
      <c r="N1869" s="43">
        <v>4.5592904618220347</v>
      </c>
      <c r="O1869" s="43">
        <v>4.1153215299729569</v>
      </c>
      <c r="P1869" s="154"/>
      <c r="Q1869" s="154"/>
      <c r="R1869" s="154">
        <v>14</v>
      </c>
    </row>
    <row r="1870" spans="1:18" ht="48">
      <c r="A1870" s="150">
        <v>243</v>
      </c>
      <c r="B1870" s="147" t="s">
        <v>3412</v>
      </c>
      <c r="C1870" s="151" t="s">
        <v>3413</v>
      </c>
      <c r="D1870" s="152">
        <v>25116.95</v>
      </c>
      <c r="E1870" s="152">
        <v>7584</v>
      </c>
      <c r="F1870" s="152">
        <v>5920.73</v>
      </c>
      <c r="G1870" s="152">
        <v>11612.22</v>
      </c>
      <c r="H1870" s="153">
        <v>173136.56</v>
      </c>
      <c r="I1870" s="153">
        <v>87219.199999999997</v>
      </c>
      <c r="J1870" s="153">
        <v>35596.68</v>
      </c>
      <c r="K1870" s="153">
        <v>50320.68</v>
      </c>
      <c r="L1870" s="43">
        <v>6.8932159358520835</v>
      </c>
      <c r="M1870" s="43">
        <v>11.50042194092827</v>
      </c>
      <c r="N1870" s="43">
        <v>6.0122113320485822</v>
      </c>
      <c r="O1870" s="43">
        <v>4.3334246164816035</v>
      </c>
      <c r="P1870" s="154"/>
      <c r="Q1870" s="154"/>
      <c r="R1870" s="154">
        <v>14</v>
      </c>
    </row>
    <row r="1871" spans="1:18" ht="48">
      <c r="A1871" s="150">
        <v>244</v>
      </c>
      <c r="B1871" s="147" t="s">
        <v>3414</v>
      </c>
      <c r="C1871" s="151" t="s">
        <v>3415</v>
      </c>
      <c r="D1871" s="152">
        <v>49346.68</v>
      </c>
      <c r="E1871" s="152">
        <v>10724.73</v>
      </c>
      <c r="F1871" s="152">
        <v>16111.6</v>
      </c>
      <c r="G1871" s="152">
        <v>22510.35</v>
      </c>
      <c r="H1871" s="153">
        <v>290784.73</v>
      </c>
      <c r="I1871" s="153">
        <v>123338.99</v>
      </c>
      <c r="J1871" s="153">
        <v>83843.12</v>
      </c>
      <c r="K1871" s="153">
        <v>83602.62</v>
      </c>
      <c r="L1871" s="43">
        <v>5.8926908557982012</v>
      </c>
      <c r="M1871" s="43">
        <v>11.500428449014569</v>
      </c>
      <c r="N1871" s="43">
        <v>5.2038978127560265</v>
      </c>
      <c r="O1871" s="43">
        <v>3.713963576754693</v>
      </c>
      <c r="P1871" s="154"/>
      <c r="Q1871" s="154"/>
      <c r="R1871" s="154">
        <v>14</v>
      </c>
    </row>
    <row r="1872" spans="1:18" ht="48">
      <c r="A1872" s="150">
        <v>245</v>
      </c>
      <c r="B1872" s="147" t="s">
        <v>3416</v>
      </c>
      <c r="C1872" s="151" t="s">
        <v>3417</v>
      </c>
      <c r="D1872" s="152">
        <v>61086.99</v>
      </c>
      <c r="E1872" s="152">
        <v>18331.95</v>
      </c>
      <c r="F1872" s="152">
        <v>22981.88</v>
      </c>
      <c r="G1872" s="152">
        <v>19773.16</v>
      </c>
      <c r="H1872" s="153">
        <v>430822.65</v>
      </c>
      <c r="I1872" s="153">
        <v>210825.16</v>
      </c>
      <c r="J1872" s="153">
        <v>129895.87</v>
      </c>
      <c r="K1872" s="153">
        <v>90101.62</v>
      </c>
      <c r="L1872" s="43">
        <v>7.05260891066985</v>
      </c>
      <c r="M1872" s="43">
        <v>11.50042194092827</v>
      </c>
      <c r="N1872" s="43">
        <v>5.6520993930870755</v>
      </c>
      <c r="O1872" s="43">
        <v>4.5567638151919061</v>
      </c>
      <c r="P1872" s="154"/>
      <c r="Q1872" s="154"/>
      <c r="R1872" s="154">
        <v>14</v>
      </c>
    </row>
    <row r="1873" spans="1:18" ht="48">
      <c r="A1873" s="150">
        <v>246</v>
      </c>
      <c r="B1873" s="147" t="s">
        <v>3418</v>
      </c>
      <c r="C1873" s="151" t="s">
        <v>3419</v>
      </c>
      <c r="D1873" s="152">
        <v>35814.57</v>
      </c>
      <c r="E1873" s="152">
        <v>12498.57</v>
      </c>
      <c r="F1873" s="152">
        <v>13181.73</v>
      </c>
      <c r="G1873" s="152">
        <v>10134.27</v>
      </c>
      <c r="H1873" s="153">
        <v>263656.86</v>
      </c>
      <c r="I1873" s="153">
        <v>143738.91</v>
      </c>
      <c r="J1873" s="153">
        <v>72368.53</v>
      </c>
      <c r="K1873" s="153">
        <v>47549.42</v>
      </c>
      <c r="L1873" s="43">
        <v>7.3617206628475502</v>
      </c>
      <c r="M1873" s="43">
        <v>11.500428449014567</v>
      </c>
      <c r="N1873" s="43">
        <v>5.4900631404223876</v>
      </c>
      <c r="O1873" s="43">
        <v>4.69194327761151</v>
      </c>
      <c r="P1873" s="154"/>
      <c r="Q1873" s="154"/>
      <c r="R1873" s="154">
        <v>14</v>
      </c>
    </row>
    <row r="1874" spans="1:18" ht="48">
      <c r="A1874" s="150">
        <v>247</v>
      </c>
      <c r="B1874" s="147" t="s">
        <v>3420</v>
      </c>
      <c r="C1874" s="151" t="s">
        <v>3421</v>
      </c>
      <c r="D1874" s="152">
        <v>87363.98</v>
      </c>
      <c r="E1874" s="152">
        <v>21636.18</v>
      </c>
      <c r="F1874" s="152">
        <v>26948.25</v>
      </c>
      <c r="G1874" s="152">
        <v>38779.550000000003</v>
      </c>
      <c r="H1874" s="153">
        <v>550825.29</v>
      </c>
      <c r="I1874" s="153">
        <v>248825.34</v>
      </c>
      <c r="J1874" s="153">
        <v>155389.54999999999</v>
      </c>
      <c r="K1874" s="153">
        <v>146610.4</v>
      </c>
      <c r="L1874" s="43">
        <v>6.3049473020803317</v>
      </c>
      <c r="M1874" s="43">
        <v>11.500428449014567</v>
      </c>
      <c r="N1874" s="43">
        <v>5.7662204410304936</v>
      </c>
      <c r="O1874" s="43">
        <v>3.7806111726412501</v>
      </c>
      <c r="P1874" s="154"/>
      <c r="Q1874" s="154"/>
      <c r="R1874" s="154">
        <v>14</v>
      </c>
    </row>
    <row r="1875" spans="1:18" ht="48">
      <c r="A1875" s="150">
        <v>248</v>
      </c>
      <c r="B1875" s="147" t="s">
        <v>3422</v>
      </c>
      <c r="C1875" s="151" t="s">
        <v>3423</v>
      </c>
      <c r="D1875" s="152">
        <v>118627.71</v>
      </c>
      <c r="E1875" s="152">
        <v>35791.89</v>
      </c>
      <c r="F1875" s="152">
        <v>36168.61</v>
      </c>
      <c r="G1875" s="152">
        <v>46667.21</v>
      </c>
      <c r="H1875" s="153">
        <v>804566.23</v>
      </c>
      <c r="I1875" s="153">
        <v>411622.07</v>
      </c>
      <c r="J1875" s="153">
        <v>213504.17</v>
      </c>
      <c r="K1875" s="153">
        <v>179439.99</v>
      </c>
      <c r="L1875" s="43">
        <v>6.782279030759339</v>
      </c>
      <c r="M1875" s="43">
        <v>11.500428449014567</v>
      </c>
      <c r="N1875" s="43">
        <v>5.9030239204658406</v>
      </c>
      <c r="O1875" s="43">
        <v>3.8450978749318847</v>
      </c>
      <c r="P1875" s="154"/>
      <c r="Q1875" s="154"/>
      <c r="R1875" s="154">
        <v>14</v>
      </c>
    </row>
    <row r="1876" spans="1:18" ht="48">
      <c r="A1876" s="150">
        <v>249</v>
      </c>
      <c r="B1876" s="147" t="s">
        <v>3424</v>
      </c>
      <c r="C1876" s="151" t="s">
        <v>3425</v>
      </c>
      <c r="D1876" s="152">
        <v>233326.98</v>
      </c>
      <c r="E1876" s="152">
        <v>66192.240000000005</v>
      </c>
      <c r="F1876" s="152">
        <v>80070.960000000006</v>
      </c>
      <c r="G1876" s="152">
        <v>87063.78</v>
      </c>
      <c r="H1876" s="153">
        <v>1575752.58</v>
      </c>
      <c r="I1876" s="153">
        <v>761239.12</v>
      </c>
      <c r="J1876" s="153">
        <v>488884.3</v>
      </c>
      <c r="K1876" s="153">
        <v>325629.15999999997</v>
      </c>
      <c r="L1876" s="43">
        <v>6.7534092285427088</v>
      </c>
      <c r="M1876" s="43">
        <v>11.500428449014565</v>
      </c>
      <c r="N1876" s="43">
        <v>6.1056380490504916</v>
      </c>
      <c r="O1876" s="43">
        <v>3.7401220117022254</v>
      </c>
      <c r="P1876" s="154"/>
      <c r="Q1876" s="154"/>
      <c r="R1876" s="154">
        <v>14</v>
      </c>
    </row>
    <row r="1877" spans="1:18" ht="48">
      <c r="A1877" s="150">
        <v>250</v>
      </c>
      <c r="B1877" s="147" t="s">
        <v>3426</v>
      </c>
      <c r="C1877" s="151" t="s">
        <v>3427</v>
      </c>
      <c r="D1877" s="152">
        <v>542211.68999999994</v>
      </c>
      <c r="E1877" s="152">
        <v>124105.05</v>
      </c>
      <c r="F1877" s="152">
        <v>159605.89000000001</v>
      </c>
      <c r="G1877" s="152">
        <v>258500.75</v>
      </c>
      <c r="H1877" s="153">
        <v>3260628.92</v>
      </c>
      <c r="I1877" s="153">
        <v>1427260.44</v>
      </c>
      <c r="J1877" s="153">
        <v>924550.1</v>
      </c>
      <c r="K1877" s="153">
        <v>908818.38</v>
      </c>
      <c r="L1877" s="43">
        <v>6.0135717841125853</v>
      </c>
      <c r="M1877" s="43">
        <v>11.50042194092827</v>
      </c>
      <c r="N1877" s="43">
        <v>5.7927066476055487</v>
      </c>
      <c r="O1877" s="43">
        <v>3.5157282135545063</v>
      </c>
      <c r="P1877" s="154"/>
      <c r="Q1877" s="154"/>
      <c r="R1877" s="154">
        <v>14</v>
      </c>
    </row>
    <row r="1878" spans="1:18" ht="12.75" customHeight="1">
      <c r="A1878" s="628" t="s">
        <v>3428</v>
      </c>
      <c r="B1878" s="629"/>
      <c r="C1878" s="629"/>
      <c r="D1878" s="629"/>
      <c r="E1878" s="629"/>
      <c r="F1878" s="629"/>
      <c r="G1878" s="629"/>
      <c r="H1878" s="629"/>
      <c r="I1878" s="629"/>
      <c r="J1878" s="629"/>
      <c r="K1878" s="629"/>
      <c r="L1878" s="629"/>
      <c r="M1878" s="629"/>
      <c r="N1878" s="629"/>
      <c r="O1878" s="629"/>
      <c r="P1878" s="629"/>
      <c r="Q1878" s="629"/>
      <c r="R1878" s="629"/>
    </row>
    <row r="1879" spans="1:18" ht="48">
      <c r="A1879" s="150">
        <v>251</v>
      </c>
      <c r="B1879" s="147" t="s">
        <v>3429</v>
      </c>
      <c r="C1879" s="151" t="s">
        <v>3430</v>
      </c>
      <c r="D1879" s="152">
        <v>36197.64</v>
      </c>
      <c r="E1879" s="152">
        <v>13835.02</v>
      </c>
      <c r="F1879" s="152">
        <v>13690.55</v>
      </c>
      <c r="G1879" s="152">
        <v>8672.07</v>
      </c>
      <c r="H1879" s="153">
        <v>275926.64</v>
      </c>
      <c r="I1879" s="153">
        <v>159102.73000000001</v>
      </c>
      <c r="J1879" s="153">
        <v>73214.63</v>
      </c>
      <c r="K1879" s="153">
        <v>43609.279999999999</v>
      </c>
      <c r="L1879" s="43">
        <v>7.6227798276351724</v>
      </c>
      <c r="M1879" s="43">
        <v>11.5</v>
      </c>
      <c r="N1879" s="43">
        <v>5.3478224030444368</v>
      </c>
      <c r="O1879" s="43">
        <v>5.0287047959714348</v>
      </c>
      <c r="P1879" s="154"/>
      <c r="Q1879" s="154"/>
      <c r="R1879" s="154">
        <v>15</v>
      </c>
    </row>
    <row r="1880" spans="1:18" ht="48">
      <c r="A1880" s="150">
        <v>252</v>
      </c>
      <c r="B1880" s="147" t="s">
        <v>3431</v>
      </c>
      <c r="C1880" s="151" t="s">
        <v>3432</v>
      </c>
      <c r="D1880" s="152">
        <v>52715.29</v>
      </c>
      <c r="E1880" s="152">
        <v>19712.8</v>
      </c>
      <c r="F1880" s="152">
        <v>22693.3</v>
      </c>
      <c r="G1880" s="152">
        <v>10309.19</v>
      </c>
      <c r="H1880" s="153">
        <v>395696.4</v>
      </c>
      <c r="I1880" s="153">
        <v>226697.2</v>
      </c>
      <c r="J1880" s="153">
        <v>116698.91</v>
      </c>
      <c r="K1880" s="153">
        <v>52300.29</v>
      </c>
      <c r="L1880" s="43">
        <v>7.5062927662922849</v>
      </c>
      <c r="M1880" s="43">
        <v>11.500000000000002</v>
      </c>
      <c r="N1880" s="43">
        <v>5.1424389577540515</v>
      </c>
      <c r="O1880" s="43">
        <v>5.0731716070806723</v>
      </c>
      <c r="P1880" s="154"/>
      <c r="Q1880" s="154"/>
      <c r="R1880" s="154">
        <v>15</v>
      </c>
    </row>
    <row r="1881" spans="1:18" ht="48">
      <c r="A1881" s="150">
        <v>253</v>
      </c>
      <c r="B1881" s="147" t="s">
        <v>3433</v>
      </c>
      <c r="C1881" s="151" t="s">
        <v>3434</v>
      </c>
      <c r="D1881" s="152">
        <v>68145.119999999995</v>
      </c>
      <c r="E1881" s="152">
        <v>27894.9</v>
      </c>
      <c r="F1881" s="152">
        <v>24818.97</v>
      </c>
      <c r="G1881" s="152">
        <v>15431.25</v>
      </c>
      <c r="H1881" s="153">
        <v>520789.57</v>
      </c>
      <c r="I1881" s="153">
        <v>320803.12</v>
      </c>
      <c r="J1881" s="153">
        <v>121477.43</v>
      </c>
      <c r="K1881" s="153">
        <v>78509.02</v>
      </c>
      <c r="L1881" s="43">
        <v>7.6423604507556817</v>
      </c>
      <c r="M1881" s="43">
        <v>11.50042194092827</v>
      </c>
      <c r="N1881" s="43">
        <v>4.8945395397149838</v>
      </c>
      <c r="O1881" s="43">
        <v>5.087664317537465</v>
      </c>
      <c r="P1881" s="154"/>
      <c r="Q1881" s="154"/>
      <c r="R1881" s="154">
        <v>15</v>
      </c>
    </row>
    <row r="1882" spans="1:18" ht="48">
      <c r="A1882" s="150">
        <v>254</v>
      </c>
      <c r="B1882" s="147" t="s">
        <v>3435</v>
      </c>
      <c r="C1882" s="151" t="s">
        <v>3436</v>
      </c>
      <c r="D1882" s="152">
        <v>86022.73</v>
      </c>
      <c r="E1882" s="152">
        <v>46073.16</v>
      </c>
      <c r="F1882" s="152">
        <v>24317.67</v>
      </c>
      <c r="G1882" s="152">
        <v>15631.9</v>
      </c>
      <c r="H1882" s="153">
        <v>729366.35</v>
      </c>
      <c r="I1882" s="153">
        <v>529861.07999999996</v>
      </c>
      <c r="J1882" s="153">
        <v>115781.22</v>
      </c>
      <c r="K1882" s="153">
        <v>83724.05</v>
      </c>
      <c r="L1882" s="43">
        <v>8.4787631129586334</v>
      </c>
      <c r="M1882" s="43">
        <v>11.500428449014565</v>
      </c>
      <c r="N1882" s="43">
        <v>4.7611971048213091</v>
      </c>
      <c r="O1882" s="43">
        <v>5.35597400188077</v>
      </c>
      <c r="P1882" s="154"/>
      <c r="Q1882" s="154"/>
      <c r="R1882" s="154">
        <v>15</v>
      </c>
    </row>
    <row r="1883" spans="1:18" ht="48">
      <c r="A1883" s="150">
        <v>255</v>
      </c>
      <c r="B1883" s="147" t="s">
        <v>3437</v>
      </c>
      <c r="C1883" s="151" t="s">
        <v>3438</v>
      </c>
      <c r="D1883" s="152">
        <v>142321.12</v>
      </c>
      <c r="E1883" s="152">
        <v>78556.36</v>
      </c>
      <c r="F1883" s="152">
        <v>35489.72</v>
      </c>
      <c r="G1883" s="152">
        <v>28275.040000000001</v>
      </c>
      <c r="H1883" s="153">
        <v>1227403.51</v>
      </c>
      <c r="I1883" s="153">
        <v>903398.14</v>
      </c>
      <c r="J1883" s="153">
        <v>175435.18</v>
      </c>
      <c r="K1883" s="153">
        <v>148570.19</v>
      </c>
      <c r="L1883" s="43">
        <v>8.6241838878165105</v>
      </c>
      <c r="M1883" s="43">
        <v>11.5</v>
      </c>
      <c r="N1883" s="43">
        <v>4.943267515212856</v>
      </c>
      <c r="O1883" s="43">
        <v>5.2544643615004611</v>
      </c>
      <c r="P1883" s="154"/>
      <c r="Q1883" s="154"/>
      <c r="R1883" s="154">
        <v>15</v>
      </c>
    </row>
    <row r="1884" spans="1:18" ht="48">
      <c r="A1884" s="150">
        <v>256</v>
      </c>
      <c r="B1884" s="147" t="s">
        <v>3439</v>
      </c>
      <c r="C1884" s="151" t="s">
        <v>3440</v>
      </c>
      <c r="D1884" s="152">
        <v>43544.18</v>
      </c>
      <c r="E1884" s="152">
        <v>19434</v>
      </c>
      <c r="F1884" s="152">
        <v>14803.01</v>
      </c>
      <c r="G1884" s="152">
        <v>9307.17</v>
      </c>
      <c r="H1884" s="153">
        <v>345604.58</v>
      </c>
      <c r="I1884" s="153">
        <v>223499.2</v>
      </c>
      <c r="J1884" s="153">
        <v>74206.12</v>
      </c>
      <c r="K1884" s="153">
        <v>47899.26</v>
      </c>
      <c r="L1884" s="43">
        <v>7.9368719309905487</v>
      </c>
      <c r="M1884" s="43">
        <v>11.500421940928272</v>
      </c>
      <c r="N1884" s="43">
        <v>5.0129075100266762</v>
      </c>
      <c r="O1884" s="43">
        <v>5.1464902865210371</v>
      </c>
      <c r="P1884" s="154"/>
      <c r="Q1884" s="154"/>
      <c r="R1884" s="154">
        <v>15</v>
      </c>
    </row>
    <row r="1885" spans="1:18" ht="48">
      <c r="A1885" s="150">
        <v>257</v>
      </c>
      <c r="B1885" s="147" t="s">
        <v>3441</v>
      </c>
      <c r="C1885" s="151" t="s">
        <v>3442</v>
      </c>
      <c r="D1885" s="152">
        <v>56072.959999999999</v>
      </c>
      <c r="E1885" s="152">
        <v>23190.45</v>
      </c>
      <c r="F1885" s="152">
        <v>22196</v>
      </c>
      <c r="G1885" s="152">
        <v>10686.51</v>
      </c>
      <c r="H1885" s="153">
        <v>430236.98</v>
      </c>
      <c r="I1885" s="153">
        <v>266699.96000000002</v>
      </c>
      <c r="J1885" s="153">
        <v>107544.76</v>
      </c>
      <c r="K1885" s="153">
        <v>55992.26</v>
      </c>
      <c r="L1885" s="43">
        <v>7.6728066433446704</v>
      </c>
      <c r="M1885" s="43">
        <v>11.50042194092827</v>
      </c>
      <c r="N1885" s="43">
        <v>4.8452315732564424</v>
      </c>
      <c r="O1885" s="43">
        <v>5.2395272170240803</v>
      </c>
      <c r="P1885" s="154"/>
      <c r="Q1885" s="154"/>
      <c r="R1885" s="154">
        <v>15</v>
      </c>
    </row>
    <row r="1886" spans="1:18" ht="48">
      <c r="A1886" s="150">
        <v>258</v>
      </c>
      <c r="B1886" s="147" t="s">
        <v>3443</v>
      </c>
      <c r="C1886" s="151" t="s">
        <v>3444</v>
      </c>
      <c r="D1886" s="152">
        <v>77331.89</v>
      </c>
      <c r="E1886" s="152">
        <v>33180</v>
      </c>
      <c r="F1886" s="152">
        <v>28224.57</v>
      </c>
      <c r="G1886" s="152">
        <v>15927.32</v>
      </c>
      <c r="H1886" s="153">
        <v>607749.53</v>
      </c>
      <c r="I1886" s="153">
        <v>381584</v>
      </c>
      <c r="J1886" s="153">
        <v>144632.43</v>
      </c>
      <c r="K1886" s="153">
        <v>81533.100000000006</v>
      </c>
      <c r="L1886" s="43">
        <v>7.8589768076274877</v>
      </c>
      <c r="M1886" s="43">
        <v>11.50042194092827</v>
      </c>
      <c r="N1886" s="43">
        <v>5.1243448527293767</v>
      </c>
      <c r="O1886" s="43">
        <v>5.1190721351740285</v>
      </c>
      <c r="P1886" s="154"/>
      <c r="Q1886" s="154"/>
      <c r="R1886" s="154">
        <v>15</v>
      </c>
    </row>
    <row r="1887" spans="1:18" ht="48">
      <c r="A1887" s="150">
        <v>259</v>
      </c>
      <c r="B1887" s="147" t="s">
        <v>3445</v>
      </c>
      <c r="C1887" s="151" t="s">
        <v>3446</v>
      </c>
      <c r="D1887" s="152">
        <v>65201.84</v>
      </c>
      <c r="E1887" s="152">
        <v>28937.7</v>
      </c>
      <c r="F1887" s="152">
        <v>21531.5</v>
      </c>
      <c r="G1887" s="152">
        <v>14732.64</v>
      </c>
      <c r="H1887" s="153">
        <v>511851.8</v>
      </c>
      <c r="I1887" s="153">
        <v>332795.76</v>
      </c>
      <c r="J1887" s="153">
        <v>104435.95</v>
      </c>
      <c r="K1887" s="153">
        <v>74620.09</v>
      </c>
      <c r="L1887" s="43">
        <v>7.850266188806942</v>
      </c>
      <c r="M1887" s="43">
        <v>11.50042194092827</v>
      </c>
      <c r="N1887" s="43">
        <v>4.8503796762882283</v>
      </c>
      <c r="O1887" s="43">
        <v>5.0649503415545345</v>
      </c>
      <c r="P1887" s="154"/>
      <c r="Q1887" s="154"/>
      <c r="R1887" s="154">
        <v>15</v>
      </c>
    </row>
    <row r="1888" spans="1:18" ht="48">
      <c r="A1888" s="150">
        <v>260</v>
      </c>
      <c r="B1888" s="147" t="s">
        <v>3447</v>
      </c>
      <c r="C1888" s="151" t="s">
        <v>3448</v>
      </c>
      <c r="D1888" s="152">
        <v>99529.79</v>
      </c>
      <c r="E1888" s="152">
        <v>46689</v>
      </c>
      <c r="F1888" s="152">
        <v>32094.81</v>
      </c>
      <c r="G1888" s="152">
        <v>20745.98</v>
      </c>
      <c r="H1888" s="153">
        <v>804102.86</v>
      </c>
      <c r="I1888" s="153">
        <v>536943.19999999995</v>
      </c>
      <c r="J1888" s="153">
        <v>160691.49</v>
      </c>
      <c r="K1888" s="153">
        <v>106468.17</v>
      </c>
      <c r="L1888" s="43">
        <v>8.0790169455798111</v>
      </c>
      <c r="M1888" s="43">
        <v>11.50042194092827</v>
      </c>
      <c r="N1888" s="43">
        <v>5.0067749271611204</v>
      </c>
      <c r="O1888" s="43">
        <v>5.1319903904274469</v>
      </c>
      <c r="P1888" s="154"/>
      <c r="Q1888" s="154"/>
      <c r="R1888" s="154">
        <v>15</v>
      </c>
    </row>
    <row r="1889" spans="1:18" ht="48">
      <c r="A1889" s="150">
        <v>261</v>
      </c>
      <c r="B1889" s="147" t="s">
        <v>3449</v>
      </c>
      <c r="C1889" s="151" t="s">
        <v>3450</v>
      </c>
      <c r="D1889" s="152">
        <v>114899.98</v>
      </c>
      <c r="E1889" s="152">
        <v>67331.7</v>
      </c>
      <c r="F1889" s="152">
        <v>25346.58</v>
      </c>
      <c r="G1889" s="152">
        <v>22221.7</v>
      </c>
      <c r="H1889" s="153">
        <v>1016230.3</v>
      </c>
      <c r="I1889" s="153">
        <v>774342.96</v>
      </c>
      <c r="J1889" s="153">
        <v>120069.06</v>
      </c>
      <c r="K1889" s="153">
        <v>121818.28</v>
      </c>
      <c r="L1889" s="43">
        <v>8.8444776056531964</v>
      </c>
      <c r="M1889" s="43">
        <v>11.50042194092827</v>
      </c>
      <c r="N1889" s="43">
        <v>4.7370911578603501</v>
      </c>
      <c r="O1889" s="43">
        <v>5.4819514258585071</v>
      </c>
      <c r="P1889" s="154"/>
      <c r="Q1889" s="154"/>
      <c r="R1889" s="154">
        <v>15</v>
      </c>
    </row>
    <row r="1890" spans="1:18" ht="48">
      <c r="A1890" s="150">
        <v>262</v>
      </c>
      <c r="B1890" s="147" t="s">
        <v>3451</v>
      </c>
      <c r="C1890" s="151" t="s">
        <v>3452</v>
      </c>
      <c r="D1890" s="152">
        <v>165247.20000000001</v>
      </c>
      <c r="E1890" s="152">
        <v>102513.78</v>
      </c>
      <c r="F1890" s="152">
        <v>31832.18</v>
      </c>
      <c r="G1890" s="152">
        <v>30901.24</v>
      </c>
      <c r="H1890" s="153">
        <v>1502215.57</v>
      </c>
      <c r="I1890" s="153">
        <v>1178953.08</v>
      </c>
      <c r="J1890" s="153">
        <v>152317.32999999999</v>
      </c>
      <c r="K1890" s="153">
        <v>170945.16</v>
      </c>
      <c r="L1890" s="43">
        <v>9.0907172405946959</v>
      </c>
      <c r="M1890" s="43">
        <v>11.500435161009575</v>
      </c>
      <c r="N1890" s="43">
        <v>4.7850109543235799</v>
      </c>
      <c r="O1890" s="43">
        <v>5.5319838297751156</v>
      </c>
      <c r="P1890" s="154"/>
      <c r="Q1890" s="154"/>
      <c r="R1890" s="154">
        <v>15</v>
      </c>
    </row>
    <row r="1891" spans="1:18" ht="48">
      <c r="A1891" s="150">
        <v>263</v>
      </c>
      <c r="B1891" s="147" t="s">
        <v>3453</v>
      </c>
      <c r="C1891" s="151" t="s">
        <v>3454</v>
      </c>
      <c r="D1891" s="152">
        <v>262567.36</v>
      </c>
      <c r="E1891" s="152">
        <v>169128.28</v>
      </c>
      <c r="F1891" s="152">
        <v>43580.44</v>
      </c>
      <c r="G1891" s="152">
        <v>49858.64</v>
      </c>
      <c r="H1891" s="153">
        <v>2428443.23</v>
      </c>
      <c r="I1891" s="153">
        <v>1944975.22</v>
      </c>
      <c r="J1891" s="153">
        <v>213110.48</v>
      </c>
      <c r="K1891" s="153">
        <v>270357.53000000003</v>
      </c>
      <c r="L1891" s="43">
        <v>9.2488389645994076</v>
      </c>
      <c r="M1891" s="43">
        <v>11.5</v>
      </c>
      <c r="N1891" s="43">
        <v>4.8900488384238434</v>
      </c>
      <c r="O1891" s="43">
        <v>5.4224810383917417</v>
      </c>
      <c r="P1891" s="154"/>
      <c r="Q1891" s="154"/>
      <c r="R1891" s="154">
        <v>15</v>
      </c>
    </row>
    <row r="1892" spans="1:18" ht="12.75" customHeight="1">
      <c r="A1892" s="628" t="s">
        <v>3455</v>
      </c>
      <c r="B1892" s="629"/>
      <c r="C1892" s="629"/>
      <c r="D1892" s="629"/>
      <c r="E1892" s="629"/>
      <c r="F1892" s="629"/>
      <c r="G1892" s="629"/>
      <c r="H1892" s="629"/>
      <c r="I1892" s="629"/>
      <c r="J1892" s="629"/>
      <c r="K1892" s="629"/>
      <c r="L1892" s="629"/>
      <c r="M1892" s="629"/>
      <c r="N1892" s="629"/>
      <c r="O1892" s="629"/>
      <c r="P1892" s="629"/>
      <c r="Q1892" s="629"/>
      <c r="R1892" s="629"/>
    </row>
    <row r="1893" spans="1:18" ht="48">
      <c r="A1893" s="150">
        <v>264</v>
      </c>
      <c r="B1893" s="147" t="s">
        <v>3456</v>
      </c>
      <c r="C1893" s="151" t="s">
        <v>3457</v>
      </c>
      <c r="D1893" s="152">
        <v>4675.1400000000003</v>
      </c>
      <c r="E1893" s="152">
        <v>3146.72</v>
      </c>
      <c r="F1893" s="152">
        <v>323.33</v>
      </c>
      <c r="G1893" s="152">
        <v>1205.0899999999999</v>
      </c>
      <c r="H1893" s="153">
        <v>44458.81</v>
      </c>
      <c r="I1893" s="153">
        <v>36187.279999999999</v>
      </c>
      <c r="J1893" s="153">
        <v>1446.18</v>
      </c>
      <c r="K1893" s="153">
        <v>6825.35</v>
      </c>
      <c r="L1893" s="43">
        <v>9.5096211022557604</v>
      </c>
      <c r="M1893" s="43">
        <v>11.5</v>
      </c>
      <c r="N1893" s="43">
        <v>4.4727677604923768</v>
      </c>
      <c r="O1893" s="43">
        <v>5.663767851363799</v>
      </c>
      <c r="P1893" s="154"/>
      <c r="Q1893" s="154"/>
      <c r="R1893" s="154">
        <v>16</v>
      </c>
    </row>
    <row r="1894" spans="1:18" ht="48">
      <c r="A1894" s="150">
        <v>265</v>
      </c>
      <c r="B1894" s="147" t="s">
        <v>3458</v>
      </c>
      <c r="C1894" s="151" t="s">
        <v>3459</v>
      </c>
      <c r="D1894" s="152">
        <v>5566.99</v>
      </c>
      <c r="E1894" s="152">
        <v>3529.36</v>
      </c>
      <c r="F1894" s="152">
        <v>438.24</v>
      </c>
      <c r="G1894" s="152">
        <v>1599.39</v>
      </c>
      <c r="H1894" s="153">
        <v>51473.7</v>
      </c>
      <c r="I1894" s="153">
        <v>40587.64</v>
      </c>
      <c r="J1894" s="153">
        <v>1960.15</v>
      </c>
      <c r="K1894" s="153">
        <v>8925.91</v>
      </c>
      <c r="L1894" s="43">
        <v>9.2462353983032113</v>
      </c>
      <c r="M1894" s="43">
        <v>11.5</v>
      </c>
      <c r="N1894" s="43">
        <v>4.4727774735304857</v>
      </c>
      <c r="O1894" s="43">
        <v>5.5808214381733032</v>
      </c>
      <c r="P1894" s="154"/>
      <c r="Q1894" s="154"/>
      <c r="R1894" s="154">
        <v>16</v>
      </c>
    </row>
    <row r="1895" spans="1:18" ht="48">
      <c r="A1895" s="150">
        <v>266</v>
      </c>
      <c r="B1895" s="147" t="s">
        <v>3460</v>
      </c>
      <c r="C1895" s="151" t="s">
        <v>3461</v>
      </c>
      <c r="D1895" s="152">
        <v>28158.97</v>
      </c>
      <c r="E1895" s="152">
        <v>12168.16</v>
      </c>
      <c r="F1895" s="152">
        <v>8974.89</v>
      </c>
      <c r="G1895" s="152">
        <v>7015.92</v>
      </c>
      <c r="H1895" s="153">
        <v>224736.28</v>
      </c>
      <c r="I1895" s="153">
        <v>139938.56</v>
      </c>
      <c r="J1895" s="153">
        <v>42745.599999999999</v>
      </c>
      <c r="K1895" s="153">
        <v>42052.12</v>
      </c>
      <c r="L1895" s="43">
        <v>7.9809836794456608</v>
      </c>
      <c r="M1895" s="43">
        <v>11.500387897595035</v>
      </c>
      <c r="N1895" s="43">
        <v>4.7627993212173072</v>
      </c>
      <c r="O1895" s="43">
        <v>5.9938140685754684</v>
      </c>
      <c r="P1895" s="154"/>
      <c r="Q1895" s="154"/>
      <c r="R1895" s="154">
        <v>16</v>
      </c>
    </row>
    <row r="1896" spans="1:18" ht="48">
      <c r="A1896" s="150">
        <v>267</v>
      </c>
      <c r="B1896" s="147" t="s">
        <v>3462</v>
      </c>
      <c r="C1896" s="151" t="s">
        <v>3463</v>
      </c>
      <c r="D1896" s="152">
        <v>36898.300000000003</v>
      </c>
      <c r="E1896" s="152">
        <v>16305.85</v>
      </c>
      <c r="F1896" s="152">
        <v>10976.75</v>
      </c>
      <c r="G1896" s="152">
        <v>9615.7000000000007</v>
      </c>
      <c r="H1896" s="153">
        <v>295093.84000000003</v>
      </c>
      <c r="I1896" s="153">
        <v>187523.6</v>
      </c>
      <c r="J1896" s="153">
        <v>52294.33</v>
      </c>
      <c r="K1896" s="153">
        <v>55275.91</v>
      </c>
      <c r="L1896" s="43">
        <v>7.9974914833474715</v>
      </c>
      <c r="M1896" s="43">
        <v>11.500387897595035</v>
      </c>
      <c r="N1896" s="43">
        <v>4.7640995740998022</v>
      </c>
      <c r="O1896" s="43">
        <v>5.7485060890002808</v>
      </c>
      <c r="P1896" s="154"/>
      <c r="Q1896" s="154"/>
      <c r="R1896" s="154">
        <v>16</v>
      </c>
    </row>
    <row r="1897" spans="1:18" ht="48">
      <c r="A1897" s="150">
        <v>268</v>
      </c>
      <c r="B1897" s="147" t="s">
        <v>3464</v>
      </c>
      <c r="C1897" s="151" t="s">
        <v>3465</v>
      </c>
      <c r="D1897" s="152">
        <v>5070.87</v>
      </c>
      <c r="E1897" s="152">
        <v>3442.08</v>
      </c>
      <c r="F1897" s="152">
        <v>417.79</v>
      </c>
      <c r="G1897" s="152">
        <v>1211</v>
      </c>
      <c r="H1897" s="153">
        <v>48346.26</v>
      </c>
      <c r="I1897" s="153">
        <v>39583.919999999998</v>
      </c>
      <c r="J1897" s="153">
        <v>1868.44</v>
      </c>
      <c r="K1897" s="153">
        <v>6893.9</v>
      </c>
      <c r="L1897" s="43">
        <v>9.53411544764508</v>
      </c>
      <c r="M1897" s="43">
        <v>11.5</v>
      </c>
      <c r="N1897" s="43">
        <v>4.4721989516264147</v>
      </c>
      <c r="O1897" s="43">
        <v>5.6927332782824109</v>
      </c>
      <c r="P1897" s="154"/>
      <c r="Q1897" s="154"/>
      <c r="R1897" s="154">
        <v>16</v>
      </c>
    </row>
    <row r="1898" spans="1:18" ht="48">
      <c r="A1898" s="150">
        <v>269</v>
      </c>
      <c r="B1898" s="147" t="s">
        <v>3466</v>
      </c>
      <c r="C1898" s="151" t="s">
        <v>3467</v>
      </c>
      <c r="D1898" s="152">
        <v>6959.38</v>
      </c>
      <c r="E1898" s="152">
        <v>4771.2</v>
      </c>
      <c r="F1898" s="152">
        <v>563.96</v>
      </c>
      <c r="G1898" s="152">
        <v>1624.22</v>
      </c>
      <c r="H1898" s="153">
        <v>66604.81</v>
      </c>
      <c r="I1898" s="153">
        <v>54868.800000000003</v>
      </c>
      <c r="J1898" s="153">
        <v>2522.0700000000002</v>
      </c>
      <c r="K1898" s="153">
        <v>9213.94</v>
      </c>
      <c r="L1898" s="43">
        <v>9.5705091545511234</v>
      </c>
      <c r="M1898" s="43">
        <v>11.500000000000002</v>
      </c>
      <c r="N1898" s="43">
        <v>4.4720724874104549</v>
      </c>
      <c r="O1898" s="43">
        <v>5.6728398862223104</v>
      </c>
      <c r="P1898" s="154"/>
      <c r="Q1898" s="154"/>
      <c r="R1898" s="154">
        <v>16</v>
      </c>
    </row>
    <row r="1899" spans="1:18" ht="48">
      <c r="A1899" s="150">
        <v>270</v>
      </c>
      <c r="B1899" s="147" t="s">
        <v>3468</v>
      </c>
      <c r="C1899" s="151" t="s">
        <v>3469</v>
      </c>
      <c r="D1899" s="152">
        <v>28971.37</v>
      </c>
      <c r="E1899" s="152">
        <v>13779.41</v>
      </c>
      <c r="F1899" s="152">
        <v>9276.8700000000008</v>
      </c>
      <c r="G1899" s="152">
        <v>5915.09</v>
      </c>
      <c r="H1899" s="153">
        <v>240191.58</v>
      </c>
      <c r="I1899" s="153">
        <v>158468.56</v>
      </c>
      <c r="J1899" s="153">
        <v>44144.32</v>
      </c>
      <c r="K1899" s="153">
        <v>37578.699999999997</v>
      </c>
      <c r="L1899" s="43">
        <v>8.2906531517149524</v>
      </c>
      <c r="M1899" s="43">
        <v>11.500387897595035</v>
      </c>
      <c r="N1899" s="43">
        <v>4.7585360148412121</v>
      </c>
      <c r="O1899" s="43">
        <v>6.3530225237485816</v>
      </c>
      <c r="P1899" s="154"/>
      <c r="Q1899" s="154"/>
      <c r="R1899" s="154">
        <v>16</v>
      </c>
    </row>
    <row r="1900" spans="1:18" ht="48">
      <c r="A1900" s="150">
        <v>271</v>
      </c>
      <c r="B1900" s="147" t="s">
        <v>3470</v>
      </c>
      <c r="C1900" s="151" t="s">
        <v>3471</v>
      </c>
      <c r="D1900" s="152">
        <v>39777.620000000003</v>
      </c>
      <c r="E1900" s="152">
        <v>18767.84</v>
      </c>
      <c r="F1900" s="152">
        <v>11307.04</v>
      </c>
      <c r="G1900" s="152">
        <v>9702.74</v>
      </c>
      <c r="H1900" s="153">
        <v>325797.90000000002</v>
      </c>
      <c r="I1900" s="153">
        <v>215837.44</v>
      </c>
      <c r="J1900" s="153">
        <v>53795.23</v>
      </c>
      <c r="K1900" s="153">
        <v>56165.23</v>
      </c>
      <c r="L1900" s="43">
        <v>8.1904824873886373</v>
      </c>
      <c r="M1900" s="43">
        <v>11.500387897595035</v>
      </c>
      <c r="N1900" s="43">
        <v>4.7576757489139512</v>
      </c>
      <c r="O1900" s="43">
        <v>5.7885947680758223</v>
      </c>
      <c r="P1900" s="154"/>
      <c r="Q1900" s="154"/>
      <c r="R1900" s="154">
        <v>16</v>
      </c>
    </row>
    <row r="1901" spans="1:18" ht="60">
      <c r="A1901" s="150">
        <v>272</v>
      </c>
      <c r="B1901" s="147" t="s">
        <v>3472</v>
      </c>
      <c r="C1901" s="151" t="s">
        <v>3473</v>
      </c>
      <c r="D1901" s="152">
        <v>10230.790000000001</v>
      </c>
      <c r="E1901" s="152">
        <v>9360.64</v>
      </c>
      <c r="F1901" s="152">
        <v>223.52</v>
      </c>
      <c r="G1901" s="152">
        <v>646.63</v>
      </c>
      <c r="H1901" s="153">
        <v>114729.77</v>
      </c>
      <c r="I1901" s="153">
        <v>107647.36</v>
      </c>
      <c r="J1901" s="153">
        <v>1183.8900000000001</v>
      </c>
      <c r="K1901" s="153">
        <v>5898.52</v>
      </c>
      <c r="L1901" s="43">
        <v>11.214165279514093</v>
      </c>
      <c r="M1901" s="43">
        <v>11.5</v>
      </c>
      <c r="N1901" s="43">
        <v>5.2965730136005726</v>
      </c>
      <c r="O1901" s="43">
        <v>9.121939903808979</v>
      </c>
      <c r="P1901" s="154"/>
      <c r="Q1901" s="154"/>
      <c r="R1901" s="154">
        <v>16</v>
      </c>
    </row>
    <row r="1902" spans="1:18" ht="60">
      <c r="A1902" s="150">
        <v>273</v>
      </c>
      <c r="B1902" s="147" t="s">
        <v>3474</v>
      </c>
      <c r="C1902" s="151" t="s">
        <v>3475</v>
      </c>
      <c r="D1902" s="152">
        <v>15938.01</v>
      </c>
      <c r="E1902" s="152">
        <v>14713.16</v>
      </c>
      <c r="F1902" s="152">
        <v>292.16000000000003</v>
      </c>
      <c r="G1902" s="152">
        <v>932.69</v>
      </c>
      <c r="H1902" s="153">
        <v>179344.44</v>
      </c>
      <c r="I1902" s="153">
        <v>169201.34</v>
      </c>
      <c r="J1902" s="153">
        <v>1547.45</v>
      </c>
      <c r="K1902" s="153">
        <v>8595.65</v>
      </c>
      <c r="L1902" s="43">
        <v>11.252624386607863</v>
      </c>
      <c r="M1902" s="43">
        <v>11.5</v>
      </c>
      <c r="N1902" s="43">
        <v>5.2965840635268346</v>
      </c>
      <c r="O1902" s="43">
        <v>9.2159774415936688</v>
      </c>
      <c r="P1902" s="154"/>
      <c r="Q1902" s="154"/>
      <c r="R1902" s="154">
        <v>16</v>
      </c>
    </row>
    <row r="1903" spans="1:18" ht="60">
      <c r="A1903" s="150">
        <v>274</v>
      </c>
      <c r="B1903" s="147" t="s">
        <v>3476</v>
      </c>
      <c r="C1903" s="151" t="s">
        <v>3477</v>
      </c>
      <c r="D1903" s="152">
        <v>20649.490000000002</v>
      </c>
      <c r="E1903" s="152">
        <v>19220.400000000001</v>
      </c>
      <c r="F1903" s="152">
        <v>310.64</v>
      </c>
      <c r="G1903" s="152">
        <v>1118.45</v>
      </c>
      <c r="H1903" s="153">
        <v>233094.15</v>
      </c>
      <c r="I1903" s="153">
        <v>221034.6</v>
      </c>
      <c r="J1903" s="153">
        <v>1645.33</v>
      </c>
      <c r="K1903" s="153">
        <v>10414.219999999999</v>
      </c>
      <c r="L1903" s="43">
        <v>11.288131087014738</v>
      </c>
      <c r="M1903" s="43">
        <v>11.5</v>
      </c>
      <c r="N1903" s="43">
        <v>5.29658125160958</v>
      </c>
      <c r="O1903" s="43">
        <v>9.3112968840806456</v>
      </c>
      <c r="P1903" s="154"/>
      <c r="Q1903" s="154"/>
      <c r="R1903" s="154">
        <v>16</v>
      </c>
    </row>
    <row r="1904" spans="1:18" ht="60">
      <c r="A1904" s="150">
        <v>275</v>
      </c>
      <c r="B1904" s="147" t="s">
        <v>3478</v>
      </c>
      <c r="C1904" s="151" t="s">
        <v>3479</v>
      </c>
      <c r="D1904" s="152">
        <v>33835.050000000003</v>
      </c>
      <c r="E1904" s="152">
        <v>31660.32</v>
      </c>
      <c r="F1904" s="152">
        <v>486.64</v>
      </c>
      <c r="G1904" s="152">
        <v>1688.09</v>
      </c>
      <c r="H1904" s="153">
        <v>382576.08</v>
      </c>
      <c r="I1904" s="153">
        <v>364093.68</v>
      </c>
      <c r="J1904" s="153">
        <v>2577.5300000000002</v>
      </c>
      <c r="K1904" s="153">
        <v>15904.87</v>
      </c>
      <c r="L1904" s="43">
        <v>11.307093679483257</v>
      </c>
      <c r="M1904" s="43">
        <v>11.5</v>
      </c>
      <c r="N1904" s="43">
        <v>5.2965847443695546</v>
      </c>
      <c r="O1904" s="43">
        <v>9.421814002807908</v>
      </c>
      <c r="P1904" s="154"/>
      <c r="Q1904" s="154"/>
      <c r="R1904" s="154">
        <v>16</v>
      </c>
    </row>
    <row r="1905" spans="1:18" ht="60">
      <c r="A1905" s="150">
        <v>276</v>
      </c>
      <c r="B1905" s="147" t="s">
        <v>3480</v>
      </c>
      <c r="C1905" s="151" t="s">
        <v>3481</v>
      </c>
      <c r="D1905" s="152">
        <v>88592.960000000006</v>
      </c>
      <c r="E1905" s="152">
        <v>84393.44</v>
      </c>
      <c r="F1905" s="152">
        <v>721.6</v>
      </c>
      <c r="G1905" s="152">
        <v>3477.92</v>
      </c>
      <c r="H1905" s="153">
        <v>1008479.42</v>
      </c>
      <c r="I1905" s="153">
        <v>970524.56</v>
      </c>
      <c r="J1905" s="153">
        <v>3822.02</v>
      </c>
      <c r="K1905" s="153">
        <v>34132.839999999997</v>
      </c>
      <c r="L1905" s="43">
        <v>11.383290726486619</v>
      </c>
      <c r="M1905" s="43">
        <v>11.5</v>
      </c>
      <c r="N1905" s="43">
        <v>5.2965909090909085</v>
      </c>
      <c r="O1905" s="43">
        <v>9.8141532870221262</v>
      </c>
      <c r="P1905" s="154"/>
      <c r="Q1905" s="154"/>
      <c r="R1905" s="154">
        <v>16</v>
      </c>
    </row>
    <row r="1906" spans="1:18" ht="60">
      <c r="A1906" s="150">
        <v>277</v>
      </c>
      <c r="B1906" s="147" t="s">
        <v>3482</v>
      </c>
      <c r="C1906" s="151" t="s">
        <v>3483</v>
      </c>
      <c r="D1906" s="152">
        <v>16766.060000000001</v>
      </c>
      <c r="E1906" s="152">
        <v>15483.68</v>
      </c>
      <c r="F1906" s="152">
        <v>314.16000000000003</v>
      </c>
      <c r="G1906" s="152">
        <v>968.22</v>
      </c>
      <c r="H1906" s="153">
        <v>188660.86</v>
      </c>
      <c r="I1906" s="153">
        <v>178062.32</v>
      </c>
      <c r="J1906" s="153">
        <v>1663.98</v>
      </c>
      <c r="K1906" s="153">
        <v>8934.56</v>
      </c>
      <c r="L1906" s="43">
        <v>11.252545917168373</v>
      </c>
      <c r="M1906" s="43">
        <v>11.5</v>
      </c>
      <c r="N1906" s="43">
        <v>5.2966004583651642</v>
      </c>
      <c r="O1906" s="43">
        <v>9.2278201235256443</v>
      </c>
      <c r="P1906" s="154"/>
      <c r="Q1906" s="154"/>
      <c r="R1906" s="154">
        <v>16</v>
      </c>
    </row>
    <row r="1907" spans="1:18" ht="60">
      <c r="A1907" s="150">
        <v>278</v>
      </c>
      <c r="B1907" s="147" t="s">
        <v>3484</v>
      </c>
      <c r="C1907" s="151" t="s">
        <v>3485</v>
      </c>
      <c r="D1907" s="152">
        <v>23948.81</v>
      </c>
      <c r="E1907" s="152">
        <v>22379.200000000001</v>
      </c>
      <c r="F1907" s="152">
        <v>342.32</v>
      </c>
      <c r="G1907" s="152">
        <v>1227.29</v>
      </c>
      <c r="H1907" s="153">
        <v>270698.58</v>
      </c>
      <c r="I1907" s="153">
        <v>257360.8</v>
      </c>
      <c r="J1907" s="153">
        <v>1813.13</v>
      </c>
      <c r="K1907" s="153">
        <v>11524.65</v>
      </c>
      <c r="L1907" s="43">
        <v>11.303216318472609</v>
      </c>
      <c r="M1907" s="43">
        <v>11.499999999999998</v>
      </c>
      <c r="N1907" s="43">
        <v>5.2965938303341904</v>
      </c>
      <c r="O1907" s="43">
        <v>9.3903233954485081</v>
      </c>
      <c r="P1907" s="154"/>
      <c r="Q1907" s="154"/>
      <c r="R1907" s="154">
        <v>16</v>
      </c>
    </row>
    <row r="1908" spans="1:18" ht="60">
      <c r="A1908" s="150">
        <v>279</v>
      </c>
      <c r="B1908" s="147" t="s">
        <v>3486</v>
      </c>
      <c r="C1908" s="151" t="s">
        <v>3487</v>
      </c>
      <c r="D1908" s="152">
        <v>33989.1</v>
      </c>
      <c r="E1908" s="152">
        <v>31955.32</v>
      </c>
      <c r="F1908" s="152">
        <v>414.48</v>
      </c>
      <c r="G1908" s="152">
        <v>1619.3</v>
      </c>
      <c r="H1908" s="153">
        <v>385057.52</v>
      </c>
      <c r="I1908" s="153">
        <v>367486.18</v>
      </c>
      <c r="J1908" s="153">
        <v>2195.33</v>
      </c>
      <c r="K1908" s="153">
        <v>15376.01</v>
      </c>
      <c r="L1908" s="43">
        <v>11.328853073485325</v>
      </c>
      <c r="M1908" s="43">
        <v>11.5</v>
      </c>
      <c r="N1908" s="43">
        <v>5.2965884964292602</v>
      </c>
      <c r="O1908" s="43">
        <v>9.495467177175323</v>
      </c>
      <c r="P1908" s="154"/>
      <c r="Q1908" s="154"/>
      <c r="R1908" s="154">
        <v>16</v>
      </c>
    </row>
    <row r="1909" spans="1:18" ht="60">
      <c r="A1909" s="150">
        <v>280</v>
      </c>
      <c r="B1909" s="147" t="s">
        <v>3488</v>
      </c>
      <c r="C1909" s="151" t="s">
        <v>3489</v>
      </c>
      <c r="D1909" s="152">
        <v>55150.7</v>
      </c>
      <c r="E1909" s="152">
        <v>52403.68</v>
      </c>
      <c r="F1909" s="152">
        <v>467.28</v>
      </c>
      <c r="G1909" s="152">
        <v>2279.7399999999998</v>
      </c>
      <c r="H1909" s="153">
        <v>627295.99</v>
      </c>
      <c r="I1909" s="153">
        <v>602642.31999999995</v>
      </c>
      <c r="J1909" s="153">
        <v>2474.9899999999998</v>
      </c>
      <c r="K1909" s="153">
        <v>22178.68</v>
      </c>
      <c r="L1909" s="43">
        <v>11.374216283746172</v>
      </c>
      <c r="M1909" s="43">
        <v>11.499999999999998</v>
      </c>
      <c r="N1909" s="43">
        <v>5.2965887690463962</v>
      </c>
      <c r="O1909" s="43">
        <v>9.728600629896393</v>
      </c>
      <c r="P1909" s="154"/>
      <c r="Q1909" s="154"/>
      <c r="R1909" s="154">
        <v>16</v>
      </c>
    </row>
    <row r="1910" spans="1:18" ht="60">
      <c r="A1910" s="150">
        <v>281</v>
      </c>
      <c r="B1910" s="147" t="s">
        <v>3490</v>
      </c>
      <c r="C1910" s="151" t="s">
        <v>3491</v>
      </c>
      <c r="D1910" s="152">
        <v>88428.08</v>
      </c>
      <c r="E1910" s="152">
        <v>84313.919999999998</v>
      </c>
      <c r="F1910" s="152">
        <v>712.8</v>
      </c>
      <c r="G1910" s="152">
        <v>3401.36</v>
      </c>
      <c r="H1910" s="153">
        <v>1006883.01</v>
      </c>
      <c r="I1910" s="153">
        <v>969610.08</v>
      </c>
      <c r="J1910" s="153">
        <v>3775.41</v>
      </c>
      <c r="K1910" s="153">
        <v>33497.519999999997</v>
      </c>
      <c r="L1910" s="43">
        <v>11.386462422343671</v>
      </c>
      <c r="M1910" s="43">
        <v>11.5</v>
      </c>
      <c r="N1910" s="43">
        <v>5.2965909090909093</v>
      </c>
      <c r="O1910" s="43">
        <v>9.8482724557235919</v>
      </c>
      <c r="P1910" s="154"/>
      <c r="Q1910" s="154"/>
      <c r="R1910" s="154">
        <v>16</v>
      </c>
    </row>
    <row r="1911" spans="1:18" ht="60">
      <c r="A1911" s="150">
        <v>282</v>
      </c>
      <c r="B1911" s="147" t="s">
        <v>3492</v>
      </c>
      <c r="C1911" s="151" t="s">
        <v>3493</v>
      </c>
      <c r="D1911" s="152">
        <v>138304.88</v>
      </c>
      <c r="E1911" s="152">
        <v>132628</v>
      </c>
      <c r="F1911" s="152">
        <v>827.2</v>
      </c>
      <c r="G1911" s="152">
        <v>4849.68</v>
      </c>
      <c r="H1911" s="153">
        <v>1578250.68</v>
      </c>
      <c r="I1911" s="153">
        <v>1525222</v>
      </c>
      <c r="J1911" s="153">
        <v>4381.34</v>
      </c>
      <c r="K1911" s="153">
        <v>48647.34</v>
      </c>
      <c r="L1911" s="43">
        <v>11.41138823156493</v>
      </c>
      <c r="M1911" s="43">
        <v>11.5</v>
      </c>
      <c r="N1911" s="43">
        <v>5.2965909090909093</v>
      </c>
      <c r="O1911" s="43">
        <v>10.031041223338446</v>
      </c>
      <c r="P1911" s="154"/>
      <c r="Q1911" s="154"/>
      <c r="R1911" s="154">
        <v>16</v>
      </c>
    </row>
    <row r="1912" spans="1:18" ht="60">
      <c r="A1912" s="150">
        <v>283</v>
      </c>
      <c r="B1912" s="147" t="s">
        <v>3494</v>
      </c>
      <c r="C1912" s="151" t="s">
        <v>3495</v>
      </c>
      <c r="D1912" s="152">
        <v>267407.52</v>
      </c>
      <c r="E1912" s="152">
        <v>257917.44</v>
      </c>
      <c r="F1912" s="152">
        <v>1108.8</v>
      </c>
      <c r="G1912" s="152">
        <v>8381.2800000000007</v>
      </c>
      <c r="H1912" s="153">
        <v>3058015.41</v>
      </c>
      <c r="I1912" s="153">
        <v>2966050.56</v>
      </c>
      <c r="J1912" s="153">
        <v>5872.86</v>
      </c>
      <c r="K1912" s="153">
        <v>86091.99</v>
      </c>
      <c r="L1912" s="43">
        <v>11.435786884377821</v>
      </c>
      <c r="M1912" s="43">
        <v>11.5</v>
      </c>
      <c r="N1912" s="43">
        <v>5.2965909090909093</v>
      </c>
      <c r="O1912" s="43">
        <v>10.271938176507646</v>
      </c>
      <c r="P1912" s="154"/>
      <c r="Q1912" s="154"/>
      <c r="R1912" s="154">
        <v>16</v>
      </c>
    </row>
    <row r="1913" spans="1:18" ht="12.75" customHeight="1">
      <c r="A1913" s="628" t="s">
        <v>3496</v>
      </c>
      <c r="B1913" s="629"/>
      <c r="C1913" s="629"/>
      <c r="D1913" s="629"/>
      <c r="E1913" s="629"/>
      <c r="F1913" s="629"/>
      <c r="G1913" s="629"/>
      <c r="H1913" s="629"/>
      <c r="I1913" s="629"/>
      <c r="J1913" s="629"/>
      <c r="K1913" s="629"/>
      <c r="L1913" s="629"/>
      <c r="M1913" s="629"/>
      <c r="N1913" s="629"/>
      <c r="O1913" s="629"/>
      <c r="P1913" s="629"/>
      <c r="Q1913" s="629"/>
      <c r="R1913" s="629"/>
    </row>
    <row r="1914" spans="1:18" ht="12.75" customHeight="1">
      <c r="A1914" s="628" t="s">
        <v>3497</v>
      </c>
      <c r="B1914" s="629"/>
      <c r="C1914" s="629"/>
      <c r="D1914" s="629"/>
      <c r="E1914" s="629"/>
      <c r="F1914" s="629"/>
      <c r="G1914" s="629"/>
      <c r="H1914" s="629"/>
      <c r="I1914" s="629"/>
      <c r="J1914" s="629"/>
      <c r="K1914" s="629"/>
      <c r="L1914" s="629"/>
      <c r="M1914" s="629"/>
      <c r="N1914" s="629"/>
      <c r="O1914" s="629"/>
      <c r="P1914" s="629"/>
      <c r="Q1914" s="629"/>
      <c r="R1914" s="629"/>
    </row>
    <row r="1915" spans="1:18" ht="24">
      <c r="A1915" s="150">
        <v>284</v>
      </c>
      <c r="B1915" s="147" t="s">
        <v>3498</v>
      </c>
      <c r="C1915" s="151" t="s">
        <v>3499</v>
      </c>
      <c r="D1915" s="152">
        <v>948.02</v>
      </c>
      <c r="E1915" s="152">
        <v>410.78</v>
      </c>
      <c r="F1915" s="152">
        <v>370.61</v>
      </c>
      <c r="G1915" s="152">
        <v>166.63</v>
      </c>
      <c r="H1915" s="153">
        <v>7516.03</v>
      </c>
      <c r="I1915" s="153">
        <v>4724.1899999999996</v>
      </c>
      <c r="J1915" s="153">
        <v>1896.51</v>
      </c>
      <c r="K1915" s="153">
        <v>895.33</v>
      </c>
      <c r="L1915" s="43">
        <v>7.9281344275437222</v>
      </c>
      <c r="M1915" s="43">
        <v>11.500535566483276</v>
      </c>
      <c r="N1915" s="43">
        <v>5.1172661288146566</v>
      </c>
      <c r="O1915" s="43">
        <v>5.373162095661046</v>
      </c>
      <c r="P1915" s="154"/>
      <c r="Q1915" s="154"/>
      <c r="R1915" s="154">
        <v>1</v>
      </c>
    </row>
    <row r="1916" spans="1:18" ht="12.75" customHeight="1">
      <c r="A1916" s="628" t="s">
        <v>3500</v>
      </c>
      <c r="B1916" s="629"/>
      <c r="C1916" s="629"/>
      <c r="D1916" s="629"/>
      <c r="E1916" s="629"/>
      <c r="F1916" s="629"/>
      <c r="G1916" s="629"/>
      <c r="H1916" s="629"/>
      <c r="I1916" s="629"/>
      <c r="J1916" s="629"/>
      <c r="K1916" s="629"/>
      <c r="L1916" s="629"/>
      <c r="M1916" s="629"/>
      <c r="N1916" s="629"/>
      <c r="O1916" s="629"/>
      <c r="P1916" s="629"/>
      <c r="Q1916" s="629"/>
      <c r="R1916" s="629"/>
    </row>
    <row r="1917" spans="1:18" ht="12.75" customHeight="1">
      <c r="A1917" s="628" t="s">
        <v>2914</v>
      </c>
      <c r="B1917" s="629"/>
      <c r="C1917" s="629"/>
      <c r="D1917" s="629"/>
      <c r="E1917" s="629"/>
      <c r="F1917" s="629"/>
      <c r="G1917" s="629"/>
      <c r="H1917" s="629"/>
      <c r="I1917" s="629"/>
      <c r="J1917" s="629"/>
      <c r="K1917" s="629"/>
      <c r="L1917" s="629"/>
      <c r="M1917" s="629"/>
      <c r="N1917" s="629"/>
      <c r="O1917" s="629"/>
      <c r="P1917" s="629"/>
      <c r="Q1917" s="629"/>
      <c r="R1917" s="629"/>
    </row>
    <row r="1918" spans="1:18" ht="36">
      <c r="A1918" s="150">
        <v>285</v>
      </c>
      <c r="B1918" s="147" t="s">
        <v>3501</v>
      </c>
      <c r="C1918" s="151" t="s">
        <v>3502</v>
      </c>
      <c r="D1918" s="152">
        <v>3647.73</v>
      </c>
      <c r="E1918" s="152">
        <v>1023.96</v>
      </c>
      <c r="F1918" s="152">
        <v>1014.01</v>
      </c>
      <c r="G1918" s="152">
        <v>1609.76</v>
      </c>
      <c r="H1918" s="153">
        <v>25644.68</v>
      </c>
      <c r="I1918" s="153">
        <v>11775.59</v>
      </c>
      <c r="J1918" s="153">
        <v>5430.01</v>
      </c>
      <c r="K1918" s="153">
        <v>8439.08</v>
      </c>
      <c r="L1918" s="43">
        <v>7.0303120022589392</v>
      </c>
      <c r="M1918" s="43">
        <v>11.500048830032423</v>
      </c>
      <c r="N1918" s="43">
        <v>5.3549866372126509</v>
      </c>
      <c r="O1918" s="43">
        <v>5.2424460789185963</v>
      </c>
      <c r="P1918" s="154"/>
      <c r="Q1918" s="154"/>
      <c r="R1918" s="154">
        <v>1</v>
      </c>
    </row>
    <row r="1919" spans="1:18" ht="36">
      <c r="A1919" s="150">
        <v>286</v>
      </c>
      <c r="B1919" s="147" t="s">
        <v>3503</v>
      </c>
      <c r="C1919" s="151" t="s">
        <v>3504</v>
      </c>
      <c r="D1919" s="152">
        <v>4218.84</v>
      </c>
      <c r="E1919" s="152">
        <v>1117.52</v>
      </c>
      <c r="F1919" s="152">
        <v>2489.69</v>
      </c>
      <c r="G1919" s="152">
        <v>611.63</v>
      </c>
      <c r="H1919" s="153">
        <v>29125.79</v>
      </c>
      <c r="I1919" s="153">
        <v>12851.48</v>
      </c>
      <c r="J1919" s="153">
        <v>13235.11</v>
      </c>
      <c r="K1919" s="153">
        <v>3039.2</v>
      </c>
      <c r="L1919" s="43">
        <v>6.9037436830977237</v>
      </c>
      <c r="M1919" s="43">
        <v>11.5</v>
      </c>
      <c r="N1919" s="43">
        <v>5.3159670481063905</v>
      </c>
      <c r="O1919" s="43">
        <v>4.9690172162908945</v>
      </c>
      <c r="P1919" s="154"/>
      <c r="Q1919" s="154"/>
      <c r="R1919" s="154">
        <v>1</v>
      </c>
    </row>
    <row r="1920" spans="1:18" ht="24">
      <c r="A1920" s="150">
        <v>287</v>
      </c>
      <c r="B1920" s="147" t="s">
        <v>3505</v>
      </c>
      <c r="C1920" s="151" t="s">
        <v>3506</v>
      </c>
      <c r="D1920" s="152">
        <v>6572.47</v>
      </c>
      <c r="E1920" s="152">
        <v>877.46</v>
      </c>
      <c r="F1920" s="152">
        <v>5167.99</v>
      </c>
      <c r="G1920" s="152">
        <v>527.02</v>
      </c>
      <c r="H1920" s="153">
        <v>40167.519999999997</v>
      </c>
      <c r="I1920" s="153">
        <v>10090.790000000001</v>
      </c>
      <c r="J1920" s="153">
        <v>27292.04</v>
      </c>
      <c r="K1920" s="153">
        <v>2784.69</v>
      </c>
      <c r="L1920" s="43">
        <v>6.111480158905251</v>
      </c>
      <c r="M1920" s="43">
        <v>11.5</v>
      </c>
      <c r="N1920" s="43">
        <v>5.2809777108701841</v>
      </c>
      <c r="O1920" s="43">
        <v>5.2838412204470417</v>
      </c>
      <c r="P1920" s="154"/>
      <c r="Q1920" s="154"/>
      <c r="R1920" s="154">
        <v>1</v>
      </c>
    </row>
    <row r="1921" spans="1:18" ht="36">
      <c r="A1921" s="150">
        <v>288</v>
      </c>
      <c r="B1921" s="147" t="s">
        <v>3507</v>
      </c>
      <c r="C1921" s="151" t="s">
        <v>3508</v>
      </c>
      <c r="D1921" s="152">
        <v>8306.1200000000008</v>
      </c>
      <c r="E1921" s="152">
        <v>2732.68</v>
      </c>
      <c r="F1921" s="152">
        <v>4585.22</v>
      </c>
      <c r="G1921" s="152">
        <v>988.22</v>
      </c>
      <c r="H1921" s="153">
        <v>60164.44</v>
      </c>
      <c r="I1921" s="153">
        <v>31426.880000000001</v>
      </c>
      <c r="J1921" s="153">
        <v>23284.48</v>
      </c>
      <c r="K1921" s="153">
        <v>5453.08</v>
      </c>
      <c r="L1921" s="43">
        <v>7.2433868039469687</v>
      </c>
      <c r="M1921" s="43">
        <v>11.500387897595036</v>
      </c>
      <c r="N1921" s="43">
        <v>5.0781598265732066</v>
      </c>
      <c r="O1921" s="43">
        <v>5.5180830179514677</v>
      </c>
      <c r="P1921" s="154"/>
      <c r="Q1921" s="154"/>
      <c r="R1921" s="154">
        <v>1</v>
      </c>
    </row>
    <row r="1922" spans="1:18" ht="12.75" customHeight="1">
      <c r="A1922" s="628" t="s">
        <v>3509</v>
      </c>
      <c r="B1922" s="629"/>
      <c r="C1922" s="629"/>
      <c r="D1922" s="629"/>
      <c r="E1922" s="629"/>
      <c r="F1922" s="629"/>
      <c r="G1922" s="629"/>
      <c r="H1922" s="629"/>
      <c r="I1922" s="629"/>
      <c r="J1922" s="629"/>
      <c r="K1922" s="629"/>
      <c r="L1922" s="629"/>
      <c r="M1922" s="629"/>
      <c r="N1922" s="629"/>
      <c r="O1922" s="629"/>
      <c r="P1922" s="629"/>
      <c r="Q1922" s="629"/>
      <c r="R1922" s="629"/>
    </row>
    <row r="1923" spans="1:18" ht="48">
      <c r="A1923" s="150">
        <v>289</v>
      </c>
      <c r="B1923" s="147" t="s">
        <v>3510</v>
      </c>
      <c r="C1923" s="151" t="s">
        <v>3511</v>
      </c>
      <c r="D1923" s="152">
        <v>6558.75</v>
      </c>
      <c r="E1923" s="152">
        <v>561.17999999999995</v>
      </c>
      <c r="F1923" s="152">
        <v>315.91000000000003</v>
      </c>
      <c r="G1923" s="152">
        <v>5681.66</v>
      </c>
      <c r="H1923" s="153">
        <v>38234.400000000001</v>
      </c>
      <c r="I1923" s="153">
        <v>6453.62</v>
      </c>
      <c r="J1923" s="153">
        <v>1577.21</v>
      </c>
      <c r="K1923" s="153">
        <v>30203.57</v>
      </c>
      <c r="L1923" s="43">
        <v>5.8295254431103487</v>
      </c>
      <c r="M1923" s="43">
        <v>11.500089097972131</v>
      </c>
      <c r="N1923" s="43">
        <v>4.9925928270710012</v>
      </c>
      <c r="O1923" s="43">
        <v>5.3159763167806595</v>
      </c>
      <c r="P1923" s="154"/>
      <c r="Q1923" s="154"/>
      <c r="R1923" s="154">
        <v>2</v>
      </c>
    </row>
    <row r="1924" spans="1:18" ht="48">
      <c r="A1924" s="150">
        <v>290</v>
      </c>
      <c r="B1924" s="147" t="s">
        <v>3512</v>
      </c>
      <c r="C1924" s="151" t="s">
        <v>3513</v>
      </c>
      <c r="D1924" s="152">
        <v>4799.1099999999997</v>
      </c>
      <c r="E1924" s="152">
        <v>471.44</v>
      </c>
      <c r="F1924" s="152">
        <v>261.87</v>
      </c>
      <c r="G1924" s="152">
        <v>4065.8</v>
      </c>
      <c r="H1924" s="153">
        <v>28351.87</v>
      </c>
      <c r="I1924" s="153">
        <v>5421.56</v>
      </c>
      <c r="J1924" s="153">
        <v>1291.98</v>
      </c>
      <c r="K1924" s="153">
        <v>21638.33</v>
      </c>
      <c r="L1924" s="43">
        <v>5.9077349758601079</v>
      </c>
      <c r="M1924" s="43">
        <v>11.500000000000002</v>
      </c>
      <c r="N1924" s="43">
        <v>4.9336693779356171</v>
      </c>
      <c r="O1924" s="43">
        <v>5.322035023857544</v>
      </c>
      <c r="P1924" s="154"/>
      <c r="Q1924" s="154"/>
      <c r="R1924" s="154">
        <v>2</v>
      </c>
    </row>
    <row r="1925" spans="1:18" ht="48">
      <c r="A1925" s="150">
        <v>291</v>
      </c>
      <c r="B1925" s="147" t="s">
        <v>3514</v>
      </c>
      <c r="C1925" s="151" t="s">
        <v>3515</v>
      </c>
      <c r="D1925" s="152">
        <v>3145.68</v>
      </c>
      <c r="E1925" s="152">
        <v>406.12</v>
      </c>
      <c r="F1925" s="152">
        <v>239.4</v>
      </c>
      <c r="G1925" s="152">
        <v>2500.16</v>
      </c>
      <c r="H1925" s="153">
        <v>19264.34</v>
      </c>
      <c r="I1925" s="153">
        <v>4670.51</v>
      </c>
      <c r="J1925" s="153">
        <v>1204.8</v>
      </c>
      <c r="K1925" s="153">
        <v>13389.03</v>
      </c>
      <c r="L1925" s="43">
        <v>6.1240622059459326</v>
      </c>
      <c r="M1925" s="43">
        <v>11.500320102432779</v>
      </c>
      <c r="N1925" s="43">
        <v>5.0325814536340845</v>
      </c>
      <c r="O1925" s="43">
        <v>5.3552692627671838</v>
      </c>
      <c r="P1925" s="154"/>
      <c r="Q1925" s="154"/>
      <c r="R1925" s="154">
        <v>2</v>
      </c>
    </row>
    <row r="1926" spans="1:18" ht="48">
      <c r="A1926" s="150">
        <v>292</v>
      </c>
      <c r="B1926" s="147" t="s">
        <v>3516</v>
      </c>
      <c r="C1926" s="151" t="s">
        <v>3517</v>
      </c>
      <c r="D1926" s="152">
        <v>4186.59</v>
      </c>
      <c r="E1926" s="152">
        <v>341.28</v>
      </c>
      <c r="F1926" s="152">
        <v>254.1</v>
      </c>
      <c r="G1926" s="152">
        <v>3591.21</v>
      </c>
      <c r="H1926" s="153">
        <v>24318.41</v>
      </c>
      <c r="I1926" s="153">
        <v>3924.86</v>
      </c>
      <c r="J1926" s="153">
        <v>1277.72</v>
      </c>
      <c r="K1926" s="153">
        <v>19115.830000000002</v>
      </c>
      <c r="L1926" s="43">
        <v>5.8086437888591904</v>
      </c>
      <c r="M1926" s="43">
        <v>11.500410220346931</v>
      </c>
      <c r="N1926" s="43">
        <v>5.0284140102321926</v>
      </c>
      <c r="O1926" s="43">
        <v>5.3229496464979773</v>
      </c>
      <c r="P1926" s="154"/>
      <c r="Q1926" s="154"/>
      <c r="R1926" s="154">
        <v>2</v>
      </c>
    </row>
    <row r="1927" spans="1:18" ht="12.75" customHeight="1">
      <c r="A1927" s="628" t="s">
        <v>3518</v>
      </c>
      <c r="B1927" s="629"/>
      <c r="C1927" s="629"/>
      <c r="D1927" s="629"/>
      <c r="E1927" s="629"/>
      <c r="F1927" s="629"/>
      <c r="G1927" s="629"/>
      <c r="H1927" s="629"/>
      <c r="I1927" s="629"/>
      <c r="J1927" s="629"/>
      <c r="K1927" s="629"/>
      <c r="L1927" s="629"/>
      <c r="M1927" s="629"/>
      <c r="N1927" s="629"/>
      <c r="O1927" s="629"/>
      <c r="P1927" s="629"/>
      <c r="Q1927" s="629"/>
      <c r="R1927" s="629"/>
    </row>
    <row r="1928" spans="1:18" ht="36">
      <c r="A1928" s="150">
        <v>293</v>
      </c>
      <c r="B1928" s="147" t="s">
        <v>3519</v>
      </c>
      <c r="C1928" s="151" t="s">
        <v>3520</v>
      </c>
      <c r="D1928" s="152">
        <v>1401.58</v>
      </c>
      <c r="E1928" s="152">
        <v>212.57</v>
      </c>
      <c r="F1928" s="152">
        <v>476.03</v>
      </c>
      <c r="G1928" s="152">
        <v>712.98</v>
      </c>
      <c r="H1928" s="153">
        <v>9994.51</v>
      </c>
      <c r="I1928" s="153">
        <v>2444.59</v>
      </c>
      <c r="J1928" s="153">
        <v>2534.0700000000002</v>
      </c>
      <c r="K1928" s="153">
        <v>5015.8500000000004</v>
      </c>
      <c r="L1928" s="43">
        <v>7.13088799783102</v>
      </c>
      <c r="M1928" s="43">
        <v>11.500164651644166</v>
      </c>
      <c r="N1928" s="43">
        <v>5.3233409659055111</v>
      </c>
      <c r="O1928" s="43">
        <v>7.0350500715307582</v>
      </c>
      <c r="P1928" s="154"/>
      <c r="Q1928" s="154"/>
      <c r="R1928" s="154">
        <v>3</v>
      </c>
    </row>
    <row r="1929" spans="1:18" ht="36">
      <c r="A1929" s="150">
        <v>294</v>
      </c>
      <c r="B1929" s="147" t="s">
        <v>3521</v>
      </c>
      <c r="C1929" s="151" t="s">
        <v>3522</v>
      </c>
      <c r="D1929" s="152">
        <v>1491.65</v>
      </c>
      <c r="E1929" s="152">
        <v>526.72</v>
      </c>
      <c r="F1929" s="152">
        <v>579.29999999999995</v>
      </c>
      <c r="G1929" s="152">
        <v>385.63</v>
      </c>
      <c r="H1929" s="153">
        <v>11402.78</v>
      </c>
      <c r="I1929" s="153">
        <v>6057.49</v>
      </c>
      <c r="J1929" s="153">
        <v>3111.56</v>
      </c>
      <c r="K1929" s="153">
        <v>2233.73</v>
      </c>
      <c r="L1929" s="43">
        <v>7.6444072000804475</v>
      </c>
      <c r="M1929" s="43">
        <v>11.500398693803158</v>
      </c>
      <c r="N1929" s="43">
        <v>5.3712411531158297</v>
      </c>
      <c r="O1929" s="43">
        <v>5.7924176023649609</v>
      </c>
      <c r="P1929" s="154"/>
      <c r="Q1929" s="154"/>
      <c r="R1929" s="154">
        <v>3</v>
      </c>
    </row>
    <row r="1930" spans="1:18" ht="60">
      <c r="A1930" s="150">
        <v>295</v>
      </c>
      <c r="B1930" s="147" t="s">
        <v>3523</v>
      </c>
      <c r="C1930" s="151" t="s">
        <v>3524</v>
      </c>
      <c r="D1930" s="152">
        <v>15707.81</v>
      </c>
      <c r="E1930" s="152">
        <v>5914.8</v>
      </c>
      <c r="F1930" s="152">
        <v>5741.02</v>
      </c>
      <c r="G1930" s="152">
        <v>4051.99</v>
      </c>
      <c r="H1930" s="153">
        <v>125666.39</v>
      </c>
      <c r="I1930" s="153">
        <v>68020.2</v>
      </c>
      <c r="J1930" s="153">
        <v>30408</v>
      </c>
      <c r="K1930" s="153">
        <v>27238.19</v>
      </c>
      <c r="L1930" s="43">
        <v>8.0002489207598</v>
      </c>
      <c r="M1930" s="43">
        <v>11.5</v>
      </c>
      <c r="N1930" s="43">
        <v>5.296619764432104</v>
      </c>
      <c r="O1930" s="43">
        <v>6.7221760172162321</v>
      </c>
      <c r="P1930" s="154"/>
      <c r="Q1930" s="154"/>
      <c r="R1930" s="154">
        <v>3</v>
      </c>
    </row>
    <row r="1931" spans="1:18" ht="48">
      <c r="A1931" s="150">
        <v>296</v>
      </c>
      <c r="B1931" s="147" t="s">
        <v>3525</v>
      </c>
      <c r="C1931" s="151" t="s">
        <v>3526</v>
      </c>
      <c r="D1931" s="152">
        <v>19208.96</v>
      </c>
      <c r="E1931" s="152">
        <v>5838.48</v>
      </c>
      <c r="F1931" s="152">
        <v>8329.9</v>
      </c>
      <c r="G1931" s="152">
        <v>5040.58</v>
      </c>
      <c r="H1931" s="153">
        <v>141327.57999999999</v>
      </c>
      <c r="I1931" s="153">
        <v>67142.52</v>
      </c>
      <c r="J1931" s="153">
        <v>44232.63</v>
      </c>
      <c r="K1931" s="153">
        <v>29952.43</v>
      </c>
      <c r="L1931" s="43">
        <v>7.3573780152595454</v>
      </c>
      <c r="M1931" s="43">
        <v>11.500000000000002</v>
      </c>
      <c r="N1931" s="43">
        <v>5.3101033625853855</v>
      </c>
      <c r="O1931" s="43">
        <v>5.9422586289673012</v>
      </c>
      <c r="P1931" s="154"/>
      <c r="Q1931" s="154"/>
      <c r="R1931" s="154">
        <v>3</v>
      </c>
    </row>
    <row r="1932" spans="1:18" ht="12.75" customHeight="1">
      <c r="A1932" s="628" t="s">
        <v>3527</v>
      </c>
      <c r="B1932" s="629"/>
      <c r="C1932" s="629"/>
      <c r="D1932" s="629"/>
      <c r="E1932" s="629"/>
      <c r="F1932" s="629"/>
      <c r="G1932" s="629"/>
      <c r="H1932" s="629"/>
      <c r="I1932" s="629"/>
      <c r="J1932" s="629"/>
      <c r="K1932" s="629"/>
      <c r="L1932" s="629"/>
      <c r="M1932" s="629"/>
      <c r="N1932" s="629"/>
      <c r="O1932" s="629"/>
      <c r="P1932" s="629"/>
      <c r="Q1932" s="629"/>
      <c r="R1932" s="629"/>
    </row>
    <row r="1933" spans="1:18" ht="36">
      <c r="A1933" s="150">
        <v>297</v>
      </c>
      <c r="B1933" s="147" t="s">
        <v>3528</v>
      </c>
      <c r="C1933" s="151" t="s">
        <v>3529</v>
      </c>
      <c r="D1933" s="152">
        <v>1540.88</v>
      </c>
      <c r="E1933" s="152">
        <v>541.1</v>
      </c>
      <c r="F1933" s="152">
        <v>650.09</v>
      </c>
      <c r="G1933" s="152">
        <v>349.69</v>
      </c>
      <c r="H1933" s="153">
        <v>11709.63</v>
      </c>
      <c r="I1933" s="153">
        <v>6222.83</v>
      </c>
      <c r="J1933" s="153">
        <v>3474.52</v>
      </c>
      <c r="K1933" s="153">
        <v>2012.28</v>
      </c>
      <c r="L1933" s="43">
        <v>7.5993133793676328</v>
      </c>
      <c r="M1933" s="43">
        <v>11.500332655701348</v>
      </c>
      <c r="N1933" s="43">
        <v>5.3446753526434803</v>
      </c>
      <c r="O1933" s="43">
        <v>5.7544682433012095</v>
      </c>
      <c r="P1933" s="154"/>
      <c r="Q1933" s="154"/>
      <c r="R1933" s="154">
        <v>4</v>
      </c>
    </row>
    <row r="1934" spans="1:18" ht="36">
      <c r="A1934" s="150">
        <v>298</v>
      </c>
      <c r="B1934" s="147" t="s">
        <v>3530</v>
      </c>
      <c r="C1934" s="151" t="s">
        <v>3531</v>
      </c>
      <c r="D1934" s="152">
        <v>10066.58</v>
      </c>
      <c r="E1934" s="152">
        <v>2003.94</v>
      </c>
      <c r="F1934" s="152">
        <v>7029.73</v>
      </c>
      <c r="G1934" s="152">
        <v>1032.9100000000001</v>
      </c>
      <c r="H1934" s="153">
        <v>66971.37</v>
      </c>
      <c r="I1934" s="153">
        <v>23046.12</v>
      </c>
      <c r="J1934" s="153">
        <v>38115.01</v>
      </c>
      <c r="K1934" s="153">
        <v>5810.24</v>
      </c>
      <c r="L1934" s="43">
        <v>6.652842375464159</v>
      </c>
      <c r="M1934" s="43">
        <v>11.500404203718674</v>
      </c>
      <c r="N1934" s="43">
        <v>5.4219735324116298</v>
      </c>
      <c r="O1934" s="43">
        <v>5.6251173868003983</v>
      </c>
      <c r="P1934" s="154"/>
      <c r="Q1934" s="154"/>
      <c r="R1934" s="154">
        <v>4</v>
      </c>
    </row>
    <row r="1935" spans="1:18" ht="24">
      <c r="A1935" s="150">
        <v>299</v>
      </c>
      <c r="B1935" s="147" t="s">
        <v>3532</v>
      </c>
      <c r="C1935" s="151" t="s">
        <v>3533</v>
      </c>
      <c r="D1935" s="152">
        <v>7507.15</v>
      </c>
      <c r="E1935" s="152">
        <v>1104.19</v>
      </c>
      <c r="F1935" s="152">
        <v>5102.01</v>
      </c>
      <c r="G1935" s="152">
        <v>1300.95</v>
      </c>
      <c r="H1935" s="153">
        <v>46541.9</v>
      </c>
      <c r="I1935" s="153">
        <v>12698.65</v>
      </c>
      <c r="J1935" s="153">
        <v>27678.69</v>
      </c>
      <c r="K1935" s="153">
        <v>6164.56</v>
      </c>
      <c r="L1935" s="43">
        <v>6.1996763085858158</v>
      </c>
      <c r="M1935" s="43">
        <v>11.500421123176263</v>
      </c>
      <c r="N1935" s="43">
        <v>5.4250560073382834</v>
      </c>
      <c r="O1935" s="43">
        <v>4.7385064760367426</v>
      </c>
      <c r="P1935" s="154"/>
      <c r="Q1935" s="154"/>
      <c r="R1935" s="154">
        <v>4</v>
      </c>
    </row>
    <row r="1936" spans="1:18" ht="12.75" customHeight="1">
      <c r="A1936" s="628" t="s">
        <v>3189</v>
      </c>
      <c r="B1936" s="629"/>
      <c r="C1936" s="629"/>
      <c r="D1936" s="629"/>
      <c r="E1936" s="629"/>
      <c r="F1936" s="629"/>
      <c r="G1936" s="629"/>
      <c r="H1936" s="629"/>
      <c r="I1936" s="629"/>
      <c r="J1936" s="629"/>
      <c r="K1936" s="629"/>
      <c r="L1936" s="629"/>
      <c r="M1936" s="629"/>
      <c r="N1936" s="629"/>
      <c r="O1936" s="629"/>
      <c r="P1936" s="629"/>
      <c r="Q1936" s="629"/>
      <c r="R1936" s="629"/>
    </row>
    <row r="1937" spans="1:18" ht="60">
      <c r="A1937" s="150">
        <v>300</v>
      </c>
      <c r="B1937" s="147" t="s">
        <v>3534</v>
      </c>
      <c r="C1937" s="151" t="s">
        <v>3535</v>
      </c>
      <c r="D1937" s="152">
        <v>5730.3</v>
      </c>
      <c r="E1937" s="152">
        <v>3983.01</v>
      </c>
      <c r="F1937" s="152">
        <v>1270.03</v>
      </c>
      <c r="G1937" s="152">
        <v>477.26</v>
      </c>
      <c r="H1937" s="153">
        <v>55797.97</v>
      </c>
      <c r="I1937" s="153">
        <v>45806.16</v>
      </c>
      <c r="J1937" s="153">
        <v>6933.68</v>
      </c>
      <c r="K1937" s="153">
        <v>3058.13</v>
      </c>
      <c r="L1937" s="43">
        <v>9.7373558103415174</v>
      </c>
      <c r="M1937" s="43">
        <v>11.500387897595035</v>
      </c>
      <c r="N1937" s="43">
        <v>5.4594615875215551</v>
      </c>
      <c r="O1937" s="43">
        <v>6.4076813476930816</v>
      </c>
      <c r="P1937" s="154"/>
      <c r="Q1937" s="154"/>
      <c r="R1937" s="154">
        <v>5</v>
      </c>
    </row>
    <row r="1938" spans="1:18" ht="60">
      <c r="A1938" s="150">
        <v>301</v>
      </c>
      <c r="B1938" s="147" t="s">
        <v>3536</v>
      </c>
      <c r="C1938" s="151" t="s">
        <v>3537</v>
      </c>
      <c r="D1938" s="152">
        <v>14997.45</v>
      </c>
      <c r="E1938" s="152">
        <v>7466.4</v>
      </c>
      <c r="F1938" s="152">
        <v>5556.15</v>
      </c>
      <c r="G1938" s="152">
        <v>1974.9</v>
      </c>
      <c r="H1938" s="153">
        <v>127015.28</v>
      </c>
      <c r="I1938" s="153">
        <v>85863.6</v>
      </c>
      <c r="J1938" s="153">
        <v>28332.74</v>
      </c>
      <c r="K1938" s="153">
        <v>12818.94</v>
      </c>
      <c r="L1938" s="43">
        <v>8.4691250845977137</v>
      </c>
      <c r="M1938" s="43">
        <v>11.500000000000002</v>
      </c>
      <c r="N1938" s="43">
        <v>5.099347569810031</v>
      </c>
      <c r="O1938" s="43">
        <v>6.4909311863891839</v>
      </c>
      <c r="P1938" s="154"/>
      <c r="Q1938" s="154"/>
      <c r="R1938" s="154">
        <v>5</v>
      </c>
    </row>
    <row r="1939" spans="1:18" ht="48">
      <c r="A1939" s="150">
        <v>302</v>
      </c>
      <c r="B1939" s="147" t="s">
        <v>3538</v>
      </c>
      <c r="C1939" s="151" t="s">
        <v>3539</v>
      </c>
      <c r="D1939" s="152">
        <v>19851.669999999998</v>
      </c>
      <c r="E1939" s="152">
        <v>7993.3</v>
      </c>
      <c r="F1939" s="152">
        <v>10158.36</v>
      </c>
      <c r="G1939" s="152">
        <v>1700.01</v>
      </c>
      <c r="H1939" s="153">
        <v>156506.43</v>
      </c>
      <c r="I1939" s="153">
        <v>91922.95</v>
      </c>
      <c r="J1939" s="153">
        <v>52905.37</v>
      </c>
      <c r="K1939" s="153">
        <v>11678.11</v>
      </c>
      <c r="L1939" s="43">
        <v>7.8837916407032758</v>
      </c>
      <c r="M1939" s="43">
        <v>11.5</v>
      </c>
      <c r="N1939" s="43">
        <v>5.2080621281387938</v>
      </c>
      <c r="O1939" s="43">
        <v>6.869436062140811</v>
      </c>
      <c r="P1939" s="154"/>
      <c r="Q1939" s="154"/>
      <c r="R1939" s="154">
        <v>5</v>
      </c>
    </row>
    <row r="1940" spans="1:18" ht="12.75" customHeight="1">
      <c r="A1940" s="628" t="s">
        <v>3168</v>
      </c>
      <c r="B1940" s="629"/>
      <c r="C1940" s="629"/>
      <c r="D1940" s="629"/>
      <c r="E1940" s="629"/>
      <c r="F1940" s="629"/>
      <c r="G1940" s="629"/>
      <c r="H1940" s="629"/>
      <c r="I1940" s="629"/>
      <c r="J1940" s="629"/>
      <c r="K1940" s="629"/>
      <c r="L1940" s="629"/>
      <c r="M1940" s="629"/>
      <c r="N1940" s="629"/>
      <c r="O1940" s="629"/>
      <c r="P1940" s="629"/>
      <c r="Q1940" s="629"/>
      <c r="R1940" s="629"/>
    </row>
    <row r="1941" spans="1:18" ht="24">
      <c r="A1941" s="150">
        <v>303</v>
      </c>
      <c r="B1941" s="147" t="s">
        <v>3540</v>
      </c>
      <c r="C1941" s="151" t="s">
        <v>3541</v>
      </c>
      <c r="D1941" s="152">
        <v>323.32</v>
      </c>
      <c r="E1941" s="152">
        <v>105.25</v>
      </c>
      <c r="F1941" s="152">
        <v>193.15</v>
      </c>
      <c r="G1941" s="152">
        <v>24.92</v>
      </c>
      <c r="H1941" s="153">
        <v>2407.5500000000002</v>
      </c>
      <c r="I1941" s="153">
        <v>1210.4000000000001</v>
      </c>
      <c r="J1941" s="153">
        <v>1025.07</v>
      </c>
      <c r="K1941" s="153">
        <v>172.08</v>
      </c>
      <c r="L1941" s="43">
        <v>7.4463379933193128</v>
      </c>
      <c r="M1941" s="43">
        <v>11.500237529691212</v>
      </c>
      <c r="N1941" s="43">
        <v>5.3071188195702819</v>
      </c>
      <c r="O1941" s="43">
        <v>6.9052969502407704</v>
      </c>
      <c r="P1941" s="154"/>
      <c r="Q1941" s="154"/>
      <c r="R1941" s="154">
        <v>6</v>
      </c>
    </row>
    <row r="1942" spans="1:18" ht="12.75" customHeight="1">
      <c r="A1942" s="628" t="s">
        <v>3542</v>
      </c>
      <c r="B1942" s="629"/>
      <c r="C1942" s="629"/>
      <c r="D1942" s="629"/>
      <c r="E1942" s="629"/>
      <c r="F1942" s="629"/>
      <c r="G1942" s="629"/>
      <c r="H1942" s="629"/>
      <c r="I1942" s="629"/>
      <c r="J1942" s="629"/>
      <c r="K1942" s="629"/>
      <c r="L1942" s="629"/>
      <c r="M1942" s="629"/>
      <c r="N1942" s="629"/>
      <c r="O1942" s="629"/>
      <c r="P1942" s="629"/>
      <c r="Q1942" s="629"/>
      <c r="R1942" s="629"/>
    </row>
    <row r="1943" spans="1:18" ht="24">
      <c r="A1943" s="150">
        <v>304</v>
      </c>
      <c r="B1943" s="147" t="s">
        <v>3543</v>
      </c>
      <c r="C1943" s="151" t="s">
        <v>3544</v>
      </c>
      <c r="D1943" s="152">
        <v>3257.88</v>
      </c>
      <c r="E1943" s="152">
        <v>1072.47</v>
      </c>
      <c r="F1943" s="152">
        <v>876.72</v>
      </c>
      <c r="G1943" s="152">
        <v>1308.69</v>
      </c>
      <c r="H1943" s="153">
        <v>24373.85</v>
      </c>
      <c r="I1943" s="153">
        <v>12333.9</v>
      </c>
      <c r="J1943" s="153">
        <v>4654.3900000000003</v>
      </c>
      <c r="K1943" s="153">
        <v>7385.56</v>
      </c>
      <c r="L1943" s="43">
        <v>7.4815063783810327</v>
      </c>
      <c r="M1943" s="43">
        <v>11.500461551372066</v>
      </c>
      <c r="N1943" s="43">
        <v>5.3088671411625148</v>
      </c>
      <c r="O1943" s="43">
        <v>5.6434755366053073</v>
      </c>
      <c r="P1943" s="154"/>
      <c r="Q1943" s="154"/>
      <c r="R1943" s="154">
        <v>7</v>
      </c>
    </row>
    <row r="1944" spans="1:18" ht="24">
      <c r="A1944" s="150">
        <v>305</v>
      </c>
      <c r="B1944" s="147" t="s">
        <v>3545</v>
      </c>
      <c r="C1944" s="151" t="s">
        <v>3546</v>
      </c>
      <c r="D1944" s="152">
        <v>1478</v>
      </c>
      <c r="E1944" s="152">
        <v>440.61</v>
      </c>
      <c r="F1944" s="152">
        <v>564.24</v>
      </c>
      <c r="G1944" s="152">
        <v>473.15</v>
      </c>
      <c r="H1944" s="153">
        <v>10857.48</v>
      </c>
      <c r="I1944" s="153">
        <v>5066.99</v>
      </c>
      <c r="J1944" s="153">
        <v>2975.65</v>
      </c>
      <c r="K1944" s="153">
        <v>2814.84</v>
      </c>
      <c r="L1944" s="43">
        <v>7.3460622462787546</v>
      </c>
      <c r="M1944" s="43">
        <v>11.499943260479789</v>
      </c>
      <c r="N1944" s="43">
        <v>5.2737310364383951</v>
      </c>
      <c r="O1944" s="43">
        <v>5.9491493183979713</v>
      </c>
      <c r="P1944" s="154"/>
      <c r="Q1944" s="154"/>
      <c r="R1944" s="154">
        <v>7</v>
      </c>
    </row>
    <row r="1945" spans="1:18" ht="36">
      <c r="A1945" s="150">
        <v>306</v>
      </c>
      <c r="B1945" s="147" t="s">
        <v>3547</v>
      </c>
      <c r="C1945" s="151" t="s">
        <v>3548</v>
      </c>
      <c r="D1945" s="152">
        <v>4387.91</v>
      </c>
      <c r="E1945" s="152">
        <v>1476.8</v>
      </c>
      <c r="F1945" s="152">
        <v>2547.98</v>
      </c>
      <c r="G1945" s="152">
        <v>363.13</v>
      </c>
      <c r="H1945" s="153">
        <v>34976.620000000003</v>
      </c>
      <c r="I1945" s="153">
        <v>16983.2</v>
      </c>
      <c r="J1945" s="153">
        <v>15633.44</v>
      </c>
      <c r="K1945" s="153">
        <v>2359.98</v>
      </c>
      <c r="L1945" s="43">
        <v>7.9711343213511681</v>
      </c>
      <c r="M1945" s="43">
        <v>11.5</v>
      </c>
      <c r="N1945" s="43">
        <v>6.1356211587218112</v>
      </c>
      <c r="O1945" s="43">
        <v>6.4989948503290833</v>
      </c>
      <c r="P1945" s="154"/>
      <c r="Q1945" s="154"/>
      <c r="R1945" s="154">
        <v>7</v>
      </c>
    </row>
    <row r="1946" spans="1:18" ht="24">
      <c r="A1946" s="150">
        <v>307</v>
      </c>
      <c r="B1946" s="147" t="s">
        <v>3549</v>
      </c>
      <c r="C1946" s="151" t="s">
        <v>3550</v>
      </c>
      <c r="D1946" s="152">
        <v>8620.36</v>
      </c>
      <c r="E1946" s="152">
        <v>4282.72</v>
      </c>
      <c r="F1946" s="152">
        <v>1321.32</v>
      </c>
      <c r="G1946" s="152">
        <v>3016.32</v>
      </c>
      <c r="H1946" s="153">
        <v>75095.61</v>
      </c>
      <c r="I1946" s="153">
        <v>49251.28</v>
      </c>
      <c r="J1946" s="153">
        <v>6808.6</v>
      </c>
      <c r="K1946" s="153">
        <v>19035.73</v>
      </c>
      <c r="L1946" s="43">
        <v>8.7114238848493564</v>
      </c>
      <c r="M1946" s="43">
        <v>11.499999999999998</v>
      </c>
      <c r="N1946" s="43">
        <v>5.1528774256046992</v>
      </c>
      <c r="O1946" s="43">
        <v>6.3109119722045399</v>
      </c>
      <c r="P1946" s="154"/>
      <c r="Q1946" s="154"/>
      <c r="R1946" s="154">
        <v>7</v>
      </c>
    </row>
    <row r="1947" spans="1:18" ht="24">
      <c r="A1947" s="150">
        <v>308</v>
      </c>
      <c r="B1947" s="147" t="s">
        <v>3551</v>
      </c>
      <c r="C1947" s="151" t="s">
        <v>3552</v>
      </c>
      <c r="D1947" s="152">
        <v>2277.69</v>
      </c>
      <c r="E1947" s="152">
        <v>2014.5</v>
      </c>
      <c r="F1947" s="152">
        <v>183.67</v>
      </c>
      <c r="G1947" s="152">
        <v>79.52</v>
      </c>
      <c r="H1947" s="153">
        <v>24679.35</v>
      </c>
      <c r="I1947" s="153">
        <v>23167.599999999999</v>
      </c>
      <c r="J1947" s="153">
        <v>835.32</v>
      </c>
      <c r="K1947" s="153">
        <v>676.43</v>
      </c>
      <c r="L1947" s="43">
        <v>10.835254139061943</v>
      </c>
      <c r="M1947" s="43">
        <v>11.50042194092827</v>
      </c>
      <c r="N1947" s="43">
        <v>4.5479392388522903</v>
      </c>
      <c r="O1947" s="43">
        <v>8.5064134808853122</v>
      </c>
      <c r="P1947" s="154"/>
      <c r="Q1947" s="154"/>
      <c r="R1947" s="154">
        <v>7</v>
      </c>
    </row>
    <row r="1948" spans="1:18" ht="24">
      <c r="A1948" s="150">
        <v>309</v>
      </c>
      <c r="B1948" s="147" t="s">
        <v>3553</v>
      </c>
      <c r="C1948" s="151" t="s">
        <v>3554</v>
      </c>
      <c r="D1948" s="152">
        <v>1890.32</v>
      </c>
      <c r="E1948" s="152">
        <v>1457.55</v>
      </c>
      <c r="F1948" s="152">
        <v>221.85</v>
      </c>
      <c r="G1948" s="152">
        <v>210.92</v>
      </c>
      <c r="H1948" s="153">
        <v>19147.3</v>
      </c>
      <c r="I1948" s="153">
        <v>16762.439999999999</v>
      </c>
      <c r="J1948" s="153">
        <v>1078.05</v>
      </c>
      <c r="K1948" s="153">
        <v>1306.81</v>
      </c>
      <c r="L1948" s="43">
        <v>10.129131575606246</v>
      </c>
      <c r="M1948" s="43">
        <v>11.50042194092827</v>
      </c>
      <c r="N1948" s="43">
        <v>4.8593644354293444</v>
      </c>
      <c r="O1948" s="43">
        <v>6.1957614261331315</v>
      </c>
      <c r="P1948" s="154"/>
      <c r="Q1948" s="154"/>
      <c r="R1948" s="154">
        <v>7</v>
      </c>
    </row>
    <row r="1949" spans="1:18" ht="12.75" customHeight="1">
      <c r="A1949" s="628" t="s">
        <v>3555</v>
      </c>
      <c r="B1949" s="629"/>
      <c r="C1949" s="629"/>
      <c r="D1949" s="629"/>
      <c r="E1949" s="629"/>
      <c r="F1949" s="629"/>
      <c r="G1949" s="629"/>
      <c r="H1949" s="629"/>
      <c r="I1949" s="629"/>
      <c r="J1949" s="629"/>
      <c r="K1949" s="629"/>
      <c r="L1949" s="629"/>
      <c r="M1949" s="629"/>
      <c r="N1949" s="629"/>
      <c r="O1949" s="629"/>
      <c r="P1949" s="629"/>
      <c r="Q1949" s="629"/>
      <c r="R1949" s="629"/>
    </row>
    <row r="1950" spans="1:18" ht="48">
      <c r="A1950" s="150">
        <v>310</v>
      </c>
      <c r="B1950" s="147" t="s">
        <v>3556</v>
      </c>
      <c r="C1950" s="151" t="s">
        <v>3557</v>
      </c>
      <c r="D1950" s="152">
        <v>1984</v>
      </c>
      <c r="E1950" s="152">
        <v>665.97</v>
      </c>
      <c r="F1950" s="152">
        <v>1038.8399999999999</v>
      </c>
      <c r="G1950" s="152">
        <v>279.19</v>
      </c>
      <c r="H1950" s="153">
        <v>13763.43</v>
      </c>
      <c r="I1950" s="153">
        <v>7658.94</v>
      </c>
      <c r="J1950" s="153">
        <v>4808.63</v>
      </c>
      <c r="K1950" s="153">
        <v>1295.8599999999999</v>
      </c>
      <c r="L1950" s="43">
        <v>6.9372127016129035</v>
      </c>
      <c r="M1950" s="43">
        <v>11.500427947204829</v>
      </c>
      <c r="N1950" s="43">
        <v>4.6288456355165382</v>
      </c>
      <c r="O1950" s="43">
        <v>4.6414986210107809</v>
      </c>
      <c r="P1950" s="154"/>
      <c r="Q1950" s="154"/>
      <c r="R1950" s="154">
        <v>8</v>
      </c>
    </row>
    <row r="1951" spans="1:18" ht="48">
      <c r="A1951" s="150">
        <v>311</v>
      </c>
      <c r="B1951" s="147" t="s">
        <v>3558</v>
      </c>
      <c r="C1951" s="151" t="s">
        <v>3559</v>
      </c>
      <c r="D1951" s="152">
        <v>2376.6999999999998</v>
      </c>
      <c r="E1951" s="152">
        <v>765.51</v>
      </c>
      <c r="F1951" s="152">
        <v>1237.8399999999999</v>
      </c>
      <c r="G1951" s="152">
        <v>373.35</v>
      </c>
      <c r="H1951" s="153">
        <v>16210.56</v>
      </c>
      <c r="I1951" s="153">
        <v>8803.69</v>
      </c>
      <c r="J1951" s="153">
        <v>5713.78</v>
      </c>
      <c r="K1951" s="153">
        <v>1693.09</v>
      </c>
      <c r="L1951" s="43">
        <v>6.8206168216434557</v>
      </c>
      <c r="M1951" s="43">
        <v>11.500424553565598</v>
      </c>
      <c r="N1951" s="43">
        <v>4.6159277451043756</v>
      </c>
      <c r="O1951" s="43">
        <v>4.5348600508905843</v>
      </c>
      <c r="P1951" s="154"/>
      <c r="Q1951" s="154"/>
      <c r="R1951" s="154">
        <v>8</v>
      </c>
    </row>
    <row r="1952" spans="1:18" ht="48">
      <c r="A1952" s="150">
        <v>312</v>
      </c>
      <c r="B1952" s="147" t="s">
        <v>3560</v>
      </c>
      <c r="C1952" s="151" t="s">
        <v>3561</v>
      </c>
      <c r="D1952" s="152">
        <v>3843.14</v>
      </c>
      <c r="E1952" s="152">
        <v>1153.6600000000001</v>
      </c>
      <c r="F1952" s="152">
        <v>1597.26</v>
      </c>
      <c r="G1952" s="152">
        <v>1092.22</v>
      </c>
      <c r="H1952" s="153">
        <v>25436.05</v>
      </c>
      <c r="I1952" s="153">
        <v>13267.48</v>
      </c>
      <c r="J1952" s="153">
        <v>7432.29</v>
      </c>
      <c r="K1952" s="153">
        <v>4736.28</v>
      </c>
      <c r="L1952" s="43">
        <v>6.6185593030698859</v>
      </c>
      <c r="M1952" s="43">
        <v>11.500338054539464</v>
      </c>
      <c r="N1952" s="43">
        <v>4.653149768979377</v>
      </c>
      <c r="O1952" s="43">
        <v>4.3363791177601581</v>
      </c>
      <c r="P1952" s="154"/>
      <c r="Q1952" s="154"/>
      <c r="R1952" s="154">
        <v>8</v>
      </c>
    </row>
    <row r="1953" spans="1:18" ht="60">
      <c r="A1953" s="150">
        <v>313</v>
      </c>
      <c r="B1953" s="147" t="s">
        <v>3562</v>
      </c>
      <c r="C1953" s="151" t="s">
        <v>3563</v>
      </c>
      <c r="D1953" s="152">
        <v>17517.169999999998</v>
      </c>
      <c r="E1953" s="152">
        <v>6445.89</v>
      </c>
      <c r="F1953" s="152">
        <v>4169.3500000000004</v>
      </c>
      <c r="G1953" s="152">
        <v>6901.93</v>
      </c>
      <c r="H1953" s="153">
        <v>125081.85</v>
      </c>
      <c r="I1953" s="153">
        <v>74130.539999999994</v>
      </c>
      <c r="J1953" s="153">
        <v>23856.32</v>
      </c>
      <c r="K1953" s="153">
        <v>27094.99</v>
      </c>
      <c r="L1953" s="43">
        <v>7.1405284072712671</v>
      </c>
      <c r="M1953" s="43">
        <v>11.500435161009571</v>
      </c>
      <c r="N1953" s="43">
        <v>5.7218319402304907</v>
      </c>
      <c r="O1953" s="43">
        <v>3.9257120834317356</v>
      </c>
      <c r="P1953" s="154"/>
      <c r="Q1953" s="154"/>
      <c r="R1953" s="154">
        <v>8</v>
      </c>
    </row>
    <row r="1954" spans="1:18" ht="48">
      <c r="A1954" s="150">
        <v>314</v>
      </c>
      <c r="B1954" s="147" t="s">
        <v>3564</v>
      </c>
      <c r="C1954" s="151" t="s">
        <v>3565</v>
      </c>
      <c r="D1954" s="152">
        <v>27713.79</v>
      </c>
      <c r="E1954" s="152">
        <v>9896.16</v>
      </c>
      <c r="F1954" s="152">
        <v>9359.91</v>
      </c>
      <c r="G1954" s="152">
        <v>8457.7199999999993</v>
      </c>
      <c r="H1954" s="153">
        <v>197331.78</v>
      </c>
      <c r="I1954" s="153">
        <v>113810.08</v>
      </c>
      <c r="J1954" s="153">
        <v>49426.23</v>
      </c>
      <c r="K1954" s="153">
        <v>34095.47</v>
      </c>
      <c r="L1954" s="43">
        <v>7.1203462247494835</v>
      </c>
      <c r="M1954" s="43">
        <v>11.500428449014567</v>
      </c>
      <c r="N1954" s="43">
        <v>5.2806309035022778</v>
      </c>
      <c r="O1954" s="43">
        <v>4.0312838448186987</v>
      </c>
      <c r="P1954" s="154"/>
      <c r="Q1954" s="154"/>
      <c r="R1954" s="154">
        <v>8</v>
      </c>
    </row>
    <row r="1955" spans="1:18" ht="48">
      <c r="A1955" s="150">
        <v>315</v>
      </c>
      <c r="B1955" s="147" t="s">
        <v>3566</v>
      </c>
      <c r="C1955" s="151" t="s">
        <v>3567</v>
      </c>
      <c r="D1955" s="152">
        <v>3270.95</v>
      </c>
      <c r="E1955" s="152">
        <v>1040.43</v>
      </c>
      <c r="F1955" s="152">
        <v>1626.57</v>
      </c>
      <c r="G1955" s="152">
        <v>603.95000000000005</v>
      </c>
      <c r="H1955" s="153">
        <v>22185.96</v>
      </c>
      <c r="I1955" s="153">
        <v>11965.38</v>
      </c>
      <c r="J1955" s="153">
        <v>7518.88</v>
      </c>
      <c r="K1955" s="153">
        <v>2701.7</v>
      </c>
      <c r="L1955" s="43">
        <v>6.7827267307662913</v>
      </c>
      <c r="M1955" s="43">
        <v>11.500418096364001</v>
      </c>
      <c r="N1955" s="43">
        <v>4.6225369950263442</v>
      </c>
      <c r="O1955" s="43">
        <v>4.4733835582415757</v>
      </c>
      <c r="P1955" s="154"/>
      <c r="Q1955" s="154"/>
      <c r="R1955" s="154">
        <v>8</v>
      </c>
    </row>
    <row r="1956" spans="1:18" ht="48">
      <c r="A1956" s="150">
        <v>316</v>
      </c>
      <c r="B1956" s="147" t="s">
        <v>3568</v>
      </c>
      <c r="C1956" s="151" t="s">
        <v>3569</v>
      </c>
      <c r="D1956" s="152">
        <v>22745.45</v>
      </c>
      <c r="E1956" s="152">
        <v>9124.5</v>
      </c>
      <c r="F1956" s="152">
        <v>5351.55</v>
      </c>
      <c r="G1956" s="152">
        <v>8269.4</v>
      </c>
      <c r="H1956" s="153">
        <v>168148.5</v>
      </c>
      <c r="I1956" s="153">
        <v>104935.6</v>
      </c>
      <c r="J1956" s="153">
        <v>29883.39</v>
      </c>
      <c r="K1956" s="153">
        <v>33329.51</v>
      </c>
      <c r="L1956" s="43">
        <v>7.3926213814191408</v>
      </c>
      <c r="M1956" s="43">
        <v>11.500421940928272</v>
      </c>
      <c r="N1956" s="43">
        <v>5.5840625613140116</v>
      </c>
      <c r="O1956" s="43">
        <v>4.0304629114566959</v>
      </c>
      <c r="P1956" s="154"/>
      <c r="Q1956" s="154"/>
      <c r="R1956" s="154">
        <v>8</v>
      </c>
    </row>
    <row r="1957" spans="1:18" ht="12.75" customHeight="1">
      <c r="A1957" s="628" t="s">
        <v>3570</v>
      </c>
      <c r="B1957" s="629"/>
      <c r="C1957" s="629"/>
      <c r="D1957" s="629"/>
      <c r="E1957" s="629"/>
      <c r="F1957" s="629"/>
      <c r="G1957" s="629"/>
      <c r="H1957" s="629"/>
      <c r="I1957" s="629"/>
      <c r="J1957" s="629"/>
      <c r="K1957" s="629"/>
      <c r="L1957" s="629"/>
      <c r="M1957" s="629"/>
      <c r="N1957" s="629"/>
      <c r="O1957" s="629"/>
      <c r="P1957" s="629"/>
      <c r="Q1957" s="629"/>
      <c r="R1957" s="629"/>
    </row>
    <row r="1958" spans="1:18" ht="48">
      <c r="A1958" s="150">
        <v>317</v>
      </c>
      <c r="B1958" s="147" t="s">
        <v>3571</v>
      </c>
      <c r="C1958" s="151" t="s">
        <v>3572</v>
      </c>
      <c r="D1958" s="152">
        <v>7241.13</v>
      </c>
      <c r="E1958" s="152">
        <v>6126.45</v>
      </c>
      <c r="F1958" s="152">
        <v>300.11</v>
      </c>
      <c r="G1958" s="152">
        <v>814.57</v>
      </c>
      <c r="H1958" s="153">
        <v>78044.19</v>
      </c>
      <c r="I1958" s="153">
        <v>70456.759999999995</v>
      </c>
      <c r="J1958" s="153">
        <v>1586.53</v>
      </c>
      <c r="K1958" s="153">
        <v>6000.9</v>
      </c>
      <c r="L1958" s="43">
        <v>10.777902067771191</v>
      </c>
      <c r="M1958" s="43">
        <v>11.50042194092827</v>
      </c>
      <c r="N1958" s="43">
        <v>5.2864949518509876</v>
      </c>
      <c r="O1958" s="43">
        <v>7.3669543440097218</v>
      </c>
      <c r="P1958" s="154"/>
      <c r="Q1958" s="154"/>
      <c r="R1958" s="154">
        <v>9</v>
      </c>
    </row>
    <row r="1959" spans="1:18" ht="48">
      <c r="A1959" s="150">
        <v>318</v>
      </c>
      <c r="B1959" s="147" t="s">
        <v>3573</v>
      </c>
      <c r="C1959" s="151" t="s">
        <v>3574</v>
      </c>
      <c r="D1959" s="152">
        <v>10057.36</v>
      </c>
      <c r="E1959" s="152">
        <v>7465.5</v>
      </c>
      <c r="F1959" s="152">
        <v>734.24</v>
      </c>
      <c r="G1959" s="152">
        <v>1857.62</v>
      </c>
      <c r="H1959" s="153">
        <v>102327.08</v>
      </c>
      <c r="I1959" s="153">
        <v>85856.4</v>
      </c>
      <c r="J1959" s="153">
        <v>3884.46</v>
      </c>
      <c r="K1959" s="153">
        <v>12586.22</v>
      </c>
      <c r="L1959" s="43">
        <v>10.174347940214927</v>
      </c>
      <c r="M1959" s="43">
        <v>11.50042194092827</v>
      </c>
      <c r="N1959" s="43">
        <v>5.2904499891043804</v>
      </c>
      <c r="O1959" s="43">
        <v>6.7754546139684111</v>
      </c>
      <c r="P1959" s="154"/>
      <c r="Q1959" s="154"/>
      <c r="R1959" s="154">
        <v>9</v>
      </c>
    </row>
    <row r="1960" spans="1:18" ht="48">
      <c r="A1960" s="150">
        <v>319</v>
      </c>
      <c r="B1960" s="147" t="s">
        <v>3575</v>
      </c>
      <c r="C1960" s="151" t="s">
        <v>3576</v>
      </c>
      <c r="D1960" s="152">
        <v>6114.84</v>
      </c>
      <c r="E1960" s="152">
        <v>5048.1000000000004</v>
      </c>
      <c r="F1960" s="152">
        <v>298.35000000000002</v>
      </c>
      <c r="G1960" s="152">
        <v>768.39</v>
      </c>
      <c r="H1960" s="153">
        <v>65194.28</v>
      </c>
      <c r="I1960" s="153">
        <v>58055.28</v>
      </c>
      <c r="J1960" s="153">
        <v>1577.2</v>
      </c>
      <c r="K1960" s="153">
        <v>5561.8</v>
      </c>
      <c r="L1960" s="43">
        <v>10.661649364496864</v>
      </c>
      <c r="M1960" s="43">
        <v>11.50042194092827</v>
      </c>
      <c r="N1960" s="43">
        <v>5.2864085805262278</v>
      </c>
      <c r="O1960" s="43">
        <v>7.2382514087898073</v>
      </c>
      <c r="P1960" s="154"/>
      <c r="Q1960" s="154"/>
      <c r="R1960" s="154">
        <v>9</v>
      </c>
    </row>
    <row r="1961" spans="1:18" ht="60">
      <c r="A1961" s="150">
        <v>320</v>
      </c>
      <c r="B1961" s="147" t="s">
        <v>3577</v>
      </c>
      <c r="C1961" s="151" t="s">
        <v>3578</v>
      </c>
      <c r="D1961" s="152">
        <v>8438.9699999999993</v>
      </c>
      <c r="E1961" s="152">
        <v>5996.1</v>
      </c>
      <c r="F1961" s="152">
        <v>734.24</v>
      </c>
      <c r="G1961" s="152">
        <v>1708.63</v>
      </c>
      <c r="H1961" s="153">
        <v>84021.08</v>
      </c>
      <c r="I1961" s="153">
        <v>68957.679999999993</v>
      </c>
      <c r="J1961" s="153">
        <v>3884.46</v>
      </c>
      <c r="K1961" s="153">
        <v>11178.94</v>
      </c>
      <c r="L1961" s="43">
        <v>9.9563193138499138</v>
      </c>
      <c r="M1961" s="43">
        <v>11.500421940928268</v>
      </c>
      <c r="N1961" s="43">
        <v>5.2904499891043804</v>
      </c>
      <c r="O1961" s="43">
        <v>6.5426335719260456</v>
      </c>
      <c r="P1961" s="154"/>
      <c r="Q1961" s="154"/>
      <c r="R1961" s="154">
        <v>9</v>
      </c>
    </row>
    <row r="1962" spans="1:18" ht="48">
      <c r="A1962" s="150">
        <v>321</v>
      </c>
      <c r="B1962" s="147" t="s">
        <v>3579</v>
      </c>
      <c r="C1962" s="151" t="s">
        <v>3580</v>
      </c>
      <c r="D1962" s="152">
        <v>12862.47</v>
      </c>
      <c r="E1962" s="152">
        <v>9464.3700000000008</v>
      </c>
      <c r="F1962" s="152">
        <v>958.29</v>
      </c>
      <c r="G1962" s="152">
        <v>2439.81</v>
      </c>
      <c r="H1962" s="153">
        <v>130568.95</v>
      </c>
      <c r="I1962" s="153">
        <v>108844.31</v>
      </c>
      <c r="J1962" s="153">
        <v>5069.72</v>
      </c>
      <c r="K1962" s="153">
        <v>16654.919999999998</v>
      </c>
      <c r="L1962" s="43">
        <v>10.151156815137373</v>
      </c>
      <c r="M1962" s="43">
        <v>11.500428449014565</v>
      </c>
      <c r="N1962" s="43">
        <v>5.2903818259608268</v>
      </c>
      <c r="O1962" s="43">
        <v>6.8263184428295638</v>
      </c>
      <c r="P1962" s="154"/>
      <c r="Q1962" s="154"/>
      <c r="R1962" s="154">
        <v>9</v>
      </c>
    </row>
    <row r="1963" spans="1:18" ht="12.75" customHeight="1">
      <c r="A1963" s="628" t="s">
        <v>3581</v>
      </c>
      <c r="B1963" s="629"/>
      <c r="C1963" s="629"/>
      <c r="D1963" s="629"/>
      <c r="E1963" s="629"/>
      <c r="F1963" s="629"/>
      <c r="G1963" s="629"/>
      <c r="H1963" s="629"/>
      <c r="I1963" s="629"/>
      <c r="J1963" s="629"/>
      <c r="K1963" s="629"/>
      <c r="L1963" s="629"/>
      <c r="M1963" s="629"/>
      <c r="N1963" s="629"/>
      <c r="O1963" s="629"/>
      <c r="P1963" s="629"/>
      <c r="Q1963" s="629"/>
      <c r="R1963" s="629"/>
    </row>
    <row r="1964" spans="1:18" ht="51.75" customHeight="1">
      <c r="A1964" s="150">
        <v>322</v>
      </c>
      <c r="B1964" s="147" t="s">
        <v>3582</v>
      </c>
      <c r="C1964" s="151" t="s">
        <v>3583</v>
      </c>
      <c r="D1964" s="152">
        <v>18873.46</v>
      </c>
      <c r="E1964" s="152">
        <v>11553.75</v>
      </c>
      <c r="F1964" s="152">
        <v>2412.8200000000002</v>
      </c>
      <c r="G1964" s="152">
        <v>4906.8900000000003</v>
      </c>
      <c r="H1964" s="153">
        <v>173492.86</v>
      </c>
      <c r="I1964" s="153">
        <v>132873</v>
      </c>
      <c r="J1964" s="153">
        <v>11932.3</v>
      </c>
      <c r="K1964" s="153">
        <v>28687.56</v>
      </c>
      <c r="L1964" s="43">
        <v>9.1924247064396241</v>
      </c>
      <c r="M1964" s="43">
        <v>11.50042194092827</v>
      </c>
      <c r="N1964" s="43">
        <v>4.9453751212274426</v>
      </c>
      <c r="O1964" s="43">
        <v>5.8463833507578116</v>
      </c>
      <c r="P1964" s="154"/>
      <c r="Q1964" s="154"/>
      <c r="R1964" s="154">
        <v>10</v>
      </c>
    </row>
    <row r="1965" spans="1:18" ht="48">
      <c r="A1965" s="150">
        <v>323</v>
      </c>
      <c r="B1965" s="147" t="s">
        <v>3584</v>
      </c>
      <c r="C1965" s="151" t="s">
        <v>3585</v>
      </c>
      <c r="D1965" s="152">
        <v>32241.13</v>
      </c>
      <c r="E1965" s="152">
        <v>19400.28</v>
      </c>
      <c r="F1965" s="152">
        <v>3594.3</v>
      </c>
      <c r="G1965" s="152">
        <v>9246.5499999999993</v>
      </c>
      <c r="H1965" s="153">
        <v>291531.25</v>
      </c>
      <c r="I1965" s="153">
        <v>223103.22</v>
      </c>
      <c r="J1965" s="153">
        <v>19967.84</v>
      </c>
      <c r="K1965" s="153">
        <v>48460.19</v>
      </c>
      <c r="L1965" s="43">
        <v>9.0422156419455515</v>
      </c>
      <c r="M1965" s="43">
        <v>11.5</v>
      </c>
      <c r="N1965" s="43">
        <v>5.5554183011991203</v>
      </c>
      <c r="O1965" s="43">
        <v>5.2408941713395816</v>
      </c>
      <c r="P1965" s="154"/>
      <c r="Q1965" s="154"/>
      <c r="R1965" s="154">
        <v>10</v>
      </c>
    </row>
    <row r="1966" spans="1:18" ht="60">
      <c r="A1966" s="150">
        <v>324</v>
      </c>
      <c r="B1966" s="147" t="s">
        <v>3586</v>
      </c>
      <c r="C1966" s="151" t="s">
        <v>3587</v>
      </c>
      <c r="D1966" s="152">
        <v>12854.11</v>
      </c>
      <c r="E1966" s="152">
        <v>7927.65</v>
      </c>
      <c r="F1966" s="152">
        <v>1694.66</v>
      </c>
      <c r="G1966" s="152">
        <v>3231.8</v>
      </c>
      <c r="H1966" s="153">
        <v>119439.07</v>
      </c>
      <c r="I1966" s="153">
        <v>91171.32</v>
      </c>
      <c r="J1966" s="153">
        <v>8210.2999999999993</v>
      </c>
      <c r="K1966" s="153">
        <v>20057.45</v>
      </c>
      <c r="L1966" s="43">
        <v>9.291897299774158</v>
      </c>
      <c r="M1966" s="43">
        <v>11.500421940928272</v>
      </c>
      <c r="N1966" s="43">
        <v>4.8448066278781576</v>
      </c>
      <c r="O1966" s="43">
        <v>6.2062782350392967</v>
      </c>
      <c r="P1966" s="154"/>
      <c r="Q1966" s="154"/>
      <c r="R1966" s="154">
        <v>10</v>
      </c>
    </row>
    <row r="1967" spans="1:18" ht="48">
      <c r="A1967" s="150">
        <v>325</v>
      </c>
      <c r="B1967" s="147" t="s">
        <v>3588</v>
      </c>
      <c r="C1967" s="151" t="s">
        <v>3589</v>
      </c>
      <c r="D1967" s="152">
        <v>16917.02</v>
      </c>
      <c r="E1967" s="152">
        <v>9764.4</v>
      </c>
      <c r="F1967" s="152">
        <v>2357.5100000000002</v>
      </c>
      <c r="G1967" s="152">
        <v>4795.1099999999997</v>
      </c>
      <c r="H1967" s="153">
        <v>151754.66</v>
      </c>
      <c r="I1967" s="153">
        <v>112294.72</v>
      </c>
      <c r="J1967" s="153">
        <v>11694.84</v>
      </c>
      <c r="K1967" s="153">
        <v>27765.1</v>
      </c>
      <c r="L1967" s="43">
        <v>8.9705314529391114</v>
      </c>
      <c r="M1967" s="43">
        <v>11.50042194092827</v>
      </c>
      <c r="N1967" s="43">
        <v>4.9606746100758849</v>
      </c>
      <c r="O1967" s="43">
        <v>5.7902946960549393</v>
      </c>
      <c r="P1967" s="154"/>
      <c r="Q1967" s="154"/>
      <c r="R1967" s="154">
        <v>10</v>
      </c>
    </row>
    <row r="1968" spans="1:18" ht="60">
      <c r="A1968" s="150">
        <v>326</v>
      </c>
      <c r="B1968" s="147" t="s">
        <v>3590</v>
      </c>
      <c r="C1968" s="151" t="s">
        <v>3591</v>
      </c>
      <c r="D1968" s="152">
        <v>32447.38</v>
      </c>
      <c r="E1968" s="152">
        <v>16726.2</v>
      </c>
      <c r="F1968" s="152">
        <v>5563.05</v>
      </c>
      <c r="G1968" s="152">
        <v>10158.129999999999</v>
      </c>
      <c r="H1968" s="153">
        <v>274465.18</v>
      </c>
      <c r="I1968" s="153">
        <v>192351.3</v>
      </c>
      <c r="J1968" s="153">
        <v>30582.240000000002</v>
      </c>
      <c r="K1968" s="153">
        <v>51531.64</v>
      </c>
      <c r="L1968" s="43">
        <v>8.4587778735910266</v>
      </c>
      <c r="M1968" s="43">
        <v>11.499999999999998</v>
      </c>
      <c r="N1968" s="43">
        <v>5.497387224633969</v>
      </c>
      <c r="O1968" s="43">
        <v>5.0729455126091123</v>
      </c>
      <c r="P1968" s="154"/>
      <c r="Q1968" s="154"/>
      <c r="R1968" s="154">
        <v>10</v>
      </c>
    </row>
    <row r="1969" spans="1:18" ht="48">
      <c r="A1969" s="155">
        <v>327</v>
      </c>
      <c r="B1969" s="156" t="s">
        <v>3592</v>
      </c>
      <c r="C1969" s="157" t="s">
        <v>3593</v>
      </c>
      <c r="D1969" s="158">
        <v>61605.64</v>
      </c>
      <c r="E1969" s="158">
        <v>36564.839999999997</v>
      </c>
      <c r="F1969" s="158">
        <v>8278.5300000000007</v>
      </c>
      <c r="G1969" s="158">
        <v>16762.27</v>
      </c>
      <c r="H1969" s="159">
        <v>552098.06999999995</v>
      </c>
      <c r="I1969" s="159">
        <v>420495.66</v>
      </c>
      <c r="J1969" s="159">
        <v>46011.72</v>
      </c>
      <c r="K1969" s="159">
        <v>85590.69</v>
      </c>
      <c r="L1969" s="611">
        <v>8.9618104770926816</v>
      </c>
      <c r="M1969" s="611">
        <v>11.5</v>
      </c>
      <c r="N1969" s="611">
        <v>5.5579577533692577</v>
      </c>
      <c r="O1969" s="611">
        <v>5.1061514938012573</v>
      </c>
      <c r="P1969" s="160"/>
      <c r="Q1969" s="160"/>
      <c r="R1969" s="160">
        <v>10</v>
      </c>
    </row>
    <row r="1970" spans="1:18" ht="12.75" customHeight="1">
      <c r="A1970" s="630" t="s">
        <v>3594</v>
      </c>
      <c r="B1970" s="631"/>
      <c r="C1970" s="631"/>
      <c r="D1970" s="631"/>
      <c r="E1970" s="631"/>
      <c r="F1970" s="631"/>
      <c r="G1970" s="631"/>
      <c r="H1970" s="631"/>
      <c r="I1970" s="631"/>
      <c r="J1970" s="631"/>
      <c r="K1970" s="631"/>
      <c r="L1970" s="631"/>
      <c r="M1970" s="631"/>
      <c r="N1970" s="631"/>
      <c r="O1970" s="631"/>
      <c r="P1970" s="631"/>
      <c r="Q1970" s="631"/>
      <c r="R1970" s="631"/>
    </row>
    <row r="1971" spans="1:18" ht="12.75" customHeight="1">
      <c r="A1971" s="628" t="s">
        <v>3595</v>
      </c>
      <c r="B1971" s="629"/>
      <c r="C1971" s="629"/>
      <c r="D1971" s="629"/>
      <c r="E1971" s="629"/>
      <c r="F1971" s="629"/>
      <c r="G1971" s="629"/>
      <c r="H1971" s="629"/>
      <c r="I1971" s="629"/>
      <c r="J1971" s="629"/>
      <c r="K1971" s="629"/>
      <c r="L1971" s="629"/>
      <c r="M1971" s="629"/>
      <c r="N1971" s="629"/>
      <c r="O1971" s="629"/>
      <c r="P1971" s="629"/>
      <c r="Q1971" s="629"/>
      <c r="R1971" s="629"/>
    </row>
    <row r="1972" spans="1:18" ht="12.75" customHeight="1">
      <c r="A1972" s="628" t="s">
        <v>3596</v>
      </c>
      <c r="B1972" s="629"/>
      <c r="C1972" s="629"/>
      <c r="D1972" s="629"/>
      <c r="E1972" s="629"/>
      <c r="F1972" s="629"/>
      <c r="G1972" s="629"/>
      <c r="H1972" s="629"/>
      <c r="I1972" s="629"/>
      <c r="J1972" s="629"/>
      <c r="K1972" s="629"/>
      <c r="L1972" s="629"/>
      <c r="M1972" s="629"/>
      <c r="N1972" s="629"/>
      <c r="O1972" s="629"/>
      <c r="P1972" s="629"/>
      <c r="Q1972" s="629"/>
      <c r="R1972" s="629"/>
    </row>
    <row r="1973" spans="1:18" ht="24">
      <c r="A1973" s="150">
        <v>328</v>
      </c>
      <c r="B1973" s="147" t="s">
        <v>3597</v>
      </c>
      <c r="C1973" s="151" t="s">
        <v>3598</v>
      </c>
      <c r="D1973" s="152">
        <v>821.38</v>
      </c>
      <c r="E1973" s="152">
        <v>522.55999999999995</v>
      </c>
      <c r="F1973" s="152">
        <v>137.33000000000001</v>
      </c>
      <c r="G1973" s="152">
        <v>161.49</v>
      </c>
      <c r="H1973" s="153">
        <v>7636.74</v>
      </c>
      <c r="I1973" s="153">
        <v>6009.44</v>
      </c>
      <c r="J1973" s="153">
        <v>701.18</v>
      </c>
      <c r="K1973" s="153">
        <v>926.12</v>
      </c>
      <c r="L1973" s="43">
        <v>9.2974506318634482</v>
      </c>
      <c r="M1973" s="43">
        <v>11.5</v>
      </c>
      <c r="N1973" s="43">
        <v>5.1058035389208465</v>
      </c>
      <c r="O1973" s="43">
        <v>5.7348442628026497</v>
      </c>
      <c r="P1973" s="154"/>
      <c r="Q1973" s="154"/>
      <c r="R1973" s="154">
        <v>1</v>
      </c>
    </row>
    <row r="1974" spans="1:18" ht="12.75" customHeight="1">
      <c r="A1974" s="628" t="s">
        <v>3599</v>
      </c>
      <c r="B1974" s="629"/>
      <c r="C1974" s="629"/>
      <c r="D1974" s="629"/>
      <c r="E1974" s="629"/>
      <c r="F1974" s="629"/>
      <c r="G1974" s="629"/>
      <c r="H1974" s="629"/>
      <c r="I1974" s="629"/>
      <c r="J1974" s="629"/>
      <c r="K1974" s="629"/>
      <c r="L1974" s="629"/>
      <c r="M1974" s="629"/>
      <c r="N1974" s="629"/>
      <c r="O1974" s="629"/>
      <c r="P1974" s="629"/>
      <c r="Q1974" s="629"/>
      <c r="R1974" s="629"/>
    </row>
    <row r="1975" spans="1:18" ht="24">
      <c r="A1975" s="150">
        <v>329</v>
      </c>
      <c r="B1975" s="147" t="s">
        <v>3600</v>
      </c>
      <c r="C1975" s="151" t="s">
        <v>3601</v>
      </c>
      <c r="D1975" s="152">
        <v>923.36</v>
      </c>
      <c r="E1975" s="152">
        <v>623.66</v>
      </c>
      <c r="F1975" s="152">
        <v>136.84</v>
      </c>
      <c r="G1975" s="152">
        <v>162.86000000000001</v>
      </c>
      <c r="H1975" s="153">
        <v>8817.24</v>
      </c>
      <c r="I1975" s="153">
        <v>7172.14</v>
      </c>
      <c r="J1975" s="153">
        <v>699.03</v>
      </c>
      <c r="K1975" s="153">
        <v>946.07</v>
      </c>
      <c r="L1975" s="43">
        <v>9.5490816149714082</v>
      </c>
      <c r="M1975" s="43">
        <v>11.500080171888531</v>
      </c>
      <c r="N1975" s="43">
        <v>5.1083747442268344</v>
      </c>
      <c r="O1975" s="43">
        <v>5.809099840353678</v>
      </c>
      <c r="P1975" s="154"/>
      <c r="Q1975" s="154"/>
      <c r="R1975" s="154">
        <v>2</v>
      </c>
    </row>
    <row r="1976" spans="1:18" ht="12.75" customHeight="1">
      <c r="A1976" s="628" t="s">
        <v>3602</v>
      </c>
      <c r="B1976" s="629"/>
      <c r="C1976" s="629"/>
      <c r="D1976" s="629"/>
      <c r="E1976" s="629"/>
      <c r="F1976" s="629"/>
      <c r="G1976" s="629"/>
      <c r="H1976" s="629"/>
      <c r="I1976" s="629"/>
      <c r="J1976" s="629"/>
      <c r="K1976" s="629"/>
      <c r="L1976" s="629"/>
      <c r="M1976" s="629"/>
      <c r="N1976" s="629"/>
      <c r="O1976" s="629"/>
      <c r="P1976" s="629"/>
      <c r="Q1976" s="629"/>
      <c r="R1976" s="629"/>
    </row>
    <row r="1977" spans="1:18" ht="36">
      <c r="A1977" s="150">
        <v>330</v>
      </c>
      <c r="B1977" s="147" t="s">
        <v>3603</v>
      </c>
      <c r="C1977" s="151" t="s">
        <v>3604</v>
      </c>
      <c r="D1977" s="152">
        <v>655.96</v>
      </c>
      <c r="E1977" s="152">
        <v>360.79</v>
      </c>
      <c r="F1977" s="152">
        <v>137.56</v>
      </c>
      <c r="G1977" s="152">
        <v>157.61000000000001</v>
      </c>
      <c r="H1977" s="153">
        <v>5736.44</v>
      </c>
      <c r="I1977" s="153">
        <v>4149.2</v>
      </c>
      <c r="J1977" s="153">
        <v>702.07</v>
      </c>
      <c r="K1977" s="153">
        <v>885.17</v>
      </c>
      <c r="L1977" s="43">
        <v>8.7451064089273718</v>
      </c>
      <c r="M1977" s="43">
        <v>11.500318744976301</v>
      </c>
      <c r="N1977" s="43">
        <v>5.1037365513230597</v>
      </c>
      <c r="O1977" s="43">
        <v>5.6162045555485047</v>
      </c>
      <c r="P1977" s="154"/>
      <c r="Q1977" s="154"/>
      <c r="R1977" s="154">
        <v>3</v>
      </c>
    </row>
    <row r="1978" spans="1:18" ht="36">
      <c r="A1978" s="150">
        <v>331</v>
      </c>
      <c r="B1978" s="147" t="s">
        <v>3605</v>
      </c>
      <c r="C1978" s="151" t="s">
        <v>3606</v>
      </c>
      <c r="D1978" s="152">
        <v>473.93</v>
      </c>
      <c r="E1978" s="152">
        <v>190.85</v>
      </c>
      <c r="F1978" s="152">
        <v>128.87</v>
      </c>
      <c r="G1978" s="152">
        <v>154.21</v>
      </c>
      <c r="H1978" s="153">
        <v>3700.96</v>
      </c>
      <c r="I1978" s="153">
        <v>2194.75</v>
      </c>
      <c r="J1978" s="153">
        <v>660.48</v>
      </c>
      <c r="K1978" s="153">
        <v>845.73</v>
      </c>
      <c r="L1978" s="43">
        <v>7.8090857299601204</v>
      </c>
      <c r="M1978" s="43">
        <v>11.499869007073618</v>
      </c>
      <c r="N1978" s="43">
        <v>5.1251648948552804</v>
      </c>
      <c r="O1978" s="43">
        <v>5.4842746903573047</v>
      </c>
      <c r="P1978" s="154"/>
      <c r="Q1978" s="154"/>
      <c r="R1978" s="154">
        <v>3</v>
      </c>
    </row>
    <row r="1979" spans="1:18" ht="36">
      <c r="A1979" s="150">
        <v>332</v>
      </c>
      <c r="B1979" s="147" t="s">
        <v>3607</v>
      </c>
      <c r="C1979" s="151" t="s">
        <v>3608</v>
      </c>
      <c r="D1979" s="152">
        <v>301.85000000000002</v>
      </c>
      <c r="E1979" s="152">
        <v>173.38</v>
      </c>
      <c r="F1979" s="152">
        <v>74</v>
      </c>
      <c r="G1979" s="152">
        <v>54.47</v>
      </c>
      <c r="H1979" s="153">
        <v>2678.72</v>
      </c>
      <c r="I1979" s="153">
        <v>1993.82</v>
      </c>
      <c r="J1979" s="153">
        <v>372.86</v>
      </c>
      <c r="K1979" s="153">
        <v>312.04000000000002</v>
      </c>
      <c r="L1979" s="43">
        <v>8.874341560377669</v>
      </c>
      <c r="M1979" s="43">
        <v>11.499711616103356</v>
      </c>
      <c r="N1979" s="43">
        <v>5.0386486486486488</v>
      </c>
      <c r="O1979" s="43">
        <v>5.7286579768680008</v>
      </c>
      <c r="P1979" s="154"/>
      <c r="Q1979" s="154"/>
      <c r="R1979" s="154">
        <v>3</v>
      </c>
    </row>
    <row r="1980" spans="1:18" ht="12.75" customHeight="1">
      <c r="A1980" s="628" t="s">
        <v>3609</v>
      </c>
      <c r="B1980" s="629"/>
      <c r="C1980" s="629"/>
      <c r="D1980" s="629"/>
      <c r="E1980" s="629"/>
      <c r="F1980" s="629"/>
      <c r="G1980" s="629"/>
      <c r="H1980" s="629"/>
      <c r="I1980" s="629"/>
      <c r="J1980" s="629"/>
      <c r="K1980" s="629"/>
      <c r="L1980" s="629"/>
      <c r="M1980" s="629"/>
      <c r="N1980" s="629"/>
      <c r="O1980" s="629"/>
      <c r="P1980" s="629"/>
      <c r="Q1980" s="629"/>
      <c r="R1980" s="629"/>
    </row>
    <row r="1981" spans="1:18" ht="24">
      <c r="A1981" s="150">
        <v>333</v>
      </c>
      <c r="B1981" s="147" t="s">
        <v>3610</v>
      </c>
      <c r="C1981" s="151" t="s">
        <v>3611</v>
      </c>
      <c r="D1981" s="152">
        <v>7385.86</v>
      </c>
      <c r="E1981" s="152">
        <v>5485.04</v>
      </c>
      <c r="F1981" s="152">
        <v>1393.8</v>
      </c>
      <c r="G1981" s="152">
        <v>507.02</v>
      </c>
      <c r="H1981" s="153">
        <v>73581.350000000006</v>
      </c>
      <c r="I1981" s="153">
        <v>63077.96</v>
      </c>
      <c r="J1981" s="153">
        <v>6709.49</v>
      </c>
      <c r="K1981" s="153">
        <v>3793.9</v>
      </c>
      <c r="L1981" s="43">
        <v>9.9624620558743349</v>
      </c>
      <c r="M1981" s="43">
        <v>11.5</v>
      </c>
      <c r="N1981" s="43">
        <v>4.8138111637250685</v>
      </c>
      <c r="O1981" s="43">
        <v>7.4827422981341964</v>
      </c>
      <c r="P1981" s="154"/>
      <c r="Q1981" s="154"/>
      <c r="R1981" s="154">
        <v>4</v>
      </c>
    </row>
    <row r="1982" spans="1:18" ht="24">
      <c r="A1982" s="150">
        <v>334</v>
      </c>
      <c r="B1982" s="147" t="s">
        <v>3612</v>
      </c>
      <c r="C1982" s="151" t="s">
        <v>3613</v>
      </c>
      <c r="D1982" s="152">
        <v>2581.0100000000002</v>
      </c>
      <c r="E1982" s="152">
        <v>1907.84</v>
      </c>
      <c r="F1982" s="152">
        <v>493.61</v>
      </c>
      <c r="G1982" s="152">
        <v>179.56</v>
      </c>
      <c r="H1982" s="153">
        <v>25635.7</v>
      </c>
      <c r="I1982" s="153">
        <v>21940.16</v>
      </c>
      <c r="J1982" s="153">
        <v>2368.4899999999998</v>
      </c>
      <c r="K1982" s="153">
        <v>1327.05</v>
      </c>
      <c r="L1982" s="43">
        <v>9.9324295527719766</v>
      </c>
      <c r="M1982" s="43">
        <v>11.5</v>
      </c>
      <c r="N1982" s="43">
        <v>4.7983023034379366</v>
      </c>
      <c r="O1982" s="43">
        <v>7.3905658275785253</v>
      </c>
      <c r="P1982" s="154"/>
      <c r="Q1982" s="154"/>
      <c r="R1982" s="154">
        <v>4</v>
      </c>
    </row>
    <row r="1983" spans="1:18" ht="24">
      <c r="A1983" s="150">
        <v>335</v>
      </c>
      <c r="B1983" s="147" t="s">
        <v>3614</v>
      </c>
      <c r="C1983" s="151" t="s">
        <v>3615</v>
      </c>
      <c r="D1983" s="152">
        <v>1398.11</v>
      </c>
      <c r="E1983" s="152">
        <v>1018.96</v>
      </c>
      <c r="F1983" s="152">
        <v>282.66000000000003</v>
      </c>
      <c r="G1983" s="152">
        <v>96.49</v>
      </c>
      <c r="H1983" s="153">
        <v>13779.53</v>
      </c>
      <c r="I1983" s="153">
        <v>11718.04</v>
      </c>
      <c r="J1983" s="153">
        <v>1358.33</v>
      </c>
      <c r="K1983" s="153">
        <v>703.16</v>
      </c>
      <c r="L1983" s="43">
        <v>9.8558267947443348</v>
      </c>
      <c r="M1983" s="43">
        <v>11.5</v>
      </c>
      <c r="N1983" s="43">
        <v>4.8055260737281529</v>
      </c>
      <c r="O1983" s="43">
        <v>7.2873872940201059</v>
      </c>
      <c r="P1983" s="154"/>
      <c r="Q1983" s="154"/>
      <c r="R1983" s="154">
        <v>4</v>
      </c>
    </row>
    <row r="1984" spans="1:18" ht="24">
      <c r="A1984" s="150">
        <v>336</v>
      </c>
      <c r="B1984" s="147" t="s">
        <v>3616</v>
      </c>
      <c r="C1984" s="151" t="s">
        <v>3617</v>
      </c>
      <c r="D1984" s="152">
        <v>1134.3</v>
      </c>
      <c r="E1984" s="152">
        <v>877.6</v>
      </c>
      <c r="F1984" s="152">
        <v>185.02</v>
      </c>
      <c r="G1984" s="152">
        <v>71.680000000000007</v>
      </c>
      <c r="H1984" s="153">
        <v>11503.99</v>
      </c>
      <c r="I1984" s="153">
        <v>10092.799999999999</v>
      </c>
      <c r="J1984" s="153">
        <v>881.47</v>
      </c>
      <c r="K1984" s="153">
        <v>529.72</v>
      </c>
      <c r="L1984" s="43">
        <v>10.141928942960416</v>
      </c>
      <c r="M1984" s="43">
        <v>11.500455788514129</v>
      </c>
      <c r="N1984" s="43">
        <v>4.7641876553886062</v>
      </c>
      <c r="O1984" s="43">
        <v>7.3900669642857135</v>
      </c>
      <c r="P1984" s="154"/>
      <c r="Q1984" s="154"/>
      <c r="R1984" s="154">
        <v>4</v>
      </c>
    </row>
    <row r="1985" spans="1:18" ht="24">
      <c r="A1985" s="150">
        <v>337</v>
      </c>
      <c r="B1985" s="147" t="s">
        <v>3618</v>
      </c>
      <c r="C1985" s="151" t="s">
        <v>3619</v>
      </c>
      <c r="D1985" s="152">
        <v>772.87</v>
      </c>
      <c r="E1985" s="152">
        <v>578.34</v>
      </c>
      <c r="F1985" s="152">
        <v>143.91999999999999</v>
      </c>
      <c r="G1985" s="152">
        <v>50.61</v>
      </c>
      <c r="H1985" s="153">
        <v>7712.65</v>
      </c>
      <c r="I1985" s="153">
        <v>6651.18</v>
      </c>
      <c r="J1985" s="153">
        <v>697.66</v>
      </c>
      <c r="K1985" s="153">
        <v>363.81</v>
      </c>
      <c r="L1985" s="43">
        <v>9.9792332475060483</v>
      </c>
      <c r="M1985" s="43">
        <v>11.50046685340803</v>
      </c>
      <c r="N1985" s="43">
        <v>4.8475541967759872</v>
      </c>
      <c r="O1985" s="43">
        <v>7.188500296384114</v>
      </c>
      <c r="P1985" s="154"/>
      <c r="Q1985" s="154"/>
      <c r="R1985" s="154">
        <v>4</v>
      </c>
    </row>
    <row r="1986" spans="1:18" ht="24">
      <c r="A1986" s="150">
        <v>338</v>
      </c>
      <c r="B1986" s="147" t="s">
        <v>3620</v>
      </c>
      <c r="C1986" s="151" t="s">
        <v>3621</v>
      </c>
      <c r="D1986" s="152">
        <v>456.97</v>
      </c>
      <c r="E1986" s="152">
        <v>342.72</v>
      </c>
      <c r="F1986" s="152">
        <v>83.13</v>
      </c>
      <c r="G1986" s="152">
        <v>31.12</v>
      </c>
      <c r="H1986" s="153">
        <v>4565.9799999999996</v>
      </c>
      <c r="I1986" s="153">
        <v>3941.44</v>
      </c>
      <c r="J1986" s="153">
        <v>409.92</v>
      </c>
      <c r="K1986" s="153">
        <v>214.62</v>
      </c>
      <c r="L1986" s="43">
        <v>9.9918594218438823</v>
      </c>
      <c r="M1986" s="43">
        <v>11.50046685340803</v>
      </c>
      <c r="N1986" s="43">
        <v>4.9310718152291599</v>
      </c>
      <c r="O1986" s="43">
        <v>6.8965295629820051</v>
      </c>
      <c r="P1986" s="154"/>
      <c r="Q1986" s="154"/>
      <c r="R1986" s="154">
        <v>4</v>
      </c>
    </row>
    <row r="1987" spans="1:18" ht="24">
      <c r="A1987" s="150">
        <v>339</v>
      </c>
      <c r="B1987" s="147" t="s">
        <v>3622</v>
      </c>
      <c r="C1987" s="151" t="s">
        <v>3623</v>
      </c>
      <c r="D1987" s="152">
        <v>9845.89</v>
      </c>
      <c r="E1987" s="152">
        <v>4943.04</v>
      </c>
      <c r="F1987" s="152">
        <v>4406.67</v>
      </c>
      <c r="G1987" s="152">
        <v>496.18</v>
      </c>
      <c r="H1987" s="153">
        <v>80160.47</v>
      </c>
      <c r="I1987" s="153">
        <v>56844.959999999999</v>
      </c>
      <c r="J1987" s="153">
        <v>19647.349999999999</v>
      </c>
      <c r="K1987" s="153">
        <v>3668.16</v>
      </c>
      <c r="L1987" s="43">
        <v>8.1415159015589253</v>
      </c>
      <c r="M1987" s="43">
        <v>11.5</v>
      </c>
      <c r="N1987" s="43">
        <v>4.4585480646383777</v>
      </c>
      <c r="O1987" s="43">
        <v>7.3928009996372284</v>
      </c>
      <c r="P1987" s="154"/>
      <c r="Q1987" s="154"/>
      <c r="R1987" s="154">
        <v>4</v>
      </c>
    </row>
    <row r="1988" spans="1:18" ht="24">
      <c r="A1988" s="150">
        <v>340</v>
      </c>
      <c r="B1988" s="147" t="s">
        <v>3624</v>
      </c>
      <c r="C1988" s="151" t="s">
        <v>3625</v>
      </c>
      <c r="D1988" s="152">
        <v>3508.72</v>
      </c>
      <c r="E1988" s="152">
        <v>1788.6</v>
      </c>
      <c r="F1988" s="152">
        <v>1542.95</v>
      </c>
      <c r="G1988" s="152">
        <v>177.17</v>
      </c>
      <c r="H1988" s="153">
        <v>28758.2</v>
      </c>
      <c r="I1988" s="153">
        <v>20568.900000000001</v>
      </c>
      <c r="J1988" s="153">
        <v>6889.98</v>
      </c>
      <c r="K1988" s="153">
        <v>1299.32</v>
      </c>
      <c r="L1988" s="43">
        <v>8.1962083038828979</v>
      </c>
      <c r="M1988" s="43">
        <v>11.500000000000002</v>
      </c>
      <c r="N1988" s="43">
        <v>4.4654590232995233</v>
      </c>
      <c r="O1988" s="43">
        <v>7.3337472484054862</v>
      </c>
      <c r="P1988" s="154"/>
      <c r="Q1988" s="154"/>
      <c r="R1988" s="154">
        <v>4</v>
      </c>
    </row>
    <row r="1989" spans="1:18" ht="24">
      <c r="A1989" s="150">
        <v>341</v>
      </c>
      <c r="B1989" s="147" t="s">
        <v>3626</v>
      </c>
      <c r="C1989" s="151" t="s">
        <v>3627</v>
      </c>
      <c r="D1989" s="152">
        <v>1953.57</v>
      </c>
      <c r="E1989" s="152">
        <v>1044.98</v>
      </c>
      <c r="F1989" s="152">
        <v>811.58</v>
      </c>
      <c r="G1989" s="152">
        <v>97.01</v>
      </c>
      <c r="H1989" s="153">
        <v>16358.83</v>
      </c>
      <c r="I1989" s="153">
        <v>12017.22</v>
      </c>
      <c r="J1989" s="153">
        <v>3632.42</v>
      </c>
      <c r="K1989" s="153">
        <v>709.19</v>
      </c>
      <c r="L1989" s="43">
        <v>8.3738130704300335</v>
      </c>
      <c r="M1989" s="43">
        <v>11.4999521521943</v>
      </c>
      <c r="N1989" s="43">
        <v>4.4757386825698022</v>
      </c>
      <c r="O1989" s="43">
        <v>7.3104834553138858</v>
      </c>
      <c r="P1989" s="154"/>
      <c r="Q1989" s="154"/>
      <c r="R1989" s="154">
        <v>4</v>
      </c>
    </row>
    <row r="1990" spans="1:18" ht="24">
      <c r="A1990" s="150">
        <v>342</v>
      </c>
      <c r="B1990" s="147" t="s">
        <v>3628</v>
      </c>
      <c r="C1990" s="151" t="s">
        <v>3629</v>
      </c>
      <c r="D1990" s="152">
        <v>1440.67</v>
      </c>
      <c r="E1990" s="152">
        <v>791.32</v>
      </c>
      <c r="F1990" s="152">
        <v>579.39</v>
      </c>
      <c r="G1990" s="152">
        <v>69.959999999999994</v>
      </c>
      <c r="H1990" s="153">
        <v>12202.1</v>
      </c>
      <c r="I1990" s="153">
        <v>9100.18</v>
      </c>
      <c r="J1990" s="153">
        <v>2592.15</v>
      </c>
      <c r="K1990" s="153">
        <v>509.77</v>
      </c>
      <c r="L1990" s="43">
        <v>8.4697397738552205</v>
      </c>
      <c r="M1990" s="43">
        <v>11.5</v>
      </c>
      <c r="N1990" s="43">
        <v>4.4739294775539795</v>
      </c>
      <c r="O1990" s="43">
        <v>7.2865923384791316</v>
      </c>
      <c r="P1990" s="154"/>
      <c r="Q1990" s="154"/>
      <c r="R1990" s="154">
        <v>4</v>
      </c>
    </row>
    <row r="1991" spans="1:18" ht="24">
      <c r="A1991" s="150">
        <v>343</v>
      </c>
      <c r="B1991" s="147" t="s">
        <v>3630</v>
      </c>
      <c r="C1991" s="151" t="s">
        <v>3631</v>
      </c>
      <c r="D1991" s="152">
        <v>680.05</v>
      </c>
      <c r="E1991" s="152">
        <v>503.37</v>
      </c>
      <c r="F1991" s="152">
        <v>127.57</v>
      </c>
      <c r="G1991" s="152">
        <v>49.11</v>
      </c>
      <c r="H1991" s="153">
        <v>6756.73</v>
      </c>
      <c r="I1991" s="153">
        <v>5788.99</v>
      </c>
      <c r="J1991" s="153">
        <v>621.33000000000004</v>
      </c>
      <c r="K1991" s="153">
        <v>346.41</v>
      </c>
      <c r="L1991" s="43">
        <v>9.935637085508418</v>
      </c>
      <c r="M1991" s="43">
        <v>11.50046685340803</v>
      </c>
      <c r="N1991" s="43">
        <v>4.8705024692325791</v>
      </c>
      <c r="O1991" s="43">
        <v>7.0537568723274289</v>
      </c>
      <c r="P1991" s="154"/>
      <c r="Q1991" s="154"/>
      <c r="R1991" s="154">
        <v>4</v>
      </c>
    </row>
    <row r="1992" spans="1:18" ht="24">
      <c r="A1992" s="150">
        <v>344</v>
      </c>
      <c r="B1992" s="147" t="s">
        <v>3632</v>
      </c>
      <c r="C1992" s="151" t="s">
        <v>3633</v>
      </c>
      <c r="D1992" s="152">
        <v>425.66</v>
      </c>
      <c r="E1992" s="152">
        <v>317.02</v>
      </c>
      <c r="F1992" s="152">
        <v>78.03</v>
      </c>
      <c r="G1992" s="152">
        <v>30.61</v>
      </c>
      <c r="H1992" s="153">
        <v>4241.7299999999996</v>
      </c>
      <c r="I1992" s="153">
        <v>3645.83</v>
      </c>
      <c r="J1992" s="153">
        <v>387.2</v>
      </c>
      <c r="K1992" s="153">
        <v>208.7</v>
      </c>
      <c r="L1992" s="43">
        <v>9.9650660151294446</v>
      </c>
      <c r="M1992" s="43">
        <v>11.50031543751183</v>
      </c>
      <c r="N1992" s="43">
        <v>4.9621940279379722</v>
      </c>
      <c r="O1992" s="43">
        <v>6.8180333224436458</v>
      </c>
      <c r="P1992" s="154"/>
      <c r="Q1992" s="154"/>
      <c r="R1992" s="154">
        <v>4</v>
      </c>
    </row>
    <row r="1993" spans="1:18" ht="24">
      <c r="A1993" s="150">
        <v>345</v>
      </c>
      <c r="B1993" s="147" t="s">
        <v>3634</v>
      </c>
      <c r="C1993" s="151" t="s">
        <v>3635</v>
      </c>
      <c r="D1993" s="152">
        <v>9230.77</v>
      </c>
      <c r="E1993" s="152">
        <v>4561.4399999999996</v>
      </c>
      <c r="F1993" s="152">
        <v>3199.25</v>
      </c>
      <c r="G1993" s="152">
        <v>1470.08</v>
      </c>
      <c r="H1993" s="153">
        <v>78015.56</v>
      </c>
      <c r="I1993" s="153">
        <v>52456.56</v>
      </c>
      <c r="J1993" s="153">
        <v>15694.31</v>
      </c>
      <c r="K1993" s="153">
        <v>9864.69</v>
      </c>
      <c r="L1993" s="43">
        <v>8.451684962359586</v>
      </c>
      <c r="M1993" s="43">
        <v>11.5</v>
      </c>
      <c r="N1993" s="43">
        <v>4.9056216300695477</v>
      </c>
      <c r="O1993" s="43">
        <v>6.7103082825424476</v>
      </c>
      <c r="P1993" s="154"/>
      <c r="Q1993" s="154"/>
      <c r="R1993" s="154">
        <v>4</v>
      </c>
    </row>
    <row r="1994" spans="1:18" ht="24">
      <c r="A1994" s="150">
        <v>346</v>
      </c>
      <c r="B1994" s="147" t="s">
        <v>3636</v>
      </c>
      <c r="C1994" s="151" t="s">
        <v>3637</v>
      </c>
      <c r="D1994" s="152">
        <v>6040.56</v>
      </c>
      <c r="E1994" s="152">
        <v>2999.15</v>
      </c>
      <c r="F1994" s="152">
        <v>2094.6999999999998</v>
      </c>
      <c r="G1994" s="152">
        <v>946.71</v>
      </c>
      <c r="H1994" s="153">
        <v>51149.49</v>
      </c>
      <c r="I1994" s="153">
        <v>34491.660000000003</v>
      </c>
      <c r="J1994" s="153">
        <v>10303.75</v>
      </c>
      <c r="K1994" s="153">
        <v>6354.08</v>
      </c>
      <c r="L1994" s="43">
        <v>8.4676735269577641</v>
      </c>
      <c r="M1994" s="43">
        <v>11.500478468899523</v>
      </c>
      <c r="N1994" s="43">
        <v>4.9189621425502459</v>
      </c>
      <c r="O1994" s="43">
        <v>6.7117491100759468</v>
      </c>
      <c r="P1994" s="154"/>
      <c r="Q1994" s="154"/>
      <c r="R1994" s="154">
        <v>4</v>
      </c>
    </row>
    <row r="1995" spans="1:18" ht="24">
      <c r="A1995" s="150">
        <v>347</v>
      </c>
      <c r="B1995" s="147" t="s">
        <v>3638</v>
      </c>
      <c r="C1995" s="151" t="s">
        <v>3639</v>
      </c>
      <c r="D1995" s="152">
        <v>3498.65</v>
      </c>
      <c r="E1995" s="152">
        <v>1723.44</v>
      </c>
      <c r="F1995" s="152">
        <v>1244.69</v>
      </c>
      <c r="G1995" s="152">
        <v>530.52</v>
      </c>
      <c r="H1995" s="153">
        <v>29530.31</v>
      </c>
      <c r="I1995" s="153">
        <v>19819.560000000001</v>
      </c>
      <c r="J1995" s="153">
        <v>6151.33</v>
      </c>
      <c r="K1995" s="153">
        <v>3559.42</v>
      </c>
      <c r="L1995" s="43">
        <v>8.4404870450030725</v>
      </c>
      <c r="M1995" s="43">
        <v>11.5</v>
      </c>
      <c r="N1995" s="43">
        <v>4.9420578617969131</v>
      </c>
      <c r="O1995" s="43">
        <v>6.7093040790168139</v>
      </c>
      <c r="P1995" s="154"/>
      <c r="Q1995" s="154"/>
      <c r="R1995" s="154">
        <v>4</v>
      </c>
    </row>
    <row r="1996" spans="1:18" ht="24">
      <c r="A1996" s="150">
        <v>348</v>
      </c>
      <c r="B1996" s="147" t="s">
        <v>3640</v>
      </c>
      <c r="C1996" s="151" t="s">
        <v>3641</v>
      </c>
      <c r="D1996" s="152">
        <v>2106.8000000000002</v>
      </c>
      <c r="E1996" s="152">
        <v>1029.94</v>
      </c>
      <c r="F1996" s="152">
        <v>773.48</v>
      </c>
      <c r="G1996" s="152">
        <v>303.38</v>
      </c>
      <c r="H1996" s="153">
        <v>17728.919999999998</v>
      </c>
      <c r="I1996" s="153">
        <v>11844.26</v>
      </c>
      <c r="J1996" s="153">
        <v>3850.28</v>
      </c>
      <c r="K1996" s="153">
        <v>2034.38</v>
      </c>
      <c r="L1996" s="43">
        <v>8.4150939813935803</v>
      </c>
      <c r="M1996" s="43">
        <v>11.499951453482726</v>
      </c>
      <c r="N1996" s="43">
        <v>4.9778662667425149</v>
      </c>
      <c r="O1996" s="43">
        <v>6.7057156041927621</v>
      </c>
      <c r="P1996" s="154"/>
      <c r="Q1996" s="154"/>
      <c r="R1996" s="154">
        <v>4</v>
      </c>
    </row>
    <row r="1997" spans="1:18" ht="24">
      <c r="A1997" s="150">
        <v>349</v>
      </c>
      <c r="B1997" s="147" t="s">
        <v>3642</v>
      </c>
      <c r="C1997" s="151" t="s">
        <v>3643</v>
      </c>
      <c r="D1997" s="152">
        <v>10374.19</v>
      </c>
      <c r="E1997" s="152">
        <v>4540.8</v>
      </c>
      <c r="F1997" s="152">
        <v>4363.72</v>
      </c>
      <c r="G1997" s="152">
        <v>1469.67</v>
      </c>
      <c r="H1997" s="153">
        <v>84569.69</v>
      </c>
      <c r="I1997" s="153">
        <v>52219.199999999997</v>
      </c>
      <c r="J1997" s="153">
        <v>22490.560000000001</v>
      </c>
      <c r="K1997" s="153">
        <v>9859.93</v>
      </c>
      <c r="L1997" s="43">
        <v>8.1519318616682366</v>
      </c>
      <c r="M1997" s="43">
        <v>11.499999999999998</v>
      </c>
      <c r="N1997" s="43">
        <v>5.1539878818989306</v>
      </c>
      <c r="O1997" s="43">
        <v>6.7089414630495279</v>
      </c>
      <c r="P1997" s="154"/>
      <c r="Q1997" s="154"/>
      <c r="R1997" s="154">
        <v>4</v>
      </c>
    </row>
    <row r="1998" spans="1:18" ht="24">
      <c r="A1998" s="150">
        <v>350</v>
      </c>
      <c r="B1998" s="147" t="s">
        <v>3644</v>
      </c>
      <c r="C1998" s="151" t="s">
        <v>3645</v>
      </c>
      <c r="D1998" s="152">
        <v>7027.1</v>
      </c>
      <c r="E1998" s="152">
        <v>3178.56</v>
      </c>
      <c r="F1998" s="152">
        <v>2898.24</v>
      </c>
      <c r="G1998" s="152">
        <v>950.3</v>
      </c>
      <c r="H1998" s="153">
        <v>57849.94</v>
      </c>
      <c r="I1998" s="153">
        <v>36553.440000000002</v>
      </c>
      <c r="J1998" s="153">
        <v>14900.78</v>
      </c>
      <c r="K1998" s="153">
        <v>6395.72</v>
      </c>
      <c r="L1998" s="43">
        <v>8.2324059711687614</v>
      </c>
      <c r="M1998" s="43">
        <v>11.500000000000002</v>
      </c>
      <c r="N1998" s="43">
        <v>5.1413202495307502</v>
      </c>
      <c r="O1998" s="43">
        <v>6.7302115121540576</v>
      </c>
      <c r="P1998" s="154"/>
      <c r="Q1998" s="154"/>
      <c r="R1998" s="154">
        <v>4</v>
      </c>
    </row>
    <row r="1999" spans="1:18" ht="24">
      <c r="A1999" s="150">
        <v>351</v>
      </c>
      <c r="B1999" s="147" t="s">
        <v>3646</v>
      </c>
      <c r="C1999" s="151" t="s">
        <v>3647</v>
      </c>
      <c r="D1999" s="152">
        <v>3971.88</v>
      </c>
      <c r="E1999" s="152">
        <v>1807.85</v>
      </c>
      <c r="F1999" s="152">
        <v>1631.82</v>
      </c>
      <c r="G1999" s="152">
        <v>532.21</v>
      </c>
      <c r="H1999" s="153">
        <v>32755.39</v>
      </c>
      <c r="I1999" s="153">
        <v>20791.14</v>
      </c>
      <c r="J1999" s="153">
        <v>8385.2199999999993</v>
      </c>
      <c r="K1999" s="153">
        <v>3579.03</v>
      </c>
      <c r="L1999" s="43">
        <v>8.2468226633231616</v>
      </c>
      <c r="M1999" s="43">
        <v>11.500478468899521</v>
      </c>
      <c r="N1999" s="43">
        <v>5.138569204936819</v>
      </c>
      <c r="O1999" s="43">
        <v>6.7248454557411543</v>
      </c>
      <c r="P1999" s="154"/>
      <c r="Q1999" s="154"/>
      <c r="R1999" s="154">
        <v>4</v>
      </c>
    </row>
    <row r="2000" spans="1:18" ht="24">
      <c r="A2000" s="150">
        <v>352</v>
      </c>
      <c r="B2000" s="147" t="s">
        <v>3648</v>
      </c>
      <c r="C2000" s="151" t="s">
        <v>3649</v>
      </c>
      <c r="D2000" s="152">
        <v>2311.4</v>
      </c>
      <c r="E2000" s="152">
        <v>1062.96</v>
      </c>
      <c r="F2000" s="152">
        <v>944.4</v>
      </c>
      <c r="G2000" s="152">
        <v>304.04000000000002</v>
      </c>
      <c r="H2000" s="153">
        <v>19114.22</v>
      </c>
      <c r="I2000" s="153">
        <v>12224.04</v>
      </c>
      <c r="J2000" s="153">
        <v>4848.1400000000003</v>
      </c>
      <c r="K2000" s="153">
        <v>2042.04</v>
      </c>
      <c r="L2000" s="43">
        <v>8.2695422687548668</v>
      </c>
      <c r="M2000" s="43">
        <v>11.5</v>
      </c>
      <c r="N2000" s="43">
        <v>5.1335662854722584</v>
      </c>
      <c r="O2000" s="43">
        <v>6.7163531114327055</v>
      </c>
      <c r="P2000" s="154"/>
      <c r="Q2000" s="154"/>
      <c r="R2000" s="154">
        <v>4</v>
      </c>
    </row>
    <row r="2001" spans="1:18" ht="12.75" customHeight="1">
      <c r="A2001" s="628" t="s">
        <v>3650</v>
      </c>
      <c r="B2001" s="629"/>
      <c r="C2001" s="629"/>
      <c r="D2001" s="629"/>
      <c r="E2001" s="629"/>
      <c r="F2001" s="629"/>
      <c r="G2001" s="629"/>
      <c r="H2001" s="629"/>
      <c r="I2001" s="629"/>
      <c r="J2001" s="629"/>
      <c r="K2001" s="629"/>
      <c r="L2001" s="629"/>
      <c r="M2001" s="629"/>
      <c r="N2001" s="629"/>
      <c r="O2001" s="629"/>
      <c r="P2001" s="629"/>
      <c r="Q2001" s="629"/>
      <c r="R2001" s="629"/>
    </row>
    <row r="2002" spans="1:18" ht="12.75" customHeight="1">
      <c r="A2002" s="628" t="s">
        <v>3651</v>
      </c>
      <c r="B2002" s="629"/>
      <c r="C2002" s="629"/>
      <c r="D2002" s="629"/>
      <c r="E2002" s="629"/>
      <c r="F2002" s="629"/>
      <c r="G2002" s="629"/>
      <c r="H2002" s="629"/>
      <c r="I2002" s="629"/>
      <c r="J2002" s="629"/>
      <c r="K2002" s="629"/>
      <c r="L2002" s="629"/>
      <c r="M2002" s="629"/>
      <c r="N2002" s="629"/>
      <c r="O2002" s="629"/>
      <c r="P2002" s="629"/>
      <c r="Q2002" s="629"/>
      <c r="R2002" s="629"/>
    </row>
    <row r="2003" spans="1:18" ht="24">
      <c r="A2003" s="150">
        <v>353</v>
      </c>
      <c r="B2003" s="147" t="s">
        <v>3652</v>
      </c>
      <c r="C2003" s="151" t="s">
        <v>3653</v>
      </c>
      <c r="D2003" s="152">
        <v>1863.88</v>
      </c>
      <c r="E2003" s="152">
        <v>494.56</v>
      </c>
      <c r="F2003" s="152">
        <v>971.62</v>
      </c>
      <c r="G2003" s="152">
        <v>397.7</v>
      </c>
      <c r="H2003" s="153">
        <v>12152.84</v>
      </c>
      <c r="I2003" s="153">
        <v>5687.44</v>
      </c>
      <c r="J2003" s="153">
        <v>4793.1899999999996</v>
      </c>
      <c r="K2003" s="153">
        <v>1672.21</v>
      </c>
      <c r="L2003" s="43">
        <v>6.5201837028134859</v>
      </c>
      <c r="M2003" s="43">
        <v>11.5</v>
      </c>
      <c r="N2003" s="43">
        <v>4.9331940470554327</v>
      </c>
      <c r="O2003" s="43">
        <v>4.2047020367110886</v>
      </c>
      <c r="P2003" s="154"/>
      <c r="Q2003" s="154"/>
      <c r="R2003" s="154">
        <v>1</v>
      </c>
    </row>
    <row r="2004" spans="1:18" ht="24">
      <c r="A2004" s="150">
        <v>354</v>
      </c>
      <c r="B2004" s="147" t="s">
        <v>3654</v>
      </c>
      <c r="C2004" s="151" t="s">
        <v>3655</v>
      </c>
      <c r="D2004" s="152">
        <v>1340.88</v>
      </c>
      <c r="E2004" s="152">
        <v>355.2</v>
      </c>
      <c r="F2004" s="152">
        <v>617.44000000000005</v>
      </c>
      <c r="G2004" s="152">
        <v>368.24</v>
      </c>
      <c r="H2004" s="153">
        <v>8694.6200000000008</v>
      </c>
      <c r="I2004" s="153">
        <v>4084.8</v>
      </c>
      <c r="J2004" s="153">
        <v>3088.36</v>
      </c>
      <c r="K2004" s="153">
        <v>1521.46</v>
      </c>
      <c r="L2004" s="43">
        <v>6.4842640653898931</v>
      </c>
      <c r="M2004" s="43">
        <v>11.5</v>
      </c>
      <c r="N2004" s="43">
        <v>5.0018787250583054</v>
      </c>
      <c r="O2004" s="43">
        <v>4.1317075820117317</v>
      </c>
      <c r="P2004" s="154"/>
      <c r="Q2004" s="154"/>
      <c r="R2004" s="154">
        <v>1</v>
      </c>
    </row>
    <row r="2005" spans="1:18" ht="24">
      <c r="A2005" s="150">
        <v>355</v>
      </c>
      <c r="B2005" s="147" t="s">
        <v>3656</v>
      </c>
      <c r="C2005" s="151" t="s">
        <v>3657</v>
      </c>
      <c r="D2005" s="152">
        <v>1395</v>
      </c>
      <c r="E2005" s="152">
        <v>306.72000000000003</v>
      </c>
      <c r="F2005" s="152">
        <v>728.2</v>
      </c>
      <c r="G2005" s="152">
        <v>360.08</v>
      </c>
      <c r="H2005" s="153">
        <v>8488.42</v>
      </c>
      <c r="I2005" s="153">
        <v>3527.28</v>
      </c>
      <c r="J2005" s="153">
        <v>3462.88</v>
      </c>
      <c r="K2005" s="153">
        <v>1498.26</v>
      </c>
      <c r="L2005" s="43">
        <v>6.084888888888889</v>
      </c>
      <c r="M2005" s="43">
        <v>11.5</v>
      </c>
      <c r="N2005" s="43">
        <v>4.755396868992035</v>
      </c>
      <c r="O2005" s="43">
        <v>4.1609086869584537</v>
      </c>
      <c r="P2005" s="154"/>
      <c r="Q2005" s="154"/>
      <c r="R2005" s="154">
        <v>1</v>
      </c>
    </row>
    <row r="2006" spans="1:18" ht="24">
      <c r="A2006" s="150">
        <v>356</v>
      </c>
      <c r="B2006" s="147" t="s">
        <v>3658</v>
      </c>
      <c r="C2006" s="151" t="s">
        <v>3659</v>
      </c>
      <c r="D2006" s="152">
        <v>5789.25</v>
      </c>
      <c r="E2006" s="152">
        <v>1355.82</v>
      </c>
      <c r="F2006" s="152">
        <v>1589.2</v>
      </c>
      <c r="G2006" s="152">
        <v>2844.23</v>
      </c>
      <c r="H2006" s="153">
        <v>34580.9</v>
      </c>
      <c r="I2006" s="153">
        <v>15592.52</v>
      </c>
      <c r="J2006" s="153">
        <v>7726.06</v>
      </c>
      <c r="K2006" s="153">
        <v>11262.32</v>
      </c>
      <c r="L2006" s="43">
        <v>5.9732953318650948</v>
      </c>
      <c r="M2006" s="43">
        <v>11.500435161009575</v>
      </c>
      <c r="N2006" s="43">
        <v>4.8616033224263786</v>
      </c>
      <c r="O2006" s="43">
        <v>3.9597078998533872</v>
      </c>
      <c r="P2006" s="154"/>
      <c r="Q2006" s="154"/>
      <c r="R2006" s="154">
        <v>1</v>
      </c>
    </row>
    <row r="2007" spans="1:18" ht="24">
      <c r="A2007" s="150">
        <v>357</v>
      </c>
      <c r="B2007" s="147" t="s">
        <v>3660</v>
      </c>
      <c r="C2007" s="151" t="s">
        <v>3661</v>
      </c>
      <c r="D2007" s="152">
        <v>4132.53</v>
      </c>
      <c r="E2007" s="152">
        <v>954.24</v>
      </c>
      <c r="F2007" s="152">
        <v>1172.3599999999999</v>
      </c>
      <c r="G2007" s="152">
        <v>2005.93</v>
      </c>
      <c r="H2007" s="153">
        <v>24628.29</v>
      </c>
      <c r="I2007" s="153">
        <v>10973.76</v>
      </c>
      <c r="J2007" s="153">
        <v>5704.36</v>
      </c>
      <c r="K2007" s="153">
        <v>7950.17</v>
      </c>
      <c r="L2007" s="43">
        <v>5.9596155381812119</v>
      </c>
      <c r="M2007" s="43">
        <v>11.5</v>
      </c>
      <c r="N2007" s="43">
        <v>4.8657067794875299</v>
      </c>
      <c r="O2007" s="43">
        <v>3.9633337155334432</v>
      </c>
      <c r="P2007" s="154"/>
      <c r="Q2007" s="154"/>
      <c r="R2007" s="154">
        <v>1</v>
      </c>
    </row>
    <row r="2008" spans="1:18" ht="24">
      <c r="A2008" s="150">
        <v>358</v>
      </c>
      <c r="B2008" s="147" t="s">
        <v>3662</v>
      </c>
      <c r="C2008" s="151" t="s">
        <v>3663</v>
      </c>
      <c r="D2008" s="152">
        <v>2333.5100000000002</v>
      </c>
      <c r="E2008" s="152">
        <v>579.36</v>
      </c>
      <c r="F2008" s="152">
        <v>679.47</v>
      </c>
      <c r="G2008" s="152">
        <v>1074.68</v>
      </c>
      <c r="H2008" s="153">
        <v>14387.3</v>
      </c>
      <c r="I2008" s="153">
        <v>6662.64</v>
      </c>
      <c r="J2008" s="153">
        <v>3419.86</v>
      </c>
      <c r="K2008" s="153">
        <v>4304.8</v>
      </c>
      <c r="L2008" s="43">
        <v>6.1655188964264127</v>
      </c>
      <c r="M2008" s="43">
        <v>11.5</v>
      </c>
      <c r="N2008" s="43">
        <v>5.03312876212342</v>
      </c>
      <c r="O2008" s="43">
        <v>4.0056574980459301</v>
      </c>
      <c r="P2008" s="154"/>
      <c r="Q2008" s="154"/>
      <c r="R2008" s="154">
        <v>1</v>
      </c>
    </row>
    <row r="2009" spans="1:18" ht="24">
      <c r="A2009" s="150">
        <v>359</v>
      </c>
      <c r="B2009" s="147" t="s">
        <v>3664</v>
      </c>
      <c r="C2009" s="151" t="s">
        <v>3665</v>
      </c>
      <c r="D2009" s="152">
        <v>1481.04</v>
      </c>
      <c r="E2009" s="152">
        <v>370.92</v>
      </c>
      <c r="F2009" s="152">
        <v>443.98</v>
      </c>
      <c r="G2009" s="152">
        <v>666.14</v>
      </c>
      <c r="H2009" s="153">
        <v>9207.31</v>
      </c>
      <c r="I2009" s="153">
        <v>4265.58</v>
      </c>
      <c r="J2009" s="153">
        <v>2249.44</v>
      </c>
      <c r="K2009" s="153">
        <v>2692.29</v>
      </c>
      <c r="L2009" s="43">
        <v>6.2167868524820395</v>
      </c>
      <c r="M2009" s="43">
        <v>11.5</v>
      </c>
      <c r="N2009" s="43">
        <v>5.0665345285823689</v>
      </c>
      <c r="O2009" s="43">
        <v>4.0416278860299633</v>
      </c>
      <c r="P2009" s="154"/>
      <c r="Q2009" s="154"/>
      <c r="R2009" s="154">
        <v>1</v>
      </c>
    </row>
    <row r="2010" spans="1:18" ht="24">
      <c r="A2010" s="150">
        <v>360</v>
      </c>
      <c r="B2010" s="147" t="s">
        <v>3666</v>
      </c>
      <c r="C2010" s="151" t="s">
        <v>3667</v>
      </c>
      <c r="D2010" s="152">
        <v>1347.45</v>
      </c>
      <c r="E2010" s="152">
        <v>238.56</v>
      </c>
      <c r="F2010" s="152">
        <v>428.8</v>
      </c>
      <c r="G2010" s="152">
        <v>680.09</v>
      </c>
      <c r="H2010" s="153">
        <v>7703.2</v>
      </c>
      <c r="I2010" s="153">
        <v>2743.44</v>
      </c>
      <c r="J2010" s="153">
        <v>2103.5500000000002</v>
      </c>
      <c r="K2010" s="153">
        <v>2856.21</v>
      </c>
      <c r="L2010" s="43">
        <v>5.7168726112286166</v>
      </c>
      <c r="M2010" s="43">
        <v>11.5</v>
      </c>
      <c r="N2010" s="43">
        <v>4.9056669776119408</v>
      </c>
      <c r="O2010" s="43">
        <v>4.1997529738711048</v>
      </c>
      <c r="P2010" s="154"/>
      <c r="Q2010" s="154"/>
      <c r="R2010" s="154">
        <v>1</v>
      </c>
    </row>
    <row r="2011" spans="1:18" ht="24">
      <c r="A2011" s="150">
        <v>361</v>
      </c>
      <c r="B2011" s="147" t="s">
        <v>3668</v>
      </c>
      <c r="C2011" s="151" t="s">
        <v>3669</v>
      </c>
      <c r="D2011" s="152">
        <v>1143.56</v>
      </c>
      <c r="E2011" s="152">
        <v>222</v>
      </c>
      <c r="F2011" s="152">
        <v>382.9</v>
      </c>
      <c r="G2011" s="152">
        <v>538.66</v>
      </c>
      <c r="H2011" s="153">
        <v>6718.96</v>
      </c>
      <c r="I2011" s="153">
        <v>2553</v>
      </c>
      <c r="J2011" s="153">
        <v>1876.48</v>
      </c>
      <c r="K2011" s="153">
        <v>2289.48</v>
      </c>
      <c r="L2011" s="43">
        <v>5.8754765819021308</v>
      </c>
      <c r="M2011" s="43">
        <v>11.5</v>
      </c>
      <c r="N2011" s="43">
        <v>4.9007051449464614</v>
      </c>
      <c r="O2011" s="43">
        <v>4.250324880258419</v>
      </c>
      <c r="P2011" s="154"/>
      <c r="Q2011" s="154"/>
      <c r="R2011" s="154">
        <v>1</v>
      </c>
    </row>
    <row r="2012" spans="1:18" ht="24">
      <c r="A2012" s="150">
        <v>362</v>
      </c>
      <c r="B2012" s="147" t="s">
        <v>3670</v>
      </c>
      <c r="C2012" s="151" t="s">
        <v>3671</v>
      </c>
      <c r="D2012" s="152">
        <v>3079.91</v>
      </c>
      <c r="E2012" s="152">
        <v>608.9</v>
      </c>
      <c r="F2012" s="152">
        <v>991.02</v>
      </c>
      <c r="G2012" s="152">
        <v>1479.99</v>
      </c>
      <c r="H2012" s="153">
        <v>18147.009999999998</v>
      </c>
      <c r="I2012" s="153">
        <v>7002.3</v>
      </c>
      <c r="J2012" s="153">
        <v>5188.96</v>
      </c>
      <c r="K2012" s="153">
        <v>5955.75</v>
      </c>
      <c r="L2012" s="43">
        <v>5.8920585341779468</v>
      </c>
      <c r="M2012" s="43">
        <v>11.499917884710134</v>
      </c>
      <c r="N2012" s="43">
        <v>5.2359790922483906</v>
      </c>
      <c r="O2012" s="43">
        <v>4.0241825958283499</v>
      </c>
      <c r="P2012" s="154"/>
      <c r="Q2012" s="154"/>
      <c r="R2012" s="154">
        <v>1</v>
      </c>
    </row>
    <row r="2013" spans="1:18" ht="24">
      <c r="A2013" s="150">
        <v>363</v>
      </c>
      <c r="B2013" s="147" t="s">
        <v>3672</v>
      </c>
      <c r="C2013" s="151" t="s">
        <v>3673</v>
      </c>
      <c r="D2013" s="152">
        <v>2507.92</v>
      </c>
      <c r="E2013" s="152">
        <v>472.58</v>
      </c>
      <c r="F2013" s="152">
        <v>794.3</v>
      </c>
      <c r="G2013" s="152">
        <v>1241.04</v>
      </c>
      <c r="H2013" s="153">
        <v>14601.55</v>
      </c>
      <c r="I2013" s="153">
        <v>5434.62</v>
      </c>
      <c r="J2013" s="153">
        <v>4181.41</v>
      </c>
      <c r="K2013" s="153">
        <v>4985.5200000000004</v>
      </c>
      <c r="L2013" s="43">
        <v>5.8221753484959642</v>
      </c>
      <c r="M2013" s="43">
        <v>11.499894197807778</v>
      </c>
      <c r="N2013" s="43">
        <v>5.2642704267908851</v>
      </c>
      <c r="O2013" s="43">
        <v>4.017211371108103</v>
      </c>
      <c r="P2013" s="154"/>
      <c r="Q2013" s="154"/>
      <c r="R2013" s="154">
        <v>1</v>
      </c>
    </row>
    <row r="2014" spans="1:18" ht="24">
      <c r="A2014" s="150">
        <v>364</v>
      </c>
      <c r="B2014" s="147" t="s">
        <v>3674</v>
      </c>
      <c r="C2014" s="151" t="s">
        <v>3675</v>
      </c>
      <c r="D2014" s="152">
        <v>2473.2600000000002</v>
      </c>
      <c r="E2014" s="152">
        <v>446.45</v>
      </c>
      <c r="F2014" s="152">
        <v>806.59</v>
      </c>
      <c r="G2014" s="152">
        <v>1220.22</v>
      </c>
      <c r="H2014" s="153">
        <v>14363.6</v>
      </c>
      <c r="I2014" s="153">
        <v>5134.1499999999996</v>
      </c>
      <c r="J2014" s="153">
        <v>4304.3999999999996</v>
      </c>
      <c r="K2014" s="153">
        <v>4925.05</v>
      </c>
      <c r="L2014" s="43">
        <v>5.8075576364797872</v>
      </c>
      <c r="M2014" s="43">
        <v>11.499944002687871</v>
      </c>
      <c r="N2014" s="43">
        <v>5.3365402496931518</v>
      </c>
      <c r="O2014" s="43">
        <v>4.0361983904541807</v>
      </c>
      <c r="P2014" s="154"/>
      <c r="Q2014" s="154"/>
      <c r="R2014" s="154">
        <v>1</v>
      </c>
    </row>
    <row r="2015" spans="1:18" ht="24">
      <c r="A2015" s="150">
        <v>365</v>
      </c>
      <c r="B2015" s="147" t="s">
        <v>3676</v>
      </c>
      <c r="C2015" s="151" t="s">
        <v>3677</v>
      </c>
      <c r="D2015" s="152">
        <v>2157.92</v>
      </c>
      <c r="E2015" s="152">
        <v>311.26</v>
      </c>
      <c r="F2015" s="152">
        <v>769.37</v>
      </c>
      <c r="G2015" s="152">
        <v>1077.29</v>
      </c>
      <c r="H2015" s="153">
        <v>11654.79</v>
      </c>
      <c r="I2015" s="153">
        <v>3579.54</v>
      </c>
      <c r="J2015" s="153">
        <v>3705.75</v>
      </c>
      <c r="K2015" s="153">
        <v>4369.5</v>
      </c>
      <c r="L2015" s="43">
        <v>5.4009370134203305</v>
      </c>
      <c r="M2015" s="43">
        <v>11.500160637409239</v>
      </c>
      <c r="N2015" s="43">
        <v>4.8166031948217372</v>
      </c>
      <c r="O2015" s="43">
        <v>4.056010916280667</v>
      </c>
      <c r="P2015" s="154"/>
      <c r="Q2015" s="154"/>
      <c r="R2015" s="154">
        <v>1</v>
      </c>
    </row>
    <row r="2016" spans="1:18" ht="24">
      <c r="A2016" s="150">
        <v>366</v>
      </c>
      <c r="B2016" s="147" t="s">
        <v>3678</v>
      </c>
      <c r="C2016" s="151" t="s">
        <v>3679</v>
      </c>
      <c r="D2016" s="152">
        <v>2694.26</v>
      </c>
      <c r="E2016" s="152">
        <v>451.56</v>
      </c>
      <c r="F2016" s="152">
        <v>1253.32</v>
      </c>
      <c r="G2016" s="152">
        <v>989.38</v>
      </c>
      <c r="H2016" s="153">
        <v>15465.42</v>
      </c>
      <c r="I2016" s="153">
        <v>5193.1000000000004</v>
      </c>
      <c r="J2016" s="153">
        <v>5868.14</v>
      </c>
      <c r="K2016" s="153">
        <v>4404.18</v>
      </c>
      <c r="L2016" s="43">
        <v>5.7401364382056661</v>
      </c>
      <c r="M2016" s="43">
        <v>11.50035432722119</v>
      </c>
      <c r="N2016" s="43">
        <v>4.6820764050681394</v>
      </c>
      <c r="O2016" s="43">
        <v>4.4514544462188441</v>
      </c>
      <c r="P2016" s="154"/>
      <c r="Q2016" s="154"/>
      <c r="R2016" s="154">
        <v>1</v>
      </c>
    </row>
    <row r="2017" spans="1:18" ht="24">
      <c r="A2017" s="150">
        <v>367</v>
      </c>
      <c r="B2017" s="147" t="s">
        <v>3680</v>
      </c>
      <c r="C2017" s="151" t="s">
        <v>3681</v>
      </c>
      <c r="D2017" s="152">
        <v>1873.69</v>
      </c>
      <c r="E2017" s="152">
        <v>636.16</v>
      </c>
      <c r="F2017" s="152">
        <v>1036.05</v>
      </c>
      <c r="G2017" s="152">
        <v>201.48</v>
      </c>
      <c r="H2017" s="153">
        <v>13691.32</v>
      </c>
      <c r="I2017" s="153">
        <v>7315.84</v>
      </c>
      <c r="J2017" s="153">
        <v>5188</v>
      </c>
      <c r="K2017" s="153">
        <v>1187.48</v>
      </c>
      <c r="L2017" s="43">
        <v>7.3071425902897484</v>
      </c>
      <c r="M2017" s="43">
        <v>11.5</v>
      </c>
      <c r="N2017" s="43">
        <v>5.0074803339607161</v>
      </c>
      <c r="O2017" s="43">
        <v>5.8937859837204689</v>
      </c>
      <c r="P2017" s="154"/>
      <c r="Q2017" s="154"/>
      <c r="R2017" s="154">
        <v>1</v>
      </c>
    </row>
    <row r="2018" spans="1:18" ht="24">
      <c r="A2018" s="150">
        <v>368</v>
      </c>
      <c r="B2018" s="147" t="s">
        <v>3682</v>
      </c>
      <c r="C2018" s="151" t="s">
        <v>3683</v>
      </c>
      <c r="D2018" s="152">
        <v>1350.73</v>
      </c>
      <c r="E2018" s="152">
        <v>505.56</v>
      </c>
      <c r="F2018" s="152">
        <v>663.93</v>
      </c>
      <c r="G2018" s="152">
        <v>181.24</v>
      </c>
      <c r="H2018" s="153">
        <v>10137.969999999999</v>
      </c>
      <c r="I2018" s="153">
        <v>5814.16</v>
      </c>
      <c r="J2018" s="153">
        <v>3294.07</v>
      </c>
      <c r="K2018" s="153">
        <v>1029.74</v>
      </c>
      <c r="L2018" s="43">
        <v>7.5055488513618558</v>
      </c>
      <c r="M2018" s="43">
        <v>11.500435161009573</v>
      </c>
      <c r="N2018" s="43">
        <v>4.9614718419110453</v>
      </c>
      <c r="O2018" s="43">
        <v>5.6816376075921431</v>
      </c>
      <c r="P2018" s="154"/>
      <c r="Q2018" s="154"/>
      <c r="R2018" s="154">
        <v>1</v>
      </c>
    </row>
    <row r="2019" spans="1:18" ht="24">
      <c r="A2019" s="150">
        <v>369</v>
      </c>
      <c r="B2019" s="147" t="s">
        <v>3684</v>
      </c>
      <c r="C2019" s="151" t="s">
        <v>3685</v>
      </c>
      <c r="D2019" s="152">
        <v>1835.34</v>
      </c>
      <c r="E2019" s="152">
        <v>423.98</v>
      </c>
      <c r="F2019" s="152">
        <v>1266.44</v>
      </c>
      <c r="G2019" s="152">
        <v>144.91999999999999</v>
      </c>
      <c r="H2019" s="153">
        <v>11734.57</v>
      </c>
      <c r="I2019" s="153">
        <v>4875.97</v>
      </c>
      <c r="J2019" s="153">
        <v>5872.07</v>
      </c>
      <c r="K2019" s="153">
        <v>986.53</v>
      </c>
      <c r="L2019" s="43">
        <v>6.3936763760393172</v>
      </c>
      <c r="M2019" s="43">
        <v>11.500471720364168</v>
      </c>
      <c r="N2019" s="43">
        <v>4.6366744575345056</v>
      </c>
      <c r="O2019" s="43">
        <v>6.8074109853712397</v>
      </c>
      <c r="P2019" s="154"/>
      <c r="Q2019" s="154"/>
      <c r="R2019" s="154">
        <v>1</v>
      </c>
    </row>
    <row r="2020" spans="1:18" ht="19.5" customHeight="1">
      <c r="A2020" s="628" t="s">
        <v>3686</v>
      </c>
      <c r="B2020" s="629"/>
      <c r="C2020" s="629"/>
      <c r="D2020" s="629"/>
      <c r="E2020" s="629"/>
      <c r="F2020" s="629"/>
      <c r="G2020" s="629"/>
      <c r="H2020" s="629"/>
      <c r="I2020" s="629"/>
      <c r="J2020" s="629"/>
      <c r="K2020" s="629"/>
      <c r="L2020" s="629"/>
      <c r="M2020" s="629"/>
      <c r="N2020" s="629"/>
      <c r="O2020" s="629"/>
      <c r="P2020" s="629"/>
      <c r="Q2020" s="629"/>
      <c r="R2020" s="629"/>
    </row>
    <row r="2021" spans="1:18" ht="24">
      <c r="A2021" s="150">
        <v>370</v>
      </c>
      <c r="B2021" s="147" t="s">
        <v>3687</v>
      </c>
      <c r="C2021" s="151" t="s">
        <v>3688</v>
      </c>
      <c r="D2021" s="152">
        <v>611.66</v>
      </c>
      <c r="E2021" s="152">
        <v>471.71</v>
      </c>
      <c r="F2021" s="152">
        <v>124.93</v>
      </c>
      <c r="G2021" s="152">
        <v>15.02</v>
      </c>
      <c r="H2021" s="153">
        <v>6211.27</v>
      </c>
      <c r="I2021" s="153">
        <v>5424.88</v>
      </c>
      <c r="J2021" s="153">
        <v>640.33000000000004</v>
      </c>
      <c r="K2021" s="153">
        <v>146.06</v>
      </c>
      <c r="L2021" s="43">
        <v>10.154775528888599</v>
      </c>
      <c r="M2021" s="43">
        <v>11.500455788514131</v>
      </c>
      <c r="N2021" s="43">
        <v>5.1255102857600257</v>
      </c>
      <c r="O2021" s="43">
        <v>9.7243675099866849</v>
      </c>
      <c r="P2021" s="154"/>
      <c r="Q2021" s="154"/>
      <c r="R2021" s="154">
        <v>2</v>
      </c>
    </row>
    <row r="2022" spans="1:18" ht="24">
      <c r="A2022" s="150">
        <v>371</v>
      </c>
      <c r="B2022" s="147" t="s">
        <v>3689</v>
      </c>
      <c r="C2022" s="151" t="s">
        <v>3690</v>
      </c>
      <c r="D2022" s="152">
        <v>1208.0899999999999</v>
      </c>
      <c r="E2022" s="152">
        <v>677.91</v>
      </c>
      <c r="F2022" s="152">
        <v>208.43</v>
      </c>
      <c r="G2022" s="152">
        <v>321.75</v>
      </c>
      <c r="H2022" s="153">
        <v>10533.95</v>
      </c>
      <c r="I2022" s="153">
        <v>7796.26</v>
      </c>
      <c r="J2022" s="153">
        <v>1070.42</v>
      </c>
      <c r="K2022" s="153">
        <v>1667.27</v>
      </c>
      <c r="L2022" s="43">
        <v>8.7195076525755546</v>
      </c>
      <c r="M2022" s="43">
        <v>11.500435161009575</v>
      </c>
      <c r="N2022" s="43">
        <v>5.1356330662572569</v>
      </c>
      <c r="O2022" s="43">
        <v>5.1818803418803414</v>
      </c>
      <c r="P2022" s="154"/>
      <c r="Q2022" s="154"/>
      <c r="R2022" s="154">
        <v>2</v>
      </c>
    </row>
    <row r="2023" spans="1:18" ht="24">
      <c r="A2023" s="150">
        <v>372</v>
      </c>
      <c r="B2023" s="147" t="s">
        <v>3691</v>
      </c>
      <c r="C2023" s="151" t="s">
        <v>3692</v>
      </c>
      <c r="D2023" s="152">
        <v>1005.54</v>
      </c>
      <c r="E2023" s="152">
        <v>568</v>
      </c>
      <c r="F2023" s="152">
        <v>226.01</v>
      </c>
      <c r="G2023" s="152">
        <v>211.53</v>
      </c>
      <c r="H2023" s="153">
        <v>8759.51</v>
      </c>
      <c r="I2023" s="153">
        <v>6532</v>
      </c>
      <c r="J2023" s="153">
        <v>1070.52</v>
      </c>
      <c r="K2023" s="153">
        <v>1156.99</v>
      </c>
      <c r="L2023" s="43">
        <v>8.7112496767905814</v>
      </c>
      <c r="M2023" s="43">
        <v>11.5</v>
      </c>
      <c r="N2023" s="43">
        <v>4.7366045750188048</v>
      </c>
      <c r="O2023" s="43">
        <v>5.4696260577695837</v>
      </c>
      <c r="P2023" s="154"/>
      <c r="Q2023" s="154"/>
      <c r="R2023" s="154">
        <v>2</v>
      </c>
    </row>
    <row r="2024" spans="1:18" ht="24">
      <c r="A2024" s="150">
        <v>373</v>
      </c>
      <c r="B2024" s="147" t="s">
        <v>3693</v>
      </c>
      <c r="C2024" s="151" t="s">
        <v>3694</v>
      </c>
      <c r="D2024" s="152">
        <v>1341.85</v>
      </c>
      <c r="E2024" s="152">
        <v>764.32</v>
      </c>
      <c r="F2024" s="152">
        <v>252.84</v>
      </c>
      <c r="G2024" s="152">
        <v>324.69</v>
      </c>
      <c r="H2024" s="153">
        <v>11693.92</v>
      </c>
      <c r="I2024" s="153">
        <v>8789.68</v>
      </c>
      <c r="J2024" s="153">
        <v>1207.54</v>
      </c>
      <c r="K2024" s="153">
        <v>1696.7</v>
      </c>
      <c r="L2024" s="43">
        <v>8.7147743786563332</v>
      </c>
      <c r="M2024" s="43">
        <v>11.5</v>
      </c>
      <c r="N2024" s="43">
        <v>4.7759057111216574</v>
      </c>
      <c r="O2024" s="43">
        <v>5.2255998028889099</v>
      </c>
      <c r="P2024" s="154"/>
      <c r="Q2024" s="154"/>
      <c r="R2024" s="154">
        <v>2</v>
      </c>
    </row>
    <row r="2025" spans="1:18" ht="36">
      <c r="A2025" s="150">
        <v>374</v>
      </c>
      <c r="B2025" s="147" t="s">
        <v>3695</v>
      </c>
      <c r="C2025" s="151" t="s">
        <v>3696</v>
      </c>
      <c r="D2025" s="152">
        <v>1067.58</v>
      </c>
      <c r="E2025" s="152">
        <v>349.3</v>
      </c>
      <c r="F2025" s="152">
        <v>655.89</v>
      </c>
      <c r="G2025" s="152">
        <v>62.39</v>
      </c>
      <c r="H2025" s="153">
        <v>7694.82</v>
      </c>
      <c r="I2025" s="153">
        <v>4017.06</v>
      </c>
      <c r="J2025" s="153">
        <v>3224.86</v>
      </c>
      <c r="K2025" s="153">
        <v>452.9</v>
      </c>
      <c r="L2025" s="43">
        <v>7.207722137919407</v>
      </c>
      <c r="M2025" s="43">
        <v>11.500314915545376</v>
      </c>
      <c r="N2025" s="43">
        <v>4.916769580264984</v>
      </c>
      <c r="O2025" s="43">
        <v>7.2591761500240422</v>
      </c>
      <c r="P2025" s="154"/>
      <c r="Q2025" s="154"/>
      <c r="R2025" s="154">
        <v>2</v>
      </c>
    </row>
    <row r="2026" spans="1:18" ht="24">
      <c r="A2026" s="150">
        <v>375</v>
      </c>
      <c r="B2026" s="147" t="s">
        <v>3697</v>
      </c>
      <c r="C2026" s="151" t="s">
        <v>3698</v>
      </c>
      <c r="D2026" s="152">
        <v>1281.02</v>
      </c>
      <c r="E2026" s="152">
        <v>361.77</v>
      </c>
      <c r="F2026" s="152">
        <v>856.66</v>
      </c>
      <c r="G2026" s="152">
        <v>62.59</v>
      </c>
      <c r="H2026" s="153">
        <v>8643.68</v>
      </c>
      <c r="I2026" s="153">
        <v>4160.51</v>
      </c>
      <c r="J2026" s="153">
        <v>4028.21</v>
      </c>
      <c r="K2026" s="153">
        <v>454.96</v>
      </c>
      <c r="L2026" s="43">
        <v>6.7474980874615547</v>
      </c>
      <c r="M2026" s="43">
        <v>11.500428449014569</v>
      </c>
      <c r="N2026" s="43">
        <v>4.7022272546868074</v>
      </c>
      <c r="O2026" s="43">
        <v>7.2688927943760975</v>
      </c>
      <c r="P2026" s="154"/>
      <c r="Q2026" s="154"/>
      <c r="R2026" s="154">
        <v>2</v>
      </c>
    </row>
    <row r="2027" spans="1:18" ht="36">
      <c r="A2027" s="150">
        <v>376</v>
      </c>
      <c r="B2027" s="147" t="s">
        <v>3699</v>
      </c>
      <c r="C2027" s="151" t="s">
        <v>3700</v>
      </c>
      <c r="D2027" s="152">
        <v>1199.1500000000001</v>
      </c>
      <c r="E2027" s="152">
        <v>691.11</v>
      </c>
      <c r="F2027" s="152">
        <v>250.19</v>
      </c>
      <c r="G2027" s="152">
        <v>257.85000000000002</v>
      </c>
      <c r="H2027" s="153">
        <v>10327.58</v>
      </c>
      <c r="I2027" s="153">
        <v>7948.08</v>
      </c>
      <c r="J2027" s="153">
        <v>1272.6099999999999</v>
      </c>
      <c r="K2027" s="153">
        <v>1106.8900000000001</v>
      </c>
      <c r="L2027" s="43">
        <v>8.6124171287995654</v>
      </c>
      <c r="M2027" s="43">
        <v>11.500455788514129</v>
      </c>
      <c r="N2027" s="43">
        <v>5.0865742036052595</v>
      </c>
      <c r="O2027" s="43">
        <v>4.2927671126624007</v>
      </c>
      <c r="P2027" s="154"/>
      <c r="Q2027" s="154"/>
      <c r="R2027" s="154">
        <v>2</v>
      </c>
    </row>
    <row r="2028" spans="1:18" ht="36">
      <c r="A2028" s="150">
        <v>377</v>
      </c>
      <c r="B2028" s="147" t="s">
        <v>3701</v>
      </c>
      <c r="C2028" s="151" t="s">
        <v>3702</v>
      </c>
      <c r="D2028" s="152">
        <v>728.87</v>
      </c>
      <c r="E2028" s="152">
        <v>460.74</v>
      </c>
      <c r="F2028" s="152">
        <v>141.18</v>
      </c>
      <c r="G2028" s="152">
        <v>126.95</v>
      </c>
      <c r="H2028" s="153">
        <v>6586.14</v>
      </c>
      <c r="I2028" s="153">
        <v>5298.72</v>
      </c>
      <c r="J2028" s="153">
        <v>716.93</v>
      </c>
      <c r="K2028" s="153">
        <v>570.49</v>
      </c>
      <c r="L2028" s="43">
        <v>9.0360969720251898</v>
      </c>
      <c r="M2028" s="43">
        <v>11.500455788514129</v>
      </c>
      <c r="N2028" s="43">
        <v>5.0781272134863293</v>
      </c>
      <c r="O2028" s="43">
        <v>4.4938164631744781</v>
      </c>
      <c r="P2028" s="154"/>
      <c r="Q2028" s="154"/>
      <c r="R2028" s="154">
        <v>2</v>
      </c>
    </row>
    <row r="2029" spans="1:18" ht="24">
      <c r="A2029" s="150">
        <v>378</v>
      </c>
      <c r="B2029" s="147" t="s">
        <v>3703</v>
      </c>
      <c r="C2029" s="151" t="s">
        <v>3704</v>
      </c>
      <c r="D2029" s="152">
        <v>2378.98</v>
      </c>
      <c r="E2029" s="152">
        <v>1766.92</v>
      </c>
      <c r="F2029" s="152">
        <v>546.01</v>
      </c>
      <c r="G2029" s="152">
        <v>66.05</v>
      </c>
      <c r="H2029" s="153">
        <v>23707.71</v>
      </c>
      <c r="I2029" s="153">
        <v>20319.580000000002</v>
      </c>
      <c r="J2029" s="153">
        <v>2799.24</v>
      </c>
      <c r="K2029" s="153">
        <v>588.89</v>
      </c>
      <c r="L2029" s="43">
        <v>9.9654936149105922</v>
      </c>
      <c r="M2029" s="43">
        <v>11.5</v>
      </c>
      <c r="N2029" s="43">
        <v>5.1267192908554788</v>
      </c>
      <c r="O2029" s="43">
        <v>8.9158213474640426</v>
      </c>
      <c r="P2029" s="154"/>
      <c r="Q2029" s="154"/>
      <c r="R2029" s="154">
        <v>2</v>
      </c>
    </row>
    <row r="2030" spans="1:18" ht="24">
      <c r="A2030" s="150">
        <v>379</v>
      </c>
      <c r="B2030" s="147" t="s">
        <v>3705</v>
      </c>
      <c r="C2030" s="151" t="s">
        <v>3706</v>
      </c>
      <c r="D2030" s="152">
        <v>1371.32</v>
      </c>
      <c r="E2030" s="152">
        <v>1017.45</v>
      </c>
      <c r="F2030" s="152">
        <v>314.48</v>
      </c>
      <c r="G2030" s="152">
        <v>39.39</v>
      </c>
      <c r="H2030" s="153">
        <v>13661.72</v>
      </c>
      <c r="I2030" s="153">
        <v>11701.15</v>
      </c>
      <c r="J2030" s="153">
        <v>1606.6</v>
      </c>
      <c r="K2030" s="153">
        <v>353.97</v>
      </c>
      <c r="L2030" s="43">
        <v>9.9624595280459705</v>
      </c>
      <c r="M2030" s="43">
        <v>11.50046685340803</v>
      </c>
      <c r="N2030" s="43">
        <v>5.1087509539557363</v>
      </c>
      <c r="O2030" s="43">
        <v>8.986290936785986</v>
      </c>
      <c r="P2030" s="154"/>
      <c r="Q2030" s="154"/>
      <c r="R2030" s="154">
        <v>2</v>
      </c>
    </row>
    <row r="2031" spans="1:18" ht="24">
      <c r="A2031" s="150">
        <v>380</v>
      </c>
      <c r="B2031" s="147" t="s">
        <v>3707</v>
      </c>
      <c r="C2031" s="151" t="s">
        <v>3708</v>
      </c>
      <c r="D2031" s="152">
        <v>18726.87</v>
      </c>
      <c r="E2031" s="152">
        <v>5506.94</v>
      </c>
      <c r="F2031" s="152">
        <v>13109.79</v>
      </c>
      <c r="G2031" s="152">
        <v>110.14</v>
      </c>
      <c r="H2031" s="153">
        <v>135911.70000000001</v>
      </c>
      <c r="I2031" s="153">
        <v>63332.32</v>
      </c>
      <c r="J2031" s="153">
        <v>71301.759999999995</v>
      </c>
      <c r="K2031" s="153">
        <v>1277.6199999999999</v>
      </c>
      <c r="L2031" s="43">
        <v>7.2575769469217235</v>
      </c>
      <c r="M2031" s="43">
        <v>11.500455788514131</v>
      </c>
      <c r="N2031" s="43">
        <v>5.4388178605454387</v>
      </c>
      <c r="O2031" s="43">
        <v>11.599963682585798</v>
      </c>
      <c r="P2031" s="154"/>
      <c r="Q2031" s="154"/>
      <c r="R2031" s="154">
        <v>2</v>
      </c>
    </row>
    <row r="2032" spans="1:18" ht="24">
      <c r="A2032" s="150">
        <v>381</v>
      </c>
      <c r="B2032" s="147" t="s">
        <v>3709</v>
      </c>
      <c r="C2032" s="151" t="s">
        <v>3710</v>
      </c>
      <c r="D2032" s="152">
        <v>6173.82</v>
      </c>
      <c r="E2032" s="152">
        <v>2292.73</v>
      </c>
      <c r="F2032" s="152">
        <v>3835.24</v>
      </c>
      <c r="G2032" s="152">
        <v>45.85</v>
      </c>
      <c r="H2032" s="153">
        <v>47660.15</v>
      </c>
      <c r="I2032" s="153">
        <v>26367.439999999999</v>
      </c>
      <c r="J2032" s="153">
        <v>20760.849999999999</v>
      </c>
      <c r="K2032" s="153">
        <v>531.86</v>
      </c>
      <c r="L2032" s="43">
        <v>7.7197180999770003</v>
      </c>
      <c r="M2032" s="43">
        <v>11.500455788514129</v>
      </c>
      <c r="N2032" s="43">
        <v>5.4131814436645422</v>
      </c>
      <c r="O2032" s="43">
        <v>11.6</v>
      </c>
      <c r="P2032" s="154"/>
      <c r="Q2032" s="154"/>
      <c r="R2032" s="154">
        <v>2</v>
      </c>
    </row>
    <row r="2033" spans="1:18" ht="24">
      <c r="A2033" s="150">
        <v>382</v>
      </c>
      <c r="B2033" s="147" t="s">
        <v>3711</v>
      </c>
      <c r="C2033" s="151" t="s">
        <v>3712</v>
      </c>
      <c r="D2033" s="152">
        <v>1825.21</v>
      </c>
      <c r="E2033" s="152">
        <v>813</v>
      </c>
      <c r="F2033" s="152">
        <v>995.95</v>
      </c>
      <c r="G2033" s="152">
        <v>16.260000000000002</v>
      </c>
      <c r="H2033" s="153">
        <v>14894.77</v>
      </c>
      <c r="I2033" s="153">
        <v>9349.5</v>
      </c>
      <c r="J2033" s="153">
        <v>5356.65</v>
      </c>
      <c r="K2033" s="153">
        <v>188.62</v>
      </c>
      <c r="L2033" s="43">
        <v>8.1605787827154135</v>
      </c>
      <c r="M2033" s="43">
        <v>11.5</v>
      </c>
      <c r="N2033" s="43">
        <v>5.3784326522415782</v>
      </c>
      <c r="O2033" s="43">
        <v>11.600246002460024</v>
      </c>
      <c r="P2033" s="154"/>
      <c r="Q2033" s="154"/>
      <c r="R2033" s="154">
        <v>2</v>
      </c>
    </row>
    <row r="2034" spans="1:18" ht="24">
      <c r="A2034" s="150">
        <v>383</v>
      </c>
      <c r="B2034" s="147" t="s">
        <v>3713</v>
      </c>
      <c r="C2034" s="151" t="s">
        <v>3714</v>
      </c>
      <c r="D2034" s="152">
        <v>1035.18</v>
      </c>
      <c r="E2034" s="152">
        <v>782.1</v>
      </c>
      <c r="F2034" s="152">
        <v>164.59</v>
      </c>
      <c r="G2034" s="152">
        <v>88.49</v>
      </c>
      <c r="H2034" s="153">
        <v>10552.55</v>
      </c>
      <c r="I2034" s="153">
        <v>8994.48</v>
      </c>
      <c r="J2034" s="153">
        <v>871.04</v>
      </c>
      <c r="K2034" s="153">
        <v>687.03</v>
      </c>
      <c r="L2034" s="43">
        <v>10.193927626113332</v>
      </c>
      <c r="M2034" s="43">
        <v>11.50042194092827</v>
      </c>
      <c r="N2034" s="43">
        <v>5.2921805699009656</v>
      </c>
      <c r="O2034" s="43">
        <v>7.7639281274720311</v>
      </c>
      <c r="P2034" s="154"/>
      <c r="Q2034" s="154"/>
      <c r="R2034" s="154">
        <v>2</v>
      </c>
    </row>
    <row r="2035" spans="1:18" ht="24">
      <c r="A2035" s="150">
        <v>384</v>
      </c>
      <c r="B2035" s="147" t="s">
        <v>3715</v>
      </c>
      <c r="C2035" s="151" t="s">
        <v>3716</v>
      </c>
      <c r="D2035" s="152">
        <v>703.92</v>
      </c>
      <c r="E2035" s="152">
        <v>490.14</v>
      </c>
      <c r="F2035" s="152">
        <v>146.85</v>
      </c>
      <c r="G2035" s="152">
        <v>66.930000000000007</v>
      </c>
      <c r="H2035" s="153">
        <v>6917.86</v>
      </c>
      <c r="I2035" s="153">
        <v>5636.82</v>
      </c>
      <c r="J2035" s="153">
        <v>774.86</v>
      </c>
      <c r="K2035" s="153">
        <v>506.18</v>
      </c>
      <c r="L2035" s="43">
        <v>9.827622457097398</v>
      </c>
      <c r="M2035" s="43">
        <v>11.500428449014567</v>
      </c>
      <c r="N2035" s="43">
        <v>5.2765406877766434</v>
      </c>
      <c r="O2035" s="43">
        <v>7.5628268340056772</v>
      </c>
      <c r="P2035" s="154"/>
      <c r="Q2035" s="154"/>
      <c r="R2035" s="154">
        <v>2</v>
      </c>
    </row>
    <row r="2036" spans="1:18" ht="24">
      <c r="A2036" s="150">
        <v>385</v>
      </c>
      <c r="B2036" s="147" t="s">
        <v>3717</v>
      </c>
      <c r="C2036" s="151" t="s">
        <v>3718</v>
      </c>
      <c r="D2036" s="152">
        <v>981.3</v>
      </c>
      <c r="E2036" s="152">
        <v>497.7</v>
      </c>
      <c r="F2036" s="152">
        <v>466.21</v>
      </c>
      <c r="G2036" s="152">
        <v>17.39</v>
      </c>
      <c r="H2036" s="153">
        <v>8355.9500000000007</v>
      </c>
      <c r="I2036" s="153">
        <v>5723.76</v>
      </c>
      <c r="J2036" s="153">
        <v>2477.0700000000002</v>
      </c>
      <c r="K2036" s="153">
        <v>155.12</v>
      </c>
      <c r="L2036" s="43">
        <v>8.5151839396718643</v>
      </c>
      <c r="M2036" s="43">
        <v>11.500421940928272</v>
      </c>
      <c r="N2036" s="43">
        <v>5.3132064949271793</v>
      </c>
      <c r="O2036" s="43">
        <v>8.9200690051753888</v>
      </c>
      <c r="P2036" s="154"/>
      <c r="Q2036" s="154"/>
      <c r="R2036" s="154">
        <v>2</v>
      </c>
    </row>
    <row r="2037" spans="1:18" ht="12.75" customHeight="1">
      <c r="A2037" s="628" t="s">
        <v>3719</v>
      </c>
      <c r="B2037" s="629"/>
      <c r="C2037" s="629"/>
      <c r="D2037" s="629"/>
      <c r="E2037" s="629"/>
      <c r="F2037" s="629"/>
      <c r="G2037" s="629"/>
      <c r="H2037" s="629"/>
      <c r="I2037" s="629"/>
      <c r="J2037" s="629"/>
      <c r="K2037" s="629"/>
      <c r="L2037" s="629"/>
      <c r="M2037" s="629"/>
      <c r="N2037" s="629"/>
      <c r="O2037" s="629"/>
      <c r="P2037" s="629"/>
      <c r="Q2037" s="629"/>
      <c r="R2037" s="629"/>
    </row>
    <row r="2038" spans="1:18" ht="24">
      <c r="A2038" s="150">
        <v>386</v>
      </c>
      <c r="B2038" s="147" t="s">
        <v>3720</v>
      </c>
      <c r="C2038" s="151" t="s">
        <v>3721</v>
      </c>
      <c r="D2038" s="152">
        <v>1331.86</v>
      </c>
      <c r="E2038" s="152">
        <v>757.02</v>
      </c>
      <c r="F2038" s="152">
        <v>340.23</v>
      </c>
      <c r="G2038" s="152">
        <v>234.61</v>
      </c>
      <c r="H2038" s="153">
        <v>11638.48</v>
      </c>
      <c r="I2038" s="153">
        <v>8705.73</v>
      </c>
      <c r="J2038" s="153">
        <v>1582.03</v>
      </c>
      <c r="K2038" s="153">
        <v>1350.72</v>
      </c>
      <c r="L2038" s="43">
        <v>8.7385160602465728</v>
      </c>
      <c r="M2038" s="43">
        <v>11.5</v>
      </c>
      <c r="N2038" s="43">
        <v>4.6498839020662492</v>
      </c>
      <c r="O2038" s="43">
        <v>5.757299347853885</v>
      </c>
      <c r="P2038" s="154"/>
      <c r="Q2038" s="154"/>
      <c r="R2038" s="154">
        <v>3</v>
      </c>
    </row>
    <row r="2039" spans="1:18" ht="24">
      <c r="A2039" s="150">
        <v>387</v>
      </c>
      <c r="B2039" s="147" t="s">
        <v>3722</v>
      </c>
      <c r="C2039" s="151" t="s">
        <v>3723</v>
      </c>
      <c r="D2039" s="152">
        <v>1152.78</v>
      </c>
      <c r="E2039" s="152">
        <v>725.87</v>
      </c>
      <c r="F2039" s="152">
        <v>241.52</v>
      </c>
      <c r="G2039" s="152">
        <v>185.39</v>
      </c>
      <c r="H2039" s="153">
        <v>10553.53</v>
      </c>
      <c r="I2039" s="153">
        <v>8347.86</v>
      </c>
      <c r="J2039" s="153">
        <v>1134.73</v>
      </c>
      <c r="K2039" s="153">
        <v>1070.94</v>
      </c>
      <c r="L2039" s="43">
        <v>9.1548517496833757</v>
      </c>
      <c r="M2039" s="43">
        <v>11.500489068290467</v>
      </c>
      <c r="N2039" s="43">
        <v>4.698285856243789</v>
      </c>
      <c r="O2039" s="43">
        <v>5.7766869841954804</v>
      </c>
      <c r="P2039" s="154"/>
      <c r="Q2039" s="154"/>
      <c r="R2039" s="154">
        <v>3</v>
      </c>
    </row>
    <row r="2040" spans="1:18" ht="24">
      <c r="A2040" s="150">
        <v>388</v>
      </c>
      <c r="B2040" s="147" t="s">
        <v>3724</v>
      </c>
      <c r="C2040" s="151" t="s">
        <v>3725</v>
      </c>
      <c r="D2040" s="152">
        <v>1442.58</v>
      </c>
      <c r="E2040" s="152">
        <v>881.09</v>
      </c>
      <c r="F2040" s="152">
        <v>335.24</v>
      </c>
      <c r="G2040" s="152">
        <v>226.25</v>
      </c>
      <c r="H2040" s="153">
        <v>13126.07</v>
      </c>
      <c r="I2040" s="153">
        <v>10132.86</v>
      </c>
      <c r="J2040" s="153">
        <v>1674.48</v>
      </c>
      <c r="K2040" s="153">
        <v>1318.73</v>
      </c>
      <c r="L2040" s="43">
        <v>9.0990239709409533</v>
      </c>
      <c r="M2040" s="43">
        <v>11.500368861296803</v>
      </c>
      <c r="N2040" s="43">
        <v>4.9948693473332533</v>
      </c>
      <c r="O2040" s="43">
        <v>5.8286408839779007</v>
      </c>
      <c r="P2040" s="154"/>
      <c r="Q2040" s="154"/>
      <c r="R2040" s="154">
        <v>3</v>
      </c>
    </row>
    <row r="2041" spans="1:18" ht="24">
      <c r="A2041" s="150">
        <v>389</v>
      </c>
      <c r="B2041" s="147" t="s">
        <v>3726</v>
      </c>
      <c r="C2041" s="151" t="s">
        <v>3727</v>
      </c>
      <c r="D2041" s="152">
        <v>1307.9100000000001</v>
      </c>
      <c r="E2041" s="152">
        <v>805.23</v>
      </c>
      <c r="F2041" s="152">
        <v>290.79000000000002</v>
      </c>
      <c r="G2041" s="152">
        <v>211.89</v>
      </c>
      <c r="H2041" s="153">
        <v>11927.82</v>
      </c>
      <c r="I2041" s="153">
        <v>9260.49</v>
      </c>
      <c r="J2041" s="153">
        <v>1461.01</v>
      </c>
      <c r="K2041" s="153">
        <v>1206.32</v>
      </c>
      <c r="L2041" s="43">
        <v>9.1197559465100806</v>
      </c>
      <c r="M2041" s="43">
        <v>11.500428449014567</v>
      </c>
      <c r="N2041" s="43">
        <v>5.0242786890883453</v>
      </c>
      <c r="O2041" s="43">
        <v>5.6931426683656614</v>
      </c>
      <c r="P2041" s="154"/>
      <c r="Q2041" s="154"/>
      <c r="R2041" s="154">
        <v>3</v>
      </c>
    </row>
    <row r="2042" spans="1:18" ht="24">
      <c r="A2042" s="150">
        <v>390</v>
      </c>
      <c r="B2042" s="147" t="s">
        <v>3728</v>
      </c>
      <c r="C2042" s="151" t="s">
        <v>3729</v>
      </c>
      <c r="D2042" s="152">
        <v>1649.35</v>
      </c>
      <c r="E2042" s="152">
        <v>865.8</v>
      </c>
      <c r="F2042" s="152">
        <v>505.37</v>
      </c>
      <c r="G2042" s="152">
        <v>278.18</v>
      </c>
      <c r="H2042" s="153">
        <v>13711.77</v>
      </c>
      <c r="I2042" s="153">
        <v>9956.7000000000007</v>
      </c>
      <c r="J2042" s="153">
        <v>2345.33</v>
      </c>
      <c r="K2042" s="153">
        <v>1409.74</v>
      </c>
      <c r="L2042" s="43">
        <v>8.3134386273380425</v>
      </c>
      <c r="M2042" s="43">
        <v>11.500000000000002</v>
      </c>
      <c r="N2042" s="43">
        <v>4.6408176187743635</v>
      </c>
      <c r="O2042" s="43">
        <v>5.0677259328492346</v>
      </c>
      <c r="P2042" s="154"/>
      <c r="Q2042" s="154"/>
      <c r="R2042" s="154">
        <v>3</v>
      </c>
    </row>
    <row r="2043" spans="1:18" ht="24">
      <c r="A2043" s="150">
        <v>391</v>
      </c>
      <c r="B2043" s="147" t="s">
        <v>3730</v>
      </c>
      <c r="C2043" s="151" t="s">
        <v>3731</v>
      </c>
      <c r="D2043" s="152">
        <v>1353.87</v>
      </c>
      <c r="E2043" s="152">
        <v>772.13</v>
      </c>
      <c r="F2043" s="152">
        <v>367.68</v>
      </c>
      <c r="G2043" s="152">
        <v>214.06</v>
      </c>
      <c r="H2043" s="153">
        <v>11763</v>
      </c>
      <c r="I2043" s="153">
        <v>8879.81</v>
      </c>
      <c r="J2043" s="153">
        <v>1713.59</v>
      </c>
      <c r="K2043" s="153">
        <v>1169.5999999999999</v>
      </c>
      <c r="L2043" s="43">
        <v>8.6884265106694158</v>
      </c>
      <c r="M2043" s="43">
        <v>11.500407962389753</v>
      </c>
      <c r="N2043" s="43">
        <v>4.6605472149695384</v>
      </c>
      <c r="O2043" s="43">
        <v>5.463888629356255</v>
      </c>
      <c r="P2043" s="154"/>
      <c r="Q2043" s="154"/>
      <c r="R2043" s="154">
        <v>3</v>
      </c>
    </row>
    <row r="2044" spans="1:18" ht="24">
      <c r="A2044" s="150">
        <v>392</v>
      </c>
      <c r="B2044" s="147" t="s">
        <v>3732</v>
      </c>
      <c r="C2044" s="151" t="s">
        <v>3733</v>
      </c>
      <c r="D2044" s="152">
        <v>887.41</v>
      </c>
      <c r="E2044" s="152">
        <v>580.65</v>
      </c>
      <c r="F2044" s="152">
        <v>182.64</v>
      </c>
      <c r="G2044" s="152">
        <v>124.12</v>
      </c>
      <c r="H2044" s="153">
        <v>8223.0499999999993</v>
      </c>
      <c r="I2044" s="153">
        <v>6677.72</v>
      </c>
      <c r="J2044" s="153">
        <v>858.97</v>
      </c>
      <c r="K2044" s="153">
        <v>686.36</v>
      </c>
      <c r="L2044" s="43">
        <v>9.2663481367124554</v>
      </c>
      <c r="M2044" s="43">
        <v>11.500421940928272</v>
      </c>
      <c r="N2044" s="43">
        <v>4.7030770915462119</v>
      </c>
      <c r="O2044" s="43">
        <v>5.529809861424428</v>
      </c>
      <c r="P2044" s="154"/>
      <c r="Q2044" s="154"/>
      <c r="R2044" s="154">
        <v>3</v>
      </c>
    </row>
    <row r="2045" spans="1:18" ht="24">
      <c r="A2045" s="150">
        <v>393</v>
      </c>
      <c r="B2045" s="147" t="s">
        <v>3734</v>
      </c>
      <c r="C2045" s="151" t="s">
        <v>3735</v>
      </c>
      <c r="D2045" s="152">
        <v>1173.6500000000001</v>
      </c>
      <c r="E2045" s="152">
        <v>703.89</v>
      </c>
      <c r="F2045" s="152">
        <v>271.20999999999998</v>
      </c>
      <c r="G2045" s="152">
        <v>198.55</v>
      </c>
      <c r="H2045" s="153">
        <v>10604.82</v>
      </c>
      <c r="I2045" s="153">
        <v>8095.03</v>
      </c>
      <c r="J2045" s="153">
        <v>1373.8</v>
      </c>
      <c r="K2045" s="153">
        <v>1135.99</v>
      </c>
      <c r="L2045" s="43">
        <v>9.0357602351638047</v>
      </c>
      <c r="M2045" s="43">
        <v>11.500419099575218</v>
      </c>
      <c r="N2045" s="43">
        <v>5.065447439253715</v>
      </c>
      <c r="O2045" s="43">
        <v>5.7214303701838327</v>
      </c>
      <c r="P2045" s="154"/>
      <c r="Q2045" s="154"/>
      <c r="R2045" s="154">
        <v>3</v>
      </c>
    </row>
    <row r="2046" spans="1:18" ht="12.75" customHeight="1">
      <c r="A2046" s="628" t="s">
        <v>3736</v>
      </c>
      <c r="B2046" s="629"/>
      <c r="C2046" s="629"/>
      <c r="D2046" s="629"/>
      <c r="E2046" s="629"/>
      <c r="F2046" s="629"/>
      <c r="G2046" s="629"/>
      <c r="H2046" s="629"/>
      <c r="I2046" s="629"/>
      <c r="J2046" s="629"/>
      <c r="K2046" s="629"/>
      <c r="L2046" s="629"/>
      <c r="M2046" s="629"/>
      <c r="N2046" s="629"/>
      <c r="O2046" s="629"/>
      <c r="P2046" s="629"/>
      <c r="Q2046" s="629"/>
      <c r="R2046" s="629"/>
    </row>
    <row r="2047" spans="1:18" ht="48">
      <c r="A2047" s="150">
        <v>394</v>
      </c>
      <c r="B2047" s="147" t="s">
        <v>3737</v>
      </c>
      <c r="C2047" s="151" t="s">
        <v>3738</v>
      </c>
      <c r="D2047" s="152">
        <v>3243.89</v>
      </c>
      <c r="E2047" s="152">
        <v>876.9</v>
      </c>
      <c r="F2047" s="152">
        <v>2102.06</v>
      </c>
      <c r="G2047" s="152">
        <v>264.93</v>
      </c>
      <c r="H2047" s="153">
        <v>25213.08</v>
      </c>
      <c r="I2047" s="153">
        <v>10084.719999999999</v>
      </c>
      <c r="J2047" s="153">
        <v>13567.36</v>
      </c>
      <c r="K2047" s="153">
        <v>1561</v>
      </c>
      <c r="L2047" s="43">
        <v>7.7724830373409715</v>
      </c>
      <c r="M2047" s="43">
        <v>11.50042194092827</v>
      </c>
      <c r="N2047" s="43">
        <v>6.4543162421624505</v>
      </c>
      <c r="O2047" s="43">
        <v>5.892122447438946</v>
      </c>
      <c r="P2047" s="154"/>
      <c r="Q2047" s="154"/>
      <c r="R2047" s="154">
        <v>4</v>
      </c>
    </row>
    <row r="2048" spans="1:18" ht="48">
      <c r="A2048" s="150">
        <v>395</v>
      </c>
      <c r="B2048" s="147" t="s">
        <v>3739</v>
      </c>
      <c r="C2048" s="151" t="s">
        <v>3740</v>
      </c>
      <c r="D2048" s="152">
        <v>5552.22</v>
      </c>
      <c r="E2048" s="152">
        <v>1113.9000000000001</v>
      </c>
      <c r="F2048" s="152">
        <v>3680.71</v>
      </c>
      <c r="G2048" s="152">
        <v>757.61</v>
      </c>
      <c r="H2048" s="153">
        <v>34966.050000000003</v>
      </c>
      <c r="I2048" s="153">
        <v>12810.32</v>
      </c>
      <c r="J2048" s="153">
        <v>18516.72</v>
      </c>
      <c r="K2048" s="153">
        <v>3639.01</v>
      </c>
      <c r="L2048" s="43">
        <v>6.2976701211407331</v>
      </c>
      <c r="M2048" s="43">
        <v>11.500421940928268</v>
      </c>
      <c r="N2048" s="43">
        <v>5.0307467852669729</v>
      </c>
      <c r="O2048" s="43">
        <v>4.8032760919206456</v>
      </c>
      <c r="P2048" s="154"/>
      <c r="Q2048" s="154"/>
      <c r="R2048" s="154">
        <v>4</v>
      </c>
    </row>
    <row r="2049" spans="1:18" ht="48">
      <c r="A2049" s="150">
        <v>396</v>
      </c>
      <c r="B2049" s="147" t="s">
        <v>3741</v>
      </c>
      <c r="C2049" s="151" t="s">
        <v>3742</v>
      </c>
      <c r="D2049" s="152">
        <v>2643.41</v>
      </c>
      <c r="E2049" s="152">
        <v>592.5</v>
      </c>
      <c r="F2049" s="152">
        <v>1508.11</v>
      </c>
      <c r="G2049" s="152">
        <v>542.79999999999995</v>
      </c>
      <c r="H2049" s="153">
        <v>17324.5</v>
      </c>
      <c r="I2049" s="153">
        <v>6814</v>
      </c>
      <c r="J2049" s="153">
        <v>7693.78</v>
      </c>
      <c r="K2049" s="153">
        <v>2816.72</v>
      </c>
      <c r="L2049" s="43">
        <v>6.5538452226480191</v>
      </c>
      <c r="M2049" s="43">
        <v>11.50042194092827</v>
      </c>
      <c r="N2049" s="43">
        <v>5.1016039944035914</v>
      </c>
      <c r="O2049" s="43">
        <v>5.1892409727339723</v>
      </c>
      <c r="P2049" s="154"/>
      <c r="Q2049" s="154"/>
      <c r="R2049" s="154">
        <v>4</v>
      </c>
    </row>
    <row r="2050" spans="1:18" ht="48">
      <c r="A2050" s="150">
        <v>397</v>
      </c>
      <c r="B2050" s="147" t="s">
        <v>3743</v>
      </c>
      <c r="C2050" s="151" t="s">
        <v>3744</v>
      </c>
      <c r="D2050" s="152">
        <v>5779.06</v>
      </c>
      <c r="E2050" s="152">
        <v>1003.62</v>
      </c>
      <c r="F2050" s="152">
        <v>3188.77</v>
      </c>
      <c r="G2050" s="152">
        <v>1586.67</v>
      </c>
      <c r="H2050" s="153">
        <v>34374.69</v>
      </c>
      <c r="I2050" s="153">
        <v>11542.06</v>
      </c>
      <c r="J2050" s="153">
        <v>15884.95</v>
      </c>
      <c r="K2050" s="153">
        <v>6947.68</v>
      </c>
      <c r="L2050" s="43">
        <v>5.9481455461614861</v>
      </c>
      <c r="M2050" s="43">
        <v>11.500428449014567</v>
      </c>
      <c r="N2050" s="43">
        <v>4.9815289280819881</v>
      </c>
      <c r="O2050" s="43">
        <v>4.3787807168472339</v>
      </c>
      <c r="P2050" s="154"/>
      <c r="Q2050" s="154"/>
      <c r="R2050" s="154">
        <v>4</v>
      </c>
    </row>
    <row r="2051" spans="1:18" ht="60">
      <c r="A2051" s="150">
        <v>398</v>
      </c>
      <c r="B2051" s="147" t="s">
        <v>3745</v>
      </c>
      <c r="C2051" s="151" t="s">
        <v>3746</v>
      </c>
      <c r="D2051" s="152">
        <v>3395.34</v>
      </c>
      <c r="E2051" s="152">
        <v>625.04</v>
      </c>
      <c r="F2051" s="152">
        <v>1598.08</v>
      </c>
      <c r="G2051" s="152">
        <v>1172.22</v>
      </c>
      <c r="H2051" s="153">
        <v>20746.27</v>
      </c>
      <c r="I2051" s="153">
        <v>7187.96</v>
      </c>
      <c r="J2051" s="153">
        <v>8785.7900000000009</v>
      </c>
      <c r="K2051" s="153">
        <v>4772.5200000000004</v>
      </c>
      <c r="L2051" s="43">
        <v>6.1102187115281534</v>
      </c>
      <c r="M2051" s="43">
        <v>11.5</v>
      </c>
      <c r="N2051" s="43">
        <v>5.4977160092110537</v>
      </c>
      <c r="O2051" s="43">
        <v>4.0713517940318376</v>
      </c>
      <c r="P2051" s="154"/>
      <c r="Q2051" s="154"/>
      <c r="R2051" s="154">
        <v>4</v>
      </c>
    </row>
    <row r="2052" spans="1:18" ht="60">
      <c r="A2052" s="150">
        <v>399</v>
      </c>
      <c r="B2052" s="147" t="s">
        <v>3747</v>
      </c>
      <c r="C2052" s="151" t="s">
        <v>3748</v>
      </c>
      <c r="D2052" s="152">
        <v>4214.5</v>
      </c>
      <c r="E2052" s="152">
        <v>1033.72</v>
      </c>
      <c r="F2052" s="152">
        <v>1704.71</v>
      </c>
      <c r="G2052" s="152">
        <v>1476.07</v>
      </c>
      <c r="H2052" s="153">
        <v>27165.17</v>
      </c>
      <c r="I2052" s="153">
        <v>11887.78</v>
      </c>
      <c r="J2052" s="153">
        <v>9025.52</v>
      </c>
      <c r="K2052" s="153">
        <v>6251.87</v>
      </c>
      <c r="L2052" s="43">
        <v>6.4456447977221494</v>
      </c>
      <c r="M2052" s="43">
        <v>11.5</v>
      </c>
      <c r="N2052" s="43">
        <v>5.2944606413994171</v>
      </c>
      <c r="O2052" s="43">
        <v>4.2354834120333047</v>
      </c>
      <c r="P2052" s="154"/>
      <c r="Q2052" s="154"/>
      <c r="R2052" s="154">
        <v>4</v>
      </c>
    </row>
    <row r="2053" spans="1:18" ht="60">
      <c r="A2053" s="150">
        <v>400</v>
      </c>
      <c r="B2053" s="147" t="s">
        <v>3749</v>
      </c>
      <c r="C2053" s="151" t="s">
        <v>3750</v>
      </c>
      <c r="D2053" s="152">
        <v>3309.35</v>
      </c>
      <c r="E2053" s="152">
        <v>997.66</v>
      </c>
      <c r="F2053" s="152">
        <v>1463.21</v>
      </c>
      <c r="G2053" s="152">
        <v>848.48</v>
      </c>
      <c r="H2053" s="153">
        <v>22870.25</v>
      </c>
      <c r="I2053" s="153">
        <v>11473.09</v>
      </c>
      <c r="J2053" s="153">
        <v>7513.23</v>
      </c>
      <c r="K2053" s="153">
        <v>3883.93</v>
      </c>
      <c r="L2053" s="43">
        <v>6.9107981929986249</v>
      </c>
      <c r="M2053" s="43">
        <v>11.5</v>
      </c>
      <c r="N2053" s="43">
        <v>5.1347585103983704</v>
      </c>
      <c r="O2053" s="43">
        <v>4.5775150858004903</v>
      </c>
      <c r="P2053" s="154"/>
      <c r="Q2053" s="154"/>
      <c r="R2053" s="154">
        <v>4</v>
      </c>
    </row>
    <row r="2054" spans="1:18" ht="60">
      <c r="A2054" s="150">
        <v>401</v>
      </c>
      <c r="B2054" s="147" t="s">
        <v>3751</v>
      </c>
      <c r="C2054" s="151" t="s">
        <v>3752</v>
      </c>
      <c r="D2054" s="152">
        <v>4396.7</v>
      </c>
      <c r="E2054" s="152">
        <v>1279.8</v>
      </c>
      <c r="F2054" s="152">
        <v>2501.16</v>
      </c>
      <c r="G2054" s="152">
        <v>615.74</v>
      </c>
      <c r="H2054" s="153">
        <v>30368.74</v>
      </c>
      <c r="I2054" s="153">
        <v>14718.24</v>
      </c>
      <c r="J2054" s="153">
        <v>12722.4</v>
      </c>
      <c r="K2054" s="153">
        <v>2928.1</v>
      </c>
      <c r="L2054" s="43">
        <v>6.9071667386903819</v>
      </c>
      <c r="M2054" s="43">
        <v>11.50042194092827</v>
      </c>
      <c r="N2054" s="43">
        <v>5.0865998176845943</v>
      </c>
      <c r="O2054" s="43">
        <v>4.7554162471172896</v>
      </c>
      <c r="P2054" s="154"/>
      <c r="Q2054" s="154"/>
      <c r="R2054" s="154">
        <v>4</v>
      </c>
    </row>
    <row r="2055" spans="1:18" ht="60">
      <c r="A2055" s="150">
        <v>402</v>
      </c>
      <c r="B2055" s="147" t="s">
        <v>3753</v>
      </c>
      <c r="C2055" s="151" t="s">
        <v>3754</v>
      </c>
      <c r="D2055" s="152">
        <v>4534.62</v>
      </c>
      <c r="E2055" s="152">
        <v>995.4</v>
      </c>
      <c r="F2055" s="152">
        <v>3042.47</v>
      </c>
      <c r="G2055" s="152">
        <v>496.75</v>
      </c>
      <c r="H2055" s="153">
        <v>29456.400000000001</v>
      </c>
      <c r="I2055" s="153">
        <v>11447.52</v>
      </c>
      <c r="J2055" s="153">
        <v>15563.23</v>
      </c>
      <c r="K2055" s="153">
        <v>2445.65</v>
      </c>
      <c r="L2055" s="43">
        <v>6.4958916072350057</v>
      </c>
      <c r="M2055" s="43">
        <v>11.500421940928272</v>
      </c>
      <c r="N2055" s="43">
        <v>5.1153273491603866</v>
      </c>
      <c r="O2055" s="43">
        <v>4.9233014594866633</v>
      </c>
      <c r="P2055" s="154"/>
      <c r="Q2055" s="154"/>
      <c r="R2055" s="154">
        <v>4</v>
      </c>
    </row>
    <row r="2056" spans="1:18" ht="60">
      <c r="A2056" s="150">
        <v>403</v>
      </c>
      <c r="B2056" s="147" t="s">
        <v>3755</v>
      </c>
      <c r="C2056" s="151" t="s">
        <v>3756</v>
      </c>
      <c r="D2056" s="152">
        <v>2778.84</v>
      </c>
      <c r="E2056" s="152">
        <v>846.09</v>
      </c>
      <c r="F2056" s="152">
        <v>1434.69</v>
      </c>
      <c r="G2056" s="152">
        <v>498.06</v>
      </c>
      <c r="H2056" s="153">
        <v>19554.099999999999</v>
      </c>
      <c r="I2056" s="153">
        <v>9730.39</v>
      </c>
      <c r="J2056" s="153">
        <v>7418.3</v>
      </c>
      <c r="K2056" s="153">
        <v>2405.41</v>
      </c>
      <c r="L2056" s="43">
        <v>7.036785133365</v>
      </c>
      <c r="M2056" s="43">
        <v>11.500419577113545</v>
      </c>
      <c r="N2056" s="43">
        <v>5.1706640458914466</v>
      </c>
      <c r="O2056" s="43">
        <v>4.8295586877083077</v>
      </c>
      <c r="P2056" s="154"/>
      <c r="Q2056" s="154"/>
      <c r="R2056" s="154">
        <v>4</v>
      </c>
    </row>
    <row r="2057" spans="1:18" ht="60">
      <c r="A2057" s="150">
        <v>404</v>
      </c>
      <c r="B2057" s="147" t="s">
        <v>3757</v>
      </c>
      <c r="C2057" s="151" t="s">
        <v>3758</v>
      </c>
      <c r="D2057" s="152">
        <v>4986.1400000000003</v>
      </c>
      <c r="E2057" s="152">
        <v>1327.2</v>
      </c>
      <c r="F2057" s="152">
        <v>2507.61</v>
      </c>
      <c r="G2057" s="152">
        <v>1151.33</v>
      </c>
      <c r="H2057" s="153">
        <v>32951.97</v>
      </c>
      <c r="I2057" s="153">
        <v>15263.36</v>
      </c>
      <c r="J2057" s="153">
        <v>12703.7</v>
      </c>
      <c r="K2057" s="153">
        <v>4984.91</v>
      </c>
      <c r="L2057" s="43">
        <v>6.6087133534156681</v>
      </c>
      <c r="M2057" s="43">
        <v>11.50042194092827</v>
      </c>
      <c r="N2057" s="43">
        <v>5.0660589166576937</v>
      </c>
      <c r="O2057" s="43">
        <v>4.3296969591689614</v>
      </c>
      <c r="P2057" s="154"/>
      <c r="Q2057" s="154"/>
      <c r="R2057" s="154">
        <v>4</v>
      </c>
    </row>
    <row r="2058" spans="1:18" ht="60">
      <c r="A2058" s="150">
        <v>405</v>
      </c>
      <c r="B2058" s="147" t="s">
        <v>3759</v>
      </c>
      <c r="C2058" s="151" t="s">
        <v>3760</v>
      </c>
      <c r="D2058" s="152">
        <v>3048.83</v>
      </c>
      <c r="E2058" s="152">
        <v>769.28</v>
      </c>
      <c r="F2058" s="152">
        <v>2065.87</v>
      </c>
      <c r="G2058" s="152">
        <v>213.68</v>
      </c>
      <c r="H2058" s="153">
        <v>21806.98</v>
      </c>
      <c r="I2058" s="153">
        <v>8846.7199999999993</v>
      </c>
      <c r="J2058" s="153">
        <v>11622.37</v>
      </c>
      <c r="K2058" s="153">
        <v>1337.89</v>
      </c>
      <c r="L2058" s="43">
        <v>7.1525732822098966</v>
      </c>
      <c r="M2058" s="43">
        <v>11.5</v>
      </c>
      <c r="N2058" s="43">
        <v>5.6258961115655879</v>
      </c>
      <c r="O2058" s="43">
        <v>6.2611849494571326</v>
      </c>
      <c r="P2058" s="154"/>
      <c r="Q2058" s="154"/>
      <c r="R2058" s="154">
        <v>4</v>
      </c>
    </row>
    <row r="2059" spans="1:18" ht="60">
      <c r="A2059" s="150">
        <v>406</v>
      </c>
      <c r="B2059" s="147" t="s">
        <v>3761</v>
      </c>
      <c r="C2059" s="151" t="s">
        <v>3762</v>
      </c>
      <c r="D2059" s="152">
        <v>4600.72</v>
      </c>
      <c r="E2059" s="152">
        <v>1400.4</v>
      </c>
      <c r="F2059" s="152">
        <v>2852.95</v>
      </c>
      <c r="G2059" s="152">
        <v>347.37</v>
      </c>
      <c r="H2059" s="153">
        <v>33556.959999999999</v>
      </c>
      <c r="I2059" s="153">
        <v>16105.2</v>
      </c>
      <c r="J2059" s="153">
        <v>15478.43</v>
      </c>
      <c r="K2059" s="153">
        <v>1973.33</v>
      </c>
      <c r="L2059" s="43">
        <v>7.2938496583143504</v>
      </c>
      <c r="M2059" s="43">
        <v>11.500428449014567</v>
      </c>
      <c r="N2059" s="43">
        <v>5.4254122925393018</v>
      </c>
      <c r="O2059" s="43">
        <v>5.6807726631545608</v>
      </c>
      <c r="P2059" s="154"/>
      <c r="Q2059" s="154"/>
      <c r="R2059" s="154">
        <v>4</v>
      </c>
    </row>
    <row r="2060" spans="1:18" ht="60">
      <c r="A2060" s="150">
        <v>407</v>
      </c>
      <c r="B2060" s="147" t="s">
        <v>3763</v>
      </c>
      <c r="C2060" s="151" t="s">
        <v>3764</v>
      </c>
      <c r="D2060" s="152">
        <v>3663.68</v>
      </c>
      <c r="E2060" s="152">
        <v>1208.7</v>
      </c>
      <c r="F2060" s="152">
        <v>1875.65</v>
      </c>
      <c r="G2060" s="152">
        <v>579.33000000000004</v>
      </c>
      <c r="H2060" s="153">
        <v>26296.59</v>
      </c>
      <c r="I2060" s="153">
        <v>13900.56</v>
      </c>
      <c r="J2060" s="153">
        <v>9575.69</v>
      </c>
      <c r="K2060" s="153">
        <v>2820.34</v>
      </c>
      <c r="L2060" s="43">
        <v>7.1776437898506424</v>
      </c>
      <c r="M2060" s="43">
        <v>11.50042194092827</v>
      </c>
      <c r="N2060" s="43">
        <v>5.1052648415216062</v>
      </c>
      <c r="O2060" s="43">
        <v>4.8682788738715415</v>
      </c>
      <c r="P2060" s="154"/>
      <c r="Q2060" s="154"/>
      <c r="R2060" s="154">
        <v>4</v>
      </c>
    </row>
    <row r="2061" spans="1:18" ht="60">
      <c r="A2061" s="150">
        <v>408</v>
      </c>
      <c r="B2061" s="147" t="s">
        <v>3765</v>
      </c>
      <c r="C2061" s="151" t="s">
        <v>3766</v>
      </c>
      <c r="D2061" s="152">
        <v>3889.34</v>
      </c>
      <c r="E2061" s="152">
        <v>1406.34</v>
      </c>
      <c r="F2061" s="152">
        <v>1853.05</v>
      </c>
      <c r="G2061" s="152">
        <v>629.95000000000005</v>
      </c>
      <c r="H2061" s="153">
        <v>28511.84</v>
      </c>
      <c r="I2061" s="153">
        <v>16172.91</v>
      </c>
      <c r="J2061" s="153">
        <v>9241.5499999999993</v>
      </c>
      <c r="K2061" s="153">
        <v>3097.38</v>
      </c>
      <c r="L2061" s="43">
        <v>7.3307656311867824</v>
      </c>
      <c r="M2061" s="43">
        <v>11.5</v>
      </c>
      <c r="N2061" s="43">
        <v>4.9872102749521057</v>
      </c>
      <c r="O2061" s="43">
        <v>4.9168664179696799</v>
      </c>
      <c r="P2061" s="154"/>
      <c r="Q2061" s="154"/>
      <c r="R2061" s="154">
        <v>4</v>
      </c>
    </row>
    <row r="2062" spans="1:18" ht="60">
      <c r="A2062" s="150">
        <v>409</v>
      </c>
      <c r="B2062" s="147" t="s">
        <v>3767</v>
      </c>
      <c r="C2062" s="151" t="s">
        <v>3768</v>
      </c>
      <c r="D2062" s="152">
        <v>6056.52</v>
      </c>
      <c r="E2062" s="152">
        <v>1608.6</v>
      </c>
      <c r="F2062" s="152">
        <v>3916.45</v>
      </c>
      <c r="G2062" s="152">
        <v>531.47</v>
      </c>
      <c r="H2062" s="153">
        <v>42002.45</v>
      </c>
      <c r="I2062" s="153">
        <v>18499.599999999999</v>
      </c>
      <c r="J2062" s="153">
        <v>20731.689999999999</v>
      </c>
      <c r="K2062" s="153">
        <v>2771.16</v>
      </c>
      <c r="L2062" s="43">
        <v>6.935079880855672</v>
      </c>
      <c r="M2062" s="43">
        <v>11.500435161009573</v>
      </c>
      <c r="N2062" s="43">
        <v>5.2934902781856019</v>
      </c>
      <c r="O2062" s="43">
        <v>5.2141419082920946</v>
      </c>
      <c r="P2062" s="154"/>
      <c r="Q2062" s="154"/>
      <c r="R2062" s="154">
        <v>4</v>
      </c>
    </row>
    <row r="2063" spans="1:18" ht="60">
      <c r="A2063" s="150">
        <v>410</v>
      </c>
      <c r="B2063" s="147" t="s">
        <v>3769</v>
      </c>
      <c r="C2063" s="151" t="s">
        <v>3770</v>
      </c>
      <c r="D2063" s="152">
        <v>3580.55</v>
      </c>
      <c r="E2063" s="152">
        <v>1189.98</v>
      </c>
      <c r="F2063" s="152">
        <v>1933.63</v>
      </c>
      <c r="G2063" s="152">
        <v>456.94</v>
      </c>
      <c r="H2063" s="153">
        <v>25753.03</v>
      </c>
      <c r="I2063" s="153">
        <v>13684.77</v>
      </c>
      <c r="J2063" s="153">
        <v>9762.11</v>
      </c>
      <c r="K2063" s="153">
        <v>2306.15</v>
      </c>
      <c r="L2063" s="43">
        <v>7.1924788091215026</v>
      </c>
      <c r="M2063" s="43">
        <v>11.5</v>
      </c>
      <c r="N2063" s="43">
        <v>5.0485925435579713</v>
      </c>
      <c r="O2063" s="43">
        <v>5.0469427058257104</v>
      </c>
      <c r="P2063" s="154"/>
      <c r="Q2063" s="154"/>
      <c r="R2063" s="154">
        <v>4</v>
      </c>
    </row>
    <row r="2064" spans="1:18" ht="60">
      <c r="A2064" s="150">
        <v>411</v>
      </c>
      <c r="B2064" s="147" t="s">
        <v>3771</v>
      </c>
      <c r="C2064" s="151" t="s">
        <v>3772</v>
      </c>
      <c r="D2064" s="152">
        <v>5418.8</v>
      </c>
      <c r="E2064" s="152">
        <v>1267.95</v>
      </c>
      <c r="F2064" s="152">
        <v>2323.0100000000002</v>
      </c>
      <c r="G2064" s="152">
        <v>1827.84</v>
      </c>
      <c r="H2064" s="153">
        <v>33986.9</v>
      </c>
      <c r="I2064" s="153">
        <v>14581.96</v>
      </c>
      <c r="J2064" s="153">
        <v>11559.67</v>
      </c>
      <c r="K2064" s="153">
        <v>7845.27</v>
      </c>
      <c r="L2064" s="43">
        <v>6.2720343987598728</v>
      </c>
      <c r="M2064" s="43">
        <v>11.50042194092827</v>
      </c>
      <c r="N2064" s="43">
        <v>4.9761602403777854</v>
      </c>
      <c r="O2064" s="43">
        <v>4.2920988707983199</v>
      </c>
      <c r="P2064" s="154"/>
      <c r="Q2064" s="154"/>
      <c r="R2064" s="154">
        <v>4</v>
      </c>
    </row>
    <row r="2065" spans="1:18" ht="48">
      <c r="A2065" s="150">
        <v>412</v>
      </c>
      <c r="B2065" s="147" t="s">
        <v>3773</v>
      </c>
      <c r="C2065" s="151" t="s">
        <v>3774</v>
      </c>
      <c r="D2065" s="152">
        <v>6805.74</v>
      </c>
      <c r="E2065" s="152">
        <v>1016.26</v>
      </c>
      <c r="F2065" s="152">
        <v>2565.5100000000002</v>
      </c>
      <c r="G2065" s="152">
        <v>3223.97</v>
      </c>
      <c r="H2065" s="153">
        <v>40734.35</v>
      </c>
      <c r="I2065" s="153">
        <v>11686.99</v>
      </c>
      <c r="J2065" s="153">
        <v>15785.41</v>
      </c>
      <c r="K2065" s="153">
        <v>13261.95</v>
      </c>
      <c r="L2065" s="43">
        <v>5.9852932965408607</v>
      </c>
      <c r="M2065" s="43">
        <v>11.5</v>
      </c>
      <c r="N2065" s="43">
        <v>6.1529325553203842</v>
      </c>
      <c r="O2065" s="43">
        <v>4.1135463419324623</v>
      </c>
      <c r="P2065" s="154"/>
      <c r="Q2065" s="154"/>
      <c r="R2065" s="154">
        <v>4</v>
      </c>
    </row>
    <row r="2066" spans="1:18" ht="48">
      <c r="A2066" s="150">
        <v>413</v>
      </c>
      <c r="B2066" s="147" t="s">
        <v>3775</v>
      </c>
      <c r="C2066" s="151" t="s">
        <v>3776</v>
      </c>
      <c r="D2066" s="152">
        <v>9866.24</v>
      </c>
      <c r="E2066" s="152">
        <v>2100.6</v>
      </c>
      <c r="F2066" s="152">
        <v>4271.5</v>
      </c>
      <c r="G2066" s="152">
        <v>3494.14</v>
      </c>
      <c r="H2066" s="153">
        <v>60074.7</v>
      </c>
      <c r="I2066" s="153">
        <v>24157.8</v>
      </c>
      <c r="J2066" s="153">
        <v>21080.33</v>
      </c>
      <c r="K2066" s="153">
        <v>14836.57</v>
      </c>
      <c r="L2066" s="43">
        <v>6.0889153314737934</v>
      </c>
      <c r="M2066" s="43">
        <v>11.500428449014567</v>
      </c>
      <c r="N2066" s="43">
        <v>4.9351117874283039</v>
      </c>
      <c r="O2066" s="43">
        <v>4.2461292335166876</v>
      </c>
      <c r="P2066" s="154"/>
      <c r="Q2066" s="154"/>
      <c r="R2066" s="154">
        <v>4</v>
      </c>
    </row>
    <row r="2067" spans="1:18" ht="60">
      <c r="A2067" s="155">
        <v>414</v>
      </c>
      <c r="B2067" s="156" t="s">
        <v>3777</v>
      </c>
      <c r="C2067" s="157" t="s">
        <v>3778</v>
      </c>
      <c r="D2067" s="158">
        <v>11616.93</v>
      </c>
      <c r="E2067" s="158">
        <v>1657.14</v>
      </c>
      <c r="F2067" s="158">
        <v>7075.25</v>
      </c>
      <c r="G2067" s="158">
        <v>2884.54</v>
      </c>
      <c r="H2067" s="159">
        <v>65365.35</v>
      </c>
      <c r="I2067" s="159">
        <v>19057.82</v>
      </c>
      <c r="J2067" s="159">
        <v>34455.65</v>
      </c>
      <c r="K2067" s="159">
        <v>11851.88</v>
      </c>
      <c r="L2067" s="611">
        <v>5.626731847398581</v>
      </c>
      <c r="M2067" s="611">
        <v>11.500428449014567</v>
      </c>
      <c r="N2067" s="611">
        <v>4.8698844563796335</v>
      </c>
      <c r="O2067" s="611">
        <v>4.1087591089047129</v>
      </c>
      <c r="P2067" s="160"/>
      <c r="Q2067" s="160"/>
      <c r="R2067" s="160">
        <v>4</v>
      </c>
    </row>
    <row r="2068" spans="1:18" ht="12.75" customHeight="1">
      <c r="A2068" s="630" t="s">
        <v>3779</v>
      </c>
      <c r="B2068" s="631"/>
      <c r="C2068" s="631"/>
      <c r="D2068" s="631"/>
      <c r="E2068" s="631"/>
      <c r="F2068" s="631"/>
      <c r="G2068" s="631"/>
      <c r="H2068" s="631"/>
      <c r="I2068" s="631"/>
      <c r="J2068" s="631"/>
      <c r="K2068" s="631"/>
      <c r="L2068" s="631"/>
      <c r="M2068" s="631"/>
      <c r="N2068" s="631"/>
      <c r="O2068" s="631"/>
      <c r="P2068" s="631"/>
      <c r="Q2068" s="631"/>
      <c r="R2068" s="631"/>
    </row>
    <row r="2069" spans="1:18" ht="12.75" customHeight="1">
      <c r="A2069" s="628" t="s">
        <v>3780</v>
      </c>
      <c r="B2069" s="629"/>
      <c r="C2069" s="629"/>
      <c r="D2069" s="629"/>
      <c r="E2069" s="629"/>
      <c r="F2069" s="629"/>
      <c r="G2069" s="629"/>
      <c r="H2069" s="629"/>
      <c r="I2069" s="629"/>
      <c r="J2069" s="629"/>
      <c r="K2069" s="629"/>
      <c r="L2069" s="629"/>
      <c r="M2069" s="629"/>
      <c r="N2069" s="629"/>
      <c r="O2069" s="629"/>
      <c r="P2069" s="629"/>
      <c r="Q2069" s="629"/>
      <c r="R2069" s="629"/>
    </row>
    <row r="2070" spans="1:18" ht="12.75" customHeight="1">
      <c r="A2070" s="628" t="s">
        <v>3781</v>
      </c>
      <c r="B2070" s="629"/>
      <c r="C2070" s="629"/>
      <c r="D2070" s="629"/>
      <c r="E2070" s="629"/>
      <c r="F2070" s="629"/>
      <c r="G2070" s="629"/>
      <c r="H2070" s="629"/>
      <c r="I2070" s="629"/>
      <c r="J2070" s="629"/>
      <c r="K2070" s="629"/>
      <c r="L2070" s="629"/>
      <c r="M2070" s="629"/>
      <c r="N2070" s="629"/>
      <c r="O2070" s="629"/>
      <c r="P2070" s="629"/>
      <c r="Q2070" s="629"/>
      <c r="R2070" s="629"/>
    </row>
    <row r="2071" spans="1:18" ht="36">
      <c r="A2071" s="150">
        <v>415</v>
      </c>
      <c r="B2071" s="147" t="s">
        <v>3782</v>
      </c>
      <c r="C2071" s="151" t="s">
        <v>3783</v>
      </c>
      <c r="D2071" s="152">
        <v>10229.790000000001</v>
      </c>
      <c r="E2071" s="152">
        <v>4531.12</v>
      </c>
      <c r="F2071" s="152">
        <v>2274.4699999999998</v>
      </c>
      <c r="G2071" s="152">
        <v>3424.2</v>
      </c>
      <c r="H2071" s="153">
        <v>81645.33</v>
      </c>
      <c r="I2071" s="153">
        <v>52107.88</v>
      </c>
      <c r="J2071" s="153">
        <v>11505.71</v>
      </c>
      <c r="K2071" s="153">
        <v>18031.740000000002</v>
      </c>
      <c r="L2071" s="43">
        <v>7.9811345100925823</v>
      </c>
      <c r="M2071" s="43">
        <v>11.5</v>
      </c>
      <c r="N2071" s="43">
        <v>5.0586334398783013</v>
      </c>
      <c r="O2071" s="43">
        <v>5.2659716138076051</v>
      </c>
      <c r="P2071" s="154"/>
      <c r="Q2071" s="154"/>
      <c r="R2071" s="154">
        <v>1</v>
      </c>
    </row>
    <row r="2072" spans="1:18" ht="36">
      <c r="A2072" s="150">
        <v>416</v>
      </c>
      <c r="B2072" s="147" t="s">
        <v>3784</v>
      </c>
      <c r="C2072" s="151" t="s">
        <v>3785</v>
      </c>
      <c r="D2072" s="152">
        <v>9732.4599999999991</v>
      </c>
      <c r="E2072" s="152">
        <v>4377.03</v>
      </c>
      <c r="F2072" s="152">
        <v>1990.67</v>
      </c>
      <c r="G2072" s="152">
        <v>3364.76</v>
      </c>
      <c r="H2072" s="153">
        <v>78716.69</v>
      </c>
      <c r="I2072" s="153">
        <v>50337.84</v>
      </c>
      <c r="J2072" s="153">
        <v>10139.540000000001</v>
      </c>
      <c r="K2072" s="153">
        <v>18239.310000000001</v>
      </c>
      <c r="L2072" s="43">
        <v>8.0880568735961926</v>
      </c>
      <c r="M2072" s="43">
        <v>11.500455788514129</v>
      </c>
      <c r="N2072" s="43">
        <v>5.0935313236247097</v>
      </c>
      <c r="O2072" s="43">
        <v>5.4206867651779032</v>
      </c>
      <c r="P2072" s="154"/>
      <c r="Q2072" s="154"/>
      <c r="R2072" s="154">
        <v>1</v>
      </c>
    </row>
    <row r="2073" spans="1:18" ht="36">
      <c r="A2073" s="150">
        <v>417</v>
      </c>
      <c r="B2073" s="147" t="s">
        <v>3786</v>
      </c>
      <c r="C2073" s="151" t="s">
        <v>3787</v>
      </c>
      <c r="D2073" s="152">
        <v>7311.44</v>
      </c>
      <c r="E2073" s="152">
        <v>3356.82</v>
      </c>
      <c r="F2073" s="152">
        <v>1593.08</v>
      </c>
      <c r="G2073" s="152">
        <v>2361.54</v>
      </c>
      <c r="H2073" s="153">
        <v>59538.23</v>
      </c>
      <c r="I2073" s="153">
        <v>38604.959999999999</v>
      </c>
      <c r="J2073" s="153">
        <v>8096.28</v>
      </c>
      <c r="K2073" s="153">
        <v>12836.99</v>
      </c>
      <c r="L2073" s="43">
        <v>8.1431605812261338</v>
      </c>
      <c r="M2073" s="43">
        <v>11.500455788514129</v>
      </c>
      <c r="N2073" s="43">
        <v>5.0821553217666411</v>
      </c>
      <c r="O2073" s="43">
        <v>5.4358554163808366</v>
      </c>
      <c r="P2073" s="154"/>
      <c r="Q2073" s="154"/>
      <c r="R2073" s="154">
        <v>1</v>
      </c>
    </row>
    <row r="2074" spans="1:18" ht="36">
      <c r="A2074" s="150">
        <v>418</v>
      </c>
      <c r="B2074" s="147" t="s">
        <v>3788</v>
      </c>
      <c r="C2074" s="151" t="s">
        <v>3789</v>
      </c>
      <c r="D2074" s="152">
        <v>5336.44</v>
      </c>
      <c r="E2074" s="152">
        <v>2446.31</v>
      </c>
      <c r="F2074" s="152">
        <v>1215.1099999999999</v>
      </c>
      <c r="G2074" s="152">
        <v>1675.02</v>
      </c>
      <c r="H2074" s="153">
        <v>43515.839999999997</v>
      </c>
      <c r="I2074" s="153">
        <v>28133.68</v>
      </c>
      <c r="J2074" s="153">
        <v>6178.16</v>
      </c>
      <c r="K2074" s="153">
        <v>9204</v>
      </c>
      <c r="L2074" s="43">
        <v>8.154470021212644</v>
      </c>
      <c r="M2074" s="43">
        <v>11.500455788514129</v>
      </c>
      <c r="N2074" s="43">
        <v>5.0844450296680961</v>
      </c>
      <c r="O2074" s="43">
        <v>5.4948597628685034</v>
      </c>
      <c r="P2074" s="154"/>
      <c r="Q2074" s="154"/>
      <c r="R2074" s="154">
        <v>1</v>
      </c>
    </row>
    <row r="2075" spans="1:18" ht="36">
      <c r="A2075" s="150">
        <v>419</v>
      </c>
      <c r="B2075" s="147" t="s">
        <v>3790</v>
      </c>
      <c r="C2075" s="151" t="s">
        <v>3791</v>
      </c>
      <c r="D2075" s="152">
        <v>4444.28</v>
      </c>
      <c r="E2075" s="152">
        <v>2027.08</v>
      </c>
      <c r="F2075" s="152">
        <v>1105.6099999999999</v>
      </c>
      <c r="G2075" s="152">
        <v>1311.59</v>
      </c>
      <c r="H2075" s="153">
        <v>36138.29</v>
      </c>
      <c r="I2075" s="153">
        <v>23311.42</v>
      </c>
      <c r="J2075" s="153">
        <v>5622.73</v>
      </c>
      <c r="K2075" s="153">
        <v>7204.14</v>
      </c>
      <c r="L2075" s="43">
        <v>8.1314161123961597</v>
      </c>
      <c r="M2075" s="43">
        <v>11.5</v>
      </c>
      <c r="N2075" s="43">
        <v>5.0856359837555738</v>
      </c>
      <c r="O2075" s="43">
        <v>5.4926768273622102</v>
      </c>
      <c r="P2075" s="154"/>
      <c r="Q2075" s="154"/>
      <c r="R2075" s="154">
        <v>1</v>
      </c>
    </row>
    <row r="2076" spans="1:18" ht="36">
      <c r="A2076" s="150">
        <v>420</v>
      </c>
      <c r="B2076" s="147" t="s">
        <v>3792</v>
      </c>
      <c r="C2076" s="151" t="s">
        <v>3793</v>
      </c>
      <c r="D2076" s="152">
        <v>4043.23</v>
      </c>
      <c r="E2076" s="152">
        <v>1777.76</v>
      </c>
      <c r="F2076" s="152">
        <v>900.05</v>
      </c>
      <c r="G2076" s="152">
        <v>1365.42</v>
      </c>
      <c r="H2076" s="153">
        <v>32380.75</v>
      </c>
      <c r="I2076" s="153">
        <v>20444.240000000002</v>
      </c>
      <c r="J2076" s="153">
        <v>4566.47</v>
      </c>
      <c r="K2076" s="153">
        <v>7370.04</v>
      </c>
      <c r="L2076" s="43">
        <v>8.008634186034433</v>
      </c>
      <c r="M2076" s="43">
        <v>11.500000000000002</v>
      </c>
      <c r="N2076" s="43">
        <v>5.0735736903505364</v>
      </c>
      <c r="O2076" s="43">
        <v>5.3976358922529331</v>
      </c>
      <c r="P2076" s="154"/>
      <c r="Q2076" s="154"/>
      <c r="R2076" s="154">
        <v>1</v>
      </c>
    </row>
    <row r="2077" spans="1:18" ht="36">
      <c r="A2077" s="150">
        <v>421</v>
      </c>
      <c r="B2077" s="147" t="s">
        <v>3794</v>
      </c>
      <c r="C2077" s="151" t="s">
        <v>3795</v>
      </c>
      <c r="D2077" s="152">
        <v>3305.75</v>
      </c>
      <c r="E2077" s="152">
        <v>1582.64</v>
      </c>
      <c r="F2077" s="152">
        <v>817.18</v>
      </c>
      <c r="G2077" s="152">
        <v>905.93</v>
      </c>
      <c r="H2077" s="153">
        <v>27250.12</v>
      </c>
      <c r="I2077" s="153">
        <v>18200.36</v>
      </c>
      <c r="J2077" s="153">
        <v>4159.83</v>
      </c>
      <c r="K2077" s="153">
        <v>4889.93</v>
      </c>
      <c r="L2077" s="43">
        <v>8.2432488845193976</v>
      </c>
      <c r="M2077" s="43">
        <v>11.5</v>
      </c>
      <c r="N2077" s="43">
        <v>5.0904696639663234</v>
      </c>
      <c r="O2077" s="43">
        <v>5.3976907708101072</v>
      </c>
      <c r="P2077" s="154"/>
      <c r="Q2077" s="154"/>
      <c r="R2077" s="154">
        <v>1</v>
      </c>
    </row>
    <row r="2078" spans="1:18" ht="36">
      <c r="A2078" s="150">
        <v>422</v>
      </c>
      <c r="B2078" s="147" t="s">
        <v>3796</v>
      </c>
      <c r="C2078" s="151" t="s">
        <v>3797</v>
      </c>
      <c r="D2078" s="152">
        <v>20116.099999999999</v>
      </c>
      <c r="E2078" s="152">
        <v>8991</v>
      </c>
      <c r="F2078" s="152">
        <v>3515.01</v>
      </c>
      <c r="G2078" s="152">
        <v>7610.09</v>
      </c>
      <c r="H2078" s="153">
        <v>162943.32</v>
      </c>
      <c r="I2078" s="153">
        <v>103396.5</v>
      </c>
      <c r="J2078" s="153">
        <v>17784.66</v>
      </c>
      <c r="K2078" s="153">
        <v>41762.160000000003</v>
      </c>
      <c r="L2078" s="43">
        <v>8.1001446602472651</v>
      </c>
      <c r="M2078" s="43">
        <v>11.5</v>
      </c>
      <c r="N2078" s="43">
        <v>5.0596328317700374</v>
      </c>
      <c r="O2078" s="43">
        <v>5.4877353618682569</v>
      </c>
      <c r="P2078" s="154"/>
      <c r="Q2078" s="154"/>
      <c r="R2078" s="154">
        <v>1</v>
      </c>
    </row>
    <row r="2079" spans="1:18" ht="36">
      <c r="A2079" s="150">
        <v>423</v>
      </c>
      <c r="B2079" s="147" t="s">
        <v>3798</v>
      </c>
      <c r="C2079" s="151" t="s">
        <v>3799</v>
      </c>
      <c r="D2079" s="152">
        <v>12373.97</v>
      </c>
      <c r="E2079" s="152">
        <v>5605.67</v>
      </c>
      <c r="F2079" s="152">
        <v>2289.17</v>
      </c>
      <c r="G2079" s="152">
        <v>4479.13</v>
      </c>
      <c r="H2079" s="153">
        <v>101432.79</v>
      </c>
      <c r="I2079" s="153">
        <v>64467.76</v>
      </c>
      <c r="J2079" s="153">
        <v>11565.89</v>
      </c>
      <c r="K2079" s="153">
        <v>25399.14</v>
      </c>
      <c r="L2079" s="43">
        <v>8.197271368849286</v>
      </c>
      <c r="M2079" s="43">
        <v>11.500455788514129</v>
      </c>
      <c r="N2079" s="43">
        <v>5.0524382199661879</v>
      </c>
      <c r="O2079" s="43">
        <v>5.670552093821791</v>
      </c>
      <c r="P2079" s="154"/>
      <c r="Q2079" s="154"/>
      <c r="R2079" s="154">
        <v>1</v>
      </c>
    </row>
    <row r="2080" spans="1:18" ht="36">
      <c r="A2080" s="150">
        <v>424</v>
      </c>
      <c r="B2080" s="147" t="s">
        <v>3800</v>
      </c>
      <c r="C2080" s="151" t="s">
        <v>3801</v>
      </c>
      <c r="D2080" s="152">
        <v>10582.55</v>
      </c>
      <c r="E2080" s="152">
        <v>4650.8999999999996</v>
      </c>
      <c r="F2080" s="152">
        <v>2007.73</v>
      </c>
      <c r="G2080" s="152">
        <v>3923.92</v>
      </c>
      <c r="H2080" s="153">
        <v>85215.4</v>
      </c>
      <c r="I2080" s="153">
        <v>53485.35</v>
      </c>
      <c r="J2080" s="153">
        <v>10210.99</v>
      </c>
      <c r="K2080" s="153">
        <v>21519.06</v>
      </c>
      <c r="L2080" s="43">
        <v>8.0524448266249635</v>
      </c>
      <c r="M2080" s="43">
        <v>11.5</v>
      </c>
      <c r="N2080" s="43">
        <v>5.0858382352208711</v>
      </c>
      <c r="O2080" s="43">
        <v>5.4840720503985816</v>
      </c>
      <c r="P2080" s="154"/>
      <c r="Q2080" s="154"/>
      <c r="R2080" s="154">
        <v>1</v>
      </c>
    </row>
    <row r="2081" spans="1:18" ht="36">
      <c r="A2081" s="150">
        <v>425</v>
      </c>
      <c r="B2081" s="147" t="s">
        <v>3802</v>
      </c>
      <c r="C2081" s="151" t="s">
        <v>3803</v>
      </c>
      <c r="D2081" s="152">
        <v>5254.31</v>
      </c>
      <c r="E2081" s="152">
        <v>2297.6999999999998</v>
      </c>
      <c r="F2081" s="152">
        <v>1100.1600000000001</v>
      </c>
      <c r="G2081" s="152">
        <v>1856.45</v>
      </c>
      <c r="H2081" s="153">
        <v>42192.42</v>
      </c>
      <c r="I2081" s="153">
        <v>26423.55</v>
      </c>
      <c r="J2081" s="153">
        <v>5599.47</v>
      </c>
      <c r="K2081" s="153">
        <v>10169.4</v>
      </c>
      <c r="L2081" s="43">
        <v>8.030059132407489</v>
      </c>
      <c r="M2081" s="43">
        <v>11.5</v>
      </c>
      <c r="N2081" s="43">
        <v>5.0896869546247814</v>
      </c>
      <c r="O2081" s="43">
        <v>5.477874437771014</v>
      </c>
      <c r="P2081" s="154"/>
      <c r="Q2081" s="154"/>
      <c r="R2081" s="154">
        <v>1</v>
      </c>
    </row>
    <row r="2082" spans="1:18" ht="36">
      <c r="A2082" s="150">
        <v>426</v>
      </c>
      <c r="B2082" s="147" t="s">
        <v>3804</v>
      </c>
      <c r="C2082" s="151" t="s">
        <v>3805</v>
      </c>
      <c r="D2082" s="152">
        <v>4194.7</v>
      </c>
      <c r="E2082" s="152">
        <v>1953.6</v>
      </c>
      <c r="F2082" s="152">
        <v>891.11</v>
      </c>
      <c r="G2082" s="152">
        <v>1349.99</v>
      </c>
      <c r="H2082" s="153">
        <v>34738.400000000001</v>
      </c>
      <c r="I2082" s="153">
        <v>22466.400000000001</v>
      </c>
      <c r="J2082" s="153">
        <v>4541.51</v>
      </c>
      <c r="K2082" s="153">
        <v>7730.49</v>
      </c>
      <c r="L2082" s="43">
        <v>8.2814980809116268</v>
      </c>
      <c r="M2082" s="43">
        <v>11.500000000000002</v>
      </c>
      <c r="N2082" s="43">
        <v>5.0964639606782551</v>
      </c>
      <c r="O2082" s="43">
        <v>5.7263313061578236</v>
      </c>
      <c r="P2082" s="154"/>
      <c r="Q2082" s="154"/>
      <c r="R2082" s="154">
        <v>1</v>
      </c>
    </row>
    <row r="2083" spans="1:18" ht="36">
      <c r="A2083" s="150">
        <v>427</v>
      </c>
      <c r="B2083" s="147" t="s">
        <v>3806</v>
      </c>
      <c r="C2083" s="151" t="s">
        <v>3807</v>
      </c>
      <c r="D2083" s="152">
        <v>3635.39</v>
      </c>
      <c r="E2083" s="152">
        <v>1612.59</v>
      </c>
      <c r="F2083" s="152">
        <v>811.49</v>
      </c>
      <c r="G2083" s="152">
        <v>1211.31</v>
      </c>
      <c r="H2083" s="153">
        <v>29333.91</v>
      </c>
      <c r="I2083" s="153">
        <v>18545.52</v>
      </c>
      <c r="J2083" s="153">
        <v>4135.97</v>
      </c>
      <c r="K2083" s="153">
        <v>6652.42</v>
      </c>
      <c r="L2083" s="43">
        <v>8.0689857209267792</v>
      </c>
      <c r="M2083" s="43">
        <v>11.500455788514131</v>
      </c>
      <c r="N2083" s="43">
        <v>5.0967602804717247</v>
      </c>
      <c r="O2083" s="43">
        <v>5.4919219687776044</v>
      </c>
      <c r="P2083" s="154"/>
      <c r="Q2083" s="154"/>
      <c r="R2083" s="154">
        <v>1</v>
      </c>
    </row>
    <row r="2084" spans="1:18" ht="36">
      <c r="A2084" s="150">
        <v>428</v>
      </c>
      <c r="B2084" s="147" t="s">
        <v>3808</v>
      </c>
      <c r="C2084" s="151" t="s">
        <v>3809</v>
      </c>
      <c r="D2084" s="152">
        <v>3143.02</v>
      </c>
      <c r="E2084" s="152">
        <v>1404.16</v>
      </c>
      <c r="F2084" s="152">
        <v>724.6</v>
      </c>
      <c r="G2084" s="152">
        <v>1014.26</v>
      </c>
      <c r="H2084" s="153">
        <v>25669.95</v>
      </c>
      <c r="I2084" s="153">
        <v>16148.48</v>
      </c>
      <c r="J2084" s="153">
        <v>3696.28</v>
      </c>
      <c r="K2084" s="153">
        <v>5825.19</v>
      </c>
      <c r="L2084" s="43">
        <v>8.1672881496140661</v>
      </c>
      <c r="M2084" s="43">
        <v>11.500455788514129</v>
      </c>
      <c r="N2084" s="43">
        <v>5.1011316588462599</v>
      </c>
      <c r="O2084" s="43">
        <v>5.7432906749748582</v>
      </c>
      <c r="P2084" s="154"/>
      <c r="Q2084" s="154"/>
      <c r="R2084" s="154">
        <v>1</v>
      </c>
    </row>
    <row r="2085" spans="1:18" ht="36">
      <c r="A2085" s="150">
        <v>429</v>
      </c>
      <c r="B2085" s="147" t="s">
        <v>3810</v>
      </c>
      <c r="C2085" s="151" t="s">
        <v>3811</v>
      </c>
      <c r="D2085" s="152">
        <v>14534.74</v>
      </c>
      <c r="E2085" s="152">
        <v>6660</v>
      </c>
      <c r="F2085" s="152">
        <v>2353.5300000000002</v>
      </c>
      <c r="G2085" s="152">
        <v>5521.21</v>
      </c>
      <c r="H2085" s="153">
        <v>118881.8</v>
      </c>
      <c r="I2085" s="153">
        <v>76590</v>
      </c>
      <c r="J2085" s="153">
        <v>11853.33</v>
      </c>
      <c r="K2085" s="153">
        <v>30438.47</v>
      </c>
      <c r="L2085" s="43">
        <v>8.1791487154224978</v>
      </c>
      <c r="M2085" s="43">
        <v>11.5</v>
      </c>
      <c r="N2085" s="43">
        <v>5.0364048896763585</v>
      </c>
      <c r="O2085" s="43">
        <v>5.5130071125713389</v>
      </c>
      <c r="P2085" s="154"/>
      <c r="Q2085" s="154"/>
      <c r="R2085" s="154">
        <v>1</v>
      </c>
    </row>
    <row r="2086" spans="1:18" ht="36">
      <c r="A2086" s="150">
        <v>430</v>
      </c>
      <c r="B2086" s="147" t="s">
        <v>3812</v>
      </c>
      <c r="C2086" s="151" t="s">
        <v>3813</v>
      </c>
      <c r="D2086" s="152">
        <v>8407.6</v>
      </c>
      <c r="E2086" s="152">
        <v>3762.71</v>
      </c>
      <c r="F2086" s="152">
        <v>1590.88</v>
      </c>
      <c r="G2086" s="152">
        <v>3054.01</v>
      </c>
      <c r="H2086" s="153">
        <v>68821.740000000005</v>
      </c>
      <c r="I2086" s="153">
        <v>43272.88</v>
      </c>
      <c r="J2086" s="153">
        <v>8086.9</v>
      </c>
      <c r="K2086" s="153">
        <v>17461.96</v>
      </c>
      <c r="L2086" s="43">
        <v>8.1856582139968594</v>
      </c>
      <c r="M2086" s="43">
        <v>11.500455788514129</v>
      </c>
      <c r="N2086" s="43">
        <v>5.0832872372523381</v>
      </c>
      <c r="O2086" s="43">
        <v>5.7177153971336043</v>
      </c>
      <c r="P2086" s="154"/>
      <c r="Q2086" s="154"/>
      <c r="R2086" s="154">
        <v>1</v>
      </c>
    </row>
    <row r="2087" spans="1:18" ht="36">
      <c r="A2087" s="150">
        <v>431</v>
      </c>
      <c r="B2087" s="147" t="s">
        <v>3814</v>
      </c>
      <c r="C2087" s="151" t="s">
        <v>3815</v>
      </c>
      <c r="D2087" s="152">
        <v>7581.25</v>
      </c>
      <c r="E2087" s="152">
        <v>3219</v>
      </c>
      <c r="F2087" s="152">
        <v>1423.44</v>
      </c>
      <c r="G2087" s="152">
        <v>2938.81</v>
      </c>
      <c r="H2087" s="153">
        <v>60350.49</v>
      </c>
      <c r="I2087" s="153">
        <v>37018.5</v>
      </c>
      <c r="J2087" s="153">
        <v>7235.79</v>
      </c>
      <c r="K2087" s="153">
        <v>16096.2</v>
      </c>
      <c r="L2087" s="43">
        <v>7.9604933223413026</v>
      </c>
      <c r="M2087" s="43">
        <v>11.5</v>
      </c>
      <c r="N2087" s="43">
        <v>5.0833122576294043</v>
      </c>
      <c r="O2087" s="43">
        <v>5.4771148866377892</v>
      </c>
      <c r="P2087" s="154"/>
      <c r="Q2087" s="154"/>
      <c r="R2087" s="154">
        <v>1</v>
      </c>
    </row>
    <row r="2088" spans="1:18" ht="36">
      <c r="A2088" s="150">
        <v>432</v>
      </c>
      <c r="B2088" s="147" t="s">
        <v>3816</v>
      </c>
      <c r="C2088" s="151" t="s">
        <v>3817</v>
      </c>
      <c r="D2088" s="152">
        <v>4663.63</v>
      </c>
      <c r="E2088" s="152">
        <v>2264.4</v>
      </c>
      <c r="F2088" s="152">
        <v>1038.0999999999999</v>
      </c>
      <c r="G2088" s="152">
        <v>1361.13</v>
      </c>
      <c r="H2088" s="153">
        <v>39256.82</v>
      </c>
      <c r="I2088" s="153">
        <v>26040.6</v>
      </c>
      <c r="J2088" s="153">
        <v>5280.43</v>
      </c>
      <c r="K2088" s="153">
        <v>7935.79</v>
      </c>
      <c r="L2088" s="43">
        <v>8.417653201476103</v>
      </c>
      <c r="M2088" s="43">
        <v>11.499999999999998</v>
      </c>
      <c r="N2088" s="43">
        <v>5.0866294191311052</v>
      </c>
      <c r="O2088" s="43">
        <v>5.8302954163085081</v>
      </c>
      <c r="P2088" s="154"/>
      <c r="Q2088" s="154"/>
      <c r="R2088" s="154">
        <v>1</v>
      </c>
    </row>
    <row r="2089" spans="1:18" ht="36">
      <c r="A2089" s="150">
        <v>433</v>
      </c>
      <c r="B2089" s="147" t="s">
        <v>3818</v>
      </c>
      <c r="C2089" s="151" t="s">
        <v>3819</v>
      </c>
      <c r="D2089" s="152">
        <v>6731.76</v>
      </c>
      <c r="E2089" s="152">
        <v>3130.2</v>
      </c>
      <c r="F2089" s="152">
        <v>1105.32</v>
      </c>
      <c r="G2089" s="152">
        <v>2496.2399999999998</v>
      </c>
      <c r="H2089" s="153">
        <v>55683.56</v>
      </c>
      <c r="I2089" s="153">
        <v>35997.300000000003</v>
      </c>
      <c r="J2089" s="153">
        <v>5620.26</v>
      </c>
      <c r="K2089" s="153">
        <v>14066</v>
      </c>
      <c r="L2089" s="43">
        <v>8.2717684528266009</v>
      </c>
      <c r="M2089" s="43">
        <v>11.500000000000002</v>
      </c>
      <c r="N2089" s="43">
        <v>5.0847356421669749</v>
      </c>
      <c r="O2089" s="43">
        <v>5.6348748517770728</v>
      </c>
      <c r="P2089" s="154"/>
      <c r="Q2089" s="154"/>
      <c r="R2089" s="154">
        <v>1</v>
      </c>
    </row>
    <row r="2090" spans="1:18" ht="36">
      <c r="A2090" s="150">
        <v>434</v>
      </c>
      <c r="B2090" s="147" t="s">
        <v>3820</v>
      </c>
      <c r="C2090" s="151" t="s">
        <v>3821</v>
      </c>
      <c r="D2090" s="152">
        <v>5224.57</v>
      </c>
      <c r="E2090" s="152">
        <v>2391.46</v>
      </c>
      <c r="F2090" s="152">
        <v>906.2</v>
      </c>
      <c r="G2090" s="152">
        <v>1926.91</v>
      </c>
      <c r="H2090" s="153">
        <v>42808.26</v>
      </c>
      <c r="I2090" s="153">
        <v>27502.880000000001</v>
      </c>
      <c r="J2090" s="153">
        <v>4610.8599999999997</v>
      </c>
      <c r="K2090" s="153">
        <v>10694.52</v>
      </c>
      <c r="L2090" s="43">
        <v>8.1936427304065216</v>
      </c>
      <c r="M2090" s="43">
        <v>11.500455788514129</v>
      </c>
      <c r="N2090" s="43">
        <v>5.088126241447803</v>
      </c>
      <c r="O2090" s="43">
        <v>5.5500879646688217</v>
      </c>
      <c r="P2090" s="154"/>
      <c r="Q2090" s="154"/>
      <c r="R2090" s="154">
        <v>1</v>
      </c>
    </row>
    <row r="2091" spans="1:18" ht="36">
      <c r="A2091" s="150">
        <v>435</v>
      </c>
      <c r="B2091" s="147" t="s">
        <v>3822</v>
      </c>
      <c r="C2091" s="151" t="s">
        <v>3823</v>
      </c>
      <c r="D2091" s="152">
        <v>4544.38</v>
      </c>
      <c r="E2091" s="152">
        <v>2342.1</v>
      </c>
      <c r="F2091" s="152">
        <v>671.8</v>
      </c>
      <c r="G2091" s="152">
        <v>1530.48</v>
      </c>
      <c r="H2091" s="153">
        <v>38960.050000000003</v>
      </c>
      <c r="I2091" s="153">
        <v>26934.15</v>
      </c>
      <c r="J2091" s="153">
        <v>3377.26</v>
      </c>
      <c r="K2091" s="153">
        <v>8648.64</v>
      </c>
      <c r="L2091" s="43">
        <v>8.5732377133954465</v>
      </c>
      <c r="M2091" s="43">
        <v>11.500000000000002</v>
      </c>
      <c r="N2091" s="43">
        <v>5.0271807085442104</v>
      </c>
      <c r="O2091" s="43">
        <v>5.6509330406147082</v>
      </c>
      <c r="P2091" s="154"/>
      <c r="Q2091" s="154"/>
      <c r="R2091" s="154">
        <v>1</v>
      </c>
    </row>
    <row r="2092" spans="1:18" ht="36">
      <c r="A2092" s="150">
        <v>436</v>
      </c>
      <c r="B2092" s="147" t="s">
        <v>3824</v>
      </c>
      <c r="C2092" s="151" t="s">
        <v>3825</v>
      </c>
      <c r="D2092" s="152">
        <v>2736.91</v>
      </c>
      <c r="E2092" s="152">
        <v>1192.4000000000001</v>
      </c>
      <c r="F2092" s="152">
        <v>511.13</v>
      </c>
      <c r="G2092" s="152">
        <v>1033.3800000000001</v>
      </c>
      <c r="H2092" s="153">
        <v>22037.72</v>
      </c>
      <c r="I2092" s="153">
        <v>13712.6</v>
      </c>
      <c r="J2092" s="153">
        <v>2606.84</v>
      </c>
      <c r="K2092" s="153">
        <v>5718.28</v>
      </c>
      <c r="L2092" s="43">
        <v>8.0520440935215269</v>
      </c>
      <c r="M2092" s="43">
        <v>11.5</v>
      </c>
      <c r="N2092" s="43">
        <v>5.1001506466065392</v>
      </c>
      <c r="O2092" s="43">
        <v>5.5335694517021805</v>
      </c>
      <c r="P2092" s="154"/>
      <c r="Q2092" s="154"/>
      <c r="R2092" s="154">
        <v>1</v>
      </c>
    </row>
    <row r="2093" spans="1:18" ht="36">
      <c r="A2093" s="150">
        <v>437</v>
      </c>
      <c r="B2093" s="147" t="s">
        <v>3826</v>
      </c>
      <c r="C2093" s="151" t="s">
        <v>3827</v>
      </c>
      <c r="D2093" s="152">
        <v>5338.88</v>
      </c>
      <c r="E2093" s="152">
        <v>2742.52</v>
      </c>
      <c r="F2093" s="152">
        <v>1103.33</v>
      </c>
      <c r="G2093" s="152">
        <v>1493.03</v>
      </c>
      <c r="H2093" s="153">
        <v>45593.72</v>
      </c>
      <c r="I2093" s="153">
        <v>31538.98</v>
      </c>
      <c r="J2093" s="153">
        <v>5609.59</v>
      </c>
      <c r="K2093" s="153">
        <v>8445.15</v>
      </c>
      <c r="L2093" s="43">
        <v>8.5399409614001431</v>
      </c>
      <c r="M2093" s="43">
        <v>11.5</v>
      </c>
      <c r="N2093" s="43">
        <v>5.0842359040359639</v>
      </c>
      <c r="O2093" s="43">
        <v>5.6563833278634723</v>
      </c>
      <c r="P2093" s="154"/>
      <c r="Q2093" s="154"/>
      <c r="R2093" s="154">
        <v>1</v>
      </c>
    </row>
    <row r="2094" spans="1:18" ht="36">
      <c r="A2094" s="150">
        <v>438</v>
      </c>
      <c r="B2094" s="147" t="s">
        <v>3828</v>
      </c>
      <c r="C2094" s="151" t="s">
        <v>3829</v>
      </c>
      <c r="D2094" s="152">
        <v>4329.91</v>
      </c>
      <c r="E2094" s="152">
        <v>2128.1799999999998</v>
      </c>
      <c r="F2094" s="152">
        <v>901.35</v>
      </c>
      <c r="G2094" s="152">
        <v>1300.3800000000001</v>
      </c>
      <c r="H2094" s="153">
        <v>36275.57</v>
      </c>
      <c r="I2094" s="153">
        <v>24475.040000000001</v>
      </c>
      <c r="J2094" s="153">
        <v>4573.91</v>
      </c>
      <c r="K2094" s="153">
        <v>7226.62</v>
      </c>
      <c r="L2094" s="43">
        <v>8.3779039287190731</v>
      </c>
      <c r="M2094" s="43">
        <v>11.500455788514131</v>
      </c>
      <c r="N2094" s="43">
        <v>5.0745104565374159</v>
      </c>
      <c r="O2094" s="43">
        <v>5.5573140159030432</v>
      </c>
      <c r="P2094" s="154"/>
      <c r="Q2094" s="154"/>
      <c r="R2094" s="154">
        <v>1</v>
      </c>
    </row>
    <row r="2095" spans="1:18" ht="36">
      <c r="A2095" s="150">
        <v>439</v>
      </c>
      <c r="B2095" s="147" t="s">
        <v>3830</v>
      </c>
      <c r="C2095" s="151" t="s">
        <v>3831</v>
      </c>
      <c r="D2095" s="152">
        <v>3489.81</v>
      </c>
      <c r="E2095" s="152">
        <v>1700.35</v>
      </c>
      <c r="F2095" s="152">
        <v>720.43</v>
      </c>
      <c r="G2095" s="152">
        <v>1069.03</v>
      </c>
      <c r="H2095" s="153">
        <v>29228.31</v>
      </c>
      <c r="I2095" s="153">
        <v>19554.8</v>
      </c>
      <c r="J2095" s="153">
        <v>3694.84</v>
      </c>
      <c r="K2095" s="153">
        <v>5978.67</v>
      </c>
      <c r="L2095" s="43">
        <v>8.3753298890197474</v>
      </c>
      <c r="M2095" s="43">
        <v>11.500455788514129</v>
      </c>
      <c r="N2095" s="43">
        <v>5.12865927293422</v>
      </c>
      <c r="O2095" s="43">
        <v>5.5926119940506815</v>
      </c>
      <c r="P2095" s="154"/>
      <c r="Q2095" s="154"/>
      <c r="R2095" s="154">
        <v>1</v>
      </c>
    </row>
    <row r="2096" spans="1:18" ht="24">
      <c r="A2096" s="150">
        <v>440</v>
      </c>
      <c r="B2096" s="147" t="s">
        <v>3832</v>
      </c>
      <c r="C2096" s="151" t="s">
        <v>3833</v>
      </c>
      <c r="D2096" s="152">
        <v>15465.97</v>
      </c>
      <c r="E2096" s="152">
        <v>3848.2</v>
      </c>
      <c r="F2096" s="152">
        <v>5011.37</v>
      </c>
      <c r="G2096" s="152">
        <v>6606.4</v>
      </c>
      <c r="H2096" s="153">
        <v>96095.94</v>
      </c>
      <c r="I2096" s="153">
        <v>44254.3</v>
      </c>
      <c r="J2096" s="153">
        <v>25383.06</v>
      </c>
      <c r="K2096" s="153">
        <v>26458.58</v>
      </c>
      <c r="L2096" s="43">
        <v>6.2133794388583459</v>
      </c>
      <c r="M2096" s="43">
        <v>11.500000000000002</v>
      </c>
      <c r="N2096" s="43">
        <v>5.0650939762978986</v>
      </c>
      <c r="O2096" s="43">
        <v>4.0049921288447567</v>
      </c>
      <c r="P2096" s="154"/>
      <c r="Q2096" s="154"/>
      <c r="R2096" s="154">
        <v>1</v>
      </c>
    </row>
    <row r="2097" spans="1:18" ht="24">
      <c r="A2097" s="150">
        <v>441</v>
      </c>
      <c r="B2097" s="147" t="s">
        <v>3834</v>
      </c>
      <c r="C2097" s="151" t="s">
        <v>3835</v>
      </c>
      <c r="D2097" s="152">
        <v>8310.26</v>
      </c>
      <c r="E2097" s="152">
        <v>2174.13</v>
      </c>
      <c r="F2097" s="152">
        <v>2619.36</v>
      </c>
      <c r="G2097" s="152">
        <v>3516.77</v>
      </c>
      <c r="H2097" s="153">
        <v>52307.68</v>
      </c>
      <c r="I2097" s="153">
        <v>25003.51</v>
      </c>
      <c r="J2097" s="153">
        <v>13200.47</v>
      </c>
      <c r="K2097" s="153">
        <v>14103.7</v>
      </c>
      <c r="L2097" s="43">
        <v>6.2943493946037785</v>
      </c>
      <c r="M2097" s="43">
        <v>11.500466853408028</v>
      </c>
      <c r="N2097" s="43">
        <v>5.0395783702889254</v>
      </c>
      <c r="O2097" s="43">
        <v>4.0104129641688253</v>
      </c>
      <c r="P2097" s="154"/>
      <c r="Q2097" s="154"/>
      <c r="R2097" s="154">
        <v>1</v>
      </c>
    </row>
    <row r="2098" spans="1:18" ht="24">
      <c r="A2098" s="150">
        <v>442</v>
      </c>
      <c r="B2098" s="147" t="s">
        <v>3836</v>
      </c>
      <c r="C2098" s="151" t="s">
        <v>3837</v>
      </c>
      <c r="D2098" s="152">
        <v>4637.49</v>
      </c>
      <c r="E2098" s="152">
        <v>2413.4</v>
      </c>
      <c r="F2098" s="152">
        <v>904.83</v>
      </c>
      <c r="G2098" s="152">
        <v>1319.26</v>
      </c>
      <c r="H2098" s="153">
        <v>39425.910000000003</v>
      </c>
      <c r="I2098" s="153">
        <v>27755.200000000001</v>
      </c>
      <c r="J2098" s="153">
        <v>4602.5600000000004</v>
      </c>
      <c r="K2098" s="153">
        <v>7068.15</v>
      </c>
      <c r="L2098" s="43">
        <v>8.5015622675197147</v>
      </c>
      <c r="M2098" s="43">
        <v>11.500455788514129</v>
      </c>
      <c r="N2098" s="43">
        <v>5.0866571621188514</v>
      </c>
      <c r="O2098" s="43">
        <v>5.3576626290496181</v>
      </c>
      <c r="P2098" s="154"/>
      <c r="Q2098" s="154"/>
      <c r="R2098" s="154">
        <v>1</v>
      </c>
    </row>
    <row r="2099" spans="1:18" ht="24">
      <c r="A2099" s="150">
        <v>443</v>
      </c>
      <c r="B2099" s="147" t="s">
        <v>3838</v>
      </c>
      <c r="C2099" s="151" t="s">
        <v>3839</v>
      </c>
      <c r="D2099" s="152">
        <v>3745.74</v>
      </c>
      <c r="E2099" s="152">
        <v>1875.87</v>
      </c>
      <c r="F2099" s="152">
        <v>727.8</v>
      </c>
      <c r="G2099" s="152">
        <v>1142.07</v>
      </c>
      <c r="H2099" s="153">
        <v>31378.66</v>
      </c>
      <c r="I2099" s="153">
        <v>21573.360000000001</v>
      </c>
      <c r="J2099" s="153">
        <v>3714.34</v>
      </c>
      <c r="K2099" s="153">
        <v>6090.96</v>
      </c>
      <c r="L2099" s="43">
        <v>8.3771591194263362</v>
      </c>
      <c r="M2099" s="43">
        <v>11.500455788514131</v>
      </c>
      <c r="N2099" s="43">
        <v>5.1035174498488605</v>
      </c>
      <c r="O2099" s="43">
        <v>5.3332632850876047</v>
      </c>
      <c r="P2099" s="154"/>
      <c r="Q2099" s="154"/>
      <c r="R2099" s="154">
        <v>1</v>
      </c>
    </row>
    <row r="2100" spans="1:18" ht="24">
      <c r="A2100" s="150">
        <v>444</v>
      </c>
      <c r="B2100" s="147" t="s">
        <v>3840</v>
      </c>
      <c r="C2100" s="151" t="s">
        <v>3841</v>
      </c>
      <c r="D2100" s="152">
        <v>2942.26</v>
      </c>
      <c r="E2100" s="152">
        <v>1587.3</v>
      </c>
      <c r="F2100" s="152">
        <v>594.9</v>
      </c>
      <c r="G2100" s="152">
        <v>760.06</v>
      </c>
      <c r="H2100" s="153">
        <v>25390.28</v>
      </c>
      <c r="I2100" s="153">
        <v>18253.95</v>
      </c>
      <c r="J2100" s="153">
        <v>3037.82</v>
      </c>
      <c r="K2100" s="153">
        <v>4098.51</v>
      </c>
      <c r="L2100" s="43">
        <v>8.6295160862738154</v>
      </c>
      <c r="M2100" s="43">
        <v>11.5</v>
      </c>
      <c r="N2100" s="43">
        <v>5.1064380568162724</v>
      </c>
      <c r="O2100" s="43">
        <v>5.3923506038996925</v>
      </c>
      <c r="P2100" s="154"/>
      <c r="Q2100" s="154"/>
      <c r="R2100" s="154">
        <v>1</v>
      </c>
    </row>
    <row r="2101" spans="1:18" ht="24">
      <c r="A2101" s="150">
        <v>445</v>
      </c>
      <c r="B2101" s="147" t="s">
        <v>3842</v>
      </c>
      <c r="C2101" s="151" t="s">
        <v>3843</v>
      </c>
      <c r="D2101" s="152">
        <v>2281.9699999999998</v>
      </c>
      <c r="E2101" s="152">
        <v>1217.67</v>
      </c>
      <c r="F2101" s="152">
        <v>508.24</v>
      </c>
      <c r="G2101" s="152">
        <v>556.05999999999995</v>
      </c>
      <c r="H2101" s="153">
        <v>19604.97</v>
      </c>
      <c r="I2101" s="153">
        <v>14003.76</v>
      </c>
      <c r="J2101" s="153">
        <v>2604.58</v>
      </c>
      <c r="K2101" s="153">
        <v>2996.63</v>
      </c>
      <c r="L2101" s="43">
        <v>8.5912479129874644</v>
      </c>
      <c r="M2101" s="43">
        <v>11.500455788514129</v>
      </c>
      <c r="N2101" s="43">
        <v>5.1247048638438528</v>
      </c>
      <c r="O2101" s="43">
        <v>5.3890407509980944</v>
      </c>
      <c r="P2101" s="154"/>
      <c r="Q2101" s="154"/>
      <c r="R2101" s="154">
        <v>1</v>
      </c>
    </row>
    <row r="2102" spans="1:18" ht="12.75" customHeight="1">
      <c r="A2102" s="628" t="s">
        <v>3844</v>
      </c>
      <c r="B2102" s="629"/>
      <c r="C2102" s="629"/>
      <c r="D2102" s="629"/>
      <c r="E2102" s="629"/>
      <c r="F2102" s="629"/>
      <c r="G2102" s="629"/>
      <c r="H2102" s="629"/>
      <c r="I2102" s="629"/>
      <c r="J2102" s="629"/>
      <c r="K2102" s="629"/>
      <c r="L2102" s="629"/>
      <c r="M2102" s="629"/>
      <c r="N2102" s="629"/>
      <c r="O2102" s="629"/>
      <c r="P2102" s="629"/>
      <c r="Q2102" s="629"/>
      <c r="R2102" s="629"/>
    </row>
    <row r="2103" spans="1:18" ht="24">
      <c r="A2103" s="150">
        <v>446</v>
      </c>
      <c r="B2103" s="147" t="s">
        <v>3845</v>
      </c>
      <c r="C2103" s="151" t="s">
        <v>3846</v>
      </c>
      <c r="D2103" s="152">
        <v>9068.86</v>
      </c>
      <c r="E2103" s="152">
        <v>1987.77</v>
      </c>
      <c r="F2103" s="152">
        <v>5328.63</v>
      </c>
      <c r="G2103" s="152">
        <v>1752.46</v>
      </c>
      <c r="H2103" s="153">
        <v>64406.83</v>
      </c>
      <c r="I2103" s="153">
        <v>22860.22</v>
      </c>
      <c r="J2103" s="153">
        <v>33772.959999999999</v>
      </c>
      <c r="K2103" s="153">
        <v>7773.65</v>
      </c>
      <c r="L2103" s="43">
        <v>7.1019764336421556</v>
      </c>
      <c r="M2103" s="43">
        <v>11.500435161009575</v>
      </c>
      <c r="N2103" s="43">
        <v>6.3380193408061736</v>
      </c>
      <c r="O2103" s="43">
        <v>4.4358501763235676</v>
      </c>
      <c r="P2103" s="154"/>
      <c r="Q2103" s="154"/>
      <c r="R2103" s="154">
        <v>2</v>
      </c>
    </row>
    <row r="2104" spans="1:18" ht="24">
      <c r="A2104" s="150">
        <v>447</v>
      </c>
      <c r="B2104" s="147" t="s">
        <v>3847</v>
      </c>
      <c r="C2104" s="151" t="s">
        <v>3848</v>
      </c>
      <c r="D2104" s="152">
        <v>7093.46</v>
      </c>
      <c r="E2104" s="152">
        <v>1930.32</v>
      </c>
      <c r="F2104" s="152">
        <v>3847.94</v>
      </c>
      <c r="G2104" s="152">
        <v>1315.2</v>
      </c>
      <c r="H2104" s="153">
        <v>52111.39</v>
      </c>
      <c r="I2104" s="153">
        <v>22199.52</v>
      </c>
      <c r="J2104" s="153">
        <v>24033.7</v>
      </c>
      <c r="K2104" s="153">
        <v>5878.17</v>
      </c>
      <c r="L2104" s="43">
        <v>7.3463993594099355</v>
      </c>
      <c r="M2104" s="43">
        <v>11.500435161009575</v>
      </c>
      <c r="N2104" s="43">
        <v>6.2458614219556443</v>
      </c>
      <c r="O2104" s="43">
        <v>4.4694114963503653</v>
      </c>
      <c r="P2104" s="154"/>
      <c r="Q2104" s="154"/>
      <c r="R2104" s="154">
        <v>2</v>
      </c>
    </row>
    <row r="2105" spans="1:18" ht="24">
      <c r="A2105" s="150">
        <v>448</v>
      </c>
      <c r="B2105" s="147" t="s">
        <v>3849</v>
      </c>
      <c r="C2105" s="151" t="s">
        <v>3850</v>
      </c>
      <c r="D2105" s="152">
        <v>5015.29</v>
      </c>
      <c r="E2105" s="152">
        <v>1344.33</v>
      </c>
      <c r="F2105" s="152">
        <v>3144.32</v>
      </c>
      <c r="G2105" s="152">
        <v>526.64</v>
      </c>
      <c r="H2105" s="153">
        <v>36857.93</v>
      </c>
      <c r="I2105" s="153">
        <v>15460.38</v>
      </c>
      <c r="J2105" s="153">
        <v>18824.3</v>
      </c>
      <c r="K2105" s="153">
        <v>2573.25</v>
      </c>
      <c r="L2105" s="43">
        <v>7.3491124142372621</v>
      </c>
      <c r="M2105" s="43">
        <v>11.500435161009573</v>
      </c>
      <c r="N2105" s="43">
        <v>5.9867634337472007</v>
      </c>
      <c r="O2105" s="43">
        <v>4.8861651222846731</v>
      </c>
      <c r="P2105" s="154"/>
      <c r="Q2105" s="154"/>
      <c r="R2105" s="154">
        <v>2</v>
      </c>
    </row>
    <row r="2106" spans="1:18" ht="12.75" customHeight="1">
      <c r="A2106" s="628" t="s">
        <v>3851</v>
      </c>
      <c r="B2106" s="629"/>
      <c r="C2106" s="629"/>
      <c r="D2106" s="629"/>
      <c r="E2106" s="629"/>
      <c r="F2106" s="629"/>
      <c r="G2106" s="629"/>
      <c r="H2106" s="629"/>
      <c r="I2106" s="629"/>
      <c r="J2106" s="629"/>
      <c r="K2106" s="629"/>
      <c r="L2106" s="629"/>
      <c r="M2106" s="629"/>
      <c r="N2106" s="629"/>
      <c r="O2106" s="629"/>
      <c r="P2106" s="629"/>
      <c r="Q2106" s="629"/>
      <c r="R2106" s="629"/>
    </row>
    <row r="2107" spans="1:18" ht="24">
      <c r="A2107" s="150">
        <v>449</v>
      </c>
      <c r="B2107" s="147" t="s">
        <v>3852</v>
      </c>
      <c r="C2107" s="151" t="s">
        <v>3853</v>
      </c>
      <c r="D2107" s="152">
        <v>2546.4299999999998</v>
      </c>
      <c r="E2107" s="152">
        <v>1358.5</v>
      </c>
      <c r="F2107" s="152">
        <v>305.18</v>
      </c>
      <c r="G2107" s="152">
        <v>882.75</v>
      </c>
      <c r="H2107" s="153">
        <v>21020.76</v>
      </c>
      <c r="I2107" s="153">
        <v>15623.4</v>
      </c>
      <c r="J2107" s="153">
        <v>1550.9</v>
      </c>
      <c r="K2107" s="153">
        <v>3846.46</v>
      </c>
      <c r="L2107" s="43">
        <v>8.2549922833142872</v>
      </c>
      <c r="M2107" s="43">
        <v>11.500478468899521</v>
      </c>
      <c r="N2107" s="43">
        <v>5.0819188675535747</v>
      </c>
      <c r="O2107" s="43">
        <v>4.3573605210988386</v>
      </c>
      <c r="P2107" s="154"/>
      <c r="Q2107" s="154"/>
      <c r="R2107" s="154">
        <v>3</v>
      </c>
    </row>
    <row r="2108" spans="1:18" ht="24">
      <c r="A2108" s="150">
        <v>450</v>
      </c>
      <c r="B2108" s="147" t="s">
        <v>3854</v>
      </c>
      <c r="C2108" s="151" t="s">
        <v>3855</v>
      </c>
      <c r="D2108" s="152">
        <v>1873.67</v>
      </c>
      <c r="E2108" s="152">
        <v>1153.22</v>
      </c>
      <c r="F2108" s="152">
        <v>232.83</v>
      </c>
      <c r="G2108" s="152">
        <v>487.62</v>
      </c>
      <c r="H2108" s="153">
        <v>16650.64</v>
      </c>
      <c r="I2108" s="153">
        <v>13262.03</v>
      </c>
      <c r="J2108" s="153">
        <v>1203.6400000000001</v>
      </c>
      <c r="K2108" s="153">
        <v>2184.9699999999998</v>
      </c>
      <c r="L2108" s="43">
        <v>8.8866449268014112</v>
      </c>
      <c r="M2108" s="43">
        <v>11.5</v>
      </c>
      <c r="N2108" s="43">
        <v>5.1696087273976721</v>
      </c>
      <c r="O2108" s="43">
        <v>4.4808867560805536</v>
      </c>
      <c r="P2108" s="154"/>
      <c r="Q2108" s="154"/>
      <c r="R2108" s="154">
        <v>3</v>
      </c>
    </row>
    <row r="2109" spans="1:18" ht="24">
      <c r="A2109" s="150">
        <v>451</v>
      </c>
      <c r="B2109" s="147" t="s">
        <v>3856</v>
      </c>
      <c r="C2109" s="151" t="s">
        <v>3857</v>
      </c>
      <c r="D2109" s="152">
        <v>567.02</v>
      </c>
      <c r="E2109" s="152">
        <v>312.73</v>
      </c>
      <c r="F2109" s="152">
        <v>132.71</v>
      </c>
      <c r="G2109" s="152">
        <v>121.58</v>
      </c>
      <c r="H2109" s="153">
        <v>4845.29</v>
      </c>
      <c r="I2109" s="153">
        <v>3596.56</v>
      </c>
      <c r="J2109" s="153">
        <v>700.27</v>
      </c>
      <c r="K2109" s="153">
        <v>548.46</v>
      </c>
      <c r="L2109" s="43">
        <v>8.5451835914077101</v>
      </c>
      <c r="M2109" s="43">
        <v>11.500527611677803</v>
      </c>
      <c r="N2109" s="43">
        <v>5.2766935423103005</v>
      </c>
      <c r="O2109" s="43">
        <v>4.5111037999671</v>
      </c>
      <c r="P2109" s="154"/>
      <c r="Q2109" s="154"/>
      <c r="R2109" s="154">
        <v>3</v>
      </c>
    </row>
    <row r="2110" spans="1:18" ht="12.75" customHeight="1">
      <c r="A2110" s="628" t="s">
        <v>3858</v>
      </c>
      <c r="B2110" s="629"/>
      <c r="C2110" s="629"/>
      <c r="D2110" s="629"/>
      <c r="E2110" s="629"/>
      <c r="F2110" s="629"/>
      <c r="G2110" s="629"/>
      <c r="H2110" s="629"/>
      <c r="I2110" s="629"/>
      <c r="J2110" s="629"/>
      <c r="K2110" s="629"/>
      <c r="L2110" s="629"/>
      <c r="M2110" s="629"/>
      <c r="N2110" s="629"/>
      <c r="O2110" s="629"/>
      <c r="P2110" s="629"/>
      <c r="Q2110" s="629"/>
      <c r="R2110" s="629"/>
    </row>
    <row r="2111" spans="1:18" ht="24">
      <c r="A2111" s="150">
        <v>452</v>
      </c>
      <c r="B2111" s="147" t="s">
        <v>3859</v>
      </c>
      <c r="C2111" s="151" t="s">
        <v>3860</v>
      </c>
      <c r="D2111" s="152">
        <v>24557.09</v>
      </c>
      <c r="E2111" s="152">
        <v>11877.39</v>
      </c>
      <c r="F2111" s="152">
        <v>1579.38</v>
      </c>
      <c r="G2111" s="152">
        <v>11100.32</v>
      </c>
      <c r="H2111" s="153">
        <v>190408.95</v>
      </c>
      <c r="I2111" s="153">
        <v>136595.53</v>
      </c>
      <c r="J2111" s="153">
        <v>8486.7199999999993</v>
      </c>
      <c r="K2111" s="153">
        <v>45326.7</v>
      </c>
      <c r="L2111" s="43">
        <v>7.753726113313915</v>
      </c>
      <c r="M2111" s="43">
        <v>11.50046685340803</v>
      </c>
      <c r="N2111" s="43">
        <v>5.3734503412731573</v>
      </c>
      <c r="O2111" s="43">
        <v>4.0833687677472357</v>
      </c>
      <c r="P2111" s="154"/>
      <c r="Q2111" s="154"/>
      <c r="R2111" s="154">
        <v>4</v>
      </c>
    </row>
    <row r="2112" spans="1:18" ht="24">
      <c r="A2112" s="150">
        <v>453</v>
      </c>
      <c r="B2112" s="147" t="s">
        <v>3861</v>
      </c>
      <c r="C2112" s="151" t="s">
        <v>3862</v>
      </c>
      <c r="D2112" s="152">
        <v>13200.2</v>
      </c>
      <c r="E2112" s="152">
        <v>6051.15</v>
      </c>
      <c r="F2112" s="152">
        <v>1426.23</v>
      </c>
      <c r="G2112" s="152">
        <v>5722.82</v>
      </c>
      <c r="H2112" s="153">
        <v>100864.77</v>
      </c>
      <c r="I2112" s="153">
        <v>69591.05</v>
      </c>
      <c r="J2112" s="153">
        <v>7900.34</v>
      </c>
      <c r="K2112" s="153">
        <v>23373.38</v>
      </c>
      <c r="L2112" s="43">
        <v>7.6411546794745533</v>
      </c>
      <c r="M2112" s="43">
        <v>11.500466853408032</v>
      </c>
      <c r="N2112" s="43">
        <v>5.5393169404654232</v>
      </c>
      <c r="O2112" s="43">
        <v>4.0842416850433878</v>
      </c>
      <c r="P2112" s="154"/>
      <c r="Q2112" s="154"/>
      <c r="R2112" s="154">
        <v>4</v>
      </c>
    </row>
    <row r="2113" spans="1:18" ht="24">
      <c r="A2113" s="150">
        <v>454</v>
      </c>
      <c r="B2113" s="147" t="s">
        <v>3863</v>
      </c>
      <c r="C2113" s="151" t="s">
        <v>3864</v>
      </c>
      <c r="D2113" s="152">
        <v>8293.9500000000007</v>
      </c>
      <c r="E2113" s="152">
        <v>3727.08</v>
      </c>
      <c r="F2113" s="152">
        <v>1298.6199999999999</v>
      </c>
      <c r="G2113" s="152">
        <v>3268.25</v>
      </c>
      <c r="H2113" s="153">
        <v>63605.34</v>
      </c>
      <c r="I2113" s="153">
        <v>42863.16</v>
      </c>
      <c r="J2113" s="153">
        <v>7337.96</v>
      </c>
      <c r="K2113" s="153">
        <v>13404.22</v>
      </c>
      <c r="L2113" s="43">
        <v>7.6688839455265576</v>
      </c>
      <c r="M2113" s="43">
        <v>11.500466853408032</v>
      </c>
      <c r="N2113" s="43">
        <v>5.6505829264911984</v>
      </c>
      <c r="O2113" s="43">
        <v>4.1013447563680865</v>
      </c>
      <c r="P2113" s="154"/>
      <c r="Q2113" s="154"/>
      <c r="R2113" s="154">
        <v>4</v>
      </c>
    </row>
    <row r="2114" spans="1:18" ht="12.75" customHeight="1">
      <c r="A2114" s="628" t="s">
        <v>3865</v>
      </c>
      <c r="B2114" s="629"/>
      <c r="C2114" s="629"/>
      <c r="D2114" s="629"/>
      <c r="E2114" s="629"/>
      <c r="F2114" s="629"/>
      <c r="G2114" s="629"/>
      <c r="H2114" s="629"/>
      <c r="I2114" s="629"/>
      <c r="J2114" s="629"/>
      <c r="K2114" s="629"/>
      <c r="L2114" s="629"/>
      <c r="M2114" s="629"/>
      <c r="N2114" s="629"/>
      <c r="O2114" s="629"/>
      <c r="P2114" s="629"/>
      <c r="Q2114" s="629"/>
      <c r="R2114" s="629"/>
    </row>
    <row r="2115" spans="1:18" ht="24">
      <c r="A2115" s="150">
        <v>455</v>
      </c>
      <c r="B2115" s="147" t="s">
        <v>3866</v>
      </c>
      <c r="C2115" s="151" t="s">
        <v>3867</v>
      </c>
      <c r="D2115" s="152">
        <v>12010.51</v>
      </c>
      <c r="E2115" s="152">
        <v>7025.76</v>
      </c>
      <c r="F2115" s="152">
        <v>722.01</v>
      </c>
      <c r="G2115" s="152">
        <v>4262.74</v>
      </c>
      <c r="H2115" s="153">
        <v>102217.15</v>
      </c>
      <c r="I2115" s="153">
        <v>80799.520000000004</v>
      </c>
      <c r="J2115" s="153">
        <v>3365.53</v>
      </c>
      <c r="K2115" s="153">
        <v>18052.099999999999</v>
      </c>
      <c r="L2115" s="43">
        <v>8.5106419294434623</v>
      </c>
      <c r="M2115" s="43">
        <v>11.50046685340803</v>
      </c>
      <c r="N2115" s="43">
        <v>4.6613343305494386</v>
      </c>
      <c r="O2115" s="43">
        <v>4.2348583305573406</v>
      </c>
      <c r="P2115" s="154"/>
      <c r="Q2115" s="154"/>
      <c r="R2115" s="154">
        <v>5</v>
      </c>
    </row>
    <row r="2116" spans="1:18" ht="24">
      <c r="A2116" s="150">
        <v>456</v>
      </c>
      <c r="B2116" s="147" t="s">
        <v>3868</v>
      </c>
      <c r="C2116" s="151" t="s">
        <v>3869</v>
      </c>
      <c r="D2116" s="152">
        <v>7388.56</v>
      </c>
      <c r="E2116" s="152">
        <v>4273.29</v>
      </c>
      <c r="F2116" s="152">
        <v>519.08000000000004</v>
      </c>
      <c r="G2116" s="152">
        <v>2596.19</v>
      </c>
      <c r="H2116" s="153">
        <v>62689.73</v>
      </c>
      <c r="I2116" s="153">
        <v>49144.83</v>
      </c>
      <c r="J2116" s="153">
        <v>2453.96</v>
      </c>
      <c r="K2116" s="153">
        <v>11090.94</v>
      </c>
      <c r="L2116" s="43">
        <v>8.4847020258345331</v>
      </c>
      <c r="M2116" s="43">
        <v>11.50046685340803</v>
      </c>
      <c r="N2116" s="43">
        <v>4.7275179163134773</v>
      </c>
      <c r="O2116" s="43">
        <v>4.2720062861346824</v>
      </c>
      <c r="P2116" s="154"/>
      <c r="Q2116" s="154"/>
      <c r="R2116" s="154">
        <v>5</v>
      </c>
    </row>
    <row r="2117" spans="1:18" ht="24">
      <c r="A2117" s="150">
        <v>457</v>
      </c>
      <c r="B2117" s="147" t="s">
        <v>3870</v>
      </c>
      <c r="C2117" s="151" t="s">
        <v>3871</v>
      </c>
      <c r="D2117" s="152">
        <v>4603.67</v>
      </c>
      <c r="E2117" s="152">
        <v>2591.8200000000002</v>
      </c>
      <c r="F2117" s="152">
        <v>347.74</v>
      </c>
      <c r="G2117" s="152">
        <v>1664.11</v>
      </c>
      <c r="H2117" s="153">
        <v>38567.72</v>
      </c>
      <c r="I2117" s="153">
        <v>29807.14</v>
      </c>
      <c r="J2117" s="153">
        <v>1695.54</v>
      </c>
      <c r="K2117" s="153">
        <v>7065.04</v>
      </c>
      <c r="L2117" s="43">
        <v>8.3776030862333748</v>
      </c>
      <c r="M2117" s="43">
        <v>11.500466853408028</v>
      </c>
      <c r="N2117" s="43">
        <v>4.8758842813596361</v>
      </c>
      <c r="O2117" s="43">
        <v>4.2455366532260488</v>
      </c>
      <c r="P2117" s="154"/>
      <c r="Q2117" s="154"/>
      <c r="R2117" s="154">
        <v>5</v>
      </c>
    </row>
    <row r="2118" spans="1:18" ht="24">
      <c r="A2118" s="150">
        <v>458</v>
      </c>
      <c r="B2118" s="147" t="s">
        <v>3872</v>
      </c>
      <c r="C2118" s="151" t="s">
        <v>3873</v>
      </c>
      <c r="D2118" s="152">
        <v>2830.23</v>
      </c>
      <c r="E2118" s="152">
        <v>1563.66</v>
      </c>
      <c r="F2118" s="152">
        <v>269.20999999999998</v>
      </c>
      <c r="G2118" s="152">
        <v>997.36</v>
      </c>
      <c r="H2118" s="153">
        <v>23615.4</v>
      </c>
      <c r="I2118" s="153">
        <v>17982.82</v>
      </c>
      <c r="J2118" s="153">
        <v>1345.35</v>
      </c>
      <c r="K2118" s="153">
        <v>4287.2299999999996</v>
      </c>
      <c r="L2118" s="43">
        <v>8.3439861778018045</v>
      </c>
      <c r="M2118" s="43">
        <v>11.50046685340803</v>
      </c>
      <c r="N2118" s="43">
        <v>4.9973997994130972</v>
      </c>
      <c r="O2118" s="43">
        <v>4.2985782465709468</v>
      </c>
      <c r="P2118" s="154"/>
      <c r="Q2118" s="154"/>
      <c r="R2118" s="154">
        <v>5</v>
      </c>
    </row>
    <row r="2119" spans="1:18" ht="24">
      <c r="A2119" s="150">
        <v>459</v>
      </c>
      <c r="B2119" s="147" t="s">
        <v>3874</v>
      </c>
      <c r="C2119" s="151" t="s">
        <v>3875</v>
      </c>
      <c r="D2119" s="152">
        <v>12370.81</v>
      </c>
      <c r="E2119" s="152">
        <v>6982.8</v>
      </c>
      <c r="F2119" s="152">
        <v>675.02</v>
      </c>
      <c r="G2119" s="152">
        <v>4712.99</v>
      </c>
      <c r="H2119" s="153">
        <v>103080.35</v>
      </c>
      <c r="I2119" s="153">
        <v>80302.2</v>
      </c>
      <c r="J2119" s="153">
        <v>3164.67</v>
      </c>
      <c r="K2119" s="153">
        <v>19613.48</v>
      </c>
      <c r="L2119" s="43">
        <v>8.3325465349479959</v>
      </c>
      <c r="M2119" s="43">
        <v>11.5</v>
      </c>
      <c r="N2119" s="43">
        <v>4.6882610885603393</v>
      </c>
      <c r="O2119" s="43">
        <v>4.1615789551855613</v>
      </c>
      <c r="P2119" s="154"/>
      <c r="Q2119" s="154"/>
      <c r="R2119" s="154">
        <v>5</v>
      </c>
    </row>
    <row r="2120" spans="1:18" ht="24">
      <c r="A2120" s="150">
        <v>460</v>
      </c>
      <c r="B2120" s="147" t="s">
        <v>3876</v>
      </c>
      <c r="C2120" s="151" t="s">
        <v>3877</v>
      </c>
      <c r="D2120" s="152">
        <v>5666.25</v>
      </c>
      <c r="E2120" s="152">
        <v>3127.32</v>
      </c>
      <c r="F2120" s="152">
        <v>425.7</v>
      </c>
      <c r="G2120" s="152">
        <v>2113.23</v>
      </c>
      <c r="H2120" s="153">
        <v>46910.27</v>
      </c>
      <c r="I2120" s="153">
        <v>35965.64</v>
      </c>
      <c r="J2120" s="153">
        <v>2064.3200000000002</v>
      </c>
      <c r="K2120" s="153">
        <v>8880.31</v>
      </c>
      <c r="L2120" s="43">
        <v>8.2788916832120005</v>
      </c>
      <c r="M2120" s="43">
        <v>11.50046685340803</v>
      </c>
      <c r="N2120" s="43">
        <v>4.8492365515621332</v>
      </c>
      <c r="O2120" s="43">
        <v>4.2022449047193158</v>
      </c>
      <c r="P2120" s="154"/>
      <c r="Q2120" s="154"/>
      <c r="R2120" s="154">
        <v>5</v>
      </c>
    </row>
    <row r="2121" spans="1:18" ht="24">
      <c r="A2121" s="150">
        <v>461</v>
      </c>
      <c r="B2121" s="147" t="s">
        <v>3878</v>
      </c>
      <c r="C2121" s="151" t="s">
        <v>3879</v>
      </c>
      <c r="D2121" s="152">
        <v>4647.04</v>
      </c>
      <c r="E2121" s="152">
        <v>2528.62</v>
      </c>
      <c r="F2121" s="152">
        <v>377.69</v>
      </c>
      <c r="G2121" s="152">
        <v>1740.73</v>
      </c>
      <c r="H2121" s="153">
        <v>38258.28</v>
      </c>
      <c r="I2121" s="153">
        <v>29079.13</v>
      </c>
      <c r="J2121" s="153">
        <v>1847.51</v>
      </c>
      <c r="K2121" s="153">
        <v>7331.64</v>
      </c>
      <c r="L2121" s="43">
        <v>8.2328277785428998</v>
      </c>
      <c r="M2121" s="43">
        <v>11.500000000000002</v>
      </c>
      <c r="N2121" s="43">
        <v>4.8916042256877335</v>
      </c>
      <c r="O2121" s="43">
        <v>4.2118191793098303</v>
      </c>
      <c r="P2121" s="154"/>
      <c r="Q2121" s="154"/>
      <c r="R2121" s="154">
        <v>5</v>
      </c>
    </row>
    <row r="2122" spans="1:18" ht="12.75" customHeight="1">
      <c r="A2122" s="628" t="s">
        <v>3880</v>
      </c>
      <c r="B2122" s="629"/>
      <c r="C2122" s="629"/>
      <c r="D2122" s="629"/>
      <c r="E2122" s="629"/>
      <c r="F2122" s="629"/>
      <c r="G2122" s="629"/>
      <c r="H2122" s="629"/>
      <c r="I2122" s="629"/>
      <c r="J2122" s="629"/>
      <c r="K2122" s="629"/>
      <c r="L2122" s="629"/>
      <c r="M2122" s="629"/>
      <c r="N2122" s="629"/>
      <c r="O2122" s="629"/>
      <c r="P2122" s="629"/>
      <c r="Q2122" s="629"/>
      <c r="R2122" s="629"/>
    </row>
    <row r="2123" spans="1:18" ht="24">
      <c r="A2123" s="150">
        <v>462</v>
      </c>
      <c r="B2123" s="147" t="s">
        <v>3881</v>
      </c>
      <c r="C2123" s="151" t="s">
        <v>3882</v>
      </c>
      <c r="D2123" s="152">
        <v>2805.55</v>
      </c>
      <c r="E2123" s="152">
        <v>695.97</v>
      </c>
      <c r="F2123" s="152">
        <v>1258.3</v>
      </c>
      <c r="G2123" s="152">
        <v>851.28</v>
      </c>
      <c r="H2123" s="153">
        <v>18121.68</v>
      </c>
      <c r="I2123" s="153">
        <v>8003.66</v>
      </c>
      <c r="J2123" s="153">
        <v>6282.14</v>
      </c>
      <c r="K2123" s="153">
        <v>3835.88</v>
      </c>
      <c r="L2123" s="43">
        <v>6.4592254638127997</v>
      </c>
      <c r="M2123" s="43">
        <v>11.50000718421771</v>
      </c>
      <c r="N2123" s="43">
        <v>4.9925613923547649</v>
      </c>
      <c r="O2123" s="43">
        <v>4.5060144723240301</v>
      </c>
      <c r="P2123" s="154"/>
      <c r="Q2123" s="154"/>
      <c r="R2123" s="154">
        <v>6</v>
      </c>
    </row>
    <row r="2124" spans="1:18" ht="24">
      <c r="A2124" s="150">
        <v>463</v>
      </c>
      <c r="B2124" s="147" t="s">
        <v>3883</v>
      </c>
      <c r="C2124" s="151" t="s">
        <v>3884</v>
      </c>
      <c r="D2124" s="152">
        <v>1993.2</v>
      </c>
      <c r="E2124" s="152">
        <v>479.39</v>
      </c>
      <c r="F2124" s="152">
        <v>909.23</v>
      </c>
      <c r="G2124" s="152">
        <v>604.58000000000004</v>
      </c>
      <c r="H2124" s="153">
        <v>12807.54</v>
      </c>
      <c r="I2124" s="153">
        <v>5513.19</v>
      </c>
      <c r="J2124" s="153">
        <v>4541.59</v>
      </c>
      <c r="K2124" s="153">
        <v>2752.76</v>
      </c>
      <c r="L2124" s="43">
        <v>6.4256170981336549</v>
      </c>
      <c r="M2124" s="43">
        <v>11.500427626775693</v>
      </c>
      <c r="N2124" s="43">
        <v>4.9949847673305987</v>
      </c>
      <c r="O2124" s="43">
        <v>4.5531774124185382</v>
      </c>
      <c r="P2124" s="154"/>
      <c r="Q2124" s="154"/>
      <c r="R2124" s="154">
        <v>6</v>
      </c>
    </row>
    <row r="2125" spans="1:18" ht="24">
      <c r="A2125" s="150">
        <v>464</v>
      </c>
      <c r="B2125" s="147" t="s">
        <v>3885</v>
      </c>
      <c r="C2125" s="151" t="s">
        <v>3886</v>
      </c>
      <c r="D2125" s="152">
        <v>2349.5500000000002</v>
      </c>
      <c r="E2125" s="152">
        <v>621.6</v>
      </c>
      <c r="F2125" s="152">
        <v>1055.31</v>
      </c>
      <c r="G2125" s="152">
        <v>672.64</v>
      </c>
      <c r="H2125" s="153">
        <v>15637.41</v>
      </c>
      <c r="I2125" s="153">
        <v>7148.4</v>
      </c>
      <c r="J2125" s="153">
        <v>5390.63</v>
      </c>
      <c r="K2125" s="153">
        <v>3098.38</v>
      </c>
      <c r="L2125" s="43">
        <v>6.6554914770913571</v>
      </c>
      <c r="M2125" s="43">
        <v>11.499999999999998</v>
      </c>
      <c r="N2125" s="43">
        <v>5.1081009371653829</v>
      </c>
      <c r="O2125" s="43">
        <v>4.6062975737392966</v>
      </c>
      <c r="P2125" s="154"/>
      <c r="Q2125" s="154"/>
      <c r="R2125" s="154">
        <v>6</v>
      </c>
    </row>
    <row r="2126" spans="1:18" ht="12.75" customHeight="1">
      <c r="A2126" s="628" t="s">
        <v>3887</v>
      </c>
      <c r="B2126" s="629"/>
      <c r="C2126" s="629"/>
      <c r="D2126" s="629"/>
      <c r="E2126" s="629"/>
      <c r="F2126" s="629"/>
      <c r="G2126" s="629"/>
      <c r="H2126" s="629"/>
      <c r="I2126" s="629"/>
      <c r="J2126" s="629"/>
      <c r="K2126" s="629"/>
      <c r="L2126" s="629"/>
      <c r="M2126" s="629"/>
      <c r="N2126" s="629"/>
      <c r="O2126" s="629"/>
      <c r="P2126" s="629"/>
      <c r="Q2126" s="629"/>
      <c r="R2126" s="629"/>
    </row>
    <row r="2127" spans="1:18" ht="12.75" customHeight="1">
      <c r="A2127" s="628" t="s">
        <v>3888</v>
      </c>
      <c r="B2127" s="629"/>
      <c r="C2127" s="629"/>
      <c r="D2127" s="629"/>
      <c r="E2127" s="629"/>
      <c r="F2127" s="629"/>
      <c r="G2127" s="629"/>
      <c r="H2127" s="629"/>
      <c r="I2127" s="629"/>
      <c r="J2127" s="629"/>
      <c r="K2127" s="629"/>
      <c r="L2127" s="629"/>
      <c r="M2127" s="629"/>
      <c r="N2127" s="629"/>
      <c r="O2127" s="629"/>
      <c r="P2127" s="629"/>
      <c r="Q2127" s="629"/>
      <c r="R2127" s="629"/>
    </row>
    <row r="2128" spans="1:18" ht="24">
      <c r="A2128" s="150">
        <v>465</v>
      </c>
      <c r="B2128" s="147" t="s">
        <v>3889</v>
      </c>
      <c r="C2128" s="151" t="s">
        <v>3890</v>
      </c>
      <c r="D2128" s="152">
        <v>3510.88</v>
      </c>
      <c r="E2128" s="152">
        <v>1376.68</v>
      </c>
      <c r="F2128" s="152">
        <v>467.89</v>
      </c>
      <c r="G2128" s="152">
        <v>1666.31</v>
      </c>
      <c r="H2128" s="153">
        <v>25851.599999999999</v>
      </c>
      <c r="I2128" s="153">
        <v>15831.82</v>
      </c>
      <c r="J2128" s="153">
        <v>2216.35</v>
      </c>
      <c r="K2128" s="153">
        <v>7803.43</v>
      </c>
      <c r="L2128" s="43">
        <v>7.3632821400902335</v>
      </c>
      <c r="M2128" s="43">
        <v>11.5</v>
      </c>
      <c r="N2128" s="43">
        <v>4.7369039731560836</v>
      </c>
      <c r="O2128" s="43">
        <v>4.6830601748774239</v>
      </c>
      <c r="P2128" s="154"/>
      <c r="Q2128" s="154"/>
      <c r="R2128" s="154">
        <v>1</v>
      </c>
    </row>
    <row r="2129" spans="1:18" ht="24">
      <c r="A2129" s="150">
        <v>466</v>
      </c>
      <c r="B2129" s="147" t="s">
        <v>3891</v>
      </c>
      <c r="C2129" s="151" t="s">
        <v>3892</v>
      </c>
      <c r="D2129" s="152">
        <v>1320.46</v>
      </c>
      <c r="E2129" s="152">
        <v>564.96</v>
      </c>
      <c r="F2129" s="152">
        <v>345.15</v>
      </c>
      <c r="G2129" s="152">
        <v>410.35</v>
      </c>
      <c r="H2129" s="153">
        <v>10057.379999999999</v>
      </c>
      <c r="I2129" s="153">
        <v>6497.24</v>
      </c>
      <c r="J2129" s="153">
        <v>1547.13</v>
      </c>
      <c r="K2129" s="153">
        <v>2013.01</v>
      </c>
      <c r="L2129" s="43">
        <v>7.6165730124350599</v>
      </c>
      <c r="M2129" s="43">
        <v>11.500354007363352</v>
      </c>
      <c r="N2129" s="43">
        <v>4.4824858757062156</v>
      </c>
      <c r="O2129" s="43">
        <v>4.9055927866455464</v>
      </c>
      <c r="P2129" s="154"/>
      <c r="Q2129" s="154"/>
      <c r="R2129" s="154">
        <v>1</v>
      </c>
    </row>
    <row r="2130" spans="1:18" ht="24">
      <c r="A2130" s="150">
        <v>467</v>
      </c>
      <c r="B2130" s="147" t="s">
        <v>3893</v>
      </c>
      <c r="C2130" s="151" t="s">
        <v>3894</v>
      </c>
      <c r="D2130" s="152">
        <v>31900.93</v>
      </c>
      <c r="E2130" s="152">
        <v>10634.04</v>
      </c>
      <c r="F2130" s="152">
        <v>2424.86</v>
      </c>
      <c r="G2130" s="152">
        <v>18842.03</v>
      </c>
      <c r="H2130" s="153">
        <v>219097.94</v>
      </c>
      <c r="I2130" s="153">
        <v>122291.46</v>
      </c>
      <c r="J2130" s="153">
        <v>13147.75</v>
      </c>
      <c r="K2130" s="153">
        <v>83658.73</v>
      </c>
      <c r="L2130" s="43">
        <v>6.8680737520818358</v>
      </c>
      <c r="M2130" s="43">
        <v>11.5</v>
      </c>
      <c r="N2130" s="43">
        <v>5.4220656037874351</v>
      </c>
      <c r="O2130" s="43">
        <v>4.4400061989074429</v>
      </c>
      <c r="P2130" s="154"/>
      <c r="Q2130" s="154"/>
      <c r="R2130" s="154">
        <v>1</v>
      </c>
    </row>
    <row r="2131" spans="1:18" ht="24">
      <c r="A2131" s="150">
        <v>468</v>
      </c>
      <c r="B2131" s="147" t="s">
        <v>3895</v>
      </c>
      <c r="C2131" s="151" t="s">
        <v>3896</v>
      </c>
      <c r="D2131" s="152">
        <v>11230.46</v>
      </c>
      <c r="E2131" s="152">
        <v>4179.57</v>
      </c>
      <c r="F2131" s="152">
        <v>1032.1400000000001</v>
      </c>
      <c r="G2131" s="152">
        <v>6018.75</v>
      </c>
      <c r="H2131" s="153">
        <v>79844.929999999993</v>
      </c>
      <c r="I2131" s="153">
        <v>48066.96</v>
      </c>
      <c r="J2131" s="153">
        <v>5362.91</v>
      </c>
      <c r="K2131" s="153">
        <v>26415.06</v>
      </c>
      <c r="L2131" s="43">
        <v>7.109675828060471</v>
      </c>
      <c r="M2131" s="43">
        <v>11.500455788514129</v>
      </c>
      <c r="N2131" s="43">
        <v>5.1959133450888437</v>
      </c>
      <c r="O2131" s="43">
        <v>4.3887950155763242</v>
      </c>
      <c r="P2131" s="154"/>
      <c r="Q2131" s="154"/>
      <c r="R2131" s="154">
        <v>1</v>
      </c>
    </row>
    <row r="2132" spans="1:18" ht="24">
      <c r="A2132" s="150">
        <v>469</v>
      </c>
      <c r="B2132" s="147" t="s">
        <v>3897</v>
      </c>
      <c r="C2132" s="151" t="s">
        <v>3898</v>
      </c>
      <c r="D2132" s="152">
        <v>6211.69</v>
      </c>
      <c r="E2132" s="152">
        <v>2558.2399999999998</v>
      </c>
      <c r="F2132" s="152">
        <v>648.09</v>
      </c>
      <c r="G2132" s="152">
        <v>3005.36</v>
      </c>
      <c r="H2132" s="153">
        <v>46347.07</v>
      </c>
      <c r="I2132" s="153">
        <v>29419.759999999998</v>
      </c>
      <c r="J2132" s="153">
        <v>3213.52</v>
      </c>
      <c r="K2132" s="153">
        <v>13713.79</v>
      </c>
      <c r="L2132" s="43">
        <v>7.4612657746925564</v>
      </c>
      <c r="M2132" s="43">
        <v>11.5</v>
      </c>
      <c r="N2132" s="43">
        <v>4.9584471292567391</v>
      </c>
      <c r="O2132" s="43">
        <v>4.5631105757712884</v>
      </c>
      <c r="P2132" s="154"/>
      <c r="Q2132" s="154"/>
      <c r="R2132" s="154">
        <v>1</v>
      </c>
    </row>
    <row r="2133" spans="1:18" ht="24">
      <c r="A2133" s="150">
        <v>470</v>
      </c>
      <c r="B2133" s="147" t="s">
        <v>3899</v>
      </c>
      <c r="C2133" s="151" t="s">
        <v>3900</v>
      </c>
      <c r="D2133" s="152">
        <v>4646.45</v>
      </c>
      <c r="E2133" s="152">
        <v>1636.84</v>
      </c>
      <c r="F2133" s="152">
        <v>553.51</v>
      </c>
      <c r="G2133" s="152">
        <v>2456.1</v>
      </c>
      <c r="H2133" s="153">
        <v>33467.699999999997</v>
      </c>
      <c r="I2133" s="153">
        <v>18823.66</v>
      </c>
      <c r="J2133" s="153">
        <v>2693.18</v>
      </c>
      <c r="K2133" s="153">
        <v>11950.86</v>
      </c>
      <c r="L2133" s="43">
        <v>7.2028537916043431</v>
      </c>
      <c r="M2133" s="43">
        <v>11.5</v>
      </c>
      <c r="N2133" s="43">
        <v>4.8656392838431097</v>
      </c>
      <c r="O2133" s="43">
        <v>4.8657872236472457</v>
      </c>
      <c r="P2133" s="154"/>
      <c r="Q2133" s="154"/>
      <c r="R2133" s="154">
        <v>1</v>
      </c>
    </row>
    <row r="2134" spans="1:18" ht="12.75" customHeight="1">
      <c r="A2134" s="628" t="s">
        <v>3901</v>
      </c>
      <c r="B2134" s="629"/>
      <c r="C2134" s="629"/>
      <c r="D2134" s="629"/>
      <c r="E2134" s="629"/>
      <c r="F2134" s="629"/>
      <c r="G2134" s="629"/>
      <c r="H2134" s="629"/>
      <c r="I2134" s="629"/>
      <c r="J2134" s="629"/>
      <c r="K2134" s="629"/>
      <c r="L2134" s="629"/>
      <c r="M2134" s="629"/>
      <c r="N2134" s="629"/>
      <c r="O2134" s="629"/>
      <c r="P2134" s="629"/>
      <c r="Q2134" s="629"/>
      <c r="R2134" s="629"/>
    </row>
    <row r="2135" spans="1:18" ht="24">
      <c r="A2135" s="150">
        <v>471</v>
      </c>
      <c r="B2135" s="147" t="s">
        <v>3902</v>
      </c>
      <c r="C2135" s="151" t="s">
        <v>3903</v>
      </c>
      <c r="D2135" s="152">
        <v>3109.4</v>
      </c>
      <c r="E2135" s="152">
        <v>1084</v>
      </c>
      <c r="F2135" s="152">
        <v>466.32</v>
      </c>
      <c r="G2135" s="152">
        <v>1559.08</v>
      </c>
      <c r="H2135" s="153">
        <v>21507.15</v>
      </c>
      <c r="I2135" s="153">
        <v>12466</v>
      </c>
      <c r="J2135" s="153">
        <v>2266.2600000000002</v>
      </c>
      <c r="K2135" s="153">
        <v>6774.89</v>
      </c>
      <c r="L2135" s="43">
        <v>6.9168167492120665</v>
      </c>
      <c r="M2135" s="43">
        <v>11.5</v>
      </c>
      <c r="N2135" s="43">
        <v>4.8598816263510045</v>
      </c>
      <c r="O2135" s="43">
        <v>4.3454409010442063</v>
      </c>
      <c r="P2135" s="154"/>
      <c r="Q2135" s="154"/>
      <c r="R2135" s="154">
        <v>2</v>
      </c>
    </row>
    <row r="2136" spans="1:18" ht="12.75" customHeight="1">
      <c r="A2136" s="628" t="s">
        <v>3904</v>
      </c>
      <c r="B2136" s="629"/>
      <c r="C2136" s="629"/>
      <c r="D2136" s="629"/>
      <c r="E2136" s="629"/>
      <c r="F2136" s="629"/>
      <c r="G2136" s="629"/>
      <c r="H2136" s="629"/>
      <c r="I2136" s="629"/>
      <c r="J2136" s="629"/>
      <c r="K2136" s="629"/>
      <c r="L2136" s="629"/>
      <c r="M2136" s="629"/>
      <c r="N2136" s="629"/>
      <c r="O2136" s="629"/>
      <c r="P2136" s="629"/>
      <c r="Q2136" s="629"/>
      <c r="R2136" s="629"/>
    </row>
    <row r="2137" spans="1:18" ht="36">
      <c r="A2137" s="150">
        <v>472</v>
      </c>
      <c r="B2137" s="147" t="s">
        <v>3905</v>
      </c>
      <c r="C2137" s="151" t="s">
        <v>3906</v>
      </c>
      <c r="D2137" s="152">
        <v>30116.09</v>
      </c>
      <c r="E2137" s="152">
        <v>12150.44</v>
      </c>
      <c r="F2137" s="152">
        <v>11209.08</v>
      </c>
      <c r="G2137" s="152">
        <v>6756.57</v>
      </c>
      <c r="H2137" s="153">
        <v>235609.22</v>
      </c>
      <c r="I2137" s="153">
        <v>139730.06</v>
      </c>
      <c r="J2137" s="153">
        <v>58106.81</v>
      </c>
      <c r="K2137" s="153">
        <v>37772.35</v>
      </c>
      <c r="L2137" s="43">
        <v>7.8233668447663689</v>
      </c>
      <c r="M2137" s="43">
        <v>11.5</v>
      </c>
      <c r="N2137" s="43">
        <v>5.1839053695753794</v>
      </c>
      <c r="O2137" s="43">
        <v>5.5904623203785349</v>
      </c>
      <c r="P2137" s="154"/>
      <c r="Q2137" s="154"/>
      <c r="R2137" s="154">
        <v>3</v>
      </c>
    </row>
    <row r="2138" spans="1:18" ht="36">
      <c r="A2138" s="150">
        <v>473</v>
      </c>
      <c r="B2138" s="147" t="s">
        <v>3907</v>
      </c>
      <c r="C2138" s="151" t="s">
        <v>3908</v>
      </c>
      <c r="D2138" s="152">
        <v>13831.23</v>
      </c>
      <c r="E2138" s="152">
        <v>6878.88</v>
      </c>
      <c r="F2138" s="152">
        <v>4159.34</v>
      </c>
      <c r="G2138" s="152">
        <v>2793.01</v>
      </c>
      <c r="H2138" s="153">
        <v>116351.48</v>
      </c>
      <c r="I2138" s="153">
        <v>79107.12</v>
      </c>
      <c r="J2138" s="153">
        <v>21556.29</v>
      </c>
      <c r="K2138" s="153">
        <v>15688.07</v>
      </c>
      <c r="L2138" s="43">
        <v>8.4122294257271406</v>
      </c>
      <c r="M2138" s="43">
        <v>11.5</v>
      </c>
      <c r="N2138" s="43">
        <v>5.1826227237975253</v>
      </c>
      <c r="O2138" s="43">
        <v>5.6169043433428447</v>
      </c>
      <c r="P2138" s="154"/>
      <c r="Q2138" s="154"/>
      <c r="R2138" s="154">
        <v>3</v>
      </c>
    </row>
    <row r="2139" spans="1:18" ht="36">
      <c r="A2139" s="150">
        <v>474</v>
      </c>
      <c r="B2139" s="147" t="s">
        <v>3909</v>
      </c>
      <c r="C2139" s="151" t="s">
        <v>3910</v>
      </c>
      <c r="D2139" s="152">
        <v>5628.89</v>
      </c>
      <c r="E2139" s="152">
        <v>2259.2399999999998</v>
      </c>
      <c r="F2139" s="152">
        <v>1867.07</v>
      </c>
      <c r="G2139" s="152">
        <v>1502.58</v>
      </c>
      <c r="H2139" s="153">
        <v>43015.12</v>
      </c>
      <c r="I2139" s="153">
        <v>25981.26</v>
      </c>
      <c r="J2139" s="153">
        <v>9668.66</v>
      </c>
      <c r="K2139" s="153">
        <v>7365.2</v>
      </c>
      <c r="L2139" s="43">
        <v>7.6418476822250927</v>
      </c>
      <c r="M2139" s="43">
        <v>11.5</v>
      </c>
      <c r="N2139" s="43">
        <v>5.1785203554232035</v>
      </c>
      <c r="O2139" s="43">
        <v>4.9017024051963958</v>
      </c>
      <c r="P2139" s="154"/>
      <c r="Q2139" s="154"/>
      <c r="R2139" s="154">
        <v>3</v>
      </c>
    </row>
    <row r="2140" spans="1:18" ht="36">
      <c r="A2140" s="150">
        <v>475</v>
      </c>
      <c r="B2140" s="147" t="s">
        <v>3911</v>
      </c>
      <c r="C2140" s="151" t="s">
        <v>3912</v>
      </c>
      <c r="D2140" s="152">
        <v>4092.57</v>
      </c>
      <c r="E2140" s="152">
        <v>1863.04</v>
      </c>
      <c r="F2140" s="152">
        <v>1210.2</v>
      </c>
      <c r="G2140" s="152">
        <v>1019.33</v>
      </c>
      <c r="H2140" s="153">
        <v>32578.12</v>
      </c>
      <c r="I2140" s="153">
        <v>21424.959999999999</v>
      </c>
      <c r="J2140" s="153">
        <v>6144.43</v>
      </c>
      <c r="K2140" s="153">
        <v>5008.7299999999996</v>
      </c>
      <c r="L2140" s="43">
        <v>7.9603085591694214</v>
      </c>
      <c r="M2140" s="43">
        <v>11.5</v>
      </c>
      <c r="N2140" s="43">
        <v>5.0772021153528346</v>
      </c>
      <c r="O2140" s="43">
        <v>4.9137472653605796</v>
      </c>
      <c r="P2140" s="154"/>
      <c r="Q2140" s="154"/>
      <c r="R2140" s="154">
        <v>3</v>
      </c>
    </row>
    <row r="2141" spans="1:18" ht="24">
      <c r="A2141" s="150">
        <v>476</v>
      </c>
      <c r="B2141" s="147" t="s">
        <v>3913</v>
      </c>
      <c r="C2141" s="151" t="s">
        <v>3914</v>
      </c>
      <c r="D2141" s="152">
        <v>3100.03</v>
      </c>
      <c r="E2141" s="152">
        <v>1260.96</v>
      </c>
      <c r="F2141" s="152">
        <v>889.89</v>
      </c>
      <c r="G2141" s="152">
        <v>949.18</v>
      </c>
      <c r="H2141" s="153">
        <v>24063.27</v>
      </c>
      <c r="I2141" s="153">
        <v>14501.04</v>
      </c>
      <c r="J2141" s="153">
        <v>4574.55</v>
      </c>
      <c r="K2141" s="153">
        <v>4987.68</v>
      </c>
      <c r="L2141" s="43">
        <v>7.7622700425479749</v>
      </c>
      <c r="M2141" s="43">
        <v>11.5</v>
      </c>
      <c r="N2141" s="43">
        <v>5.1405791727067394</v>
      </c>
      <c r="O2141" s="43">
        <v>5.2547251311658494</v>
      </c>
      <c r="P2141" s="154"/>
      <c r="Q2141" s="154"/>
      <c r="R2141" s="154">
        <v>3</v>
      </c>
    </row>
    <row r="2142" spans="1:18" ht="36">
      <c r="A2142" s="150">
        <v>477</v>
      </c>
      <c r="B2142" s="147" t="s">
        <v>3915</v>
      </c>
      <c r="C2142" s="151" t="s">
        <v>3916</v>
      </c>
      <c r="D2142" s="152">
        <v>2601.4899999999998</v>
      </c>
      <c r="E2142" s="152">
        <v>610.12</v>
      </c>
      <c r="F2142" s="152">
        <v>1302.1600000000001</v>
      </c>
      <c r="G2142" s="152">
        <v>689.21</v>
      </c>
      <c r="H2142" s="153">
        <v>17080.79</v>
      </c>
      <c r="I2142" s="153">
        <v>7016.63</v>
      </c>
      <c r="J2142" s="153">
        <v>6640.16</v>
      </c>
      <c r="K2142" s="153">
        <v>3424</v>
      </c>
      <c r="L2142" s="43">
        <v>6.5657719230133509</v>
      </c>
      <c r="M2142" s="43">
        <v>11.500409755457943</v>
      </c>
      <c r="N2142" s="43">
        <v>5.0993426307059035</v>
      </c>
      <c r="O2142" s="43">
        <v>4.9680068484206554</v>
      </c>
      <c r="P2142" s="154"/>
      <c r="Q2142" s="154"/>
      <c r="R2142" s="154">
        <v>3</v>
      </c>
    </row>
    <row r="2143" spans="1:18" ht="36">
      <c r="A2143" s="150">
        <v>478</v>
      </c>
      <c r="B2143" s="147" t="s">
        <v>3917</v>
      </c>
      <c r="C2143" s="151" t="s">
        <v>3918</v>
      </c>
      <c r="D2143" s="152">
        <v>2734.57</v>
      </c>
      <c r="E2143" s="152">
        <v>554.97</v>
      </c>
      <c r="F2143" s="152">
        <v>893.09</v>
      </c>
      <c r="G2143" s="152">
        <v>1286.51</v>
      </c>
      <c r="H2143" s="153">
        <v>16422.810000000001</v>
      </c>
      <c r="I2143" s="153">
        <v>6382.36</v>
      </c>
      <c r="J2143" s="153">
        <v>4657.51</v>
      </c>
      <c r="K2143" s="153">
        <v>5382.94</v>
      </c>
      <c r="L2143" s="43">
        <v>6.0056279415045148</v>
      </c>
      <c r="M2143" s="43">
        <v>11.50036938933636</v>
      </c>
      <c r="N2143" s="43">
        <v>5.2150511146692944</v>
      </c>
      <c r="O2143" s="43">
        <v>4.1841415923700556</v>
      </c>
      <c r="P2143" s="154"/>
      <c r="Q2143" s="154"/>
      <c r="R2143" s="154">
        <v>3</v>
      </c>
    </row>
    <row r="2144" spans="1:18" ht="36">
      <c r="A2144" s="150">
        <v>479</v>
      </c>
      <c r="B2144" s="147" t="s">
        <v>3919</v>
      </c>
      <c r="C2144" s="151" t="s">
        <v>3920</v>
      </c>
      <c r="D2144" s="152">
        <v>4384.88</v>
      </c>
      <c r="E2144" s="152">
        <v>764.53</v>
      </c>
      <c r="F2144" s="152">
        <v>2524.71</v>
      </c>
      <c r="G2144" s="152">
        <v>1095.6400000000001</v>
      </c>
      <c r="H2144" s="153">
        <v>27113.86</v>
      </c>
      <c r="I2144" s="153">
        <v>8792.07</v>
      </c>
      <c r="J2144" s="153">
        <v>12950.83</v>
      </c>
      <c r="K2144" s="153">
        <v>5370.96</v>
      </c>
      <c r="L2144" s="43">
        <v>6.1834896279943807</v>
      </c>
      <c r="M2144" s="43">
        <v>11.499967300171347</v>
      </c>
      <c r="N2144" s="43">
        <v>5.1296307298660047</v>
      </c>
      <c r="O2144" s="43">
        <v>4.9021211346792741</v>
      </c>
      <c r="P2144" s="154"/>
      <c r="Q2144" s="154"/>
      <c r="R2144" s="154">
        <v>3</v>
      </c>
    </row>
    <row r="2145" spans="1:18" ht="36">
      <c r="A2145" s="150">
        <v>480</v>
      </c>
      <c r="B2145" s="147" t="s">
        <v>3921</v>
      </c>
      <c r="C2145" s="151" t="s">
        <v>3922</v>
      </c>
      <c r="D2145" s="152">
        <v>3848.34</v>
      </c>
      <c r="E2145" s="152">
        <v>692.85</v>
      </c>
      <c r="F2145" s="152">
        <v>1412.91</v>
      </c>
      <c r="G2145" s="152">
        <v>1742.58</v>
      </c>
      <c r="H2145" s="153">
        <v>22440.77</v>
      </c>
      <c r="I2145" s="153">
        <v>7968.04</v>
      </c>
      <c r="J2145" s="153">
        <v>7143.07</v>
      </c>
      <c r="K2145" s="153">
        <v>7329.66</v>
      </c>
      <c r="L2145" s="43">
        <v>5.8312856972097062</v>
      </c>
      <c r="M2145" s="43">
        <v>11.500382478169877</v>
      </c>
      <c r="N2145" s="43">
        <v>5.0555732495346479</v>
      </c>
      <c r="O2145" s="43">
        <v>4.206211479530352</v>
      </c>
      <c r="P2145" s="154"/>
      <c r="Q2145" s="154"/>
      <c r="R2145" s="154">
        <v>3</v>
      </c>
    </row>
    <row r="2146" spans="1:18" ht="12.75" customHeight="1">
      <c r="A2146" s="628" t="s">
        <v>3923</v>
      </c>
      <c r="B2146" s="629"/>
      <c r="C2146" s="629"/>
      <c r="D2146" s="629"/>
      <c r="E2146" s="629"/>
      <c r="F2146" s="629"/>
      <c r="G2146" s="629"/>
      <c r="H2146" s="629"/>
      <c r="I2146" s="629"/>
      <c r="J2146" s="629"/>
      <c r="K2146" s="629"/>
      <c r="L2146" s="629"/>
      <c r="M2146" s="629"/>
      <c r="N2146" s="629"/>
      <c r="O2146" s="629"/>
      <c r="P2146" s="629"/>
      <c r="Q2146" s="629"/>
      <c r="R2146" s="629"/>
    </row>
    <row r="2147" spans="1:18" ht="36">
      <c r="A2147" s="150">
        <v>481</v>
      </c>
      <c r="B2147" s="147" t="s">
        <v>3924</v>
      </c>
      <c r="C2147" s="151" t="s">
        <v>3925</v>
      </c>
      <c r="D2147" s="152">
        <v>34391.42</v>
      </c>
      <c r="E2147" s="152">
        <v>11140.74</v>
      </c>
      <c r="F2147" s="152">
        <v>15917.9</v>
      </c>
      <c r="G2147" s="152">
        <v>7332.78</v>
      </c>
      <c r="H2147" s="153">
        <v>232448.64000000001</v>
      </c>
      <c r="I2147" s="153">
        <v>128118.51</v>
      </c>
      <c r="J2147" s="153">
        <v>74547.41</v>
      </c>
      <c r="K2147" s="153">
        <v>29782.720000000001</v>
      </c>
      <c r="L2147" s="43">
        <v>6.758913705802204</v>
      </c>
      <c r="M2147" s="43">
        <v>11.5</v>
      </c>
      <c r="N2147" s="43">
        <v>4.6832440208821522</v>
      </c>
      <c r="O2147" s="43">
        <v>4.0615864651605529</v>
      </c>
      <c r="P2147" s="154"/>
      <c r="Q2147" s="154"/>
      <c r="R2147" s="154">
        <v>4</v>
      </c>
    </row>
    <row r="2148" spans="1:18" ht="36">
      <c r="A2148" s="150">
        <v>482</v>
      </c>
      <c r="B2148" s="147" t="s">
        <v>3926</v>
      </c>
      <c r="C2148" s="151" t="s">
        <v>3927</v>
      </c>
      <c r="D2148" s="152">
        <v>10621.83</v>
      </c>
      <c r="E2148" s="152">
        <v>3300.96</v>
      </c>
      <c r="F2148" s="152">
        <v>5136.93</v>
      </c>
      <c r="G2148" s="152">
        <v>2183.94</v>
      </c>
      <c r="H2148" s="153">
        <v>70890.100000000006</v>
      </c>
      <c r="I2148" s="153">
        <v>37961.040000000001</v>
      </c>
      <c r="J2148" s="153">
        <v>23898.57</v>
      </c>
      <c r="K2148" s="153">
        <v>9030.49</v>
      </c>
      <c r="L2148" s="43">
        <v>6.6740006194789414</v>
      </c>
      <c r="M2148" s="43">
        <v>11.5</v>
      </c>
      <c r="N2148" s="43">
        <v>4.6523059492732033</v>
      </c>
      <c r="O2148" s="43">
        <v>4.1349533412090071</v>
      </c>
      <c r="P2148" s="154"/>
      <c r="Q2148" s="154"/>
      <c r="R2148" s="154">
        <v>4</v>
      </c>
    </row>
    <row r="2149" spans="1:18" ht="36">
      <c r="A2149" s="150">
        <v>483</v>
      </c>
      <c r="B2149" s="147" t="s">
        <v>3928</v>
      </c>
      <c r="C2149" s="151" t="s">
        <v>3929</v>
      </c>
      <c r="D2149" s="152">
        <v>7498.43</v>
      </c>
      <c r="E2149" s="152">
        <v>2496.88</v>
      </c>
      <c r="F2149" s="152">
        <v>3418.55</v>
      </c>
      <c r="G2149" s="152">
        <v>1583</v>
      </c>
      <c r="H2149" s="153">
        <v>51351.54</v>
      </c>
      <c r="I2149" s="153">
        <v>28714.12</v>
      </c>
      <c r="J2149" s="153">
        <v>16052.01</v>
      </c>
      <c r="K2149" s="153">
        <v>6585.41</v>
      </c>
      <c r="L2149" s="43">
        <v>6.8483055786344611</v>
      </c>
      <c r="M2149" s="43">
        <v>11.499999999999998</v>
      </c>
      <c r="N2149" s="43">
        <v>4.6955609834578986</v>
      </c>
      <c r="O2149" s="43">
        <v>4.1600821225521161</v>
      </c>
      <c r="P2149" s="154"/>
      <c r="Q2149" s="154"/>
      <c r="R2149" s="154">
        <v>4</v>
      </c>
    </row>
    <row r="2150" spans="1:18" ht="36">
      <c r="A2150" s="150">
        <v>484</v>
      </c>
      <c r="B2150" s="147" t="s">
        <v>3930</v>
      </c>
      <c r="C2150" s="151" t="s">
        <v>3931</v>
      </c>
      <c r="D2150" s="152">
        <v>26651.54</v>
      </c>
      <c r="E2150" s="152">
        <v>9331.56</v>
      </c>
      <c r="F2150" s="152">
        <v>11864.8</v>
      </c>
      <c r="G2150" s="152">
        <v>5455.18</v>
      </c>
      <c r="H2150" s="153">
        <v>185406.55</v>
      </c>
      <c r="I2150" s="153">
        <v>107312.94</v>
      </c>
      <c r="J2150" s="153">
        <v>55745.02</v>
      </c>
      <c r="K2150" s="153">
        <v>22348.59</v>
      </c>
      <c r="L2150" s="43">
        <v>6.9566918084283307</v>
      </c>
      <c r="M2150" s="43">
        <v>11.5</v>
      </c>
      <c r="N2150" s="43">
        <v>4.6983531117254396</v>
      </c>
      <c r="O2150" s="43">
        <v>4.0967649096821734</v>
      </c>
      <c r="P2150" s="154"/>
      <c r="Q2150" s="154"/>
      <c r="R2150" s="154">
        <v>4</v>
      </c>
    </row>
    <row r="2151" spans="1:18" ht="36">
      <c r="A2151" s="150">
        <v>485</v>
      </c>
      <c r="B2151" s="147" t="s">
        <v>3932</v>
      </c>
      <c r="C2151" s="151" t="s">
        <v>3933</v>
      </c>
      <c r="D2151" s="152">
        <v>13083.72</v>
      </c>
      <c r="E2151" s="152">
        <v>4358.97</v>
      </c>
      <c r="F2151" s="152">
        <v>5955.14</v>
      </c>
      <c r="G2151" s="152">
        <v>2769.61</v>
      </c>
      <c r="H2151" s="153">
        <v>89412.51</v>
      </c>
      <c r="I2151" s="153">
        <v>50130.19</v>
      </c>
      <c r="J2151" s="153">
        <v>27897.23</v>
      </c>
      <c r="K2151" s="153">
        <v>11385.09</v>
      </c>
      <c r="L2151" s="43">
        <v>6.8338752281461232</v>
      </c>
      <c r="M2151" s="43">
        <v>11.50046685340803</v>
      </c>
      <c r="N2151" s="43">
        <v>4.6845632512417845</v>
      </c>
      <c r="O2151" s="43">
        <v>4.1107195597936173</v>
      </c>
      <c r="P2151" s="154"/>
      <c r="Q2151" s="154"/>
      <c r="R2151" s="154">
        <v>4</v>
      </c>
    </row>
    <row r="2152" spans="1:18" ht="36">
      <c r="A2152" s="150">
        <v>486</v>
      </c>
      <c r="B2152" s="147" t="s">
        <v>3934</v>
      </c>
      <c r="C2152" s="151" t="s">
        <v>3935</v>
      </c>
      <c r="D2152" s="152">
        <v>9351.52</v>
      </c>
      <c r="E2152" s="152">
        <v>3099.94</v>
      </c>
      <c r="F2152" s="152">
        <v>4275.0200000000004</v>
      </c>
      <c r="G2152" s="152">
        <v>1976.56</v>
      </c>
      <c r="H2152" s="153">
        <v>63873.55</v>
      </c>
      <c r="I2152" s="153">
        <v>35649.31</v>
      </c>
      <c r="J2152" s="153">
        <v>20049.150000000001</v>
      </c>
      <c r="K2152" s="153">
        <v>8175.09</v>
      </c>
      <c r="L2152" s="43">
        <v>6.8302853439868603</v>
      </c>
      <c r="M2152" s="43">
        <v>11.499999999999998</v>
      </c>
      <c r="N2152" s="43">
        <v>4.6898377083615985</v>
      </c>
      <c r="O2152" s="43">
        <v>4.1360191443720407</v>
      </c>
      <c r="P2152" s="154"/>
      <c r="Q2152" s="154"/>
      <c r="R2152" s="154">
        <v>4</v>
      </c>
    </row>
    <row r="2153" spans="1:18" ht="36">
      <c r="A2153" s="150">
        <v>487</v>
      </c>
      <c r="B2153" s="147" t="s">
        <v>3936</v>
      </c>
      <c r="C2153" s="151" t="s">
        <v>3937</v>
      </c>
      <c r="D2153" s="152">
        <v>6150.92</v>
      </c>
      <c r="E2153" s="152">
        <v>2013.48</v>
      </c>
      <c r="F2153" s="152">
        <v>2466.39</v>
      </c>
      <c r="G2153" s="152">
        <v>1671.05</v>
      </c>
      <c r="H2153" s="153">
        <v>41600.21</v>
      </c>
      <c r="I2153" s="153">
        <v>23155.96</v>
      </c>
      <c r="J2153" s="153">
        <v>11597.77</v>
      </c>
      <c r="K2153" s="153">
        <v>6846.48</v>
      </c>
      <c r="L2153" s="43">
        <v>6.7632500503989643</v>
      </c>
      <c r="M2153" s="43">
        <v>11.50046685340803</v>
      </c>
      <c r="N2153" s="43">
        <v>4.7023260717080433</v>
      </c>
      <c r="O2153" s="43">
        <v>4.0971125938781006</v>
      </c>
      <c r="P2153" s="154"/>
      <c r="Q2153" s="154"/>
      <c r="R2153" s="154">
        <v>4</v>
      </c>
    </row>
    <row r="2154" spans="1:18" ht="36">
      <c r="A2154" s="150">
        <v>488</v>
      </c>
      <c r="B2154" s="147" t="s">
        <v>3938</v>
      </c>
      <c r="C2154" s="151" t="s">
        <v>3939</v>
      </c>
      <c r="D2154" s="152">
        <v>3668.76</v>
      </c>
      <c r="E2154" s="152">
        <v>1246.5999999999999</v>
      </c>
      <c r="F2154" s="152">
        <v>1469.25</v>
      </c>
      <c r="G2154" s="152">
        <v>952.91</v>
      </c>
      <c r="H2154" s="153">
        <v>25181.32</v>
      </c>
      <c r="I2154" s="153">
        <v>14335.9</v>
      </c>
      <c r="J2154" s="153">
        <v>6926.76</v>
      </c>
      <c r="K2154" s="153">
        <v>3918.66</v>
      </c>
      <c r="L2154" s="43">
        <v>6.8637141704554123</v>
      </c>
      <c r="M2154" s="43">
        <v>11.5</v>
      </c>
      <c r="N2154" s="43">
        <v>4.7144869831546705</v>
      </c>
      <c r="O2154" s="43">
        <v>4.1123086125657196</v>
      </c>
      <c r="P2154" s="154"/>
      <c r="Q2154" s="154"/>
      <c r="R2154" s="154">
        <v>4</v>
      </c>
    </row>
    <row r="2155" spans="1:18" ht="12.75" customHeight="1">
      <c r="A2155" s="628" t="s">
        <v>3940</v>
      </c>
      <c r="B2155" s="629"/>
      <c r="C2155" s="629"/>
      <c r="D2155" s="629"/>
      <c r="E2155" s="629"/>
      <c r="F2155" s="629"/>
      <c r="G2155" s="629"/>
      <c r="H2155" s="629"/>
      <c r="I2155" s="629"/>
      <c r="J2155" s="629"/>
      <c r="K2155" s="629"/>
      <c r="L2155" s="629"/>
      <c r="M2155" s="629"/>
      <c r="N2155" s="629"/>
      <c r="O2155" s="629"/>
      <c r="P2155" s="629"/>
      <c r="Q2155" s="629"/>
      <c r="R2155" s="629"/>
    </row>
    <row r="2156" spans="1:18" ht="36">
      <c r="A2156" s="150">
        <v>489</v>
      </c>
      <c r="B2156" s="147" t="s">
        <v>3941</v>
      </c>
      <c r="C2156" s="151" t="s">
        <v>3942</v>
      </c>
      <c r="D2156" s="152">
        <v>165306.32</v>
      </c>
      <c r="E2156" s="152">
        <v>73126.64</v>
      </c>
      <c r="F2156" s="152">
        <v>75732.91</v>
      </c>
      <c r="G2156" s="152">
        <v>16446.77</v>
      </c>
      <c r="H2156" s="153">
        <v>1274447.77</v>
      </c>
      <c r="I2156" s="153">
        <v>840956.36</v>
      </c>
      <c r="J2156" s="153">
        <v>354680.22</v>
      </c>
      <c r="K2156" s="153">
        <v>78811.19</v>
      </c>
      <c r="L2156" s="43">
        <v>7.7096130988821239</v>
      </c>
      <c r="M2156" s="43">
        <v>11.5</v>
      </c>
      <c r="N2156" s="43">
        <v>4.6833037314953296</v>
      </c>
      <c r="O2156" s="43">
        <v>4.7918947002967753</v>
      </c>
      <c r="P2156" s="154"/>
      <c r="Q2156" s="154"/>
      <c r="R2156" s="154">
        <v>5</v>
      </c>
    </row>
    <row r="2157" spans="1:18" ht="36">
      <c r="A2157" s="150">
        <v>490</v>
      </c>
      <c r="B2157" s="147" t="s">
        <v>3943</v>
      </c>
      <c r="C2157" s="151" t="s">
        <v>3944</v>
      </c>
      <c r="D2157" s="152">
        <v>23931.85</v>
      </c>
      <c r="E2157" s="152">
        <v>10662.84</v>
      </c>
      <c r="F2157" s="152">
        <v>10958.09</v>
      </c>
      <c r="G2157" s="152">
        <v>2310.92</v>
      </c>
      <c r="H2157" s="153">
        <v>185115.26</v>
      </c>
      <c r="I2157" s="153">
        <v>122627.52</v>
      </c>
      <c r="J2157" s="153">
        <v>51356.2</v>
      </c>
      <c r="K2157" s="153">
        <v>11131.54</v>
      </c>
      <c r="L2157" s="43">
        <v>7.7351002952132832</v>
      </c>
      <c r="M2157" s="43">
        <v>11.500455788514129</v>
      </c>
      <c r="N2157" s="43">
        <v>4.686601405901941</v>
      </c>
      <c r="O2157" s="43">
        <v>4.8169300538313751</v>
      </c>
      <c r="P2157" s="154"/>
      <c r="Q2157" s="154"/>
      <c r="R2157" s="154">
        <v>5</v>
      </c>
    </row>
    <row r="2158" spans="1:18" ht="36">
      <c r="A2158" s="150">
        <v>491</v>
      </c>
      <c r="B2158" s="147" t="s">
        <v>3945</v>
      </c>
      <c r="C2158" s="151" t="s">
        <v>3946</v>
      </c>
      <c r="D2158" s="152">
        <v>11347.54</v>
      </c>
      <c r="E2158" s="152">
        <v>5409.16</v>
      </c>
      <c r="F2158" s="152">
        <v>4922.1099999999997</v>
      </c>
      <c r="G2158" s="152">
        <v>1016.27</v>
      </c>
      <c r="H2158" s="153">
        <v>90269.98</v>
      </c>
      <c r="I2158" s="153">
        <v>62205.34</v>
      </c>
      <c r="J2158" s="153">
        <v>23061.67</v>
      </c>
      <c r="K2158" s="153">
        <v>5002.97</v>
      </c>
      <c r="L2158" s="43">
        <v>7.9550263757607365</v>
      </c>
      <c r="M2158" s="43">
        <v>11.5</v>
      </c>
      <c r="N2158" s="43">
        <v>4.6853219452633121</v>
      </c>
      <c r="O2158" s="43">
        <v>4.9228748265716789</v>
      </c>
      <c r="P2158" s="154"/>
      <c r="Q2158" s="154"/>
      <c r="R2158" s="154">
        <v>5</v>
      </c>
    </row>
    <row r="2159" spans="1:18" ht="24">
      <c r="A2159" s="150">
        <v>492</v>
      </c>
      <c r="B2159" s="147" t="s">
        <v>3947</v>
      </c>
      <c r="C2159" s="151" t="s">
        <v>3948</v>
      </c>
      <c r="D2159" s="152">
        <v>2536.7800000000002</v>
      </c>
      <c r="E2159" s="152">
        <v>942</v>
      </c>
      <c r="F2159" s="152">
        <v>1433.21</v>
      </c>
      <c r="G2159" s="152">
        <v>161.57</v>
      </c>
      <c r="H2159" s="153">
        <v>18527.849999999999</v>
      </c>
      <c r="I2159" s="153">
        <v>10832.95</v>
      </c>
      <c r="J2159" s="153">
        <v>6887.52</v>
      </c>
      <c r="K2159" s="153">
        <v>807.38</v>
      </c>
      <c r="L2159" s="43">
        <v>7.3036881400830964</v>
      </c>
      <c r="M2159" s="43">
        <v>11.499946921443737</v>
      </c>
      <c r="N2159" s="43">
        <v>4.8056600219088619</v>
      </c>
      <c r="O2159" s="43">
        <v>4.9970910441294798</v>
      </c>
      <c r="P2159" s="154"/>
      <c r="Q2159" s="154"/>
      <c r="R2159" s="154">
        <v>5</v>
      </c>
    </row>
    <row r="2160" spans="1:18" ht="12.75" customHeight="1">
      <c r="A2160" s="628" t="s">
        <v>3949</v>
      </c>
      <c r="B2160" s="629"/>
      <c r="C2160" s="629"/>
      <c r="D2160" s="629"/>
      <c r="E2160" s="629"/>
      <c r="F2160" s="629"/>
      <c r="G2160" s="629"/>
      <c r="H2160" s="629"/>
      <c r="I2160" s="629"/>
      <c r="J2160" s="629"/>
      <c r="K2160" s="629"/>
      <c r="L2160" s="629"/>
      <c r="M2160" s="629"/>
      <c r="N2160" s="629"/>
      <c r="O2160" s="629"/>
      <c r="P2160" s="629"/>
      <c r="Q2160" s="629"/>
      <c r="R2160" s="629"/>
    </row>
    <row r="2161" spans="1:18" ht="24">
      <c r="A2161" s="150">
        <v>493</v>
      </c>
      <c r="B2161" s="147" t="s">
        <v>3950</v>
      </c>
      <c r="C2161" s="151" t="s">
        <v>3951</v>
      </c>
      <c r="D2161" s="152">
        <v>1516.69</v>
      </c>
      <c r="E2161" s="152">
        <v>721.94</v>
      </c>
      <c r="F2161" s="152">
        <v>524.74</v>
      </c>
      <c r="G2161" s="152">
        <v>270.01</v>
      </c>
      <c r="H2161" s="153">
        <v>12078.53</v>
      </c>
      <c r="I2161" s="153">
        <v>8302.36</v>
      </c>
      <c r="J2161" s="153">
        <v>2551.09</v>
      </c>
      <c r="K2161" s="153">
        <v>1225.08</v>
      </c>
      <c r="L2161" s="43">
        <v>7.9637434149364736</v>
      </c>
      <c r="M2161" s="43">
        <v>11.500069257833061</v>
      </c>
      <c r="N2161" s="43">
        <v>4.8616267103708504</v>
      </c>
      <c r="O2161" s="43">
        <v>4.5371652901744381</v>
      </c>
      <c r="P2161" s="154"/>
      <c r="Q2161" s="154"/>
      <c r="R2161" s="154">
        <v>6</v>
      </c>
    </row>
    <row r="2162" spans="1:18" ht="24">
      <c r="A2162" s="150">
        <v>494</v>
      </c>
      <c r="B2162" s="147" t="s">
        <v>3952</v>
      </c>
      <c r="C2162" s="151" t="s">
        <v>3953</v>
      </c>
      <c r="D2162" s="152">
        <v>1482.16</v>
      </c>
      <c r="E2162" s="152">
        <v>620.49</v>
      </c>
      <c r="F2162" s="152">
        <v>699.35</v>
      </c>
      <c r="G2162" s="152">
        <v>162.32</v>
      </c>
      <c r="H2162" s="153">
        <v>11432.51</v>
      </c>
      <c r="I2162" s="153">
        <v>7135.64</v>
      </c>
      <c r="J2162" s="153">
        <v>3512.96</v>
      </c>
      <c r="K2162" s="153">
        <v>783.91</v>
      </c>
      <c r="L2162" s="43">
        <v>7.7134115075295515</v>
      </c>
      <c r="M2162" s="43">
        <v>11.500008058147593</v>
      </c>
      <c r="N2162" s="43">
        <v>5.0231786659040534</v>
      </c>
      <c r="O2162" s="43">
        <v>4.8294110399211432</v>
      </c>
      <c r="P2162" s="154"/>
      <c r="Q2162" s="154"/>
      <c r="R2162" s="154">
        <v>6</v>
      </c>
    </row>
    <row r="2163" spans="1:18" ht="24">
      <c r="A2163" s="150">
        <v>495</v>
      </c>
      <c r="B2163" s="147" t="s">
        <v>3954</v>
      </c>
      <c r="C2163" s="151" t="s">
        <v>3955</v>
      </c>
      <c r="D2163" s="152">
        <v>968.72</v>
      </c>
      <c r="E2163" s="152">
        <v>479.39</v>
      </c>
      <c r="F2163" s="152">
        <v>371.61</v>
      </c>
      <c r="G2163" s="152">
        <v>117.72</v>
      </c>
      <c r="H2163" s="153">
        <v>7916.79</v>
      </c>
      <c r="I2163" s="153">
        <v>5513.19</v>
      </c>
      <c r="J2163" s="153">
        <v>1817.64</v>
      </c>
      <c r="K2163" s="153">
        <v>585.96</v>
      </c>
      <c r="L2163" s="43">
        <v>8.1724234040796091</v>
      </c>
      <c r="M2163" s="43">
        <v>11.500427626775693</v>
      </c>
      <c r="N2163" s="43">
        <v>4.8912569629450227</v>
      </c>
      <c r="O2163" s="43">
        <v>4.9775739041794091</v>
      </c>
      <c r="P2163" s="154"/>
      <c r="Q2163" s="154"/>
      <c r="R2163" s="154">
        <v>6</v>
      </c>
    </row>
    <row r="2164" spans="1:18" ht="24">
      <c r="A2164" s="150">
        <v>496</v>
      </c>
      <c r="B2164" s="147" t="s">
        <v>3956</v>
      </c>
      <c r="C2164" s="151" t="s">
        <v>3957</v>
      </c>
      <c r="D2164" s="152">
        <v>760.24</v>
      </c>
      <c r="E2164" s="152">
        <v>366.3</v>
      </c>
      <c r="F2164" s="152">
        <v>302.54000000000002</v>
      </c>
      <c r="G2164" s="152">
        <v>91.4</v>
      </c>
      <c r="H2164" s="153">
        <v>6167.85</v>
      </c>
      <c r="I2164" s="153">
        <v>4212.45</v>
      </c>
      <c r="J2164" s="153">
        <v>1490.24</v>
      </c>
      <c r="K2164" s="153">
        <v>465.16</v>
      </c>
      <c r="L2164" s="43">
        <v>8.1130300957592336</v>
      </c>
      <c r="M2164" s="43">
        <v>11.5</v>
      </c>
      <c r="N2164" s="43">
        <v>4.9257618827262508</v>
      </c>
      <c r="O2164" s="43">
        <v>5.0892778993435446</v>
      </c>
      <c r="P2164" s="154"/>
      <c r="Q2164" s="154"/>
      <c r="R2164" s="154">
        <v>6</v>
      </c>
    </row>
    <row r="2165" spans="1:18" ht="24">
      <c r="A2165" s="150">
        <v>497</v>
      </c>
      <c r="B2165" s="147" t="s">
        <v>3958</v>
      </c>
      <c r="C2165" s="151" t="s">
        <v>3959</v>
      </c>
      <c r="D2165" s="152">
        <v>13747.77</v>
      </c>
      <c r="E2165" s="152">
        <v>1390.29</v>
      </c>
      <c r="F2165" s="152">
        <v>3322.17</v>
      </c>
      <c r="G2165" s="152">
        <v>9035.31</v>
      </c>
      <c r="H2165" s="153">
        <v>68839.75</v>
      </c>
      <c r="I2165" s="153">
        <v>15988.94</v>
      </c>
      <c r="J2165" s="153">
        <v>17382.810000000001</v>
      </c>
      <c r="K2165" s="153">
        <v>35468</v>
      </c>
      <c r="L2165" s="43">
        <v>5.0073393721308985</v>
      </c>
      <c r="M2165" s="43">
        <v>11.500435161009575</v>
      </c>
      <c r="N2165" s="43">
        <v>5.2323661943849959</v>
      </c>
      <c r="O2165" s="43">
        <v>3.9254878913949827</v>
      </c>
      <c r="P2165" s="154"/>
      <c r="Q2165" s="154"/>
      <c r="R2165" s="154">
        <v>6</v>
      </c>
    </row>
    <row r="2166" spans="1:18" ht="24">
      <c r="A2166" s="150">
        <v>498</v>
      </c>
      <c r="B2166" s="147" t="s">
        <v>3960</v>
      </c>
      <c r="C2166" s="151" t="s">
        <v>3961</v>
      </c>
      <c r="D2166" s="152">
        <v>7672.87</v>
      </c>
      <c r="E2166" s="152">
        <v>1443</v>
      </c>
      <c r="F2166" s="152">
        <v>1388.01</v>
      </c>
      <c r="G2166" s="152">
        <v>4841.8599999999997</v>
      </c>
      <c r="H2166" s="153">
        <v>42907.69</v>
      </c>
      <c r="I2166" s="153">
        <v>16594.5</v>
      </c>
      <c r="J2166" s="153">
        <v>7316.65</v>
      </c>
      <c r="K2166" s="153">
        <v>18996.54</v>
      </c>
      <c r="L2166" s="43">
        <v>5.5921304544453383</v>
      </c>
      <c r="M2166" s="43">
        <v>11.5</v>
      </c>
      <c r="N2166" s="43">
        <v>5.271323693633331</v>
      </c>
      <c r="O2166" s="43">
        <v>3.9233972068585219</v>
      </c>
      <c r="P2166" s="154"/>
      <c r="Q2166" s="154"/>
      <c r="R2166" s="154">
        <v>6</v>
      </c>
    </row>
    <row r="2167" spans="1:18" ht="24">
      <c r="A2167" s="150">
        <v>499</v>
      </c>
      <c r="B2167" s="147" t="s">
        <v>3962</v>
      </c>
      <c r="C2167" s="151" t="s">
        <v>3963</v>
      </c>
      <c r="D2167" s="152">
        <v>5745.09</v>
      </c>
      <c r="E2167" s="152">
        <v>713.05</v>
      </c>
      <c r="F2167" s="152">
        <v>1354.61</v>
      </c>
      <c r="G2167" s="152">
        <v>3677.43</v>
      </c>
      <c r="H2167" s="153">
        <v>31264.65</v>
      </c>
      <c r="I2167" s="153">
        <v>8200.4</v>
      </c>
      <c r="J2167" s="153">
        <v>7145.52</v>
      </c>
      <c r="K2167" s="153">
        <v>15918.73</v>
      </c>
      <c r="L2167" s="43">
        <v>5.4419774102755571</v>
      </c>
      <c r="M2167" s="43">
        <v>11.500455788514129</v>
      </c>
      <c r="N2167" s="43">
        <v>5.2749647500018462</v>
      </c>
      <c r="O2167" s="43">
        <v>4.3287649255050402</v>
      </c>
      <c r="P2167" s="154"/>
      <c r="Q2167" s="154"/>
      <c r="R2167" s="154">
        <v>6</v>
      </c>
    </row>
    <row r="2168" spans="1:18" ht="24">
      <c r="A2168" s="150">
        <v>500</v>
      </c>
      <c r="B2168" s="147" t="s">
        <v>3964</v>
      </c>
      <c r="C2168" s="151" t="s">
        <v>3965</v>
      </c>
      <c r="D2168" s="152">
        <v>3812.69</v>
      </c>
      <c r="E2168" s="152">
        <v>535.02</v>
      </c>
      <c r="F2168" s="152">
        <v>1017.87</v>
      </c>
      <c r="G2168" s="152">
        <v>2259.8000000000002</v>
      </c>
      <c r="H2168" s="153">
        <v>20511.810000000001</v>
      </c>
      <c r="I2168" s="153">
        <v>6152.78</v>
      </c>
      <c r="J2168" s="153">
        <v>5387.09</v>
      </c>
      <c r="K2168" s="153">
        <v>8971.94</v>
      </c>
      <c r="L2168" s="43">
        <v>5.3798787732545792</v>
      </c>
      <c r="M2168" s="43">
        <v>11.500093454450301</v>
      </c>
      <c r="N2168" s="43">
        <v>5.2925127963295902</v>
      </c>
      <c r="O2168" s="43">
        <v>3.9702363040977078</v>
      </c>
      <c r="P2168" s="154"/>
      <c r="Q2168" s="154"/>
      <c r="R2168" s="154">
        <v>6</v>
      </c>
    </row>
    <row r="2169" spans="1:18" ht="12.75" customHeight="1">
      <c r="A2169" s="628" t="s">
        <v>3966</v>
      </c>
      <c r="B2169" s="629"/>
      <c r="C2169" s="629"/>
      <c r="D2169" s="629"/>
      <c r="E2169" s="629"/>
      <c r="F2169" s="629"/>
      <c r="G2169" s="629"/>
      <c r="H2169" s="629"/>
      <c r="I2169" s="629"/>
      <c r="J2169" s="629"/>
      <c r="K2169" s="629"/>
      <c r="L2169" s="629"/>
      <c r="M2169" s="629"/>
      <c r="N2169" s="629"/>
      <c r="O2169" s="629"/>
      <c r="P2169" s="629"/>
      <c r="Q2169" s="629"/>
      <c r="R2169" s="629"/>
    </row>
    <row r="2170" spans="1:18" ht="18" customHeight="1">
      <c r="A2170" s="628" t="s">
        <v>3967</v>
      </c>
      <c r="B2170" s="629"/>
      <c r="C2170" s="629"/>
      <c r="D2170" s="629"/>
      <c r="E2170" s="629"/>
      <c r="F2170" s="629"/>
      <c r="G2170" s="629"/>
      <c r="H2170" s="629"/>
      <c r="I2170" s="629"/>
      <c r="J2170" s="629"/>
      <c r="K2170" s="629"/>
      <c r="L2170" s="629"/>
      <c r="M2170" s="629"/>
      <c r="N2170" s="629"/>
      <c r="O2170" s="629"/>
      <c r="P2170" s="629"/>
      <c r="Q2170" s="629"/>
      <c r="R2170" s="629"/>
    </row>
    <row r="2171" spans="1:18" ht="36">
      <c r="A2171" s="150">
        <v>501</v>
      </c>
      <c r="B2171" s="147" t="s">
        <v>3968</v>
      </c>
      <c r="C2171" s="151" t="s">
        <v>3969</v>
      </c>
      <c r="D2171" s="152">
        <v>13531.46</v>
      </c>
      <c r="E2171" s="152">
        <v>4728.07</v>
      </c>
      <c r="F2171" s="152">
        <v>5751.85</v>
      </c>
      <c r="G2171" s="152">
        <v>3051.54</v>
      </c>
      <c r="H2171" s="153">
        <v>94272.68</v>
      </c>
      <c r="I2171" s="153">
        <v>54374.96</v>
      </c>
      <c r="J2171" s="153">
        <v>26913.33</v>
      </c>
      <c r="K2171" s="153">
        <v>12984.39</v>
      </c>
      <c r="L2171" s="43">
        <v>6.9669259636432432</v>
      </c>
      <c r="M2171" s="43">
        <v>11.500455788514129</v>
      </c>
      <c r="N2171" s="43">
        <v>4.6790736893347358</v>
      </c>
      <c r="O2171" s="43">
        <v>4.2550286085058691</v>
      </c>
      <c r="P2171" s="154"/>
      <c r="Q2171" s="154"/>
      <c r="R2171" s="154">
        <v>1</v>
      </c>
    </row>
    <row r="2172" spans="1:18" ht="36">
      <c r="A2172" s="150">
        <v>502</v>
      </c>
      <c r="B2172" s="147" t="s">
        <v>3970</v>
      </c>
      <c r="C2172" s="151" t="s">
        <v>3971</v>
      </c>
      <c r="D2172" s="152">
        <v>7387.99</v>
      </c>
      <c r="E2172" s="152">
        <v>2961.9</v>
      </c>
      <c r="F2172" s="152">
        <v>2877.11</v>
      </c>
      <c r="G2172" s="152">
        <v>1548.98</v>
      </c>
      <c r="H2172" s="153">
        <v>54280.86</v>
      </c>
      <c r="I2172" s="153">
        <v>34063.199999999997</v>
      </c>
      <c r="J2172" s="153">
        <v>13479.73</v>
      </c>
      <c r="K2172" s="153">
        <v>6737.93</v>
      </c>
      <c r="L2172" s="43">
        <v>7.3471756188083637</v>
      </c>
      <c r="M2172" s="43">
        <v>11.500455788514127</v>
      </c>
      <c r="N2172" s="43">
        <v>4.6851632367201805</v>
      </c>
      <c r="O2172" s="43">
        <v>4.3499141370450234</v>
      </c>
      <c r="P2172" s="154"/>
      <c r="Q2172" s="154"/>
      <c r="R2172" s="154">
        <v>1</v>
      </c>
    </row>
    <row r="2173" spans="1:18" ht="36">
      <c r="A2173" s="150">
        <v>503</v>
      </c>
      <c r="B2173" s="147" t="s">
        <v>3972</v>
      </c>
      <c r="C2173" s="151" t="s">
        <v>3973</v>
      </c>
      <c r="D2173" s="152">
        <v>4843.99</v>
      </c>
      <c r="E2173" s="152">
        <v>1711.32</v>
      </c>
      <c r="F2173" s="152">
        <v>2038.18</v>
      </c>
      <c r="G2173" s="152">
        <v>1094.49</v>
      </c>
      <c r="H2173" s="153">
        <v>33976.17</v>
      </c>
      <c r="I2173" s="153">
        <v>19680.96</v>
      </c>
      <c r="J2173" s="153">
        <v>9562.09</v>
      </c>
      <c r="K2173" s="153">
        <v>4733.12</v>
      </c>
      <c r="L2173" s="43">
        <v>7.0140875600486376</v>
      </c>
      <c r="M2173" s="43">
        <v>11.500455788514129</v>
      </c>
      <c r="N2173" s="43">
        <v>4.6914845597542909</v>
      </c>
      <c r="O2173" s="43">
        <v>4.3244981680965564</v>
      </c>
      <c r="P2173" s="154"/>
      <c r="Q2173" s="154"/>
      <c r="R2173" s="154">
        <v>1</v>
      </c>
    </row>
    <row r="2174" spans="1:18" ht="36">
      <c r="A2174" s="150">
        <v>504</v>
      </c>
      <c r="B2174" s="147" t="s">
        <v>3974</v>
      </c>
      <c r="C2174" s="151" t="s">
        <v>3975</v>
      </c>
      <c r="D2174" s="152">
        <v>3271.7</v>
      </c>
      <c r="E2174" s="152">
        <v>1065.5999999999999</v>
      </c>
      <c r="F2174" s="152">
        <v>1419.56</v>
      </c>
      <c r="G2174" s="152">
        <v>786.54</v>
      </c>
      <c r="H2174" s="153">
        <v>22389.85</v>
      </c>
      <c r="I2174" s="153">
        <v>12254.4</v>
      </c>
      <c r="J2174" s="153">
        <v>6680</v>
      </c>
      <c r="K2174" s="153">
        <v>3455.45</v>
      </c>
      <c r="L2174" s="43">
        <v>6.8434911513891858</v>
      </c>
      <c r="M2174" s="43">
        <v>11.5</v>
      </c>
      <c r="N2174" s="43">
        <v>4.7056834512102341</v>
      </c>
      <c r="O2174" s="43">
        <v>4.3932285707020622</v>
      </c>
      <c r="P2174" s="154"/>
      <c r="Q2174" s="154"/>
      <c r="R2174" s="154">
        <v>1</v>
      </c>
    </row>
    <row r="2175" spans="1:18" ht="36">
      <c r="A2175" s="150">
        <v>505</v>
      </c>
      <c r="B2175" s="147" t="s">
        <v>3976</v>
      </c>
      <c r="C2175" s="151" t="s">
        <v>3977</v>
      </c>
      <c r="D2175" s="152">
        <v>2581.87</v>
      </c>
      <c r="E2175" s="152">
        <v>899.54</v>
      </c>
      <c r="F2175" s="152">
        <v>1072.79</v>
      </c>
      <c r="G2175" s="152">
        <v>609.54</v>
      </c>
      <c r="H2175" s="153">
        <v>18130.73</v>
      </c>
      <c r="I2175" s="153">
        <v>10345.120000000001</v>
      </c>
      <c r="J2175" s="153">
        <v>5062.41</v>
      </c>
      <c r="K2175" s="153">
        <v>2723.2</v>
      </c>
      <c r="L2175" s="43">
        <v>7.0223249040424189</v>
      </c>
      <c r="M2175" s="43">
        <v>11.500455788514131</v>
      </c>
      <c r="N2175" s="43">
        <v>4.7189198258745888</v>
      </c>
      <c r="O2175" s="43">
        <v>4.4676313285428355</v>
      </c>
      <c r="P2175" s="154"/>
      <c r="Q2175" s="154"/>
      <c r="R2175" s="154">
        <v>1</v>
      </c>
    </row>
    <row r="2176" spans="1:18" ht="36">
      <c r="A2176" s="150">
        <v>506</v>
      </c>
      <c r="B2176" s="147" t="s">
        <v>3978</v>
      </c>
      <c r="C2176" s="151" t="s">
        <v>3979</v>
      </c>
      <c r="D2176" s="152">
        <v>1467.1</v>
      </c>
      <c r="E2176" s="152">
        <v>577.20000000000005</v>
      </c>
      <c r="F2176" s="152">
        <v>585.45000000000005</v>
      </c>
      <c r="G2176" s="152">
        <v>304.45</v>
      </c>
      <c r="H2176" s="153">
        <v>10930.93</v>
      </c>
      <c r="I2176" s="153">
        <v>6637.8</v>
      </c>
      <c r="J2176" s="153">
        <v>2880.3</v>
      </c>
      <c r="K2176" s="153">
        <v>1412.83</v>
      </c>
      <c r="L2176" s="43">
        <v>7.4507054733828646</v>
      </c>
      <c r="M2176" s="43">
        <v>11.5</v>
      </c>
      <c r="N2176" s="43">
        <v>4.9198052779912889</v>
      </c>
      <c r="O2176" s="43">
        <v>4.6405977993102319</v>
      </c>
      <c r="P2176" s="154"/>
      <c r="Q2176" s="154"/>
      <c r="R2176" s="154">
        <v>1</v>
      </c>
    </row>
    <row r="2177" spans="1:18" ht="36">
      <c r="A2177" s="150">
        <v>507</v>
      </c>
      <c r="B2177" s="147" t="s">
        <v>3980</v>
      </c>
      <c r="C2177" s="151" t="s">
        <v>3981</v>
      </c>
      <c r="D2177" s="152">
        <v>917.37</v>
      </c>
      <c r="E2177" s="152">
        <v>355.2</v>
      </c>
      <c r="F2177" s="152">
        <v>345.45</v>
      </c>
      <c r="G2177" s="152">
        <v>216.72</v>
      </c>
      <c r="H2177" s="153">
        <v>6823.37</v>
      </c>
      <c r="I2177" s="153">
        <v>4084.8</v>
      </c>
      <c r="J2177" s="153">
        <v>1710.14</v>
      </c>
      <c r="K2177" s="153">
        <v>1028.43</v>
      </c>
      <c r="L2177" s="43">
        <v>7.4379694125598173</v>
      </c>
      <c r="M2177" s="43">
        <v>11.5</v>
      </c>
      <c r="N2177" s="43">
        <v>4.9504704009263287</v>
      </c>
      <c r="O2177" s="43">
        <v>4.7454318936877078</v>
      </c>
      <c r="P2177" s="154"/>
      <c r="Q2177" s="154"/>
      <c r="R2177" s="154">
        <v>1</v>
      </c>
    </row>
    <row r="2178" spans="1:18" ht="48">
      <c r="A2178" s="150">
        <v>508</v>
      </c>
      <c r="B2178" s="147" t="s">
        <v>3982</v>
      </c>
      <c r="C2178" s="151" t="s">
        <v>3983</v>
      </c>
      <c r="D2178" s="152">
        <v>20531.82</v>
      </c>
      <c r="E2178" s="152">
        <v>7185.35</v>
      </c>
      <c r="F2178" s="152">
        <v>7880.36</v>
      </c>
      <c r="G2178" s="152">
        <v>5466.11</v>
      </c>
      <c r="H2178" s="153">
        <v>142018.6</v>
      </c>
      <c r="I2178" s="153">
        <v>82634.8</v>
      </c>
      <c r="J2178" s="153">
        <v>36855.64</v>
      </c>
      <c r="K2178" s="153">
        <v>22528.16</v>
      </c>
      <c r="L2178" s="43">
        <v>6.9170000516271823</v>
      </c>
      <c r="M2178" s="43">
        <v>11.500455788514129</v>
      </c>
      <c r="N2178" s="43">
        <v>4.6768980097355959</v>
      </c>
      <c r="O2178" s="43">
        <v>4.1214245596960177</v>
      </c>
      <c r="P2178" s="154"/>
      <c r="Q2178" s="154"/>
      <c r="R2178" s="154">
        <v>1</v>
      </c>
    </row>
    <row r="2179" spans="1:18" ht="48">
      <c r="A2179" s="150">
        <v>509</v>
      </c>
      <c r="B2179" s="147" t="s">
        <v>3984</v>
      </c>
      <c r="C2179" s="151" t="s">
        <v>3985</v>
      </c>
      <c r="D2179" s="152">
        <v>8634.73</v>
      </c>
      <c r="E2179" s="152">
        <v>3927.26</v>
      </c>
      <c r="F2179" s="152">
        <v>2767.49</v>
      </c>
      <c r="G2179" s="152">
        <v>1939.98</v>
      </c>
      <c r="H2179" s="153">
        <v>66417.5</v>
      </c>
      <c r="I2179" s="153">
        <v>45165.279999999999</v>
      </c>
      <c r="J2179" s="153">
        <v>12972.79</v>
      </c>
      <c r="K2179" s="153">
        <v>8279.43</v>
      </c>
      <c r="L2179" s="43">
        <v>7.6919023524765686</v>
      </c>
      <c r="M2179" s="43">
        <v>11.500455788514129</v>
      </c>
      <c r="N2179" s="43">
        <v>4.6875652667218315</v>
      </c>
      <c r="O2179" s="43">
        <v>4.2677914205301084</v>
      </c>
      <c r="P2179" s="154"/>
      <c r="Q2179" s="154"/>
      <c r="R2179" s="154">
        <v>1</v>
      </c>
    </row>
    <row r="2180" spans="1:18" ht="48">
      <c r="A2180" s="150">
        <v>510</v>
      </c>
      <c r="B2180" s="147" t="s">
        <v>3986</v>
      </c>
      <c r="C2180" s="151" t="s">
        <v>3987</v>
      </c>
      <c r="D2180" s="152">
        <v>12182</v>
      </c>
      <c r="E2180" s="152">
        <v>4329</v>
      </c>
      <c r="F2180" s="152">
        <v>3726.18</v>
      </c>
      <c r="G2180" s="152">
        <v>4126.82</v>
      </c>
      <c r="H2180" s="153">
        <v>88702.77</v>
      </c>
      <c r="I2180" s="153">
        <v>49783.5</v>
      </c>
      <c r="J2180" s="153">
        <v>18542.009999999998</v>
      </c>
      <c r="K2180" s="153">
        <v>20377.259999999998</v>
      </c>
      <c r="L2180" s="43">
        <v>7.281461993104581</v>
      </c>
      <c r="M2180" s="43">
        <v>11.5</v>
      </c>
      <c r="N2180" s="43">
        <v>4.9761444696713522</v>
      </c>
      <c r="O2180" s="43">
        <v>4.9377632171987145</v>
      </c>
      <c r="P2180" s="154"/>
      <c r="Q2180" s="154"/>
      <c r="R2180" s="154">
        <v>1</v>
      </c>
    </row>
    <row r="2181" spans="1:18" ht="48">
      <c r="A2181" s="150">
        <v>511</v>
      </c>
      <c r="B2181" s="147" t="s">
        <v>3988</v>
      </c>
      <c r="C2181" s="151" t="s">
        <v>3989</v>
      </c>
      <c r="D2181" s="152">
        <v>4081.2</v>
      </c>
      <c r="E2181" s="152">
        <v>1573.6</v>
      </c>
      <c r="F2181" s="152">
        <v>1220.51</v>
      </c>
      <c r="G2181" s="152">
        <v>1287.0899999999999</v>
      </c>
      <c r="H2181" s="153">
        <v>30670.89</v>
      </c>
      <c r="I2181" s="153">
        <v>18096.400000000001</v>
      </c>
      <c r="J2181" s="153">
        <v>6120.57</v>
      </c>
      <c r="K2181" s="153">
        <v>6453.92</v>
      </c>
      <c r="L2181" s="43">
        <v>7.5151646574536901</v>
      </c>
      <c r="M2181" s="43">
        <v>11.500000000000002</v>
      </c>
      <c r="N2181" s="43">
        <v>5.0147643198335121</v>
      </c>
      <c r="O2181" s="43">
        <v>5.0143502008406564</v>
      </c>
      <c r="P2181" s="154"/>
      <c r="Q2181" s="154"/>
      <c r="R2181" s="154">
        <v>1</v>
      </c>
    </row>
    <row r="2182" spans="1:18" ht="48">
      <c r="A2182" s="150">
        <v>512</v>
      </c>
      <c r="B2182" s="147" t="s">
        <v>3990</v>
      </c>
      <c r="C2182" s="151" t="s">
        <v>3991</v>
      </c>
      <c r="D2182" s="152">
        <v>1749.77</v>
      </c>
      <c r="E2182" s="152">
        <v>674.4</v>
      </c>
      <c r="F2182" s="152">
        <v>520.4</v>
      </c>
      <c r="G2182" s="152">
        <v>554.97</v>
      </c>
      <c r="H2182" s="153">
        <v>13107.99</v>
      </c>
      <c r="I2182" s="153">
        <v>7755.6</v>
      </c>
      <c r="J2182" s="153">
        <v>2607.39</v>
      </c>
      <c r="K2182" s="153">
        <v>2745</v>
      </c>
      <c r="L2182" s="43">
        <v>7.4912645662001287</v>
      </c>
      <c r="M2182" s="43">
        <v>11.500000000000002</v>
      </c>
      <c r="N2182" s="43">
        <v>5.0103574173712531</v>
      </c>
      <c r="O2182" s="43">
        <v>4.9462133088275042</v>
      </c>
      <c r="P2182" s="154"/>
      <c r="Q2182" s="154"/>
      <c r="R2182" s="154">
        <v>1</v>
      </c>
    </row>
    <row r="2183" spans="1:18" ht="48">
      <c r="A2183" s="150">
        <v>513</v>
      </c>
      <c r="B2183" s="147" t="s">
        <v>3992</v>
      </c>
      <c r="C2183" s="151" t="s">
        <v>3993</v>
      </c>
      <c r="D2183" s="152">
        <v>1381.74</v>
      </c>
      <c r="E2183" s="152">
        <v>540.74</v>
      </c>
      <c r="F2183" s="152">
        <v>407.25</v>
      </c>
      <c r="G2183" s="152">
        <v>433.75</v>
      </c>
      <c r="H2183" s="153">
        <v>10412.73</v>
      </c>
      <c r="I2183" s="153">
        <v>6218.46</v>
      </c>
      <c r="J2183" s="153">
        <v>2045.58</v>
      </c>
      <c r="K2183" s="153">
        <v>2148.69</v>
      </c>
      <c r="L2183" s="43">
        <v>7.5359546658560941</v>
      </c>
      <c r="M2183" s="43">
        <v>11.49990753411991</v>
      </c>
      <c r="N2183" s="43">
        <v>5.022909760589318</v>
      </c>
      <c r="O2183" s="43">
        <v>4.9537521613832851</v>
      </c>
      <c r="P2183" s="154"/>
      <c r="Q2183" s="154"/>
      <c r="R2183" s="154">
        <v>1</v>
      </c>
    </row>
    <row r="2184" spans="1:18" ht="36">
      <c r="A2184" s="150">
        <v>514</v>
      </c>
      <c r="B2184" s="147" t="s">
        <v>3994</v>
      </c>
      <c r="C2184" s="151" t="s">
        <v>3995</v>
      </c>
      <c r="D2184" s="152">
        <v>1164.1300000000001</v>
      </c>
      <c r="E2184" s="152">
        <v>459.6</v>
      </c>
      <c r="F2184" s="152">
        <v>336.86</v>
      </c>
      <c r="G2184" s="152">
        <v>367.67</v>
      </c>
      <c r="H2184" s="153">
        <v>8932.36</v>
      </c>
      <c r="I2184" s="153">
        <v>5285.6</v>
      </c>
      <c r="J2184" s="153">
        <v>1787.51</v>
      </c>
      <c r="K2184" s="153">
        <v>1859.25</v>
      </c>
      <c r="L2184" s="43">
        <v>7.6729918479894854</v>
      </c>
      <c r="M2184" s="43">
        <v>11.500435161009573</v>
      </c>
      <c r="N2184" s="43">
        <v>5.3063884106156856</v>
      </c>
      <c r="O2184" s="43">
        <v>5.0568444529061383</v>
      </c>
      <c r="P2184" s="154"/>
      <c r="Q2184" s="154"/>
      <c r="R2184" s="154">
        <v>1</v>
      </c>
    </row>
    <row r="2185" spans="1:18" ht="36">
      <c r="A2185" s="150">
        <v>515</v>
      </c>
      <c r="B2185" s="147" t="s">
        <v>3996</v>
      </c>
      <c r="C2185" s="151" t="s">
        <v>3997</v>
      </c>
      <c r="D2185" s="152">
        <v>1091.3800000000001</v>
      </c>
      <c r="E2185" s="152">
        <v>357.34</v>
      </c>
      <c r="F2185" s="152">
        <v>424.25</v>
      </c>
      <c r="G2185" s="152">
        <v>309.79000000000002</v>
      </c>
      <c r="H2185" s="153">
        <v>8110.44</v>
      </c>
      <c r="I2185" s="153">
        <v>4109.55</v>
      </c>
      <c r="J2185" s="153">
        <v>2474.11</v>
      </c>
      <c r="K2185" s="153">
        <v>1526.78</v>
      </c>
      <c r="L2185" s="43">
        <v>7.4313621286811182</v>
      </c>
      <c r="M2185" s="43">
        <v>11.500391783735379</v>
      </c>
      <c r="N2185" s="43">
        <v>5.8317265763111372</v>
      </c>
      <c r="O2185" s="43">
        <v>4.9284353917169694</v>
      </c>
      <c r="P2185" s="154"/>
      <c r="Q2185" s="154"/>
      <c r="R2185" s="154">
        <v>1</v>
      </c>
    </row>
    <row r="2186" spans="1:18" ht="36">
      <c r="A2186" s="150">
        <v>516</v>
      </c>
      <c r="B2186" s="147" t="s">
        <v>3998</v>
      </c>
      <c r="C2186" s="151" t="s">
        <v>3999</v>
      </c>
      <c r="D2186" s="152">
        <v>1342.12</v>
      </c>
      <c r="E2186" s="152">
        <v>339.6</v>
      </c>
      <c r="F2186" s="152">
        <v>488.89</v>
      </c>
      <c r="G2186" s="152">
        <v>513.63</v>
      </c>
      <c r="H2186" s="153">
        <v>8882.68</v>
      </c>
      <c r="I2186" s="153">
        <v>3905.51</v>
      </c>
      <c r="J2186" s="153">
        <v>2695.48</v>
      </c>
      <c r="K2186" s="153">
        <v>2281.69</v>
      </c>
      <c r="L2186" s="43">
        <v>6.618394778410277</v>
      </c>
      <c r="M2186" s="43">
        <v>11.500323910482921</v>
      </c>
      <c r="N2186" s="43">
        <v>5.5134692875698015</v>
      </c>
      <c r="O2186" s="43">
        <v>4.4422833557229913</v>
      </c>
      <c r="P2186" s="154"/>
      <c r="Q2186" s="154"/>
      <c r="R2186" s="154">
        <v>1</v>
      </c>
    </row>
    <row r="2187" spans="1:18" ht="36">
      <c r="A2187" s="150">
        <v>517</v>
      </c>
      <c r="B2187" s="147" t="s">
        <v>4000</v>
      </c>
      <c r="C2187" s="151" t="s">
        <v>4001</v>
      </c>
      <c r="D2187" s="152">
        <v>1076.3599999999999</v>
      </c>
      <c r="E2187" s="152">
        <v>308.08999999999997</v>
      </c>
      <c r="F2187" s="152">
        <v>376.47</v>
      </c>
      <c r="G2187" s="152">
        <v>391.8</v>
      </c>
      <c r="H2187" s="153">
        <v>7425.3</v>
      </c>
      <c r="I2187" s="153">
        <v>3543.14</v>
      </c>
      <c r="J2187" s="153">
        <v>2094.46</v>
      </c>
      <c r="K2187" s="153">
        <v>1787.7</v>
      </c>
      <c r="L2187" s="43">
        <v>6.898528373406668</v>
      </c>
      <c r="M2187" s="43">
        <v>11.500340809503717</v>
      </c>
      <c r="N2187" s="43">
        <v>5.5634180678407308</v>
      </c>
      <c r="O2187" s="43">
        <v>4.5627871362940278</v>
      </c>
      <c r="P2187" s="154"/>
      <c r="Q2187" s="154"/>
      <c r="R2187" s="154">
        <v>1</v>
      </c>
    </row>
    <row r="2188" spans="1:18" ht="48">
      <c r="A2188" s="150">
        <v>518</v>
      </c>
      <c r="B2188" s="147" t="s">
        <v>4002</v>
      </c>
      <c r="C2188" s="151" t="s">
        <v>4003</v>
      </c>
      <c r="D2188" s="152">
        <v>5041.13</v>
      </c>
      <c r="E2188" s="152">
        <v>513.47</v>
      </c>
      <c r="F2188" s="152">
        <v>1360.72</v>
      </c>
      <c r="G2188" s="152">
        <v>3166.94</v>
      </c>
      <c r="H2188" s="153">
        <v>25749.15</v>
      </c>
      <c r="I2188" s="153">
        <v>5904.93</v>
      </c>
      <c r="J2188" s="153">
        <v>7334.41</v>
      </c>
      <c r="K2188" s="153">
        <v>12509.81</v>
      </c>
      <c r="L2188" s="43">
        <v>5.1078131291992079</v>
      </c>
      <c r="M2188" s="43">
        <v>11.500048688336221</v>
      </c>
      <c r="N2188" s="43">
        <v>5.3900949497324939</v>
      </c>
      <c r="O2188" s="43">
        <v>3.950125357600712</v>
      </c>
      <c r="P2188" s="154"/>
      <c r="Q2188" s="154"/>
      <c r="R2188" s="154">
        <v>1</v>
      </c>
    </row>
    <row r="2189" spans="1:18" ht="36">
      <c r="A2189" s="150">
        <v>519</v>
      </c>
      <c r="B2189" s="147" t="s">
        <v>4004</v>
      </c>
      <c r="C2189" s="151" t="s">
        <v>4005</v>
      </c>
      <c r="D2189" s="152">
        <v>2003.39</v>
      </c>
      <c r="E2189" s="152">
        <v>598.66999999999996</v>
      </c>
      <c r="F2189" s="152">
        <v>914.77</v>
      </c>
      <c r="G2189" s="152">
        <v>489.95</v>
      </c>
      <c r="H2189" s="153">
        <v>13980.58</v>
      </c>
      <c r="I2189" s="153">
        <v>6884.97</v>
      </c>
      <c r="J2189" s="153">
        <v>4745.76</v>
      </c>
      <c r="K2189" s="153">
        <v>2349.85</v>
      </c>
      <c r="L2189" s="43">
        <v>6.978461507744373</v>
      </c>
      <c r="M2189" s="43">
        <v>11.500442647869445</v>
      </c>
      <c r="N2189" s="43">
        <v>5.1879270199066436</v>
      </c>
      <c r="O2189" s="43">
        <v>4.796101643024798</v>
      </c>
      <c r="P2189" s="154"/>
      <c r="Q2189" s="154"/>
      <c r="R2189" s="154">
        <v>1</v>
      </c>
    </row>
    <row r="2190" spans="1:18" ht="48">
      <c r="A2190" s="150">
        <v>520</v>
      </c>
      <c r="B2190" s="147" t="s">
        <v>4006</v>
      </c>
      <c r="C2190" s="151" t="s">
        <v>4007</v>
      </c>
      <c r="D2190" s="152">
        <v>11344.27</v>
      </c>
      <c r="E2190" s="152">
        <v>1160.49</v>
      </c>
      <c r="F2190" s="152">
        <v>3257.85</v>
      </c>
      <c r="G2190" s="152">
        <v>6925.93</v>
      </c>
      <c r="H2190" s="153">
        <v>57621.67</v>
      </c>
      <c r="I2190" s="153">
        <v>13346.14</v>
      </c>
      <c r="J2190" s="153">
        <v>17097.189999999999</v>
      </c>
      <c r="K2190" s="153">
        <v>27178.34</v>
      </c>
      <c r="L2190" s="43">
        <v>5.0793634143051953</v>
      </c>
      <c r="M2190" s="43">
        <v>11.500435161009573</v>
      </c>
      <c r="N2190" s="43">
        <v>5.2479979127338581</v>
      </c>
      <c r="O2190" s="43">
        <v>3.9241430392741479</v>
      </c>
      <c r="P2190" s="154"/>
      <c r="Q2190" s="154"/>
      <c r="R2190" s="154">
        <v>1</v>
      </c>
    </row>
    <row r="2191" spans="1:18" ht="12.75" customHeight="1">
      <c r="A2191" s="628" t="s">
        <v>4008</v>
      </c>
      <c r="B2191" s="629"/>
      <c r="C2191" s="629"/>
      <c r="D2191" s="629"/>
      <c r="E2191" s="629"/>
      <c r="F2191" s="629"/>
      <c r="G2191" s="629"/>
      <c r="H2191" s="629"/>
      <c r="I2191" s="629"/>
      <c r="J2191" s="629"/>
      <c r="K2191" s="629"/>
      <c r="L2191" s="629"/>
      <c r="M2191" s="629"/>
      <c r="N2191" s="629"/>
      <c r="O2191" s="629"/>
      <c r="P2191" s="629"/>
      <c r="Q2191" s="629"/>
      <c r="R2191" s="629"/>
    </row>
    <row r="2192" spans="1:18" ht="24">
      <c r="A2192" s="150">
        <v>521</v>
      </c>
      <c r="B2192" s="147" t="s">
        <v>4009</v>
      </c>
      <c r="C2192" s="151" t="s">
        <v>4010</v>
      </c>
      <c r="D2192" s="152">
        <v>10898.45</v>
      </c>
      <c r="E2192" s="152">
        <v>5966.95</v>
      </c>
      <c r="F2192" s="152">
        <v>4597.7</v>
      </c>
      <c r="G2192" s="152">
        <v>333.8</v>
      </c>
      <c r="H2192" s="153">
        <v>92778.79</v>
      </c>
      <c r="I2192" s="153">
        <v>68622.78</v>
      </c>
      <c r="J2192" s="153">
        <v>21628.78</v>
      </c>
      <c r="K2192" s="153">
        <v>2527.23</v>
      </c>
      <c r="L2192" s="43">
        <v>8.5130261642710643</v>
      </c>
      <c r="M2192" s="43">
        <v>11.500478468899521</v>
      </c>
      <c r="N2192" s="43">
        <v>4.7042608260652061</v>
      </c>
      <c r="O2192" s="43">
        <v>7.5710904733373274</v>
      </c>
      <c r="P2192" s="154"/>
      <c r="Q2192" s="154"/>
      <c r="R2192" s="154">
        <v>2</v>
      </c>
    </row>
    <row r="2193" spans="1:18" ht="24">
      <c r="A2193" s="150">
        <v>522</v>
      </c>
      <c r="B2193" s="147" t="s">
        <v>4011</v>
      </c>
      <c r="C2193" s="151" t="s">
        <v>4012</v>
      </c>
      <c r="D2193" s="152">
        <v>8745.2000000000007</v>
      </c>
      <c r="E2193" s="152">
        <v>4765.2</v>
      </c>
      <c r="F2193" s="152">
        <v>3687.24</v>
      </c>
      <c r="G2193" s="152">
        <v>292.76</v>
      </c>
      <c r="H2193" s="153">
        <v>74303.05</v>
      </c>
      <c r="I2193" s="153">
        <v>54802.080000000002</v>
      </c>
      <c r="J2193" s="153">
        <v>17343.189999999999</v>
      </c>
      <c r="K2193" s="153">
        <v>2157.7800000000002</v>
      </c>
      <c r="L2193" s="43">
        <v>8.4964380460138127</v>
      </c>
      <c r="M2193" s="43">
        <v>11.500478468899523</v>
      </c>
      <c r="N2193" s="43">
        <v>4.7035696076197917</v>
      </c>
      <c r="O2193" s="43">
        <v>7.3704741084847667</v>
      </c>
      <c r="P2193" s="154"/>
      <c r="Q2193" s="154"/>
      <c r="R2193" s="154">
        <v>2</v>
      </c>
    </row>
    <row r="2194" spans="1:18" ht="24">
      <c r="A2194" s="150">
        <v>523</v>
      </c>
      <c r="B2194" s="147" t="s">
        <v>4013</v>
      </c>
      <c r="C2194" s="151" t="s">
        <v>4014</v>
      </c>
      <c r="D2194" s="152">
        <v>5658.79</v>
      </c>
      <c r="E2194" s="152">
        <v>3078.78</v>
      </c>
      <c r="F2194" s="152">
        <v>2345.81</v>
      </c>
      <c r="G2194" s="152">
        <v>234.2</v>
      </c>
      <c r="H2194" s="153">
        <v>48097.57</v>
      </c>
      <c r="I2194" s="153">
        <v>35405.97</v>
      </c>
      <c r="J2194" s="153">
        <v>11057.38</v>
      </c>
      <c r="K2194" s="153">
        <v>1634.22</v>
      </c>
      <c r="L2194" s="43">
        <v>8.4996209436999788</v>
      </c>
      <c r="M2194" s="43">
        <v>11.5</v>
      </c>
      <c r="N2194" s="43">
        <v>4.7136724628166817</v>
      </c>
      <c r="O2194" s="43">
        <v>6.9778821520068322</v>
      </c>
      <c r="P2194" s="154"/>
      <c r="Q2194" s="154"/>
      <c r="R2194" s="154">
        <v>2</v>
      </c>
    </row>
    <row r="2195" spans="1:18" ht="36">
      <c r="A2195" s="150">
        <v>524</v>
      </c>
      <c r="B2195" s="147" t="s">
        <v>4015</v>
      </c>
      <c r="C2195" s="151" t="s">
        <v>4016</v>
      </c>
      <c r="D2195" s="152">
        <v>10887.79</v>
      </c>
      <c r="E2195" s="152">
        <v>5956.5</v>
      </c>
      <c r="F2195" s="152">
        <v>4597.7</v>
      </c>
      <c r="G2195" s="152">
        <v>333.59</v>
      </c>
      <c r="H2195" s="153">
        <v>92656.18</v>
      </c>
      <c r="I2195" s="153">
        <v>68502.600000000006</v>
      </c>
      <c r="J2195" s="153">
        <v>21628.78</v>
      </c>
      <c r="K2195" s="153">
        <v>2524.8000000000002</v>
      </c>
      <c r="L2195" s="43">
        <v>8.5100998457905579</v>
      </c>
      <c r="M2195" s="43">
        <v>11.500478468899523</v>
      </c>
      <c r="N2195" s="43">
        <v>4.7042608260652061</v>
      </c>
      <c r="O2195" s="43">
        <v>7.5685721994064581</v>
      </c>
      <c r="P2195" s="154"/>
      <c r="Q2195" s="154"/>
      <c r="R2195" s="154">
        <v>2</v>
      </c>
    </row>
    <row r="2196" spans="1:18" ht="36">
      <c r="A2196" s="150">
        <v>525</v>
      </c>
      <c r="B2196" s="147" t="s">
        <v>4017</v>
      </c>
      <c r="C2196" s="151" t="s">
        <v>4018</v>
      </c>
      <c r="D2196" s="152">
        <v>6849.05</v>
      </c>
      <c r="E2196" s="152">
        <v>3741.1</v>
      </c>
      <c r="F2196" s="152">
        <v>2851.36</v>
      </c>
      <c r="G2196" s="152">
        <v>256.58999999999997</v>
      </c>
      <c r="H2196" s="153">
        <v>58292.53</v>
      </c>
      <c r="I2196" s="153">
        <v>43024.44</v>
      </c>
      <c r="J2196" s="153">
        <v>13431.51</v>
      </c>
      <c r="K2196" s="153">
        <v>1836.58</v>
      </c>
      <c r="L2196" s="43">
        <v>8.5110387571999038</v>
      </c>
      <c r="M2196" s="43">
        <v>11.500478468899523</v>
      </c>
      <c r="N2196" s="43">
        <v>4.7105626788620167</v>
      </c>
      <c r="O2196" s="43">
        <v>7.157644491211661</v>
      </c>
      <c r="P2196" s="154"/>
      <c r="Q2196" s="154"/>
      <c r="R2196" s="154">
        <v>2</v>
      </c>
    </row>
    <row r="2197" spans="1:18" ht="36">
      <c r="A2197" s="150">
        <v>526</v>
      </c>
      <c r="B2197" s="147" t="s">
        <v>4019</v>
      </c>
      <c r="C2197" s="151" t="s">
        <v>4020</v>
      </c>
      <c r="D2197" s="152">
        <v>2952.01</v>
      </c>
      <c r="E2197" s="152">
        <v>1555.26</v>
      </c>
      <c r="F2197" s="152">
        <v>1213.95</v>
      </c>
      <c r="G2197" s="152">
        <v>182.8</v>
      </c>
      <c r="H2197" s="153">
        <v>24800.34</v>
      </c>
      <c r="I2197" s="153">
        <v>17885.490000000002</v>
      </c>
      <c r="J2197" s="153">
        <v>5745.58</v>
      </c>
      <c r="K2197" s="153">
        <v>1169.27</v>
      </c>
      <c r="L2197" s="43">
        <v>8.4011707277414374</v>
      </c>
      <c r="M2197" s="43">
        <v>11.500000000000002</v>
      </c>
      <c r="N2197" s="43">
        <v>4.7329626426129572</v>
      </c>
      <c r="O2197" s="43">
        <v>6.3964442013129101</v>
      </c>
      <c r="P2197" s="154"/>
      <c r="Q2197" s="154"/>
      <c r="R2197" s="154">
        <v>2</v>
      </c>
    </row>
    <row r="2198" spans="1:18" ht="36">
      <c r="A2198" s="150">
        <v>527</v>
      </c>
      <c r="B2198" s="147" t="s">
        <v>4021</v>
      </c>
      <c r="C2198" s="151" t="s">
        <v>4022</v>
      </c>
      <c r="D2198" s="152">
        <v>2072.23</v>
      </c>
      <c r="E2198" s="152">
        <v>1124.55</v>
      </c>
      <c r="F2198" s="152">
        <v>782.65</v>
      </c>
      <c r="G2198" s="152">
        <v>165.03</v>
      </c>
      <c r="H2198" s="153">
        <v>17672.37</v>
      </c>
      <c r="I2198" s="153">
        <v>12932.85</v>
      </c>
      <c r="J2198" s="153">
        <v>3719.04</v>
      </c>
      <c r="K2198" s="153">
        <v>1020.48</v>
      </c>
      <c r="L2198" s="43">
        <v>8.5281894384310615</v>
      </c>
      <c r="M2198" s="43">
        <v>11.50046685340803</v>
      </c>
      <c r="N2198" s="43">
        <v>4.7518558742733026</v>
      </c>
      <c r="O2198" s="43">
        <v>6.1836029812761319</v>
      </c>
      <c r="P2198" s="154"/>
      <c r="Q2198" s="154"/>
      <c r="R2198" s="154">
        <v>2</v>
      </c>
    </row>
    <row r="2199" spans="1:18" ht="36">
      <c r="A2199" s="150">
        <v>528</v>
      </c>
      <c r="B2199" s="147" t="s">
        <v>4023</v>
      </c>
      <c r="C2199" s="151" t="s">
        <v>4024</v>
      </c>
      <c r="D2199" s="152">
        <v>1731.83</v>
      </c>
      <c r="E2199" s="152">
        <v>922.13</v>
      </c>
      <c r="F2199" s="152">
        <v>650.03</v>
      </c>
      <c r="G2199" s="152">
        <v>159.66999999999999</v>
      </c>
      <c r="H2199" s="153">
        <v>14670.29</v>
      </c>
      <c r="I2199" s="153">
        <v>10604.94</v>
      </c>
      <c r="J2199" s="153">
        <v>3098.81</v>
      </c>
      <c r="K2199" s="153">
        <v>966.54</v>
      </c>
      <c r="L2199" s="43">
        <v>8.4709757886166663</v>
      </c>
      <c r="M2199" s="43">
        <v>11.500482578378321</v>
      </c>
      <c r="N2199" s="43">
        <v>4.7671799763087854</v>
      </c>
      <c r="O2199" s="43">
        <v>6.0533600551136724</v>
      </c>
      <c r="P2199" s="154"/>
      <c r="Q2199" s="154"/>
      <c r="R2199" s="154">
        <v>2</v>
      </c>
    </row>
    <row r="2200" spans="1:18" ht="36">
      <c r="A2200" s="150">
        <v>529</v>
      </c>
      <c r="B2200" s="147" t="s">
        <v>4025</v>
      </c>
      <c r="C2200" s="151" t="s">
        <v>4026</v>
      </c>
      <c r="D2200" s="152">
        <v>7726.26</v>
      </c>
      <c r="E2200" s="152">
        <v>4282.4399999999996</v>
      </c>
      <c r="F2200" s="152">
        <v>2170.09</v>
      </c>
      <c r="G2200" s="152">
        <v>1273.73</v>
      </c>
      <c r="H2200" s="153">
        <v>65838.16</v>
      </c>
      <c r="I2200" s="153">
        <v>49248.06</v>
      </c>
      <c r="J2200" s="153">
        <v>10751.81</v>
      </c>
      <c r="K2200" s="153">
        <v>5838.29</v>
      </c>
      <c r="L2200" s="43">
        <v>8.5213492685982608</v>
      </c>
      <c r="M2200" s="43">
        <v>11.5</v>
      </c>
      <c r="N2200" s="43">
        <v>4.9545456640047183</v>
      </c>
      <c r="O2200" s="43">
        <v>4.5836166220470584</v>
      </c>
      <c r="P2200" s="154"/>
      <c r="Q2200" s="154"/>
      <c r="R2200" s="154">
        <v>2</v>
      </c>
    </row>
    <row r="2201" spans="1:18" ht="36">
      <c r="A2201" s="150">
        <v>530</v>
      </c>
      <c r="B2201" s="147" t="s">
        <v>4027</v>
      </c>
      <c r="C2201" s="151" t="s">
        <v>4028</v>
      </c>
      <c r="D2201" s="152">
        <v>3264.74</v>
      </c>
      <c r="E2201" s="152">
        <v>1124</v>
      </c>
      <c r="F2201" s="152">
        <v>1425.48</v>
      </c>
      <c r="G2201" s="152">
        <v>715.26</v>
      </c>
      <c r="H2201" s="153">
        <v>23946.95</v>
      </c>
      <c r="I2201" s="153">
        <v>12926</v>
      </c>
      <c r="J2201" s="153">
        <v>7917.26</v>
      </c>
      <c r="K2201" s="153">
        <v>3103.69</v>
      </c>
      <c r="L2201" s="43">
        <v>7.3350251474849459</v>
      </c>
      <c r="M2201" s="43">
        <v>11.5</v>
      </c>
      <c r="N2201" s="43">
        <v>5.5541010747257067</v>
      </c>
      <c r="O2201" s="43">
        <v>4.339247266728183</v>
      </c>
      <c r="P2201" s="154"/>
      <c r="Q2201" s="154"/>
      <c r="R2201" s="154">
        <v>2</v>
      </c>
    </row>
    <row r="2202" spans="1:18" ht="36">
      <c r="A2202" s="150">
        <v>531</v>
      </c>
      <c r="B2202" s="147" t="s">
        <v>4029</v>
      </c>
      <c r="C2202" s="151" t="s">
        <v>4030</v>
      </c>
      <c r="D2202" s="152">
        <v>5533.12</v>
      </c>
      <c r="E2202" s="152">
        <v>3009.6</v>
      </c>
      <c r="F2202" s="152">
        <v>2292.02</v>
      </c>
      <c r="G2202" s="152">
        <v>231.5</v>
      </c>
      <c r="H2202" s="153">
        <v>47031.68</v>
      </c>
      <c r="I2202" s="153">
        <v>34611.839999999997</v>
      </c>
      <c r="J2202" s="153">
        <v>10808.72</v>
      </c>
      <c r="K2202" s="153">
        <v>1611.12</v>
      </c>
      <c r="L2202" s="43">
        <v>8.5000289167775147</v>
      </c>
      <c r="M2202" s="43">
        <v>11.500478468899521</v>
      </c>
      <c r="N2202" s="43">
        <v>4.7158052722053032</v>
      </c>
      <c r="O2202" s="43">
        <v>6.959481641468682</v>
      </c>
      <c r="P2202" s="154"/>
      <c r="Q2202" s="154"/>
      <c r="R2202" s="154">
        <v>2</v>
      </c>
    </row>
    <row r="2203" spans="1:18" ht="36">
      <c r="A2203" s="150">
        <v>532</v>
      </c>
      <c r="B2203" s="147" t="s">
        <v>4031</v>
      </c>
      <c r="C2203" s="151" t="s">
        <v>4032</v>
      </c>
      <c r="D2203" s="152">
        <v>1265.33</v>
      </c>
      <c r="E2203" s="152">
        <v>661.24</v>
      </c>
      <c r="F2203" s="152">
        <v>453.56</v>
      </c>
      <c r="G2203" s="152">
        <v>150.53</v>
      </c>
      <c r="H2203" s="153">
        <v>10665.31</v>
      </c>
      <c r="I2203" s="153">
        <v>7604.26</v>
      </c>
      <c r="J2203" s="153">
        <v>2175.9699999999998</v>
      </c>
      <c r="K2203" s="153">
        <v>885.08</v>
      </c>
      <c r="L2203" s="43">
        <v>8.4288762615286128</v>
      </c>
      <c r="M2203" s="43">
        <v>11.5</v>
      </c>
      <c r="N2203" s="43">
        <v>4.7975350560014105</v>
      </c>
      <c r="O2203" s="43">
        <v>5.8797581877366643</v>
      </c>
      <c r="P2203" s="154"/>
      <c r="Q2203" s="154"/>
      <c r="R2203" s="154">
        <v>2</v>
      </c>
    </row>
    <row r="2204" spans="1:18" ht="36">
      <c r="A2204" s="150">
        <v>533</v>
      </c>
      <c r="B2204" s="147" t="s">
        <v>4033</v>
      </c>
      <c r="C2204" s="151" t="s">
        <v>4034</v>
      </c>
      <c r="D2204" s="152">
        <v>859.23</v>
      </c>
      <c r="E2204" s="152">
        <v>443.04</v>
      </c>
      <c r="F2204" s="152">
        <v>273.94</v>
      </c>
      <c r="G2204" s="152">
        <v>142.25</v>
      </c>
      <c r="H2204" s="153">
        <v>7243.98</v>
      </c>
      <c r="I2204" s="153">
        <v>5094.96</v>
      </c>
      <c r="J2204" s="153">
        <v>1335.42</v>
      </c>
      <c r="K2204" s="153">
        <v>813.6</v>
      </c>
      <c r="L2204" s="43">
        <v>8.4307810481477592</v>
      </c>
      <c r="M2204" s="43">
        <v>11.5</v>
      </c>
      <c r="N2204" s="43">
        <v>4.8748631087099366</v>
      </c>
      <c r="O2204" s="43">
        <v>5.7195079086115994</v>
      </c>
      <c r="P2204" s="154"/>
      <c r="Q2204" s="154"/>
      <c r="R2204" s="154">
        <v>2</v>
      </c>
    </row>
    <row r="2205" spans="1:18" ht="12.75" customHeight="1">
      <c r="A2205" s="628" t="s">
        <v>4035</v>
      </c>
      <c r="B2205" s="629"/>
      <c r="C2205" s="629"/>
      <c r="D2205" s="629"/>
      <c r="E2205" s="629"/>
      <c r="F2205" s="629"/>
      <c r="G2205" s="629"/>
      <c r="H2205" s="629"/>
      <c r="I2205" s="629"/>
      <c r="J2205" s="629"/>
      <c r="K2205" s="629"/>
      <c r="L2205" s="629"/>
      <c r="M2205" s="629"/>
      <c r="N2205" s="629"/>
      <c r="O2205" s="629"/>
      <c r="P2205" s="629"/>
      <c r="Q2205" s="629"/>
      <c r="R2205" s="629"/>
    </row>
    <row r="2206" spans="1:18" ht="12.75" customHeight="1">
      <c r="A2206" s="628" t="s">
        <v>4036</v>
      </c>
      <c r="B2206" s="629"/>
      <c r="C2206" s="629"/>
      <c r="D2206" s="629"/>
      <c r="E2206" s="629"/>
      <c r="F2206" s="629"/>
      <c r="G2206" s="629"/>
      <c r="H2206" s="629"/>
      <c r="I2206" s="629"/>
      <c r="J2206" s="629"/>
      <c r="K2206" s="629"/>
      <c r="L2206" s="629"/>
      <c r="M2206" s="629"/>
      <c r="N2206" s="629"/>
      <c r="O2206" s="629"/>
      <c r="P2206" s="629"/>
      <c r="Q2206" s="629"/>
      <c r="R2206" s="629"/>
    </row>
    <row r="2207" spans="1:18" ht="48">
      <c r="A2207" s="150">
        <v>534</v>
      </c>
      <c r="B2207" s="147" t="s">
        <v>4037</v>
      </c>
      <c r="C2207" s="151" t="s">
        <v>4038</v>
      </c>
      <c r="D2207" s="152">
        <v>12360.77</v>
      </c>
      <c r="E2207" s="152">
        <v>3932.79</v>
      </c>
      <c r="F2207" s="152">
        <v>5127.28</v>
      </c>
      <c r="G2207" s="152">
        <v>3300.7</v>
      </c>
      <c r="H2207" s="153">
        <v>87686.96</v>
      </c>
      <c r="I2207" s="153">
        <v>45228.77</v>
      </c>
      <c r="J2207" s="153">
        <v>23339.01</v>
      </c>
      <c r="K2207" s="153">
        <v>19119.18</v>
      </c>
      <c r="L2207" s="43">
        <v>7.0939723010783311</v>
      </c>
      <c r="M2207" s="43">
        <v>11.500428449014567</v>
      </c>
      <c r="N2207" s="43">
        <v>4.5519281178324569</v>
      </c>
      <c r="O2207" s="43">
        <v>5.7924622049868217</v>
      </c>
      <c r="P2207" s="154"/>
      <c r="Q2207" s="154"/>
      <c r="R2207" s="154">
        <v>1</v>
      </c>
    </row>
    <row r="2208" spans="1:18" ht="48">
      <c r="A2208" s="150">
        <v>535</v>
      </c>
      <c r="B2208" s="147" t="s">
        <v>4039</v>
      </c>
      <c r="C2208" s="151" t="s">
        <v>4040</v>
      </c>
      <c r="D2208" s="152">
        <v>8371.69</v>
      </c>
      <c r="E2208" s="152">
        <v>2952.51</v>
      </c>
      <c r="F2208" s="152">
        <v>3581.1</v>
      </c>
      <c r="G2208" s="152">
        <v>1838.08</v>
      </c>
      <c r="H2208" s="153">
        <v>61255.46</v>
      </c>
      <c r="I2208" s="153">
        <v>33955.129999999997</v>
      </c>
      <c r="J2208" s="153">
        <v>16481.37</v>
      </c>
      <c r="K2208" s="153">
        <v>10818.96</v>
      </c>
      <c r="L2208" s="43">
        <v>7.3169766200134019</v>
      </c>
      <c r="M2208" s="43">
        <v>11.500428449014565</v>
      </c>
      <c r="N2208" s="43">
        <v>4.6023205160425569</v>
      </c>
      <c r="O2208" s="43">
        <v>5.8860114902506959</v>
      </c>
      <c r="P2208" s="154"/>
      <c r="Q2208" s="154"/>
      <c r="R2208" s="154">
        <v>1</v>
      </c>
    </row>
    <row r="2209" spans="1:18" ht="48">
      <c r="A2209" s="150">
        <v>536</v>
      </c>
      <c r="B2209" s="147" t="s">
        <v>4041</v>
      </c>
      <c r="C2209" s="151" t="s">
        <v>4042</v>
      </c>
      <c r="D2209" s="152">
        <v>10014.66</v>
      </c>
      <c r="E2209" s="152">
        <v>3629.37</v>
      </c>
      <c r="F2209" s="152">
        <v>3791.86</v>
      </c>
      <c r="G2209" s="152">
        <v>2593.4299999999998</v>
      </c>
      <c r="H2209" s="153">
        <v>74286.710000000006</v>
      </c>
      <c r="I2209" s="153">
        <v>41739.31</v>
      </c>
      <c r="J2209" s="153">
        <v>17391.849999999999</v>
      </c>
      <c r="K2209" s="153">
        <v>15155.55</v>
      </c>
      <c r="L2209" s="43">
        <v>7.4177965103158776</v>
      </c>
      <c r="M2209" s="43">
        <v>11.500428449014567</v>
      </c>
      <c r="N2209" s="43">
        <v>4.5866276708528266</v>
      </c>
      <c r="O2209" s="43">
        <v>5.8438245875153756</v>
      </c>
      <c r="P2209" s="154"/>
      <c r="Q2209" s="154"/>
      <c r="R2209" s="154">
        <v>1</v>
      </c>
    </row>
    <row r="2210" spans="1:18" ht="48">
      <c r="A2210" s="150">
        <v>537</v>
      </c>
      <c r="B2210" s="147" t="s">
        <v>4043</v>
      </c>
      <c r="C2210" s="151" t="s">
        <v>4044</v>
      </c>
      <c r="D2210" s="152">
        <v>37340.089999999997</v>
      </c>
      <c r="E2210" s="152">
        <v>11175.2</v>
      </c>
      <c r="F2210" s="152">
        <v>20542.89</v>
      </c>
      <c r="G2210" s="152">
        <v>5622</v>
      </c>
      <c r="H2210" s="153">
        <v>254336.22</v>
      </c>
      <c r="I2210" s="153">
        <v>128514.8</v>
      </c>
      <c r="J2210" s="153">
        <v>92651.51</v>
      </c>
      <c r="K2210" s="153">
        <v>33169.910000000003</v>
      </c>
      <c r="L2210" s="43">
        <v>6.8113445896889919</v>
      </c>
      <c r="M2210" s="43">
        <v>11.5</v>
      </c>
      <c r="N2210" s="43">
        <v>4.5101497403724595</v>
      </c>
      <c r="O2210" s="43">
        <v>5.9000195659907515</v>
      </c>
      <c r="P2210" s="154"/>
      <c r="Q2210" s="154"/>
      <c r="R2210" s="154">
        <v>1</v>
      </c>
    </row>
    <row r="2211" spans="1:18" ht="48">
      <c r="A2211" s="150">
        <v>538</v>
      </c>
      <c r="B2211" s="147" t="s">
        <v>4045</v>
      </c>
      <c r="C2211" s="151" t="s">
        <v>4046</v>
      </c>
      <c r="D2211" s="152">
        <v>8300.24</v>
      </c>
      <c r="E2211" s="152">
        <v>3034.2</v>
      </c>
      <c r="F2211" s="152">
        <v>3467.35</v>
      </c>
      <c r="G2211" s="152">
        <v>1798.69</v>
      </c>
      <c r="H2211" s="153">
        <v>61449.01</v>
      </c>
      <c r="I2211" s="153">
        <v>34894.6</v>
      </c>
      <c r="J2211" s="153">
        <v>15973.59</v>
      </c>
      <c r="K2211" s="153">
        <v>10580.82</v>
      </c>
      <c r="L2211" s="43">
        <v>7.4032811099438094</v>
      </c>
      <c r="M2211" s="43">
        <v>11.500428449014567</v>
      </c>
      <c r="N2211" s="43">
        <v>4.606858263515365</v>
      </c>
      <c r="O2211" s="43">
        <v>5.8825144966614591</v>
      </c>
      <c r="P2211" s="154"/>
      <c r="Q2211" s="154"/>
      <c r="R2211" s="154">
        <v>1</v>
      </c>
    </row>
    <row r="2212" spans="1:18" ht="48">
      <c r="A2212" s="150">
        <v>539</v>
      </c>
      <c r="B2212" s="147" t="s">
        <v>4047</v>
      </c>
      <c r="C2212" s="151" t="s">
        <v>4048</v>
      </c>
      <c r="D2212" s="152">
        <v>5348.98</v>
      </c>
      <c r="E2212" s="152">
        <v>2217.3000000000002</v>
      </c>
      <c r="F2212" s="152">
        <v>2113.1</v>
      </c>
      <c r="G2212" s="152">
        <v>1018.58</v>
      </c>
      <c r="H2212" s="153">
        <v>41336.720000000001</v>
      </c>
      <c r="I2212" s="153">
        <v>25499.9</v>
      </c>
      <c r="J2212" s="153">
        <v>9602.15</v>
      </c>
      <c r="K2212" s="153">
        <v>6234.67</v>
      </c>
      <c r="L2212" s="43">
        <v>7.727963088289731</v>
      </c>
      <c r="M2212" s="43">
        <v>11.500428449014567</v>
      </c>
      <c r="N2212" s="43">
        <v>4.5441058160995693</v>
      </c>
      <c r="O2212" s="43">
        <v>6.1209428812660764</v>
      </c>
      <c r="P2212" s="154"/>
      <c r="Q2212" s="154"/>
      <c r="R2212" s="154">
        <v>1</v>
      </c>
    </row>
    <row r="2213" spans="1:18" ht="48">
      <c r="A2213" s="150">
        <v>540</v>
      </c>
      <c r="B2213" s="147" t="s">
        <v>4049</v>
      </c>
      <c r="C2213" s="151" t="s">
        <v>4050</v>
      </c>
      <c r="D2213" s="152">
        <v>7254.37</v>
      </c>
      <c r="E2213" s="152">
        <v>2915.1</v>
      </c>
      <c r="F2213" s="152">
        <v>2648.98</v>
      </c>
      <c r="G2213" s="152">
        <v>1690.29</v>
      </c>
      <c r="H2213" s="153">
        <v>55572.28</v>
      </c>
      <c r="I2213" s="153">
        <v>33524.879999999997</v>
      </c>
      <c r="J2213" s="153">
        <v>12259.69</v>
      </c>
      <c r="K2213" s="153">
        <v>9787.7099999999991</v>
      </c>
      <c r="L2213" s="43">
        <v>7.6605246217107759</v>
      </c>
      <c r="M2213" s="43">
        <v>11.50042194092827</v>
      </c>
      <c r="N2213" s="43">
        <v>4.6280794871988462</v>
      </c>
      <c r="O2213" s="43">
        <v>5.7905507338977333</v>
      </c>
      <c r="P2213" s="154"/>
      <c r="Q2213" s="154"/>
      <c r="R2213" s="154">
        <v>1</v>
      </c>
    </row>
    <row r="2214" spans="1:18" ht="36">
      <c r="A2214" s="155">
        <v>541</v>
      </c>
      <c r="B2214" s="156" t="s">
        <v>4051</v>
      </c>
      <c r="C2214" s="157" t="s">
        <v>4052</v>
      </c>
      <c r="D2214" s="158">
        <v>14902.39</v>
      </c>
      <c r="E2214" s="158">
        <v>4377.6899999999996</v>
      </c>
      <c r="F2214" s="158">
        <v>3890.1</v>
      </c>
      <c r="G2214" s="158">
        <v>6634.6</v>
      </c>
      <c r="H2214" s="159">
        <v>105461.09</v>
      </c>
      <c r="I2214" s="159">
        <v>50345.34</v>
      </c>
      <c r="J2214" s="159">
        <v>17792.240000000002</v>
      </c>
      <c r="K2214" s="159">
        <v>37323.51</v>
      </c>
      <c r="L2214" s="611">
        <v>7.0767903671827135</v>
      </c>
      <c r="M2214" s="611">
        <v>11.500435161009573</v>
      </c>
      <c r="N2214" s="611">
        <v>4.5737230405388045</v>
      </c>
      <c r="O2214" s="611">
        <v>5.6255855665752268</v>
      </c>
      <c r="P2214" s="160"/>
      <c r="Q2214" s="160"/>
      <c r="R2214" s="160">
        <v>1</v>
      </c>
    </row>
    <row r="2215" spans="1:18" ht="12.75" customHeight="1">
      <c r="A2215" s="630" t="s">
        <v>4053</v>
      </c>
      <c r="B2215" s="631"/>
      <c r="C2215" s="631"/>
      <c r="D2215" s="631"/>
      <c r="E2215" s="631"/>
      <c r="F2215" s="631"/>
      <c r="G2215" s="631"/>
      <c r="H2215" s="631"/>
      <c r="I2215" s="631"/>
      <c r="J2215" s="631"/>
      <c r="K2215" s="631"/>
      <c r="L2215" s="631"/>
      <c r="M2215" s="631"/>
      <c r="N2215" s="631"/>
      <c r="O2215" s="631"/>
      <c r="P2215" s="631"/>
      <c r="Q2215" s="631"/>
      <c r="R2215" s="631"/>
    </row>
    <row r="2216" spans="1:18" ht="12.75" customHeight="1">
      <c r="A2216" s="628" t="s">
        <v>4054</v>
      </c>
      <c r="B2216" s="629"/>
      <c r="C2216" s="629"/>
      <c r="D2216" s="629"/>
      <c r="E2216" s="629"/>
      <c r="F2216" s="629"/>
      <c r="G2216" s="629"/>
      <c r="H2216" s="629"/>
      <c r="I2216" s="629"/>
      <c r="J2216" s="629"/>
      <c r="K2216" s="629"/>
      <c r="L2216" s="629"/>
      <c r="M2216" s="629"/>
      <c r="N2216" s="629"/>
      <c r="O2216" s="629"/>
      <c r="P2216" s="629"/>
      <c r="Q2216" s="629"/>
      <c r="R2216" s="629"/>
    </row>
    <row r="2217" spans="1:18" ht="12.75" customHeight="1">
      <c r="A2217" s="628" t="s">
        <v>4055</v>
      </c>
      <c r="B2217" s="629"/>
      <c r="C2217" s="629"/>
      <c r="D2217" s="629"/>
      <c r="E2217" s="629"/>
      <c r="F2217" s="629"/>
      <c r="G2217" s="629"/>
      <c r="H2217" s="629"/>
      <c r="I2217" s="629"/>
      <c r="J2217" s="629"/>
      <c r="K2217" s="629"/>
      <c r="L2217" s="629"/>
      <c r="M2217" s="629"/>
      <c r="N2217" s="629"/>
      <c r="O2217" s="629"/>
      <c r="P2217" s="629"/>
      <c r="Q2217" s="629"/>
      <c r="R2217" s="629"/>
    </row>
    <row r="2218" spans="1:18" ht="36">
      <c r="A2218" s="150">
        <v>542</v>
      </c>
      <c r="B2218" s="147" t="s">
        <v>4056</v>
      </c>
      <c r="C2218" s="151" t="s">
        <v>4057</v>
      </c>
      <c r="D2218" s="152">
        <v>3849.33</v>
      </c>
      <c r="E2218" s="152">
        <v>1009.68</v>
      </c>
      <c r="F2218" s="152">
        <v>1927.8</v>
      </c>
      <c r="G2218" s="152">
        <v>911.85</v>
      </c>
      <c r="H2218" s="153">
        <v>25562.68</v>
      </c>
      <c r="I2218" s="153">
        <v>11611.32</v>
      </c>
      <c r="J2218" s="153">
        <v>9382.4699999999993</v>
      </c>
      <c r="K2218" s="153">
        <v>4568.8900000000003</v>
      </c>
      <c r="L2218" s="43">
        <v>6.6408128167759068</v>
      </c>
      <c r="M2218" s="43">
        <v>11.5</v>
      </c>
      <c r="N2218" s="43">
        <v>4.8669312169312171</v>
      </c>
      <c r="O2218" s="43">
        <v>5.0105719142402814</v>
      </c>
      <c r="P2218" s="154"/>
      <c r="Q2218" s="154"/>
      <c r="R2218" s="154">
        <v>1</v>
      </c>
    </row>
    <row r="2219" spans="1:18" ht="36">
      <c r="A2219" s="150">
        <v>543</v>
      </c>
      <c r="B2219" s="147" t="s">
        <v>4058</v>
      </c>
      <c r="C2219" s="151" t="s">
        <v>4059</v>
      </c>
      <c r="D2219" s="152">
        <v>3459.93</v>
      </c>
      <c r="E2219" s="152">
        <v>973.62</v>
      </c>
      <c r="F2219" s="152">
        <v>1903.5</v>
      </c>
      <c r="G2219" s="152">
        <v>582.80999999999995</v>
      </c>
      <c r="H2219" s="153">
        <v>23768.25</v>
      </c>
      <c r="I2219" s="153">
        <v>11196.63</v>
      </c>
      <c r="J2219" s="153">
        <v>9343.76</v>
      </c>
      <c r="K2219" s="153">
        <v>3227.86</v>
      </c>
      <c r="L2219" s="43">
        <v>6.8695753960340245</v>
      </c>
      <c r="M2219" s="43">
        <v>11.5</v>
      </c>
      <c r="N2219" s="43">
        <v>4.9087260309955347</v>
      </c>
      <c r="O2219" s="43">
        <v>5.5384430603455677</v>
      </c>
      <c r="P2219" s="154"/>
      <c r="Q2219" s="154"/>
      <c r="R2219" s="154">
        <v>1</v>
      </c>
    </row>
    <row r="2220" spans="1:18" ht="36">
      <c r="A2220" s="150">
        <v>544</v>
      </c>
      <c r="B2220" s="147" t="s">
        <v>4060</v>
      </c>
      <c r="C2220" s="151" t="s">
        <v>4061</v>
      </c>
      <c r="D2220" s="152">
        <v>2930.3</v>
      </c>
      <c r="E2220" s="152">
        <v>817.36</v>
      </c>
      <c r="F2220" s="152">
        <v>1639.09</v>
      </c>
      <c r="G2220" s="152">
        <v>473.85</v>
      </c>
      <c r="H2220" s="153">
        <v>20078.02</v>
      </c>
      <c r="I2220" s="153">
        <v>9399.64</v>
      </c>
      <c r="J2220" s="153">
        <v>8046.08</v>
      </c>
      <c r="K2220" s="153">
        <v>2632.3</v>
      </c>
      <c r="L2220" s="43">
        <v>6.8518649967580112</v>
      </c>
      <c r="M2220" s="43">
        <v>11.499999999999998</v>
      </c>
      <c r="N2220" s="43">
        <v>4.9088701657627096</v>
      </c>
      <c r="O2220" s="43">
        <v>5.5551334810594071</v>
      </c>
      <c r="P2220" s="154"/>
      <c r="Q2220" s="154"/>
      <c r="R2220" s="154">
        <v>1</v>
      </c>
    </row>
    <row r="2221" spans="1:18" ht="36">
      <c r="A2221" s="150">
        <v>545</v>
      </c>
      <c r="B2221" s="147" t="s">
        <v>4062</v>
      </c>
      <c r="C2221" s="151" t="s">
        <v>4063</v>
      </c>
      <c r="D2221" s="152">
        <v>3654.74</v>
      </c>
      <c r="E2221" s="152">
        <v>1021.7</v>
      </c>
      <c r="F2221" s="152">
        <v>1774.31</v>
      </c>
      <c r="G2221" s="152">
        <v>858.73</v>
      </c>
      <c r="H2221" s="153">
        <v>24903.57</v>
      </c>
      <c r="I2221" s="153">
        <v>11749.55</v>
      </c>
      <c r="J2221" s="153">
        <v>8845.33</v>
      </c>
      <c r="K2221" s="153">
        <v>4308.6899999999996</v>
      </c>
      <c r="L2221" s="43">
        <v>6.8140469636690986</v>
      </c>
      <c r="M2221" s="43">
        <v>11.499999999999998</v>
      </c>
      <c r="N2221" s="43">
        <v>4.9852224244917744</v>
      </c>
      <c r="O2221" s="43">
        <v>5.0175142361394149</v>
      </c>
      <c r="P2221" s="154"/>
      <c r="Q2221" s="154"/>
      <c r="R2221" s="154">
        <v>1</v>
      </c>
    </row>
    <row r="2222" spans="1:18" ht="12.75" customHeight="1">
      <c r="A2222" s="628" t="s">
        <v>4064</v>
      </c>
      <c r="B2222" s="629"/>
      <c r="C2222" s="629"/>
      <c r="D2222" s="629"/>
      <c r="E2222" s="629"/>
      <c r="F2222" s="629"/>
      <c r="G2222" s="629"/>
      <c r="H2222" s="629"/>
      <c r="I2222" s="629"/>
      <c r="J2222" s="629"/>
      <c r="K2222" s="629"/>
      <c r="L2222" s="629"/>
      <c r="M2222" s="629"/>
      <c r="N2222" s="629"/>
      <c r="O2222" s="629"/>
      <c r="P2222" s="629"/>
      <c r="Q2222" s="629"/>
      <c r="R2222" s="629"/>
    </row>
    <row r="2223" spans="1:18" ht="36">
      <c r="A2223" s="150">
        <v>546</v>
      </c>
      <c r="B2223" s="147" t="s">
        <v>4065</v>
      </c>
      <c r="C2223" s="151" t="s">
        <v>4066</v>
      </c>
      <c r="D2223" s="152">
        <v>4206.3599999999997</v>
      </c>
      <c r="E2223" s="152">
        <v>1464</v>
      </c>
      <c r="F2223" s="152">
        <v>1971.11</v>
      </c>
      <c r="G2223" s="152">
        <v>771.25</v>
      </c>
      <c r="H2223" s="153">
        <v>30521.35</v>
      </c>
      <c r="I2223" s="153">
        <v>16836</v>
      </c>
      <c r="J2223" s="153">
        <v>9703.01</v>
      </c>
      <c r="K2223" s="153">
        <v>3982.34</v>
      </c>
      <c r="L2223" s="43">
        <v>7.2560004374328404</v>
      </c>
      <c r="M2223" s="43">
        <v>11.5</v>
      </c>
      <c r="N2223" s="43">
        <v>4.9226121322503564</v>
      </c>
      <c r="O2223" s="43">
        <v>5.1634878444084285</v>
      </c>
      <c r="P2223" s="154"/>
      <c r="Q2223" s="154"/>
      <c r="R2223" s="154">
        <v>2</v>
      </c>
    </row>
    <row r="2224" spans="1:18" ht="36">
      <c r="A2224" s="150">
        <v>547</v>
      </c>
      <c r="B2224" s="147" t="s">
        <v>4067</v>
      </c>
      <c r="C2224" s="151" t="s">
        <v>4068</v>
      </c>
      <c r="D2224" s="152">
        <v>3740.83</v>
      </c>
      <c r="E2224" s="152">
        <v>1073.5999999999999</v>
      </c>
      <c r="F2224" s="152">
        <v>1895.19</v>
      </c>
      <c r="G2224" s="152">
        <v>772.04</v>
      </c>
      <c r="H2224" s="153">
        <v>25424.1</v>
      </c>
      <c r="I2224" s="153">
        <v>12346.4</v>
      </c>
      <c r="J2224" s="153">
        <v>9207.92</v>
      </c>
      <c r="K2224" s="153">
        <v>3869.78</v>
      </c>
      <c r="L2224" s="43">
        <v>6.7963794131248942</v>
      </c>
      <c r="M2224" s="43">
        <v>11.5</v>
      </c>
      <c r="N2224" s="43">
        <v>4.8585735467156326</v>
      </c>
      <c r="O2224" s="43">
        <v>5.0124086834879025</v>
      </c>
      <c r="P2224" s="154"/>
      <c r="Q2224" s="154"/>
      <c r="R2224" s="154">
        <v>2</v>
      </c>
    </row>
    <row r="2225" spans="1:18" ht="36">
      <c r="A2225" s="150">
        <v>548</v>
      </c>
      <c r="B2225" s="147" t="s">
        <v>4069</v>
      </c>
      <c r="C2225" s="151" t="s">
        <v>4070</v>
      </c>
      <c r="D2225" s="152">
        <v>3295.42</v>
      </c>
      <c r="E2225" s="152">
        <v>1000.4</v>
      </c>
      <c r="F2225" s="152">
        <v>1557.31</v>
      </c>
      <c r="G2225" s="152">
        <v>737.71</v>
      </c>
      <c r="H2225" s="153">
        <v>22758.25</v>
      </c>
      <c r="I2225" s="153">
        <v>11504.6</v>
      </c>
      <c r="J2225" s="153">
        <v>7565.1</v>
      </c>
      <c r="K2225" s="153">
        <v>3688.55</v>
      </c>
      <c r="L2225" s="43">
        <v>6.9060241183217919</v>
      </c>
      <c r="M2225" s="43">
        <v>11.5</v>
      </c>
      <c r="N2225" s="43">
        <v>4.8577996673751533</v>
      </c>
      <c r="O2225" s="43">
        <v>5</v>
      </c>
      <c r="P2225" s="154"/>
      <c r="Q2225" s="154"/>
      <c r="R2225" s="154">
        <v>2</v>
      </c>
    </row>
    <row r="2226" spans="1:18" ht="36">
      <c r="A2226" s="150">
        <v>549</v>
      </c>
      <c r="B2226" s="147" t="s">
        <v>4071</v>
      </c>
      <c r="C2226" s="151" t="s">
        <v>4072</v>
      </c>
      <c r="D2226" s="152">
        <v>2888.56</v>
      </c>
      <c r="E2226" s="152">
        <v>793</v>
      </c>
      <c r="F2226" s="152">
        <v>1309.98</v>
      </c>
      <c r="G2226" s="152">
        <v>785.58</v>
      </c>
      <c r="H2226" s="153">
        <v>19271.39</v>
      </c>
      <c r="I2226" s="153">
        <v>9119.5</v>
      </c>
      <c r="J2226" s="153">
        <v>6427.14</v>
      </c>
      <c r="K2226" s="153">
        <v>3724.75</v>
      </c>
      <c r="L2226" s="43">
        <v>6.6716253081120005</v>
      </c>
      <c r="M2226" s="43">
        <v>11.5</v>
      </c>
      <c r="N2226" s="43">
        <v>4.9062886456281776</v>
      </c>
      <c r="O2226" s="43">
        <v>4.7414012576694926</v>
      </c>
      <c r="P2226" s="154"/>
      <c r="Q2226" s="154"/>
      <c r="R2226" s="154">
        <v>2</v>
      </c>
    </row>
    <row r="2227" spans="1:18" ht="12.75" customHeight="1">
      <c r="A2227" s="628" t="s">
        <v>4073</v>
      </c>
      <c r="B2227" s="629"/>
      <c r="C2227" s="629"/>
      <c r="D2227" s="629"/>
      <c r="E2227" s="629"/>
      <c r="F2227" s="629"/>
      <c r="G2227" s="629"/>
      <c r="H2227" s="629"/>
      <c r="I2227" s="629"/>
      <c r="J2227" s="629"/>
      <c r="K2227" s="629"/>
      <c r="L2227" s="629"/>
      <c r="M2227" s="629"/>
      <c r="N2227" s="629"/>
      <c r="O2227" s="629"/>
      <c r="P2227" s="629"/>
      <c r="Q2227" s="629"/>
      <c r="R2227" s="629"/>
    </row>
    <row r="2228" spans="1:18" ht="36">
      <c r="A2228" s="150">
        <v>550</v>
      </c>
      <c r="B2228" s="147" t="s">
        <v>4074</v>
      </c>
      <c r="C2228" s="151" t="s">
        <v>4075</v>
      </c>
      <c r="D2228" s="152">
        <v>6786.07</v>
      </c>
      <c r="E2228" s="152">
        <v>1872.3</v>
      </c>
      <c r="F2228" s="152">
        <v>4107.57</v>
      </c>
      <c r="G2228" s="152">
        <v>806.2</v>
      </c>
      <c r="H2228" s="153">
        <v>47095.1</v>
      </c>
      <c r="I2228" s="153">
        <v>21532.240000000002</v>
      </c>
      <c r="J2228" s="153">
        <v>21469.53</v>
      </c>
      <c r="K2228" s="153">
        <v>4093.33</v>
      </c>
      <c r="L2228" s="43">
        <v>6.939966725954787</v>
      </c>
      <c r="M2228" s="43">
        <v>11.500421940928272</v>
      </c>
      <c r="N2228" s="43">
        <v>5.2268202367823315</v>
      </c>
      <c r="O2228" s="43">
        <v>5.0773133217563879</v>
      </c>
      <c r="P2228" s="154"/>
      <c r="Q2228" s="154"/>
      <c r="R2228" s="154">
        <v>3</v>
      </c>
    </row>
    <row r="2229" spans="1:18" ht="36">
      <c r="A2229" s="150">
        <v>551</v>
      </c>
      <c r="B2229" s="147" t="s">
        <v>4076</v>
      </c>
      <c r="C2229" s="151" t="s">
        <v>4077</v>
      </c>
      <c r="D2229" s="152">
        <v>5974.95</v>
      </c>
      <c r="E2229" s="152">
        <v>1146.8</v>
      </c>
      <c r="F2229" s="152">
        <v>4145.8900000000003</v>
      </c>
      <c r="G2229" s="152">
        <v>682.26</v>
      </c>
      <c r="H2229" s="153">
        <v>36709.79</v>
      </c>
      <c r="I2229" s="153">
        <v>13188.2</v>
      </c>
      <c r="J2229" s="153">
        <v>20074.82</v>
      </c>
      <c r="K2229" s="153">
        <v>3446.77</v>
      </c>
      <c r="L2229" s="43">
        <v>6.1439493217516468</v>
      </c>
      <c r="M2229" s="43">
        <v>11.500000000000002</v>
      </c>
      <c r="N2229" s="43">
        <v>4.842101454693684</v>
      </c>
      <c r="O2229" s="43">
        <v>5.0519889778090468</v>
      </c>
      <c r="P2229" s="154"/>
      <c r="Q2229" s="154"/>
      <c r="R2229" s="154">
        <v>3</v>
      </c>
    </row>
    <row r="2230" spans="1:18" ht="36">
      <c r="A2230" s="150">
        <v>552</v>
      </c>
      <c r="B2230" s="147" t="s">
        <v>4078</v>
      </c>
      <c r="C2230" s="151" t="s">
        <v>4079</v>
      </c>
      <c r="D2230" s="152">
        <v>5471.27</v>
      </c>
      <c r="E2230" s="152">
        <v>1854.4</v>
      </c>
      <c r="F2230" s="152">
        <v>2842.41</v>
      </c>
      <c r="G2230" s="152">
        <v>774.46</v>
      </c>
      <c r="H2230" s="153">
        <v>39152.19</v>
      </c>
      <c r="I2230" s="153">
        <v>21325.599999999999</v>
      </c>
      <c r="J2230" s="153">
        <v>14003.01</v>
      </c>
      <c r="K2230" s="153">
        <v>3823.58</v>
      </c>
      <c r="L2230" s="43">
        <v>7.155960133570451</v>
      </c>
      <c r="M2230" s="43">
        <v>11.499999999999998</v>
      </c>
      <c r="N2230" s="43">
        <v>4.9264567743569723</v>
      </c>
      <c r="O2230" s="43">
        <v>4.9370916509567957</v>
      </c>
      <c r="P2230" s="154"/>
      <c r="Q2230" s="154"/>
      <c r="R2230" s="154">
        <v>3</v>
      </c>
    </row>
    <row r="2231" spans="1:18" ht="36">
      <c r="A2231" s="150">
        <v>553</v>
      </c>
      <c r="B2231" s="147" t="s">
        <v>4080</v>
      </c>
      <c r="C2231" s="151" t="s">
        <v>4081</v>
      </c>
      <c r="D2231" s="152">
        <v>4093.44</v>
      </c>
      <c r="E2231" s="152">
        <v>1427.4</v>
      </c>
      <c r="F2231" s="152">
        <v>2076.42</v>
      </c>
      <c r="G2231" s="152">
        <v>589.62</v>
      </c>
      <c r="H2231" s="153">
        <v>29342.05</v>
      </c>
      <c r="I2231" s="153">
        <v>16415.099999999999</v>
      </c>
      <c r="J2231" s="153">
        <v>10102.89</v>
      </c>
      <c r="K2231" s="153">
        <v>2824.06</v>
      </c>
      <c r="L2231" s="43">
        <v>7.1680664673233272</v>
      </c>
      <c r="M2231" s="43">
        <v>11.499999999999998</v>
      </c>
      <c r="N2231" s="43">
        <v>4.8655329846562827</v>
      </c>
      <c r="O2231" s="43">
        <v>4.7896272175299348</v>
      </c>
      <c r="P2231" s="154"/>
      <c r="Q2231" s="154"/>
      <c r="R2231" s="154">
        <v>3</v>
      </c>
    </row>
    <row r="2232" spans="1:18" ht="12.75" customHeight="1">
      <c r="A2232" s="628" t="s">
        <v>4082</v>
      </c>
      <c r="B2232" s="629"/>
      <c r="C2232" s="629"/>
      <c r="D2232" s="629"/>
      <c r="E2232" s="629"/>
      <c r="F2232" s="629"/>
      <c r="G2232" s="629"/>
      <c r="H2232" s="629"/>
      <c r="I2232" s="629"/>
      <c r="J2232" s="629"/>
      <c r="K2232" s="629"/>
      <c r="L2232" s="629"/>
      <c r="M2232" s="629"/>
      <c r="N2232" s="629"/>
      <c r="O2232" s="629"/>
      <c r="P2232" s="629"/>
      <c r="Q2232" s="629"/>
      <c r="R2232" s="629"/>
    </row>
    <row r="2233" spans="1:18" ht="36">
      <c r="A2233" s="150">
        <v>554</v>
      </c>
      <c r="B2233" s="147" t="s">
        <v>4083</v>
      </c>
      <c r="C2233" s="151" t="s">
        <v>4084</v>
      </c>
      <c r="D2233" s="152">
        <v>15961.88</v>
      </c>
      <c r="E2233" s="152">
        <v>3886.11</v>
      </c>
      <c r="F2233" s="152">
        <v>9838.2800000000007</v>
      </c>
      <c r="G2233" s="152">
        <v>2237.4899999999998</v>
      </c>
      <c r="H2233" s="153">
        <v>108385.03</v>
      </c>
      <c r="I2233" s="153">
        <v>44691.93</v>
      </c>
      <c r="J2233" s="153">
        <v>53531.29</v>
      </c>
      <c r="K2233" s="153">
        <v>10161.81</v>
      </c>
      <c r="L2233" s="43">
        <v>6.7902421268672617</v>
      </c>
      <c r="M2233" s="43">
        <v>11.500428449014567</v>
      </c>
      <c r="N2233" s="43">
        <v>5.441122838544949</v>
      </c>
      <c r="O2233" s="43">
        <v>4.5416113591569127</v>
      </c>
      <c r="P2233" s="154"/>
      <c r="Q2233" s="154"/>
      <c r="R2233" s="154">
        <v>4</v>
      </c>
    </row>
    <row r="2234" spans="1:18" ht="36">
      <c r="A2234" s="150">
        <v>555</v>
      </c>
      <c r="B2234" s="147" t="s">
        <v>4085</v>
      </c>
      <c r="C2234" s="151" t="s">
        <v>4086</v>
      </c>
      <c r="D2234" s="152">
        <v>14326.6</v>
      </c>
      <c r="E2234" s="152">
        <v>3559.35</v>
      </c>
      <c r="F2234" s="152">
        <v>8779.0300000000007</v>
      </c>
      <c r="G2234" s="152">
        <v>1988.22</v>
      </c>
      <c r="H2234" s="153">
        <v>97845.55</v>
      </c>
      <c r="I2234" s="153">
        <v>40934.050000000003</v>
      </c>
      <c r="J2234" s="153">
        <v>47849.89</v>
      </c>
      <c r="K2234" s="153">
        <v>9061.61</v>
      </c>
      <c r="L2234" s="43">
        <v>6.8296420644116536</v>
      </c>
      <c r="M2234" s="43">
        <v>11.500428449014569</v>
      </c>
      <c r="N2234" s="43">
        <v>5.4504757359298228</v>
      </c>
      <c r="O2234" s="43">
        <v>4.5576495558841579</v>
      </c>
      <c r="P2234" s="154"/>
      <c r="Q2234" s="154"/>
      <c r="R2234" s="154">
        <v>4</v>
      </c>
    </row>
    <row r="2235" spans="1:18" ht="36">
      <c r="A2235" s="150">
        <v>556</v>
      </c>
      <c r="B2235" s="147" t="s">
        <v>4087</v>
      </c>
      <c r="C2235" s="151" t="s">
        <v>4088</v>
      </c>
      <c r="D2235" s="152">
        <v>16329.19</v>
      </c>
      <c r="E2235" s="152">
        <v>4644.66</v>
      </c>
      <c r="F2235" s="152">
        <v>9315.3799999999992</v>
      </c>
      <c r="G2235" s="152">
        <v>2369.15</v>
      </c>
      <c r="H2235" s="153">
        <v>115004.31</v>
      </c>
      <c r="I2235" s="153">
        <v>53415.58</v>
      </c>
      <c r="J2235" s="153">
        <v>50737.54</v>
      </c>
      <c r="K2235" s="153">
        <v>10851.19</v>
      </c>
      <c r="L2235" s="43">
        <v>7.0428667925353308</v>
      </c>
      <c r="M2235" s="43">
        <v>11.500428449014567</v>
      </c>
      <c r="N2235" s="43">
        <v>5.4466420049423645</v>
      </c>
      <c r="O2235" s="43">
        <v>4.5802038705864971</v>
      </c>
      <c r="P2235" s="154"/>
      <c r="Q2235" s="154"/>
      <c r="R2235" s="154">
        <v>4</v>
      </c>
    </row>
    <row r="2236" spans="1:18" ht="36">
      <c r="A2236" s="150">
        <v>557</v>
      </c>
      <c r="B2236" s="147" t="s">
        <v>4089</v>
      </c>
      <c r="C2236" s="151" t="s">
        <v>4090</v>
      </c>
      <c r="D2236" s="152">
        <v>11810.44</v>
      </c>
      <c r="E2236" s="152">
        <v>2544.06</v>
      </c>
      <c r="F2236" s="152">
        <v>7669.39</v>
      </c>
      <c r="G2236" s="152">
        <v>1596.99</v>
      </c>
      <c r="H2236" s="153">
        <v>76700.259999999995</v>
      </c>
      <c r="I2236" s="153">
        <v>29257.78</v>
      </c>
      <c r="J2236" s="153">
        <v>40132.57</v>
      </c>
      <c r="K2236" s="153">
        <v>7309.91</v>
      </c>
      <c r="L2236" s="43">
        <v>6.4942762505037912</v>
      </c>
      <c r="M2236" s="43">
        <v>11.500428449014567</v>
      </c>
      <c r="N2236" s="43">
        <v>5.2328242532978502</v>
      </c>
      <c r="O2236" s="43">
        <v>4.5773048046637737</v>
      </c>
      <c r="P2236" s="154"/>
      <c r="Q2236" s="154"/>
      <c r="R2236" s="154">
        <v>4</v>
      </c>
    </row>
    <row r="2237" spans="1:18" ht="36">
      <c r="A2237" s="150">
        <v>558</v>
      </c>
      <c r="B2237" s="147" t="s">
        <v>4091</v>
      </c>
      <c r="C2237" s="151" t="s">
        <v>4092</v>
      </c>
      <c r="D2237" s="152">
        <v>7593.56</v>
      </c>
      <c r="E2237" s="152">
        <v>2567.4</v>
      </c>
      <c r="F2237" s="152">
        <v>4259.09</v>
      </c>
      <c r="G2237" s="152">
        <v>767.07</v>
      </c>
      <c r="H2237" s="153">
        <v>54228.7</v>
      </c>
      <c r="I2237" s="153">
        <v>29526.2</v>
      </c>
      <c r="J2237" s="153">
        <v>21080.76</v>
      </c>
      <c r="K2237" s="153">
        <v>3621.74</v>
      </c>
      <c r="L2237" s="43">
        <v>7.1414066656482591</v>
      </c>
      <c r="M2237" s="43">
        <v>11.500428449014567</v>
      </c>
      <c r="N2237" s="43">
        <v>4.9495925185896512</v>
      </c>
      <c r="O2237" s="43">
        <v>4.721524763059433</v>
      </c>
      <c r="P2237" s="154"/>
      <c r="Q2237" s="154"/>
      <c r="R2237" s="154">
        <v>4</v>
      </c>
    </row>
    <row r="2238" spans="1:18" ht="12.75" customHeight="1">
      <c r="A2238" s="628" t="s">
        <v>4093</v>
      </c>
      <c r="B2238" s="629"/>
      <c r="C2238" s="629"/>
      <c r="D2238" s="629"/>
      <c r="E2238" s="629"/>
      <c r="F2238" s="629"/>
      <c r="G2238" s="629"/>
      <c r="H2238" s="629"/>
      <c r="I2238" s="629"/>
      <c r="J2238" s="629"/>
      <c r="K2238" s="629"/>
      <c r="L2238" s="629"/>
      <c r="M2238" s="629"/>
      <c r="N2238" s="629"/>
      <c r="O2238" s="629"/>
      <c r="P2238" s="629"/>
      <c r="Q2238" s="629"/>
      <c r="R2238" s="629"/>
    </row>
    <row r="2239" spans="1:18" ht="36">
      <c r="A2239" s="150">
        <v>559</v>
      </c>
      <c r="B2239" s="147" t="s">
        <v>4094</v>
      </c>
      <c r="C2239" s="151" t="s">
        <v>4095</v>
      </c>
      <c r="D2239" s="152">
        <v>12692.71</v>
      </c>
      <c r="E2239" s="152">
        <v>3080.88</v>
      </c>
      <c r="F2239" s="152">
        <v>7593.93</v>
      </c>
      <c r="G2239" s="152">
        <v>2017.9</v>
      </c>
      <c r="H2239" s="153">
        <v>84654.85</v>
      </c>
      <c r="I2239" s="153">
        <v>35431.440000000002</v>
      </c>
      <c r="J2239" s="153">
        <v>39728.99</v>
      </c>
      <c r="K2239" s="153">
        <v>9494.42</v>
      </c>
      <c r="L2239" s="43">
        <v>6.6695646556172807</v>
      </c>
      <c r="M2239" s="43">
        <v>11.500428449014567</v>
      </c>
      <c r="N2239" s="43">
        <v>5.2316771421385235</v>
      </c>
      <c r="O2239" s="43">
        <v>4.7050993607215421</v>
      </c>
      <c r="P2239" s="154"/>
      <c r="Q2239" s="154"/>
      <c r="R2239" s="154">
        <v>5</v>
      </c>
    </row>
    <row r="2240" spans="1:18" ht="36">
      <c r="A2240" s="150">
        <v>560</v>
      </c>
      <c r="B2240" s="147" t="s">
        <v>4096</v>
      </c>
      <c r="C2240" s="151" t="s">
        <v>4097</v>
      </c>
      <c r="D2240" s="152">
        <v>9051.64</v>
      </c>
      <c r="E2240" s="152">
        <v>2088.9299999999998</v>
      </c>
      <c r="F2240" s="152">
        <v>5632.9</v>
      </c>
      <c r="G2240" s="152">
        <v>1329.81</v>
      </c>
      <c r="H2240" s="153">
        <v>59906.239999999998</v>
      </c>
      <c r="I2240" s="153">
        <v>24023.59</v>
      </c>
      <c r="J2240" s="153">
        <v>29292.1</v>
      </c>
      <c r="K2240" s="153">
        <v>6590.55</v>
      </c>
      <c r="L2240" s="43">
        <v>6.6182746993914918</v>
      </c>
      <c r="M2240" s="43">
        <v>11.500428449014569</v>
      </c>
      <c r="N2240" s="43">
        <v>5.2001810790179128</v>
      </c>
      <c r="O2240" s="43">
        <v>4.9560087531301464</v>
      </c>
      <c r="P2240" s="154"/>
      <c r="Q2240" s="154"/>
      <c r="R2240" s="154">
        <v>5</v>
      </c>
    </row>
    <row r="2241" spans="1:18" ht="12.75" customHeight="1">
      <c r="A2241" s="628" t="s">
        <v>4098</v>
      </c>
      <c r="B2241" s="629"/>
      <c r="C2241" s="629"/>
      <c r="D2241" s="629"/>
      <c r="E2241" s="629"/>
      <c r="F2241" s="629"/>
      <c r="G2241" s="629"/>
      <c r="H2241" s="629"/>
      <c r="I2241" s="629"/>
      <c r="J2241" s="629"/>
      <c r="K2241" s="629"/>
      <c r="L2241" s="629"/>
      <c r="M2241" s="629"/>
      <c r="N2241" s="629"/>
      <c r="O2241" s="629"/>
      <c r="P2241" s="629"/>
      <c r="Q2241" s="629"/>
      <c r="R2241" s="629"/>
    </row>
    <row r="2242" spans="1:18" ht="24">
      <c r="A2242" s="150">
        <v>561</v>
      </c>
      <c r="B2242" s="147" t="s">
        <v>4099</v>
      </c>
      <c r="C2242" s="151" t="s">
        <v>4100</v>
      </c>
      <c r="D2242" s="152">
        <v>8455.39</v>
      </c>
      <c r="E2242" s="152">
        <v>1226.04</v>
      </c>
      <c r="F2242" s="152">
        <v>2728.77</v>
      </c>
      <c r="G2242" s="152">
        <v>4500.58</v>
      </c>
      <c r="H2242" s="153">
        <v>50233.67</v>
      </c>
      <c r="I2242" s="153">
        <v>14099.46</v>
      </c>
      <c r="J2242" s="153">
        <v>13089.11</v>
      </c>
      <c r="K2242" s="153">
        <v>23045.1</v>
      </c>
      <c r="L2242" s="43">
        <v>5.9410234181983332</v>
      </c>
      <c r="M2242" s="43">
        <v>11.5</v>
      </c>
      <c r="N2242" s="43">
        <v>4.7967069412226024</v>
      </c>
      <c r="O2242" s="43">
        <v>5.1204733612112214</v>
      </c>
      <c r="P2242" s="154"/>
      <c r="Q2242" s="154"/>
      <c r="R2242" s="154">
        <v>6</v>
      </c>
    </row>
    <row r="2243" spans="1:18" ht="12.75" customHeight="1">
      <c r="A2243" s="628" t="s">
        <v>4101</v>
      </c>
      <c r="B2243" s="629"/>
      <c r="C2243" s="629"/>
      <c r="D2243" s="629"/>
      <c r="E2243" s="629"/>
      <c r="F2243" s="629"/>
      <c r="G2243" s="629"/>
      <c r="H2243" s="629"/>
      <c r="I2243" s="629"/>
      <c r="J2243" s="629"/>
      <c r="K2243" s="629"/>
      <c r="L2243" s="629"/>
      <c r="M2243" s="629"/>
      <c r="N2243" s="629"/>
      <c r="O2243" s="629"/>
      <c r="P2243" s="629"/>
      <c r="Q2243" s="629"/>
      <c r="R2243" s="629"/>
    </row>
    <row r="2244" spans="1:18" ht="12.75" customHeight="1">
      <c r="A2244" s="628" t="s">
        <v>4102</v>
      </c>
      <c r="B2244" s="629"/>
      <c r="C2244" s="629"/>
      <c r="D2244" s="629"/>
      <c r="E2244" s="629"/>
      <c r="F2244" s="629"/>
      <c r="G2244" s="629"/>
      <c r="H2244" s="629"/>
      <c r="I2244" s="629"/>
      <c r="J2244" s="629"/>
      <c r="K2244" s="629"/>
      <c r="L2244" s="629"/>
      <c r="M2244" s="629"/>
      <c r="N2244" s="629"/>
      <c r="O2244" s="629"/>
      <c r="P2244" s="629"/>
      <c r="Q2244" s="629"/>
      <c r="R2244" s="629"/>
    </row>
    <row r="2245" spans="1:18" ht="24">
      <c r="A2245" s="150">
        <v>562</v>
      </c>
      <c r="B2245" s="147" t="s">
        <v>4103</v>
      </c>
      <c r="C2245" s="151" t="s">
        <v>4104</v>
      </c>
      <c r="D2245" s="152">
        <v>1465.79</v>
      </c>
      <c r="E2245" s="152">
        <v>298.74</v>
      </c>
      <c r="F2245" s="152">
        <v>235.39</v>
      </c>
      <c r="G2245" s="152">
        <v>931.66</v>
      </c>
      <c r="H2245" s="153">
        <v>8356.61</v>
      </c>
      <c r="I2245" s="153">
        <v>3435.64</v>
      </c>
      <c r="J2245" s="153">
        <v>1137.99</v>
      </c>
      <c r="K2245" s="153">
        <v>3782.98</v>
      </c>
      <c r="L2245" s="43">
        <v>5.7010963371287842</v>
      </c>
      <c r="M2245" s="43">
        <v>11.500435161009573</v>
      </c>
      <c r="N2245" s="43">
        <v>4.834487446365606</v>
      </c>
      <c r="O2245" s="43">
        <v>4.060472704634738</v>
      </c>
      <c r="P2245" s="154"/>
      <c r="Q2245" s="154"/>
      <c r="R2245" s="154">
        <v>1</v>
      </c>
    </row>
    <row r="2246" spans="1:18" ht="24">
      <c r="A2246" s="150">
        <v>563</v>
      </c>
      <c r="B2246" s="147" t="s">
        <v>4105</v>
      </c>
      <c r="C2246" s="151" t="s">
        <v>4106</v>
      </c>
      <c r="D2246" s="152">
        <v>1460.59</v>
      </c>
      <c r="E2246" s="152">
        <v>333.21</v>
      </c>
      <c r="F2246" s="152">
        <v>199.95</v>
      </c>
      <c r="G2246" s="152">
        <v>927.43</v>
      </c>
      <c r="H2246" s="153">
        <v>8647.2099999999991</v>
      </c>
      <c r="I2246" s="153">
        <v>3832.06</v>
      </c>
      <c r="J2246" s="153">
        <v>974.64</v>
      </c>
      <c r="K2246" s="153">
        <v>3840.51</v>
      </c>
      <c r="L2246" s="43">
        <v>5.920354103478731</v>
      </c>
      <c r="M2246" s="43">
        <v>11.500435161009575</v>
      </c>
      <c r="N2246" s="43">
        <v>4.8744186046511633</v>
      </c>
      <c r="O2246" s="43">
        <v>4.1410241204187921</v>
      </c>
      <c r="P2246" s="154"/>
      <c r="Q2246" s="154"/>
      <c r="R2246" s="154">
        <v>1</v>
      </c>
    </row>
    <row r="2247" spans="1:18" ht="24">
      <c r="A2247" s="150">
        <v>564</v>
      </c>
      <c r="B2247" s="147" t="s">
        <v>4107</v>
      </c>
      <c r="C2247" s="151" t="s">
        <v>4108</v>
      </c>
      <c r="D2247" s="152">
        <v>1838.72</v>
      </c>
      <c r="E2247" s="152">
        <v>804.3</v>
      </c>
      <c r="F2247" s="152">
        <v>463.5</v>
      </c>
      <c r="G2247" s="152">
        <v>570.91999999999996</v>
      </c>
      <c r="H2247" s="153">
        <v>14524.06</v>
      </c>
      <c r="I2247" s="153">
        <v>9249.7999999999993</v>
      </c>
      <c r="J2247" s="153">
        <v>2135.08</v>
      </c>
      <c r="K2247" s="153">
        <v>3139.18</v>
      </c>
      <c r="L2247" s="43">
        <v>7.8990058301427073</v>
      </c>
      <c r="M2247" s="43">
        <v>11.500435161009573</v>
      </c>
      <c r="N2247" s="43">
        <v>4.606429341963322</v>
      </c>
      <c r="O2247" s="43">
        <v>5.4984586281790797</v>
      </c>
      <c r="P2247" s="154"/>
      <c r="Q2247" s="154"/>
      <c r="R2247" s="154">
        <v>1</v>
      </c>
    </row>
    <row r="2248" spans="1:18" ht="24">
      <c r="A2248" s="150">
        <v>565</v>
      </c>
      <c r="B2248" s="147" t="s">
        <v>4109</v>
      </c>
      <c r="C2248" s="151" t="s">
        <v>4110</v>
      </c>
      <c r="D2248" s="152">
        <v>1234.8</v>
      </c>
      <c r="E2248" s="152">
        <v>379.17</v>
      </c>
      <c r="F2248" s="152">
        <v>451.36</v>
      </c>
      <c r="G2248" s="152">
        <v>404.27</v>
      </c>
      <c r="H2248" s="153">
        <v>8503.17</v>
      </c>
      <c r="I2248" s="153">
        <v>4360.62</v>
      </c>
      <c r="J2248" s="153">
        <v>2072.09</v>
      </c>
      <c r="K2248" s="153">
        <v>2070.46</v>
      </c>
      <c r="L2248" s="43">
        <v>6.8862730806608363</v>
      </c>
      <c r="M2248" s="43">
        <v>11.500435161009573</v>
      </c>
      <c r="N2248" s="43">
        <v>4.5907701169797948</v>
      </c>
      <c r="O2248" s="43">
        <v>5.1214782200014843</v>
      </c>
      <c r="P2248" s="154"/>
      <c r="Q2248" s="154"/>
      <c r="R2248" s="154">
        <v>1</v>
      </c>
    </row>
    <row r="2249" spans="1:18" ht="24">
      <c r="A2249" s="150">
        <v>566</v>
      </c>
      <c r="B2249" s="147" t="s">
        <v>4111</v>
      </c>
      <c r="C2249" s="151" t="s">
        <v>4112</v>
      </c>
      <c r="D2249" s="152">
        <v>1555.79</v>
      </c>
      <c r="E2249" s="152">
        <v>436.62</v>
      </c>
      <c r="F2249" s="152">
        <v>740.89</v>
      </c>
      <c r="G2249" s="152">
        <v>378.28</v>
      </c>
      <c r="H2249" s="153">
        <v>10637.98</v>
      </c>
      <c r="I2249" s="153">
        <v>5021.32</v>
      </c>
      <c r="J2249" s="153">
        <v>3392.68</v>
      </c>
      <c r="K2249" s="153">
        <v>2223.98</v>
      </c>
      <c r="L2249" s="43">
        <v>6.837670893886707</v>
      </c>
      <c r="M2249" s="43">
        <v>11.500435161009573</v>
      </c>
      <c r="N2249" s="43">
        <v>4.5791952921486319</v>
      </c>
      <c r="O2249" s="43">
        <v>5.8791900179761027</v>
      </c>
      <c r="P2249" s="154"/>
      <c r="Q2249" s="154"/>
      <c r="R2249" s="154">
        <v>1</v>
      </c>
    </row>
    <row r="2250" spans="1:18" ht="24">
      <c r="A2250" s="150">
        <v>567</v>
      </c>
      <c r="B2250" s="147" t="s">
        <v>4113</v>
      </c>
      <c r="C2250" s="151" t="s">
        <v>4114</v>
      </c>
      <c r="D2250" s="152">
        <v>1256.4000000000001</v>
      </c>
      <c r="E2250" s="152">
        <v>287.25</v>
      </c>
      <c r="F2250" s="152">
        <v>576.05999999999995</v>
      </c>
      <c r="G2250" s="152">
        <v>393.09</v>
      </c>
      <c r="H2250" s="153">
        <v>8181.5</v>
      </c>
      <c r="I2250" s="153">
        <v>3303.5</v>
      </c>
      <c r="J2250" s="153">
        <v>2637.76</v>
      </c>
      <c r="K2250" s="153">
        <v>2240.2399999999998</v>
      </c>
      <c r="L2250" s="43">
        <v>6.5118592804839217</v>
      </c>
      <c r="M2250" s="43">
        <v>11.500435161009573</v>
      </c>
      <c r="N2250" s="43">
        <v>4.578967468666459</v>
      </c>
      <c r="O2250" s="43">
        <v>5.6990511078887787</v>
      </c>
      <c r="P2250" s="154"/>
      <c r="Q2250" s="154"/>
      <c r="R2250" s="154">
        <v>1</v>
      </c>
    </row>
    <row r="2251" spans="1:18" ht="24">
      <c r="A2251" s="150">
        <v>568</v>
      </c>
      <c r="B2251" s="147" t="s">
        <v>4115</v>
      </c>
      <c r="C2251" s="151" t="s">
        <v>4116</v>
      </c>
      <c r="D2251" s="152">
        <v>1103.82</v>
      </c>
      <c r="E2251" s="152">
        <v>620.46</v>
      </c>
      <c r="F2251" s="152">
        <v>210.76</v>
      </c>
      <c r="G2251" s="152">
        <v>272.60000000000002</v>
      </c>
      <c r="H2251" s="153">
        <v>9810.85</v>
      </c>
      <c r="I2251" s="153">
        <v>7135.56</v>
      </c>
      <c r="J2251" s="153">
        <v>980.61</v>
      </c>
      <c r="K2251" s="153">
        <v>1694.68</v>
      </c>
      <c r="L2251" s="43">
        <v>8.8880886376401964</v>
      </c>
      <c r="M2251" s="43">
        <v>11.500435161009573</v>
      </c>
      <c r="N2251" s="43">
        <v>4.6527329664072878</v>
      </c>
      <c r="O2251" s="43">
        <v>6.2167278063096107</v>
      </c>
      <c r="P2251" s="154"/>
      <c r="Q2251" s="154"/>
      <c r="R2251" s="154">
        <v>1</v>
      </c>
    </row>
    <row r="2252" spans="1:18" ht="24">
      <c r="A2252" s="150">
        <v>569</v>
      </c>
      <c r="B2252" s="147" t="s">
        <v>4117</v>
      </c>
      <c r="C2252" s="151" t="s">
        <v>4118</v>
      </c>
      <c r="D2252" s="152">
        <v>1351.55</v>
      </c>
      <c r="E2252" s="152">
        <v>585.99</v>
      </c>
      <c r="F2252" s="152">
        <v>441.34</v>
      </c>
      <c r="G2252" s="152">
        <v>324.22000000000003</v>
      </c>
      <c r="H2252" s="153">
        <v>10672.62</v>
      </c>
      <c r="I2252" s="153">
        <v>6739.14</v>
      </c>
      <c r="J2252" s="153">
        <v>2025.66</v>
      </c>
      <c r="K2252" s="153">
        <v>1907.82</v>
      </c>
      <c r="L2252" s="43">
        <v>7.8965780030335546</v>
      </c>
      <c r="M2252" s="43">
        <v>11.500435161009573</v>
      </c>
      <c r="N2252" s="43">
        <v>4.5897947160919026</v>
      </c>
      <c r="O2252" s="43">
        <v>5.8843377953241616</v>
      </c>
      <c r="P2252" s="154"/>
      <c r="Q2252" s="154"/>
      <c r="R2252" s="154">
        <v>1</v>
      </c>
    </row>
    <row r="2253" spans="1:18" ht="24">
      <c r="A2253" s="150">
        <v>570</v>
      </c>
      <c r="B2253" s="147" t="s">
        <v>4119</v>
      </c>
      <c r="C2253" s="151" t="s">
        <v>4120</v>
      </c>
      <c r="D2253" s="152">
        <v>1867.24</v>
      </c>
      <c r="E2253" s="152">
        <v>758.34</v>
      </c>
      <c r="F2253" s="152">
        <v>612.16999999999996</v>
      </c>
      <c r="G2253" s="152">
        <v>496.73</v>
      </c>
      <c r="H2253" s="153">
        <v>14237.22</v>
      </c>
      <c r="I2253" s="153">
        <v>8721.24</v>
      </c>
      <c r="J2253" s="153">
        <v>2814.77</v>
      </c>
      <c r="K2253" s="153">
        <v>2701.21</v>
      </c>
      <c r="L2253" s="43">
        <v>7.6247402583492212</v>
      </c>
      <c r="M2253" s="43">
        <v>11.500435161009573</v>
      </c>
      <c r="N2253" s="43">
        <v>4.5980201577993043</v>
      </c>
      <c r="O2253" s="43">
        <v>5.4379844180943371</v>
      </c>
      <c r="P2253" s="154"/>
      <c r="Q2253" s="154"/>
      <c r="R2253" s="154">
        <v>1</v>
      </c>
    </row>
    <row r="2254" spans="1:18" ht="24">
      <c r="A2254" s="150">
        <v>571</v>
      </c>
      <c r="B2254" s="147" t="s">
        <v>4121</v>
      </c>
      <c r="C2254" s="151" t="s">
        <v>4122</v>
      </c>
      <c r="D2254" s="152">
        <v>1637.09</v>
      </c>
      <c r="E2254" s="152">
        <v>631.95000000000005</v>
      </c>
      <c r="F2254" s="152">
        <v>537.91999999999996</v>
      </c>
      <c r="G2254" s="152">
        <v>467.22</v>
      </c>
      <c r="H2254" s="153">
        <v>12151.22</v>
      </c>
      <c r="I2254" s="153">
        <v>7267.7</v>
      </c>
      <c r="J2254" s="153">
        <v>2464.34</v>
      </c>
      <c r="K2254" s="153">
        <v>2419.1799999999998</v>
      </c>
      <c r="L2254" s="43">
        <v>7.4224508121117347</v>
      </c>
      <c r="M2254" s="43">
        <v>11.500435161009573</v>
      </c>
      <c r="N2254" s="43">
        <v>4.5812388459250455</v>
      </c>
      <c r="O2254" s="43">
        <v>5.1778177304053754</v>
      </c>
      <c r="P2254" s="154"/>
      <c r="Q2254" s="154"/>
      <c r="R2254" s="154">
        <v>1</v>
      </c>
    </row>
    <row r="2255" spans="1:18" ht="24">
      <c r="A2255" s="150">
        <v>572</v>
      </c>
      <c r="B2255" s="147" t="s">
        <v>4123</v>
      </c>
      <c r="C2255" s="151" t="s">
        <v>4124</v>
      </c>
      <c r="D2255" s="152">
        <v>1718.94</v>
      </c>
      <c r="E2255" s="152">
        <v>643.44000000000005</v>
      </c>
      <c r="F2255" s="152">
        <v>581.39</v>
      </c>
      <c r="G2255" s="152">
        <v>494.11</v>
      </c>
      <c r="H2255" s="153">
        <v>12683.61</v>
      </c>
      <c r="I2255" s="153">
        <v>7399.84</v>
      </c>
      <c r="J2255" s="153">
        <v>2671.98</v>
      </c>
      <c r="K2255" s="153">
        <v>2611.79</v>
      </c>
      <c r="L2255" s="43">
        <v>7.3787392230095294</v>
      </c>
      <c r="M2255" s="43">
        <v>11.500435161009573</v>
      </c>
      <c r="N2255" s="43">
        <v>4.5958478818005126</v>
      </c>
      <c r="O2255" s="43">
        <v>5.2858472809698247</v>
      </c>
      <c r="P2255" s="154"/>
      <c r="Q2255" s="154"/>
      <c r="R2255" s="154">
        <v>1</v>
      </c>
    </row>
    <row r="2256" spans="1:18" ht="24">
      <c r="A2256" s="150">
        <v>573</v>
      </c>
      <c r="B2256" s="147" t="s">
        <v>4125</v>
      </c>
      <c r="C2256" s="151" t="s">
        <v>4126</v>
      </c>
      <c r="D2256" s="152">
        <v>1847.44</v>
      </c>
      <c r="E2256" s="152">
        <v>689.4</v>
      </c>
      <c r="F2256" s="152">
        <v>680.16</v>
      </c>
      <c r="G2256" s="152">
        <v>477.88</v>
      </c>
      <c r="H2256" s="153">
        <v>13635.02</v>
      </c>
      <c r="I2256" s="153">
        <v>7928.4</v>
      </c>
      <c r="J2256" s="153">
        <v>3134.16</v>
      </c>
      <c r="K2256" s="153">
        <v>2572.46</v>
      </c>
      <c r="L2256" s="43">
        <v>7.3804940891179145</v>
      </c>
      <c r="M2256" s="43">
        <v>11.500435161009573</v>
      </c>
      <c r="N2256" s="43">
        <v>4.6079745942131263</v>
      </c>
      <c r="O2256" s="43">
        <v>5.3830668787143221</v>
      </c>
      <c r="P2256" s="154"/>
      <c r="Q2256" s="154"/>
      <c r="R2256" s="154">
        <v>1</v>
      </c>
    </row>
    <row r="2257" spans="1:18" ht="12.75" customHeight="1">
      <c r="A2257" s="628" t="s">
        <v>4127</v>
      </c>
      <c r="B2257" s="629"/>
      <c r="C2257" s="629"/>
      <c r="D2257" s="629"/>
      <c r="E2257" s="629"/>
      <c r="F2257" s="629"/>
      <c r="G2257" s="629"/>
      <c r="H2257" s="629"/>
      <c r="I2257" s="629"/>
      <c r="J2257" s="629"/>
      <c r="K2257" s="629"/>
      <c r="L2257" s="629"/>
      <c r="M2257" s="629"/>
      <c r="N2257" s="629"/>
      <c r="O2257" s="629"/>
      <c r="P2257" s="629"/>
      <c r="Q2257" s="629"/>
      <c r="R2257" s="629"/>
    </row>
    <row r="2258" spans="1:18" ht="12.75" customHeight="1">
      <c r="A2258" s="628" t="s">
        <v>4128</v>
      </c>
      <c r="B2258" s="629"/>
      <c r="C2258" s="629"/>
      <c r="D2258" s="629"/>
      <c r="E2258" s="629"/>
      <c r="F2258" s="629"/>
      <c r="G2258" s="629"/>
      <c r="H2258" s="629"/>
      <c r="I2258" s="629"/>
      <c r="J2258" s="629"/>
      <c r="K2258" s="629"/>
      <c r="L2258" s="629"/>
      <c r="M2258" s="629"/>
      <c r="N2258" s="629"/>
      <c r="O2258" s="629"/>
      <c r="P2258" s="629"/>
      <c r="Q2258" s="629"/>
      <c r="R2258" s="629"/>
    </row>
    <row r="2259" spans="1:18" ht="24">
      <c r="A2259" s="150">
        <v>574</v>
      </c>
      <c r="B2259" s="147" t="s">
        <v>4129</v>
      </c>
      <c r="C2259" s="151" t="s">
        <v>4130</v>
      </c>
      <c r="D2259" s="152">
        <v>4012.18</v>
      </c>
      <c r="E2259" s="152">
        <v>1107.7</v>
      </c>
      <c r="F2259" s="152">
        <v>1299.83</v>
      </c>
      <c r="G2259" s="152">
        <v>1604.65</v>
      </c>
      <c r="H2259" s="153">
        <v>25871.33</v>
      </c>
      <c r="I2259" s="153">
        <v>12739.08</v>
      </c>
      <c r="J2259" s="153">
        <v>6561.28</v>
      </c>
      <c r="K2259" s="153">
        <v>6570.97</v>
      </c>
      <c r="L2259" s="43">
        <v>6.4481977378881314</v>
      </c>
      <c r="M2259" s="43">
        <v>11.500478468899521</v>
      </c>
      <c r="N2259" s="43">
        <v>5.0477985582730049</v>
      </c>
      <c r="O2259" s="43">
        <v>4.0949552861994825</v>
      </c>
      <c r="P2259" s="154"/>
      <c r="Q2259" s="154"/>
      <c r="R2259" s="154">
        <v>1</v>
      </c>
    </row>
    <row r="2260" spans="1:18" ht="24">
      <c r="A2260" s="150">
        <v>575</v>
      </c>
      <c r="B2260" s="147" t="s">
        <v>4131</v>
      </c>
      <c r="C2260" s="151" t="s">
        <v>4132</v>
      </c>
      <c r="D2260" s="152">
        <v>3610.06</v>
      </c>
      <c r="E2260" s="152">
        <v>982.3</v>
      </c>
      <c r="F2260" s="152">
        <v>1179.08</v>
      </c>
      <c r="G2260" s="152">
        <v>1448.68</v>
      </c>
      <c r="H2260" s="153">
        <v>23172.15</v>
      </c>
      <c r="I2260" s="153">
        <v>11296.92</v>
      </c>
      <c r="J2260" s="153">
        <v>5949.86</v>
      </c>
      <c r="K2260" s="153">
        <v>5925.37</v>
      </c>
      <c r="L2260" s="43">
        <v>6.4187714331617762</v>
      </c>
      <c r="M2260" s="43">
        <v>11.500478468899523</v>
      </c>
      <c r="N2260" s="43">
        <v>5.0461885537876991</v>
      </c>
      <c r="O2260" s="43">
        <v>4.0901855482232099</v>
      </c>
      <c r="P2260" s="154"/>
      <c r="Q2260" s="154"/>
      <c r="R2260" s="154">
        <v>1</v>
      </c>
    </row>
    <row r="2261" spans="1:18" ht="24">
      <c r="A2261" s="150">
        <v>576</v>
      </c>
      <c r="B2261" s="147" t="s">
        <v>4133</v>
      </c>
      <c r="C2261" s="151" t="s">
        <v>4134</v>
      </c>
      <c r="D2261" s="152">
        <v>2636.55</v>
      </c>
      <c r="E2261" s="152">
        <v>710.6</v>
      </c>
      <c r="F2261" s="152">
        <v>900.03</v>
      </c>
      <c r="G2261" s="152">
        <v>1025.92</v>
      </c>
      <c r="H2261" s="153">
        <v>17008.89</v>
      </c>
      <c r="I2261" s="153">
        <v>8172.24</v>
      </c>
      <c r="J2261" s="153">
        <v>4641.26</v>
      </c>
      <c r="K2261" s="153">
        <v>4195.3900000000003</v>
      </c>
      <c r="L2261" s="43">
        <v>6.4511918985037262</v>
      </c>
      <c r="M2261" s="43">
        <v>11.500478468899521</v>
      </c>
      <c r="N2261" s="43">
        <v>5.1567836627667969</v>
      </c>
      <c r="O2261" s="43">
        <v>4.0893929351216469</v>
      </c>
      <c r="P2261" s="154"/>
      <c r="Q2261" s="154"/>
      <c r="R2261" s="154">
        <v>1</v>
      </c>
    </row>
    <row r="2262" spans="1:18" ht="24">
      <c r="A2262" s="150">
        <v>577</v>
      </c>
      <c r="B2262" s="147" t="s">
        <v>4135</v>
      </c>
      <c r="C2262" s="151" t="s">
        <v>4136</v>
      </c>
      <c r="D2262" s="152">
        <v>2421.27</v>
      </c>
      <c r="E2262" s="152">
        <v>564.29999999999995</v>
      </c>
      <c r="F2262" s="152">
        <v>1045.24</v>
      </c>
      <c r="G2262" s="152">
        <v>811.73</v>
      </c>
      <c r="H2262" s="153">
        <v>14945.08</v>
      </c>
      <c r="I2262" s="153">
        <v>6489.72</v>
      </c>
      <c r="J2262" s="153">
        <v>5137.75</v>
      </c>
      <c r="K2262" s="153">
        <v>3317.61</v>
      </c>
      <c r="L2262" s="43">
        <v>6.1724136506874494</v>
      </c>
      <c r="M2262" s="43">
        <v>11.500478468899523</v>
      </c>
      <c r="N2262" s="43">
        <v>4.9153782863265851</v>
      </c>
      <c r="O2262" s="43">
        <v>4.0870856072832096</v>
      </c>
      <c r="P2262" s="154"/>
      <c r="Q2262" s="154"/>
      <c r="R2262" s="154">
        <v>1</v>
      </c>
    </row>
    <row r="2263" spans="1:18" ht="12.75" customHeight="1">
      <c r="A2263" s="628" t="s">
        <v>4137</v>
      </c>
      <c r="B2263" s="629"/>
      <c r="C2263" s="629"/>
      <c r="D2263" s="629"/>
      <c r="E2263" s="629"/>
      <c r="F2263" s="629"/>
      <c r="G2263" s="629"/>
      <c r="H2263" s="629"/>
      <c r="I2263" s="629"/>
      <c r="J2263" s="629"/>
      <c r="K2263" s="629"/>
      <c r="L2263" s="629"/>
      <c r="M2263" s="629"/>
      <c r="N2263" s="629"/>
      <c r="O2263" s="629"/>
      <c r="P2263" s="629"/>
      <c r="Q2263" s="629"/>
      <c r="R2263" s="629"/>
    </row>
    <row r="2264" spans="1:18" ht="24">
      <c r="A2264" s="150">
        <v>578</v>
      </c>
      <c r="B2264" s="147" t="s">
        <v>4138</v>
      </c>
      <c r="C2264" s="151" t="s">
        <v>4139</v>
      </c>
      <c r="D2264" s="152">
        <v>1384.04</v>
      </c>
      <c r="E2264" s="152">
        <v>333</v>
      </c>
      <c r="F2264" s="152">
        <v>667.68</v>
      </c>
      <c r="G2264" s="152">
        <v>383.36</v>
      </c>
      <c r="H2264" s="153">
        <v>8659.08</v>
      </c>
      <c r="I2264" s="153">
        <v>3829.5</v>
      </c>
      <c r="J2264" s="153">
        <v>3259.32</v>
      </c>
      <c r="K2264" s="153">
        <v>1570.26</v>
      </c>
      <c r="L2264" s="43">
        <v>6.2563798734140637</v>
      </c>
      <c r="M2264" s="43">
        <v>11.5</v>
      </c>
      <c r="N2264" s="43">
        <v>4.881560028756291</v>
      </c>
      <c r="O2264" s="43">
        <v>4.0960454924874794</v>
      </c>
      <c r="P2264" s="154"/>
      <c r="Q2264" s="154"/>
      <c r="R2264" s="154">
        <v>2</v>
      </c>
    </row>
    <row r="2265" spans="1:18" ht="12.75" customHeight="1">
      <c r="A2265" s="628" t="s">
        <v>4140</v>
      </c>
      <c r="B2265" s="629"/>
      <c r="C2265" s="629"/>
      <c r="D2265" s="629"/>
      <c r="E2265" s="629"/>
      <c r="F2265" s="629"/>
      <c r="G2265" s="629"/>
      <c r="H2265" s="629"/>
      <c r="I2265" s="629"/>
      <c r="J2265" s="629"/>
      <c r="K2265" s="629"/>
      <c r="L2265" s="629"/>
      <c r="M2265" s="629"/>
      <c r="N2265" s="629"/>
      <c r="O2265" s="629"/>
      <c r="P2265" s="629"/>
      <c r="Q2265" s="629"/>
      <c r="R2265" s="629"/>
    </row>
    <row r="2266" spans="1:18" ht="36">
      <c r="A2266" s="150">
        <v>579</v>
      </c>
      <c r="B2266" s="147" t="s">
        <v>4141</v>
      </c>
      <c r="C2266" s="151" t="s">
        <v>4142</v>
      </c>
      <c r="D2266" s="152">
        <v>1813.75</v>
      </c>
      <c r="E2266" s="152">
        <v>325.95999999999998</v>
      </c>
      <c r="F2266" s="152">
        <v>754.83</v>
      </c>
      <c r="G2266" s="152">
        <v>732.96</v>
      </c>
      <c r="H2266" s="153">
        <v>10429.17</v>
      </c>
      <c r="I2266" s="153">
        <v>3748.54</v>
      </c>
      <c r="J2266" s="153">
        <v>3698.59</v>
      </c>
      <c r="K2266" s="153">
        <v>2982.04</v>
      </c>
      <c r="L2266" s="43">
        <v>5.7500592694693315</v>
      </c>
      <c r="M2266" s="43">
        <v>11.5</v>
      </c>
      <c r="N2266" s="43">
        <v>4.8998979902759565</v>
      </c>
      <c r="O2266" s="43">
        <v>4.0684894127919664</v>
      </c>
      <c r="P2266" s="154"/>
      <c r="Q2266" s="154"/>
      <c r="R2266" s="154">
        <v>3</v>
      </c>
    </row>
    <row r="2267" spans="1:18" ht="36">
      <c r="A2267" s="150">
        <v>580</v>
      </c>
      <c r="B2267" s="147" t="s">
        <v>4143</v>
      </c>
      <c r="C2267" s="151" t="s">
        <v>4144</v>
      </c>
      <c r="D2267" s="152">
        <v>1854.89</v>
      </c>
      <c r="E2267" s="152">
        <v>295.36</v>
      </c>
      <c r="F2267" s="152">
        <v>980.76</v>
      </c>
      <c r="G2267" s="152">
        <v>578.77</v>
      </c>
      <c r="H2267" s="153">
        <v>10283.16</v>
      </c>
      <c r="I2267" s="153">
        <v>3396.64</v>
      </c>
      <c r="J2267" s="153">
        <v>4528.55</v>
      </c>
      <c r="K2267" s="153">
        <v>2357.9699999999998</v>
      </c>
      <c r="L2267" s="43">
        <v>5.543811223307042</v>
      </c>
      <c r="M2267" s="43">
        <v>11.499999999999998</v>
      </c>
      <c r="N2267" s="43">
        <v>4.617388555813859</v>
      </c>
      <c r="O2267" s="43">
        <v>4.0741054304818833</v>
      </c>
      <c r="P2267" s="154"/>
      <c r="Q2267" s="154"/>
      <c r="R2267" s="154">
        <v>3</v>
      </c>
    </row>
    <row r="2268" spans="1:18" ht="12.75" customHeight="1">
      <c r="A2268" s="628" t="s">
        <v>4145</v>
      </c>
      <c r="B2268" s="629"/>
      <c r="C2268" s="629"/>
      <c r="D2268" s="629"/>
      <c r="E2268" s="629"/>
      <c r="F2268" s="629"/>
      <c r="G2268" s="629"/>
      <c r="H2268" s="629"/>
      <c r="I2268" s="629"/>
      <c r="J2268" s="629"/>
      <c r="K2268" s="629"/>
      <c r="L2268" s="629"/>
      <c r="M2268" s="629"/>
      <c r="N2268" s="629"/>
      <c r="O2268" s="629"/>
      <c r="P2268" s="629"/>
      <c r="Q2268" s="629"/>
      <c r="R2268" s="629"/>
    </row>
    <row r="2269" spans="1:18" ht="24">
      <c r="A2269" s="150">
        <v>581</v>
      </c>
      <c r="B2269" s="147" t="s">
        <v>4146</v>
      </c>
      <c r="C2269" s="151" t="s">
        <v>4147</v>
      </c>
      <c r="D2269" s="152">
        <v>1585.45</v>
      </c>
      <c r="E2269" s="152">
        <v>260.7</v>
      </c>
      <c r="F2269" s="152">
        <v>907.36</v>
      </c>
      <c r="G2269" s="152">
        <v>417.39</v>
      </c>
      <c r="H2269" s="153">
        <v>8859.48</v>
      </c>
      <c r="I2269" s="153">
        <v>2998.16</v>
      </c>
      <c r="J2269" s="153">
        <v>4146.0600000000004</v>
      </c>
      <c r="K2269" s="153">
        <v>1715.26</v>
      </c>
      <c r="L2269" s="43">
        <v>5.5879907912580018</v>
      </c>
      <c r="M2269" s="43">
        <v>11.50042194092827</v>
      </c>
      <c r="N2269" s="43">
        <v>4.5693660730029979</v>
      </c>
      <c r="O2269" s="43">
        <v>4.1094899254893509</v>
      </c>
      <c r="P2269" s="154"/>
      <c r="Q2269" s="154"/>
      <c r="R2269" s="154">
        <v>4</v>
      </c>
    </row>
    <row r="2270" spans="1:18" ht="24">
      <c r="A2270" s="150">
        <v>582</v>
      </c>
      <c r="B2270" s="147" t="s">
        <v>4148</v>
      </c>
      <c r="C2270" s="151" t="s">
        <v>4149</v>
      </c>
      <c r="D2270" s="152">
        <v>1359.97</v>
      </c>
      <c r="E2270" s="152">
        <v>189.6</v>
      </c>
      <c r="F2270" s="152">
        <v>822.67</v>
      </c>
      <c r="G2270" s="152">
        <v>347.7</v>
      </c>
      <c r="H2270" s="153">
        <v>7383.75</v>
      </c>
      <c r="I2270" s="153">
        <v>2180.48</v>
      </c>
      <c r="J2270" s="153">
        <v>3769.13</v>
      </c>
      <c r="K2270" s="153">
        <v>1434.14</v>
      </c>
      <c r="L2270" s="43">
        <v>5.4293477061994011</v>
      </c>
      <c r="M2270" s="43">
        <v>11.50042194092827</v>
      </c>
      <c r="N2270" s="43">
        <v>4.5815819222774632</v>
      </c>
      <c r="O2270" s="43">
        <v>4.1246476847857352</v>
      </c>
      <c r="P2270" s="154"/>
      <c r="Q2270" s="154"/>
      <c r="R2270" s="154">
        <v>4</v>
      </c>
    </row>
    <row r="2271" spans="1:18" ht="12.75" customHeight="1">
      <c r="A2271" s="628" t="s">
        <v>4150</v>
      </c>
      <c r="B2271" s="629"/>
      <c r="C2271" s="629"/>
      <c r="D2271" s="629"/>
      <c r="E2271" s="629"/>
      <c r="F2271" s="629"/>
      <c r="G2271" s="629"/>
      <c r="H2271" s="629"/>
      <c r="I2271" s="629"/>
      <c r="J2271" s="629"/>
      <c r="K2271" s="629"/>
      <c r="L2271" s="629"/>
      <c r="M2271" s="629"/>
      <c r="N2271" s="629"/>
      <c r="O2271" s="629"/>
      <c r="P2271" s="629"/>
      <c r="Q2271" s="629"/>
      <c r="R2271" s="629"/>
    </row>
    <row r="2272" spans="1:18" ht="36">
      <c r="A2272" s="150">
        <v>583</v>
      </c>
      <c r="B2272" s="147" t="s">
        <v>4151</v>
      </c>
      <c r="C2272" s="151" t="s">
        <v>4152</v>
      </c>
      <c r="D2272" s="152">
        <v>1706.45</v>
      </c>
      <c r="E2272" s="152">
        <v>333.21</v>
      </c>
      <c r="F2272" s="152">
        <v>999.84</v>
      </c>
      <c r="G2272" s="152">
        <v>373.4</v>
      </c>
      <c r="H2272" s="153">
        <v>10054.89</v>
      </c>
      <c r="I2272" s="153">
        <v>3832.06</v>
      </c>
      <c r="J2272" s="153">
        <v>4612.7299999999996</v>
      </c>
      <c r="K2272" s="153">
        <v>1610.1</v>
      </c>
      <c r="L2272" s="43">
        <v>5.8922851533886131</v>
      </c>
      <c r="M2272" s="43">
        <v>11.500435161009575</v>
      </c>
      <c r="N2272" s="43">
        <v>4.6134681549047842</v>
      </c>
      <c r="O2272" s="43">
        <v>4.3119978575254416</v>
      </c>
      <c r="P2272" s="154"/>
      <c r="Q2272" s="154"/>
      <c r="R2272" s="154">
        <v>5</v>
      </c>
    </row>
    <row r="2273" spans="1:18" ht="36">
      <c r="A2273" s="150">
        <v>584</v>
      </c>
      <c r="B2273" s="147" t="s">
        <v>4153</v>
      </c>
      <c r="C2273" s="151" t="s">
        <v>4154</v>
      </c>
      <c r="D2273" s="152">
        <v>1483.49</v>
      </c>
      <c r="E2273" s="152">
        <v>272.55</v>
      </c>
      <c r="F2273" s="152">
        <v>946.67</v>
      </c>
      <c r="G2273" s="152">
        <v>264.27</v>
      </c>
      <c r="H2273" s="153">
        <v>8625.43</v>
      </c>
      <c r="I2273" s="153">
        <v>3134.44</v>
      </c>
      <c r="J2273" s="153">
        <v>4328.96</v>
      </c>
      <c r="K2273" s="153">
        <v>1162.03</v>
      </c>
      <c r="L2273" s="43">
        <v>5.8142825364512065</v>
      </c>
      <c r="M2273" s="43">
        <v>11.50042194092827</v>
      </c>
      <c r="N2273" s="43">
        <v>4.5728289689120816</v>
      </c>
      <c r="O2273" s="43">
        <v>4.3971317213455938</v>
      </c>
      <c r="P2273" s="154"/>
      <c r="Q2273" s="154"/>
      <c r="R2273" s="154">
        <v>5</v>
      </c>
    </row>
    <row r="2274" spans="1:18" ht="36">
      <c r="A2274" s="150">
        <v>585</v>
      </c>
      <c r="B2274" s="147" t="s">
        <v>4155</v>
      </c>
      <c r="C2274" s="151" t="s">
        <v>4156</v>
      </c>
      <c r="D2274" s="152">
        <v>1493.22</v>
      </c>
      <c r="E2274" s="152">
        <v>248.85</v>
      </c>
      <c r="F2274" s="152">
        <v>860.81</v>
      </c>
      <c r="G2274" s="152">
        <v>383.56</v>
      </c>
      <c r="H2274" s="153">
        <v>8389.16</v>
      </c>
      <c r="I2274" s="153">
        <v>2861.88</v>
      </c>
      <c r="J2274" s="153">
        <v>3943.18</v>
      </c>
      <c r="K2274" s="153">
        <v>1584.1</v>
      </c>
      <c r="L2274" s="43">
        <v>5.6181674502082748</v>
      </c>
      <c r="M2274" s="43">
        <v>11.500421940928272</v>
      </c>
      <c r="N2274" s="43">
        <v>4.5807785690222005</v>
      </c>
      <c r="O2274" s="43">
        <v>4.1299926999687138</v>
      </c>
      <c r="P2274" s="154"/>
      <c r="Q2274" s="154"/>
      <c r="R2274" s="154">
        <v>5</v>
      </c>
    </row>
    <row r="2275" spans="1:18" ht="36">
      <c r="A2275" s="150">
        <v>586</v>
      </c>
      <c r="B2275" s="147" t="s">
        <v>4157</v>
      </c>
      <c r="C2275" s="151" t="s">
        <v>4158</v>
      </c>
      <c r="D2275" s="152">
        <v>1586.34</v>
      </c>
      <c r="E2275" s="152">
        <v>260.7</v>
      </c>
      <c r="F2275" s="152">
        <v>965.8</v>
      </c>
      <c r="G2275" s="152">
        <v>359.84</v>
      </c>
      <c r="H2275" s="153">
        <v>8922.23</v>
      </c>
      <c r="I2275" s="153">
        <v>2998.16</v>
      </c>
      <c r="J2275" s="153">
        <v>4416.07</v>
      </c>
      <c r="K2275" s="153">
        <v>1508</v>
      </c>
      <c r="L2275" s="43">
        <v>5.6244121688919151</v>
      </c>
      <c r="M2275" s="43">
        <v>11.50042194092827</v>
      </c>
      <c r="N2275" s="43">
        <v>4.5724477117415612</v>
      </c>
      <c r="O2275" s="43">
        <v>4.1907514450867058</v>
      </c>
      <c r="P2275" s="154"/>
      <c r="Q2275" s="154"/>
      <c r="R2275" s="154">
        <v>5</v>
      </c>
    </row>
    <row r="2276" spans="1:18" ht="36">
      <c r="A2276" s="155">
        <v>587</v>
      </c>
      <c r="B2276" s="156" t="s">
        <v>4159</v>
      </c>
      <c r="C2276" s="157" t="s">
        <v>4160</v>
      </c>
      <c r="D2276" s="158">
        <v>1454.2</v>
      </c>
      <c r="E2276" s="158">
        <v>248.85</v>
      </c>
      <c r="F2276" s="158">
        <v>882.57</v>
      </c>
      <c r="G2276" s="158">
        <v>322.77999999999997</v>
      </c>
      <c r="H2276" s="159">
        <v>8244.34</v>
      </c>
      <c r="I2276" s="159">
        <v>2861.88</v>
      </c>
      <c r="J2276" s="159">
        <v>4032.76</v>
      </c>
      <c r="K2276" s="159">
        <v>1349.7</v>
      </c>
      <c r="L2276" s="611">
        <v>5.6693302159262826</v>
      </c>
      <c r="M2276" s="611">
        <v>11.500421940928272</v>
      </c>
      <c r="N2276" s="611">
        <v>4.5693372763633482</v>
      </c>
      <c r="O2276" s="611">
        <v>4.1814858417497991</v>
      </c>
      <c r="P2276" s="160"/>
      <c r="Q2276" s="160"/>
      <c r="R2276" s="160">
        <v>5</v>
      </c>
    </row>
    <row r="2277" spans="1:18" ht="12.75" customHeight="1">
      <c r="A2277" s="630" t="s">
        <v>4161</v>
      </c>
      <c r="B2277" s="631"/>
      <c r="C2277" s="631"/>
      <c r="D2277" s="631"/>
      <c r="E2277" s="631"/>
      <c r="F2277" s="631"/>
      <c r="G2277" s="631"/>
      <c r="H2277" s="631"/>
      <c r="I2277" s="631"/>
      <c r="J2277" s="631"/>
      <c r="K2277" s="631"/>
      <c r="L2277" s="631"/>
      <c r="M2277" s="631"/>
      <c r="N2277" s="631"/>
      <c r="O2277" s="631"/>
      <c r="P2277" s="631"/>
      <c r="Q2277" s="631"/>
      <c r="R2277" s="631"/>
    </row>
    <row r="2278" spans="1:18" ht="12.75" customHeight="1">
      <c r="A2278" s="628" t="s">
        <v>4162</v>
      </c>
      <c r="B2278" s="629"/>
      <c r="C2278" s="629"/>
      <c r="D2278" s="629"/>
      <c r="E2278" s="629"/>
      <c r="F2278" s="629"/>
      <c r="G2278" s="629"/>
      <c r="H2278" s="629"/>
      <c r="I2278" s="629"/>
      <c r="J2278" s="629"/>
      <c r="K2278" s="629"/>
      <c r="L2278" s="629"/>
      <c r="M2278" s="629"/>
      <c r="N2278" s="629"/>
      <c r="O2278" s="629"/>
      <c r="P2278" s="629"/>
      <c r="Q2278" s="629"/>
      <c r="R2278" s="629"/>
    </row>
    <row r="2279" spans="1:18" ht="36">
      <c r="A2279" s="150">
        <v>588</v>
      </c>
      <c r="B2279" s="147" t="s">
        <v>4163</v>
      </c>
      <c r="C2279" s="151" t="s">
        <v>4164</v>
      </c>
      <c r="D2279" s="152">
        <v>3016.68</v>
      </c>
      <c r="E2279" s="152">
        <v>792.81</v>
      </c>
      <c r="F2279" s="152">
        <v>1590.03</v>
      </c>
      <c r="G2279" s="152">
        <v>633.84</v>
      </c>
      <c r="H2279" s="153">
        <v>18840.310000000001</v>
      </c>
      <c r="I2279" s="153">
        <v>9117.66</v>
      </c>
      <c r="J2279" s="153">
        <v>7098.69</v>
      </c>
      <c r="K2279" s="153">
        <v>2623.96</v>
      </c>
      <c r="L2279" s="43">
        <v>6.2453790259490569</v>
      </c>
      <c r="M2279" s="43">
        <v>11.500435161009575</v>
      </c>
      <c r="N2279" s="43">
        <v>4.4645006697986824</v>
      </c>
      <c r="O2279" s="43">
        <v>4.1397829105136941</v>
      </c>
      <c r="P2279" s="154"/>
      <c r="Q2279" s="154"/>
      <c r="R2279" s="154">
        <v>1</v>
      </c>
    </row>
    <row r="2280" spans="1:18" ht="36">
      <c r="A2280" s="150">
        <v>589</v>
      </c>
      <c r="B2280" s="147" t="s">
        <v>4165</v>
      </c>
      <c r="C2280" s="151" t="s">
        <v>4166</v>
      </c>
      <c r="D2280" s="152">
        <v>1825.34</v>
      </c>
      <c r="E2280" s="152">
        <v>482.58</v>
      </c>
      <c r="F2280" s="152">
        <v>965.17</v>
      </c>
      <c r="G2280" s="152">
        <v>377.59</v>
      </c>
      <c r="H2280" s="153">
        <v>11421.65</v>
      </c>
      <c r="I2280" s="153">
        <v>5549.88</v>
      </c>
      <c r="J2280" s="153">
        <v>4312.95</v>
      </c>
      <c r="K2280" s="153">
        <v>1558.82</v>
      </c>
      <c r="L2280" s="43">
        <v>6.2572726177040989</v>
      </c>
      <c r="M2280" s="43">
        <v>11.500435161009575</v>
      </c>
      <c r="N2280" s="43">
        <v>4.4685910254152121</v>
      </c>
      <c r="O2280" s="43">
        <v>4.1283402632484973</v>
      </c>
      <c r="P2280" s="154"/>
      <c r="Q2280" s="154"/>
      <c r="R2280" s="154">
        <v>1</v>
      </c>
    </row>
    <row r="2281" spans="1:18" ht="36">
      <c r="A2281" s="150">
        <v>590</v>
      </c>
      <c r="B2281" s="147" t="s">
        <v>4167</v>
      </c>
      <c r="C2281" s="151" t="s">
        <v>4168</v>
      </c>
      <c r="D2281" s="152">
        <v>1121.83</v>
      </c>
      <c r="E2281" s="152">
        <v>298.74</v>
      </c>
      <c r="F2281" s="152">
        <v>613.4</v>
      </c>
      <c r="G2281" s="152">
        <v>209.69</v>
      </c>
      <c r="H2281" s="153">
        <v>7049.57</v>
      </c>
      <c r="I2281" s="153">
        <v>3435.64</v>
      </c>
      <c r="J2281" s="153">
        <v>2744.34</v>
      </c>
      <c r="K2281" s="153">
        <v>869.59</v>
      </c>
      <c r="L2281" s="43">
        <v>6.2839913355856059</v>
      </c>
      <c r="M2281" s="43">
        <v>11.500435161009573</v>
      </c>
      <c r="N2281" s="43">
        <v>4.4739810890120646</v>
      </c>
      <c r="O2281" s="43">
        <v>4.1470265630216039</v>
      </c>
      <c r="P2281" s="154"/>
      <c r="Q2281" s="154"/>
      <c r="R2281" s="154">
        <v>1</v>
      </c>
    </row>
    <row r="2282" spans="1:18" ht="36">
      <c r="A2282" s="150">
        <v>591</v>
      </c>
      <c r="B2282" s="147" t="s">
        <v>4169</v>
      </c>
      <c r="C2282" s="151" t="s">
        <v>4170</v>
      </c>
      <c r="D2282" s="152">
        <v>799.9</v>
      </c>
      <c r="E2282" s="152">
        <v>218.31</v>
      </c>
      <c r="F2282" s="152">
        <v>448.94</v>
      </c>
      <c r="G2282" s="152">
        <v>132.65</v>
      </c>
      <c r="H2282" s="153">
        <v>5076.8999999999996</v>
      </c>
      <c r="I2282" s="153">
        <v>2510.66</v>
      </c>
      <c r="J2282" s="153">
        <v>2012.84</v>
      </c>
      <c r="K2282" s="153">
        <v>553.4</v>
      </c>
      <c r="L2282" s="43">
        <v>6.3469183647955996</v>
      </c>
      <c r="M2282" s="43">
        <v>11.500435161009573</v>
      </c>
      <c r="N2282" s="43">
        <v>4.4835390029848083</v>
      </c>
      <c r="O2282" s="43">
        <v>4.1718808895589898</v>
      </c>
      <c r="P2282" s="154"/>
      <c r="Q2282" s="154"/>
      <c r="R2282" s="154">
        <v>1</v>
      </c>
    </row>
    <row r="2283" spans="1:18" ht="36">
      <c r="A2283" s="150">
        <v>592</v>
      </c>
      <c r="B2283" s="147" t="s">
        <v>4171</v>
      </c>
      <c r="C2283" s="151" t="s">
        <v>4172</v>
      </c>
      <c r="D2283" s="152">
        <v>613.45000000000005</v>
      </c>
      <c r="E2283" s="152">
        <v>160.86000000000001</v>
      </c>
      <c r="F2283" s="152">
        <v>356.11</v>
      </c>
      <c r="G2283" s="152">
        <v>96.48</v>
      </c>
      <c r="H2283" s="153">
        <v>3848.75</v>
      </c>
      <c r="I2283" s="153">
        <v>1849.96</v>
      </c>
      <c r="J2283" s="153">
        <v>1597.52</v>
      </c>
      <c r="K2283" s="153">
        <v>401.27</v>
      </c>
      <c r="L2283" s="43">
        <v>6.2739424565979292</v>
      </c>
      <c r="M2283" s="43">
        <v>11.500435161009573</v>
      </c>
      <c r="N2283" s="43">
        <v>4.4860295975962483</v>
      </c>
      <c r="O2283" s="43">
        <v>4.1591003316749582</v>
      </c>
      <c r="P2283" s="154"/>
      <c r="Q2283" s="154"/>
      <c r="R2283" s="154">
        <v>1</v>
      </c>
    </row>
    <row r="2284" spans="1:18" ht="36">
      <c r="A2284" s="150">
        <v>593</v>
      </c>
      <c r="B2284" s="147" t="s">
        <v>4173</v>
      </c>
      <c r="C2284" s="151" t="s">
        <v>4174</v>
      </c>
      <c r="D2284" s="152">
        <v>527.67999999999995</v>
      </c>
      <c r="E2284" s="152">
        <v>137.88</v>
      </c>
      <c r="F2284" s="152">
        <v>311.49</v>
      </c>
      <c r="G2284" s="152">
        <v>78.31</v>
      </c>
      <c r="H2284" s="153">
        <v>3308.9</v>
      </c>
      <c r="I2284" s="153">
        <v>1585.68</v>
      </c>
      <c r="J2284" s="153">
        <v>1397.49</v>
      </c>
      <c r="K2284" s="153">
        <v>325.73</v>
      </c>
      <c r="L2284" s="43">
        <v>6.2706564584596736</v>
      </c>
      <c r="M2284" s="43">
        <v>11.500435161009575</v>
      </c>
      <c r="N2284" s="43">
        <v>4.4864682654338823</v>
      </c>
      <c r="O2284" s="43">
        <v>4.1594943174562635</v>
      </c>
      <c r="P2284" s="154"/>
      <c r="Q2284" s="154"/>
      <c r="R2284" s="154">
        <v>1</v>
      </c>
    </row>
    <row r="2285" spans="1:18" ht="36">
      <c r="A2285" s="150">
        <v>594</v>
      </c>
      <c r="B2285" s="147" t="s">
        <v>4175</v>
      </c>
      <c r="C2285" s="151" t="s">
        <v>4176</v>
      </c>
      <c r="D2285" s="152">
        <v>506.91</v>
      </c>
      <c r="E2285" s="152">
        <v>149.37</v>
      </c>
      <c r="F2285" s="152">
        <v>263.85000000000002</v>
      </c>
      <c r="G2285" s="152">
        <v>93.69</v>
      </c>
      <c r="H2285" s="153">
        <v>3283.74</v>
      </c>
      <c r="I2285" s="153">
        <v>1717.82</v>
      </c>
      <c r="J2285" s="153">
        <v>1184.73</v>
      </c>
      <c r="K2285" s="153">
        <v>381.19</v>
      </c>
      <c r="L2285" s="43">
        <v>6.4779546665088468</v>
      </c>
      <c r="M2285" s="43">
        <v>11.500435161009573</v>
      </c>
      <c r="N2285" s="43">
        <v>4.490164866401364</v>
      </c>
      <c r="O2285" s="43">
        <v>4.0686305902444229</v>
      </c>
      <c r="P2285" s="154"/>
      <c r="Q2285" s="154"/>
      <c r="R2285" s="154">
        <v>1</v>
      </c>
    </row>
    <row r="2286" spans="1:18" ht="36">
      <c r="A2286" s="150">
        <v>595</v>
      </c>
      <c r="B2286" s="147" t="s">
        <v>4177</v>
      </c>
      <c r="C2286" s="151" t="s">
        <v>4178</v>
      </c>
      <c r="D2286" s="152">
        <v>414.15</v>
      </c>
      <c r="E2286" s="152">
        <v>126.39</v>
      </c>
      <c r="F2286" s="152">
        <v>219.98</v>
      </c>
      <c r="G2286" s="152">
        <v>67.78</v>
      </c>
      <c r="H2286" s="153">
        <v>2722.31</v>
      </c>
      <c r="I2286" s="153">
        <v>1453.54</v>
      </c>
      <c r="J2286" s="153">
        <v>990.74</v>
      </c>
      <c r="K2286" s="153">
        <v>278.02999999999997</v>
      </c>
      <c r="L2286" s="43">
        <v>6.5732464083061695</v>
      </c>
      <c r="M2286" s="43">
        <v>11.500435161009573</v>
      </c>
      <c r="N2286" s="43">
        <v>4.5037730702791166</v>
      </c>
      <c r="O2286" s="43">
        <v>4.1019474771318967</v>
      </c>
      <c r="P2286" s="154"/>
      <c r="Q2286" s="154"/>
      <c r="R2286" s="154">
        <v>1</v>
      </c>
    </row>
    <row r="2287" spans="1:18" ht="36">
      <c r="A2287" s="150">
        <v>596</v>
      </c>
      <c r="B2287" s="147" t="s">
        <v>4179</v>
      </c>
      <c r="C2287" s="151" t="s">
        <v>4180</v>
      </c>
      <c r="D2287" s="152">
        <v>371</v>
      </c>
      <c r="E2287" s="152">
        <v>114.9</v>
      </c>
      <c r="F2287" s="152">
        <v>209.84</v>
      </c>
      <c r="G2287" s="152">
        <v>46.26</v>
      </c>
      <c r="H2287" s="153">
        <v>2464.96</v>
      </c>
      <c r="I2287" s="153">
        <v>1321.4</v>
      </c>
      <c r="J2287" s="153">
        <v>948.45</v>
      </c>
      <c r="K2287" s="153">
        <v>195.11</v>
      </c>
      <c r="L2287" s="43">
        <v>6.6440970350404314</v>
      </c>
      <c r="M2287" s="43">
        <v>11.500435161009573</v>
      </c>
      <c r="N2287" s="43">
        <v>4.5198722836446814</v>
      </c>
      <c r="O2287" s="43">
        <v>4.2176826632079552</v>
      </c>
      <c r="P2287" s="154"/>
      <c r="Q2287" s="154"/>
      <c r="R2287" s="154">
        <v>1</v>
      </c>
    </row>
    <row r="2288" spans="1:18" ht="36">
      <c r="A2288" s="150">
        <v>597</v>
      </c>
      <c r="B2288" s="147" t="s">
        <v>4181</v>
      </c>
      <c r="C2288" s="151" t="s">
        <v>4182</v>
      </c>
      <c r="D2288" s="152">
        <v>343.85</v>
      </c>
      <c r="E2288" s="152">
        <v>91.92</v>
      </c>
      <c r="F2288" s="152">
        <v>189.28</v>
      </c>
      <c r="G2288" s="152">
        <v>62.65</v>
      </c>
      <c r="H2288" s="153">
        <v>2163.3200000000002</v>
      </c>
      <c r="I2288" s="153">
        <v>1057.1199999999999</v>
      </c>
      <c r="J2288" s="153">
        <v>855.98</v>
      </c>
      <c r="K2288" s="153">
        <v>250.22</v>
      </c>
      <c r="L2288" s="43">
        <v>6.2914643012941687</v>
      </c>
      <c r="M2288" s="43">
        <v>11.500435161009571</v>
      </c>
      <c r="N2288" s="43">
        <v>4.5222950126796277</v>
      </c>
      <c r="O2288" s="43">
        <v>3.9939345570630489</v>
      </c>
      <c r="P2288" s="154"/>
      <c r="Q2288" s="154"/>
      <c r="R2288" s="154">
        <v>1</v>
      </c>
    </row>
    <row r="2289" spans="1:18" ht="36">
      <c r="A2289" s="150">
        <v>598</v>
      </c>
      <c r="B2289" s="147" t="s">
        <v>4183</v>
      </c>
      <c r="C2289" s="151" t="s">
        <v>4184</v>
      </c>
      <c r="D2289" s="152">
        <v>297.75</v>
      </c>
      <c r="E2289" s="152">
        <v>80.430000000000007</v>
      </c>
      <c r="F2289" s="152">
        <v>173</v>
      </c>
      <c r="G2289" s="152">
        <v>44.32</v>
      </c>
      <c r="H2289" s="153">
        <v>1887.21</v>
      </c>
      <c r="I2289" s="153">
        <v>924.98</v>
      </c>
      <c r="J2289" s="153">
        <v>782.87</v>
      </c>
      <c r="K2289" s="153">
        <v>179.36</v>
      </c>
      <c r="L2289" s="43">
        <v>6.3382367758186398</v>
      </c>
      <c r="M2289" s="43">
        <v>11.500435161009573</v>
      </c>
      <c r="N2289" s="43">
        <v>4.5252601156069368</v>
      </c>
      <c r="O2289" s="43">
        <v>4.0469314079422389</v>
      </c>
      <c r="P2289" s="154"/>
      <c r="Q2289" s="154"/>
      <c r="R2289" s="154">
        <v>1</v>
      </c>
    </row>
    <row r="2290" spans="1:18" ht="36">
      <c r="A2290" s="150">
        <v>599</v>
      </c>
      <c r="B2290" s="147" t="s">
        <v>4185</v>
      </c>
      <c r="C2290" s="151" t="s">
        <v>4186</v>
      </c>
      <c r="D2290" s="152">
        <v>257.3</v>
      </c>
      <c r="E2290" s="152">
        <v>68.94</v>
      </c>
      <c r="F2290" s="152">
        <v>162.13999999999999</v>
      </c>
      <c r="G2290" s="152">
        <v>26.22</v>
      </c>
      <c r="H2290" s="153">
        <v>1635.52</v>
      </c>
      <c r="I2290" s="153">
        <v>792.84</v>
      </c>
      <c r="J2290" s="153">
        <v>732.84</v>
      </c>
      <c r="K2290" s="153">
        <v>109.84</v>
      </c>
      <c r="L2290" s="43">
        <v>6.3564710454722109</v>
      </c>
      <c r="M2290" s="43">
        <v>11.500435161009575</v>
      </c>
      <c r="N2290" s="43">
        <v>4.519797705686444</v>
      </c>
      <c r="O2290" s="43">
        <v>4.1891685736079332</v>
      </c>
      <c r="P2290" s="154"/>
      <c r="Q2290" s="154"/>
      <c r="R2290" s="154">
        <v>1</v>
      </c>
    </row>
    <row r="2291" spans="1:18" ht="24">
      <c r="A2291" s="150">
        <v>600</v>
      </c>
      <c r="B2291" s="147" t="s">
        <v>4187</v>
      </c>
      <c r="C2291" s="151" t="s">
        <v>4188</v>
      </c>
      <c r="D2291" s="152">
        <v>8309.73</v>
      </c>
      <c r="E2291" s="152">
        <v>2470.35</v>
      </c>
      <c r="F2291" s="152">
        <v>5183.0600000000004</v>
      </c>
      <c r="G2291" s="152">
        <v>656.32</v>
      </c>
      <c r="H2291" s="153">
        <v>54929.94</v>
      </c>
      <c r="I2291" s="153">
        <v>28410.1</v>
      </c>
      <c r="J2291" s="153">
        <v>23146.080000000002</v>
      </c>
      <c r="K2291" s="153">
        <v>3373.76</v>
      </c>
      <c r="L2291" s="43">
        <v>6.6103158586380069</v>
      </c>
      <c r="M2291" s="43">
        <v>11.500435161009573</v>
      </c>
      <c r="N2291" s="43">
        <v>4.4657171632201829</v>
      </c>
      <c r="O2291" s="43">
        <v>5.1404193076548026</v>
      </c>
      <c r="P2291" s="154"/>
      <c r="Q2291" s="154"/>
      <c r="R2291" s="154">
        <v>1</v>
      </c>
    </row>
    <row r="2292" spans="1:18" ht="24">
      <c r="A2292" s="150">
        <v>601</v>
      </c>
      <c r="B2292" s="147" t="s">
        <v>4189</v>
      </c>
      <c r="C2292" s="151" t="s">
        <v>4190</v>
      </c>
      <c r="D2292" s="152">
        <v>4235.04</v>
      </c>
      <c r="E2292" s="152">
        <v>1298.3699999999999</v>
      </c>
      <c r="F2292" s="152">
        <v>2678.89</v>
      </c>
      <c r="G2292" s="152">
        <v>257.77999999999997</v>
      </c>
      <c r="H2292" s="153">
        <v>28327.65</v>
      </c>
      <c r="I2292" s="153">
        <v>14931.82</v>
      </c>
      <c r="J2292" s="153">
        <v>11959.04</v>
      </c>
      <c r="K2292" s="153">
        <v>1436.79</v>
      </c>
      <c r="L2292" s="43">
        <v>6.6888742491216142</v>
      </c>
      <c r="M2292" s="43">
        <v>11.500435161009575</v>
      </c>
      <c r="N2292" s="43">
        <v>4.4641773271765546</v>
      </c>
      <c r="O2292" s="43">
        <v>5.5737062611529211</v>
      </c>
      <c r="P2292" s="154"/>
      <c r="Q2292" s="154"/>
      <c r="R2292" s="154">
        <v>1</v>
      </c>
    </row>
    <row r="2293" spans="1:18" ht="24">
      <c r="A2293" s="150">
        <v>602</v>
      </c>
      <c r="B2293" s="147" t="s">
        <v>4191</v>
      </c>
      <c r="C2293" s="151" t="s">
        <v>4192</v>
      </c>
      <c r="D2293" s="152">
        <v>1281.98</v>
      </c>
      <c r="E2293" s="152">
        <v>379.17</v>
      </c>
      <c r="F2293" s="152">
        <v>816.08</v>
      </c>
      <c r="G2293" s="152">
        <v>86.73</v>
      </c>
      <c r="H2293" s="153">
        <v>8459.89</v>
      </c>
      <c r="I2293" s="153">
        <v>4360.62</v>
      </c>
      <c r="J2293" s="153">
        <v>3650.17</v>
      </c>
      <c r="K2293" s="153">
        <v>449.1</v>
      </c>
      <c r="L2293" s="43">
        <v>6.5990811089096546</v>
      </c>
      <c r="M2293" s="43">
        <v>11.500435161009573</v>
      </c>
      <c r="N2293" s="43">
        <v>4.4728090383295758</v>
      </c>
      <c r="O2293" s="43">
        <v>5.178139052231062</v>
      </c>
      <c r="P2293" s="154"/>
      <c r="Q2293" s="154"/>
      <c r="R2293" s="154">
        <v>1</v>
      </c>
    </row>
    <row r="2294" spans="1:18" ht="24">
      <c r="A2294" s="150">
        <v>603</v>
      </c>
      <c r="B2294" s="147" t="s">
        <v>4193</v>
      </c>
      <c r="C2294" s="151" t="s">
        <v>4194</v>
      </c>
      <c r="D2294" s="152">
        <v>624.44000000000005</v>
      </c>
      <c r="E2294" s="152">
        <v>275.76</v>
      </c>
      <c r="F2294" s="152">
        <v>324.66000000000003</v>
      </c>
      <c r="G2294" s="152">
        <v>24.02</v>
      </c>
      <c r="H2294" s="153">
        <v>4775.92</v>
      </c>
      <c r="I2294" s="153">
        <v>3171.36</v>
      </c>
      <c r="J2294" s="153">
        <v>1459.28</v>
      </c>
      <c r="K2294" s="153">
        <v>145.28</v>
      </c>
      <c r="L2294" s="43">
        <v>7.6483248991096016</v>
      </c>
      <c r="M2294" s="43">
        <v>11.500435161009575</v>
      </c>
      <c r="N2294" s="43">
        <v>4.4947945543029624</v>
      </c>
      <c r="O2294" s="43">
        <v>6.0482930890924234</v>
      </c>
      <c r="P2294" s="154"/>
      <c r="Q2294" s="154"/>
      <c r="R2294" s="154">
        <v>1</v>
      </c>
    </row>
    <row r="2295" spans="1:18" ht="24">
      <c r="A2295" s="150">
        <v>604</v>
      </c>
      <c r="B2295" s="147" t="s">
        <v>4195</v>
      </c>
      <c r="C2295" s="151" t="s">
        <v>4196</v>
      </c>
      <c r="D2295" s="152">
        <v>498.84</v>
      </c>
      <c r="E2295" s="152">
        <v>206.82</v>
      </c>
      <c r="F2295" s="152">
        <v>270.79000000000002</v>
      </c>
      <c r="G2295" s="152">
        <v>21.23</v>
      </c>
      <c r="H2295" s="153">
        <v>3717.73</v>
      </c>
      <c r="I2295" s="153">
        <v>2378.52</v>
      </c>
      <c r="J2295" s="153">
        <v>1219.58</v>
      </c>
      <c r="K2295" s="153">
        <v>119.63</v>
      </c>
      <c r="L2295" s="43">
        <v>7.4527503808836508</v>
      </c>
      <c r="M2295" s="43">
        <v>11.500435161009573</v>
      </c>
      <c r="N2295" s="43">
        <v>4.503785221019978</v>
      </c>
      <c r="O2295" s="43">
        <v>5.6349505416862931</v>
      </c>
      <c r="P2295" s="154"/>
      <c r="Q2295" s="154"/>
      <c r="R2295" s="154">
        <v>1</v>
      </c>
    </row>
    <row r="2296" spans="1:18" ht="24">
      <c r="A2296" s="150">
        <v>605</v>
      </c>
      <c r="B2296" s="147" t="s">
        <v>4197</v>
      </c>
      <c r="C2296" s="151" t="s">
        <v>4198</v>
      </c>
      <c r="D2296" s="152">
        <v>392.43</v>
      </c>
      <c r="E2296" s="152">
        <v>172.35</v>
      </c>
      <c r="F2296" s="152">
        <v>201.01</v>
      </c>
      <c r="G2296" s="152">
        <v>19.07</v>
      </c>
      <c r="H2296" s="153">
        <v>2991.95</v>
      </c>
      <c r="I2296" s="153">
        <v>1982.1</v>
      </c>
      <c r="J2296" s="153">
        <v>908.33</v>
      </c>
      <c r="K2296" s="153">
        <v>101.52</v>
      </c>
      <c r="L2296" s="43">
        <v>7.624162270978263</v>
      </c>
      <c r="M2296" s="43">
        <v>11.500435161009573</v>
      </c>
      <c r="N2296" s="43">
        <v>4.5188299089597539</v>
      </c>
      <c r="O2296" s="43">
        <v>5.3235448348190877</v>
      </c>
      <c r="P2296" s="154"/>
      <c r="Q2296" s="154"/>
      <c r="R2296" s="154">
        <v>1</v>
      </c>
    </row>
    <row r="2297" spans="1:18" ht="36">
      <c r="A2297" s="150">
        <v>606</v>
      </c>
      <c r="B2297" s="147" t="s">
        <v>4199</v>
      </c>
      <c r="C2297" s="151" t="s">
        <v>4200</v>
      </c>
      <c r="D2297" s="152">
        <v>959.62</v>
      </c>
      <c r="E2297" s="152">
        <v>172.35</v>
      </c>
      <c r="F2297" s="152">
        <v>318.02999999999997</v>
      </c>
      <c r="G2297" s="152">
        <v>469.24</v>
      </c>
      <c r="H2297" s="153">
        <v>5241.05</v>
      </c>
      <c r="I2297" s="153">
        <v>1982.1</v>
      </c>
      <c r="J2297" s="153">
        <v>1442.77</v>
      </c>
      <c r="K2297" s="153">
        <v>1816.18</v>
      </c>
      <c r="L2297" s="43">
        <v>5.4615889622975766</v>
      </c>
      <c r="M2297" s="43">
        <v>11.500435161009573</v>
      </c>
      <c r="N2297" s="43">
        <v>4.5365845989372078</v>
      </c>
      <c r="O2297" s="43">
        <v>3.8704714005626117</v>
      </c>
      <c r="P2297" s="154"/>
      <c r="Q2297" s="154"/>
      <c r="R2297" s="154">
        <v>1</v>
      </c>
    </row>
    <row r="2298" spans="1:18" ht="12.75">
      <c r="A2298" s="632" t="s">
        <v>18</v>
      </c>
      <c r="B2298" s="632"/>
      <c r="C2298" s="632"/>
      <c r="D2298" s="148">
        <v>11345438.539999999</v>
      </c>
      <c r="E2298" s="148">
        <v>5389777.6699999999</v>
      </c>
      <c r="F2298" s="148">
        <v>3273293.66</v>
      </c>
      <c r="G2298" s="148">
        <v>2682367.21</v>
      </c>
      <c r="H2298" s="149">
        <v>91683121.569999993</v>
      </c>
      <c r="I2298" s="149">
        <v>61983750.039999999</v>
      </c>
      <c r="J2298" s="149">
        <v>16469646.390000001</v>
      </c>
      <c r="K2298" s="149">
        <v>13229725.140000001</v>
      </c>
      <c r="L2298" s="612">
        <v>8.081055769396464</v>
      </c>
      <c r="M2298" s="612">
        <v>11.500242465474463</v>
      </c>
      <c r="N2298" s="612">
        <v>5.0315211834675413</v>
      </c>
      <c r="O2298" s="612">
        <v>4.9321081359326637</v>
      </c>
      <c r="P2298" s="146"/>
      <c r="Q2298" s="146"/>
      <c r="R2298" s="146"/>
    </row>
    <row r="2299" spans="1:18" ht="18">
      <c r="A2299" s="616" t="s">
        <v>4201</v>
      </c>
      <c r="B2299" s="626"/>
      <c r="C2299" s="626"/>
      <c r="D2299" s="626"/>
      <c r="E2299" s="626"/>
      <c r="F2299" s="626"/>
      <c r="G2299" s="626"/>
      <c r="H2299" s="626"/>
      <c r="I2299" s="626"/>
      <c r="J2299" s="626"/>
      <c r="K2299" s="626"/>
      <c r="L2299" s="626"/>
      <c r="M2299" s="626"/>
      <c r="N2299" s="626"/>
      <c r="O2299" s="626"/>
      <c r="P2299" s="626"/>
      <c r="Q2299" s="626"/>
      <c r="R2299" s="627"/>
    </row>
    <row r="2300" spans="1:18" ht="12.75" customHeight="1">
      <c r="A2300" s="630" t="s">
        <v>4202</v>
      </c>
      <c r="B2300" s="631"/>
      <c r="C2300" s="631"/>
      <c r="D2300" s="631"/>
      <c r="E2300" s="631"/>
      <c r="F2300" s="631"/>
      <c r="G2300" s="631"/>
      <c r="H2300" s="631"/>
      <c r="I2300" s="631"/>
      <c r="J2300" s="631"/>
      <c r="K2300" s="631"/>
      <c r="L2300" s="631"/>
      <c r="M2300" s="631"/>
      <c r="N2300" s="631"/>
      <c r="O2300" s="631"/>
      <c r="P2300" s="631"/>
      <c r="Q2300" s="631"/>
      <c r="R2300" s="631"/>
    </row>
    <row r="2301" spans="1:18" ht="28.5" customHeight="1">
      <c r="A2301" s="628" t="s">
        <v>4203</v>
      </c>
      <c r="B2301" s="629"/>
      <c r="C2301" s="629"/>
      <c r="D2301" s="629"/>
      <c r="E2301" s="629"/>
      <c r="F2301" s="629"/>
      <c r="G2301" s="629"/>
      <c r="H2301" s="629"/>
      <c r="I2301" s="629"/>
      <c r="J2301" s="629"/>
      <c r="K2301" s="629"/>
      <c r="L2301" s="629"/>
      <c r="M2301" s="629"/>
      <c r="N2301" s="629"/>
      <c r="O2301" s="629"/>
      <c r="P2301" s="629"/>
      <c r="Q2301" s="629"/>
      <c r="R2301" s="629"/>
    </row>
    <row r="2302" spans="1:18" ht="18" customHeight="1">
      <c r="A2302" s="628" t="s">
        <v>4204</v>
      </c>
      <c r="B2302" s="629"/>
      <c r="C2302" s="629"/>
      <c r="D2302" s="629"/>
      <c r="E2302" s="629"/>
      <c r="F2302" s="629"/>
      <c r="G2302" s="629"/>
      <c r="H2302" s="629"/>
      <c r="I2302" s="629"/>
      <c r="J2302" s="629"/>
      <c r="K2302" s="629"/>
      <c r="L2302" s="629"/>
      <c r="M2302" s="629"/>
      <c r="N2302" s="629"/>
      <c r="O2302" s="629"/>
      <c r="P2302" s="629"/>
      <c r="Q2302" s="629"/>
      <c r="R2302" s="629"/>
    </row>
    <row r="2303" spans="1:18" ht="24">
      <c r="A2303" s="135">
        <v>1</v>
      </c>
      <c r="B2303" s="132" t="s">
        <v>4205</v>
      </c>
      <c r="C2303" s="136" t="s">
        <v>4206</v>
      </c>
      <c r="D2303" s="137">
        <v>3903.62</v>
      </c>
      <c r="E2303" s="137">
        <v>1090.4000000000001</v>
      </c>
      <c r="F2303" s="137">
        <v>1429.67</v>
      </c>
      <c r="G2303" s="137">
        <v>1383.55</v>
      </c>
      <c r="H2303" s="138">
        <v>26616.19</v>
      </c>
      <c r="I2303" s="138">
        <v>12540.09</v>
      </c>
      <c r="J2303" s="138">
        <v>8783.35</v>
      </c>
      <c r="K2303" s="138">
        <v>5292.75</v>
      </c>
      <c r="L2303" s="43">
        <v>6.8183352887832323</v>
      </c>
      <c r="M2303" s="43">
        <v>11.500449376375641</v>
      </c>
      <c r="N2303" s="43">
        <v>6.1436205557925954</v>
      </c>
      <c r="O2303" s="43">
        <v>3.8254851649741606</v>
      </c>
      <c r="P2303" s="139"/>
      <c r="Q2303" s="139"/>
      <c r="R2303" s="139">
        <v>1</v>
      </c>
    </row>
    <row r="2304" spans="1:18" ht="24">
      <c r="A2304" s="135">
        <v>2</v>
      </c>
      <c r="B2304" s="132" t="s">
        <v>4207</v>
      </c>
      <c r="C2304" s="136" t="s">
        <v>4208</v>
      </c>
      <c r="D2304" s="137">
        <v>4836.9799999999996</v>
      </c>
      <c r="E2304" s="137">
        <v>1482.21</v>
      </c>
      <c r="F2304" s="137">
        <v>1954.08</v>
      </c>
      <c r="G2304" s="137">
        <v>1400.69</v>
      </c>
      <c r="H2304" s="138">
        <v>33679.730000000003</v>
      </c>
      <c r="I2304" s="138">
        <v>17046.060000000001</v>
      </c>
      <c r="J2304" s="138">
        <v>11235.68</v>
      </c>
      <c r="K2304" s="138">
        <v>5397.99</v>
      </c>
      <c r="L2304" s="43">
        <v>6.9629665617802861</v>
      </c>
      <c r="M2304" s="43">
        <v>11.500435161009575</v>
      </c>
      <c r="N2304" s="43">
        <v>5.7498567100630478</v>
      </c>
      <c r="O2304" s="43">
        <v>3.8538077661723862</v>
      </c>
      <c r="P2304" s="139"/>
      <c r="Q2304" s="139"/>
      <c r="R2304" s="139">
        <v>1</v>
      </c>
    </row>
    <row r="2305" spans="1:18" ht="24">
      <c r="A2305" s="135">
        <v>3</v>
      </c>
      <c r="B2305" s="132" t="s">
        <v>4209</v>
      </c>
      <c r="C2305" s="136" t="s">
        <v>4210</v>
      </c>
      <c r="D2305" s="137">
        <v>8859.33</v>
      </c>
      <c r="E2305" s="137">
        <v>2872.5</v>
      </c>
      <c r="F2305" s="137">
        <v>4302.8500000000004</v>
      </c>
      <c r="G2305" s="137">
        <v>1683.98</v>
      </c>
      <c r="H2305" s="138">
        <v>65119.1</v>
      </c>
      <c r="I2305" s="138">
        <v>33035</v>
      </c>
      <c r="J2305" s="138">
        <v>25368.45</v>
      </c>
      <c r="K2305" s="138">
        <v>6715.65</v>
      </c>
      <c r="L2305" s="43">
        <v>7.3503413915047755</v>
      </c>
      <c r="M2305" s="43">
        <v>11.500435161009573</v>
      </c>
      <c r="N2305" s="43">
        <v>5.8957318986253293</v>
      </c>
      <c r="O2305" s="43">
        <v>3.9879630399410915</v>
      </c>
      <c r="P2305" s="139"/>
      <c r="Q2305" s="139"/>
      <c r="R2305" s="139">
        <v>1</v>
      </c>
    </row>
    <row r="2306" spans="1:18" ht="24">
      <c r="A2306" s="135">
        <v>4</v>
      </c>
      <c r="B2306" s="132" t="s">
        <v>4211</v>
      </c>
      <c r="C2306" s="136" t="s">
        <v>4212</v>
      </c>
      <c r="D2306" s="137">
        <v>21671.8</v>
      </c>
      <c r="E2306" s="137">
        <v>6629.73</v>
      </c>
      <c r="F2306" s="137">
        <v>9869.56</v>
      </c>
      <c r="G2306" s="137">
        <v>5172.51</v>
      </c>
      <c r="H2306" s="138">
        <v>151983.39000000001</v>
      </c>
      <c r="I2306" s="138">
        <v>76244.78</v>
      </c>
      <c r="J2306" s="138">
        <v>55569.46</v>
      </c>
      <c r="K2306" s="138">
        <v>20169.150000000001</v>
      </c>
      <c r="L2306" s="43">
        <v>7.0129564687750907</v>
      </c>
      <c r="M2306" s="43">
        <v>11.500435161009575</v>
      </c>
      <c r="N2306" s="43">
        <v>5.6303887913949557</v>
      </c>
      <c r="O2306" s="43">
        <v>3.8992964730856006</v>
      </c>
      <c r="P2306" s="139"/>
      <c r="Q2306" s="139"/>
      <c r="R2306" s="139">
        <v>1</v>
      </c>
    </row>
    <row r="2307" spans="1:18" ht="24">
      <c r="A2307" s="135">
        <v>5</v>
      </c>
      <c r="B2307" s="132" t="s">
        <v>4213</v>
      </c>
      <c r="C2307" s="136" t="s">
        <v>4214</v>
      </c>
      <c r="D2307" s="137">
        <v>28911.32</v>
      </c>
      <c r="E2307" s="137">
        <v>8387.7000000000007</v>
      </c>
      <c r="F2307" s="137">
        <v>12808.65</v>
      </c>
      <c r="G2307" s="137">
        <v>7714.97</v>
      </c>
      <c r="H2307" s="138">
        <v>197291.53</v>
      </c>
      <c r="I2307" s="138">
        <v>96462.2</v>
      </c>
      <c r="J2307" s="138">
        <v>70933.02</v>
      </c>
      <c r="K2307" s="138">
        <v>29896.31</v>
      </c>
      <c r="L2307" s="43">
        <v>6.8240236004443933</v>
      </c>
      <c r="M2307" s="43">
        <v>11.500435161009571</v>
      </c>
      <c r="N2307" s="43">
        <v>5.5378997786651993</v>
      </c>
      <c r="O2307" s="43">
        <v>3.8751038565282823</v>
      </c>
      <c r="P2307" s="139"/>
      <c r="Q2307" s="139"/>
      <c r="R2307" s="139">
        <v>1</v>
      </c>
    </row>
    <row r="2308" spans="1:18" ht="12.75" customHeight="1">
      <c r="A2308" s="628" t="s">
        <v>4215</v>
      </c>
      <c r="B2308" s="629"/>
      <c r="C2308" s="629"/>
      <c r="D2308" s="629"/>
      <c r="E2308" s="629"/>
      <c r="F2308" s="629"/>
      <c r="G2308" s="629"/>
      <c r="H2308" s="629"/>
      <c r="I2308" s="629"/>
      <c r="J2308" s="629"/>
      <c r="K2308" s="629"/>
      <c r="L2308" s="629"/>
      <c r="M2308" s="629"/>
      <c r="N2308" s="629"/>
      <c r="O2308" s="629"/>
      <c r="P2308" s="629"/>
      <c r="Q2308" s="629"/>
      <c r="R2308" s="629"/>
    </row>
    <row r="2309" spans="1:18" ht="12.75" customHeight="1">
      <c r="A2309" s="628" t="s">
        <v>4216</v>
      </c>
      <c r="B2309" s="629"/>
      <c r="C2309" s="629"/>
      <c r="D2309" s="629"/>
      <c r="E2309" s="629"/>
      <c r="F2309" s="629"/>
      <c r="G2309" s="629"/>
      <c r="H2309" s="629"/>
      <c r="I2309" s="629"/>
      <c r="J2309" s="629"/>
      <c r="K2309" s="629"/>
      <c r="L2309" s="629"/>
      <c r="M2309" s="629"/>
      <c r="N2309" s="629"/>
      <c r="O2309" s="629"/>
      <c r="P2309" s="629"/>
      <c r="Q2309" s="629"/>
      <c r="R2309" s="629"/>
    </row>
    <row r="2310" spans="1:18" ht="24">
      <c r="A2310" s="135">
        <v>6</v>
      </c>
      <c r="B2310" s="132" t="s">
        <v>4217</v>
      </c>
      <c r="C2310" s="136" t="s">
        <v>4218</v>
      </c>
      <c r="D2310" s="137">
        <v>11554.85</v>
      </c>
      <c r="E2310" s="137">
        <v>4343.22</v>
      </c>
      <c r="F2310" s="137">
        <v>6050.95</v>
      </c>
      <c r="G2310" s="137">
        <v>1160.68</v>
      </c>
      <c r="H2310" s="138">
        <v>86468.99</v>
      </c>
      <c r="I2310" s="138">
        <v>49948.92</v>
      </c>
      <c r="J2310" s="138">
        <v>31492.76</v>
      </c>
      <c r="K2310" s="138">
        <v>5027.3100000000004</v>
      </c>
      <c r="L2310" s="43">
        <v>7.4833502814835331</v>
      </c>
      <c r="M2310" s="43">
        <v>11.500435161009573</v>
      </c>
      <c r="N2310" s="43">
        <v>5.2045976251662962</v>
      </c>
      <c r="O2310" s="43">
        <v>4.3313488644587661</v>
      </c>
      <c r="P2310" s="139"/>
      <c r="Q2310" s="139"/>
      <c r="R2310" s="139">
        <v>1</v>
      </c>
    </row>
    <row r="2311" spans="1:18" ht="24">
      <c r="A2311" s="135">
        <v>7</v>
      </c>
      <c r="B2311" s="132" t="s">
        <v>4219</v>
      </c>
      <c r="C2311" s="136" t="s">
        <v>4220</v>
      </c>
      <c r="D2311" s="137">
        <v>30668.23</v>
      </c>
      <c r="E2311" s="137">
        <v>10720.17</v>
      </c>
      <c r="F2311" s="137">
        <v>18104.439999999999</v>
      </c>
      <c r="G2311" s="137">
        <v>1843.62</v>
      </c>
      <c r="H2311" s="138">
        <v>225738.23999999999</v>
      </c>
      <c r="I2311" s="138">
        <v>123286.62</v>
      </c>
      <c r="J2311" s="138">
        <v>90440.31</v>
      </c>
      <c r="K2311" s="138">
        <v>12011.31</v>
      </c>
      <c r="L2311" s="43">
        <v>7.3606543318606912</v>
      </c>
      <c r="M2311" s="43">
        <v>11.500435161009573</v>
      </c>
      <c r="N2311" s="43">
        <v>4.9954768001661476</v>
      </c>
      <c r="O2311" s="43">
        <v>6.5150681810785303</v>
      </c>
      <c r="P2311" s="139"/>
      <c r="Q2311" s="139"/>
      <c r="R2311" s="139">
        <v>1</v>
      </c>
    </row>
    <row r="2312" spans="1:18" ht="24">
      <c r="A2312" s="135">
        <v>8</v>
      </c>
      <c r="B2312" s="132" t="s">
        <v>4221</v>
      </c>
      <c r="C2312" s="136" t="s">
        <v>4222</v>
      </c>
      <c r="D2312" s="137">
        <v>52561.61</v>
      </c>
      <c r="E2312" s="137">
        <v>17522.25</v>
      </c>
      <c r="F2312" s="137">
        <v>29769.68</v>
      </c>
      <c r="G2312" s="137">
        <v>5269.68</v>
      </c>
      <c r="H2312" s="138">
        <v>378719.79</v>
      </c>
      <c r="I2312" s="138">
        <v>201513.5</v>
      </c>
      <c r="J2312" s="138">
        <v>147921.94</v>
      </c>
      <c r="K2312" s="138">
        <v>29284.35</v>
      </c>
      <c r="L2312" s="43">
        <v>7.2052547477141582</v>
      </c>
      <c r="M2312" s="43">
        <v>11.500435161009573</v>
      </c>
      <c r="N2312" s="43">
        <v>4.9688790742796023</v>
      </c>
      <c r="O2312" s="43">
        <v>5.5571400919979954</v>
      </c>
      <c r="P2312" s="139"/>
      <c r="Q2312" s="139"/>
      <c r="R2312" s="139">
        <v>1</v>
      </c>
    </row>
    <row r="2313" spans="1:18" ht="24">
      <c r="A2313" s="135">
        <v>9</v>
      </c>
      <c r="B2313" s="132" t="s">
        <v>4223</v>
      </c>
      <c r="C2313" s="136" t="s">
        <v>4224</v>
      </c>
      <c r="D2313" s="137">
        <v>63785.38</v>
      </c>
      <c r="E2313" s="137">
        <v>20406.240000000002</v>
      </c>
      <c r="F2313" s="137">
        <v>36323.75</v>
      </c>
      <c r="G2313" s="137">
        <v>7055.39</v>
      </c>
      <c r="H2313" s="138">
        <v>453130.44</v>
      </c>
      <c r="I2313" s="138">
        <v>234680.64</v>
      </c>
      <c r="J2313" s="138">
        <v>180703.35</v>
      </c>
      <c r="K2313" s="138">
        <v>37746.449999999997</v>
      </c>
      <c r="L2313" s="43">
        <v>7.1039858977088484</v>
      </c>
      <c r="M2313" s="43">
        <v>11.500435161009573</v>
      </c>
      <c r="N2313" s="43">
        <v>4.9747988574968174</v>
      </c>
      <c r="O2313" s="43">
        <v>5.3500160869916469</v>
      </c>
      <c r="P2313" s="139"/>
      <c r="Q2313" s="139"/>
      <c r="R2313" s="139">
        <v>1</v>
      </c>
    </row>
    <row r="2314" spans="1:18" ht="24">
      <c r="A2314" s="135">
        <v>10</v>
      </c>
      <c r="B2314" s="132" t="s">
        <v>4225</v>
      </c>
      <c r="C2314" s="136" t="s">
        <v>4226</v>
      </c>
      <c r="D2314" s="137">
        <v>83504.740000000005</v>
      </c>
      <c r="E2314" s="137">
        <v>23520.03</v>
      </c>
      <c r="F2314" s="137">
        <v>52021.66</v>
      </c>
      <c r="G2314" s="137">
        <v>7963.05</v>
      </c>
      <c r="H2314" s="138">
        <v>565170.04</v>
      </c>
      <c r="I2314" s="138">
        <v>270490.58</v>
      </c>
      <c r="J2314" s="138">
        <v>251715.03</v>
      </c>
      <c r="K2314" s="138">
        <v>42964.43</v>
      </c>
      <c r="L2314" s="43">
        <v>6.7681192708342062</v>
      </c>
      <c r="M2314" s="43">
        <v>11.500435161009575</v>
      </c>
      <c r="N2314" s="43">
        <v>4.8386581666175204</v>
      </c>
      <c r="O2314" s="43">
        <v>5.395474095980811</v>
      </c>
      <c r="P2314" s="139"/>
      <c r="Q2314" s="139"/>
      <c r="R2314" s="139">
        <v>1</v>
      </c>
    </row>
    <row r="2315" spans="1:18" ht="24">
      <c r="A2315" s="135">
        <v>11</v>
      </c>
      <c r="B2315" s="132" t="s">
        <v>4227</v>
      </c>
      <c r="C2315" s="136" t="s">
        <v>4228</v>
      </c>
      <c r="D2315" s="137">
        <v>172361.31</v>
      </c>
      <c r="E2315" s="137">
        <v>35963.699999999997</v>
      </c>
      <c r="F2315" s="137">
        <v>125631.48</v>
      </c>
      <c r="G2315" s="137">
        <v>10766.13</v>
      </c>
      <c r="H2315" s="138">
        <v>1117204.03</v>
      </c>
      <c r="I2315" s="138">
        <v>413598.2</v>
      </c>
      <c r="J2315" s="138">
        <v>645237.47</v>
      </c>
      <c r="K2315" s="138">
        <v>58368.36</v>
      </c>
      <c r="L2315" s="43">
        <v>6.481756433621908</v>
      </c>
      <c r="M2315" s="43">
        <v>11.500435161009575</v>
      </c>
      <c r="N2315" s="43">
        <v>5.1359537434407363</v>
      </c>
      <c r="O2315" s="43">
        <v>5.4214801418894263</v>
      </c>
      <c r="P2315" s="139"/>
      <c r="Q2315" s="139"/>
      <c r="R2315" s="139">
        <v>1</v>
      </c>
    </row>
    <row r="2316" spans="1:18" ht="24">
      <c r="A2316" s="135">
        <v>12</v>
      </c>
      <c r="B2316" s="132" t="s">
        <v>4229</v>
      </c>
      <c r="C2316" s="136" t="s">
        <v>4230</v>
      </c>
      <c r="D2316" s="137">
        <v>236348.58</v>
      </c>
      <c r="E2316" s="137">
        <v>40111.589999999997</v>
      </c>
      <c r="F2316" s="137">
        <v>175268.12</v>
      </c>
      <c r="G2316" s="137">
        <v>20968.87</v>
      </c>
      <c r="H2316" s="138">
        <v>1486959.98</v>
      </c>
      <c r="I2316" s="138">
        <v>461300.74</v>
      </c>
      <c r="J2316" s="138">
        <v>916455.33</v>
      </c>
      <c r="K2316" s="138">
        <v>109203.91</v>
      </c>
      <c r="L2316" s="43">
        <v>6.2913852920123325</v>
      </c>
      <c r="M2316" s="43">
        <v>11.500435161009575</v>
      </c>
      <c r="N2316" s="43">
        <v>5.2288763638247504</v>
      </c>
      <c r="O2316" s="43">
        <v>5.2079062915645915</v>
      </c>
      <c r="P2316" s="139"/>
      <c r="Q2316" s="139"/>
      <c r="R2316" s="139">
        <v>1</v>
      </c>
    </row>
    <row r="2317" spans="1:18" ht="24">
      <c r="A2317" s="135">
        <v>13</v>
      </c>
      <c r="B2317" s="132" t="s">
        <v>4231</v>
      </c>
      <c r="C2317" s="136" t="s">
        <v>4232</v>
      </c>
      <c r="D2317" s="137">
        <v>273075.37</v>
      </c>
      <c r="E2317" s="137">
        <v>44282.46</v>
      </c>
      <c r="F2317" s="137">
        <v>206229.85</v>
      </c>
      <c r="G2317" s="137">
        <v>22563.06</v>
      </c>
      <c r="H2317" s="138">
        <v>1687054.74</v>
      </c>
      <c r="I2317" s="138">
        <v>509267.56</v>
      </c>
      <c r="J2317" s="138">
        <v>1054995.58</v>
      </c>
      <c r="K2317" s="138">
        <v>122791.6</v>
      </c>
      <c r="L2317" s="43">
        <v>6.1779820713966256</v>
      </c>
      <c r="M2317" s="43">
        <v>11.500435161009573</v>
      </c>
      <c r="N2317" s="43">
        <v>5.1156298663845226</v>
      </c>
      <c r="O2317" s="43">
        <v>5.4421519067005981</v>
      </c>
      <c r="P2317" s="139"/>
      <c r="Q2317" s="139"/>
      <c r="R2317" s="139">
        <v>1</v>
      </c>
    </row>
    <row r="2318" spans="1:18" ht="24">
      <c r="A2318" s="135">
        <v>14</v>
      </c>
      <c r="B2318" s="132" t="s">
        <v>4233</v>
      </c>
      <c r="C2318" s="136" t="s">
        <v>4234</v>
      </c>
      <c r="D2318" s="137">
        <v>321362.44</v>
      </c>
      <c r="E2318" s="137">
        <v>56944.44</v>
      </c>
      <c r="F2318" s="137">
        <v>239596.24</v>
      </c>
      <c r="G2318" s="137">
        <v>24821.759999999998</v>
      </c>
      <c r="H2318" s="138">
        <v>1992225.05</v>
      </c>
      <c r="I2318" s="138">
        <v>654885.84</v>
      </c>
      <c r="J2318" s="138">
        <v>1201135.3500000001</v>
      </c>
      <c r="K2318" s="138">
        <v>136203.85999999999</v>
      </c>
      <c r="L2318" s="43">
        <v>6.1993089484881931</v>
      </c>
      <c r="M2318" s="43">
        <v>11.500435161009573</v>
      </c>
      <c r="N2318" s="43">
        <v>5.0131644386406071</v>
      </c>
      <c r="O2318" s="43">
        <v>5.4872764864377057</v>
      </c>
      <c r="P2318" s="139"/>
      <c r="Q2318" s="139"/>
      <c r="R2318" s="139">
        <v>1</v>
      </c>
    </row>
    <row r="2319" spans="1:18" ht="12.75" customHeight="1">
      <c r="A2319" s="628" t="s">
        <v>4235</v>
      </c>
      <c r="B2319" s="629"/>
      <c r="C2319" s="629"/>
      <c r="D2319" s="629"/>
      <c r="E2319" s="629"/>
      <c r="F2319" s="629"/>
      <c r="G2319" s="629"/>
      <c r="H2319" s="629"/>
      <c r="I2319" s="629"/>
      <c r="J2319" s="629"/>
      <c r="K2319" s="629"/>
      <c r="L2319" s="629"/>
      <c r="M2319" s="629"/>
      <c r="N2319" s="629"/>
      <c r="O2319" s="629"/>
      <c r="P2319" s="629"/>
      <c r="Q2319" s="629"/>
      <c r="R2319" s="629"/>
    </row>
    <row r="2320" spans="1:18" ht="12.75" customHeight="1">
      <c r="A2320" s="628" t="s">
        <v>4236</v>
      </c>
      <c r="B2320" s="629"/>
      <c r="C2320" s="629"/>
      <c r="D2320" s="629"/>
      <c r="E2320" s="629"/>
      <c r="F2320" s="629"/>
      <c r="G2320" s="629"/>
      <c r="H2320" s="629"/>
      <c r="I2320" s="629"/>
      <c r="J2320" s="629"/>
      <c r="K2320" s="629"/>
      <c r="L2320" s="629"/>
      <c r="M2320" s="629"/>
      <c r="N2320" s="629"/>
      <c r="O2320" s="629"/>
      <c r="P2320" s="629"/>
      <c r="Q2320" s="629"/>
      <c r="R2320" s="629"/>
    </row>
    <row r="2321" spans="1:18" ht="24">
      <c r="A2321" s="135">
        <v>15</v>
      </c>
      <c r="B2321" s="132" t="s">
        <v>4237</v>
      </c>
      <c r="C2321" s="136" t="s">
        <v>4238</v>
      </c>
      <c r="D2321" s="137">
        <v>83564.149999999994</v>
      </c>
      <c r="E2321" s="137">
        <v>20001.3</v>
      </c>
      <c r="F2321" s="137">
        <v>47964.35</v>
      </c>
      <c r="G2321" s="137">
        <v>15598.5</v>
      </c>
      <c r="H2321" s="138">
        <v>532124.9</v>
      </c>
      <c r="I2321" s="138">
        <v>230014.95</v>
      </c>
      <c r="J2321" s="138">
        <v>233816.65</v>
      </c>
      <c r="K2321" s="138">
        <v>68293.3</v>
      </c>
      <c r="L2321" s="43">
        <v>6.3678610983298469</v>
      </c>
      <c r="M2321" s="43">
        <v>11.500000000000002</v>
      </c>
      <c r="N2321" s="43">
        <v>4.8748007634837123</v>
      </c>
      <c r="O2321" s="43">
        <v>4.3781966214700132</v>
      </c>
      <c r="P2321" s="139"/>
      <c r="Q2321" s="139"/>
      <c r="R2321" s="139">
        <v>1</v>
      </c>
    </row>
    <row r="2322" spans="1:18" ht="24">
      <c r="A2322" s="135">
        <v>16</v>
      </c>
      <c r="B2322" s="132" t="s">
        <v>4239</v>
      </c>
      <c r="C2322" s="136" t="s">
        <v>4240</v>
      </c>
      <c r="D2322" s="137">
        <v>199087.38</v>
      </c>
      <c r="E2322" s="137">
        <v>60906.78</v>
      </c>
      <c r="F2322" s="137">
        <v>114210.69</v>
      </c>
      <c r="G2322" s="137">
        <v>23969.91</v>
      </c>
      <c r="H2322" s="138">
        <v>1398589.78</v>
      </c>
      <c r="I2322" s="138">
        <v>700427.97</v>
      </c>
      <c r="J2322" s="138">
        <v>588281.77</v>
      </c>
      <c r="K2322" s="138">
        <v>109880.04</v>
      </c>
      <c r="L2322" s="43">
        <v>7.025004698941741</v>
      </c>
      <c r="M2322" s="43">
        <v>11.5</v>
      </c>
      <c r="N2322" s="43">
        <v>5.1508468252840434</v>
      </c>
      <c r="O2322" s="43">
        <v>4.5840822931750678</v>
      </c>
      <c r="P2322" s="139"/>
      <c r="Q2322" s="139"/>
      <c r="R2322" s="139">
        <v>1</v>
      </c>
    </row>
    <row r="2323" spans="1:18" ht="24">
      <c r="A2323" s="135">
        <v>17</v>
      </c>
      <c r="B2323" s="132" t="s">
        <v>4241</v>
      </c>
      <c r="C2323" s="136" t="s">
        <v>4242</v>
      </c>
      <c r="D2323" s="137">
        <v>447202.76</v>
      </c>
      <c r="E2323" s="137">
        <v>119757</v>
      </c>
      <c r="F2323" s="137">
        <v>291676.76</v>
      </c>
      <c r="G2323" s="137">
        <v>35769</v>
      </c>
      <c r="H2323" s="138">
        <v>3008211.06</v>
      </c>
      <c r="I2323" s="138">
        <v>1377205.5</v>
      </c>
      <c r="J2323" s="138">
        <v>1459780.89</v>
      </c>
      <c r="K2323" s="138">
        <v>171224.67</v>
      </c>
      <c r="L2323" s="43">
        <v>6.7267274021296295</v>
      </c>
      <c r="M2323" s="43">
        <v>11.5</v>
      </c>
      <c r="N2323" s="43">
        <v>5.0047898571007163</v>
      </c>
      <c r="O2323" s="43">
        <v>4.7869571416589789</v>
      </c>
      <c r="P2323" s="139"/>
      <c r="Q2323" s="139"/>
      <c r="R2323" s="139">
        <v>1</v>
      </c>
    </row>
    <row r="2324" spans="1:18" ht="12.75" customHeight="1">
      <c r="A2324" s="628" t="s">
        <v>4243</v>
      </c>
      <c r="B2324" s="629"/>
      <c r="C2324" s="629"/>
      <c r="D2324" s="629"/>
      <c r="E2324" s="629"/>
      <c r="F2324" s="629"/>
      <c r="G2324" s="629"/>
      <c r="H2324" s="629"/>
      <c r="I2324" s="629"/>
      <c r="J2324" s="629"/>
      <c r="K2324" s="629"/>
      <c r="L2324" s="629"/>
      <c r="M2324" s="629"/>
      <c r="N2324" s="629"/>
      <c r="O2324" s="629"/>
      <c r="P2324" s="629"/>
      <c r="Q2324" s="629"/>
      <c r="R2324" s="629"/>
    </row>
    <row r="2325" spans="1:18" ht="12.75" customHeight="1">
      <c r="A2325" s="628" t="s">
        <v>4244</v>
      </c>
      <c r="B2325" s="629"/>
      <c r="C2325" s="629"/>
      <c r="D2325" s="629"/>
      <c r="E2325" s="629"/>
      <c r="F2325" s="629"/>
      <c r="G2325" s="629"/>
      <c r="H2325" s="629"/>
      <c r="I2325" s="629"/>
      <c r="J2325" s="629"/>
      <c r="K2325" s="629"/>
      <c r="L2325" s="629"/>
      <c r="M2325" s="629"/>
      <c r="N2325" s="629"/>
      <c r="O2325" s="629"/>
      <c r="P2325" s="629"/>
      <c r="Q2325" s="629"/>
      <c r="R2325" s="629"/>
    </row>
    <row r="2326" spans="1:18" ht="24">
      <c r="A2326" s="135">
        <v>18</v>
      </c>
      <c r="B2326" s="132" t="s">
        <v>4245</v>
      </c>
      <c r="C2326" s="136" t="s">
        <v>4246</v>
      </c>
      <c r="D2326" s="137">
        <v>955.98</v>
      </c>
      <c r="E2326" s="137">
        <v>364.21</v>
      </c>
      <c r="F2326" s="137">
        <v>27.09</v>
      </c>
      <c r="G2326" s="137">
        <v>564.67999999999995</v>
      </c>
      <c r="H2326" s="138">
        <v>6541.35</v>
      </c>
      <c r="I2326" s="138">
        <v>4188.37</v>
      </c>
      <c r="J2326" s="138">
        <v>140.01</v>
      </c>
      <c r="K2326" s="138">
        <v>2212.9699999999998</v>
      </c>
      <c r="L2326" s="43">
        <v>6.8425594677712924</v>
      </c>
      <c r="M2326" s="43">
        <v>11.499876444908157</v>
      </c>
      <c r="N2326" s="43">
        <v>5.1683277962347729</v>
      </c>
      <c r="O2326" s="43">
        <v>3.9189806616136571</v>
      </c>
      <c r="P2326" s="139"/>
      <c r="Q2326" s="139"/>
      <c r="R2326" s="139">
        <v>1</v>
      </c>
    </row>
    <row r="2327" spans="1:18" ht="24">
      <c r="A2327" s="135">
        <v>19</v>
      </c>
      <c r="B2327" s="132" t="s">
        <v>4247</v>
      </c>
      <c r="C2327" s="136" t="s">
        <v>4248</v>
      </c>
      <c r="D2327" s="137">
        <v>1332.14</v>
      </c>
      <c r="E2327" s="137">
        <v>593.79</v>
      </c>
      <c r="F2327" s="137">
        <v>70.13</v>
      </c>
      <c r="G2327" s="137">
        <v>668.22</v>
      </c>
      <c r="H2327" s="138">
        <v>9837.9599999999991</v>
      </c>
      <c r="I2327" s="138">
        <v>6828.56</v>
      </c>
      <c r="J2327" s="138">
        <v>371.59</v>
      </c>
      <c r="K2327" s="138">
        <v>2637.81</v>
      </c>
      <c r="L2327" s="43">
        <v>7.3850796462834225</v>
      </c>
      <c r="M2327" s="43">
        <v>11.499957897573218</v>
      </c>
      <c r="N2327" s="43">
        <v>5.2985883359475263</v>
      </c>
      <c r="O2327" s="43">
        <v>3.9475172847265867</v>
      </c>
      <c r="P2327" s="139"/>
      <c r="Q2327" s="139"/>
      <c r="R2327" s="139">
        <v>1</v>
      </c>
    </row>
    <row r="2328" spans="1:18" ht="24">
      <c r="A2328" s="135">
        <v>20</v>
      </c>
      <c r="B2328" s="132" t="s">
        <v>4249</v>
      </c>
      <c r="C2328" s="136" t="s">
        <v>4250</v>
      </c>
      <c r="D2328" s="137">
        <v>1469.35</v>
      </c>
      <c r="E2328" s="137">
        <v>662.3</v>
      </c>
      <c r="F2328" s="137">
        <v>127.04</v>
      </c>
      <c r="G2328" s="137">
        <v>680.01</v>
      </c>
      <c r="H2328" s="138">
        <v>10990.3</v>
      </c>
      <c r="I2328" s="138">
        <v>7616.47</v>
      </c>
      <c r="J2328" s="138">
        <v>676.99</v>
      </c>
      <c r="K2328" s="138">
        <v>2696.84</v>
      </c>
      <c r="L2328" s="43">
        <v>7.4797019090073844</v>
      </c>
      <c r="M2328" s="43">
        <v>11.500030197795562</v>
      </c>
      <c r="N2328" s="43">
        <v>5.3289515113350125</v>
      </c>
      <c r="O2328" s="43">
        <v>3.9658828546639024</v>
      </c>
      <c r="P2328" s="139"/>
      <c r="Q2328" s="139"/>
      <c r="R2328" s="139">
        <v>1</v>
      </c>
    </row>
    <row r="2329" spans="1:18" ht="24">
      <c r="A2329" s="135">
        <v>21</v>
      </c>
      <c r="B2329" s="132" t="s">
        <v>4251</v>
      </c>
      <c r="C2329" s="136" t="s">
        <v>4252</v>
      </c>
      <c r="D2329" s="137">
        <v>3058.17</v>
      </c>
      <c r="E2329" s="137">
        <v>1076.99</v>
      </c>
      <c r="F2329" s="137">
        <v>504.7</v>
      </c>
      <c r="G2329" s="137">
        <v>1476.48</v>
      </c>
      <c r="H2329" s="138">
        <v>22599.040000000001</v>
      </c>
      <c r="I2329" s="138">
        <v>12385.41</v>
      </c>
      <c r="J2329" s="138">
        <v>2437</v>
      </c>
      <c r="K2329" s="138">
        <v>7776.63</v>
      </c>
      <c r="L2329" s="43">
        <v>7.3897265358040922</v>
      </c>
      <c r="M2329" s="43">
        <v>11.500023212843201</v>
      </c>
      <c r="N2329" s="43">
        <v>4.8286110560729147</v>
      </c>
      <c r="O2329" s="43">
        <v>5.2670066644993501</v>
      </c>
      <c r="P2329" s="139"/>
      <c r="Q2329" s="139"/>
      <c r="R2329" s="139">
        <v>1</v>
      </c>
    </row>
    <row r="2330" spans="1:18" ht="24">
      <c r="A2330" s="135">
        <v>22</v>
      </c>
      <c r="B2330" s="132" t="s">
        <v>4253</v>
      </c>
      <c r="C2330" s="136" t="s">
        <v>4254</v>
      </c>
      <c r="D2330" s="137">
        <v>3782.57</v>
      </c>
      <c r="E2330" s="137">
        <v>1394.32</v>
      </c>
      <c r="F2330" s="137">
        <v>815.43</v>
      </c>
      <c r="G2330" s="137">
        <v>1572.82</v>
      </c>
      <c r="H2330" s="138">
        <v>29504.47</v>
      </c>
      <c r="I2330" s="138">
        <v>16034.68</v>
      </c>
      <c r="J2330" s="138">
        <v>4047.53</v>
      </c>
      <c r="K2330" s="138">
        <v>9422.26</v>
      </c>
      <c r="L2330" s="43">
        <v>7.8001120931007222</v>
      </c>
      <c r="M2330" s="43">
        <v>11.5</v>
      </c>
      <c r="N2330" s="43">
        <v>4.9636756067350971</v>
      </c>
      <c r="O2330" s="43">
        <v>5.9906791622690454</v>
      </c>
      <c r="P2330" s="139"/>
      <c r="Q2330" s="139"/>
      <c r="R2330" s="139">
        <v>1</v>
      </c>
    </row>
    <row r="2331" spans="1:18" ht="24">
      <c r="A2331" s="135">
        <v>23</v>
      </c>
      <c r="B2331" s="132" t="s">
        <v>4255</v>
      </c>
      <c r="C2331" s="136" t="s">
        <v>4256</v>
      </c>
      <c r="D2331" s="137">
        <v>8320.66</v>
      </c>
      <c r="E2331" s="137">
        <v>2464.1</v>
      </c>
      <c r="F2331" s="137">
        <v>2065.09</v>
      </c>
      <c r="G2331" s="137">
        <v>3791.47</v>
      </c>
      <c r="H2331" s="138">
        <v>57959.35</v>
      </c>
      <c r="I2331" s="138">
        <v>28337.15</v>
      </c>
      <c r="J2331" s="138">
        <v>11039.43</v>
      </c>
      <c r="K2331" s="138">
        <v>18582.77</v>
      </c>
      <c r="L2331" s="43">
        <v>6.9657154600716771</v>
      </c>
      <c r="M2331" s="43">
        <v>11.500000000000002</v>
      </c>
      <c r="N2331" s="43">
        <v>5.3457379581519451</v>
      </c>
      <c r="O2331" s="43">
        <v>4.9012045459940348</v>
      </c>
      <c r="P2331" s="139"/>
      <c r="Q2331" s="139"/>
      <c r="R2331" s="139">
        <v>1</v>
      </c>
    </row>
    <row r="2332" spans="1:18" ht="12.75" customHeight="1">
      <c r="A2332" s="628" t="s">
        <v>4257</v>
      </c>
      <c r="B2332" s="629"/>
      <c r="C2332" s="629"/>
      <c r="D2332" s="629"/>
      <c r="E2332" s="629"/>
      <c r="F2332" s="629"/>
      <c r="G2332" s="629"/>
      <c r="H2332" s="629"/>
      <c r="I2332" s="629"/>
      <c r="J2332" s="629"/>
      <c r="K2332" s="629"/>
      <c r="L2332" s="629"/>
      <c r="M2332" s="629"/>
      <c r="N2332" s="629"/>
      <c r="O2332" s="629"/>
      <c r="P2332" s="629"/>
      <c r="Q2332" s="629"/>
      <c r="R2332" s="629"/>
    </row>
    <row r="2333" spans="1:18" ht="24">
      <c r="A2333" s="135">
        <v>24</v>
      </c>
      <c r="B2333" s="132" t="s">
        <v>4258</v>
      </c>
      <c r="C2333" s="136" t="s">
        <v>4259</v>
      </c>
      <c r="D2333" s="137">
        <v>729.08</v>
      </c>
      <c r="E2333" s="137">
        <v>372.09</v>
      </c>
      <c r="F2333" s="137">
        <v>36.61</v>
      </c>
      <c r="G2333" s="137">
        <v>320.38</v>
      </c>
      <c r="H2333" s="138">
        <v>5712.79</v>
      </c>
      <c r="I2333" s="138">
        <v>4279.1899999999996</v>
      </c>
      <c r="J2333" s="138">
        <v>191.8</v>
      </c>
      <c r="K2333" s="138">
        <v>1241.8</v>
      </c>
      <c r="L2333" s="43">
        <v>7.8356147473528281</v>
      </c>
      <c r="M2333" s="43">
        <v>11.500416565884597</v>
      </c>
      <c r="N2333" s="43">
        <v>5.2390057361376678</v>
      </c>
      <c r="O2333" s="43">
        <v>3.8760222236094637</v>
      </c>
      <c r="P2333" s="139"/>
      <c r="Q2333" s="139"/>
      <c r="R2333" s="139">
        <v>2</v>
      </c>
    </row>
    <row r="2334" spans="1:18" ht="24">
      <c r="A2334" s="135">
        <v>25</v>
      </c>
      <c r="B2334" s="132" t="s">
        <v>4260</v>
      </c>
      <c r="C2334" s="136" t="s">
        <v>4261</v>
      </c>
      <c r="D2334" s="137">
        <v>862.53</v>
      </c>
      <c r="E2334" s="137">
        <v>426.6</v>
      </c>
      <c r="F2334" s="137">
        <v>114.46</v>
      </c>
      <c r="G2334" s="137">
        <v>321.47000000000003</v>
      </c>
      <c r="H2334" s="138">
        <v>6770.77</v>
      </c>
      <c r="I2334" s="138">
        <v>4906.08</v>
      </c>
      <c r="J2334" s="138">
        <v>610.35</v>
      </c>
      <c r="K2334" s="138">
        <v>1254.3399999999999</v>
      </c>
      <c r="L2334" s="43">
        <v>7.8498950761132953</v>
      </c>
      <c r="M2334" s="43">
        <v>11.50042194092827</v>
      </c>
      <c r="N2334" s="43">
        <v>5.3324305434212826</v>
      </c>
      <c r="O2334" s="43">
        <v>3.901888201076305</v>
      </c>
      <c r="P2334" s="139"/>
      <c r="Q2334" s="139"/>
      <c r="R2334" s="139">
        <v>2</v>
      </c>
    </row>
    <row r="2335" spans="1:18" ht="24">
      <c r="A2335" s="135">
        <v>26</v>
      </c>
      <c r="B2335" s="132" t="s">
        <v>4262</v>
      </c>
      <c r="C2335" s="136" t="s">
        <v>4263</v>
      </c>
      <c r="D2335" s="137">
        <v>1193.42</v>
      </c>
      <c r="E2335" s="137">
        <v>677.82</v>
      </c>
      <c r="F2335" s="137">
        <v>189.1</v>
      </c>
      <c r="G2335" s="137">
        <v>326.5</v>
      </c>
      <c r="H2335" s="138">
        <v>10119.67</v>
      </c>
      <c r="I2335" s="138">
        <v>7795.22</v>
      </c>
      <c r="J2335" s="138">
        <v>1012.27</v>
      </c>
      <c r="K2335" s="138">
        <v>1312.18</v>
      </c>
      <c r="L2335" s="43">
        <v>8.4795545574902373</v>
      </c>
      <c r="M2335" s="43">
        <v>11.500427842199993</v>
      </c>
      <c r="N2335" s="43">
        <v>5.3530936012691699</v>
      </c>
      <c r="O2335" s="43">
        <v>4.0189280245022969</v>
      </c>
      <c r="P2335" s="139"/>
      <c r="Q2335" s="139"/>
      <c r="R2335" s="139">
        <v>2</v>
      </c>
    </row>
    <row r="2336" spans="1:18" ht="24">
      <c r="A2336" s="135">
        <v>27</v>
      </c>
      <c r="B2336" s="132" t="s">
        <v>4264</v>
      </c>
      <c r="C2336" s="136" t="s">
        <v>4265</v>
      </c>
      <c r="D2336" s="137">
        <v>1411.09</v>
      </c>
      <c r="E2336" s="137">
        <v>774.99</v>
      </c>
      <c r="F2336" s="137">
        <v>297.25</v>
      </c>
      <c r="G2336" s="137">
        <v>338.85</v>
      </c>
      <c r="H2336" s="138">
        <v>11883.33</v>
      </c>
      <c r="I2336" s="138">
        <v>8912.7099999999991</v>
      </c>
      <c r="J2336" s="138">
        <v>1592.86</v>
      </c>
      <c r="K2336" s="138">
        <v>1377.76</v>
      </c>
      <c r="L2336" s="43">
        <v>8.4213834695164742</v>
      </c>
      <c r="M2336" s="43">
        <v>11.500419360249808</v>
      </c>
      <c r="N2336" s="43">
        <v>5.3586543313708992</v>
      </c>
      <c r="O2336" s="43">
        <v>4.0659879002508479</v>
      </c>
      <c r="P2336" s="139"/>
      <c r="Q2336" s="139"/>
      <c r="R2336" s="139">
        <v>2</v>
      </c>
    </row>
    <row r="2337" spans="1:18" ht="24">
      <c r="A2337" s="135">
        <v>28</v>
      </c>
      <c r="B2337" s="132" t="s">
        <v>4266</v>
      </c>
      <c r="C2337" s="136" t="s">
        <v>4267</v>
      </c>
      <c r="D2337" s="137">
        <v>4399.29</v>
      </c>
      <c r="E2337" s="137">
        <v>1741.95</v>
      </c>
      <c r="F2337" s="137">
        <v>1089.07</v>
      </c>
      <c r="G2337" s="137">
        <v>1568.27</v>
      </c>
      <c r="H2337" s="138">
        <v>32443.24</v>
      </c>
      <c r="I2337" s="138">
        <v>20033.16</v>
      </c>
      <c r="J2337" s="138">
        <v>6358.03</v>
      </c>
      <c r="K2337" s="138">
        <v>6052.05</v>
      </c>
      <c r="L2337" s="43">
        <v>7.3746536372914724</v>
      </c>
      <c r="M2337" s="43">
        <v>11.50042194092827</v>
      </c>
      <c r="N2337" s="43">
        <v>5.8380361225632882</v>
      </c>
      <c r="O2337" s="43">
        <v>3.8590612585843003</v>
      </c>
      <c r="P2337" s="139"/>
      <c r="Q2337" s="139"/>
      <c r="R2337" s="139">
        <v>2</v>
      </c>
    </row>
    <row r="2338" spans="1:18" ht="12.75" customHeight="1">
      <c r="A2338" s="628" t="s">
        <v>4268</v>
      </c>
      <c r="B2338" s="629"/>
      <c r="C2338" s="629"/>
      <c r="D2338" s="629"/>
      <c r="E2338" s="629"/>
      <c r="F2338" s="629"/>
      <c r="G2338" s="629"/>
      <c r="H2338" s="629"/>
      <c r="I2338" s="629"/>
      <c r="J2338" s="629"/>
      <c r="K2338" s="629"/>
      <c r="L2338" s="629"/>
      <c r="M2338" s="629"/>
      <c r="N2338" s="629"/>
      <c r="O2338" s="629"/>
      <c r="P2338" s="629"/>
      <c r="Q2338" s="629"/>
      <c r="R2338" s="629"/>
    </row>
    <row r="2339" spans="1:18" ht="24">
      <c r="A2339" s="135">
        <v>29</v>
      </c>
      <c r="B2339" s="132" t="s">
        <v>4269</v>
      </c>
      <c r="C2339" s="136" t="s">
        <v>4270</v>
      </c>
      <c r="D2339" s="137">
        <v>11032.21</v>
      </c>
      <c r="E2339" s="137">
        <v>5517.18</v>
      </c>
      <c r="F2339" s="137">
        <v>3123.36</v>
      </c>
      <c r="G2339" s="137">
        <v>2391.67</v>
      </c>
      <c r="H2339" s="138">
        <v>93863.27</v>
      </c>
      <c r="I2339" s="138">
        <v>63447.57</v>
      </c>
      <c r="J2339" s="138">
        <v>16312.1</v>
      </c>
      <c r="K2339" s="138">
        <v>14103.6</v>
      </c>
      <c r="L2339" s="43">
        <v>8.5081112487887758</v>
      </c>
      <c r="M2339" s="43">
        <v>11.5</v>
      </c>
      <c r="N2339" s="43">
        <v>5.2226128272117203</v>
      </c>
      <c r="O2339" s="43">
        <v>5.896967390986215</v>
      </c>
      <c r="P2339" s="139"/>
      <c r="Q2339" s="139"/>
      <c r="R2339" s="139">
        <v>3</v>
      </c>
    </row>
    <row r="2340" spans="1:18" ht="24">
      <c r="A2340" s="135">
        <v>30</v>
      </c>
      <c r="B2340" s="132" t="s">
        <v>4271</v>
      </c>
      <c r="C2340" s="136" t="s">
        <v>4272</v>
      </c>
      <c r="D2340" s="137">
        <v>19456.560000000001</v>
      </c>
      <c r="E2340" s="137">
        <v>6623.02</v>
      </c>
      <c r="F2340" s="137">
        <v>6055.97</v>
      </c>
      <c r="G2340" s="137">
        <v>6777.57</v>
      </c>
      <c r="H2340" s="138">
        <v>194092.72</v>
      </c>
      <c r="I2340" s="138">
        <v>76164.73</v>
      </c>
      <c r="J2340" s="138">
        <v>29539.87</v>
      </c>
      <c r="K2340" s="138">
        <v>88388.12</v>
      </c>
      <c r="L2340" s="43">
        <v>9.9756956008667501</v>
      </c>
      <c r="M2340" s="43">
        <v>11.499999999999998</v>
      </c>
      <c r="N2340" s="43">
        <v>4.87780983062994</v>
      </c>
      <c r="O2340" s="43">
        <v>13.041269953685465</v>
      </c>
      <c r="P2340" s="139"/>
      <c r="Q2340" s="139"/>
      <c r="R2340" s="139">
        <v>3</v>
      </c>
    </row>
    <row r="2341" spans="1:18" ht="24">
      <c r="A2341" s="135">
        <v>31</v>
      </c>
      <c r="B2341" s="132" t="s">
        <v>4273</v>
      </c>
      <c r="C2341" s="136" t="s">
        <v>4274</v>
      </c>
      <c r="D2341" s="137">
        <v>24136.15</v>
      </c>
      <c r="E2341" s="137">
        <v>8137.54</v>
      </c>
      <c r="F2341" s="137">
        <v>7954.39</v>
      </c>
      <c r="G2341" s="137">
        <v>8044.22</v>
      </c>
      <c r="H2341" s="138">
        <v>225870.85</v>
      </c>
      <c r="I2341" s="138">
        <v>93581.71</v>
      </c>
      <c r="J2341" s="138">
        <v>38668.300000000003</v>
      </c>
      <c r="K2341" s="138">
        <v>93620.84</v>
      </c>
      <c r="L2341" s="43">
        <v>9.3581971441178471</v>
      </c>
      <c r="M2341" s="43">
        <v>11.5</v>
      </c>
      <c r="N2341" s="43">
        <v>4.861252717053099</v>
      </c>
      <c r="O2341" s="43">
        <v>11.638274438043712</v>
      </c>
      <c r="P2341" s="139"/>
      <c r="Q2341" s="139"/>
      <c r="R2341" s="139">
        <v>3</v>
      </c>
    </row>
    <row r="2342" spans="1:18" ht="12.75" customHeight="1">
      <c r="A2342" s="628" t="s">
        <v>4275</v>
      </c>
      <c r="B2342" s="629"/>
      <c r="C2342" s="629"/>
      <c r="D2342" s="629"/>
      <c r="E2342" s="629"/>
      <c r="F2342" s="629"/>
      <c r="G2342" s="629"/>
      <c r="H2342" s="629"/>
      <c r="I2342" s="629"/>
      <c r="J2342" s="629"/>
      <c r="K2342" s="629"/>
      <c r="L2342" s="629"/>
      <c r="M2342" s="629"/>
      <c r="N2342" s="629"/>
      <c r="O2342" s="629"/>
      <c r="P2342" s="629"/>
      <c r="Q2342" s="629"/>
      <c r="R2342" s="629"/>
    </row>
    <row r="2343" spans="1:18" ht="12.75" customHeight="1">
      <c r="A2343" s="628" t="s">
        <v>4276</v>
      </c>
      <c r="B2343" s="629"/>
      <c r="C2343" s="629"/>
      <c r="D2343" s="629"/>
      <c r="E2343" s="629"/>
      <c r="F2343" s="629"/>
      <c r="G2343" s="629"/>
      <c r="H2343" s="629"/>
      <c r="I2343" s="629"/>
      <c r="J2343" s="629"/>
      <c r="K2343" s="629"/>
      <c r="L2343" s="629"/>
      <c r="M2343" s="629"/>
      <c r="N2343" s="629"/>
      <c r="O2343" s="629"/>
      <c r="P2343" s="629"/>
      <c r="Q2343" s="629"/>
      <c r="R2343" s="629"/>
    </row>
    <row r="2344" spans="1:18" ht="24">
      <c r="A2344" s="135">
        <v>32</v>
      </c>
      <c r="B2344" s="132" t="s">
        <v>4277</v>
      </c>
      <c r="C2344" s="136" t="s">
        <v>4278</v>
      </c>
      <c r="D2344" s="137">
        <v>1650.37</v>
      </c>
      <c r="E2344" s="137">
        <v>472.58</v>
      </c>
      <c r="F2344" s="137">
        <v>239.82</v>
      </c>
      <c r="G2344" s="137">
        <v>937.97</v>
      </c>
      <c r="H2344" s="138">
        <v>10361.89</v>
      </c>
      <c r="I2344" s="138">
        <v>5434.62</v>
      </c>
      <c r="J2344" s="138">
        <v>1383.99</v>
      </c>
      <c r="K2344" s="138">
        <v>3543.28</v>
      </c>
      <c r="L2344" s="43">
        <v>6.278525421572132</v>
      </c>
      <c r="M2344" s="43">
        <v>11.499894197807778</v>
      </c>
      <c r="N2344" s="43">
        <v>5.7709532149111835</v>
      </c>
      <c r="O2344" s="43">
        <v>3.7776048274465071</v>
      </c>
      <c r="P2344" s="139"/>
      <c r="Q2344" s="139"/>
      <c r="R2344" s="139">
        <v>1</v>
      </c>
    </row>
    <row r="2345" spans="1:18" ht="24">
      <c r="A2345" s="135">
        <v>33</v>
      </c>
      <c r="B2345" s="132" t="s">
        <v>4279</v>
      </c>
      <c r="C2345" s="136" t="s">
        <v>4280</v>
      </c>
      <c r="D2345" s="137">
        <v>1787.24</v>
      </c>
      <c r="E2345" s="137">
        <v>524.83000000000004</v>
      </c>
      <c r="F2345" s="137">
        <v>317.02999999999997</v>
      </c>
      <c r="G2345" s="137">
        <v>945.38</v>
      </c>
      <c r="H2345" s="138">
        <v>11419.76</v>
      </c>
      <c r="I2345" s="138">
        <v>6035.57</v>
      </c>
      <c r="J2345" s="138">
        <v>1799.86</v>
      </c>
      <c r="K2345" s="138">
        <v>3584.33</v>
      </c>
      <c r="L2345" s="43">
        <v>6.389606320359885</v>
      </c>
      <c r="M2345" s="43">
        <v>11.500047634472113</v>
      </c>
      <c r="N2345" s="43">
        <v>5.6772545184998267</v>
      </c>
      <c r="O2345" s="43">
        <v>3.791417207895238</v>
      </c>
      <c r="P2345" s="139"/>
      <c r="Q2345" s="139"/>
      <c r="R2345" s="139">
        <v>1</v>
      </c>
    </row>
    <row r="2346" spans="1:18" ht="24">
      <c r="A2346" s="140">
        <v>34</v>
      </c>
      <c r="B2346" s="141" t="s">
        <v>4281</v>
      </c>
      <c r="C2346" s="142" t="s">
        <v>4282</v>
      </c>
      <c r="D2346" s="143">
        <v>2028.68</v>
      </c>
      <c r="E2346" s="143">
        <v>600.94000000000005</v>
      </c>
      <c r="F2346" s="143">
        <v>430.61</v>
      </c>
      <c r="G2346" s="143">
        <v>997.13</v>
      </c>
      <c r="H2346" s="144">
        <v>13123.56</v>
      </c>
      <c r="I2346" s="144">
        <v>6910.86</v>
      </c>
      <c r="J2346" s="144">
        <v>2418.7800000000002</v>
      </c>
      <c r="K2346" s="144">
        <v>3793.92</v>
      </c>
      <c r="L2346" s="611">
        <v>6.4690143344440711</v>
      </c>
      <c r="M2346" s="611">
        <v>11.500083202981994</v>
      </c>
      <c r="N2346" s="611">
        <v>5.6171013213812966</v>
      </c>
      <c r="O2346" s="611">
        <v>3.8048398904856939</v>
      </c>
      <c r="P2346" s="145"/>
      <c r="Q2346" s="145"/>
      <c r="R2346" s="145">
        <v>1</v>
      </c>
    </row>
    <row r="2347" spans="1:18" ht="39" customHeight="1">
      <c r="A2347" s="630" t="s">
        <v>4283</v>
      </c>
      <c r="B2347" s="631"/>
      <c r="C2347" s="631"/>
      <c r="D2347" s="631"/>
      <c r="E2347" s="631"/>
      <c r="F2347" s="631"/>
      <c r="G2347" s="631"/>
      <c r="H2347" s="631"/>
      <c r="I2347" s="631"/>
      <c r="J2347" s="631"/>
      <c r="K2347" s="631"/>
      <c r="L2347" s="631"/>
      <c r="M2347" s="631"/>
      <c r="N2347" s="631"/>
      <c r="O2347" s="631"/>
      <c r="P2347" s="631"/>
      <c r="Q2347" s="631"/>
      <c r="R2347" s="631"/>
    </row>
    <row r="2348" spans="1:18" ht="23.25" customHeight="1">
      <c r="A2348" s="628" t="s">
        <v>4284</v>
      </c>
      <c r="B2348" s="629"/>
      <c r="C2348" s="629"/>
      <c r="D2348" s="629"/>
      <c r="E2348" s="629"/>
      <c r="F2348" s="629"/>
      <c r="G2348" s="629"/>
      <c r="H2348" s="629"/>
      <c r="I2348" s="629"/>
      <c r="J2348" s="629"/>
      <c r="K2348" s="629"/>
      <c r="L2348" s="629"/>
      <c r="M2348" s="629"/>
      <c r="N2348" s="629"/>
      <c r="O2348" s="629"/>
      <c r="P2348" s="629"/>
      <c r="Q2348" s="629"/>
      <c r="R2348" s="629"/>
    </row>
    <row r="2349" spans="1:18" ht="21.75" customHeight="1">
      <c r="A2349" s="628" t="s">
        <v>4285</v>
      </c>
      <c r="B2349" s="629"/>
      <c r="C2349" s="629"/>
      <c r="D2349" s="629"/>
      <c r="E2349" s="629"/>
      <c r="F2349" s="629"/>
      <c r="G2349" s="629"/>
      <c r="H2349" s="629"/>
      <c r="I2349" s="629"/>
      <c r="J2349" s="629"/>
      <c r="K2349" s="629"/>
      <c r="L2349" s="629"/>
      <c r="M2349" s="629"/>
      <c r="N2349" s="629"/>
      <c r="O2349" s="629"/>
      <c r="P2349" s="629"/>
      <c r="Q2349" s="629"/>
      <c r="R2349" s="629"/>
    </row>
    <row r="2350" spans="1:18" ht="48">
      <c r="A2350" s="135">
        <v>35</v>
      </c>
      <c r="B2350" s="132" t="s">
        <v>4286</v>
      </c>
      <c r="C2350" s="136" t="s">
        <v>4287</v>
      </c>
      <c r="D2350" s="137">
        <v>16786.330000000002</v>
      </c>
      <c r="E2350" s="137">
        <v>8906.82</v>
      </c>
      <c r="F2350" s="137">
        <v>4316.26</v>
      </c>
      <c r="G2350" s="137">
        <v>3563.25</v>
      </c>
      <c r="H2350" s="138">
        <v>145491.44</v>
      </c>
      <c r="I2350" s="138">
        <v>102428.43</v>
      </c>
      <c r="J2350" s="138">
        <v>23821.32</v>
      </c>
      <c r="K2350" s="138">
        <v>19241.689999999999</v>
      </c>
      <c r="L2350" s="43">
        <v>8.6672572265647094</v>
      </c>
      <c r="M2350" s="43">
        <v>11.5</v>
      </c>
      <c r="N2350" s="43">
        <v>5.5189724437360121</v>
      </c>
      <c r="O2350" s="43">
        <v>5.4000392899740399</v>
      </c>
      <c r="P2350" s="139"/>
      <c r="Q2350" s="139"/>
      <c r="R2350" s="139">
        <v>1</v>
      </c>
    </row>
    <row r="2351" spans="1:18" ht="48">
      <c r="A2351" s="135">
        <v>36</v>
      </c>
      <c r="B2351" s="132" t="s">
        <v>4288</v>
      </c>
      <c r="C2351" s="136" t="s">
        <v>4289</v>
      </c>
      <c r="D2351" s="137">
        <v>19021.5</v>
      </c>
      <c r="E2351" s="137">
        <v>9772.26</v>
      </c>
      <c r="F2351" s="137">
        <v>4869.8500000000004</v>
      </c>
      <c r="G2351" s="137">
        <v>4379.3900000000003</v>
      </c>
      <c r="H2351" s="138">
        <v>163142.37</v>
      </c>
      <c r="I2351" s="138">
        <v>112380.99</v>
      </c>
      <c r="J2351" s="138">
        <v>27446.1</v>
      </c>
      <c r="K2351" s="138">
        <v>23315.279999999999</v>
      </c>
      <c r="L2351" s="43">
        <v>8.5767352732434343</v>
      </c>
      <c r="M2351" s="43">
        <v>11.5</v>
      </c>
      <c r="N2351" s="43">
        <v>5.6359230777128655</v>
      </c>
      <c r="O2351" s="43">
        <v>5.3238647391531693</v>
      </c>
      <c r="P2351" s="139"/>
      <c r="Q2351" s="139"/>
      <c r="R2351" s="139">
        <v>1</v>
      </c>
    </row>
    <row r="2352" spans="1:18" ht="48">
      <c r="A2352" s="135">
        <v>37</v>
      </c>
      <c r="B2352" s="132" t="s">
        <v>4290</v>
      </c>
      <c r="C2352" s="136" t="s">
        <v>4291</v>
      </c>
      <c r="D2352" s="137">
        <v>36086.76</v>
      </c>
      <c r="E2352" s="137">
        <v>15012.98</v>
      </c>
      <c r="F2352" s="137">
        <v>15514.37</v>
      </c>
      <c r="G2352" s="137">
        <v>5559.41</v>
      </c>
      <c r="H2352" s="138">
        <v>282975.33</v>
      </c>
      <c r="I2352" s="138">
        <v>172649.27</v>
      </c>
      <c r="J2352" s="138">
        <v>81630.81</v>
      </c>
      <c r="K2352" s="138">
        <v>28695.25</v>
      </c>
      <c r="L2352" s="43">
        <v>7.8415277514523334</v>
      </c>
      <c r="M2352" s="43">
        <v>11.5</v>
      </c>
      <c r="N2352" s="43">
        <v>5.2616258346294433</v>
      </c>
      <c r="O2352" s="43">
        <v>5.1615639069613506</v>
      </c>
      <c r="P2352" s="139"/>
      <c r="Q2352" s="139"/>
      <c r="R2352" s="139">
        <v>1</v>
      </c>
    </row>
    <row r="2353" spans="1:18" ht="48">
      <c r="A2353" s="135">
        <v>38</v>
      </c>
      <c r="B2353" s="132" t="s">
        <v>4292</v>
      </c>
      <c r="C2353" s="136" t="s">
        <v>4293</v>
      </c>
      <c r="D2353" s="137">
        <v>54531.49</v>
      </c>
      <c r="E2353" s="137">
        <v>19111.8</v>
      </c>
      <c r="F2353" s="137">
        <v>28852.21</v>
      </c>
      <c r="G2353" s="137">
        <v>6567.48</v>
      </c>
      <c r="H2353" s="138">
        <v>394936.37</v>
      </c>
      <c r="I2353" s="138">
        <v>219785.7</v>
      </c>
      <c r="J2353" s="138">
        <v>140914.71</v>
      </c>
      <c r="K2353" s="138">
        <v>34235.96</v>
      </c>
      <c r="L2353" s="43">
        <v>7.2423542800682688</v>
      </c>
      <c r="M2353" s="43">
        <v>11.500000000000002</v>
      </c>
      <c r="N2353" s="43">
        <v>4.8840178967226429</v>
      </c>
      <c r="O2353" s="43">
        <v>5.2129523043846344</v>
      </c>
      <c r="P2353" s="139"/>
      <c r="Q2353" s="139"/>
      <c r="R2353" s="139">
        <v>1</v>
      </c>
    </row>
    <row r="2354" spans="1:18" ht="48">
      <c r="A2354" s="135">
        <v>39</v>
      </c>
      <c r="B2354" s="132" t="s">
        <v>4294</v>
      </c>
      <c r="C2354" s="136" t="s">
        <v>4295</v>
      </c>
      <c r="D2354" s="137">
        <v>60075.44</v>
      </c>
      <c r="E2354" s="137">
        <v>19496.439999999999</v>
      </c>
      <c r="F2354" s="137">
        <v>32146.84</v>
      </c>
      <c r="G2354" s="137">
        <v>8432.16</v>
      </c>
      <c r="H2354" s="138">
        <v>423954.68</v>
      </c>
      <c r="I2354" s="138">
        <v>224209.06</v>
      </c>
      <c r="J2354" s="138">
        <v>156366.98000000001</v>
      </c>
      <c r="K2354" s="138">
        <v>43378.64</v>
      </c>
      <c r="L2354" s="43">
        <v>7.0570382838644203</v>
      </c>
      <c r="M2354" s="43">
        <v>11.5</v>
      </c>
      <c r="N2354" s="43">
        <v>4.8641477669344795</v>
      </c>
      <c r="O2354" s="43">
        <v>5.144427999468701</v>
      </c>
      <c r="P2354" s="139"/>
      <c r="Q2354" s="139"/>
      <c r="R2354" s="139">
        <v>1</v>
      </c>
    </row>
    <row r="2355" spans="1:18" ht="48">
      <c r="A2355" s="135">
        <v>40</v>
      </c>
      <c r="B2355" s="132" t="s">
        <v>4296</v>
      </c>
      <c r="C2355" s="136" t="s">
        <v>4297</v>
      </c>
      <c r="D2355" s="137">
        <v>100625.99</v>
      </c>
      <c r="E2355" s="137">
        <v>32057.34</v>
      </c>
      <c r="F2355" s="137">
        <v>58259.29</v>
      </c>
      <c r="G2355" s="137">
        <v>10309.36</v>
      </c>
      <c r="H2355" s="138">
        <v>704096.27</v>
      </c>
      <c r="I2355" s="138">
        <v>368659.41</v>
      </c>
      <c r="J2355" s="138">
        <v>282371.56</v>
      </c>
      <c r="K2355" s="138">
        <v>53065.3</v>
      </c>
      <c r="L2355" s="43">
        <v>6.9971611707869901</v>
      </c>
      <c r="M2355" s="43">
        <v>11.5</v>
      </c>
      <c r="N2355" s="43">
        <v>4.8468074362045952</v>
      </c>
      <c r="O2355" s="43">
        <v>5.1472933334367994</v>
      </c>
      <c r="P2355" s="139"/>
      <c r="Q2355" s="139"/>
      <c r="R2355" s="139">
        <v>1</v>
      </c>
    </row>
    <row r="2356" spans="1:18" ht="48">
      <c r="A2356" s="135">
        <v>41</v>
      </c>
      <c r="B2356" s="132" t="s">
        <v>4298</v>
      </c>
      <c r="C2356" s="136" t="s">
        <v>4299</v>
      </c>
      <c r="D2356" s="137">
        <v>129250.43</v>
      </c>
      <c r="E2356" s="137">
        <v>38464</v>
      </c>
      <c r="F2356" s="137">
        <v>80089.539999999994</v>
      </c>
      <c r="G2356" s="137">
        <v>10696.89</v>
      </c>
      <c r="H2356" s="138">
        <v>880710.43</v>
      </c>
      <c r="I2356" s="138">
        <v>442336</v>
      </c>
      <c r="J2356" s="138">
        <v>380857.08</v>
      </c>
      <c r="K2356" s="138">
        <v>57517.35</v>
      </c>
      <c r="L2356" s="43">
        <v>6.8139845260089276</v>
      </c>
      <c r="M2356" s="43">
        <v>11.5</v>
      </c>
      <c r="N2356" s="43">
        <v>4.7553910285912497</v>
      </c>
      <c r="O2356" s="43">
        <v>5.3770161233779161</v>
      </c>
      <c r="P2356" s="139"/>
      <c r="Q2356" s="139"/>
      <c r="R2356" s="139">
        <v>1</v>
      </c>
    </row>
    <row r="2357" spans="1:18" ht="48">
      <c r="A2357" s="135">
        <v>42</v>
      </c>
      <c r="B2357" s="132" t="s">
        <v>4300</v>
      </c>
      <c r="C2357" s="136" t="s">
        <v>4301</v>
      </c>
      <c r="D2357" s="137">
        <v>175284.61</v>
      </c>
      <c r="E2357" s="137">
        <v>49077.66</v>
      </c>
      <c r="F2357" s="137">
        <v>114064.37</v>
      </c>
      <c r="G2357" s="137">
        <v>12142.58</v>
      </c>
      <c r="H2357" s="138">
        <v>1173046.55</v>
      </c>
      <c r="I2357" s="138">
        <v>564393.09</v>
      </c>
      <c r="J2357" s="138">
        <v>541266.88</v>
      </c>
      <c r="K2357" s="138">
        <v>67386.58</v>
      </c>
      <c r="L2357" s="43">
        <v>6.6922392673264364</v>
      </c>
      <c r="M2357" s="43">
        <v>11.499999999999998</v>
      </c>
      <c r="N2357" s="43">
        <v>4.7452756719736406</v>
      </c>
      <c r="O2357" s="43">
        <v>5.5496097205042094</v>
      </c>
      <c r="P2357" s="139"/>
      <c r="Q2357" s="139"/>
      <c r="R2357" s="139">
        <v>1</v>
      </c>
    </row>
    <row r="2358" spans="1:18" ht="48">
      <c r="A2358" s="135">
        <v>43</v>
      </c>
      <c r="B2358" s="132" t="s">
        <v>4302</v>
      </c>
      <c r="C2358" s="136" t="s">
        <v>4303</v>
      </c>
      <c r="D2358" s="137">
        <v>236738.71</v>
      </c>
      <c r="E2358" s="137">
        <v>69235.199999999997</v>
      </c>
      <c r="F2358" s="137">
        <v>154721.96</v>
      </c>
      <c r="G2358" s="137">
        <v>12781.55</v>
      </c>
      <c r="H2358" s="138">
        <v>1599893.52</v>
      </c>
      <c r="I2358" s="138">
        <v>796204.8</v>
      </c>
      <c r="J2358" s="138">
        <v>733137.71</v>
      </c>
      <c r="K2358" s="138">
        <v>70551.009999999995</v>
      </c>
      <c r="L2358" s="43">
        <v>6.7580562553542682</v>
      </c>
      <c r="M2358" s="43">
        <v>11.500000000000002</v>
      </c>
      <c r="N2358" s="43">
        <v>4.7384205189748112</v>
      </c>
      <c r="O2358" s="43">
        <v>5.5197538639679848</v>
      </c>
      <c r="P2358" s="139"/>
      <c r="Q2358" s="139"/>
      <c r="R2358" s="139">
        <v>1</v>
      </c>
    </row>
    <row r="2359" spans="1:18" ht="48">
      <c r="A2359" s="135">
        <v>44</v>
      </c>
      <c r="B2359" s="132" t="s">
        <v>4304</v>
      </c>
      <c r="C2359" s="136" t="s">
        <v>4305</v>
      </c>
      <c r="D2359" s="137">
        <v>14184.89</v>
      </c>
      <c r="E2359" s="137">
        <v>7163.92</v>
      </c>
      <c r="F2359" s="137">
        <v>3125.63</v>
      </c>
      <c r="G2359" s="137">
        <v>3895.34</v>
      </c>
      <c r="H2359" s="138">
        <v>119466.84</v>
      </c>
      <c r="I2359" s="138">
        <v>82385.08</v>
      </c>
      <c r="J2359" s="138">
        <v>17436.34</v>
      </c>
      <c r="K2359" s="138">
        <v>19645.419999999998</v>
      </c>
      <c r="L2359" s="43">
        <v>8.4221195934547257</v>
      </c>
      <c r="M2359" s="43">
        <v>11.5</v>
      </c>
      <c r="N2359" s="43">
        <v>5.5785041735586107</v>
      </c>
      <c r="O2359" s="43">
        <v>5.0433132922928419</v>
      </c>
      <c r="P2359" s="139"/>
      <c r="Q2359" s="139"/>
      <c r="R2359" s="139">
        <v>1</v>
      </c>
    </row>
    <row r="2360" spans="1:18" ht="48">
      <c r="A2360" s="135">
        <v>45</v>
      </c>
      <c r="B2360" s="132" t="s">
        <v>4306</v>
      </c>
      <c r="C2360" s="136" t="s">
        <v>4307</v>
      </c>
      <c r="D2360" s="137">
        <v>16769.47</v>
      </c>
      <c r="E2360" s="137">
        <v>7837.04</v>
      </c>
      <c r="F2360" s="137">
        <v>4909.92</v>
      </c>
      <c r="G2360" s="137">
        <v>4022.51</v>
      </c>
      <c r="H2360" s="138">
        <v>137165.39000000001</v>
      </c>
      <c r="I2360" s="138">
        <v>90125.96</v>
      </c>
      <c r="J2360" s="138">
        <v>25980.1</v>
      </c>
      <c r="K2360" s="138">
        <v>21059.33</v>
      </c>
      <c r="L2360" s="43">
        <v>8.1794707882837088</v>
      </c>
      <c r="M2360" s="43">
        <v>11.5</v>
      </c>
      <c r="N2360" s="43">
        <v>5.2913489425489617</v>
      </c>
      <c r="O2360" s="43">
        <v>5.2353704527769978</v>
      </c>
      <c r="P2360" s="139"/>
      <c r="Q2360" s="139"/>
      <c r="R2360" s="139">
        <v>1</v>
      </c>
    </row>
    <row r="2361" spans="1:18" ht="48">
      <c r="A2361" s="135">
        <v>46</v>
      </c>
      <c r="B2361" s="132" t="s">
        <v>4308</v>
      </c>
      <c r="C2361" s="136" t="s">
        <v>4309</v>
      </c>
      <c r="D2361" s="137">
        <v>21017.71</v>
      </c>
      <c r="E2361" s="137">
        <v>9351.56</v>
      </c>
      <c r="F2361" s="137">
        <v>5776.28</v>
      </c>
      <c r="G2361" s="137">
        <v>5889.87</v>
      </c>
      <c r="H2361" s="138">
        <v>166886.18</v>
      </c>
      <c r="I2361" s="138">
        <v>107542.94</v>
      </c>
      <c r="J2361" s="138">
        <v>30694.73</v>
      </c>
      <c r="K2361" s="138">
        <v>28648.51</v>
      </c>
      <c r="L2361" s="43">
        <v>7.9402646625155642</v>
      </c>
      <c r="M2361" s="43">
        <v>11.5</v>
      </c>
      <c r="N2361" s="43">
        <v>5.31392695644948</v>
      </c>
      <c r="O2361" s="43">
        <v>4.8640309548428062</v>
      </c>
      <c r="P2361" s="139"/>
      <c r="Q2361" s="139"/>
      <c r="R2361" s="139">
        <v>1</v>
      </c>
    </row>
    <row r="2362" spans="1:18" ht="48">
      <c r="A2362" s="135">
        <v>47</v>
      </c>
      <c r="B2362" s="132" t="s">
        <v>4310</v>
      </c>
      <c r="C2362" s="136" t="s">
        <v>4311</v>
      </c>
      <c r="D2362" s="137">
        <v>43746.52</v>
      </c>
      <c r="E2362" s="137">
        <v>15145.2</v>
      </c>
      <c r="F2362" s="137">
        <v>20203.14</v>
      </c>
      <c r="G2362" s="137">
        <v>8398.18</v>
      </c>
      <c r="H2362" s="138">
        <v>312590.07</v>
      </c>
      <c r="I2362" s="138">
        <v>174169.8</v>
      </c>
      <c r="J2362" s="138">
        <v>98263.69</v>
      </c>
      <c r="K2362" s="138">
        <v>40156.58</v>
      </c>
      <c r="L2362" s="43">
        <v>7.1454842579478326</v>
      </c>
      <c r="M2362" s="43">
        <v>11.499999999999998</v>
      </c>
      <c r="N2362" s="43">
        <v>4.8637830555052339</v>
      </c>
      <c r="O2362" s="43">
        <v>4.7815812473655006</v>
      </c>
      <c r="P2362" s="139"/>
      <c r="Q2362" s="139"/>
      <c r="R2362" s="139">
        <v>1</v>
      </c>
    </row>
    <row r="2363" spans="1:18" ht="48">
      <c r="A2363" s="135">
        <v>48</v>
      </c>
      <c r="B2363" s="132" t="s">
        <v>4312</v>
      </c>
      <c r="C2363" s="136" t="s">
        <v>4313</v>
      </c>
      <c r="D2363" s="137">
        <v>67280.570000000007</v>
      </c>
      <c r="E2363" s="137">
        <v>35507.08</v>
      </c>
      <c r="F2363" s="137">
        <v>24439.87</v>
      </c>
      <c r="G2363" s="137">
        <v>7333.62</v>
      </c>
      <c r="H2363" s="138">
        <v>567516.68000000005</v>
      </c>
      <c r="I2363" s="138">
        <v>408331.42</v>
      </c>
      <c r="J2363" s="138">
        <v>119298.72</v>
      </c>
      <c r="K2363" s="138">
        <v>39886.54</v>
      </c>
      <c r="L2363" s="43">
        <v>8.4350753865491921</v>
      </c>
      <c r="M2363" s="43">
        <v>11.499999999999998</v>
      </c>
      <c r="N2363" s="43">
        <v>4.8813156534793354</v>
      </c>
      <c r="O2363" s="43">
        <v>5.4388610263416979</v>
      </c>
      <c r="P2363" s="139"/>
      <c r="Q2363" s="139"/>
      <c r="R2363" s="139">
        <v>1</v>
      </c>
    </row>
    <row r="2364" spans="1:18" ht="48">
      <c r="A2364" s="135">
        <v>49</v>
      </c>
      <c r="B2364" s="132" t="s">
        <v>4314</v>
      </c>
      <c r="C2364" s="136" t="s">
        <v>4315</v>
      </c>
      <c r="D2364" s="137">
        <v>16909.03</v>
      </c>
      <c r="E2364" s="137">
        <v>7832.4</v>
      </c>
      <c r="F2364" s="137">
        <v>5718.17</v>
      </c>
      <c r="G2364" s="137">
        <v>3358.46</v>
      </c>
      <c r="H2364" s="138">
        <v>145784.31</v>
      </c>
      <c r="I2364" s="138">
        <v>90072.6</v>
      </c>
      <c r="J2364" s="138">
        <v>30109.64</v>
      </c>
      <c r="K2364" s="138">
        <v>25602.07</v>
      </c>
      <c r="L2364" s="43">
        <v>8.6216837985384149</v>
      </c>
      <c r="M2364" s="43">
        <v>11.500000000000002</v>
      </c>
      <c r="N2364" s="43">
        <v>5.2656077031637745</v>
      </c>
      <c r="O2364" s="43">
        <v>7.6231576377268153</v>
      </c>
      <c r="P2364" s="139"/>
      <c r="Q2364" s="139"/>
      <c r="R2364" s="139">
        <v>1</v>
      </c>
    </row>
    <row r="2365" spans="1:18" ht="48">
      <c r="A2365" s="135">
        <v>50</v>
      </c>
      <c r="B2365" s="132" t="s">
        <v>4316</v>
      </c>
      <c r="C2365" s="136" t="s">
        <v>4317</v>
      </c>
      <c r="D2365" s="137">
        <v>30593.45</v>
      </c>
      <c r="E2365" s="137">
        <v>11943.8</v>
      </c>
      <c r="F2365" s="137">
        <v>14273.88</v>
      </c>
      <c r="G2365" s="137">
        <v>4375.7700000000004</v>
      </c>
      <c r="H2365" s="138">
        <v>240872.39</v>
      </c>
      <c r="I2365" s="138">
        <v>137353.70000000001</v>
      </c>
      <c r="J2365" s="138">
        <v>69178.89</v>
      </c>
      <c r="K2365" s="138">
        <v>34339.800000000003</v>
      </c>
      <c r="L2365" s="43">
        <v>7.8733320367595026</v>
      </c>
      <c r="M2365" s="43">
        <v>11.500000000000002</v>
      </c>
      <c r="N2365" s="43">
        <v>4.8465371713927823</v>
      </c>
      <c r="O2365" s="43">
        <v>7.8477159448508491</v>
      </c>
      <c r="P2365" s="139"/>
      <c r="Q2365" s="139"/>
      <c r="R2365" s="139">
        <v>1</v>
      </c>
    </row>
    <row r="2366" spans="1:18" ht="48">
      <c r="A2366" s="135">
        <v>51</v>
      </c>
      <c r="B2366" s="132" t="s">
        <v>4318</v>
      </c>
      <c r="C2366" s="136" t="s">
        <v>4319</v>
      </c>
      <c r="D2366" s="137">
        <v>54652.28</v>
      </c>
      <c r="E2366" s="137">
        <v>18531.8</v>
      </c>
      <c r="F2366" s="137">
        <v>20213.66</v>
      </c>
      <c r="G2366" s="137">
        <v>15906.82</v>
      </c>
      <c r="H2366" s="138">
        <v>445257.72</v>
      </c>
      <c r="I2366" s="138">
        <v>213115.7</v>
      </c>
      <c r="J2366" s="138">
        <v>98188.58</v>
      </c>
      <c r="K2366" s="138">
        <v>133953.44</v>
      </c>
      <c r="L2366" s="43">
        <v>8.1471023715753486</v>
      </c>
      <c r="M2366" s="43">
        <v>11.500000000000002</v>
      </c>
      <c r="N2366" s="43">
        <v>4.8575359435154253</v>
      </c>
      <c r="O2366" s="43">
        <v>8.4211325708092506</v>
      </c>
      <c r="P2366" s="139"/>
      <c r="Q2366" s="139"/>
      <c r="R2366" s="139">
        <v>1</v>
      </c>
    </row>
    <row r="2367" spans="1:18" ht="48">
      <c r="A2367" s="135">
        <v>52</v>
      </c>
      <c r="B2367" s="132" t="s">
        <v>4320</v>
      </c>
      <c r="C2367" s="136" t="s">
        <v>4321</v>
      </c>
      <c r="D2367" s="137">
        <v>192862.3</v>
      </c>
      <c r="E2367" s="137">
        <v>50605.599999999999</v>
      </c>
      <c r="F2367" s="137">
        <v>105497.3</v>
      </c>
      <c r="G2367" s="137">
        <v>36759.4</v>
      </c>
      <c r="H2367" s="138">
        <v>1371301.39</v>
      </c>
      <c r="I2367" s="138">
        <v>581964.4</v>
      </c>
      <c r="J2367" s="138">
        <v>501665.65</v>
      </c>
      <c r="K2367" s="138">
        <v>287671.34000000003</v>
      </c>
      <c r="L2367" s="43">
        <v>7.1102615181919946</v>
      </c>
      <c r="M2367" s="43">
        <v>11.5</v>
      </c>
      <c r="N2367" s="43">
        <v>4.755246342797399</v>
      </c>
      <c r="O2367" s="43">
        <v>7.8257898659934604</v>
      </c>
      <c r="P2367" s="139"/>
      <c r="Q2367" s="139"/>
      <c r="R2367" s="139">
        <v>1</v>
      </c>
    </row>
    <row r="2368" spans="1:18" ht="48">
      <c r="A2368" s="135">
        <v>53</v>
      </c>
      <c r="B2368" s="132" t="s">
        <v>4322</v>
      </c>
      <c r="C2368" s="136" t="s">
        <v>4323</v>
      </c>
      <c r="D2368" s="137">
        <v>299009.69</v>
      </c>
      <c r="E2368" s="137">
        <v>62952</v>
      </c>
      <c r="F2368" s="137">
        <v>163700.57</v>
      </c>
      <c r="G2368" s="137">
        <v>72357.119999999995</v>
      </c>
      <c r="H2368" s="138">
        <v>2153474.87</v>
      </c>
      <c r="I2368" s="138">
        <v>723948</v>
      </c>
      <c r="J2368" s="138">
        <v>769171.35</v>
      </c>
      <c r="K2368" s="138">
        <v>660355.52</v>
      </c>
      <c r="L2368" s="43">
        <v>7.2020236869246617</v>
      </c>
      <c r="M2368" s="43">
        <v>11.5</v>
      </c>
      <c r="N2368" s="43">
        <v>4.6986479643901049</v>
      </c>
      <c r="O2368" s="43">
        <v>9.1263378089122398</v>
      </c>
      <c r="P2368" s="139"/>
      <c r="Q2368" s="139"/>
      <c r="R2368" s="139">
        <v>1</v>
      </c>
    </row>
    <row r="2369" spans="1:18" ht="12.75" customHeight="1">
      <c r="A2369" s="628" t="s">
        <v>4324</v>
      </c>
      <c r="B2369" s="629"/>
      <c r="C2369" s="629"/>
      <c r="D2369" s="629"/>
      <c r="E2369" s="629"/>
      <c r="F2369" s="629"/>
      <c r="G2369" s="629"/>
      <c r="H2369" s="629"/>
      <c r="I2369" s="629"/>
      <c r="J2369" s="629"/>
      <c r="K2369" s="629"/>
      <c r="L2369" s="629"/>
      <c r="M2369" s="629"/>
      <c r="N2369" s="629"/>
      <c r="O2369" s="629"/>
      <c r="P2369" s="629"/>
      <c r="Q2369" s="629"/>
      <c r="R2369" s="629"/>
    </row>
    <row r="2370" spans="1:18" ht="36">
      <c r="A2370" s="135">
        <v>54</v>
      </c>
      <c r="B2370" s="132" t="s">
        <v>4325</v>
      </c>
      <c r="C2370" s="136" t="s">
        <v>4326</v>
      </c>
      <c r="D2370" s="137">
        <v>93069.51</v>
      </c>
      <c r="E2370" s="137">
        <v>37975.9</v>
      </c>
      <c r="F2370" s="137">
        <v>45798.92</v>
      </c>
      <c r="G2370" s="137">
        <v>9294.69</v>
      </c>
      <c r="H2370" s="138">
        <v>712173.91</v>
      </c>
      <c r="I2370" s="138">
        <v>436738.2</v>
      </c>
      <c r="J2370" s="138">
        <v>228646.14</v>
      </c>
      <c r="K2370" s="138">
        <v>46789.57</v>
      </c>
      <c r="L2370" s="43">
        <v>7.6520646772503698</v>
      </c>
      <c r="M2370" s="43">
        <v>11.500404203718674</v>
      </c>
      <c r="N2370" s="43">
        <v>4.9923915236429162</v>
      </c>
      <c r="O2370" s="43">
        <v>5.0340108169288049</v>
      </c>
      <c r="P2370" s="139"/>
      <c r="Q2370" s="139"/>
      <c r="R2370" s="139">
        <v>2</v>
      </c>
    </row>
    <row r="2371" spans="1:18" ht="36">
      <c r="A2371" s="135">
        <v>55</v>
      </c>
      <c r="B2371" s="132" t="s">
        <v>4327</v>
      </c>
      <c r="C2371" s="136" t="s">
        <v>4328</v>
      </c>
      <c r="D2371" s="137">
        <v>123392.83</v>
      </c>
      <c r="E2371" s="137">
        <v>45162.87</v>
      </c>
      <c r="F2371" s="137">
        <v>63149.99</v>
      </c>
      <c r="G2371" s="137">
        <v>15079.97</v>
      </c>
      <c r="H2371" s="138">
        <v>898096.02</v>
      </c>
      <c r="I2371" s="138">
        <v>519391.26</v>
      </c>
      <c r="J2371" s="138">
        <v>306323.19</v>
      </c>
      <c r="K2371" s="138">
        <v>72381.570000000007</v>
      </c>
      <c r="L2371" s="43">
        <v>7.27834850695944</v>
      </c>
      <c r="M2371" s="43">
        <v>11.500404203718674</v>
      </c>
      <c r="N2371" s="43">
        <v>4.850724283566791</v>
      </c>
      <c r="O2371" s="43">
        <v>4.7998484081864889</v>
      </c>
      <c r="P2371" s="139"/>
      <c r="Q2371" s="139"/>
      <c r="R2371" s="139">
        <v>2</v>
      </c>
    </row>
    <row r="2372" spans="1:18" ht="36">
      <c r="A2372" s="135">
        <v>56</v>
      </c>
      <c r="B2372" s="132" t="s">
        <v>4329</v>
      </c>
      <c r="C2372" s="136" t="s">
        <v>4330</v>
      </c>
      <c r="D2372" s="137">
        <v>166641.54</v>
      </c>
      <c r="E2372" s="137">
        <v>55714.48</v>
      </c>
      <c r="F2372" s="137">
        <v>92020.17</v>
      </c>
      <c r="G2372" s="137">
        <v>18906.89</v>
      </c>
      <c r="H2372" s="138">
        <v>1168452.8400000001</v>
      </c>
      <c r="I2372" s="138">
        <v>640739.04</v>
      </c>
      <c r="J2372" s="138">
        <v>437600.01</v>
      </c>
      <c r="K2372" s="138">
        <v>90113.79</v>
      </c>
      <c r="L2372" s="43">
        <v>7.0117741350686034</v>
      </c>
      <c r="M2372" s="43">
        <v>11.500404203718674</v>
      </c>
      <c r="N2372" s="43">
        <v>4.7554792606881735</v>
      </c>
      <c r="O2372" s="43">
        <v>4.7661878817722005</v>
      </c>
      <c r="P2372" s="139"/>
      <c r="Q2372" s="139"/>
      <c r="R2372" s="139">
        <v>2</v>
      </c>
    </row>
    <row r="2373" spans="1:18" ht="48">
      <c r="A2373" s="135">
        <v>57</v>
      </c>
      <c r="B2373" s="132" t="s">
        <v>4331</v>
      </c>
      <c r="C2373" s="136" t="s">
        <v>4332</v>
      </c>
      <c r="D2373" s="137">
        <v>215543.22</v>
      </c>
      <c r="E2373" s="137">
        <v>63532.32</v>
      </c>
      <c r="F2373" s="137">
        <v>131207.35999999999</v>
      </c>
      <c r="G2373" s="137">
        <v>20803.54</v>
      </c>
      <c r="H2373" s="138">
        <v>1449413.59</v>
      </c>
      <c r="I2373" s="138">
        <v>730647.36</v>
      </c>
      <c r="J2373" s="138">
        <v>616917.16</v>
      </c>
      <c r="K2373" s="138">
        <v>101849.07</v>
      </c>
      <c r="L2373" s="43">
        <v>6.7244684847892691</v>
      </c>
      <c r="M2373" s="43">
        <v>11.500404203718674</v>
      </c>
      <c r="N2373" s="43">
        <v>4.7018487377537364</v>
      </c>
      <c r="O2373" s="43">
        <v>4.8957566837182522</v>
      </c>
      <c r="P2373" s="139"/>
      <c r="Q2373" s="139"/>
      <c r="R2373" s="139">
        <v>2</v>
      </c>
    </row>
    <row r="2374" spans="1:18" ht="36">
      <c r="A2374" s="135">
        <v>58</v>
      </c>
      <c r="B2374" s="132" t="s">
        <v>4333</v>
      </c>
      <c r="C2374" s="136" t="s">
        <v>4334</v>
      </c>
      <c r="D2374" s="137">
        <v>338785.29</v>
      </c>
      <c r="E2374" s="137">
        <v>76087.87</v>
      </c>
      <c r="F2374" s="137">
        <v>206479.7</v>
      </c>
      <c r="G2374" s="137">
        <v>56217.72</v>
      </c>
      <c r="H2374" s="138">
        <v>2403759.64</v>
      </c>
      <c r="I2374" s="138">
        <v>875041.26</v>
      </c>
      <c r="J2374" s="138">
        <v>965602.83</v>
      </c>
      <c r="K2374" s="138">
        <v>563115.55000000005</v>
      </c>
      <c r="L2374" s="43">
        <v>7.0952302563077643</v>
      </c>
      <c r="M2374" s="43">
        <v>11.500404203718675</v>
      </c>
      <c r="N2374" s="43">
        <v>4.6765024842635858</v>
      </c>
      <c r="O2374" s="43">
        <v>10.016691356390833</v>
      </c>
      <c r="P2374" s="139"/>
      <c r="Q2374" s="139"/>
      <c r="R2374" s="139">
        <v>2</v>
      </c>
    </row>
    <row r="2375" spans="1:18" ht="36">
      <c r="A2375" s="135">
        <v>59</v>
      </c>
      <c r="B2375" s="132" t="s">
        <v>4335</v>
      </c>
      <c r="C2375" s="136" t="s">
        <v>4336</v>
      </c>
      <c r="D2375" s="137">
        <v>412825.09</v>
      </c>
      <c r="E2375" s="137">
        <v>88037.29</v>
      </c>
      <c r="F2375" s="137">
        <v>261099.87</v>
      </c>
      <c r="G2375" s="137">
        <v>63687.93</v>
      </c>
      <c r="H2375" s="138">
        <v>2877609.7</v>
      </c>
      <c r="I2375" s="138">
        <v>1012464.42</v>
      </c>
      <c r="J2375" s="138">
        <v>1232396.19</v>
      </c>
      <c r="K2375" s="138">
        <v>632749.09</v>
      </c>
      <c r="L2375" s="43">
        <v>6.9705300615328394</v>
      </c>
      <c r="M2375" s="43">
        <v>11.500404203718675</v>
      </c>
      <c r="N2375" s="43">
        <v>4.7200183975579915</v>
      </c>
      <c r="O2375" s="43">
        <v>9.9351492504152663</v>
      </c>
      <c r="P2375" s="139"/>
      <c r="Q2375" s="139"/>
      <c r="R2375" s="139">
        <v>2</v>
      </c>
    </row>
    <row r="2376" spans="1:18" ht="12.75" customHeight="1">
      <c r="A2376" s="628" t="s">
        <v>4337</v>
      </c>
      <c r="B2376" s="629"/>
      <c r="C2376" s="629"/>
      <c r="D2376" s="629"/>
      <c r="E2376" s="629"/>
      <c r="F2376" s="629"/>
      <c r="G2376" s="629"/>
      <c r="H2376" s="629"/>
      <c r="I2376" s="629"/>
      <c r="J2376" s="629"/>
      <c r="K2376" s="629"/>
      <c r="L2376" s="629"/>
      <c r="M2376" s="629"/>
      <c r="N2376" s="629"/>
      <c r="O2376" s="629"/>
      <c r="P2376" s="629"/>
      <c r="Q2376" s="629"/>
      <c r="R2376" s="629"/>
    </row>
    <row r="2377" spans="1:18" ht="36">
      <c r="A2377" s="135">
        <v>60</v>
      </c>
      <c r="B2377" s="132" t="s">
        <v>4338</v>
      </c>
      <c r="C2377" s="136" t="s">
        <v>4339</v>
      </c>
      <c r="D2377" s="137">
        <v>265955.77</v>
      </c>
      <c r="E2377" s="137">
        <v>72431.399999999994</v>
      </c>
      <c r="F2377" s="137">
        <v>182370.28</v>
      </c>
      <c r="G2377" s="137">
        <v>11154.09</v>
      </c>
      <c r="H2377" s="138">
        <v>1774995.91</v>
      </c>
      <c r="I2377" s="138">
        <v>832961.1</v>
      </c>
      <c r="J2377" s="138">
        <v>879880.33</v>
      </c>
      <c r="K2377" s="138">
        <v>62154.48</v>
      </c>
      <c r="L2377" s="43">
        <v>6.6740267000035374</v>
      </c>
      <c r="M2377" s="43">
        <v>11.5</v>
      </c>
      <c r="N2377" s="43">
        <v>4.8246914464352413</v>
      </c>
      <c r="O2377" s="43">
        <v>5.572348797615942</v>
      </c>
      <c r="P2377" s="139"/>
      <c r="Q2377" s="139"/>
      <c r="R2377" s="139">
        <v>3</v>
      </c>
    </row>
    <row r="2378" spans="1:18" ht="12.75" customHeight="1">
      <c r="A2378" s="628" t="s">
        <v>4340</v>
      </c>
      <c r="B2378" s="629"/>
      <c r="C2378" s="629"/>
      <c r="D2378" s="629"/>
      <c r="E2378" s="629"/>
      <c r="F2378" s="629"/>
      <c r="G2378" s="629"/>
      <c r="H2378" s="629"/>
      <c r="I2378" s="629"/>
      <c r="J2378" s="629"/>
      <c r="K2378" s="629"/>
      <c r="L2378" s="629"/>
      <c r="M2378" s="629"/>
      <c r="N2378" s="629"/>
      <c r="O2378" s="629"/>
      <c r="P2378" s="629"/>
      <c r="Q2378" s="629"/>
      <c r="R2378" s="629"/>
    </row>
    <row r="2379" spans="1:18" ht="48">
      <c r="A2379" s="135">
        <v>61</v>
      </c>
      <c r="B2379" s="132" t="s">
        <v>4341</v>
      </c>
      <c r="C2379" s="136" t="s">
        <v>4342</v>
      </c>
      <c r="D2379" s="137">
        <v>43087.82</v>
      </c>
      <c r="E2379" s="137">
        <v>15375.91</v>
      </c>
      <c r="F2379" s="137">
        <v>22094.11</v>
      </c>
      <c r="G2379" s="137">
        <v>5617.8</v>
      </c>
      <c r="H2379" s="138">
        <v>322500.46000000002</v>
      </c>
      <c r="I2379" s="138">
        <v>176829.18</v>
      </c>
      <c r="J2379" s="138">
        <v>116629.95</v>
      </c>
      <c r="K2379" s="138">
        <v>29041.33</v>
      </c>
      <c r="L2379" s="43">
        <v>7.4847244534534356</v>
      </c>
      <c r="M2379" s="43">
        <v>11.500404203718674</v>
      </c>
      <c r="N2379" s="43">
        <v>5.2787801816864315</v>
      </c>
      <c r="O2379" s="43">
        <v>5.1695200968350603</v>
      </c>
      <c r="P2379" s="139"/>
      <c r="Q2379" s="139"/>
      <c r="R2379" s="139">
        <v>4</v>
      </c>
    </row>
    <row r="2380" spans="1:18" ht="48">
      <c r="A2380" s="135">
        <v>62</v>
      </c>
      <c r="B2380" s="132" t="s">
        <v>4343</v>
      </c>
      <c r="C2380" s="136" t="s">
        <v>4344</v>
      </c>
      <c r="D2380" s="137">
        <v>67971.75</v>
      </c>
      <c r="E2380" s="137">
        <v>19717.78</v>
      </c>
      <c r="F2380" s="137">
        <v>40110.269999999997</v>
      </c>
      <c r="G2380" s="137">
        <v>8143.7</v>
      </c>
      <c r="H2380" s="138">
        <v>458284.67</v>
      </c>
      <c r="I2380" s="138">
        <v>226762.44</v>
      </c>
      <c r="J2380" s="138">
        <v>190910.78</v>
      </c>
      <c r="K2380" s="138">
        <v>40611.449999999997</v>
      </c>
      <c r="L2380" s="43">
        <v>6.7422814625193555</v>
      </c>
      <c r="M2380" s="43">
        <v>11.500404203718675</v>
      </c>
      <c r="N2380" s="43">
        <v>4.7596483394402487</v>
      </c>
      <c r="O2380" s="43">
        <v>4.986854869408254</v>
      </c>
      <c r="P2380" s="139"/>
      <c r="Q2380" s="139"/>
      <c r="R2380" s="139">
        <v>4</v>
      </c>
    </row>
    <row r="2381" spans="1:18" ht="12.75" customHeight="1">
      <c r="A2381" s="628" t="s">
        <v>4345</v>
      </c>
      <c r="B2381" s="629"/>
      <c r="C2381" s="629"/>
      <c r="D2381" s="629"/>
      <c r="E2381" s="629"/>
      <c r="F2381" s="629"/>
      <c r="G2381" s="629"/>
      <c r="H2381" s="629"/>
      <c r="I2381" s="629"/>
      <c r="J2381" s="629"/>
      <c r="K2381" s="629"/>
      <c r="L2381" s="629"/>
      <c r="M2381" s="629"/>
      <c r="N2381" s="629"/>
      <c r="O2381" s="629"/>
      <c r="P2381" s="629"/>
      <c r="Q2381" s="629"/>
      <c r="R2381" s="629"/>
    </row>
    <row r="2382" spans="1:18" ht="48">
      <c r="A2382" s="135">
        <v>63</v>
      </c>
      <c r="B2382" s="132" t="s">
        <v>4346</v>
      </c>
      <c r="C2382" s="136" t="s">
        <v>4347</v>
      </c>
      <c r="D2382" s="137">
        <v>97111.07</v>
      </c>
      <c r="E2382" s="137">
        <v>25358.5</v>
      </c>
      <c r="F2382" s="137">
        <v>59186.400000000001</v>
      </c>
      <c r="G2382" s="137">
        <v>12566.17</v>
      </c>
      <c r="H2382" s="138">
        <v>628093.98</v>
      </c>
      <c r="I2382" s="138">
        <v>291633</v>
      </c>
      <c r="J2382" s="138">
        <v>278528.64000000001</v>
      </c>
      <c r="K2382" s="138">
        <v>57932.34</v>
      </c>
      <c r="L2382" s="43">
        <v>6.4677897174853491</v>
      </c>
      <c r="M2382" s="43">
        <v>11.500404203718674</v>
      </c>
      <c r="N2382" s="43">
        <v>4.7059567738534529</v>
      </c>
      <c r="O2382" s="43">
        <v>4.6101827366651884</v>
      </c>
      <c r="P2382" s="139"/>
      <c r="Q2382" s="139"/>
      <c r="R2382" s="139">
        <v>5</v>
      </c>
    </row>
    <row r="2383" spans="1:18" ht="12.75" customHeight="1">
      <c r="A2383" s="628" t="s">
        <v>4348</v>
      </c>
      <c r="B2383" s="629"/>
      <c r="C2383" s="629"/>
      <c r="D2383" s="629"/>
      <c r="E2383" s="629"/>
      <c r="F2383" s="629"/>
      <c r="G2383" s="629"/>
      <c r="H2383" s="629"/>
      <c r="I2383" s="629"/>
      <c r="J2383" s="629"/>
      <c r="K2383" s="629"/>
      <c r="L2383" s="629"/>
      <c r="M2383" s="629"/>
      <c r="N2383" s="629"/>
      <c r="O2383" s="629"/>
      <c r="P2383" s="629"/>
      <c r="Q2383" s="629"/>
      <c r="R2383" s="629"/>
    </row>
    <row r="2384" spans="1:18" ht="48">
      <c r="A2384" s="135">
        <v>64</v>
      </c>
      <c r="B2384" s="132" t="s">
        <v>4349</v>
      </c>
      <c r="C2384" s="136" t="s">
        <v>4350</v>
      </c>
      <c r="D2384" s="137">
        <v>4425.26</v>
      </c>
      <c r="E2384" s="137">
        <v>1457.55</v>
      </c>
      <c r="F2384" s="137">
        <v>1406.09</v>
      </c>
      <c r="G2384" s="137">
        <v>1561.62</v>
      </c>
      <c r="H2384" s="138">
        <v>30481.13</v>
      </c>
      <c r="I2384" s="138">
        <v>16762.439999999999</v>
      </c>
      <c r="J2384" s="138">
        <v>7408.23</v>
      </c>
      <c r="K2384" s="138">
        <v>6310.46</v>
      </c>
      <c r="L2384" s="43">
        <v>6.887986242616253</v>
      </c>
      <c r="M2384" s="43">
        <v>11.50042194092827</v>
      </c>
      <c r="N2384" s="43">
        <v>5.2686741247004107</v>
      </c>
      <c r="O2384" s="43">
        <v>4.0409702744585756</v>
      </c>
      <c r="P2384" s="139"/>
      <c r="Q2384" s="139"/>
      <c r="R2384" s="139">
        <v>6</v>
      </c>
    </row>
    <row r="2385" spans="1:18" ht="48">
      <c r="A2385" s="135">
        <v>65</v>
      </c>
      <c r="B2385" s="132" t="s">
        <v>4351</v>
      </c>
      <c r="C2385" s="136" t="s">
        <v>4352</v>
      </c>
      <c r="D2385" s="137">
        <v>6671.2</v>
      </c>
      <c r="E2385" s="137">
        <v>2343.9</v>
      </c>
      <c r="F2385" s="137">
        <v>2015</v>
      </c>
      <c r="G2385" s="137">
        <v>2312.3000000000002</v>
      </c>
      <c r="H2385" s="138">
        <v>46912.12</v>
      </c>
      <c r="I2385" s="138">
        <v>26954.85</v>
      </c>
      <c r="J2385" s="138">
        <v>10626.02</v>
      </c>
      <c r="K2385" s="138">
        <v>9331.25</v>
      </c>
      <c r="L2385" s="43">
        <v>7.0320362153735463</v>
      </c>
      <c r="M2385" s="43">
        <v>11.499999999999998</v>
      </c>
      <c r="N2385" s="43">
        <v>5.2734590570719604</v>
      </c>
      <c r="O2385" s="43">
        <v>4.0354841499805385</v>
      </c>
      <c r="P2385" s="139"/>
      <c r="Q2385" s="139"/>
      <c r="R2385" s="139">
        <v>6</v>
      </c>
    </row>
    <row r="2386" spans="1:18" ht="48">
      <c r="A2386" s="135">
        <v>66</v>
      </c>
      <c r="B2386" s="132" t="s">
        <v>4353</v>
      </c>
      <c r="C2386" s="136" t="s">
        <v>4354</v>
      </c>
      <c r="D2386" s="137">
        <v>14041.62</v>
      </c>
      <c r="E2386" s="137">
        <v>5851.01</v>
      </c>
      <c r="F2386" s="137">
        <v>5836.2</v>
      </c>
      <c r="G2386" s="137">
        <v>2354.41</v>
      </c>
      <c r="H2386" s="138">
        <v>111942.93</v>
      </c>
      <c r="I2386" s="138">
        <v>67288.98</v>
      </c>
      <c r="J2386" s="138">
        <v>30082.22</v>
      </c>
      <c r="K2386" s="138">
        <v>14571.73</v>
      </c>
      <c r="L2386" s="43">
        <v>7.9722232904750294</v>
      </c>
      <c r="M2386" s="43">
        <v>11.500404203718674</v>
      </c>
      <c r="N2386" s="43">
        <v>5.1544189712484156</v>
      </c>
      <c r="O2386" s="43">
        <v>6.1891216907845283</v>
      </c>
      <c r="P2386" s="139"/>
      <c r="Q2386" s="139"/>
      <c r="R2386" s="139">
        <v>6</v>
      </c>
    </row>
    <row r="2387" spans="1:18" ht="12.75" customHeight="1">
      <c r="A2387" s="628" t="s">
        <v>4355</v>
      </c>
      <c r="B2387" s="629"/>
      <c r="C2387" s="629"/>
      <c r="D2387" s="629"/>
      <c r="E2387" s="629"/>
      <c r="F2387" s="629"/>
      <c r="G2387" s="629"/>
      <c r="H2387" s="629"/>
      <c r="I2387" s="629"/>
      <c r="J2387" s="629"/>
      <c r="K2387" s="629"/>
      <c r="L2387" s="629"/>
      <c r="M2387" s="629"/>
      <c r="N2387" s="629"/>
      <c r="O2387" s="629"/>
      <c r="P2387" s="629"/>
      <c r="Q2387" s="629"/>
      <c r="R2387" s="629"/>
    </row>
    <row r="2388" spans="1:18" ht="12.75" customHeight="1">
      <c r="A2388" s="628" t="s">
        <v>4356</v>
      </c>
      <c r="B2388" s="629"/>
      <c r="C2388" s="629"/>
      <c r="D2388" s="629"/>
      <c r="E2388" s="629"/>
      <c r="F2388" s="629"/>
      <c r="G2388" s="629"/>
      <c r="H2388" s="629"/>
      <c r="I2388" s="629"/>
      <c r="J2388" s="629"/>
      <c r="K2388" s="629"/>
      <c r="L2388" s="629"/>
      <c r="M2388" s="629"/>
      <c r="N2388" s="629"/>
      <c r="O2388" s="629"/>
      <c r="P2388" s="629"/>
      <c r="Q2388" s="629"/>
      <c r="R2388" s="629"/>
    </row>
    <row r="2389" spans="1:18" ht="24">
      <c r="A2389" s="135">
        <v>67</v>
      </c>
      <c r="B2389" s="132" t="s">
        <v>4357</v>
      </c>
      <c r="C2389" s="136" t="s">
        <v>4358</v>
      </c>
      <c r="D2389" s="137">
        <v>9756.5</v>
      </c>
      <c r="E2389" s="137">
        <v>3599</v>
      </c>
      <c r="F2389" s="137">
        <v>4233.3900000000003</v>
      </c>
      <c r="G2389" s="137">
        <v>1924.11</v>
      </c>
      <c r="H2389" s="138">
        <v>73090.66</v>
      </c>
      <c r="I2389" s="138">
        <v>41388.5</v>
      </c>
      <c r="J2389" s="138">
        <v>21437.42</v>
      </c>
      <c r="K2389" s="138">
        <v>10264.74</v>
      </c>
      <c r="L2389" s="43">
        <v>7.4914836263004156</v>
      </c>
      <c r="M2389" s="43">
        <v>11.5</v>
      </c>
      <c r="N2389" s="43">
        <v>5.0638896959646988</v>
      </c>
      <c r="O2389" s="43">
        <v>5.334798946006206</v>
      </c>
      <c r="P2389" s="139"/>
      <c r="Q2389" s="139"/>
      <c r="R2389" s="139">
        <v>1</v>
      </c>
    </row>
    <row r="2390" spans="1:18" ht="12.75" customHeight="1">
      <c r="A2390" s="628" t="s">
        <v>4359</v>
      </c>
      <c r="B2390" s="629"/>
      <c r="C2390" s="629"/>
      <c r="D2390" s="629"/>
      <c r="E2390" s="629"/>
      <c r="F2390" s="629"/>
      <c r="G2390" s="629"/>
      <c r="H2390" s="629"/>
      <c r="I2390" s="629"/>
      <c r="J2390" s="629"/>
      <c r="K2390" s="629"/>
      <c r="L2390" s="629"/>
      <c r="M2390" s="629"/>
      <c r="N2390" s="629"/>
      <c r="O2390" s="629"/>
      <c r="P2390" s="629"/>
      <c r="Q2390" s="629"/>
      <c r="R2390" s="629"/>
    </row>
    <row r="2391" spans="1:18" ht="12.75" customHeight="1">
      <c r="A2391" s="628" t="s">
        <v>4360</v>
      </c>
      <c r="B2391" s="629"/>
      <c r="C2391" s="629"/>
      <c r="D2391" s="629"/>
      <c r="E2391" s="629"/>
      <c r="F2391" s="629"/>
      <c r="G2391" s="629"/>
      <c r="H2391" s="629"/>
      <c r="I2391" s="629"/>
      <c r="J2391" s="629"/>
      <c r="K2391" s="629"/>
      <c r="L2391" s="629"/>
      <c r="M2391" s="629"/>
      <c r="N2391" s="629"/>
      <c r="O2391" s="629"/>
      <c r="P2391" s="629"/>
      <c r="Q2391" s="629"/>
      <c r="R2391" s="629"/>
    </row>
    <row r="2392" spans="1:18" ht="24">
      <c r="A2392" s="135">
        <v>68</v>
      </c>
      <c r="B2392" s="132" t="s">
        <v>4361</v>
      </c>
      <c r="C2392" s="136" t="s">
        <v>4362</v>
      </c>
      <c r="D2392" s="137">
        <v>3962.72</v>
      </c>
      <c r="E2392" s="137">
        <v>878.09</v>
      </c>
      <c r="F2392" s="137">
        <v>1703.87</v>
      </c>
      <c r="G2392" s="137">
        <v>1380.76</v>
      </c>
      <c r="H2392" s="138">
        <v>25749.59</v>
      </c>
      <c r="I2392" s="138">
        <v>10098.35</v>
      </c>
      <c r="J2392" s="138">
        <v>10346.01</v>
      </c>
      <c r="K2392" s="138">
        <v>5305.23</v>
      </c>
      <c r="L2392" s="43">
        <v>6.4979584729680626</v>
      </c>
      <c r="M2392" s="43">
        <v>11.500358733159471</v>
      </c>
      <c r="N2392" s="43">
        <v>6.0720653570988405</v>
      </c>
      <c r="O2392" s="43">
        <v>3.842253541527854</v>
      </c>
      <c r="P2392" s="139"/>
      <c r="Q2392" s="139"/>
      <c r="R2392" s="139">
        <v>1</v>
      </c>
    </row>
    <row r="2393" spans="1:18" ht="24">
      <c r="A2393" s="135">
        <v>69</v>
      </c>
      <c r="B2393" s="132" t="s">
        <v>4363</v>
      </c>
      <c r="C2393" s="136" t="s">
        <v>4364</v>
      </c>
      <c r="D2393" s="137">
        <v>6299.44</v>
      </c>
      <c r="E2393" s="137">
        <v>1433.85</v>
      </c>
      <c r="F2393" s="137">
        <v>3248.2</v>
      </c>
      <c r="G2393" s="137">
        <v>1617.39</v>
      </c>
      <c r="H2393" s="138">
        <v>42510.15</v>
      </c>
      <c r="I2393" s="138">
        <v>16489.88</v>
      </c>
      <c r="J2393" s="138">
        <v>19749.189999999999</v>
      </c>
      <c r="K2393" s="138">
        <v>6271.08</v>
      </c>
      <c r="L2393" s="43">
        <v>6.7482427009384969</v>
      </c>
      <c r="M2393" s="43">
        <v>11.500421940928272</v>
      </c>
      <c r="N2393" s="43">
        <v>6.080041253617388</v>
      </c>
      <c r="O2393" s="43">
        <v>3.8772837720030418</v>
      </c>
      <c r="P2393" s="139"/>
      <c r="Q2393" s="139"/>
      <c r="R2393" s="139">
        <v>1</v>
      </c>
    </row>
    <row r="2394" spans="1:18" ht="24">
      <c r="A2394" s="135">
        <v>70</v>
      </c>
      <c r="B2394" s="132" t="s">
        <v>4365</v>
      </c>
      <c r="C2394" s="136" t="s">
        <v>4366</v>
      </c>
      <c r="D2394" s="137">
        <v>10334.64</v>
      </c>
      <c r="E2394" s="137">
        <v>2367.94</v>
      </c>
      <c r="F2394" s="137">
        <v>5702.59</v>
      </c>
      <c r="G2394" s="137">
        <v>2264.11</v>
      </c>
      <c r="H2394" s="138">
        <v>70867.490000000005</v>
      </c>
      <c r="I2394" s="138">
        <v>27231.31</v>
      </c>
      <c r="J2394" s="138">
        <v>34716.620000000003</v>
      </c>
      <c r="K2394" s="138">
        <v>8919.56</v>
      </c>
      <c r="L2394" s="43">
        <v>6.8572770798015226</v>
      </c>
      <c r="M2394" s="43">
        <v>11.5</v>
      </c>
      <c r="N2394" s="43">
        <v>6.0878688455596492</v>
      </c>
      <c r="O2394" s="43">
        <v>3.9395435734129522</v>
      </c>
      <c r="P2394" s="139"/>
      <c r="Q2394" s="139"/>
      <c r="R2394" s="139">
        <v>1</v>
      </c>
    </row>
    <row r="2395" spans="1:18" ht="12.75" customHeight="1">
      <c r="A2395" s="628" t="s">
        <v>4367</v>
      </c>
      <c r="B2395" s="629"/>
      <c r="C2395" s="629"/>
      <c r="D2395" s="629"/>
      <c r="E2395" s="629"/>
      <c r="F2395" s="629"/>
      <c r="G2395" s="629"/>
      <c r="H2395" s="629"/>
      <c r="I2395" s="629"/>
      <c r="J2395" s="629"/>
      <c r="K2395" s="629"/>
      <c r="L2395" s="629"/>
      <c r="M2395" s="629"/>
      <c r="N2395" s="629"/>
      <c r="O2395" s="629"/>
      <c r="P2395" s="629"/>
      <c r="Q2395" s="629"/>
      <c r="R2395" s="629"/>
    </row>
    <row r="2396" spans="1:18" ht="24">
      <c r="A2396" s="135">
        <v>71</v>
      </c>
      <c r="B2396" s="132" t="s">
        <v>4368</v>
      </c>
      <c r="C2396" s="136" t="s">
        <v>4369</v>
      </c>
      <c r="D2396" s="137">
        <v>999.56</v>
      </c>
      <c r="E2396" s="137">
        <v>336.33</v>
      </c>
      <c r="F2396" s="137">
        <v>67.66</v>
      </c>
      <c r="G2396" s="137">
        <v>595.57000000000005</v>
      </c>
      <c r="H2396" s="138">
        <v>6605</v>
      </c>
      <c r="I2396" s="138">
        <v>3867.8</v>
      </c>
      <c r="J2396" s="138">
        <v>352.42</v>
      </c>
      <c r="K2396" s="138">
        <v>2384.7800000000002</v>
      </c>
      <c r="L2396" s="43">
        <v>6.6079074792908887</v>
      </c>
      <c r="M2396" s="43">
        <v>11.500014866351501</v>
      </c>
      <c r="N2396" s="43">
        <v>5.208690511380432</v>
      </c>
      <c r="O2396" s="43">
        <v>4.0041976593851265</v>
      </c>
      <c r="P2396" s="139"/>
      <c r="Q2396" s="139"/>
      <c r="R2396" s="139">
        <v>2</v>
      </c>
    </row>
    <row r="2397" spans="1:18" ht="24">
      <c r="A2397" s="135">
        <v>72</v>
      </c>
      <c r="B2397" s="132" t="s">
        <v>4370</v>
      </c>
      <c r="C2397" s="136" t="s">
        <v>4371</v>
      </c>
      <c r="D2397" s="137">
        <v>1069.17</v>
      </c>
      <c r="E2397" s="137">
        <v>361.86</v>
      </c>
      <c r="F2397" s="137">
        <v>107.83</v>
      </c>
      <c r="G2397" s="137">
        <v>599.48</v>
      </c>
      <c r="H2397" s="138">
        <v>7150.33</v>
      </c>
      <c r="I2397" s="138">
        <v>4161.3900000000003</v>
      </c>
      <c r="J2397" s="138">
        <v>568.5</v>
      </c>
      <c r="K2397" s="138">
        <v>2420.44</v>
      </c>
      <c r="L2397" s="43">
        <v>6.6877390873294233</v>
      </c>
      <c r="M2397" s="43">
        <v>11.5</v>
      </c>
      <c r="N2397" s="43">
        <v>5.2721877028656223</v>
      </c>
      <c r="O2397" s="43">
        <v>4.0375658904383798</v>
      </c>
      <c r="P2397" s="139"/>
      <c r="Q2397" s="139"/>
      <c r="R2397" s="139">
        <v>2</v>
      </c>
    </row>
    <row r="2398" spans="1:18" ht="24">
      <c r="A2398" s="135">
        <v>73</v>
      </c>
      <c r="B2398" s="132" t="s">
        <v>4372</v>
      </c>
      <c r="C2398" s="136" t="s">
        <v>4373</v>
      </c>
      <c r="D2398" s="137">
        <v>1179.21</v>
      </c>
      <c r="E2398" s="137">
        <v>399.6</v>
      </c>
      <c r="F2398" s="137">
        <v>175.26</v>
      </c>
      <c r="G2398" s="137">
        <v>604.35</v>
      </c>
      <c r="H2398" s="138">
        <v>7991.17</v>
      </c>
      <c r="I2398" s="138">
        <v>4595.3999999999996</v>
      </c>
      <c r="J2398" s="138">
        <v>930.64</v>
      </c>
      <c r="K2398" s="138">
        <v>2465.13</v>
      </c>
      <c r="L2398" s="43">
        <v>6.7767149193103853</v>
      </c>
      <c r="M2398" s="43">
        <v>11.499999999999998</v>
      </c>
      <c r="N2398" s="43">
        <v>5.3100536346000231</v>
      </c>
      <c r="O2398" s="43">
        <v>4.0789774137503105</v>
      </c>
      <c r="P2398" s="139"/>
      <c r="Q2398" s="139"/>
      <c r="R2398" s="139">
        <v>2</v>
      </c>
    </row>
    <row r="2399" spans="1:18" ht="24">
      <c r="A2399" s="135">
        <v>74</v>
      </c>
      <c r="B2399" s="132" t="s">
        <v>4374</v>
      </c>
      <c r="C2399" s="136" t="s">
        <v>4375</v>
      </c>
      <c r="D2399" s="137">
        <v>1258.7</v>
      </c>
      <c r="E2399" s="137">
        <v>447.33</v>
      </c>
      <c r="F2399" s="137">
        <v>204.36</v>
      </c>
      <c r="G2399" s="137">
        <v>607.01</v>
      </c>
      <c r="H2399" s="138">
        <v>8722.99</v>
      </c>
      <c r="I2399" s="138">
        <v>5144.3</v>
      </c>
      <c r="J2399" s="138">
        <v>1087.6199999999999</v>
      </c>
      <c r="K2399" s="138">
        <v>2491.0700000000002</v>
      </c>
      <c r="L2399" s="43">
        <v>6.9301580996265981</v>
      </c>
      <c r="M2399" s="43">
        <v>11.500011177430533</v>
      </c>
      <c r="N2399" s="43">
        <v>5.3220786846741035</v>
      </c>
      <c r="O2399" s="43">
        <v>4.1038368395907812</v>
      </c>
      <c r="P2399" s="139"/>
      <c r="Q2399" s="139"/>
      <c r="R2399" s="139">
        <v>2</v>
      </c>
    </row>
    <row r="2400" spans="1:18" ht="12.75" customHeight="1">
      <c r="A2400" s="628" t="s">
        <v>4376</v>
      </c>
      <c r="B2400" s="629"/>
      <c r="C2400" s="629"/>
      <c r="D2400" s="629"/>
      <c r="E2400" s="629"/>
      <c r="F2400" s="629"/>
      <c r="G2400" s="629"/>
      <c r="H2400" s="629"/>
      <c r="I2400" s="629"/>
      <c r="J2400" s="629"/>
      <c r="K2400" s="629"/>
      <c r="L2400" s="629"/>
      <c r="M2400" s="629"/>
      <c r="N2400" s="629"/>
      <c r="O2400" s="629"/>
      <c r="P2400" s="629"/>
      <c r="Q2400" s="629"/>
      <c r="R2400" s="629"/>
    </row>
    <row r="2401" spans="1:18" ht="27.75" customHeight="1">
      <c r="A2401" s="628" t="s">
        <v>4377</v>
      </c>
      <c r="B2401" s="629"/>
      <c r="C2401" s="629"/>
      <c r="D2401" s="629"/>
      <c r="E2401" s="629"/>
      <c r="F2401" s="629"/>
      <c r="G2401" s="629"/>
      <c r="H2401" s="629"/>
      <c r="I2401" s="629"/>
      <c r="J2401" s="629"/>
      <c r="K2401" s="629"/>
      <c r="L2401" s="629"/>
      <c r="M2401" s="629"/>
      <c r="N2401" s="629"/>
      <c r="O2401" s="629"/>
      <c r="P2401" s="629"/>
      <c r="Q2401" s="629"/>
      <c r="R2401" s="629"/>
    </row>
    <row r="2402" spans="1:18" ht="36">
      <c r="A2402" s="135">
        <v>75</v>
      </c>
      <c r="B2402" s="132" t="s">
        <v>4378</v>
      </c>
      <c r="C2402" s="136" t="s">
        <v>4379</v>
      </c>
      <c r="D2402" s="137">
        <v>243844.34</v>
      </c>
      <c r="E2402" s="137">
        <v>61169.65</v>
      </c>
      <c r="F2402" s="137">
        <v>162392.66</v>
      </c>
      <c r="G2402" s="137">
        <v>20282.03</v>
      </c>
      <c r="H2402" s="138">
        <v>1588129.58</v>
      </c>
      <c r="I2402" s="138">
        <v>703475.7</v>
      </c>
      <c r="J2402" s="138">
        <v>768524.56</v>
      </c>
      <c r="K2402" s="138">
        <v>116129.32</v>
      </c>
      <c r="L2402" s="43">
        <v>6.5128826857330377</v>
      </c>
      <c r="M2402" s="43">
        <v>11.500404203718674</v>
      </c>
      <c r="N2402" s="43">
        <v>4.7325079840431217</v>
      </c>
      <c r="O2402" s="43">
        <v>5.725724693238301</v>
      </c>
      <c r="P2402" s="139"/>
      <c r="Q2402" s="139"/>
      <c r="R2402" s="139">
        <v>1</v>
      </c>
    </row>
    <row r="2403" spans="1:18" ht="36">
      <c r="A2403" s="135">
        <v>76</v>
      </c>
      <c r="B2403" s="132" t="s">
        <v>4380</v>
      </c>
      <c r="C2403" s="136" t="s">
        <v>4381</v>
      </c>
      <c r="D2403" s="137">
        <v>372854.24</v>
      </c>
      <c r="E2403" s="137">
        <v>73576.759999999995</v>
      </c>
      <c r="F2403" s="137">
        <v>276056.07</v>
      </c>
      <c r="G2403" s="137">
        <v>23221.41</v>
      </c>
      <c r="H2403" s="138">
        <v>2245030.4700000002</v>
      </c>
      <c r="I2403" s="138">
        <v>846162.48</v>
      </c>
      <c r="J2403" s="138">
        <v>1263161.6599999999</v>
      </c>
      <c r="K2403" s="138">
        <v>135706.32999999999</v>
      </c>
      <c r="L2403" s="43">
        <v>6.0212013949472594</v>
      </c>
      <c r="M2403" s="43">
        <v>11.500404203718675</v>
      </c>
      <c r="N2403" s="43">
        <v>4.5757431089995588</v>
      </c>
      <c r="O2403" s="43">
        <v>5.8440176543973852</v>
      </c>
      <c r="P2403" s="139"/>
      <c r="Q2403" s="139"/>
      <c r="R2403" s="139">
        <v>1</v>
      </c>
    </row>
    <row r="2404" spans="1:18" ht="36">
      <c r="A2404" s="135">
        <v>77</v>
      </c>
      <c r="B2404" s="132" t="s">
        <v>4382</v>
      </c>
      <c r="C2404" s="136" t="s">
        <v>4383</v>
      </c>
      <c r="D2404" s="137">
        <v>656145.24</v>
      </c>
      <c r="E2404" s="137">
        <v>133150.68</v>
      </c>
      <c r="F2404" s="137">
        <v>484675.2</v>
      </c>
      <c r="G2404" s="137">
        <v>38319.360000000001</v>
      </c>
      <c r="H2404" s="138">
        <v>3954687.17</v>
      </c>
      <c r="I2404" s="138">
        <v>1531286.64</v>
      </c>
      <c r="J2404" s="138">
        <v>2216349.4700000002</v>
      </c>
      <c r="K2404" s="138">
        <v>207051.06</v>
      </c>
      <c r="L2404" s="43">
        <v>6.0271521134558563</v>
      </c>
      <c r="M2404" s="43">
        <v>11.500404203718674</v>
      </c>
      <c r="N2404" s="43">
        <v>4.5728551202949941</v>
      </c>
      <c r="O2404" s="43">
        <v>5.403301620903898</v>
      </c>
      <c r="P2404" s="139"/>
      <c r="Q2404" s="139"/>
      <c r="R2404" s="139">
        <v>1</v>
      </c>
    </row>
    <row r="2405" spans="1:18" ht="36">
      <c r="A2405" s="135">
        <v>78</v>
      </c>
      <c r="B2405" s="132" t="s">
        <v>4384</v>
      </c>
      <c r="C2405" s="136" t="s">
        <v>4385</v>
      </c>
      <c r="D2405" s="137">
        <v>703667.18</v>
      </c>
      <c r="E2405" s="137">
        <v>144580.56</v>
      </c>
      <c r="F2405" s="137">
        <v>521641.9</v>
      </c>
      <c r="G2405" s="137">
        <v>37444.720000000001</v>
      </c>
      <c r="H2405" s="138">
        <v>4250394.93</v>
      </c>
      <c r="I2405" s="138">
        <v>1662734.88</v>
      </c>
      <c r="J2405" s="138">
        <v>2384637.4500000002</v>
      </c>
      <c r="K2405" s="138">
        <v>203022.6</v>
      </c>
      <c r="L2405" s="43">
        <v>6.0403484073251779</v>
      </c>
      <c r="M2405" s="43">
        <v>11.500404203718674</v>
      </c>
      <c r="N2405" s="43">
        <v>4.5714070322955269</v>
      </c>
      <c r="O2405" s="43">
        <v>5.4219286457476512</v>
      </c>
      <c r="P2405" s="139"/>
      <c r="Q2405" s="139"/>
      <c r="R2405" s="139">
        <v>1</v>
      </c>
    </row>
    <row r="2406" spans="1:18" ht="26.25" customHeight="1">
      <c r="A2406" s="628" t="s">
        <v>4386</v>
      </c>
      <c r="B2406" s="629"/>
      <c r="C2406" s="629"/>
      <c r="D2406" s="629"/>
      <c r="E2406" s="629"/>
      <c r="F2406" s="629"/>
      <c r="G2406" s="629"/>
      <c r="H2406" s="629"/>
      <c r="I2406" s="629"/>
      <c r="J2406" s="629"/>
      <c r="K2406" s="629"/>
      <c r="L2406" s="629"/>
      <c r="M2406" s="629"/>
      <c r="N2406" s="629"/>
      <c r="O2406" s="629"/>
      <c r="P2406" s="629"/>
      <c r="Q2406" s="629"/>
      <c r="R2406" s="629"/>
    </row>
    <row r="2407" spans="1:18" ht="36">
      <c r="A2407" s="135">
        <v>79</v>
      </c>
      <c r="B2407" s="132" t="s">
        <v>4387</v>
      </c>
      <c r="C2407" s="136" t="s">
        <v>4388</v>
      </c>
      <c r="D2407" s="137">
        <v>119673.23</v>
      </c>
      <c r="E2407" s="137">
        <v>19995.8</v>
      </c>
      <c r="F2407" s="137">
        <v>83968.74</v>
      </c>
      <c r="G2407" s="137">
        <v>15708.69</v>
      </c>
      <c r="H2407" s="138">
        <v>752926.63</v>
      </c>
      <c r="I2407" s="138">
        <v>229951.7</v>
      </c>
      <c r="J2407" s="138">
        <v>450791.47</v>
      </c>
      <c r="K2407" s="138">
        <v>72183.460000000006</v>
      </c>
      <c r="L2407" s="43">
        <v>6.2915209190894243</v>
      </c>
      <c r="M2407" s="43">
        <v>11.500000000000002</v>
      </c>
      <c r="N2407" s="43">
        <v>5.3685629914179964</v>
      </c>
      <c r="O2407" s="43">
        <v>4.5951291928225722</v>
      </c>
      <c r="P2407" s="139"/>
      <c r="Q2407" s="139"/>
      <c r="R2407" s="139">
        <v>2</v>
      </c>
    </row>
    <row r="2408" spans="1:18" ht="36">
      <c r="A2408" s="135">
        <v>80</v>
      </c>
      <c r="B2408" s="132" t="s">
        <v>4389</v>
      </c>
      <c r="C2408" s="136" t="s">
        <v>4390</v>
      </c>
      <c r="D2408" s="137">
        <v>143325.57</v>
      </c>
      <c r="E2408" s="137">
        <v>22716.400000000001</v>
      </c>
      <c r="F2408" s="137">
        <v>103653.49</v>
      </c>
      <c r="G2408" s="137">
        <v>16955.68</v>
      </c>
      <c r="H2408" s="138">
        <v>898677.69</v>
      </c>
      <c r="I2408" s="138">
        <v>261238.6</v>
      </c>
      <c r="J2408" s="138">
        <v>556913.46</v>
      </c>
      <c r="K2408" s="138">
        <v>80525.63</v>
      </c>
      <c r="L2408" s="43">
        <v>6.2701839594986426</v>
      </c>
      <c r="M2408" s="43">
        <v>11.5</v>
      </c>
      <c r="N2408" s="43">
        <v>5.3728384832966061</v>
      </c>
      <c r="O2408" s="43">
        <v>4.7491831645796569</v>
      </c>
      <c r="P2408" s="139"/>
      <c r="Q2408" s="139"/>
      <c r="R2408" s="139">
        <v>2</v>
      </c>
    </row>
    <row r="2409" spans="1:18" ht="36">
      <c r="A2409" s="135">
        <v>81</v>
      </c>
      <c r="B2409" s="132" t="s">
        <v>4391</v>
      </c>
      <c r="C2409" s="136" t="s">
        <v>4392</v>
      </c>
      <c r="D2409" s="137">
        <v>173617.24</v>
      </c>
      <c r="E2409" s="137">
        <v>31451.599999999999</v>
      </c>
      <c r="F2409" s="137">
        <v>118716.1</v>
      </c>
      <c r="G2409" s="137">
        <v>23449.54</v>
      </c>
      <c r="H2409" s="138">
        <v>1099802.04</v>
      </c>
      <c r="I2409" s="138">
        <v>361693.4</v>
      </c>
      <c r="J2409" s="138">
        <v>630983.73</v>
      </c>
      <c r="K2409" s="138">
        <v>107124.91</v>
      </c>
      <c r="L2409" s="43">
        <v>6.334636122541748</v>
      </c>
      <c r="M2409" s="43">
        <v>11.500000000000002</v>
      </c>
      <c r="N2409" s="43">
        <v>5.315064511047785</v>
      </c>
      <c r="O2409" s="43">
        <v>4.5683160522551827</v>
      </c>
      <c r="P2409" s="139"/>
      <c r="Q2409" s="139"/>
      <c r="R2409" s="139">
        <v>2</v>
      </c>
    </row>
    <row r="2410" spans="1:18" ht="33" customHeight="1">
      <c r="A2410" s="628" t="s">
        <v>4393</v>
      </c>
      <c r="B2410" s="629"/>
      <c r="C2410" s="629"/>
      <c r="D2410" s="629"/>
      <c r="E2410" s="629"/>
      <c r="F2410" s="629"/>
      <c r="G2410" s="629"/>
      <c r="H2410" s="629"/>
      <c r="I2410" s="629"/>
      <c r="J2410" s="629"/>
      <c r="K2410" s="629"/>
      <c r="L2410" s="629"/>
      <c r="M2410" s="629"/>
      <c r="N2410" s="629"/>
      <c r="O2410" s="629"/>
      <c r="P2410" s="629"/>
      <c r="Q2410" s="629"/>
      <c r="R2410" s="629"/>
    </row>
    <row r="2411" spans="1:18" ht="36">
      <c r="A2411" s="135">
        <v>82</v>
      </c>
      <c r="B2411" s="132" t="s">
        <v>4394</v>
      </c>
      <c r="C2411" s="136" t="s">
        <v>4395</v>
      </c>
      <c r="D2411" s="137">
        <v>109194.93</v>
      </c>
      <c r="E2411" s="137">
        <v>20509.46</v>
      </c>
      <c r="F2411" s="137">
        <v>70376.92</v>
      </c>
      <c r="G2411" s="137">
        <v>18308.55</v>
      </c>
      <c r="H2411" s="138">
        <v>699022.53</v>
      </c>
      <c r="I2411" s="138">
        <v>235867.08</v>
      </c>
      <c r="J2411" s="138">
        <v>379803.49</v>
      </c>
      <c r="K2411" s="138">
        <v>83351.960000000006</v>
      </c>
      <c r="L2411" s="43">
        <v>6.4016024370362254</v>
      </c>
      <c r="M2411" s="43">
        <v>11.500404203718674</v>
      </c>
      <c r="N2411" s="43">
        <v>5.3967051982382861</v>
      </c>
      <c r="O2411" s="43">
        <v>4.5526248665241109</v>
      </c>
      <c r="P2411" s="139"/>
      <c r="Q2411" s="139"/>
      <c r="R2411" s="139">
        <v>3</v>
      </c>
    </row>
    <row r="2412" spans="1:18" ht="36">
      <c r="A2412" s="135">
        <v>83</v>
      </c>
      <c r="B2412" s="132" t="s">
        <v>4396</v>
      </c>
      <c r="C2412" s="136" t="s">
        <v>4397</v>
      </c>
      <c r="D2412" s="137">
        <v>179339.25</v>
      </c>
      <c r="E2412" s="137">
        <v>27189.26</v>
      </c>
      <c r="F2412" s="137">
        <v>132478.91</v>
      </c>
      <c r="G2412" s="137">
        <v>19671.080000000002</v>
      </c>
      <c r="H2412" s="138">
        <v>1119168.27</v>
      </c>
      <c r="I2412" s="138">
        <v>312687.48</v>
      </c>
      <c r="J2412" s="138">
        <v>717018.95</v>
      </c>
      <c r="K2412" s="138">
        <v>89461.84</v>
      </c>
      <c r="L2412" s="43">
        <v>6.2405093698116838</v>
      </c>
      <c r="M2412" s="43">
        <v>11.500404203718674</v>
      </c>
      <c r="N2412" s="43">
        <v>5.4123252523741323</v>
      </c>
      <c r="O2412" s="43">
        <v>4.5478865420708976</v>
      </c>
      <c r="P2412" s="139"/>
      <c r="Q2412" s="139"/>
      <c r="R2412" s="139">
        <v>3</v>
      </c>
    </row>
    <row r="2413" spans="1:18" ht="12.75" customHeight="1">
      <c r="A2413" s="628" t="s">
        <v>4398</v>
      </c>
      <c r="B2413" s="629"/>
      <c r="C2413" s="629"/>
      <c r="D2413" s="629"/>
      <c r="E2413" s="629"/>
      <c r="F2413" s="629"/>
      <c r="G2413" s="629"/>
      <c r="H2413" s="629"/>
      <c r="I2413" s="629"/>
      <c r="J2413" s="629"/>
      <c r="K2413" s="629"/>
      <c r="L2413" s="629"/>
      <c r="M2413" s="629"/>
      <c r="N2413" s="629"/>
      <c r="O2413" s="629"/>
      <c r="P2413" s="629"/>
      <c r="Q2413" s="629"/>
      <c r="R2413" s="629"/>
    </row>
    <row r="2414" spans="1:18" ht="36">
      <c r="A2414" s="135">
        <v>84</v>
      </c>
      <c r="B2414" s="132" t="s">
        <v>4399</v>
      </c>
      <c r="C2414" s="136" t="s">
        <v>4400</v>
      </c>
      <c r="D2414" s="137">
        <v>150883.94</v>
      </c>
      <c r="E2414" s="137">
        <v>32720.400000000001</v>
      </c>
      <c r="F2414" s="137">
        <v>99002.94</v>
      </c>
      <c r="G2414" s="137">
        <v>19160.599999999999</v>
      </c>
      <c r="H2414" s="138">
        <v>1002027.47</v>
      </c>
      <c r="I2414" s="138">
        <v>376284.6</v>
      </c>
      <c r="J2414" s="138">
        <v>539211.12</v>
      </c>
      <c r="K2414" s="138">
        <v>86531.75</v>
      </c>
      <c r="L2414" s="43">
        <v>6.6410478809076698</v>
      </c>
      <c r="M2414" s="43">
        <v>11.499999999999998</v>
      </c>
      <c r="N2414" s="43">
        <v>5.4464152276689966</v>
      </c>
      <c r="O2414" s="43">
        <v>4.5161294531486496</v>
      </c>
      <c r="P2414" s="139"/>
      <c r="Q2414" s="139"/>
      <c r="R2414" s="139">
        <v>4</v>
      </c>
    </row>
    <row r="2415" spans="1:18" ht="36">
      <c r="A2415" s="135">
        <v>85</v>
      </c>
      <c r="B2415" s="132" t="s">
        <v>4401</v>
      </c>
      <c r="C2415" s="136" t="s">
        <v>4402</v>
      </c>
      <c r="D2415" s="137">
        <v>158260</v>
      </c>
      <c r="E2415" s="137">
        <v>35685</v>
      </c>
      <c r="F2415" s="137">
        <v>102182.88</v>
      </c>
      <c r="G2415" s="137">
        <v>20392.12</v>
      </c>
      <c r="H2415" s="138">
        <v>1058180.74</v>
      </c>
      <c r="I2415" s="138">
        <v>410377.5</v>
      </c>
      <c r="J2415" s="138">
        <v>556069.38</v>
      </c>
      <c r="K2415" s="138">
        <v>91733.86</v>
      </c>
      <c r="L2415" s="43">
        <v>6.6863436117780868</v>
      </c>
      <c r="M2415" s="43">
        <v>11.5</v>
      </c>
      <c r="N2415" s="43">
        <v>5.4419035752368696</v>
      </c>
      <c r="O2415" s="43">
        <v>4.4984954972803219</v>
      </c>
      <c r="P2415" s="139"/>
      <c r="Q2415" s="139"/>
      <c r="R2415" s="139">
        <v>4</v>
      </c>
    </row>
    <row r="2416" spans="1:18" ht="12.75" customHeight="1">
      <c r="A2416" s="628" t="s">
        <v>4403</v>
      </c>
      <c r="B2416" s="629"/>
      <c r="C2416" s="629"/>
      <c r="D2416" s="629"/>
      <c r="E2416" s="629"/>
      <c r="F2416" s="629"/>
      <c r="G2416" s="629"/>
      <c r="H2416" s="629"/>
      <c r="I2416" s="629"/>
      <c r="J2416" s="629"/>
      <c r="K2416" s="629"/>
      <c r="L2416" s="629"/>
      <c r="M2416" s="629"/>
      <c r="N2416" s="629"/>
      <c r="O2416" s="629"/>
      <c r="P2416" s="629"/>
      <c r="Q2416" s="629"/>
      <c r="R2416" s="629"/>
    </row>
    <row r="2417" spans="1:18" ht="12.75" customHeight="1">
      <c r="A2417" s="628" t="s">
        <v>4404</v>
      </c>
      <c r="B2417" s="629"/>
      <c r="C2417" s="629"/>
      <c r="D2417" s="629"/>
      <c r="E2417" s="629"/>
      <c r="F2417" s="629"/>
      <c r="G2417" s="629"/>
      <c r="H2417" s="629"/>
      <c r="I2417" s="629"/>
      <c r="J2417" s="629"/>
      <c r="K2417" s="629"/>
      <c r="L2417" s="629"/>
      <c r="M2417" s="629"/>
      <c r="N2417" s="629"/>
      <c r="O2417" s="629"/>
      <c r="P2417" s="629"/>
      <c r="Q2417" s="629"/>
      <c r="R2417" s="629"/>
    </row>
    <row r="2418" spans="1:18" ht="24">
      <c r="A2418" s="135">
        <v>86</v>
      </c>
      <c r="B2418" s="132" t="s">
        <v>4405</v>
      </c>
      <c r="C2418" s="136" t="s">
        <v>4406</v>
      </c>
      <c r="D2418" s="137">
        <v>2077.7199999999998</v>
      </c>
      <c r="E2418" s="137">
        <v>646.6</v>
      </c>
      <c r="F2418" s="137">
        <v>528.77</v>
      </c>
      <c r="G2418" s="137">
        <v>902.35</v>
      </c>
      <c r="H2418" s="138">
        <v>15678.14</v>
      </c>
      <c r="I2418" s="138">
        <v>7435.9</v>
      </c>
      <c r="J2418" s="138">
        <v>2538.66</v>
      </c>
      <c r="K2418" s="138">
        <v>5703.58</v>
      </c>
      <c r="L2418" s="43">
        <v>7.545838707814335</v>
      </c>
      <c r="M2418" s="43">
        <v>11.499999999999998</v>
      </c>
      <c r="N2418" s="43">
        <v>4.8010666263214627</v>
      </c>
      <c r="O2418" s="43">
        <v>6.3208067822906848</v>
      </c>
      <c r="P2418" s="139"/>
      <c r="Q2418" s="139"/>
      <c r="R2418" s="139">
        <v>1</v>
      </c>
    </row>
    <row r="2419" spans="1:18" ht="24">
      <c r="A2419" s="135">
        <v>87</v>
      </c>
      <c r="B2419" s="132" t="s">
        <v>4407</v>
      </c>
      <c r="C2419" s="136" t="s">
        <v>4408</v>
      </c>
      <c r="D2419" s="137">
        <v>2392.46</v>
      </c>
      <c r="E2419" s="137">
        <v>728.34</v>
      </c>
      <c r="F2419" s="137">
        <v>752.11</v>
      </c>
      <c r="G2419" s="137">
        <v>912.01</v>
      </c>
      <c r="H2419" s="138">
        <v>17771.98</v>
      </c>
      <c r="I2419" s="138">
        <v>8375.91</v>
      </c>
      <c r="J2419" s="138">
        <v>3603.3</v>
      </c>
      <c r="K2419" s="138">
        <v>5792.77</v>
      </c>
      <c r="L2419" s="43">
        <v>7.4283290002758662</v>
      </c>
      <c r="M2419" s="43">
        <v>11.5</v>
      </c>
      <c r="N2419" s="43">
        <v>4.7909215407320742</v>
      </c>
      <c r="O2419" s="43">
        <v>6.3516518459227429</v>
      </c>
      <c r="P2419" s="139"/>
      <c r="Q2419" s="139"/>
      <c r="R2419" s="139">
        <v>1</v>
      </c>
    </row>
    <row r="2420" spans="1:18" ht="24">
      <c r="A2420" s="135">
        <v>88</v>
      </c>
      <c r="B2420" s="132" t="s">
        <v>4409</v>
      </c>
      <c r="C2420" s="136" t="s">
        <v>4410</v>
      </c>
      <c r="D2420" s="137">
        <v>2565.96</v>
      </c>
      <c r="E2420" s="137">
        <v>794.22</v>
      </c>
      <c r="F2420" s="137">
        <v>869.09</v>
      </c>
      <c r="G2420" s="137">
        <v>902.65</v>
      </c>
      <c r="H2420" s="138">
        <v>19078.419999999998</v>
      </c>
      <c r="I2420" s="138">
        <v>9133.5300000000007</v>
      </c>
      <c r="J2420" s="138">
        <v>4230.63</v>
      </c>
      <c r="K2420" s="138">
        <v>5714.26</v>
      </c>
      <c r="L2420" s="43">
        <v>7.4351977427551477</v>
      </c>
      <c r="M2420" s="43">
        <v>11.5</v>
      </c>
      <c r="N2420" s="43">
        <v>4.8678847990426766</v>
      </c>
      <c r="O2420" s="43">
        <v>6.3305378607433669</v>
      </c>
      <c r="P2420" s="139"/>
      <c r="Q2420" s="139"/>
      <c r="R2420" s="139">
        <v>1</v>
      </c>
    </row>
    <row r="2421" spans="1:18" ht="12.75" customHeight="1">
      <c r="A2421" s="628" t="s">
        <v>4411</v>
      </c>
      <c r="B2421" s="629"/>
      <c r="C2421" s="629"/>
      <c r="D2421" s="629"/>
      <c r="E2421" s="629"/>
      <c r="F2421" s="629"/>
      <c r="G2421" s="629"/>
      <c r="H2421" s="629"/>
      <c r="I2421" s="629"/>
      <c r="J2421" s="629"/>
      <c r="K2421" s="629"/>
      <c r="L2421" s="629"/>
      <c r="M2421" s="629"/>
      <c r="N2421" s="629"/>
      <c r="O2421" s="629"/>
      <c r="P2421" s="629"/>
      <c r="Q2421" s="629"/>
      <c r="R2421" s="629"/>
    </row>
    <row r="2422" spans="1:18" ht="12.75" customHeight="1">
      <c r="A2422" s="628" t="s">
        <v>4412</v>
      </c>
      <c r="B2422" s="629"/>
      <c r="C2422" s="629"/>
      <c r="D2422" s="629"/>
      <c r="E2422" s="629"/>
      <c r="F2422" s="629"/>
      <c r="G2422" s="629"/>
      <c r="H2422" s="629"/>
      <c r="I2422" s="629"/>
      <c r="J2422" s="629"/>
      <c r="K2422" s="629"/>
      <c r="L2422" s="629"/>
      <c r="M2422" s="629"/>
      <c r="N2422" s="629"/>
      <c r="O2422" s="629"/>
      <c r="P2422" s="629"/>
      <c r="Q2422" s="629"/>
      <c r="R2422" s="629"/>
    </row>
    <row r="2423" spans="1:18" ht="24">
      <c r="A2423" s="135">
        <v>89</v>
      </c>
      <c r="B2423" s="132" t="s">
        <v>4413</v>
      </c>
      <c r="C2423" s="136" t="s">
        <v>4414</v>
      </c>
      <c r="D2423" s="137">
        <v>20725.02</v>
      </c>
      <c r="E2423" s="137">
        <v>8362.1200000000008</v>
      </c>
      <c r="F2423" s="137">
        <v>6317.06</v>
      </c>
      <c r="G2423" s="137">
        <v>6045.84</v>
      </c>
      <c r="H2423" s="138">
        <v>156750.85999999999</v>
      </c>
      <c r="I2423" s="138">
        <v>96167.76</v>
      </c>
      <c r="J2423" s="138">
        <v>33697.089999999997</v>
      </c>
      <c r="K2423" s="138">
        <v>26886.01</v>
      </c>
      <c r="L2423" s="43">
        <v>7.5633635094200145</v>
      </c>
      <c r="M2423" s="43">
        <v>11.500404203718672</v>
      </c>
      <c r="N2423" s="43">
        <v>5.3342995000838993</v>
      </c>
      <c r="O2423" s="43">
        <v>4.4470263850846194</v>
      </c>
      <c r="P2423" s="139"/>
      <c r="Q2423" s="139"/>
      <c r="R2423" s="139">
        <v>1</v>
      </c>
    </row>
    <row r="2424" spans="1:18" ht="24">
      <c r="A2424" s="135">
        <v>90</v>
      </c>
      <c r="B2424" s="132" t="s">
        <v>4415</v>
      </c>
      <c r="C2424" s="136" t="s">
        <v>4416</v>
      </c>
      <c r="D2424" s="137">
        <v>26688.42</v>
      </c>
      <c r="E2424" s="137">
        <v>9512.5300000000007</v>
      </c>
      <c r="F2424" s="137">
        <v>7901.43</v>
      </c>
      <c r="G2424" s="137">
        <v>9274.4599999999991</v>
      </c>
      <c r="H2424" s="138">
        <v>192798.01</v>
      </c>
      <c r="I2424" s="138">
        <v>109397.94</v>
      </c>
      <c r="J2424" s="138">
        <v>42088.92</v>
      </c>
      <c r="K2424" s="138">
        <v>41311.15</v>
      </c>
      <c r="L2424" s="43">
        <v>7.2240323705936893</v>
      </c>
      <c r="M2424" s="43">
        <v>11.500404203718674</v>
      </c>
      <c r="N2424" s="43">
        <v>5.326747183737627</v>
      </c>
      <c r="O2424" s="43">
        <v>4.4542916784373432</v>
      </c>
      <c r="P2424" s="139"/>
      <c r="Q2424" s="139"/>
      <c r="R2424" s="139">
        <v>1</v>
      </c>
    </row>
    <row r="2425" spans="1:18" ht="24">
      <c r="A2425" s="140">
        <v>91</v>
      </c>
      <c r="B2425" s="141" t="s">
        <v>4417</v>
      </c>
      <c r="C2425" s="142" t="s">
        <v>4418</v>
      </c>
      <c r="D2425" s="143">
        <v>45804.25</v>
      </c>
      <c r="E2425" s="143">
        <v>19049.8</v>
      </c>
      <c r="F2425" s="143">
        <v>17424.919999999998</v>
      </c>
      <c r="G2425" s="143">
        <v>9329.5300000000007</v>
      </c>
      <c r="H2425" s="144">
        <v>354494.62</v>
      </c>
      <c r="I2425" s="144">
        <v>219080.4</v>
      </c>
      <c r="J2425" s="144">
        <v>92527.43</v>
      </c>
      <c r="K2425" s="144">
        <v>42886.79</v>
      </c>
      <c r="L2425" s="611">
        <v>7.7393390351332023</v>
      </c>
      <c r="M2425" s="611">
        <v>11.500404203718674</v>
      </c>
      <c r="N2425" s="611">
        <v>5.3100634034474767</v>
      </c>
      <c r="O2425" s="611">
        <v>4.5968864455122604</v>
      </c>
      <c r="P2425" s="145"/>
      <c r="Q2425" s="145"/>
      <c r="R2425" s="145">
        <v>1</v>
      </c>
    </row>
    <row r="2426" spans="1:18" ht="12.75" customHeight="1">
      <c r="A2426" s="630" t="s">
        <v>4419</v>
      </c>
      <c r="B2426" s="631"/>
      <c r="C2426" s="631"/>
      <c r="D2426" s="631"/>
      <c r="E2426" s="631"/>
      <c r="F2426" s="631"/>
      <c r="G2426" s="631"/>
      <c r="H2426" s="631"/>
      <c r="I2426" s="631"/>
      <c r="J2426" s="631"/>
      <c r="K2426" s="631"/>
      <c r="L2426" s="631"/>
      <c r="M2426" s="631"/>
      <c r="N2426" s="631"/>
      <c r="O2426" s="631"/>
      <c r="P2426" s="631"/>
      <c r="Q2426" s="631"/>
      <c r="R2426" s="631"/>
    </row>
    <row r="2427" spans="1:18" ht="12.75" customHeight="1">
      <c r="A2427" s="628" t="s">
        <v>4420</v>
      </c>
      <c r="B2427" s="629"/>
      <c r="C2427" s="629"/>
      <c r="D2427" s="629"/>
      <c r="E2427" s="629"/>
      <c r="F2427" s="629"/>
      <c r="G2427" s="629"/>
      <c r="H2427" s="629"/>
      <c r="I2427" s="629"/>
      <c r="J2427" s="629"/>
      <c r="K2427" s="629"/>
      <c r="L2427" s="629"/>
      <c r="M2427" s="629"/>
      <c r="N2427" s="629"/>
      <c r="O2427" s="629"/>
      <c r="P2427" s="629"/>
      <c r="Q2427" s="629"/>
      <c r="R2427" s="629"/>
    </row>
    <row r="2428" spans="1:18" ht="12.75" customHeight="1">
      <c r="A2428" s="628" t="s">
        <v>4421</v>
      </c>
      <c r="B2428" s="629"/>
      <c r="C2428" s="629"/>
      <c r="D2428" s="629"/>
      <c r="E2428" s="629"/>
      <c r="F2428" s="629"/>
      <c r="G2428" s="629"/>
      <c r="H2428" s="629"/>
      <c r="I2428" s="629"/>
      <c r="J2428" s="629"/>
      <c r="K2428" s="629"/>
      <c r="L2428" s="629"/>
      <c r="M2428" s="629"/>
      <c r="N2428" s="629"/>
      <c r="O2428" s="629"/>
      <c r="P2428" s="629"/>
      <c r="Q2428" s="629"/>
      <c r="R2428" s="629"/>
    </row>
    <row r="2429" spans="1:18" ht="24">
      <c r="A2429" s="135">
        <v>92</v>
      </c>
      <c r="B2429" s="132" t="s">
        <v>4422</v>
      </c>
      <c r="C2429" s="136" t="s">
        <v>4423</v>
      </c>
      <c r="D2429" s="137">
        <v>178.61</v>
      </c>
      <c r="E2429" s="137">
        <v>98.07</v>
      </c>
      <c r="F2429" s="137">
        <v>6.65</v>
      </c>
      <c r="G2429" s="137">
        <v>73.89</v>
      </c>
      <c r="H2429" s="138">
        <v>1451.6</v>
      </c>
      <c r="I2429" s="138">
        <v>1127.8699999999999</v>
      </c>
      <c r="J2429" s="138">
        <v>34.26</v>
      </c>
      <c r="K2429" s="138">
        <v>289.47000000000003</v>
      </c>
      <c r="L2429" s="43">
        <v>8.1272045238228525</v>
      </c>
      <c r="M2429" s="43">
        <v>11.500662791883348</v>
      </c>
      <c r="N2429" s="43">
        <v>5.1518796992481199</v>
      </c>
      <c r="O2429" s="43">
        <v>3.9175801867641091</v>
      </c>
      <c r="P2429" s="139"/>
      <c r="Q2429" s="139"/>
      <c r="R2429" s="139">
        <v>1</v>
      </c>
    </row>
    <row r="2430" spans="1:18" ht="24">
      <c r="A2430" s="135">
        <v>93</v>
      </c>
      <c r="B2430" s="132" t="s">
        <v>4424</v>
      </c>
      <c r="C2430" s="136" t="s">
        <v>4425</v>
      </c>
      <c r="D2430" s="137">
        <v>217.09</v>
      </c>
      <c r="E2430" s="137">
        <v>110.8</v>
      </c>
      <c r="F2430" s="137">
        <v>31.72</v>
      </c>
      <c r="G2430" s="137">
        <v>74.569999999999993</v>
      </c>
      <c r="H2430" s="138">
        <v>1738.11</v>
      </c>
      <c r="I2430" s="138">
        <v>1274.22</v>
      </c>
      <c r="J2430" s="138">
        <v>167.8</v>
      </c>
      <c r="K2430" s="138">
        <v>296.08999999999997</v>
      </c>
      <c r="L2430" s="43">
        <v>8.0064028743838946</v>
      </c>
      <c r="M2430" s="43">
        <v>11.500180505415162</v>
      </c>
      <c r="N2430" s="43">
        <v>5.2900378310214382</v>
      </c>
      <c r="O2430" s="43">
        <v>3.9706316212954271</v>
      </c>
      <c r="P2430" s="139"/>
      <c r="Q2430" s="139"/>
      <c r="R2430" s="139">
        <v>1</v>
      </c>
    </row>
    <row r="2431" spans="1:18" ht="24">
      <c r="A2431" s="135">
        <v>94</v>
      </c>
      <c r="B2431" s="132" t="s">
        <v>4426</v>
      </c>
      <c r="C2431" s="136" t="s">
        <v>4427</v>
      </c>
      <c r="D2431" s="137">
        <v>293.42</v>
      </c>
      <c r="E2431" s="137">
        <v>134.93</v>
      </c>
      <c r="F2431" s="137">
        <v>81.44</v>
      </c>
      <c r="G2431" s="137">
        <v>77.05</v>
      </c>
      <c r="H2431" s="138">
        <v>2306.38</v>
      </c>
      <c r="I2431" s="138">
        <v>1551.77</v>
      </c>
      <c r="J2431" s="138">
        <v>435.42</v>
      </c>
      <c r="K2431" s="138">
        <v>319.19</v>
      </c>
      <c r="L2431" s="43">
        <v>7.8603367186967485</v>
      </c>
      <c r="M2431" s="43">
        <v>11.500555843770844</v>
      </c>
      <c r="N2431" s="43">
        <v>5.346512770137525</v>
      </c>
      <c r="O2431" s="43">
        <v>4.1426346528228422</v>
      </c>
      <c r="P2431" s="139"/>
      <c r="Q2431" s="139"/>
      <c r="R2431" s="139">
        <v>1</v>
      </c>
    </row>
    <row r="2432" spans="1:18" ht="24">
      <c r="A2432" s="135">
        <v>95</v>
      </c>
      <c r="B2432" s="132" t="s">
        <v>4428</v>
      </c>
      <c r="C2432" s="136" t="s">
        <v>4429</v>
      </c>
      <c r="D2432" s="137">
        <v>354.44</v>
      </c>
      <c r="E2432" s="137">
        <v>160.16</v>
      </c>
      <c r="F2432" s="137">
        <v>115.27</v>
      </c>
      <c r="G2432" s="137">
        <v>79.010000000000005</v>
      </c>
      <c r="H2432" s="138">
        <v>2797.13</v>
      </c>
      <c r="I2432" s="138">
        <v>1841.94</v>
      </c>
      <c r="J2432" s="138">
        <v>617.42999999999995</v>
      </c>
      <c r="K2432" s="138">
        <v>337.76</v>
      </c>
      <c r="L2432" s="43">
        <v>7.891688297031938</v>
      </c>
      <c r="M2432" s="43">
        <v>11.500624375624376</v>
      </c>
      <c r="N2432" s="43">
        <v>5.3563806714669902</v>
      </c>
      <c r="O2432" s="43">
        <v>4.2749019111504865</v>
      </c>
      <c r="P2432" s="139"/>
      <c r="Q2432" s="139"/>
      <c r="R2432" s="139">
        <v>1</v>
      </c>
    </row>
    <row r="2433" spans="1:18" ht="24">
      <c r="A2433" s="135">
        <v>96</v>
      </c>
      <c r="B2433" s="132" t="s">
        <v>4430</v>
      </c>
      <c r="C2433" s="136" t="s">
        <v>4431</v>
      </c>
      <c r="D2433" s="137">
        <v>796.09</v>
      </c>
      <c r="E2433" s="137">
        <v>223.79</v>
      </c>
      <c r="F2433" s="137">
        <v>191.01</v>
      </c>
      <c r="G2433" s="137">
        <v>381.29</v>
      </c>
      <c r="H2433" s="138">
        <v>5157.97</v>
      </c>
      <c r="I2433" s="138">
        <v>2573.66</v>
      </c>
      <c r="J2433" s="138">
        <v>1026.04</v>
      </c>
      <c r="K2433" s="138">
        <v>1558.27</v>
      </c>
      <c r="L2433" s="43">
        <v>6.4791292441809345</v>
      </c>
      <c r="M2433" s="43">
        <v>11.500335135618213</v>
      </c>
      <c r="N2433" s="43">
        <v>5.3716559342442807</v>
      </c>
      <c r="O2433" s="43">
        <v>4.0868367908940701</v>
      </c>
      <c r="P2433" s="139"/>
      <c r="Q2433" s="139"/>
      <c r="R2433" s="139">
        <v>1</v>
      </c>
    </row>
    <row r="2434" spans="1:18" ht="24">
      <c r="A2434" s="135">
        <v>97</v>
      </c>
      <c r="B2434" s="132" t="s">
        <v>4432</v>
      </c>
      <c r="C2434" s="136" t="s">
        <v>4433</v>
      </c>
      <c r="D2434" s="137">
        <v>1010.26</v>
      </c>
      <c r="E2434" s="137">
        <v>287.41000000000003</v>
      </c>
      <c r="F2434" s="137">
        <v>340.29</v>
      </c>
      <c r="G2434" s="137">
        <v>382.56</v>
      </c>
      <c r="H2434" s="138">
        <v>6707.59</v>
      </c>
      <c r="I2434" s="138">
        <v>3305.39</v>
      </c>
      <c r="J2434" s="138">
        <v>1829.32</v>
      </c>
      <c r="K2434" s="138">
        <v>1572.88</v>
      </c>
      <c r="L2434" s="43">
        <v>6.6394690475719127</v>
      </c>
      <c r="M2434" s="43">
        <v>11.500608886260045</v>
      </c>
      <c r="N2434" s="43">
        <v>5.3757677275265205</v>
      </c>
      <c r="O2434" s="43">
        <v>4.1114596403178592</v>
      </c>
      <c r="P2434" s="139"/>
      <c r="Q2434" s="139"/>
      <c r="R2434" s="139">
        <v>1</v>
      </c>
    </row>
    <row r="2435" spans="1:18" ht="24">
      <c r="A2435" s="135">
        <v>98</v>
      </c>
      <c r="B2435" s="132" t="s">
        <v>4434</v>
      </c>
      <c r="C2435" s="136" t="s">
        <v>4435</v>
      </c>
      <c r="D2435" s="137">
        <v>1400.75</v>
      </c>
      <c r="E2435" s="137">
        <v>495.84</v>
      </c>
      <c r="F2435" s="137">
        <v>518.17999999999995</v>
      </c>
      <c r="G2435" s="137">
        <v>386.73</v>
      </c>
      <c r="H2435" s="138">
        <v>10112.200000000001</v>
      </c>
      <c r="I2435" s="138">
        <v>5702.43</v>
      </c>
      <c r="J2435" s="138">
        <v>2788.94</v>
      </c>
      <c r="K2435" s="138">
        <v>1620.83</v>
      </c>
      <c r="L2435" s="43">
        <v>7.2191326075316802</v>
      </c>
      <c r="M2435" s="43">
        <v>11.500544530493709</v>
      </c>
      <c r="N2435" s="43">
        <v>5.3821837971361308</v>
      </c>
      <c r="O2435" s="43">
        <v>4.1911152483644916</v>
      </c>
      <c r="P2435" s="139"/>
      <c r="Q2435" s="139"/>
      <c r="R2435" s="139">
        <v>1</v>
      </c>
    </row>
    <row r="2436" spans="1:18" ht="24">
      <c r="A2436" s="135">
        <v>99</v>
      </c>
      <c r="B2436" s="132" t="s">
        <v>4436</v>
      </c>
      <c r="C2436" s="136" t="s">
        <v>4437</v>
      </c>
      <c r="D2436" s="137">
        <v>1583.14</v>
      </c>
      <c r="E2436" s="137">
        <v>607.74</v>
      </c>
      <c r="F2436" s="137">
        <v>586.44000000000005</v>
      </c>
      <c r="G2436" s="137">
        <v>388.96</v>
      </c>
      <c r="H2436" s="138">
        <v>11790.78</v>
      </c>
      <c r="I2436" s="138">
        <v>6989.26</v>
      </c>
      <c r="J2436" s="138">
        <v>3155.04</v>
      </c>
      <c r="K2436" s="138">
        <v>1646.48</v>
      </c>
      <c r="L2436" s="43">
        <v>7.4477178265977741</v>
      </c>
      <c r="M2436" s="43">
        <v>11.500411360121104</v>
      </c>
      <c r="N2436" s="43">
        <v>5.3799877225291581</v>
      </c>
      <c r="O2436" s="43">
        <v>4.2330316742081449</v>
      </c>
      <c r="P2436" s="139"/>
      <c r="Q2436" s="139"/>
      <c r="R2436" s="139">
        <v>1</v>
      </c>
    </row>
    <row r="2437" spans="1:18" ht="12.75" customHeight="1">
      <c r="A2437" s="628" t="s">
        <v>4438</v>
      </c>
      <c r="B2437" s="629"/>
      <c r="C2437" s="629"/>
      <c r="D2437" s="629"/>
      <c r="E2437" s="629"/>
      <c r="F2437" s="629"/>
      <c r="G2437" s="629"/>
      <c r="H2437" s="629"/>
      <c r="I2437" s="629"/>
      <c r="J2437" s="629"/>
      <c r="K2437" s="629"/>
      <c r="L2437" s="629"/>
      <c r="M2437" s="629"/>
      <c r="N2437" s="629"/>
      <c r="O2437" s="629"/>
      <c r="P2437" s="629"/>
      <c r="Q2437" s="629"/>
      <c r="R2437" s="629"/>
    </row>
    <row r="2438" spans="1:18" ht="24">
      <c r="A2438" s="135">
        <v>100</v>
      </c>
      <c r="B2438" s="132" t="s">
        <v>4439</v>
      </c>
      <c r="C2438" s="136" t="s">
        <v>4440</v>
      </c>
      <c r="D2438" s="137">
        <v>115.43</v>
      </c>
      <c r="E2438" s="137">
        <v>63.06</v>
      </c>
      <c r="F2438" s="137">
        <v>7.94</v>
      </c>
      <c r="G2438" s="137">
        <v>44.43</v>
      </c>
      <c r="H2438" s="138">
        <v>942.67</v>
      </c>
      <c r="I2438" s="138">
        <v>725.15</v>
      </c>
      <c r="J2438" s="138">
        <v>42.81</v>
      </c>
      <c r="K2438" s="138">
        <v>174.71</v>
      </c>
      <c r="L2438" s="43">
        <v>8.1665944728406821</v>
      </c>
      <c r="M2438" s="43">
        <v>11.499365683476054</v>
      </c>
      <c r="N2438" s="43">
        <v>5.3916876574307304</v>
      </c>
      <c r="O2438" s="43">
        <v>3.9322529822192216</v>
      </c>
      <c r="P2438" s="139"/>
      <c r="Q2438" s="139"/>
      <c r="R2438" s="139">
        <v>2</v>
      </c>
    </row>
    <row r="2439" spans="1:18" ht="24">
      <c r="A2439" s="135">
        <v>101</v>
      </c>
      <c r="B2439" s="132" t="s">
        <v>4441</v>
      </c>
      <c r="C2439" s="136" t="s">
        <v>4442</v>
      </c>
      <c r="D2439" s="137">
        <v>213.19</v>
      </c>
      <c r="E2439" s="137">
        <v>125.89</v>
      </c>
      <c r="F2439" s="137">
        <v>40.299999999999997</v>
      </c>
      <c r="G2439" s="137">
        <v>47</v>
      </c>
      <c r="H2439" s="138">
        <v>1860.87</v>
      </c>
      <c r="I2439" s="138">
        <v>1447.71</v>
      </c>
      <c r="J2439" s="138">
        <v>212.43</v>
      </c>
      <c r="K2439" s="138">
        <v>200.73</v>
      </c>
      <c r="L2439" s="43">
        <v>8.7286927154181715</v>
      </c>
      <c r="M2439" s="43">
        <v>11.499801413932799</v>
      </c>
      <c r="N2439" s="43">
        <v>5.2712158808933012</v>
      </c>
      <c r="O2439" s="43">
        <v>4.2708510638297872</v>
      </c>
      <c r="P2439" s="139"/>
      <c r="Q2439" s="139"/>
      <c r="R2439" s="139">
        <v>2</v>
      </c>
    </row>
    <row r="2440" spans="1:18" ht="24">
      <c r="A2440" s="135">
        <v>102</v>
      </c>
      <c r="B2440" s="132" t="s">
        <v>4443</v>
      </c>
      <c r="C2440" s="136" t="s">
        <v>4444</v>
      </c>
      <c r="D2440" s="137">
        <v>281.44</v>
      </c>
      <c r="E2440" s="137">
        <v>164.1</v>
      </c>
      <c r="F2440" s="137">
        <v>71.040000000000006</v>
      </c>
      <c r="G2440" s="137">
        <v>46.3</v>
      </c>
      <c r="H2440" s="138">
        <v>2459.9899999999998</v>
      </c>
      <c r="I2440" s="138">
        <v>1887.2</v>
      </c>
      <c r="J2440" s="138">
        <v>376.13</v>
      </c>
      <c r="K2440" s="138">
        <v>196.66</v>
      </c>
      <c r="L2440" s="43">
        <v>8.7407262649232518</v>
      </c>
      <c r="M2440" s="43">
        <v>11.500304692260817</v>
      </c>
      <c r="N2440" s="43">
        <v>5.2946227477477477</v>
      </c>
      <c r="O2440" s="43">
        <v>4.2475161987041039</v>
      </c>
      <c r="P2440" s="139"/>
      <c r="Q2440" s="139"/>
      <c r="R2440" s="139">
        <v>2</v>
      </c>
    </row>
    <row r="2441" spans="1:18" ht="24">
      <c r="A2441" s="135">
        <v>103</v>
      </c>
      <c r="B2441" s="132" t="s">
        <v>4445</v>
      </c>
      <c r="C2441" s="136" t="s">
        <v>4446</v>
      </c>
      <c r="D2441" s="137">
        <v>326.35000000000002</v>
      </c>
      <c r="E2441" s="137">
        <v>189.96</v>
      </c>
      <c r="F2441" s="137">
        <v>89.57</v>
      </c>
      <c r="G2441" s="137">
        <v>46.82</v>
      </c>
      <c r="H2441" s="138">
        <v>2863.15</v>
      </c>
      <c r="I2441" s="138">
        <v>2184.4899999999998</v>
      </c>
      <c r="J2441" s="138">
        <v>476.02</v>
      </c>
      <c r="K2441" s="138">
        <v>202.64</v>
      </c>
      <c r="L2441" s="43">
        <v>8.7732495786732034</v>
      </c>
      <c r="M2441" s="43">
        <v>11.499736786691933</v>
      </c>
      <c r="N2441" s="43">
        <v>5.3145026236463107</v>
      </c>
      <c r="O2441" s="43">
        <v>4.3280649295172999</v>
      </c>
      <c r="P2441" s="139"/>
      <c r="Q2441" s="139"/>
      <c r="R2441" s="139">
        <v>2</v>
      </c>
    </row>
    <row r="2442" spans="1:18" ht="30.75" customHeight="1">
      <c r="A2442" s="628" t="s">
        <v>4447</v>
      </c>
      <c r="B2442" s="629"/>
      <c r="C2442" s="629"/>
      <c r="D2442" s="629"/>
      <c r="E2442" s="629"/>
      <c r="F2442" s="629"/>
      <c r="G2442" s="629"/>
      <c r="H2442" s="629"/>
      <c r="I2442" s="629"/>
      <c r="J2442" s="629"/>
      <c r="K2442" s="629"/>
      <c r="L2442" s="629"/>
      <c r="M2442" s="629"/>
      <c r="N2442" s="629"/>
      <c r="O2442" s="629"/>
      <c r="P2442" s="629"/>
      <c r="Q2442" s="629"/>
      <c r="R2442" s="629"/>
    </row>
    <row r="2443" spans="1:18" ht="24">
      <c r="A2443" s="135">
        <v>104</v>
      </c>
      <c r="B2443" s="132" t="s">
        <v>4448</v>
      </c>
      <c r="C2443" s="136" t="s">
        <v>4449</v>
      </c>
      <c r="D2443" s="137">
        <v>1113.21</v>
      </c>
      <c r="E2443" s="137">
        <v>348.15</v>
      </c>
      <c r="F2443" s="137">
        <v>244.98</v>
      </c>
      <c r="G2443" s="137">
        <v>520.08000000000004</v>
      </c>
      <c r="H2443" s="138">
        <v>7493.7</v>
      </c>
      <c r="I2443" s="138">
        <v>4003.84</v>
      </c>
      <c r="J2443" s="138">
        <v>1316.38</v>
      </c>
      <c r="K2443" s="138">
        <v>2173.48</v>
      </c>
      <c r="L2443" s="43">
        <v>6.7316139811895326</v>
      </c>
      <c r="M2443" s="43">
        <v>11.50033031739193</v>
      </c>
      <c r="N2443" s="43">
        <v>5.3734182382235289</v>
      </c>
      <c r="O2443" s="43">
        <v>4.179126288263344</v>
      </c>
      <c r="P2443" s="139"/>
      <c r="Q2443" s="139"/>
      <c r="R2443" s="139">
        <v>3</v>
      </c>
    </row>
    <row r="2444" spans="1:18" ht="24">
      <c r="A2444" s="135">
        <v>105</v>
      </c>
      <c r="B2444" s="132" t="s">
        <v>4450</v>
      </c>
      <c r="C2444" s="136" t="s">
        <v>4451</v>
      </c>
      <c r="D2444" s="137">
        <v>1408.54</v>
      </c>
      <c r="E2444" s="137">
        <v>375.72</v>
      </c>
      <c r="F2444" s="137">
        <v>368.79</v>
      </c>
      <c r="G2444" s="137">
        <v>664.03</v>
      </c>
      <c r="H2444" s="138">
        <v>9015.81</v>
      </c>
      <c r="I2444" s="138">
        <v>4320.9799999999996</v>
      </c>
      <c r="J2444" s="138">
        <v>1985.22</v>
      </c>
      <c r="K2444" s="138">
        <v>2709.61</v>
      </c>
      <c r="L2444" s="43">
        <v>6.4008192880571366</v>
      </c>
      <c r="M2444" s="43">
        <v>11.500532311295643</v>
      </c>
      <c r="N2444" s="43">
        <v>5.383063532091434</v>
      </c>
      <c r="O2444" s="43">
        <v>4.0805535894462599</v>
      </c>
      <c r="P2444" s="139"/>
      <c r="Q2444" s="139"/>
      <c r="R2444" s="139">
        <v>3</v>
      </c>
    </row>
    <row r="2445" spans="1:18" ht="24">
      <c r="A2445" s="135">
        <v>106</v>
      </c>
      <c r="B2445" s="132" t="s">
        <v>4452</v>
      </c>
      <c r="C2445" s="136" t="s">
        <v>4453</v>
      </c>
      <c r="D2445" s="137">
        <v>1580.17</v>
      </c>
      <c r="E2445" s="137">
        <v>401</v>
      </c>
      <c r="F2445" s="137">
        <v>514.63</v>
      </c>
      <c r="G2445" s="137">
        <v>664.54</v>
      </c>
      <c r="H2445" s="138">
        <v>10102.530000000001</v>
      </c>
      <c r="I2445" s="138">
        <v>4611.6899999999996</v>
      </c>
      <c r="J2445" s="138">
        <v>2775.37</v>
      </c>
      <c r="K2445" s="138">
        <v>2715.47</v>
      </c>
      <c r="L2445" s="43">
        <v>6.3933184404209671</v>
      </c>
      <c r="M2445" s="43">
        <v>11.500473815461346</v>
      </c>
      <c r="N2445" s="43">
        <v>5.3929425023803503</v>
      </c>
      <c r="O2445" s="43">
        <v>4.0862401059379421</v>
      </c>
      <c r="P2445" s="139"/>
      <c r="Q2445" s="139"/>
      <c r="R2445" s="139">
        <v>3</v>
      </c>
    </row>
    <row r="2446" spans="1:18" ht="24">
      <c r="A2446" s="135">
        <v>107</v>
      </c>
      <c r="B2446" s="132" t="s">
        <v>4454</v>
      </c>
      <c r="C2446" s="136" t="s">
        <v>4455</v>
      </c>
      <c r="D2446" s="137">
        <v>10973.93</v>
      </c>
      <c r="E2446" s="137">
        <v>1983.9</v>
      </c>
      <c r="F2446" s="137">
        <v>6902.11</v>
      </c>
      <c r="G2446" s="137">
        <v>2087.92</v>
      </c>
      <c r="H2446" s="138">
        <v>70784.41</v>
      </c>
      <c r="I2446" s="138">
        <v>22815.7</v>
      </c>
      <c r="J2446" s="138">
        <v>37162.400000000001</v>
      </c>
      <c r="K2446" s="138">
        <v>10806.31</v>
      </c>
      <c r="L2446" s="43">
        <v>6.4502334168342612</v>
      </c>
      <c r="M2446" s="43">
        <v>11.500428449014567</v>
      </c>
      <c r="N2446" s="43">
        <v>5.3842085970811828</v>
      </c>
      <c r="O2446" s="43">
        <v>5.1756341239127934</v>
      </c>
      <c r="P2446" s="139"/>
      <c r="Q2446" s="139"/>
      <c r="R2446" s="139">
        <v>3</v>
      </c>
    </row>
    <row r="2447" spans="1:18" ht="24">
      <c r="A2447" s="135">
        <v>108</v>
      </c>
      <c r="B2447" s="132" t="s">
        <v>4456</v>
      </c>
      <c r="C2447" s="136" t="s">
        <v>4457</v>
      </c>
      <c r="D2447" s="137">
        <v>11415.57</v>
      </c>
      <c r="E2447" s="137">
        <v>3139.23</v>
      </c>
      <c r="F2447" s="137">
        <v>5588.17</v>
      </c>
      <c r="G2447" s="137">
        <v>2688.17</v>
      </c>
      <c r="H2447" s="138">
        <v>79410.98</v>
      </c>
      <c r="I2447" s="138">
        <v>36102.49</v>
      </c>
      <c r="J2447" s="138">
        <v>29446.720000000001</v>
      </c>
      <c r="K2447" s="138">
        <v>13861.77</v>
      </c>
      <c r="L2447" s="43">
        <v>6.9563744955354831</v>
      </c>
      <c r="M2447" s="43">
        <v>11.500428449014567</v>
      </c>
      <c r="N2447" s="43">
        <v>5.2694746222824289</v>
      </c>
      <c r="O2447" s="43">
        <v>5.1565823590025932</v>
      </c>
      <c r="P2447" s="139"/>
      <c r="Q2447" s="139"/>
      <c r="R2447" s="139">
        <v>3</v>
      </c>
    </row>
    <row r="2448" spans="1:18" ht="24">
      <c r="A2448" s="135">
        <v>109</v>
      </c>
      <c r="B2448" s="132" t="s">
        <v>4458</v>
      </c>
      <c r="C2448" s="136" t="s">
        <v>4459</v>
      </c>
      <c r="D2448" s="137">
        <v>30466.45</v>
      </c>
      <c r="E2448" s="137">
        <v>9336</v>
      </c>
      <c r="F2448" s="137">
        <v>16977.39</v>
      </c>
      <c r="G2448" s="137">
        <v>4153.0600000000004</v>
      </c>
      <c r="H2448" s="138">
        <v>222880.63</v>
      </c>
      <c r="I2448" s="138">
        <v>107368</v>
      </c>
      <c r="J2448" s="138">
        <v>92677.38</v>
      </c>
      <c r="K2448" s="138">
        <v>22835.25</v>
      </c>
      <c r="L2448" s="43">
        <v>7.3156088090341997</v>
      </c>
      <c r="M2448" s="43">
        <v>11.500428449014567</v>
      </c>
      <c r="N2448" s="43">
        <v>5.4588708865143589</v>
      </c>
      <c r="O2448" s="43">
        <v>5.4984156260684891</v>
      </c>
      <c r="P2448" s="139"/>
      <c r="Q2448" s="139"/>
      <c r="R2448" s="139">
        <v>3</v>
      </c>
    </row>
    <row r="2449" spans="1:18" ht="24">
      <c r="A2449" s="135">
        <v>110</v>
      </c>
      <c r="B2449" s="132" t="s">
        <v>4460</v>
      </c>
      <c r="C2449" s="136" t="s">
        <v>4461</v>
      </c>
      <c r="D2449" s="137">
        <v>47864.5</v>
      </c>
      <c r="E2449" s="137">
        <v>15556.11</v>
      </c>
      <c r="F2449" s="137">
        <v>26140.62</v>
      </c>
      <c r="G2449" s="137">
        <v>6167.77</v>
      </c>
      <c r="H2449" s="138">
        <v>364778.76</v>
      </c>
      <c r="I2449" s="138">
        <v>178901.93</v>
      </c>
      <c r="J2449" s="138">
        <v>151433.10999999999</v>
      </c>
      <c r="K2449" s="138">
        <v>34443.72</v>
      </c>
      <c r="L2449" s="43">
        <v>7.621071148763698</v>
      </c>
      <c r="M2449" s="43">
        <v>11.500428449014567</v>
      </c>
      <c r="N2449" s="43">
        <v>5.7930190638171544</v>
      </c>
      <c r="O2449" s="43">
        <v>5.5844689409624548</v>
      </c>
      <c r="P2449" s="139"/>
      <c r="Q2449" s="139"/>
      <c r="R2449" s="139">
        <v>3</v>
      </c>
    </row>
    <row r="2450" spans="1:18" ht="24">
      <c r="A2450" s="135">
        <v>111</v>
      </c>
      <c r="B2450" s="132" t="s">
        <v>4462</v>
      </c>
      <c r="C2450" s="136" t="s">
        <v>4463</v>
      </c>
      <c r="D2450" s="137">
        <v>45669.97</v>
      </c>
      <c r="E2450" s="137">
        <v>11483.28</v>
      </c>
      <c r="F2450" s="137">
        <v>26474.720000000001</v>
      </c>
      <c r="G2450" s="137">
        <v>7711.97</v>
      </c>
      <c r="H2450" s="138">
        <v>322046.05</v>
      </c>
      <c r="I2450" s="138">
        <v>132062.64000000001</v>
      </c>
      <c r="J2450" s="138">
        <v>147694.22</v>
      </c>
      <c r="K2450" s="138">
        <v>42289.19</v>
      </c>
      <c r="L2450" s="43">
        <v>7.0515932022727403</v>
      </c>
      <c r="M2450" s="43">
        <v>11.500428449014567</v>
      </c>
      <c r="N2450" s="43">
        <v>5.5786886509092444</v>
      </c>
      <c r="O2450" s="43">
        <v>5.4835781259522536</v>
      </c>
      <c r="P2450" s="139"/>
      <c r="Q2450" s="139"/>
      <c r="R2450" s="139">
        <v>3</v>
      </c>
    </row>
    <row r="2451" spans="1:18" ht="24">
      <c r="A2451" s="135">
        <v>112</v>
      </c>
      <c r="B2451" s="132" t="s">
        <v>4464</v>
      </c>
      <c r="C2451" s="136" t="s">
        <v>4465</v>
      </c>
      <c r="D2451" s="137">
        <v>102774.53</v>
      </c>
      <c r="E2451" s="137">
        <v>24133.56</v>
      </c>
      <c r="F2451" s="137">
        <v>65941.42</v>
      </c>
      <c r="G2451" s="137">
        <v>12699.55</v>
      </c>
      <c r="H2451" s="138">
        <v>702061.55</v>
      </c>
      <c r="I2451" s="138">
        <v>277546.28000000003</v>
      </c>
      <c r="J2451" s="138">
        <v>354843.21</v>
      </c>
      <c r="K2451" s="138">
        <v>69672.06</v>
      </c>
      <c r="L2451" s="43">
        <v>6.8310849974210539</v>
      </c>
      <c r="M2451" s="43">
        <v>11.500428449014567</v>
      </c>
      <c r="N2451" s="43">
        <v>5.3811884851736593</v>
      </c>
      <c r="O2451" s="43">
        <v>5.4861833687020409</v>
      </c>
      <c r="P2451" s="139"/>
      <c r="Q2451" s="139"/>
      <c r="R2451" s="139">
        <v>3</v>
      </c>
    </row>
    <row r="2452" spans="1:18" ht="24">
      <c r="A2452" s="135">
        <v>113</v>
      </c>
      <c r="B2452" s="132" t="s">
        <v>4466</v>
      </c>
      <c r="C2452" s="136" t="s">
        <v>4467</v>
      </c>
      <c r="D2452" s="137">
        <v>137904.45000000001</v>
      </c>
      <c r="E2452" s="137">
        <v>28006.6</v>
      </c>
      <c r="F2452" s="137">
        <v>96603</v>
      </c>
      <c r="G2452" s="137">
        <v>13294.85</v>
      </c>
      <c r="H2452" s="138">
        <v>917944.64</v>
      </c>
      <c r="I2452" s="138">
        <v>322075.90000000002</v>
      </c>
      <c r="J2452" s="138">
        <v>521088.49</v>
      </c>
      <c r="K2452" s="138">
        <v>74780.25</v>
      </c>
      <c r="L2452" s="43">
        <v>6.6563815743436843</v>
      </c>
      <c r="M2452" s="43">
        <v>11.500000000000002</v>
      </c>
      <c r="N2452" s="43">
        <v>5.3941232673933524</v>
      </c>
      <c r="O2452" s="43">
        <v>5.624753193905911</v>
      </c>
      <c r="P2452" s="139"/>
      <c r="Q2452" s="139"/>
      <c r="R2452" s="139">
        <v>3</v>
      </c>
    </row>
    <row r="2453" spans="1:18" ht="24">
      <c r="A2453" s="135">
        <v>114</v>
      </c>
      <c r="B2453" s="132" t="s">
        <v>4468</v>
      </c>
      <c r="C2453" s="136" t="s">
        <v>4469</v>
      </c>
      <c r="D2453" s="137">
        <v>236824.93</v>
      </c>
      <c r="E2453" s="137">
        <v>45844.28</v>
      </c>
      <c r="F2453" s="137">
        <v>167801.77</v>
      </c>
      <c r="G2453" s="137">
        <v>23178.880000000001</v>
      </c>
      <c r="H2453" s="138">
        <v>1565527.48</v>
      </c>
      <c r="I2453" s="138">
        <v>527209.22</v>
      </c>
      <c r="J2453" s="138">
        <v>909937.96</v>
      </c>
      <c r="K2453" s="138">
        <v>128380.3</v>
      </c>
      <c r="L2453" s="43">
        <v>6.6104842931865324</v>
      </c>
      <c r="M2453" s="43">
        <v>11.5</v>
      </c>
      <c r="N2453" s="43">
        <v>5.4226958392631976</v>
      </c>
      <c r="O2453" s="43">
        <v>5.5386757254880301</v>
      </c>
      <c r="P2453" s="139"/>
      <c r="Q2453" s="139"/>
      <c r="R2453" s="139">
        <v>3</v>
      </c>
    </row>
    <row r="2454" spans="1:18" ht="12.75" customHeight="1">
      <c r="A2454" s="628" t="s">
        <v>4470</v>
      </c>
      <c r="B2454" s="629"/>
      <c r="C2454" s="629"/>
      <c r="D2454" s="629"/>
      <c r="E2454" s="629"/>
      <c r="F2454" s="629"/>
      <c r="G2454" s="629"/>
      <c r="H2454" s="629"/>
      <c r="I2454" s="629"/>
      <c r="J2454" s="629"/>
      <c r="K2454" s="629"/>
      <c r="L2454" s="629"/>
      <c r="M2454" s="629"/>
      <c r="N2454" s="629"/>
      <c r="O2454" s="629"/>
      <c r="P2454" s="629"/>
      <c r="Q2454" s="629"/>
      <c r="R2454" s="629"/>
    </row>
    <row r="2455" spans="1:18" ht="24">
      <c r="A2455" s="135">
        <v>115</v>
      </c>
      <c r="B2455" s="132" t="s">
        <v>4471</v>
      </c>
      <c r="C2455" s="136" t="s">
        <v>4472</v>
      </c>
      <c r="D2455" s="137">
        <v>15959.38</v>
      </c>
      <c r="E2455" s="137">
        <v>7258.74</v>
      </c>
      <c r="F2455" s="137">
        <v>6328.02</v>
      </c>
      <c r="G2455" s="137">
        <v>2372.62</v>
      </c>
      <c r="H2455" s="138">
        <v>130062.87</v>
      </c>
      <c r="I2455" s="138">
        <v>83478.62</v>
      </c>
      <c r="J2455" s="138">
        <v>33981.26</v>
      </c>
      <c r="K2455" s="138">
        <v>12602.99</v>
      </c>
      <c r="L2455" s="43">
        <v>8.1496192207967972</v>
      </c>
      <c r="M2455" s="43">
        <v>11.500428449014567</v>
      </c>
      <c r="N2455" s="43">
        <v>5.3699672251351922</v>
      </c>
      <c r="O2455" s="43">
        <v>5.3118451332282461</v>
      </c>
      <c r="P2455" s="139"/>
      <c r="Q2455" s="139"/>
      <c r="R2455" s="139">
        <v>4</v>
      </c>
    </row>
    <row r="2456" spans="1:18" ht="24">
      <c r="A2456" s="135">
        <v>116</v>
      </c>
      <c r="B2456" s="132" t="s">
        <v>4473</v>
      </c>
      <c r="C2456" s="136" t="s">
        <v>4474</v>
      </c>
      <c r="D2456" s="137">
        <v>21885.37</v>
      </c>
      <c r="E2456" s="137">
        <v>9347.67</v>
      </c>
      <c r="F2456" s="137">
        <v>8982.5</v>
      </c>
      <c r="G2456" s="137">
        <v>3555.2</v>
      </c>
      <c r="H2456" s="138">
        <v>174666.65</v>
      </c>
      <c r="I2456" s="138">
        <v>107502.21</v>
      </c>
      <c r="J2456" s="138">
        <v>48227.56</v>
      </c>
      <c r="K2456" s="138">
        <v>18936.88</v>
      </c>
      <c r="L2456" s="43">
        <v>7.9809777033698772</v>
      </c>
      <c r="M2456" s="43">
        <v>11.500428449014567</v>
      </c>
      <c r="N2456" s="43">
        <v>5.3690576120233784</v>
      </c>
      <c r="O2456" s="43">
        <v>5.3265301530153017</v>
      </c>
      <c r="P2456" s="139"/>
      <c r="Q2456" s="139"/>
      <c r="R2456" s="139">
        <v>4</v>
      </c>
    </row>
    <row r="2457" spans="1:18" ht="12.75" customHeight="1">
      <c r="A2457" s="628" t="s">
        <v>4475</v>
      </c>
      <c r="B2457" s="629"/>
      <c r="C2457" s="629"/>
      <c r="D2457" s="629"/>
      <c r="E2457" s="629"/>
      <c r="F2457" s="629"/>
      <c r="G2457" s="629"/>
      <c r="H2457" s="629"/>
      <c r="I2457" s="629"/>
      <c r="J2457" s="629"/>
      <c r="K2457" s="629"/>
      <c r="L2457" s="629"/>
      <c r="M2457" s="629"/>
      <c r="N2457" s="629"/>
      <c r="O2457" s="629"/>
      <c r="P2457" s="629"/>
      <c r="Q2457" s="629"/>
      <c r="R2457" s="629"/>
    </row>
    <row r="2458" spans="1:18" ht="24">
      <c r="A2458" s="135">
        <v>117</v>
      </c>
      <c r="B2458" s="132" t="s">
        <v>4476</v>
      </c>
      <c r="C2458" s="136" t="s">
        <v>4477</v>
      </c>
      <c r="D2458" s="137">
        <v>6334.55</v>
      </c>
      <c r="E2458" s="137">
        <v>2043.4</v>
      </c>
      <c r="F2458" s="137">
        <v>2662.69</v>
      </c>
      <c r="G2458" s="137">
        <v>1628.46</v>
      </c>
      <c r="H2458" s="138">
        <v>45080.57</v>
      </c>
      <c r="I2458" s="138">
        <v>23499.1</v>
      </c>
      <c r="J2458" s="138">
        <v>14326.18</v>
      </c>
      <c r="K2458" s="138">
        <v>7255.29</v>
      </c>
      <c r="L2458" s="43">
        <v>7.1166175971458108</v>
      </c>
      <c r="M2458" s="43">
        <v>11.499999999999998</v>
      </c>
      <c r="N2458" s="43">
        <v>5.3803409334169583</v>
      </c>
      <c r="O2458" s="43">
        <v>4.4553074684057332</v>
      </c>
      <c r="P2458" s="139"/>
      <c r="Q2458" s="139"/>
      <c r="R2458" s="139">
        <v>5</v>
      </c>
    </row>
    <row r="2459" spans="1:18" ht="24">
      <c r="A2459" s="135">
        <v>118</v>
      </c>
      <c r="B2459" s="132" t="s">
        <v>4478</v>
      </c>
      <c r="C2459" s="136" t="s">
        <v>4479</v>
      </c>
      <c r="D2459" s="137">
        <v>7572.82</v>
      </c>
      <c r="E2459" s="137">
        <v>2476.12</v>
      </c>
      <c r="F2459" s="137">
        <v>3292.45</v>
      </c>
      <c r="G2459" s="137">
        <v>1804.25</v>
      </c>
      <c r="H2459" s="138">
        <v>54577.9</v>
      </c>
      <c r="I2459" s="138">
        <v>28475.38</v>
      </c>
      <c r="J2459" s="138">
        <v>17722.189999999999</v>
      </c>
      <c r="K2459" s="138">
        <v>8380.33</v>
      </c>
      <c r="L2459" s="43">
        <v>7.2070774163389597</v>
      </c>
      <c r="M2459" s="43">
        <v>11.500000000000002</v>
      </c>
      <c r="N2459" s="43">
        <v>5.3826755151938528</v>
      </c>
      <c r="O2459" s="43">
        <v>4.6447720659553831</v>
      </c>
      <c r="P2459" s="139"/>
      <c r="Q2459" s="139"/>
      <c r="R2459" s="139">
        <v>5</v>
      </c>
    </row>
    <row r="2460" spans="1:18" ht="24">
      <c r="A2460" s="135">
        <v>119</v>
      </c>
      <c r="B2460" s="132" t="s">
        <v>4480</v>
      </c>
      <c r="C2460" s="136" t="s">
        <v>4481</v>
      </c>
      <c r="D2460" s="137">
        <v>10754.51</v>
      </c>
      <c r="E2460" s="137">
        <v>3774.28</v>
      </c>
      <c r="F2460" s="137">
        <v>4689.2700000000004</v>
      </c>
      <c r="G2460" s="137">
        <v>2290.96</v>
      </c>
      <c r="H2460" s="138">
        <v>80653.320000000007</v>
      </c>
      <c r="I2460" s="138">
        <v>43404.22</v>
      </c>
      <c r="J2460" s="138">
        <v>25224.66</v>
      </c>
      <c r="K2460" s="138">
        <v>12024.44</v>
      </c>
      <c r="L2460" s="43">
        <v>7.499488121727536</v>
      </c>
      <c r="M2460" s="43">
        <v>11.5</v>
      </c>
      <c r="N2460" s="43">
        <v>5.379229602901944</v>
      </c>
      <c r="O2460" s="43">
        <v>5.2486468554667036</v>
      </c>
      <c r="P2460" s="139"/>
      <c r="Q2460" s="139"/>
      <c r="R2460" s="139">
        <v>5</v>
      </c>
    </row>
    <row r="2461" spans="1:18" ht="24">
      <c r="A2461" s="135">
        <v>120</v>
      </c>
      <c r="B2461" s="132" t="s">
        <v>4482</v>
      </c>
      <c r="C2461" s="136" t="s">
        <v>4483</v>
      </c>
      <c r="D2461" s="137">
        <v>16779.54</v>
      </c>
      <c r="E2461" s="137">
        <v>6046.06</v>
      </c>
      <c r="F2461" s="137">
        <v>6630.95</v>
      </c>
      <c r="G2461" s="137">
        <v>4102.53</v>
      </c>
      <c r="H2461" s="138">
        <v>127216.25</v>
      </c>
      <c r="I2461" s="138">
        <v>69529.69</v>
      </c>
      <c r="J2461" s="138">
        <v>35690.94</v>
      </c>
      <c r="K2461" s="138">
        <v>21995.62</v>
      </c>
      <c r="L2461" s="43">
        <v>7.5816291745780866</v>
      </c>
      <c r="M2461" s="43">
        <v>11.5</v>
      </c>
      <c r="N2461" s="43">
        <v>5.3824776238698835</v>
      </c>
      <c r="O2461" s="43">
        <v>5.3614769422770827</v>
      </c>
      <c r="P2461" s="139"/>
      <c r="Q2461" s="139"/>
      <c r="R2461" s="139">
        <v>5</v>
      </c>
    </row>
    <row r="2462" spans="1:18" ht="12.75" customHeight="1">
      <c r="A2462" s="628" t="s">
        <v>4484</v>
      </c>
      <c r="B2462" s="629"/>
      <c r="C2462" s="629"/>
      <c r="D2462" s="629"/>
      <c r="E2462" s="629"/>
      <c r="F2462" s="629"/>
      <c r="G2462" s="629"/>
      <c r="H2462" s="629"/>
      <c r="I2462" s="629"/>
      <c r="J2462" s="629"/>
      <c r="K2462" s="629"/>
      <c r="L2462" s="629"/>
      <c r="M2462" s="629"/>
      <c r="N2462" s="629"/>
      <c r="O2462" s="629"/>
      <c r="P2462" s="629"/>
      <c r="Q2462" s="629"/>
      <c r="R2462" s="629"/>
    </row>
    <row r="2463" spans="1:18" ht="24">
      <c r="A2463" s="135">
        <v>121</v>
      </c>
      <c r="B2463" s="132" t="s">
        <v>4485</v>
      </c>
      <c r="C2463" s="136" t="s">
        <v>4486</v>
      </c>
      <c r="D2463" s="137">
        <v>11990.38</v>
      </c>
      <c r="E2463" s="137">
        <v>1682.8</v>
      </c>
      <c r="F2463" s="137">
        <v>9440.0499999999993</v>
      </c>
      <c r="G2463" s="137">
        <v>867.53</v>
      </c>
      <c r="H2463" s="138">
        <v>76619.649999999994</v>
      </c>
      <c r="I2463" s="138">
        <v>19352.2</v>
      </c>
      <c r="J2463" s="138">
        <v>50784.94</v>
      </c>
      <c r="K2463" s="138">
        <v>6482.51</v>
      </c>
      <c r="L2463" s="43">
        <v>6.3900935583359324</v>
      </c>
      <c r="M2463" s="43">
        <v>11.5</v>
      </c>
      <c r="N2463" s="43">
        <v>5.3797320988765955</v>
      </c>
      <c r="O2463" s="43">
        <v>7.4723755950802859</v>
      </c>
      <c r="P2463" s="139"/>
      <c r="Q2463" s="139"/>
      <c r="R2463" s="139">
        <v>6</v>
      </c>
    </row>
    <row r="2464" spans="1:18" ht="24">
      <c r="A2464" s="135">
        <v>122</v>
      </c>
      <c r="B2464" s="132" t="s">
        <v>4487</v>
      </c>
      <c r="C2464" s="136" t="s">
        <v>4488</v>
      </c>
      <c r="D2464" s="137">
        <v>20058.96</v>
      </c>
      <c r="E2464" s="137">
        <v>3065.1</v>
      </c>
      <c r="F2464" s="137">
        <v>14935.97</v>
      </c>
      <c r="G2464" s="137">
        <v>2057.89</v>
      </c>
      <c r="H2464" s="138">
        <v>131208.22</v>
      </c>
      <c r="I2464" s="138">
        <v>35248.65</v>
      </c>
      <c r="J2464" s="138">
        <v>80375.06</v>
      </c>
      <c r="K2464" s="138">
        <v>15584.51</v>
      </c>
      <c r="L2464" s="43">
        <v>6.5411277553771487</v>
      </c>
      <c r="M2464" s="43">
        <v>11.5</v>
      </c>
      <c r="N2464" s="43">
        <v>5.3813083448882129</v>
      </c>
      <c r="O2464" s="43">
        <v>7.5730529814518759</v>
      </c>
      <c r="P2464" s="139"/>
      <c r="Q2464" s="139"/>
      <c r="R2464" s="139">
        <v>6</v>
      </c>
    </row>
    <row r="2465" spans="1:18" ht="24">
      <c r="A2465" s="135">
        <v>123</v>
      </c>
      <c r="B2465" s="132" t="s">
        <v>4489</v>
      </c>
      <c r="C2465" s="136" t="s">
        <v>4490</v>
      </c>
      <c r="D2465" s="137">
        <v>29793.09</v>
      </c>
      <c r="E2465" s="137">
        <v>4795.9799999999996</v>
      </c>
      <c r="F2465" s="137">
        <v>20750.46</v>
      </c>
      <c r="G2465" s="137">
        <v>4246.6499999999996</v>
      </c>
      <c r="H2465" s="138">
        <v>201285.04</v>
      </c>
      <c r="I2465" s="138">
        <v>55153.77</v>
      </c>
      <c r="J2465" s="138">
        <v>111675.09</v>
      </c>
      <c r="K2465" s="138">
        <v>34456.18</v>
      </c>
      <c r="L2465" s="43">
        <v>6.7560981422202264</v>
      </c>
      <c r="M2465" s="43">
        <v>11.5</v>
      </c>
      <c r="N2465" s="43">
        <v>5.3818127405368363</v>
      </c>
      <c r="O2465" s="43">
        <v>8.1137320005180555</v>
      </c>
      <c r="P2465" s="139"/>
      <c r="Q2465" s="139"/>
      <c r="R2465" s="139">
        <v>6</v>
      </c>
    </row>
    <row r="2466" spans="1:18" ht="12.75" customHeight="1">
      <c r="A2466" s="628" t="s">
        <v>4491</v>
      </c>
      <c r="B2466" s="629"/>
      <c r="C2466" s="629"/>
      <c r="D2466" s="629"/>
      <c r="E2466" s="629"/>
      <c r="F2466" s="629"/>
      <c r="G2466" s="629"/>
      <c r="H2466" s="629"/>
      <c r="I2466" s="629"/>
      <c r="J2466" s="629"/>
      <c r="K2466" s="629"/>
      <c r="L2466" s="629"/>
      <c r="M2466" s="629"/>
      <c r="N2466" s="629"/>
      <c r="O2466" s="629"/>
      <c r="P2466" s="629"/>
      <c r="Q2466" s="629"/>
      <c r="R2466" s="629"/>
    </row>
    <row r="2467" spans="1:18" ht="24">
      <c r="A2467" s="135">
        <v>124</v>
      </c>
      <c r="B2467" s="132" t="s">
        <v>4492</v>
      </c>
      <c r="C2467" s="136" t="s">
        <v>4493</v>
      </c>
      <c r="D2467" s="137">
        <v>24221.43</v>
      </c>
      <c r="E2467" s="137">
        <v>14544.2</v>
      </c>
      <c r="F2467" s="137">
        <v>7741.04</v>
      </c>
      <c r="G2467" s="137">
        <v>1936.19</v>
      </c>
      <c r="H2467" s="138">
        <v>222318.06</v>
      </c>
      <c r="I2467" s="138">
        <v>167258.29999999999</v>
      </c>
      <c r="J2467" s="138">
        <v>44857.33</v>
      </c>
      <c r="K2467" s="138">
        <v>10202.43</v>
      </c>
      <c r="L2467" s="43">
        <v>9.1785687302525076</v>
      </c>
      <c r="M2467" s="43">
        <v>11.499999999999998</v>
      </c>
      <c r="N2467" s="43">
        <v>5.7947420501638023</v>
      </c>
      <c r="O2467" s="43">
        <v>5.269333071651026</v>
      </c>
      <c r="P2467" s="139"/>
      <c r="Q2467" s="139"/>
      <c r="R2467" s="139">
        <v>7</v>
      </c>
    </row>
    <row r="2468" spans="1:18" ht="24">
      <c r="A2468" s="135">
        <v>125</v>
      </c>
      <c r="B2468" s="132" t="s">
        <v>4494</v>
      </c>
      <c r="C2468" s="136" t="s">
        <v>4495</v>
      </c>
      <c r="D2468" s="137">
        <v>43589.35</v>
      </c>
      <c r="E2468" s="137">
        <v>26996.92</v>
      </c>
      <c r="F2468" s="137">
        <v>13820.68</v>
      </c>
      <c r="G2468" s="137">
        <v>2771.75</v>
      </c>
      <c r="H2468" s="138">
        <v>404373.33</v>
      </c>
      <c r="I2468" s="138">
        <v>310464.58</v>
      </c>
      <c r="J2468" s="138">
        <v>78468.929999999993</v>
      </c>
      <c r="K2468" s="138">
        <v>15439.82</v>
      </c>
      <c r="L2468" s="43">
        <v>9.2768836883321271</v>
      </c>
      <c r="M2468" s="43">
        <v>11.500000000000002</v>
      </c>
      <c r="N2468" s="43">
        <v>5.6776461071379982</v>
      </c>
      <c r="O2468" s="43">
        <v>5.5704230179489489</v>
      </c>
      <c r="P2468" s="139"/>
      <c r="Q2468" s="139"/>
      <c r="R2468" s="139">
        <v>7</v>
      </c>
    </row>
    <row r="2469" spans="1:18" ht="12.75" customHeight="1">
      <c r="A2469" s="628" t="s">
        <v>4496</v>
      </c>
      <c r="B2469" s="629"/>
      <c r="C2469" s="629"/>
      <c r="D2469" s="629"/>
      <c r="E2469" s="629"/>
      <c r="F2469" s="629"/>
      <c r="G2469" s="629"/>
      <c r="H2469" s="629"/>
      <c r="I2469" s="629"/>
      <c r="J2469" s="629"/>
      <c r="K2469" s="629"/>
      <c r="L2469" s="629"/>
      <c r="M2469" s="629"/>
      <c r="N2469" s="629"/>
      <c r="O2469" s="629"/>
      <c r="P2469" s="629"/>
      <c r="Q2469" s="629"/>
      <c r="R2469" s="629"/>
    </row>
    <row r="2470" spans="1:18" ht="12.75" customHeight="1">
      <c r="A2470" s="628" t="s">
        <v>4497</v>
      </c>
      <c r="B2470" s="629"/>
      <c r="C2470" s="629"/>
      <c r="D2470" s="629"/>
      <c r="E2470" s="629"/>
      <c r="F2470" s="629"/>
      <c r="G2470" s="629"/>
      <c r="H2470" s="629"/>
      <c r="I2470" s="629"/>
      <c r="J2470" s="629"/>
      <c r="K2470" s="629"/>
      <c r="L2470" s="629"/>
      <c r="M2470" s="629"/>
      <c r="N2470" s="629"/>
      <c r="O2470" s="629"/>
      <c r="P2470" s="629"/>
      <c r="Q2470" s="629"/>
      <c r="R2470" s="629"/>
    </row>
    <row r="2471" spans="1:18" ht="24">
      <c r="A2471" s="135">
        <v>126</v>
      </c>
      <c r="B2471" s="132" t="s">
        <v>4498</v>
      </c>
      <c r="C2471" s="136" t="s">
        <v>4499</v>
      </c>
      <c r="D2471" s="137">
        <v>784.36</v>
      </c>
      <c r="E2471" s="137">
        <v>322.87</v>
      </c>
      <c r="F2471" s="137">
        <v>145.84</v>
      </c>
      <c r="G2471" s="137">
        <v>315.64999999999998</v>
      </c>
      <c r="H2471" s="138">
        <v>5796.19</v>
      </c>
      <c r="I2471" s="138">
        <v>3713.13</v>
      </c>
      <c r="J2471" s="138">
        <v>787.14</v>
      </c>
      <c r="K2471" s="138">
        <v>1295.92</v>
      </c>
      <c r="L2471" s="43">
        <v>7.3897062573308165</v>
      </c>
      <c r="M2471" s="43">
        <v>11.500387152724008</v>
      </c>
      <c r="N2471" s="43">
        <v>5.3972846955567739</v>
      </c>
      <c r="O2471" s="43">
        <v>4.1055599556470783</v>
      </c>
      <c r="P2471" s="139"/>
      <c r="Q2471" s="139"/>
      <c r="R2471" s="139">
        <v>1</v>
      </c>
    </row>
    <row r="2472" spans="1:18" ht="24">
      <c r="A2472" s="135">
        <v>127</v>
      </c>
      <c r="B2472" s="132" t="s">
        <v>4500</v>
      </c>
      <c r="C2472" s="136" t="s">
        <v>4501</v>
      </c>
      <c r="D2472" s="137">
        <v>997.44</v>
      </c>
      <c r="E2472" s="137">
        <v>363.08</v>
      </c>
      <c r="F2472" s="137">
        <v>289.23</v>
      </c>
      <c r="G2472" s="137">
        <v>345.13</v>
      </c>
      <c r="H2472" s="138">
        <v>7151.07</v>
      </c>
      <c r="I2472" s="138">
        <v>4175.62</v>
      </c>
      <c r="J2472" s="138">
        <v>1564.37</v>
      </c>
      <c r="K2472" s="138">
        <v>1411.08</v>
      </c>
      <c r="L2472" s="43">
        <v>7.1694237247353216</v>
      </c>
      <c r="M2472" s="43">
        <v>11.500550842789469</v>
      </c>
      <c r="N2472" s="43">
        <v>5.4087404487777881</v>
      </c>
      <c r="O2472" s="43">
        <v>4.0885463448555619</v>
      </c>
      <c r="P2472" s="139"/>
      <c r="Q2472" s="139"/>
      <c r="R2472" s="139">
        <v>1</v>
      </c>
    </row>
    <row r="2473" spans="1:18" ht="24">
      <c r="A2473" s="135">
        <v>128</v>
      </c>
      <c r="B2473" s="132" t="s">
        <v>4502</v>
      </c>
      <c r="C2473" s="136" t="s">
        <v>4503</v>
      </c>
      <c r="D2473" s="137">
        <v>10285.200000000001</v>
      </c>
      <c r="E2473" s="137">
        <v>3341.56</v>
      </c>
      <c r="F2473" s="137">
        <v>5015.25</v>
      </c>
      <c r="G2473" s="137">
        <v>1928.39</v>
      </c>
      <c r="H2473" s="138">
        <v>74273.820000000007</v>
      </c>
      <c r="I2473" s="138">
        <v>38427.94</v>
      </c>
      <c r="J2473" s="138">
        <v>26981.48</v>
      </c>
      <c r="K2473" s="138">
        <v>8864.4</v>
      </c>
      <c r="L2473" s="43">
        <v>7.2214269046785677</v>
      </c>
      <c r="M2473" s="43">
        <v>11.5</v>
      </c>
      <c r="N2473" s="43">
        <v>5.3798873436020136</v>
      </c>
      <c r="O2473" s="43">
        <v>4.5967879941298175</v>
      </c>
      <c r="P2473" s="139"/>
      <c r="Q2473" s="139"/>
      <c r="R2473" s="139">
        <v>1</v>
      </c>
    </row>
    <row r="2474" spans="1:18" ht="24">
      <c r="A2474" s="135">
        <v>129</v>
      </c>
      <c r="B2474" s="132" t="s">
        <v>4504</v>
      </c>
      <c r="C2474" s="136" t="s">
        <v>4505</v>
      </c>
      <c r="D2474" s="137">
        <v>8964.11</v>
      </c>
      <c r="E2474" s="137">
        <v>3738.22</v>
      </c>
      <c r="F2474" s="137">
        <v>2628.44</v>
      </c>
      <c r="G2474" s="137">
        <v>2597.4499999999998</v>
      </c>
      <c r="H2474" s="138">
        <v>69740.789999999994</v>
      </c>
      <c r="I2474" s="138">
        <v>42989.53</v>
      </c>
      <c r="J2474" s="138">
        <v>14444.48</v>
      </c>
      <c r="K2474" s="138">
        <v>12306.78</v>
      </c>
      <c r="L2474" s="43">
        <v>7.7800015840947943</v>
      </c>
      <c r="M2474" s="43">
        <v>11.5</v>
      </c>
      <c r="N2474" s="43">
        <v>5.4954573815647301</v>
      </c>
      <c r="O2474" s="43">
        <v>4.7380238310650835</v>
      </c>
      <c r="P2474" s="139"/>
      <c r="Q2474" s="139"/>
      <c r="R2474" s="139">
        <v>1</v>
      </c>
    </row>
    <row r="2475" spans="1:18" ht="24">
      <c r="A2475" s="135">
        <v>130</v>
      </c>
      <c r="B2475" s="132" t="s">
        <v>4506</v>
      </c>
      <c r="C2475" s="136" t="s">
        <v>4507</v>
      </c>
      <c r="D2475" s="137">
        <v>14780.52</v>
      </c>
      <c r="E2475" s="137">
        <v>4844.0600000000004</v>
      </c>
      <c r="F2475" s="137">
        <v>7144.29</v>
      </c>
      <c r="G2475" s="137">
        <v>2792.17</v>
      </c>
      <c r="H2475" s="138">
        <v>107027.88</v>
      </c>
      <c r="I2475" s="138">
        <v>55706.69</v>
      </c>
      <c r="J2475" s="138">
        <v>38168.959999999999</v>
      </c>
      <c r="K2475" s="138">
        <v>13152.23</v>
      </c>
      <c r="L2475" s="43">
        <v>7.2411444252299653</v>
      </c>
      <c r="M2475" s="43">
        <v>11.5</v>
      </c>
      <c r="N2475" s="43">
        <v>5.3425826779148098</v>
      </c>
      <c r="O2475" s="43">
        <v>4.7103972895633142</v>
      </c>
      <c r="P2475" s="139"/>
      <c r="Q2475" s="139"/>
      <c r="R2475" s="139">
        <v>1</v>
      </c>
    </row>
    <row r="2476" spans="1:18" ht="24">
      <c r="A2476" s="135">
        <v>131</v>
      </c>
      <c r="B2476" s="132" t="s">
        <v>4508</v>
      </c>
      <c r="C2476" s="136" t="s">
        <v>4509</v>
      </c>
      <c r="D2476" s="137">
        <v>21210.959999999999</v>
      </c>
      <c r="E2476" s="137">
        <v>7151.9</v>
      </c>
      <c r="F2476" s="137">
        <v>10979.09</v>
      </c>
      <c r="G2476" s="137">
        <v>3079.97</v>
      </c>
      <c r="H2476" s="138">
        <v>156814.37</v>
      </c>
      <c r="I2476" s="138">
        <v>82246.850000000006</v>
      </c>
      <c r="J2476" s="138">
        <v>59899.46</v>
      </c>
      <c r="K2476" s="138">
        <v>14668.06</v>
      </c>
      <c r="L2476" s="43">
        <v>7.3930821612977446</v>
      </c>
      <c r="M2476" s="43">
        <v>11.500000000000002</v>
      </c>
      <c r="N2476" s="43">
        <v>5.455776389482188</v>
      </c>
      <c r="O2476" s="43">
        <v>4.7624035299045122</v>
      </c>
      <c r="P2476" s="139"/>
      <c r="Q2476" s="139"/>
      <c r="R2476" s="139">
        <v>1</v>
      </c>
    </row>
    <row r="2477" spans="1:18" ht="12.75" customHeight="1">
      <c r="A2477" s="628" t="s">
        <v>4510</v>
      </c>
      <c r="B2477" s="629"/>
      <c r="C2477" s="629"/>
      <c r="D2477" s="629"/>
      <c r="E2477" s="629"/>
      <c r="F2477" s="629"/>
      <c r="G2477" s="629"/>
      <c r="H2477" s="629"/>
      <c r="I2477" s="629"/>
      <c r="J2477" s="629"/>
      <c r="K2477" s="629"/>
      <c r="L2477" s="629"/>
      <c r="M2477" s="629"/>
      <c r="N2477" s="629"/>
      <c r="O2477" s="629"/>
      <c r="P2477" s="629"/>
      <c r="Q2477" s="629"/>
      <c r="R2477" s="629"/>
    </row>
    <row r="2478" spans="1:18" ht="24">
      <c r="A2478" s="135">
        <v>132</v>
      </c>
      <c r="B2478" s="132" t="s">
        <v>4511</v>
      </c>
      <c r="C2478" s="136" t="s">
        <v>4512</v>
      </c>
      <c r="D2478" s="137">
        <v>22088.38</v>
      </c>
      <c r="E2478" s="137">
        <v>9002.98</v>
      </c>
      <c r="F2478" s="137">
        <v>8681.93</v>
      </c>
      <c r="G2478" s="137">
        <v>4403.47</v>
      </c>
      <c r="H2478" s="138">
        <v>172093.92</v>
      </c>
      <c r="I2478" s="138">
        <v>103534.27</v>
      </c>
      <c r="J2478" s="138">
        <v>46927.91</v>
      </c>
      <c r="K2478" s="138">
        <v>21631.74</v>
      </c>
      <c r="L2478" s="43">
        <v>7.7911517277410116</v>
      </c>
      <c r="M2478" s="43">
        <v>11.500000000000002</v>
      </c>
      <c r="N2478" s="43">
        <v>5.405239388016259</v>
      </c>
      <c r="O2478" s="43">
        <v>4.9124304241881971</v>
      </c>
      <c r="P2478" s="139"/>
      <c r="Q2478" s="139"/>
      <c r="R2478" s="139">
        <v>2</v>
      </c>
    </row>
    <row r="2479" spans="1:18" ht="24">
      <c r="A2479" s="135">
        <v>133</v>
      </c>
      <c r="B2479" s="132" t="s">
        <v>4513</v>
      </c>
      <c r="C2479" s="136" t="s">
        <v>4514</v>
      </c>
      <c r="D2479" s="137">
        <v>87006.77</v>
      </c>
      <c r="E2479" s="137">
        <v>19652.7</v>
      </c>
      <c r="F2479" s="137">
        <v>59499.43</v>
      </c>
      <c r="G2479" s="137">
        <v>7854.64</v>
      </c>
      <c r="H2479" s="138">
        <v>587101.29</v>
      </c>
      <c r="I2479" s="138">
        <v>226006.05</v>
      </c>
      <c r="J2479" s="138">
        <v>321084.68</v>
      </c>
      <c r="K2479" s="138">
        <v>40010.559999999998</v>
      </c>
      <c r="L2479" s="43">
        <v>6.7477656049063768</v>
      </c>
      <c r="M2479" s="43">
        <v>11.499999999999998</v>
      </c>
      <c r="N2479" s="43">
        <v>5.3964328733905518</v>
      </c>
      <c r="O2479" s="43">
        <v>5.0938757218663104</v>
      </c>
      <c r="P2479" s="139"/>
      <c r="Q2479" s="139"/>
      <c r="R2479" s="139">
        <v>2</v>
      </c>
    </row>
    <row r="2480" spans="1:18" ht="24">
      <c r="A2480" s="135">
        <v>134</v>
      </c>
      <c r="B2480" s="132" t="s">
        <v>4515</v>
      </c>
      <c r="C2480" s="136" t="s">
        <v>4516</v>
      </c>
      <c r="D2480" s="137">
        <v>51103.28</v>
      </c>
      <c r="E2480" s="137">
        <v>17765.560000000001</v>
      </c>
      <c r="F2480" s="137">
        <v>26097.89</v>
      </c>
      <c r="G2480" s="137">
        <v>7239.83</v>
      </c>
      <c r="H2480" s="138">
        <v>384941.76</v>
      </c>
      <c r="I2480" s="138">
        <v>204303.94</v>
      </c>
      <c r="J2480" s="138">
        <v>144844.07</v>
      </c>
      <c r="K2480" s="138">
        <v>35793.75</v>
      </c>
      <c r="L2480" s="43">
        <v>7.5326233462901016</v>
      </c>
      <c r="M2480" s="43">
        <v>11.5</v>
      </c>
      <c r="N2480" s="43">
        <v>5.5500299066322993</v>
      </c>
      <c r="O2480" s="43">
        <v>4.9440042100436061</v>
      </c>
      <c r="P2480" s="139"/>
      <c r="Q2480" s="139"/>
      <c r="R2480" s="139">
        <v>2</v>
      </c>
    </row>
    <row r="2481" spans="1:18" ht="12.75" customHeight="1">
      <c r="A2481" s="628" t="s">
        <v>4517</v>
      </c>
      <c r="B2481" s="629"/>
      <c r="C2481" s="629"/>
      <c r="D2481" s="629"/>
      <c r="E2481" s="629"/>
      <c r="F2481" s="629"/>
      <c r="G2481" s="629"/>
      <c r="H2481" s="629"/>
      <c r="I2481" s="629"/>
      <c r="J2481" s="629"/>
      <c r="K2481" s="629"/>
      <c r="L2481" s="629"/>
      <c r="M2481" s="629"/>
      <c r="N2481" s="629"/>
      <c r="O2481" s="629"/>
      <c r="P2481" s="629"/>
      <c r="Q2481" s="629"/>
      <c r="R2481" s="629"/>
    </row>
    <row r="2482" spans="1:18" ht="24">
      <c r="A2482" s="135">
        <v>135</v>
      </c>
      <c r="B2482" s="132" t="s">
        <v>4518</v>
      </c>
      <c r="C2482" s="136" t="s">
        <v>4519</v>
      </c>
      <c r="D2482" s="137">
        <v>131024.67</v>
      </c>
      <c r="E2482" s="137">
        <v>27213.279999999999</v>
      </c>
      <c r="F2482" s="137">
        <v>90148.01</v>
      </c>
      <c r="G2482" s="137">
        <v>13663.38</v>
      </c>
      <c r="H2482" s="138">
        <v>865312.12</v>
      </c>
      <c r="I2482" s="138">
        <v>312952.71999999997</v>
      </c>
      <c r="J2482" s="138">
        <v>485791.29</v>
      </c>
      <c r="K2482" s="138">
        <v>66568.11</v>
      </c>
      <c r="L2482" s="43">
        <v>6.6041923250026118</v>
      </c>
      <c r="M2482" s="43">
        <v>11.5</v>
      </c>
      <c r="N2482" s="43">
        <v>5.3888187881241087</v>
      </c>
      <c r="O2482" s="43">
        <v>4.8720089758171117</v>
      </c>
      <c r="P2482" s="139"/>
      <c r="Q2482" s="139"/>
      <c r="R2482" s="139">
        <v>3</v>
      </c>
    </row>
    <row r="2483" spans="1:18" ht="24">
      <c r="A2483" s="135">
        <v>136</v>
      </c>
      <c r="B2483" s="132" t="s">
        <v>4520</v>
      </c>
      <c r="C2483" s="136" t="s">
        <v>4521</v>
      </c>
      <c r="D2483" s="137">
        <v>159600.60999999999</v>
      </c>
      <c r="E2483" s="137">
        <v>31360.18</v>
      </c>
      <c r="F2483" s="137">
        <v>113451.83</v>
      </c>
      <c r="G2483" s="137">
        <v>14788.6</v>
      </c>
      <c r="H2483" s="138">
        <v>1047731.77</v>
      </c>
      <c r="I2483" s="138">
        <v>360642.07</v>
      </c>
      <c r="J2483" s="138">
        <v>614008.18999999994</v>
      </c>
      <c r="K2483" s="138">
        <v>73081.509999999995</v>
      </c>
      <c r="L2483" s="43">
        <v>6.5647103103177367</v>
      </c>
      <c r="M2483" s="43">
        <v>11.5</v>
      </c>
      <c r="N2483" s="43">
        <v>5.4120606957155291</v>
      </c>
      <c r="O2483" s="43">
        <v>4.9417463451577559</v>
      </c>
      <c r="P2483" s="139"/>
      <c r="Q2483" s="139"/>
      <c r="R2483" s="139">
        <v>3</v>
      </c>
    </row>
    <row r="2484" spans="1:18" ht="24">
      <c r="A2484" s="140">
        <v>137</v>
      </c>
      <c r="B2484" s="141" t="s">
        <v>4522</v>
      </c>
      <c r="C2484" s="142" t="s">
        <v>4523</v>
      </c>
      <c r="D2484" s="143">
        <v>220852.2</v>
      </c>
      <c r="E2484" s="143">
        <v>49438.26</v>
      </c>
      <c r="F2484" s="143">
        <v>146808.21</v>
      </c>
      <c r="G2484" s="143">
        <v>24605.73</v>
      </c>
      <c r="H2484" s="144">
        <v>1491058.73</v>
      </c>
      <c r="I2484" s="144">
        <v>568539.99</v>
      </c>
      <c r="J2484" s="144">
        <v>796720.47</v>
      </c>
      <c r="K2484" s="144">
        <v>125798.27</v>
      </c>
      <c r="L2484" s="611">
        <v>6.7513872626127336</v>
      </c>
      <c r="M2484" s="611">
        <v>11.5</v>
      </c>
      <c r="N2484" s="611">
        <v>5.4269476482275758</v>
      </c>
      <c r="O2484" s="611">
        <v>5.1125599606270571</v>
      </c>
      <c r="P2484" s="145"/>
      <c r="Q2484" s="145"/>
      <c r="R2484" s="145">
        <v>3</v>
      </c>
    </row>
    <row r="2485" spans="1:18" ht="12.75" customHeight="1">
      <c r="A2485" s="630" t="s">
        <v>4524</v>
      </c>
      <c r="B2485" s="631"/>
      <c r="C2485" s="631"/>
      <c r="D2485" s="631"/>
      <c r="E2485" s="631"/>
      <c r="F2485" s="631"/>
      <c r="G2485" s="631"/>
      <c r="H2485" s="631"/>
      <c r="I2485" s="631"/>
      <c r="J2485" s="631"/>
      <c r="K2485" s="631"/>
      <c r="L2485" s="631"/>
      <c r="M2485" s="631"/>
      <c r="N2485" s="631"/>
      <c r="O2485" s="631"/>
      <c r="P2485" s="631"/>
      <c r="Q2485" s="631"/>
      <c r="R2485" s="631"/>
    </row>
    <row r="2486" spans="1:18" ht="31.5" customHeight="1">
      <c r="A2486" s="628" t="s">
        <v>4525</v>
      </c>
      <c r="B2486" s="629"/>
      <c r="C2486" s="629"/>
      <c r="D2486" s="629"/>
      <c r="E2486" s="629"/>
      <c r="F2486" s="629"/>
      <c r="G2486" s="629"/>
      <c r="H2486" s="629"/>
      <c r="I2486" s="629"/>
      <c r="J2486" s="629"/>
      <c r="K2486" s="629"/>
      <c r="L2486" s="629"/>
      <c r="M2486" s="629"/>
      <c r="N2486" s="629"/>
      <c r="O2486" s="629"/>
      <c r="P2486" s="629"/>
      <c r="Q2486" s="629"/>
      <c r="R2486" s="629"/>
    </row>
    <row r="2487" spans="1:18" ht="30.75" customHeight="1">
      <c r="A2487" s="628" t="s">
        <v>4526</v>
      </c>
      <c r="B2487" s="629"/>
      <c r="C2487" s="629"/>
      <c r="D2487" s="629"/>
      <c r="E2487" s="629"/>
      <c r="F2487" s="629"/>
      <c r="G2487" s="629"/>
      <c r="H2487" s="629"/>
      <c r="I2487" s="629"/>
      <c r="J2487" s="629"/>
      <c r="K2487" s="629"/>
      <c r="L2487" s="629"/>
      <c r="M2487" s="629"/>
      <c r="N2487" s="629"/>
      <c r="O2487" s="629"/>
      <c r="P2487" s="629"/>
      <c r="Q2487" s="629"/>
      <c r="R2487" s="629"/>
    </row>
    <row r="2488" spans="1:18" ht="60">
      <c r="A2488" s="135">
        <v>138</v>
      </c>
      <c r="B2488" s="132" t="s">
        <v>4527</v>
      </c>
      <c r="C2488" s="136" t="s">
        <v>4528</v>
      </c>
      <c r="D2488" s="137">
        <v>679.63</v>
      </c>
      <c r="E2488" s="137">
        <v>340.57</v>
      </c>
      <c r="F2488" s="137">
        <v>57.16</v>
      </c>
      <c r="G2488" s="137">
        <v>281.89999999999998</v>
      </c>
      <c r="H2488" s="138">
        <v>5434.56</v>
      </c>
      <c r="I2488" s="138">
        <v>3916.58</v>
      </c>
      <c r="J2488" s="138">
        <v>295.67</v>
      </c>
      <c r="K2488" s="138">
        <v>1222.31</v>
      </c>
      <c r="L2488" s="43">
        <v>7.9963509556670544</v>
      </c>
      <c r="M2488" s="43">
        <v>11.50007340634818</v>
      </c>
      <c r="N2488" s="43">
        <v>5.172673198040588</v>
      </c>
      <c r="O2488" s="43">
        <v>4.3359702021993618</v>
      </c>
      <c r="P2488" s="139"/>
      <c r="Q2488" s="139"/>
      <c r="R2488" s="139">
        <v>1</v>
      </c>
    </row>
    <row r="2489" spans="1:18" ht="60">
      <c r="A2489" s="135">
        <v>139</v>
      </c>
      <c r="B2489" s="132" t="s">
        <v>4529</v>
      </c>
      <c r="C2489" s="136" t="s">
        <v>4530</v>
      </c>
      <c r="D2489" s="137">
        <v>713.52</v>
      </c>
      <c r="E2489" s="137">
        <v>352.94</v>
      </c>
      <c r="F2489" s="137">
        <v>75.84</v>
      </c>
      <c r="G2489" s="137">
        <v>284.74</v>
      </c>
      <c r="H2489" s="138">
        <v>5702.83</v>
      </c>
      <c r="I2489" s="138">
        <v>4058.76</v>
      </c>
      <c r="J2489" s="138">
        <v>396.24</v>
      </c>
      <c r="K2489" s="138">
        <v>1247.83</v>
      </c>
      <c r="L2489" s="43">
        <v>7.9925299921515869</v>
      </c>
      <c r="M2489" s="43">
        <v>11.499858332861111</v>
      </c>
      <c r="N2489" s="43">
        <v>5.2246835443037973</v>
      </c>
      <c r="O2489" s="43">
        <v>4.3823488094401908</v>
      </c>
      <c r="P2489" s="139"/>
      <c r="Q2489" s="139"/>
      <c r="R2489" s="139">
        <v>1</v>
      </c>
    </row>
    <row r="2490" spans="1:18" ht="60">
      <c r="A2490" s="135">
        <v>140</v>
      </c>
      <c r="B2490" s="132" t="s">
        <v>4531</v>
      </c>
      <c r="C2490" s="136" t="s">
        <v>4532</v>
      </c>
      <c r="D2490" s="137">
        <v>793.58</v>
      </c>
      <c r="E2490" s="137">
        <v>392.28</v>
      </c>
      <c r="F2490" s="137">
        <v>115.77</v>
      </c>
      <c r="G2490" s="137">
        <v>285.52999999999997</v>
      </c>
      <c r="H2490" s="138">
        <v>6379.4</v>
      </c>
      <c r="I2490" s="138">
        <v>4511.17</v>
      </c>
      <c r="J2490" s="138">
        <v>611.30999999999995</v>
      </c>
      <c r="K2490" s="138">
        <v>1256.92</v>
      </c>
      <c r="L2490" s="43">
        <v>8.0387610574863277</v>
      </c>
      <c r="M2490" s="43">
        <v>11.499872540022434</v>
      </c>
      <c r="N2490" s="43">
        <v>5.280383519046385</v>
      </c>
      <c r="O2490" s="43">
        <v>4.4020593282667324</v>
      </c>
      <c r="P2490" s="139"/>
      <c r="Q2490" s="139"/>
      <c r="R2490" s="139">
        <v>1</v>
      </c>
    </row>
    <row r="2491" spans="1:18" ht="60">
      <c r="A2491" s="135">
        <v>141</v>
      </c>
      <c r="B2491" s="132" t="s">
        <v>4533</v>
      </c>
      <c r="C2491" s="136" t="s">
        <v>4534</v>
      </c>
      <c r="D2491" s="137">
        <v>1147.7</v>
      </c>
      <c r="E2491" s="137">
        <v>404.64</v>
      </c>
      <c r="F2491" s="137">
        <v>143.11000000000001</v>
      </c>
      <c r="G2491" s="137">
        <v>599.95000000000005</v>
      </c>
      <c r="H2491" s="138">
        <v>7861.99</v>
      </c>
      <c r="I2491" s="138">
        <v>4653.3599999999997</v>
      </c>
      <c r="J2491" s="138">
        <v>757.72</v>
      </c>
      <c r="K2491" s="138">
        <v>2450.91</v>
      </c>
      <c r="L2491" s="43">
        <v>6.8502134704190984</v>
      </c>
      <c r="M2491" s="43">
        <v>11.5</v>
      </c>
      <c r="N2491" s="43">
        <v>5.2946684368667452</v>
      </c>
      <c r="O2491" s="43">
        <v>4.0851904325360442</v>
      </c>
      <c r="P2491" s="139"/>
      <c r="Q2491" s="139"/>
      <c r="R2491" s="139">
        <v>1</v>
      </c>
    </row>
    <row r="2492" spans="1:18" ht="60">
      <c r="A2492" s="135">
        <v>142</v>
      </c>
      <c r="B2492" s="132" t="s">
        <v>4535</v>
      </c>
      <c r="C2492" s="136" t="s">
        <v>4536</v>
      </c>
      <c r="D2492" s="137">
        <v>1204.7</v>
      </c>
      <c r="E2492" s="137">
        <v>417</v>
      </c>
      <c r="F2492" s="137">
        <v>185.52</v>
      </c>
      <c r="G2492" s="137">
        <v>602.17999999999995</v>
      </c>
      <c r="H2492" s="138">
        <v>8229.02</v>
      </c>
      <c r="I2492" s="138">
        <v>4795.55</v>
      </c>
      <c r="J2492" s="138">
        <v>986.37</v>
      </c>
      <c r="K2492" s="138">
        <v>2447.1</v>
      </c>
      <c r="L2492" s="43">
        <v>6.8307628455217069</v>
      </c>
      <c r="M2492" s="43">
        <v>11.500119904076739</v>
      </c>
      <c r="N2492" s="43">
        <v>5.316785252263907</v>
      </c>
      <c r="O2492" s="43">
        <v>4.0637350958185259</v>
      </c>
      <c r="P2492" s="139"/>
      <c r="Q2492" s="139"/>
      <c r="R2492" s="139">
        <v>1</v>
      </c>
    </row>
    <row r="2493" spans="1:18" ht="60">
      <c r="A2493" s="135">
        <v>143</v>
      </c>
      <c r="B2493" s="132" t="s">
        <v>4537</v>
      </c>
      <c r="C2493" s="136" t="s">
        <v>4538</v>
      </c>
      <c r="D2493" s="137">
        <v>1349.87</v>
      </c>
      <c r="E2493" s="137">
        <v>536.19000000000005</v>
      </c>
      <c r="F2493" s="137">
        <v>215.58</v>
      </c>
      <c r="G2493" s="137">
        <v>598.1</v>
      </c>
      <c r="H2493" s="138">
        <v>9731.4500000000007</v>
      </c>
      <c r="I2493" s="138">
        <v>6166.21</v>
      </c>
      <c r="J2493" s="138">
        <v>1147.3900000000001</v>
      </c>
      <c r="K2493" s="138">
        <v>2417.85</v>
      </c>
      <c r="L2493" s="43">
        <v>7.2091756984005881</v>
      </c>
      <c r="M2493" s="43">
        <v>11.500046625263431</v>
      </c>
      <c r="N2493" s="43">
        <v>5.3223397346692645</v>
      </c>
      <c r="O2493" s="43">
        <v>4.0425514128072226</v>
      </c>
      <c r="P2493" s="139"/>
      <c r="Q2493" s="139"/>
      <c r="R2493" s="139">
        <v>1</v>
      </c>
    </row>
    <row r="2494" spans="1:18" ht="60">
      <c r="A2494" s="135">
        <v>144</v>
      </c>
      <c r="B2494" s="132" t="s">
        <v>4539</v>
      </c>
      <c r="C2494" s="136" t="s">
        <v>4540</v>
      </c>
      <c r="D2494" s="137">
        <v>1811.34</v>
      </c>
      <c r="E2494" s="137">
        <v>702.05</v>
      </c>
      <c r="F2494" s="137">
        <v>358.92</v>
      </c>
      <c r="G2494" s="137">
        <v>750.37</v>
      </c>
      <c r="H2494" s="138">
        <v>13070.35</v>
      </c>
      <c r="I2494" s="138">
        <v>8073.55</v>
      </c>
      <c r="J2494" s="138">
        <v>1919.3</v>
      </c>
      <c r="K2494" s="138">
        <v>3077.5</v>
      </c>
      <c r="L2494" s="43">
        <v>7.2158457274724794</v>
      </c>
      <c r="M2494" s="43">
        <v>11.499964390000713</v>
      </c>
      <c r="N2494" s="43">
        <v>5.3474311824361971</v>
      </c>
      <c r="O2494" s="43">
        <v>4.1013100203899411</v>
      </c>
      <c r="P2494" s="139"/>
      <c r="Q2494" s="139"/>
      <c r="R2494" s="139">
        <v>1</v>
      </c>
    </row>
    <row r="2495" spans="1:18" ht="60">
      <c r="A2495" s="135">
        <v>145</v>
      </c>
      <c r="B2495" s="132" t="s">
        <v>4541</v>
      </c>
      <c r="C2495" s="136" t="s">
        <v>4542</v>
      </c>
      <c r="D2495" s="137">
        <v>1883.11</v>
      </c>
      <c r="E2495" s="137">
        <v>742.94</v>
      </c>
      <c r="F2495" s="137">
        <v>388.98</v>
      </c>
      <c r="G2495" s="137">
        <v>751.19</v>
      </c>
      <c r="H2495" s="138">
        <v>13711.11</v>
      </c>
      <c r="I2495" s="138">
        <v>8543.86</v>
      </c>
      <c r="J2495" s="138">
        <v>2080.3200000000002</v>
      </c>
      <c r="K2495" s="138">
        <v>3086.93</v>
      </c>
      <c r="L2495" s="43">
        <v>7.2810988205681033</v>
      </c>
      <c r="M2495" s="43">
        <v>11.500067300185748</v>
      </c>
      <c r="N2495" s="43">
        <v>5.3481412926114453</v>
      </c>
      <c r="O2495" s="43">
        <v>4.1093864401815781</v>
      </c>
      <c r="P2495" s="139"/>
      <c r="Q2495" s="139"/>
      <c r="R2495" s="139">
        <v>1</v>
      </c>
    </row>
    <row r="2496" spans="1:18" ht="60">
      <c r="A2496" s="135">
        <v>146</v>
      </c>
      <c r="B2496" s="132" t="s">
        <v>4543</v>
      </c>
      <c r="C2496" s="136" t="s">
        <v>4544</v>
      </c>
      <c r="D2496" s="137">
        <v>4629.1899999999996</v>
      </c>
      <c r="E2496" s="137">
        <v>1544.96</v>
      </c>
      <c r="F2496" s="137">
        <v>970.35</v>
      </c>
      <c r="G2496" s="137">
        <v>2113.88</v>
      </c>
      <c r="H2496" s="138">
        <v>31673.32</v>
      </c>
      <c r="I2496" s="138">
        <v>17767.04</v>
      </c>
      <c r="J2496" s="138">
        <v>5617.33</v>
      </c>
      <c r="K2496" s="138">
        <v>8288.9500000000007</v>
      </c>
      <c r="L2496" s="43">
        <v>6.8420868445667606</v>
      </c>
      <c r="M2496" s="43">
        <v>11.5</v>
      </c>
      <c r="N2496" s="43">
        <v>5.7889730509609931</v>
      </c>
      <c r="O2496" s="43">
        <v>3.9212017711506806</v>
      </c>
      <c r="P2496" s="139"/>
      <c r="Q2496" s="139"/>
      <c r="R2496" s="139">
        <v>1</v>
      </c>
    </row>
    <row r="2497" spans="1:18" ht="60">
      <c r="A2497" s="135">
        <v>147</v>
      </c>
      <c r="B2497" s="132" t="s">
        <v>4545</v>
      </c>
      <c r="C2497" s="136" t="s">
        <v>4546</v>
      </c>
      <c r="D2497" s="137">
        <v>6889.11</v>
      </c>
      <c r="E2497" s="137">
        <v>1749.44</v>
      </c>
      <c r="F2497" s="137">
        <v>1034.55</v>
      </c>
      <c r="G2497" s="137">
        <v>4105.12</v>
      </c>
      <c r="H2497" s="138">
        <v>42103.22</v>
      </c>
      <c r="I2497" s="138">
        <v>20118.560000000001</v>
      </c>
      <c r="J2497" s="138">
        <v>6155.6</v>
      </c>
      <c r="K2497" s="138">
        <v>15829.06</v>
      </c>
      <c r="L2497" s="43">
        <v>6.111561580523464</v>
      </c>
      <c r="M2497" s="43">
        <v>11.5</v>
      </c>
      <c r="N2497" s="43">
        <v>5.9500265816055293</v>
      </c>
      <c r="O2497" s="43">
        <v>3.8559311299060686</v>
      </c>
      <c r="P2497" s="139"/>
      <c r="Q2497" s="139"/>
      <c r="R2497" s="139">
        <v>1</v>
      </c>
    </row>
    <row r="2498" spans="1:18" ht="60">
      <c r="A2498" s="135">
        <v>148</v>
      </c>
      <c r="B2498" s="132" t="s">
        <v>4547</v>
      </c>
      <c r="C2498" s="136" t="s">
        <v>4548</v>
      </c>
      <c r="D2498" s="137">
        <v>7484.13</v>
      </c>
      <c r="E2498" s="137">
        <v>1885.76</v>
      </c>
      <c r="F2498" s="137">
        <v>1177.5899999999999</v>
      </c>
      <c r="G2498" s="137">
        <v>4420.78</v>
      </c>
      <c r="H2498" s="138">
        <v>45705.21</v>
      </c>
      <c r="I2498" s="138">
        <v>21686.240000000002</v>
      </c>
      <c r="J2498" s="138">
        <v>7002.27</v>
      </c>
      <c r="K2498" s="138">
        <v>17016.7</v>
      </c>
      <c r="L2498" s="43">
        <v>6.106950306849293</v>
      </c>
      <c r="M2498" s="43">
        <v>11.500000000000002</v>
      </c>
      <c r="N2498" s="43">
        <v>5.9462716225511434</v>
      </c>
      <c r="O2498" s="43">
        <v>3.849252846782695</v>
      </c>
      <c r="P2498" s="139"/>
      <c r="Q2498" s="139"/>
      <c r="R2498" s="139">
        <v>1</v>
      </c>
    </row>
    <row r="2499" spans="1:18" ht="60">
      <c r="A2499" s="135">
        <v>149</v>
      </c>
      <c r="B2499" s="132" t="s">
        <v>4549</v>
      </c>
      <c r="C2499" s="136" t="s">
        <v>4550</v>
      </c>
      <c r="D2499" s="137">
        <v>8417.48</v>
      </c>
      <c r="E2499" s="137">
        <v>2044.8</v>
      </c>
      <c r="F2499" s="137">
        <v>1312.43</v>
      </c>
      <c r="G2499" s="137">
        <v>5060.25</v>
      </c>
      <c r="H2499" s="138">
        <v>50737.599999999999</v>
      </c>
      <c r="I2499" s="138">
        <v>23515.200000000001</v>
      </c>
      <c r="J2499" s="138">
        <v>7813.38</v>
      </c>
      <c r="K2499" s="138">
        <v>19409.02</v>
      </c>
      <c r="L2499" s="43">
        <v>6.0276472293370462</v>
      </c>
      <c r="M2499" s="43">
        <v>11.5</v>
      </c>
      <c r="N2499" s="43">
        <v>5.9533689415816458</v>
      </c>
      <c r="O2499" s="43">
        <v>3.8355851983597651</v>
      </c>
      <c r="P2499" s="139"/>
      <c r="Q2499" s="139"/>
      <c r="R2499" s="139">
        <v>1</v>
      </c>
    </row>
    <row r="2500" spans="1:18" ht="60">
      <c r="A2500" s="135">
        <v>150</v>
      </c>
      <c r="B2500" s="132" t="s">
        <v>4551</v>
      </c>
      <c r="C2500" s="136" t="s">
        <v>4552</v>
      </c>
      <c r="D2500" s="137">
        <v>9660.58</v>
      </c>
      <c r="E2500" s="137">
        <v>2272</v>
      </c>
      <c r="F2500" s="137">
        <v>1405.81</v>
      </c>
      <c r="G2500" s="137">
        <v>5982.77</v>
      </c>
      <c r="H2500" s="138">
        <v>57333.11</v>
      </c>
      <c r="I2500" s="138">
        <v>26128</v>
      </c>
      <c r="J2500" s="138">
        <v>8361.7000000000007</v>
      </c>
      <c r="K2500" s="138">
        <v>22843.41</v>
      </c>
      <c r="L2500" s="43">
        <v>5.9347482242267029</v>
      </c>
      <c r="M2500" s="43">
        <v>11.5</v>
      </c>
      <c r="N2500" s="43">
        <v>5.9479588280066302</v>
      </c>
      <c r="O2500" s="43">
        <v>3.8181995965079718</v>
      </c>
      <c r="P2500" s="139"/>
      <c r="Q2500" s="139"/>
      <c r="R2500" s="139">
        <v>1</v>
      </c>
    </row>
    <row r="2501" spans="1:18" ht="19.5" customHeight="1">
      <c r="A2501" s="628" t="s">
        <v>4553</v>
      </c>
      <c r="B2501" s="629"/>
      <c r="C2501" s="629"/>
      <c r="D2501" s="629"/>
      <c r="E2501" s="629"/>
      <c r="F2501" s="629"/>
      <c r="G2501" s="629"/>
      <c r="H2501" s="629"/>
      <c r="I2501" s="629"/>
      <c r="J2501" s="629"/>
      <c r="K2501" s="629"/>
      <c r="L2501" s="629"/>
      <c r="M2501" s="629"/>
      <c r="N2501" s="629"/>
      <c r="O2501" s="629"/>
      <c r="P2501" s="629"/>
      <c r="Q2501" s="629"/>
      <c r="R2501" s="629"/>
    </row>
    <row r="2502" spans="1:18" ht="24">
      <c r="A2502" s="135">
        <v>151</v>
      </c>
      <c r="B2502" s="132" t="s">
        <v>4554</v>
      </c>
      <c r="C2502" s="136" t="s">
        <v>4555</v>
      </c>
      <c r="D2502" s="137">
        <v>2013.28</v>
      </c>
      <c r="E2502" s="137">
        <v>301.08999999999997</v>
      </c>
      <c r="F2502" s="137">
        <v>1562.77</v>
      </c>
      <c r="G2502" s="137">
        <v>149.41999999999999</v>
      </c>
      <c r="H2502" s="138">
        <v>12465.8</v>
      </c>
      <c r="I2502" s="138">
        <v>3462.62</v>
      </c>
      <c r="J2502" s="138">
        <v>8404.15</v>
      </c>
      <c r="K2502" s="138">
        <v>599.03</v>
      </c>
      <c r="L2502" s="43">
        <v>6.1917865373917191</v>
      </c>
      <c r="M2502" s="43">
        <v>11.500282307615663</v>
      </c>
      <c r="N2502" s="43">
        <v>5.3777267288212593</v>
      </c>
      <c r="O2502" s="43">
        <v>4.009034935082318</v>
      </c>
      <c r="P2502" s="139"/>
      <c r="Q2502" s="139"/>
      <c r="R2502" s="139">
        <v>2</v>
      </c>
    </row>
    <row r="2503" spans="1:18" ht="24">
      <c r="A2503" s="135">
        <v>152</v>
      </c>
      <c r="B2503" s="132" t="s">
        <v>4556</v>
      </c>
      <c r="C2503" s="136" t="s">
        <v>4557</v>
      </c>
      <c r="D2503" s="137">
        <v>2799.36</v>
      </c>
      <c r="E2503" s="137">
        <v>550.82000000000005</v>
      </c>
      <c r="F2503" s="137">
        <v>1979.4</v>
      </c>
      <c r="G2503" s="137">
        <v>269.14</v>
      </c>
      <c r="H2503" s="138">
        <v>18065.75</v>
      </c>
      <c r="I2503" s="138">
        <v>6334.71</v>
      </c>
      <c r="J2503" s="138">
        <v>10650.67</v>
      </c>
      <c r="K2503" s="138">
        <v>1080.3699999999999</v>
      </c>
      <c r="L2503" s="43">
        <v>6.4535286636945584</v>
      </c>
      <c r="M2503" s="43">
        <v>11.500508333030753</v>
      </c>
      <c r="N2503" s="43">
        <v>5.3807567949883799</v>
      </c>
      <c r="O2503" s="43">
        <v>4.0141562012335585</v>
      </c>
      <c r="P2503" s="139"/>
      <c r="Q2503" s="139"/>
      <c r="R2503" s="139">
        <v>2</v>
      </c>
    </row>
    <row r="2504" spans="1:18" ht="24">
      <c r="A2504" s="135">
        <v>153</v>
      </c>
      <c r="B2504" s="132" t="s">
        <v>4558</v>
      </c>
      <c r="C2504" s="136" t="s">
        <v>4559</v>
      </c>
      <c r="D2504" s="137">
        <v>3528.29</v>
      </c>
      <c r="E2504" s="137">
        <v>694.37</v>
      </c>
      <c r="F2504" s="137">
        <v>2561.91</v>
      </c>
      <c r="G2504" s="137">
        <v>272.01</v>
      </c>
      <c r="H2504" s="138">
        <v>22885.9</v>
      </c>
      <c r="I2504" s="138">
        <v>7985.5</v>
      </c>
      <c r="J2504" s="138">
        <v>13787.02</v>
      </c>
      <c r="K2504" s="138">
        <v>1113.3800000000001</v>
      </c>
      <c r="L2504" s="43">
        <v>6.4863999274436059</v>
      </c>
      <c r="M2504" s="43">
        <v>11.500352837824215</v>
      </c>
      <c r="N2504" s="43">
        <v>5.3815395544730302</v>
      </c>
      <c r="O2504" s="43">
        <v>4.0931583397669211</v>
      </c>
      <c r="P2504" s="139"/>
      <c r="Q2504" s="139"/>
      <c r="R2504" s="139">
        <v>2</v>
      </c>
    </row>
    <row r="2505" spans="1:18" ht="24">
      <c r="A2505" s="135">
        <v>154</v>
      </c>
      <c r="B2505" s="132" t="s">
        <v>4560</v>
      </c>
      <c r="C2505" s="136" t="s">
        <v>4561</v>
      </c>
      <c r="D2505" s="137">
        <v>5903.13</v>
      </c>
      <c r="E2505" s="137">
        <v>1157.6600000000001</v>
      </c>
      <c r="F2505" s="137">
        <v>4435.5200000000004</v>
      </c>
      <c r="G2505" s="137">
        <v>309.95</v>
      </c>
      <c r="H2505" s="138">
        <v>38511.89</v>
      </c>
      <c r="I2505" s="138">
        <v>13313.63</v>
      </c>
      <c r="J2505" s="138">
        <v>23872.43</v>
      </c>
      <c r="K2505" s="138">
        <v>1325.83</v>
      </c>
      <c r="L2505" s="43">
        <v>6.5239779574564674</v>
      </c>
      <c r="M2505" s="43">
        <v>11.500466458200162</v>
      </c>
      <c r="N2505" s="43">
        <v>5.3821040148618424</v>
      </c>
      <c r="O2505" s="43">
        <v>4.2775608969188577</v>
      </c>
      <c r="P2505" s="139"/>
      <c r="Q2505" s="139"/>
      <c r="R2505" s="139">
        <v>2</v>
      </c>
    </row>
    <row r="2506" spans="1:18" ht="25.5" customHeight="1">
      <c r="A2506" s="628" t="s">
        <v>4562</v>
      </c>
      <c r="B2506" s="629"/>
      <c r="C2506" s="629"/>
      <c r="D2506" s="629"/>
      <c r="E2506" s="629"/>
      <c r="F2506" s="629"/>
      <c r="G2506" s="629"/>
      <c r="H2506" s="629"/>
      <c r="I2506" s="629"/>
      <c r="J2506" s="629"/>
      <c r="K2506" s="629"/>
      <c r="L2506" s="629"/>
      <c r="M2506" s="629"/>
      <c r="N2506" s="629"/>
      <c r="O2506" s="629"/>
      <c r="P2506" s="629"/>
      <c r="Q2506" s="629"/>
      <c r="R2506" s="629"/>
    </row>
    <row r="2507" spans="1:18" ht="48">
      <c r="A2507" s="135">
        <v>155</v>
      </c>
      <c r="B2507" s="132" t="s">
        <v>4563</v>
      </c>
      <c r="C2507" s="136" t="s">
        <v>4564</v>
      </c>
      <c r="D2507" s="137">
        <v>1826.29</v>
      </c>
      <c r="E2507" s="137">
        <v>746.44</v>
      </c>
      <c r="F2507" s="137">
        <v>219.25</v>
      </c>
      <c r="G2507" s="137">
        <v>860.6</v>
      </c>
      <c r="H2507" s="138">
        <v>13430.04</v>
      </c>
      <c r="I2507" s="138">
        <v>8584.08</v>
      </c>
      <c r="J2507" s="138">
        <v>1165.5899999999999</v>
      </c>
      <c r="K2507" s="138">
        <v>3680.37</v>
      </c>
      <c r="L2507" s="43">
        <v>7.3537280497620863</v>
      </c>
      <c r="M2507" s="43">
        <v>11.500026793848132</v>
      </c>
      <c r="N2507" s="43">
        <v>5.3162599771949823</v>
      </c>
      <c r="O2507" s="43">
        <v>4.2765163839181968</v>
      </c>
      <c r="P2507" s="139"/>
      <c r="Q2507" s="139"/>
      <c r="R2507" s="139">
        <v>3</v>
      </c>
    </row>
    <row r="2508" spans="1:18" ht="48">
      <c r="A2508" s="135">
        <v>156</v>
      </c>
      <c r="B2508" s="132" t="s">
        <v>4565</v>
      </c>
      <c r="C2508" s="136" t="s">
        <v>4566</v>
      </c>
      <c r="D2508" s="137">
        <v>2311.5</v>
      </c>
      <c r="E2508" s="137">
        <v>1074.5899999999999</v>
      </c>
      <c r="F2508" s="137">
        <v>382.67</v>
      </c>
      <c r="G2508" s="137">
        <v>854.24</v>
      </c>
      <c r="H2508" s="138">
        <v>18045.45</v>
      </c>
      <c r="I2508" s="138">
        <v>12357.76</v>
      </c>
      <c r="J2508" s="138">
        <v>2045.12</v>
      </c>
      <c r="K2508" s="138">
        <v>3642.57</v>
      </c>
      <c r="L2508" s="43">
        <v>7.8068137573004543</v>
      </c>
      <c r="M2508" s="43">
        <v>11.499976735313004</v>
      </c>
      <c r="N2508" s="43">
        <v>5.3443436903859718</v>
      </c>
      <c r="O2508" s="43">
        <v>4.2641061060123624</v>
      </c>
      <c r="P2508" s="139"/>
      <c r="Q2508" s="139"/>
      <c r="R2508" s="139">
        <v>3</v>
      </c>
    </row>
    <row r="2509" spans="1:18" ht="48">
      <c r="A2509" s="135">
        <v>157</v>
      </c>
      <c r="B2509" s="132" t="s">
        <v>4567</v>
      </c>
      <c r="C2509" s="136" t="s">
        <v>4568</v>
      </c>
      <c r="D2509" s="137">
        <v>2423.16</v>
      </c>
      <c r="E2509" s="137">
        <v>1101.03</v>
      </c>
      <c r="F2509" s="137">
        <v>467.36</v>
      </c>
      <c r="G2509" s="137">
        <v>854.77</v>
      </c>
      <c r="H2509" s="138">
        <v>18815.45</v>
      </c>
      <c r="I2509" s="138">
        <v>12661.87</v>
      </c>
      <c r="J2509" s="138">
        <v>2504.92</v>
      </c>
      <c r="K2509" s="138">
        <v>3648.66</v>
      </c>
      <c r="L2509" s="43">
        <v>7.7648401261163116</v>
      </c>
      <c r="M2509" s="43">
        <v>11.500022706011645</v>
      </c>
      <c r="N2509" s="43">
        <v>5.3597226977062649</v>
      </c>
      <c r="O2509" s="43">
        <v>4.2685868713221096</v>
      </c>
      <c r="P2509" s="139"/>
      <c r="Q2509" s="139"/>
      <c r="R2509" s="139">
        <v>3</v>
      </c>
    </row>
    <row r="2510" spans="1:18" ht="48">
      <c r="A2510" s="135">
        <v>158</v>
      </c>
      <c r="B2510" s="132" t="s">
        <v>4569</v>
      </c>
      <c r="C2510" s="136" t="s">
        <v>4570</v>
      </c>
      <c r="D2510" s="137">
        <v>3179.18</v>
      </c>
      <c r="E2510" s="137">
        <v>1370.28</v>
      </c>
      <c r="F2510" s="137">
        <v>635.80999999999995</v>
      </c>
      <c r="G2510" s="137">
        <v>1173.0899999999999</v>
      </c>
      <c r="H2510" s="138">
        <v>24039.01</v>
      </c>
      <c r="I2510" s="138">
        <v>15758.22</v>
      </c>
      <c r="J2510" s="138">
        <v>3413.89</v>
      </c>
      <c r="K2510" s="138">
        <v>4866.8999999999996</v>
      </c>
      <c r="L2510" s="43">
        <v>7.5613868985084203</v>
      </c>
      <c r="M2510" s="43">
        <v>11.5</v>
      </c>
      <c r="N2510" s="43">
        <v>5.3693556251081302</v>
      </c>
      <c r="O2510" s="43">
        <v>4.1487865381172799</v>
      </c>
      <c r="P2510" s="139"/>
      <c r="Q2510" s="139"/>
      <c r="R2510" s="139">
        <v>3</v>
      </c>
    </row>
    <row r="2511" spans="1:18" ht="48">
      <c r="A2511" s="135">
        <v>159</v>
      </c>
      <c r="B2511" s="132" t="s">
        <v>4571</v>
      </c>
      <c r="C2511" s="136" t="s">
        <v>4572</v>
      </c>
      <c r="D2511" s="137">
        <v>6005.24</v>
      </c>
      <c r="E2511" s="137">
        <v>2404</v>
      </c>
      <c r="F2511" s="137">
        <v>1186.98</v>
      </c>
      <c r="G2511" s="137">
        <v>2414.2600000000002</v>
      </c>
      <c r="H2511" s="138">
        <v>43820.9</v>
      </c>
      <c r="I2511" s="138">
        <v>27646</v>
      </c>
      <c r="J2511" s="138">
        <v>6575.15</v>
      </c>
      <c r="K2511" s="138">
        <v>9599.75</v>
      </c>
      <c r="L2511" s="43">
        <v>7.2971105234761646</v>
      </c>
      <c r="M2511" s="43">
        <v>11.5</v>
      </c>
      <c r="N2511" s="43">
        <v>5.5393940925710625</v>
      </c>
      <c r="O2511" s="43">
        <v>3.9762701614573408</v>
      </c>
      <c r="P2511" s="139"/>
      <c r="Q2511" s="139"/>
      <c r="R2511" s="139">
        <v>3</v>
      </c>
    </row>
    <row r="2512" spans="1:18" ht="48">
      <c r="A2512" s="135">
        <v>160</v>
      </c>
      <c r="B2512" s="132" t="s">
        <v>4573</v>
      </c>
      <c r="C2512" s="136" t="s">
        <v>4574</v>
      </c>
      <c r="D2512" s="137">
        <v>9585.4699999999993</v>
      </c>
      <c r="E2512" s="137">
        <v>4002.66</v>
      </c>
      <c r="F2512" s="137">
        <v>1794.93</v>
      </c>
      <c r="G2512" s="137">
        <v>3787.88</v>
      </c>
      <c r="H2512" s="138">
        <v>71395.41</v>
      </c>
      <c r="I2512" s="138">
        <v>46030.59</v>
      </c>
      <c r="J2512" s="138">
        <v>10381.469999999999</v>
      </c>
      <c r="K2512" s="138">
        <v>14983.35</v>
      </c>
      <c r="L2512" s="43">
        <v>7.4482951801007156</v>
      </c>
      <c r="M2512" s="43">
        <v>11.5</v>
      </c>
      <c r="N2512" s="43">
        <v>5.7837742976049196</v>
      </c>
      <c r="O2512" s="43">
        <v>3.9556031342069971</v>
      </c>
      <c r="P2512" s="139"/>
      <c r="Q2512" s="139"/>
      <c r="R2512" s="139">
        <v>3</v>
      </c>
    </row>
    <row r="2513" spans="1:18" ht="48">
      <c r="A2513" s="135">
        <v>161</v>
      </c>
      <c r="B2513" s="132" t="s">
        <v>4575</v>
      </c>
      <c r="C2513" s="136" t="s">
        <v>4576</v>
      </c>
      <c r="D2513" s="137">
        <v>13787.72</v>
      </c>
      <c r="E2513" s="137">
        <v>5769.6</v>
      </c>
      <c r="F2513" s="137">
        <v>2005.91</v>
      </c>
      <c r="G2513" s="137">
        <v>6012.21</v>
      </c>
      <c r="H2513" s="138">
        <v>101486.58</v>
      </c>
      <c r="I2513" s="138">
        <v>66350.399999999994</v>
      </c>
      <c r="J2513" s="138">
        <v>11539.31</v>
      </c>
      <c r="K2513" s="138">
        <v>23596.87</v>
      </c>
      <c r="L2513" s="43">
        <v>7.3606499116605217</v>
      </c>
      <c r="M2513" s="43">
        <v>11.499999999999998</v>
      </c>
      <c r="N2513" s="43">
        <v>5.7526559018101509</v>
      </c>
      <c r="O2513" s="43">
        <v>3.9248246485069549</v>
      </c>
      <c r="P2513" s="139"/>
      <c r="Q2513" s="139"/>
      <c r="R2513" s="139">
        <v>3</v>
      </c>
    </row>
    <row r="2514" spans="1:18" ht="20.25" customHeight="1">
      <c r="A2514" s="628" t="s">
        <v>4577</v>
      </c>
      <c r="B2514" s="629"/>
      <c r="C2514" s="629"/>
      <c r="D2514" s="629"/>
      <c r="E2514" s="629"/>
      <c r="F2514" s="629"/>
      <c r="G2514" s="629"/>
      <c r="H2514" s="629"/>
      <c r="I2514" s="629"/>
      <c r="J2514" s="629"/>
      <c r="K2514" s="629"/>
      <c r="L2514" s="629"/>
      <c r="M2514" s="629"/>
      <c r="N2514" s="629"/>
      <c r="O2514" s="629"/>
      <c r="P2514" s="629"/>
      <c r="Q2514" s="629"/>
      <c r="R2514" s="629"/>
    </row>
    <row r="2515" spans="1:18" ht="24">
      <c r="A2515" s="135">
        <v>162</v>
      </c>
      <c r="B2515" s="132" t="s">
        <v>4578</v>
      </c>
      <c r="C2515" s="136" t="s">
        <v>4579</v>
      </c>
      <c r="D2515" s="137">
        <v>4496.97</v>
      </c>
      <c r="E2515" s="137">
        <v>740.63</v>
      </c>
      <c r="F2515" s="137">
        <v>3741.05</v>
      </c>
      <c r="G2515" s="137">
        <v>15.29</v>
      </c>
      <c r="H2515" s="138">
        <v>25691.85</v>
      </c>
      <c r="I2515" s="138">
        <v>8517.5</v>
      </c>
      <c r="J2515" s="138">
        <v>17001.47</v>
      </c>
      <c r="K2515" s="138">
        <v>172.88</v>
      </c>
      <c r="L2515" s="43">
        <v>5.7131468522138231</v>
      </c>
      <c r="M2515" s="43">
        <v>11.500344301473071</v>
      </c>
      <c r="N2515" s="43">
        <v>4.5445717111506125</v>
      </c>
      <c r="O2515" s="43">
        <v>11.306736429038587</v>
      </c>
      <c r="P2515" s="139"/>
      <c r="Q2515" s="139"/>
      <c r="R2515" s="139">
        <v>4</v>
      </c>
    </row>
    <row r="2516" spans="1:18" ht="24">
      <c r="A2516" s="135">
        <v>163</v>
      </c>
      <c r="B2516" s="132" t="s">
        <v>4580</v>
      </c>
      <c r="C2516" s="136" t="s">
        <v>4581</v>
      </c>
      <c r="D2516" s="137">
        <v>14584.6</v>
      </c>
      <c r="E2516" s="137">
        <v>1706.84</v>
      </c>
      <c r="F2516" s="137">
        <v>12652.42</v>
      </c>
      <c r="G2516" s="137">
        <v>225.34</v>
      </c>
      <c r="H2516" s="138">
        <v>77959.850000000006</v>
      </c>
      <c r="I2516" s="138">
        <v>19628.66</v>
      </c>
      <c r="J2516" s="138">
        <v>57231.39</v>
      </c>
      <c r="K2516" s="138">
        <v>1099.8</v>
      </c>
      <c r="L2516" s="43">
        <v>5.3453540035379783</v>
      </c>
      <c r="M2516" s="43">
        <v>11.5</v>
      </c>
      <c r="N2516" s="43">
        <v>4.523355215840132</v>
      </c>
      <c r="O2516" s="43">
        <v>4.8806248335848048</v>
      </c>
      <c r="P2516" s="139"/>
      <c r="Q2516" s="139"/>
      <c r="R2516" s="139">
        <v>4</v>
      </c>
    </row>
    <row r="2517" spans="1:18" ht="24">
      <c r="A2517" s="135">
        <v>164</v>
      </c>
      <c r="B2517" s="132" t="s">
        <v>4582</v>
      </c>
      <c r="C2517" s="136" t="s">
        <v>4583</v>
      </c>
      <c r="D2517" s="137">
        <v>18217.95</v>
      </c>
      <c r="E2517" s="137">
        <v>2115.52</v>
      </c>
      <c r="F2517" s="137">
        <v>15160.52</v>
      </c>
      <c r="G2517" s="137">
        <v>941.91</v>
      </c>
      <c r="H2517" s="138">
        <v>96675.79</v>
      </c>
      <c r="I2517" s="138">
        <v>24328.48</v>
      </c>
      <c r="J2517" s="138">
        <v>68536.33</v>
      </c>
      <c r="K2517" s="138">
        <v>3810.98</v>
      </c>
      <c r="L2517" s="43">
        <v>5.3066228637140833</v>
      </c>
      <c r="M2517" s="43">
        <v>11.5</v>
      </c>
      <c r="N2517" s="43">
        <v>4.5207110310200438</v>
      </c>
      <c r="O2517" s="43">
        <v>4.0460128887048654</v>
      </c>
      <c r="P2517" s="139"/>
      <c r="Q2517" s="139"/>
      <c r="R2517" s="139">
        <v>4</v>
      </c>
    </row>
    <row r="2518" spans="1:18" ht="24">
      <c r="A2518" s="135">
        <v>165</v>
      </c>
      <c r="B2518" s="132" t="s">
        <v>4584</v>
      </c>
      <c r="C2518" s="136" t="s">
        <v>4585</v>
      </c>
      <c r="D2518" s="137">
        <v>23674.45</v>
      </c>
      <c r="E2518" s="137">
        <v>2572.2800000000002</v>
      </c>
      <c r="F2518" s="137">
        <v>19715.189999999999</v>
      </c>
      <c r="G2518" s="137">
        <v>1386.98</v>
      </c>
      <c r="H2518" s="138">
        <v>123459.05</v>
      </c>
      <c r="I2518" s="138">
        <v>29581.22</v>
      </c>
      <c r="J2518" s="138">
        <v>88351.15</v>
      </c>
      <c r="K2518" s="138">
        <v>5526.68</v>
      </c>
      <c r="L2518" s="43">
        <v>5.2148645480676423</v>
      </c>
      <c r="M2518" s="43">
        <v>11.5</v>
      </c>
      <c r="N2518" s="43">
        <v>4.4813745137632459</v>
      </c>
      <c r="O2518" s="43">
        <v>3.9846861526481998</v>
      </c>
      <c r="P2518" s="139"/>
      <c r="Q2518" s="139"/>
      <c r="R2518" s="139">
        <v>4</v>
      </c>
    </row>
    <row r="2519" spans="1:18" ht="24">
      <c r="A2519" s="135">
        <v>166</v>
      </c>
      <c r="B2519" s="132" t="s">
        <v>4586</v>
      </c>
      <c r="C2519" s="136" t="s">
        <v>4587</v>
      </c>
      <c r="D2519" s="137">
        <v>31671.97</v>
      </c>
      <c r="E2519" s="137">
        <v>3233.38</v>
      </c>
      <c r="F2519" s="137">
        <v>25419.4</v>
      </c>
      <c r="G2519" s="137">
        <v>3019.19</v>
      </c>
      <c r="H2519" s="138">
        <v>162776.71</v>
      </c>
      <c r="I2519" s="138">
        <v>37183.870000000003</v>
      </c>
      <c r="J2519" s="138">
        <v>113932.69</v>
      </c>
      <c r="K2519" s="138">
        <v>11660.15</v>
      </c>
      <c r="L2519" s="43">
        <v>5.1394564341908628</v>
      </c>
      <c r="M2519" s="43">
        <v>11.5</v>
      </c>
      <c r="N2519" s="43">
        <v>4.4821156282209653</v>
      </c>
      <c r="O2519" s="43">
        <v>3.8620126590244404</v>
      </c>
      <c r="P2519" s="139"/>
      <c r="Q2519" s="139"/>
      <c r="R2519" s="139">
        <v>4</v>
      </c>
    </row>
    <row r="2520" spans="1:18" ht="24">
      <c r="A2520" s="135">
        <v>167</v>
      </c>
      <c r="B2520" s="132" t="s">
        <v>4588</v>
      </c>
      <c r="C2520" s="136" t="s">
        <v>4589</v>
      </c>
      <c r="D2520" s="137">
        <v>53092.52</v>
      </c>
      <c r="E2520" s="137">
        <v>26804.6</v>
      </c>
      <c r="F2520" s="137">
        <v>24032.13</v>
      </c>
      <c r="G2520" s="137">
        <v>2255.79</v>
      </c>
      <c r="H2520" s="138">
        <v>447675.04</v>
      </c>
      <c r="I2520" s="138">
        <v>308252.90000000002</v>
      </c>
      <c r="J2520" s="138">
        <v>126875.03</v>
      </c>
      <c r="K2520" s="138">
        <v>12547.11</v>
      </c>
      <c r="L2520" s="43">
        <v>8.4319794954166802</v>
      </c>
      <c r="M2520" s="43">
        <v>11.500000000000002</v>
      </c>
      <c r="N2520" s="43">
        <v>5.2793917975643438</v>
      </c>
      <c r="O2520" s="43">
        <v>5.5621799901586586</v>
      </c>
      <c r="P2520" s="139"/>
      <c r="Q2520" s="139"/>
      <c r="R2520" s="139">
        <v>4</v>
      </c>
    </row>
    <row r="2521" spans="1:18" ht="24">
      <c r="A2521" s="135">
        <v>168</v>
      </c>
      <c r="B2521" s="132" t="s">
        <v>4590</v>
      </c>
      <c r="C2521" s="136" t="s">
        <v>4591</v>
      </c>
      <c r="D2521" s="137">
        <v>164909.13</v>
      </c>
      <c r="E2521" s="137">
        <v>43055.64</v>
      </c>
      <c r="F2521" s="137">
        <v>115129.75</v>
      </c>
      <c r="G2521" s="137">
        <v>6723.74</v>
      </c>
      <c r="H2521" s="138">
        <v>1070196.3999999999</v>
      </c>
      <c r="I2521" s="138">
        <v>495139.86</v>
      </c>
      <c r="J2521" s="138">
        <v>542920.61</v>
      </c>
      <c r="K2521" s="138">
        <v>32135.93</v>
      </c>
      <c r="L2521" s="43">
        <v>6.4896127946342324</v>
      </c>
      <c r="M2521" s="43">
        <v>11.5</v>
      </c>
      <c r="N2521" s="43">
        <v>4.7157282109967236</v>
      </c>
      <c r="O2521" s="43">
        <v>4.7794724364713685</v>
      </c>
      <c r="P2521" s="139"/>
      <c r="Q2521" s="139"/>
      <c r="R2521" s="139">
        <v>4</v>
      </c>
    </row>
    <row r="2522" spans="1:18" ht="24">
      <c r="A2522" s="135">
        <v>169</v>
      </c>
      <c r="B2522" s="132" t="s">
        <v>4592</v>
      </c>
      <c r="C2522" s="136" t="s">
        <v>4593</v>
      </c>
      <c r="D2522" s="137">
        <v>269136</v>
      </c>
      <c r="E2522" s="137">
        <v>63850.239999999998</v>
      </c>
      <c r="F2522" s="137">
        <v>188562.87</v>
      </c>
      <c r="G2522" s="137">
        <v>16722.89</v>
      </c>
      <c r="H2522" s="138">
        <v>1696005.76</v>
      </c>
      <c r="I2522" s="138">
        <v>734277.76</v>
      </c>
      <c r="J2522" s="138">
        <v>888987.54</v>
      </c>
      <c r="K2522" s="138">
        <v>72740.460000000006</v>
      </c>
      <c r="L2522" s="43">
        <v>6.3016681529041083</v>
      </c>
      <c r="M2522" s="43">
        <v>11.5</v>
      </c>
      <c r="N2522" s="43">
        <v>4.7145418395466727</v>
      </c>
      <c r="O2522" s="43">
        <v>4.3497541393861949</v>
      </c>
      <c r="P2522" s="139"/>
      <c r="Q2522" s="139"/>
      <c r="R2522" s="139">
        <v>4</v>
      </c>
    </row>
    <row r="2523" spans="1:18" ht="24">
      <c r="A2523" s="135">
        <v>170</v>
      </c>
      <c r="B2523" s="132" t="s">
        <v>4594</v>
      </c>
      <c r="C2523" s="136" t="s">
        <v>4595</v>
      </c>
      <c r="D2523" s="137">
        <v>466646.72</v>
      </c>
      <c r="E2523" s="137">
        <v>104021.08</v>
      </c>
      <c r="F2523" s="137">
        <v>326686.7</v>
      </c>
      <c r="G2523" s="137">
        <v>35938.94</v>
      </c>
      <c r="H2523" s="138">
        <v>2886837.49</v>
      </c>
      <c r="I2523" s="138">
        <v>1196242.42</v>
      </c>
      <c r="J2523" s="138">
        <v>1540594.13</v>
      </c>
      <c r="K2523" s="138">
        <v>150000.94</v>
      </c>
      <c r="L2523" s="43">
        <v>6.1863447577645045</v>
      </c>
      <c r="M2523" s="43">
        <v>11.499999999999998</v>
      </c>
      <c r="N2523" s="43">
        <v>4.7158152750020124</v>
      </c>
      <c r="O2523" s="43">
        <v>4.1737719587722957</v>
      </c>
      <c r="P2523" s="139"/>
      <c r="Q2523" s="139"/>
      <c r="R2523" s="139">
        <v>4</v>
      </c>
    </row>
    <row r="2524" spans="1:18" ht="24">
      <c r="A2524" s="135">
        <v>171</v>
      </c>
      <c r="B2524" s="132" t="s">
        <v>4596</v>
      </c>
      <c r="C2524" s="136" t="s">
        <v>4597</v>
      </c>
      <c r="D2524" s="137">
        <v>50655.19</v>
      </c>
      <c r="E2524" s="137">
        <v>18871.400000000001</v>
      </c>
      <c r="F2524" s="137">
        <v>27550</v>
      </c>
      <c r="G2524" s="137">
        <v>4233.79</v>
      </c>
      <c r="H2524" s="138">
        <v>381100.67</v>
      </c>
      <c r="I2524" s="138">
        <v>217021.1</v>
      </c>
      <c r="J2524" s="138">
        <v>145463.03</v>
      </c>
      <c r="K2524" s="138">
        <v>18616.54</v>
      </c>
      <c r="L2524" s="43">
        <v>7.5234279054130475</v>
      </c>
      <c r="M2524" s="43">
        <v>11.5</v>
      </c>
      <c r="N2524" s="43">
        <v>5.2799647912885659</v>
      </c>
      <c r="O2524" s="43">
        <v>4.3971335375632714</v>
      </c>
      <c r="P2524" s="139"/>
      <c r="Q2524" s="139"/>
      <c r="R2524" s="139">
        <v>4</v>
      </c>
    </row>
    <row r="2525" spans="1:18" ht="24">
      <c r="A2525" s="135">
        <v>172</v>
      </c>
      <c r="B2525" s="132" t="s">
        <v>4598</v>
      </c>
      <c r="C2525" s="136" t="s">
        <v>4599</v>
      </c>
      <c r="D2525" s="137">
        <v>57948.63</v>
      </c>
      <c r="E2525" s="137">
        <v>21407.62</v>
      </c>
      <c r="F2525" s="137">
        <v>31324.400000000001</v>
      </c>
      <c r="G2525" s="137">
        <v>5216.6099999999997</v>
      </c>
      <c r="H2525" s="138">
        <v>434251.17</v>
      </c>
      <c r="I2525" s="138">
        <v>246187.63</v>
      </c>
      <c r="J2525" s="138">
        <v>165420.01999999999</v>
      </c>
      <c r="K2525" s="138">
        <v>22643.52</v>
      </c>
      <c r="L2525" s="43">
        <v>7.4937262537526772</v>
      </c>
      <c r="M2525" s="43">
        <v>11.5</v>
      </c>
      <c r="N2525" s="43">
        <v>5.2808679495856259</v>
      </c>
      <c r="O2525" s="43">
        <v>4.3406580135375279</v>
      </c>
      <c r="P2525" s="139"/>
      <c r="Q2525" s="139"/>
      <c r="R2525" s="139">
        <v>4</v>
      </c>
    </row>
    <row r="2526" spans="1:18" ht="24">
      <c r="A2526" s="135">
        <v>173</v>
      </c>
      <c r="B2526" s="132" t="s">
        <v>4600</v>
      </c>
      <c r="C2526" s="136" t="s">
        <v>4601</v>
      </c>
      <c r="D2526" s="137">
        <v>168818.92</v>
      </c>
      <c r="E2526" s="137">
        <v>38103.4</v>
      </c>
      <c r="F2526" s="137">
        <v>116747.44</v>
      </c>
      <c r="G2526" s="137">
        <v>13968.08</v>
      </c>
      <c r="H2526" s="138">
        <v>1047006.54</v>
      </c>
      <c r="I2526" s="138">
        <v>438189.1</v>
      </c>
      <c r="J2526" s="138">
        <v>550419.21</v>
      </c>
      <c r="K2526" s="138">
        <v>58398.23</v>
      </c>
      <c r="L2526" s="43">
        <v>6.201950231644652</v>
      </c>
      <c r="M2526" s="43">
        <v>11.499999999999998</v>
      </c>
      <c r="N2526" s="43">
        <v>4.7146148129672047</v>
      </c>
      <c r="O2526" s="43">
        <v>4.1808344453926383</v>
      </c>
      <c r="P2526" s="139"/>
      <c r="Q2526" s="139"/>
      <c r="R2526" s="139">
        <v>4</v>
      </c>
    </row>
    <row r="2527" spans="1:18" ht="24">
      <c r="A2527" s="135">
        <v>174</v>
      </c>
      <c r="B2527" s="132" t="s">
        <v>4602</v>
      </c>
      <c r="C2527" s="136" t="s">
        <v>4603</v>
      </c>
      <c r="D2527" s="137">
        <v>313608.03999999998</v>
      </c>
      <c r="E2527" s="137">
        <v>67961.08</v>
      </c>
      <c r="F2527" s="137">
        <v>210965.27</v>
      </c>
      <c r="G2527" s="137">
        <v>34681.69</v>
      </c>
      <c r="H2527" s="138">
        <v>1916097.32</v>
      </c>
      <c r="I2527" s="138">
        <v>781552.42</v>
      </c>
      <c r="J2527" s="138">
        <v>994897.03</v>
      </c>
      <c r="K2527" s="138">
        <v>139647.87</v>
      </c>
      <c r="L2527" s="43">
        <v>6.1098475664080558</v>
      </c>
      <c r="M2527" s="43">
        <v>11.5</v>
      </c>
      <c r="N2527" s="43">
        <v>4.7159280292912671</v>
      </c>
      <c r="O2527" s="43">
        <v>4.0265589710305347</v>
      </c>
      <c r="P2527" s="139"/>
      <c r="Q2527" s="139"/>
      <c r="R2527" s="139">
        <v>4</v>
      </c>
    </row>
    <row r="2528" spans="1:18" ht="26.25" customHeight="1">
      <c r="A2528" s="628" t="s">
        <v>4604</v>
      </c>
      <c r="B2528" s="629"/>
      <c r="C2528" s="629"/>
      <c r="D2528" s="629"/>
      <c r="E2528" s="629"/>
      <c r="F2528" s="629"/>
      <c r="G2528" s="629"/>
      <c r="H2528" s="629"/>
      <c r="I2528" s="629"/>
      <c r="J2528" s="629"/>
      <c r="K2528" s="629"/>
      <c r="L2528" s="629"/>
      <c r="M2528" s="629"/>
      <c r="N2528" s="629"/>
      <c r="O2528" s="629"/>
      <c r="P2528" s="629"/>
      <c r="Q2528" s="629"/>
      <c r="R2528" s="629"/>
    </row>
    <row r="2529" spans="1:18" ht="12.75" customHeight="1">
      <c r="A2529" s="628" t="s">
        <v>4605</v>
      </c>
      <c r="B2529" s="629"/>
      <c r="C2529" s="629"/>
      <c r="D2529" s="629"/>
      <c r="E2529" s="629"/>
      <c r="F2529" s="629"/>
      <c r="G2529" s="629"/>
      <c r="H2529" s="629"/>
      <c r="I2529" s="629"/>
      <c r="J2529" s="629"/>
      <c r="K2529" s="629"/>
      <c r="L2529" s="629"/>
      <c r="M2529" s="629"/>
      <c r="N2529" s="629"/>
      <c r="O2529" s="629"/>
      <c r="P2529" s="629"/>
      <c r="Q2529" s="629"/>
      <c r="R2529" s="629"/>
    </row>
    <row r="2530" spans="1:18" ht="24">
      <c r="A2530" s="135">
        <v>175</v>
      </c>
      <c r="B2530" s="132" t="s">
        <v>4606</v>
      </c>
      <c r="C2530" s="136" t="s">
        <v>4607</v>
      </c>
      <c r="D2530" s="137">
        <v>3142.37</v>
      </c>
      <c r="E2530" s="137">
        <v>2127.54</v>
      </c>
      <c r="F2530" s="137">
        <v>959.76</v>
      </c>
      <c r="G2530" s="137">
        <v>55.07</v>
      </c>
      <c r="H2530" s="138">
        <v>29880.959999999999</v>
      </c>
      <c r="I2530" s="138">
        <v>24466.71</v>
      </c>
      <c r="J2530" s="138">
        <v>4851.3100000000004</v>
      </c>
      <c r="K2530" s="138">
        <v>562.94000000000005</v>
      </c>
      <c r="L2530" s="43">
        <v>9.5090520848913407</v>
      </c>
      <c r="M2530" s="43">
        <v>11.5</v>
      </c>
      <c r="N2530" s="43">
        <v>5.0547115945653083</v>
      </c>
      <c r="O2530" s="43">
        <v>10.222262574904668</v>
      </c>
      <c r="P2530" s="139"/>
      <c r="Q2530" s="139"/>
      <c r="R2530" s="139">
        <v>1</v>
      </c>
    </row>
    <row r="2531" spans="1:18" ht="24">
      <c r="A2531" s="135">
        <v>176</v>
      </c>
      <c r="B2531" s="132" t="s">
        <v>4608</v>
      </c>
      <c r="C2531" s="136" t="s">
        <v>4609</v>
      </c>
      <c r="D2531" s="137">
        <v>21277.1</v>
      </c>
      <c r="E2531" s="137">
        <v>3029.04</v>
      </c>
      <c r="F2531" s="137">
        <v>17775.169999999998</v>
      </c>
      <c r="G2531" s="137">
        <v>472.89</v>
      </c>
      <c r="H2531" s="138">
        <v>117478.74</v>
      </c>
      <c r="I2531" s="138">
        <v>34833.96</v>
      </c>
      <c r="J2531" s="138">
        <v>80388.56</v>
      </c>
      <c r="K2531" s="138">
        <v>2256.2199999999998</v>
      </c>
      <c r="L2531" s="43">
        <v>5.5213699235328129</v>
      </c>
      <c r="M2531" s="43">
        <v>11.5</v>
      </c>
      <c r="N2531" s="43">
        <v>4.5225198971374114</v>
      </c>
      <c r="O2531" s="43">
        <v>4.7711307069297293</v>
      </c>
      <c r="P2531" s="139"/>
      <c r="Q2531" s="139"/>
      <c r="R2531" s="139">
        <v>1</v>
      </c>
    </row>
    <row r="2532" spans="1:18" ht="24">
      <c r="A2532" s="135">
        <v>177</v>
      </c>
      <c r="B2532" s="132" t="s">
        <v>4610</v>
      </c>
      <c r="C2532" s="136" t="s">
        <v>4611</v>
      </c>
      <c r="D2532" s="137">
        <v>33257.230000000003</v>
      </c>
      <c r="E2532" s="137">
        <v>4291.1400000000003</v>
      </c>
      <c r="F2532" s="137">
        <v>28072.17</v>
      </c>
      <c r="G2532" s="137">
        <v>893.92</v>
      </c>
      <c r="H2532" s="138">
        <v>180214.8</v>
      </c>
      <c r="I2532" s="138">
        <v>49348.11</v>
      </c>
      <c r="J2532" s="138">
        <v>126857.96</v>
      </c>
      <c r="K2532" s="138">
        <v>4008.73</v>
      </c>
      <c r="L2532" s="43">
        <v>5.4188156981203779</v>
      </c>
      <c r="M2532" s="43">
        <v>11.5</v>
      </c>
      <c r="N2532" s="43">
        <v>4.5189937222523238</v>
      </c>
      <c r="O2532" s="43">
        <v>4.48443932342939</v>
      </c>
      <c r="P2532" s="139"/>
      <c r="Q2532" s="139"/>
      <c r="R2532" s="139">
        <v>1</v>
      </c>
    </row>
    <row r="2533" spans="1:18" ht="24">
      <c r="A2533" s="135">
        <v>178</v>
      </c>
      <c r="B2533" s="132" t="s">
        <v>4612</v>
      </c>
      <c r="C2533" s="136" t="s">
        <v>4613</v>
      </c>
      <c r="D2533" s="137">
        <v>115717.07</v>
      </c>
      <c r="E2533" s="137">
        <v>9652.06</v>
      </c>
      <c r="F2533" s="137">
        <v>104475.95</v>
      </c>
      <c r="G2533" s="137">
        <v>1589.06</v>
      </c>
      <c r="H2533" s="138">
        <v>588173.62</v>
      </c>
      <c r="I2533" s="138">
        <v>110998.69</v>
      </c>
      <c r="J2533" s="138">
        <v>469716.75</v>
      </c>
      <c r="K2533" s="138">
        <v>7458.18</v>
      </c>
      <c r="L2533" s="43">
        <v>5.0828595988474294</v>
      </c>
      <c r="M2533" s="43">
        <v>11.5</v>
      </c>
      <c r="N2533" s="43">
        <v>4.495931838858608</v>
      </c>
      <c r="O2533" s="43">
        <v>4.6934539916680302</v>
      </c>
      <c r="P2533" s="139"/>
      <c r="Q2533" s="139"/>
      <c r="R2533" s="139">
        <v>1</v>
      </c>
    </row>
    <row r="2534" spans="1:18" ht="12.75" customHeight="1">
      <c r="A2534" s="628" t="s">
        <v>4614</v>
      </c>
      <c r="B2534" s="629"/>
      <c r="C2534" s="629"/>
      <c r="D2534" s="629"/>
      <c r="E2534" s="629"/>
      <c r="F2534" s="629"/>
      <c r="G2534" s="629"/>
      <c r="H2534" s="629"/>
      <c r="I2534" s="629"/>
      <c r="J2534" s="629"/>
      <c r="K2534" s="629"/>
      <c r="L2534" s="629"/>
      <c r="M2534" s="629"/>
      <c r="N2534" s="629"/>
      <c r="O2534" s="629"/>
      <c r="P2534" s="629"/>
      <c r="Q2534" s="629"/>
      <c r="R2534" s="629"/>
    </row>
    <row r="2535" spans="1:18" ht="24">
      <c r="A2535" s="135">
        <v>179</v>
      </c>
      <c r="B2535" s="132" t="s">
        <v>4615</v>
      </c>
      <c r="C2535" s="136" t="s">
        <v>4616</v>
      </c>
      <c r="D2535" s="137">
        <v>39423.339999999997</v>
      </c>
      <c r="E2535" s="137">
        <v>5565.26</v>
      </c>
      <c r="F2535" s="137">
        <v>32179.26</v>
      </c>
      <c r="G2535" s="137">
        <v>1678.82</v>
      </c>
      <c r="H2535" s="138">
        <v>221386.34</v>
      </c>
      <c r="I2535" s="138">
        <v>64000.49</v>
      </c>
      <c r="J2535" s="138">
        <v>145646.42000000001</v>
      </c>
      <c r="K2535" s="138">
        <v>11739.43</v>
      </c>
      <c r="L2535" s="43">
        <v>5.6156160284745029</v>
      </c>
      <c r="M2535" s="43">
        <v>11.5</v>
      </c>
      <c r="N2535" s="43">
        <v>4.5260960009645972</v>
      </c>
      <c r="O2535" s="43">
        <v>6.992667468817384</v>
      </c>
      <c r="P2535" s="139"/>
      <c r="Q2535" s="139"/>
      <c r="R2535" s="139">
        <v>2</v>
      </c>
    </row>
    <row r="2536" spans="1:18" ht="12.75" customHeight="1">
      <c r="A2536" s="628" t="s">
        <v>4617</v>
      </c>
      <c r="B2536" s="629"/>
      <c r="C2536" s="629"/>
      <c r="D2536" s="629"/>
      <c r="E2536" s="629"/>
      <c r="F2536" s="629"/>
      <c r="G2536" s="629"/>
      <c r="H2536" s="629"/>
      <c r="I2536" s="629"/>
      <c r="J2536" s="629"/>
      <c r="K2536" s="629"/>
      <c r="L2536" s="629"/>
      <c r="M2536" s="629"/>
      <c r="N2536" s="629"/>
      <c r="O2536" s="629"/>
      <c r="P2536" s="629"/>
      <c r="Q2536" s="629"/>
      <c r="R2536" s="629"/>
    </row>
    <row r="2537" spans="1:18" ht="12.75" customHeight="1">
      <c r="A2537" s="628" t="s">
        <v>4618</v>
      </c>
      <c r="B2537" s="629"/>
      <c r="C2537" s="629"/>
      <c r="D2537" s="629"/>
      <c r="E2537" s="629"/>
      <c r="F2537" s="629"/>
      <c r="G2537" s="629"/>
      <c r="H2537" s="629"/>
      <c r="I2537" s="629"/>
      <c r="J2537" s="629"/>
      <c r="K2537" s="629"/>
      <c r="L2537" s="629"/>
      <c r="M2537" s="629"/>
      <c r="N2537" s="629"/>
      <c r="O2537" s="629"/>
      <c r="P2537" s="629"/>
      <c r="Q2537" s="629"/>
      <c r="R2537" s="629"/>
    </row>
    <row r="2538" spans="1:18" ht="24">
      <c r="A2538" s="135">
        <v>180</v>
      </c>
      <c r="B2538" s="132" t="s">
        <v>4619</v>
      </c>
      <c r="C2538" s="136" t="s">
        <v>4620</v>
      </c>
      <c r="D2538" s="137">
        <v>1070.1199999999999</v>
      </c>
      <c r="E2538" s="137">
        <v>141.33000000000001</v>
      </c>
      <c r="F2538" s="137">
        <v>780.15</v>
      </c>
      <c r="G2538" s="137">
        <v>148.63999999999999</v>
      </c>
      <c r="H2538" s="138">
        <v>6405.29</v>
      </c>
      <c r="I2538" s="138">
        <v>1625.32</v>
      </c>
      <c r="J2538" s="138">
        <v>4196.46</v>
      </c>
      <c r="K2538" s="138">
        <v>583.51</v>
      </c>
      <c r="L2538" s="43">
        <v>5.9855810563301315</v>
      </c>
      <c r="M2538" s="43">
        <v>11.500176890964408</v>
      </c>
      <c r="N2538" s="43">
        <v>5.3790424918284945</v>
      </c>
      <c r="O2538" s="43">
        <v>3.9256593110871907</v>
      </c>
      <c r="P2538" s="139"/>
      <c r="Q2538" s="139"/>
      <c r="R2538" s="139">
        <v>1</v>
      </c>
    </row>
    <row r="2539" spans="1:18" ht="24">
      <c r="A2539" s="135">
        <v>181</v>
      </c>
      <c r="B2539" s="132" t="s">
        <v>4621</v>
      </c>
      <c r="C2539" s="136" t="s">
        <v>4622</v>
      </c>
      <c r="D2539" s="137">
        <v>1963.77</v>
      </c>
      <c r="E2539" s="137">
        <v>283.8</v>
      </c>
      <c r="F2539" s="137">
        <v>1524.33</v>
      </c>
      <c r="G2539" s="137">
        <v>155.63999999999999</v>
      </c>
      <c r="H2539" s="138">
        <v>12117.7</v>
      </c>
      <c r="I2539" s="138">
        <v>3263.86</v>
      </c>
      <c r="J2539" s="138">
        <v>8201.2099999999991</v>
      </c>
      <c r="K2539" s="138">
        <v>652.63</v>
      </c>
      <c r="L2539" s="43">
        <v>6.1706309802064405</v>
      </c>
      <c r="M2539" s="43">
        <v>11.500563777307963</v>
      </c>
      <c r="N2539" s="43">
        <v>5.3802063857563649</v>
      </c>
      <c r="O2539" s="43">
        <v>4.1932022616294011</v>
      </c>
      <c r="P2539" s="139"/>
      <c r="Q2539" s="139"/>
      <c r="R2539" s="139">
        <v>1</v>
      </c>
    </row>
    <row r="2540" spans="1:18" ht="24">
      <c r="A2540" s="135">
        <v>182</v>
      </c>
      <c r="B2540" s="132" t="s">
        <v>4623</v>
      </c>
      <c r="C2540" s="136" t="s">
        <v>4624</v>
      </c>
      <c r="D2540" s="137">
        <v>2353.0100000000002</v>
      </c>
      <c r="E2540" s="137">
        <v>348.15</v>
      </c>
      <c r="F2540" s="137">
        <v>1848.92</v>
      </c>
      <c r="G2540" s="137">
        <v>155.94</v>
      </c>
      <c r="H2540" s="138">
        <v>14610.04</v>
      </c>
      <c r="I2540" s="138">
        <v>4003.84</v>
      </c>
      <c r="J2540" s="138">
        <v>9947.49</v>
      </c>
      <c r="K2540" s="138">
        <v>658.71</v>
      </c>
      <c r="L2540" s="43">
        <v>6.2090853842525107</v>
      </c>
      <c r="M2540" s="43">
        <v>11.50033031739193</v>
      </c>
      <c r="N2540" s="43">
        <v>5.3801624732276139</v>
      </c>
      <c r="O2540" s="43">
        <v>4.2241246633320513</v>
      </c>
      <c r="P2540" s="139"/>
      <c r="Q2540" s="139"/>
      <c r="R2540" s="139">
        <v>1</v>
      </c>
    </row>
    <row r="2541" spans="1:18" ht="24">
      <c r="A2541" s="135">
        <v>183</v>
      </c>
      <c r="B2541" s="132" t="s">
        <v>4625</v>
      </c>
      <c r="C2541" s="136" t="s">
        <v>4626</v>
      </c>
      <c r="D2541" s="137">
        <v>3186.77</v>
      </c>
      <c r="E2541" s="137">
        <v>620.46</v>
      </c>
      <c r="F2541" s="137">
        <v>2295.7800000000002</v>
      </c>
      <c r="G2541" s="137">
        <v>270.52999999999997</v>
      </c>
      <c r="H2541" s="138">
        <v>20588.05</v>
      </c>
      <c r="I2541" s="138">
        <v>7135.56</v>
      </c>
      <c r="J2541" s="138">
        <v>12356.13</v>
      </c>
      <c r="K2541" s="138">
        <v>1096.3599999999999</v>
      </c>
      <c r="L2541" s="43">
        <v>6.4604756540321393</v>
      </c>
      <c r="M2541" s="43">
        <v>11.500435161009573</v>
      </c>
      <c r="N2541" s="43">
        <v>5.3821054282204734</v>
      </c>
      <c r="O2541" s="43">
        <v>4.0526374154437583</v>
      </c>
      <c r="P2541" s="139"/>
      <c r="Q2541" s="139"/>
      <c r="R2541" s="139">
        <v>1</v>
      </c>
    </row>
    <row r="2542" spans="1:18" ht="24">
      <c r="A2542" s="135">
        <v>184</v>
      </c>
      <c r="B2542" s="132" t="s">
        <v>4627</v>
      </c>
      <c r="C2542" s="136" t="s">
        <v>4628</v>
      </c>
      <c r="D2542" s="137">
        <v>6163.06</v>
      </c>
      <c r="E2542" s="137">
        <v>1185</v>
      </c>
      <c r="F2542" s="137">
        <v>4623.9799999999996</v>
      </c>
      <c r="G2542" s="137">
        <v>354.08</v>
      </c>
      <c r="H2542" s="138">
        <v>40210.86</v>
      </c>
      <c r="I2542" s="138">
        <v>13628</v>
      </c>
      <c r="J2542" s="138">
        <v>24886.15</v>
      </c>
      <c r="K2542" s="138">
        <v>1696.71</v>
      </c>
      <c r="L2542" s="43">
        <v>6.5244959484411957</v>
      </c>
      <c r="M2542" s="43">
        <v>11.50042194092827</v>
      </c>
      <c r="N2542" s="43">
        <v>5.3819761331147635</v>
      </c>
      <c r="O2542" s="43">
        <v>4.7918831902394938</v>
      </c>
      <c r="P2542" s="139"/>
      <c r="Q2542" s="139"/>
      <c r="R2542" s="139">
        <v>1</v>
      </c>
    </row>
    <row r="2543" spans="1:18" ht="24">
      <c r="A2543" s="135">
        <v>185</v>
      </c>
      <c r="B2543" s="132" t="s">
        <v>4629</v>
      </c>
      <c r="C2543" s="136" t="s">
        <v>4630</v>
      </c>
      <c r="D2543" s="137">
        <v>9898.91</v>
      </c>
      <c r="E2543" s="137">
        <v>2571.4499999999998</v>
      </c>
      <c r="F2543" s="137">
        <v>6819.67</v>
      </c>
      <c r="G2543" s="137">
        <v>507.79</v>
      </c>
      <c r="H2543" s="138">
        <v>69194.600000000006</v>
      </c>
      <c r="I2543" s="138">
        <v>29572.76</v>
      </c>
      <c r="J2543" s="138">
        <v>37012.89</v>
      </c>
      <c r="K2543" s="138">
        <v>2608.9499999999998</v>
      </c>
      <c r="L2543" s="43">
        <v>6.9901231549736291</v>
      </c>
      <c r="M2543" s="43">
        <v>11.50042194092827</v>
      </c>
      <c r="N2543" s="43">
        <v>5.4273725854770101</v>
      </c>
      <c r="O2543" s="43">
        <v>5.1378522617617515</v>
      </c>
      <c r="P2543" s="139"/>
      <c r="Q2543" s="139"/>
      <c r="R2543" s="139">
        <v>1</v>
      </c>
    </row>
    <row r="2544" spans="1:18" ht="12.75" customHeight="1">
      <c r="A2544" s="628" t="s">
        <v>4631</v>
      </c>
      <c r="B2544" s="629"/>
      <c r="C2544" s="629"/>
      <c r="D2544" s="629"/>
      <c r="E2544" s="629"/>
      <c r="F2544" s="629"/>
      <c r="G2544" s="629"/>
      <c r="H2544" s="629"/>
      <c r="I2544" s="629"/>
      <c r="J2544" s="629"/>
      <c r="K2544" s="629"/>
      <c r="L2544" s="629"/>
      <c r="M2544" s="629"/>
      <c r="N2544" s="629"/>
      <c r="O2544" s="629"/>
      <c r="P2544" s="629"/>
      <c r="Q2544" s="629"/>
      <c r="R2544" s="629"/>
    </row>
    <row r="2545" spans="1:18" ht="24">
      <c r="A2545" s="135">
        <v>186</v>
      </c>
      <c r="B2545" s="132" t="s">
        <v>4632</v>
      </c>
      <c r="C2545" s="136" t="s">
        <v>4633</v>
      </c>
      <c r="D2545" s="137">
        <v>330.79</v>
      </c>
      <c r="E2545" s="137">
        <v>203.14</v>
      </c>
      <c r="F2545" s="137">
        <v>104.21</v>
      </c>
      <c r="G2545" s="137">
        <v>23.44</v>
      </c>
      <c r="H2545" s="138">
        <v>3110.41</v>
      </c>
      <c r="I2545" s="138">
        <v>2336.09</v>
      </c>
      <c r="J2545" s="138">
        <v>557.77</v>
      </c>
      <c r="K2545" s="138">
        <v>216.55</v>
      </c>
      <c r="L2545" s="43">
        <v>9.4029746969376333</v>
      </c>
      <c r="M2545" s="43">
        <v>11.499901545732008</v>
      </c>
      <c r="N2545" s="43">
        <v>5.3523654159869496</v>
      </c>
      <c r="O2545" s="43">
        <v>9.2384812286689417</v>
      </c>
      <c r="P2545" s="139"/>
      <c r="Q2545" s="139"/>
      <c r="R2545" s="139">
        <v>2</v>
      </c>
    </row>
    <row r="2546" spans="1:18" ht="24">
      <c r="A2546" s="135">
        <v>187</v>
      </c>
      <c r="B2546" s="132" t="s">
        <v>4634</v>
      </c>
      <c r="C2546" s="136" t="s">
        <v>4635</v>
      </c>
      <c r="D2546" s="137">
        <v>1416.07</v>
      </c>
      <c r="E2546" s="137">
        <v>1015.69</v>
      </c>
      <c r="F2546" s="137">
        <v>364.43</v>
      </c>
      <c r="G2546" s="137">
        <v>35.950000000000003</v>
      </c>
      <c r="H2546" s="138">
        <v>14029.63</v>
      </c>
      <c r="I2546" s="138">
        <v>11680.44</v>
      </c>
      <c r="J2546" s="138">
        <v>1978.54</v>
      </c>
      <c r="K2546" s="138">
        <v>370.65</v>
      </c>
      <c r="L2546" s="43">
        <v>9.907441016333939</v>
      </c>
      <c r="M2546" s="43">
        <v>11.500004922761866</v>
      </c>
      <c r="N2546" s="43">
        <v>5.4291359108745159</v>
      </c>
      <c r="O2546" s="43">
        <v>10.310152990264255</v>
      </c>
      <c r="P2546" s="139"/>
      <c r="Q2546" s="139"/>
      <c r="R2546" s="139">
        <v>2</v>
      </c>
    </row>
    <row r="2547" spans="1:18" ht="24">
      <c r="A2547" s="135">
        <v>188</v>
      </c>
      <c r="B2547" s="132" t="s">
        <v>4636</v>
      </c>
      <c r="C2547" s="136" t="s">
        <v>4637</v>
      </c>
      <c r="D2547" s="137">
        <v>298.58999999999997</v>
      </c>
      <c r="E2547" s="137">
        <v>175.49</v>
      </c>
      <c r="F2547" s="137">
        <v>45.01</v>
      </c>
      <c r="G2547" s="137">
        <v>78.09</v>
      </c>
      <c r="H2547" s="138">
        <v>2571.06</v>
      </c>
      <c r="I2547" s="138">
        <v>2018.16</v>
      </c>
      <c r="J2547" s="138">
        <v>235.13</v>
      </c>
      <c r="K2547" s="138">
        <v>317.77</v>
      </c>
      <c r="L2547" s="43">
        <v>8.6106701497036067</v>
      </c>
      <c r="M2547" s="43">
        <v>11.500142458259729</v>
      </c>
      <c r="N2547" s="43">
        <v>5.2239502332814931</v>
      </c>
      <c r="O2547" s="43">
        <v>4.0692790370085792</v>
      </c>
      <c r="P2547" s="139"/>
      <c r="Q2547" s="139"/>
      <c r="R2547" s="139">
        <v>2</v>
      </c>
    </row>
    <row r="2548" spans="1:18" ht="24">
      <c r="A2548" s="135">
        <v>189</v>
      </c>
      <c r="B2548" s="132" t="s">
        <v>4638</v>
      </c>
      <c r="C2548" s="136" t="s">
        <v>4639</v>
      </c>
      <c r="D2548" s="137">
        <v>682.31</v>
      </c>
      <c r="E2548" s="137">
        <v>257.23</v>
      </c>
      <c r="F2548" s="137">
        <v>132.97</v>
      </c>
      <c r="G2548" s="137">
        <v>292.11</v>
      </c>
      <c r="H2548" s="138">
        <v>4780.2</v>
      </c>
      <c r="I2548" s="138">
        <v>2958.12</v>
      </c>
      <c r="J2548" s="138">
        <v>701.88</v>
      </c>
      <c r="K2548" s="138">
        <v>1120.2</v>
      </c>
      <c r="L2548" s="43">
        <v>7.0059064061790099</v>
      </c>
      <c r="M2548" s="43">
        <v>11.499902810714145</v>
      </c>
      <c r="N2548" s="43">
        <v>5.2784838685417768</v>
      </c>
      <c r="O2548" s="43">
        <v>3.8348567320529936</v>
      </c>
      <c r="P2548" s="139"/>
      <c r="Q2548" s="139"/>
      <c r="R2548" s="139">
        <v>2</v>
      </c>
    </row>
    <row r="2549" spans="1:18" ht="24">
      <c r="A2549" s="135">
        <v>190</v>
      </c>
      <c r="B2549" s="132" t="s">
        <v>4640</v>
      </c>
      <c r="C2549" s="136" t="s">
        <v>4641</v>
      </c>
      <c r="D2549" s="137">
        <v>692.57</v>
      </c>
      <c r="E2549" s="137">
        <v>257.23</v>
      </c>
      <c r="F2549" s="137">
        <v>143.22999999999999</v>
      </c>
      <c r="G2549" s="137">
        <v>292.11</v>
      </c>
      <c r="H2549" s="138">
        <v>4835.93</v>
      </c>
      <c r="I2549" s="138">
        <v>2958.12</v>
      </c>
      <c r="J2549" s="138">
        <v>757.61</v>
      </c>
      <c r="K2549" s="138">
        <v>1120.2</v>
      </c>
      <c r="L2549" s="43">
        <v>6.982586597744632</v>
      </c>
      <c r="M2549" s="43">
        <v>11.499902810714145</v>
      </c>
      <c r="N2549" s="43">
        <v>5.2894644976611049</v>
      </c>
      <c r="O2549" s="43">
        <v>3.8348567320529936</v>
      </c>
      <c r="P2549" s="139"/>
      <c r="Q2549" s="139"/>
      <c r="R2549" s="139">
        <v>2</v>
      </c>
    </row>
    <row r="2550" spans="1:18" ht="24">
      <c r="A2550" s="135">
        <v>191</v>
      </c>
      <c r="B2550" s="132" t="s">
        <v>4642</v>
      </c>
      <c r="C2550" s="136" t="s">
        <v>4643</v>
      </c>
      <c r="D2550" s="137">
        <v>826.21</v>
      </c>
      <c r="E2550" s="137">
        <v>296.89</v>
      </c>
      <c r="F2550" s="137">
        <v>164.03</v>
      </c>
      <c r="G2550" s="137">
        <v>365.29</v>
      </c>
      <c r="H2550" s="138">
        <v>5683.21</v>
      </c>
      <c r="I2550" s="138">
        <v>3414.28</v>
      </c>
      <c r="J2550" s="138">
        <v>868.67</v>
      </c>
      <c r="K2550" s="138">
        <v>1400.26</v>
      </c>
      <c r="L2550" s="43">
        <v>6.8786507062369129</v>
      </c>
      <c r="M2550" s="43">
        <v>11.500151571289031</v>
      </c>
      <c r="N2550" s="43">
        <v>5.2957995488630125</v>
      </c>
      <c r="O2550" s="43">
        <v>3.8332831448985734</v>
      </c>
      <c r="P2550" s="139"/>
      <c r="Q2550" s="139"/>
      <c r="R2550" s="139">
        <v>2</v>
      </c>
    </row>
    <row r="2551" spans="1:18" ht="22.5" customHeight="1">
      <c r="A2551" s="628" t="s">
        <v>4644</v>
      </c>
      <c r="B2551" s="629"/>
      <c r="C2551" s="629"/>
      <c r="D2551" s="629"/>
      <c r="E2551" s="629"/>
      <c r="F2551" s="629"/>
      <c r="G2551" s="629"/>
      <c r="H2551" s="629"/>
      <c r="I2551" s="629"/>
      <c r="J2551" s="629"/>
      <c r="K2551" s="629"/>
      <c r="L2551" s="629"/>
      <c r="M2551" s="629"/>
      <c r="N2551" s="629"/>
      <c r="O2551" s="629"/>
      <c r="P2551" s="629"/>
      <c r="Q2551" s="629"/>
      <c r="R2551" s="629"/>
    </row>
    <row r="2552" spans="1:18" ht="24">
      <c r="A2552" s="135">
        <v>192</v>
      </c>
      <c r="B2552" s="132" t="s">
        <v>4645</v>
      </c>
      <c r="C2552" s="136" t="s">
        <v>4646</v>
      </c>
      <c r="D2552" s="137">
        <v>4341.7299999999996</v>
      </c>
      <c r="E2552" s="137">
        <v>628.89</v>
      </c>
      <c r="F2552" s="137">
        <v>1851.76</v>
      </c>
      <c r="G2552" s="137">
        <v>1861.08</v>
      </c>
      <c r="H2552" s="138">
        <v>27235.52</v>
      </c>
      <c r="I2552" s="138">
        <v>7232.19</v>
      </c>
      <c r="J2552" s="138">
        <v>9969.5</v>
      </c>
      <c r="K2552" s="138">
        <v>10033.83</v>
      </c>
      <c r="L2552" s="43">
        <v>6.2729649241201093</v>
      </c>
      <c r="M2552" s="43">
        <v>11.499928445356103</v>
      </c>
      <c r="N2552" s="43">
        <v>5.3837970363330019</v>
      </c>
      <c r="O2552" s="43">
        <v>5.3914017667161005</v>
      </c>
      <c r="P2552" s="139"/>
      <c r="Q2552" s="139"/>
      <c r="R2552" s="139">
        <v>3</v>
      </c>
    </row>
    <row r="2553" spans="1:18" ht="24">
      <c r="A2553" s="135">
        <v>193</v>
      </c>
      <c r="B2553" s="132" t="s">
        <v>4647</v>
      </c>
      <c r="C2553" s="136" t="s">
        <v>4648</v>
      </c>
      <c r="D2553" s="137">
        <v>4485.01</v>
      </c>
      <c r="E2553" s="137">
        <v>655.09</v>
      </c>
      <c r="F2553" s="137">
        <v>1968.32</v>
      </c>
      <c r="G2553" s="137">
        <v>1861.6</v>
      </c>
      <c r="H2553" s="138">
        <v>28173.94</v>
      </c>
      <c r="I2553" s="138">
        <v>7533.54</v>
      </c>
      <c r="J2553" s="138">
        <v>10600.59</v>
      </c>
      <c r="K2553" s="138">
        <v>10039.81</v>
      </c>
      <c r="L2553" s="43">
        <v>6.281800932439392</v>
      </c>
      <c r="M2553" s="43">
        <v>11.50000763253904</v>
      </c>
      <c r="N2553" s="43">
        <v>5.3856029507397176</v>
      </c>
      <c r="O2553" s="43">
        <v>5.3931080790717658</v>
      </c>
      <c r="P2553" s="139"/>
      <c r="Q2553" s="139"/>
      <c r="R2553" s="139">
        <v>3</v>
      </c>
    </row>
    <row r="2554" spans="1:18" ht="12.75" customHeight="1">
      <c r="A2554" s="628" t="s">
        <v>4649</v>
      </c>
      <c r="B2554" s="629"/>
      <c r="C2554" s="629"/>
      <c r="D2554" s="629"/>
      <c r="E2554" s="629"/>
      <c r="F2554" s="629"/>
      <c r="G2554" s="629"/>
      <c r="H2554" s="629"/>
      <c r="I2554" s="629"/>
      <c r="J2554" s="629"/>
      <c r="K2554" s="629"/>
      <c r="L2554" s="629"/>
      <c r="M2554" s="629"/>
      <c r="N2554" s="629"/>
      <c r="O2554" s="629"/>
      <c r="P2554" s="629"/>
      <c r="Q2554" s="629"/>
      <c r="R2554" s="629"/>
    </row>
    <row r="2555" spans="1:18" ht="24">
      <c r="A2555" s="135">
        <v>194</v>
      </c>
      <c r="B2555" s="132" t="s">
        <v>4650</v>
      </c>
      <c r="C2555" s="136" t="s">
        <v>4651</v>
      </c>
      <c r="D2555" s="137">
        <v>3617.03</v>
      </c>
      <c r="E2555" s="137">
        <v>1061.3699999999999</v>
      </c>
      <c r="F2555" s="137">
        <v>1241.23</v>
      </c>
      <c r="G2555" s="137">
        <v>1314.43</v>
      </c>
      <c r="H2555" s="138">
        <v>25918.39</v>
      </c>
      <c r="I2555" s="138">
        <v>12205.71</v>
      </c>
      <c r="J2555" s="138">
        <v>6672.51</v>
      </c>
      <c r="K2555" s="138">
        <v>7040.17</v>
      </c>
      <c r="L2555" s="43">
        <v>7.1656552475373436</v>
      </c>
      <c r="M2555" s="43">
        <v>11.499957601967269</v>
      </c>
      <c r="N2555" s="43">
        <v>5.3757240801463064</v>
      </c>
      <c r="O2555" s="43">
        <v>5.3560630843787802</v>
      </c>
      <c r="P2555" s="139"/>
      <c r="Q2555" s="139"/>
      <c r="R2555" s="139">
        <v>4</v>
      </c>
    </row>
    <row r="2556" spans="1:18" ht="24">
      <c r="A2556" s="135">
        <v>195</v>
      </c>
      <c r="B2556" s="132" t="s">
        <v>4652</v>
      </c>
      <c r="C2556" s="136" t="s">
        <v>4653</v>
      </c>
      <c r="D2556" s="137">
        <v>3939.11</v>
      </c>
      <c r="E2556" s="137">
        <v>890.68</v>
      </c>
      <c r="F2556" s="137">
        <v>1737.42</v>
      </c>
      <c r="G2556" s="137">
        <v>1311.01</v>
      </c>
      <c r="H2556" s="138">
        <v>26583.56</v>
      </c>
      <c r="I2556" s="138">
        <v>10242.84</v>
      </c>
      <c r="J2556" s="138">
        <v>9339.8799999999992</v>
      </c>
      <c r="K2556" s="138">
        <v>7000.84</v>
      </c>
      <c r="L2556" s="43">
        <v>6.7486208813666035</v>
      </c>
      <c r="M2556" s="43">
        <v>11.500022454753672</v>
      </c>
      <c r="N2556" s="43">
        <v>5.3757180186713622</v>
      </c>
      <c r="O2556" s="43">
        <v>5.3400355451140724</v>
      </c>
      <c r="P2556" s="139"/>
      <c r="Q2556" s="139"/>
      <c r="R2556" s="139">
        <v>4</v>
      </c>
    </row>
    <row r="2557" spans="1:18" ht="24">
      <c r="A2557" s="135">
        <v>196</v>
      </c>
      <c r="B2557" s="132" t="s">
        <v>4654</v>
      </c>
      <c r="C2557" s="136" t="s">
        <v>4655</v>
      </c>
      <c r="D2557" s="137">
        <v>4843.25</v>
      </c>
      <c r="E2557" s="137">
        <v>1048.1400000000001</v>
      </c>
      <c r="F2557" s="137">
        <v>2480.9499999999998</v>
      </c>
      <c r="G2557" s="137">
        <v>1314.16</v>
      </c>
      <c r="H2557" s="138">
        <v>32427.58</v>
      </c>
      <c r="I2557" s="138">
        <v>12053.66</v>
      </c>
      <c r="J2557" s="138">
        <v>13336.86</v>
      </c>
      <c r="K2557" s="138">
        <v>7037.06</v>
      </c>
      <c r="L2557" s="43">
        <v>6.6954173334021583</v>
      </c>
      <c r="M2557" s="43">
        <v>11.500047703551051</v>
      </c>
      <c r="N2557" s="43">
        <v>5.3757068864749398</v>
      </c>
      <c r="O2557" s="43">
        <v>5.3547969805807512</v>
      </c>
      <c r="P2557" s="139"/>
      <c r="Q2557" s="139"/>
      <c r="R2557" s="139">
        <v>4</v>
      </c>
    </row>
    <row r="2558" spans="1:18" ht="24">
      <c r="A2558" s="135">
        <v>197</v>
      </c>
      <c r="B2558" s="132" t="s">
        <v>4656</v>
      </c>
      <c r="C2558" s="136" t="s">
        <v>4657</v>
      </c>
      <c r="D2558" s="137">
        <v>2811.06</v>
      </c>
      <c r="E2558" s="137">
        <v>733.22</v>
      </c>
      <c r="F2558" s="137">
        <v>1157.78</v>
      </c>
      <c r="G2558" s="137">
        <v>920.06</v>
      </c>
      <c r="H2558" s="138">
        <v>19658.14</v>
      </c>
      <c r="I2558" s="138">
        <v>8432.0300000000007</v>
      </c>
      <c r="J2558" s="138">
        <v>6223.87</v>
      </c>
      <c r="K2558" s="138">
        <v>5002.24</v>
      </c>
      <c r="L2558" s="43">
        <v>6.9931413772740534</v>
      </c>
      <c r="M2558" s="43">
        <v>11.5</v>
      </c>
      <c r="N2558" s="43">
        <v>5.3756931368653804</v>
      </c>
      <c r="O2558" s="43">
        <v>5.4368628132947849</v>
      </c>
      <c r="P2558" s="139"/>
      <c r="Q2558" s="139"/>
      <c r="R2558" s="139">
        <v>4</v>
      </c>
    </row>
    <row r="2559" spans="1:18" ht="24">
      <c r="A2559" s="135">
        <v>198</v>
      </c>
      <c r="B2559" s="132" t="s">
        <v>4658</v>
      </c>
      <c r="C2559" s="136" t="s">
        <v>4659</v>
      </c>
      <c r="D2559" s="137">
        <v>4058.46</v>
      </c>
      <c r="E2559" s="137">
        <v>983.24</v>
      </c>
      <c r="F2559" s="137">
        <v>2150.16</v>
      </c>
      <c r="G2559" s="137">
        <v>925.06</v>
      </c>
      <c r="H2559" s="138">
        <v>27925.56</v>
      </c>
      <c r="I2559" s="138">
        <v>11307.21</v>
      </c>
      <c r="J2559" s="138">
        <v>11558.61</v>
      </c>
      <c r="K2559" s="138">
        <v>5059.74</v>
      </c>
      <c r="L2559" s="43">
        <v>6.8808267175233961</v>
      </c>
      <c r="M2559" s="43">
        <v>11.499949147715714</v>
      </c>
      <c r="N2559" s="43">
        <v>5.3756976225025124</v>
      </c>
      <c r="O2559" s="43">
        <v>5.4696344020928374</v>
      </c>
      <c r="P2559" s="139"/>
      <c r="Q2559" s="139"/>
      <c r="R2559" s="139">
        <v>4</v>
      </c>
    </row>
    <row r="2560" spans="1:18" ht="24">
      <c r="A2560" s="135">
        <v>199</v>
      </c>
      <c r="B2560" s="132" t="s">
        <v>4660</v>
      </c>
      <c r="C2560" s="136" t="s">
        <v>4661</v>
      </c>
      <c r="D2560" s="137">
        <v>5702.85</v>
      </c>
      <c r="E2560" s="137">
        <v>1298.1600000000001</v>
      </c>
      <c r="F2560" s="137">
        <v>3473.33</v>
      </c>
      <c r="G2560" s="137">
        <v>931.36</v>
      </c>
      <c r="H2560" s="138">
        <v>38732.629999999997</v>
      </c>
      <c r="I2560" s="138">
        <v>14928.84</v>
      </c>
      <c r="J2560" s="138">
        <v>18671.599999999999</v>
      </c>
      <c r="K2560" s="138">
        <v>5132.1899999999996</v>
      </c>
      <c r="L2560" s="43">
        <v>6.7918023444418134</v>
      </c>
      <c r="M2560" s="43">
        <v>11.5</v>
      </c>
      <c r="N2560" s="43">
        <v>5.3757057348423558</v>
      </c>
      <c r="O2560" s="43">
        <v>5.5104256141556425</v>
      </c>
      <c r="P2560" s="139"/>
      <c r="Q2560" s="139"/>
      <c r="R2560" s="139">
        <v>4</v>
      </c>
    </row>
    <row r="2561" spans="1:18" ht="24">
      <c r="A2561" s="135">
        <v>200</v>
      </c>
      <c r="B2561" s="132" t="s">
        <v>4662</v>
      </c>
      <c r="C2561" s="136" t="s">
        <v>4663</v>
      </c>
      <c r="D2561" s="137">
        <v>6741.21</v>
      </c>
      <c r="E2561" s="137">
        <v>1502.5</v>
      </c>
      <c r="F2561" s="137">
        <v>4300.3100000000004</v>
      </c>
      <c r="G2561" s="137">
        <v>938.4</v>
      </c>
      <c r="H2561" s="138">
        <v>45627.43</v>
      </c>
      <c r="I2561" s="138">
        <v>17278.75</v>
      </c>
      <c r="J2561" s="138">
        <v>23117.22</v>
      </c>
      <c r="K2561" s="138">
        <v>5231.46</v>
      </c>
      <c r="L2561" s="43">
        <v>6.768433263464571</v>
      </c>
      <c r="M2561" s="43">
        <v>11.5</v>
      </c>
      <c r="N2561" s="43">
        <v>5.3757101232236746</v>
      </c>
      <c r="O2561" s="43">
        <v>5.5748721227621489</v>
      </c>
      <c r="P2561" s="139"/>
      <c r="Q2561" s="139"/>
      <c r="R2561" s="139">
        <v>4</v>
      </c>
    </row>
    <row r="2562" spans="1:18" ht="24">
      <c r="A2562" s="135">
        <v>201</v>
      </c>
      <c r="B2562" s="132" t="s">
        <v>4664</v>
      </c>
      <c r="C2562" s="136" t="s">
        <v>4665</v>
      </c>
      <c r="D2562" s="137">
        <v>3428.63</v>
      </c>
      <c r="E2562" s="137">
        <v>852.22</v>
      </c>
      <c r="F2562" s="137">
        <v>1653.97</v>
      </c>
      <c r="G2562" s="137">
        <v>922.44</v>
      </c>
      <c r="H2562" s="138">
        <v>23721.360000000001</v>
      </c>
      <c r="I2562" s="138">
        <v>9800.51</v>
      </c>
      <c r="J2562" s="138">
        <v>8891.24</v>
      </c>
      <c r="K2562" s="138">
        <v>5029.6099999999997</v>
      </c>
      <c r="L2562" s="43">
        <v>6.918611807048296</v>
      </c>
      <c r="M2562" s="43">
        <v>11.499976531881439</v>
      </c>
      <c r="N2562" s="43">
        <v>5.3756960525281592</v>
      </c>
      <c r="O2562" s="43">
        <v>5.4525063960799613</v>
      </c>
      <c r="P2562" s="139"/>
      <c r="Q2562" s="139"/>
      <c r="R2562" s="139">
        <v>4</v>
      </c>
    </row>
    <row r="2563" spans="1:18" ht="24">
      <c r="A2563" s="135">
        <v>202</v>
      </c>
      <c r="B2563" s="132" t="s">
        <v>4666</v>
      </c>
      <c r="C2563" s="136" t="s">
        <v>4667</v>
      </c>
      <c r="D2563" s="137">
        <v>5590.11</v>
      </c>
      <c r="E2563" s="137">
        <v>1250.08</v>
      </c>
      <c r="F2563" s="137">
        <v>3307.93</v>
      </c>
      <c r="G2563" s="137">
        <v>1032.0999999999999</v>
      </c>
      <c r="H2563" s="138">
        <v>37956.65</v>
      </c>
      <c r="I2563" s="138">
        <v>14375.92</v>
      </c>
      <c r="J2563" s="138">
        <v>17782.48</v>
      </c>
      <c r="K2563" s="138">
        <v>5798.25</v>
      </c>
      <c r="L2563" s="43">
        <v>6.7899647770795211</v>
      </c>
      <c r="M2563" s="43">
        <v>11.5</v>
      </c>
      <c r="N2563" s="43">
        <v>5.375712303464705</v>
      </c>
      <c r="O2563" s="43">
        <v>5.6179149307237672</v>
      </c>
      <c r="P2563" s="139"/>
      <c r="Q2563" s="139"/>
      <c r="R2563" s="139">
        <v>4</v>
      </c>
    </row>
    <row r="2564" spans="1:18" ht="24">
      <c r="A2564" s="135">
        <v>203</v>
      </c>
      <c r="B2564" s="132" t="s">
        <v>4668</v>
      </c>
      <c r="C2564" s="136" t="s">
        <v>4669</v>
      </c>
      <c r="D2564" s="137">
        <v>4557.1499999999996</v>
      </c>
      <c r="E2564" s="137">
        <v>1048.1400000000001</v>
      </c>
      <c r="F2564" s="137">
        <v>2480.9499999999998</v>
      </c>
      <c r="G2564" s="137">
        <v>1028.06</v>
      </c>
      <c r="H2564" s="138">
        <v>31142.31</v>
      </c>
      <c r="I2564" s="138">
        <v>12053.66</v>
      </c>
      <c r="J2564" s="138">
        <v>13336.86</v>
      </c>
      <c r="K2564" s="138">
        <v>5751.79</v>
      </c>
      <c r="L2564" s="43">
        <v>6.8337250255093656</v>
      </c>
      <c r="M2564" s="43">
        <v>11.500047703551051</v>
      </c>
      <c r="N2564" s="43">
        <v>5.3757068864749398</v>
      </c>
      <c r="O2564" s="43">
        <v>5.5947999144018832</v>
      </c>
      <c r="P2564" s="139"/>
      <c r="Q2564" s="139"/>
      <c r="R2564" s="139">
        <v>4</v>
      </c>
    </row>
    <row r="2565" spans="1:18" ht="24">
      <c r="A2565" s="135">
        <v>204</v>
      </c>
      <c r="B2565" s="132" t="s">
        <v>4670</v>
      </c>
      <c r="C2565" s="136" t="s">
        <v>4671</v>
      </c>
      <c r="D2565" s="137">
        <v>5816.81</v>
      </c>
      <c r="E2565" s="137">
        <v>1310.18</v>
      </c>
      <c r="F2565" s="137">
        <v>3473.33</v>
      </c>
      <c r="G2565" s="137">
        <v>1033.3</v>
      </c>
      <c r="H2565" s="138">
        <v>39550.720000000001</v>
      </c>
      <c r="I2565" s="138">
        <v>15067.07</v>
      </c>
      <c r="J2565" s="138">
        <v>18671.599999999999</v>
      </c>
      <c r="K2565" s="138">
        <v>5812.05</v>
      </c>
      <c r="L2565" s="43">
        <v>6.7993831670623583</v>
      </c>
      <c r="M2565" s="43">
        <v>11.5</v>
      </c>
      <c r="N2565" s="43">
        <v>5.3757057348423558</v>
      </c>
      <c r="O2565" s="43">
        <v>5.6247459595470826</v>
      </c>
      <c r="P2565" s="139"/>
      <c r="Q2565" s="139"/>
      <c r="R2565" s="139">
        <v>4</v>
      </c>
    </row>
    <row r="2566" spans="1:18" ht="24">
      <c r="A2566" s="135">
        <v>205</v>
      </c>
      <c r="B2566" s="132" t="s">
        <v>4672</v>
      </c>
      <c r="C2566" s="136" t="s">
        <v>4673</v>
      </c>
      <c r="D2566" s="137">
        <v>9547.75</v>
      </c>
      <c r="E2566" s="137">
        <v>2043.4</v>
      </c>
      <c r="F2566" s="137">
        <v>6450.47</v>
      </c>
      <c r="G2566" s="137">
        <v>1053.8800000000001</v>
      </c>
      <c r="H2566" s="138">
        <v>64260.15</v>
      </c>
      <c r="I2566" s="138">
        <v>23499.1</v>
      </c>
      <c r="J2566" s="138">
        <v>34675.83</v>
      </c>
      <c r="K2566" s="138">
        <v>6085.22</v>
      </c>
      <c r="L2566" s="43">
        <v>6.7303972140032995</v>
      </c>
      <c r="M2566" s="43">
        <v>11.499999999999998</v>
      </c>
      <c r="N2566" s="43">
        <v>5.3757059563101608</v>
      </c>
      <c r="O2566" s="43">
        <v>5.7741109044673014</v>
      </c>
      <c r="P2566" s="139"/>
      <c r="Q2566" s="139"/>
      <c r="R2566" s="139">
        <v>4</v>
      </c>
    </row>
    <row r="2567" spans="1:18" ht="24">
      <c r="A2567" s="135">
        <v>206</v>
      </c>
      <c r="B2567" s="132" t="s">
        <v>4674</v>
      </c>
      <c r="C2567" s="136" t="s">
        <v>4675</v>
      </c>
      <c r="D2567" s="137">
        <v>3527.38</v>
      </c>
      <c r="E2567" s="137">
        <v>852.22</v>
      </c>
      <c r="F2567" s="137">
        <v>1653.97</v>
      </c>
      <c r="G2567" s="137">
        <v>1021.19</v>
      </c>
      <c r="H2567" s="138">
        <v>24346.23</v>
      </c>
      <c r="I2567" s="138">
        <v>9800.51</v>
      </c>
      <c r="J2567" s="138">
        <v>8891.24</v>
      </c>
      <c r="K2567" s="138">
        <v>5654.48</v>
      </c>
      <c r="L2567" s="43">
        <v>6.9020717926619755</v>
      </c>
      <c r="M2567" s="43">
        <v>11.499976531881439</v>
      </c>
      <c r="N2567" s="43">
        <v>5.3756960525281592</v>
      </c>
      <c r="O2567" s="43">
        <v>5.5371478373270389</v>
      </c>
      <c r="P2567" s="139"/>
      <c r="Q2567" s="139"/>
      <c r="R2567" s="139">
        <v>4</v>
      </c>
    </row>
    <row r="2568" spans="1:18" ht="24">
      <c r="A2568" s="135">
        <v>207</v>
      </c>
      <c r="B2568" s="132" t="s">
        <v>4676</v>
      </c>
      <c r="C2568" s="136" t="s">
        <v>4677</v>
      </c>
      <c r="D2568" s="137">
        <v>6650.05</v>
      </c>
      <c r="E2568" s="137">
        <v>1478.46</v>
      </c>
      <c r="F2568" s="137">
        <v>4134.92</v>
      </c>
      <c r="G2568" s="137">
        <v>1036.67</v>
      </c>
      <c r="H2568" s="138">
        <v>45081.2</v>
      </c>
      <c r="I2568" s="138">
        <v>17002.29</v>
      </c>
      <c r="J2568" s="138">
        <v>22228.1</v>
      </c>
      <c r="K2568" s="138">
        <v>5850.81</v>
      </c>
      <c r="L2568" s="43">
        <v>6.7790768490462474</v>
      </c>
      <c r="M2568" s="43">
        <v>11.5</v>
      </c>
      <c r="N2568" s="43">
        <v>5.3757025528909868</v>
      </c>
      <c r="O2568" s="43">
        <v>5.643850019774856</v>
      </c>
      <c r="P2568" s="139"/>
      <c r="Q2568" s="139"/>
      <c r="R2568" s="139">
        <v>4</v>
      </c>
    </row>
    <row r="2569" spans="1:18" ht="24">
      <c r="A2569" s="135">
        <v>208</v>
      </c>
      <c r="B2569" s="132" t="s">
        <v>4678</v>
      </c>
      <c r="C2569" s="136" t="s">
        <v>4679</v>
      </c>
      <c r="D2569" s="137">
        <v>5231.47</v>
      </c>
      <c r="E2569" s="137">
        <v>1152.72</v>
      </c>
      <c r="F2569" s="137">
        <v>2895.2</v>
      </c>
      <c r="G2569" s="137">
        <v>1183.55</v>
      </c>
      <c r="H2569" s="138">
        <v>35649.47</v>
      </c>
      <c r="I2569" s="138">
        <v>13256.26</v>
      </c>
      <c r="J2569" s="138">
        <v>15563.75</v>
      </c>
      <c r="K2569" s="138">
        <v>6829.46</v>
      </c>
      <c r="L2569" s="43">
        <v>6.814426920158196</v>
      </c>
      <c r="M2569" s="43">
        <v>11.499982649732805</v>
      </c>
      <c r="N2569" s="43">
        <v>5.3757080685272181</v>
      </c>
      <c r="O2569" s="43">
        <v>5.7703181107684509</v>
      </c>
      <c r="P2569" s="139"/>
      <c r="Q2569" s="139"/>
      <c r="R2569" s="139">
        <v>4</v>
      </c>
    </row>
    <row r="2570" spans="1:18" ht="24">
      <c r="A2570" s="135">
        <v>209</v>
      </c>
      <c r="B2570" s="132" t="s">
        <v>4680</v>
      </c>
      <c r="C2570" s="136" t="s">
        <v>4681</v>
      </c>
      <c r="D2570" s="137">
        <v>6353.01</v>
      </c>
      <c r="E2570" s="137">
        <v>1358.26</v>
      </c>
      <c r="F2570" s="137">
        <v>3804.12</v>
      </c>
      <c r="G2570" s="137">
        <v>1190.6300000000001</v>
      </c>
      <c r="H2570" s="138">
        <v>42998.91</v>
      </c>
      <c r="I2570" s="138">
        <v>15619.99</v>
      </c>
      <c r="J2570" s="138">
        <v>20449.849999999999</v>
      </c>
      <c r="K2570" s="138">
        <v>6929.07</v>
      </c>
      <c r="L2570" s="43">
        <v>6.7682736214802119</v>
      </c>
      <c r="M2570" s="43">
        <v>11.5</v>
      </c>
      <c r="N2570" s="43">
        <v>5.3757110711544325</v>
      </c>
      <c r="O2570" s="43">
        <v>5.819666899036644</v>
      </c>
      <c r="P2570" s="139"/>
      <c r="Q2570" s="139"/>
      <c r="R2570" s="139">
        <v>4</v>
      </c>
    </row>
    <row r="2571" spans="1:18" ht="24">
      <c r="A2571" s="135">
        <v>210</v>
      </c>
      <c r="B2571" s="132" t="s">
        <v>4682</v>
      </c>
      <c r="C2571" s="136" t="s">
        <v>4683</v>
      </c>
      <c r="D2571" s="137">
        <v>9623.9699999999993</v>
      </c>
      <c r="E2571" s="137">
        <v>1995.32</v>
      </c>
      <c r="F2571" s="137">
        <v>6368.53</v>
      </c>
      <c r="G2571" s="137">
        <v>1260.1199999999999</v>
      </c>
      <c r="H2571" s="138">
        <v>64697.17</v>
      </c>
      <c r="I2571" s="138">
        <v>22946.18</v>
      </c>
      <c r="J2571" s="138">
        <v>34235.35</v>
      </c>
      <c r="K2571" s="138">
        <v>7515.64</v>
      </c>
      <c r="L2571" s="43">
        <v>6.7225032912612992</v>
      </c>
      <c r="M2571" s="43">
        <v>11.5</v>
      </c>
      <c r="N2571" s="43">
        <v>5.3757067957597746</v>
      </c>
      <c r="O2571" s="43">
        <v>5.9642256293051465</v>
      </c>
      <c r="P2571" s="139"/>
      <c r="Q2571" s="139"/>
      <c r="R2571" s="139">
        <v>4</v>
      </c>
    </row>
    <row r="2572" spans="1:18" ht="24">
      <c r="A2572" s="135">
        <v>211</v>
      </c>
      <c r="B2572" s="132" t="s">
        <v>4684</v>
      </c>
      <c r="C2572" s="136" t="s">
        <v>4685</v>
      </c>
      <c r="D2572" s="137">
        <v>4064.29</v>
      </c>
      <c r="E2572" s="137">
        <v>903.9</v>
      </c>
      <c r="F2572" s="137">
        <v>1984.76</v>
      </c>
      <c r="G2572" s="137">
        <v>1175.6300000000001</v>
      </c>
      <c r="H2572" s="138">
        <v>27784.46</v>
      </c>
      <c r="I2572" s="138">
        <v>10394.9</v>
      </c>
      <c r="J2572" s="138">
        <v>10669.49</v>
      </c>
      <c r="K2572" s="138">
        <v>6720.07</v>
      </c>
      <c r="L2572" s="43">
        <v>6.8362395399934552</v>
      </c>
      <c r="M2572" s="43">
        <v>11.500055315853524</v>
      </c>
      <c r="N2572" s="43">
        <v>5.3757078941534493</v>
      </c>
      <c r="O2572" s="43">
        <v>5.7161436846626907</v>
      </c>
      <c r="P2572" s="139"/>
      <c r="Q2572" s="139"/>
      <c r="R2572" s="139">
        <v>4</v>
      </c>
    </row>
    <row r="2573" spans="1:18" ht="24">
      <c r="A2573" s="135">
        <v>212</v>
      </c>
      <c r="B2573" s="132" t="s">
        <v>4686</v>
      </c>
      <c r="C2573" s="136" t="s">
        <v>4687</v>
      </c>
      <c r="D2573" s="137">
        <v>3352.53</v>
      </c>
      <c r="E2573" s="137">
        <v>772.89</v>
      </c>
      <c r="F2573" s="137">
        <v>1406.63</v>
      </c>
      <c r="G2573" s="137">
        <v>1173.01</v>
      </c>
      <c r="H2573" s="138">
        <v>23139.759999999998</v>
      </c>
      <c r="I2573" s="138">
        <v>8888.19</v>
      </c>
      <c r="J2573" s="138">
        <v>7561.63</v>
      </c>
      <c r="K2573" s="138">
        <v>6689.94</v>
      </c>
      <c r="L2573" s="43">
        <v>6.9021783548543922</v>
      </c>
      <c r="M2573" s="43">
        <v>11.499941776966969</v>
      </c>
      <c r="N2573" s="43">
        <v>5.3757064757612163</v>
      </c>
      <c r="O2573" s="43">
        <v>5.7032250364447021</v>
      </c>
      <c r="P2573" s="139"/>
      <c r="Q2573" s="139"/>
      <c r="R2573" s="139">
        <v>4</v>
      </c>
    </row>
    <row r="2574" spans="1:18" ht="24">
      <c r="A2574" s="135">
        <v>213</v>
      </c>
      <c r="B2574" s="132" t="s">
        <v>4688</v>
      </c>
      <c r="C2574" s="136" t="s">
        <v>4689</v>
      </c>
      <c r="D2574" s="137">
        <v>5005.92</v>
      </c>
      <c r="E2574" s="137">
        <v>970.01</v>
      </c>
      <c r="F2574" s="137">
        <v>2068.2199999999998</v>
      </c>
      <c r="G2574" s="137">
        <v>1967.69</v>
      </c>
      <c r="H2574" s="138">
        <v>32993.69</v>
      </c>
      <c r="I2574" s="138">
        <v>11155.16</v>
      </c>
      <c r="J2574" s="138">
        <v>11118.13</v>
      </c>
      <c r="K2574" s="138">
        <v>10720.4</v>
      </c>
      <c r="L2574" s="43">
        <v>6.5909343337488417</v>
      </c>
      <c r="M2574" s="43">
        <v>11.500046391274317</v>
      </c>
      <c r="N2574" s="43">
        <v>5.3756998771890805</v>
      </c>
      <c r="O2574" s="43">
        <v>5.4482159283220426</v>
      </c>
      <c r="P2574" s="139"/>
      <c r="Q2574" s="139"/>
      <c r="R2574" s="139">
        <v>4</v>
      </c>
    </row>
    <row r="2575" spans="1:18" ht="24">
      <c r="A2575" s="135">
        <v>214</v>
      </c>
      <c r="B2575" s="132" t="s">
        <v>4690</v>
      </c>
      <c r="C2575" s="136" t="s">
        <v>4691</v>
      </c>
      <c r="D2575" s="137">
        <v>6114.69</v>
      </c>
      <c r="E2575" s="137">
        <v>1165.94</v>
      </c>
      <c r="F2575" s="137">
        <v>2977.14</v>
      </c>
      <c r="G2575" s="137">
        <v>1971.61</v>
      </c>
      <c r="H2575" s="138">
        <v>40178.019999999997</v>
      </c>
      <c r="I2575" s="138">
        <v>13408.31</v>
      </c>
      <c r="J2575" s="138">
        <v>16004.23</v>
      </c>
      <c r="K2575" s="138">
        <v>10765.48</v>
      </c>
      <c r="L2575" s="43">
        <v>6.5707370283693853</v>
      </c>
      <c r="M2575" s="43">
        <v>11.499999999999998</v>
      </c>
      <c r="N2575" s="43">
        <v>5.3757062146892656</v>
      </c>
      <c r="O2575" s="43">
        <v>5.4602482235330516</v>
      </c>
      <c r="P2575" s="139"/>
      <c r="Q2575" s="139"/>
      <c r="R2575" s="139">
        <v>4</v>
      </c>
    </row>
    <row r="2576" spans="1:18" ht="24">
      <c r="A2576" s="135">
        <v>215</v>
      </c>
      <c r="B2576" s="132" t="s">
        <v>4692</v>
      </c>
      <c r="C2576" s="136" t="s">
        <v>4693</v>
      </c>
      <c r="D2576" s="137">
        <v>3841.69</v>
      </c>
      <c r="E2576" s="137">
        <v>721.2</v>
      </c>
      <c r="F2576" s="137">
        <v>1157.78</v>
      </c>
      <c r="G2576" s="137">
        <v>1962.71</v>
      </c>
      <c r="H2576" s="138">
        <v>25180.799999999999</v>
      </c>
      <c r="I2576" s="138">
        <v>8293.7999999999993</v>
      </c>
      <c r="J2576" s="138">
        <v>6223.87</v>
      </c>
      <c r="K2576" s="138">
        <v>10663.13</v>
      </c>
      <c r="L2576" s="43">
        <v>6.5546152865015133</v>
      </c>
      <c r="M2576" s="43">
        <v>11.499999999999998</v>
      </c>
      <c r="N2576" s="43">
        <v>5.3756931368653804</v>
      </c>
      <c r="O2576" s="43">
        <v>5.4328606875187875</v>
      </c>
      <c r="P2576" s="139"/>
      <c r="Q2576" s="139"/>
      <c r="R2576" s="139">
        <v>4</v>
      </c>
    </row>
    <row r="2577" spans="1:18" ht="24">
      <c r="A2577" s="135">
        <v>216</v>
      </c>
      <c r="B2577" s="132" t="s">
        <v>4694</v>
      </c>
      <c r="C2577" s="136" t="s">
        <v>4695</v>
      </c>
      <c r="D2577" s="137">
        <v>4855.03</v>
      </c>
      <c r="E2577" s="137">
        <v>903.9</v>
      </c>
      <c r="F2577" s="137">
        <v>1984.76</v>
      </c>
      <c r="G2577" s="137">
        <v>1966.37</v>
      </c>
      <c r="H2577" s="138">
        <v>31769.61</v>
      </c>
      <c r="I2577" s="138">
        <v>10394.9</v>
      </c>
      <c r="J2577" s="138">
        <v>10669.49</v>
      </c>
      <c r="K2577" s="138">
        <v>10705.22</v>
      </c>
      <c r="L2577" s="43">
        <v>6.5436485459410143</v>
      </c>
      <c r="M2577" s="43">
        <v>11.500055315853524</v>
      </c>
      <c r="N2577" s="43">
        <v>5.3757078941534493</v>
      </c>
      <c r="O2577" s="43">
        <v>5.4441534400952012</v>
      </c>
      <c r="P2577" s="139"/>
      <c r="Q2577" s="139"/>
      <c r="R2577" s="139">
        <v>4</v>
      </c>
    </row>
    <row r="2578" spans="1:18" ht="24">
      <c r="A2578" s="135">
        <v>217</v>
      </c>
      <c r="B2578" s="132" t="s">
        <v>4696</v>
      </c>
      <c r="C2578" s="136" t="s">
        <v>4697</v>
      </c>
      <c r="D2578" s="137">
        <v>7566.47</v>
      </c>
      <c r="E2578" s="137">
        <v>1442.4</v>
      </c>
      <c r="F2578" s="137">
        <v>4134.92</v>
      </c>
      <c r="G2578" s="137">
        <v>1989.15</v>
      </c>
      <c r="H2578" s="138">
        <v>49815.48</v>
      </c>
      <c r="I2578" s="138">
        <v>16587.599999999999</v>
      </c>
      <c r="J2578" s="138">
        <v>22228.1</v>
      </c>
      <c r="K2578" s="138">
        <v>10999.78</v>
      </c>
      <c r="L2578" s="43">
        <v>6.5837147309115087</v>
      </c>
      <c r="M2578" s="43">
        <v>11.499999999999998</v>
      </c>
      <c r="N2578" s="43">
        <v>5.3757025528909868</v>
      </c>
      <c r="O2578" s="43">
        <v>5.5298896513586202</v>
      </c>
      <c r="P2578" s="139"/>
      <c r="Q2578" s="139"/>
      <c r="R2578" s="139">
        <v>4</v>
      </c>
    </row>
    <row r="2579" spans="1:18" ht="24">
      <c r="A2579" s="135">
        <v>218</v>
      </c>
      <c r="B2579" s="132" t="s">
        <v>4698</v>
      </c>
      <c r="C2579" s="136" t="s">
        <v>4699</v>
      </c>
      <c r="D2579" s="137">
        <v>4156.75</v>
      </c>
      <c r="E2579" s="137">
        <v>786.11</v>
      </c>
      <c r="F2579" s="137">
        <v>1406.63</v>
      </c>
      <c r="G2579" s="137">
        <v>1964.01</v>
      </c>
      <c r="H2579" s="138">
        <v>27279.95</v>
      </c>
      <c r="I2579" s="138">
        <v>9040.24</v>
      </c>
      <c r="J2579" s="138">
        <v>7561.63</v>
      </c>
      <c r="K2579" s="138">
        <v>10678.08</v>
      </c>
      <c r="L2579" s="43">
        <v>6.5628074818066997</v>
      </c>
      <c r="M2579" s="43">
        <v>11.499968197834908</v>
      </c>
      <c r="N2579" s="43">
        <v>5.3757064757612163</v>
      </c>
      <c r="O2579" s="43">
        <v>5.4368765943146933</v>
      </c>
      <c r="P2579" s="139"/>
      <c r="Q2579" s="139"/>
      <c r="R2579" s="139">
        <v>4</v>
      </c>
    </row>
    <row r="2580" spans="1:18" ht="24">
      <c r="A2580" s="135">
        <v>219</v>
      </c>
      <c r="B2580" s="132" t="s">
        <v>4700</v>
      </c>
      <c r="C2580" s="136" t="s">
        <v>4701</v>
      </c>
      <c r="D2580" s="137">
        <v>13373.56</v>
      </c>
      <c r="E2580" s="137">
        <v>2536.2199999999998</v>
      </c>
      <c r="F2580" s="137">
        <v>8766.02</v>
      </c>
      <c r="G2580" s="137">
        <v>2071.3200000000002</v>
      </c>
      <c r="H2580" s="138">
        <v>87924.9</v>
      </c>
      <c r="I2580" s="138">
        <v>29166.53</v>
      </c>
      <c r="J2580" s="138">
        <v>47123.57</v>
      </c>
      <c r="K2580" s="138">
        <v>11634.8</v>
      </c>
      <c r="L2580" s="43">
        <v>6.5745321365440468</v>
      </c>
      <c r="M2580" s="43">
        <v>11.5</v>
      </c>
      <c r="N2580" s="43">
        <v>5.3757087024670254</v>
      </c>
      <c r="O2580" s="43">
        <v>5.6170944132244163</v>
      </c>
      <c r="P2580" s="139"/>
      <c r="Q2580" s="139"/>
      <c r="R2580" s="139">
        <v>4</v>
      </c>
    </row>
    <row r="2581" spans="1:18" ht="24">
      <c r="A2581" s="135">
        <v>220</v>
      </c>
      <c r="B2581" s="132" t="s">
        <v>4702</v>
      </c>
      <c r="C2581" s="136" t="s">
        <v>4703</v>
      </c>
      <c r="D2581" s="137">
        <v>10102.4</v>
      </c>
      <c r="E2581" s="137">
        <v>1863.1</v>
      </c>
      <c r="F2581" s="137">
        <v>6119.67</v>
      </c>
      <c r="G2581" s="137">
        <v>2119.63</v>
      </c>
      <c r="H2581" s="138">
        <v>66109.210000000006</v>
      </c>
      <c r="I2581" s="138">
        <v>21425.65</v>
      </c>
      <c r="J2581" s="138">
        <v>32897.58</v>
      </c>
      <c r="K2581" s="138">
        <v>11785.98</v>
      </c>
      <c r="L2581" s="43">
        <v>6.5439113477985442</v>
      </c>
      <c r="M2581" s="43">
        <v>11.500000000000002</v>
      </c>
      <c r="N2581" s="43">
        <v>5.3757114354205378</v>
      </c>
      <c r="O2581" s="43">
        <v>5.5603949745946224</v>
      </c>
      <c r="P2581" s="139"/>
      <c r="Q2581" s="139"/>
      <c r="R2581" s="139">
        <v>4</v>
      </c>
    </row>
    <row r="2582" spans="1:18" ht="12.75">
      <c r="A2582" s="632" t="s">
        <v>18</v>
      </c>
      <c r="B2582" s="632"/>
      <c r="C2582" s="632"/>
      <c r="D2582" s="133">
        <v>12426624.060000001</v>
      </c>
      <c r="E2582" s="133">
        <v>3048808.01</v>
      </c>
      <c r="F2582" s="133">
        <v>7993582.1799999997</v>
      </c>
      <c r="G2582" s="133">
        <v>1384233.87</v>
      </c>
      <c r="H2582" s="134">
        <v>82552811.709999993</v>
      </c>
      <c r="I2582" s="134">
        <v>35061831.229999997</v>
      </c>
      <c r="J2582" s="134">
        <v>39450787.149999999</v>
      </c>
      <c r="K2582" s="134">
        <v>8040193.3300000001</v>
      </c>
      <c r="L2582" s="612">
        <v>6.6432211444883764</v>
      </c>
      <c r="M2582" s="612">
        <v>11.500176828123722</v>
      </c>
      <c r="N2582" s="612">
        <v>4.9353076332543564</v>
      </c>
      <c r="O2582" s="612">
        <v>5.8084067325993107</v>
      </c>
      <c r="P2582" s="131"/>
      <c r="Q2582" s="131"/>
      <c r="R2582" s="131"/>
    </row>
    <row r="2583" spans="1:18" ht="18">
      <c r="A2583" s="616" t="s">
        <v>9055</v>
      </c>
      <c r="B2583" s="626"/>
      <c r="C2583" s="626"/>
      <c r="D2583" s="626"/>
      <c r="E2583" s="626"/>
      <c r="F2583" s="626"/>
      <c r="G2583" s="626"/>
      <c r="H2583" s="626"/>
      <c r="I2583" s="626"/>
      <c r="J2583" s="626"/>
      <c r="K2583" s="626"/>
      <c r="L2583" s="626"/>
      <c r="M2583" s="626"/>
      <c r="N2583" s="626"/>
      <c r="O2583" s="626"/>
      <c r="P2583" s="626"/>
      <c r="Q2583" s="626"/>
      <c r="R2583" s="627"/>
    </row>
    <row r="2584" spans="1:18" ht="12.75" customHeight="1">
      <c r="A2584" s="630" t="s">
        <v>4705</v>
      </c>
      <c r="B2584" s="631"/>
      <c r="C2584" s="631"/>
      <c r="D2584" s="631"/>
      <c r="E2584" s="631"/>
      <c r="F2584" s="631"/>
      <c r="G2584" s="631"/>
      <c r="H2584" s="631"/>
      <c r="I2584" s="631"/>
      <c r="J2584" s="631"/>
      <c r="K2584" s="631"/>
      <c r="L2584" s="631"/>
      <c r="M2584" s="631"/>
      <c r="N2584" s="631"/>
      <c r="O2584" s="631"/>
      <c r="P2584" s="631"/>
      <c r="Q2584" s="631"/>
      <c r="R2584" s="631"/>
    </row>
    <row r="2585" spans="1:18" ht="12.75" customHeight="1">
      <c r="A2585" s="628" t="s">
        <v>4706</v>
      </c>
      <c r="B2585" s="629"/>
      <c r="C2585" s="629"/>
      <c r="D2585" s="629"/>
      <c r="E2585" s="629"/>
      <c r="F2585" s="629"/>
      <c r="G2585" s="629"/>
      <c r="H2585" s="629"/>
      <c r="I2585" s="629"/>
      <c r="J2585" s="629"/>
      <c r="K2585" s="629"/>
      <c r="L2585" s="629"/>
      <c r="M2585" s="629"/>
      <c r="N2585" s="629"/>
      <c r="O2585" s="629"/>
      <c r="P2585" s="629"/>
      <c r="Q2585" s="629"/>
      <c r="R2585" s="629"/>
    </row>
    <row r="2586" spans="1:18" ht="12.75" customHeight="1">
      <c r="A2586" s="628" t="s">
        <v>4707</v>
      </c>
      <c r="B2586" s="629"/>
      <c r="C2586" s="629"/>
      <c r="D2586" s="629"/>
      <c r="E2586" s="629"/>
      <c r="F2586" s="629"/>
      <c r="G2586" s="629"/>
      <c r="H2586" s="629"/>
      <c r="I2586" s="629"/>
      <c r="J2586" s="629"/>
      <c r="K2586" s="629"/>
      <c r="L2586" s="629"/>
      <c r="M2586" s="629"/>
      <c r="N2586" s="629"/>
      <c r="O2586" s="629"/>
      <c r="P2586" s="629"/>
      <c r="Q2586" s="629"/>
      <c r="R2586" s="629"/>
    </row>
    <row r="2587" spans="1:18" ht="24">
      <c r="A2587" s="165">
        <v>1</v>
      </c>
      <c r="B2587" s="162" t="s">
        <v>4708</v>
      </c>
      <c r="C2587" s="166" t="s">
        <v>4709</v>
      </c>
      <c r="D2587" s="167">
        <v>921.84</v>
      </c>
      <c r="E2587" s="167">
        <v>258.52999999999997</v>
      </c>
      <c r="F2587" s="167">
        <v>626.62</v>
      </c>
      <c r="G2587" s="167">
        <v>36.69</v>
      </c>
      <c r="H2587" s="168">
        <v>6507.97</v>
      </c>
      <c r="I2587" s="168">
        <v>2973.15</v>
      </c>
      <c r="J2587" s="168">
        <v>3369.85</v>
      </c>
      <c r="K2587" s="168">
        <v>164.97</v>
      </c>
      <c r="L2587" s="43">
        <v>7.0597609129566949</v>
      </c>
      <c r="M2587" s="43">
        <v>11.500212741267939</v>
      </c>
      <c r="N2587" s="43">
        <v>5.3778206887746958</v>
      </c>
      <c r="O2587" s="43">
        <v>4.4963205233033525</v>
      </c>
      <c r="P2587" s="169"/>
      <c r="Q2587" s="169"/>
      <c r="R2587" s="169">
        <v>1</v>
      </c>
    </row>
    <row r="2588" spans="1:18" ht="24">
      <c r="A2588" s="165">
        <v>2</v>
      </c>
      <c r="B2588" s="162" t="s">
        <v>4710</v>
      </c>
      <c r="C2588" s="166" t="s">
        <v>4711</v>
      </c>
      <c r="D2588" s="167">
        <v>1150.67</v>
      </c>
      <c r="E2588" s="167">
        <v>284.95</v>
      </c>
      <c r="F2588" s="167">
        <v>828.5</v>
      </c>
      <c r="G2588" s="167">
        <v>37.22</v>
      </c>
      <c r="H2588" s="168">
        <v>7903.52</v>
      </c>
      <c r="I2588" s="168">
        <v>3277.07</v>
      </c>
      <c r="J2588" s="168">
        <v>4455.3900000000003</v>
      </c>
      <c r="K2588" s="168">
        <v>171.06</v>
      </c>
      <c r="L2588" s="43">
        <v>6.8686243666733295</v>
      </c>
      <c r="M2588" s="43">
        <v>11.500508861203722</v>
      </c>
      <c r="N2588" s="43">
        <v>5.3776584188292098</v>
      </c>
      <c r="O2588" s="43">
        <v>4.5959161740999468</v>
      </c>
      <c r="P2588" s="169"/>
      <c r="Q2588" s="169"/>
      <c r="R2588" s="169">
        <v>1</v>
      </c>
    </row>
    <row r="2589" spans="1:18" ht="24">
      <c r="A2589" s="165">
        <v>3</v>
      </c>
      <c r="B2589" s="162" t="s">
        <v>4712</v>
      </c>
      <c r="C2589" s="166" t="s">
        <v>4713</v>
      </c>
      <c r="D2589" s="167">
        <v>1289.7</v>
      </c>
      <c r="E2589" s="167">
        <v>335.51</v>
      </c>
      <c r="F2589" s="167">
        <v>911.92</v>
      </c>
      <c r="G2589" s="167">
        <v>42.27</v>
      </c>
      <c r="H2589" s="168">
        <v>8960.08</v>
      </c>
      <c r="I2589" s="168">
        <v>3858.49</v>
      </c>
      <c r="J2589" s="168">
        <v>4904.28</v>
      </c>
      <c r="K2589" s="168">
        <v>197.31</v>
      </c>
      <c r="L2589" s="43">
        <v>6.9474141273164296</v>
      </c>
      <c r="M2589" s="43">
        <v>11.500372567136598</v>
      </c>
      <c r="N2589" s="43">
        <v>5.3779717519080616</v>
      </c>
      <c r="O2589" s="43">
        <v>4.6678495386799144</v>
      </c>
      <c r="P2589" s="169"/>
      <c r="Q2589" s="169"/>
      <c r="R2589" s="169">
        <v>1</v>
      </c>
    </row>
    <row r="2590" spans="1:18" ht="24">
      <c r="A2590" s="165">
        <v>4</v>
      </c>
      <c r="B2590" s="162" t="s">
        <v>4714</v>
      </c>
      <c r="C2590" s="166" t="s">
        <v>4715</v>
      </c>
      <c r="D2590" s="167">
        <v>1681.75</v>
      </c>
      <c r="E2590" s="167">
        <v>387.21</v>
      </c>
      <c r="F2590" s="167">
        <v>1245.31</v>
      </c>
      <c r="G2590" s="167">
        <v>49.23</v>
      </c>
      <c r="H2590" s="168">
        <v>11381.03</v>
      </c>
      <c r="I2590" s="168">
        <v>4453.12</v>
      </c>
      <c r="J2590" s="168">
        <v>6697.61</v>
      </c>
      <c r="K2590" s="168">
        <v>230.3</v>
      </c>
      <c r="L2590" s="43">
        <v>6.7673732718894017</v>
      </c>
      <c r="M2590" s="43">
        <v>11.500529428475504</v>
      </c>
      <c r="N2590" s="43">
        <v>5.3782672587548479</v>
      </c>
      <c r="O2590" s="43">
        <v>4.6780418444038192</v>
      </c>
      <c r="P2590" s="169"/>
      <c r="Q2590" s="169"/>
      <c r="R2590" s="169">
        <v>1</v>
      </c>
    </row>
    <row r="2591" spans="1:18" ht="24">
      <c r="A2591" s="165">
        <v>5</v>
      </c>
      <c r="B2591" s="162" t="s">
        <v>4716</v>
      </c>
      <c r="C2591" s="166" t="s">
        <v>4717</v>
      </c>
      <c r="D2591" s="167">
        <v>6006.4</v>
      </c>
      <c r="E2591" s="167">
        <v>1838.4</v>
      </c>
      <c r="F2591" s="167">
        <v>4081.17</v>
      </c>
      <c r="G2591" s="167">
        <v>86.83</v>
      </c>
      <c r="H2591" s="168">
        <v>43687.21</v>
      </c>
      <c r="I2591" s="168">
        <v>21142.400000000001</v>
      </c>
      <c r="J2591" s="168">
        <v>21942.21</v>
      </c>
      <c r="K2591" s="168">
        <v>602.6</v>
      </c>
      <c r="L2591" s="43">
        <v>7.2734433271177412</v>
      </c>
      <c r="M2591" s="43">
        <v>11.500435161009573</v>
      </c>
      <c r="N2591" s="43">
        <v>5.3764508707061944</v>
      </c>
      <c r="O2591" s="43">
        <v>6.9399976966486241</v>
      </c>
      <c r="P2591" s="169"/>
      <c r="Q2591" s="169"/>
      <c r="R2591" s="169">
        <v>1</v>
      </c>
    </row>
    <row r="2592" spans="1:18" ht="24">
      <c r="A2592" s="165">
        <v>6</v>
      </c>
      <c r="B2592" s="162" t="s">
        <v>4718</v>
      </c>
      <c r="C2592" s="166" t="s">
        <v>4719</v>
      </c>
      <c r="D2592" s="167">
        <v>8063.78</v>
      </c>
      <c r="E2592" s="167">
        <v>3148.26</v>
      </c>
      <c r="F2592" s="167">
        <v>4182.84</v>
      </c>
      <c r="G2592" s="167">
        <v>732.68</v>
      </c>
      <c r="H2592" s="168">
        <v>62811.95</v>
      </c>
      <c r="I2592" s="168">
        <v>36206.36</v>
      </c>
      <c r="J2592" s="168">
        <v>22921.67</v>
      </c>
      <c r="K2592" s="168">
        <v>3683.92</v>
      </c>
      <c r="L2592" s="43">
        <v>7.7893928157762238</v>
      </c>
      <c r="M2592" s="43">
        <v>11.500435161009573</v>
      </c>
      <c r="N2592" s="43">
        <v>5.4799299040843055</v>
      </c>
      <c r="O2592" s="43">
        <v>5.0280067696675221</v>
      </c>
      <c r="P2592" s="169"/>
      <c r="Q2592" s="169"/>
      <c r="R2592" s="169">
        <v>1</v>
      </c>
    </row>
    <row r="2593" spans="1:18" ht="24">
      <c r="A2593" s="165">
        <v>7</v>
      </c>
      <c r="B2593" s="162" t="s">
        <v>4720</v>
      </c>
      <c r="C2593" s="166" t="s">
        <v>4721</v>
      </c>
      <c r="D2593" s="167">
        <v>10887.55</v>
      </c>
      <c r="E2593" s="167">
        <v>4193.8500000000004</v>
      </c>
      <c r="F2593" s="167">
        <v>5366.67</v>
      </c>
      <c r="G2593" s="167">
        <v>1327.03</v>
      </c>
      <c r="H2593" s="168">
        <v>83667.490000000005</v>
      </c>
      <c r="I2593" s="168">
        <v>48231.1</v>
      </c>
      <c r="J2593" s="168">
        <v>29379.81</v>
      </c>
      <c r="K2593" s="168">
        <v>6056.58</v>
      </c>
      <c r="L2593" s="43">
        <v>7.6846939853318705</v>
      </c>
      <c r="M2593" s="43">
        <v>11.500435161009571</v>
      </c>
      <c r="N2593" s="43">
        <v>5.4744953574563002</v>
      </c>
      <c r="O2593" s="43">
        <v>4.5640113637219955</v>
      </c>
      <c r="P2593" s="169"/>
      <c r="Q2593" s="169"/>
      <c r="R2593" s="169">
        <v>1</v>
      </c>
    </row>
    <row r="2594" spans="1:18" ht="24">
      <c r="A2594" s="165">
        <v>8</v>
      </c>
      <c r="B2594" s="162" t="s">
        <v>4722</v>
      </c>
      <c r="C2594" s="166" t="s">
        <v>4723</v>
      </c>
      <c r="D2594" s="167">
        <v>13495.49</v>
      </c>
      <c r="E2594" s="167">
        <v>5457.75</v>
      </c>
      <c r="F2594" s="167">
        <v>6136.72</v>
      </c>
      <c r="G2594" s="167">
        <v>1901.02</v>
      </c>
      <c r="H2594" s="168">
        <v>104310.12</v>
      </c>
      <c r="I2594" s="168">
        <v>62766.5</v>
      </c>
      <c r="J2594" s="168">
        <v>33357.81</v>
      </c>
      <c r="K2594" s="168">
        <v>8185.81</v>
      </c>
      <c r="L2594" s="43">
        <v>7.729257700165018</v>
      </c>
      <c r="M2594" s="43">
        <v>11.500435161009573</v>
      </c>
      <c r="N2594" s="43">
        <v>5.4357718781368547</v>
      </c>
      <c r="O2594" s="43">
        <v>4.3060094054770603</v>
      </c>
      <c r="P2594" s="169"/>
      <c r="Q2594" s="169"/>
      <c r="R2594" s="169">
        <v>1</v>
      </c>
    </row>
    <row r="2595" spans="1:18" ht="24">
      <c r="A2595" s="165">
        <v>9</v>
      </c>
      <c r="B2595" s="162" t="s">
        <v>4724</v>
      </c>
      <c r="C2595" s="166" t="s">
        <v>4725</v>
      </c>
      <c r="D2595" s="167">
        <v>15740.15</v>
      </c>
      <c r="E2595" s="167">
        <v>6388.44</v>
      </c>
      <c r="F2595" s="167">
        <v>6834.98</v>
      </c>
      <c r="G2595" s="167">
        <v>2516.73</v>
      </c>
      <c r="H2595" s="168">
        <v>121024.07</v>
      </c>
      <c r="I2595" s="168">
        <v>73469.84</v>
      </c>
      <c r="J2595" s="168">
        <v>36960.35</v>
      </c>
      <c r="K2595" s="168">
        <v>10593.88</v>
      </c>
      <c r="L2595" s="43">
        <v>7.6888765354840967</v>
      </c>
      <c r="M2595" s="43">
        <v>11.500435161009573</v>
      </c>
      <c r="N2595" s="43">
        <v>5.4075286248094363</v>
      </c>
      <c r="O2595" s="43">
        <v>4.2093828102339144</v>
      </c>
      <c r="P2595" s="169"/>
      <c r="Q2595" s="169"/>
      <c r="R2595" s="169">
        <v>1</v>
      </c>
    </row>
    <row r="2596" spans="1:18" ht="24">
      <c r="A2596" s="165">
        <v>10</v>
      </c>
      <c r="B2596" s="162" t="s">
        <v>4726</v>
      </c>
      <c r="C2596" s="166" t="s">
        <v>4727</v>
      </c>
      <c r="D2596" s="167">
        <v>16199.11</v>
      </c>
      <c r="E2596" s="167">
        <v>4768.3500000000004</v>
      </c>
      <c r="F2596" s="167">
        <v>8983.7099999999991</v>
      </c>
      <c r="G2596" s="167">
        <v>2447.0500000000002</v>
      </c>
      <c r="H2596" s="168">
        <v>113231.14</v>
      </c>
      <c r="I2596" s="168">
        <v>54838.1</v>
      </c>
      <c r="J2596" s="168">
        <v>48155.89</v>
      </c>
      <c r="K2596" s="168">
        <v>10237.15</v>
      </c>
      <c r="L2596" s="43">
        <v>6.989960559561605</v>
      </c>
      <c r="M2596" s="43">
        <v>11.500435161009573</v>
      </c>
      <c r="N2596" s="43">
        <v>5.3603566900534414</v>
      </c>
      <c r="O2596" s="43">
        <v>4.1834658057661258</v>
      </c>
      <c r="P2596" s="169"/>
      <c r="Q2596" s="169"/>
      <c r="R2596" s="169">
        <v>1</v>
      </c>
    </row>
    <row r="2597" spans="1:18" ht="24">
      <c r="A2597" s="165">
        <v>11</v>
      </c>
      <c r="B2597" s="162" t="s">
        <v>4728</v>
      </c>
      <c r="C2597" s="166" t="s">
        <v>4729</v>
      </c>
      <c r="D2597" s="167">
        <v>21253.05</v>
      </c>
      <c r="E2597" s="167">
        <v>5836.92</v>
      </c>
      <c r="F2597" s="167">
        <v>12884.79</v>
      </c>
      <c r="G2597" s="167">
        <v>2531.34</v>
      </c>
      <c r="H2597" s="168">
        <v>146773.84</v>
      </c>
      <c r="I2597" s="168">
        <v>67127.12</v>
      </c>
      <c r="J2597" s="168">
        <v>68937.570000000007</v>
      </c>
      <c r="K2597" s="168">
        <v>10709.15</v>
      </c>
      <c r="L2597" s="43">
        <v>6.9060130193078173</v>
      </c>
      <c r="M2597" s="43">
        <v>11.500435161009573</v>
      </c>
      <c r="N2597" s="43">
        <v>5.3503060585387887</v>
      </c>
      <c r="O2597" s="43">
        <v>4.230624886423791</v>
      </c>
      <c r="P2597" s="169"/>
      <c r="Q2597" s="169"/>
      <c r="R2597" s="169">
        <v>1</v>
      </c>
    </row>
    <row r="2598" spans="1:18" ht="24">
      <c r="A2598" s="165">
        <v>12</v>
      </c>
      <c r="B2598" s="162" t="s">
        <v>4730</v>
      </c>
      <c r="C2598" s="166" t="s">
        <v>4731</v>
      </c>
      <c r="D2598" s="167">
        <v>23556.14</v>
      </c>
      <c r="E2598" s="167">
        <v>6733.14</v>
      </c>
      <c r="F2598" s="167">
        <v>14262.18</v>
      </c>
      <c r="G2598" s="167">
        <v>2560.8200000000002</v>
      </c>
      <c r="H2598" s="168">
        <v>164789.22</v>
      </c>
      <c r="I2598" s="168">
        <v>77434.039999999994</v>
      </c>
      <c r="J2598" s="168">
        <v>76360.039999999994</v>
      </c>
      <c r="K2598" s="168">
        <v>10995.14</v>
      </c>
      <c r="L2598" s="43">
        <v>6.9955952036284383</v>
      </c>
      <c r="M2598" s="43">
        <v>11.500435161009571</v>
      </c>
      <c r="N2598" s="43">
        <v>5.3540230175190606</v>
      </c>
      <c r="O2598" s="43">
        <v>4.2936012683437328</v>
      </c>
      <c r="P2598" s="169"/>
      <c r="Q2598" s="169"/>
      <c r="R2598" s="169">
        <v>1</v>
      </c>
    </row>
    <row r="2599" spans="1:18" ht="24">
      <c r="A2599" s="165">
        <v>13</v>
      </c>
      <c r="B2599" s="162" t="s">
        <v>4732</v>
      </c>
      <c r="C2599" s="166" t="s">
        <v>4733</v>
      </c>
      <c r="D2599" s="167">
        <v>31970.34</v>
      </c>
      <c r="E2599" s="167">
        <v>9915.8700000000008</v>
      </c>
      <c r="F2599" s="167">
        <v>18321.63</v>
      </c>
      <c r="G2599" s="167">
        <v>3732.84</v>
      </c>
      <c r="H2599" s="168">
        <v>229060.47</v>
      </c>
      <c r="I2599" s="168">
        <v>114036.82</v>
      </c>
      <c r="J2599" s="168">
        <v>98814.56</v>
      </c>
      <c r="K2599" s="168">
        <v>16209.09</v>
      </c>
      <c r="L2599" s="43">
        <v>7.1647805434662253</v>
      </c>
      <c r="M2599" s="43">
        <v>11.500435161009573</v>
      </c>
      <c r="N2599" s="43">
        <v>5.3933279953803233</v>
      </c>
      <c r="O2599" s="43">
        <v>4.3422943388947823</v>
      </c>
      <c r="P2599" s="169"/>
      <c r="Q2599" s="169"/>
      <c r="R2599" s="169">
        <v>1</v>
      </c>
    </row>
    <row r="2600" spans="1:18" ht="24">
      <c r="A2600" s="165">
        <v>14</v>
      </c>
      <c r="B2600" s="162" t="s">
        <v>4734</v>
      </c>
      <c r="C2600" s="166" t="s">
        <v>4735</v>
      </c>
      <c r="D2600" s="167">
        <v>40836.6</v>
      </c>
      <c r="E2600" s="167">
        <v>12443.67</v>
      </c>
      <c r="F2600" s="167">
        <v>23213.43</v>
      </c>
      <c r="G2600" s="167">
        <v>5179.5</v>
      </c>
      <c r="H2600" s="168">
        <v>290383.09000000003</v>
      </c>
      <c r="I2600" s="168">
        <v>143107.62</v>
      </c>
      <c r="J2600" s="168">
        <v>125136.88</v>
      </c>
      <c r="K2600" s="168">
        <v>22138.59</v>
      </c>
      <c r="L2600" s="43">
        <v>7.1108537439453832</v>
      </c>
      <c r="M2600" s="43">
        <v>11.500435161009573</v>
      </c>
      <c r="N2600" s="43">
        <v>5.390710463727248</v>
      </c>
      <c r="O2600" s="43">
        <v>4.2742716478424558</v>
      </c>
      <c r="P2600" s="169"/>
      <c r="Q2600" s="169"/>
      <c r="R2600" s="169">
        <v>1</v>
      </c>
    </row>
    <row r="2601" spans="1:18" ht="24">
      <c r="A2601" s="165">
        <v>15</v>
      </c>
      <c r="B2601" s="162" t="s">
        <v>4736</v>
      </c>
      <c r="C2601" s="166" t="s">
        <v>4737</v>
      </c>
      <c r="D2601" s="167">
        <v>32650.560000000001</v>
      </c>
      <c r="E2601" s="167">
        <v>8927.73</v>
      </c>
      <c r="F2601" s="167">
        <v>20542.82</v>
      </c>
      <c r="G2601" s="167">
        <v>3180.01</v>
      </c>
      <c r="H2601" s="168">
        <v>226052.47</v>
      </c>
      <c r="I2601" s="168">
        <v>102672.78</v>
      </c>
      <c r="J2601" s="168">
        <v>109648.31</v>
      </c>
      <c r="K2601" s="168">
        <v>13731.38</v>
      </c>
      <c r="L2601" s="43">
        <v>6.9233872252114512</v>
      </c>
      <c r="M2601" s="43">
        <v>11.500435161009573</v>
      </c>
      <c r="N2601" s="43">
        <v>5.3375490804086292</v>
      </c>
      <c r="O2601" s="43">
        <v>4.3180304464451362</v>
      </c>
      <c r="P2601" s="169"/>
      <c r="Q2601" s="169"/>
      <c r="R2601" s="169">
        <v>1</v>
      </c>
    </row>
    <row r="2602" spans="1:18" ht="36">
      <c r="A2602" s="165">
        <v>16</v>
      </c>
      <c r="B2602" s="162" t="s">
        <v>4738</v>
      </c>
      <c r="C2602" s="166" t="s">
        <v>4739</v>
      </c>
      <c r="D2602" s="167">
        <v>48899.31</v>
      </c>
      <c r="E2602" s="167">
        <v>12248.34</v>
      </c>
      <c r="F2602" s="167">
        <v>32698.54</v>
      </c>
      <c r="G2602" s="167">
        <v>3952.43</v>
      </c>
      <c r="H2602" s="168">
        <v>335853</v>
      </c>
      <c r="I2602" s="168">
        <v>140861.24</v>
      </c>
      <c r="J2602" s="168">
        <v>177702.88</v>
      </c>
      <c r="K2602" s="168">
        <v>17288.88</v>
      </c>
      <c r="L2602" s="43">
        <v>6.868256423250144</v>
      </c>
      <c r="M2602" s="43">
        <v>11.500435161009573</v>
      </c>
      <c r="N2602" s="43">
        <v>5.4345814828429653</v>
      </c>
      <c r="O2602" s="43">
        <v>4.3742406570135337</v>
      </c>
      <c r="P2602" s="169"/>
      <c r="Q2602" s="169"/>
      <c r="R2602" s="169">
        <v>1</v>
      </c>
    </row>
    <row r="2603" spans="1:18" ht="36">
      <c r="A2603" s="165">
        <v>17</v>
      </c>
      <c r="B2603" s="162" t="s">
        <v>4740</v>
      </c>
      <c r="C2603" s="166" t="s">
        <v>4741</v>
      </c>
      <c r="D2603" s="167">
        <v>36375.29</v>
      </c>
      <c r="E2603" s="167">
        <v>12627.51</v>
      </c>
      <c r="F2603" s="167">
        <v>20226.900000000001</v>
      </c>
      <c r="G2603" s="167">
        <v>3520.88</v>
      </c>
      <c r="H2603" s="168">
        <v>270340.44</v>
      </c>
      <c r="I2603" s="168">
        <v>145221.85999999999</v>
      </c>
      <c r="J2603" s="168">
        <v>108941.15</v>
      </c>
      <c r="K2603" s="168">
        <v>16177.43</v>
      </c>
      <c r="L2603" s="43">
        <v>7.4319803361017875</v>
      </c>
      <c r="M2603" s="43">
        <v>11.500435161009571</v>
      </c>
      <c r="N2603" s="43">
        <v>5.3859538535316824</v>
      </c>
      <c r="O2603" s="43">
        <v>4.594712117425189</v>
      </c>
      <c r="P2603" s="169"/>
      <c r="Q2603" s="169"/>
      <c r="R2603" s="169">
        <v>1</v>
      </c>
    </row>
    <row r="2604" spans="1:18" ht="36">
      <c r="A2604" s="165">
        <v>18</v>
      </c>
      <c r="B2604" s="162" t="s">
        <v>4742</v>
      </c>
      <c r="C2604" s="166" t="s">
        <v>4743</v>
      </c>
      <c r="D2604" s="167">
        <v>42441.56</v>
      </c>
      <c r="E2604" s="167">
        <v>14511.87</v>
      </c>
      <c r="F2604" s="167">
        <v>23218.61</v>
      </c>
      <c r="G2604" s="167">
        <v>4711.08</v>
      </c>
      <c r="H2604" s="168">
        <v>311750.98</v>
      </c>
      <c r="I2604" s="168">
        <v>166892.82</v>
      </c>
      <c r="J2604" s="168">
        <v>124888.62</v>
      </c>
      <c r="K2604" s="168">
        <v>19969.54</v>
      </c>
      <c r="L2604" s="43">
        <v>7.3454175576958054</v>
      </c>
      <c r="M2604" s="43">
        <v>11.500435161009573</v>
      </c>
      <c r="N2604" s="43">
        <v>5.3788155277167755</v>
      </c>
      <c r="O2604" s="43">
        <v>4.2388454452057704</v>
      </c>
      <c r="P2604" s="169"/>
      <c r="Q2604" s="169"/>
      <c r="R2604" s="169">
        <v>1</v>
      </c>
    </row>
    <row r="2605" spans="1:18" ht="36">
      <c r="A2605" s="165">
        <v>19</v>
      </c>
      <c r="B2605" s="162" t="s">
        <v>4744</v>
      </c>
      <c r="C2605" s="166" t="s">
        <v>4745</v>
      </c>
      <c r="D2605" s="167">
        <v>49392.31</v>
      </c>
      <c r="E2605" s="167">
        <v>18682.740000000002</v>
      </c>
      <c r="F2605" s="167">
        <v>24872.29</v>
      </c>
      <c r="G2605" s="167">
        <v>5837.28</v>
      </c>
      <c r="H2605" s="168">
        <v>374073.38</v>
      </c>
      <c r="I2605" s="168">
        <v>214859.64</v>
      </c>
      <c r="J2605" s="168">
        <v>134137.57</v>
      </c>
      <c r="K2605" s="168">
        <v>25076.17</v>
      </c>
      <c r="L2605" s="43">
        <v>7.5735145815208886</v>
      </c>
      <c r="M2605" s="43">
        <v>11.500435161009573</v>
      </c>
      <c r="N2605" s="43">
        <v>5.3930526702607597</v>
      </c>
      <c r="O2605" s="43">
        <v>4.2958655401145736</v>
      </c>
      <c r="P2605" s="169"/>
      <c r="Q2605" s="169"/>
      <c r="R2605" s="169">
        <v>1</v>
      </c>
    </row>
    <row r="2606" spans="1:18" ht="24">
      <c r="A2606" s="165">
        <v>20</v>
      </c>
      <c r="B2606" s="162" t="s">
        <v>4746</v>
      </c>
      <c r="C2606" s="166" t="s">
        <v>4747</v>
      </c>
      <c r="D2606" s="167">
        <v>41649.410000000003</v>
      </c>
      <c r="E2606" s="167">
        <v>13213.5</v>
      </c>
      <c r="F2606" s="167">
        <v>23011.65</v>
      </c>
      <c r="G2606" s="167">
        <v>5424.26</v>
      </c>
      <c r="H2606" s="168">
        <v>298418.44</v>
      </c>
      <c r="I2606" s="168">
        <v>151961</v>
      </c>
      <c r="J2606" s="168">
        <v>123862.7</v>
      </c>
      <c r="K2606" s="168">
        <v>22594.74</v>
      </c>
      <c r="L2606" s="43">
        <v>7.1650100205501106</v>
      </c>
      <c r="M2606" s="43">
        <v>11.500435161009573</v>
      </c>
      <c r="N2606" s="43">
        <v>5.3826083744538087</v>
      </c>
      <c r="O2606" s="43">
        <v>4.1654972291151235</v>
      </c>
      <c r="P2606" s="169"/>
      <c r="Q2606" s="169"/>
      <c r="R2606" s="169">
        <v>1</v>
      </c>
    </row>
    <row r="2607" spans="1:18" ht="36">
      <c r="A2607" s="165">
        <v>21</v>
      </c>
      <c r="B2607" s="162" t="s">
        <v>4748</v>
      </c>
      <c r="C2607" s="166" t="s">
        <v>4749</v>
      </c>
      <c r="D2607" s="167">
        <v>50400.57</v>
      </c>
      <c r="E2607" s="167">
        <v>16086</v>
      </c>
      <c r="F2607" s="167">
        <v>28533.18</v>
      </c>
      <c r="G2607" s="167">
        <v>5781.39</v>
      </c>
      <c r="H2607" s="168">
        <v>362956.36</v>
      </c>
      <c r="I2607" s="168">
        <v>184996</v>
      </c>
      <c r="J2607" s="168">
        <v>153845.9</v>
      </c>
      <c r="K2607" s="168">
        <v>24114.46</v>
      </c>
      <c r="L2607" s="43">
        <v>7.2014336345799261</v>
      </c>
      <c r="M2607" s="43">
        <v>11.500435161009573</v>
      </c>
      <c r="N2607" s="43">
        <v>5.3918245355056813</v>
      </c>
      <c r="O2607" s="43">
        <v>4.1710488308175018</v>
      </c>
      <c r="P2607" s="169"/>
      <c r="Q2607" s="169"/>
      <c r="R2607" s="169">
        <v>1</v>
      </c>
    </row>
    <row r="2608" spans="1:18" ht="24">
      <c r="A2608" s="165">
        <v>22</v>
      </c>
      <c r="B2608" s="162" t="s">
        <v>4750</v>
      </c>
      <c r="C2608" s="166" t="s">
        <v>4751</v>
      </c>
      <c r="D2608" s="167">
        <v>66059.12</v>
      </c>
      <c r="E2608" s="167">
        <v>21141.599999999999</v>
      </c>
      <c r="F2608" s="167">
        <v>37419.07</v>
      </c>
      <c r="G2608" s="167">
        <v>7498.45</v>
      </c>
      <c r="H2608" s="168">
        <v>476875.11</v>
      </c>
      <c r="I2608" s="168">
        <v>243137.6</v>
      </c>
      <c r="J2608" s="168">
        <v>201721.14</v>
      </c>
      <c r="K2608" s="168">
        <v>32016.37</v>
      </c>
      <c r="L2608" s="43">
        <v>7.2189140575896262</v>
      </c>
      <c r="M2608" s="43">
        <v>11.500435161009575</v>
      </c>
      <c r="N2608" s="43">
        <v>5.3908646045986712</v>
      </c>
      <c r="O2608" s="43">
        <v>4.2697317445605423</v>
      </c>
      <c r="P2608" s="169"/>
      <c r="Q2608" s="169"/>
      <c r="R2608" s="169">
        <v>1</v>
      </c>
    </row>
    <row r="2609" spans="1:18" ht="24">
      <c r="A2609" s="165">
        <v>23</v>
      </c>
      <c r="B2609" s="162" t="s">
        <v>4752</v>
      </c>
      <c r="C2609" s="166" t="s">
        <v>4753</v>
      </c>
      <c r="D2609" s="167">
        <v>35671.15</v>
      </c>
      <c r="E2609" s="167">
        <v>11673.84</v>
      </c>
      <c r="F2609" s="167">
        <v>19230.59</v>
      </c>
      <c r="G2609" s="167">
        <v>4766.72</v>
      </c>
      <c r="H2609" s="168">
        <v>257794.94</v>
      </c>
      <c r="I2609" s="168">
        <v>134254.24</v>
      </c>
      <c r="J2609" s="168">
        <v>103560.19</v>
      </c>
      <c r="K2609" s="168">
        <v>19980.509999999998</v>
      </c>
      <c r="L2609" s="43">
        <v>7.2269870749891716</v>
      </c>
      <c r="M2609" s="43">
        <v>11.500435161009573</v>
      </c>
      <c r="N2609" s="43">
        <v>5.3851800698782517</v>
      </c>
      <c r="O2609" s="43">
        <v>4.1916684848281411</v>
      </c>
      <c r="P2609" s="169"/>
      <c r="Q2609" s="169"/>
      <c r="R2609" s="169">
        <v>1</v>
      </c>
    </row>
    <row r="2610" spans="1:18" ht="24">
      <c r="A2610" s="165">
        <v>24</v>
      </c>
      <c r="B2610" s="162" t="s">
        <v>4754</v>
      </c>
      <c r="C2610" s="166" t="s">
        <v>4755</v>
      </c>
      <c r="D2610" s="167">
        <v>44590.07</v>
      </c>
      <c r="E2610" s="167">
        <v>17280.96</v>
      </c>
      <c r="F2610" s="167">
        <v>23608.71</v>
      </c>
      <c r="G2610" s="167">
        <v>3700.4</v>
      </c>
      <c r="H2610" s="168">
        <v>342957.02</v>
      </c>
      <c r="I2610" s="168">
        <v>198738.56</v>
      </c>
      <c r="J2610" s="168">
        <v>126986.36</v>
      </c>
      <c r="K2610" s="168">
        <v>17232.099999999999</v>
      </c>
      <c r="L2610" s="43">
        <v>7.6913317247539643</v>
      </c>
      <c r="M2610" s="43">
        <v>11.500435161009573</v>
      </c>
      <c r="N2610" s="43">
        <v>5.3787928268846539</v>
      </c>
      <c r="O2610" s="43">
        <v>4.6568208842287317</v>
      </c>
      <c r="P2610" s="169"/>
      <c r="Q2610" s="169"/>
      <c r="R2610" s="169">
        <v>1</v>
      </c>
    </row>
    <row r="2611" spans="1:18" ht="24">
      <c r="A2611" s="165">
        <v>25</v>
      </c>
      <c r="B2611" s="162" t="s">
        <v>4756</v>
      </c>
      <c r="C2611" s="166" t="s">
        <v>4757</v>
      </c>
      <c r="D2611" s="167">
        <v>53853.54</v>
      </c>
      <c r="E2611" s="167">
        <v>19199.79</v>
      </c>
      <c r="F2611" s="167">
        <v>29870.43</v>
      </c>
      <c r="G2611" s="167">
        <v>4783.32</v>
      </c>
      <c r="H2611" s="168">
        <v>402922.32</v>
      </c>
      <c r="I2611" s="168">
        <v>220805.94</v>
      </c>
      <c r="J2611" s="168">
        <v>160210.23999999999</v>
      </c>
      <c r="K2611" s="168">
        <v>21906.14</v>
      </c>
      <c r="L2611" s="43">
        <v>7.4818167942163134</v>
      </c>
      <c r="M2611" s="43">
        <v>11.500435161009573</v>
      </c>
      <c r="N2611" s="43">
        <v>5.3635063171169612</v>
      </c>
      <c r="O2611" s="43">
        <v>4.5796936019333856</v>
      </c>
      <c r="P2611" s="169"/>
      <c r="Q2611" s="169"/>
      <c r="R2611" s="169">
        <v>1</v>
      </c>
    </row>
    <row r="2612" spans="1:18" ht="36">
      <c r="A2612" s="165">
        <v>26</v>
      </c>
      <c r="B2612" s="162" t="s">
        <v>4758</v>
      </c>
      <c r="C2612" s="166" t="s">
        <v>4759</v>
      </c>
      <c r="D2612" s="167">
        <v>69166.87</v>
      </c>
      <c r="E2612" s="167">
        <v>21405.87</v>
      </c>
      <c r="F2612" s="167">
        <v>42919.97</v>
      </c>
      <c r="G2612" s="167">
        <v>4841.03</v>
      </c>
      <c r="H2612" s="168">
        <v>499035.39</v>
      </c>
      <c r="I2612" s="168">
        <v>246176.82</v>
      </c>
      <c r="J2612" s="168">
        <v>230378.63</v>
      </c>
      <c r="K2612" s="168">
        <v>22479.94</v>
      </c>
      <c r="L2612" s="43">
        <v>7.2149482837664918</v>
      </c>
      <c r="M2612" s="43">
        <v>11.500435161009575</v>
      </c>
      <c r="N2612" s="43">
        <v>5.3676325962017213</v>
      </c>
      <c r="O2612" s="43">
        <v>4.6436274924964316</v>
      </c>
      <c r="P2612" s="169"/>
      <c r="Q2612" s="169"/>
      <c r="R2612" s="169">
        <v>1</v>
      </c>
    </row>
    <row r="2613" spans="1:18" ht="36">
      <c r="A2613" s="165">
        <v>27</v>
      </c>
      <c r="B2613" s="162" t="s">
        <v>4760</v>
      </c>
      <c r="C2613" s="166" t="s">
        <v>4761</v>
      </c>
      <c r="D2613" s="167">
        <v>36049.47</v>
      </c>
      <c r="E2613" s="167">
        <v>12409.2</v>
      </c>
      <c r="F2613" s="167">
        <v>20175.84</v>
      </c>
      <c r="G2613" s="167">
        <v>3464.43</v>
      </c>
      <c r="H2613" s="168">
        <v>266852.2</v>
      </c>
      <c r="I2613" s="168">
        <v>142711.20000000001</v>
      </c>
      <c r="J2613" s="168">
        <v>108740.48</v>
      </c>
      <c r="K2613" s="168">
        <v>15400.52</v>
      </c>
      <c r="L2613" s="43">
        <v>7.402388994900619</v>
      </c>
      <c r="M2613" s="43">
        <v>11.500435161009573</v>
      </c>
      <c r="N2613" s="43">
        <v>5.3896383000658208</v>
      </c>
      <c r="O2613" s="43">
        <v>4.4453257823076235</v>
      </c>
      <c r="P2613" s="169"/>
      <c r="Q2613" s="169"/>
      <c r="R2613" s="169">
        <v>1</v>
      </c>
    </row>
    <row r="2614" spans="1:18" ht="24">
      <c r="A2614" s="165">
        <v>28</v>
      </c>
      <c r="B2614" s="162" t="s">
        <v>4762</v>
      </c>
      <c r="C2614" s="166" t="s">
        <v>4763</v>
      </c>
      <c r="D2614" s="167">
        <v>41038.1</v>
      </c>
      <c r="E2614" s="167">
        <v>13224.99</v>
      </c>
      <c r="F2614" s="167">
        <v>24187.47</v>
      </c>
      <c r="G2614" s="167">
        <v>3625.64</v>
      </c>
      <c r="H2614" s="168">
        <v>298234.31</v>
      </c>
      <c r="I2614" s="168">
        <v>152093.14000000001</v>
      </c>
      <c r="J2614" s="168">
        <v>130015.99</v>
      </c>
      <c r="K2614" s="168">
        <v>16125.18</v>
      </c>
      <c r="L2614" s="43">
        <v>7.267254331950066</v>
      </c>
      <c r="M2614" s="43">
        <v>11.500435161009575</v>
      </c>
      <c r="N2614" s="43">
        <v>5.375344754949567</v>
      </c>
      <c r="O2614" s="43">
        <v>4.447540296333889</v>
      </c>
      <c r="P2614" s="169"/>
      <c r="Q2614" s="169"/>
      <c r="R2614" s="169">
        <v>1</v>
      </c>
    </row>
    <row r="2615" spans="1:18" ht="24">
      <c r="A2615" s="165">
        <v>29</v>
      </c>
      <c r="B2615" s="162" t="s">
        <v>4764</v>
      </c>
      <c r="C2615" s="166" t="s">
        <v>4765</v>
      </c>
      <c r="D2615" s="167">
        <v>45379.42</v>
      </c>
      <c r="E2615" s="167">
        <v>13305.42</v>
      </c>
      <c r="F2615" s="167">
        <v>27478.93</v>
      </c>
      <c r="G2615" s="167">
        <v>4595.07</v>
      </c>
      <c r="H2615" s="168">
        <v>320471.02</v>
      </c>
      <c r="I2615" s="168">
        <v>153018.12</v>
      </c>
      <c r="J2615" s="168">
        <v>147288.44</v>
      </c>
      <c r="K2615" s="168">
        <v>20164.46</v>
      </c>
      <c r="L2615" s="43">
        <v>7.0620342877894879</v>
      </c>
      <c r="M2615" s="43">
        <v>11.500435161009573</v>
      </c>
      <c r="N2615" s="43">
        <v>5.3600500456167692</v>
      </c>
      <c r="O2615" s="43">
        <v>4.3882813537116956</v>
      </c>
      <c r="P2615" s="169"/>
      <c r="Q2615" s="169"/>
      <c r="R2615" s="169">
        <v>1</v>
      </c>
    </row>
    <row r="2616" spans="1:18" ht="24">
      <c r="A2616" s="165">
        <v>30</v>
      </c>
      <c r="B2616" s="162" t="s">
        <v>4766</v>
      </c>
      <c r="C2616" s="166" t="s">
        <v>4767</v>
      </c>
      <c r="D2616" s="167">
        <v>50910.96</v>
      </c>
      <c r="E2616" s="167">
        <v>17556.72</v>
      </c>
      <c r="F2616" s="167">
        <v>28407.32</v>
      </c>
      <c r="G2616" s="167">
        <v>4946.92</v>
      </c>
      <c r="H2616" s="168">
        <v>377051.59</v>
      </c>
      <c r="I2616" s="168">
        <v>201909.92</v>
      </c>
      <c r="J2616" s="168">
        <v>152961.68</v>
      </c>
      <c r="K2616" s="168">
        <v>22179.99</v>
      </c>
      <c r="L2616" s="43">
        <v>7.4060986082368121</v>
      </c>
      <c r="M2616" s="43">
        <v>11.500435161009573</v>
      </c>
      <c r="N2616" s="43">
        <v>5.3845867896021167</v>
      </c>
      <c r="O2616" s="43">
        <v>4.4835958535816225</v>
      </c>
      <c r="P2616" s="169"/>
      <c r="Q2616" s="169"/>
      <c r="R2616" s="169">
        <v>1</v>
      </c>
    </row>
    <row r="2617" spans="1:18" ht="12.75" customHeight="1">
      <c r="A2617" s="628" t="s">
        <v>4768</v>
      </c>
      <c r="B2617" s="629"/>
      <c r="C2617" s="629"/>
      <c r="D2617" s="629"/>
      <c r="E2617" s="629"/>
      <c r="F2617" s="629"/>
      <c r="G2617" s="629"/>
      <c r="H2617" s="629"/>
      <c r="I2617" s="629"/>
      <c r="J2617" s="629"/>
      <c r="K2617" s="629"/>
      <c r="L2617" s="629"/>
      <c r="M2617" s="629"/>
      <c r="N2617" s="629"/>
      <c r="O2617" s="629"/>
      <c r="P2617" s="629"/>
      <c r="Q2617" s="629"/>
      <c r="R2617" s="629"/>
    </row>
    <row r="2618" spans="1:18" ht="24">
      <c r="A2618" s="165">
        <v>31</v>
      </c>
      <c r="B2618" s="162" t="s">
        <v>4769</v>
      </c>
      <c r="C2618" s="166" t="s">
        <v>4770</v>
      </c>
      <c r="D2618" s="167">
        <v>13948.42</v>
      </c>
      <c r="E2618" s="167">
        <v>4814.3100000000004</v>
      </c>
      <c r="F2618" s="167">
        <v>7608.82</v>
      </c>
      <c r="G2618" s="167">
        <v>1525.29</v>
      </c>
      <c r="H2618" s="168">
        <v>103474.2</v>
      </c>
      <c r="I2618" s="168">
        <v>55366.66</v>
      </c>
      <c r="J2618" s="168">
        <v>41549.300000000003</v>
      </c>
      <c r="K2618" s="168">
        <v>6558.24</v>
      </c>
      <c r="L2618" s="43">
        <v>7.4183455903966182</v>
      </c>
      <c r="M2618" s="43">
        <v>11.500435161009573</v>
      </c>
      <c r="N2618" s="43">
        <v>5.460675899811009</v>
      </c>
      <c r="O2618" s="43">
        <v>4.2996676041933011</v>
      </c>
      <c r="P2618" s="169"/>
      <c r="Q2618" s="169"/>
      <c r="R2618" s="169">
        <v>2</v>
      </c>
    </row>
    <row r="2619" spans="1:18" ht="24">
      <c r="A2619" s="165">
        <v>32</v>
      </c>
      <c r="B2619" s="162" t="s">
        <v>4771</v>
      </c>
      <c r="C2619" s="166" t="s">
        <v>4772</v>
      </c>
      <c r="D2619" s="167">
        <v>10393.27</v>
      </c>
      <c r="E2619" s="167">
        <v>3918.09</v>
      </c>
      <c r="F2619" s="167">
        <v>4970.22</v>
      </c>
      <c r="G2619" s="167">
        <v>1504.96</v>
      </c>
      <c r="H2619" s="168">
        <v>78793.66</v>
      </c>
      <c r="I2619" s="168">
        <v>45059.74</v>
      </c>
      <c r="J2619" s="168">
        <v>27394.67</v>
      </c>
      <c r="K2619" s="168">
        <v>6339.25</v>
      </c>
      <c r="L2619" s="43">
        <v>7.5812193852367926</v>
      </c>
      <c r="M2619" s="43">
        <v>11.500435161009573</v>
      </c>
      <c r="N2619" s="43">
        <v>5.5117620547983783</v>
      </c>
      <c r="O2619" s="43">
        <v>4.2122381990219004</v>
      </c>
      <c r="P2619" s="169"/>
      <c r="Q2619" s="169"/>
      <c r="R2619" s="169">
        <v>2</v>
      </c>
    </row>
    <row r="2620" spans="1:18" ht="24">
      <c r="A2620" s="165">
        <v>33</v>
      </c>
      <c r="B2620" s="162" t="s">
        <v>4773</v>
      </c>
      <c r="C2620" s="166" t="s">
        <v>4774</v>
      </c>
      <c r="D2620" s="167">
        <v>15251.68</v>
      </c>
      <c r="E2620" s="167">
        <v>5492.22</v>
      </c>
      <c r="F2620" s="167">
        <v>8108.52</v>
      </c>
      <c r="G2620" s="167">
        <v>1650.94</v>
      </c>
      <c r="H2620" s="168">
        <v>114167.07</v>
      </c>
      <c r="I2620" s="168">
        <v>63162.92</v>
      </c>
      <c r="J2620" s="168">
        <v>43866.01</v>
      </c>
      <c r="K2620" s="168">
        <v>7138.14</v>
      </c>
      <c r="L2620" s="43">
        <v>7.4855406092968124</v>
      </c>
      <c r="M2620" s="43">
        <v>11.500435161009573</v>
      </c>
      <c r="N2620" s="43">
        <v>5.4098664121195972</v>
      </c>
      <c r="O2620" s="43">
        <v>4.3236822658606613</v>
      </c>
      <c r="P2620" s="169"/>
      <c r="Q2620" s="169"/>
      <c r="R2620" s="169">
        <v>2</v>
      </c>
    </row>
    <row r="2621" spans="1:18" ht="12.75" customHeight="1">
      <c r="A2621" s="628" t="s">
        <v>4775</v>
      </c>
      <c r="B2621" s="629"/>
      <c r="C2621" s="629"/>
      <c r="D2621" s="629"/>
      <c r="E2621" s="629"/>
      <c r="F2621" s="629"/>
      <c r="G2621" s="629"/>
      <c r="H2621" s="629"/>
      <c r="I2621" s="629"/>
      <c r="J2621" s="629"/>
      <c r="K2621" s="629"/>
      <c r="L2621" s="629"/>
      <c r="M2621" s="629"/>
      <c r="N2621" s="629"/>
      <c r="O2621" s="629"/>
      <c r="P2621" s="629"/>
      <c r="Q2621" s="629"/>
      <c r="R2621" s="629"/>
    </row>
    <row r="2622" spans="1:18" ht="24">
      <c r="A2622" s="165">
        <v>34</v>
      </c>
      <c r="B2622" s="162" t="s">
        <v>4776</v>
      </c>
      <c r="C2622" s="166" t="s">
        <v>4777</v>
      </c>
      <c r="D2622" s="167">
        <v>2145.79</v>
      </c>
      <c r="E2622" s="167">
        <v>1100.74</v>
      </c>
      <c r="F2622" s="167">
        <v>970.61</v>
      </c>
      <c r="G2622" s="167">
        <v>74.44</v>
      </c>
      <c r="H2622" s="168">
        <v>18515.009999999998</v>
      </c>
      <c r="I2622" s="168">
        <v>12659.01</v>
      </c>
      <c r="J2622" s="168">
        <v>5369.19</v>
      </c>
      <c r="K2622" s="168">
        <v>486.81</v>
      </c>
      <c r="L2622" s="43">
        <v>8.6285284207681077</v>
      </c>
      <c r="M2622" s="43">
        <v>11.500454239874994</v>
      </c>
      <c r="N2622" s="43">
        <v>5.5317686815507772</v>
      </c>
      <c r="O2622" s="43">
        <v>6.5396292315959164</v>
      </c>
      <c r="P2622" s="169"/>
      <c r="Q2622" s="169"/>
      <c r="R2622" s="169">
        <v>3</v>
      </c>
    </row>
    <row r="2623" spans="1:18" ht="24">
      <c r="A2623" s="165">
        <v>35</v>
      </c>
      <c r="B2623" s="162" t="s">
        <v>4778</v>
      </c>
      <c r="C2623" s="166" t="s">
        <v>4779</v>
      </c>
      <c r="D2623" s="167">
        <v>7969.92</v>
      </c>
      <c r="E2623" s="167">
        <v>2803.56</v>
      </c>
      <c r="F2623" s="167">
        <v>5006.17</v>
      </c>
      <c r="G2623" s="167">
        <v>160.19</v>
      </c>
      <c r="H2623" s="168">
        <v>60928.34</v>
      </c>
      <c r="I2623" s="168">
        <v>32242.16</v>
      </c>
      <c r="J2623" s="168">
        <v>27506.82</v>
      </c>
      <c r="K2623" s="168">
        <v>1179.3599999999999</v>
      </c>
      <c r="L2623" s="43">
        <v>7.6447868987392589</v>
      </c>
      <c r="M2623" s="43">
        <v>11.500435161009573</v>
      </c>
      <c r="N2623" s="43">
        <v>5.4945836837342714</v>
      </c>
      <c r="O2623" s="43">
        <v>7.3622573194331729</v>
      </c>
      <c r="P2623" s="169"/>
      <c r="Q2623" s="169"/>
      <c r="R2623" s="169">
        <v>3</v>
      </c>
    </row>
    <row r="2624" spans="1:18" ht="24">
      <c r="A2624" s="165">
        <v>36</v>
      </c>
      <c r="B2624" s="162" t="s">
        <v>4780</v>
      </c>
      <c r="C2624" s="166" t="s">
        <v>4781</v>
      </c>
      <c r="D2624" s="167">
        <v>3963.59</v>
      </c>
      <c r="E2624" s="167">
        <v>1838.4</v>
      </c>
      <c r="F2624" s="167">
        <v>1695.53</v>
      </c>
      <c r="G2624" s="167">
        <v>429.66</v>
      </c>
      <c r="H2624" s="168">
        <v>32863.82</v>
      </c>
      <c r="I2624" s="168">
        <v>21142.400000000001</v>
      </c>
      <c r="J2624" s="168">
        <v>9626.08</v>
      </c>
      <c r="K2624" s="168">
        <v>2095.34</v>
      </c>
      <c r="L2624" s="43">
        <v>8.2914277208288443</v>
      </c>
      <c r="M2624" s="43">
        <v>11.500435161009573</v>
      </c>
      <c r="N2624" s="43">
        <v>5.6773280331223868</v>
      </c>
      <c r="O2624" s="43">
        <v>4.8767397477074894</v>
      </c>
      <c r="P2624" s="169"/>
      <c r="Q2624" s="169"/>
      <c r="R2624" s="169">
        <v>3</v>
      </c>
    </row>
    <row r="2625" spans="1:18" ht="12.75" customHeight="1">
      <c r="A2625" s="628" t="s">
        <v>4782</v>
      </c>
      <c r="B2625" s="629"/>
      <c r="C2625" s="629"/>
      <c r="D2625" s="629"/>
      <c r="E2625" s="629"/>
      <c r="F2625" s="629"/>
      <c r="G2625" s="629"/>
      <c r="H2625" s="629"/>
      <c r="I2625" s="629"/>
      <c r="J2625" s="629"/>
      <c r="K2625" s="629"/>
      <c r="L2625" s="629"/>
      <c r="M2625" s="629"/>
      <c r="N2625" s="629"/>
      <c r="O2625" s="629"/>
      <c r="P2625" s="629"/>
      <c r="Q2625" s="629"/>
      <c r="R2625" s="629"/>
    </row>
    <row r="2626" spans="1:18" ht="24">
      <c r="A2626" s="165">
        <v>37</v>
      </c>
      <c r="B2626" s="162" t="s">
        <v>4783</v>
      </c>
      <c r="C2626" s="166" t="s">
        <v>4784</v>
      </c>
      <c r="D2626" s="167">
        <v>949.76</v>
      </c>
      <c r="E2626" s="167">
        <v>240.14</v>
      </c>
      <c r="F2626" s="167">
        <v>559.65</v>
      </c>
      <c r="G2626" s="167">
        <v>149.97</v>
      </c>
      <c r="H2626" s="168">
        <v>6467.91</v>
      </c>
      <c r="I2626" s="168">
        <v>2761.73</v>
      </c>
      <c r="J2626" s="168">
        <v>3008.43</v>
      </c>
      <c r="K2626" s="168">
        <v>697.75</v>
      </c>
      <c r="L2626" s="43">
        <v>6.8100467486522911</v>
      </c>
      <c r="M2626" s="43">
        <v>11.500499708503373</v>
      </c>
      <c r="N2626" s="43">
        <v>5.3755561511659069</v>
      </c>
      <c r="O2626" s="43">
        <v>4.6525971861038871</v>
      </c>
      <c r="P2626" s="169"/>
      <c r="Q2626" s="169"/>
      <c r="R2626" s="169">
        <v>4</v>
      </c>
    </row>
    <row r="2627" spans="1:18" ht="24">
      <c r="A2627" s="165">
        <v>38</v>
      </c>
      <c r="B2627" s="162" t="s">
        <v>4785</v>
      </c>
      <c r="C2627" s="166" t="s">
        <v>4786</v>
      </c>
      <c r="D2627" s="167">
        <v>1158.75</v>
      </c>
      <c r="E2627" s="167">
        <v>274.61</v>
      </c>
      <c r="F2627" s="167">
        <v>722.89</v>
      </c>
      <c r="G2627" s="167">
        <v>161.25</v>
      </c>
      <c r="H2627" s="168">
        <v>7791.23</v>
      </c>
      <c r="I2627" s="168">
        <v>3158.15</v>
      </c>
      <c r="J2627" s="168">
        <v>3886.02</v>
      </c>
      <c r="K2627" s="168">
        <v>747.06</v>
      </c>
      <c r="L2627" s="43">
        <v>6.7238230852211434</v>
      </c>
      <c r="M2627" s="43">
        <v>11.500491606277993</v>
      </c>
      <c r="N2627" s="43">
        <v>5.3756726472907355</v>
      </c>
      <c r="O2627" s="43">
        <v>4.632930232558139</v>
      </c>
      <c r="P2627" s="169"/>
      <c r="Q2627" s="169"/>
      <c r="R2627" s="169">
        <v>4</v>
      </c>
    </row>
    <row r="2628" spans="1:18" ht="24">
      <c r="A2628" s="165">
        <v>39</v>
      </c>
      <c r="B2628" s="162" t="s">
        <v>4787</v>
      </c>
      <c r="C2628" s="166" t="s">
        <v>4788</v>
      </c>
      <c r="D2628" s="167">
        <v>1487.81</v>
      </c>
      <c r="E2628" s="167">
        <v>386.06</v>
      </c>
      <c r="F2628" s="167">
        <v>908.46</v>
      </c>
      <c r="G2628" s="167">
        <v>193.29</v>
      </c>
      <c r="H2628" s="168">
        <v>10221.51</v>
      </c>
      <c r="I2628" s="168">
        <v>4439.8999999999996</v>
      </c>
      <c r="J2628" s="168">
        <v>4883.66</v>
      </c>
      <c r="K2628" s="168">
        <v>897.95</v>
      </c>
      <c r="L2628" s="43">
        <v>6.8701715944912323</v>
      </c>
      <c r="M2628" s="43">
        <v>11.500543956897891</v>
      </c>
      <c r="N2628" s="43">
        <v>5.3757567752019897</v>
      </c>
      <c r="O2628" s="43">
        <v>4.6456102229810137</v>
      </c>
      <c r="P2628" s="169"/>
      <c r="Q2628" s="169"/>
      <c r="R2628" s="169">
        <v>4</v>
      </c>
    </row>
    <row r="2629" spans="1:18" ht="24">
      <c r="A2629" s="165">
        <v>40</v>
      </c>
      <c r="B2629" s="162" t="s">
        <v>4789</v>
      </c>
      <c r="C2629" s="166" t="s">
        <v>4790</v>
      </c>
      <c r="D2629" s="167">
        <v>1659.32</v>
      </c>
      <c r="E2629" s="167">
        <v>471.09</v>
      </c>
      <c r="F2629" s="167">
        <v>994.44</v>
      </c>
      <c r="G2629" s="167">
        <v>193.79</v>
      </c>
      <c r="H2629" s="168">
        <v>11675.53</v>
      </c>
      <c r="I2629" s="168">
        <v>5417.74</v>
      </c>
      <c r="J2629" s="168">
        <v>5346.69</v>
      </c>
      <c r="K2629" s="168">
        <v>911.1</v>
      </c>
      <c r="L2629" s="43">
        <v>7.0363341609816077</v>
      </c>
      <c r="M2629" s="43">
        <v>11.500435161009573</v>
      </c>
      <c r="N2629" s="43">
        <v>5.3765838059611433</v>
      </c>
      <c r="O2629" s="43">
        <v>4.701480984570928</v>
      </c>
      <c r="P2629" s="169"/>
      <c r="Q2629" s="169"/>
      <c r="R2629" s="169">
        <v>4</v>
      </c>
    </row>
    <row r="2630" spans="1:18" ht="24">
      <c r="A2630" s="165">
        <v>41</v>
      </c>
      <c r="B2630" s="162" t="s">
        <v>4791</v>
      </c>
      <c r="C2630" s="166" t="s">
        <v>4792</v>
      </c>
      <c r="D2630" s="167">
        <v>14124.75</v>
      </c>
      <c r="E2630" s="167">
        <v>3860.64</v>
      </c>
      <c r="F2630" s="167">
        <v>8259.5499999999993</v>
      </c>
      <c r="G2630" s="167">
        <v>2004.56</v>
      </c>
      <c r="H2630" s="168">
        <v>97253.54</v>
      </c>
      <c r="I2630" s="168">
        <v>44399.040000000001</v>
      </c>
      <c r="J2630" s="168">
        <v>44008.5</v>
      </c>
      <c r="K2630" s="168">
        <v>8846</v>
      </c>
      <c r="L2630" s="43">
        <v>6.8853282358979797</v>
      </c>
      <c r="M2630" s="43">
        <v>11.500435161009575</v>
      </c>
      <c r="N2630" s="43">
        <v>5.3281958460206678</v>
      </c>
      <c r="O2630" s="43">
        <v>4.4129385002195001</v>
      </c>
      <c r="P2630" s="169"/>
      <c r="Q2630" s="169"/>
      <c r="R2630" s="169">
        <v>4</v>
      </c>
    </row>
    <row r="2631" spans="1:18" ht="24">
      <c r="A2631" s="165">
        <v>42</v>
      </c>
      <c r="B2631" s="162" t="s">
        <v>4793</v>
      </c>
      <c r="C2631" s="166" t="s">
        <v>4794</v>
      </c>
      <c r="D2631" s="167">
        <v>22170.47</v>
      </c>
      <c r="E2631" s="167">
        <v>6882.51</v>
      </c>
      <c r="F2631" s="167">
        <v>11563.74</v>
      </c>
      <c r="G2631" s="167">
        <v>3724.22</v>
      </c>
      <c r="H2631" s="168">
        <v>158327.42000000001</v>
      </c>
      <c r="I2631" s="168">
        <v>79151.86</v>
      </c>
      <c r="J2631" s="168">
        <v>62092.36</v>
      </c>
      <c r="K2631" s="168">
        <v>17083.2</v>
      </c>
      <c r="L2631" s="43">
        <v>7.1413650680387022</v>
      </c>
      <c r="M2631" s="43">
        <v>11.500435161009573</v>
      </c>
      <c r="N2631" s="43">
        <v>5.3695742035016352</v>
      </c>
      <c r="O2631" s="43">
        <v>4.587054470466299</v>
      </c>
      <c r="P2631" s="169"/>
      <c r="Q2631" s="169"/>
      <c r="R2631" s="169">
        <v>4</v>
      </c>
    </row>
    <row r="2632" spans="1:18" ht="24">
      <c r="A2632" s="165">
        <v>43</v>
      </c>
      <c r="B2632" s="162" t="s">
        <v>4795</v>
      </c>
      <c r="C2632" s="166" t="s">
        <v>4796</v>
      </c>
      <c r="D2632" s="167">
        <v>35090.92</v>
      </c>
      <c r="E2632" s="167">
        <v>10881.03</v>
      </c>
      <c r="F2632" s="167">
        <v>19979.78</v>
      </c>
      <c r="G2632" s="167">
        <v>4230.1099999999997</v>
      </c>
      <c r="H2632" s="168">
        <v>252324.54</v>
      </c>
      <c r="I2632" s="168">
        <v>125136.58</v>
      </c>
      <c r="J2632" s="168">
        <v>107430.41</v>
      </c>
      <c r="K2632" s="168">
        <v>19757.55</v>
      </c>
      <c r="L2632" s="43">
        <v>7.1905934640642091</v>
      </c>
      <c r="M2632" s="43">
        <v>11.500435161009573</v>
      </c>
      <c r="N2632" s="43">
        <v>5.3769566031257607</v>
      </c>
      <c r="O2632" s="43">
        <v>4.6706941427055089</v>
      </c>
      <c r="P2632" s="169"/>
      <c r="Q2632" s="169"/>
      <c r="R2632" s="169">
        <v>4</v>
      </c>
    </row>
    <row r="2633" spans="1:18" ht="12.75" customHeight="1">
      <c r="A2633" s="628" t="s">
        <v>4797</v>
      </c>
      <c r="B2633" s="629"/>
      <c r="C2633" s="629"/>
      <c r="D2633" s="629"/>
      <c r="E2633" s="629"/>
      <c r="F2633" s="629"/>
      <c r="G2633" s="629"/>
      <c r="H2633" s="629"/>
      <c r="I2633" s="629"/>
      <c r="J2633" s="629"/>
      <c r="K2633" s="629"/>
      <c r="L2633" s="629"/>
      <c r="M2633" s="629"/>
      <c r="N2633" s="629"/>
      <c r="O2633" s="629"/>
      <c r="P2633" s="629"/>
      <c r="Q2633" s="629"/>
      <c r="R2633" s="629"/>
    </row>
    <row r="2634" spans="1:18" ht="24">
      <c r="A2634" s="165">
        <v>44</v>
      </c>
      <c r="B2634" s="162" t="s">
        <v>4798</v>
      </c>
      <c r="C2634" s="166" t="s">
        <v>4799</v>
      </c>
      <c r="D2634" s="167">
        <v>16786.73</v>
      </c>
      <c r="E2634" s="167">
        <v>5469.24</v>
      </c>
      <c r="F2634" s="167">
        <v>6108.49</v>
      </c>
      <c r="G2634" s="167">
        <v>5209</v>
      </c>
      <c r="H2634" s="168">
        <v>135276.20000000001</v>
      </c>
      <c r="I2634" s="168">
        <v>62898.64</v>
      </c>
      <c r="J2634" s="168">
        <v>34050.29</v>
      </c>
      <c r="K2634" s="168">
        <v>38327.269999999997</v>
      </c>
      <c r="L2634" s="43">
        <v>8.0585200333835125</v>
      </c>
      <c r="M2634" s="43">
        <v>11.500435161009573</v>
      </c>
      <c r="N2634" s="43">
        <v>5.5742564856453889</v>
      </c>
      <c r="O2634" s="43">
        <v>7.357894029564215</v>
      </c>
      <c r="P2634" s="169"/>
      <c r="Q2634" s="169"/>
      <c r="R2634" s="169">
        <v>5</v>
      </c>
    </row>
    <row r="2635" spans="1:18" ht="24">
      <c r="A2635" s="165">
        <v>45</v>
      </c>
      <c r="B2635" s="162" t="s">
        <v>4800</v>
      </c>
      <c r="C2635" s="166" t="s">
        <v>4801</v>
      </c>
      <c r="D2635" s="167">
        <v>7265.03</v>
      </c>
      <c r="E2635" s="167">
        <v>4584.51</v>
      </c>
      <c r="F2635" s="167">
        <v>1603.27</v>
      </c>
      <c r="G2635" s="167">
        <v>1077.25</v>
      </c>
      <c r="H2635" s="168">
        <v>70231.53</v>
      </c>
      <c r="I2635" s="168">
        <v>52723.86</v>
      </c>
      <c r="J2635" s="168">
        <v>8880.18</v>
      </c>
      <c r="K2635" s="168">
        <v>8627.49</v>
      </c>
      <c r="L2635" s="43">
        <v>9.6670667567787056</v>
      </c>
      <c r="M2635" s="43">
        <v>11.500435161009573</v>
      </c>
      <c r="N2635" s="43">
        <v>5.5387925926387949</v>
      </c>
      <c r="O2635" s="43">
        <v>8.0088094685541886</v>
      </c>
      <c r="P2635" s="169"/>
      <c r="Q2635" s="169"/>
      <c r="R2635" s="169">
        <v>5</v>
      </c>
    </row>
    <row r="2636" spans="1:18" ht="24">
      <c r="A2636" s="165">
        <v>46</v>
      </c>
      <c r="B2636" s="162" t="s">
        <v>4802</v>
      </c>
      <c r="C2636" s="166" t="s">
        <v>4803</v>
      </c>
      <c r="D2636" s="167">
        <v>8595.26</v>
      </c>
      <c r="E2636" s="167">
        <v>4963.68</v>
      </c>
      <c r="F2636" s="167">
        <v>2943.91</v>
      </c>
      <c r="G2636" s="167">
        <v>687.67</v>
      </c>
      <c r="H2636" s="168">
        <v>79221.14</v>
      </c>
      <c r="I2636" s="168">
        <v>57084.480000000003</v>
      </c>
      <c r="J2636" s="168">
        <v>16473.830000000002</v>
      </c>
      <c r="K2636" s="168">
        <v>5662.83</v>
      </c>
      <c r="L2636" s="43">
        <v>9.2168404446171497</v>
      </c>
      <c r="M2636" s="43">
        <v>11.500435161009573</v>
      </c>
      <c r="N2636" s="43">
        <v>5.5959013692674038</v>
      </c>
      <c r="O2636" s="43">
        <v>8.2348073930809846</v>
      </c>
      <c r="P2636" s="169"/>
      <c r="Q2636" s="169"/>
      <c r="R2636" s="169">
        <v>5</v>
      </c>
    </row>
    <row r="2637" spans="1:18" ht="24">
      <c r="A2637" s="165">
        <v>47</v>
      </c>
      <c r="B2637" s="162" t="s">
        <v>4804</v>
      </c>
      <c r="C2637" s="166" t="s">
        <v>4805</v>
      </c>
      <c r="D2637" s="167">
        <v>12144.39</v>
      </c>
      <c r="E2637" s="167">
        <v>6250.56</v>
      </c>
      <c r="F2637" s="167">
        <v>3532.91</v>
      </c>
      <c r="G2637" s="167">
        <v>2360.92</v>
      </c>
      <c r="H2637" s="168">
        <v>110267.62</v>
      </c>
      <c r="I2637" s="168">
        <v>71884.160000000003</v>
      </c>
      <c r="J2637" s="168">
        <v>19765.189999999999</v>
      </c>
      <c r="K2637" s="168">
        <v>18618.27</v>
      </c>
      <c r="L2637" s="43">
        <v>9.0797166428284992</v>
      </c>
      <c r="M2637" s="43">
        <v>11.500435161009573</v>
      </c>
      <c r="N2637" s="43">
        <v>5.5945919935690407</v>
      </c>
      <c r="O2637" s="43">
        <v>7.8860232451756094</v>
      </c>
      <c r="P2637" s="169"/>
      <c r="Q2637" s="169"/>
      <c r="R2637" s="169">
        <v>5</v>
      </c>
    </row>
    <row r="2638" spans="1:18" ht="12.75" customHeight="1">
      <c r="A2638" s="628" t="s">
        <v>4806</v>
      </c>
      <c r="B2638" s="629"/>
      <c r="C2638" s="629"/>
      <c r="D2638" s="629"/>
      <c r="E2638" s="629"/>
      <c r="F2638" s="629"/>
      <c r="G2638" s="629"/>
      <c r="H2638" s="629"/>
      <c r="I2638" s="629"/>
      <c r="J2638" s="629"/>
      <c r="K2638" s="629"/>
      <c r="L2638" s="629"/>
      <c r="M2638" s="629"/>
      <c r="N2638" s="629"/>
      <c r="O2638" s="629"/>
      <c r="P2638" s="629"/>
      <c r="Q2638" s="629"/>
      <c r="R2638" s="629"/>
    </row>
    <row r="2639" spans="1:18" ht="24">
      <c r="A2639" s="165">
        <v>48</v>
      </c>
      <c r="B2639" s="162" t="s">
        <v>4807</v>
      </c>
      <c r="C2639" s="166" t="s">
        <v>4808</v>
      </c>
      <c r="D2639" s="167">
        <v>991.25</v>
      </c>
      <c r="E2639" s="167">
        <v>210.27</v>
      </c>
      <c r="F2639" s="167">
        <v>321.14999999999998</v>
      </c>
      <c r="G2639" s="167">
        <v>459.83</v>
      </c>
      <c r="H2639" s="168">
        <v>6559.93</v>
      </c>
      <c r="I2639" s="168">
        <v>2418.16</v>
      </c>
      <c r="J2639" s="168">
        <v>1726.78</v>
      </c>
      <c r="K2639" s="168">
        <v>2414.9899999999998</v>
      </c>
      <c r="L2639" s="43">
        <v>6.6178360655737709</v>
      </c>
      <c r="M2639" s="43">
        <v>11.500261568459598</v>
      </c>
      <c r="N2639" s="43">
        <v>5.376864393585552</v>
      </c>
      <c r="O2639" s="43">
        <v>5.2519191875258242</v>
      </c>
      <c r="P2639" s="169"/>
      <c r="Q2639" s="169"/>
      <c r="R2639" s="169">
        <v>6</v>
      </c>
    </row>
    <row r="2640" spans="1:18" ht="24">
      <c r="A2640" s="165">
        <v>49</v>
      </c>
      <c r="B2640" s="162" t="s">
        <v>4809</v>
      </c>
      <c r="C2640" s="166" t="s">
        <v>4810</v>
      </c>
      <c r="D2640" s="167">
        <v>1429.43</v>
      </c>
      <c r="E2640" s="167">
        <v>289.55</v>
      </c>
      <c r="F2640" s="167">
        <v>537.14</v>
      </c>
      <c r="G2640" s="167">
        <v>602.74</v>
      </c>
      <c r="H2640" s="168">
        <v>9145.5400000000009</v>
      </c>
      <c r="I2640" s="168">
        <v>3329.93</v>
      </c>
      <c r="J2640" s="168">
        <v>2888.52</v>
      </c>
      <c r="K2640" s="168">
        <v>2927.09</v>
      </c>
      <c r="L2640" s="43">
        <v>6.3980327822978396</v>
      </c>
      <c r="M2640" s="43">
        <v>11.500362631669832</v>
      </c>
      <c r="N2640" s="43">
        <v>5.3775924340023087</v>
      </c>
      <c r="O2640" s="43">
        <v>4.8563062016789997</v>
      </c>
      <c r="P2640" s="169"/>
      <c r="Q2640" s="169"/>
      <c r="R2640" s="169">
        <v>6</v>
      </c>
    </row>
    <row r="2641" spans="1:18" ht="24">
      <c r="A2641" s="165">
        <v>50</v>
      </c>
      <c r="B2641" s="162" t="s">
        <v>4811</v>
      </c>
      <c r="C2641" s="166" t="s">
        <v>4812</v>
      </c>
      <c r="D2641" s="167">
        <v>1823.5</v>
      </c>
      <c r="E2641" s="167">
        <v>302.19</v>
      </c>
      <c r="F2641" s="167">
        <v>732.75</v>
      </c>
      <c r="G2641" s="167">
        <v>788.56</v>
      </c>
      <c r="H2641" s="168">
        <v>11301.97</v>
      </c>
      <c r="I2641" s="168">
        <v>3475.28</v>
      </c>
      <c r="J2641" s="168">
        <v>3940.67</v>
      </c>
      <c r="K2641" s="168">
        <v>3886.02</v>
      </c>
      <c r="L2641" s="43">
        <v>6.1979544831368241</v>
      </c>
      <c r="M2641" s="43">
        <v>11.500314371752872</v>
      </c>
      <c r="N2641" s="43">
        <v>5.3779187990446946</v>
      </c>
      <c r="O2641" s="43">
        <v>4.9279953332656996</v>
      </c>
      <c r="P2641" s="169"/>
      <c r="Q2641" s="169"/>
      <c r="R2641" s="169">
        <v>6</v>
      </c>
    </row>
    <row r="2642" spans="1:18" ht="24">
      <c r="A2642" s="165">
        <v>51</v>
      </c>
      <c r="B2642" s="162" t="s">
        <v>4813</v>
      </c>
      <c r="C2642" s="166" t="s">
        <v>4814</v>
      </c>
      <c r="D2642" s="167">
        <v>2825.72</v>
      </c>
      <c r="E2642" s="167">
        <v>498.67</v>
      </c>
      <c r="F2642" s="167">
        <v>1362.43</v>
      </c>
      <c r="G2642" s="167">
        <v>964.62</v>
      </c>
      <c r="H2642" s="168">
        <v>17971.68</v>
      </c>
      <c r="I2642" s="168">
        <v>5734.88</v>
      </c>
      <c r="J2642" s="168">
        <v>7488.4</v>
      </c>
      <c r="K2642" s="168">
        <v>4748.3999999999996</v>
      </c>
      <c r="L2642" s="43">
        <v>6.360035672324222</v>
      </c>
      <c r="M2642" s="43">
        <v>11.500350933483064</v>
      </c>
      <c r="N2642" s="43">
        <v>5.4963557760765687</v>
      </c>
      <c r="O2642" s="43">
        <v>4.9225601791378981</v>
      </c>
      <c r="P2642" s="169"/>
      <c r="Q2642" s="169"/>
      <c r="R2642" s="169">
        <v>6</v>
      </c>
    </row>
    <row r="2643" spans="1:18" ht="24">
      <c r="A2643" s="165">
        <v>52</v>
      </c>
      <c r="B2643" s="162" t="s">
        <v>4815</v>
      </c>
      <c r="C2643" s="166" t="s">
        <v>4816</v>
      </c>
      <c r="D2643" s="167">
        <v>4245.66</v>
      </c>
      <c r="E2643" s="167">
        <v>788.21</v>
      </c>
      <c r="F2643" s="167">
        <v>2163.0700000000002</v>
      </c>
      <c r="G2643" s="167">
        <v>1294.3800000000001</v>
      </c>
      <c r="H2643" s="168">
        <v>27697.32</v>
      </c>
      <c r="I2643" s="168">
        <v>9064.7999999999993</v>
      </c>
      <c r="J2643" s="168">
        <v>12000.92</v>
      </c>
      <c r="K2643" s="168">
        <v>6631.6</v>
      </c>
      <c r="L2643" s="43">
        <v>6.5236782973671943</v>
      </c>
      <c r="M2643" s="43">
        <v>11.500488448509913</v>
      </c>
      <c r="N2643" s="43">
        <v>5.548095993194857</v>
      </c>
      <c r="O2643" s="43">
        <v>5.1233795330582979</v>
      </c>
      <c r="P2643" s="169"/>
      <c r="Q2643" s="169"/>
      <c r="R2643" s="169">
        <v>6</v>
      </c>
    </row>
    <row r="2644" spans="1:18" ht="24">
      <c r="A2644" s="165">
        <v>53</v>
      </c>
      <c r="B2644" s="162" t="s">
        <v>4817</v>
      </c>
      <c r="C2644" s="166" t="s">
        <v>4818</v>
      </c>
      <c r="D2644" s="167">
        <v>8181.59</v>
      </c>
      <c r="E2644" s="167">
        <v>1597.11</v>
      </c>
      <c r="F2644" s="167">
        <v>5665.64</v>
      </c>
      <c r="G2644" s="167">
        <v>918.84</v>
      </c>
      <c r="H2644" s="168">
        <v>54488.51</v>
      </c>
      <c r="I2644" s="168">
        <v>18367.46</v>
      </c>
      <c r="J2644" s="168">
        <v>31447.74</v>
      </c>
      <c r="K2644" s="168">
        <v>4673.3100000000004</v>
      </c>
      <c r="L2644" s="43">
        <v>6.6598925147801342</v>
      </c>
      <c r="M2644" s="43">
        <v>11.500435161009573</v>
      </c>
      <c r="N2644" s="43">
        <v>5.5506068158231017</v>
      </c>
      <c r="O2644" s="43">
        <v>5.0860976883897093</v>
      </c>
      <c r="P2644" s="169"/>
      <c r="Q2644" s="169"/>
      <c r="R2644" s="169">
        <v>6</v>
      </c>
    </row>
    <row r="2645" spans="1:18" ht="24">
      <c r="A2645" s="165">
        <v>54</v>
      </c>
      <c r="B2645" s="162" t="s">
        <v>4819</v>
      </c>
      <c r="C2645" s="166" t="s">
        <v>4820</v>
      </c>
      <c r="D2645" s="167">
        <v>9442.5</v>
      </c>
      <c r="E2645" s="167">
        <v>2010.75</v>
      </c>
      <c r="F2645" s="167">
        <v>6402.69</v>
      </c>
      <c r="G2645" s="167">
        <v>1029.06</v>
      </c>
      <c r="H2645" s="168">
        <v>64004.36</v>
      </c>
      <c r="I2645" s="168">
        <v>23124.5</v>
      </c>
      <c r="J2645" s="168">
        <v>35702.449999999997</v>
      </c>
      <c r="K2645" s="168">
        <v>5177.41</v>
      </c>
      <c r="L2645" s="43">
        <v>6.7783277733651044</v>
      </c>
      <c r="M2645" s="43">
        <v>11.500435161009573</v>
      </c>
      <c r="N2645" s="43">
        <v>5.5761640810346904</v>
      </c>
      <c r="O2645" s="43">
        <v>5.0312032340193964</v>
      </c>
      <c r="P2645" s="169"/>
      <c r="Q2645" s="169"/>
      <c r="R2645" s="169">
        <v>6</v>
      </c>
    </row>
    <row r="2646" spans="1:18" ht="12.75" customHeight="1">
      <c r="A2646" s="628" t="s">
        <v>4821</v>
      </c>
      <c r="B2646" s="629"/>
      <c r="C2646" s="629"/>
      <c r="D2646" s="629"/>
      <c r="E2646" s="629"/>
      <c r="F2646" s="629"/>
      <c r="G2646" s="629"/>
      <c r="H2646" s="629"/>
      <c r="I2646" s="629"/>
      <c r="J2646" s="629"/>
      <c r="K2646" s="629"/>
      <c r="L2646" s="629"/>
      <c r="M2646" s="629"/>
      <c r="N2646" s="629"/>
      <c r="O2646" s="629"/>
      <c r="P2646" s="629"/>
      <c r="Q2646" s="629"/>
      <c r="R2646" s="629"/>
    </row>
    <row r="2647" spans="1:18" ht="24">
      <c r="A2647" s="165">
        <v>55</v>
      </c>
      <c r="B2647" s="162" t="s">
        <v>4822</v>
      </c>
      <c r="C2647" s="166" t="s">
        <v>4823</v>
      </c>
      <c r="D2647" s="167">
        <v>1228.02</v>
      </c>
      <c r="E2647" s="167">
        <v>222.91</v>
      </c>
      <c r="F2647" s="167">
        <v>524.55999999999995</v>
      </c>
      <c r="G2647" s="167">
        <v>480.55</v>
      </c>
      <c r="H2647" s="168">
        <v>8014.65</v>
      </c>
      <c r="I2647" s="168">
        <v>2563.52</v>
      </c>
      <c r="J2647" s="168">
        <v>2819.27</v>
      </c>
      <c r="K2647" s="168">
        <v>2631.86</v>
      </c>
      <c r="L2647" s="43">
        <v>6.526481653393267</v>
      </c>
      <c r="M2647" s="43">
        <v>11.500246736350993</v>
      </c>
      <c r="N2647" s="43">
        <v>5.3745424736922383</v>
      </c>
      <c r="O2647" s="43">
        <v>5.4767662053896577</v>
      </c>
      <c r="P2647" s="169"/>
      <c r="Q2647" s="169"/>
      <c r="R2647" s="169">
        <v>7</v>
      </c>
    </row>
    <row r="2648" spans="1:18" ht="24">
      <c r="A2648" s="165">
        <v>56</v>
      </c>
      <c r="B2648" s="162" t="s">
        <v>4824</v>
      </c>
      <c r="C2648" s="166" t="s">
        <v>4825</v>
      </c>
      <c r="D2648" s="167">
        <v>1763.95</v>
      </c>
      <c r="E2648" s="167">
        <v>283.8</v>
      </c>
      <c r="F2648" s="167">
        <v>893.95</v>
      </c>
      <c r="G2648" s="167">
        <v>586.20000000000005</v>
      </c>
      <c r="H2648" s="168">
        <v>11108.67</v>
      </c>
      <c r="I2648" s="168">
        <v>3263.86</v>
      </c>
      <c r="J2648" s="168">
        <v>4917</v>
      </c>
      <c r="K2648" s="168">
        <v>2927.81</v>
      </c>
      <c r="L2648" s="43">
        <v>6.2976104764874288</v>
      </c>
      <c r="M2648" s="43">
        <v>11.500563777307963</v>
      </c>
      <c r="N2648" s="43">
        <v>5.5003076234688741</v>
      </c>
      <c r="O2648" s="43">
        <v>4.9945581712726028</v>
      </c>
      <c r="P2648" s="169"/>
      <c r="Q2648" s="169"/>
      <c r="R2648" s="169">
        <v>7</v>
      </c>
    </row>
    <row r="2649" spans="1:18" ht="24">
      <c r="A2649" s="165">
        <v>57</v>
      </c>
      <c r="B2649" s="162" t="s">
        <v>4826</v>
      </c>
      <c r="C2649" s="166" t="s">
        <v>4827</v>
      </c>
      <c r="D2649" s="167">
        <v>2851.55</v>
      </c>
      <c r="E2649" s="167">
        <v>477.98</v>
      </c>
      <c r="F2649" s="167">
        <v>1767.5</v>
      </c>
      <c r="G2649" s="167">
        <v>606.07000000000005</v>
      </c>
      <c r="H2649" s="168">
        <v>18375.240000000002</v>
      </c>
      <c r="I2649" s="168">
        <v>5497.02</v>
      </c>
      <c r="J2649" s="168">
        <v>9697.92</v>
      </c>
      <c r="K2649" s="168">
        <v>3180.3</v>
      </c>
      <c r="L2649" s="43">
        <v>6.4439480282653294</v>
      </c>
      <c r="M2649" s="43">
        <v>11.500523034436588</v>
      </c>
      <c r="N2649" s="43">
        <v>5.4868005657708627</v>
      </c>
      <c r="O2649" s="43">
        <v>5.2474136650881906</v>
      </c>
      <c r="P2649" s="169"/>
      <c r="Q2649" s="169"/>
      <c r="R2649" s="169">
        <v>7</v>
      </c>
    </row>
    <row r="2650" spans="1:18" ht="24">
      <c r="A2650" s="165">
        <v>58</v>
      </c>
      <c r="B2650" s="162" t="s">
        <v>4828</v>
      </c>
      <c r="C2650" s="166" t="s">
        <v>4829</v>
      </c>
      <c r="D2650" s="167">
        <v>5720.61</v>
      </c>
      <c r="E2650" s="167">
        <v>1086.95</v>
      </c>
      <c r="F2650" s="167">
        <v>3885.59</v>
      </c>
      <c r="G2650" s="167">
        <v>748.07</v>
      </c>
      <c r="H2650" s="168">
        <v>37713.79</v>
      </c>
      <c r="I2650" s="168">
        <v>12500.44</v>
      </c>
      <c r="J2650" s="168">
        <v>21327.19</v>
      </c>
      <c r="K2650" s="168">
        <v>3886.16</v>
      </c>
      <c r="L2650" s="43">
        <v>6.5926168712777136</v>
      </c>
      <c r="M2650" s="43">
        <v>11.500473802842818</v>
      </c>
      <c r="N2650" s="43">
        <v>5.4887906341121937</v>
      </c>
      <c r="O2650" s="43">
        <v>5.1949149143796696</v>
      </c>
      <c r="P2650" s="169"/>
      <c r="Q2650" s="169"/>
      <c r="R2650" s="169">
        <v>7</v>
      </c>
    </row>
    <row r="2651" spans="1:18" ht="24">
      <c r="A2651" s="165">
        <v>59</v>
      </c>
      <c r="B2651" s="162" t="s">
        <v>4830</v>
      </c>
      <c r="C2651" s="166" t="s">
        <v>4831</v>
      </c>
      <c r="D2651" s="167">
        <v>8779.23</v>
      </c>
      <c r="E2651" s="167">
        <v>1654.56</v>
      </c>
      <c r="F2651" s="167">
        <v>6409.23</v>
      </c>
      <c r="G2651" s="167">
        <v>715.44</v>
      </c>
      <c r="H2651" s="168">
        <v>57920.07</v>
      </c>
      <c r="I2651" s="168">
        <v>19028.16</v>
      </c>
      <c r="J2651" s="168">
        <v>35103.29</v>
      </c>
      <c r="K2651" s="168">
        <v>3788.62</v>
      </c>
      <c r="L2651" s="43">
        <v>6.5973974938576623</v>
      </c>
      <c r="M2651" s="43">
        <v>11.500435161009573</v>
      </c>
      <c r="N2651" s="43">
        <v>5.4769902156733341</v>
      </c>
      <c r="O2651" s="43">
        <v>5.2955104551045507</v>
      </c>
      <c r="P2651" s="169"/>
      <c r="Q2651" s="169"/>
      <c r="R2651" s="169">
        <v>7</v>
      </c>
    </row>
    <row r="2652" spans="1:18" ht="24">
      <c r="A2652" s="165">
        <v>60</v>
      </c>
      <c r="B2652" s="162" t="s">
        <v>4832</v>
      </c>
      <c r="C2652" s="166" t="s">
        <v>4833</v>
      </c>
      <c r="D2652" s="167">
        <v>12231.13</v>
      </c>
      <c r="E2652" s="167">
        <v>4297.26</v>
      </c>
      <c r="F2652" s="167">
        <v>6682.02</v>
      </c>
      <c r="G2652" s="167">
        <v>1251.8499999999999</v>
      </c>
      <c r="H2652" s="168">
        <v>93106.880000000005</v>
      </c>
      <c r="I2652" s="168">
        <v>49420.36</v>
      </c>
      <c r="J2652" s="168">
        <v>36669.910000000003</v>
      </c>
      <c r="K2652" s="168">
        <v>7016.61</v>
      </c>
      <c r="L2652" s="43">
        <v>7.6122876627098242</v>
      </c>
      <c r="M2652" s="43">
        <v>11.500435161009573</v>
      </c>
      <c r="N2652" s="43">
        <v>5.4878479860880391</v>
      </c>
      <c r="O2652" s="43">
        <v>5.604992610935815</v>
      </c>
      <c r="P2652" s="169"/>
      <c r="Q2652" s="169"/>
      <c r="R2652" s="169">
        <v>7</v>
      </c>
    </row>
    <row r="2653" spans="1:18" ht="12.75" customHeight="1">
      <c r="A2653" s="628" t="s">
        <v>4834</v>
      </c>
      <c r="B2653" s="629"/>
      <c r="C2653" s="629"/>
      <c r="D2653" s="629"/>
      <c r="E2653" s="629"/>
      <c r="F2653" s="629"/>
      <c r="G2653" s="629"/>
      <c r="H2653" s="629"/>
      <c r="I2653" s="629"/>
      <c r="J2653" s="629"/>
      <c r="K2653" s="629"/>
      <c r="L2653" s="629"/>
      <c r="M2653" s="629"/>
      <c r="N2653" s="629"/>
      <c r="O2653" s="629"/>
      <c r="P2653" s="629"/>
      <c r="Q2653" s="629"/>
      <c r="R2653" s="629"/>
    </row>
    <row r="2654" spans="1:18" ht="24">
      <c r="A2654" s="165">
        <v>61</v>
      </c>
      <c r="B2654" s="162" t="s">
        <v>4835</v>
      </c>
      <c r="C2654" s="166" t="s">
        <v>4836</v>
      </c>
      <c r="D2654" s="167">
        <v>6962.7</v>
      </c>
      <c r="E2654" s="167">
        <v>1769.46</v>
      </c>
      <c r="F2654" s="167">
        <v>4609.71</v>
      </c>
      <c r="G2654" s="167">
        <v>583.53</v>
      </c>
      <c r="H2654" s="168">
        <v>48737.11</v>
      </c>
      <c r="I2654" s="168">
        <v>20349.560000000001</v>
      </c>
      <c r="J2654" s="168">
        <v>25370.44</v>
      </c>
      <c r="K2654" s="168">
        <v>3017.11</v>
      </c>
      <c r="L2654" s="43">
        <v>6.9997429158228854</v>
      </c>
      <c r="M2654" s="43">
        <v>11.500435161009573</v>
      </c>
      <c r="N2654" s="43">
        <v>5.5036954602350256</v>
      </c>
      <c r="O2654" s="43">
        <v>5.1704453926961769</v>
      </c>
      <c r="P2654" s="169"/>
      <c r="Q2654" s="169"/>
      <c r="R2654" s="169">
        <v>8</v>
      </c>
    </row>
    <row r="2655" spans="1:18" ht="24">
      <c r="A2655" s="165">
        <v>62</v>
      </c>
      <c r="B2655" s="162" t="s">
        <v>4837</v>
      </c>
      <c r="C2655" s="166" t="s">
        <v>4838</v>
      </c>
      <c r="D2655" s="167">
        <v>12813.8</v>
      </c>
      <c r="E2655" s="167">
        <v>3228.69</v>
      </c>
      <c r="F2655" s="167">
        <v>8858.99</v>
      </c>
      <c r="G2655" s="167">
        <v>726.12</v>
      </c>
      <c r="H2655" s="168">
        <v>89532.79</v>
      </c>
      <c r="I2655" s="168">
        <v>37131.339999999997</v>
      </c>
      <c r="J2655" s="168">
        <v>48839.39</v>
      </c>
      <c r="K2655" s="168">
        <v>3562.06</v>
      </c>
      <c r="L2655" s="43">
        <v>6.987216126363764</v>
      </c>
      <c r="M2655" s="43">
        <v>11.500435161009571</v>
      </c>
      <c r="N2655" s="43">
        <v>5.5129749553843048</v>
      </c>
      <c r="O2655" s="43">
        <v>4.9056078885032779</v>
      </c>
      <c r="P2655" s="169"/>
      <c r="Q2655" s="169"/>
      <c r="R2655" s="169">
        <v>8</v>
      </c>
    </row>
    <row r="2656" spans="1:18" ht="24">
      <c r="A2656" s="165">
        <v>63</v>
      </c>
      <c r="B2656" s="162" t="s">
        <v>4839</v>
      </c>
      <c r="C2656" s="166" t="s">
        <v>4840</v>
      </c>
      <c r="D2656" s="167">
        <v>8899.3799999999992</v>
      </c>
      <c r="E2656" s="167">
        <v>2550.7800000000002</v>
      </c>
      <c r="F2656" s="167">
        <v>5688.87</v>
      </c>
      <c r="G2656" s="167">
        <v>659.73</v>
      </c>
      <c r="H2656" s="168">
        <v>63995.25</v>
      </c>
      <c r="I2656" s="168">
        <v>29335.08</v>
      </c>
      <c r="J2656" s="168">
        <v>31403.54</v>
      </c>
      <c r="K2656" s="168">
        <v>3256.63</v>
      </c>
      <c r="L2656" s="43">
        <v>7.1909784726576467</v>
      </c>
      <c r="M2656" s="43">
        <v>11.500435161009573</v>
      </c>
      <c r="N2656" s="43">
        <v>5.5201718443205774</v>
      </c>
      <c r="O2656" s="43">
        <v>4.9363072772194689</v>
      </c>
      <c r="P2656" s="169"/>
      <c r="Q2656" s="169"/>
      <c r="R2656" s="169">
        <v>8</v>
      </c>
    </row>
    <row r="2657" spans="1:18" ht="24">
      <c r="A2657" s="165">
        <v>64</v>
      </c>
      <c r="B2657" s="162" t="s">
        <v>4841</v>
      </c>
      <c r="C2657" s="166" t="s">
        <v>4842</v>
      </c>
      <c r="D2657" s="167">
        <v>16899.45</v>
      </c>
      <c r="E2657" s="167">
        <v>4952.1899999999996</v>
      </c>
      <c r="F2657" s="167">
        <v>11240.03</v>
      </c>
      <c r="G2657" s="167">
        <v>707.23</v>
      </c>
      <c r="H2657" s="168">
        <v>122749.09</v>
      </c>
      <c r="I2657" s="168">
        <v>56952.34</v>
      </c>
      <c r="J2657" s="168">
        <v>62017.02</v>
      </c>
      <c r="K2657" s="168">
        <v>3779.73</v>
      </c>
      <c r="L2657" s="43">
        <v>7.2634961492829646</v>
      </c>
      <c r="M2657" s="43">
        <v>11.500435161009573</v>
      </c>
      <c r="N2657" s="43">
        <v>5.5175137432907198</v>
      </c>
      <c r="O2657" s="43">
        <v>5.3444141227040705</v>
      </c>
      <c r="P2657" s="169"/>
      <c r="Q2657" s="169"/>
      <c r="R2657" s="169">
        <v>8</v>
      </c>
    </row>
    <row r="2658" spans="1:18" ht="24">
      <c r="A2658" s="165">
        <v>65</v>
      </c>
      <c r="B2658" s="162" t="s">
        <v>4843</v>
      </c>
      <c r="C2658" s="166" t="s">
        <v>4844</v>
      </c>
      <c r="D2658" s="167">
        <v>18012.400000000001</v>
      </c>
      <c r="E2658" s="167">
        <v>4331.7299999999996</v>
      </c>
      <c r="F2658" s="167">
        <v>13065.92</v>
      </c>
      <c r="G2658" s="167">
        <v>614.75</v>
      </c>
      <c r="H2658" s="168">
        <v>125240.84</v>
      </c>
      <c r="I2658" s="168">
        <v>49816.78</v>
      </c>
      <c r="J2658" s="168">
        <v>72098.86</v>
      </c>
      <c r="K2658" s="168">
        <v>3325.2</v>
      </c>
      <c r="L2658" s="43">
        <v>6.9530345761808521</v>
      </c>
      <c r="M2658" s="43">
        <v>11.500435161009575</v>
      </c>
      <c r="N2658" s="43">
        <v>5.5180852171144474</v>
      </c>
      <c r="O2658" s="43">
        <v>5.4090280601870679</v>
      </c>
      <c r="P2658" s="169"/>
      <c r="Q2658" s="169"/>
      <c r="R2658" s="169">
        <v>8</v>
      </c>
    </row>
    <row r="2659" spans="1:18" ht="24">
      <c r="A2659" s="165">
        <v>66</v>
      </c>
      <c r="B2659" s="162" t="s">
        <v>4845</v>
      </c>
      <c r="C2659" s="166" t="s">
        <v>4846</v>
      </c>
      <c r="D2659" s="167">
        <v>26322</v>
      </c>
      <c r="E2659" s="167">
        <v>7916.61</v>
      </c>
      <c r="F2659" s="167">
        <v>17429.72</v>
      </c>
      <c r="G2659" s="167">
        <v>975.67</v>
      </c>
      <c r="H2659" s="168">
        <v>192199.89</v>
      </c>
      <c r="I2659" s="168">
        <v>91044.46</v>
      </c>
      <c r="J2659" s="168">
        <v>95967.27</v>
      </c>
      <c r="K2659" s="168">
        <v>5188.16</v>
      </c>
      <c r="L2659" s="43">
        <v>7.3018725780715759</v>
      </c>
      <c r="M2659" s="43">
        <v>11.500435161009575</v>
      </c>
      <c r="N2659" s="43">
        <v>5.505955918970586</v>
      </c>
      <c r="O2659" s="43">
        <v>5.3175356421740956</v>
      </c>
      <c r="P2659" s="169"/>
      <c r="Q2659" s="169"/>
      <c r="R2659" s="169">
        <v>8</v>
      </c>
    </row>
    <row r="2660" spans="1:18" ht="24">
      <c r="A2660" s="165">
        <v>67</v>
      </c>
      <c r="B2660" s="162" t="s">
        <v>4847</v>
      </c>
      <c r="C2660" s="166" t="s">
        <v>4848</v>
      </c>
      <c r="D2660" s="167">
        <v>37026.15</v>
      </c>
      <c r="E2660" s="167">
        <v>14465.91</v>
      </c>
      <c r="F2660" s="167">
        <v>21023.48</v>
      </c>
      <c r="G2660" s="167">
        <v>1536.76</v>
      </c>
      <c r="H2660" s="168">
        <v>289930.67</v>
      </c>
      <c r="I2660" s="168">
        <v>166364.26</v>
      </c>
      <c r="J2660" s="168">
        <v>115931.07</v>
      </c>
      <c r="K2660" s="168">
        <v>7635.34</v>
      </c>
      <c r="L2660" s="43">
        <v>7.830429844852894</v>
      </c>
      <c r="M2660" s="43">
        <v>11.500435161009575</v>
      </c>
      <c r="N2660" s="43">
        <v>5.5143615614541464</v>
      </c>
      <c r="O2660" s="43">
        <v>4.9684661235326271</v>
      </c>
      <c r="P2660" s="169"/>
      <c r="Q2660" s="169"/>
      <c r="R2660" s="169">
        <v>8</v>
      </c>
    </row>
    <row r="2661" spans="1:18" ht="24">
      <c r="A2661" s="165">
        <v>68</v>
      </c>
      <c r="B2661" s="162" t="s">
        <v>4849</v>
      </c>
      <c r="C2661" s="166" t="s">
        <v>4850</v>
      </c>
      <c r="D2661" s="167">
        <v>58056.15</v>
      </c>
      <c r="E2661" s="167">
        <v>20486.669999999998</v>
      </c>
      <c r="F2661" s="167">
        <v>35161.4</v>
      </c>
      <c r="G2661" s="167">
        <v>2408.08</v>
      </c>
      <c r="H2661" s="168">
        <v>442739.69</v>
      </c>
      <c r="I2661" s="168">
        <v>235605.62</v>
      </c>
      <c r="J2661" s="168">
        <v>194403.7</v>
      </c>
      <c r="K2661" s="168">
        <v>12730.37</v>
      </c>
      <c r="L2661" s="43">
        <v>7.6260601159394827</v>
      </c>
      <c r="M2661" s="43">
        <v>11.500435161009575</v>
      </c>
      <c r="N2661" s="43">
        <v>5.5288953227118371</v>
      </c>
      <c r="O2661" s="43">
        <v>5.2865228729942535</v>
      </c>
      <c r="P2661" s="169"/>
      <c r="Q2661" s="169"/>
      <c r="R2661" s="169">
        <v>8</v>
      </c>
    </row>
    <row r="2662" spans="1:18" ht="24">
      <c r="A2662" s="165">
        <v>69</v>
      </c>
      <c r="B2662" s="162" t="s">
        <v>4851</v>
      </c>
      <c r="C2662" s="166" t="s">
        <v>4852</v>
      </c>
      <c r="D2662" s="167">
        <v>30382.75</v>
      </c>
      <c r="E2662" s="167">
        <v>8824.32</v>
      </c>
      <c r="F2662" s="167">
        <v>19584.89</v>
      </c>
      <c r="G2662" s="167">
        <v>1973.54</v>
      </c>
      <c r="H2662" s="168">
        <v>218818.12</v>
      </c>
      <c r="I2662" s="168">
        <v>101483.52</v>
      </c>
      <c r="J2662" s="168">
        <v>107881.99</v>
      </c>
      <c r="K2662" s="168">
        <v>9452.61</v>
      </c>
      <c r="L2662" s="43">
        <v>7.2020511639005687</v>
      </c>
      <c r="M2662" s="43">
        <v>11.500435161009575</v>
      </c>
      <c r="N2662" s="43">
        <v>5.5084297129062252</v>
      </c>
      <c r="O2662" s="43">
        <v>4.7896723653941651</v>
      </c>
      <c r="P2662" s="169"/>
      <c r="Q2662" s="169"/>
      <c r="R2662" s="169">
        <v>8</v>
      </c>
    </row>
    <row r="2663" spans="1:18" ht="24">
      <c r="A2663" s="165">
        <v>70</v>
      </c>
      <c r="B2663" s="162" t="s">
        <v>4853</v>
      </c>
      <c r="C2663" s="166" t="s">
        <v>4854</v>
      </c>
      <c r="D2663" s="167">
        <v>49154.82</v>
      </c>
      <c r="E2663" s="167">
        <v>14305.05</v>
      </c>
      <c r="F2663" s="167">
        <v>32574.65</v>
      </c>
      <c r="G2663" s="167">
        <v>2275.12</v>
      </c>
      <c r="H2663" s="168">
        <v>356170.17</v>
      </c>
      <c r="I2663" s="168">
        <v>164514.29999999999</v>
      </c>
      <c r="J2663" s="168">
        <v>179831.81</v>
      </c>
      <c r="K2663" s="168">
        <v>11824.06</v>
      </c>
      <c r="L2663" s="43">
        <v>7.2458849406833341</v>
      </c>
      <c r="M2663" s="43">
        <v>11.500435161009573</v>
      </c>
      <c r="N2663" s="43">
        <v>5.5206060540942108</v>
      </c>
      <c r="O2663" s="43">
        <v>5.1971148774570128</v>
      </c>
      <c r="P2663" s="169"/>
      <c r="Q2663" s="169"/>
      <c r="R2663" s="169">
        <v>8</v>
      </c>
    </row>
    <row r="2664" spans="1:18" ht="24">
      <c r="A2664" s="165">
        <v>71</v>
      </c>
      <c r="B2664" s="162" t="s">
        <v>4855</v>
      </c>
      <c r="C2664" s="166" t="s">
        <v>4856</v>
      </c>
      <c r="D2664" s="167">
        <v>84691.72</v>
      </c>
      <c r="E2664" s="167">
        <v>25117.14</v>
      </c>
      <c r="F2664" s="167">
        <v>55871.65</v>
      </c>
      <c r="G2664" s="167">
        <v>3702.93</v>
      </c>
      <c r="H2664" s="168">
        <v>614104.41</v>
      </c>
      <c r="I2664" s="168">
        <v>288858.03999999998</v>
      </c>
      <c r="J2664" s="168">
        <v>308566.46999999997</v>
      </c>
      <c r="K2664" s="168">
        <v>16679.900000000001</v>
      </c>
      <c r="L2664" s="43">
        <v>7.251056065457167</v>
      </c>
      <c r="M2664" s="43">
        <v>11.500435161009573</v>
      </c>
      <c r="N2664" s="43">
        <v>5.5227735354155456</v>
      </c>
      <c r="O2664" s="43">
        <v>4.5045139929731324</v>
      </c>
      <c r="P2664" s="169"/>
      <c r="Q2664" s="169"/>
      <c r="R2664" s="169">
        <v>8</v>
      </c>
    </row>
    <row r="2665" spans="1:18" ht="24">
      <c r="A2665" s="165">
        <v>72</v>
      </c>
      <c r="B2665" s="162" t="s">
        <v>4857</v>
      </c>
      <c r="C2665" s="166" t="s">
        <v>4858</v>
      </c>
      <c r="D2665" s="167">
        <v>61581.75</v>
      </c>
      <c r="E2665" s="167">
        <v>20268.36</v>
      </c>
      <c r="F2665" s="167">
        <v>38686.370000000003</v>
      </c>
      <c r="G2665" s="167">
        <v>2627.02</v>
      </c>
      <c r="H2665" s="168">
        <v>457540.39</v>
      </c>
      <c r="I2665" s="168">
        <v>233094.96</v>
      </c>
      <c r="J2665" s="168">
        <v>213569.67</v>
      </c>
      <c r="K2665" s="168">
        <v>10875.76</v>
      </c>
      <c r="L2665" s="43">
        <v>7.429804934091675</v>
      </c>
      <c r="M2665" s="43">
        <v>11.500435161009573</v>
      </c>
      <c r="N2665" s="43">
        <v>5.5205404384024659</v>
      </c>
      <c r="O2665" s="43">
        <v>4.1399608682080835</v>
      </c>
      <c r="P2665" s="169"/>
      <c r="Q2665" s="169"/>
      <c r="R2665" s="169">
        <v>8</v>
      </c>
    </row>
    <row r="2666" spans="1:18" ht="12.75" customHeight="1">
      <c r="A2666" s="628" t="s">
        <v>4859</v>
      </c>
      <c r="B2666" s="629"/>
      <c r="C2666" s="629"/>
      <c r="D2666" s="629"/>
      <c r="E2666" s="629"/>
      <c r="F2666" s="629"/>
      <c r="G2666" s="629"/>
      <c r="H2666" s="629"/>
      <c r="I2666" s="629"/>
      <c r="J2666" s="629"/>
      <c r="K2666" s="629"/>
      <c r="L2666" s="629"/>
      <c r="M2666" s="629"/>
      <c r="N2666" s="629"/>
      <c r="O2666" s="629"/>
      <c r="P2666" s="629"/>
      <c r="Q2666" s="629"/>
      <c r="R2666" s="629"/>
    </row>
    <row r="2667" spans="1:18" ht="24">
      <c r="A2667" s="165">
        <v>73</v>
      </c>
      <c r="B2667" s="162" t="s">
        <v>4860</v>
      </c>
      <c r="C2667" s="166" t="s">
        <v>4861</v>
      </c>
      <c r="D2667" s="167">
        <v>1846.81</v>
      </c>
      <c r="E2667" s="167">
        <v>580.25</v>
      </c>
      <c r="F2667" s="167">
        <v>1063.26</v>
      </c>
      <c r="G2667" s="167">
        <v>203.3</v>
      </c>
      <c r="H2667" s="168">
        <v>13211.93</v>
      </c>
      <c r="I2667" s="168">
        <v>6673.07</v>
      </c>
      <c r="J2667" s="168">
        <v>5948.3</v>
      </c>
      <c r="K2667" s="168">
        <v>590.55999999999995</v>
      </c>
      <c r="L2667" s="43">
        <v>7.1539194611248593</v>
      </c>
      <c r="M2667" s="43">
        <v>11.500336062042223</v>
      </c>
      <c r="N2667" s="43">
        <v>5.5943983597614881</v>
      </c>
      <c r="O2667" s="43">
        <v>2.9048696507624197</v>
      </c>
      <c r="P2667" s="169"/>
      <c r="Q2667" s="169"/>
      <c r="R2667" s="169">
        <v>9</v>
      </c>
    </row>
    <row r="2668" spans="1:18" ht="24">
      <c r="A2668" s="165">
        <v>74</v>
      </c>
      <c r="B2668" s="162" t="s">
        <v>4862</v>
      </c>
      <c r="C2668" s="166" t="s">
        <v>4863</v>
      </c>
      <c r="D2668" s="167">
        <v>2182.8200000000002</v>
      </c>
      <c r="E2668" s="167">
        <v>607.82000000000005</v>
      </c>
      <c r="F2668" s="167">
        <v>1364.28</v>
      </c>
      <c r="G2668" s="167">
        <v>210.72</v>
      </c>
      <c r="H2668" s="168">
        <v>15183.84</v>
      </c>
      <c r="I2668" s="168">
        <v>6990.21</v>
      </c>
      <c r="J2668" s="168">
        <v>7567.63</v>
      </c>
      <c r="K2668" s="168">
        <v>626</v>
      </c>
      <c r="L2668" s="43">
        <v>6.9560660063587463</v>
      </c>
      <c r="M2668" s="43">
        <v>11.500460662696192</v>
      </c>
      <c r="N2668" s="43">
        <v>5.5469771601137596</v>
      </c>
      <c r="O2668" s="43">
        <v>2.9707668944570993</v>
      </c>
      <c r="P2668" s="169"/>
      <c r="Q2668" s="169"/>
      <c r="R2668" s="169">
        <v>9</v>
      </c>
    </row>
    <row r="2669" spans="1:18" ht="24">
      <c r="A2669" s="165">
        <v>75</v>
      </c>
      <c r="B2669" s="162" t="s">
        <v>4864</v>
      </c>
      <c r="C2669" s="166" t="s">
        <v>4865</v>
      </c>
      <c r="D2669" s="167">
        <v>1688.67</v>
      </c>
      <c r="E2669" s="167">
        <v>728.47</v>
      </c>
      <c r="F2669" s="167">
        <v>747.07</v>
      </c>
      <c r="G2669" s="167">
        <v>213.13</v>
      </c>
      <c r="H2669" s="168">
        <v>13278.66</v>
      </c>
      <c r="I2669" s="168">
        <v>8377.68</v>
      </c>
      <c r="J2669" s="168">
        <v>4247.26</v>
      </c>
      <c r="K2669" s="168">
        <v>653.72</v>
      </c>
      <c r="L2669" s="43">
        <v>7.8633836095862417</v>
      </c>
      <c r="M2669" s="43">
        <v>11.500377503534805</v>
      </c>
      <c r="N2669" s="43">
        <v>5.6852236068909203</v>
      </c>
      <c r="O2669" s="43">
        <v>3.0672359592736829</v>
      </c>
      <c r="P2669" s="169"/>
      <c r="Q2669" s="169"/>
      <c r="R2669" s="169">
        <v>9</v>
      </c>
    </row>
    <row r="2670" spans="1:18" ht="24">
      <c r="A2670" s="165">
        <v>76</v>
      </c>
      <c r="B2670" s="162" t="s">
        <v>4866</v>
      </c>
      <c r="C2670" s="166" t="s">
        <v>4867</v>
      </c>
      <c r="D2670" s="167">
        <v>10260.629999999999</v>
      </c>
      <c r="E2670" s="167">
        <v>3630.84</v>
      </c>
      <c r="F2670" s="167">
        <v>6046.75</v>
      </c>
      <c r="G2670" s="167">
        <v>583.04</v>
      </c>
      <c r="H2670" s="168">
        <v>77650.16</v>
      </c>
      <c r="I2670" s="168">
        <v>41756.239999999998</v>
      </c>
      <c r="J2670" s="168">
        <v>33149.040000000001</v>
      </c>
      <c r="K2670" s="168">
        <v>2744.88</v>
      </c>
      <c r="L2670" s="43">
        <v>7.567777027336529</v>
      </c>
      <c r="M2670" s="43">
        <v>11.500435161009573</v>
      </c>
      <c r="N2670" s="43">
        <v>5.4821251085293756</v>
      </c>
      <c r="O2670" s="43">
        <v>4.7078759604829861</v>
      </c>
      <c r="P2670" s="169"/>
      <c r="Q2670" s="169"/>
      <c r="R2670" s="169">
        <v>9</v>
      </c>
    </row>
    <row r="2671" spans="1:18" ht="24">
      <c r="A2671" s="165">
        <v>77</v>
      </c>
      <c r="B2671" s="162" t="s">
        <v>4868</v>
      </c>
      <c r="C2671" s="166" t="s">
        <v>4869</v>
      </c>
      <c r="D2671" s="167">
        <v>8349.7900000000009</v>
      </c>
      <c r="E2671" s="167">
        <v>2792.07</v>
      </c>
      <c r="F2671" s="167">
        <v>4991.46</v>
      </c>
      <c r="G2671" s="167">
        <v>566.26</v>
      </c>
      <c r="H2671" s="168">
        <v>62135.85</v>
      </c>
      <c r="I2671" s="168">
        <v>32110.02</v>
      </c>
      <c r="J2671" s="168">
        <v>27473.919999999998</v>
      </c>
      <c r="K2671" s="168">
        <v>2551.91</v>
      </c>
      <c r="L2671" s="43">
        <v>7.4416063158474639</v>
      </c>
      <c r="M2671" s="43">
        <v>11.500435161009573</v>
      </c>
      <c r="N2671" s="43">
        <v>5.5041851482331818</v>
      </c>
      <c r="O2671" s="43">
        <v>4.5066047398721434</v>
      </c>
      <c r="P2671" s="169"/>
      <c r="Q2671" s="169"/>
      <c r="R2671" s="169">
        <v>9</v>
      </c>
    </row>
    <row r="2672" spans="1:18" ht="24">
      <c r="A2672" s="165">
        <v>78</v>
      </c>
      <c r="B2672" s="162" t="s">
        <v>4870</v>
      </c>
      <c r="C2672" s="166" t="s">
        <v>4871</v>
      </c>
      <c r="D2672" s="167">
        <v>2739.79</v>
      </c>
      <c r="E2672" s="167">
        <v>904.26</v>
      </c>
      <c r="F2672" s="167">
        <v>1619.37</v>
      </c>
      <c r="G2672" s="167">
        <v>216.16</v>
      </c>
      <c r="H2672" s="168">
        <v>20606.09</v>
      </c>
      <c r="I2672" s="168">
        <v>10399.42</v>
      </c>
      <c r="J2672" s="168">
        <v>9522.98</v>
      </c>
      <c r="K2672" s="168">
        <v>683.69</v>
      </c>
      <c r="L2672" s="43">
        <v>7.5210472335470966</v>
      </c>
      <c r="M2672" s="43">
        <v>11.500475526950213</v>
      </c>
      <c r="N2672" s="43">
        <v>5.8806696431328236</v>
      </c>
      <c r="O2672" s="43">
        <v>3.1628886010362698</v>
      </c>
      <c r="P2672" s="169"/>
      <c r="Q2672" s="169"/>
      <c r="R2672" s="169">
        <v>9</v>
      </c>
    </row>
    <row r="2673" spans="1:18" ht="24">
      <c r="A2673" s="165">
        <v>79</v>
      </c>
      <c r="B2673" s="162" t="s">
        <v>4872</v>
      </c>
      <c r="C2673" s="166" t="s">
        <v>4873</v>
      </c>
      <c r="D2673" s="167">
        <v>15592.01</v>
      </c>
      <c r="E2673" s="167">
        <v>5296.89</v>
      </c>
      <c r="F2673" s="167">
        <v>9288.81</v>
      </c>
      <c r="G2673" s="167">
        <v>1006.31</v>
      </c>
      <c r="H2673" s="168">
        <v>116254.07</v>
      </c>
      <c r="I2673" s="168">
        <v>60916.54</v>
      </c>
      <c r="J2673" s="168">
        <v>50579.519999999997</v>
      </c>
      <c r="K2673" s="168">
        <v>4758.01</v>
      </c>
      <c r="L2673" s="43">
        <v>7.4560027860423386</v>
      </c>
      <c r="M2673" s="43">
        <v>11.500435161009573</v>
      </c>
      <c r="N2673" s="43">
        <v>5.4452098815671759</v>
      </c>
      <c r="O2673" s="43">
        <v>4.7281752143971545</v>
      </c>
      <c r="P2673" s="169"/>
      <c r="Q2673" s="169"/>
      <c r="R2673" s="169">
        <v>9</v>
      </c>
    </row>
    <row r="2674" spans="1:18" ht="24">
      <c r="A2674" s="165">
        <v>80</v>
      </c>
      <c r="B2674" s="162" t="s">
        <v>4874</v>
      </c>
      <c r="C2674" s="166" t="s">
        <v>4875</v>
      </c>
      <c r="D2674" s="167">
        <v>6242.07</v>
      </c>
      <c r="E2674" s="167">
        <v>1585.62</v>
      </c>
      <c r="F2674" s="167">
        <v>4108.1899999999996</v>
      </c>
      <c r="G2674" s="167">
        <v>548.26</v>
      </c>
      <c r="H2674" s="168">
        <v>42888.56</v>
      </c>
      <c r="I2674" s="168">
        <v>18235.32</v>
      </c>
      <c r="J2674" s="168">
        <v>23287.13</v>
      </c>
      <c r="K2674" s="168">
        <v>1366.11</v>
      </c>
      <c r="L2674" s="43">
        <v>6.8708873819101672</v>
      </c>
      <c r="M2674" s="43">
        <v>11.500435161009575</v>
      </c>
      <c r="N2674" s="43">
        <v>5.6684647009997109</v>
      </c>
      <c r="O2674" s="43">
        <v>2.4917192572866886</v>
      </c>
      <c r="P2674" s="169"/>
      <c r="Q2674" s="169"/>
      <c r="R2674" s="169">
        <v>9</v>
      </c>
    </row>
    <row r="2675" spans="1:18" ht="12.75" customHeight="1">
      <c r="A2675" s="628" t="s">
        <v>4876</v>
      </c>
      <c r="B2675" s="629"/>
      <c r="C2675" s="629"/>
      <c r="D2675" s="629"/>
      <c r="E2675" s="629"/>
      <c r="F2675" s="629"/>
      <c r="G2675" s="629"/>
      <c r="H2675" s="629"/>
      <c r="I2675" s="629"/>
      <c r="J2675" s="629"/>
      <c r="K2675" s="629"/>
      <c r="L2675" s="629"/>
      <c r="M2675" s="629"/>
      <c r="N2675" s="629"/>
      <c r="O2675" s="629"/>
      <c r="P2675" s="629"/>
      <c r="Q2675" s="629"/>
      <c r="R2675" s="629"/>
    </row>
    <row r="2676" spans="1:18" ht="36">
      <c r="A2676" s="165">
        <v>81</v>
      </c>
      <c r="B2676" s="162" t="s">
        <v>4877</v>
      </c>
      <c r="C2676" s="166" t="s">
        <v>4878</v>
      </c>
      <c r="D2676" s="167">
        <v>86.2</v>
      </c>
      <c r="E2676" s="167">
        <v>31.6</v>
      </c>
      <c r="F2676" s="167">
        <v>53.97</v>
      </c>
      <c r="G2676" s="167">
        <v>0.63</v>
      </c>
      <c r="H2676" s="168">
        <v>673.21</v>
      </c>
      <c r="I2676" s="168">
        <v>363.39</v>
      </c>
      <c r="J2676" s="168">
        <v>302.57</v>
      </c>
      <c r="K2676" s="168">
        <v>7.25</v>
      </c>
      <c r="L2676" s="43">
        <v>7.8098607888631095</v>
      </c>
      <c r="M2676" s="43">
        <v>11.499683544303796</v>
      </c>
      <c r="N2676" s="43">
        <v>5.606262738558458</v>
      </c>
      <c r="O2676" s="43">
        <v>11.499683544303796</v>
      </c>
      <c r="P2676" s="169"/>
      <c r="Q2676" s="169"/>
      <c r="R2676" s="169">
        <v>10</v>
      </c>
    </row>
    <row r="2677" spans="1:18" ht="24">
      <c r="A2677" s="165">
        <v>82</v>
      </c>
      <c r="B2677" s="162" t="s">
        <v>4879</v>
      </c>
      <c r="C2677" s="166" t="s">
        <v>4880</v>
      </c>
      <c r="D2677" s="167">
        <v>83.76</v>
      </c>
      <c r="E2677" s="167">
        <v>29.64</v>
      </c>
      <c r="F2677" s="167">
        <v>53.53</v>
      </c>
      <c r="G2677" s="167">
        <v>0.59</v>
      </c>
      <c r="H2677" s="168">
        <v>658.41</v>
      </c>
      <c r="I2677" s="168">
        <v>340.92</v>
      </c>
      <c r="J2677" s="168">
        <v>310.7</v>
      </c>
      <c r="K2677" s="168">
        <v>6.79</v>
      </c>
      <c r="L2677" s="43">
        <v>7.860673352435529</v>
      </c>
      <c r="M2677" s="43">
        <v>11.502024291497976</v>
      </c>
      <c r="N2677" s="43">
        <v>5.8042219316271249</v>
      </c>
      <c r="O2677" s="43">
        <v>11.499683544303796</v>
      </c>
      <c r="P2677" s="169"/>
      <c r="Q2677" s="169"/>
      <c r="R2677" s="169">
        <v>10</v>
      </c>
    </row>
    <row r="2678" spans="1:18" ht="24">
      <c r="A2678" s="165">
        <v>83</v>
      </c>
      <c r="B2678" s="162" t="s">
        <v>4881</v>
      </c>
      <c r="C2678" s="166" t="s">
        <v>4882</v>
      </c>
      <c r="D2678" s="167">
        <v>75.959999999999994</v>
      </c>
      <c r="E2678" s="167">
        <v>22.06</v>
      </c>
      <c r="F2678" s="167">
        <v>53.46</v>
      </c>
      <c r="G2678" s="167">
        <v>0.44</v>
      </c>
      <c r="H2678" s="168">
        <v>569.02</v>
      </c>
      <c r="I2678" s="168">
        <v>253.71</v>
      </c>
      <c r="J2678" s="168">
        <v>310.25</v>
      </c>
      <c r="K2678" s="168">
        <v>5.0599999999999996</v>
      </c>
      <c r="L2678" s="43">
        <v>7.4910479199578726</v>
      </c>
      <c r="M2678" s="43">
        <v>11.500906618313691</v>
      </c>
      <c r="N2678" s="43">
        <v>5.8034044145155255</v>
      </c>
      <c r="O2678" s="43">
        <v>11.499999999999998</v>
      </c>
      <c r="P2678" s="169"/>
      <c r="Q2678" s="169"/>
      <c r="R2678" s="169">
        <v>10</v>
      </c>
    </row>
    <row r="2679" spans="1:18" ht="24">
      <c r="A2679" s="165">
        <v>84</v>
      </c>
      <c r="B2679" s="162" t="s">
        <v>4883</v>
      </c>
      <c r="C2679" s="166" t="s">
        <v>4884</v>
      </c>
      <c r="D2679" s="167">
        <v>208.3</v>
      </c>
      <c r="E2679" s="167">
        <v>51.71</v>
      </c>
      <c r="F2679" s="167">
        <v>155.56</v>
      </c>
      <c r="G2679" s="167">
        <v>1.03</v>
      </c>
      <c r="H2679" s="168">
        <v>1533.57</v>
      </c>
      <c r="I2679" s="168">
        <v>594.63</v>
      </c>
      <c r="J2679" s="168">
        <v>927.09</v>
      </c>
      <c r="K2679" s="168">
        <v>11.85</v>
      </c>
      <c r="L2679" s="43">
        <v>7.3623139702352374</v>
      </c>
      <c r="M2679" s="43">
        <v>11.499323148327209</v>
      </c>
      <c r="N2679" s="43">
        <v>5.9596940087426074</v>
      </c>
      <c r="O2679" s="43">
        <v>11.504854368932039</v>
      </c>
      <c r="P2679" s="169"/>
      <c r="Q2679" s="169"/>
      <c r="R2679" s="169">
        <v>10</v>
      </c>
    </row>
    <row r="2680" spans="1:18" ht="24">
      <c r="A2680" s="165">
        <v>85</v>
      </c>
      <c r="B2680" s="162" t="s">
        <v>4885</v>
      </c>
      <c r="C2680" s="166" t="s">
        <v>4886</v>
      </c>
      <c r="D2680" s="167">
        <v>3374.57</v>
      </c>
      <c r="E2680" s="167">
        <v>1149</v>
      </c>
      <c r="F2680" s="167">
        <v>2007.87</v>
      </c>
      <c r="G2680" s="167">
        <v>217.7</v>
      </c>
      <c r="H2680" s="168">
        <v>24779.65</v>
      </c>
      <c r="I2680" s="168">
        <v>13214</v>
      </c>
      <c r="J2680" s="168">
        <v>10587.81</v>
      </c>
      <c r="K2680" s="168">
        <v>977.84</v>
      </c>
      <c r="L2680" s="43">
        <v>7.3430540780010487</v>
      </c>
      <c r="M2680" s="43">
        <v>11.500435161009573</v>
      </c>
      <c r="N2680" s="43">
        <v>5.2731551345455632</v>
      </c>
      <c r="O2680" s="43">
        <v>4.4916858061552603</v>
      </c>
      <c r="P2680" s="169"/>
      <c r="Q2680" s="169"/>
      <c r="R2680" s="169">
        <v>10</v>
      </c>
    </row>
    <row r="2681" spans="1:18" ht="12.75" customHeight="1">
      <c r="A2681" s="628" t="s">
        <v>4887</v>
      </c>
      <c r="B2681" s="629"/>
      <c r="C2681" s="629"/>
      <c r="D2681" s="629"/>
      <c r="E2681" s="629"/>
      <c r="F2681" s="629"/>
      <c r="G2681" s="629"/>
      <c r="H2681" s="629"/>
      <c r="I2681" s="629"/>
      <c r="J2681" s="629"/>
      <c r="K2681" s="629"/>
      <c r="L2681" s="629"/>
      <c r="M2681" s="629"/>
      <c r="N2681" s="629"/>
      <c r="O2681" s="629"/>
      <c r="P2681" s="629"/>
      <c r="Q2681" s="629"/>
      <c r="R2681" s="629"/>
    </row>
    <row r="2682" spans="1:18" ht="24">
      <c r="A2682" s="165">
        <v>86</v>
      </c>
      <c r="B2682" s="162" t="s">
        <v>4888</v>
      </c>
      <c r="C2682" s="166" t="s">
        <v>4889</v>
      </c>
      <c r="D2682" s="167">
        <v>892.14</v>
      </c>
      <c r="E2682" s="167">
        <v>255.08</v>
      </c>
      <c r="F2682" s="167">
        <v>356.9</v>
      </c>
      <c r="G2682" s="167">
        <v>280.16000000000003</v>
      </c>
      <c r="H2682" s="168">
        <v>6160.17</v>
      </c>
      <c r="I2682" s="168">
        <v>2933.51</v>
      </c>
      <c r="J2682" s="168">
        <v>1917.79</v>
      </c>
      <c r="K2682" s="168">
        <v>1308.8699999999999</v>
      </c>
      <c r="L2682" s="43">
        <v>6.9049364449525861</v>
      </c>
      <c r="M2682" s="43">
        <v>11.500352830484553</v>
      </c>
      <c r="N2682" s="43">
        <v>5.3734659568506586</v>
      </c>
      <c r="O2682" s="43">
        <v>4.6718660765276976</v>
      </c>
      <c r="P2682" s="169"/>
      <c r="Q2682" s="169"/>
      <c r="R2682" s="169">
        <v>11</v>
      </c>
    </row>
    <row r="2683" spans="1:18" ht="36">
      <c r="A2683" s="165">
        <v>87</v>
      </c>
      <c r="B2683" s="162" t="s">
        <v>4890</v>
      </c>
      <c r="C2683" s="166" t="s">
        <v>4891</v>
      </c>
      <c r="D2683" s="167">
        <v>1184.1600000000001</v>
      </c>
      <c r="E2683" s="167">
        <v>360.79</v>
      </c>
      <c r="F2683" s="167">
        <v>541.09</v>
      </c>
      <c r="G2683" s="167">
        <v>282.27999999999997</v>
      </c>
      <c r="H2683" s="168">
        <v>8389.59</v>
      </c>
      <c r="I2683" s="168">
        <v>4149.2</v>
      </c>
      <c r="J2683" s="168">
        <v>2907.14</v>
      </c>
      <c r="K2683" s="168">
        <v>1333.25</v>
      </c>
      <c r="L2683" s="43">
        <v>7.0848449533846773</v>
      </c>
      <c r="M2683" s="43">
        <v>11.500318744976301</v>
      </c>
      <c r="N2683" s="43">
        <v>5.3727476020625033</v>
      </c>
      <c r="O2683" s="43">
        <v>4.7231472297010066</v>
      </c>
      <c r="P2683" s="169"/>
      <c r="Q2683" s="169"/>
      <c r="R2683" s="169">
        <v>11</v>
      </c>
    </row>
    <row r="2684" spans="1:18" ht="24">
      <c r="A2684" s="165">
        <v>88</v>
      </c>
      <c r="B2684" s="162" t="s">
        <v>4892</v>
      </c>
      <c r="C2684" s="166" t="s">
        <v>4893</v>
      </c>
      <c r="D2684" s="167">
        <v>1123.5999999999999</v>
      </c>
      <c r="E2684" s="167">
        <v>335.51</v>
      </c>
      <c r="F2684" s="167">
        <v>506.32</v>
      </c>
      <c r="G2684" s="167">
        <v>281.77</v>
      </c>
      <c r="H2684" s="168">
        <v>7906.82</v>
      </c>
      <c r="I2684" s="168">
        <v>3858.49</v>
      </c>
      <c r="J2684" s="168">
        <v>2720.94</v>
      </c>
      <c r="K2684" s="168">
        <v>1327.39</v>
      </c>
      <c r="L2684" s="43">
        <v>7.0370416518333929</v>
      </c>
      <c r="M2684" s="43">
        <v>11.500372567136598</v>
      </c>
      <c r="N2684" s="43">
        <v>5.3739532311581613</v>
      </c>
      <c r="O2684" s="43">
        <v>4.7108989601447995</v>
      </c>
      <c r="P2684" s="169"/>
      <c r="Q2684" s="169"/>
      <c r="R2684" s="169">
        <v>11</v>
      </c>
    </row>
    <row r="2685" spans="1:18" ht="36">
      <c r="A2685" s="165">
        <v>89</v>
      </c>
      <c r="B2685" s="162" t="s">
        <v>4894</v>
      </c>
      <c r="C2685" s="166" t="s">
        <v>4895</v>
      </c>
      <c r="D2685" s="167">
        <v>1483.49</v>
      </c>
      <c r="E2685" s="167">
        <v>459.6</v>
      </c>
      <c r="F2685" s="167">
        <v>739.64</v>
      </c>
      <c r="G2685" s="167">
        <v>284.25</v>
      </c>
      <c r="H2685" s="168">
        <v>10615.65</v>
      </c>
      <c r="I2685" s="168">
        <v>5285.6</v>
      </c>
      <c r="J2685" s="168">
        <v>3974.14</v>
      </c>
      <c r="K2685" s="168">
        <v>1355.91</v>
      </c>
      <c r="L2685" s="43">
        <v>7.155862189836129</v>
      </c>
      <c r="M2685" s="43">
        <v>11.500435161009573</v>
      </c>
      <c r="N2685" s="43">
        <v>5.3730733870531608</v>
      </c>
      <c r="O2685" s="43">
        <v>4.7701319261213726</v>
      </c>
      <c r="P2685" s="169"/>
      <c r="Q2685" s="169"/>
      <c r="R2685" s="169">
        <v>11</v>
      </c>
    </row>
    <row r="2686" spans="1:18" ht="24">
      <c r="A2686" s="165">
        <v>90</v>
      </c>
      <c r="B2686" s="162" t="s">
        <v>4896</v>
      </c>
      <c r="C2686" s="166" t="s">
        <v>4897</v>
      </c>
      <c r="D2686" s="167">
        <v>1658.35</v>
      </c>
      <c r="E2686" s="167">
        <v>414.79</v>
      </c>
      <c r="F2686" s="167">
        <v>814.82</v>
      </c>
      <c r="G2686" s="167">
        <v>428.74</v>
      </c>
      <c r="H2686" s="168">
        <v>11657.36</v>
      </c>
      <c r="I2686" s="168">
        <v>4770.25</v>
      </c>
      <c r="J2686" s="168">
        <v>4631.3100000000004</v>
      </c>
      <c r="K2686" s="168">
        <v>2255.8000000000002</v>
      </c>
      <c r="L2686" s="43">
        <v>7.0294931709229056</v>
      </c>
      <c r="M2686" s="43">
        <v>11.500397791653608</v>
      </c>
      <c r="N2686" s="43">
        <v>5.6838442846272796</v>
      </c>
      <c r="O2686" s="43">
        <v>5.2614638242291365</v>
      </c>
      <c r="P2686" s="169"/>
      <c r="Q2686" s="169"/>
      <c r="R2686" s="169">
        <v>11</v>
      </c>
    </row>
    <row r="2687" spans="1:18" ht="36">
      <c r="A2687" s="165">
        <v>91</v>
      </c>
      <c r="B2687" s="162" t="s">
        <v>4898</v>
      </c>
      <c r="C2687" s="166" t="s">
        <v>4899</v>
      </c>
      <c r="D2687" s="167">
        <v>2181.71</v>
      </c>
      <c r="E2687" s="167">
        <v>561.86</v>
      </c>
      <c r="F2687" s="167">
        <v>1188.17</v>
      </c>
      <c r="G2687" s="167">
        <v>431.68</v>
      </c>
      <c r="H2687" s="168">
        <v>15469.5</v>
      </c>
      <c r="I2687" s="168">
        <v>6461.65</v>
      </c>
      <c r="J2687" s="168">
        <v>6718.24</v>
      </c>
      <c r="K2687" s="168">
        <v>2289.61</v>
      </c>
      <c r="L2687" s="43">
        <v>7.0905390725623478</v>
      </c>
      <c r="M2687" s="43">
        <v>11.50046274872744</v>
      </c>
      <c r="N2687" s="43">
        <v>5.6542750616494271</v>
      </c>
      <c r="O2687" s="43">
        <v>5.3039520014825801</v>
      </c>
      <c r="P2687" s="169"/>
      <c r="Q2687" s="169"/>
      <c r="R2687" s="169">
        <v>11</v>
      </c>
    </row>
    <row r="2688" spans="1:18" ht="24">
      <c r="A2688" s="165">
        <v>92</v>
      </c>
      <c r="B2688" s="162" t="s">
        <v>4900</v>
      </c>
      <c r="C2688" s="166" t="s">
        <v>4901</v>
      </c>
      <c r="D2688" s="167">
        <v>2883.97</v>
      </c>
      <c r="E2688" s="167">
        <v>675.61</v>
      </c>
      <c r="F2688" s="167">
        <v>1871.8</v>
      </c>
      <c r="G2688" s="167">
        <v>336.56</v>
      </c>
      <c r="H2688" s="168">
        <v>19819.46</v>
      </c>
      <c r="I2688" s="168">
        <v>7769.83</v>
      </c>
      <c r="J2688" s="168">
        <v>10493.29</v>
      </c>
      <c r="K2688" s="168">
        <v>1556.34</v>
      </c>
      <c r="L2688" s="43">
        <v>6.8722836922714174</v>
      </c>
      <c r="M2688" s="43">
        <v>11.500466245319044</v>
      </c>
      <c r="N2688" s="43">
        <v>5.6059888877016784</v>
      </c>
      <c r="O2688" s="43">
        <v>4.6242571903969569</v>
      </c>
      <c r="P2688" s="169"/>
      <c r="Q2688" s="169"/>
      <c r="R2688" s="169">
        <v>11</v>
      </c>
    </row>
    <row r="2689" spans="1:18" ht="36">
      <c r="A2689" s="165">
        <v>93</v>
      </c>
      <c r="B2689" s="162" t="s">
        <v>4902</v>
      </c>
      <c r="C2689" s="166" t="s">
        <v>4903</v>
      </c>
      <c r="D2689" s="167">
        <v>3825.37</v>
      </c>
      <c r="E2689" s="167">
        <v>928.39</v>
      </c>
      <c r="F2689" s="167">
        <v>2555.36</v>
      </c>
      <c r="G2689" s="167">
        <v>341.62</v>
      </c>
      <c r="H2689" s="168">
        <v>26583.41</v>
      </c>
      <c r="I2689" s="168">
        <v>10676.91</v>
      </c>
      <c r="J2689" s="168">
        <v>14291.97</v>
      </c>
      <c r="K2689" s="168">
        <v>1614.53</v>
      </c>
      <c r="L2689" s="43">
        <v>6.9492388971524326</v>
      </c>
      <c r="M2689" s="43">
        <v>11.500457781751203</v>
      </c>
      <c r="N2689" s="43">
        <v>5.5929379813411799</v>
      </c>
      <c r="O2689" s="43">
        <v>4.7260991745213978</v>
      </c>
      <c r="P2689" s="169"/>
      <c r="Q2689" s="169"/>
      <c r="R2689" s="169">
        <v>11</v>
      </c>
    </row>
    <row r="2690" spans="1:18" ht="24">
      <c r="A2690" s="165">
        <v>94</v>
      </c>
      <c r="B2690" s="162" t="s">
        <v>4904</v>
      </c>
      <c r="C2690" s="166" t="s">
        <v>4905</v>
      </c>
      <c r="D2690" s="167">
        <v>11370.39</v>
      </c>
      <c r="E2690" s="167">
        <v>2792.07</v>
      </c>
      <c r="F2690" s="167">
        <v>7871.56</v>
      </c>
      <c r="G2690" s="167">
        <v>706.76</v>
      </c>
      <c r="H2690" s="168">
        <v>78804.990000000005</v>
      </c>
      <c r="I2690" s="168">
        <v>32110.02</v>
      </c>
      <c r="J2690" s="168">
        <v>43124.01</v>
      </c>
      <c r="K2690" s="168">
        <v>3570.96</v>
      </c>
      <c r="L2690" s="43">
        <v>6.930720054457236</v>
      </c>
      <c r="M2690" s="43">
        <v>11.500435161009573</v>
      </c>
      <c r="N2690" s="43">
        <v>5.4784578914471842</v>
      </c>
      <c r="O2690" s="43">
        <v>5.0525779614013242</v>
      </c>
      <c r="P2690" s="169"/>
      <c r="Q2690" s="169"/>
      <c r="R2690" s="169">
        <v>11</v>
      </c>
    </row>
    <row r="2691" spans="1:18" ht="24">
      <c r="A2691" s="165">
        <v>95</v>
      </c>
      <c r="B2691" s="162" t="s">
        <v>4906</v>
      </c>
      <c r="C2691" s="166" t="s">
        <v>4907</v>
      </c>
      <c r="D2691" s="167">
        <v>16148.97</v>
      </c>
      <c r="E2691" s="167">
        <v>3722.76</v>
      </c>
      <c r="F2691" s="167">
        <v>11363.25</v>
      </c>
      <c r="G2691" s="167">
        <v>1062.96</v>
      </c>
      <c r="H2691" s="168">
        <v>109654.85</v>
      </c>
      <c r="I2691" s="168">
        <v>42813.36</v>
      </c>
      <c r="J2691" s="168">
        <v>62343.47</v>
      </c>
      <c r="K2691" s="168">
        <v>4498.0200000000004</v>
      </c>
      <c r="L2691" s="43">
        <v>6.7902070534529457</v>
      </c>
      <c r="M2691" s="43">
        <v>11.500435161009573</v>
      </c>
      <c r="N2691" s="43">
        <v>5.4864118980045324</v>
      </c>
      <c r="O2691" s="43">
        <v>4.2315985549785511</v>
      </c>
      <c r="P2691" s="169"/>
      <c r="Q2691" s="169"/>
      <c r="R2691" s="169">
        <v>11</v>
      </c>
    </row>
    <row r="2692" spans="1:18" ht="24">
      <c r="A2692" s="165">
        <v>96</v>
      </c>
      <c r="B2692" s="162" t="s">
        <v>4908</v>
      </c>
      <c r="C2692" s="166" t="s">
        <v>4909</v>
      </c>
      <c r="D2692" s="167">
        <v>11209.9</v>
      </c>
      <c r="E2692" s="167">
        <v>3550.41</v>
      </c>
      <c r="F2692" s="167">
        <v>6725.04</v>
      </c>
      <c r="G2692" s="167">
        <v>934.45</v>
      </c>
      <c r="H2692" s="168">
        <v>81071.740000000005</v>
      </c>
      <c r="I2692" s="168">
        <v>40831.26</v>
      </c>
      <c r="J2692" s="168">
        <v>36014.49</v>
      </c>
      <c r="K2692" s="168">
        <v>4225.99</v>
      </c>
      <c r="L2692" s="43">
        <v>7.2321555054014759</v>
      </c>
      <c r="M2692" s="43">
        <v>11.500435161009575</v>
      </c>
      <c r="N2692" s="43">
        <v>5.3552826451589874</v>
      </c>
      <c r="O2692" s="43">
        <v>4.5224356573385407</v>
      </c>
      <c r="P2692" s="169"/>
      <c r="Q2692" s="169"/>
      <c r="R2692" s="169">
        <v>11</v>
      </c>
    </row>
    <row r="2693" spans="1:18" ht="24">
      <c r="A2693" s="165">
        <v>97</v>
      </c>
      <c r="B2693" s="162" t="s">
        <v>4910</v>
      </c>
      <c r="C2693" s="166" t="s">
        <v>4911</v>
      </c>
      <c r="D2693" s="167">
        <v>19442.96</v>
      </c>
      <c r="E2693" s="167">
        <v>6308.01</v>
      </c>
      <c r="F2693" s="167">
        <v>12060.82</v>
      </c>
      <c r="G2693" s="167">
        <v>1074.1300000000001</v>
      </c>
      <c r="H2693" s="168">
        <v>142087.15</v>
      </c>
      <c r="I2693" s="168">
        <v>72544.86</v>
      </c>
      <c r="J2693" s="168">
        <v>64346.98</v>
      </c>
      <c r="K2693" s="168">
        <v>5195.3100000000004</v>
      </c>
      <c r="L2693" s="43">
        <v>7.307897048597539</v>
      </c>
      <c r="M2693" s="43">
        <v>11.500435161009573</v>
      </c>
      <c r="N2693" s="43">
        <v>5.335207722194677</v>
      </c>
      <c r="O2693" s="43">
        <v>4.8367609134834701</v>
      </c>
      <c r="P2693" s="169"/>
      <c r="Q2693" s="169"/>
      <c r="R2693" s="169">
        <v>11</v>
      </c>
    </row>
    <row r="2694" spans="1:18" ht="12.75" customHeight="1">
      <c r="A2694" s="628" t="s">
        <v>4912</v>
      </c>
      <c r="B2694" s="629"/>
      <c r="C2694" s="629"/>
      <c r="D2694" s="629"/>
      <c r="E2694" s="629"/>
      <c r="F2694" s="629"/>
      <c r="G2694" s="629"/>
      <c r="H2694" s="629"/>
      <c r="I2694" s="629"/>
      <c r="J2694" s="629"/>
      <c r="K2694" s="629"/>
      <c r="L2694" s="629"/>
      <c r="M2694" s="629"/>
      <c r="N2694" s="629"/>
      <c r="O2694" s="629"/>
      <c r="P2694" s="629"/>
      <c r="Q2694" s="629"/>
      <c r="R2694" s="629"/>
    </row>
    <row r="2695" spans="1:18" ht="24">
      <c r="A2695" s="165">
        <v>98</v>
      </c>
      <c r="B2695" s="162" t="s">
        <v>4913</v>
      </c>
      <c r="C2695" s="166" t="s">
        <v>4914</v>
      </c>
      <c r="D2695" s="167">
        <v>2215.17</v>
      </c>
      <c r="E2695" s="167">
        <v>420.53</v>
      </c>
      <c r="F2695" s="167">
        <v>1082.2</v>
      </c>
      <c r="G2695" s="167">
        <v>712.44</v>
      </c>
      <c r="H2695" s="168">
        <v>13549.35</v>
      </c>
      <c r="I2695" s="168">
        <v>4836.32</v>
      </c>
      <c r="J2695" s="168">
        <v>5857.36</v>
      </c>
      <c r="K2695" s="168">
        <v>2855.67</v>
      </c>
      <c r="L2695" s="43">
        <v>6.1166185890924849</v>
      </c>
      <c r="M2695" s="43">
        <v>11.500535039117304</v>
      </c>
      <c r="N2695" s="43">
        <v>5.4124561079282936</v>
      </c>
      <c r="O2695" s="43">
        <v>4.0082954354050866</v>
      </c>
      <c r="P2695" s="169"/>
      <c r="Q2695" s="169"/>
      <c r="R2695" s="169">
        <v>12</v>
      </c>
    </row>
    <row r="2696" spans="1:18" ht="24">
      <c r="A2696" s="165">
        <v>99</v>
      </c>
      <c r="B2696" s="162" t="s">
        <v>4915</v>
      </c>
      <c r="C2696" s="166" t="s">
        <v>4916</v>
      </c>
      <c r="D2696" s="167">
        <v>2301.0500000000002</v>
      </c>
      <c r="E2696" s="167">
        <v>498.67</v>
      </c>
      <c r="F2696" s="167">
        <v>990.49</v>
      </c>
      <c r="G2696" s="167">
        <v>811.89</v>
      </c>
      <c r="H2696" s="168">
        <v>14774.13</v>
      </c>
      <c r="I2696" s="168">
        <v>5734.88</v>
      </c>
      <c r="J2696" s="168">
        <v>5404.56</v>
      </c>
      <c r="K2696" s="168">
        <v>3634.69</v>
      </c>
      <c r="L2696" s="43">
        <v>6.4206036374698501</v>
      </c>
      <c r="M2696" s="43">
        <v>11.500350933483064</v>
      </c>
      <c r="N2696" s="43">
        <v>5.4564508475602986</v>
      </c>
      <c r="O2696" s="43">
        <v>4.4768256783554428</v>
      </c>
      <c r="P2696" s="169"/>
      <c r="Q2696" s="169"/>
      <c r="R2696" s="169">
        <v>12</v>
      </c>
    </row>
    <row r="2697" spans="1:18" ht="24">
      <c r="A2697" s="165">
        <v>100</v>
      </c>
      <c r="B2697" s="162" t="s">
        <v>4917</v>
      </c>
      <c r="C2697" s="166" t="s">
        <v>4918</v>
      </c>
      <c r="D2697" s="167">
        <v>3247.43</v>
      </c>
      <c r="E2697" s="167">
        <v>629.65</v>
      </c>
      <c r="F2697" s="167">
        <v>1250.17</v>
      </c>
      <c r="G2697" s="167">
        <v>1367.61</v>
      </c>
      <c r="H2697" s="168">
        <v>19824.03</v>
      </c>
      <c r="I2697" s="168">
        <v>7241.27</v>
      </c>
      <c r="J2697" s="168">
        <v>6882.09</v>
      </c>
      <c r="K2697" s="168">
        <v>5700.67</v>
      </c>
      <c r="L2697" s="43">
        <v>6.1045288120144239</v>
      </c>
      <c r="M2697" s="43">
        <v>11.500468514253951</v>
      </c>
      <c r="N2697" s="43">
        <v>5.5049233304270615</v>
      </c>
      <c r="O2697" s="43">
        <v>4.1683447766541635</v>
      </c>
      <c r="P2697" s="169"/>
      <c r="Q2697" s="169"/>
      <c r="R2697" s="169">
        <v>12</v>
      </c>
    </row>
    <row r="2698" spans="1:18" ht="12.75" customHeight="1">
      <c r="A2698" s="628" t="s">
        <v>4919</v>
      </c>
      <c r="B2698" s="629"/>
      <c r="C2698" s="629"/>
      <c r="D2698" s="629"/>
      <c r="E2698" s="629"/>
      <c r="F2698" s="629"/>
      <c r="G2698" s="629"/>
      <c r="H2698" s="629"/>
      <c r="I2698" s="629"/>
      <c r="J2698" s="629"/>
      <c r="K2698" s="629"/>
      <c r="L2698" s="629"/>
      <c r="M2698" s="629"/>
      <c r="N2698" s="629"/>
      <c r="O2698" s="629"/>
      <c r="P2698" s="629"/>
      <c r="Q2698" s="629"/>
      <c r="R2698" s="629"/>
    </row>
    <row r="2699" spans="1:18" ht="24">
      <c r="A2699" s="165">
        <v>101</v>
      </c>
      <c r="B2699" s="162" t="s">
        <v>4920</v>
      </c>
      <c r="C2699" s="166" t="s">
        <v>4921</v>
      </c>
      <c r="D2699" s="167">
        <v>661.29</v>
      </c>
      <c r="E2699" s="167">
        <v>148.22</v>
      </c>
      <c r="F2699" s="167">
        <v>386.36</v>
      </c>
      <c r="G2699" s="167">
        <v>126.71</v>
      </c>
      <c r="H2699" s="168">
        <v>4565.67</v>
      </c>
      <c r="I2699" s="168">
        <v>1704.61</v>
      </c>
      <c r="J2699" s="168">
        <v>2345.0700000000002</v>
      </c>
      <c r="K2699" s="168">
        <v>515.99</v>
      </c>
      <c r="L2699" s="43">
        <v>6.904187270335254</v>
      </c>
      <c r="M2699" s="43">
        <v>11.500539738226959</v>
      </c>
      <c r="N2699" s="43">
        <v>6.0696500672947513</v>
      </c>
      <c r="O2699" s="43">
        <v>4.072212137952806</v>
      </c>
      <c r="P2699" s="169"/>
      <c r="Q2699" s="169"/>
      <c r="R2699" s="169">
        <v>13</v>
      </c>
    </row>
    <row r="2700" spans="1:18" ht="24">
      <c r="A2700" s="165">
        <v>102</v>
      </c>
      <c r="B2700" s="162" t="s">
        <v>4922</v>
      </c>
      <c r="C2700" s="166" t="s">
        <v>4923</v>
      </c>
      <c r="D2700" s="167">
        <v>2203.5</v>
      </c>
      <c r="E2700" s="167">
        <v>580.25</v>
      </c>
      <c r="F2700" s="167">
        <v>1285.24</v>
      </c>
      <c r="G2700" s="167">
        <v>338.01</v>
      </c>
      <c r="H2700" s="168">
        <v>15411.35</v>
      </c>
      <c r="I2700" s="168">
        <v>6673.07</v>
      </c>
      <c r="J2700" s="168">
        <v>7222.58</v>
      </c>
      <c r="K2700" s="168">
        <v>1515.7</v>
      </c>
      <c r="L2700" s="43">
        <v>6.9940322214658499</v>
      </c>
      <c r="M2700" s="43">
        <v>11.500336062042223</v>
      </c>
      <c r="N2700" s="43">
        <v>5.6196352432230556</v>
      </c>
      <c r="O2700" s="43">
        <v>4.4841868583769715</v>
      </c>
      <c r="P2700" s="169"/>
      <c r="Q2700" s="169"/>
      <c r="R2700" s="169">
        <v>13</v>
      </c>
    </row>
    <row r="2701" spans="1:18" ht="24">
      <c r="A2701" s="165">
        <v>103</v>
      </c>
      <c r="B2701" s="162" t="s">
        <v>4924</v>
      </c>
      <c r="C2701" s="166" t="s">
        <v>4925</v>
      </c>
      <c r="D2701" s="167">
        <v>2640.84</v>
      </c>
      <c r="E2701" s="167">
        <v>674.46</v>
      </c>
      <c r="F2701" s="167">
        <v>1527.67</v>
      </c>
      <c r="G2701" s="167">
        <v>438.71</v>
      </c>
      <c r="H2701" s="168">
        <v>18269.830000000002</v>
      </c>
      <c r="I2701" s="168">
        <v>7756.62</v>
      </c>
      <c r="J2701" s="168">
        <v>8582.9</v>
      </c>
      <c r="K2701" s="168">
        <v>1930.31</v>
      </c>
      <c r="L2701" s="43">
        <v>6.9181889095893734</v>
      </c>
      <c r="M2701" s="43">
        <v>11.500489280313138</v>
      </c>
      <c r="N2701" s="43">
        <v>5.6182945269593558</v>
      </c>
      <c r="O2701" s="43">
        <v>4.3999680882587588</v>
      </c>
      <c r="P2701" s="169"/>
      <c r="Q2701" s="169"/>
      <c r="R2701" s="169">
        <v>13</v>
      </c>
    </row>
    <row r="2702" spans="1:18" ht="24">
      <c r="A2702" s="165">
        <v>104</v>
      </c>
      <c r="B2702" s="162" t="s">
        <v>4926</v>
      </c>
      <c r="C2702" s="166" t="s">
        <v>4927</v>
      </c>
      <c r="D2702" s="167">
        <v>2916.61</v>
      </c>
      <c r="E2702" s="167">
        <v>756.04</v>
      </c>
      <c r="F2702" s="167">
        <v>1720.23</v>
      </c>
      <c r="G2702" s="167">
        <v>440.34</v>
      </c>
      <c r="H2702" s="168">
        <v>20289.150000000001</v>
      </c>
      <c r="I2702" s="168">
        <v>8694.81</v>
      </c>
      <c r="J2702" s="168">
        <v>9645.2900000000009</v>
      </c>
      <c r="K2702" s="168">
        <v>1949.05</v>
      </c>
      <c r="L2702" s="43">
        <v>6.9564151532086909</v>
      </c>
      <c r="M2702" s="43">
        <v>11.500462938468864</v>
      </c>
      <c r="N2702" s="43">
        <v>5.6069769740092896</v>
      </c>
      <c r="O2702" s="43">
        <v>4.4262388154607804</v>
      </c>
      <c r="P2702" s="169"/>
      <c r="Q2702" s="169"/>
      <c r="R2702" s="169">
        <v>13</v>
      </c>
    </row>
    <row r="2703" spans="1:18" ht="12.75" customHeight="1">
      <c r="A2703" s="628" t="s">
        <v>4928</v>
      </c>
      <c r="B2703" s="629"/>
      <c r="C2703" s="629"/>
      <c r="D2703" s="629"/>
      <c r="E2703" s="629"/>
      <c r="F2703" s="629"/>
      <c r="G2703" s="629"/>
      <c r="H2703" s="629"/>
      <c r="I2703" s="629"/>
      <c r="J2703" s="629"/>
      <c r="K2703" s="629"/>
      <c r="L2703" s="629"/>
      <c r="M2703" s="629"/>
      <c r="N2703" s="629"/>
      <c r="O2703" s="629"/>
      <c r="P2703" s="629"/>
      <c r="Q2703" s="629"/>
      <c r="R2703" s="629"/>
    </row>
    <row r="2704" spans="1:18" ht="24">
      <c r="A2704" s="165">
        <v>105</v>
      </c>
      <c r="B2704" s="162" t="s">
        <v>4929</v>
      </c>
      <c r="C2704" s="166" t="s">
        <v>4930</v>
      </c>
      <c r="D2704" s="167">
        <v>934.91</v>
      </c>
      <c r="E2704" s="167">
        <v>204.52</v>
      </c>
      <c r="F2704" s="167">
        <v>468.06</v>
      </c>
      <c r="G2704" s="167">
        <v>262.33</v>
      </c>
      <c r="H2704" s="168">
        <v>5919.47</v>
      </c>
      <c r="I2704" s="168">
        <v>2352.09</v>
      </c>
      <c r="J2704" s="168">
        <v>2529.1</v>
      </c>
      <c r="K2704" s="168">
        <v>1038.28</v>
      </c>
      <c r="L2704" s="43">
        <v>6.3315934154089701</v>
      </c>
      <c r="M2704" s="43">
        <v>11.500537844709564</v>
      </c>
      <c r="N2704" s="43">
        <v>5.4033670896893558</v>
      </c>
      <c r="O2704" s="43">
        <v>3.9579156024854192</v>
      </c>
      <c r="P2704" s="169"/>
      <c r="Q2704" s="169"/>
      <c r="R2704" s="169">
        <v>14</v>
      </c>
    </row>
    <row r="2705" spans="1:18" ht="24">
      <c r="A2705" s="165">
        <v>106</v>
      </c>
      <c r="B2705" s="162" t="s">
        <v>4931</v>
      </c>
      <c r="C2705" s="166" t="s">
        <v>4932</v>
      </c>
      <c r="D2705" s="167">
        <v>650.5</v>
      </c>
      <c r="E2705" s="167">
        <v>176.95</v>
      </c>
      <c r="F2705" s="167">
        <v>298.56</v>
      </c>
      <c r="G2705" s="167">
        <v>174.99</v>
      </c>
      <c r="H2705" s="168">
        <v>4348.3599999999997</v>
      </c>
      <c r="I2705" s="168">
        <v>2034.96</v>
      </c>
      <c r="J2705" s="168">
        <v>1614.6</v>
      </c>
      <c r="K2705" s="168">
        <v>698.8</v>
      </c>
      <c r="L2705" s="43">
        <v>6.6846425826287463</v>
      </c>
      <c r="M2705" s="43">
        <v>11.500197795987567</v>
      </c>
      <c r="N2705" s="43">
        <v>5.407958199356913</v>
      </c>
      <c r="O2705" s="43">
        <v>3.9933710497742725</v>
      </c>
      <c r="P2705" s="169"/>
      <c r="Q2705" s="169"/>
      <c r="R2705" s="169">
        <v>14</v>
      </c>
    </row>
    <row r="2706" spans="1:18" ht="24">
      <c r="A2706" s="165">
        <v>107</v>
      </c>
      <c r="B2706" s="162" t="s">
        <v>4933</v>
      </c>
      <c r="C2706" s="166" t="s">
        <v>4934</v>
      </c>
      <c r="D2706" s="167">
        <v>804.79</v>
      </c>
      <c r="E2706" s="167">
        <v>244.74</v>
      </c>
      <c r="F2706" s="167">
        <v>374.94</v>
      </c>
      <c r="G2706" s="167">
        <v>185.11</v>
      </c>
      <c r="H2706" s="168">
        <v>5652.07</v>
      </c>
      <c r="I2706" s="168">
        <v>2814.58</v>
      </c>
      <c r="J2706" s="168">
        <v>2028.58</v>
      </c>
      <c r="K2706" s="168">
        <v>808.91</v>
      </c>
      <c r="L2706" s="43">
        <v>7.0230370655699002</v>
      </c>
      <c r="M2706" s="43">
        <v>11.500286017814823</v>
      </c>
      <c r="N2706" s="43">
        <v>5.410412332639889</v>
      </c>
      <c r="O2706" s="43">
        <v>4.3698881745988869</v>
      </c>
      <c r="P2706" s="169"/>
      <c r="Q2706" s="169"/>
      <c r="R2706" s="169">
        <v>14</v>
      </c>
    </row>
    <row r="2707" spans="1:18" ht="12.75" customHeight="1">
      <c r="A2707" s="628" t="s">
        <v>4935</v>
      </c>
      <c r="B2707" s="629"/>
      <c r="C2707" s="629"/>
      <c r="D2707" s="629"/>
      <c r="E2707" s="629"/>
      <c r="F2707" s="629"/>
      <c r="G2707" s="629"/>
      <c r="H2707" s="629"/>
      <c r="I2707" s="629"/>
      <c r="J2707" s="629"/>
      <c r="K2707" s="629"/>
      <c r="L2707" s="629"/>
      <c r="M2707" s="629"/>
      <c r="N2707" s="629"/>
      <c r="O2707" s="629"/>
      <c r="P2707" s="629"/>
      <c r="Q2707" s="629"/>
      <c r="R2707" s="629"/>
    </row>
    <row r="2708" spans="1:18" ht="24">
      <c r="A2708" s="165">
        <v>108</v>
      </c>
      <c r="B2708" s="162" t="s">
        <v>4936</v>
      </c>
      <c r="C2708" s="166" t="s">
        <v>4937</v>
      </c>
      <c r="D2708" s="167">
        <v>573.16999999999996</v>
      </c>
      <c r="E2708" s="167">
        <v>148.22</v>
      </c>
      <c r="F2708" s="167">
        <v>111</v>
      </c>
      <c r="G2708" s="167">
        <v>313.95</v>
      </c>
      <c r="H2708" s="168">
        <v>4260</v>
      </c>
      <c r="I2708" s="168">
        <v>1704.61</v>
      </c>
      <c r="J2708" s="168">
        <v>637.37</v>
      </c>
      <c r="K2708" s="168">
        <v>1918.02</v>
      </c>
      <c r="L2708" s="43">
        <v>7.4323499136381885</v>
      </c>
      <c r="M2708" s="43">
        <v>11.500539738226959</v>
      </c>
      <c r="N2708" s="43">
        <v>5.7420720720720722</v>
      </c>
      <c r="O2708" s="43">
        <v>6.1093167701863358</v>
      </c>
      <c r="P2708" s="169"/>
      <c r="Q2708" s="169"/>
      <c r="R2708" s="169">
        <v>15</v>
      </c>
    </row>
    <row r="2709" spans="1:18" ht="24">
      <c r="A2709" s="165">
        <v>109</v>
      </c>
      <c r="B2709" s="162" t="s">
        <v>4938</v>
      </c>
      <c r="C2709" s="166" t="s">
        <v>4939</v>
      </c>
      <c r="D2709" s="167">
        <v>1750.34</v>
      </c>
      <c r="E2709" s="167">
        <v>351.59</v>
      </c>
      <c r="F2709" s="167">
        <v>877.18</v>
      </c>
      <c r="G2709" s="167">
        <v>521.57000000000005</v>
      </c>
      <c r="H2709" s="168">
        <v>12080.67</v>
      </c>
      <c r="I2709" s="168">
        <v>4043.48</v>
      </c>
      <c r="J2709" s="168">
        <v>4755.9399999999996</v>
      </c>
      <c r="K2709" s="168">
        <v>3281.25</v>
      </c>
      <c r="L2709" s="43">
        <v>6.9018990596112761</v>
      </c>
      <c r="M2709" s="43">
        <v>11.500554623282802</v>
      </c>
      <c r="N2709" s="43">
        <v>5.421851843407282</v>
      </c>
      <c r="O2709" s="43">
        <v>6.2911018655214059</v>
      </c>
      <c r="P2709" s="169"/>
      <c r="Q2709" s="169"/>
      <c r="R2709" s="169">
        <v>15</v>
      </c>
    </row>
    <row r="2710" spans="1:18" ht="24">
      <c r="A2710" s="165">
        <v>110</v>
      </c>
      <c r="B2710" s="162" t="s">
        <v>4940</v>
      </c>
      <c r="C2710" s="166" t="s">
        <v>4941</v>
      </c>
      <c r="D2710" s="167">
        <v>2077.44</v>
      </c>
      <c r="E2710" s="167">
        <v>391.81</v>
      </c>
      <c r="F2710" s="167">
        <v>1014.4</v>
      </c>
      <c r="G2710" s="167">
        <v>671.23</v>
      </c>
      <c r="H2710" s="168">
        <v>14044.5</v>
      </c>
      <c r="I2710" s="168">
        <v>4505.97</v>
      </c>
      <c r="J2710" s="168">
        <v>5493.64</v>
      </c>
      <c r="K2710" s="168">
        <v>4044.89</v>
      </c>
      <c r="L2710" s="43">
        <v>6.7604840573012934</v>
      </c>
      <c r="M2710" s="43">
        <v>11.500395599908119</v>
      </c>
      <c r="N2710" s="43">
        <v>5.4156545741324926</v>
      </c>
      <c r="O2710" s="43">
        <v>6.0260864383296333</v>
      </c>
      <c r="P2710" s="169"/>
      <c r="Q2710" s="169"/>
      <c r="R2710" s="169">
        <v>15</v>
      </c>
    </row>
    <row r="2711" spans="1:18" ht="24">
      <c r="A2711" s="165">
        <v>111</v>
      </c>
      <c r="B2711" s="162" t="s">
        <v>4942</v>
      </c>
      <c r="C2711" s="166" t="s">
        <v>4943</v>
      </c>
      <c r="D2711" s="167">
        <v>2825.63</v>
      </c>
      <c r="E2711" s="167">
        <v>526.24</v>
      </c>
      <c r="F2711" s="167">
        <v>1548.72</v>
      </c>
      <c r="G2711" s="167">
        <v>750.67</v>
      </c>
      <c r="H2711" s="168">
        <v>18889.62</v>
      </c>
      <c r="I2711" s="168">
        <v>6052.01</v>
      </c>
      <c r="J2711" s="168">
        <v>8478.0300000000007</v>
      </c>
      <c r="K2711" s="168">
        <v>4359.58</v>
      </c>
      <c r="L2711" s="43">
        <v>6.6851003139122946</v>
      </c>
      <c r="M2711" s="43">
        <v>11.500475068409852</v>
      </c>
      <c r="N2711" s="43">
        <v>5.4742174182550754</v>
      </c>
      <c r="O2711" s="43">
        <v>5.8075852238666794</v>
      </c>
      <c r="P2711" s="169"/>
      <c r="Q2711" s="169"/>
      <c r="R2711" s="169">
        <v>15</v>
      </c>
    </row>
    <row r="2712" spans="1:18" ht="24">
      <c r="A2712" s="165">
        <v>112</v>
      </c>
      <c r="B2712" s="162" t="s">
        <v>4944</v>
      </c>
      <c r="C2712" s="166" t="s">
        <v>4945</v>
      </c>
      <c r="D2712" s="167">
        <v>4272.05</v>
      </c>
      <c r="E2712" s="167">
        <v>877.84</v>
      </c>
      <c r="F2712" s="167">
        <v>2982.46</v>
      </c>
      <c r="G2712" s="167">
        <v>411.75</v>
      </c>
      <c r="H2712" s="168">
        <v>28550.61</v>
      </c>
      <c r="I2712" s="168">
        <v>10095.5</v>
      </c>
      <c r="J2712" s="168">
        <v>16405.09</v>
      </c>
      <c r="K2712" s="168">
        <v>2050.02</v>
      </c>
      <c r="L2712" s="43">
        <v>6.6831170047167046</v>
      </c>
      <c r="M2712" s="43">
        <v>11.50038731431696</v>
      </c>
      <c r="N2712" s="43">
        <v>5.5005230581466309</v>
      </c>
      <c r="O2712" s="43">
        <v>4.9787978142076499</v>
      </c>
      <c r="P2712" s="169"/>
      <c r="Q2712" s="169"/>
      <c r="R2712" s="169">
        <v>15</v>
      </c>
    </row>
    <row r="2713" spans="1:18" ht="24">
      <c r="A2713" s="165">
        <v>113</v>
      </c>
      <c r="B2713" s="162" t="s">
        <v>4946</v>
      </c>
      <c r="C2713" s="166" t="s">
        <v>4947</v>
      </c>
      <c r="D2713" s="167">
        <v>12736.27</v>
      </c>
      <c r="E2713" s="167">
        <v>3424.02</v>
      </c>
      <c r="F2713" s="167">
        <v>8724.7099999999991</v>
      </c>
      <c r="G2713" s="167">
        <v>587.54</v>
      </c>
      <c r="H2713" s="168">
        <v>90952.78</v>
      </c>
      <c r="I2713" s="168">
        <v>39377.72</v>
      </c>
      <c r="J2713" s="168">
        <v>47929.36</v>
      </c>
      <c r="K2713" s="168">
        <v>3645.7</v>
      </c>
      <c r="L2713" s="43">
        <v>7.1412415094843302</v>
      </c>
      <c r="M2713" s="43">
        <v>11.500435161009573</v>
      </c>
      <c r="N2713" s="43">
        <v>5.4935189822928221</v>
      </c>
      <c r="O2713" s="43">
        <v>6.2050243387684247</v>
      </c>
      <c r="P2713" s="169"/>
      <c r="Q2713" s="169"/>
      <c r="R2713" s="169">
        <v>15</v>
      </c>
    </row>
    <row r="2714" spans="1:18" ht="24">
      <c r="A2714" s="165">
        <v>114</v>
      </c>
      <c r="B2714" s="162" t="s">
        <v>4948</v>
      </c>
      <c r="C2714" s="166" t="s">
        <v>4949</v>
      </c>
      <c r="D2714" s="167">
        <v>11398.33</v>
      </c>
      <c r="E2714" s="167">
        <v>2424.39</v>
      </c>
      <c r="F2714" s="167">
        <v>8251.17</v>
      </c>
      <c r="G2714" s="167">
        <v>722.77</v>
      </c>
      <c r="H2714" s="168">
        <v>76892.75</v>
      </c>
      <c r="I2714" s="168">
        <v>27881.54</v>
      </c>
      <c r="J2714" s="168">
        <v>45309.9</v>
      </c>
      <c r="K2714" s="168">
        <v>3701.31</v>
      </c>
      <c r="L2714" s="43">
        <v>6.7459662950625221</v>
      </c>
      <c r="M2714" s="43">
        <v>11.500435161009575</v>
      </c>
      <c r="N2714" s="43">
        <v>5.4913303204272852</v>
      </c>
      <c r="O2714" s="43">
        <v>5.1210066826237943</v>
      </c>
      <c r="P2714" s="169"/>
      <c r="Q2714" s="169"/>
      <c r="R2714" s="169">
        <v>15</v>
      </c>
    </row>
    <row r="2715" spans="1:18" ht="24">
      <c r="A2715" s="165">
        <v>115</v>
      </c>
      <c r="B2715" s="162" t="s">
        <v>4950</v>
      </c>
      <c r="C2715" s="166" t="s">
        <v>4951</v>
      </c>
      <c r="D2715" s="167">
        <v>22902.18</v>
      </c>
      <c r="E2715" s="167">
        <v>6089.7</v>
      </c>
      <c r="F2715" s="167">
        <v>16016.41</v>
      </c>
      <c r="G2715" s="167">
        <v>796.07</v>
      </c>
      <c r="H2715" s="168">
        <v>162513.60999999999</v>
      </c>
      <c r="I2715" s="168">
        <v>70034.2</v>
      </c>
      <c r="J2715" s="168">
        <v>87935.15</v>
      </c>
      <c r="K2715" s="168">
        <v>4544.26</v>
      </c>
      <c r="L2715" s="43">
        <v>7.0959886788069948</v>
      </c>
      <c r="M2715" s="43">
        <v>11.500435161009573</v>
      </c>
      <c r="N2715" s="43">
        <v>5.4903158697860501</v>
      </c>
      <c r="O2715" s="43">
        <v>5.7083673546296181</v>
      </c>
      <c r="P2715" s="169"/>
      <c r="Q2715" s="169"/>
      <c r="R2715" s="169">
        <v>15</v>
      </c>
    </row>
    <row r="2716" spans="1:18" ht="24">
      <c r="A2716" s="165">
        <v>116</v>
      </c>
      <c r="B2716" s="162" t="s">
        <v>4952</v>
      </c>
      <c r="C2716" s="166" t="s">
        <v>4953</v>
      </c>
      <c r="D2716" s="167">
        <v>7549.13</v>
      </c>
      <c r="E2716" s="167">
        <v>1321.35</v>
      </c>
      <c r="F2716" s="167">
        <v>5614.27</v>
      </c>
      <c r="G2716" s="167">
        <v>613.51</v>
      </c>
      <c r="H2716" s="168">
        <v>48947.26</v>
      </c>
      <c r="I2716" s="168">
        <v>15196.1</v>
      </c>
      <c r="J2716" s="168">
        <v>30597.85</v>
      </c>
      <c r="K2716" s="168">
        <v>3153.31</v>
      </c>
      <c r="L2716" s="43">
        <v>6.4838279377888579</v>
      </c>
      <c r="M2716" s="43">
        <v>11.500435161009575</v>
      </c>
      <c r="N2716" s="43">
        <v>5.4500139822274303</v>
      </c>
      <c r="O2716" s="43">
        <v>5.1397858225619792</v>
      </c>
      <c r="P2716" s="169"/>
      <c r="Q2716" s="169"/>
      <c r="R2716" s="169">
        <v>15</v>
      </c>
    </row>
    <row r="2717" spans="1:18" ht="24">
      <c r="A2717" s="165">
        <v>117</v>
      </c>
      <c r="B2717" s="162" t="s">
        <v>4954</v>
      </c>
      <c r="C2717" s="166" t="s">
        <v>4955</v>
      </c>
      <c r="D2717" s="167">
        <v>973.23</v>
      </c>
      <c r="E2717" s="167">
        <v>162.01</v>
      </c>
      <c r="F2717" s="167">
        <v>570.4</v>
      </c>
      <c r="G2717" s="167">
        <v>240.82</v>
      </c>
      <c r="H2717" s="168">
        <v>6485.01</v>
      </c>
      <c r="I2717" s="168">
        <v>1863.17</v>
      </c>
      <c r="J2717" s="168">
        <v>3141.59</v>
      </c>
      <c r="K2717" s="168">
        <v>1480.25</v>
      </c>
      <c r="L2717" s="43">
        <v>6.6633889214265896</v>
      </c>
      <c r="M2717" s="43">
        <v>11.500339485216964</v>
      </c>
      <c r="N2717" s="43">
        <v>5.5076963534361854</v>
      </c>
      <c r="O2717" s="43">
        <v>6.1467070841292255</v>
      </c>
      <c r="P2717" s="169"/>
      <c r="Q2717" s="169"/>
      <c r="R2717" s="169">
        <v>15</v>
      </c>
    </row>
    <row r="2718" spans="1:18" ht="24">
      <c r="A2718" s="165">
        <v>118</v>
      </c>
      <c r="B2718" s="162" t="s">
        <v>4956</v>
      </c>
      <c r="C2718" s="166" t="s">
        <v>4957</v>
      </c>
      <c r="D2718" s="167">
        <v>2149.0300000000002</v>
      </c>
      <c r="E2718" s="167">
        <v>297.58999999999997</v>
      </c>
      <c r="F2718" s="167">
        <v>1325.84</v>
      </c>
      <c r="G2718" s="167">
        <v>525.6</v>
      </c>
      <c r="H2718" s="168">
        <v>13479.8</v>
      </c>
      <c r="I2718" s="168">
        <v>3422.43</v>
      </c>
      <c r="J2718" s="168">
        <v>7220.96</v>
      </c>
      <c r="K2718" s="168">
        <v>2836.41</v>
      </c>
      <c r="L2718" s="43">
        <v>6.2725043391669724</v>
      </c>
      <c r="M2718" s="43">
        <v>11.500487247555363</v>
      </c>
      <c r="N2718" s="43">
        <v>5.446328365413625</v>
      </c>
      <c r="O2718" s="43">
        <v>5.3965182648401822</v>
      </c>
      <c r="P2718" s="169"/>
      <c r="Q2718" s="169"/>
      <c r="R2718" s="169">
        <v>15</v>
      </c>
    </row>
    <row r="2719" spans="1:18" ht="12.75" customHeight="1">
      <c r="A2719" s="628" t="s">
        <v>4958</v>
      </c>
      <c r="B2719" s="629"/>
      <c r="C2719" s="629"/>
      <c r="D2719" s="629"/>
      <c r="E2719" s="629"/>
      <c r="F2719" s="629"/>
      <c r="G2719" s="629"/>
      <c r="H2719" s="629"/>
      <c r="I2719" s="629"/>
      <c r="J2719" s="629"/>
      <c r="K2719" s="629"/>
      <c r="L2719" s="629"/>
      <c r="M2719" s="629"/>
      <c r="N2719" s="629"/>
      <c r="O2719" s="629"/>
      <c r="P2719" s="629"/>
      <c r="Q2719" s="629"/>
      <c r="R2719" s="629"/>
    </row>
    <row r="2720" spans="1:18" ht="24">
      <c r="A2720" s="165">
        <v>119</v>
      </c>
      <c r="B2720" s="162" t="s">
        <v>4959</v>
      </c>
      <c r="C2720" s="166" t="s">
        <v>4960</v>
      </c>
      <c r="D2720" s="167">
        <v>115.89</v>
      </c>
      <c r="E2720" s="167">
        <v>32.630000000000003</v>
      </c>
      <c r="F2720" s="167">
        <v>26.19</v>
      </c>
      <c r="G2720" s="167">
        <v>57.07</v>
      </c>
      <c r="H2720" s="168">
        <v>793.07</v>
      </c>
      <c r="I2720" s="168">
        <v>375.28</v>
      </c>
      <c r="J2720" s="168">
        <v>140.84</v>
      </c>
      <c r="K2720" s="168">
        <v>276.95</v>
      </c>
      <c r="L2720" s="43">
        <v>6.8432996807317288</v>
      </c>
      <c r="M2720" s="43">
        <v>11.501072632546734</v>
      </c>
      <c r="N2720" s="43">
        <v>5.3776250477281407</v>
      </c>
      <c r="O2720" s="43">
        <v>4.8528123357280535</v>
      </c>
      <c r="P2720" s="169"/>
      <c r="Q2720" s="169"/>
      <c r="R2720" s="169">
        <v>16</v>
      </c>
    </row>
    <row r="2721" spans="1:18" ht="12.75" customHeight="1">
      <c r="A2721" s="628" t="s">
        <v>4961</v>
      </c>
      <c r="B2721" s="629"/>
      <c r="C2721" s="629"/>
      <c r="D2721" s="629"/>
      <c r="E2721" s="629"/>
      <c r="F2721" s="629"/>
      <c r="G2721" s="629"/>
      <c r="H2721" s="629"/>
      <c r="I2721" s="629"/>
      <c r="J2721" s="629"/>
      <c r="K2721" s="629"/>
      <c r="L2721" s="629"/>
      <c r="M2721" s="629"/>
      <c r="N2721" s="629"/>
      <c r="O2721" s="629"/>
      <c r="P2721" s="629"/>
      <c r="Q2721" s="629"/>
      <c r="R2721" s="629"/>
    </row>
    <row r="2722" spans="1:18" ht="24">
      <c r="A2722" s="165">
        <v>120</v>
      </c>
      <c r="B2722" s="162" t="s">
        <v>4962</v>
      </c>
      <c r="C2722" s="166" t="s">
        <v>4963</v>
      </c>
      <c r="D2722" s="167">
        <v>188.22</v>
      </c>
      <c r="E2722" s="167">
        <v>26.77</v>
      </c>
      <c r="F2722" s="167">
        <v>85.84</v>
      </c>
      <c r="G2722" s="167">
        <v>75.61</v>
      </c>
      <c r="H2722" s="168">
        <v>1095.18</v>
      </c>
      <c r="I2722" s="168">
        <v>307.89</v>
      </c>
      <c r="J2722" s="168">
        <v>467.98</v>
      </c>
      <c r="K2722" s="168">
        <v>319.31</v>
      </c>
      <c r="L2722" s="43">
        <v>5.8186165125916487</v>
      </c>
      <c r="M2722" s="43">
        <v>11.501307433694434</v>
      </c>
      <c r="N2722" s="43">
        <v>5.4517707362534953</v>
      </c>
      <c r="O2722" s="43">
        <v>4.2231186351011774</v>
      </c>
      <c r="P2722" s="169"/>
      <c r="Q2722" s="169"/>
      <c r="R2722" s="169">
        <v>17</v>
      </c>
    </row>
    <row r="2723" spans="1:18" ht="24">
      <c r="A2723" s="165">
        <v>121</v>
      </c>
      <c r="B2723" s="162" t="s">
        <v>4964</v>
      </c>
      <c r="C2723" s="166" t="s">
        <v>4965</v>
      </c>
      <c r="D2723" s="167">
        <v>280.41000000000003</v>
      </c>
      <c r="E2723" s="167">
        <v>40.33</v>
      </c>
      <c r="F2723" s="167">
        <v>124.51</v>
      </c>
      <c r="G2723" s="167">
        <v>115.57</v>
      </c>
      <c r="H2723" s="168">
        <v>1688.02</v>
      </c>
      <c r="I2723" s="168">
        <v>463.81</v>
      </c>
      <c r="J2723" s="168">
        <v>680.39</v>
      </c>
      <c r="K2723" s="168">
        <v>543.82000000000005</v>
      </c>
      <c r="L2723" s="43">
        <v>6.0198281088406258</v>
      </c>
      <c r="M2723" s="43">
        <v>11.500371931564592</v>
      </c>
      <c r="N2723" s="43">
        <v>5.464541000722833</v>
      </c>
      <c r="O2723" s="43">
        <v>4.7055464220818557</v>
      </c>
      <c r="P2723" s="169"/>
      <c r="Q2723" s="169"/>
      <c r="R2723" s="169">
        <v>17</v>
      </c>
    </row>
    <row r="2724" spans="1:18" ht="24">
      <c r="A2724" s="165">
        <v>122</v>
      </c>
      <c r="B2724" s="162" t="s">
        <v>4966</v>
      </c>
      <c r="C2724" s="166" t="s">
        <v>4967</v>
      </c>
      <c r="D2724" s="167">
        <v>332.54</v>
      </c>
      <c r="E2724" s="167">
        <v>40.9</v>
      </c>
      <c r="F2724" s="167">
        <v>163.12</v>
      </c>
      <c r="G2724" s="167">
        <v>128.52000000000001</v>
      </c>
      <c r="H2724" s="168">
        <v>1945</v>
      </c>
      <c r="I2724" s="168">
        <v>470.42</v>
      </c>
      <c r="J2724" s="168">
        <v>890.98</v>
      </c>
      <c r="K2724" s="168">
        <v>583.6</v>
      </c>
      <c r="L2724" s="43">
        <v>5.8489204306248865</v>
      </c>
      <c r="M2724" s="43">
        <v>11.501711491442544</v>
      </c>
      <c r="N2724" s="43">
        <v>5.4621137812653258</v>
      </c>
      <c r="O2724" s="43">
        <v>4.5409274821039523</v>
      </c>
      <c r="P2724" s="169"/>
      <c r="Q2724" s="169"/>
      <c r="R2724" s="169">
        <v>17</v>
      </c>
    </row>
    <row r="2725" spans="1:18" ht="24">
      <c r="A2725" s="165">
        <v>123</v>
      </c>
      <c r="B2725" s="162" t="s">
        <v>4968</v>
      </c>
      <c r="C2725" s="166" t="s">
        <v>4969</v>
      </c>
      <c r="D2725" s="167">
        <v>420.26</v>
      </c>
      <c r="E2725" s="167">
        <v>53.54</v>
      </c>
      <c r="F2725" s="167">
        <v>219.77</v>
      </c>
      <c r="G2725" s="167">
        <v>146.94999999999999</v>
      </c>
      <c r="H2725" s="168">
        <v>2489.2600000000002</v>
      </c>
      <c r="I2725" s="168">
        <v>615.77</v>
      </c>
      <c r="J2725" s="168">
        <v>1231.6600000000001</v>
      </c>
      <c r="K2725" s="168">
        <v>641.83000000000004</v>
      </c>
      <c r="L2725" s="43">
        <v>5.923142816351783</v>
      </c>
      <c r="M2725" s="43">
        <v>11.501120657452372</v>
      </c>
      <c r="N2725" s="43">
        <v>5.6043136005824268</v>
      </c>
      <c r="O2725" s="43">
        <v>4.3676760802994226</v>
      </c>
      <c r="P2725" s="169"/>
      <c r="Q2725" s="169"/>
      <c r="R2725" s="169">
        <v>17</v>
      </c>
    </row>
    <row r="2726" spans="1:18" ht="24">
      <c r="A2726" s="165">
        <v>124</v>
      </c>
      <c r="B2726" s="162" t="s">
        <v>4970</v>
      </c>
      <c r="C2726" s="166" t="s">
        <v>4971</v>
      </c>
      <c r="D2726" s="167">
        <v>610.25</v>
      </c>
      <c r="E2726" s="167">
        <v>107.09</v>
      </c>
      <c r="F2726" s="167">
        <v>363.89</v>
      </c>
      <c r="G2726" s="167">
        <v>139.27000000000001</v>
      </c>
      <c r="H2726" s="168">
        <v>3920.52</v>
      </c>
      <c r="I2726" s="168">
        <v>1231.54</v>
      </c>
      <c r="J2726" s="168">
        <v>2036.11</v>
      </c>
      <c r="K2726" s="168">
        <v>652.87</v>
      </c>
      <c r="L2726" s="43">
        <v>6.4244489963129867</v>
      </c>
      <c r="M2726" s="43">
        <v>11.500046689700252</v>
      </c>
      <c r="N2726" s="43">
        <v>5.5953997087031793</v>
      </c>
      <c r="O2726" s="43">
        <v>4.6878006749479422</v>
      </c>
      <c r="P2726" s="169"/>
      <c r="Q2726" s="169"/>
      <c r="R2726" s="169">
        <v>17</v>
      </c>
    </row>
    <row r="2727" spans="1:18" ht="24">
      <c r="A2727" s="165">
        <v>125</v>
      </c>
      <c r="B2727" s="162" t="s">
        <v>4972</v>
      </c>
      <c r="C2727" s="166" t="s">
        <v>4973</v>
      </c>
      <c r="D2727" s="167">
        <v>1412.01</v>
      </c>
      <c r="E2727" s="167">
        <v>255.08</v>
      </c>
      <c r="F2727" s="167">
        <v>868.08</v>
      </c>
      <c r="G2727" s="167">
        <v>288.85000000000002</v>
      </c>
      <c r="H2727" s="168">
        <v>8603.8700000000008</v>
      </c>
      <c r="I2727" s="168">
        <v>2933.51</v>
      </c>
      <c r="J2727" s="168">
        <v>4800.67</v>
      </c>
      <c r="K2727" s="168">
        <v>869.69</v>
      </c>
      <c r="L2727" s="43">
        <v>6.0933491972436462</v>
      </c>
      <c r="M2727" s="43">
        <v>11.500352830484553</v>
      </c>
      <c r="N2727" s="43">
        <v>5.5302161091143676</v>
      </c>
      <c r="O2727" s="43">
        <v>3.0108706941319023</v>
      </c>
      <c r="P2727" s="169"/>
      <c r="Q2727" s="169"/>
      <c r="R2727" s="169">
        <v>17</v>
      </c>
    </row>
    <row r="2728" spans="1:18" ht="24">
      <c r="A2728" s="165">
        <v>126</v>
      </c>
      <c r="B2728" s="162" t="s">
        <v>4974</v>
      </c>
      <c r="C2728" s="166" t="s">
        <v>4975</v>
      </c>
      <c r="D2728" s="167">
        <v>1856.2</v>
      </c>
      <c r="E2728" s="167">
        <v>348.15</v>
      </c>
      <c r="F2728" s="167">
        <v>1190.5999999999999</v>
      </c>
      <c r="G2728" s="167">
        <v>317.45</v>
      </c>
      <c r="H2728" s="168">
        <v>11661.12</v>
      </c>
      <c r="I2728" s="168">
        <v>4003.84</v>
      </c>
      <c r="J2728" s="168">
        <v>6624.83</v>
      </c>
      <c r="K2728" s="168">
        <v>1032.45</v>
      </c>
      <c r="L2728" s="43">
        <v>6.2822540674496281</v>
      </c>
      <c r="M2728" s="43">
        <v>11.50033031739193</v>
      </c>
      <c r="N2728" s="43">
        <v>5.5642785150344372</v>
      </c>
      <c r="O2728" s="43">
        <v>3.2523232005040166</v>
      </c>
      <c r="P2728" s="169"/>
      <c r="Q2728" s="169"/>
      <c r="R2728" s="169">
        <v>17</v>
      </c>
    </row>
    <row r="2729" spans="1:18" ht="24">
      <c r="A2729" s="165">
        <v>127</v>
      </c>
      <c r="B2729" s="162" t="s">
        <v>4976</v>
      </c>
      <c r="C2729" s="166" t="s">
        <v>4977</v>
      </c>
      <c r="D2729" s="167">
        <v>155.96</v>
      </c>
      <c r="E2729" s="167">
        <v>26.43</v>
      </c>
      <c r="F2729" s="167">
        <v>59.1</v>
      </c>
      <c r="G2729" s="167">
        <v>70.430000000000007</v>
      </c>
      <c r="H2729" s="168">
        <v>926.54</v>
      </c>
      <c r="I2729" s="168">
        <v>303.92</v>
      </c>
      <c r="J2729" s="168">
        <v>323.16000000000003</v>
      </c>
      <c r="K2729" s="168">
        <v>299.45999999999998</v>
      </c>
      <c r="L2729" s="43">
        <v>5.9408822775070522</v>
      </c>
      <c r="M2729" s="43">
        <v>11.499054105183504</v>
      </c>
      <c r="N2729" s="43">
        <v>5.4680203045685278</v>
      </c>
      <c r="O2729" s="43">
        <v>4.2518813005821379</v>
      </c>
      <c r="P2729" s="169"/>
      <c r="Q2729" s="169"/>
      <c r="R2729" s="169">
        <v>17</v>
      </c>
    </row>
    <row r="2730" spans="1:18" ht="24">
      <c r="A2730" s="165">
        <v>128</v>
      </c>
      <c r="B2730" s="162" t="s">
        <v>4978</v>
      </c>
      <c r="C2730" s="166" t="s">
        <v>4979</v>
      </c>
      <c r="D2730" s="167">
        <v>199.67</v>
      </c>
      <c r="E2730" s="167">
        <v>27.35</v>
      </c>
      <c r="F2730" s="167">
        <v>72.55</v>
      </c>
      <c r="G2730" s="167">
        <v>99.77</v>
      </c>
      <c r="H2730" s="168">
        <v>1211.1199999999999</v>
      </c>
      <c r="I2730" s="168">
        <v>314.49</v>
      </c>
      <c r="J2730" s="168">
        <v>397.98</v>
      </c>
      <c r="K2730" s="168">
        <v>498.65</v>
      </c>
      <c r="L2730" s="43">
        <v>6.0656082536184703</v>
      </c>
      <c r="M2730" s="43">
        <v>11.49872029250457</v>
      </c>
      <c r="N2730" s="43">
        <v>5.485596140592695</v>
      </c>
      <c r="O2730" s="43">
        <v>4.9979953893956095</v>
      </c>
      <c r="P2730" s="169"/>
      <c r="Q2730" s="169"/>
      <c r="R2730" s="169">
        <v>17</v>
      </c>
    </row>
    <row r="2731" spans="1:18" ht="19.5" customHeight="1">
      <c r="A2731" s="628" t="s">
        <v>4980</v>
      </c>
      <c r="B2731" s="629"/>
      <c r="C2731" s="629"/>
      <c r="D2731" s="629"/>
      <c r="E2731" s="629"/>
      <c r="F2731" s="629"/>
      <c r="G2731" s="629"/>
      <c r="H2731" s="629"/>
      <c r="I2731" s="629"/>
      <c r="J2731" s="629"/>
      <c r="K2731" s="629"/>
      <c r="L2731" s="629"/>
      <c r="M2731" s="629"/>
      <c r="N2731" s="629"/>
      <c r="O2731" s="629"/>
      <c r="P2731" s="629"/>
      <c r="Q2731" s="629"/>
      <c r="R2731" s="629"/>
    </row>
    <row r="2732" spans="1:18" ht="24">
      <c r="A2732" s="165">
        <v>129</v>
      </c>
      <c r="B2732" s="162" t="s">
        <v>4981</v>
      </c>
      <c r="C2732" s="166" t="s">
        <v>4982</v>
      </c>
      <c r="D2732" s="167">
        <v>479.05</v>
      </c>
      <c r="E2732" s="167">
        <v>95.37</v>
      </c>
      <c r="F2732" s="167">
        <v>223.4</v>
      </c>
      <c r="G2732" s="167">
        <v>160.28</v>
      </c>
      <c r="H2732" s="168">
        <v>3039.85</v>
      </c>
      <c r="I2732" s="168">
        <v>1096.76</v>
      </c>
      <c r="J2732" s="168">
        <v>1110.8399999999999</v>
      </c>
      <c r="K2732" s="168">
        <v>832.25</v>
      </c>
      <c r="L2732" s="43">
        <v>6.3455797933409874</v>
      </c>
      <c r="M2732" s="43">
        <v>11.500052427388066</v>
      </c>
      <c r="N2732" s="43">
        <v>4.9724261414503133</v>
      </c>
      <c r="O2732" s="43">
        <v>5.1924756675817321</v>
      </c>
      <c r="P2732" s="169"/>
      <c r="Q2732" s="169"/>
      <c r="R2732" s="169">
        <v>18</v>
      </c>
    </row>
    <row r="2733" spans="1:18" ht="24">
      <c r="A2733" s="165">
        <v>130</v>
      </c>
      <c r="B2733" s="162" t="s">
        <v>4983</v>
      </c>
      <c r="C2733" s="166" t="s">
        <v>4984</v>
      </c>
      <c r="D2733" s="167">
        <v>3958.32</v>
      </c>
      <c r="E2733" s="167">
        <v>1043.29</v>
      </c>
      <c r="F2733" s="167">
        <v>2137.08</v>
      </c>
      <c r="G2733" s="167">
        <v>777.95</v>
      </c>
      <c r="H2733" s="168">
        <v>25883.05</v>
      </c>
      <c r="I2733" s="168">
        <v>11998.31</v>
      </c>
      <c r="J2733" s="168">
        <v>10547.35</v>
      </c>
      <c r="K2733" s="168">
        <v>3337.39</v>
      </c>
      <c r="L2733" s="43">
        <v>6.5388978152347459</v>
      </c>
      <c r="M2733" s="43">
        <v>11.500455290475323</v>
      </c>
      <c r="N2733" s="43">
        <v>4.9354025118385838</v>
      </c>
      <c r="O2733" s="43">
        <v>4.289980075840349</v>
      </c>
      <c r="P2733" s="169"/>
      <c r="Q2733" s="169"/>
      <c r="R2733" s="169">
        <v>18</v>
      </c>
    </row>
    <row r="2734" spans="1:18" ht="24">
      <c r="A2734" s="165">
        <v>131</v>
      </c>
      <c r="B2734" s="162" t="s">
        <v>4985</v>
      </c>
      <c r="C2734" s="166" t="s">
        <v>4986</v>
      </c>
      <c r="D2734" s="167">
        <v>8965.2900000000009</v>
      </c>
      <c r="E2734" s="167">
        <v>2240.5500000000002</v>
      </c>
      <c r="F2734" s="167">
        <v>5273.07</v>
      </c>
      <c r="G2734" s="167">
        <v>1451.67</v>
      </c>
      <c r="H2734" s="168">
        <v>57761.75</v>
      </c>
      <c r="I2734" s="168">
        <v>25767.3</v>
      </c>
      <c r="J2734" s="168">
        <v>25607.61</v>
      </c>
      <c r="K2734" s="168">
        <v>6386.84</v>
      </c>
      <c r="L2734" s="43">
        <v>6.442820031476951</v>
      </c>
      <c r="M2734" s="43">
        <v>11.500435161009571</v>
      </c>
      <c r="N2734" s="43">
        <v>4.8563000301532124</v>
      </c>
      <c r="O2734" s="43">
        <v>4.3996500582088212</v>
      </c>
      <c r="P2734" s="169"/>
      <c r="Q2734" s="169"/>
      <c r="R2734" s="169">
        <v>18</v>
      </c>
    </row>
    <row r="2735" spans="1:18" ht="12.75" customHeight="1">
      <c r="A2735" s="628" t="s">
        <v>4987</v>
      </c>
      <c r="B2735" s="629"/>
      <c r="C2735" s="629"/>
      <c r="D2735" s="629"/>
      <c r="E2735" s="629"/>
      <c r="F2735" s="629"/>
      <c r="G2735" s="629"/>
      <c r="H2735" s="629"/>
      <c r="I2735" s="629"/>
      <c r="J2735" s="629"/>
      <c r="K2735" s="629"/>
      <c r="L2735" s="629"/>
      <c r="M2735" s="629"/>
      <c r="N2735" s="629"/>
      <c r="O2735" s="629"/>
      <c r="P2735" s="629"/>
      <c r="Q2735" s="629"/>
      <c r="R2735" s="629"/>
    </row>
    <row r="2736" spans="1:18" ht="24">
      <c r="A2736" s="165">
        <v>132</v>
      </c>
      <c r="B2736" s="162" t="s">
        <v>4988</v>
      </c>
      <c r="C2736" s="166" t="s">
        <v>4989</v>
      </c>
      <c r="D2736" s="167">
        <v>1394.35</v>
      </c>
      <c r="E2736" s="167">
        <v>673.31</v>
      </c>
      <c r="F2736" s="167">
        <v>601.05999999999995</v>
      </c>
      <c r="G2736" s="167">
        <v>119.98</v>
      </c>
      <c r="H2736" s="168">
        <v>12584.41</v>
      </c>
      <c r="I2736" s="168">
        <v>7743.4</v>
      </c>
      <c r="J2736" s="168">
        <v>3827.8</v>
      </c>
      <c r="K2736" s="168">
        <v>1013.21</v>
      </c>
      <c r="L2736" s="43">
        <v>9.0252877684942803</v>
      </c>
      <c r="M2736" s="43">
        <v>11.500497541994029</v>
      </c>
      <c r="N2736" s="43">
        <v>6.3684157987555325</v>
      </c>
      <c r="O2736" s="43">
        <v>8.4448241373562265</v>
      </c>
      <c r="P2736" s="169"/>
      <c r="Q2736" s="169"/>
      <c r="R2736" s="169">
        <v>19</v>
      </c>
    </row>
    <row r="2737" spans="1:18" ht="24">
      <c r="A2737" s="165">
        <v>133</v>
      </c>
      <c r="B2737" s="162" t="s">
        <v>4990</v>
      </c>
      <c r="C2737" s="166" t="s">
        <v>4991</v>
      </c>
      <c r="D2737" s="167">
        <v>2933.85</v>
      </c>
      <c r="E2737" s="167">
        <v>1436.25</v>
      </c>
      <c r="F2737" s="167">
        <v>1134.1199999999999</v>
      </c>
      <c r="G2737" s="167">
        <v>363.48</v>
      </c>
      <c r="H2737" s="168">
        <v>26806.25</v>
      </c>
      <c r="I2737" s="168">
        <v>16517.5</v>
      </c>
      <c r="J2737" s="168">
        <v>7260.8</v>
      </c>
      <c r="K2737" s="168">
        <v>3027.95</v>
      </c>
      <c r="L2737" s="43">
        <v>9.1368849804863927</v>
      </c>
      <c r="M2737" s="43">
        <v>11.500435161009573</v>
      </c>
      <c r="N2737" s="43">
        <v>6.4021443938912999</v>
      </c>
      <c r="O2737" s="43">
        <v>8.3304445911742047</v>
      </c>
      <c r="P2737" s="169"/>
      <c r="Q2737" s="169"/>
      <c r="R2737" s="169">
        <v>19</v>
      </c>
    </row>
    <row r="2738" spans="1:18" ht="24">
      <c r="A2738" s="165">
        <v>134</v>
      </c>
      <c r="B2738" s="162" t="s">
        <v>4992</v>
      </c>
      <c r="C2738" s="166" t="s">
        <v>4993</v>
      </c>
      <c r="D2738" s="167">
        <v>4283.22</v>
      </c>
      <c r="E2738" s="167">
        <v>1838.4</v>
      </c>
      <c r="F2738" s="167">
        <v>2042.87</v>
      </c>
      <c r="G2738" s="167">
        <v>401.95</v>
      </c>
      <c r="H2738" s="168">
        <v>37629.08</v>
      </c>
      <c r="I2738" s="168">
        <v>21142.400000000001</v>
      </c>
      <c r="J2738" s="168">
        <v>13121.05</v>
      </c>
      <c r="K2738" s="168">
        <v>3365.63</v>
      </c>
      <c r="L2738" s="43">
        <v>8.7852316714994796</v>
      </c>
      <c r="M2738" s="43">
        <v>11.500435161009573</v>
      </c>
      <c r="N2738" s="43">
        <v>6.422851184852683</v>
      </c>
      <c r="O2738" s="43">
        <v>8.3732553800223908</v>
      </c>
      <c r="P2738" s="169"/>
      <c r="Q2738" s="169"/>
      <c r="R2738" s="169">
        <v>19</v>
      </c>
    </row>
    <row r="2739" spans="1:18" ht="24">
      <c r="A2739" s="165">
        <v>135</v>
      </c>
      <c r="B2739" s="162" t="s">
        <v>4994</v>
      </c>
      <c r="C2739" s="166" t="s">
        <v>4995</v>
      </c>
      <c r="D2739" s="167">
        <v>7840.3</v>
      </c>
      <c r="E2739" s="167">
        <v>3665.31</v>
      </c>
      <c r="F2739" s="167">
        <v>3188.72</v>
      </c>
      <c r="G2739" s="167">
        <v>986.27</v>
      </c>
      <c r="H2739" s="168">
        <v>70864.990000000005</v>
      </c>
      <c r="I2739" s="168">
        <v>42152.66</v>
      </c>
      <c r="J2739" s="168">
        <v>20512.310000000001</v>
      </c>
      <c r="K2739" s="168">
        <v>8200.02</v>
      </c>
      <c r="L2739" s="43">
        <v>9.0385559226050027</v>
      </c>
      <c r="M2739" s="43">
        <v>11.500435161009575</v>
      </c>
      <c r="N2739" s="43">
        <v>6.4327723977018998</v>
      </c>
      <c r="O2739" s="43">
        <v>8.3141736035771139</v>
      </c>
      <c r="P2739" s="169"/>
      <c r="Q2739" s="169"/>
      <c r="R2739" s="169">
        <v>19</v>
      </c>
    </row>
    <row r="2740" spans="1:18" ht="24">
      <c r="A2740" s="165">
        <v>136</v>
      </c>
      <c r="B2740" s="162" t="s">
        <v>4996</v>
      </c>
      <c r="C2740" s="166" t="s">
        <v>4997</v>
      </c>
      <c r="D2740" s="167">
        <v>9852.69</v>
      </c>
      <c r="E2740" s="167">
        <v>4768.3500000000004</v>
      </c>
      <c r="F2740" s="167">
        <v>3771.69</v>
      </c>
      <c r="G2740" s="167">
        <v>1312.65</v>
      </c>
      <c r="H2740" s="168">
        <v>90010.36</v>
      </c>
      <c r="I2740" s="168">
        <v>54838.1</v>
      </c>
      <c r="J2740" s="168">
        <v>24266.23</v>
      </c>
      <c r="K2740" s="168">
        <v>10906.03</v>
      </c>
      <c r="L2740" s="43">
        <v>9.135612710843434</v>
      </c>
      <c r="M2740" s="43">
        <v>11.500435161009573</v>
      </c>
      <c r="N2740" s="43">
        <v>6.4337816734673314</v>
      </c>
      <c r="O2740" s="43">
        <v>8.3084066582866711</v>
      </c>
      <c r="P2740" s="169"/>
      <c r="Q2740" s="169"/>
      <c r="R2740" s="169">
        <v>19</v>
      </c>
    </row>
    <row r="2741" spans="1:18" ht="12.75" customHeight="1">
      <c r="A2741" s="628" t="s">
        <v>4998</v>
      </c>
      <c r="B2741" s="629"/>
      <c r="C2741" s="629"/>
      <c r="D2741" s="629"/>
      <c r="E2741" s="629"/>
      <c r="F2741" s="629"/>
      <c r="G2741" s="629"/>
      <c r="H2741" s="629"/>
      <c r="I2741" s="629"/>
      <c r="J2741" s="629"/>
      <c r="K2741" s="629"/>
      <c r="L2741" s="629"/>
      <c r="M2741" s="629"/>
      <c r="N2741" s="629"/>
      <c r="O2741" s="629"/>
      <c r="P2741" s="629"/>
      <c r="Q2741" s="629"/>
      <c r="R2741" s="629"/>
    </row>
    <row r="2742" spans="1:18" ht="24">
      <c r="A2742" s="165">
        <v>137</v>
      </c>
      <c r="B2742" s="162" t="s">
        <v>4999</v>
      </c>
      <c r="C2742" s="166" t="s">
        <v>5000</v>
      </c>
      <c r="D2742" s="167">
        <v>180.04</v>
      </c>
      <c r="E2742" s="167">
        <v>41.36</v>
      </c>
      <c r="F2742" s="167">
        <v>137.85</v>
      </c>
      <c r="G2742" s="167">
        <v>0.83</v>
      </c>
      <c r="H2742" s="168">
        <v>1167.22</v>
      </c>
      <c r="I2742" s="168">
        <v>475.7</v>
      </c>
      <c r="J2742" s="168">
        <v>681.97</v>
      </c>
      <c r="K2742" s="168">
        <v>9.5500000000000007</v>
      </c>
      <c r="L2742" s="43">
        <v>6.4831148633636975</v>
      </c>
      <c r="M2742" s="43">
        <v>11.501450676982591</v>
      </c>
      <c r="N2742" s="43">
        <v>4.9471889735219445</v>
      </c>
      <c r="O2742" s="43">
        <v>11.504504504504503</v>
      </c>
      <c r="P2742" s="169"/>
      <c r="Q2742" s="169"/>
      <c r="R2742" s="169">
        <v>20</v>
      </c>
    </row>
    <row r="2743" spans="1:18" ht="24">
      <c r="A2743" s="165">
        <v>138</v>
      </c>
      <c r="B2743" s="162" t="s">
        <v>5001</v>
      </c>
      <c r="C2743" s="166" t="s">
        <v>5002</v>
      </c>
      <c r="D2743" s="167">
        <v>240.28</v>
      </c>
      <c r="E2743" s="167">
        <v>55.61</v>
      </c>
      <c r="F2743" s="167">
        <v>183.56</v>
      </c>
      <c r="G2743" s="167">
        <v>1.1100000000000001</v>
      </c>
      <c r="H2743" s="168">
        <v>1550.9</v>
      </c>
      <c r="I2743" s="168">
        <v>639.55999999999995</v>
      </c>
      <c r="J2743" s="168">
        <v>898.57</v>
      </c>
      <c r="K2743" s="168">
        <v>12.77</v>
      </c>
      <c r="L2743" s="43">
        <v>6.454553021474946</v>
      </c>
      <c r="M2743" s="43">
        <v>11.500809206977161</v>
      </c>
      <c r="N2743" s="43">
        <v>4.8952386140771411</v>
      </c>
      <c r="O2743" s="43">
        <v>11.504504504504503</v>
      </c>
      <c r="P2743" s="169"/>
      <c r="Q2743" s="169"/>
      <c r="R2743" s="169">
        <v>20</v>
      </c>
    </row>
    <row r="2744" spans="1:18" ht="24">
      <c r="A2744" s="165">
        <v>139</v>
      </c>
      <c r="B2744" s="162" t="s">
        <v>5003</v>
      </c>
      <c r="C2744" s="166" t="s">
        <v>5004</v>
      </c>
      <c r="D2744" s="167">
        <v>273.27999999999997</v>
      </c>
      <c r="E2744" s="167">
        <v>56.19</v>
      </c>
      <c r="F2744" s="167">
        <v>215.97</v>
      </c>
      <c r="G2744" s="167">
        <v>1.1200000000000001</v>
      </c>
      <c r="H2744" s="168">
        <v>1709.78</v>
      </c>
      <c r="I2744" s="168">
        <v>646.16</v>
      </c>
      <c r="J2744" s="168">
        <v>1050.74</v>
      </c>
      <c r="K2744" s="168">
        <v>12.88</v>
      </c>
      <c r="L2744" s="43">
        <v>6.2565134660421551</v>
      </c>
      <c r="M2744" s="43">
        <v>11.499555080975263</v>
      </c>
      <c r="N2744" s="43">
        <v>4.8652127610316249</v>
      </c>
      <c r="O2744" s="43">
        <v>11.5</v>
      </c>
      <c r="P2744" s="169"/>
      <c r="Q2744" s="169"/>
      <c r="R2744" s="169">
        <v>20</v>
      </c>
    </row>
    <row r="2745" spans="1:18" ht="24">
      <c r="A2745" s="165">
        <v>140</v>
      </c>
      <c r="B2745" s="162" t="s">
        <v>5005</v>
      </c>
      <c r="C2745" s="166" t="s">
        <v>5006</v>
      </c>
      <c r="D2745" s="167">
        <v>339.12</v>
      </c>
      <c r="E2745" s="167">
        <v>68.83</v>
      </c>
      <c r="F2745" s="167">
        <v>268.91000000000003</v>
      </c>
      <c r="G2745" s="167">
        <v>1.38</v>
      </c>
      <c r="H2745" s="168">
        <v>2113.06</v>
      </c>
      <c r="I2745" s="168">
        <v>791.52</v>
      </c>
      <c r="J2745" s="168">
        <v>1305.67</v>
      </c>
      <c r="K2745" s="168">
        <v>15.87</v>
      </c>
      <c r="L2745" s="43">
        <v>6.2310096720924744</v>
      </c>
      <c r="M2745" s="43">
        <v>11.49963678628505</v>
      </c>
      <c r="N2745" s="43">
        <v>4.8554163102896881</v>
      </c>
      <c r="O2745" s="43">
        <v>11.5</v>
      </c>
      <c r="P2745" s="169"/>
      <c r="Q2745" s="169"/>
      <c r="R2745" s="169">
        <v>20</v>
      </c>
    </row>
    <row r="2746" spans="1:18" ht="24">
      <c r="A2746" s="165">
        <v>141</v>
      </c>
      <c r="B2746" s="162" t="s">
        <v>5007</v>
      </c>
      <c r="C2746" s="166" t="s">
        <v>5008</v>
      </c>
      <c r="D2746" s="167">
        <v>405.43</v>
      </c>
      <c r="E2746" s="167">
        <v>82.38</v>
      </c>
      <c r="F2746" s="167">
        <v>321.39999999999998</v>
      </c>
      <c r="G2746" s="167">
        <v>1.65</v>
      </c>
      <c r="H2746" s="168">
        <v>2533.79</v>
      </c>
      <c r="I2746" s="168">
        <v>947.44</v>
      </c>
      <c r="J2746" s="168">
        <v>1567.37</v>
      </c>
      <c r="K2746" s="168">
        <v>18.98</v>
      </c>
      <c r="L2746" s="43">
        <v>6.2496361887378828</v>
      </c>
      <c r="M2746" s="43">
        <v>11.500849720806022</v>
      </c>
      <c r="N2746" s="43">
        <v>4.8766957062850027</v>
      </c>
      <c r="O2746" s="43">
        <v>11.503030303030304</v>
      </c>
      <c r="P2746" s="169"/>
      <c r="Q2746" s="169"/>
      <c r="R2746" s="169">
        <v>20</v>
      </c>
    </row>
    <row r="2747" spans="1:18" ht="24">
      <c r="A2747" s="165">
        <v>142</v>
      </c>
      <c r="B2747" s="162" t="s">
        <v>5009</v>
      </c>
      <c r="C2747" s="166" t="s">
        <v>5010</v>
      </c>
      <c r="D2747" s="167">
        <v>495.95</v>
      </c>
      <c r="E2747" s="167">
        <v>109.84</v>
      </c>
      <c r="F2747" s="167">
        <v>383.91</v>
      </c>
      <c r="G2747" s="167">
        <v>2.2000000000000002</v>
      </c>
      <c r="H2747" s="168">
        <v>3149.92</v>
      </c>
      <c r="I2747" s="168">
        <v>1263.26</v>
      </c>
      <c r="J2747" s="168">
        <v>1861.36</v>
      </c>
      <c r="K2747" s="168">
        <v>25.3</v>
      </c>
      <c r="L2747" s="43">
        <v>6.351285411835871</v>
      </c>
      <c r="M2747" s="43">
        <v>11.500910415149308</v>
      </c>
      <c r="N2747" s="43">
        <v>4.8484280169831466</v>
      </c>
      <c r="O2747" s="43">
        <v>11.5</v>
      </c>
      <c r="P2747" s="169"/>
      <c r="Q2747" s="169"/>
      <c r="R2747" s="169">
        <v>20</v>
      </c>
    </row>
    <row r="2748" spans="1:18" ht="24">
      <c r="A2748" s="165">
        <v>143</v>
      </c>
      <c r="B2748" s="162" t="s">
        <v>5011</v>
      </c>
      <c r="C2748" s="166" t="s">
        <v>5012</v>
      </c>
      <c r="D2748" s="167">
        <v>586.21</v>
      </c>
      <c r="E2748" s="167">
        <v>124.09</v>
      </c>
      <c r="F2748" s="167">
        <v>459.64</v>
      </c>
      <c r="G2748" s="167">
        <v>2.48</v>
      </c>
      <c r="H2748" s="168">
        <v>3691.18</v>
      </c>
      <c r="I2748" s="168">
        <v>1427.11</v>
      </c>
      <c r="J2748" s="168">
        <v>2235.5500000000002</v>
      </c>
      <c r="K2748" s="168">
        <v>28.52</v>
      </c>
      <c r="L2748" s="43">
        <v>6.2966854881356502</v>
      </c>
      <c r="M2748" s="43">
        <v>11.500604400032234</v>
      </c>
      <c r="N2748" s="43">
        <v>4.8636976764424338</v>
      </c>
      <c r="O2748" s="43">
        <v>11.5</v>
      </c>
      <c r="P2748" s="169"/>
      <c r="Q2748" s="169"/>
      <c r="R2748" s="169">
        <v>20</v>
      </c>
    </row>
    <row r="2749" spans="1:18" ht="12.75" customHeight="1">
      <c r="A2749" s="628" t="s">
        <v>5013</v>
      </c>
      <c r="B2749" s="629"/>
      <c r="C2749" s="629"/>
      <c r="D2749" s="629"/>
      <c r="E2749" s="629"/>
      <c r="F2749" s="629"/>
      <c r="G2749" s="629"/>
      <c r="H2749" s="629"/>
      <c r="I2749" s="629"/>
      <c r="J2749" s="629"/>
      <c r="K2749" s="629"/>
      <c r="L2749" s="629"/>
      <c r="M2749" s="629"/>
      <c r="N2749" s="629"/>
      <c r="O2749" s="629"/>
      <c r="P2749" s="629"/>
      <c r="Q2749" s="629"/>
      <c r="R2749" s="629"/>
    </row>
    <row r="2750" spans="1:18" ht="24">
      <c r="A2750" s="165">
        <v>144</v>
      </c>
      <c r="B2750" s="162" t="s">
        <v>5014</v>
      </c>
      <c r="C2750" s="166" t="s">
        <v>5015</v>
      </c>
      <c r="D2750" s="167">
        <v>1950</v>
      </c>
      <c r="E2750" s="167">
        <v>383.77</v>
      </c>
      <c r="F2750" s="167">
        <v>1555.72</v>
      </c>
      <c r="G2750" s="167">
        <v>10.51</v>
      </c>
      <c r="H2750" s="168">
        <v>12723.43</v>
      </c>
      <c r="I2750" s="168">
        <v>4413.4799999999996</v>
      </c>
      <c r="J2750" s="168">
        <v>8210.4500000000007</v>
      </c>
      <c r="K2750" s="168">
        <v>99.5</v>
      </c>
      <c r="L2750" s="43">
        <v>6.5248358974358975</v>
      </c>
      <c r="M2750" s="43">
        <v>11.5003257159236</v>
      </c>
      <c r="N2750" s="43">
        <v>5.2775885120715813</v>
      </c>
      <c r="O2750" s="43">
        <v>9.4671741198858239</v>
      </c>
      <c r="P2750" s="169"/>
      <c r="Q2750" s="169"/>
      <c r="R2750" s="169">
        <v>21</v>
      </c>
    </row>
    <row r="2751" spans="1:18" ht="24">
      <c r="A2751" s="165">
        <v>145</v>
      </c>
      <c r="B2751" s="162" t="s">
        <v>5016</v>
      </c>
      <c r="C2751" s="166" t="s">
        <v>5017</v>
      </c>
      <c r="D2751" s="167">
        <v>2109.19</v>
      </c>
      <c r="E2751" s="167">
        <v>604.37</v>
      </c>
      <c r="F2751" s="167">
        <v>1489.9</v>
      </c>
      <c r="G2751" s="167">
        <v>14.92</v>
      </c>
      <c r="H2751" s="168">
        <v>14985.72</v>
      </c>
      <c r="I2751" s="168">
        <v>6950.56</v>
      </c>
      <c r="J2751" s="168">
        <v>7884.94</v>
      </c>
      <c r="K2751" s="168">
        <v>150.22</v>
      </c>
      <c r="L2751" s="43">
        <v>7.1049644650315997</v>
      </c>
      <c r="M2751" s="43">
        <v>11.500504657742773</v>
      </c>
      <c r="N2751" s="43">
        <v>5.2922612255856087</v>
      </c>
      <c r="O2751" s="43">
        <v>10.068364611260053</v>
      </c>
      <c r="P2751" s="169"/>
      <c r="Q2751" s="169"/>
      <c r="R2751" s="169">
        <v>21</v>
      </c>
    </row>
    <row r="2752" spans="1:18" ht="24">
      <c r="A2752" s="165">
        <v>146</v>
      </c>
      <c r="B2752" s="162" t="s">
        <v>5018</v>
      </c>
      <c r="C2752" s="166" t="s">
        <v>5019</v>
      </c>
      <c r="D2752" s="167">
        <v>2109.59</v>
      </c>
      <c r="E2752" s="167">
        <v>412.49</v>
      </c>
      <c r="F2752" s="167">
        <v>1685.01</v>
      </c>
      <c r="G2752" s="167">
        <v>12.09</v>
      </c>
      <c r="H2752" s="168">
        <v>13775.26</v>
      </c>
      <c r="I2752" s="168">
        <v>4743.83</v>
      </c>
      <c r="J2752" s="168">
        <v>8921.3799999999992</v>
      </c>
      <c r="K2752" s="168">
        <v>110.05</v>
      </c>
      <c r="L2752" s="43">
        <v>6.5298280708573699</v>
      </c>
      <c r="M2752" s="43">
        <v>11.500472738733059</v>
      </c>
      <c r="N2752" s="43">
        <v>5.2945561153939735</v>
      </c>
      <c r="O2752" s="43">
        <v>9.1025641025641022</v>
      </c>
      <c r="P2752" s="169"/>
      <c r="Q2752" s="169"/>
      <c r="R2752" s="169">
        <v>21</v>
      </c>
    </row>
    <row r="2753" spans="1:18" ht="24">
      <c r="A2753" s="165">
        <v>147</v>
      </c>
      <c r="B2753" s="162" t="s">
        <v>5020</v>
      </c>
      <c r="C2753" s="166" t="s">
        <v>5021</v>
      </c>
      <c r="D2753" s="167">
        <v>2341.8200000000002</v>
      </c>
      <c r="E2753" s="167">
        <v>673.31</v>
      </c>
      <c r="F2753" s="167">
        <v>1651.2</v>
      </c>
      <c r="G2753" s="167">
        <v>17.309999999999999</v>
      </c>
      <c r="H2753" s="168">
        <v>16662.28</v>
      </c>
      <c r="I2753" s="168">
        <v>7743.4</v>
      </c>
      <c r="J2753" s="168">
        <v>8748.7999999999993</v>
      </c>
      <c r="K2753" s="168">
        <v>170.08</v>
      </c>
      <c r="L2753" s="43">
        <v>7.1150985131222715</v>
      </c>
      <c r="M2753" s="43">
        <v>11.500497541994029</v>
      </c>
      <c r="N2753" s="43">
        <v>5.2984496124031004</v>
      </c>
      <c r="O2753" s="43">
        <v>9.8255343731946869</v>
      </c>
      <c r="P2753" s="169"/>
      <c r="Q2753" s="169"/>
      <c r="R2753" s="169">
        <v>21</v>
      </c>
    </row>
    <row r="2754" spans="1:18" ht="24">
      <c r="A2754" s="165">
        <v>148</v>
      </c>
      <c r="B2754" s="162" t="s">
        <v>5022</v>
      </c>
      <c r="C2754" s="166" t="s">
        <v>5023</v>
      </c>
      <c r="D2754" s="167">
        <v>2439.38</v>
      </c>
      <c r="E2754" s="167">
        <v>481.43</v>
      </c>
      <c r="F2754" s="167">
        <v>1945.49</v>
      </c>
      <c r="G2754" s="167">
        <v>12.46</v>
      </c>
      <c r="H2754" s="168">
        <v>15961.63</v>
      </c>
      <c r="I2754" s="168">
        <v>5536.67</v>
      </c>
      <c r="J2754" s="168">
        <v>10303.030000000001</v>
      </c>
      <c r="K2754" s="168">
        <v>121.93</v>
      </c>
      <c r="L2754" s="43">
        <v>6.5433142847772787</v>
      </c>
      <c r="M2754" s="43">
        <v>11.500467357663627</v>
      </c>
      <c r="N2754" s="43">
        <v>5.2958534867822502</v>
      </c>
      <c r="O2754" s="43">
        <v>9.7857142857142865</v>
      </c>
      <c r="P2754" s="169"/>
      <c r="Q2754" s="169"/>
      <c r="R2754" s="169">
        <v>21</v>
      </c>
    </row>
    <row r="2755" spans="1:18" ht="24">
      <c r="A2755" s="165">
        <v>149</v>
      </c>
      <c r="B2755" s="162" t="s">
        <v>5024</v>
      </c>
      <c r="C2755" s="166" t="s">
        <v>5025</v>
      </c>
      <c r="D2755" s="167">
        <v>2432.6</v>
      </c>
      <c r="E2755" s="167">
        <v>685.95</v>
      </c>
      <c r="F2755" s="167">
        <v>1730.1</v>
      </c>
      <c r="G2755" s="167">
        <v>16.55</v>
      </c>
      <c r="H2755" s="168">
        <v>17228.48</v>
      </c>
      <c r="I2755" s="168">
        <v>7888.76</v>
      </c>
      <c r="J2755" s="168">
        <v>9170.76</v>
      </c>
      <c r="K2755" s="168">
        <v>168.96</v>
      </c>
      <c r="L2755" s="43">
        <v>7.0823316615966458</v>
      </c>
      <c r="M2755" s="43">
        <v>11.500488373788176</v>
      </c>
      <c r="N2755" s="43">
        <v>5.3007109415640716</v>
      </c>
      <c r="O2755" s="43">
        <v>10.209063444108761</v>
      </c>
      <c r="P2755" s="169"/>
      <c r="Q2755" s="169"/>
      <c r="R2755" s="169">
        <v>21</v>
      </c>
    </row>
    <row r="2756" spans="1:18" ht="24">
      <c r="A2756" s="165">
        <v>150</v>
      </c>
      <c r="B2756" s="162" t="s">
        <v>5026</v>
      </c>
      <c r="C2756" s="166" t="s">
        <v>5027</v>
      </c>
      <c r="D2756" s="167">
        <v>2630.29</v>
      </c>
      <c r="E2756" s="167">
        <v>521.65</v>
      </c>
      <c r="F2756" s="167">
        <v>2093.36</v>
      </c>
      <c r="G2756" s="167">
        <v>15.28</v>
      </c>
      <c r="H2756" s="168">
        <v>17224.18</v>
      </c>
      <c r="I2756" s="168">
        <v>5999.16</v>
      </c>
      <c r="J2756" s="168">
        <v>11085.91</v>
      </c>
      <c r="K2756" s="168">
        <v>139.11000000000001</v>
      </c>
      <c r="L2756" s="43">
        <v>6.5483958042649295</v>
      </c>
      <c r="M2756" s="43">
        <v>11.500354643918337</v>
      </c>
      <c r="N2756" s="43">
        <v>5.2957494172048758</v>
      </c>
      <c r="O2756" s="43">
        <v>9.1040575916230377</v>
      </c>
      <c r="P2756" s="169"/>
      <c r="Q2756" s="169"/>
      <c r="R2756" s="169">
        <v>21</v>
      </c>
    </row>
    <row r="2757" spans="1:18" ht="24">
      <c r="A2757" s="165">
        <v>151</v>
      </c>
      <c r="B2757" s="162" t="s">
        <v>5028</v>
      </c>
      <c r="C2757" s="166" t="s">
        <v>5029</v>
      </c>
      <c r="D2757" s="167">
        <v>2708.44</v>
      </c>
      <c r="E2757" s="167">
        <v>741.11</v>
      </c>
      <c r="F2757" s="167">
        <v>1947.66</v>
      </c>
      <c r="G2757" s="167">
        <v>19.670000000000002</v>
      </c>
      <c r="H2757" s="168">
        <v>19041.46</v>
      </c>
      <c r="I2757" s="168">
        <v>8523.0300000000007</v>
      </c>
      <c r="J2757" s="168">
        <v>10328.84</v>
      </c>
      <c r="K2757" s="168">
        <v>189.59</v>
      </c>
      <c r="L2757" s="43">
        <v>7.0304160328454754</v>
      </c>
      <c r="M2757" s="43">
        <v>11.500357571750483</v>
      </c>
      <c r="N2757" s="43">
        <v>5.3032048714868099</v>
      </c>
      <c r="O2757" s="43">
        <v>9.6385358413828151</v>
      </c>
      <c r="P2757" s="169"/>
      <c r="Q2757" s="169"/>
      <c r="R2757" s="169">
        <v>21</v>
      </c>
    </row>
    <row r="2758" spans="1:18" ht="24">
      <c r="A2758" s="165">
        <v>152</v>
      </c>
      <c r="B2758" s="162" t="s">
        <v>5030</v>
      </c>
      <c r="C2758" s="166" t="s">
        <v>5031</v>
      </c>
      <c r="D2758" s="167">
        <v>3171.89</v>
      </c>
      <c r="E2758" s="167">
        <v>618.16</v>
      </c>
      <c r="F2758" s="167">
        <v>2536.52</v>
      </c>
      <c r="G2758" s="167">
        <v>17.21</v>
      </c>
      <c r="H2758" s="168">
        <v>20706.099999999999</v>
      </c>
      <c r="I2758" s="168">
        <v>7109.13</v>
      </c>
      <c r="J2758" s="168">
        <v>13435.67</v>
      </c>
      <c r="K2758" s="168">
        <v>161.30000000000001</v>
      </c>
      <c r="L2758" s="43">
        <v>6.5280006557604455</v>
      </c>
      <c r="M2758" s="43">
        <v>11.500469134204737</v>
      </c>
      <c r="N2758" s="43">
        <v>5.2968910160377209</v>
      </c>
      <c r="O2758" s="43">
        <v>9.3724578733294592</v>
      </c>
      <c r="P2758" s="169"/>
      <c r="Q2758" s="169"/>
      <c r="R2758" s="169">
        <v>21</v>
      </c>
    </row>
    <row r="2759" spans="1:18" ht="24">
      <c r="A2759" s="165">
        <v>153</v>
      </c>
      <c r="B2759" s="162" t="s">
        <v>5032</v>
      </c>
      <c r="C2759" s="166" t="s">
        <v>5033</v>
      </c>
      <c r="D2759" s="167">
        <v>3558.17</v>
      </c>
      <c r="E2759" s="167">
        <v>1001.93</v>
      </c>
      <c r="F2759" s="167">
        <v>2531.35</v>
      </c>
      <c r="G2759" s="167">
        <v>24.89</v>
      </c>
      <c r="H2759" s="168">
        <v>25185.22</v>
      </c>
      <c r="I2759" s="168">
        <v>11522.61</v>
      </c>
      <c r="J2759" s="168">
        <v>13412.99</v>
      </c>
      <c r="K2759" s="168">
        <v>249.62</v>
      </c>
      <c r="L2759" s="43">
        <v>7.0781384812979704</v>
      </c>
      <c r="M2759" s="43">
        <v>11.500414200592857</v>
      </c>
      <c r="N2759" s="43">
        <v>5.2987496790250264</v>
      </c>
      <c r="O2759" s="43">
        <v>10.028927280032141</v>
      </c>
      <c r="P2759" s="169"/>
      <c r="Q2759" s="169"/>
      <c r="R2759" s="169">
        <v>21</v>
      </c>
    </row>
    <row r="2760" spans="1:18" ht="24">
      <c r="A2760" s="165">
        <v>154</v>
      </c>
      <c r="B2760" s="162" t="s">
        <v>5034</v>
      </c>
      <c r="C2760" s="166" t="s">
        <v>5035</v>
      </c>
      <c r="D2760" s="167">
        <v>4589.68</v>
      </c>
      <c r="E2760" s="167">
        <v>1286.8800000000001</v>
      </c>
      <c r="F2760" s="167">
        <v>3272.21</v>
      </c>
      <c r="G2760" s="167">
        <v>30.59</v>
      </c>
      <c r="H2760" s="168">
        <v>32451.59</v>
      </c>
      <c r="I2760" s="168">
        <v>14799.68</v>
      </c>
      <c r="J2760" s="168">
        <v>17336.740000000002</v>
      </c>
      <c r="K2760" s="168">
        <v>315.17</v>
      </c>
      <c r="L2760" s="43">
        <v>7.0705561172020701</v>
      </c>
      <c r="M2760" s="43">
        <v>11.500435161009573</v>
      </c>
      <c r="N2760" s="43">
        <v>5.2981746281565059</v>
      </c>
      <c r="O2760" s="43">
        <v>10.3030402092187</v>
      </c>
      <c r="P2760" s="169"/>
      <c r="Q2760" s="169"/>
      <c r="R2760" s="169">
        <v>21</v>
      </c>
    </row>
    <row r="2761" spans="1:18" ht="24">
      <c r="A2761" s="165">
        <v>155</v>
      </c>
      <c r="B2761" s="162" t="s">
        <v>5036</v>
      </c>
      <c r="C2761" s="166" t="s">
        <v>5037</v>
      </c>
      <c r="D2761" s="167">
        <v>2540.4899999999998</v>
      </c>
      <c r="E2761" s="167">
        <v>699.74</v>
      </c>
      <c r="F2761" s="167">
        <v>1821.91</v>
      </c>
      <c r="G2761" s="167">
        <v>18.84</v>
      </c>
      <c r="H2761" s="168">
        <v>17889.2</v>
      </c>
      <c r="I2761" s="168">
        <v>8047.33</v>
      </c>
      <c r="J2761" s="168">
        <v>9661.82</v>
      </c>
      <c r="K2761" s="168">
        <v>180.05</v>
      </c>
      <c r="L2761" s="43">
        <v>7.0416337005853213</v>
      </c>
      <c r="M2761" s="43">
        <v>11.500457312716151</v>
      </c>
      <c r="N2761" s="43">
        <v>5.3031269382131931</v>
      </c>
      <c r="O2761" s="43">
        <v>9.5567940552016992</v>
      </c>
      <c r="P2761" s="169"/>
      <c r="Q2761" s="169"/>
      <c r="R2761" s="169">
        <v>21</v>
      </c>
    </row>
    <row r="2762" spans="1:18" ht="24">
      <c r="A2762" s="165">
        <v>156</v>
      </c>
      <c r="B2762" s="162" t="s">
        <v>5038</v>
      </c>
      <c r="C2762" s="166" t="s">
        <v>5039</v>
      </c>
      <c r="D2762" s="167">
        <v>4101.84</v>
      </c>
      <c r="E2762" s="167">
        <v>1149</v>
      </c>
      <c r="F2762" s="167">
        <v>2925.01</v>
      </c>
      <c r="G2762" s="167">
        <v>27.83</v>
      </c>
      <c r="H2762" s="168">
        <v>28998.97</v>
      </c>
      <c r="I2762" s="168">
        <v>13214</v>
      </c>
      <c r="J2762" s="168">
        <v>15501.54</v>
      </c>
      <c r="K2762" s="168">
        <v>283.43</v>
      </c>
      <c r="L2762" s="43">
        <v>7.0697467478009868</v>
      </c>
      <c r="M2762" s="43">
        <v>11.500435161009573</v>
      </c>
      <c r="N2762" s="43">
        <v>5.2996536763976874</v>
      </c>
      <c r="O2762" s="43">
        <v>10.184333453108158</v>
      </c>
      <c r="P2762" s="169"/>
      <c r="Q2762" s="169"/>
      <c r="R2762" s="169">
        <v>21</v>
      </c>
    </row>
    <row r="2763" spans="1:18" ht="24">
      <c r="A2763" s="165">
        <v>157</v>
      </c>
      <c r="B2763" s="162" t="s">
        <v>5040</v>
      </c>
      <c r="C2763" s="166" t="s">
        <v>5041</v>
      </c>
      <c r="D2763" s="167">
        <v>5219.47</v>
      </c>
      <c r="E2763" s="167">
        <v>1413.27</v>
      </c>
      <c r="F2763" s="167">
        <v>3773.08</v>
      </c>
      <c r="G2763" s="167">
        <v>33.119999999999997</v>
      </c>
      <c r="H2763" s="168">
        <v>36590.54</v>
      </c>
      <c r="I2763" s="168">
        <v>16253.22</v>
      </c>
      <c r="J2763" s="168">
        <v>19993.05</v>
      </c>
      <c r="K2763" s="168">
        <v>344.27</v>
      </c>
      <c r="L2763" s="43">
        <v>7.0103937756132328</v>
      </c>
      <c r="M2763" s="43">
        <v>11.500435161009573</v>
      </c>
      <c r="N2763" s="43">
        <v>5.298867238436503</v>
      </c>
      <c r="O2763" s="43">
        <v>10.394625603864734</v>
      </c>
      <c r="P2763" s="169"/>
      <c r="Q2763" s="169"/>
      <c r="R2763" s="169">
        <v>21</v>
      </c>
    </row>
    <row r="2764" spans="1:18" ht="24">
      <c r="A2764" s="165">
        <v>158</v>
      </c>
      <c r="B2764" s="162" t="s">
        <v>5042</v>
      </c>
      <c r="C2764" s="166" t="s">
        <v>5043</v>
      </c>
      <c r="D2764" s="167">
        <v>3032.82</v>
      </c>
      <c r="E2764" s="167">
        <v>837.62</v>
      </c>
      <c r="F2764" s="167">
        <v>2173.6</v>
      </c>
      <c r="G2764" s="167">
        <v>21.6</v>
      </c>
      <c r="H2764" s="168">
        <v>21368.86</v>
      </c>
      <c r="I2764" s="168">
        <v>9633.01</v>
      </c>
      <c r="J2764" s="168">
        <v>11524.06</v>
      </c>
      <c r="K2764" s="168">
        <v>211.79</v>
      </c>
      <c r="L2764" s="43">
        <v>7.0458714991328204</v>
      </c>
      <c r="M2764" s="43">
        <v>11.500453666340345</v>
      </c>
      <c r="N2764" s="43">
        <v>5.3018310636731689</v>
      </c>
      <c r="O2764" s="43">
        <v>9.805092592592592</v>
      </c>
      <c r="P2764" s="169"/>
      <c r="Q2764" s="169"/>
      <c r="R2764" s="169">
        <v>21</v>
      </c>
    </row>
    <row r="2765" spans="1:18" ht="24">
      <c r="A2765" s="165">
        <v>159</v>
      </c>
      <c r="B2765" s="162" t="s">
        <v>5044</v>
      </c>
      <c r="C2765" s="166" t="s">
        <v>5045</v>
      </c>
      <c r="D2765" s="167">
        <v>4860.1899999999996</v>
      </c>
      <c r="E2765" s="167">
        <v>1355.82</v>
      </c>
      <c r="F2765" s="167">
        <v>3472.4</v>
      </c>
      <c r="G2765" s="167">
        <v>31.97</v>
      </c>
      <c r="H2765" s="168">
        <v>34324.92</v>
      </c>
      <c r="I2765" s="168">
        <v>15592.52</v>
      </c>
      <c r="J2765" s="168">
        <v>18401.36</v>
      </c>
      <c r="K2765" s="168">
        <v>331.04</v>
      </c>
      <c r="L2765" s="43">
        <v>7.0624646361562</v>
      </c>
      <c r="M2765" s="43">
        <v>11.500435161009575</v>
      </c>
      <c r="N2765" s="43">
        <v>5.2993203547978345</v>
      </c>
      <c r="O2765" s="43">
        <v>10.354707538317173</v>
      </c>
      <c r="P2765" s="169"/>
      <c r="Q2765" s="169"/>
      <c r="R2765" s="169">
        <v>21</v>
      </c>
    </row>
    <row r="2766" spans="1:18" ht="24">
      <c r="A2766" s="165">
        <v>160</v>
      </c>
      <c r="B2766" s="162" t="s">
        <v>5046</v>
      </c>
      <c r="C2766" s="166" t="s">
        <v>5047</v>
      </c>
      <c r="D2766" s="167">
        <v>6183.79</v>
      </c>
      <c r="E2766" s="167">
        <v>1689.03</v>
      </c>
      <c r="F2766" s="167">
        <v>4456.13</v>
      </c>
      <c r="G2766" s="167">
        <v>38.630000000000003</v>
      </c>
      <c r="H2766" s="168">
        <v>43442.720000000001</v>
      </c>
      <c r="I2766" s="168">
        <v>19424.580000000002</v>
      </c>
      <c r="J2766" s="168">
        <v>23610.51</v>
      </c>
      <c r="K2766" s="168">
        <v>407.63</v>
      </c>
      <c r="L2766" s="43">
        <v>7.0252579728613034</v>
      </c>
      <c r="M2766" s="43">
        <v>11.500435161009575</v>
      </c>
      <c r="N2766" s="43">
        <v>5.2984338428187678</v>
      </c>
      <c r="O2766" s="43">
        <v>10.552161532487704</v>
      </c>
      <c r="P2766" s="169"/>
      <c r="Q2766" s="169"/>
      <c r="R2766" s="169">
        <v>21</v>
      </c>
    </row>
    <row r="2767" spans="1:18" ht="24">
      <c r="A2767" s="165">
        <v>161</v>
      </c>
      <c r="B2767" s="162" t="s">
        <v>5048</v>
      </c>
      <c r="C2767" s="166" t="s">
        <v>5049</v>
      </c>
      <c r="D2767" s="167">
        <v>8630.5</v>
      </c>
      <c r="E2767" s="167">
        <v>2723.13</v>
      </c>
      <c r="F2767" s="167">
        <v>5848.06</v>
      </c>
      <c r="G2767" s="167">
        <v>59.31</v>
      </c>
      <c r="H2767" s="168">
        <v>62956.81</v>
      </c>
      <c r="I2767" s="168">
        <v>31317.18</v>
      </c>
      <c r="J2767" s="168">
        <v>30994.18</v>
      </c>
      <c r="K2767" s="168">
        <v>645.45000000000005</v>
      </c>
      <c r="L2767" s="43">
        <v>7.2946886043682291</v>
      </c>
      <c r="M2767" s="43">
        <v>11.500435161009573</v>
      </c>
      <c r="N2767" s="43">
        <v>5.2999080036798523</v>
      </c>
      <c r="O2767" s="43">
        <v>10.882650480526049</v>
      </c>
      <c r="P2767" s="169"/>
      <c r="Q2767" s="169"/>
      <c r="R2767" s="169">
        <v>21</v>
      </c>
    </row>
    <row r="2768" spans="1:18" ht="24">
      <c r="A2768" s="165">
        <v>162</v>
      </c>
      <c r="B2768" s="162" t="s">
        <v>5050</v>
      </c>
      <c r="C2768" s="166" t="s">
        <v>5051</v>
      </c>
      <c r="D2768" s="167">
        <v>2078.54</v>
      </c>
      <c r="E2768" s="167">
        <v>383.77</v>
      </c>
      <c r="F2768" s="167">
        <v>1682.24</v>
      </c>
      <c r="G2768" s="167">
        <v>12.53</v>
      </c>
      <c r="H2768" s="168">
        <v>13427.41</v>
      </c>
      <c r="I2768" s="168">
        <v>4413.4799999999996</v>
      </c>
      <c r="J2768" s="168">
        <v>8906.4500000000007</v>
      </c>
      <c r="K2768" s="168">
        <v>107.48</v>
      </c>
      <c r="L2768" s="43">
        <v>6.4600200140483226</v>
      </c>
      <c r="M2768" s="43">
        <v>11.5003257159236</v>
      </c>
      <c r="N2768" s="43">
        <v>5.2943991344873504</v>
      </c>
      <c r="O2768" s="43">
        <v>8.5778132482043112</v>
      </c>
      <c r="P2768" s="169"/>
      <c r="Q2768" s="169"/>
      <c r="R2768" s="169">
        <v>21</v>
      </c>
    </row>
    <row r="2769" spans="1:18" ht="24">
      <c r="A2769" s="165">
        <v>163</v>
      </c>
      <c r="B2769" s="162" t="s">
        <v>5052</v>
      </c>
      <c r="C2769" s="166" t="s">
        <v>5053</v>
      </c>
      <c r="D2769" s="167">
        <v>2147.33</v>
      </c>
      <c r="E2769" s="167">
        <v>618.16</v>
      </c>
      <c r="F2769" s="167">
        <v>1511.96</v>
      </c>
      <c r="G2769" s="167">
        <v>17.21</v>
      </c>
      <c r="H2769" s="168">
        <v>15276.18</v>
      </c>
      <c r="I2769" s="168">
        <v>7109.13</v>
      </c>
      <c r="J2769" s="168">
        <v>8005.75</v>
      </c>
      <c r="K2769" s="168">
        <v>161.30000000000001</v>
      </c>
      <c r="L2769" s="43">
        <v>7.1140346383648536</v>
      </c>
      <c r="M2769" s="43">
        <v>11.500469134204737</v>
      </c>
      <c r="N2769" s="43">
        <v>5.2949482790550011</v>
      </c>
      <c r="O2769" s="43">
        <v>9.3724578733294592</v>
      </c>
      <c r="P2769" s="169"/>
      <c r="Q2769" s="169"/>
      <c r="R2769" s="169">
        <v>21</v>
      </c>
    </row>
    <row r="2770" spans="1:18" ht="24">
      <c r="A2770" s="165">
        <v>164</v>
      </c>
      <c r="B2770" s="162" t="s">
        <v>5054</v>
      </c>
      <c r="C2770" s="166" t="s">
        <v>5055</v>
      </c>
      <c r="D2770" s="167">
        <v>2248.38</v>
      </c>
      <c r="E2770" s="167">
        <v>440.07</v>
      </c>
      <c r="F2770" s="167">
        <v>1795.67</v>
      </c>
      <c r="G2770" s="167">
        <v>12.64</v>
      </c>
      <c r="H2770" s="168">
        <v>14683.92</v>
      </c>
      <c r="I2770" s="168">
        <v>5060.96</v>
      </c>
      <c r="J2770" s="168">
        <v>9506.59</v>
      </c>
      <c r="K2770" s="168">
        <v>116.37</v>
      </c>
      <c r="L2770" s="43">
        <v>6.5308889066794755</v>
      </c>
      <c r="M2770" s="43">
        <v>11.500352216692798</v>
      </c>
      <c r="N2770" s="43">
        <v>5.2941743193348438</v>
      </c>
      <c r="O2770" s="43">
        <v>9.2064873417721511</v>
      </c>
      <c r="P2770" s="169"/>
      <c r="Q2770" s="169"/>
      <c r="R2770" s="169">
        <v>21</v>
      </c>
    </row>
    <row r="2771" spans="1:18" ht="24">
      <c r="A2771" s="165">
        <v>165</v>
      </c>
      <c r="B2771" s="162" t="s">
        <v>5056</v>
      </c>
      <c r="C2771" s="166" t="s">
        <v>5057</v>
      </c>
      <c r="D2771" s="167">
        <v>2305.84</v>
      </c>
      <c r="E2771" s="167">
        <v>658.38</v>
      </c>
      <c r="F2771" s="167">
        <v>1630.45</v>
      </c>
      <c r="G2771" s="167">
        <v>17.010000000000002</v>
      </c>
      <c r="H2771" s="168">
        <v>16371.29</v>
      </c>
      <c r="I2771" s="168">
        <v>7571.62</v>
      </c>
      <c r="J2771" s="168">
        <v>8633.0400000000009</v>
      </c>
      <c r="K2771" s="168">
        <v>166.63</v>
      </c>
      <c r="L2771" s="43">
        <v>7.0999245394303161</v>
      </c>
      <c r="M2771" s="43">
        <v>11.500379719918588</v>
      </c>
      <c r="N2771" s="43">
        <v>5.2948817811033768</v>
      </c>
      <c r="O2771" s="43">
        <v>9.796002351557906</v>
      </c>
      <c r="P2771" s="169"/>
      <c r="Q2771" s="169"/>
      <c r="R2771" s="169">
        <v>21</v>
      </c>
    </row>
    <row r="2772" spans="1:18" ht="24">
      <c r="A2772" s="165">
        <v>166</v>
      </c>
      <c r="B2772" s="162" t="s">
        <v>5058</v>
      </c>
      <c r="C2772" s="166" t="s">
        <v>5059</v>
      </c>
      <c r="D2772" s="167">
        <v>2759.07</v>
      </c>
      <c r="E2772" s="167">
        <v>549.22</v>
      </c>
      <c r="F2772" s="167">
        <v>2196.04</v>
      </c>
      <c r="G2772" s="167">
        <v>13.81</v>
      </c>
      <c r="H2772" s="168">
        <v>18082.419999999998</v>
      </c>
      <c r="I2772" s="168">
        <v>6316.29</v>
      </c>
      <c r="J2772" s="168">
        <v>11628.68</v>
      </c>
      <c r="K2772" s="168">
        <v>137.44999999999999</v>
      </c>
      <c r="L2772" s="43">
        <v>6.5538097982291124</v>
      </c>
      <c r="M2772" s="43">
        <v>11.500473398638068</v>
      </c>
      <c r="N2772" s="43">
        <v>5.2952951676654347</v>
      </c>
      <c r="O2772" s="43">
        <v>9.9529326574945678</v>
      </c>
      <c r="P2772" s="169"/>
      <c r="Q2772" s="169"/>
      <c r="R2772" s="169">
        <v>21</v>
      </c>
    </row>
    <row r="2773" spans="1:18" ht="24">
      <c r="A2773" s="165">
        <v>167</v>
      </c>
      <c r="B2773" s="162" t="s">
        <v>5060</v>
      </c>
      <c r="C2773" s="166" t="s">
        <v>5061</v>
      </c>
      <c r="D2773" s="167">
        <v>2668.51</v>
      </c>
      <c r="E2773" s="167">
        <v>756.04</v>
      </c>
      <c r="F2773" s="167">
        <v>1894.52</v>
      </c>
      <c r="G2773" s="167">
        <v>17.95</v>
      </c>
      <c r="H2773" s="168">
        <v>18914.5</v>
      </c>
      <c r="I2773" s="168">
        <v>8694.81</v>
      </c>
      <c r="J2773" s="168">
        <v>10034.629999999999</v>
      </c>
      <c r="K2773" s="168">
        <v>185.06</v>
      </c>
      <c r="L2773" s="43">
        <v>7.0880378938059057</v>
      </c>
      <c r="M2773" s="43">
        <v>11.500462938468864</v>
      </c>
      <c r="N2773" s="43">
        <v>5.2966608956358332</v>
      </c>
      <c r="O2773" s="43">
        <v>10.309749303621171</v>
      </c>
      <c r="P2773" s="169"/>
      <c r="Q2773" s="169"/>
      <c r="R2773" s="169">
        <v>21</v>
      </c>
    </row>
    <row r="2774" spans="1:18" ht="24">
      <c r="A2774" s="165">
        <v>168</v>
      </c>
      <c r="B2774" s="162" t="s">
        <v>5062</v>
      </c>
      <c r="C2774" s="166" t="s">
        <v>5063</v>
      </c>
      <c r="D2774" s="167">
        <v>2936</v>
      </c>
      <c r="E2774" s="167">
        <v>576.79999999999995</v>
      </c>
      <c r="F2774" s="167">
        <v>2342.81</v>
      </c>
      <c r="G2774" s="167">
        <v>16.39</v>
      </c>
      <c r="H2774" s="168">
        <v>19189.45</v>
      </c>
      <c r="I2774" s="168">
        <v>6633.43</v>
      </c>
      <c r="J2774" s="168">
        <v>12404.15</v>
      </c>
      <c r="K2774" s="168">
        <v>151.87</v>
      </c>
      <c r="L2774" s="43">
        <v>6.53591621253406</v>
      </c>
      <c r="M2774" s="43">
        <v>11.500398751733705</v>
      </c>
      <c r="N2774" s="43">
        <v>5.2945608051869337</v>
      </c>
      <c r="O2774" s="43">
        <v>9.2660158633312992</v>
      </c>
      <c r="P2774" s="169"/>
      <c r="Q2774" s="169"/>
      <c r="R2774" s="169">
        <v>21</v>
      </c>
    </row>
    <row r="2775" spans="1:18" ht="24">
      <c r="A2775" s="165">
        <v>169</v>
      </c>
      <c r="B2775" s="162" t="s">
        <v>5064</v>
      </c>
      <c r="C2775" s="166" t="s">
        <v>5065</v>
      </c>
      <c r="D2775" s="167">
        <v>2981.37</v>
      </c>
      <c r="E2775" s="167">
        <v>851.41</v>
      </c>
      <c r="F2775" s="167">
        <v>2108.08</v>
      </c>
      <c r="G2775" s="167">
        <v>21.88</v>
      </c>
      <c r="H2775" s="168">
        <v>21172.27</v>
      </c>
      <c r="I2775" s="168">
        <v>9791.57</v>
      </c>
      <c r="J2775" s="168">
        <v>11165.69</v>
      </c>
      <c r="K2775" s="168">
        <v>215.01</v>
      </c>
      <c r="L2775" s="43">
        <v>7.1015237961071591</v>
      </c>
      <c r="M2775" s="43">
        <v>11.50041695540339</v>
      </c>
      <c r="N2775" s="43">
        <v>5.2966158779552961</v>
      </c>
      <c r="O2775" s="43">
        <v>9.8267824497257763</v>
      </c>
      <c r="P2775" s="169"/>
      <c r="Q2775" s="169"/>
      <c r="R2775" s="169">
        <v>21</v>
      </c>
    </row>
    <row r="2776" spans="1:18" ht="24">
      <c r="A2776" s="165">
        <v>170</v>
      </c>
      <c r="B2776" s="162" t="s">
        <v>5066</v>
      </c>
      <c r="C2776" s="166" t="s">
        <v>5067</v>
      </c>
      <c r="D2776" s="167">
        <v>3774.05</v>
      </c>
      <c r="E2776" s="167">
        <v>741.11</v>
      </c>
      <c r="F2776" s="167">
        <v>3013.27</v>
      </c>
      <c r="G2776" s="167">
        <v>19.670000000000002</v>
      </c>
      <c r="H2776" s="168">
        <v>24670.66</v>
      </c>
      <c r="I2776" s="168">
        <v>8523.0300000000007</v>
      </c>
      <c r="J2776" s="168">
        <v>15958.04</v>
      </c>
      <c r="K2776" s="168">
        <v>189.59</v>
      </c>
      <c r="L2776" s="43">
        <v>6.5369192247055548</v>
      </c>
      <c r="M2776" s="43">
        <v>11.500357571750483</v>
      </c>
      <c r="N2776" s="43">
        <v>5.2959210425882848</v>
      </c>
      <c r="O2776" s="43">
        <v>9.6385358413828151</v>
      </c>
      <c r="P2776" s="169"/>
      <c r="Q2776" s="169"/>
      <c r="R2776" s="169">
        <v>21</v>
      </c>
    </row>
    <row r="2777" spans="1:18" ht="24">
      <c r="A2777" s="165">
        <v>171</v>
      </c>
      <c r="B2777" s="162" t="s">
        <v>5068</v>
      </c>
      <c r="C2777" s="166" t="s">
        <v>5069</v>
      </c>
      <c r="D2777" s="167">
        <v>4047.92</v>
      </c>
      <c r="E2777" s="167">
        <v>1139.81</v>
      </c>
      <c r="F2777" s="167">
        <v>2880.46</v>
      </c>
      <c r="G2777" s="167">
        <v>27.65</v>
      </c>
      <c r="H2777" s="168">
        <v>28673.97</v>
      </c>
      <c r="I2777" s="168">
        <v>13108.29</v>
      </c>
      <c r="J2777" s="168">
        <v>15284.32</v>
      </c>
      <c r="K2777" s="168">
        <v>281.36</v>
      </c>
      <c r="L2777" s="43">
        <v>7.0836306053479321</v>
      </c>
      <c r="M2777" s="43">
        <v>11.500416736122688</v>
      </c>
      <c r="N2777" s="43">
        <v>5.3062080362164377</v>
      </c>
      <c r="O2777" s="43">
        <v>10.175768535262208</v>
      </c>
      <c r="P2777" s="169"/>
      <c r="Q2777" s="169"/>
      <c r="R2777" s="169">
        <v>21</v>
      </c>
    </row>
    <row r="2778" spans="1:18" ht="24">
      <c r="A2778" s="165">
        <v>172</v>
      </c>
      <c r="B2778" s="162" t="s">
        <v>5070</v>
      </c>
      <c r="C2778" s="166" t="s">
        <v>5071</v>
      </c>
      <c r="D2778" s="167">
        <v>5237.97</v>
      </c>
      <c r="E2778" s="167">
        <v>1482.21</v>
      </c>
      <c r="F2778" s="167">
        <v>3721.27</v>
      </c>
      <c r="G2778" s="167">
        <v>34.49</v>
      </c>
      <c r="H2778" s="168">
        <v>37119.56</v>
      </c>
      <c r="I2778" s="168">
        <v>17046.060000000001</v>
      </c>
      <c r="J2778" s="168">
        <v>19713.48</v>
      </c>
      <c r="K2778" s="168">
        <v>360.02</v>
      </c>
      <c r="L2778" s="43">
        <v>7.0866308894476289</v>
      </c>
      <c r="M2778" s="43">
        <v>11.500435161009575</v>
      </c>
      <c r="N2778" s="43">
        <v>5.2975140207509801</v>
      </c>
      <c r="O2778" s="43">
        <v>10.438387938532907</v>
      </c>
      <c r="P2778" s="169"/>
      <c r="Q2778" s="169"/>
      <c r="R2778" s="169">
        <v>21</v>
      </c>
    </row>
    <row r="2779" spans="1:18" ht="24">
      <c r="A2779" s="165">
        <v>173</v>
      </c>
      <c r="B2779" s="162" t="s">
        <v>5072</v>
      </c>
      <c r="C2779" s="166" t="s">
        <v>5073</v>
      </c>
      <c r="D2779" s="167">
        <v>2965.73</v>
      </c>
      <c r="E2779" s="167">
        <v>823.83</v>
      </c>
      <c r="F2779" s="167">
        <v>2120.5700000000002</v>
      </c>
      <c r="G2779" s="167">
        <v>21.33</v>
      </c>
      <c r="H2779" s="168">
        <v>20924.990000000002</v>
      </c>
      <c r="I2779" s="168">
        <v>9474.44</v>
      </c>
      <c r="J2779" s="168">
        <v>11241.87</v>
      </c>
      <c r="K2779" s="168">
        <v>208.68</v>
      </c>
      <c r="L2779" s="43">
        <v>7.0555950811435979</v>
      </c>
      <c r="M2779" s="43">
        <v>11.500479467851378</v>
      </c>
      <c r="N2779" s="43">
        <v>5.3013435066986707</v>
      </c>
      <c r="O2779" s="43">
        <v>9.7834036568213794</v>
      </c>
      <c r="P2779" s="169"/>
      <c r="Q2779" s="169"/>
      <c r="R2779" s="169">
        <v>21</v>
      </c>
    </row>
    <row r="2780" spans="1:18" ht="24">
      <c r="A2780" s="165">
        <v>174</v>
      </c>
      <c r="B2780" s="162" t="s">
        <v>5074</v>
      </c>
      <c r="C2780" s="166" t="s">
        <v>5075</v>
      </c>
      <c r="D2780" s="167">
        <v>4579.42</v>
      </c>
      <c r="E2780" s="167">
        <v>1286.8800000000001</v>
      </c>
      <c r="F2780" s="167">
        <v>3261.95</v>
      </c>
      <c r="G2780" s="167">
        <v>30.59</v>
      </c>
      <c r="H2780" s="168">
        <v>32398.720000000001</v>
      </c>
      <c r="I2780" s="168">
        <v>14799.68</v>
      </c>
      <c r="J2780" s="168">
        <v>17283.87</v>
      </c>
      <c r="K2780" s="168">
        <v>315.17</v>
      </c>
      <c r="L2780" s="43">
        <v>7.0748522738687436</v>
      </c>
      <c r="M2780" s="43">
        <v>11.500435161009573</v>
      </c>
      <c r="N2780" s="43">
        <v>5.2986311868667517</v>
      </c>
      <c r="O2780" s="43">
        <v>10.3030402092187</v>
      </c>
      <c r="P2780" s="169"/>
      <c r="Q2780" s="169"/>
      <c r="R2780" s="169">
        <v>21</v>
      </c>
    </row>
    <row r="2781" spans="1:18" ht="24">
      <c r="A2781" s="165">
        <v>175</v>
      </c>
      <c r="B2781" s="162" t="s">
        <v>5076</v>
      </c>
      <c r="C2781" s="166" t="s">
        <v>5077</v>
      </c>
      <c r="D2781" s="167">
        <v>5944.98</v>
      </c>
      <c r="E2781" s="167">
        <v>1677.54</v>
      </c>
      <c r="F2781" s="167">
        <v>4229.04</v>
      </c>
      <c r="G2781" s="167">
        <v>38.4</v>
      </c>
      <c r="H2781" s="168">
        <v>42100.91</v>
      </c>
      <c r="I2781" s="168">
        <v>19292.439999999999</v>
      </c>
      <c r="J2781" s="168">
        <v>22403.48</v>
      </c>
      <c r="K2781" s="168">
        <v>404.99</v>
      </c>
      <c r="L2781" s="43">
        <v>7.0817580546948866</v>
      </c>
      <c r="M2781" s="43">
        <v>11.500435161009573</v>
      </c>
      <c r="N2781" s="43">
        <v>5.2975332463159486</v>
      </c>
      <c r="O2781" s="43">
        <v>10.546614583333334</v>
      </c>
      <c r="P2781" s="169"/>
      <c r="Q2781" s="169"/>
      <c r="R2781" s="169">
        <v>21</v>
      </c>
    </row>
    <row r="2782" spans="1:18" ht="24">
      <c r="A2782" s="165">
        <v>176</v>
      </c>
      <c r="B2782" s="162" t="s">
        <v>5078</v>
      </c>
      <c r="C2782" s="166" t="s">
        <v>5079</v>
      </c>
      <c r="D2782" s="167">
        <v>3452.22</v>
      </c>
      <c r="E2782" s="167">
        <v>989.29</v>
      </c>
      <c r="F2782" s="167">
        <v>2438.29</v>
      </c>
      <c r="G2782" s="167">
        <v>24.64</v>
      </c>
      <c r="H2782" s="168">
        <v>24539.47</v>
      </c>
      <c r="I2782" s="168">
        <v>11377.25</v>
      </c>
      <c r="J2782" s="168">
        <v>12915.47</v>
      </c>
      <c r="K2782" s="168">
        <v>246.75</v>
      </c>
      <c r="L2782" s="43">
        <v>7.1083158083783777</v>
      </c>
      <c r="M2782" s="43">
        <v>11.500419492767541</v>
      </c>
      <c r="N2782" s="43">
        <v>5.2969376079137422</v>
      </c>
      <c r="O2782" s="43">
        <v>10.014204545454545</v>
      </c>
      <c r="P2782" s="169"/>
      <c r="Q2782" s="169"/>
      <c r="R2782" s="169">
        <v>21</v>
      </c>
    </row>
    <row r="2783" spans="1:18" ht="24">
      <c r="A2783" s="165">
        <v>177</v>
      </c>
      <c r="B2783" s="162" t="s">
        <v>5080</v>
      </c>
      <c r="C2783" s="166" t="s">
        <v>5081</v>
      </c>
      <c r="D2783" s="167">
        <v>5732.06</v>
      </c>
      <c r="E2783" s="167">
        <v>1620.09</v>
      </c>
      <c r="F2783" s="167">
        <v>4074.72</v>
      </c>
      <c r="G2783" s="167">
        <v>37.25</v>
      </c>
      <c r="H2783" s="168">
        <v>40611.83</v>
      </c>
      <c r="I2783" s="168">
        <v>18631.740000000002</v>
      </c>
      <c r="J2783" s="168">
        <v>21588.33</v>
      </c>
      <c r="K2783" s="168">
        <v>391.76</v>
      </c>
      <c r="L2783" s="43">
        <v>7.0850322571640909</v>
      </c>
      <c r="M2783" s="43">
        <v>11.500435161009575</v>
      </c>
      <c r="N2783" s="43">
        <v>5.2981137354223122</v>
      </c>
      <c r="O2783" s="43">
        <v>10.517046979865771</v>
      </c>
      <c r="P2783" s="169"/>
      <c r="Q2783" s="169"/>
      <c r="R2783" s="169">
        <v>21</v>
      </c>
    </row>
    <row r="2784" spans="1:18" ht="24">
      <c r="A2784" s="165">
        <v>178</v>
      </c>
      <c r="B2784" s="162" t="s">
        <v>5082</v>
      </c>
      <c r="C2784" s="166" t="s">
        <v>5083</v>
      </c>
      <c r="D2784" s="167">
        <v>7102.83</v>
      </c>
      <c r="E2784" s="167">
        <v>1999.26</v>
      </c>
      <c r="F2784" s="167">
        <v>5058.7299999999996</v>
      </c>
      <c r="G2784" s="167">
        <v>44.84</v>
      </c>
      <c r="H2784" s="168">
        <v>50270.29</v>
      </c>
      <c r="I2784" s="168">
        <v>22992.36</v>
      </c>
      <c r="J2784" s="168">
        <v>26798.880000000001</v>
      </c>
      <c r="K2784" s="168">
        <v>479.05</v>
      </c>
      <c r="L2784" s="43">
        <v>7.0775015029220754</v>
      </c>
      <c r="M2784" s="43">
        <v>11.500435161009573</v>
      </c>
      <c r="N2784" s="43">
        <v>5.2975509663492621</v>
      </c>
      <c r="O2784" s="43">
        <v>10.683541480820695</v>
      </c>
      <c r="P2784" s="169"/>
      <c r="Q2784" s="169"/>
      <c r="R2784" s="169">
        <v>21</v>
      </c>
    </row>
    <row r="2785" spans="1:18" ht="24">
      <c r="A2785" s="165">
        <v>179</v>
      </c>
      <c r="B2785" s="162" t="s">
        <v>5084</v>
      </c>
      <c r="C2785" s="166" t="s">
        <v>5085</v>
      </c>
      <c r="D2785" s="167">
        <v>9571.93</v>
      </c>
      <c r="E2785" s="167">
        <v>3033.36</v>
      </c>
      <c r="F2785" s="167">
        <v>6473.05</v>
      </c>
      <c r="G2785" s="167">
        <v>65.52</v>
      </c>
      <c r="H2785" s="168">
        <v>69900.399999999994</v>
      </c>
      <c r="I2785" s="168">
        <v>34884.959999999999</v>
      </c>
      <c r="J2785" s="168">
        <v>34298.57</v>
      </c>
      <c r="K2785" s="168">
        <v>716.87</v>
      </c>
      <c r="L2785" s="43">
        <v>7.3026442943063721</v>
      </c>
      <c r="M2785" s="43">
        <v>11.500435161009573</v>
      </c>
      <c r="N2785" s="43">
        <v>5.2986721869906761</v>
      </c>
      <c r="O2785" s="43">
        <v>10.941239316239317</v>
      </c>
      <c r="P2785" s="169"/>
      <c r="Q2785" s="169"/>
      <c r="R2785" s="169">
        <v>21</v>
      </c>
    </row>
    <row r="2786" spans="1:18" ht="12.75" customHeight="1">
      <c r="A2786" s="628" t="s">
        <v>5086</v>
      </c>
      <c r="B2786" s="629"/>
      <c r="C2786" s="629"/>
      <c r="D2786" s="629"/>
      <c r="E2786" s="629"/>
      <c r="F2786" s="629"/>
      <c r="G2786" s="629"/>
      <c r="H2786" s="629"/>
      <c r="I2786" s="629"/>
      <c r="J2786" s="629"/>
      <c r="K2786" s="629"/>
      <c r="L2786" s="629"/>
      <c r="M2786" s="629"/>
      <c r="N2786" s="629"/>
      <c r="O2786" s="629"/>
      <c r="P2786" s="629"/>
      <c r="Q2786" s="629"/>
      <c r="R2786" s="629"/>
    </row>
    <row r="2787" spans="1:18" ht="24">
      <c r="A2787" s="165">
        <v>180</v>
      </c>
      <c r="B2787" s="162" t="s">
        <v>5087</v>
      </c>
      <c r="C2787" s="166" t="s">
        <v>5088</v>
      </c>
      <c r="D2787" s="167">
        <v>1539.72</v>
      </c>
      <c r="E2787" s="167">
        <v>673.31</v>
      </c>
      <c r="F2787" s="167">
        <v>267.56</v>
      </c>
      <c r="G2787" s="167">
        <v>598.85</v>
      </c>
      <c r="H2787" s="168">
        <v>10871.8</v>
      </c>
      <c r="I2787" s="168">
        <v>7743.4</v>
      </c>
      <c r="J2787" s="168">
        <v>1648.05</v>
      </c>
      <c r="K2787" s="168">
        <v>1480.35</v>
      </c>
      <c r="L2787" s="43">
        <v>7.0608941885537622</v>
      </c>
      <c r="M2787" s="43">
        <v>11.500497541994029</v>
      </c>
      <c r="N2787" s="43">
        <v>6.1595529974585137</v>
      </c>
      <c r="O2787" s="43">
        <v>2.4719879769558317</v>
      </c>
      <c r="P2787" s="169"/>
      <c r="Q2787" s="169"/>
      <c r="R2787" s="169">
        <v>22</v>
      </c>
    </row>
    <row r="2788" spans="1:18" ht="24">
      <c r="A2788" s="165">
        <v>181</v>
      </c>
      <c r="B2788" s="162" t="s">
        <v>5089</v>
      </c>
      <c r="C2788" s="166" t="s">
        <v>5090</v>
      </c>
      <c r="D2788" s="167">
        <v>1924.37</v>
      </c>
      <c r="E2788" s="167">
        <v>810.05</v>
      </c>
      <c r="F2788" s="167">
        <v>330.09</v>
      </c>
      <c r="G2788" s="167">
        <v>784.23</v>
      </c>
      <c r="H2788" s="168">
        <v>13310.48</v>
      </c>
      <c r="I2788" s="168">
        <v>9315.8700000000008</v>
      </c>
      <c r="J2788" s="168">
        <v>2023.22</v>
      </c>
      <c r="K2788" s="168">
        <v>1971.39</v>
      </c>
      <c r="L2788" s="43">
        <v>6.9167987445241819</v>
      </c>
      <c r="M2788" s="43">
        <v>11.500364175050924</v>
      </c>
      <c r="N2788" s="43">
        <v>6.1292980702232729</v>
      </c>
      <c r="O2788" s="43">
        <v>2.5137905971462455</v>
      </c>
      <c r="P2788" s="169"/>
      <c r="Q2788" s="169"/>
      <c r="R2788" s="169">
        <v>22</v>
      </c>
    </row>
    <row r="2789" spans="1:18" ht="12.75" customHeight="1">
      <c r="A2789" s="628" t="s">
        <v>5091</v>
      </c>
      <c r="B2789" s="629"/>
      <c r="C2789" s="629"/>
      <c r="D2789" s="629"/>
      <c r="E2789" s="629"/>
      <c r="F2789" s="629"/>
      <c r="G2789" s="629"/>
      <c r="H2789" s="629"/>
      <c r="I2789" s="629"/>
      <c r="J2789" s="629"/>
      <c r="K2789" s="629"/>
      <c r="L2789" s="629"/>
      <c r="M2789" s="629"/>
      <c r="N2789" s="629"/>
      <c r="O2789" s="629"/>
      <c r="P2789" s="629"/>
      <c r="Q2789" s="629"/>
      <c r="R2789" s="629"/>
    </row>
    <row r="2790" spans="1:18" ht="24">
      <c r="A2790" s="165">
        <v>182</v>
      </c>
      <c r="B2790" s="162" t="s">
        <v>5092</v>
      </c>
      <c r="C2790" s="166" t="s">
        <v>5093</v>
      </c>
      <c r="D2790" s="167">
        <v>138.9</v>
      </c>
      <c r="E2790" s="167">
        <v>54.92</v>
      </c>
      <c r="F2790" s="167">
        <v>81.260000000000005</v>
      </c>
      <c r="G2790" s="167">
        <v>2.72</v>
      </c>
      <c r="H2790" s="168">
        <v>1172.77</v>
      </c>
      <c r="I2790" s="168">
        <v>631.63</v>
      </c>
      <c r="J2790" s="168">
        <v>522.1</v>
      </c>
      <c r="K2790" s="168">
        <v>19.04</v>
      </c>
      <c r="L2790" s="43">
        <v>8.4432685385169179</v>
      </c>
      <c r="M2790" s="43">
        <v>11.500910415149308</v>
      </c>
      <c r="N2790" s="43">
        <v>6.4250553777996551</v>
      </c>
      <c r="O2790" s="43">
        <v>6.9999999999999991</v>
      </c>
      <c r="P2790" s="169"/>
      <c r="Q2790" s="169"/>
      <c r="R2790" s="169">
        <v>23</v>
      </c>
    </row>
    <row r="2791" spans="1:18" ht="24">
      <c r="A2791" s="165">
        <v>183</v>
      </c>
      <c r="B2791" s="162" t="s">
        <v>5094</v>
      </c>
      <c r="C2791" s="166" t="s">
        <v>5095</v>
      </c>
      <c r="D2791" s="167">
        <v>577.14</v>
      </c>
      <c r="E2791" s="167">
        <v>233.25</v>
      </c>
      <c r="F2791" s="167">
        <v>336.4</v>
      </c>
      <c r="G2791" s="167">
        <v>7.49</v>
      </c>
      <c r="H2791" s="168">
        <v>4956.58</v>
      </c>
      <c r="I2791" s="168">
        <v>2682.44</v>
      </c>
      <c r="J2791" s="168">
        <v>2209.37</v>
      </c>
      <c r="K2791" s="168">
        <v>64.77</v>
      </c>
      <c r="L2791" s="43">
        <v>8.5881761790899951</v>
      </c>
      <c r="M2791" s="43">
        <v>11.500278670953913</v>
      </c>
      <c r="N2791" s="43">
        <v>6.5676872770511299</v>
      </c>
      <c r="O2791" s="43">
        <v>8.6475300400534039</v>
      </c>
      <c r="P2791" s="169"/>
      <c r="Q2791" s="169"/>
      <c r="R2791" s="169">
        <v>23</v>
      </c>
    </row>
    <row r="2792" spans="1:18" ht="24">
      <c r="A2792" s="165">
        <v>184</v>
      </c>
      <c r="B2792" s="162" t="s">
        <v>5096</v>
      </c>
      <c r="C2792" s="166" t="s">
        <v>5097</v>
      </c>
      <c r="D2792" s="167">
        <v>795.55</v>
      </c>
      <c r="E2792" s="167">
        <v>96.17</v>
      </c>
      <c r="F2792" s="167">
        <v>692.61</v>
      </c>
      <c r="G2792" s="167">
        <v>6.77</v>
      </c>
      <c r="H2792" s="168">
        <v>5055.01</v>
      </c>
      <c r="I2792" s="168">
        <v>1106.01</v>
      </c>
      <c r="J2792" s="168">
        <v>3907.76</v>
      </c>
      <c r="K2792" s="168">
        <v>41.24</v>
      </c>
      <c r="L2792" s="43">
        <v>6.3541072214191443</v>
      </c>
      <c r="M2792" s="43">
        <v>11.500571903920141</v>
      </c>
      <c r="N2792" s="43">
        <v>5.6420785146041785</v>
      </c>
      <c r="O2792" s="43">
        <v>6.0915805022156579</v>
      </c>
      <c r="P2792" s="169"/>
      <c r="Q2792" s="169"/>
      <c r="R2792" s="169">
        <v>23</v>
      </c>
    </row>
    <row r="2793" spans="1:18" ht="24">
      <c r="A2793" s="165">
        <v>185</v>
      </c>
      <c r="B2793" s="162" t="s">
        <v>5098</v>
      </c>
      <c r="C2793" s="166" t="s">
        <v>5099</v>
      </c>
      <c r="D2793" s="167">
        <v>2026.22</v>
      </c>
      <c r="E2793" s="167">
        <v>383.77</v>
      </c>
      <c r="F2793" s="167">
        <v>1625.07</v>
      </c>
      <c r="G2793" s="167">
        <v>17.38</v>
      </c>
      <c r="H2793" s="168">
        <v>14011.02</v>
      </c>
      <c r="I2793" s="168">
        <v>4413.4799999999996</v>
      </c>
      <c r="J2793" s="168">
        <v>9470.89</v>
      </c>
      <c r="K2793" s="168">
        <v>126.65</v>
      </c>
      <c r="L2793" s="43">
        <v>6.9148562347622669</v>
      </c>
      <c r="M2793" s="43">
        <v>11.5003257159236</v>
      </c>
      <c r="N2793" s="43">
        <v>5.8279889481683869</v>
      </c>
      <c r="O2793" s="43">
        <v>7.2871116225546615</v>
      </c>
      <c r="P2793" s="169"/>
      <c r="Q2793" s="169"/>
      <c r="R2793" s="169">
        <v>23</v>
      </c>
    </row>
    <row r="2794" spans="1:18" ht="24">
      <c r="A2794" s="165">
        <v>186</v>
      </c>
      <c r="B2794" s="162" t="s">
        <v>5100</v>
      </c>
      <c r="C2794" s="166" t="s">
        <v>5101</v>
      </c>
      <c r="D2794" s="167">
        <v>2794.23</v>
      </c>
      <c r="E2794" s="167">
        <v>481.43</v>
      </c>
      <c r="F2794" s="167">
        <v>2288.62</v>
      </c>
      <c r="G2794" s="167">
        <v>24.18</v>
      </c>
      <c r="H2794" s="168">
        <v>18933.47</v>
      </c>
      <c r="I2794" s="168">
        <v>5536.67</v>
      </c>
      <c r="J2794" s="168">
        <v>13228.56</v>
      </c>
      <c r="K2794" s="168">
        <v>168.24</v>
      </c>
      <c r="L2794" s="43">
        <v>6.7759167999770957</v>
      </c>
      <c r="M2794" s="43">
        <v>11.500467357663627</v>
      </c>
      <c r="N2794" s="43">
        <v>5.7801469881413254</v>
      </c>
      <c r="O2794" s="43">
        <v>6.9578163771712163</v>
      </c>
      <c r="P2794" s="169"/>
      <c r="Q2794" s="169"/>
      <c r="R2794" s="169">
        <v>23</v>
      </c>
    </row>
    <row r="2795" spans="1:18" ht="12.75" customHeight="1">
      <c r="A2795" s="628" t="s">
        <v>5102</v>
      </c>
      <c r="B2795" s="629"/>
      <c r="C2795" s="629"/>
      <c r="D2795" s="629"/>
      <c r="E2795" s="629"/>
      <c r="F2795" s="629"/>
      <c r="G2795" s="629"/>
      <c r="H2795" s="629"/>
      <c r="I2795" s="629"/>
      <c r="J2795" s="629"/>
      <c r="K2795" s="629"/>
      <c r="L2795" s="629"/>
      <c r="M2795" s="629"/>
      <c r="N2795" s="629"/>
      <c r="O2795" s="629"/>
      <c r="P2795" s="629"/>
      <c r="Q2795" s="629"/>
      <c r="R2795" s="629"/>
    </row>
    <row r="2796" spans="1:18" ht="48">
      <c r="A2796" s="165">
        <v>187</v>
      </c>
      <c r="B2796" s="162" t="s">
        <v>5103</v>
      </c>
      <c r="C2796" s="166" t="s">
        <v>5104</v>
      </c>
      <c r="D2796" s="167">
        <v>12862.62</v>
      </c>
      <c r="E2796" s="167">
        <v>4044.48</v>
      </c>
      <c r="F2796" s="167">
        <v>8694.31</v>
      </c>
      <c r="G2796" s="167">
        <v>123.83</v>
      </c>
      <c r="H2796" s="168">
        <v>94113.82</v>
      </c>
      <c r="I2796" s="168">
        <v>46513.279999999999</v>
      </c>
      <c r="J2796" s="168">
        <v>46605.06</v>
      </c>
      <c r="K2796" s="168">
        <v>995.48</v>
      </c>
      <c r="L2796" s="43">
        <v>7.3168468010405343</v>
      </c>
      <c r="M2796" s="43">
        <v>11.500435161009573</v>
      </c>
      <c r="N2796" s="43">
        <v>5.3604092791722406</v>
      </c>
      <c r="O2796" s="43">
        <v>8.0390858434951138</v>
      </c>
      <c r="P2796" s="169"/>
      <c r="Q2796" s="169"/>
      <c r="R2796" s="169">
        <v>24</v>
      </c>
    </row>
    <row r="2797" spans="1:18" ht="48">
      <c r="A2797" s="165">
        <v>188</v>
      </c>
      <c r="B2797" s="162" t="s">
        <v>5105</v>
      </c>
      <c r="C2797" s="166" t="s">
        <v>5106</v>
      </c>
      <c r="D2797" s="167">
        <v>15121.06</v>
      </c>
      <c r="E2797" s="167">
        <v>4699.41</v>
      </c>
      <c r="F2797" s="167">
        <v>10267.549999999999</v>
      </c>
      <c r="G2797" s="167">
        <v>154.1</v>
      </c>
      <c r="H2797" s="168">
        <v>110222</v>
      </c>
      <c r="I2797" s="168">
        <v>54045.26</v>
      </c>
      <c r="J2797" s="168">
        <v>55004.51</v>
      </c>
      <c r="K2797" s="168">
        <v>1172.23</v>
      </c>
      <c r="L2797" s="43">
        <v>7.2893037921944632</v>
      </c>
      <c r="M2797" s="43">
        <v>11.500435161009575</v>
      </c>
      <c r="N2797" s="43">
        <v>5.3571212217130677</v>
      </c>
      <c r="O2797" s="43">
        <v>7.6069435431537968</v>
      </c>
      <c r="P2797" s="169"/>
      <c r="Q2797" s="169"/>
      <c r="R2797" s="169">
        <v>24</v>
      </c>
    </row>
    <row r="2798" spans="1:18" ht="48">
      <c r="A2798" s="165">
        <v>189</v>
      </c>
      <c r="B2798" s="162" t="s">
        <v>5107</v>
      </c>
      <c r="C2798" s="166" t="s">
        <v>5108</v>
      </c>
      <c r="D2798" s="167">
        <v>17232.080000000002</v>
      </c>
      <c r="E2798" s="167">
        <v>5400.3</v>
      </c>
      <c r="F2798" s="167">
        <v>11655.07</v>
      </c>
      <c r="G2798" s="167">
        <v>176.71</v>
      </c>
      <c r="H2798" s="168">
        <v>125928.6</v>
      </c>
      <c r="I2798" s="168">
        <v>62105.8</v>
      </c>
      <c r="J2798" s="168">
        <v>62476.29</v>
      </c>
      <c r="K2798" s="168">
        <v>1346.51</v>
      </c>
      <c r="L2798" s="43">
        <v>7.3078003351887872</v>
      </c>
      <c r="M2798" s="43">
        <v>11.500435161009573</v>
      </c>
      <c r="N2798" s="43">
        <v>5.3604388476431293</v>
      </c>
      <c r="O2798" s="43">
        <v>7.6198856884160486</v>
      </c>
      <c r="P2798" s="169"/>
      <c r="Q2798" s="169"/>
      <c r="R2798" s="169">
        <v>24</v>
      </c>
    </row>
    <row r="2799" spans="1:18" ht="48">
      <c r="A2799" s="165">
        <v>190</v>
      </c>
      <c r="B2799" s="162" t="s">
        <v>5109</v>
      </c>
      <c r="C2799" s="166" t="s">
        <v>5110</v>
      </c>
      <c r="D2799" s="167">
        <v>12468.66</v>
      </c>
      <c r="E2799" s="167">
        <v>3906.6</v>
      </c>
      <c r="F2799" s="167">
        <v>8458.17</v>
      </c>
      <c r="G2799" s="167">
        <v>103.89</v>
      </c>
      <c r="H2799" s="168">
        <v>91210.36</v>
      </c>
      <c r="I2799" s="168">
        <v>44927.6</v>
      </c>
      <c r="J2799" s="168">
        <v>45345.11</v>
      </c>
      <c r="K2799" s="168">
        <v>937.65</v>
      </c>
      <c r="L2799" s="43">
        <v>7.3151693927013808</v>
      </c>
      <c r="M2799" s="43">
        <v>11.500435161009573</v>
      </c>
      <c r="N2799" s="43">
        <v>5.3611017513244592</v>
      </c>
      <c r="O2799" s="43">
        <v>9.0254114929252083</v>
      </c>
      <c r="P2799" s="169"/>
      <c r="Q2799" s="169"/>
      <c r="R2799" s="169">
        <v>24</v>
      </c>
    </row>
    <row r="2800" spans="1:18" ht="48">
      <c r="A2800" s="165">
        <v>191</v>
      </c>
      <c r="B2800" s="162" t="s">
        <v>5111</v>
      </c>
      <c r="C2800" s="166" t="s">
        <v>5112</v>
      </c>
      <c r="D2800" s="167">
        <v>15561.24</v>
      </c>
      <c r="E2800" s="167">
        <v>4860.2700000000004</v>
      </c>
      <c r="F2800" s="167">
        <v>10565.12</v>
      </c>
      <c r="G2800" s="167">
        <v>135.85</v>
      </c>
      <c r="H2800" s="168">
        <v>113705.54</v>
      </c>
      <c r="I2800" s="168">
        <v>55895.22</v>
      </c>
      <c r="J2800" s="168">
        <v>56633.68</v>
      </c>
      <c r="K2800" s="168">
        <v>1176.6400000000001</v>
      </c>
      <c r="L2800" s="43">
        <v>7.3069716809200296</v>
      </c>
      <c r="M2800" s="43">
        <v>11.500435161009573</v>
      </c>
      <c r="N2800" s="43">
        <v>5.360438878119699</v>
      </c>
      <c r="O2800" s="43">
        <v>8.6613176297386829</v>
      </c>
      <c r="P2800" s="169"/>
      <c r="Q2800" s="169"/>
      <c r="R2800" s="169">
        <v>24</v>
      </c>
    </row>
    <row r="2801" spans="1:18" ht="48">
      <c r="A2801" s="165">
        <v>192</v>
      </c>
      <c r="B2801" s="162" t="s">
        <v>5113</v>
      </c>
      <c r="C2801" s="166" t="s">
        <v>5114</v>
      </c>
      <c r="D2801" s="167">
        <v>18608.28</v>
      </c>
      <c r="E2801" s="167">
        <v>5813.94</v>
      </c>
      <c r="F2801" s="167">
        <v>12626.54</v>
      </c>
      <c r="G2801" s="167">
        <v>167.8</v>
      </c>
      <c r="H2801" s="168">
        <v>135966.29999999999</v>
      </c>
      <c r="I2801" s="168">
        <v>66862.84</v>
      </c>
      <c r="J2801" s="168">
        <v>67687.95</v>
      </c>
      <c r="K2801" s="168">
        <v>1415.51</v>
      </c>
      <c r="L2801" s="43">
        <v>7.3067634407908733</v>
      </c>
      <c r="M2801" s="43">
        <v>11.500435161009573</v>
      </c>
      <c r="N2801" s="43">
        <v>5.3607678746513292</v>
      </c>
      <c r="O2801" s="43">
        <v>8.4356972586412393</v>
      </c>
      <c r="P2801" s="169"/>
      <c r="Q2801" s="169"/>
      <c r="R2801" s="169">
        <v>24</v>
      </c>
    </row>
    <row r="2802" spans="1:18" ht="12.75" customHeight="1">
      <c r="A2802" s="628" t="s">
        <v>5115</v>
      </c>
      <c r="B2802" s="629"/>
      <c r="C2802" s="629"/>
      <c r="D2802" s="629"/>
      <c r="E2802" s="629"/>
      <c r="F2802" s="629"/>
      <c r="G2802" s="629"/>
      <c r="H2802" s="629"/>
      <c r="I2802" s="629"/>
      <c r="J2802" s="629"/>
      <c r="K2802" s="629"/>
      <c r="L2802" s="629"/>
      <c r="M2802" s="629"/>
      <c r="N2802" s="629"/>
      <c r="O2802" s="629"/>
      <c r="P2802" s="629"/>
      <c r="Q2802" s="629"/>
      <c r="R2802" s="629"/>
    </row>
    <row r="2803" spans="1:18" ht="36">
      <c r="A2803" s="165">
        <v>193</v>
      </c>
      <c r="B2803" s="162" t="s">
        <v>5116</v>
      </c>
      <c r="C2803" s="166" t="s">
        <v>5117</v>
      </c>
      <c r="D2803" s="167">
        <v>1971.09</v>
      </c>
      <c r="E2803" s="167">
        <v>355.04</v>
      </c>
      <c r="F2803" s="167">
        <v>1246.8900000000001</v>
      </c>
      <c r="G2803" s="167">
        <v>369.16</v>
      </c>
      <c r="H2803" s="168">
        <v>12247.14</v>
      </c>
      <c r="I2803" s="168">
        <v>4083.13</v>
      </c>
      <c r="J2803" s="168">
        <v>6702.96</v>
      </c>
      <c r="K2803" s="168">
        <v>1461.05</v>
      </c>
      <c r="L2803" s="43">
        <v>6.2133844725507208</v>
      </c>
      <c r="M2803" s="43">
        <v>11.500478819287967</v>
      </c>
      <c r="N2803" s="43">
        <v>5.375742848206337</v>
      </c>
      <c r="O2803" s="43">
        <v>3.9577689890562353</v>
      </c>
      <c r="P2803" s="169"/>
      <c r="Q2803" s="169"/>
      <c r="R2803" s="169">
        <v>25</v>
      </c>
    </row>
    <row r="2804" spans="1:18" ht="36">
      <c r="A2804" s="165">
        <v>194</v>
      </c>
      <c r="B2804" s="162" t="s">
        <v>5118</v>
      </c>
      <c r="C2804" s="166" t="s">
        <v>5119</v>
      </c>
      <c r="D2804" s="167">
        <v>2849.66</v>
      </c>
      <c r="E2804" s="167">
        <v>486.03</v>
      </c>
      <c r="F2804" s="167">
        <v>1797.14</v>
      </c>
      <c r="G2804" s="167">
        <v>566.49</v>
      </c>
      <c r="H2804" s="168">
        <v>17420.16</v>
      </c>
      <c r="I2804" s="168">
        <v>5589.52</v>
      </c>
      <c r="J2804" s="168">
        <v>9662.23</v>
      </c>
      <c r="K2804" s="168">
        <v>2168.41</v>
      </c>
      <c r="L2804" s="43">
        <v>6.113066120168722</v>
      </c>
      <c r="M2804" s="43">
        <v>11.500360060078597</v>
      </c>
      <c r="N2804" s="43">
        <v>5.3764481342577648</v>
      </c>
      <c r="O2804" s="43">
        <v>3.8277992550618718</v>
      </c>
      <c r="P2804" s="169"/>
      <c r="Q2804" s="169"/>
      <c r="R2804" s="169">
        <v>25</v>
      </c>
    </row>
    <row r="2805" spans="1:18" ht="48">
      <c r="A2805" s="165">
        <v>195</v>
      </c>
      <c r="B2805" s="162" t="s">
        <v>5120</v>
      </c>
      <c r="C2805" s="166" t="s">
        <v>5121</v>
      </c>
      <c r="D2805" s="167">
        <v>42171.63</v>
      </c>
      <c r="E2805" s="167">
        <v>12075.99</v>
      </c>
      <c r="F2805" s="167">
        <v>14223.12</v>
      </c>
      <c r="G2805" s="167">
        <v>15872.52</v>
      </c>
      <c r="H2805" s="168">
        <v>277735.94</v>
      </c>
      <c r="I2805" s="168">
        <v>138879.14000000001</v>
      </c>
      <c r="J2805" s="168">
        <v>76912.03</v>
      </c>
      <c r="K2805" s="168">
        <v>61944.77</v>
      </c>
      <c r="L2805" s="43">
        <v>6.5858478792496289</v>
      </c>
      <c r="M2805" s="43">
        <v>11.500435161009575</v>
      </c>
      <c r="N2805" s="43">
        <v>5.4075357586802326</v>
      </c>
      <c r="O2805" s="43">
        <v>3.9026424285494676</v>
      </c>
      <c r="P2805" s="169"/>
      <c r="Q2805" s="169"/>
      <c r="R2805" s="169">
        <v>25</v>
      </c>
    </row>
    <row r="2806" spans="1:18" ht="48">
      <c r="A2806" s="165">
        <v>196</v>
      </c>
      <c r="B2806" s="162" t="s">
        <v>5122</v>
      </c>
      <c r="C2806" s="166" t="s">
        <v>5123</v>
      </c>
      <c r="D2806" s="167">
        <v>68786.7</v>
      </c>
      <c r="E2806" s="167">
        <v>24806.91</v>
      </c>
      <c r="F2806" s="167">
        <v>27663.62</v>
      </c>
      <c r="G2806" s="167">
        <v>16316.17</v>
      </c>
      <c r="H2806" s="168">
        <v>500388.4</v>
      </c>
      <c r="I2806" s="168">
        <v>285290.26</v>
      </c>
      <c r="J2806" s="168">
        <v>149673.45000000001</v>
      </c>
      <c r="K2806" s="168">
        <v>65424.69</v>
      </c>
      <c r="L2806" s="43">
        <v>7.2744934703947139</v>
      </c>
      <c r="M2806" s="43">
        <v>11.500435161009573</v>
      </c>
      <c r="N2806" s="43">
        <v>5.4104795395541156</v>
      </c>
      <c r="O2806" s="43">
        <v>4.0098068357954109</v>
      </c>
      <c r="P2806" s="169"/>
      <c r="Q2806" s="169"/>
      <c r="R2806" s="169">
        <v>25</v>
      </c>
    </row>
    <row r="2807" spans="1:18" ht="48">
      <c r="A2807" s="165">
        <v>197</v>
      </c>
      <c r="B2807" s="162" t="s">
        <v>5124</v>
      </c>
      <c r="C2807" s="166" t="s">
        <v>5125</v>
      </c>
      <c r="D2807" s="167">
        <v>53252.87</v>
      </c>
      <c r="E2807" s="167">
        <v>13707.57</v>
      </c>
      <c r="F2807" s="167">
        <v>15928.91</v>
      </c>
      <c r="G2807" s="167">
        <v>23616.39</v>
      </c>
      <c r="H2807" s="168">
        <v>334851.62</v>
      </c>
      <c r="I2807" s="168">
        <v>157643.01999999999</v>
      </c>
      <c r="J2807" s="168">
        <v>86135.86</v>
      </c>
      <c r="K2807" s="168">
        <v>91072.74</v>
      </c>
      <c r="L2807" s="43">
        <v>6.2879544332540194</v>
      </c>
      <c r="M2807" s="43">
        <v>11.500435161009573</v>
      </c>
      <c r="N2807" s="43">
        <v>5.407517526309082</v>
      </c>
      <c r="O2807" s="43">
        <v>3.8563362139598816</v>
      </c>
      <c r="P2807" s="169"/>
      <c r="Q2807" s="169"/>
      <c r="R2807" s="169">
        <v>25</v>
      </c>
    </row>
    <row r="2808" spans="1:18" ht="48">
      <c r="A2808" s="165">
        <v>198</v>
      </c>
      <c r="B2808" s="162" t="s">
        <v>5126</v>
      </c>
      <c r="C2808" s="166" t="s">
        <v>5127</v>
      </c>
      <c r="D2808" s="167">
        <v>79819.19</v>
      </c>
      <c r="E2808" s="167">
        <v>26564.880000000001</v>
      </c>
      <c r="F2808" s="167">
        <v>29161.81</v>
      </c>
      <c r="G2808" s="167">
        <v>24092.5</v>
      </c>
      <c r="H2808" s="168">
        <v>557931.47</v>
      </c>
      <c r="I2808" s="168">
        <v>305507.68</v>
      </c>
      <c r="J2808" s="168">
        <v>157747.18</v>
      </c>
      <c r="K2808" s="168">
        <v>94676.61</v>
      </c>
      <c r="L2808" s="43">
        <v>6.9899415165701377</v>
      </c>
      <c r="M2808" s="43">
        <v>11.500435161009573</v>
      </c>
      <c r="N2808" s="43">
        <v>5.4093754811515469</v>
      </c>
      <c r="O2808" s="43">
        <v>3.9297129812182217</v>
      </c>
      <c r="P2808" s="169"/>
      <c r="Q2808" s="169"/>
      <c r="R2808" s="169">
        <v>25</v>
      </c>
    </row>
    <row r="2809" spans="1:18" ht="60">
      <c r="A2809" s="165">
        <v>199</v>
      </c>
      <c r="B2809" s="162" t="s">
        <v>5128</v>
      </c>
      <c r="C2809" s="166" t="s">
        <v>5129</v>
      </c>
      <c r="D2809" s="167">
        <v>41575.78</v>
      </c>
      <c r="E2809" s="167">
        <v>9318.39</v>
      </c>
      <c r="F2809" s="167">
        <v>8572.19</v>
      </c>
      <c r="G2809" s="167">
        <v>23685.200000000001</v>
      </c>
      <c r="H2809" s="168">
        <v>252787.57</v>
      </c>
      <c r="I2809" s="168">
        <v>107165.54</v>
      </c>
      <c r="J2809" s="168">
        <v>46325.48</v>
      </c>
      <c r="K2809" s="168">
        <v>99296.55</v>
      </c>
      <c r="L2809" s="43">
        <v>6.0801642206111346</v>
      </c>
      <c r="M2809" s="43">
        <v>11.500435161009573</v>
      </c>
      <c r="N2809" s="43">
        <v>5.404159263852061</v>
      </c>
      <c r="O2809" s="43">
        <v>4.1923458531065814</v>
      </c>
      <c r="P2809" s="169"/>
      <c r="Q2809" s="169"/>
      <c r="R2809" s="169">
        <v>25</v>
      </c>
    </row>
    <row r="2810" spans="1:18" ht="60">
      <c r="A2810" s="165">
        <v>200</v>
      </c>
      <c r="B2810" s="162" t="s">
        <v>5130</v>
      </c>
      <c r="C2810" s="166" t="s">
        <v>5131</v>
      </c>
      <c r="D2810" s="167">
        <v>95490.83</v>
      </c>
      <c r="E2810" s="167">
        <v>24554.13</v>
      </c>
      <c r="F2810" s="167">
        <v>17863.490000000002</v>
      </c>
      <c r="G2810" s="167">
        <v>53073.21</v>
      </c>
      <c r="H2810" s="168">
        <v>601911.06999999995</v>
      </c>
      <c r="I2810" s="168">
        <v>282383.18</v>
      </c>
      <c r="J2810" s="168">
        <v>96559.11</v>
      </c>
      <c r="K2810" s="168">
        <v>222968.78</v>
      </c>
      <c r="L2810" s="43">
        <v>6.3033389698256883</v>
      </c>
      <c r="M2810" s="43">
        <v>11.500435161009573</v>
      </c>
      <c r="N2810" s="43">
        <v>5.4053888685805509</v>
      </c>
      <c r="O2810" s="43">
        <v>4.2011549706528024</v>
      </c>
      <c r="P2810" s="169"/>
      <c r="Q2810" s="169"/>
      <c r="R2810" s="169">
        <v>25</v>
      </c>
    </row>
    <row r="2811" spans="1:18" ht="60">
      <c r="A2811" s="165">
        <v>201</v>
      </c>
      <c r="B2811" s="162" t="s">
        <v>5132</v>
      </c>
      <c r="C2811" s="166" t="s">
        <v>5133</v>
      </c>
      <c r="D2811" s="167">
        <v>109384.81</v>
      </c>
      <c r="E2811" s="167">
        <v>25932.93</v>
      </c>
      <c r="F2811" s="167">
        <v>24741.1</v>
      </c>
      <c r="G2811" s="167">
        <v>58710.78</v>
      </c>
      <c r="H2811" s="168">
        <v>678347.66</v>
      </c>
      <c r="I2811" s="168">
        <v>298239.98</v>
      </c>
      <c r="J2811" s="168">
        <v>133715.07999999999</v>
      </c>
      <c r="K2811" s="168">
        <v>246392.6</v>
      </c>
      <c r="L2811" s="43">
        <v>6.2014795290132154</v>
      </c>
      <c r="M2811" s="43">
        <v>11.500435161009573</v>
      </c>
      <c r="N2811" s="43">
        <v>5.4045729575483703</v>
      </c>
      <c r="O2811" s="43">
        <v>4.1967182176765494</v>
      </c>
      <c r="P2811" s="169"/>
      <c r="Q2811" s="169"/>
      <c r="R2811" s="169">
        <v>25</v>
      </c>
    </row>
    <row r="2812" spans="1:18" ht="48">
      <c r="A2812" s="165">
        <v>202</v>
      </c>
      <c r="B2812" s="162" t="s">
        <v>5134</v>
      </c>
      <c r="C2812" s="166" t="s">
        <v>5135</v>
      </c>
      <c r="D2812" s="167">
        <v>40836.61</v>
      </c>
      <c r="E2812" s="167">
        <v>10800.6</v>
      </c>
      <c r="F2812" s="167">
        <v>10177.959999999999</v>
      </c>
      <c r="G2812" s="167">
        <v>19858.05</v>
      </c>
      <c r="H2812" s="168">
        <v>270045.90999999997</v>
      </c>
      <c r="I2812" s="168">
        <v>124211.6</v>
      </c>
      <c r="J2812" s="168">
        <v>54961.52</v>
      </c>
      <c r="K2812" s="168">
        <v>90872.79</v>
      </c>
      <c r="L2812" s="43">
        <v>6.6128385779328882</v>
      </c>
      <c r="M2812" s="43">
        <v>11.500435161009573</v>
      </c>
      <c r="N2812" s="43">
        <v>5.4000526628125876</v>
      </c>
      <c r="O2812" s="43">
        <v>4.5761185010612824</v>
      </c>
      <c r="P2812" s="169"/>
      <c r="Q2812" s="169"/>
      <c r="R2812" s="169">
        <v>25</v>
      </c>
    </row>
    <row r="2813" spans="1:18" ht="60">
      <c r="A2813" s="165">
        <v>203</v>
      </c>
      <c r="B2813" s="162" t="s">
        <v>5136</v>
      </c>
      <c r="C2813" s="166" t="s">
        <v>5137</v>
      </c>
      <c r="D2813" s="167">
        <v>92564.84</v>
      </c>
      <c r="E2813" s="167">
        <v>26886.6</v>
      </c>
      <c r="F2813" s="167">
        <v>20445.68</v>
      </c>
      <c r="G2813" s="167">
        <v>45232.56</v>
      </c>
      <c r="H2813" s="168">
        <v>625772.02</v>
      </c>
      <c r="I2813" s="168">
        <v>309207.59999999998</v>
      </c>
      <c r="J2813" s="168">
        <v>110456.92</v>
      </c>
      <c r="K2813" s="168">
        <v>206107.5</v>
      </c>
      <c r="L2813" s="43">
        <v>6.7603640864068915</v>
      </c>
      <c r="M2813" s="43">
        <v>11.500435161009573</v>
      </c>
      <c r="N2813" s="43">
        <v>5.402457634082114</v>
      </c>
      <c r="O2813" s="43">
        <v>4.5566180645092826</v>
      </c>
      <c r="P2813" s="169"/>
      <c r="Q2813" s="169"/>
      <c r="R2813" s="169">
        <v>25</v>
      </c>
    </row>
    <row r="2814" spans="1:18" ht="60">
      <c r="A2814" s="165">
        <v>204</v>
      </c>
      <c r="B2814" s="162" t="s">
        <v>5138</v>
      </c>
      <c r="C2814" s="166" t="s">
        <v>5139</v>
      </c>
      <c r="D2814" s="167">
        <v>102466.76</v>
      </c>
      <c r="E2814" s="167">
        <v>27518.55</v>
      </c>
      <c r="F2814" s="167">
        <v>26803.51</v>
      </c>
      <c r="G2814" s="167">
        <v>48144.7</v>
      </c>
      <c r="H2814" s="168">
        <v>685378.18</v>
      </c>
      <c r="I2814" s="168">
        <v>316475.3</v>
      </c>
      <c r="J2814" s="168">
        <v>144815.22</v>
      </c>
      <c r="K2814" s="168">
        <v>224087.66</v>
      </c>
      <c r="L2814" s="43">
        <v>6.6887855144439046</v>
      </c>
      <c r="M2814" s="43">
        <v>11.500435161009573</v>
      </c>
      <c r="N2814" s="43">
        <v>5.4028453736096509</v>
      </c>
      <c r="O2814" s="43">
        <v>4.654461654138462</v>
      </c>
      <c r="P2814" s="169"/>
      <c r="Q2814" s="169"/>
      <c r="R2814" s="169">
        <v>25</v>
      </c>
    </row>
    <row r="2815" spans="1:18" ht="60">
      <c r="A2815" s="165">
        <v>205</v>
      </c>
      <c r="B2815" s="162" t="s">
        <v>5140</v>
      </c>
      <c r="C2815" s="166" t="s">
        <v>5141</v>
      </c>
      <c r="D2815" s="167">
        <v>52336.78</v>
      </c>
      <c r="E2815" s="167">
        <v>13788</v>
      </c>
      <c r="F2815" s="167">
        <v>13771.93</v>
      </c>
      <c r="G2815" s="167">
        <v>24776.85</v>
      </c>
      <c r="H2815" s="168">
        <v>335850.46</v>
      </c>
      <c r="I2815" s="168">
        <v>158568</v>
      </c>
      <c r="J2815" s="168">
        <v>74286.86</v>
      </c>
      <c r="K2815" s="168">
        <v>102995.6</v>
      </c>
      <c r="L2815" s="43">
        <v>6.4171020838500192</v>
      </c>
      <c r="M2815" s="43">
        <v>11.500435161009573</v>
      </c>
      <c r="N2815" s="43">
        <v>5.3940776637697114</v>
      </c>
      <c r="O2815" s="43">
        <v>4.1569287459866775</v>
      </c>
      <c r="P2815" s="169"/>
      <c r="Q2815" s="169"/>
      <c r="R2815" s="169">
        <v>25</v>
      </c>
    </row>
    <row r="2816" spans="1:18" ht="60">
      <c r="A2816" s="165">
        <v>206</v>
      </c>
      <c r="B2816" s="162" t="s">
        <v>5142</v>
      </c>
      <c r="C2816" s="166" t="s">
        <v>5143</v>
      </c>
      <c r="D2816" s="167">
        <v>111898.12</v>
      </c>
      <c r="E2816" s="167">
        <v>31057.47</v>
      </c>
      <c r="F2816" s="167">
        <v>24757.39</v>
      </c>
      <c r="G2816" s="167">
        <v>56083.26</v>
      </c>
      <c r="H2816" s="168">
        <v>722854.81</v>
      </c>
      <c r="I2816" s="168">
        <v>357174.42</v>
      </c>
      <c r="J2816" s="168">
        <v>133651.09</v>
      </c>
      <c r="K2816" s="168">
        <v>232029.3</v>
      </c>
      <c r="L2816" s="43">
        <v>6.4599370391566904</v>
      </c>
      <c r="M2816" s="43">
        <v>11.500435161009573</v>
      </c>
      <c r="N2816" s="43">
        <v>5.3984321449070363</v>
      </c>
      <c r="O2816" s="43">
        <v>4.1372291838955153</v>
      </c>
      <c r="P2816" s="169"/>
      <c r="Q2816" s="169"/>
      <c r="R2816" s="169">
        <v>25</v>
      </c>
    </row>
    <row r="2817" spans="1:18" ht="60">
      <c r="A2817" s="165">
        <v>207</v>
      </c>
      <c r="B2817" s="162" t="s">
        <v>5144</v>
      </c>
      <c r="C2817" s="166" t="s">
        <v>5145</v>
      </c>
      <c r="D2817" s="167">
        <v>123890.89</v>
      </c>
      <c r="E2817" s="167">
        <v>31976.67</v>
      </c>
      <c r="F2817" s="167">
        <v>31466.3</v>
      </c>
      <c r="G2817" s="167">
        <v>60447.92</v>
      </c>
      <c r="H2817" s="168">
        <v>791735.33</v>
      </c>
      <c r="I2817" s="168">
        <v>367745.62</v>
      </c>
      <c r="J2817" s="168">
        <v>169883.22</v>
      </c>
      <c r="K2817" s="168">
        <v>254106.49</v>
      </c>
      <c r="L2817" s="43">
        <v>6.3905855386138555</v>
      </c>
      <c r="M2817" s="43">
        <v>11.500435161009573</v>
      </c>
      <c r="N2817" s="43">
        <v>5.3988940549095386</v>
      </c>
      <c r="O2817" s="43">
        <v>4.2037259511989822</v>
      </c>
      <c r="P2817" s="169"/>
      <c r="Q2817" s="169"/>
      <c r="R2817" s="169">
        <v>25</v>
      </c>
    </row>
    <row r="2818" spans="1:18" ht="48">
      <c r="A2818" s="165">
        <v>208</v>
      </c>
      <c r="B2818" s="162" t="s">
        <v>5146</v>
      </c>
      <c r="C2818" s="166" t="s">
        <v>5147</v>
      </c>
      <c r="D2818" s="167">
        <v>67064.37</v>
      </c>
      <c r="E2818" s="167">
        <v>23703.87</v>
      </c>
      <c r="F2818" s="167">
        <v>18905.990000000002</v>
      </c>
      <c r="G2818" s="167">
        <v>24454.51</v>
      </c>
      <c r="H2818" s="168">
        <v>479339.7</v>
      </c>
      <c r="I2818" s="168">
        <v>272604.82</v>
      </c>
      <c r="J2818" s="168">
        <v>102262.5</v>
      </c>
      <c r="K2818" s="168">
        <v>104472.38</v>
      </c>
      <c r="L2818" s="43">
        <v>7.1474569879654437</v>
      </c>
      <c r="M2818" s="43">
        <v>11.500435161009575</v>
      </c>
      <c r="N2818" s="43">
        <v>5.4090000047603954</v>
      </c>
      <c r="O2818" s="43">
        <v>4.2721109521311202</v>
      </c>
      <c r="P2818" s="169"/>
      <c r="Q2818" s="169"/>
      <c r="R2818" s="169">
        <v>25</v>
      </c>
    </row>
    <row r="2819" spans="1:18" ht="60">
      <c r="A2819" s="165">
        <v>209</v>
      </c>
      <c r="B2819" s="162" t="s">
        <v>5148</v>
      </c>
      <c r="C2819" s="166" t="s">
        <v>5149</v>
      </c>
      <c r="D2819" s="167">
        <v>135828.07</v>
      </c>
      <c r="E2819" s="167">
        <v>37526.339999999997</v>
      </c>
      <c r="F2819" s="167">
        <v>43879.08</v>
      </c>
      <c r="G2819" s="167">
        <v>54422.65</v>
      </c>
      <c r="H2819" s="168">
        <v>899027.46</v>
      </c>
      <c r="I2819" s="168">
        <v>431569.24</v>
      </c>
      <c r="J2819" s="168">
        <v>237388.23</v>
      </c>
      <c r="K2819" s="168">
        <v>230069.99</v>
      </c>
      <c r="L2819" s="43">
        <v>6.6188635382951393</v>
      </c>
      <c r="M2819" s="43">
        <v>11.500435161009575</v>
      </c>
      <c r="N2819" s="43">
        <v>5.4100548598557676</v>
      </c>
      <c r="O2819" s="43">
        <v>4.2274676076964273</v>
      </c>
      <c r="P2819" s="169"/>
      <c r="Q2819" s="169"/>
      <c r="R2819" s="169">
        <v>25</v>
      </c>
    </row>
    <row r="2820" spans="1:18" ht="60">
      <c r="A2820" s="165">
        <v>210</v>
      </c>
      <c r="B2820" s="162" t="s">
        <v>5150</v>
      </c>
      <c r="C2820" s="166" t="s">
        <v>5151</v>
      </c>
      <c r="D2820" s="167">
        <v>154120.29999999999</v>
      </c>
      <c r="E2820" s="167">
        <v>42892.17</v>
      </c>
      <c r="F2820" s="167">
        <v>50984.31</v>
      </c>
      <c r="G2820" s="167">
        <v>60243.82</v>
      </c>
      <c r="H2820" s="168">
        <v>1023748.37</v>
      </c>
      <c r="I2820" s="168">
        <v>493278.62</v>
      </c>
      <c r="J2820" s="168">
        <v>275765.21000000002</v>
      </c>
      <c r="K2820" s="168">
        <v>254704.54</v>
      </c>
      <c r="L2820" s="43">
        <v>6.6425277526711284</v>
      </c>
      <c r="M2820" s="43">
        <v>11.500435161009573</v>
      </c>
      <c r="N2820" s="43">
        <v>5.4088249894918663</v>
      </c>
      <c r="O2820" s="43">
        <v>4.2278949110464774</v>
      </c>
      <c r="P2820" s="169"/>
      <c r="Q2820" s="169"/>
      <c r="R2820" s="169">
        <v>25</v>
      </c>
    </row>
    <row r="2821" spans="1:18" ht="48">
      <c r="A2821" s="165">
        <v>211</v>
      </c>
      <c r="B2821" s="162" t="s">
        <v>5152</v>
      </c>
      <c r="C2821" s="166" t="s">
        <v>5153</v>
      </c>
      <c r="D2821" s="167">
        <v>69441.61</v>
      </c>
      <c r="E2821" s="167">
        <v>25082.67</v>
      </c>
      <c r="F2821" s="167">
        <v>20379.34</v>
      </c>
      <c r="G2821" s="167">
        <v>23979.599999999999</v>
      </c>
      <c r="H2821" s="168">
        <v>502500.67</v>
      </c>
      <c r="I2821" s="168">
        <v>288461.62</v>
      </c>
      <c r="J2821" s="168">
        <v>110179.91</v>
      </c>
      <c r="K2821" s="168">
        <v>103859.14</v>
      </c>
      <c r="L2821" s="43">
        <v>7.236305005025085</v>
      </c>
      <c r="M2821" s="43">
        <v>11.500435161009575</v>
      </c>
      <c r="N2821" s="43">
        <v>5.4064513374819798</v>
      </c>
      <c r="O2821" s="43">
        <v>4.3311456404610587</v>
      </c>
      <c r="P2821" s="169"/>
      <c r="Q2821" s="169"/>
      <c r="R2821" s="169">
        <v>25</v>
      </c>
    </row>
    <row r="2822" spans="1:18" ht="60">
      <c r="A2822" s="165">
        <v>212</v>
      </c>
      <c r="B2822" s="162" t="s">
        <v>5154</v>
      </c>
      <c r="C2822" s="166" t="s">
        <v>5155</v>
      </c>
      <c r="D2822" s="167">
        <v>139642.85</v>
      </c>
      <c r="E2822" s="167">
        <v>39422.19</v>
      </c>
      <c r="F2822" s="167">
        <v>45736.22</v>
      </c>
      <c r="G2822" s="167">
        <v>54484.44</v>
      </c>
      <c r="H2822" s="168">
        <v>931325.7</v>
      </c>
      <c r="I2822" s="168">
        <v>453372.34</v>
      </c>
      <c r="J2822" s="168">
        <v>247373.68</v>
      </c>
      <c r="K2822" s="168">
        <v>230579.68</v>
      </c>
      <c r="L2822" s="43">
        <v>6.6693403922936252</v>
      </c>
      <c r="M2822" s="43">
        <v>11.500435161009573</v>
      </c>
      <c r="N2822" s="43">
        <v>5.4087040861706539</v>
      </c>
      <c r="O2822" s="43">
        <v>4.2320280799435581</v>
      </c>
      <c r="P2822" s="169"/>
      <c r="Q2822" s="169"/>
      <c r="R2822" s="169">
        <v>25</v>
      </c>
    </row>
    <row r="2823" spans="1:18" ht="60">
      <c r="A2823" s="165">
        <v>213</v>
      </c>
      <c r="B2823" s="162" t="s">
        <v>5156</v>
      </c>
      <c r="C2823" s="166" t="s">
        <v>5157</v>
      </c>
      <c r="D2823" s="167">
        <v>157715.87</v>
      </c>
      <c r="E2823" s="167">
        <v>44650.14</v>
      </c>
      <c r="F2823" s="167">
        <v>52698.5</v>
      </c>
      <c r="G2823" s="167">
        <v>60367.23</v>
      </c>
      <c r="H2823" s="168">
        <v>1053974.51</v>
      </c>
      <c r="I2823" s="168">
        <v>513496.04</v>
      </c>
      <c r="J2823" s="168">
        <v>284981.57</v>
      </c>
      <c r="K2823" s="168">
        <v>255496.9</v>
      </c>
      <c r="L2823" s="43">
        <v>6.6827422630328837</v>
      </c>
      <c r="M2823" s="43">
        <v>11.500435161009573</v>
      </c>
      <c r="N2823" s="43">
        <v>5.4077738455553765</v>
      </c>
      <c r="O2823" s="43">
        <v>4.2323774007851611</v>
      </c>
      <c r="P2823" s="169"/>
      <c r="Q2823" s="169"/>
      <c r="R2823" s="169">
        <v>25</v>
      </c>
    </row>
    <row r="2824" spans="1:18" ht="48">
      <c r="A2824" s="165">
        <v>214</v>
      </c>
      <c r="B2824" s="162" t="s">
        <v>5158</v>
      </c>
      <c r="C2824" s="166" t="s">
        <v>5159</v>
      </c>
      <c r="D2824" s="167">
        <v>12811.24</v>
      </c>
      <c r="E2824" s="167">
        <v>2435.88</v>
      </c>
      <c r="F2824" s="167">
        <v>9365.77</v>
      </c>
      <c r="G2824" s="167">
        <v>1009.59</v>
      </c>
      <c r="H2824" s="168">
        <v>85196.84</v>
      </c>
      <c r="I2824" s="168">
        <v>28013.68</v>
      </c>
      <c r="J2824" s="168">
        <v>52467.83</v>
      </c>
      <c r="K2824" s="168">
        <v>4715.33</v>
      </c>
      <c r="L2824" s="43">
        <v>6.6501634502202753</v>
      </c>
      <c r="M2824" s="43">
        <v>11.500435161009573</v>
      </c>
      <c r="N2824" s="43">
        <v>5.6020839717396429</v>
      </c>
      <c r="O2824" s="43">
        <v>4.6705395259461762</v>
      </c>
      <c r="P2824" s="169"/>
      <c r="Q2824" s="169"/>
      <c r="R2824" s="169">
        <v>25</v>
      </c>
    </row>
    <row r="2825" spans="1:18" ht="36">
      <c r="A2825" s="165">
        <v>215</v>
      </c>
      <c r="B2825" s="162" t="s">
        <v>5160</v>
      </c>
      <c r="C2825" s="166" t="s">
        <v>5161</v>
      </c>
      <c r="D2825" s="167">
        <v>17693.38</v>
      </c>
      <c r="E2825" s="167">
        <v>3814.68</v>
      </c>
      <c r="F2825" s="167">
        <v>11952.1</v>
      </c>
      <c r="G2825" s="167">
        <v>1926.6</v>
      </c>
      <c r="H2825" s="168">
        <v>120609.43</v>
      </c>
      <c r="I2825" s="168">
        <v>43870.48</v>
      </c>
      <c r="J2825" s="168">
        <v>67952.320000000007</v>
      </c>
      <c r="K2825" s="168">
        <v>8786.6299999999992</v>
      </c>
      <c r="L2825" s="43">
        <v>6.8166415913748528</v>
      </c>
      <c r="M2825" s="43">
        <v>11.500435161009575</v>
      </c>
      <c r="N2825" s="43">
        <v>5.6853875051246225</v>
      </c>
      <c r="O2825" s="43">
        <v>4.5606924115021279</v>
      </c>
      <c r="P2825" s="169"/>
      <c r="Q2825" s="169"/>
      <c r="R2825" s="169">
        <v>25</v>
      </c>
    </row>
    <row r="2826" spans="1:18" ht="48">
      <c r="A2826" s="165">
        <v>216</v>
      </c>
      <c r="B2826" s="162" t="s">
        <v>5162</v>
      </c>
      <c r="C2826" s="166" t="s">
        <v>5163</v>
      </c>
      <c r="D2826" s="167">
        <v>43412.18</v>
      </c>
      <c r="E2826" s="167">
        <v>10249.08</v>
      </c>
      <c r="F2826" s="167">
        <v>29203.52</v>
      </c>
      <c r="G2826" s="167">
        <v>3959.58</v>
      </c>
      <c r="H2826" s="168">
        <v>301164.34999999998</v>
      </c>
      <c r="I2826" s="168">
        <v>117868.88</v>
      </c>
      <c r="J2826" s="168">
        <v>164855.10999999999</v>
      </c>
      <c r="K2826" s="168">
        <v>18440.36</v>
      </c>
      <c r="L2826" s="43">
        <v>6.9373238109673361</v>
      </c>
      <c r="M2826" s="43">
        <v>11.500435161009573</v>
      </c>
      <c r="N2826" s="43">
        <v>5.6450424469379028</v>
      </c>
      <c r="O2826" s="43">
        <v>4.6571505058617326</v>
      </c>
      <c r="P2826" s="169"/>
      <c r="Q2826" s="169"/>
      <c r="R2826" s="169">
        <v>25</v>
      </c>
    </row>
    <row r="2827" spans="1:18" ht="48">
      <c r="A2827" s="165">
        <v>217</v>
      </c>
      <c r="B2827" s="162" t="s">
        <v>5164</v>
      </c>
      <c r="C2827" s="166" t="s">
        <v>5165</v>
      </c>
      <c r="D2827" s="167">
        <v>53610.7</v>
      </c>
      <c r="E2827" s="167">
        <v>13316.91</v>
      </c>
      <c r="F2827" s="167">
        <v>34280.089999999997</v>
      </c>
      <c r="G2827" s="167">
        <v>6013.7</v>
      </c>
      <c r="H2827" s="168">
        <v>375193.38</v>
      </c>
      <c r="I2827" s="168">
        <v>153150.26</v>
      </c>
      <c r="J2827" s="168">
        <v>194219.95</v>
      </c>
      <c r="K2827" s="168">
        <v>27823.17</v>
      </c>
      <c r="L2827" s="43">
        <v>6.9984794080286212</v>
      </c>
      <c r="M2827" s="43">
        <v>11.500435161009575</v>
      </c>
      <c r="N2827" s="43">
        <v>5.6656779489202052</v>
      </c>
      <c r="O2827" s="43">
        <v>4.6266308595373893</v>
      </c>
      <c r="P2827" s="169"/>
      <c r="Q2827" s="169"/>
      <c r="R2827" s="169">
        <v>25</v>
      </c>
    </row>
    <row r="2828" spans="1:18" ht="36">
      <c r="A2828" s="165">
        <v>218</v>
      </c>
      <c r="B2828" s="162" t="s">
        <v>5166</v>
      </c>
      <c r="C2828" s="166" t="s">
        <v>5167</v>
      </c>
      <c r="D2828" s="167">
        <v>1082.5999999999999</v>
      </c>
      <c r="E2828" s="167">
        <v>473.39</v>
      </c>
      <c r="F2828" s="167">
        <v>544.46</v>
      </c>
      <c r="G2828" s="167">
        <v>64.75</v>
      </c>
      <c r="H2828" s="168">
        <v>8720.16</v>
      </c>
      <c r="I2828" s="168">
        <v>5444.17</v>
      </c>
      <c r="J2828" s="168">
        <v>2928.04</v>
      </c>
      <c r="K2828" s="168">
        <v>347.95</v>
      </c>
      <c r="L2828" s="43">
        <v>8.0548309624976913</v>
      </c>
      <c r="M2828" s="43">
        <v>11.500390798284712</v>
      </c>
      <c r="N2828" s="43">
        <v>5.377878999375528</v>
      </c>
      <c r="O2828" s="43">
        <v>5.3737451737451734</v>
      </c>
      <c r="P2828" s="169"/>
      <c r="Q2828" s="169"/>
      <c r="R2828" s="169">
        <v>25</v>
      </c>
    </row>
    <row r="2829" spans="1:18" ht="24">
      <c r="A2829" s="165">
        <v>219</v>
      </c>
      <c r="B2829" s="162" t="s">
        <v>5168</v>
      </c>
      <c r="C2829" s="166" t="s">
        <v>5169</v>
      </c>
      <c r="D2829" s="167">
        <v>639.39</v>
      </c>
      <c r="E2829" s="167">
        <v>222.91</v>
      </c>
      <c r="F2829" s="167">
        <v>305.82</v>
      </c>
      <c r="G2829" s="167">
        <v>110.66</v>
      </c>
      <c r="H2829" s="168">
        <v>4738.1400000000003</v>
      </c>
      <c r="I2829" s="168">
        <v>2563.52</v>
      </c>
      <c r="J2829" s="168">
        <v>1644.51</v>
      </c>
      <c r="K2829" s="168">
        <v>530.11</v>
      </c>
      <c r="L2829" s="43">
        <v>7.4104067939755085</v>
      </c>
      <c r="M2829" s="43">
        <v>11.500246736350993</v>
      </c>
      <c r="N2829" s="43">
        <v>5.3773788503041002</v>
      </c>
      <c r="O2829" s="43">
        <v>4.7904391830833184</v>
      </c>
      <c r="P2829" s="169"/>
      <c r="Q2829" s="169"/>
      <c r="R2829" s="169">
        <v>25</v>
      </c>
    </row>
    <row r="2830" spans="1:18" ht="36">
      <c r="A2830" s="165">
        <v>220</v>
      </c>
      <c r="B2830" s="162" t="s">
        <v>5170</v>
      </c>
      <c r="C2830" s="166" t="s">
        <v>5171</v>
      </c>
      <c r="D2830" s="167">
        <v>632.22</v>
      </c>
      <c r="E2830" s="167">
        <v>222.91</v>
      </c>
      <c r="F2830" s="167">
        <v>326.8</v>
      </c>
      <c r="G2830" s="167">
        <v>82.51</v>
      </c>
      <c r="H2830" s="168">
        <v>4747.05</v>
      </c>
      <c r="I2830" s="168">
        <v>2563.52</v>
      </c>
      <c r="J2830" s="168">
        <v>1757.02</v>
      </c>
      <c r="K2830" s="168">
        <v>426.51</v>
      </c>
      <c r="L2830" s="43">
        <v>7.5085413305494919</v>
      </c>
      <c r="M2830" s="43">
        <v>11.500246736350993</v>
      </c>
      <c r="N2830" s="43">
        <v>5.3764381884944914</v>
      </c>
      <c r="O2830" s="43">
        <v>5.1691916131378006</v>
      </c>
      <c r="P2830" s="169"/>
      <c r="Q2830" s="169"/>
      <c r="R2830" s="169">
        <v>25</v>
      </c>
    </row>
    <row r="2831" spans="1:18" ht="72">
      <c r="A2831" s="165">
        <v>221</v>
      </c>
      <c r="B2831" s="162" t="s">
        <v>5172</v>
      </c>
      <c r="C2831" s="166" t="s">
        <v>5173</v>
      </c>
      <c r="D2831" s="167">
        <v>754.08</v>
      </c>
      <c r="E2831" s="167">
        <v>184.99</v>
      </c>
      <c r="F2831" s="167">
        <v>479.44</v>
      </c>
      <c r="G2831" s="167">
        <v>89.65</v>
      </c>
      <c r="H2831" s="168">
        <v>5141.22</v>
      </c>
      <c r="I2831" s="168">
        <v>2127.4499999999998</v>
      </c>
      <c r="J2831" s="168">
        <v>2576.6799999999998</v>
      </c>
      <c r="K2831" s="168">
        <v>437.09</v>
      </c>
      <c r="L2831" s="43">
        <v>6.8178707829408021</v>
      </c>
      <c r="M2831" s="43">
        <v>11.500351370344342</v>
      </c>
      <c r="N2831" s="43">
        <v>5.3743534123143668</v>
      </c>
      <c r="O2831" s="43">
        <v>4.8755158951477968</v>
      </c>
      <c r="P2831" s="169"/>
      <c r="Q2831" s="169"/>
      <c r="R2831" s="169">
        <v>25</v>
      </c>
    </row>
    <row r="2832" spans="1:18" ht="12.75" customHeight="1">
      <c r="A2832" s="628" t="s">
        <v>5174</v>
      </c>
      <c r="B2832" s="629"/>
      <c r="C2832" s="629"/>
      <c r="D2832" s="629"/>
      <c r="E2832" s="629"/>
      <c r="F2832" s="629"/>
      <c r="G2832" s="629"/>
      <c r="H2832" s="629"/>
      <c r="I2832" s="629"/>
      <c r="J2832" s="629"/>
      <c r="K2832" s="629"/>
      <c r="L2832" s="629"/>
      <c r="M2832" s="629"/>
      <c r="N2832" s="629"/>
      <c r="O2832" s="629"/>
      <c r="P2832" s="629"/>
      <c r="Q2832" s="629"/>
      <c r="R2832" s="629"/>
    </row>
    <row r="2833" spans="1:18" ht="36">
      <c r="A2833" s="165">
        <v>222</v>
      </c>
      <c r="B2833" s="162" t="s">
        <v>5175</v>
      </c>
      <c r="C2833" s="166" t="s">
        <v>5176</v>
      </c>
      <c r="D2833" s="167">
        <v>758.63</v>
      </c>
      <c r="E2833" s="167">
        <v>445.81</v>
      </c>
      <c r="F2833" s="167">
        <v>262.77999999999997</v>
      </c>
      <c r="G2833" s="167">
        <v>50.04</v>
      </c>
      <c r="H2833" s="168">
        <v>6824.44</v>
      </c>
      <c r="I2833" s="168">
        <v>5127.03</v>
      </c>
      <c r="J2833" s="168">
        <v>1411.52</v>
      </c>
      <c r="K2833" s="168">
        <v>285.89</v>
      </c>
      <c r="L2833" s="43">
        <v>8.9957423249805561</v>
      </c>
      <c r="M2833" s="43">
        <v>11.50048226823086</v>
      </c>
      <c r="N2833" s="43">
        <v>5.3714894588629276</v>
      </c>
      <c r="O2833" s="43">
        <v>5.7132294164668265</v>
      </c>
      <c r="P2833" s="169"/>
      <c r="Q2833" s="169"/>
      <c r="R2833" s="169">
        <v>26</v>
      </c>
    </row>
    <row r="2834" spans="1:18" ht="36">
      <c r="A2834" s="165">
        <v>223</v>
      </c>
      <c r="B2834" s="162" t="s">
        <v>5177</v>
      </c>
      <c r="C2834" s="166" t="s">
        <v>5178</v>
      </c>
      <c r="D2834" s="167">
        <v>480.83</v>
      </c>
      <c r="E2834" s="167">
        <v>203.37</v>
      </c>
      <c r="F2834" s="167">
        <v>232.27</v>
      </c>
      <c r="G2834" s="167">
        <v>45.19</v>
      </c>
      <c r="H2834" s="168">
        <v>3816.36</v>
      </c>
      <c r="I2834" s="168">
        <v>2338.88</v>
      </c>
      <c r="J2834" s="168">
        <v>1247.3599999999999</v>
      </c>
      <c r="K2834" s="168">
        <v>230.12</v>
      </c>
      <c r="L2834" s="43">
        <v>7.9370255599692205</v>
      </c>
      <c r="M2834" s="43">
        <v>11.500614643261052</v>
      </c>
      <c r="N2834" s="43">
        <v>5.3703018039350745</v>
      </c>
      <c r="O2834" s="43">
        <v>5.0922770524452314</v>
      </c>
      <c r="P2834" s="169"/>
      <c r="Q2834" s="169"/>
      <c r="R2834" s="169">
        <v>26</v>
      </c>
    </row>
    <row r="2835" spans="1:18" ht="48">
      <c r="A2835" s="165">
        <v>224</v>
      </c>
      <c r="B2835" s="162" t="s">
        <v>5179</v>
      </c>
      <c r="C2835" s="166" t="s">
        <v>5180</v>
      </c>
      <c r="D2835" s="167">
        <v>340.1</v>
      </c>
      <c r="E2835" s="167">
        <v>121.79</v>
      </c>
      <c r="F2835" s="167">
        <v>184.75</v>
      </c>
      <c r="G2835" s="167">
        <v>33.56</v>
      </c>
      <c r="H2835" s="168">
        <v>2559.1999999999998</v>
      </c>
      <c r="I2835" s="168">
        <v>1400.68</v>
      </c>
      <c r="J2835" s="168">
        <v>992.37</v>
      </c>
      <c r="K2835" s="168">
        <v>166.15</v>
      </c>
      <c r="L2835" s="43">
        <v>7.5248456336371641</v>
      </c>
      <c r="M2835" s="43">
        <v>11.500780031201248</v>
      </c>
      <c r="N2835" s="43">
        <v>5.3714208389715834</v>
      </c>
      <c r="O2835" s="43">
        <v>4.9508343265792609</v>
      </c>
      <c r="P2835" s="169"/>
      <c r="Q2835" s="169"/>
      <c r="R2835" s="169">
        <v>26</v>
      </c>
    </row>
    <row r="2836" spans="1:18" ht="36">
      <c r="A2836" s="165">
        <v>225</v>
      </c>
      <c r="B2836" s="162" t="s">
        <v>5181</v>
      </c>
      <c r="C2836" s="166" t="s">
        <v>5182</v>
      </c>
      <c r="D2836" s="167">
        <v>598.79</v>
      </c>
      <c r="E2836" s="167">
        <v>364.23</v>
      </c>
      <c r="F2836" s="167">
        <v>186.16</v>
      </c>
      <c r="G2836" s="167">
        <v>48.4</v>
      </c>
      <c r="H2836" s="168">
        <v>5455.7</v>
      </c>
      <c r="I2836" s="168">
        <v>4188.84</v>
      </c>
      <c r="J2836" s="168">
        <v>999.83</v>
      </c>
      <c r="K2836" s="168">
        <v>267.02999999999997</v>
      </c>
      <c r="L2836" s="43">
        <v>9.1112076019973625</v>
      </c>
      <c r="M2836" s="43">
        <v>11.500535375998682</v>
      </c>
      <c r="N2836" s="43">
        <v>5.3708100558659222</v>
      </c>
      <c r="O2836" s="43">
        <v>5.5171487603305778</v>
      </c>
      <c r="P2836" s="169"/>
      <c r="Q2836" s="169"/>
      <c r="R2836" s="169">
        <v>26</v>
      </c>
    </row>
    <row r="2837" spans="1:18" ht="12.75" customHeight="1">
      <c r="A2837" s="628" t="s">
        <v>5183</v>
      </c>
      <c r="B2837" s="629"/>
      <c r="C2837" s="629"/>
      <c r="D2837" s="629"/>
      <c r="E2837" s="629"/>
      <c r="F2837" s="629"/>
      <c r="G2837" s="629"/>
      <c r="H2837" s="629"/>
      <c r="I2837" s="629"/>
      <c r="J2837" s="629"/>
      <c r="K2837" s="629"/>
      <c r="L2837" s="629"/>
      <c r="M2837" s="629"/>
      <c r="N2837" s="629"/>
      <c r="O2837" s="629"/>
      <c r="P2837" s="629"/>
      <c r="Q2837" s="629"/>
      <c r="R2837" s="629"/>
    </row>
    <row r="2838" spans="1:18" ht="24">
      <c r="A2838" s="165">
        <v>226</v>
      </c>
      <c r="B2838" s="162" t="s">
        <v>5184</v>
      </c>
      <c r="C2838" s="166" t="s">
        <v>5185</v>
      </c>
      <c r="D2838" s="167">
        <v>18579.759999999998</v>
      </c>
      <c r="E2838" s="167">
        <v>3860.64</v>
      </c>
      <c r="F2838" s="167">
        <v>13445.52</v>
      </c>
      <c r="G2838" s="167">
        <v>1273.5999999999999</v>
      </c>
      <c r="H2838" s="168">
        <v>126657.72</v>
      </c>
      <c r="I2838" s="168">
        <v>44399.040000000001</v>
      </c>
      <c r="J2838" s="168">
        <v>75227.39</v>
      </c>
      <c r="K2838" s="168">
        <v>7031.29</v>
      </c>
      <c r="L2838" s="43">
        <v>6.8169728780134946</v>
      </c>
      <c r="M2838" s="43">
        <v>11.500435161009575</v>
      </c>
      <c r="N2838" s="43">
        <v>5.5949781042310001</v>
      </c>
      <c r="O2838" s="43">
        <v>5.5207993090452261</v>
      </c>
      <c r="P2838" s="169"/>
      <c r="Q2838" s="169"/>
      <c r="R2838" s="169">
        <v>27</v>
      </c>
    </row>
    <row r="2839" spans="1:18" ht="24">
      <c r="A2839" s="165">
        <v>227</v>
      </c>
      <c r="B2839" s="162" t="s">
        <v>5186</v>
      </c>
      <c r="C2839" s="166" t="s">
        <v>5187</v>
      </c>
      <c r="D2839" s="167">
        <v>11722.53</v>
      </c>
      <c r="E2839" s="167">
        <v>2504.8200000000002</v>
      </c>
      <c r="F2839" s="167">
        <v>8039.09</v>
      </c>
      <c r="G2839" s="167">
        <v>1178.6199999999999</v>
      </c>
      <c r="H2839" s="168">
        <v>80230.929999999993</v>
      </c>
      <c r="I2839" s="168">
        <v>28806.52</v>
      </c>
      <c r="J2839" s="168">
        <v>45151.83</v>
      </c>
      <c r="K2839" s="168">
        <v>6272.58</v>
      </c>
      <c r="L2839" s="43">
        <v>6.844165039458205</v>
      </c>
      <c r="M2839" s="43">
        <v>11.500435161009573</v>
      </c>
      <c r="N2839" s="43">
        <v>5.6165349560708986</v>
      </c>
      <c r="O2839" s="43">
        <v>5.321969761246204</v>
      </c>
      <c r="P2839" s="169"/>
      <c r="Q2839" s="169"/>
      <c r="R2839" s="169">
        <v>27</v>
      </c>
    </row>
    <row r="2840" spans="1:18" ht="36">
      <c r="A2840" s="165">
        <v>228</v>
      </c>
      <c r="B2840" s="162" t="s">
        <v>5188</v>
      </c>
      <c r="C2840" s="166" t="s">
        <v>5189</v>
      </c>
      <c r="D2840" s="167">
        <v>16231.39</v>
      </c>
      <c r="E2840" s="167">
        <v>3757.23</v>
      </c>
      <c r="F2840" s="167">
        <v>10991.12</v>
      </c>
      <c r="G2840" s="167">
        <v>1483.04</v>
      </c>
      <c r="H2840" s="168">
        <v>112633.84</v>
      </c>
      <c r="I2840" s="168">
        <v>43209.78</v>
      </c>
      <c r="J2840" s="168">
        <v>61672.54</v>
      </c>
      <c r="K2840" s="168">
        <v>7751.52</v>
      </c>
      <c r="L2840" s="43">
        <v>6.9392602851635008</v>
      </c>
      <c r="M2840" s="43">
        <v>11.500435161009573</v>
      </c>
      <c r="N2840" s="43">
        <v>5.6111242530333572</v>
      </c>
      <c r="O2840" s="43">
        <v>5.2267774301434891</v>
      </c>
      <c r="P2840" s="169"/>
      <c r="Q2840" s="169"/>
      <c r="R2840" s="169">
        <v>27</v>
      </c>
    </row>
    <row r="2841" spans="1:18" ht="24">
      <c r="A2841" s="165">
        <v>229</v>
      </c>
      <c r="B2841" s="162" t="s">
        <v>5190</v>
      </c>
      <c r="C2841" s="166" t="s">
        <v>5191</v>
      </c>
      <c r="D2841" s="167">
        <v>23440.84</v>
      </c>
      <c r="E2841" s="167">
        <v>4986.66</v>
      </c>
      <c r="F2841" s="167">
        <v>16955.68</v>
      </c>
      <c r="G2841" s="167">
        <v>1498.5</v>
      </c>
      <c r="H2841" s="168">
        <v>160371.07</v>
      </c>
      <c r="I2841" s="168">
        <v>57348.76</v>
      </c>
      <c r="J2841" s="168">
        <v>95021.57</v>
      </c>
      <c r="K2841" s="168">
        <v>8000.74</v>
      </c>
      <c r="L2841" s="43">
        <v>6.8415240238831032</v>
      </c>
      <c r="M2841" s="43">
        <v>11.500435161009575</v>
      </c>
      <c r="N2841" s="43">
        <v>5.6041143734724885</v>
      </c>
      <c r="O2841" s="43">
        <v>5.339165832499166</v>
      </c>
      <c r="P2841" s="169"/>
      <c r="Q2841" s="169"/>
      <c r="R2841" s="169">
        <v>27</v>
      </c>
    </row>
    <row r="2842" spans="1:18" ht="36">
      <c r="A2842" s="165">
        <v>230</v>
      </c>
      <c r="B2842" s="162" t="s">
        <v>5192</v>
      </c>
      <c r="C2842" s="166" t="s">
        <v>5193</v>
      </c>
      <c r="D2842" s="167">
        <v>12132.16</v>
      </c>
      <c r="E2842" s="167">
        <v>2723.13</v>
      </c>
      <c r="F2842" s="167">
        <v>8127.78</v>
      </c>
      <c r="G2842" s="167">
        <v>1281.25</v>
      </c>
      <c r="H2842" s="168">
        <v>83351.570000000007</v>
      </c>
      <c r="I2842" s="168">
        <v>31317.18</v>
      </c>
      <c r="J2842" s="168">
        <v>45221.62</v>
      </c>
      <c r="K2842" s="168">
        <v>6812.77</v>
      </c>
      <c r="L2842" s="43">
        <v>6.8702992706987054</v>
      </c>
      <c r="M2842" s="43">
        <v>11.500435161009573</v>
      </c>
      <c r="N2842" s="43">
        <v>5.5638341588970182</v>
      </c>
      <c r="O2842" s="43">
        <v>5.3172839024390246</v>
      </c>
      <c r="P2842" s="169"/>
      <c r="Q2842" s="169"/>
      <c r="R2842" s="169">
        <v>27</v>
      </c>
    </row>
    <row r="2843" spans="1:18" ht="36">
      <c r="A2843" s="165">
        <v>231</v>
      </c>
      <c r="B2843" s="162" t="s">
        <v>5194</v>
      </c>
      <c r="C2843" s="166" t="s">
        <v>5195</v>
      </c>
      <c r="D2843" s="167">
        <v>13686.39</v>
      </c>
      <c r="E2843" s="167">
        <v>3079.32</v>
      </c>
      <c r="F2843" s="167">
        <v>9328.5400000000009</v>
      </c>
      <c r="G2843" s="167">
        <v>1278.53</v>
      </c>
      <c r="H2843" s="168">
        <v>94619.75</v>
      </c>
      <c r="I2843" s="168">
        <v>35413.519999999997</v>
      </c>
      <c r="J2843" s="168">
        <v>52389.93</v>
      </c>
      <c r="K2843" s="168">
        <v>6816.3</v>
      </c>
      <c r="L2843" s="43">
        <v>6.9134190973660701</v>
      </c>
      <c r="M2843" s="43">
        <v>11.500435161009571</v>
      </c>
      <c r="N2843" s="43">
        <v>5.6160910496176246</v>
      </c>
      <c r="O2843" s="43">
        <v>5.3313571054257629</v>
      </c>
      <c r="P2843" s="169"/>
      <c r="Q2843" s="169"/>
      <c r="R2843" s="169">
        <v>27</v>
      </c>
    </row>
    <row r="2844" spans="1:18" ht="24">
      <c r="A2844" s="165">
        <v>232</v>
      </c>
      <c r="B2844" s="162" t="s">
        <v>5196</v>
      </c>
      <c r="C2844" s="166" t="s">
        <v>5197</v>
      </c>
      <c r="D2844" s="167">
        <v>12005.63</v>
      </c>
      <c r="E2844" s="167">
        <v>2780.58</v>
      </c>
      <c r="F2844" s="167">
        <v>7990.97</v>
      </c>
      <c r="G2844" s="167">
        <v>1234.08</v>
      </c>
      <c r="H2844" s="168">
        <v>83440.77</v>
      </c>
      <c r="I2844" s="168">
        <v>31977.88</v>
      </c>
      <c r="J2844" s="168">
        <v>44918.45</v>
      </c>
      <c r="K2844" s="168">
        <v>6544.44</v>
      </c>
      <c r="L2844" s="43">
        <v>6.9501367275186734</v>
      </c>
      <c r="M2844" s="43">
        <v>11.500435161009575</v>
      </c>
      <c r="N2844" s="43">
        <v>5.6211511243315888</v>
      </c>
      <c r="O2844" s="43">
        <v>5.3030921820303387</v>
      </c>
      <c r="P2844" s="169"/>
      <c r="Q2844" s="169"/>
      <c r="R2844" s="169">
        <v>27</v>
      </c>
    </row>
    <row r="2845" spans="1:18" ht="24">
      <c r="A2845" s="165">
        <v>233</v>
      </c>
      <c r="B2845" s="162" t="s">
        <v>5198</v>
      </c>
      <c r="C2845" s="166" t="s">
        <v>5199</v>
      </c>
      <c r="D2845" s="167">
        <v>3704.89</v>
      </c>
      <c r="E2845" s="167">
        <v>761.79</v>
      </c>
      <c r="F2845" s="167">
        <v>2723.94</v>
      </c>
      <c r="G2845" s="167">
        <v>219.16</v>
      </c>
      <c r="H2845" s="168">
        <v>24984.29</v>
      </c>
      <c r="I2845" s="168">
        <v>8760.8799999999992</v>
      </c>
      <c r="J2845" s="168">
        <v>15209.75</v>
      </c>
      <c r="K2845" s="168">
        <v>1013.66</v>
      </c>
      <c r="L2845" s="43">
        <v>6.7435983254563565</v>
      </c>
      <c r="M2845" s="43">
        <v>11.500387245828902</v>
      </c>
      <c r="N2845" s="43">
        <v>5.5837316534138051</v>
      </c>
      <c r="O2845" s="43">
        <v>4.6252053294396784</v>
      </c>
      <c r="P2845" s="169"/>
      <c r="Q2845" s="169"/>
      <c r="R2845" s="169">
        <v>27</v>
      </c>
    </row>
    <row r="2846" spans="1:18" ht="12.75" customHeight="1">
      <c r="A2846" s="628" t="s">
        <v>5200</v>
      </c>
      <c r="B2846" s="629"/>
      <c r="C2846" s="629"/>
      <c r="D2846" s="629"/>
      <c r="E2846" s="629"/>
      <c r="F2846" s="629"/>
      <c r="G2846" s="629"/>
      <c r="H2846" s="629"/>
      <c r="I2846" s="629"/>
      <c r="J2846" s="629"/>
      <c r="K2846" s="629"/>
      <c r="L2846" s="629"/>
      <c r="M2846" s="629"/>
      <c r="N2846" s="629"/>
      <c r="O2846" s="629"/>
      <c r="P2846" s="629"/>
      <c r="Q2846" s="629"/>
      <c r="R2846" s="629"/>
    </row>
    <row r="2847" spans="1:18" ht="12.75" customHeight="1">
      <c r="A2847" s="628" t="s">
        <v>5201</v>
      </c>
      <c r="B2847" s="629"/>
      <c r="C2847" s="629"/>
      <c r="D2847" s="629"/>
      <c r="E2847" s="629"/>
      <c r="F2847" s="629"/>
      <c r="G2847" s="629"/>
      <c r="H2847" s="629"/>
      <c r="I2847" s="629"/>
      <c r="J2847" s="629"/>
      <c r="K2847" s="629"/>
      <c r="L2847" s="629"/>
      <c r="M2847" s="629"/>
      <c r="N2847" s="629"/>
      <c r="O2847" s="629"/>
      <c r="P2847" s="629"/>
      <c r="Q2847" s="629"/>
      <c r="R2847" s="629"/>
    </row>
    <row r="2848" spans="1:18" ht="24">
      <c r="A2848" s="165">
        <v>234</v>
      </c>
      <c r="B2848" s="162" t="s">
        <v>5202</v>
      </c>
      <c r="C2848" s="166" t="s">
        <v>5203</v>
      </c>
      <c r="D2848" s="167">
        <v>143.74</v>
      </c>
      <c r="E2848" s="167">
        <v>54.46</v>
      </c>
      <c r="F2848" s="167">
        <v>28.42</v>
      </c>
      <c r="G2848" s="167">
        <v>60.86</v>
      </c>
      <c r="H2848" s="168">
        <v>1067.9100000000001</v>
      </c>
      <c r="I2848" s="168">
        <v>626.34</v>
      </c>
      <c r="J2848" s="168">
        <v>135.52000000000001</v>
      </c>
      <c r="K2848" s="168">
        <v>306.05</v>
      </c>
      <c r="L2848" s="43">
        <v>7.4294559621538889</v>
      </c>
      <c r="M2848" s="43">
        <v>11.500918105031216</v>
      </c>
      <c r="N2848" s="43">
        <v>4.7684729064039413</v>
      </c>
      <c r="O2848" s="43">
        <v>5.0287545185672036</v>
      </c>
      <c r="P2848" s="169"/>
      <c r="Q2848" s="169"/>
      <c r="R2848" s="169">
        <v>1</v>
      </c>
    </row>
    <row r="2849" spans="1:18" ht="24">
      <c r="A2849" s="165">
        <v>235</v>
      </c>
      <c r="B2849" s="162" t="s">
        <v>5204</v>
      </c>
      <c r="C2849" s="166" t="s">
        <v>5205</v>
      </c>
      <c r="D2849" s="167">
        <v>558.66</v>
      </c>
      <c r="E2849" s="167">
        <v>179.24</v>
      </c>
      <c r="F2849" s="167">
        <v>206.01</v>
      </c>
      <c r="G2849" s="167">
        <v>173.41</v>
      </c>
      <c r="H2849" s="168">
        <v>3918.58</v>
      </c>
      <c r="I2849" s="168">
        <v>2061.38</v>
      </c>
      <c r="J2849" s="168">
        <v>976</v>
      </c>
      <c r="K2849" s="168">
        <v>881.2</v>
      </c>
      <c r="L2849" s="43">
        <v>7.0142483800522681</v>
      </c>
      <c r="M2849" s="43">
        <v>11.500669493416648</v>
      </c>
      <c r="N2849" s="43">
        <v>4.7376340954322611</v>
      </c>
      <c r="O2849" s="43">
        <v>5.0815985237298893</v>
      </c>
      <c r="P2849" s="169"/>
      <c r="Q2849" s="169"/>
      <c r="R2849" s="169">
        <v>1</v>
      </c>
    </row>
    <row r="2850" spans="1:18" ht="12.75" customHeight="1">
      <c r="A2850" s="628" t="s">
        <v>4887</v>
      </c>
      <c r="B2850" s="629"/>
      <c r="C2850" s="629"/>
      <c r="D2850" s="629"/>
      <c r="E2850" s="629"/>
      <c r="F2850" s="629"/>
      <c r="G2850" s="629"/>
      <c r="H2850" s="629"/>
      <c r="I2850" s="629"/>
      <c r="J2850" s="629"/>
      <c r="K2850" s="629"/>
      <c r="L2850" s="629"/>
      <c r="M2850" s="629"/>
      <c r="N2850" s="629"/>
      <c r="O2850" s="629"/>
      <c r="P2850" s="629"/>
      <c r="Q2850" s="629"/>
      <c r="R2850" s="629"/>
    </row>
    <row r="2851" spans="1:18" ht="24">
      <c r="A2851" s="165">
        <v>236</v>
      </c>
      <c r="B2851" s="162" t="s">
        <v>5206</v>
      </c>
      <c r="C2851" s="166" t="s">
        <v>5207</v>
      </c>
      <c r="D2851" s="167">
        <v>1770.77</v>
      </c>
      <c r="E2851" s="167">
        <v>440.07</v>
      </c>
      <c r="F2851" s="167">
        <v>830.47</v>
      </c>
      <c r="G2851" s="167">
        <v>500.23</v>
      </c>
      <c r="H2851" s="168">
        <v>11025.31</v>
      </c>
      <c r="I2851" s="168">
        <v>5060.96</v>
      </c>
      <c r="J2851" s="168">
        <v>3964.01</v>
      </c>
      <c r="K2851" s="168">
        <v>2000.34</v>
      </c>
      <c r="L2851" s="43">
        <v>6.226280092840967</v>
      </c>
      <c r="M2851" s="43">
        <v>11.500352216692798</v>
      </c>
      <c r="N2851" s="43">
        <v>4.7732127590400619</v>
      </c>
      <c r="O2851" s="43">
        <v>3.9988405333546564</v>
      </c>
      <c r="P2851" s="169"/>
      <c r="Q2851" s="169"/>
      <c r="R2851" s="169">
        <v>2</v>
      </c>
    </row>
    <row r="2852" spans="1:18" ht="12.75" customHeight="1">
      <c r="A2852" s="628" t="s">
        <v>5208</v>
      </c>
      <c r="B2852" s="629"/>
      <c r="C2852" s="629"/>
      <c r="D2852" s="629"/>
      <c r="E2852" s="629"/>
      <c r="F2852" s="629"/>
      <c r="G2852" s="629"/>
      <c r="H2852" s="629"/>
      <c r="I2852" s="629"/>
      <c r="J2852" s="629"/>
      <c r="K2852" s="629"/>
      <c r="L2852" s="629"/>
      <c r="M2852" s="629"/>
      <c r="N2852" s="629"/>
      <c r="O2852" s="629"/>
      <c r="P2852" s="629"/>
      <c r="Q2852" s="629"/>
      <c r="R2852" s="629"/>
    </row>
    <row r="2853" spans="1:18" ht="24">
      <c r="A2853" s="165">
        <v>237</v>
      </c>
      <c r="B2853" s="162" t="s">
        <v>5209</v>
      </c>
      <c r="C2853" s="166" t="s">
        <v>5210</v>
      </c>
      <c r="D2853" s="167">
        <v>4385.17</v>
      </c>
      <c r="E2853" s="167">
        <v>1493.7</v>
      </c>
      <c r="F2853" s="167">
        <v>2503.41</v>
      </c>
      <c r="G2853" s="167">
        <v>388.06</v>
      </c>
      <c r="H2853" s="168">
        <v>31539.42</v>
      </c>
      <c r="I2853" s="168">
        <v>17178.2</v>
      </c>
      <c r="J2853" s="168">
        <v>12210.99</v>
      </c>
      <c r="K2853" s="168">
        <v>2150.23</v>
      </c>
      <c r="L2853" s="43">
        <v>7.1922912908735572</v>
      </c>
      <c r="M2853" s="43">
        <v>11.500435161009573</v>
      </c>
      <c r="N2853" s="43">
        <v>4.8777427588768925</v>
      </c>
      <c r="O2853" s="43">
        <v>5.5409730454053499</v>
      </c>
      <c r="P2853" s="169"/>
      <c r="Q2853" s="169"/>
      <c r="R2853" s="169">
        <v>3</v>
      </c>
    </row>
    <row r="2854" spans="1:18" ht="12.75" customHeight="1">
      <c r="A2854" s="628" t="s">
        <v>5013</v>
      </c>
      <c r="B2854" s="629"/>
      <c r="C2854" s="629"/>
      <c r="D2854" s="629"/>
      <c r="E2854" s="629"/>
      <c r="F2854" s="629"/>
      <c r="G2854" s="629"/>
      <c r="H2854" s="629"/>
      <c r="I2854" s="629"/>
      <c r="J2854" s="629"/>
      <c r="K2854" s="629"/>
      <c r="L2854" s="629"/>
      <c r="M2854" s="629"/>
      <c r="N2854" s="629"/>
      <c r="O2854" s="629"/>
      <c r="P2854" s="629"/>
      <c r="Q2854" s="629"/>
      <c r="R2854" s="629"/>
    </row>
    <row r="2855" spans="1:18" ht="24">
      <c r="A2855" s="165">
        <v>238</v>
      </c>
      <c r="B2855" s="162" t="s">
        <v>5211</v>
      </c>
      <c r="C2855" s="166" t="s">
        <v>5212</v>
      </c>
      <c r="D2855" s="167">
        <v>4342.26</v>
      </c>
      <c r="E2855" s="167">
        <v>878.99</v>
      </c>
      <c r="F2855" s="167">
        <v>3421.74</v>
      </c>
      <c r="G2855" s="167">
        <v>41.53</v>
      </c>
      <c r="H2855" s="168">
        <v>26431.42</v>
      </c>
      <c r="I2855" s="168">
        <v>10108.709999999999</v>
      </c>
      <c r="J2855" s="168">
        <v>16029.19</v>
      </c>
      <c r="K2855" s="168">
        <v>293.52</v>
      </c>
      <c r="L2855" s="43">
        <v>6.0870192019823772</v>
      </c>
      <c r="M2855" s="43">
        <v>11.50036974254542</v>
      </c>
      <c r="N2855" s="43">
        <v>4.6845143114321957</v>
      </c>
      <c r="O2855" s="43">
        <v>7.0676619311341193</v>
      </c>
      <c r="P2855" s="169"/>
      <c r="Q2855" s="169"/>
      <c r="R2855" s="169">
        <v>4</v>
      </c>
    </row>
    <row r="2856" spans="1:18" ht="24">
      <c r="A2856" s="165">
        <v>239</v>
      </c>
      <c r="B2856" s="162" t="s">
        <v>5213</v>
      </c>
      <c r="C2856" s="166" t="s">
        <v>5214</v>
      </c>
      <c r="D2856" s="167">
        <v>1661.44</v>
      </c>
      <c r="E2856" s="167">
        <v>371.13</v>
      </c>
      <c r="F2856" s="167">
        <v>1263.5</v>
      </c>
      <c r="G2856" s="167">
        <v>26.81</v>
      </c>
      <c r="H2856" s="168">
        <v>10343.6</v>
      </c>
      <c r="I2856" s="168">
        <v>4268.12</v>
      </c>
      <c r="J2856" s="168">
        <v>5916.09</v>
      </c>
      <c r="K2856" s="168">
        <v>159.38999999999999</v>
      </c>
      <c r="L2856" s="43">
        <v>6.2256837442218798</v>
      </c>
      <c r="M2856" s="43">
        <v>11.500336809204322</v>
      </c>
      <c r="N2856" s="43">
        <v>4.6823031262366444</v>
      </c>
      <c r="O2856" s="43">
        <v>5.9451697127937333</v>
      </c>
      <c r="P2856" s="169"/>
      <c r="Q2856" s="169"/>
      <c r="R2856" s="169">
        <v>4</v>
      </c>
    </row>
    <row r="2857" spans="1:18" ht="12.75" customHeight="1">
      <c r="A2857" s="628" t="s">
        <v>5215</v>
      </c>
      <c r="B2857" s="629"/>
      <c r="C2857" s="629"/>
      <c r="D2857" s="629"/>
      <c r="E2857" s="629"/>
      <c r="F2857" s="629"/>
      <c r="G2857" s="629"/>
      <c r="H2857" s="629"/>
      <c r="I2857" s="629"/>
      <c r="J2857" s="629"/>
      <c r="K2857" s="629"/>
      <c r="L2857" s="629"/>
      <c r="M2857" s="629"/>
      <c r="N2857" s="629"/>
      <c r="O2857" s="629"/>
      <c r="P2857" s="629"/>
      <c r="Q2857" s="629"/>
      <c r="R2857" s="629"/>
    </row>
    <row r="2858" spans="1:18" ht="32.25" customHeight="1">
      <c r="A2858" s="165">
        <v>240</v>
      </c>
      <c r="B2858" s="162" t="s">
        <v>5216</v>
      </c>
      <c r="C2858" s="166" t="s">
        <v>5217</v>
      </c>
      <c r="D2858" s="167">
        <v>2179.35</v>
      </c>
      <c r="E2858" s="167">
        <v>576.79999999999995</v>
      </c>
      <c r="F2858" s="167">
        <v>1396.26</v>
      </c>
      <c r="G2858" s="167">
        <v>206.29</v>
      </c>
      <c r="H2858" s="168">
        <v>15751.79</v>
      </c>
      <c r="I2858" s="168">
        <v>6633.43</v>
      </c>
      <c r="J2858" s="168">
        <v>7538.47</v>
      </c>
      <c r="K2858" s="168">
        <v>1579.89</v>
      </c>
      <c r="L2858" s="43">
        <v>7.2277468052400948</v>
      </c>
      <c r="M2858" s="43">
        <v>11.500398751733705</v>
      </c>
      <c r="N2858" s="43">
        <v>5.3990445905490381</v>
      </c>
      <c r="O2858" s="43">
        <v>7.6585874254690012</v>
      </c>
      <c r="P2858" s="169"/>
      <c r="Q2858" s="169"/>
      <c r="R2858" s="169">
        <v>5</v>
      </c>
    </row>
    <row r="2859" spans="1:18" ht="12.75" customHeight="1">
      <c r="A2859" s="628" t="s">
        <v>5218</v>
      </c>
      <c r="B2859" s="629"/>
      <c r="C2859" s="629"/>
      <c r="D2859" s="629"/>
      <c r="E2859" s="629"/>
      <c r="F2859" s="629"/>
      <c r="G2859" s="629"/>
      <c r="H2859" s="629"/>
      <c r="I2859" s="629"/>
      <c r="J2859" s="629"/>
      <c r="K2859" s="629"/>
      <c r="L2859" s="629"/>
      <c r="M2859" s="629"/>
      <c r="N2859" s="629"/>
      <c r="O2859" s="629"/>
      <c r="P2859" s="629"/>
      <c r="Q2859" s="629"/>
      <c r="R2859" s="629"/>
    </row>
    <row r="2860" spans="1:18" ht="12.75" customHeight="1">
      <c r="A2860" s="628" t="s">
        <v>5201</v>
      </c>
      <c r="B2860" s="629"/>
      <c r="C2860" s="629"/>
      <c r="D2860" s="629"/>
      <c r="E2860" s="629"/>
      <c r="F2860" s="629"/>
      <c r="G2860" s="629"/>
      <c r="H2860" s="629"/>
      <c r="I2860" s="629"/>
      <c r="J2860" s="629"/>
      <c r="K2860" s="629"/>
      <c r="L2860" s="629"/>
      <c r="M2860" s="629"/>
      <c r="N2860" s="629"/>
      <c r="O2860" s="629"/>
      <c r="P2860" s="629"/>
      <c r="Q2860" s="629"/>
      <c r="R2860" s="629"/>
    </row>
    <row r="2861" spans="1:18" ht="24">
      <c r="A2861" s="165">
        <v>241</v>
      </c>
      <c r="B2861" s="162" t="s">
        <v>5219</v>
      </c>
      <c r="C2861" s="166" t="s">
        <v>5220</v>
      </c>
      <c r="D2861" s="167">
        <v>8.99</v>
      </c>
      <c r="E2861" s="167">
        <v>5.29</v>
      </c>
      <c r="F2861" s="167">
        <v>2.77</v>
      </c>
      <c r="G2861" s="167">
        <v>0.93</v>
      </c>
      <c r="H2861" s="168">
        <v>83.62</v>
      </c>
      <c r="I2861" s="168">
        <v>60.78</v>
      </c>
      <c r="J2861" s="168">
        <v>14.93</v>
      </c>
      <c r="K2861" s="168">
        <v>7.91</v>
      </c>
      <c r="L2861" s="43">
        <v>9.3014460511679644</v>
      </c>
      <c r="M2861" s="43">
        <v>11.5</v>
      </c>
      <c r="N2861" s="43">
        <v>5.3898916967509027</v>
      </c>
      <c r="O2861" s="43">
        <v>8.5053763440860219</v>
      </c>
      <c r="P2861" s="169"/>
      <c r="Q2861" s="169"/>
      <c r="R2861" s="169">
        <v>1</v>
      </c>
    </row>
    <row r="2862" spans="1:18" ht="24">
      <c r="A2862" s="165">
        <v>242</v>
      </c>
      <c r="B2862" s="162" t="s">
        <v>5221</v>
      </c>
      <c r="C2862" s="166" t="s">
        <v>5222</v>
      </c>
      <c r="D2862" s="167">
        <v>8.99</v>
      </c>
      <c r="E2862" s="167">
        <v>5.29</v>
      </c>
      <c r="F2862" s="167">
        <v>2.77</v>
      </c>
      <c r="G2862" s="167">
        <v>0.93</v>
      </c>
      <c r="H2862" s="168">
        <v>83.62</v>
      </c>
      <c r="I2862" s="168">
        <v>60.78</v>
      </c>
      <c r="J2862" s="168">
        <v>14.93</v>
      </c>
      <c r="K2862" s="168">
        <v>7.91</v>
      </c>
      <c r="L2862" s="43">
        <v>9.3014460511679644</v>
      </c>
      <c r="M2862" s="43">
        <v>11.5</v>
      </c>
      <c r="N2862" s="43">
        <v>5.3898916967509027</v>
      </c>
      <c r="O2862" s="43">
        <v>8.5053763440860219</v>
      </c>
      <c r="P2862" s="169"/>
      <c r="Q2862" s="169"/>
      <c r="R2862" s="169">
        <v>1</v>
      </c>
    </row>
    <row r="2863" spans="1:18" ht="24">
      <c r="A2863" s="165">
        <v>243</v>
      </c>
      <c r="B2863" s="162" t="s">
        <v>5223</v>
      </c>
      <c r="C2863" s="166" t="s">
        <v>5224</v>
      </c>
      <c r="D2863" s="167">
        <v>17.739999999999998</v>
      </c>
      <c r="E2863" s="167">
        <v>7.93</v>
      </c>
      <c r="F2863" s="167">
        <v>7.07</v>
      </c>
      <c r="G2863" s="167">
        <v>2.74</v>
      </c>
      <c r="H2863" s="168">
        <v>150.72999999999999</v>
      </c>
      <c r="I2863" s="168">
        <v>91.18</v>
      </c>
      <c r="J2863" s="168">
        <v>36.97</v>
      </c>
      <c r="K2863" s="168">
        <v>22.58</v>
      </c>
      <c r="L2863" s="43">
        <v>8.4966178128523122</v>
      </c>
      <c r="M2863" s="43">
        <v>11.498108448928122</v>
      </c>
      <c r="N2863" s="43">
        <v>5.2291371994342288</v>
      </c>
      <c r="O2863" s="43">
        <v>8.2408759124087574</v>
      </c>
      <c r="P2863" s="169"/>
      <c r="Q2863" s="169"/>
      <c r="R2863" s="169">
        <v>1</v>
      </c>
    </row>
    <row r="2864" spans="1:18" ht="24">
      <c r="A2864" s="165">
        <v>244</v>
      </c>
      <c r="B2864" s="162" t="s">
        <v>5225</v>
      </c>
      <c r="C2864" s="166" t="s">
        <v>5226</v>
      </c>
      <c r="D2864" s="167">
        <v>30.75</v>
      </c>
      <c r="E2864" s="167">
        <v>10.23</v>
      </c>
      <c r="F2864" s="167">
        <v>12.9</v>
      </c>
      <c r="G2864" s="167">
        <v>7.62</v>
      </c>
      <c r="H2864" s="168">
        <v>245.78</v>
      </c>
      <c r="I2864" s="168">
        <v>117.6</v>
      </c>
      <c r="J2864" s="168">
        <v>66.16</v>
      </c>
      <c r="K2864" s="168">
        <v>62.02</v>
      </c>
      <c r="L2864" s="43">
        <v>7.9928455284552848</v>
      </c>
      <c r="M2864" s="43">
        <v>11.495601173020527</v>
      </c>
      <c r="N2864" s="43">
        <v>5.1286821705426355</v>
      </c>
      <c r="O2864" s="43">
        <v>8.1391076115485568</v>
      </c>
      <c r="P2864" s="169"/>
      <c r="Q2864" s="169"/>
      <c r="R2864" s="169">
        <v>1</v>
      </c>
    </row>
    <row r="2865" spans="1:18" ht="24">
      <c r="A2865" s="165">
        <v>245</v>
      </c>
      <c r="B2865" s="162" t="s">
        <v>5227</v>
      </c>
      <c r="C2865" s="166" t="s">
        <v>5228</v>
      </c>
      <c r="D2865" s="167">
        <v>32.01</v>
      </c>
      <c r="E2865" s="167">
        <v>11.38</v>
      </c>
      <c r="F2865" s="167">
        <v>18.03</v>
      </c>
      <c r="G2865" s="167">
        <v>2.6</v>
      </c>
      <c r="H2865" s="168">
        <v>238.77</v>
      </c>
      <c r="I2865" s="168">
        <v>130.82</v>
      </c>
      <c r="J2865" s="168">
        <v>86.22</v>
      </c>
      <c r="K2865" s="168">
        <v>21.73</v>
      </c>
      <c r="L2865" s="43">
        <v>7.4592314901593264</v>
      </c>
      <c r="M2865" s="43">
        <v>11.495606326889279</v>
      </c>
      <c r="N2865" s="43">
        <v>4.782029950083194</v>
      </c>
      <c r="O2865" s="43">
        <v>8.3576923076923073</v>
      </c>
      <c r="P2865" s="169"/>
      <c r="Q2865" s="169"/>
      <c r="R2865" s="169">
        <v>1</v>
      </c>
    </row>
    <row r="2866" spans="1:18" ht="24">
      <c r="A2866" s="165">
        <v>246</v>
      </c>
      <c r="B2866" s="162" t="s">
        <v>5229</v>
      </c>
      <c r="C2866" s="166" t="s">
        <v>5230</v>
      </c>
      <c r="D2866" s="167">
        <v>73.47</v>
      </c>
      <c r="E2866" s="167">
        <v>19.07</v>
      </c>
      <c r="F2866" s="167">
        <v>46.6</v>
      </c>
      <c r="G2866" s="167">
        <v>7.8</v>
      </c>
      <c r="H2866" s="168">
        <v>516.89</v>
      </c>
      <c r="I2866" s="168">
        <v>219.35</v>
      </c>
      <c r="J2866" s="168">
        <v>233.45</v>
      </c>
      <c r="K2866" s="168">
        <v>64.09</v>
      </c>
      <c r="L2866" s="43">
        <v>7.0353885939839387</v>
      </c>
      <c r="M2866" s="43">
        <v>11.502359727320398</v>
      </c>
      <c r="N2866" s="43">
        <v>5.0096566523605146</v>
      </c>
      <c r="O2866" s="43">
        <v>8.2166666666666668</v>
      </c>
      <c r="P2866" s="169"/>
      <c r="Q2866" s="169"/>
      <c r="R2866" s="169">
        <v>1</v>
      </c>
    </row>
    <row r="2867" spans="1:18" ht="12.75" customHeight="1">
      <c r="A2867" s="628" t="s">
        <v>4806</v>
      </c>
      <c r="B2867" s="629"/>
      <c r="C2867" s="629"/>
      <c r="D2867" s="629"/>
      <c r="E2867" s="629"/>
      <c r="F2867" s="629"/>
      <c r="G2867" s="629"/>
      <c r="H2867" s="629"/>
      <c r="I2867" s="629"/>
      <c r="J2867" s="629"/>
      <c r="K2867" s="629"/>
      <c r="L2867" s="629"/>
      <c r="M2867" s="629"/>
      <c r="N2867" s="629"/>
      <c r="O2867" s="629"/>
      <c r="P2867" s="629"/>
      <c r="Q2867" s="629"/>
      <c r="R2867" s="629"/>
    </row>
    <row r="2868" spans="1:18" ht="24">
      <c r="A2868" s="165">
        <v>247</v>
      </c>
      <c r="B2868" s="162" t="s">
        <v>5231</v>
      </c>
      <c r="C2868" s="166" t="s">
        <v>5232</v>
      </c>
      <c r="D2868" s="167">
        <v>54.28</v>
      </c>
      <c r="E2868" s="167">
        <v>27.92</v>
      </c>
      <c r="F2868" s="167">
        <v>14.15</v>
      </c>
      <c r="G2868" s="167">
        <v>12.21</v>
      </c>
      <c r="H2868" s="168">
        <v>473.37</v>
      </c>
      <c r="I2868" s="168">
        <v>321.10000000000002</v>
      </c>
      <c r="J2868" s="168">
        <v>73.95</v>
      </c>
      <c r="K2868" s="168">
        <v>78.319999999999993</v>
      </c>
      <c r="L2868" s="43">
        <v>8.7208916728076638</v>
      </c>
      <c r="M2868" s="43">
        <v>11.500716332378223</v>
      </c>
      <c r="N2868" s="43">
        <v>5.2261484098939928</v>
      </c>
      <c r="O2868" s="43">
        <v>6.4144144144144137</v>
      </c>
      <c r="P2868" s="169"/>
      <c r="Q2868" s="169"/>
      <c r="R2868" s="169">
        <v>2</v>
      </c>
    </row>
    <row r="2869" spans="1:18" ht="24">
      <c r="A2869" s="165">
        <v>248</v>
      </c>
      <c r="B2869" s="162" t="s">
        <v>5233</v>
      </c>
      <c r="C2869" s="166" t="s">
        <v>5234</v>
      </c>
      <c r="D2869" s="167">
        <v>72.73</v>
      </c>
      <c r="E2869" s="167">
        <v>32.29</v>
      </c>
      <c r="F2869" s="167">
        <v>22.47</v>
      </c>
      <c r="G2869" s="167">
        <v>17.97</v>
      </c>
      <c r="H2869" s="168">
        <v>615.01</v>
      </c>
      <c r="I2869" s="168">
        <v>371.31</v>
      </c>
      <c r="J2869" s="168">
        <v>118.72</v>
      </c>
      <c r="K2869" s="168">
        <v>124.98</v>
      </c>
      <c r="L2869" s="43">
        <v>8.456070397360099</v>
      </c>
      <c r="M2869" s="43">
        <v>11.499225766491174</v>
      </c>
      <c r="N2869" s="43">
        <v>5.2834890965732093</v>
      </c>
      <c r="O2869" s="43">
        <v>6.9549248747913195</v>
      </c>
      <c r="P2869" s="169"/>
      <c r="Q2869" s="169"/>
      <c r="R2869" s="169">
        <v>2</v>
      </c>
    </row>
    <row r="2870" spans="1:18" ht="12.75" customHeight="1">
      <c r="A2870" s="628" t="s">
        <v>4821</v>
      </c>
      <c r="B2870" s="629"/>
      <c r="C2870" s="629"/>
      <c r="D2870" s="629"/>
      <c r="E2870" s="629"/>
      <c r="F2870" s="629"/>
      <c r="G2870" s="629"/>
      <c r="H2870" s="629"/>
      <c r="I2870" s="629"/>
      <c r="J2870" s="629"/>
      <c r="K2870" s="629"/>
      <c r="L2870" s="629"/>
      <c r="M2870" s="629"/>
      <c r="N2870" s="629"/>
      <c r="O2870" s="629"/>
      <c r="P2870" s="629"/>
      <c r="Q2870" s="629"/>
      <c r="R2870" s="629"/>
    </row>
    <row r="2871" spans="1:18" ht="24">
      <c r="A2871" s="165">
        <v>249</v>
      </c>
      <c r="B2871" s="162" t="s">
        <v>5235</v>
      </c>
      <c r="C2871" s="166" t="s">
        <v>5236</v>
      </c>
      <c r="D2871" s="167">
        <v>31.89</v>
      </c>
      <c r="E2871" s="167">
        <v>9.08</v>
      </c>
      <c r="F2871" s="167">
        <v>16.64</v>
      </c>
      <c r="G2871" s="167">
        <v>6.17</v>
      </c>
      <c r="H2871" s="168">
        <v>230.02</v>
      </c>
      <c r="I2871" s="168">
        <v>104.39</v>
      </c>
      <c r="J2871" s="168">
        <v>89.54</v>
      </c>
      <c r="K2871" s="168">
        <v>36.090000000000003</v>
      </c>
      <c r="L2871" s="43">
        <v>7.2129194104735026</v>
      </c>
      <c r="M2871" s="43">
        <v>11.496696035242291</v>
      </c>
      <c r="N2871" s="43">
        <v>5.3810096153846159</v>
      </c>
      <c r="O2871" s="43">
        <v>5.8492706645056733</v>
      </c>
      <c r="P2871" s="169"/>
      <c r="Q2871" s="169"/>
      <c r="R2871" s="169">
        <v>3</v>
      </c>
    </row>
    <row r="2872" spans="1:18" ht="24">
      <c r="A2872" s="165">
        <v>250</v>
      </c>
      <c r="B2872" s="162" t="s">
        <v>5237</v>
      </c>
      <c r="C2872" s="166" t="s">
        <v>5238</v>
      </c>
      <c r="D2872" s="167">
        <v>65.540000000000006</v>
      </c>
      <c r="E2872" s="167">
        <v>19.88</v>
      </c>
      <c r="F2872" s="167">
        <v>36.06</v>
      </c>
      <c r="G2872" s="167">
        <v>9.6</v>
      </c>
      <c r="H2872" s="168">
        <v>471.97</v>
      </c>
      <c r="I2872" s="168">
        <v>228.6</v>
      </c>
      <c r="J2872" s="168">
        <v>194</v>
      </c>
      <c r="K2872" s="168">
        <v>49.37</v>
      </c>
      <c r="L2872" s="43">
        <v>7.2012511443393343</v>
      </c>
      <c r="M2872" s="43">
        <v>11.498993963782697</v>
      </c>
      <c r="N2872" s="43">
        <v>5.3799223516361616</v>
      </c>
      <c r="O2872" s="43">
        <v>5.1427083333333332</v>
      </c>
      <c r="P2872" s="169"/>
      <c r="Q2872" s="169"/>
      <c r="R2872" s="169">
        <v>3</v>
      </c>
    </row>
    <row r="2873" spans="1:18" ht="24">
      <c r="A2873" s="165">
        <v>251</v>
      </c>
      <c r="B2873" s="162" t="s">
        <v>5239</v>
      </c>
      <c r="C2873" s="166" t="s">
        <v>5240</v>
      </c>
      <c r="D2873" s="167">
        <v>82.96</v>
      </c>
      <c r="E2873" s="167">
        <v>42.4</v>
      </c>
      <c r="F2873" s="167">
        <v>30.51</v>
      </c>
      <c r="G2873" s="167">
        <v>10.050000000000001</v>
      </c>
      <c r="H2873" s="168">
        <v>706.31</v>
      </c>
      <c r="I2873" s="168">
        <v>487.6</v>
      </c>
      <c r="J2873" s="168">
        <v>164.16</v>
      </c>
      <c r="K2873" s="168">
        <v>54.55</v>
      </c>
      <c r="L2873" s="43">
        <v>8.5138621022179368</v>
      </c>
      <c r="M2873" s="43">
        <v>11.500000000000002</v>
      </c>
      <c r="N2873" s="43">
        <v>5.3805309734513269</v>
      </c>
      <c r="O2873" s="43">
        <v>5.4278606965174125</v>
      </c>
      <c r="P2873" s="169"/>
      <c r="Q2873" s="169"/>
      <c r="R2873" s="169">
        <v>3</v>
      </c>
    </row>
    <row r="2874" spans="1:18" ht="12.75" customHeight="1">
      <c r="A2874" s="628" t="s">
        <v>5241</v>
      </c>
      <c r="B2874" s="629"/>
      <c r="C2874" s="629"/>
      <c r="D2874" s="629"/>
      <c r="E2874" s="629"/>
      <c r="F2874" s="629"/>
      <c r="G2874" s="629"/>
      <c r="H2874" s="629"/>
      <c r="I2874" s="629"/>
      <c r="J2874" s="629"/>
      <c r="K2874" s="629"/>
      <c r="L2874" s="629"/>
      <c r="M2874" s="629"/>
      <c r="N2874" s="629"/>
      <c r="O2874" s="629"/>
      <c r="P2874" s="629"/>
      <c r="Q2874" s="629"/>
      <c r="R2874" s="629"/>
    </row>
    <row r="2875" spans="1:18" ht="24">
      <c r="A2875" s="165">
        <v>252</v>
      </c>
      <c r="B2875" s="162" t="s">
        <v>5242</v>
      </c>
      <c r="C2875" s="166" t="s">
        <v>5243</v>
      </c>
      <c r="D2875" s="167">
        <v>17.989999999999998</v>
      </c>
      <c r="E2875" s="167">
        <v>12.29</v>
      </c>
      <c r="F2875" s="167">
        <v>2.77</v>
      </c>
      <c r="G2875" s="167">
        <v>2.93</v>
      </c>
      <c r="H2875" s="168">
        <v>180.77</v>
      </c>
      <c r="I2875" s="168">
        <v>141.38999999999999</v>
      </c>
      <c r="J2875" s="168">
        <v>14.93</v>
      </c>
      <c r="K2875" s="168">
        <v>24.45</v>
      </c>
      <c r="L2875" s="43">
        <v>10.048360200111174</v>
      </c>
      <c r="M2875" s="43">
        <v>11.504475183075671</v>
      </c>
      <c r="N2875" s="43">
        <v>5.3898916967509027</v>
      </c>
      <c r="O2875" s="43">
        <v>8.3447098976109206</v>
      </c>
      <c r="P2875" s="169"/>
      <c r="Q2875" s="169"/>
      <c r="R2875" s="169">
        <v>4</v>
      </c>
    </row>
    <row r="2876" spans="1:18" ht="24">
      <c r="A2876" s="165">
        <v>253</v>
      </c>
      <c r="B2876" s="162" t="s">
        <v>5244</v>
      </c>
      <c r="C2876" s="166" t="s">
        <v>5245</v>
      </c>
      <c r="D2876" s="167">
        <v>32.119999999999997</v>
      </c>
      <c r="E2876" s="167">
        <v>15.05</v>
      </c>
      <c r="F2876" s="167">
        <v>8.32</v>
      </c>
      <c r="G2876" s="167">
        <v>8.75</v>
      </c>
      <c r="H2876" s="168">
        <v>289.33999999999997</v>
      </c>
      <c r="I2876" s="168">
        <v>173.1</v>
      </c>
      <c r="J2876" s="168">
        <v>44.77</v>
      </c>
      <c r="K2876" s="168">
        <v>71.47</v>
      </c>
      <c r="L2876" s="43">
        <v>9.0080946450809467</v>
      </c>
      <c r="M2876" s="43">
        <v>11.501661129568106</v>
      </c>
      <c r="N2876" s="43">
        <v>5.3810096153846159</v>
      </c>
      <c r="O2876" s="43">
        <v>8.1679999999999993</v>
      </c>
      <c r="P2876" s="169"/>
      <c r="Q2876" s="169"/>
      <c r="R2876" s="169">
        <v>4</v>
      </c>
    </row>
    <row r="2877" spans="1:18" ht="24">
      <c r="A2877" s="165">
        <v>254</v>
      </c>
      <c r="B2877" s="162" t="s">
        <v>5246</v>
      </c>
      <c r="C2877" s="166" t="s">
        <v>5247</v>
      </c>
      <c r="D2877" s="167">
        <v>55.3</v>
      </c>
      <c r="E2877" s="167">
        <v>20.45</v>
      </c>
      <c r="F2877" s="167">
        <v>24.96</v>
      </c>
      <c r="G2877" s="167">
        <v>9.89</v>
      </c>
      <c r="H2877" s="168">
        <v>450.55</v>
      </c>
      <c r="I2877" s="168">
        <v>235.21</v>
      </c>
      <c r="J2877" s="168">
        <v>134.31</v>
      </c>
      <c r="K2877" s="168">
        <v>81.03</v>
      </c>
      <c r="L2877" s="43">
        <v>8.1473779385171792</v>
      </c>
      <c r="M2877" s="43">
        <v>11.501711491442544</v>
      </c>
      <c r="N2877" s="43">
        <v>5.381009615384615</v>
      </c>
      <c r="O2877" s="43">
        <v>8.1931243680485331</v>
      </c>
      <c r="P2877" s="169"/>
      <c r="Q2877" s="169"/>
      <c r="R2877" s="169">
        <v>4</v>
      </c>
    </row>
    <row r="2878" spans="1:18" ht="24">
      <c r="A2878" s="165">
        <v>255</v>
      </c>
      <c r="B2878" s="162" t="s">
        <v>5248</v>
      </c>
      <c r="C2878" s="166" t="s">
        <v>5249</v>
      </c>
      <c r="D2878" s="167">
        <v>74.44</v>
      </c>
      <c r="E2878" s="167">
        <v>29.64</v>
      </c>
      <c r="F2878" s="167">
        <v>30.51</v>
      </c>
      <c r="G2878" s="167">
        <v>14.29</v>
      </c>
      <c r="H2878" s="168">
        <v>622.19000000000005</v>
      </c>
      <c r="I2878" s="168">
        <v>340.92</v>
      </c>
      <c r="J2878" s="168">
        <v>164.16</v>
      </c>
      <c r="K2878" s="168">
        <v>117.11</v>
      </c>
      <c r="L2878" s="43">
        <v>8.3582751209027411</v>
      </c>
      <c r="M2878" s="43">
        <v>11.502024291497976</v>
      </c>
      <c r="N2878" s="43">
        <v>5.3805309734513269</v>
      </c>
      <c r="O2878" s="43">
        <v>8.1952414275717285</v>
      </c>
      <c r="P2878" s="169"/>
      <c r="Q2878" s="169"/>
      <c r="R2878" s="169">
        <v>4</v>
      </c>
    </row>
    <row r="2879" spans="1:18" ht="12.75" customHeight="1">
      <c r="A2879" s="628" t="s">
        <v>5250</v>
      </c>
      <c r="B2879" s="629"/>
      <c r="C2879" s="629"/>
      <c r="D2879" s="629"/>
      <c r="E2879" s="629"/>
      <c r="F2879" s="629"/>
      <c r="G2879" s="629"/>
      <c r="H2879" s="629"/>
      <c r="I2879" s="629"/>
      <c r="J2879" s="629"/>
      <c r="K2879" s="629"/>
      <c r="L2879" s="629"/>
      <c r="M2879" s="629"/>
      <c r="N2879" s="629"/>
      <c r="O2879" s="629"/>
      <c r="P2879" s="629"/>
      <c r="Q2879" s="629"/>
      <c r="R2879" s="629"/>
    </row>
    <row r="2880" spans="1:18" ht="24">
      <c r="A2880" s="165">
        <v>256</v>
      </c>
      <c r="B2880" s="162" t="s">
        <v>5251</v>
      </c>
      <c r="C2880" s="166" t="s">
        <v>5252</v>
      </c>
      <c r="D2880" s="167">
        <v>71.260000000000005</v>
      </c>
      <c r="E2880" s="167">
        <v>31.94</v>
      </c>
      <c r="F2880" s="167">
        <v>22.75</v>
      </c>
      <c r="G2880" s="167">
        <v>16.57</v>
      </c>
      <c r="H2880" s="168">
        <v>569.22</v>
      </c>
      <c r="I2880" s="168">
        <v>367.35</v>
      </c>
      <c r="J2880" s="168">
        <v>118.05</v>
      </c>
      <c r="K2880" s="168">
        <v>83.82</v>
      </c>
      <c r="L2880" s="43">
        <v>7.9879315183833848</v>
      </c>
      <c r="M2880" s="43">
        <v>11.501252348152788</v>
      </c>
      <c r="N2880" s="43">
        <v>5.1890109890109892</v>
      </c>
      <c r="O2880" s="43">
        <v>5.0585395292697646</v>
      </c>
      <c r="P2880" s="169"/>
      <c r="Q2880" s="169"/>
      <c r="R2880" s="169">
        <v>5</v>
      </c>
    </row>
    <row r="2881" spans="1:18" ht="24">
      <c r="A2881" s="165">
        <v>257</v>
      </c>
      <c r="B2881" s="162" t="s">
        <v>5253</v>
      </c>
      <c r="C2881" s="166" t="s">
        <v>5254</v>
      </c>
      <c r="D2881" s="167">
        <v>99.43</v>
      </c>
      <c r="E2881" s="167">
        <v>49.64</v>
      </c>
      <c r="F2881" s="167">
        <v>32.869999999999997</v>
      </c>
      <c r="G2881" s="167">
        <v>16.920000000000002</v>
      </c>
      <c r="H2881" s="168">
        <v>827.98</v>
      </c>
      <c r="I2881" s="168">
        <v>570.84</v>
      </c>
      <c r="J2881" s="168">
        <v>169.29</v>
      </c>
      <c r="K2881" s="168">
        <v>87.85</v>
      </c>
      <c r="L2881" s="43">
        <v>8.3272654128532633</v>
      </c>
      <c r="M2881" s="43">
        <v>11.499597099113618</v>
      </c>
      <c r="N2881" s="43">
        <v>5.1502890173410405</v>
      </c>
      <c r="O2881" s="43">
        <v>5.1920803782505898</v>
      </c>
      <c r="P2881" s="169"/>
      <c r="Q2881" s="169"/>
      <c r="R2881" s="169">
        <v>5</v>
      </c>
    </row>
    <row r="2882" spans="1:18" ht="24">
      <c r="A2882" s="165">
        <v>258</v>
      </c>
      <c r="B2882" s="162" t="s">
        <v>5255</v>
      </c>
      <c r="C2882" s="166" t="s">
        <v>5256</v>
      </c>
      <c r="D2882" s="167">
        <v>198.4</v>
      </c>
      <c r="E2882" s="167">
        <v>70.78</v>
      </c>
      <c r="F2882" s="167">
        <v>85.86</v>
      </c>
      <c r="G2882" s="167">
        <v>41.76</v>
      </c>
      <c r="H2882" s="168">
        <v>1533.94</v>
      </c>
      <c r="I2882" s="168">
        <v>813.98</v>
      </c>
      <c r="J2882" s="168">
        <v>430.58</v>
      </c>
      <c r="K2882" s="168">
        <v>289.38</v>
      </c>
      <c r="L2882" s="43">
        <v>7.7315524193548386</v>
      </c>
      <c r="M2882" s="43">
        <v>11.500141282848261</v>
      </c>
      <c r="N2882" s="43">
        <v>5.0149079897507569</v>
      </c>
      <c r="O2882" s="43">
        <v>6.9295977011494259</v>
      </c>
      <c r="P2882" s="169"/>
      <c r="Q2882" s="169"/>
      <c r="R2882" s="169">
        <v>5</v>
      </c>
    </row>
    <row r="2883" spans="1:18" ht="24">
      <c r="A2883" s="165">
        <v>259</v>
      </c>
      <c r="B2883" s="162" t="s">
        <v>5257</v>
      </c>
      <c r="C2883" s="166" t="s">
        <v>5258</v>
      </c>
      <c r="D2883" s="167">
        <v>1012.75</v>
      </c>
      <c r="E2883" s="167">
        <v>260.82</v>
      </c>
      <c r="F2883" s="167">
        <v>329.46</v>
      </c>
      <c r="G2883" s="167">
        <v>422.47</v>
      </c>
      <c r="H2883" s="168">
        <v>6808.19</v>
      </c>
      <c r="I2883" s="168">
        <v>2999.58</v>
      </c>
      <c r="J2883" s="168">
        <v>1592.79</v>
      </c>
      <c r="K2883" s="168">
        <v>2215.8200000000002</v>
      </c>
      <c r="L2883" s="43">
        <v>6.722478400394964</v>
      </c>
      <c r="M2883" s="43">
        <v>11.500575109270761</v>
      </c>
      <c r="N2883" s="43">
        <v>4.8345474412675289</v>
      </c>
      <c r="O2883" s="43">
        <v>5.244916798825952</v>
      </c>
      <c r="P2883" s="169"/>
      <c r="Q2883" s="169"/>
      <c r="R2883" s="169">
        <v>5</v>
      </c>
    </row>
    <row r="2884" spans="1:18" ht="24">
      <c r="A2884" s="165">
        <v>260</v>
      </c>
      <c r="B2884" s="162" t="s">
        <v>5259</v>
      </c>
      <c r="C2884" s="166" t="s">
        <v>5260</v>
      </c>
      <c r="D2884" s="167">
        <v>3953.1</v>
      </c>
      <c r="E2884" s="167">
        <v>503.26</v>
      </c>
      <c r="F2884" s="167">
        <v>2900.38</v>
      </c>
      <c r="G2884" s="167">
        <v>549.46</v>
      </c>
      <c r="H2884" s="168">
        <v>22327.41</v>
      </c>
      <c r="I2884" s="168">
        <v>5787.73</v>
      </c>
      <c r="J2884" s="168">
        <v>13809.87</v>
      </c>
      <c r="K2884" s="168">
        <v>2729.81</v>
      </c>
      <c r="L2884" s="43">
        <v>5.6480761933672312</v>
      </c>
      <c r="M2884" s="43">
        <v>11.500476890672813</v>
      </c>
      <c r="N2884" s="43">
        <v>4.7614002303146483</v>
      </c>
      <c r="O2884" s="43">
        <v>4.9681687474975424</v>
      </c>
      <c r="P2884" s="169"/>
      <c r="Q2884" s="169"/>
      <c r="R2884" s="169">
        <v>5</v>
      </c>
    </row>
    <row r="2885" spans="1:18" ht="24">
      <c r="A2885" s="165">
        <v>261</v>
      </c>
      <c r="B2885" s="162" t="s">
        <v>5261</v>
      </c>
      <c r="C2885" s="166" t="s">
        <v>5262</v>
      </c>
      <c r="D2885" s="167">
        <v>6217.49</v>
      </c>
      <c r="E2885" s="167">
        <v>839.92</v>
      </c>
      <c r="F2885" s="167">
        <v>4741.0200000000004</v>
      </c>
      <c r="G2885" s="167">
        <v>636.54999999999995</v>
      </c>
      <c r="H2885" s="168">
        <v>35462.71</v>
      </c>
      <c r="I2885" s="168">
        <v>9659.43</v>
      </c>
      <c r="J2885" s="168">
        <v>22794.15</v>
      </c>
      <c r="K2885" s="168">
        <v>3009.13</v>
      </c>
      <c r="L2885" s="43">
        <v>5.7037019761993992</v>
      </c>
      <c r="M2885" s="43">
        <v>11.500416706352986</v>
      </c>
      <c r="N2885" s="43">
        <v>4.8078578027513066</v>
      </c>
      <c r="O2885" s="43">
        <v>4.7272484486686048</v>
      </c>
      <c r="P2885" s="169"/>
      <c r="Q2885" s="169"/>
      <c r="R2885" s="169">
        <v>5</v>
      </c>
    </row>
    <row r="2886" spans="1:18" ht="12.75" customHeight="1">
      <c r="A2886" s="628" t="s">
        <v>5263</v>
      </c>
      <c r="B2886" s="629"/>
      <c r="C2886" s="629"/>
      <c r="D2886" s="629"/>
      <c r="E2886" s="629"/>
      <c r="F2886" s="629"/>
      <c r="G2886" s="629"/>
      <c r="H2886" s="629"/>
      <c r="I2886" s="629"/>
      <c r="J2886" s="629"/>
      <c r="K2886" s="629"/>
      <c r="L2886" s="629"/>
      <c r="M2886" s="629"/>
      <c r="N2886" s="629"/>
      <c r="O2886" s="629"/>
      <c r="P2886" s="629"/>
      <c r="Q2886" s="629"/>
      <c r="R2886" s="629"/>
    </row>
    <row r="2887" spans="1:18" ht="24">
      <c r="A2887" s="165">
        <v>262</v>
      </c>
      <c r="B2887" s="162" t="s">
        <v>5264</v>
      </c>
      <c r="C2887" s="166" t="s">
        <v>5265</v>
      </c>
      <c r="D2887" s="167">
        <v>105.89</v>
      </c>
      <c r="E2887" s="167">
        <v>55.15</v>
      </c>
      <c r="F2887" s="167">
        <v>7.35</v>
      </c>
      <c r="G2887" s="167">
        <v>43.39</v>
      </c>
      <c r="H2887" s="168">
        <v>888.16</v>
      </c>
      <c r="I2887" s="168">
        <v>634.27</v>
      </c>
      <c r="J2887" s="168">
        <v>36.32</v>
      </c>
      <c r="K2887" s="168">
        <v>217.57</v>
      </c>
      <c r="L2887" s="43">
        <v>8.3875720086882612</v>
      </c>
      <c r="M2887" s="43">
        <v>11.50081595648232</v>
      </c>
      <c r="N2887" s="43">
        <v>4.9414965986394561</v>
      </c>
      <c r="O2887" s="43">
        <v>5.0142890066835673</v>
      </c>
      <c r="P2887" s="169"/>
      <c r="Q2887" s="169"/>
      <c r="R2887" s="169">
        <v>6</v>
      </c>
    </row>
    <row r="2888" spans="1:18" ht="24">
      <c r="A2888" s="165">
        <v>263</v>
      </c>
      <c r="B2888" s="162" t="s">
        <v>5266</v>
      </c>
      <c r="C2888" s="166" t="s">
        <v>5267</v>
      </c>
      <c r="D2888" s="167">
        <v>122.39</v>
      </c>
      <c r="E2888" s="167">
        <v>58.37</v>
      </c>
      <c r="F2888" s="167">
        <v>20.25</v>
      </c>
      <c r="G2888" s="167">
        <v>43.77</v>
      </c>
      <c r="H2888" s="168">
        <v>994.59</v>
      </c>
      <c r="I2888" s="168">
        <v>671.27</v>
      </c>
      <c r="J2888" s="168">
        <v>102.46</v>
      </c>
      <c r="K2888" s="168">
        <v>220.86</v>
      </c>
      <c r="L2888" s="43">
        <v>8.1263992156221914</v>
      </c>
      <c r="M2888" s="43">
        <v>11.500256981326023</v>
      </c>
      <c r="N2888" s="43">
        <v>5.0597530864197529</v>
      </c>
      <c r="O2888" s="43">
        <v>5.0459218642906096</v>
      </c>
      <c r="P2888" s="169"/>
      <c r="Q2888" s="169"/>
      <c r="R2888" s="169">
        <v>6</v>
      </c>
    </row>
    <row r="2889" spans="1:18" ht="24">
      <c r="A2889" s="165">
        <v>264</v>
      </c>
      <c r="B2889" s="162" t="s">
        <v>5268</v>
      </c>
      <c r="C2889" s="166" t="s">
        <v>5269</v>
      </c>
      <c r="D2889" s="167">
        <v>189.58</v>
      </c>
      <c r="E2889" s="167">
        <v>107.66</v>
      </c>
      <c r="F2889" s="167">
        <v>25.8</v>
      </c>
      <c r="G2889" s="167">
        <v>56.12</v>
      </c>
      <c r="H2889" s="168">
        <v>1668.2</v>
      </c>
      <c r="I2889" s="168">
        <v>1238.1500000000001</v>
      </c>
      <c r="J2889" s="168">
        <v>132.31</v>
      </c>
      <c r="K2889" s="168">
        <v>297.74</v>
      </c>
      <c r="L2889" s="43">
        <v>8.7994514189260471</v>
      </c>
      <c r="M2889" s="43">
        <v>11.500557310050159</v>
      </c>
      <c r="N2889" s="43">
        <v>5.1282945736434105</v>
      </c>
      <c r="O2889" s="43">
        <v>5.3054169636493231</v>
      </c>
      <c r="P2889" s="169"/>
      <c r="Q2889" s="169"/>
      <c r="R2889" s="169">
        <v>6</v>
      </c>
    </row>
    <row r="2890" spans="1:18" ht="24">
      <c r="A2890" s="165">
        <v>265</v>
      </c>
      <c r="B2890" s="162" t="s">
        <v>5270</v>
      </c>
      <c r="C2890" s="166" t="s">
        <v>5271</v>
      </c>
      <c r="D2890" s="167">
        <v>90.33</v>
      </c>
      <c r="E2890" s="167">
        <v>67.45</v>
      </c>
      <c r="F2890" s="167">
        <v>1.53</v>
      </c>
      <c r="G2890" s="167">
        <v>21.35</v>
      </c>
      <c r="H2890" s="168">
        <v>882.81</v>
      </c>
      <c r="I2890" s="168">
        <v>775.66</v>
      </c>
      <c r="J2890" s="168">
        <v>7.13</v>
      </c>
      <c r="K2890" s="168">
        <v>100.02</v>
      </c>
      <c r="L2890" s="43">
        <v>9.7731650614413805</v>
      </c>
      <c r="M2890" s="43">
        <v>11.4997776130467</v>
      </c>
      <c r="N2890" s="43">
        <v>4.6601307189542478</v>
      </c>
      <c r="O2890" s="43">
        <v>4.6847775175644024</v>
      </c>
      <c r="P2890" s="169"/>
      <c r="Q2890" s="169"/>
      <c r="R2890" s="169">
        <v>6</v>
      </c>
    </row>
    <row r="2891" spans="1:18" ht="12.75" customHeight="1">
      <c r="A2891" s="628" t="s">
        <v>5272</v>
      </c>
      <c r="B2891" s="629"/>
      <c r="C2891" s="629"/>
      <c r="D2891" s="629"/>
      <c r="E2891" s="629"/>
      <c r="F2891" s="629"/>
      <c r="G2891" s="629"/>
      <c r="H2891" s="629"/>
      <c r="I2891" s="629"/>
      <c r="J2891" s="629"/>
      <c r="K2891" s="629"/>
      <c r="L2891" s="629"/>
      <c r="M2891" s="629"/>
      <c r="N2891" s="629"/>
      <c r="O2891" s="629"/>
      <c r="P2891" s="629"/>
      <c r="Q2891" s="629"/>
      <c r="R2891" s="629"/>
    </row>
    <row r="2892" spans="1:18" ht="24">
      <c r="A2892" s="165">
        <v>266</v>
      </c>
      <c r="B2892" s="162" t="s">
        <v>5273</v>
      </c>
      <c r="C2892" s="166" t="s">
        <v>5274</v>
      </c>
      <c r="D2892" s="167">
        <v>168.66</v>
      </c>
      <c r="E2892" s="167">
        <v>81.12</v>
      </c>
      <c r="F2892" s="167">
        <v>44.52</v>
      </c>
      <c r="G2892" s="167">
        <v>43.02</v>
      </c>
      <c r="H2892" s="168">
        <v>1371.75</v>
      </c>
      <c r="I2892" s="168">
        <v>932.91</v>
      </c>
      <c r="J2892" s="168">
        <v>227.64</v>
      </c>
      <c r="K2892" s="168">
        <v>211.2</v>
      </c>
      <c r="L2892" s="43">
        <v>8.1332266097474211</v>
      </c>
      <c r="M2892" s="43">
        <v>11.500369822485206</v>
      </c>
      <c r="N2892" s="43">
        <v>5.1132075471698109</v>
      </c>
      <c r="O2892" s="43">
        <v>4.9093444909344486</v>
      </c>
      <c r="P2892" s="169"/>
      <c r="Q2892" s="169"/>
      <c r="R2892" s="169">
        <v>7</v>
      </c>
    </row>
    <row r="2893" spans="1:18" ht="24">
      <c r="A2893" s="165">
        <v>267</v>
      </c>
      <c r="B2893" s="162" t="s">
        <v>5275</v>
      </c>
      <c r="C2893" s="166" t="s">
        <v>5276</v>
      </c>
      <c r="D2893" s="167">
        <v>226.84</v>
      </c>
      <c r="E2893" s="167">
        <v>142.47999999999999</v>
      </c>
      <c r="F2893" s="167">
        <v>58.95</v>
      </c>
      <c r="G2893" s="167">
        <v>25.41</v>
      </c>
      <c r="H2893" s="168">
        <v>2072.92</v>
      </c>
      <c r="I2893" s="168">
        <v>1638.54</v>
      </c>
      <c r="J2893" s="168">
        <v>300.93</v>
      </c>
      <c r="K2893" s="168">
        <v>133.44999999999999</v>
      </c>
      <c r="L2893" s="43">
        <v>9.1382472227120441</v>
      </c>
      <c r="M2893" s="43">
        <v>11.500140370578327</v>
      </c>
      <c r="N2893" s="43">
        <v>5.1048346055979641</v>
      </c>
      <c r="O2893" s="43">
        <v>5.2518693427784333</v>
      </c>
      <c r="P2893" s="169"/>
      <c r="Q2893" s="169"/>
      <c r="R2893" s="169">
        <v>7</v>
      </c>
    </row>
    <row r="2894" spans="1:18" ht="12.75" customHeight="1">
      <c r="A2894" s="628" t="s">
        <v>4859</v>
      </c>
      <c r="B2894" s="629"/>
      <c r="C2894" s="629"/>
      <c r="D2894" s="629"/>
      <c r="E2894" s="629"/>
      <c r="F2894" s="629"/>
      <c r="G2894" s="629"/>
      <c r="H2894" s="629"/>
      <c r="I2894" s="629"/>
      <c r="J2894" s="629"/>
      <c r="K2894" s="629"/>
      <c r="L2894" s="629"/>
      <c r="M2894" s="629"/>
      <c r="N2894" s="629"/>
      <c r="O2894" s="629"/>
      <c r="P2894" s="629"/>
      <c r="Q2894" s="629"/>
      <c r="R2894" s="629"/>
    </row>
    <row r="2895" spans="1:18" ht="24">
      <c r="A2895" s="165">
        <v>268</v>
      </c>
      <c r="B2895" s="162" t="s">
        <v>5277</v>
      </c>
      <c r="C2895" s="166" t="s">
        <v>5278</v>
      </c>
      <c r="D2895" s="167">
        <v>275.86</v>
      </c>
      <c r="E2895" s="167">
        <v>91.35</v>
      </c>
      <c r="F2895" s="167">
        <v>143.27000000000001</v>
      </c>
      <c r="G2895" s="167">
        <v>41.24</v>
      </c>
      <c r="H2895" s="168">
        <v>2006.58</v>
      </c>
      <c r="I2895" s="168">
        <v>1050.51</v>
      </c>
      <c r="J2895" s="168">
        <v>745.97</v>
      </c>
      <c r="K2895" s="168">
        <v>210.1</v>
      </c>
      <c r="L2895" s="43">
        <v>7.2739070543029065</v>
      </c>
      <c r="M2895" s="43">
        <v>11.49983579638752</v>
      </c>
      <c r="N2895" s="43">
        <v>5.2067425141341523</v>
      </c>
      <c r="O2895" s="43">
        <v>5.094568380213385</v>
      </c>
      <c r="P2895" s="169"/>
      <c r="Q2895" s="169"/>
      <c r="R2895" s="169">
        <v>8</v>
      </c>
    </row>
    <row r="2896" spans="1:18" ht="24">
      <c r="A2896" s="165">
        <v>269</v>
      </c>
      <c r="B2896" s="162" t="s">
        <v>5279</v>
      </c>
      <c r="C2896" s="166" t="s">
        <v>5280</v>
      </c>
      <c r="D2896" s="167">
        <v>1237.6099999999999</v>
      </c>
      <c r="E2896" s="167">
        <v>375.72</v>
      </c>
      <c r="F2896" s="167">
        <v>767.53</v>
      </c>
      <c r="G2896" s="167">
        <v>94.36</v>
      </c>
      <c r="H2896" s="168">
        <v>8772.2000000000007</v>
      </c>
      <c r="I2896" s="168">
        <v>4320.9799999999996</v>
      </c>
      <c r="J2896" s="168">
        <v>3941.5</v>
      </c>
      <c r="K2896" s="168">
        <v>509.72</v>
      </c>
      <c r="L2896" s="43">
        <v>7.0880164187425772</v>
      </c>
      <c r="M2896" s="43">
        <v>11.500532311295643</v>
      </c>
      <c r="N2896" s="43">
        <v>5.1353041574922154</v>
      </c>
      <c r="O2896" s="43">
        <v>5.4018651971174227</v>
      </c>
      <c r="P2896" s="169"/>
      <c r="Q2896" s="169"/>
      <c r="R2896" s="169">
        <v>8</v>
      </c>
    </row>
    <row r="2897" spans="1:18" ht="12.75" customHeight="1">
      <c r="A2897" s="628" t="s">
        <v>4834</v>
      </c>
      <c r="B2897" s="629"/>
      <c r="C2897" s="629"/>
      <c r="D2897" s="629"/>
      <c r="E2897" s="629"/>
      <c r="F2897" s="629"/>
      <c r="G2897" s="629"/>
      <c r="H2897" s="629"/>
      <c r="I2897" s="629"/>
      <c r="J2897" s="629"/>
      <c r="K2897" s="629"/>
      <c r="L2897" s="629"/>
      <c r="M2897" s="629"/>
      <c r="N2897" s="629"/>
      <c r="O2897" s="629"/>
      <c r="P2897" s="629"/>
      <c r="Q2897" s="629"/>
      <c r="R2897" s="629"/>
    </row>
    <row r="2898" spans="1:18" ht="24">
      <c r="A2898" s="165">
        <v>270</v>
      </c>
      <c r="B2898" s="162" t="s">
        <v>5281</v>
      </c>
      <c r="C2898" s="166" t="s">
        <v>5282</v>
      </c>
      <c r="D2898" s="167">
        <v>8998.81</v>
      </c>
      <c r="E2898" s="167">
        <v>4010.01</v>
      </c>
      <c r="F2898" s="167">
        <v>4353.1499999999996</v>
      </c>
      <c r="G2898" s="167">
        <v>635.65</v>
      </c>
      <c r="H2898" s="168">
        <v>71023.83</v>
      </c>
      <c r="I2898" s="168">
        <v>46116.86</v>
      </c>
      <c r="J2898" s="168">
        <v>21221.83</v>
      </c>
      <c r="K2898" s="168">
        <v>3685.14</v>
      </c>
      <c r="L2898" s="43">
        <v>7.8925802411652217</v>
      </c>
      <c r="M2898" s="43">
        <v>11.500435161009573</v>
      </c>
      <c r="N2898" s="43">
        <v>4.8750513995612383</v>
      </c>
      <c r="O2898" s="43">
        <v>5.7974356957445137</v>
      </c>
      <c r="P2898" s="169"/>
      <c r="Q2898" s="169"/>
      <c r="R2898" s="169">
        <v>9</v>
      </c>
    </row>
    <row r="2899" spans="1:18" ht="12.75" customHeight="1">
      <c r="A2899" s="628" t="s">
        <v>4958</v>
      </c>
      <c r="B2899" s="629"/>
      <c r="C2899" s="629"/>
      <c r="D2899" s="629"/>
      <c r="E2899" s="629"/>
      <c r="F2899" s="629"/>
      <c r="G2899" s="629"/>
      <c r="H2899" s="629"/>
      <c r="I2899" s="629"/>
      <c r="J2899" s="629"/>
      <c r="K2899" s="629"/>
      <c r="L2899" s="629"/>
      <c r="M2899" s="629"/>
      <c r="N2899" s="629"/>
      <c r="O2899" s="629"/>
      <c r="P2899" s="629"/>
      <c r="Q2899" s="629"/>
      <c r="R2899" s="629"/>
    </row>
    <row r="2900" spans="1:18" ht="24">
      <c r="A2900" s="165">
        <v>271</v>
      </c>
      <c r="B2900" s="162" t="s">
        <v>5283</v>
      </c>
      <c r="C2900" s="166" t="s">
        <v>5284</v>
      </c>
      <c r="D2900" s="167">
        <v>35.75</v>
      </c>
      <c r="E2900" s="167">
        <v>12.98</v>
      </c>
      <c r="F2900" s="167">
        <v>7.07</v>
      </c>
      <c r="G2900" s="167">
        <v>15.7</v>
      </c>
      <c r="H2900" s="168">
        <v>267.33999999999997</v>
      </c>
      <c r="I2900" s="168">
        <v>149.32</v>
      </c>
      <c r="J2900" s="168">
        <v>36.97</v>
      </c>
      <c r="K2900" s="168">
        <v>81.05</v>
      </c>
      <c r="L2900" s="43">
        <v>7.478041958041957</v>
      </c>
      <c r="M2900" s="43">
        <v>11.503852080123266</v>
      </c>
      <c r="N2900" s="43">
        <v>5.2291371994342288</v>
      </c>
      <c r="O2900" s="43">
        <v>5.1624203821656049</v>
      </c>
      <c r="P2900" s="169"/>
      <c r="Q2900" s="169"/>
      <c r="R2900" s="169">
        <v>10</v>
      </c>
    </row>
    <row r="2901" spans="1:18" ht="17.25" customHeight="1">
      <c r="A2901" s="628" t="s">
        <v>5285</v>
      </c>
      <c r="B2901" s="629"/>
      <c r="C2901" s="629"/>
      <c r="D2901" s="629"/>
      <c r="E2901" s="629"/>
      <c r="F2901" s="629"/>
      <c r="G2901" s="629"/>
      <c r="H2901" s="629"/>
      <c r="I2901" s="629"/>
      <c r="J2901" s="629"/>
      <c r="K2901" s="629"/>
      <c r="L2901" s="629"/>
      <c r="M2901" s="629"/>
      <c r="N2901" s="629"/>
      <c r="O2901" s="629"/>
      <c r="P2901" s="629"/>
      <c r="Q2901" s="629"/>
      <c r="R2901" s="629"/>
    </row>
    <row r="2902" spans="1:18" ht="24">
      <c r="A2902" s="165">
        <v>272</v>
      </c>
      <c r="B2902" s="162" t="s">
        <v>5286</v>
      </c>
      <c r="C2902" s="166" t="s">
        <v>5287</v>
      </c>
      <c r="D2902" s="167">
        <v>1610.16</v>
      </c>
      <c r="E2902" s="167">
        <v>247.04</v>
      </c>
      <c r="F2902" s="167">
        <v>623.85</v>
      </c>
      <c r="G2902" s="167">
        <v>739.27</v>
      </c>
      <c r="H2902" s="168">
        <v>10978.49</v>
      </c>
      <c r="I2902" s="168">
        <v>2841.01</v>
      </c>
      <c r="J2902" s="168">
        <v>3354.93</v>
      </c>
      <c r="K2902" s="168">
        <v>4782.55</v>
      </c>
      <c r="L2902" s="43">
        <v>6.8182602971133299</v>
      </c>
      <c r="M2902" s="43">
        <v>11.500202396373059</v>
      </c>
      <c r="N2902" s="43">
        <v>5.3777831209425342</v>
      </c>
      <c r="O2902" s="43">
        <v>6.4692872698743358</v>
      </c>
      <c r="P2902" s="169"/>
      <c r="Q2902" s="169"/>
      <c r="R2902" s="169">
        <v>11</v>
      </c>
    </row>
    <row r="2903" spans="1:18" ht="24">
      <c r="A2903" s="165">
        <v>273</v>
      </c>
      <c r="B2903" s="162" t="s">
        <v>5288</v>
      </c>
      <c r="C2903" s="166" t="s">
        <v>5289</v>
      </c>
      <c r="D2903" s="167">
        <v>2757.95</v>
      </c>
      <c r="E2903" s="167">
        <v>345.85</v>
      </c>
      <c r="F2903" s="167">
        <v>1337.35</v>
      </c>
      <c r="G2903" s="167">
        <v>1074.75</v>
      </c>
      <c r="H2903" s="168">
        <v>18276.62</v>
      </c>
      <c r="I2903" s="168">
        <v>3977.41</v>
      </c>
      <c r="J2903" s="168">
        <v>7194.02</v>
      </c>
      <c r="K2903" s="168">
        <v>7105.19</v>
      </c>
      <c r="L2903" s="43">
        <v>6.6268859116372667</v>
      </c>
      <c r="M2903" s="43">
        <v>11.500390342634089</v>
      </c>
      <c r="N2903" s="43">
        <v>5.379309829139717</v>
      </c>
      <c r="O2903" s="43">
        <v>6.6110165154687133</v>
      </c>
      <c r="P2903" s="169"/>
      <c r="Q2903" s="169"/>
      <c r="R2903" s="169">
        <v>11</v>
      </c>
    </row>
    <row r="2904" spans="1:18" ht="24">
      <c r="A2904" s="165">
        <v>274</v>
      </c>
      <c r="B2904" s="162" t="s">
        <v>5290</v>
      </c>
      <c r="C2904" s="166" t="s">
        <v>5291</v>
      </c>
      <c r="D2904" s="167">
        <v>3427.06</v>
      </c>
      <c r="E2904" s="167">
        <v>511.31</v>
      </c>
      <c r="F2904" s="167">
        <v>1337.35</v>
      </c>
      <c r="G2904" s="167">
        <v>1578.4</v>
      </c>
      <c r="H2904" s="168">
        <v>23150.42</v>
      </c>
      <c r="I2904" s="168">
        <v>5880.23</v>
      </c>
      <c r="J2904" s="168">
        <v>7194.02</v>
      </c>
      <c r="K2904" s="168">
        <v>10076.17</v>
      </c>
      <c r="L2904" s="43">
        <v>6.7551837435002593</v>
      </c>
      <c r="M2904" s="43">
        <v>11.500322700514364</v>
      </c>
      <c r="N2904" s="43">
        <v>5.379309829139717</v>
      </c>
      <c r="O2904" s="43">
        <v>6.3837873796249367</v>
      </c>
      <c r="P2904" s="169"/>
      <c r="Q2904" s="169"/>
      <c r="R2904" s="169">
        <v>11</v>
      </c>
    </row>
    <row r="2905" spans="1:18" ht="24">
      <c r="A2905" s="165">
        <v>275</v>
      </c>
      <c r="B2905" s="162" t="s">
        <v>5292</v>
      </c>
      <c r="C2905" s="166" t="s">
        <v>5293</v>
      </c>
      <c r="D2905" s="167">
        <v>6041.89</v>
      </c>
      <c r="E2905" s="167">
        <v>723.87</v>
      </c>
      <c r="F2905" s="167">
        <v>3074.71</v>
      </c>
      <c r="G2905" s="167">
        <v>2243.31</v>
      </c>
      <c r="H2905" s="168">
        <v>39631.11</v>
      </c>
      <c r="I2905" s="168">
        <v>8324.82</v>
      </c>
      <c r="J2905" s="168">
        <v>16539.689999999999</v>
      </c>
      <c r="K2905" s="168">
        <v>14766.6</v>
      </c>
      <c r="L2905" s="43">
        <v>6.5593895287732806</v>
      </c>
      <c r="M2905" s="43">
        <v>11.500435161009573</v>
      </c>
      <c r="N2905" s="43">
        <v>5.3792682887166592</v>
      </c>
      <c r="O2905" s="43">
        <v>6.5825053158056628</v>
      </c>
      <c r="P2905" s="169"/>
      <c r="Q2905" s="169"/>
      <c r="R2905" s="169">
        <v>11</v>
      </c>
    </row>
    <row r="2906" spans="1:18" ht="24">
      <c r="A2906" s="165">
        <v>276</v>
      </c>
      <c r="B2906" s="162" t="s">
        <v>5294</v>
      </c>
      <c r="C2906" s="166" t="s">
        <v>5295</v>
      </c>
      <c r="D2906" s="167">
        <v>8586.16</v>
      </c>
      <c r="E2906" s="167">
        <v>1160.49</v>
      </c>
      <c r="F2906" s="167">
        <v>4964.74</v>
      </c>
      <c r="G2906" s="167">
        <v>2460.9299999999998</v>
      </c>
      <c r="H2906" s="168">
        <v>55619.7</v>
      </c>
      <c r="I2906" s="168">
        <v>13346.14</v>
      </c>
      <c r="J2906" s="168">
        <v>26712.71</v>
      </c>
      <c r="K2906" s="168">
        <v>15560.85</v>
      </c>
      <c r="L2906" s="43">
        <v>6.4778317664706924</v>
      </c>
      <c r="M2906" s="43">
        <v>11.500435161009573</v>
      </c>
      <c r="N2906" s="43">
        <v>5.3804851814999379</v>
      </c>
      <c r="O2906" s="43">
        <v>6.3231583181967794</v>
      </c>
      <c r="P2906" s="169"/>
      <c r="Q2906" s="169"/>
      <c r="R2906" s="169">
        <v>11</v>
      </c>
    </row>
    <row r="2907" spans="1:18" ht="12.75" customHeight="1">
      <c r="A2907" s="628" t="s">
        <v>5296</v>
      </c>
      <c r="B2907" s="629"/>
      <c r="C2907" s="629"/>
      <c r="D2907" s="629"/>
      <c r="E2907" s="629"/>
      <c r="F2907" s="629"/>
      <c r="G2907" s="629"/>
      <c r="H2907" s="629"/>
      <c r="I2907" s="629"/>
      <c r="J2907" s="629"/>
      <c r="K2907" s="629"/>
      <c r="L2907" s="629"/>
      <c r="M2907" s="629"/>
      <c r="N2907" s="629"/>
      <c r="O2907" s="629"/>
      <c r="P2907" s="629"/>
      <c r="Q2907" s="629"/>
      <c r="R2907" s="629"/>
    </row>
    <row r="2908" spans="1:18" ht="24">
      <c r="A2908" s="165">
        <v>277</v>
      </c>
      <c r="B2908" s="162" t="s">
        <v>5297</v>
      </c>
      <c r="C2908" s="166" t="s">
        <v>5298</v>
      </c>
      <c r="D2908" s="167">
        <v>1161.9000000000001</v>
      </c>
      <c r="E2908" s="167">
        <v>322.87</v>
      </c>
      <c r="F2908" s="167">
        <v>673.98</v>
      </c>
      <c r="G2908" s="167">
        <v>165.05</v>
      </c>
      <c r="H2908" s="168">
        <v>7972.47</v>
      </c>
      <c r="I2908" s="168">
        <v>3713.13</v>
      </c>
      <c r="J2908" s="168">
        <v>3626.37</v>
      </c>
      <c r="K2908" s="168">
        <v>632.97</v>
      </c>
      <c r="L2908" s="43">
        <v>6.8615801704105346</v>
      </c>
      <c r="M2908" s="43">
        <v>11.500387152724008</v>
      </c>
      <c r="N2908" s="43">
        <v>5.3805305795424196</v>
      </c>
      <c r="O2908" s="43">
        <v>3.8350196910027265</v>
      </c>
      <c r="P2908" s="169"/>
      <c r="Q2908" s="169"/>
      <c r="R2908" s="169">
        <v>12</v>
      </c>
    </row>
    <row r="2909" spans="1:18" ht="24">
      <c r="A2909" s="165">
        <v>278</v>
      </c>
      <c r="B2909" s="162" t="s">
        <v>5299</v>
      </c>
      <c r="C2909" s="166" t="s">
        <v>5300</v>
      </c>
      <c r="D2909" s="167">
        <v>1522.74</v>
      </c>
      <c r="E2909" s="167">
        <v>430.88</v>
      </c>
      <c r="F2909" s="167">
        <v>918.06</v>
      </c>
      <c r="G2909" s="167">
        <v>173.8</v>
      </c>
      <c r="H2909" s="168">
        <v>10605.76</v>
      </c>
      <c r="I2909" s="168">
        <v>4955.25</v>
      </c>
      <c r="J2909" s="168">
        <v>4939.6099999999997</v>
      </c>
      <c r="K2909" s="168">
        <v>710.9</v>
      </c>
      <c r="L2909" s="43">
        <v>6.9649185021737132</v>
      </c>
      <c r="M2909" s="43">
        <v>11.500301708132195</v>
      </c>
      <c r="N2909" s="43">
        <v>5.3804871141319737</v>
      </c>
      <c r="O2909" s="43">
        <v>4.0903337169159952</v>
      </c>
      <c r="P2909" s="169"/>
      <c r="Q2909" s="169"/>
      <c r="R2909" s="169">
        <v>12</v>
      </c>
    </row>
    <row r="2910" spans="1:18" ht="24">
      <c r="A2910" s="165">
        <v>279</v>
      </c>
      <c r="B2910" s="162" t="s">
        <v>5301</v>
      </c>
      <c r="C2910" s="166" t="s">
        <v>5302</v>
      </c>
      <c r="D2910" s="167">
        <v>2133.89</v>
      </c>
      <c r="E2910" s="167">
        <v>552.66999999999996</v>
      </c>
      <c r="F2910" s="167">
        <v>1397.89</v>
      </c>
      <c r="G2910" s="167">
        <v>183.33</v>
      </c>
      <c r="H2910" s="168">
        <v>14673.36</v>
      </c>
      <c r="I2910" s="168">
        <v>6355.93</v>
      </c>
      <c r="J2910" s="168">
        <v>7521.34</v>
      </c>
      <c r="K2910" s="168">
        <v>796.09</v>
      </c>
      <c r="L2910" s="43">
        <v>6.8763432041951562</v>
      </c>
      <c r="M2910" s="43">
        <v>11.50040711455299</v>
      </c>
      <c r="N2910" s="43">
        <v>5.38049488872515</v>
      </c>
      <c r="O2910" s="43">
        <v>4.3423880434189712</v>
      </c>
      <c r="P2910" s="169"/>
      <c r="Q2910" s="169"/>
      <c r="R2910" s="169">
        <v>12</v>
      </c>
    </row>
    <row r="2911" spans="1:18" ht="24">
      <c r="A2911" s="165">
        <v>280</v>
      </c>
      <c r="B2911" s="162" t="s">
        <v>5303</v>
      </c>
      <c r="C2911" s="166" t="s">
        <v>5304</v>
      </c>
      <c r="D2911" s="167">
        <v>2744.57</v>
      </c>
      <c r="E2911" s="167">
        <v>672.17</v>
      </c>
      <c r="F2911" s="167">
        <v>1880.5</v>
      </c>
      <c r="G2911" s="167">
        <v>191.9</v>
      </c>
      <c r="H2911" s="168">
        <v>18721.52</v>
      </c>
      <c r="I2911" s="168">
        <v>7730.19</v>
      </c>
      <c r="J2911" s="168">
        <v>10117.99</v>
      </c>
      <c r="K2911" s="168">
        <v>873.34</v>
      </c>
      <c r="L2911" s="43">
        <v>6.8212944104176607</v>
      </c>
      <c r="M2911" s="43">
        <v>11.500349613936951</v>
      </c>
      <c r="N2911" s="43">
        <v>5.3804785961180537</v>
      </c>
      <c r="O2911" s="43">
        <v>4.5510161542470033</v>
      </c>
      <c r="P2911" s="169"/>
      <c r="Q2911" s="169"/>
      <c r="R2911" s="169">
        <v>12</v>
      </c>
    </row>
    <row r="2912" spans="1:18" ht="24">
      <c r="A2912" s="165">
        <v>281</v>
      </c>
      <c r="B2912" s="162" t="s">
        <v>5305</v>
      </c>
      <c r="C2912" s="166" t="s">
        <v>5306</v>
      </c>
      <c r="D2912" s="167">
        <v>3030.5</v>
      </c>
      <c r="E2912" s="167">
        <v>788.21</v>
      </c>
      <c r="F2912" s="167">
        <v>2041.37</v>
      </c>
      <c r="G2912" s="167">
        <v>200.92</v>
      </c>
      <c r="H2912" s="168">
        <v>21002.28</v>
      </c>
      <c r="I2912" s="168">
        <v>9064.7999999999993</v>
      </c>
      <c r="J2912" s="168">
        <v>10983.55</v>
      </c>
      <c r="K2912" s="168">
        <v>953.93</v>
      </c>
      <c r="L2912" s="43">
        <v>6.930301930374525</v>
      </c>
      <c r="M2912" s="43">
        <v>11.500488448509913</v>
      </c>
      <c r="N2912" s="43">
        <v>5.3804797758368155</v>
      </c>
      <c r="O2912" s="43">
        <v>4.7478100736611584</v>
      </c>
      <c r="P2912" s="169"/>
      <c r="Q2912" s="169"/>
      <c r="R2912" s="169">
        <v>12</v>
      </c>
    </row>
    <row r="2913" spans="1:18" ht="24">
      <c r="A2913" s="165">
        <v>282</v>
      </c>
      <c r="B2913" s="162" t="s">
        <v>5307</v>
      </c>
      <c r="C2913" s="166" t="s">
        <v>5308</v>
      </c>
      <c r="D2913" s="167">
        <v>4124.95</v>
      </c>
      <c r="E2913" s="167">
        <v>973.2</v>
      </c>
      <c r="F2913" s="167">
        <v>2940.02</v>
      </c>
      <c r="G2913" s="167">
        <v>211.73</v>
      </c>
      <c r="H2913" s="168">
        <v>28064.68</v>
      </c>
      <c r="I2913" s="168">
        <v>11192.26</v>
      </c>
      <c r="J2913" s="168">
        <v>15818.7</v>
      </c>
      <c r="K2913" s="168">
        <v>1053.72</v>
      </c>
      <c r="L2913" s="43">
        <v>6.8036412562576523</v>
      </c>
      <c r="M2913" s="43">
        <v>11.500472667488697</v>
      </c>
      <c r="N2913" s="43">
        <v>5.3804736022203929</v>
      </c>
      <c r="O2913" s="43">
        <v>4.9767156283946541</v>
      </c>
      <c r="P2913" s="169"/>
      <c r="Q2913" s="169"/>
      <c r="R2913" s="169">
        <v>12</v>
      </c>
    </row>
    <row r="2914" spans="1:18" ht="12.75" customHeight="1">
      <c r="A2914" s="628" t="s">
        <v>5309</v>
      </c>
      <c r="B2914" s="629"/>
      <c r="C2914" s="629"/>
      <c r="D2914" s="629"/>
      <c r="E2914" s="629"/>
      <c r="F2914" s="629"/>
      <c r="G2914" s="629"/>
      <c r="H2914" s="629"/>
      <c r="I2914" s="629"/>
      <c r="J2914" s="629"/>
      <c r="K2914" s="629"/>
      <c r="L2914" s="629"/>
      <c r="M2914" s="629"/>
      <c r="N2914" s="629"/>
      <c r="O2914" s="629"/>
      <c r="P2914" s="629"/>
      <c r="Q2914" s="629"/>
      <c r="R2914" s="629"/>
    </row>
    <row r="2915" spans="1:18" ht="24">
      <c r="A2915" s="165">
        <v>283</v>
      </c>
      <c r="B2915" s="162" t="s">
        <v>5310</v>
      </c>
      <c r="C2915" s="166" t="s">
        <v>5311</v>
      </c>
      <c r="D2915" s="167">
        <v>473.04</v>
      </c>
      <c r="E2915" s="167">
        <v>191.88</v>
      </c>
      <c r="F2915" s="167">
        <v>180.63</v>
      </c>
      <c r="G2915" s="167">
        <v>100.53</v>
      </c>
      <c r="H2915" s="168">
        <v>3556</v>
      </c>
      <c r="I2915" s="168">
        <v>2206.7399999999998</v>
      </c>
      <c r="J2915" s="168">
        <v>958.93</v>
      </c>
      <c r="K2915" s="168">
        <v>390.33</v>
      </c>
      <c r="L2915" s="43">
        <v>7.5173346862844577</v>
      </c>
      <c r="M2915" s="43">
        <v>11.500625390869292</v>
      </c>
      <c r="N2915" s="43">
        <v>5.3088080606765207</v>
      </c>
      <c r="O2915" s="43">
        <v>3.8827215756490596</v>
      </c>
      <c r="P2915" s="169"/>
      <c r="Q2915" s="169"/>
      <c r="R2915" s="169">
        <v>13</v>
      </c>
    </row>
    <row r="2916" spans="1:18" ht="19.5" customHeight="1">
      <c r="A2916" s="628" t="s">
        <v>5312</v>
      </c>
      <c r="B2916" s="629"/>
      <c r="C2916" s="629"/>
      <c r="D2916" s="629"/>
      <c r="E2916" s="629"/>
      <c r="F2916" s="629"/>
      <c r="G2916" s="629"/>
      <c r="H2916" s="629"/>
      <c r="I2916" s="629"/>
      <c r="J2916" s="629"/>
      <c r="K2916" s="629"/>
      <c r="L2916" s="629"/>
      <c r="M2916" s="629"/>
      <c r="N2916" s="629"/>
      <c r="O2916" s="629"/>
      <c r="P2916" s="629"/>
      <c r="Q2916" s="629"/>
      <c r="R2916" s="629"/>
    </row>
    <row r="2917" spans="1:18" ht="24">
      <c r="A2917" s="165">
        <v>284</v>
      </c>
      <c r="B2917" s="162" t="s">
        <v>5313</v>
      </c>
      <c r="C2917" s="166" t="s">
        <v>5314</v>
      </c>
      <c r="D2917" s="167">
        <v>506.58</v>
      </c>
      <c r="E2917" s="167">
        <v>40.33</v>
      </c>
      <c r="F2917" s="167">
        <v>465.44</v>
      </c>
      <c r="G2917" s="167">
        <v>0.81</v>
      </c>
      <c r="H2917" s="168">
        <v>2976.79</v>
      </c>
      <c r="I2917" s="168">
        <v>463.81</v>
      </c>
      <c r="J2917" s="168">
        <v>2503.66</v>
      </c>
      <c r="K2917" s="168">
        <v>9.32</v>
      </c>
      <c r="L2917" s="43">
        <v>5.8762485688341428</v>
      </c>
      <c r="M2917" s="43">
        <v>11.500371931564592</v>
      </c>
      <c r="N2917" s="43">
        <v>5.3791251289102782</v>
      </c>
      <c r="O2917" s="43">
        <v>11.506172839506172</v>
      </c>
      <c r="P2917" s="169"/>
      <c r="Q2917" s="169"/>
      <c r="R2917" s="169">
        <v>14</v>
      </c>
    </row>
    <row r="2918" spans="1:18" ht="24">
      <c r="A2918" s="165">
        <v>285</v>
      </c>
      <c r="B2918" s="162" t="s">
        <v>5315</v>
      </c>
      <c r="C2918" s="166" t="s">
        <v>5316</v>
      </c>
      <c r="D2918" s="167">
        <v>592.92999999999995</v>
      </c>
      <c r="E2918" s="167">
        <v>151.66999999999999</v>
      </c>
      <c r="F2918" s="167">
        <v>438.23</v>
      </c>
      <c r="G2918" s="167">
        <v>3.03</v>
      </c>
      <c r="H2918" s="168">
        <v>4136.9799999999996</v>
      </c>
      <c r="I2918" s="168">
        <v>1744.25</v>
      </c>
      <c r="J2918" s="168">
        <v>2357.88</v>
      </c>
      <c r="K2918" s="168">
        <v>34.85</v>
      </c>
      <c r="L2918" s="43">
        <v>6.9771811175012228</v>
      </c>
      <c r="M2918" s="43">
        <v>11.500296696775896</v>
      </c>
      <c r="N2918" s="43">
        <v>5.3804623143098373</v>
      </c>
      <c r="O2918" s="43">
        <v>11.501650165016503</v>
      </c>
      <c r="P2918" s="169"/>
      <c r="Q2918" s="169"/>
      <c r="R2918" s="169">
        <v>14</v>
      </c>
    </row>
    <row r="2919" spans="1:18" ht="12.75" customHeight="1">
      <c r="A2919" s="628" t="s">
        <v>5317</v>
      </c>
      <c r="B2919" s="629"/>
      <c r="C2919" s="629"/>
      <c r="D2919" s="629"/>
      <c r="E2919" s="629"/>
      <c r="F2919" s="629"/>
      <c r="G2919" s="629"/>
      <c r="H2919" s="629"/>
      <c r="I2919" s="629"/>
      <c r="J2919" s="629"/>
      <c r="K2919" s="629"/>
      <c r="L2919" s="629"/>
      <c r="M2919" s="629"/>
      <c r="N2919" s="629"/>
      <c r="O2919" s="629"/>
      <c r="P2919" s="629"/>
      <c r="Q2919" s="629"/>
      <c r="R2919" s="629"/>
    </row>
    <row r="2920" spans="1:18" ht="24">
      <c r="A2920" s="165">
        <v>286</v>
      </c>
      <c r="B2920" s="162" t="s">
        <v>5318</v>
      </c>
      <c r="C2920" s="166" t="s">
        <v>5319</v>
      </c>
      <c r="D2920" s="167">
        <v>74.010000000000005</v>
      </c>
      <c r="E2920" s="167">
        <v>34.47</v>
      </c>
      <c r="F2920" s="167">
        <v>30.51</v>
      </c>
      <c r="G2920" s="167">
        <v>9.0299999999999994</v>
      </c>
      <c r="H2920" s="168">
        <v>628.82000000000005</v>
      </c>
      <c r="I2920" s="168">
        <v>396.42</v>
      </c>
      <c r="J2920" s="168">
        <v>164.16</v>
      </c>
      <c r="K2920" s="168">
        <v>68.239999999999995</v>
      </c>
      <c r="L2920" s="43">
        <v>8.4964194027834079</v>
      </c>
      <c r="M2920" s="43">
        <v>11.500435161009575</v>
      </c>
      <c r="N2920" s="43">
        <v>5.3805309734513269</v>
      </c>
      <c r="O2920" s="43">
        <v>7.5570321151716504</v>
      </c>
      <c r="P2920" s="169"/>
      <c r="Q2920" s="169"/>
      <c r="R2920" s="169">
        <v>15</v>
      </c>
    </row>
    <row r="2921" spans="1:18" ht="24">
      <c r="A2921" s="165">
        <v>287</v>
      </c>
      <c r="B2921" s="162" t="s">
        <v>5320</v>
      </c>
      <c r="C2921" s="166" t="s">
        <v>5321</v>
      </c>
      <c r="D2921" s="167">
        <v>211.53</v>
      </c>
      <c r="E2921" s="167">
        <v>76.64</v>
      </c>
      <c r="F2921" s="167">
        <v>124.81</v>
      </c>
      <c r="G2921" s="167">
        <v>10.08</v>
      </c>
      <c r="H2921" s="168">
        <v>1632.48</v>
      </c>
      <c r="I2921" s="168">
        <v>881.37</v>
      </c>
      <c r="J2921" s="168">
        <v>671.55</v>
      </c>
      <c r="K2921" s="168">
        <v>79.56</v>
      </c>
      <c r="L2921" s="43">
        <v>7.7174868812934339</v>
      </c>
      <c r="M2921" s="43">
        <v>11.500130480167014</v>
      </c>
      <c r="N2921" s="43">
        <v>5.3805784792885181</v>
      </c>
      <c r="O2921" s="43">
        <v>7.8928571428571432</v>
      </c>
      <c r="P2921" s="169"/>
      <c r="Q2921" s="169"/>
      <c r="R2921" s="169">
        <v>15</v>
      </c>
    </row>
    <row r="2922" spans="1:18" ht="12.75" customHeight="1">
      <c r="A2922" s="628" t="s">
        <v>5322</v>
      </c>
      <c r="B2922" s="629"/>
      <c r="C2922" s="629"/>
      <c r="D2922" s="629"/>
      <c r="E2922" s="629"/>
      <c r="F2922" s="629"/>
      <c r="G2922" s="629"/>
      <c r="H2922" s="629"/>
      <c r="I2922" s="629"/>
      <c r="J2922" s="629"/>
      <c r="K2922" s="629"/>
      <c r="L2922" s="629"/>
      <c r="M2922" s="629"/>
      <c r="N2922" s="629"/>
      <c r="O2922" s="629"/>
      <c r="P2922" s="629"/>
      <c r="Q2922" s="629"/>
      <c r="R2922" s="629"/>
    </row>
    <row r="2923" spans="1:18" ht="24">
      <c r="A2923" s="165">
        <v>288</v>
      </c>
      <c r="B2923" s="162" t="s">
        <v>5323</v>
      </c>
      <c r="C2923" s="166" t="s">
        <v>5324</v>
      </c>
      <c r="D2923" s="167">
        <v>66.790000000000006</v>
      </c>
      <c r="E2923" s="167">
        <v>24.01</v>
      </c>
      <c r="F2923" s="167">
        <v>11.22</v>
      </c>
      <c r="G2923" s="167">
        <v>31.56</v>
      </c>
      <c r="H2923" s="168">
        <v>421.08</v>
      </c>
      <c r="I2923" s="168">
        <v>276.17</v>
      </c>
      <c r="J2923" s="168">
        <v>60.15</v>
      </c>
      <c r="K2923" s="168">
        <v>84.76</v>
      </c>
      <c r="L2923" s="43">
        <v>6.3045366072765372</v>
      </c>
      <c r="M2923" s="43">
        <v>11.502290712203248</v>
      </c>
      <c r="N2923" s="43">
        <v>5.3609625668449192</v>
      </c>
      <c r="O2923" s="43">
        <v>2.6856780735107733</v>
      </c>
      <c r="P2923" s="169"/>
      <c r="Q2923" s="169"/>
      <c r="R2923" s="169">
        <v>16</v>
      </c>
    </row>
    <row r="2924" spans="1:18" ht="24">
      <c r="A2924" s="165">
        <v>289</v>
      </c>
      <c r="B2924" s="162" t="s">
        <v>5325</v>
      </c>
      <c r="C2924" s="166" t="s">
        <v>5326</v>
      </c>
      <c r="D2924" s="167">
        <v>78.56</v>
      </c>
      <c r="E2924" s="167">
        <v>29.87</v>
      </c>
      <c r="F2924" s="167">
        <v>16.77</v>
      </c>
      <c r="G2924" s="167">
        <v>31.92</v>
      </c>
      <c r="H2924" s="168">
        <v>520.98</v>
      </c>
      <c r="I2924" s="168">
        <v>343.56</v>
      </c>
      <c r="J2924" s="168">
        <v>90</v>
      </c>
      <c r="K2924" s="168">
        <v>87.42</v>
      </c>
      <c r="L2924" s="43">
        <v>6.6316191446028512</v>
      </c>
      <c r="M2924" s="43">
        <v>11.501841312353532</v>
      </c>
      <c r="N2924" s="43">
        <v>5.3667262969588556</v>
      </c>
      <c r="O2924" s="43">
        <v>2.738721804511278</v>
      </c>
      <c r="P2924" s="169"/>
      <c r="Q2924" s="169"/>
      <c r="R2924" s="169">
        <v>16</v>
      </c>
    </row>
    <row r="2925" spans="1:18" ht="24">
      <c r="A2925" s="165">
        <v>290</v>
      </c>
      <c r="B2925" s="162" t="s">
        <v>5327</v>
      </c>
      <c r="C2925" s="166" t="s">
        <v>5328</v>
      </c>
      <c r="D2925" s="167">
        <v>100.51</v>
      </c>
      <c r="E2925" s="167">
        <v>46.19</v>
      </c>
      <c r="F2925" s="167">
        <v>22.32</v>
      </c>
      <c r="G2925" s="167">
        <v>32</v>
      </c>
      <c r="H2925" s="168">
        <v>740.86</v>
      </c>
      <c r="I2925" s="168">
        <v>531.20000000000005</v>
      </c>
      <c r="J2925" s="168">
        <v>119.84</v>
      </c>
      <c r="K2925" s="168">
        <v>89.82</v>
      </c>
      <c r="L2925" s="43">
        <v>7.3710078599144362</v>
      </c>
      <c r="M2925" s="43">
        <v>11.500324745615936</v>
      </c>
      <c r="N2925" s="43">
        <v>5.3691756272401436</v>
      </c>
      <c r="O2925" s="43">
        <v>2.8068749999999998</v>
      </c>
      <c r="P2925" s="169"/>
      <c r="Q2925" s="169"/>
      <c r="R2925" s="169">
        <v>16</v>
      </c>
    </row>
    <row r="2926" spans="1:18" ht="24">
      <c r="A2926" s="165">
        <v>291</v>
      </c>
      <c r="B2926" s="162" t="s">
        <v>5329</v>
      </c>
      <c r="C2926" s="166" t="s">
        <v>5330</v>
      </c>
      <c r="D2926" s="167">
        <v>101.29</v>
      </c>
      <c r="E2926" s="167">
        <v>36.08</v>
      </c>
      <c r="F2926" s="167">
        <v>33.409999999999997</v>
      </c>
      <c r="G2926" s="167">
        <v>31.8</v>
      </c>
      <c r="H2926" s="168">
        <v>681.98</v>
      </c>
      <c r="I2926" s="168">
        <v>414.92</v>
      </c>
      <c r="J2926" s="168">
        <v>179.54</v>
      </c>
      <c r="K2926" s="168">
        <v>87.52</v>
      </c>
      <c r="L2926" s="43">
        <v>6.7329450093790104</v>
      </c>
      <c r="M2926" s="43">
        <v>11.500000000000002</v>
      </c>
      <c r="N2926" s="43">
        <v>5.3738401676144871</v>
      </c>
      <c r="O2926" s="43">
        <v>2.7522012578616351</v>
      </c>
      <c r="P2926" s="169"/>
      <c r="Q2926" s="169"/>
      <c r="R2926" s="169">
        <v>16</v>
      </c>
    </row>
    <row r="2927" spans="1:18" ht="24">
      <c r="A2927" s="165">
        <v>292</v>
      </c>
      <c r="B2927" s="162" t="s">
        <v>5331</v>
      </c>
      <c r="C2927" s="166" t="s">
        <v>5332</v>
      </c>
      <c r="D2927" s="167">
        <v>119.7</v>
      </c>
      <c r="E2927" s="167">
        <v>37.799999999999997</v>
      </c>
      <c r="F2927" s="167">
        <v>50.06</v>
      </c>
      <c r="G2927" s="167">
        <v>31.84</v>
      </c>
      <c r="H2927" s="168">
        <v>791.8</v>
      </c>
      <c r="I2927" s="168">
        <v>434.74</v>
      </c>
      <c r="J2927" s="168">
        <v>269.08</v>
      </c>
      <c r="K2927" s="168">
        <v>87.98</v>
      </c>
      <c r="L2927" s="43">
        <v>6.6148705096073508</v>
      </c>
      <c r="M2927" s="43">
        <v>11.501058201058202</v>
      </c>
      <c r="N2927" s="43">
        <v>5.3751498202157402</v>
      </c>
      <c r="O2927" s="43">
        <v>2.7631909547738696</v>
      </c>
      <c r="P2927" s="169"/>
      <c r="Q2927" s="169"/>
      <c r="R2927" s="169">
        <v>16</v>
      </c>
    </row>
    <row r="2928" spans="1:18" ht="24">
      <c r="A2928" s="165">
        <v>293</v>
      </c>
      <c r="B2928" s="162" t="s">
        <v>5333</v>
      </c>
      <c r="C2928" s="166" t="s">
        <v>5334</v>
      </c>
      <c r="D2928" s="167">
        <v>142.62</v>
      </c>
      <c r="E2928" s="167">
        <v>41.25</v>
      </c>
      <c r="F2928" s="167">
        <v>69.47</v>
      </c>
      <c r="G2928" s="167">
        <v>31.9</v>
      </c>
      <c r="H2928" s="168">
        <v>936.59</v>
      </c>
      <c r="I2928" s="168">
        <v>474.38</v>
      </c>
      <c r="J2928" s="168">
        <v>373.54</v>
      </c>
      <c r="K2928" s="168">
        <v>88.67</v>
      </c>
      <c r="L2928" s="43">
        <v>6.5670312719113726</v>
      </c>
      <c r="M2928" s="43">
        <v>11.500121212121211</v>
      </c>
      <c r="N2928" s="43">
        <v>5.3769972650064783</v>
      </c>
      <c r="O2928" s="43">
        <v>2.7796238244514107</v>
      </c>
      <c r="P2928" s="169"/>
      <c r="Q2928" s="169"/>
      <c r="R2928" s="169">
        <v>16</v>
      </c>
    </row>
    <row r="2929" spans="1:18" ht="24">
      <c r="A2929" s="165">
        <v>294</v>
      </c>
      <c r="B2929" s="162" t="s">
        <v>5335</v>
      </c>
      <c r="C2929" s="166" t="s">
        <v>5336</v>
      </c>
      <c r="D2929" s="167">
        <v>106.54</v>
      </c>
      <c r="E2929" s="167">
        <v>29.87</v>
      </c>
      <c r="F2929" s="167">
        <v>47.15</v>
      </c>
      <c r="G2929" s="167">
        <v>29.52</v>
      </c>
      <c r="H2929" s="168">
        <v>671.89</v>
      </c>
      <c r="I2929" s="168">
        <v>343.56</v>
      </c>
      <c r="J2929" s="168">
        <v>253.7</v>
      </c>
      <c r="K2929" s="168">
        <v>74.63</v>
      </c>
      <c r="L2929" s="43">
        <v>6.3064576684813209</v>
      </c>
      <c r="M2929" s="43">
        <v>11.501841312353532</v>
      </c>
      <c r="N2929" s="43">
        <v>5.3806998939554616</v>
      </c>
      <c r="O2929" s="43">
        <v>2.5281165311653115</v>
      </c>
      <c r="P2929" s="169"/>
      <c r="Q2929" s="169"/>
      <c r="R2929" s="169">
        <v>16</v>
      </c>
    </row>
    <row r="2930" spans="1:18" ht="24">
      <c r="A2930" s="165">
        <v>295</v>
      </c>
      <c r="B2930" s="162" t="s">
        <v>5337</v>
      </c>
      <c r="C2930" s="166" t="s">
        <v>5338</v>
      </c>
      <c r="D2930" s="167">
        <v>303.32</v>
      </c>
      <c r="E2930" s="167">
        <v>51.48</v>
      </c>
      <c r="F2930" s="167">
        <v>221.89</v>
      </c>
      <c r="G2930" s="167">
        <v>29.95</v>
      </c>
      <c r="H2930" s="168">
        <v>1865.44</v>
      </c>
      <c r="I2930" s="168">
        <v>591.99</v>
      </c>
      <c r="J2930" s="168">
        <v>1193.8699999999999</v>
      </c>
      <c r="K2930" s="168">
        <v>79.58</v>
      </c>
      <c r="L2930" s="43">
        <v>6.1500725306606885</v>
      </c>
      <c r="M2930" s="43">
        <v>11.499417249417251</v>
      </c>
      <c r="N2930" s="43">
        <v>5.3804587858848976</v>
      </c>
      <c r="O2930" s="43">
        <v>2.657095158597663</v>
      </c>
      <c r="P2930" s="169"/>
      <c r="Q2930" s="169"/>
      <c r="R2930" s="169">
        <v>16</v>
      </c>
    </row>
    <row r="2931" spans="1:18" ht="24">
      <c r="A2931" s="165">
        <v>296</v>
      </c>
      <c r="B2931" s="162" t="s">
        <v>5339</v>
      </c>
      <c r="C2931" s="166" t="s">
        <v>5340</v>
      </c>
      <c r="D2931" s="167">
        <v>484.42</v>
      </c>
      <c r="E2931" s="167">
        <v>60.44</v>
      </c>
      <c r="F2931" s="167">
        <v>393.85</v>
      </c>
      <c r="G2931" s="167">
        <v>30.13</v>
      </c>
      <c r="H2931" s="168">
        <v>2895.82</v>
      </c>
      <c r="I2931" s="168">
        <v>695.06</v>
      </c>
      <c r="J2931" s="168">
        <v>2119.11</v>
      </c>
      <c r="K2931" s="168">
        <v>81.650000000000006</v>
      </c>
      <c r="L2931" s="43">
        <v>5.9779117294909376</v>
      </c>
      <c r="M2931" s="43">
        <v>11.5</v>
      </c>
      <c r="N2931" s="43">
        <v>5.3805001904278278</v>
      </c>
      <c r="O2931" s="43">
        <v>2.7099236641221376</v>
      </c>
      <c r="P2931" s="169"/>
      <c r="Q2931" s="169"/>
      <c r="R2931" s="169">
        <v>16</v>
      </c>
    </row>
    <row r="2932" spans="1:18" ht="24">
      <c r="A2932" s="165">
        <v>297</v>
      </c>
      <c r="B2932" s="162" t="s">
        <v>5341</v>
      </c>
      <c r="C2932" s="166" t="s">
        <v>5342</v>
      </c>
      <c r="D2932" s="167">
        <v>880.39</v>
      </c>
      <c r="E2932" s="167">
        <v>103.3</v>
      </c>
      <c r="F2932" s="167">
        <v>746.1</v>
      </c>
      <c r="G2932" s="167">
        <v>30.99</v>
      </c>
      <c r="H2932" s="168">
        <v>5293.85</v>
      </c>
      <c r="I2932" s="168">
        <v>1187.94</v>
      </c>
      <c r="J2932" s="168">
        <v>4014.37</v>
      </c>
      <c r="K2932" s="168">
        <v>91.54</v>
      </c>
      <c r="L2932" s="43">
        <v>6.0130737514056278</v>
      </c>
      <c r="M2932" s="43">
        <v>11.499903194578897</v>
      </c>
      <c r="N2932" s="43">
        <v>5.3804717866237768</v>
      </c>
      <c r="O2932" s="43">
        <v>2.953856082607293</v>
      </c>
      <c r="P2932" s="169"/>
      <c r="Q2932" s="169"/>
      <c r="R2932" s="169">
        <v>16</v>
      </c>
    </row>
    <row r="2933" spans="1:18" ht="12.75" customHeight="1">
      <c r="A2933" s="628" t="s">
        <v>5343</v>
      </c>
      <c r="B2933" s="629"/>
      <c r="C2933" s="629"/>
      <c r="D2933" s="629"/>
      <c r="E2933" s="629"/>
      <c r="F2933" s="629"/>
      <c r="G2933" s="629"/>
      <c r="H2933" s="629"/>
      <c r="I2933" s="629"/>
      <c r="J2933" s="629"/>
      <c r="K2933" s="629"/>
      <c r="L2933" s="629"/>
      <c r="M2933" s="629"/>
      <c r="N2933" s="629"/>
      <c r="O2933" s="629"/>
      <c r="P2933" s="629"/>
      <c r="Q2933" s="629"/>
      <c r="R2933" s="629"/>
    </row>
    <row r="2934" spans="1:18" ht="24">
      <c r="A2934" s="165">
        <v>298</v>
      </c>
      <c r="B2934" s="162" t="s">
        <v>5344</v>
      </c>
      <c r="C2934" s="166" t="s">
        <v>5345</v>
      </c>
      <c r="D2934" s="167">
        <v>922.6</v>
      </c>
      <c r="E2934" s="167">
        <v>603.23</v>
      </c>
      <c r="F2934" s="167">
        <v>182.58</v>
      </c>
      <c r="G2934" s="167">
        <v>136.79</v>
      </c>
      <c r="H2934" s="168">
        <v>8924.34</v>
      </c>
      <c r="I2934" s="168">
        <v>6937.35</v>
      </c>
      <c r="J2934" s="168">
        <v>1394.94</v>
      </c>
      <c r="K2934" s="168">
        <v>592.04999999999995</v>
      </c>
      <c r="L2934" s="43">
        <v>9.6730327335790154</v>
      </c>
      <c r="M2934" s="43">
        <v>11.500339837209689</v>
      </c>
      <c r="N2934" s="43">
        <v>7.6401577390732829</v>
      </c>
      <c r="O2934" s="43">
        <v>4.328167263688866</v>
      </c>
      <c r="P2934" s="169"/>
      <c r="Q2934" s="169"/>
      <c r="R2934" s="169">
        <v>17</v>
      </c>
    </row>
    <row r="2935" spans="1:18" ht="24">
      <c r="A2935" s="165">
        <v>299</v>
      </c>
      <c r="B2935" s="162" t="s">
        <v>5346</v>
      </c>
      <c r="C2935" s="166" t="s">
        <v>5347</v>
      </c>
      <c r="D2935" s="167">
        <v>1248.32</v>
      </c>
      <c r="E2935" s="167">
        <v>741.11</v>
      </c>
      <c r="F2935" s="167">
        <v>293.5</v>
      </c>
      <c r="G2935" s="167">
        <v>213.71</v>
      </c>
      <c r="H2935" s="168">
        <v>11751.83</v>
      </c>
      <c r="I2935" s="168">
        <v>8523.0300000000007</v>
      </c>
      <c r="J2935" s="168">
        <v>2150.3000000000002</v>
      </c>
      <c r="K2935" s="168">
        <v>1078.5</v>
      </c>
      <c r="L2935" s="43">
        <v>9.4141165726736737</v>
      </c>
      <c r="M2935" s="43">
        <v>11.500357571750483</v>
      </c>
      <c r="N2935" s="43">
        <v>7.3264054514480419</v>
      </c>
      <c r="O2935" s="43">
        <v>5.0465584202891769</v>
      </c>
      <c r="P2935" s="169"/>
      <c r="Q2935" s="169"/>
      <c r="R2935" s="169">
        <v>17</v>
      </c>
    </row>
    <row r="2936" spans="1:18" ht="24">
      <c r="A2936" s="165">
        <v>300</v>
      </c>
      <c r="B2936" s="162" t="s">
        <v>5348</v>
      </c>
      <c r="C2936" s="166" t="s">
        <v>5349</v>
      </c>
      <c r="D2936" s="167">
        <v>1713.62</v>
      </c>
      <c r="E2936" s="167">
        <v>1030.6500000000001</v>
      </c>
      <c r="F2936" s="167">
        <v>394.85</v>
      </c>
      <c r="G2936" s="167">
        <v>288.12</v>
      </c>
      <c r="H2936" s="168">
        <v>16021.12</v>
      </c>
      <c r="I2936" s="168">
        <v>11852.96</v>
      </c>
      <c r="J2936" s="168">
        <v>2771.52</v>
      </c>
      <c r="K2936" s="168">
        <v>1396.64</v>
      </c>
      <c r="L2936" s="43">
        <v>9.3492839719424392</v>
      </c>
      <c r="M2936" s="43">
        <v>11.500470576820451</v>
      </c>
      <c r="N2936" s="43">
        <v>7.0191718374066099</v>
      </c>
      <c r="O2936" s="43">
        <v>4.8474246841593782</v>
      </c>
      <c r="P2936" s="169"/>
      <c r="Q2936" s="169"/>
      <c r="R2936" s="169">
        <v>17</v>
      </c>
    </row>
    <row r="2937" spans="1:18" ht="24">
      <c r="A2937" s="165">
        <v>301</v>
      </c>
      <c r="B2937" s="162" t="s">
        <v>5350</v>
      </c>
      <c r="C2937" s="166" t="s">
        <v>5351</v>
      </c>
      <c r="D2937" s="167">
        <v>1971.04</v>
      </c>
      <c r="E2937" s="167">
        <v>1171.98</v>
      </c>
      <c r="F2937" s="167">
        <v>475.46</v>
      </c>
      <c r="G2937" s="167">
        <v>323.60000000000002</v>
      </c>
      <c r="H2937" s="168">
        <v>18271.18</v>
      </c>
      <c r="I2937" s="168">
        <v>13478.28</v>
      </c>
      <c r="J2937" s="168">
        <v>3280.1</v>
      </c>
      <c r="K2937" s="168">
        <v>1512.8</v>
      </c>
      <c r="L2937" s="43">
        <v>9.2698169494277138</v>
      </c>
      <c r="M2937" s="43">
        <v>11.500435161009573</v>
      </c>
      <c r="N2937" s="43">
        <v>6.8987927480755484</v>
      </c>
      <c r="O2937" s="43">
        <v>4.6749072929542637</v>
      </c>
      <c r="P2937" s="169"/>
      <c r="Q2937" s="169"/>
      <c r="R2937" s="169">
        <v>17</v>
      </c>
    </row>
    <row r="2938" spans="1:18" ht="12.75" customHeight="1">
      <c r="A2938" s="628" t="s">
        <v>5352</v>
      </c>
      <c r="B2938" s="629"/>
      <c r="C2938" s="629"/>
      <c r="D2938" s="629"/>
      <c r="E2938" s="629"/>
      <c r="F2938" s="629"/>
      <c r="G2938" s="629"/>
      <c r="H2938" s="629"/>
      <c r="I2938" s="629"/>
      <c r="J2938" s="629"/>
      <c r="K2938" s="629"/>
      <c r="L2938" s="629"/>
      <c r="M2938" s="629"/>
      <c r="N2938" s="629"/>
      <c r="O2938" s="629"/>
      <c r="P2938" s="629"/>
      <c r="Q2938" s="629"/>
      <c r="R2938" s="629"/>
    </row>
    <row r="2939" spans="1:18" ht="24">
      <c r="A2939" s="165">
        <v>302</v>
      </c>
      <c r="B2939" s="162" t="s">
        <v>5353</v>
      </c>
      <c r="C2939" s="166" t="s">
        <v>5354</v>
      </c>
      <c r="D2939" s="167">
        <v>1659.36</v>
      </c>
      <c r="E2939" s="167">
        <v>1077.76</v>
      </c>
      <c r="F2939" s="167">
        <v>354.78</v>
      </c>
      <c r="G2939" s="167">
        <v>226.82</v>
      </c>
      <c r="H2939" s="168">
        <v>15985.82</v>
      </c>
      <c r="I2939" s="168">
        <v>12394.73</v>
      </c>
      <c r="J2939" s="168">
        <v>2542.6999999999998</v>
      </c>
      <c r="K2939" s="168">
        <v>1048.3900000000001</v>
      </c>
      <c r="L2939" s="43">
        <v>9.6337262559058914</v>
      </c>
      <c r="M2939" s="43">
        <v>11.500454646674584</v>
      </c>
      <c r="N2939" s="43">
        <v>7.1669767179660635</v>
      </c>
      <c r="O2939" s="43">
        <v>4.6221232695529499</v>
      </c>
      <c r="P2939" s="169"/>
      <c r="Q2939" s="169"/>
      <c r="R2939" s="169">
        <v>18</v>
      </c>
    </row>
    <row r="2940" spans="1:18" ht="24">
      <c r="A2940" s="165">
        <v>303</v>
      </c>
      <c r="B2940" s="162" t="s">
        <v>5355</v>
      </c>
      <c r="C2940" s="166" t="s">
        <v>5356</v>
      </c>
      <c r="D2940" s="167">
        <v>2249.79</v>
      </c>
      <c r="E2940" s="167">
        <v>1275.3900000000001</v>
      </c>
      <c r="F2940" s="167">
        <v>610.92999999999995</v>
      </c>
      <c r="G2940" s="167">
        <v>363.47</v>
      </c>
      <c r="H2940" s="168">
        <v>21033.03</v>
      </c>
      <c r="I2940" s="168">
        <v>14667.54</v>
      </c>
      <c r="J2940" s="168">
        <v>4433.32</v>
      </c>
      <c r="K2940" s="168">
        <v>1932.17</v>
      </c>
      <c r="L2940" s="43">
        <v>9.3488858960169612</v>
      </c>
      <c r="M2940" s="43">
        <v>11.500435161009573</v>
      </c>
      <c r="N2940" s="43">
        <v>7.2566742507324902</v>
      </c>
      <c r="O2940" s="43">
        <v>5.3158995240322442</v>
      </c>
      <c r="P2940" s="169"/>
      <c r="Q2940" s="169"/>
      <c r="R2940" s="169">
        <v>18</v>
      </c>
    </row>
    <row r="2941" spans="1:18" ht="24">
      <c r="A2941" s="165">
        <v>304</v>
      </c>
      <c r="B2941" s="162" t="s">
        <v>5357</v>
      </c>
      <c r="C2941" s="166" t="s">
        <v>5358</v>
      </c>
      <c r="D2941" s="167">
        <v>3119.94</v>
      </c>
      <c r="E2941" s="167">
        <v>1815.42</v>
      </c>
      <c r="F2941" s="167">
        <v>821.25</v>
      </c>
      <c r="G2941" s="167">
        <v>483.27</v>
      </c>
      <c r="H2941" s="168">
        <v>29045.71</v>
      </c>
      <c r="I2941" s="168">
        <v>20878.12</v>
      </c>
      <c r="J2941" s="168">
        <v>5686.89</v>
      </c>
      <c r="K2941" s="168">
        <v>2480.6999999999998</v>
      </c>
      <c r="L2941" s="43">
        <v>9.3097014686179858</v>
      </c>
      <c r="M2941" s="43">
        <v>11.500435161009573</v>
      </c>
      <c r="N2941" s="43">
        <v>6.9246757990867582</v>
      </c>
      <c r="O2941" s="43">
        <v>5.1331553789806934</v>
      </c>
      <c r="P2941" s="169"/>
      <c r="Q2941" s="169"/>
      <c r="R2941" s="169">
        <v>18</v>
      </c>
    </row>
    <row r="2942" spans="1:18" ht="24">
      <c r="A2942" s="165">
        <v>305</v>
      </c>
      <c r="B2942" s="162" t="s">
        <v>5359</v>
      </c>
      <c r="C2942" s="166" t="s">
        <v>5360</v>
      </c>
      <c r="D2942" s="167">
        <v>3636.04</v>
      </c>
      <c r="E2942" s="167">
        <v>2033.73</v>
      </c>
      <c r="F2942" s="167">
        <v>1059.05</v>
      </c>
      <c r="G2942" s="167">
        <v>543.26</v>
      </c>
      <c r="H2942" s="168">
        <v>33479.68</v>
      </c>
      <c r="I2942" s="168">
        <v>23388.78</v>
      </c>
      <c r="J2942" s="168">
        <v>7401.63</v>
      </c>
      <c r="K2942" s="168">
        <v>2689.27</v>
      </c>
      <c r="L2942" s="43">
        <v>9.207731488102441</v>
      </c>
      <c r="M2942" s="43">
        <v>11.500435161009573</v>
      </c>
      <c r="N2942" s="43">
        <v>6.9889334781171808</v>
      </c>
      <c r="O2942" s="43">
        <v>4.9502448183190371</v>
      </c>
      <c r="P2942" s="169"/>
      <c r="Q2942" s="169"/>
      <c r="R2942" s="169">
        <v>18</v>
      </c>
    </row>
    <row r="2943" spans="1:18" ht="12.75" customHeight="1">
      <c r="A2943" s="628" t="s">
        <v>5361</v>
      </c>
      <c r="B2943" s="629"/>
      <c r="C2943" s="629"/>
      <c r="D2943" s="629"/>
      <c r="E2943" s="629"/>
      <c r="F2943" s="629"/>
      <c r="G2943" s="629"/>
      <c r="H2943" s="629"/>
      <c r="I2943" s="629"/>
      <c r="J2943" s="629"/>
      <c r="K2943" s="629"/>
      <c r="L2943" s="629"/>
      <c r="M2943" s="629"/>
      <c r="N2943" s="629"/>
      <c r="O2943" s="629"/>
      <c r="P2943" s="629"/>
      <c r="Q2943" s="629"/>
      <c r="R2943" s="629"/>
    </row>
    <row r="2944" spans="1:18" ht="24">
      <c r="A2944" s="165">
        <v>306</v>
      </c>
      <c r="B2944" s="162" t="s">
        <v>5362</v>
      </c>
      <c r="C2944" s="166" t="s">
        <v>5363</v>
      </c>
      <c r="D2944" s="167">
        <v>2905.48</v>
      </c>
      <c r="E2944" s="167">
        <v>1746.48</v>
      </c>
      <c r="F2944" s="167">
        <v>643.25</v>
      </c>
      <c r="G2944" s="167">
        <v>515.75</v>
      </c>
      <c r="H2944" s="168">
        <v>27647.52</v>
      </c>
      <c r="I2944" s="168">
        <v>20085.28</v>
      </c>
      <c r="J2944" s="168">
        <v>4758.7700000000004</v>
      </c>
      <c r="K2944" s="168">
        <v>2803.47</v>
      </c>
      <c r="L2944" s="43">
        <v>9.5156462959648671</v>
      </c>
      <c r="M2944" s="43">
        <v>11.500435161009573</v>
      </c>
      <c r="N2944" s="43">
        <v>7.3980101049358735</v>
      </c>
      <c r="O2944" s="43">
        <v>5.4357149781871055</v>
      </c>
      <c r="P2944" s="169"/>
      <c r="Q2944" s="169"/>
      <c r="R2944" s="169">
        <v>19</v>
      </c>
    </row>
    <row r="2945" spans="1:18" ht="24">
      <c r="A2945" s="165">
        <v>307</v>
      </c>
      <c r="B2945" s="162" t="s">
        <v>5364</v>
      </c>
      <c r="C2945" s="166" t="s">
        <v>5365</v>
      </c>
      <c r="D2945" s="167">
        <v>4206.34</v>
      </c>
      <c r="E2945" s="167">
        <v>2504.8200000000002</v>
      </c>
      <c r="F2945" s="167">
        <v>1014.43</v>
      </c>
      <c r="G2945" s="167">
        <v>687.09</v>
      </c>
      <c r="H2945" s="168">
        <v>39650.42</v>
      </c>
      <c r="I2945" s="168">
        <v>28806.52</v>
      </c>
      <c r="J2945" s="168">
        <v>7241.83</v>
      </c>
      <c r="K2945" s="168">
        <v>3602.07</v>
      </c>
      <c r="L2945" s="43">
        <v>9.4263468954007514</v>
      </c>
      <c r="M2945" s="43">
        <v>11.500435161009573</v>
      </c>
      <c r="N2945" s="43">
        <v>7.138816872529401</v>
      </c>
      <c r="O2945" s="43">
        <v>5.242500982404052</v>
      </c>
      <c r="P2945" s="169"/>
      <c r="Q2945" s="169"/>
      <c r="R2945" s="169">
        <v>19</v>
      </c>
    </row>
    <row r="2946" spans="1:18" ht="24">
      <c r="A2946" s="165">
        <v>308</v>
      </c>
      <c r="B2946" s="162" t="s">
        <v>5366</v>
      </c>
      <c r="C2946" s="166" t="s">
        <v>5367</v>
      </c>
      <c r="D2946" s="167">
        <v>4881.88</v>
      </c>
      <c r="E2946" s="167">
        <v>2838.03</v>
      </c>
      <c r="F2946" s="167">
        <v>1274.6600000000001</v>
      </c>
      <c r="G2946" s="167">
        <v>769.19</v>
      </c>
      <c r="H2946" s="168">
        <v>45391.47</v>
      </c>
      <c r="I2946" s="168">
        <v>32638.58</v>
      </c>
      <c r="J2946" s="168">
        <v>8851.69</v>
      </c>
      <c r="K2946" s="168">
        <v>3901.2</v>
      </c>
      <c r="L2946" s="43">
        <v>9.2979487410587733</v>
      </c>
      <c r="M2946" s="43">
        <v>11.500435161009573</v>
      </c>
      <c r="N2946" s="43">
        <v>6.9443537884612363</v>
      </c>
      <c r="O2946" s="43">
        <v>5.0718288069267663</v>
      </c>
      <c r="P2946" s="169"/>
      <c r="Q2946" s="169"/>
      <c r="R2946" s="169">
        <v>19</v>
      </c>
    </row>
    <row r="2947" spans="1:18" ht="12.75" customHeight="1">
      <c r="A2947" s="628" t="s">
        <v>5368</v>
      </c>
      <c r="B2947" s="629"/>
      <c r="C2947" s="629"/>
      <c r="D2947" s="629"/>
      <c r="E2947" s="629"/>
      <c r="F2947" s="629"/>
      <c r="G2947" s="629"/>
      <c r="H2947" s="629"/>
      <c r="I2947" s="629"/>
      <c r="J2947" s="629"/>
      <c r="K2947" s="629"/>
      <c r="L2947" s="629"/>
      <c r="M2947" s="629"/>
      <c r="N2947" s="629"/>
      <c r="O2947" s="629"/>
      <c r="P2947" s="629"/>
      <c r="Q2947" s="629"/>
      <c r="R2947" s="629"/>
    </row>
    <row r="2948" spans="1:18" ht="24">
      <c r="A2948" s="165">
        <v>309</v>
      </c>
      <c r="B2948" s="162" t="s">
        <v>5369</v>
      </c>
      <c r="C2948" s="166" t="s">
        <v>5370</v>
      </c>
      <c r="D2948" s="167">
        <v>5638.77</v>
      </c>
      <c r="E2948" s="167">
        <v>3343.59</v>
      </c>
      <c r="F2948" s="167">
        <v>1400.66</v>
      </c>
      <c r="G2948" s="167">
        <v>894.52</v>
      </c>
      <c r="H2948" s="168">
        <v>53116.36</v>
      </c>
      <c r="I2948" s="168">
        <v>38452.74</v>
      </c>
      <c r="J2948" s="168">
        <v>9900.35</v>
      </c>
      <c r="K2948" s="168">
        <v>4763.2700000000004</v>
      </c>
      <c r="L2948" s="43">
        <v>9.419848654937157</v>
      </c>
      <c r="M2948" s="43">
        <v>11.500435161009573</v>
      </c>
      <c r="N2948" s="43">
        <v>7.0683463510059541</v>
      </c>
      <c r="O2948" s="43">
        <v>5.3249452220185134</v>
      </c>
      <c r="P2948" s="169"/>
      <c r="Q2948" s="169"/>
      <c r="R2948" s="169">
        <v>20</v>
      </c>
    </row>
    <row r="2949" spans="1:18" ht="24">
      <c r="A2949" s="165">
        <v>310</v>
      </c>
      <c r="B2949" s="162" t="s">
        <v>5371</v>
      </c>
      <c r="C2949" s="166" t="s">
        <v>5372</v>
      </c>
      <c r="D2949" s="167">
        <v>6488.85</v>
      </c>
      <c r="E2949" s="167">
        <v>3803.19</v>
      </c>
      <c r="F2949" s="167">
        <v>1685.99</v>
      </c>
      <c r="G2949" s="167">
        <v>999.67</v>
      </c>
      <c r="H2949" s="168">
        <v>60605.74</v>
      </c>
      <c r="I2949" s="168">
        <v>43738.34</v>
      </c>
      <c r="J2949" s="168">
        <v>11710.7</v>
      </c>
      <c r="K2949" s="168">
        <v>5156.7</v>
      </c>
      <c r="L2949" s="43">
        <v>9.3399816608489932</v>
      </c>
      <c r="M2949" s="43">
        <v>11.500435161009573</v>
      </c>
      <c r="N2949" s="43">
        <v>6.9458893587743704</v>
      </c>
      <c r="O2949" s="43">
        <v>5.1584022727500072</v>
      </c>
      <c r="P2949" s="169"/>
      <c r="Q2949" s="169"/>
      <c r="R2949" s="169">
        <v>20</v>
      </c>
    </row>
    <row r="2950" spans="1:18" ht="12.75" customHeight="1">
      <c r="A2950" s="628" t="s">
        <v>5373</v>
      </c>
      <c r="B2950" s="629"/>
      <c r="C2950" s="629"/>
      <c r="D2950" s="629"/>
      <c r="E2950" s="629"/>
      <c r="F2950" s="629"/>
      <c r="G2950" s="629"/>
      <c r="H2950" s="629"/>
      <c r="I2950" s="629"/>
      <c r="J2950" s="629"/>
      <c r="K2950" s="629"/>
      <c r="L2950" s="629"/>
      <c r="M2950" s="629"/>
      <c r="N2950" s="629"/>
      <c r="O2950" s="629"/>
      <c r="P2950" s="629"/>
      <c r="Q2950" s="629"/>
      <c r="R2950" s="629"/>
    </row>
    <row r="2951" spans="1:18" ht="24">
      <c r="A2951" s="165">
        <v>311</v>
      </c>
      <c r="B2951" s="162" t="s">
        <v>5374</v>
      </c>
      <c r="C2951" s="166" t="s">
        <v>5375</v>
      </c>
      <c r="D2951" s="167">
        <v>1030.92</v>
      </c>
      <c r="E2951" s="167">
        <v>673.31</v>
      </c>
      <c r="F2951" s="167">
        <v>247.7</v>
      </c>
      <c r="G2951" s="167">
        <v>109.91</v>
      </c>
      <c r="H2951" s="168">
        <v>10017.31</v>
      </c>
      <c r="I2951" s="168">
        <v>7743.4</v>
      </c>
      <c r="J2951" s="168">
        <v>1828.68</v>
      </c>
      <c r="K2951" s="168">
        <v>445.23</v>
      </c>
      <c r="L2951" s="43">
        <v>9.7168645481705642</v>
      </c>
      <c r="M2951" s="43">
        <v>11.500497541994029</v>
      </c>
      <c r="N2951" s="43">
        <v>7.3826402906742032</v>
      </c>
      <c r="O2951" s="43">
        <v>4.0508597943772182</v>
      </c>
      <c r="P2951" s="169"/>
      <c r="Q2951" s="169"/>
      <c r="R2951" s="169">
        <v>21</v>
      </c>
    </row>
    <row r="2952" spans="1:18" ht="24">
      <c r="A2952" s="165">
        <v>312</v>
      </c>
      <c r="B2952" s="162" t="s">
        <v>5376</v>
      </c>
      <c r="C2952" s="166" t="s">
        <v>5377</v>
      </c>
      <c r="D2952" s="167">
        <v>1222.54</v>
      </c>
      <c r="E2952" s="167">
        <v>741.11</v>
      </c>
      <c r="F2952" s="167">
        <v>333.74</v>
      </c>
      <c r="G2952" s="167">
        <v>147.69</v>
      </c>
      <c r="H2952" s="168">
        <v>11551.72</v>
      </c>
      <c r="I2952" s="168">
        <v>8523.0300000000007</v>
      </c>
      <c r="J2952" s="168">
        <v>2440.16</v>
      </c>
      <c r="K2952" s="168">
        <v>588.53</v>
      </c>
      <c r="L2952" s="43">
        <v>9.4489505455854204</v>
      </c>
      <c r="M2952" s="43">
        <v>11.500357571750483</v>
      </c>
      <c r="N2952" s="43">
        <v>7.3115598969257496</v>
      </c>
      <c r="O2952" s="43">
        <v>3.9849008057417561</v>
      </c>
      <c r="P2952" s="169"/>
      <c r="Q2952" s="169"/>
      <c r="R2952" s="169">
        <v>21</v>
      </c>
    </row>
    <row r="2953" spans="1:18" ht="24">
      <c r="A2953" s="165">
        <v>313</v>
      </c>
      <c r="B2953" s="162" t="s">
        <v>5378</v>
      </c>
      <c r="C2953" s="166" t="s">
        <v>5379</v>
      </c>
      <c r="D2953" s="167">
        <v>1704.71</v>
      </c>
      <c r="E2953" s="167">
        <v>906.56</v>
      </c>
      <c r="F2953" s="167">
        <v>533.71</v>
      </c>
      <c r="G2953" s="167">
        <v>264.44</v>
      </c>
      <c r="H2953" s="168">
        <v>15404.83</v>
      </c>
      <c r="I2953" s="168">
        <v>10425.85</v>
      </c>
      <c r="J2953" s="168">
        <v>3854.26</v>
      </c>
      <c r="K2953" s="168">
        <v>1124.72</v>
      </c>
      <c r="L2953" s="43">
        <v>9.0366279308504076</v>
      </c>
      <c r="M2953" s="43">
        <v>11.500452259089306</v>
      </c>
      <c r="N2953" s="43">
        <v>7.2216372187142825</v>
      </c>
      <c r="O2953" s="43">
        <v>4.2532143397368021</v>
      </c>
      <c r="P2953" s="169"/>
      <c r="Q2953" s="169"/>
      <c r="R2953" s="169">
        <v>21</v>
      </c>
    </row>
    <row r="2954" spans="1:18" ht="24">
      <c r="A2954" s="165">
        <v>314</v>
      </c>
      <c r="B2954" s="162" t="s">
        <v>5380</v>
      </c>
      <c r="C2954" s="166" t="s">
        <v>5381</v>
      </c>
      <c r="D2954" s="167">
        <v>2145.8000000000002</v>
      </c>
      <c r="E2954" s="167">
        <v>1070.8699999999999</v>
      </c>
      <c r="F2954" s="167">
        <v>645.99</v>
      </c>
      <c r="G2954" s="167">
        <v>428.94</v>
      </c>
      <c r="H2954" s="168">
        <v>18771.63</v>
      </c>
      <c r="I2954" s="168">
        <v>12315.45</v>
      </c>
      <c r="J2954" s="168">
        <v>4682.0200000000004</v>
      </c>
      <c r="K2954" s="168">
        <v>1774.16</v>
      </c>
      <c r="L2954" s="43">
        <v>8.7480799701742935</v>
      </c>
      <c r="M2954" s="43">
        <v>11.500415549973388</v>
      </c>
      <c r="N2954" s="43">
        <v>7.2478211737023797</v>
      </c>
      <c r="O2954" s="43">
        <v>4.1361495780295616</v>
      </c>
      <c r="P2954" s="169"/>
      <c r="Q2954" s="169"/>
      <c r="R2954" s="169">
        <v>21</v>
      </c>
    </row>
    <row r="2955" spans="1:18" ht="24">
      <c r="A2955" s="165">
        <v>315</v>
      </c>
      <c r="B2955" s="162" t="s">
        <v>5382</v>
      </c>
      <c r="C2955" s="166" t="s">
        <v>5383</v>
      </c>
      <c r="D2955" s="167">
        <v>2690.97</v>
      </c>
      <c r="E2955" s="167">
        <v>1321.35</v>
      </c>
      <c r="F2955" s="167">
        <v>830.55</v>
      </c>
      <c r="G2955" s="167">
        <v>539.07000000000005</v>
      </c>
      <c r="H2955" s="168">
        <v>23384.83</v>
      </c>
      <c r="I2955" s="168">
        <v>15196.1</v>
      </c>
      <c r="J2955" s="168">
        <v>6014.18</v>
      </c>
      <c r="K2955" s="168">
        <v>2174.5500000000002</v>
      </c>
      <c r="L2955" s="43">
        <v>8.690111744092281</v>
      </c>
      <c r="M2955" s="43">
        <v>11.500435161009575</v>
      </c>
      <c r="N2955" s="43">
        <v>7.2412016133887187</v>
      </c>
      <c r="O2955" s="43">
        <v>4.033891702376315</v>
      </c>
      <c r="P2955" s="169"/>
      <c r="Q2955" s="169"/>
      <c r="R2955" s="169">
        <v>21</v>
      </c>
    </row>
    <row r="2956" spans="1:18" ht="12.75" customHeight="1">
      <c r="A2956" s="628" t="s">
        <v>5384</v>
      </c>
      <c r="B2956" s="629"/>
      <c r="C2956" s="629"/>
      <c r="D2956" s="629"/>
      <c r="E2956" s="629"/>
      <c r="F2956" s="629"/>
      <c r="G2956" s="629"/>
      <c r="H2956" s="629"/>
      <c r="I2956" s="629"/>
      <c r="J2956" s="629"/>
      <c r="K2956" s="629"/>
      <c r="L2956" s="629"/>
      <c r="M2956" s="629"/>
      <c r="N2956" s="629"/>
      <c r="O2956" s="629"/>
      <c r="P2956" s="629"/>
      <c r="Q2956" s="629"/>
      <c r="R2956" s="629"/>
    </row>
    <row r="2957" spans="1:18" ht="24">
      <c r="A2957" s="165">
        <v>316</v>
      </c>
      <c r="B2957" s="162" t="s">
        <v>5385</v>
      </c>
      <c r="C2957" s="166" t="s">
        <v>5386</v>
      </c>
      <c r="D2957" s="167">
        <v>2234.4</v>
      </c>
      <c r="E2957" s="167">
        <v>1344.33</v>
      </c>
      <c r="F2957" s="167">
        <v>596.09</v>
      </c>
      <c r="G2957" s="167">
        <v>293.98</v>
      </c>
      <c r="H2957" s="168">
        <v>21019.65</v>
      </c>
      <c r="I2957" s="168">
        <v>15460.38</v>
      </c>
      <c r="J2957" s="168">
        <v>4397.28</v>
      </c>
      <c r="K2957" s="168">
        <v>1161.99</v>
      </c>
      <c r="L2957" s="43">
        <v>9.4072905477980662</v>
      </c>
      <c r="M2957" s="43">
        <v>11.500435161009573</v>
      </c>
      <c r="N2957" s="43">
        <v>7.376872619906389</v>
      </c>
      <c r="O2957" s="43">
        <v>3.9526158242057279</v>
      </c>
      <c r="P2957" s="169"/>
      <c r="Q2957" s="169"/>
      <c r="R2957" s="169">
        <v>22</v>
      </c>
    </row>
    <row r="2958" spans="1:18" ht="24">
      <c r="A2958" s="165">
        <v>317</v>
      </c>
      <c r="B2958" s="162" t="s">
        <v>5387</v>
      </c>
      <c r="C2958" s="166" t="s">
        <v>5388</v>
      </c>
      <c r="D2958" s="167">
        <v>3040.11</v>
      </c>
      <c r="E2958" s="167">
        <v>1643.07</v>
      </c>
      <c r="F2958" s="167">
        <v>873.35</v>
      </c>
      <c r="G2958" s="167">
        <v>523.69000000000005</v>
      </c>
      <c r="H2958" s="168">
        <v>27611.08</v>
      </c>
      <c r="I2958" s="168">
        <v>18896.02</v>
      </c>
      <c r="J2958" s="168">
        <v>6515.33</v>
      </c>
      <c r="K2958" s="168">
        <v>2199.73</v>
      </c>
      <c r="L2958" s="43">
        <v>9.0822634707296785</v>
      </c>
      <c r="M2958" s="43">
        <v>11.500435161009575</v>
      </c>
      <c r="N2958" s="43">
        <v>7.4601591572679906</v>
      </c>
      <c r="O2958" s="43">
        <v>4.2004430101777768</v>
      </c>
      <c r="P2958" s="169"/>
      <c r="Q2958" s="169"/>
      <c r="R2958" s="169">
        <v>22</v>
      </c>
    </row>
    <row r="2959" spans="1:18" ht="24">
      <c r="A2959" s="165">
        <v>318</v>
      </c>
      <c r="B2959" s="162" t="s">
        <v>5389</v>
      </c>
      <c r="C2959" s="166" t="s">
        <v>5390</v>
      </c>
      <c r="D2959" s="167">
        <v>3911.7</v>
      </c>
      <c r="E2959" s="167">
        <v>1930.32</v>
      </c>
      <c r="F2959" s="167">
        <v>1128.3599999999999</v>
      </c>
      <c r="G2959" s="167">
        <v>853.02</v>
      </c>
      <c r="H2959" s="168">
        <v>34001.620000000003</v>
      </c>
      <c r="I2959" s="168">
        <v>22199.52</v>
      </c>
      <c r="J2959" s="168">
        <v>8306.64</v>
      </c>
      <c r="K2959" s="168">
        <v>3495.46</v>
      </c>
      <c r="L2959" s="43">
        <v>8.6922872408415781</v>
      </c>
      <c r="M2959" s="43">
        <v>11.500435161009575</v>
      </c>
      <c r="N2959" s="43">
        <v>7.361693076677656</v>
      </c>
      <c r="O2959" s="43">
        <v>4.097746828913742</v>
      </c>
      <c r="P2959" s="169"/>
      <c r="Q2959" s="169"/>
      <c r="R2959" s="169">
        <v>22</v>
      </c>
    </row>
    <row r="2960" spans="1:18" ht="24">
      <c r="A2960" s="165">
        <v>319</v>
      </c>
      <c r="B2960" s="162" t="s">
        <v>5391</v>
      </c>
      <c r="C2960" s="166" t="s">
        <v>5392</v>
      </c>
      <c r="D2960" s="167">
        <v>5161.6899999999996</v>
      </c>
      <c r="E2960" s="167">
        <v>2550.7800000000002</v>
      </c>
      <c r="F2960" s="167">
        <v>1538.16</v>
      </c>
      <c r="G2960" s="167">
        <v>1072.75</v>
      </c>
      <c r="H2960" s="168">
        <v>44775.32</v>
      </c>
      <c r="I2960" s="168">
        <v>29335.08</v>
      </c>
      <c r="J2960" s="168">
        <v>11127.61</v>
      </c>
      <c r="K2960" s="168">
        <v>4312.63</v>
      </c>
      <c r="L2960" s="43">
        <v>8.6745465148042609</v>
      </c>
      <c r="M2960" s="43">
        <v>11.500435161009573</v>
      </c>
      <c r="N2960" s="43">
        <v>7.2343644354293444</v>
      </c>
      <c r="O2960" s="43">
        <v>4.0201631321370312</v>
      </c>
      <c r="P2960" s="169"/>
      <c r="Q2960" s="169"/>
      <c r="R2960" s="169">
        <v>22</v>
      </c>
    </row>
    <row r="2961" spans="1:18" ht="12.75" customHeight="1">
      <c r="A2961" s="628" t="s">
        <v>5393</v>
      </c>
      <c r="B2961" s="629"/>
      <c r="C2961" s="629"/>
      <c r="D2961" s="629"/>
      <c r="E2961" s="629"/>
      <c r="F2961" s="629"/>
      <c r="G2961" s="629"/>
      <c r="H2961" s="629"/>
      <c r="I2961" s="629"/>
      <c r="J2961" s="629"/>
      <c r="K2961" s="629"/>
      <c r="L2961" s="629"/>
      <c r="M2961" s="629"/>
      <c r="N2961" s="629"/>
      <c r="O2961" s="629"/>
      <c r="P2961" s="629"/>
      <c r="Q2961" s="629"/>
      <c r="R2961" s="629"/>
    </row>
    <row r="2962" spans="1:18" ht="24">
      <c r="A2962" s="165">
        <v>320</v>
      </c>
      <c r="B2962" s="162" t="s">
        <v>5394</v>
      </c>
      <c r="C2962" s="166" t="s">
        <v>5395</v>
      </c>
      <c r="D2962" s="167">
        <v>4422.5200000000004</v>
      </c>
      <c r="E2962" s="167">
        <v>2389.92</v>
      </c>
      <c r="F2962" s="167">
        <v>1239.33</v>
      </c>
      <c r="G2962" s="167">
        <v>793.27</v>
      </c>
      <c r="H2962" s="168">
        <v>40150.01</v>
      </c>
      <c r="I2962" s="168">
        <v>27485.119999999999</v>
      </c>
      <c r="J2962" s="168">
        <v>9361.7199999999993</v>
      </c>
      <c r="K2962" s="168">
        <v>3303.17</v>
      </c>
      <c r="L2962" s="43">
        <v>9.0785366714000162</v>
      </c>
      <c r="M2962" s="43">
        <v>11.500435161009573</v>
      </c>
      <c r="N2962" s="43">
        <v>7.5538557123607113</v>
      </c>
      <c r="O2962" s="43">
        <v>4.1639920834016166</v>
      </c>
      <c r="P2962" s="169"/>
      <c r="Q2962" s="169"/>
      <c r="R2962" s="169">
        <v>23</v>
      </c>
    </row>
    <row r="2963" spans="1:18" ht="24">
      <c r="A2963" s="165">
        <v>321</v>
      </c>
      <c r="B2963" s="162" t="s">
        <v>5396</v>
      </c>
      <c r="C2963" s="166" t="s">
        <v>5397</v>
      </c>
      <c r="D2963" s="167">
        <v>5723.99</v>
      </c>
      <c r="E2963" s="167">
        <v>2838.03</v>
      </c>
      <c r="F2963" s="167">
        <v>1607.59</v>
      </c>
      <c r="G2963" s="167">
        <v>1278.3699999999999</v>
      </c>
      <c r="H2963" s="168">
        <v>49826.51</v>
      </c>
      <c r="I2963" s="168">
        <v>32638.58</v>
      </c>
      <c r="J2963" s="168">
        <v>11958.02</v>
      </c>
      <c r="K2963" s="168">
        <v>5229.91</v>
      </c>
      <c r="L2963" s="43">
        <v>8.70485622791095</v>
      </c>
      <c r="M2963" s="43">
        <v>11.500435161009573</v>
      </c>
      <c r="N2963" s="43">
        <v>7.4384762283915684</v>
      </c>
      <c r="O2963" s="43">
        <v>4.0910769182631013</v>
      </c>
      <c r="P2963" s="169"/>
      <c r="Q2963" s="169"/>
      <c r="R2963" s="169">
        <v>23</v>
      </c>
    </row>
    <row r="2964" spans="1:18" ht="24">
      <c r="A2964" s="165">
        <v>322</v>
      </c>
      <c r="B2964" s="162" t="s">
        <v>5398</v>
      </c>
      <c r="C2964" s="166" t="s">
        <v>5399</v>
      </c>
      <c r="D2964" s="167">
        <v>7503.62</v>
      </c>
      <c r="E2964" s="167">
        <v>3757.23</v>
      </c>
      <c r="F2964" s="167">
        <v>2133.75</v>
      </c>
      <c r="G2964" s="167">
        <v>1612.64</v>
      </c>
      <c r="H2964" s="168">
        <v>65404.61</v>
      </c>
      <c r="I2964" s="168">
        <v>43209.78</v>
      </c>
      <c r="J2964" s="168">
        <v>15720.91</v>
      </c>
      <c r="K2964" s="168">
        <v>6473.92</v>
      </c>
      <c r="L2964" s="43">
        <v>8.7164075472905083</v>
      </c>
      <c r="M2964" s="43">
        <v>11.500435161009573</v>
      </c>
      <c r="N2964" s="43">
        <v>7.3677375512595198</v>
      </c>
      <c r="O2964" s="43">
        <v>4.014485564044052</v>
      </c>
      <c r="P2964" s="169"/>
      <c r="Q2964" s="169"/>
      <c r="R2964" s="169">
        <v>23</v>
      </c>
    </row>
    <row r="2965" spans="1:18" ht="12.75" customHeight="1">
      <c r="A2965" s="628" t="s">
        <v>5400</v>
      </c>
      <c r="B2965" s="629"/>
      <c r="C2965" s="629"/>
      <c r="D2965" s="629"/>
      <c r="E2965" s="629"/>
      <c r="F2965" s="629"/>
      <c r="G2965" s="629"/>
      <c r="H2965" s="629"/>
      <c r="I2965" s="629"/>
      <c r="J2965" s="629"/>
      <c r="K2965" s="629"/>
      <c r="L2965" s="629"/>
      <c r="M2965" s="629"/>
      <c r="N2965" s="629"/>
      <c r="O2965" s="629"/>
      <c r="P2965" s="629"/>
      <c r="Q2965" s="629"/>
      <c r="R2965" s="629"/>
    </row>
    <row r="2966" spans="1:18" ht="24">
      <c r="A2966" s="165">
        <v>323</v>
      </c>
      <c r="B2966" s="162" t="s">
        <v>5401</v>
      </c>
      <c r="C2966" s="166" t="s">
        <v>5402</v>
      </c>
      <c r="D2966" s="167">
        <v>7231.75</v>
      </c>
      <c r="E2966" s="167">
        <v>3722.76</v>
      </c>
      <c r="F2966" s="167">
        <v>1808.05</v>
      </c>
      <c r="G2966" s="167">
        <v>1700.94</v>
      </c>
      <c r="H2966" s="168">
        <v>63919.4</v>
      </c>
      <c r="I2966" s="168">
        <v>42813.36</v>
      </c>
      <c r="J2966" s="168">
        <v>14147.8</v>
      </c>
      <c r="K2966" s="168">
        <v>6958.24</v>
      </c>
      <c r="L2966" s="43">
        <v>8.8387181525910048</v>
      </c>
      <c r="M2966" s="43">
        <v>11.500435161009573</v>
      </c>
      <c r="N2966" s="43">
        <v>7.8248942230579903</v>
      </c>
      <c r="O2966" s="43">
        <v>4.0908203699131063</v>
      </c>
      <c r="P2966" s="169"/>
      <c r="Q2966" s="169"/>
      <c r="R2966" s="169">
        <v>24</v>
      </c>
    </row>
    <row r="2967" spans="1:18" ht="24">
      <c r="A2967" s="165">
        <v>324</v>
      </c>
      <c r="B2967" s="162" t="s">
        <v>5403</v>
      </c>
      <c r="C2967" s="166" t="s">
        <v>5404</v>
      </c>
      <c r="D2967" s="167">
        <v>8455.4500000000007</v>
      </c>
      <c r="E2967" s="167">
        <v>3911.2</v>
      </c>
      <c r="F2967" s="167">
        <v>2415.56</v>
      </c>
      <c r="G2967" s="167">
        <v>2128.69</v>
      </c>
      <c r="H2967" s="168">
        <v>72026.899999999994</v>
      </c>
      <c r="I2967" s="168">
        <v>44980.46</v>
      </c>
      <c r="J2967" s="168">
        <v>18666.45</v>
      </c>
      <c r="K2967" s="168">
        <v>8379.99</v>
      </c>
      <c r="L2967" s="43">
        <v>8.5183993755506791</v>
      </c>
      <c r="M2967" s="43">
        <v>11.500424422172223</v>
      </c>
      <c r="N2967" s="43">
        <v>7.7275869777608506</v>
      </c>
      <c r="O2967" s="43">
        <v>3.9366887616327411</v>
      </c>
      <c r="P2967" s="169"/>
      <c r="Q2967" s="169"/>
      <c r="R2967" s="169">
        <v>24</v>
      </c>
    </row>
    <row r="2968" spans="1:18" ht="12.75" customHeight="1">
      <c r="A2968" s="628" t="s">
        <v>5405</v>
      </c>
      <c r="B2968" s="629"/>
      <c r="C2968" s="629"/>
      <c r="D2968" s="629"/>
      <c r="E2968" s="629"/>
      <c r="F2968" s="629"/>
      <c r="G2968" s="629"/>
      <c r="H2968" s="629"/>
      <c r="I2968" s="629"/>
      <c r="J2968" s="629"/>
      <c r="K2968" s="629"/>
      <c r="L2968" s="629"/>
      <c r="M2968" s="629"/>
      <c r="N2968" s="629"/>
      <c r="O2968" s="629"/>
      <c r="P2968" s="629"/>
      <c r="Q2968" s="629"/>
      <c r="R2968" s="629"/>
    </row>
    <row r="2969" spans="1:18" ht="24">
      <c r="A2969" s="165">
        <v>325</v>
      </c>
      <c r="B2969" s="162" t="s">
        <v>5406</v>
      </c>
      <c r="C2969" s="166" t="s">
        <v>5407</v>
      </c>
      <c r="D2969" s="167">
        <v>2942.62</v>
      </c>
      <c r="E2969" s="167">
        <v>919.2</v>
      </c>
      <c r="F2969" s="167">
        <v>1487.12</v>
      </c>
      <c r="G2969" s="167">
        <v>536.29999999999995</v>
      </c>
      <c r="H2969" s="168">
        <v>23805.79</v>
      </c>
      <c r="I2969" s="168">
        <v>10571.2</v>
      </c>
      <c r="J2969" s="168">
        <v>8026.69</v>
      </c>
      <c r="K2969" s="168">
        <v>5207.8999999999996</v>
      </c>
      <c r="L2969" s="43">
        <v>8.0899980289673827</v>
      </c>
      <c r="M2969" s="43">
        <v>11.500435161009573</v>
      </c>
      <c r="N2969" s="43">
        <v>5.3974729678842328</v>
      </c>
      <c r="O2969" s="43">
        <v>9.7107961961588671</v>
      </c>
      <c r="P2969" s="169"/>
      <c r="Q2969" s="169"/>
      <c r="R2969" s="169">
        <v>25</v>
      </c>
    </row>
    <row r="2970" spans="1:18" ht="24">
      <c r="A2970" s="165">
        <v>326</v>
      </c>
      <c r="B2970" s="162" t="s">
        <v>5408</v>
      </c>
      <c r="C2970" s="166" t="s">
        <v>5409</v>
      </c>
      <c r="D2970" s="167">
        <v>5595.63</v>
      </c>
      <c r="E2970" s="167">
        <v>1321.35</v>
      </c>
      <c r="F2970" s="167">
        <v>3371.89</v>
      </c>
      <c r="G2970" s="167">
        <v>902.39</v>
      </c>
      <c r="H2970" s="168">
        <v>40728</v>
      </c>
      <c r="I2970" s="168">
        <v>15196.1</v>
      </c>
      <c r="J2970" s="168">
        <v>17965.169999999998</v>
      </c>
      <c r="K2970" s="168">
        <v>7566.73</v>
      </c>
      <c r="L2970" s="43">
        <v>7.2785370011955761</v>
      </c>
      <c r="M2970" s="43">
        <v>11.500435161009575</v>
      </c>
      <c r="N2970" s="43">
        <v>5.3279229156348515</v>
      </c>
      <c r="O2970" s="43">
        <v>8.3852103857533873</v>
      </c>
      <c r="P2970" s="169"/>
      <c r="Q2970" s="169"/>
      <c r="R2970" s="169">
        <v>25</v>
      </c>
    </row>
    <row r="2971" spans="1:18" ht="12.75" customHeight="1">
      <c r="A2971" s="628" t="s">
        <v>5410</v>
      </c>
      <c r="B2971" s="629"/>
      <c r="C2971" s="629"/>
      <c r="D2971" s="629"/>
      <c r="E2971" s="629"/>
      <c r="F2971" s="629"/>
      <c r="G2971" s="629"/>
      <c r="H2971" s="629"/>
      <c r="I2971" s="629"/>
      <c r="J2971" s="629"/>
      <c r="K2971" s="629"/>
      <c r="L2971" s="629"/>
      <c r="M2971" s="629"/>
      <c r="N2971" s="629"/>
      <c r="O2971" s="629"/>
      <c r="P2971" s="629"/>
      <c r="Q2971" s="629"/>
      <c r="R2971" s="629"/>
    </row>
    <row r="2972" spans="1:18" ht="36">
      <c r="A2972" s="165">
        <v>327</v>
      </c>
      <c r="B2972" s="162" t="s">
        <v>5411</v>
      </c>
      <c r="C2972" s="166" t="s">
        <v>5412</v>
      </c>
      <c r="D2972" s="167">
        <v>641.89</v>
      </c>
      <c r="E2972" s="167">
        <v>107.09</v>
      </c>
      <c r="F2972" s="167">
        <v>488.83</v>
      </c>
      <c r="G2972" s="167">
        <v>45.97</v>
      </c>
      <c r="H2972" s="168">
        <v>3994.62</v>
      </c>
      <c r="I2972" s="168">
        <v>1231.54</v>
      </c>
      <c r="J2972" s="168">
        <v>2532.3000000000002</v>
      </c>
      <c r="K2972" s="168">
        <v>230.78</v>
      </c>
      <c r="L2972" s="43">
        <v>6.2232158157939832</v>
      </c>
      <c r="M2972" s="43">
        <v>11.500046689700252</v>
      </c>
      <c r="N2972" s="43">
        <v>5.1803285395740852</v>
      </c>
      <c r="O2972" s="43">
        <v>5.0202305851642377</v>
      </c>
      <c r="P2972" s="169"/>
      <c r="Q2972" s="169"/>
      <c r="R2972" s="169">
        <v>26</v>
      </c>
    </row>
    <row r="2973" spans="1:18" ht="36">
      <c r="A2973" s="165">
        <v>328</v>
      </c>
      <c r="B2973" s="162" t="s">
        <v>5413</v>
      </c>
      <c r="C2973" s="166" t="s">
        <v>5414</v>
      </c>
      <c r="D2973" s="167">
        <v>211.47</v>
      </c>
      <c r="E2973" s="167">
        <v>40.56</v>
      </c>
      <c r="F2973" s="167">
        <v>109.63</v>
      </c>
      <c r="G2973" s="167">
        <v>61.28</v>
      </c>
      <c r="H2973" s="168">
        <v>1216.51</v>
      </c>
      <c r="I2973" s="168">
        <v>466.45</v>
      </c>
      <c r="J2973" s="168">
        <v>600.75</v>
      </c>
      <c r="K2973" s="168">
        <v>149.31</v>
      </c>
      <c r="L2973" s="43">
        <v>5.7526363077505085</v>
      </c>
      <c r="M2973" s="43">
        <v>11.500246548323471</v>
      </c>
      <c r="N2973" s="43">
        <v>5.4797956763659581</v>
      </c>
      <c r="O2973" s="43">
        <v>2.4365208877284594</v>
      </c>
      <c r="P2973" s="169"/>
      <c r="Q2973" s="169"/>
      <c r="R2973" s="169">
        <v>26</v>
      </c>
    </row>
    <row r="2974" spans="1:18" ht="36">
      <c r="A2974" s="165">
        <v>329</v>
      </c>
      <c r="B2974" s="162" t="s">
        <v>5415</v>
      </c>
      <c r="C2974" s="166" t="s">
        <v>5416</v>
      </c>
      <c r="D2974" s="167">
        <v>323.75</v>
      </c>
      <c r="E2974" s="167">
        <v>67.56</v>
      </c>
      <c r="F2974" s="167">
        <v>140.32</v>
      </c>
      <c r="G2974" s="167">
        <v>115.87</v>
      </c>
      <c r="H2974" s="168">
        <v>1811.3</v>
      </c>
      <c r="I2974" s="168">
        <v>776.98</v>
      </c>
      <c r="J2974" s="168">
        <v>772.63</v>
      </c>
      <c r="K2974" s="168">
        <v>261.69</v>
      </c>
      <c r="L2974" s="43">
        <v>5.594749034749035</v>
      </c>
      <c r="M2974" s="43">
        <v>11.500592066311427</v>
      </c>
      <c r="N2974" s="43">
        <v>5.506200114025086</v>
      </c>
      <c r="O2974" s="43">
        <v>2.2584793302839388</v>
      </c>
      <c r="P2974" s="169"/>
      <c r="Q2974" s="169"/>
      <c r="R2974" s="169">
        <v>26</v>
      </c>
    </row>
    <row r="2975" spans="1:18" ht="36">
      <c r="A2975" s="165">
        <v>330</v>
      </c>
      <c r="B2975" s="162" t="s">
        <v>5417</v>
      </c>
      <c r="C2975" s="166" t="s">
        <v>5418</v>
      </c>
      <c r="D2975" s="167">
        <v>372.08</v>
      </c>
      <c r="E2975" s="167">
        <v>81</v>
      </c>
      <c r="F2975" s="167">
        <v>157.84</v>
      </c>
      <c r="G2975" s="167">
        <v>133.24</v>
      </c>
      <c r="H2975" s="168">
        <v>2104.79</v>
      </c>
      <c r="I2975" s="168">
        <v>931.59</v>
      </c>
      <c r="J2975" s="168">
        <v>870.67</v>
      </c>
      <c r="K2975" s="168">
        <v>302.52999999999997</v>
      </c>
      <c r="L2975" s="43">
        <v>5.6568211137389808</v>
      </c>
      <c r="M2975" s="43">
        <v>11.501111111111111</v>
      </c>
      <c r="N2975" s="43">
        <v>5.5161556006082106</v>
      </c>
      <c r="O2975" s="43">
        <v>2.2705643950765531</v>
      </c>
      <c r="P2975" s="169"/>
      <c r="Q2975" s="169"/>
      <c r="R2975" s="169">
        <v>26</v>
      </c>
    </row>
    <row r="2976" spans="1:18" ht="12.75" customHeight="1">
      <c r="A2976" s="628" t="s">
        <v>5419</v>
      </c>
      <c r="B2976" s="629"/>
      <c r="C2976" s="629"/>
      <c r="D2976" s="629"/>
      <c r="E2976" s="629"/>
      <c r="F2976" s="629"/>
      <c r="G2976" s="629"/>
      <c r="H2976" s="629"/>
      <c r="I2976" s="629"/>
      <c r="J2976" s="629"/>
      <c r="K2976" s="629"/>
      <c r="L2976" s="629"/>
      <c r="M2976" s="629"/>
      <c r="N2976" s="629"/>
      <c r="O2976" s="629"/>
      <c r="P2976" s="629"/>
      <c r="Q2976" s="629"/>
      <c r="R2976" s="629"/>
    </row>
    <row r="2977" spans="1:18" ht="36">
      <c r="A2977" s="165">
        <v>331</v>
      </c>
      <c r="B2977" s="162" t="s">
        <v>5420</v>
      </c>
      <c r="C2977" s="166" t="s">
        <v>5421</v>
      </c>
      <c r="D2977" s="167">
        <v>1251.5999999999999</v>
      </c>
      <c r="E2977" s="167">
        <v>121.79</v>
      </c>
      <c r="F2977" s="167">
        <v>1043.3800000000001</v>
      </c>
      <c r="G2977" s="167">
        <v>86.43</v>
      </c>
      <c r="H2977" s="168">
        <v>7110.9</v>
      </c>
      <c r="I2977" s="168">
        <v>1400.68</v>
      </c>
      <c r="J2977" s="168">
        <v>5211.47</v>
      </c>
      <c r="K2977" s="168">
        <v>498.75</v>
      </c>
      <c r="L2977" s="43">
        <v>5.6814477468839888</v>
      </c>
      <c r="M2977" s="43">
        <v>11.500780031201248</v>
      </c>
      <c r="N2977" s="43">
        <v>4.9947957599340604</v>
      </c>
      <c r="O2977" s="43">
        <v>5.770565775772301</v>
      </c>
      <c r="P2977" s="169"/>
      <c r="Q2977" s="169"/>
      <c r="R2977" s="169">
        <v>27</v>
      </c>
    </row>
    <row r="2978" spans="1:18" ht="36">
      <c r="A2978" s="165">
        <v>332</v>
      </c>
      <c r="B2978" s="162" t="s">
        <v>5422</v>
      </c>
      <c r="C2978" s="166" t="s">
        <v>5423</v>
      </c>
      <c r="D2978" s="167">
        <v>884.47</v>
      </c>
      <c r="E2978" s="167">
        <v>135.58000000000001</v>
      </c>
      <c r="F2978" s="167">
        <v>659.2</v>
      </c>
      <c r="G2978" s="167">
        <v>89.69</v>
      </c>
      <c r="H2978" s="168">
        <v>5394.27</v>
      </c>
      <c r="I2978" s="168">
        <v>1559.25</v>
      </c>
      <c r="J2978" s="168">
        <v>3386.6</v>
      </c>
      <c r="K2978" s="168">
        <v>448.42</v>
      </c>
      <c r="L2978" s="43">
        <v>6.0988727712641468</v>
      </c>
      <c r="M2978" s="43">
        <v>11.500590057530609</v>
      </c>
      <c r="N2978" s="43">
        <v>5.1374393203883493</v>
      </c>
      <c r="O2978" s="43">
        <v>4.9996655145501174</v>
      </c>
      <c r="P2978" s="169"/>
      <c r="Q2978" s="169"/>
      <c r="R2978" s="169">
        <v>27</v>
      </c>
    </row>
    <row r="2979" spans="1:18" ht="36">
      <c r="A2979" s="165">
        <v>333</v>
      </c>
      <c r="B2979" s="162" t="s">
        <v>5424</v>
      </c>
      <c r="C2979" s="166" t="s">
        <v>5425</v>
      </c>
      <c r="D2979" s="167">
        <v>1488.02</v>
      </c>
      <c r="E2979" s="167">
        <v>148.22</v>
      </c>
      <c r="F2979" s="167">
        <v>1201.21</v>
      </c>
      <c r="G2979" s="167">
        <v>138.59</v>
      </c>
      <c r="H2979" s="168">
        <v>8211.36</v>
      </c>
      <c r="I2979" s="168">
        <v>1704.61</v>
      </c>
      <c r="J2979" s="168">
        <v>5925.98</v>
      </c>
      <c r="K2979" s="168">
        <v>580.77</v>
      </c>
      <c r="L2979" s="43">
        <v>5.518312925901534</v>
      </c>
      <c r="M2979" s="43">
        <v>11.500539738226959</v>
      </c>
      <c r="N2979" s="43">
        <v>4.9333422132682871</v>
      </c>
      <c r="O2979" s="43">
        <v>4.1905620896168552</v>
      </c>
      <c r="P2979" s="169"/>
      <c r="Q2979" s="169"/>
      <c r="R2979" s="169">
        <v>27</v>
      </c>
    </row>
    <row r="2980" spans="1:18" ht="36">
      <c r="A2980" s="165">
        <v>334</v>
      </c>
      <c r="B2980" s="162" t="s">
        <v>5426</v>
      </c>
      <c r="C2980" s="166" t="s">
        <v>5427</v>
      </c>
      <c r="D2980" s="167">
        <v>1792.88</v>
      </c>
      <c r="E2980" s="167">
        <v>188.44</v>
      </c>
      <c r="F2980" s="167">
        <v>1455.64</v>
      </c>
      <c r="G2980" s="167">
        <v>148.80000000000001</v>
      </c>
      <c r="H2980" s="168">
        <v>9944.9500000000007</v>
      </c>
      <c r="I2980" s="168">
        <v>2167.1</v>
      </c>
      <c r="J2980" s="168">
        <v>7148.58</v>
      </c>
      <c r="K2980" s="168">
        <v>629.27</v>
      </c>
      <c r="L2980" s="43">
        <v>5.5469133461246711</v>
      </c>
      <c r="M2980" s="43">
        <v>11.500212269157291</v>
      </c>
      <c r="N2980" s="43">
        <v>4.9109532576735999</v>
      </c>
      <c r="O2980" s="43">
        <v>4.2289650537634405</v>
      </c>
      <c r="P2980" s="169"/>
      <c r="Q2980" s="169"/>
      <c r="R2980" s="169">
        <v>27</v>
      </c>
    </row>
    <row r="2981" spans="1:18" ht="36">
      <c r="A2981" s="165">
        <v>335</v>
      </c>
      <c r="B2981" s="162" t="s">
        <v>5428</v>
      </c>
      <c r="C2981" s="166" t="s">
        <v>5429</v>
      </c>
      <c r="D2981" s="167">
        <v>1902.48</v>
      </c>
      <c r="E2981" s="167">
        <v>202.22</v>
      </c>
      <c r="F2981" s="167">
        <v>1567.07</v>
      </c>
      <c r="G2981" s="167">
        <v>133.19</v>
      </c>
      <c r="H2981" s="168">
        <v>10746.32</v>
      </c>
      <c r="I2981" s="168">
        <v>2325.66</v>
      </c>
      <c r="J2981" s="168">
        <v>7736.11</v>
      </c>
      <c r="K2981" s="168">
        <v>684.55</v>
      </c>
      <c r="L2981" s="43">
        <v>5.6485850048357928</v>
      </c>
      <c r="M2981" s="43">
        <v>11.500642864207299</v>
      </c>
      <c r="N2981" s="43">
        <v>4.9366716228375251</v>
      </c>
      <c r="O2981" s="43">
        <v>5.1396501238831744</v>
      </c>
      <c r="P2981" s="169"/>
      <c r="Q2981" s="169"/>
      <c r="R2981" s="169">
        <v>27</v>
      </c>
    </row>
    <row r="2982" spans="1:18" ht="24">
      <c r="A2982" s="165">
        <v>336</v>
      </c>
      <c r="B2982" s="162" t="s">
        <v>5430</v>
      </c>
      <c r="C2982" s="166" t="s">
        <v>5431</v>
      </c>
      <c r="D2982" s="167">
        <v>889.49</v>
      </c>
      <c r="E2982" s="167">
        <v>78.13</v>
      </c>
      <c r="F2982" s="167">
        <v>762.09</v>
      </c>
      <c r="G2982" s="167">
        <v>49.27</v>
      </c>
      <c r="H2982" s="168">
        <v>5247.67</v>
      </c>
      <c r="I2982" s="168">
        <v>898.55</v>
      </c>
      <c r="J2982" s="168">
        <v>4105.0600000000004</v>
      </c>
      <c r="K2982" s="168">
        <v>244.06</v>
      </c>
      <c r="L2982" s="43">
        <v>5.8996391190457453</v>
      </c>
      <c r="M2982" s="43">
        <v>11.500703954946884</v>
      </c>
      <c r="N2982" s="43">
        <v>5.3865816373394217</v>
      </c>
      <c r="O2982" s="43">
        <v>4.9535214126243146</v>
      </c>
      <c r="P2982" s="169"/>
      <c r="Q2982" s="169"/>
      <c r="R2982" s="169">
        <v>27</v>
      </c>
    </row>
    <row r="2983" spans="1:18" ht="24">
      <c r="A2983" s="165">
        <v>337</v>
      </c>
      <c r="B2983" s="162" t="s">
        <v>5432</v>
      </c>
      <c r="C2983" s="166" t="s">
        <v>5433</v>
      </c>
      <c r="D2983" s="167">
        <v>1192.8599999999999</v>
      </c>
      <c r="E2983" s="167">
        <v>91.23</v>
      </c>
      <c r="F2983" s="167">
        <v>1045.53</v>
      </c>
      <c r="G2983" s="167">
        <v>56.1</v>
      </c>
      <c r="H2983" s="168">
        <v>6980.58</v>
      </c>
      <c r="I2983" s="168">
        <v>1049.19</v>
      </c>
      <c r="J2983" s="168">
        <v>5638.42</v>
      </c>
      <c r="K2983" s="168">
        <v>292.97000000000003</v>
      </c>
      <c r="L2983" s="43">
        <v>5.8519692168401996</v>
      </c>
      <c r="M2983" s="43">
        <v>11.500493258796448</v>
      </c>
      <c r="N2983" s="43">
        <v>5.3928820789456067</v>
      </c>
      <c r="O2983" s="43">
        <v>5.2222816399286991</v>
      </c>
      <c r="P2983" s="169"/>
      <c r="Q2983" s="169"/>
      <c r="R2983" s="169">
        <v>27</v>
      </c>
    </row>
    <row r="2984" spans="1:18" ht="12.75" customHeight="1">
      <c r="A2984" s="628" t="s">
        <v>5434</v>
      </c>
      <c r="B2984" s="629"/>
      <c r="C2984" s="629"/>
      <c r="D2984" s="629"/>
      <c r="E2984" s="629"/>
      <c r="F2984" s="629"/>
      <c r="G2984" s="629"/>
      <c r="H2984" s="629"/>
      <c r="I2984" s="629"/>
      <c r="J2984" s="629"/>
      <c r="K2984" s="629"/>
      <c r="L2984" s="629"/>
      <c r="M2984" s="629"/>
      <c r="N2984" s="629"/>
      <c r="O2984" s="629"/>
      <c r="P2984" s="629"/>
      <c r="Q2984" s="629"/>
      <c r="R2984" s="629"/>
    </row>
    <row r="2985" spans="1:18" ht="24">
      <c r="A2985" s="165">
        <v>338</v>
      </c>
      <c r="B2985" s="162" t="s">
        <v>5435</v>
      </c>
      <c r="C2985" s="166" t="s">
        <v>5436</v>
      </c>
      <c r="D2985" s="167">
        <v>501.53</v>
      </c>
      <c r="E2985" s="167">
        <v>176.95</v>
      </c>
      <c r="F2985" s="167">
        <v>44.29</v>
      </c>
      <c r="G2985" s="167">
        <v>280.29000000000002</v>
      </c>
      <c r="H2985" s="168">
        <v>3607.91</v>
      </c>
      <c r="I2985" s="168">
        <v>2034.96</v>
      </c>
      <c r="J2985" s="168">
        <v>228.31</v>
      </c>
      <c r="K2985" s="168">
        <v>1344.64</v>
      </c>
      <c r="L2985" s="43">
        <v>7.1938069507307638</v>
      </c>
      <c r="M2985" s="43">
        <v>11.500197795987567</v>
      </c>
      <c r="N2985" s="43">
        <v>5.1548882366222628</v>
      </c>
      <c r="O2985" s="43">
        <v>4.7973170644689427</v>
      </c>
      <c r="P2985" s="169"/>
      <c r="Q2985" s="169"/>
      <c r="R2985" s="169">
        <v>28</v>
      </c>
    </row>
    <row r="2986" spans="1:18" ht="24">
      <c r="A2986" s="165">
        <v>339</v>
      </c>
      <c r="B2986" s="162" t="s">
        <v>5437</v>
      </c>
      <c r="C2986" s="166" t="s">
        <v>5438</v>
      </c>
      <c r="D2986" s="167">
        <v>659.68</v>
      </c>
      <c r="E2986" s="167">
        <v>230.95</v>
      </c>
      <c r="F2986" s="167">
        <v>56.63</v>
      </c>
      <c r="G2986" s="167">
        <v>372.1</v>
      </c>
      <c r="H2986" s="168">
        <v>4698.8999999999996</v>
      </c>
      <c r="I2986" s="168">
        <v>2656.01</v>
      </c>
      <c r="J2986" s="168">
        <v>292.45</v>
      </c>
      <c r="K2986" s="168">
        <v>1750.44</v>
      </c>
      <c r="L2986" s="43">
        <v>7.1229990298326458</v>
      </c>
      <c r="M2986" s="43">
        <v>11.500368045031394</v>
      </c>
      <c r="N2986" s="43">
        <v>5.1642239095885571</v>
      </c>
      <c r="O2986" s="43">
        <v>4.7042192958882021</v>
      </c>
      <c r="P2986" s="169"/>
      <c r="Q2986" s="169"/>
      <c r="R2986" s="169">
        <v>28</v>
      </c>
    </row>
    <row r="2987" spans="1:18" ht="24">
      <c r="A2987" s="165">
        <v>340</v>
      </c>
      <c r="B2987" s="162" t="s">
        <v>5439</v>
      </c>
      <c r="C2987" s="166" t="s">
        <v>5440</v>
      </c>
      <c r="D2987" s="167">
        <v>954.32</v>
      </c>
      <c r="E2987" s="167">
        <v>326.32</v>
      </c>
      <c r="F2987" s="167">
        <v>87.04</v>
      </c>
      <c r="G2987" s="167">
        <v>540.96</v>
      </c>
      <c r="H2987" s="168">
        <v>6981.89</v>
      </c>
      <c r="I2987" s="168">
        <v>3752.78</v>
      </c>
      <c r="J2987" s="168">
        <v>449.48</v>
      </c>
      <c r="K2987" s="168">
        <v>2779.63</v>
      </c>
      <c r="L2987" s="43">
        <v>7.3160889429122307</v>
      </c>
      <c r="M2987" s="43">
        <v>11.50030644765874</v>
      </c>
      <c r="N2987" s="43">
        <v>5.1640625</v>
      </c>
      <c r="O2987" s="43">
        <v>5.1383281573498962</v>
      </c>
      <c r="P2987" s="169"/>
      <c r="Q2987" s="169"/>
      <c r="R2987" s="169">
        <v>28</v>
      </c>
    </row>
    <row r="2988" spans="1:18" ht="24">
      <c r="A2988" s="165">
        <v>341</v>
      </c>
      <c r="B2988" s="162" t="s">
        <v>5441</v>
      </c>
      <c r="C2988" s="166" t="s">
        <v>5442</v>
      </c>
      <c r="D2988" s="167">
        <v>1073.72</v>
      </c>
      <c r="E2988" s="167">
        <v>326.32</v>
      </c>
      <c r="F2988" s="167">
        <v>102.72</v>
      </c>
      <c r="G2988" s="167">
        <v>644.67999999999995</v>
      </c>
      <c r="H2988" s="168">
        <v>7247.06</v>
      </c>
      <c r="I2988" s="168">
        <v>3752.78</v>
      </c>
      <c r="J2988" s="168">
        <v>530.55999999999995</v>
      </c>
      <c r="K2988" s="168">
        <v>2963.72</v>
      </c>
      <c r="L2988" s="43">
        <v>6.7494877621726337</v>
      </c>
      <c r="M2988" s="43">
        <v>11.50030644765874</v>
      </c>
      <c r="N2988" s="43">
        <v>5.1651090342679122</v>
      </c>
      <c r="O2988" s="43">
        <v>4.5971955078488556</v>
      </c>
      <c r="P2988" s="169"/>
      <c r="Q2988" s="169"/>
      <c r="R2988" s="169">
        <v>28</v>
      </c>
    </row>
    <row r="2989" spans="1:18" ht="12.75" customHeight="1">
      <c r="A2989" s="628" t="s">
        <v>5443</v>
      </c>
      <c r="B2989" s="629"/>
      <c r="C2989" s="629"/>
      <c r="D2989" s="629"/>
      <c r="E2989" s="629"/>
      <c r="F2989" s="629"/>
      <c r="G2989" s="629"/>
      <c r="H2989" s="629"/>
      <c r="I2989" s="629"/>
      <c r="J2989" s="629"/>
      <c r="K2989" s="629"/>
      <c r="L2989" s="629"/>
      <c r="M2989" s="629"/>
      <c r="N2989" s="629"/>
      <c r="O2989" s="629"/>
      <c r="P2989" s="629"/>
      <c r="Q2989" s="629"/>
      <c r="R2989" s="629"/>
    </row>
    <row r="2990" spans="1:18" ht="24">
      <c r="A2990" s="165">
        <v>342</v>
      </c>
      <c r="B2990" s="162" t="s">
        <v>5444</v>
      </c>
      <c r="C2990" s="166" t="s">
        <v>5445</v>
      </c>
      <c r="D2990" s="167">
        <v>26.31</v>
      </c>
      <c r="E2990" s="167">
        <v>12.98</v>
      </c>
      <c r="F2990" s="167">
        <v>11.09</v>
      </c>
      <c r="G2990" s="167">
        <v>2.2400000000000002</v>
      </c>
      <c r="H2990" s="168">
        <v>220.56</v>
      </c>
      <c r="I2990" s="168">
        <v>149.32</v>
      </c>
      <c r="J2990" s="168">
        <v>59.69</v>
      </c>
      <c r="K2990" s="168">
        <v>11.55</v>
      </c>
      <c r="L2990" s="43">
        <v>8.3831242873432164</v>
      </c>
      <c r="M2990" s="43">
        <v>11.503852080123266</v>
      </c>
      <c r="N2990" s="43">
        <v>5.3823264201983765</v>
      </c>
      <c r="O2990" s="43">
        <v>5.15625</v>
      </c>
      <c r="P2990" s="169"/>
      <c r="Q2990" s="169"/>
      <c r="R2990" s="169">
        <v>29</v>
      </c>
    </row>
    <row r="2991" spans="1:18" ht="24">
      <c r="A2991" s="165">
        <v>343</v>
      </c>
      <c r="B2991" s="162" t="s">
        <v>5446</v>
      </c>
      <c r="C2991" s="166" t="s">
        <v>5447</v>
      </c>
      <c r="D2991" s="167">
        <v>40.54</v>
      </c>
      <c r="E2991" s="167">
        <v>12.98</v>
      </c>
      <c r="F2991" s="167">
        <v>22.19</v>
      </c>
      <c r="G2991" s="167">
        <v>5.37</v>
      </c>
      <c r="H2991" s="168">
        <v>290.75</v>
      </c>
      <c r="I2991" s="168">
        <v>149.32</v>
      </c>
      <c r="J2991" s="168">
        <v>119.39</v>
      </c>
      <c r="K2991" s="168">
        <v>22.04</v>
      </c>
      <c r="L2991" s="43">
        <v>7.1719289590527877</v>
      </c>
      <c r="M2991" s="43">
        <v>11.503852080123266</v>
      </c>
      <c r="N2991" s="43">
        <v>5.3803515096890484</v>
      </c>
      <c r="O2991" s="43">
        <v>4.1042830540037238</v>
      </c>
      <c r="P2991" s="169"/>
      <c r="Q2991" s="169"/>
      <c r="R2991" s="169">
        <v>29</v>
      </c>
    </row>
    <row r="2992" spans="1:18" ht="24">
      <c r="A2992" s="165">
        <v>344</v>
      </c>
      <c r="B2992" s="162" t="s">
        <v>5448</v>
      </c>
      <c r="C2992" s="166" t="s">
        <v>5449</v>
      </c>
      <c r="D2992" s="167">
        <v>58.36</v>
      </c>
      <c r="E2992" s="167">
        <v>25.85</v>
      </c>
      <c r="F2992" s="167">
        <v>22.19</v>
      </c>
      <c r="G2992" s="167">
        <v>10.32</v>
      </c>
      <c r="H2992" s="168">
        <v>457.46</v>
      </c>
      <c r="I2992" s="168">
        <v>297.32</v>
      </c>
      <c r="J2992" s="168">
        <v>119.39</v>
      </c>
      <c r="K2992" s="168">
        <v>40.75</v>
      </c>
      <c r="L2992" s="43">
        <v>7.8385880740233036</v>
      </c>
      <c r="M2992" s="43">
        <v>11.50174081237911</v>
      </c>
      <c r="N2992" s="43">
        <v>5.3803515096890484</v>
      </c>
      <c r="O2992" s="43">
        <v>3.9486434108527129</v>
      </c>
      <c r="P2992" s="169"/>
      <c r="Q2992" s="169"/>
      <c r="R2992" s="169">
        <v>29</v>
      </c>
    </row>
    <row r="2993" spans="1:18" ht="24">
      <c r="A2993" s="165">
        <v>345</v>
      </c>
      <c r="B2993" s="162" t="s">
        <v>5450</v>
      </c>
      <c r="C2993" s="166" t="s">
        <v>5451</v>
      </c>
      <c r="D2993" s="167">
        <v>47.17</v>
      </c>
      <c r="E2993" s="167">
        <v>12.98</v>
      </c>
      <c r="F2993" s="167">
        <v>30.51</v>
      </c>
      <c r="G2993" s="167">
        <v>3.68</v>
      </c>
      <c r="H2993" s="168">
        <v>336.64</v>
      </c>
      <c r="I2993" s="168">
        <v>149.32</v>
      </c>
      <c r="J2993" s="168">
        <v>164.16</v>
      </c>
      <c r="K2993" s="168">
        <v>23.16</v>
      </c>
      <c r="L2993" s="43">
        <v>7.1367394530421873</v>
      </c>
      <c r="M2993" s="43">
        <v>11.503852080123266</v>
      </c>
      <c r="N2993" s="43">
        <v>5.3805309734513269</v>
      </c>
      <c r="O2993" s="43">
        <v>6.2934782608695654</v>
      </c>
      <c r="P2993" s="169"/>
      <c r="Q2993" s="169"/>
      <c r="R2993" s="169">
        <v>29</v>
      </c>
    </row>
    <row r="2994" spans="1:18" ht="12.75" customHeight="1">
      <c r="A2994" s="628" t="s">
        <v>5452</v>
      </c>
      <c r="B2994" s="629"/>
      <c r="C2994" s="629"/>
      <c r="D2994" s="629"/>
      <c r="E2994" s="629"/>
      <c r="F2994" s="629"/>
      <c r="G2994" s="629"/>
      <c r="H2994" s="629"/>
      <c r="I2994" s="629"/>
      <c r="J2994" s="629"/>
      <c r="K2994" s="629"/>
      <c r="L2994" s="629"/>
      <c r="M2994" s="629"/>
      <c r="N2994" s="629"/>
      <c r="O2994" s="629"/>
      <c r="P2994" s="629"/>
      <c r="Q2994" s="629"/>
      <c r="R2994" s="629"/>
    </row>
    <row r="2995" spans="1:18" ht="48">
      <c r="A2995" s="165">
        <v>346</v>
      </c>
      <c r="B2995" s="162" t="s">
        <v>5453</v>
      </c>
      <c r="C2995" s="166" t="s">
        <v>5454</v>
      </c>
      <c r="D2995" s="167">
        <v>26.51</v>
      </c>
      <c r="E2995" s="167">
        <v>12.98</v>
      </c>
      <c r="F2995" s="167">
        <v>11.09</v>
      </c>
      <c r="G2995" s="167">
        <v>2.44</v>
      </c>
      <c r="H2995" s="168">
        <v>222.22</v>
      </c>
      <c r="I2995" s="168">
        <v>149.32</v>
      </c>
      <c r="J2995" s="168">
        <v>59.69</v>
      </c>
      <c r="K2995" s="168">
        <v>13.21</v>
      </c>
      <c r="L2995" s="43">
        <v>8.3824971708789136</v>
      </c>
      <c r="M2995" s="43">
        <v>11.503852080123266</v>
      </c>
      <c r="N2995" s="43">
        <v>5.3823264201983765</v>
      </c>
      <c r="O2995" s="43">
        <v>5.4139344262295088</v>
      </c>
      <c r="P2995" s="169"/>
      <c r="Q2995" s="169"/>
      <c r="R2995" s="169">
        <v>30</v>
      </c>
    </row>
    <row r="2996" spans="1:18" ht="48">
      <c r="A2996" s="165">
        <v>347</v>
      </c>
      <c r="B2996" s="162" t="s">
        <v>5455</v>
      </c>
      <c r="C2996" s="166" t="s">
        <v>5456</v>
      </c>
      <c r="D2996" s="167">
        <v>29.64</v>
      </c>
      <c r="E2996" s="167">
        <v>12.98</v>
      </c>
      <c r="F2996" s="167">
        <v>11.09</v>
      </c>
      <c r="G2996" s="167">
        <v>5.57</v>
      </c>
      <c r="H2996" s="168">
        <v>232.71</v>
      </c>
      <c r="I2996" s="168">
        <v>149.32</v>
      </c>
      <c r="J2996" s="168">
        <v>59.69</v>
      </c>
      <c r="K2996" s="168">
        <v>23.7</v>
      </c>
      <c r="L2996" s="43">
        <v>7.8512145748987852</v>
      </c>
      <c r="M2996" s="43">
        <v>11.503852080123266</v>
      </c>
      <c r="N2996" s="43">
        <v>5.3823264201983765</v>
      </c>
      <c r="O2996" s="43">
        <v>4.2549371633752244</v>
      </c>
      <c r="P2996" s="169"/>
      <c r="Q2996" s="169"/>
      <c r="R2996" s="169">
        <v>30</v>
      </c>
    </row>
    <row r="2997" spans="1:18" ht="48">
      <c r="A2997" s="165">
        <v>348</v>
      </c>
      <c r="B2997" s="162" t="s">
        <v>5457</v>
      </c>
      <c r="C2997" s="166" t="s">
        <v>5458</v>
      </c>
      <c r="D2997" s="167">
        <v>34.340000000000003</v>
      </c>
      <c r="E2997" s="167">
        <v>12.98</v>
      </c>
      <c r="F2997" s="167">
        <v>11.09</v>
      </c>
      <c r="G2997" s="167">
        <v>10.27</v>
      </c>
      <c r="H2997" s="168">
        <v>248.43</v>
      </c>
      <c r="I2997" s="168">
        <v>149.32</v>
      </c>
      <c r="J2997" s="168">
        <v>59.69</v>
      </c>
      <c r="K2997" s="168">
        <v>39.42</v>
      </c>
      <c r="L2997" s="43">
        <v>7.2344205008736164</v>
      </c>
      <c r="M2997" s="43">
        <v>11.503852080123266</v>
      </c>
      <c r="N2997" s="43">
        <v>5.3823264201983765</v>
      </c>
      <c r="O2997" s="43">
        <v>3.8383641674780917</v>
      </c>
      <c r="P2997" s="169"/>
      <c r="Q2997" s="169"/>
      <c r="R2997" s="169">
        <v>30</v>
      </c>
    </row>
    <row r="2998" spans="1:18" ht="12.75" customHeight="1">
      <c r="A2998" s="628" t="s">
        <v>5459</v>
      </c>
      <c r="B2998" s="629"/>
      <c r="C2998" s="629"/>
      <c r="D2998" s="629"/>
      <c r="E2998" s="629"/>
      <c r="F2998" s="629"/>
      <c r="G2998" s="629"/>
      <c r="H2998" s="629"/>
      <c r="I2998" s="629"/>
      <c r="J2998" s="629"/>
      <c r="K2998" s="629"/>
      <c r="L2998" s="629"/>
      <c r="M2998" s="629"/>
      <c r="N2998" s="629"/>
      <c r="O2998" s="629"/>
      <c r="P2998" s="629"/>
      <c r="Q2998" s="629"/>
      <c r="R2998" s="629"/>
    </row>
    <row r="2999" spans="1:18" ht="24">
      <c r="A2999" s="165">
        <v>349</v>
      </c>
      <c r="B2999" s="162" t="s">
        <v>5460</v>
      </c>
      <c r="C2999" s="166" t="s">
        <v>5461</v>
      </c>
      <c r="D2999" s="167">
        <v>1194.52</v>
      </c>
      <c r="E2999" s="167">
        <v>540.03</v>
      </c>
      <c r="F2999" s="167">
        <v>32.18</v>
      </c>
      <c r="G2999" s="167">
        <v>622.30999999999995</v>
      </c>
      <c r="H2999" s="168">
        <v>9232.81</v>
      </c>
      <c r="I2999" s="168">
        <v>6210.58</v>
      </c>
      <c r="J2999" s="168">
        <v>173.02</v>
      </c>
      <c r="K2999" s="168">
        <v>2849.21</v>
      </c>
      <c r="L2999" s="43">
        <v>7.7293054950942635</v>
      </c>
      <c r="M2999" s="43">
        <v>11.500435161009573</v>
      </c>
      <c r="N2999" s="43">
        <v>5.3766314481044128</v>
      </c>
      <c r="O2999" s="43">
        <v>4.5784416127010656</v>
      </c>
      <c r="P2999" s="169"/>
      <c r="Q2999" s="169"/>
      <c r="R2999" s="169">
        <v>31</v>
      </c>
    </row>
    <row r="3000" spans="1:18" ht="12.75" customHeight="1">
      <c r="A3000" s="628" t="s">
        <v>5462</v>
      </c>
      <c r="B3000" s="629"/>
      <c r="C3000" s="629"/>
      <c r="D3000" s="629"/>
      <c r="E3000" s="629"/>
      <c r="F3000" s="629"/>
      <c r="G3000" s="629"/>
      <c r="H3000" s="629"/>
      <c r="I3000" s="629"/>
      <c r="J3000" s="629"/>
      <c r="K3000" s="629"/>
      <c r="L3000" s="629"/>
      <c r="M3000" s="629"/>
      <c r="N3000" s="629"/>
      <c r="O3000" s="629"/>
      <c r="P3000" s="629"/>
      <c r="Q3000" s="629"/>
      <c r="R3000" s="629"/>
    </row>
    <row r="3001" spans="1:18" ht="24">
      <c r="A3001" s="165">
        <v>350</v>
      </c>
      <c r="B3001" s="162" t="s">
        <v>5463</v>
      </c>
      <c r="C3001" s="166" t="s">
        <v>5464</v>
      </c>
      <c r="D3001" s="167">
        <v>56.37</v>
      </c>
      <c r="E3001" s="167">
        <v>25.85</v>
      </c>
      <c r="F3001" s="167"/>
      <c r="G3001" s="167">
        <v>30.52</v>
      </c>
      <c r="H3001" s="168">
        <v>426.19</v>
      </c>
      <c r="I3001" s="168">
        <v>297.32</v>
      </c>
      <c r="J3001" s="168"/>
      <c r="K3001" s="168">
        <v>128.87</v>
      </c>
      <c r="L3001" s="43">
        <v>7.5605818697888951</v>
      </c>
      <c r="M3001" s="43">
        <v>11.50174081237911</v>
      </c>
      <c r="N3001" s="43" t="s">
        <v>1690</v>
      </c>
      <c r="O3001" s="43">
        <v>4.2224770642201834</v>
      </c>
      <c r="P3001" s="169"/>
      <c r="Q3001" s="169"/>
      <c r="R3001" s="169">
        <v>32</v>
      </c>
    </row>
    <row r="3002" spans="1:18" ht="12.75" customHeight="1">
      <c r="A3002" s="628" t="s">
        <v>5465</v>
      </c>
      <c r="B3002" s="629"/>
      <c r="C3002" s="629"/>
      <c r="D3002" s="629"/>
      <c r="E3002" s="629"/>
      <c r="F3002" s="629"/>
      <c r="G3002" s="629"/>
      <c r="H3002" s="629"/>
      <c r="I3002" s="629"/>
      <c r="J3002" s="629"/>
      <c r="K3002" s="629"/>
      <c r="L3002" s="629"/>
      <c r="M3002" s="629"/>
      <c r="N3002" s="629"/>
      <c r="O3002" s="629"/>
      <c r="P3002" s="629"/>
      <c r="Q3002" s="629"/>
      <c r="R3002" s="629"/>
    </row>
    <row r="3003" spans="1:18" ht="24">
      <c r="A3003" s="165">
        <v>351</v>
      </c>
      <c r="B3003" s="162" t="s">
        <v>5466</v>
      </c>
      <c r="C3003" s="166" t="s">
        <v>5467</v>
      </c>
      <c r="D3003" s="167">
        <v>612.64</v>
      </c>
      <c r="E3003" s="167">
        <v>283.8</v>
      </c>
      <c r="F3003" s="167">
        <v>302.32</v>
      </c>
      <c r="G3003" s="167">
        <v>26.52</v>
      </c>
      <c r="H3003" s="168">
        <v>5035.7700000000004</v>
      </c>
      <c r="I3003" s="168">
        <v>3263.86</v>
      </c>
      <c r="J3003" s="168">
        <v>1626.64</v>
      </c>
      <c r="K3003" s="168">
        <v>145.27000000000001</v>
      </c>
      <c r="L3003" s="43">
        <v>8.2197864977801007</v>
      </c>
      <c r="M3003" s="43">
        <v>11.500563777307963</v>
      </c>
      <c r="N3003" s="43">
        <v>5.3805239481344271</v>
      </c>
      <c r="O3003" s="43">
        <v>5.4777526395173455</v>
      </c>
      <c r="P3003" s="169"/>
      <c r="Q3003" s="169"/>
      <c r="R3003" s="169">
        <v>33</v>
      </c>
    </row>
    <row r="3004" spans="1:18" ht="36">
      <c r="A3004" s="165">
        <v>352</v>
      </c>
      <c r="B3004" s="162" t="s">
        <v>5468</v>
      </c>
      <c r="C3004" s="166" t="s">
        <v>5469</v>
      </c>
      <c r="D3004" s="167">
        <v>468.37</v>
      </c>
      <c r="E3004" s="167">
        <v>232.1</v>
      </c>
      <c r="F3004" s="167">
        <v>210.79</v>
      </c>
      <c r="G3004" s="167">
        <v>25.48</v>
      </c>
      <c r="H3004" s="168">
        <v>3936.71</v>
      </c>
      <c r="I3004" s="168">
        <v>2669.23</v>
      </c>
      <c r="J3004" s="168">
        <v>1134.17</v>
      </c>
      <c r="K3004" s="168">
        <v>133.31</v>
      </c>
      <c r="L3004" s="43">
        <v>8.4051284241091437</v>
      </c>
      <c r="M3004" s="43">
        <v>11.500344679017665</v>
      </c>
      <c r="N3004" s="43">
        <v>5.3805683381564595</v>
      </c>
      <c r="O3004" s="43">
        <v>5.2319466248037676</v>
      </c>
      <c r="P3004" s="169"/>
      <c r="Q3004" s="169"/>
      <c r="R3004" s="169">
        <v>33</v>
      </c>
    </row>
    <row r="3005" spans="1:18" ht="24">
      <c r="A3005" s="165">
        <v>353</v>
      </c>
      <c r="B3005" s="162" t="s">
        <v>5470</v>
      </c>
      <c r="C3005" s="166" t="s">
        <v>5471</v>
      </c>
      <c r="D3005" s="167">
        <v>326.88</v>
      </c>
      <c r="E3005" s="167">
        <v>180.39</v>
      </c>
      <c r="F3005" s="167">
        <v>122.04</v>
      </c>
      <c r="G3005" s="167">
        <v>24.45</v>
      </c>
      <c r="H3005" s="168">
        <v>2852.69</v>
      </c>
      <c r="I3005" s="168">
        <v>2074.6</v>
      </c>
      <c r="J3005" s="168">
        <v>656.62</v>
      </c>
      <c r="K3005" s="168">
        <v>121.47</v>
      </c>
      <c r="L3005" s="43">
        <v>8.7270252080274116</v>
      </c>
      <c r="M3005" s="43">
        <v>11.500637507622374</v>
      </c>
      <c r="N3005" s="43">
        <v>5.3803670927564733</v>
      </c>
      <c r="O3005" s="43">
        <v>4.9680981595092026</v>
      </c>
      <c r="P3005" s="169"/>
      <c r="Q3005" s="169"/>
      <c r="R3005" s="169">
        <v>33</v>
      </c>
    </row>
    <row r="3006" spans="1:18" ht="24">
      <c r="A3006" s="165">
        <v>354</v>
      </c>
      <c r="B3006" s="162" t="s">
        <v>5472</v>
      </c>
      <c r="C3006" s="166" t="s">
        <v>5473</v>
      </c>
      <c r="D3006" s="167">
        <v>418.3</v>
      </c>
      <c r="E3006" s="167">
        <v>270.02</v>
      </c>
      <c r="F3006" s="167">
        <v>122.04</v>
      </c>
      <c r="G3006" s="167">
        <v>26.24</v>
      </c>
      <c r="H3006" s="168">
        <v>3903.96</v>
      </c>
      <c r="I3006" s="168">
        <v>3105.29</v>
      </c>
      <c r="J3006" s="168">
        <v>656.62</v>
      </c>
      <c r="K3006" s="168">
        <v>142.05000000000001</v>
      </c>
      <c r="L3006" s="43">
        <v>9.3329189576858713</v>
      </c>
      <c r="M3006" s="43">
        <v>11.500222205762537</v>
      </c>
      <c r="N3006" s="43">
        <v>5.3803670927564733</v>
      </c>
      <c r="O3006" s="43">
        <v>5.4134908536585371</v>
      </c>
      <c r="P3006" s="169"/>
      <c r="Q3006" s="169"/>
      <c r="R3006" s="169">
        <v>33</v>
      </c>
    </row>
    <row r="3007" spans="1:18" ht="12.75" customHeight="1">
      <c r="A3007" s="628" t="s">
        <v>5474</v>
      </c>
      <c r="B3007" s="629"/>
      <c r="C3007" s="629"/>
      <c r="D3007" s="629"/>
      <c r="E3007" s="629"/>
      <c r="F3007" s="629"/>
      <c r="G3007" s="629"/>
      <c r="H3007" s="629"/>
      <c r="I3007" s="629"/>
      <c r="J3007" s="629"/>
      <c r="K3007" s="629"/>
      <c r="L3007" s="629"/>
      <c r="M3007" s="629"/>
      <c r="N3007" s="629"/>
      <c r="O3007" s="629"/>
      <c r="P3007" s="629"/>
      <c r="Q3007" s="629"/>
      <c r="R3007" s="629"/>
    </row>
    <row r="3008" spans="1:18" ht="36">
      <c r="A3008" s="165">
        <v>355</v>
      </c>
      <c r="B3008" s="162" t="s">
        <v>5475</v>
      </c>
      <c r="C3008" s="166" t="s">
        <v>5476</v>
      </c>
      <c r="D3008" s="167">
        <v>4165.5600000000004</v>
      </c>
      <c r="E3008" s="167">
        <v>376.87</v>
      </c>
      <c r="F3008" s="167">
        <v>3633.16</v>
      </c>
      <c r="G3008" s="167">
        <v>155.53</v>
      </c>
      <c r="H3008" s="168">
        <v>22447.96</v>
      </c>
      <c r="I3008" s="168">
        <v>4334.1899999999996</v>
      </c>
      <c r="J3008" s="168">
        <v>17601.330000000002</v>
      </c>
      <c r="K3008" s="168">
        <v>512.44000000000005</v>
      </c>
      <c r="L3008" s="43">
        <v>5.388941702916294</v>
      </c>
      <c r="M3008" s="43">
        <v>11.500490885451216</v>
      </c>
      <c r="N3008" s="43">
        <v>4.844633872441622</v>
      </c>
      <c r="O3008" s="43">
        <v>3.2947984311708356</v>
      </c>
      <c r="P3008" s="169"/>
      <c r="Q3008" s="169"/>
      <c r="R3008" s="169">
        <v>34</v>
      </c>
    </row>
    <row r="3009" spans="1:18" ht="12.75" customHeight="1">
      <c r="A3009" s="628" t="s">
        <v>5477</v>
      </c>
      <c r="B3009" s="629"/>
      <c r="C3009" s="629"/>
      <c r="D3009" s="629"/>
      <c r="E3009" s="629"/>
      <c r="F3009" s="629"/>
      <c r="G3009" s="629"/>
      <c r="H3009" s="629"/>
      <c r="I3009" s="629"/>
      <c r="J3009" s="629"/>
      <c r="K3009" s="629"/>
      <c r="L3009" s="629"/>
      <c r="M3009" s="629"/>
      <c r="N3009" s="629"/>
      <c r="O3009" s="629"/>
      <c r="P3009" s="629"/>
      <c r="Q3009" s="629"/>
      <c r="R3009" s="629"/>
    </row>
    <row r="3010" spans="1:18" ht="24">
      <c r="A3010" s="165">
        <v>356</v>
      </c>
      <c r="B3010" s="162" t="s">
        <v>5478</v>
      </c>
      <c r="C3010" s="166" t="s">
        <v>5479</v>
      </c>
      <c r="D3010" s="167">
        <v>526.54</v>
      </c>
      <c r="E3010" s="167">
        <v>106.05</v>
      </c>
      <c r="F3010" s="167">
        <v>414.97</v>
      </c>
      <c r="G3010" s="167">
        <v>5.52</v>
      </c>
      <c r="H3010" s="168">
        <v>3394.85</v>
      </c>
      <c r="I3010" s="168">
        <v>1219.6500000000001</v>
      </c>
      <c r="J3010" s="168">
        <v>2123.4499999999998</v>
      </c>
      <c r="K3010" s="168">
        <v>51.75</v>
      </c>
      <c r="L3010" s="43">
        <v>6.4474683784707718</v>
      </c>
      <c r="M3010" s="43">
        <v>11.500707213578503</v>
      </c>
      <c r="N3010" s="43">
        <v>5.1171169000168675</v>
      </c>
      <c r="O3010" s="43">
        <v>9.375</v>
      </c>
      <c r="P3010" s="169"/>
      <c r="Q3010" s="169"/>
      <c r="R3010" s="169">
        <v>35</v>
      </c>
    </row>
    <row r="3011" spans="1:18" ht="24">
      <c r="A3011" s="165">
        <v>357</v>
      </c>
      <c r="B3011" s="162" t="s">
        <v>5480</v>
      </c>
      <c r="C3011" s="166" t="s">
        <v>5481</v>
      </c>
      <c r="D3011" s="167">
        <v>367.65</v>
      </c>
      <c r="E3011" s="167">
        <v>159.71</v>
      </c>
      <c r="F3011" s="167">
        <v>201.35</v>
      </c>
      <c r="G3011" s="167">
        <v>6.59</v>
      </c>
      <c r="H3011" s="168">
        <v>2962.99</v>
      </c>
      <c r="I3011" s="168">
        <v>1836.75</v>
      </c>
      <c r="J3011" s="168">
        <v>1062.18</v>
      </c>
      <c r="K3011" s="168">
        <v>64.06</v>
      </c>
      <c r="L3011" s="43">
        <v>8.0592683258533935</v>
      </c>
      <c r="M3011" s="43">
        <v>11.500532214639033</v>
      </c>
      <c r="N3011" s="43">
        <v>5.2752917804817487</v>
      </c>
      <c r="O3011" s="43">
        <v>9.7207890743550838</v>
      </c>
      <c r="P3011" s="169"/>
      <c r="Q3011" s="169"/>
      <c r="R3011" s="169">
        <v>35</v>
      </c>
    </row>
    <row r="3012" spans="1:18" ht="24">
      <c r="A3012" s="165">
        <v>358</v>
      </c>
      <c r="B3012" s="162" t="s">
        <v>5482</v>
      </c>
      <c r="C3012" s="166" t="s">
        <v>5483</v>
      </c>
      <c r="D3012" s="167">
        <v>356.02</v>
      </c>
      <c r="E3012" s="167">
        <v>116.05</v>
      </c>
      <c r="F3012" s="167">
        <v>180.28</v>
      </c>
      <c r="G3012" s="167">
        <v>59.69</v>
      </c>
      <c r="H3012" s="168">
        <v>2793.33</v>
      </c>
      <c r="I3012" s="168">
        <v>1334.61</v>
      </c>
      <c r="J3012" s="168">
        <v>970.01</v>
      </c>
      <c r="K3012" s="168">
        <v>488.71</v>
      </c>
      <c r="L3012" s="43">
        <v>7.8459917982135838</v>
      </c>
      <c r="M3012" s="43">
        <v>11.500301594140456</v>
      </c>
      <c r="N3012" s="43">
        <v>5.3805746616374526</v>
      </c>
      <c r="O3012" s="43">
        <v>8.1874685877031332</v>
      </c>
      <c r="P3012" s="169"/>
      <c r="Q3012" s="169"/>
      <c r="R3012" s="169">
        <v>35</v>
      </c>
    </row>
    <row r="3013" spans="1:18" ht="12.75" customHeight="1">
      <c r="A3013" s="628" t="s">
        <v>5484</v>
      </c>
      <c r="B3013" s="629"/>
      <c r="C3013" s="629"/>
      <c r="D3013" s="629"/>
      <c r="E3013" s="629"/>
      <c r="F3013" s="629"/>
      <c r="G3013" s="629"/>
      <c r="H3013" s="629"/>
      <c r="I3013" s="629"/>
      <c r="J3013" s="629"/>
      <c r="K3013" s="629"/>
      <c r="L3013" s="629"/>
      <c r="M3013" s="629"/>
      <c r="N3013" s="629"/>
      <c r="O3013" s="629"/>
      <c r="P3013" s="629"/>
      <c r="Q3013" s="629"/>
      <c r="R3013" s="629"/>
    </row>
    <row r="3014" spans="1:18" ht="24">
      <c r="A3014" s="165">
        <v>359</v>
      </c>
      <c r="B3014" s="162" t="s">
        <v>5485</v>
      </c>
      <c r="C3014" s="166" t="s">
        <v>5486</v>
      </c>
      <c r="D3014" s="167">
        <v>161.6</v>
      </c>
      <c r="E3014" s="167">
        <v>27.46</v>
      </c>
      <c r="F3014" s="167">
        <v>15.69</v>
      </c>
      <c r="G3014" s="167">
        <v>118.45</v>
      </c>
      <c r="H3014" s="168">
        <v>942.22</v>
      </c>
      <c r="I3014" s="168">
        <v>315.81</v>
      </c>
      <c r="J3014" s="168">
        <v>84.17</v>
      </c>
      <c r="K3014" s="168">
        <v>542.24</v>
      </c>
      <c r="L3014" s="43">
        <v>5.8305693069306939</v>
      </c>
      <c r="M3014" s="43">
        <v>11.500728332119445</v>
      </c>
      <c r="N3014" s="43">
        <v>5.3645634161886555</v>
      </c>
      <c r="O3014" s="43">
        <v>4.5777965386238915</v>
      </c>
      <c r="P3014" s="169"/>
      <c r="Q3014" s="169"/>
      <c r="R3014" s="169">
        <v>36</v>
      </c>
    </row>
    <row r="3015" spans="1:18" ht="36">
      <c r="A3015" s="165">
        <v>360</v>
      </c>
      <c r="B3015" s="162" t="s">
        <v>5487</v>
      </c>
      <c r="C3015" s="166" t="s">
        <v>5488</v>
      </c>
      <c r="D3015" s="167">
        <v>289.32</v>
      </c>
      <c r="E3015" s="167">
        <v>141.33000000000001</v>
      </c>
      <c r="F3015" s="167">
        <v>41.6</v>
      </c>
      <c r="G3015" s="167">
        <v>106.39</v>
      </c>
      <c r="H3015" s="168">
        <v>2449.84</v>
      </c>
      <c r="I3015" s="168">
        <v>1625.32</v>
      </c>
      <c r="J3015" s="168">
        <v>223.85</v>
      </c>
      <c r="K3015" s="168">
        <v>600.66999999999996</v>
      </c>
      <c r="L3015" s="43">
        <v>8.4675791511129557</v>
      </c>
      <c r="M3015" s="43">
        <v>11.500176890964408</v>
      </c>
      <c r="N3015" s="43">
        <v>5.381009615384615</v>
      </c>
      <c r="O3015" s="43">
        <v>5.6459253689256501</v>
      </c>
      <c r="P3015" s="169"/>
      <c r="Q3015" s="169"/>
      <c r="R3015" s="169">
        <v>36</v>
      </c>
    </row>
    <row r="3016" spans="1:18" ht="24">
      <c r="A3016" s="165">
        <v>361</v>
      </c>
      <c r="B3016" s="162" t="s">
        <v>5489</v>
      </c>
      <c r="C3016" s="166" t="s">
        <v>5490</v>
      </c>
      <c r="D3016" s="167">
        <v>14939.15</v>
      </c>
      <c r="E3016" s="167">
        <v>714.68</v>
      </c>
      <c r="F3016" s="167">
        <v>615.49</v>
      </c>
      <c r="G3016" s="167">
        <v>13608.98</v>
      </c>
      <c r="H3016" s="168">
        <v>70546.570000000007</v>
      </c>
      <c r="I3016" s="168">
        <v>8219.11</v>
      </c>
      <c r="J3016" s="168">
        <v>3300.47</v>
      </c>
      <c r="K3016" s="168">
        <v>59026.99</v>
      </c>
      <c r="L3016" s="43">
        <v>4.7222613067008501</v>
      </c>
      <c r="M3016" s="43">
        <v>11.500405776011643</v>
      </c>
      <c r="N3016" s="43">
        <v>5.362345448341971</v>
      </c>
      <c r="O3016" s="43">
        <v>4.3373559223395137</v>
      </c>
      <c r="P3016" s="169"/>
      <c r="Q3016" s="169"/>
      <c r="R3016" s="169">
        <v>36</v>
      </c>
    </row>
    <row r="3017" spans="1:18" ht="12.75" customHeight="1">
      <c r="A3017" s="628" t="s">
        <v>5491</v>
      </c>
      <c r="B3017" s="629"/>
      <c r="C3017" s="629"/>
      <c r="D3017" s="629"/>
      <c r="E3017" s="629"/>
      <c r="F3017" s="629"/>
      <c r="G3017" s="629"/>
      <c r="H3017" s="629"/>
      <c r="I3017" s="629"/>
      <c r="J3017" s="629"/>
      <c r="K3017" s="629"/>
      <c r="L3017" s="629"/>
      <c r="M3017" s="629"/>
      <c r="N3017" s="629"/>
      <c r="O3017" s="629"/>
      <c r="P3017" s="629"/>
      <c r="Q3017" s="629"/>
      <c r="R3017" s="629"/>
    </row>
    <row r="3018" spans="1:18" ht="12.75" customHeight="1">
      <c r="A3018" s="628" t="s">
        <v>5492</v>
      </c>
      <c r="B3018" s="629"/>
      <c r="C3018" s="629"/>
      <c r="D3018" s="629"/>
      <c r="E3018" s="629"/>
      <c r="F3018" s="629"/>
      <c r="G3018" s="629"/>
      <c r="H3018" s="629"/>
      <c r="I3018" s="629"/>
      <c r="J3018" s="629"/>
      <c r="K3018" s="629"/>
      <c r="L3018" s="629"/>
      <c r="M3018" s="629"/>
      <c r="N3018" s="629"/>
      <c r="O3018" s="629"/>
      <c r="P3018" s="629"/>
      <c r="Q3018" s="629"/>
      <c r="R3018" s="629"/>
    </row>
    <row r="3019" spans="1:18" ht="24">
      <c r="A3019" s="165">
        <v>362</v>
      </c>
      <c r="B3019" s="162" t="s">
        <v>5493</v>
      </c>
      <c r="C3019" s="166" t="s">
        <v>5494</v>
      </c>
      <c r="D3019" s="167">
        <v>746.24</v>
      </c>
      <c r="E3019" s="167">
        <v>90.31</v>
      </c>
      <c r="F3019" s="167">
        <v>52.7</v>
      </c>
      <c r="G3019" s="167">
        <v>603.23</v>
      </c>
      <c r="H3019" s="168">
        <v>3005.71</v>
      </c>
      <c r="I3019" s="168">
        <v>1038.6199999999999</v>
      </c>
      <c r="J3019" s="168">
        <v>283.54000000000002</v>
      </c>
      <c r="K3019" s="168">
        <v>1683.55</v>
      </c>
      <c r="L3019" s="43">
        <v>4.0278060677530014</v>
      </c>
      <c r="M3019" s="43">
        <v>11.500609013398293</v>
      </c>
      <c r="N3019" s="43">
        <v>5.3802656546489569</v>
      </c>
      <c r="O3019" s="43">
        <v>2.7908923627803657</v>
      </c>
      <c r="P3019" s="169"/>
      <c r="Q3019" s="169"/>
      <c r="R3019" s="169">
        <v>1</v>
      </c>
    </row>
    <row r="3020" spans="1:18" ht="24">
      <c r="A3020" s="165">
        <v>363</v>
      </c>
      <c r="B3020" s="162" t="s">
        <v>5495</v>
      </c>
      <c r="C3020" s="166" t="s">
        <v>5496</v>
      </c>
      <c r="D3020" s="167">
        <v>840.48</v>
      </c>
      <c r="E3020" s="167">
        <v>128.69</v>
      </c>
      <c r="F3020" s="167">
        <v>99.85</v>
      </c>
      <c r="G3020" s="167">
        <v>611.94000000000005</v>
      </c>
      <c r="H3020" s="168">
        <v>3734.41</v>
      </c>
      <c r="I3020" s="168">
        <v>1479.97</v>
      </c>
      <c r="J3020" s="168">
        <v>537.24</v>
      </c>
      <c r="K3020" s="168">
        <v>1717.2</v>
      </c>
      <c r="L3020" s="43">
        <v>4.4431872263468488</v>
      </c>
      <c r="M3020" s="43">
        <v>11.50027197140415</v>
      </c>
      <c r="N3020" s="43">
        <v>5.3804707060590893</v>
      </c>
      <c r="O3020" s="43">
        <v>2.8061574664182762</v>
      </c>
      <c r="P3020" s="169"/>
      <c r="Q3020" s="169"/>
      <c r="R3020" s="169">
        <v>1</v>
      </c>
    </row>
    <row r="3021" spans="1:18" ht="24">
      <c r="A3021" s="165">
        <v>364</v>
      </c>
      <c r="B3021" s="162" t="s">
        <v>5497</v>
      </c>
      <c r="C3021" s="166" t="s">
        <v>5498</v>
      </c>
      <c r="D3021" s="167">
        <v>1292.83</v>
      </c>
      <c r="E3021" s="167">
        <v>167.75</v>
      </c>
      <c r="F3021" s="167">
        <v>221.89</v>
      </c>
      <c r="G3021" s="167">
        <v>903.19</v>
      </c>
      <c r="H3021" s="168">
        <v>5582.8</v>
      </c>
      <c r="I3021" s="168">
        <v>1929.24</v>
      </c>
      <c r="J3021" s="168">
        <v>1193.8699999999999</v>
      </c>
      <c r="K3021" s="168">
        <v>2459.69</v>
      </c>
      <c r="L3021" s="43">
        <v>4.3182785052945869</v>
      </c>
      <c r="M3021" s="43">
        <v>11.500685543964233</v>
      </c>
      <c r="N3021" s="43">
        <v>5.3804587858848976</v>
      </c>
      <c r="O3021" s="43">
        <v>2.7233361751126561</v>
      </c>
      <c r="P3021" s="169"/>
      <c r="Q3021" s="169"/>
      <c r="R3021" s="169">
        <v>1</v>
      </c>
    </row>
    <row r="3022" spans="1:18" ht="24">
      <c r="A3022" s="165">
        <v>365</v>
      </c>
      <c r="B3022" s="162" t="s">
        <v>5499</v>
      </c>
      <c r="C3022" s="166" t="s">
        <v>5500</v>
      </c>
      <c r="D3022" s="167">
        <v>1572.45</v>
      </c>
      <c r="E3022" s="167">
        <v>245.89</v>
      </c>
      <c r="F3022" s="167">
        <v>413.27</v>
      </c>
      <c r="G3022" s="167">
        <v>913.29</v>
      </c>
      <c r="H3022" s="168">
        <v>7557.08</v>
      </c>
      <c r="I3022" s="168">
        <v>2827.8</v>
      </c>
      <c r="J3022" s="168">
        <v>2223.5700000000002</v>
      </c>
      <c r="K3022" s="168">
        <v>2505.71</v>
      </c>
      <c r="L3022" s="43">
        <v>4.8059270565041814</v>
      </c>
      <c r="M3022" s="43">
        <v>11.500264345845705</v>
      </c>
      <c r="N3022" s="43">
        <v>5.3804292593219936</v>
      </c>
      <c r="O3022" s="43">
        <v>2.7436082733852336</v>
      </c>
      <c r="P3022" s="169"/>
      <c r="Q3022" s="169"/>
      <c r="R3022" s="169">
        <v>1</v>
      </c>
    </row>
    <row r="3023" spans="1:18" ht="24">
      <c r="A3023" s="165">
        <v>366</v>
      </c>
      <c r="B3023" s="162" t="s">
        <v>5501</v>
      </c>
      <c r="C3023" s="166" t="s">
        <v>5502</v>
      </c>
      <c r="D3023" s="167">
        <v>1792.86</v>
      </c>
      <c r="E3023" s="167">
        <v>296.44</v>
      </c>
      <c r="F3023" s="167">
        <v>574.14</v>
      </c>
      <c r="G3023" s="167">
        <v>922.28</v>
      </c>
      <c r="H3023" s="168">
        <v>9042.39</v>
      </c>
      <c r="I3023" s="168">
        <v>3409.21</v>
      </c>
      <c r="J3023" s="168">
        <v>3089.12</v>
      </c>
      <c r="K3023" s="168">
        <v>2544.06</v>
      </c>
      <c r="L3023" s="43">
        <v>5.043556105886684</v>
      </c>
      <c r="M3023" s="43">
        <v>11.500506004587775</v>
      </c>
      <c r="N3023" s="43">
        <v>5.380429860312816</v>
      </c>
      <c r="O3023" s="43">
        <v>2.7584464587760769</v>
      </c>
      <c r="P3023" s="169"/>
      <c r="Q3023" s="169"/>
      <c r="R3023" s="169">
        <v>1</v>
      </c>
    </row>
    <row r="3024" spans="1:18" ht="24">
      <c r="A3024" s="165">
        <v>367</v>
      </c>
      <c r="B3024" s="162" t="s">
        <v>5503</v>
      </c>
      <c r="C3024" s="166" t="s">
        <v>5504</v>
      </c>
      <c r="D3024" s="167">
        <v>2168.8000000000002</v>
      </c>
      <c r="E3024" s="167">
        <v>360.79</v>
      </c>
      <c r="F3024" s="167">
        <v>876.46</v>
      </c>
      <c r="G3024" s="167">
        <v>931.55</v>
      </c>
      <c r="H3024" s="168">
        <v>11450.59</v>
      </c>
      <c r="I3024" s="168">
        <v>4149.2</v>
      </c>
      <c r="J3024" s="168">
        <v>4715.76</v>
      </c>
      <c r="K3024" s="168">
        <v>2585.63</v>
      </c>
      <c r="L3024" s="43">
        <v>5.279689229066765</v>
      </c>
      <c r="M3024" s="43">
        <v>11.500318744976301</v>
      </c>
      <c r="N3024" s="43">
        <v>5.3804623143098373</v>
      </c>
      <c r="O3024" s="43">
        <v>2.7756212763673451</v>
      </c>
      <c r="P3024" s="169"/>
      <c r="Q3024" s="169"/>
      <c r="R3024" s="169">
        <v>1</v>
      </c>
    </row>
    <row r="3025" spans="1:18" ht="24">
      <c r="A3025" s="165">
        <v>368</v>
      </c>
      <c r="B3025" s="162" t="s">
        <v>5505</v>
      </c>
      <c r="C3025" s="166" t="s">
        <v>5506</v>
      </c>
      <c r="D3025" s="167">
        <v>2432.52</v>
      </c>
      <c r="E3025" s="167">
        <v>426.28</v>
      </c>
      <c r="F3025" s="167">
        <v>1073.3800000000001</v>
      </c>
      <c r="G3025" s="167">
        <v>932.86</v>
      </c>
      <c r="H3025" s="168">
        <v>13278.41</v>
      </c>
      <c r="I3025" s="168">
        <v>4902.3900000000003</v>
      </c>
      <c r="J3025" s="168">
        <v>5775.32</v>
      </c>
      <c r="K3025" s="168">
        <v>2600.6999999999998</v>
      </c>
      <c r="L3025" s="43">
        <v>5.4587053754953709</v>
      </c>
      <c r="M3025" s="43">
        <v>11.500398798911515</v>
      </c>
      <c r="N3025" s="43">
        <v>5.3804989845162003</v>
      </c>
      <c r="O3025" s="43">
        <v>2.7878781381986575</v>
      </c>
      <c r="P3025" s="169"/>
      <c r="Q3025" s="169"/>
      <c r="R3025" s="169">
        <v>1</v>
      </c>
    </row>
    <row r="3026" spans="1:18" ht="24">
      <c r="A3026" s="165">
        <v>369</v>
      </c>
      <c r="B3026" s="162" t="s">
        <v>5507</v>
      </c>
      <c r="C3026" s="166" t="s">
        <v>5508</v>
      </c>
      <c r="D3026" s="167">
        <v>2476.7399999999998</v>
      </c>
      <c r="E3026" s="167">
        <v>464.2</v>
      </c>
      <c r="F3026" s="167">
        <v>1078.93</v>
      </c>
      <c r="G3026" s="167">
        <v>933.61</v>
      </c>
      <c r="H3026" s="168">
        <v>13752.94</v>
      </c>
      <c r="I3026" s="168">
        <v>5338.46</v>
      </c>
      <c r="J3026" s="168">
        <v>5805.16</v>
      </c>
      <c r="K3026" s="168">
        <v>2609.3200000000002</v>
      </c>
      <c r="L3026" s="43">
        <v>5.5528396198228327</v>
      </c>
      <c r="M3026" s="43">
        <v>11.500344679017665</v>
      </c>
      <c r="N3026" s="43">
        <v>5.380478807707636</v>
      </c>
      <c r="O3026" s="43">
        <v>2.7948715202279324</v>
      </c>
      <c r="P3026" s="169"/>
      <c r="Q3026" s="169"/>
      <c r="R3026" s="169">
        <v>1</v>
      </c>
    </row>
    <row r="3027" spans="1:18" ht="12.75" customHeight="1">
      <c r="A3027" s="628" t="s">
        <v>5509</v>
      </c>
      <c r="B3027" s="629"/>
      <c r="C3027" s="629"/>
      <c r="D3027" s="629"/>
      <c r="E3027" s="629"/>
      <c r="F3027" s="629"/>
      <c r="G3027" s="629"/>
      <c r="H3027" s="629"/>
      <c r="I3027" s="629"/>
      <c r="J3027" s="629"/>
      <c r="K3027" s="629"/>
      <c r="L3027" s="629"/>
      <c r="M3027" s="629"/>
      <c r="N3027" s="629"/>
      <c r="O3027" s="629"/>
      <c r="P3027" s="629"/>
      <c r="Q3027" s="629"/>
      <c r="R3027" s="629"/>
    </row>
    <row r="3028" spans="1:18" ht="24">
      <c r="A3028" s="165">
        <v>370</v>
      </c>
      <c r="B3028" s="162" t="s">
        <v>5510</v>
      </c>
      <c r="C3028" s="166" t="s">
        <v>5511</v>
      </c>
      <c r="D3028" s="167">
        <v>550.25</v>
      </c>
      <c r="E3028" s="167">
        <v>167.75</v>
      </c>
      <c r="F3028" s="167">
        <v>221.89</v>
      </c>
      <c r="G3028" s="167">
        <v>160.61000000000001</v>
      </c>
      <c r="H3028" s="168">
        <v>3672.16</v>
      </c>
      <c r="I3028" s="168">
        <v>1929.24</v>
      </c>
      <c r="J3028" s="168">
        <v>1193.8699999999999</v>
      </c>
      <c r="K3028" s="168">
        <v>549.04999999999995</v>
      </c>
      <c r="L3028" s="43">
        <v>6.6736210813266696</v>
      </c>
      <c r="M3028" s="43">
        <v>11.500685543964233</v>
      </c>
      <c r="N3028" s="43">
        <v>5.3804587858848976</v>
      </c>
      <c r="O3028" s="43">
        <v>3.4185293568270962</v>
      </c>
      <c r="P3028" s="169"/>
      <c r="Q3028" s="169"/>
      <c r="R3028" s="169">
        <v>2</v>
      </c>
    </row>
    <row r="3029" spans="1:18" ht="12.75" customHeight="1">
      <c r="A3029" s="628" t="s">
        <v>5512</v>
      </c>
      <c r="B3029" s="629"/>
      <c r="C3029" s="629"/>
      <c r="D3029" s="629"/>
      <c r="E3029" s="629"/>
      <c r="F3029" s="629"/>
      <c r="G3029" s="629"/>
      <c r="H3029" s="629"/>
      <c r="I3029" s="629"/>
      <c r="J3029" s="629"/>
      <c r="K3029" s="629"/>
      <c r="L3029" s="629"/>
      <c r="M3029" s="629"/>
      <c r="N3029" s="629"/>
      <c r="O3029" s="629"/>
      <c r="P3029" s="629"/>
      <c r="Q3029" s="629"/>
      <c r="R3029" s="629"/>
    </row>
    <row r="3030" spans="1:18" ht="24">
      <c r="A3030" s="165">
        <v>371</v>
      </c>
      <c r="B3030" s="162" t="s">
        <v>5513</v>
      </c>
      <c r="C3030" s="166" t="s">
        <v>5514</v>
      </c>
      <c r="D3030" s="167">
        <v>950.83</v>
      </c>
      <c r="E3030" s="167">
        <v>167.75</v>
      </c>
      <c r="F3030" s="167">
        <v>171.96</v>
      </c>
      <c r="G3030" s="167">
        <v>611.12</v>
      </c>
      <c r="H3030" s="168">
        <v>4591.6099999999997</v>
      </c>
      <c r="I3030" s="168">
        <v>1929.24</v>
      </c>
      <c r="J3030" s="168">
        <v>925.24</v>
      </c>
      <c r="K3030" s="168">
        <v>1737.13</v>
      </c>
      <c r="L3030" s="43">
        <v>4.8290546154412457</v>
      </c>
      <c r="M3030" s="43">
        <v>11.500685543964233</v>
      </c>
      <c r="N3030" s="43">
        <v>5.3805536171202606</v>
      </c>
      <c r="O3030" s="43">
        <v>2.8425350176724704</v>
      </c>
      <c r="P3030" s="169"/>
      <c r="Q3030" s="169"/>
      <c r="R3030" s="169">
        <v>3</v>
      </c>
    </row>
    <row r="3031" spans="1:18" ht="24">
      <c r="A3031" s="165">
        <v>372</v>
      </c>
      <c r="B3031" s="162" t="s">
        <v>5515</v>
      </c>
      <c r="C3031" s="166" t="s">
        <v>5516</v>
      </c>
      <c r="D3031" s="167">
        <v>1737.24</v>
      </c>
      <c r="E3031" s="167">
        <v>258.52999999999997</v>
      </c>
      <c r="F3031" s="167">
        <v>302.32</v>
      </c>
      <c r="G3031" s="167">
        <v>1176.3900000000001</v>
      </c>
      <c r="H3031" s="168">
        <v>7856.53</v>
      </c>
      <c r="I3031" s="168">
        <v>2973.15</v>
      </c>
      <c r="J3031" s="168">
        <v>1626.64</v>
      </c>
      <c r="K3031" s="168">
        <v>3256.74</v>
      </c>
      <c r="L3031" s="43">
        <v>4.5224206212152609</v>
      </c>
      <c r="M3031" s="43">
        <v>11.500212741267939</v>
      </c>
      <c r="N3031" s="43">
        <v>5.3805239481344271</v>
      </c>
      <c r="O3031" s="43">
        <v>2.7684186366766119</v>
      </c>
      <c r="P3031" s="169"/>
      <c r="Q3031" s="169"/>
      <c r="R3031" s="169">
        <v>3</v>
      </c>
    </row>
    <row r="3032" spans="1:18" ht="12.75" customHeight="1">
      <c r="A3032" s="628" t="s">
        <v>5517</v>
      </c>
      <c r="B3032" s="629"/>
      <c r="C3032" s="629"/>
      <c r="D3032" s="629"/>
      <c r="E3032" s="629"/>
      <c r="F3032" s="629"/>
      <c r="G3032" s="629"/>
      <c r="H3032" s="629"/>
      <c r="I3032" s="629"/>
      <c r="J3032" s="629"/>
      <c r="K3032" s="629"/>
      <c r="L3032" s="629"/>
      <c r="M3032" s="629"/>
      <c r="N3032" s="629"/>
      <c r="O3032" s="629"/>
      <c r="P3032" s="629"/>
      <c r="Q3032" s="629"/>
      <c r="R3032" s="629"/>
    </row>
    <row r="3033" spans="1:18" ht="24">
      <c r="A3033" s="165">
        <v>373</v>
      </c>
      <c r="B3033" s="162" t="s">
        <v>5518</v>
      </c>
      <c r="C3033" s="166" t="s">
        <v>5519</v>
      </c>
      <c r="D3033" s="167">
        <v>650.71</v>
      </c>
      <c r="E3033" s="167">
        <v>116.05</v>
      </c>
      <c r="F3033" s="167">
        <v>221.89</v>
      </c>
      <c r="G3033" s="167">
        <v>312.77</v>
      </c>
      <c r="H3033" s="168">
        <v>3444.32</v>
      </c>
      <c r="I3033" s="168">
        <v>1334.61</v>
      </c>
      <c r="J3033" s="168">
        <v>1193.8699999999999</v>
      </c>
      <c r="K3033" s="168">
        <v>915.84</v>
      </c>
      <c r="L3033" s="43">
        <v>5.2931720735811654</v>
      </c>
      <c r="M3033" s="43">
        <v>11.500301594140456</v>
      </c>
      <c r="N3033" s="43">
        <v>5.3804587858848976</v>
      </c>
      <c r="O3033" s="43">
        <v>2.9281580714262878</v>
      </c>
      <c r="P3033" s="169"/>
      <c r="Q3033" s="169"/>
      <c r="R3033" s="169">
        <v>4</v>
      </c>
    </row>
    <row r="3034" spans="1:18" ht="24">
      <c r="A3034" s="165">
        <v>374</v>
      </c>
      <c r="B3034" s="162" t="s">
        <v>5520</v>
      </c>
      <c r="C3034" s="166" t="s">
        <v>5521</v>
      </c>
      <c r="D3034" s="167">
        <v>824.17</v>
      </c>
      <c r="E3034" s="167">
        <v>180.39</v>
      </c>
      <c r="F3034" s="167">
        <v>321.74</v>
      </c>
      <c r="G3034" s="167">
        <v>322.04000000000002</v>
      </c>
      <c r="H3034" s="168">
        <v>4763.1099999999997</v>
      </c>
      <c r="I3034" s="168">
        <v>2074.6</v>
      </c>
      <c r="J3034" s="168">
        <v>1731.1</v>
      </c>
      <c r="K3034" s="168">
        <v>957.41</v>
      </c>
      <c r="L3034" s="43">
        <v>5.7792809735855464</v>
      </c>
      <c r="M3034" s="43">
        <v>11.500637507622374</v>
      </c>
      <c r="N3034" s="43">
        <v>5.3804314042394479</v>
      </c>
      <c r="O3034" s="43">
        <v>2.9729536703515089</v>
      </c>
      <c r="P3034" s="169"/>
      <c r="Q3034" s="169"/>
      <c r="R3034" s="169">
        <v>4</v>
      </c>
    </row>
    <row r="3035" spans="1:18" ht="24">
      <c r="A3035" s="165">
        <v>375</v>
      </c>
      <c r="B3035" s="162" t="s">
        <v>5522</v>
      </c>
      <c r="C3035" s="166" t="s">
        <v>5523</v>
      </c>
      <c r="D3035" s="167">
        <v>1087.3499999999999</v>
      </c>
      <c r="E3035" s="167">
        <v>232.1</v>
      </c>
      <c r="F3035" s="167">
        <v>524.21</v>
      </c>
      <c r="G3035" s="167">
        <v>331.04</v>
      </c>
      <c r="H3035" s="168">
        <v>6485.72</v>
      </c>
      <c r="I3035" s="168">
        <v>2669.23</v>
      </c>
      <c r="J3035" s="168">
        <v>2820.5</v>
      </c>
      <c r="K3035" s="168">
        <v>995.99</v>
      </c>
      <c r="L3035" s="43">
        <v>5.9647031774497643</v>
      </c>
      <c r="M3035" s="43">
        <v>11.500344679017665</v>
      </c>
      <c r="N3035" s="43">
        <v>5.3804772896358326</v>
      </c>
      <c r="O3035" s="43">
        <v>3.0086696471725469</v>
      </c>
      <c r="P3035" s="169"/>
      <c r="Q3035" s="169"/>
      <c r="R3035" s="169">
        <v>4</v>
      </c>
    </row>
    <row r="3036" spans="1:18" ht="12.75" customHeight="1">
      <c r="A3036" s="628" t="s">
        <v>5524</v>
      </c>
      <c r="B3036" s="629"/>
      <c r="C3036" s="629"/>
      <c r="D3036" s="629"/>
      <c r="E3036" s="629"/>
      <c r="F3036" s="629"/>
      <c r="G3036" s="629"/>
      <c r="H3036" s="629"/>
      <c r="I3036" s="629"/>
      <c r="J3036" s="629"/>
      <c r="K3036" s="629"/>
      <c r="L3036" s="629"/>
      <c r="M3036" s="629"/>
      <c r="N3036" s="629"/>
      <c r="O3036" s="629"/>
      <c r="P3036" s="629"/>
      <c r="Q3036" s="629"/>
      <c r="R3036" s="629"/>
    </row>
    <row r="3037" spans="1:18" ht="24">
      <c r="A3037" s="165">
        <v>376</v>
      </c>
      <c r="B3037" s="162" t="s">
        <v>5525</v>
      </c>
      <c r="C3037" s="166" t="s">
        <v>5526</v>
      </c>
      <c r="D3037" s="167">
        <v>769.88</v>
      </c>
      <c r="E3037" s="167">
        <v>212.57</v>
      </c>
      <c r="F3037" s="167"/>
      <c r="G3037" s="167">
        <v>557.30999999999995</v>
      </c>
      <c r="H3037" s="168">
        <v>3998.53</v>
      </c>
      <c r="I3037" s="168">
        <v>2444.59</v>
      </c>
      <c r="J3037" s="168"/>
      <c r="K3037" s="168">
        <v>1553.94</v>
      </c>
      <c r="L3037" s="43">
        <v>5.1937055125474103</v>
      </c>
      <c r="M3037" s="43">
        <v>11.500164651644166</v>
      </c>
      <c r="N3037" s="43" t="s">
        <v>1690</v>
      </c>
      <c r="O3037" s="43">
        <v>2.7882865909457935</v>
      </c>
      <c r="P3037" s="169"/>
      <c r="Q3037" s="169"/>
      <c r="R3037" s="169">
        <v>5</v>
      </c>
    </row>
    <row r="3038" spans="1:18" ht="24">
      <c r="A3038" s="165">
        <v>377</v>
      </c>
      <c r="B3038" s="162" t="s">
        <v>5527</v>
      </c>
      <c r="C3038" s="166" t="s">
        <v>5528</v>
      </c>
      <c r="D3038" s="167">
        <v>806.2</v>
      </c>
      <c r="E3038" s="167">
        <v>248.18</v>
      </c>
      <c r="F3038" s="167"/>
      <c r="G3038" s="167">
        <v>558.02</v>
      </c>
      <c r="H3038" s="168">
        <v>4416.32</v>
      </c>
      <c r="I3038" s="168">
        <v>2854.22</v>
      </c>
      <c r="J3038" s="168"/>
      <c r="K3038" s="168">
        <v>1562.1</v>
      </c>
      <c r="L3038" s="43">
        <v>5.4779459191267668</v>
      </c>
      <c r="M3038" s="43">
        <v>11.500604400032234</v>
      </c>
      <c r="N3038" s="43" t="s">
        <v>1690</v>
      </c>
      <c r="O3038" s="43">
        <v>2.7993620300347657</v>
      </c>
      <c r="P3038" s="169"/>
      <c r="Q3038" s="169"/>
      <c r="R3038" s="169">
        <v>5</v>
      </c>
    </row>
    <row r="3039" spans="1:18" ht="24">
      <c r="A3039" s="165">
        <v>378</v>
      </c>
      <c r="B3039" s="162" t="s">
        <v>5529</v>
      </c>
      <c r="C3039" s="166" t="s">
        <v>5530</v>
      </c>
      <c r="D3039" s="167">
        <v>1095.75</v>
      </c>
      <c r="E3039" s="167">
        <v>330.91</v>
      </c>
      <c r="F3039" s="167"/>
      <c r="G3039" s="167">
        <v>764.84</v>
      </c>
      <c r="H3039" s="168">
        <v>5933.52</v>
      </c>
      <c r="I3039" s="168">
        <v>3805.63</v>
      </c>
      <c r="J3039" s="168"/>
      <c r="K3039" s="168">
        <v>2127.89</v>
      </c>
      <c r="L3039" s="43">
        <v>5.4150308008213557</v>
      </c>
      <c r="M3039" s="43">
        <v>11.500498625003777</v>
      </c>
      <c r="N3039" s="43" t="s">
        <v>1690</v>
      </c>
      <c r="O3039" s="43">
        <v>2.7821374405104331</v>
      </c>
      <c r="P3039" s="169"/>
      <c r="Q3039" s="169"/>
      <c r="R3039" s="169">
        <v>5</v>
      </c>
    </row>
    <row r="3040" spans="1:18" ht="24">
      <c r="A3040" s="165">
        <v>379</v>
      </c>
      <c r="B3040" s="162" t="s">
        <v>5531</v>
      </c>
      <c r="C3040" s="166" t="s">
        <v>5532</v>
      </c>
      <c r="D3040" s="167">
        <v>1216.47</v>
      </c>
      <c r="E3040" s="167">
        <v>449.26</v>
      </c>
      <c r="F3040" s="167"/>
      <c r="G3040" s="167">
        <v>767.21</v>
      </c>
      <c r="H3040" s="168">
        <v>7321.82</v>
      </c>
      <c r="I3040" s="168">
        <v>5166.67</v>
      </c>
      <c r="J3040" s="168"/>
      <c r="K3040" s="168">
        <v>2155.15</v>
      </c>
      <c r="L3040" s="43">
        <v>6.0189071658158442</v>
      </c>
      <c r="M3040" s="43">
        <v>11.500400658861238</v>
      </c>
      <c r="N3040" s="43" t="s">
        <v>1690</v>
      </c>
      <c r="O3040" s="43">
        <v>2.8090744385500712</v>
      </c>
      <c r="P3040" s="169"/>
      <c r="Q3040" s="169"/>
      <c r="R3040" s="169">
        <v>5</v>
      </c>
    </row>
    <row r="3041" spans="1:18" ht="24">
      <c r="A3041" s="165">
        <v>380</v>
      </c>
      <c r="B3041" s="162" t="s">
        <v>5533</v>
      </c>
      <c r="C3041" s="166" t="s">
        <v>5534</v>
      </c>
      <c r="D3041" s="167">
        <v>1389.81</v>
      </c>
      <c r="E3041" s="167">
        <v>591.74</v>
      </c>
      <c r="F3041" s="167"/>
      <c r="G3041" s="167">
        <v>798.07</v>
      </c>
      <c r="H3041" s="168">
        <v>9064.31</v>
      </c>
      <c r="I3041" s="168">
        <v>6805.21</v>
      </c>
      <c r="J3041" s="168"/>
      <c r="K3041" s="168">
        <v>2259.1</v>
      </c>
      <c r="L3041" s="43">
        <v>6.5219778243069193</v>
      </c>
      <c r="M3041" s="43">
        <v>11.500337986277756</v>
      </c>
      <c r="N3041" s="43" t="s">
        <v>1690</v>
      </c>
      <c r="O3041" s="43">
        <v>2.8307040735775053</v>
      </c>
      <c r="P3041" s="169"/>
      <c r="Q3041" s="169"/>
      <c r="R3041" s="169">
        <v>5</v>
      </c>
    </row>
    <row r="3042" spans="1:18" ht="12.75" customHeight="1">
      <c r="A3042" s="628" t="s">
        <v>5535</v>
      </c>
      <c r="B3042" s="629"/>
      <c r="C3042" s="629"/>
      <c r="D3042" s="629"/>
      <c r="E3042" s="629"/>
      <c r="F3042" s="629"/>
      <c r="G3042" s="629"/>
      <c r="H3042" s="629"/>
      <c r="I3042" s="629"/>
      <c r="J3042" s="629"/>
      <c r="K3042" s="629"/>
      <c r="L3042" s="629"/>
      <c r="M3042" s="629"/>
      <c r="N3042" s="629"/>
      <c r="O3042" s="629"/>
      <c r="P3042" s="629"/>
      <c r="Q3042" s="629"/>
      <c r="R3042" s="629"/>
    </row>
    <row r="3043" spans="1:18" ht="12.75" customHeight="1">
      <c r="A3043" s="628" t="s">
        <v>5536</v>
      </c>
      <c r="B3043" s="629"/>
      <c r="C3043" s="629"/>
      <c r="D3043" s="629"/>
      <c r="E3043" s="629"/>
      <c r="F3043" s="629"/>
      <c r="G3043" s="629"/>
      <c r="H3043" s="629"/>
      <c r="I3043" s="629"/>
      <c r="J3043" s="629"/>
      <c r="K3043" s="629"/>
      <c r="L3043" s="629"/>
      <c r="M3043" s="629"/>
      <c r="N3043" s="629"/>
      <c r="O3043" s="629"/>
      <c r="P3043" s="629"/>
      <c r="Q3043" s="629"/>
      <c r="R3043" s="629"/>
    </row>
    <row r="3044" spans="1:18" ht="24">
      <c r="A3044" s="165">
        <v>381</v>
      </c>
      <c r="B3044" s="162" t="s">
        <v>5537</v>
      </c>
      <c r="C3044" s="166" t="s">
        <v>5538</v>
      </c>
      <c r="D3044" s="167">
        <v>49.55</v>
      </c>
      <c r="E3044" s="167">
        <v>23.67</v>
      </c>
      <c r="F3044" s="167"/>
      <c r="G3044" s="167">
        <v>25.88</v>
      </c>
      <c r="H3044" s="168">
        <v>353.94</v>
      </c>
      <c r="I3044" s="168">
        <v>272.20999999999998</v>
      </c>
      <c r="J3044" s="168"/>
      <c r="K3044" s="168">
        <v>81.73</v>
      </c>
      <c r="L3044" s="43">
        <v>7.1430877901109993</v>
      </c>
      <c r="M3044" s="43">
        <v>11.500211237853822</v>
      </c>
      <c r="N3044" s="43" t="s">
        <v>1690</v>
      </c>
      <c r="O3044" s="43">
        <v>3.1580370942812985</v>
      </c>
      <c r="P3044" s="169"/>
      <c r="Q3044" s="169"/>
      <c r="R3044" s="169">
        <v>1</v>
      </c>
    </row>
    <row r="3045" spans="1:18" ht="24">
      <c r="A3045" s="165">
        <v>382</v>
      </c>
      <c r="B3045" s="162" t="s">
        <v>5539</v>
      </c>
      <c r="C3045" s="166" t="s">
        <v>5540</v>
      </c>
      <c r="D3045" s="167">
        <v>68.86</v>
      </c>
      <c r="E3045" s="167">
        <v>23.67</v>
      </c>
      <c r="F3045" s="167"/>
      <c r="G3045" s="167">
        <v>45.19</v>
      </c>
      <c r="H3045" s="168">
        <v>408.59</v>
      </c>
      <c r="I3045" s="168">
        <v>272.20999999999998</v>
      </c>
      <c r="J3045" s="168"/>
      <c r="K3045" s="168">
        <v>136.38</v>
      </c>
      <c r="L3045" s="43">
        <v>5.9336334591925644</v>
      </c>
      <c r="M3045" s="43">
        <v>11.500211237853822</v>
      </c>
      <c r="N3045" s="43" t="s">
        <v>1690</v>
      </c>
      <c r="O3045" s="43">
        <v>3.0179243195397212</v>
      </c>
      <c r="P3045" s="169"/>
      <c r="Q3045" s="169"/>
      <c r="R3045" s="169">
        <v>1</v>
      </c>
    </row>
    <row r="3046" spans="1:18" ht="24">
      <c r="A3046" s="165">
        <v>383</v>
      </c>
      <c r="B3046" s="162" t="s">
        <v>5541</v>
      </c>
      <c r="C3046" s="166" t="s">
        <v>5542</v>
      </c>
      <c r="D3046" s="167">
        <v>99.47</v>
      </c>
      <c r="E3046" s="167">
        <v>35.619999999999997</v>
      </c>
      <c r="F3046" s="167"/>
      <c r="G3046" s="167">
        <v>63.85</v>
      </c>
      <c r="H3046" s="168">
        <v>604.88</v>
      </c>
      <c r="I3046" s="168">
        <v>409.63</v>
      </c>
      <c r="J3046" s="168"/>
      <c r="K3046" s="168">
        <v>195.25</v>
      </c>
      <c r="L3046" s="43">
        <v>6.0810294561174221</v>
      </c>
      <c r="M3046" s="43">
        <v>11.5</v>
      </c>
      <c r="N3046" s="43" t="s">
        <v>1690</v>
      </c>
      <c r="O3046" s="43">
        <v>3.0579483163664838</v>
      </c>
      <c r="P3046" s="169"/>
      <c r="Q3046" s="169"/>
      <c r="R3046" s="169">
        <v>1</v>
      </c>
    </row>
    <row r="3047" spans="1:18" ht="24">
      <c r="A3047" s="165">
        <v>384</v>
      </c>
      <c r="B3047" s="162" t="s">
        <v>5543</v>
      </c>
      <c r="C3047" s="166" t="s">
        <v>5544</v>
      </c>
      <c r="D3047" s="167">
        <v>126.32</v>
      </c>
      <c r="E3047" s="167">
        <v>35.619999999999997</v>
      </c>
      <c r="F3047" s="167"/>
      <c r="G3047" s="167">
        <v>90.7</v>
      </c>
      <c r="H3047" s="168">
        <v>684.69</v>
      </c>
      <c r="I3047" s="168">
        <v>409.63</v>
      </c>
      <c r="J3047" s="168"/>
      <c r="K3047" s="168">
        <v>275.06</v>
      </c>
      <c r="L3047" s="43">
        <v>5.4202818239392023</v>
      </c>
      <c r="M3047" s="43">
        <v>11.5</v>
      </c>
      <c r="N3047" s="43" t="s">
        <v>1690</v>
      </c>
      <c r="O3047" s="43">
        <v>3.0326350606394707</v>
      </c>
      <c r="P3047" s="169"/>
      <c r="Q3047" s="169"/>
      <c r="R3047" s="169">
        <v>1</v>
      </c>
    </row>
    <row r="3048" spans="1:18" ht="24">
      <c r="A3048" s="165">
        <v>385</v>
      </c>
      <c r="B3048" s="162" t="s">
        <v>5545</v>
      </c>
      <c r="C3048" s="166" t="s">
        <v>5546</v>
      </c>
      <c r="D3048" s="167">
        <v>133.47</v>
      </c>
      <c r="E3048" s="167">
        <v>47.34</v>
      </c>
      <c r="F3048" s="167"/>
      <c r="G3048" s="167">
        <v>86.13</v>
      </c>
      <c r="H3048" s="168">
        <v>808.16</v>
      </c>
      <c r="I3048" s="168">
        <v>544.41999999999996</v>
      </c>
      <c r="J3048" s="168"/>
      <c r="K3048" s="168">
        <v>263.74</v>
      </c>
      <c r="L3048" s="43">
        <v>6.054993631527684</v>
      </c>
      <c r="M3048" s="43">
        <v>11.500211237853822</v>
      </c>
      <c r="N3048" s="43" t="s">
        <v>1690</v>
      </c>
      <c r="O3048" s="43">
        <v>3.0621154069429934</v>
      </c>
      <c r="P3048" s="169"/>
      <c r="Q3048" s="169"/>
      <c r="R3048" s="169">
        <v>1</v>
      </c>
    </row>
    <row r="3049" spans="1:18" ht="24">
      <c r="A3049" s="165">
        <v>386</v>
      </c>
      <c r="B3049" s="162" t="s">
        <v>5547</v>
      </c>
      <c r="C3049" s="166" t="s">
        <v>5548</v>
      </c>
      <c r="D3049" s="167">
        <v>180.95</v>
      </c>
      <c r="E3049" s="167">
        <v>59.17</v>
      </c>
      <c r="F3049" s="167"/>
      <c r="G3049" s="167">
        <v>121.78</v>
      </c>
      <c r="H3049" s="168">
        <v>1051.42</v>
      </c>
      <c r="I3049" s="168">
        <v>680.52</v>
      </c>
      <c r="J3049" s="168"/>
      <c r="K3049" s="168">
        <v>370.9</v>
      </c>
      <c r="L3049" s="43">
        <v>5.8105554020447645</v>
      </c>
      <c r="M3049" s="43">
        <v>11.5010985296603</v>
      </c>
      <c r="N3049" s="43" t="s">
        <v>1690</v>
      </c>
      <c r="O3049" s="43">
        <v>3.045656101166037</v>
      </c>
      <c r="P3049" s="169"/>
      <c r="Q3049" s="169"/>
      <c r="R3049" s="169">
        <v>1</v>
      </c>
    </row>
    <row r="3050" spans="1:18" ht="24">
      <c r="A3050" s="165">
        <v>387</v>
      </c>
      <c r="B3050" s="162" t="s">
        <v>5549</v>
      </c>
      <c r="C3050" s="166" t="s">
        <v>5550</v>
      </c>
      <c r="D3050" s="167">
        <v>185.71</v>
      </c>
      <c r="E3050" s="167">
        <v>71.010000000000005</v>
      </c>
      <c r="F3050" s="167"/>
      <c r="G3050" s="167">
        <v>114.7</v>
      </c>
      <c r="H3050" s="168">
        <v>1168.53</v>
      </c>
      <c r="I3050" s="168">
        <v>816.63</v>
      </c>
      <c r="J3050" s="168"/>
      <c r="K3050" s="168">
        <v>351.9</v>
      </c>
      <c r="L3050" s="43">
        <v>6.2922298206881697</v>
      </c>
      <c r="M3050" s="43">
        <v>11.500211237853822</v>
      </c>
      <c r="N3050" s="43" t="s">
        <v>1690</v>
      </c>
      <c r="O3050" s="43">
        <v>3.0680034873583257</v>
      </c>
      <c r="P3050" s="169"/>
      <c r="Q3050" s="169"/>
      <c r="R3050" s="169">
        <v>1</v>
      </c>
    </row>
    <row r="3051" spans="1:18" ht="24">
      <c r="A3051" s="165">
        <v>388</v>
      </c>
      <c r="B3051" s="162" t="s">
        <v>5551</v>
      </c>
      <c r="C3051" s="166" t="s">
        <v>5552</v>
      </c>
      <c r="D3051" s="167">
        <v>239.28</v>
      </c>
      <c r="E3051" s="167">
        <v>82.84</v>
      </c>
      <c r="F3051" s="167"/>
      <c r="G3051" s="167">
        <v>156.44</v>
      </c>
      <c r="H3051" s="168">
        <v>1430.73</v>
      </c>
      <c r="I3051" s="168">
        <v>952.73</v>
      </c>
      <c r="J3051" s="168"/>
      <c r="K3051" s="168">
        <v>478</v>
      </c>
      <c r="L3051" s="43">
        <v>5.9793129388164497</v>
      </c>
      <c r="M3051" s="43">
        <v>11.500845002414293</v>
      </c>
      <c r="N3051" s="43" t="s">
        <v>1690</v>
      </c>
      <c r="O3051" s="43">
        <v>3.0554845308105345</v>
      </c>
      <c r="P3051" s="169"/>
      <c r="Q3051" s="169"/>
      <c r="R3051" s="169">
        <v>1</v>
      </c>
    </row>
    <row r="3052" spans="1:18" ht="24">
      <c r="A3052" s="165">
        <v>389</v>
      </c>
      <c r="B3052" s="162" t="s">
        <v>5553</v>
      </c>
      <c r="C3052" s="166" t="s">
        <v>5554</v>
      </c>
      <c r="D3052" s="167">
        <v>251.35</v>
      </c>
      <c r="E3052" s="167">
        <v>94.68</v>
      </c>
      <c r="F3052" s="167"/>
      <c r="G3052" s="167">
        <v>156.66999999999999</v>
      </c>
      <c r="H3052" s="168">
        <v>1569.48</v>
      </c>
      <c r="I3052" s="168">
        <v>1088.83</v>
      </c>
      <c r="J3052" s="168"/>
      <c r="K3052" s="168">
        <v>480.65</v>
      </c>
      <c r="L3052" s="43">
        <v>6.2442013129102847</v>
      </c>
      <c r="M3052" s="43">
        <v>11.500105618926909</v>
      </c>
      <c r="N3052" s="43" t="s">
        <v>1690</v>
      </c>
      <c r="O3052" s="43">
        <v>3.067913448650029</v>
      </c>
      <c r="P3052" s="169"/>
      <c r="Q3052" s="169"/>
      <c r="R3052" s="169">
        <v>1</v>
      </c>
    </row>
    <row r="3053" spans="1:18" ht="24">
      <c r="A3053" s="165">
        <v>390</v>
      </c>
      <c r="B3053" s="162" t="s">
        <v>5555</v>
      </c>
      <c r="C3053" s="166" t="s">
        <v>5556</v>
      </c>
      <c r="D3053" s="167">
        <v>298.81</v>
      </c>
      <c r="E3053" s="167">
        <v>118.35</v>
      </c>
      <c r="F3053" s="167"/>
      <c r="G3053" s="167">
        <v>180.46</v>
      </c>
      <c r="H3053" s="168">
        <v>1915.75</v>
      </c>
      <c r="I3053" s="168">
        <v>1361.04</v>
      </c>
      <c r="J3053" s="168"/>
      <c r="K3053" s="168">
        <v>554.71</v>
      </c>
      <c r="L3053" s="43">
        <v>6.4112646832435329</v>
      </c>
      <c r="M3053" s="43">
        <v>11.500126742712295</v>
      </c>
      <c r="N3053" s="43" t="s">
        <v>1690</v>
      </c>
      <c r="O3053" s="43">
        <v>3.0738667848830765</v>
      </c>
      <c r="P3053" s="169"/>
      <c r="Q3053" s="169"/>
      <c r="R3053" s="169">
        <v>1</v>
      </c>
    </row>
    <row r="3054" spans="1:18" ht="24">
      <c r="A3054" s="165">
        <v>391</v>
      </c>
      <c r="B3054" s="162" t="s">
        <v>5557</v>
      </c>
      <c r="C3054" s="166" t="s">
        <v>5558</v>
      </c>
      <c r="D3054" s="167">
        <v>393.05</v>
      </c>
      <c r="E3054" s="167">
        <v>129.84</v>
      </c>
      <c r="F3054" s="167"/>
      <c r="G3054" s="167">
        <v>263.20999999999998</v>
      </c>
      <c r="H3054" s="168">
        <v>2296.69</v>
      </c>
      <c r="I3054" s="168">
        <v>1493.18</v>
      </c>
      <c r="J3054" s="168"/>
      <c r="K3054" s="168">
        <v>803.51</v>
      </c>
      <c r="L3054" s="43">
        <v>5.8432514947207732</v>
      </c>
      <c r="M3054" s="43">
        <v>11.500154035736291</v>
      </c>
      <c r="N3054" s="43" t="s">
        <v>1690</v>
      </c>
      <c r="O3054" s="43">
        <v>3.0527335587553668</v>
      </c>
      <c r="P3054" s="169"/>
      <c r="Q3054" s="169"/>
      <c r="R3054" s="169">
        <v>1</v>
      </c>
    </row>
    <row r="3055" spans="1:18" ht="24">
      <c r="A3055" s="165">
        <v>392</v>
      </c>
      <c r="B3055" s="162" t="s">
        <v>5559</v>
      </c>
      <c r="C3055" s="166" t="s">
        <v>5560</v>
      </c>
      <c r="D3055" s="167">
        <v>445.53</v>
      </c>
      <c r="E3055" s="167">
        <v>153.97</v>
      </c>
      <c r="F3055" s="167"/>
      <c r="G3055" s="167">
        <v>291.56</v>
      </c>
      <c r="H3055" s="168">
        <v>2663.1</v>
      </c>
      <c r="I3055" s="168">
        <v>1770.68</v>
      </c>
      <c r="J3055" s="168"/>
      <c r="K3055" s="168">
        <v>892.42</v>
      </c>
      <c r="L3055" s="43">
        <v>5.9773752609251902</v>
      </c>
      <c r="M3055" s="43">
        <v>11.50016236929272</v>
      </c>
      <c r="N3055" s="43" t="s">
        <v>1690</v>
      </c>
      <c r="O3055" s="43">
        <v>3.0608451090684592</v>
      </c>
      <c r="P3055" s="169"/>
      <c r="Q3055" s="169"/>
      <c r="R3055" s="169">
        <v>1</v>
      </c>
    </row>
    <row r="3056" spans="1:18" ht="24">
      <c r="A3056" s="165">
        <v>393</v>
      </c>
      <c r="B3056" s="162" t="s">
        <v>5561</v>
      </c>
      <c r="C3056" s="166" t="s">
        <v>5562</v>
      </c>
      <c r="D3056" s="167">
        <v>495.11</v>
      </c>
      <c r="E3056" s="167">
        <v>178.1</v>
      </c>
      <c r="F3056" s="167"/>
      <c r="G3056" s="167">
        <v>317.01</v>
      </c>
      <c r="H3056" s="168">
        <v>3019.63</v>
      </c>
      <c r="I3056" s="168">
        <v>2048.17</v>
      </c>
      <c r="J3056" s="168"/>
      <c r="K3056" s="168">
        <v>971.46</v>
      </c>
      <c r="L3056" s="43">
        <v>6.0989073135262872</v>
      </c>
      <c r="M3056" s="43">
        <v>11.500112296462662</v>
      </c>
      <c r="N3056" s="43" t="s">
        <v>1690</v>
      </c>
      <c r="O3056" s="43">
        <v>3.0644459165326019</v>
      </c>
      <c r="P3056" s="169"/>
      <c r="Q3056" s="169"/>
      <c r="R3056" s="169">
        <v>1</v>
      </c>
    </row>
    <row r="3057" spans="1:18" ht="24">
      <c r="A3057" s="165">
        <v>394</v>
      </c>
      <c r="B3057" s="162" t="s">
        <v>5563</v>
      </c>
      <c r="C3057" s="166" t="s">
        <v>5564</v>
      </c>
      <c r="D3057" s="167">
        <v>576.63</v>
      </c>
      <c r="E3057" s="167">
        <v>189.59</v>
      </c>
      <c r="F3057" s="167"/>
      <c r="G3057" s="167">
        <v>387.04</v>
      </c>
      <c r="H3057" s="168">
        <v>3361.58</v>
      </c>
      <c r="I3057" s="168">
        <v>2180.31</v>
      </c>
      <c r="J3057" s="168"/>
      <c r="K3057" s="168">
        <v>1181.27</v>
      </c>
      <c r="L3057" s="43">
        <v>5.8297001543450735</v>
      </c>
      <c r="M3057" s="43">
        <v>11.500131863494909</v>
      </c>
      <c r="N3057" s="43" t="s">
        <v>1690</v>
      </c>
      <c r="O3057" s="43">
        <v>3.0520618023976849</v>
      </c>
      <c r="P3057" s="169"/>
      <c r="Q3057" s="169"/>
      <c r="R3057" s="169">
        <v>1</v>
      </c>
    </row>
    <row r="3058" spans="1:18" ht="24">
      <c r="A3058" s="165">
        <v>395</v>
      </c>
      <c r="B3058" s="162" t="s">
        <v>5565</v>
      </c>
      <c r="C3058" s="166" t="s">
        <v>5566</v>
      </c>
      <c r="D3058" s="167">
        <v>617.64</v>
      </c>
      <c r="E3058" s="167">
        <v>201.08</v>
      </c>
      <c r="F3058" s="167"/>
      <c r="G3058" s="167">
        <v>416.56</v>
      </c>
      <c r="H3058" s="168">
        <v>3583.42</v>
      </c>
      <c r="I3058" s="168">
        <v>2312.4499999999998</v>
      </c>
      <c r="J3058" s="168"/>
      <c r="K3058" s="168">
        <v>1270.97</v>
      </c>
      <c r="L3058" s="43">
        <v>5.8017939252639081</v>
      </c>
      <c r="M3058" s="43">
        <v>11.500149194350506</v>
      </c>
      <c r="N3058" s="43" t="s">
        <v>1690</v>
      </c>
      <c r="O3058" s="43">
        <v>3.0511090839254851</v>
      </c>
      <c r="P3058" s="169"/>
      <c r="Q3058" s="169"/>
      <c r="R3058" s="169">
        <v>1</v>
      </c>
    </row>
    <row r="3059" spans="1:18" ht="24">
      <c r="A3059" s="165">
        <v>396</v>
      </c>
      <c r="B3059" s="162" t="s">
        <v>5567</v>
      </c>
      <c r="C3059" s="166" t="s">
        <v>5568</v>
      </c>
      <c r="D3059" s="167">
        <v>700.34</v>
      </c>
      <c r="E3059" s="167">
        <v>236.69</v>
      </c>
      <c r="F3059" s="167"/>
      <c r="G3059" s="167">
        <v>463.65</v>
      </c>
      <c r="H3059" s="168">
        <v>4139.07</v>
      </c>
      <c r="I3059" s="168">
        <v>2722.08</v>
      </c>
      <c r="J3059" s="168"/>
      <c r="K3059" s="168">
        <v>1416.99</v>
      </c>
      <c r="L3059" s="43">
        <v>5.9100865294000053</v>
      </c>
      <c r="M3059" s="43">
        <v>11.500612615657611</v>
      </c>
      <c r="N3059" s="43" t="s">
        <v>1690</v>
      </c>
      <c r="O3059" s="43">
        <v>3.0561630540278228</v>
      </c>
      <c r="P3059" s="169"/>
      <c r="Q3059" s="169"/>
      <c r="R3059" s="169">
        <v>1</v>
      </c>
    </row>
    <row r="3060" spans="1:18" ht="24">
      <c r="A3060" s="165">
        <v>397</v>
      </c>
      <c r="B3060" s="162" t="s">
        <v>5569</v>
      </c>
      <c r="C3060" s="166" t="s">
        <v>5570</v>
      </c>
      <c r="D3060" s="167">
        <v>789.27</v>
      </c>
      <c r="E3060" s="167">
        <v>272.31</v>
      </c>
      <c r="F3060" s="167"/>
      <c r="G3060" s="167">
        <v>516.96</v>
      </c>
      <c r="H3060" s="168">
        <v>4714.68</v>
      </c>
      <c r="I3060" s="168">
        <v>3131.72</v>
      </c>
      <c r="J3060" s="168"/>
      <c r="K3060" s="168">
        <v>1582.96</v>
      </c>
      <c r="L3060" s="43">
        <v>5.9734691550420012</v>
      </c>
      <c r="M3060" s="43">
        <v>11.500569204215783</v>
      </c>
      <c r="N3060" s="43" t="s">
        <v>1690</v>
      </c>
      <c r="O3060" s="43">
        <v>3.062055091303002</v>
      </c>
      <c r="P3060" s="169"/>
      <c r="Q3060" s="169"/>
      <c r="R3060" s="169">
        <v>1</v>
      </c>
    </row>
    <row r="3061" spans="1:18" ht="24">
      <c r="A3061" s="165">
        <v>398</v>
      </c>
      <c r="B3061" s="162" t="s">
        <v>5571</v>
      </c>
      <c r="C3061" s="166" t="s">
        <v>5572</v>
      </c>
      <c r="D3061" s="167">
        <v>860.05</v>
      </c>
      <c r="E3061" s="167">
        <v>296.44</v>
      </c>
      <c r="F3061" s="167"/>
      <c r="G3061" s="167">
        <v>563.61</v>
      </c>
      <c r="H3061" s="168">
        <v>5132.1499999999996</v>
      </c>
      <c r="I3061" s="168">
        <v>3409.21</v>
      </c>
      <c r="J3061" s="168"/>
      <c r="K3061" s="168">
        <v>1722.94</v>
      </c>
      <c r="L3061" s="43">
        <v>5.9672693448055343</v>
      </c>
      <c r="M3061" s="43">
        <v>11.500506004587775</v>
      </c>
      <c r="N3061" s="43" t="s">
        <v>1690</v>
      </c>
      <c r="O3061" s="43">
        <v>3.0569720196589842</v>
      </c>
      <c r="P3061" s="169"/>
      <c r="Q3061" s="169"/>
      <c r="R3061" s="169">
        <v>1</v>
      </c>
    </row>
    <row r="3062" spans="1:18" ht="24">
      <c r="A3062" s="165">
        <v>399</v>
      </c>
      <c r="B3062" s="162" t="s">
        <v>5573</v>
      </c>
      <c r="C3062" s="166" t="s">
        <v>5574</v>
      </c>
      <c r="D3062" s="167">
        <v>947.8</v>
      </c>
      <c r="E3062" s="167">
        <v>330.91</v>
      </c>
      <c r="F3062" s="167"/>
      <c r="G3062" s="167">
        <v>616.89</v>
      </c>
      <c r="H3062" s="168">
        <v>5694.19</v>
      </c>
      <c r="I3062" s="168">
        <v>3805.63</v>
      </c>
      <c r="J3062" s="168"/>
      <c r="K3062" s="168">
        <v>1888.56</v>
      </c>
      <c r="L3062" s="43">
        <v>6.007797003587255</v>
      </c>
      <c r="M3062" s="43">
        <v>11.500498625003777</v>
      </c>
      <c r="N3062" s="43" t="s">
        <v>1690</v>
      </c>
      <c r="O3062" s="43">
        <v>3.061420998881486</v>
      </c>
      <c r="P3062" s="169"/>
      <c r="Q3062" s="169"/>
      <c r="R3062" s="169">
        <v>1</v>
      </c>
    </row>
    <row r="3063" spans="1:18" ht="36">
      <c r="A3063" s="165">
        <v>400</v>
      </c>
      <c r="B3063" s="162" t="s">
        <v>5575</v>
      </c>
      <c r="C3063" s="166" t="s">
        <v>5576</v>
      </c>
      <c r="D3063" s="167">
        <v>1029.95</v>
      </c>
      <c r="E3063" s="167">
        <v>366.53</v>
      </c>
      <c r="F3063" s="167"/>
      <c r="G3063" s="167">
        <v>663.42</v>
      </c>
      <c r="H3063" s="168">
        <v>6248.89</v>
      </c>
      <c r="I3063" s="168">
        <v>4215.2700000000004</v>
      </c>
      <c r="J3063" s="168"/>
      <c r="K3063" s="168">
        <v>2033.62</v>
      </c>
      <c r="L3063" s="43">
        <v>6.0671780183504058</v>
      </c>
      <c r="M3063" s="43">
        <v>11.500477450686168</v>
      </c>
      <c r="N3063" s="43" t="s">
        <v>1690</v>
      </c>
      <c r="O3063" s="43">
        <v>3.0653582948961442</v>
      </c>
      <c r="P3063" s="169"/>
      <c r="Q3063" s="169"/>
      <c r="R3063" s="169">
        <v>1</v>
      </c>
    </row>
    <row r="3064" spans="1:18" ht="12.75" customHeight="1">
      <c r="A3064" s="628" t="s">
        <v>5577</v>
      </c>
      <c r="B3064" s="629"/>
      <c r="C3064" s="629"/>
      <c r="D3064" s="629"/>
      <c r="E3064" s="629"/>
      <c r="F3064" s="629"/>
      <c r="G3064" s="629"/>
      <c r="H3064" s="629"/>
      <c r="I3064" s="629"/>
      <c r="J3064" s="629"/>
      <c r="K3064" s="629"/>
      <c r="L3064" s="629"/>
      <c r="M3064" s="629"/>
      <c r="N3064" s="629"/>
      <c r="O3064" s="629"/>
      <c r="P3064" s="629"/>
      <c r="Q3064" s="629"/>
      <c r="R3064" s="629"/>
    </row>
    <row r="3065" spans="1:18" ht="24">
      <c r="A3065" s="165">
        <v>401</v>
      </c>
      <c r="B3065" s="162" t="s">
        <v>5578</v>
      </c>
      <c r="C3065" s="166" t="s">
        <v>5579</v>
      </c>
      <c r="D3065" s="167">
        <v>1157.9100000000001</v>
      </c>
      <c r="E3065" s="167">
        <v>1135.21</v>
      </c>
      <c r="F3065" s="167"/>
      <c r="G3065" s="167">
        <v>22.7</v>
      </c>
      <c r="H3065" s="168">
        <v>13316.48</v>
      </c>
      <c r="I3065" s="168">
        <v>13055.43</v>
      </c>
      <c r="J3065" s="168"/>
      <c r="K3065" s="168">
        <v>261.05</v>
      </c>
      <c r="L3065" s="43">
        <v>11.500444766864435</v>
      </c>
      <c r="M3065" s="43">
        <v>11.500453660556197</v>
      </c>
      <c r="N3065" s="43" t="s">
        <v>1690</v>
      </c>
      <c r="O3065" s="43">
        <v>11.5</v>
      </c>
      <c r="P3065" s="169"/>
      <c r="Q3065" s="169"/>
      <c r="R3065" s="169">
        <v>2</v>
      </c>
    </row>
    <row r="3066" spans="1:18" ht="36">
      <c r="A3066" s="165">
        <v>402</v>
      </c>
      <c r="B3066" s="162" t="s">
        <v>5580</v>
      </c>
      <c r="C3066" s="166" t="s">
        <v>5581</v>
      </c>
      <c r="D3066" s="167">
        <v>808.67</v>
      </c>
      <c r="E3066" s="167">
        <v>792.81</v>
      </c>
      <c r="F3066" s="167"/>
      <c r="G3066" s="167">
        <v>15.86</v>
      </c>
      <c r="H3066" s="168">
        <v>9300.0499999999993</v>
      </c>
      <c r="I3066" s="168">
        <v>9117.66</v>
      </c>
      <c r="J3066" s="168"/>
      <c r="K3066" s="168">
        <v>182.39</v>
      </c>
      <c r="L3066" s="43">
        <v>11.500426626435999</v>
      </c>
      <c r="M3066" s="43">
        <v>11.500435161009575</v>
      </c>
      <c r="N3066" s="43" t="s">
        <v>1690</v>
      </c>
      <c r="O3066" s="43">
        <v>11.5</v>
      </c>
      <c r="P3066" s="169"/>
      <c r="Q3066" s="169"/>
      <c r="R3066" s="169">
        <v>2</v>
      </c>
    </row>
    <row r="3067" spans="1:18" ht="36">
      <c r="A3067" s="165">
        <v>403</v>
      </c>
      <c r="B3067" s="162" t="s">
        <v>5582</v>
      </c>
      <c r="C3067" s="166" t="s">
        <v>5583</v>
      </c>
      <c r="D3067" s="167">
        <v>205.1</v>
      </c>
      <c r="E3067" s="167">
        <v>201.08</v>
      </c>
      <c r="F3067" s="167"/>
      <c r="G3067" s="167">
        <v>4.0199999999999996</v>
      </c>
      <c r="H3067" s="168">
        <v>2358.6799999999998</v>
      </c>
      <c r="I3067" s="168">
        <v>2312.4499999999998</v>
      </c>
      <c r="J3067" s="168"/>
      <c r="K3067" s="168">
        <v>46.23</v>
      </c>
      <c r="L3067" s="43">
        <v>11.50014627011214</v>
      </c>
      <c r="M3067" s="43">
        <v>11.500149194350506</v>
      </c>
      <c r="N3067" s="43" t="s">
        <v>1690</v>
      </c>
      <c r="O3067" s="43">
        <v>11.5</v>
      </c>
      <c r="P3067" s="169"/>
      <c r="Q3067" s="169"/>
      <c r="R3067" s="169">
        <v>2</v>
      </c>
    </row>
    <row r="3068" spans="1:18" ht="12.75" customHeight="1">
      <c r="A3068" s="628" t="s">
        <v>5584</v>
      </c>
      <c r="B3068" s="629"/>
      <c r="C3068" s="629"/>
      <c r="D3068" s="629"/>
      <c r="E3068" s="629"/>
      <c r="F3068" s="629"/>
      <c r="G3068" s="629"/>
      <c r="H3068" s="629"/>
      <c r="I3068" s="629"/>
      <c r="J3068" s="629"/>
      <c r="K3068" s="629"/>
      <c r="L3068" s="629"/>
      <c r="M3068" s="629"/>
      <c r="N3068" s="629"/>
      <c r="O3068" s="629"/>
      <c r="P3068" s="629"/>
      <c r="Q3068" s="629"/>
      <c r="R3068" s="629"/>
    </row>
    <row r="3069" spans="1:18" ht="24">
      <c r="A3069" s="165">
        <v>404</v>
      </c>
      <c r="B3069" s="162" t="s">
        <v>5585</v>
      </c>
      <c r="C3069" s="166" t="s">
        <v>5586</v>
      </c>
      <c r="D3069" s="167">
        <v>38.75</v>
      </c>
      <c r="E3069" s="167">
        <v>23.67</v>
      </c>
      <c r="F3069" s="167"/>
      <c r="G3069" s="167">
        <v>15.08</v>
      </c>
      <c r="H3069" s="168">
        <v>331.51</v>
      </c>
      <c r="I3069" s="168">
        <v>272.20999999999998</v>
      </c>
      <c r="J3069" s="168"/>
      <c r="K3069" s="168">
        <v>59.3</v>
      </c>
      <c r="L3069" s="43">
        <v>8.5550967741935473</v>
      </c>
      <c r="M3069" s="43">
        <v>11.500211237853822</v>
      </c>
      <c r="N3069" s="43" t="s">
        <v>1690</v>
      </c>
      <c r="O3069" s="43">
        <v>3.93236074270557</v>
      </c>
      <c r="P3069" s="169"/>
      <c r="Q3069" s="169"/>
      <c r="R3069" s="169">
        <v>3</v>
      </c>
    </row>
    <row r="3070" spans="1:18" ht="24">
      <c r="A3070" s="165">
        <v>405</v>
      </c>
      <c r="B3070" s="162" t="s">
        <v>5587</v>
      </c>
      <c r="C3070" s="166" t="s">
        <v>5588</v>
      </c>
      <c r="D3070" s="167">
        <v>63.43</v>
      </c>
      <c r="E3070" s="167">
        <v>35.5</v>
      </c>
      <c r="F3070" s="167"/>
      <c r="G3070" s="167">
        <v>27.93</v>
      </c>
      <c r="H3070" s="168">
        <v>502.32</v>
      </c>
      <c r="I3070" s="168">
        <v>408.31</v>
      </c>
      <c r="J3070" s="168"/>
      <c r="K3070" s="168">
        <v>94.01</v>
      </c>
      <c r="L3070" s="43">
        <v>7.9192810972725836</v>
      </c>
      <c r="M3070" s="43">
        <v>11.501690140845071</v>
      </c>
      <c r="N3070" s="43" t="s">
        <v>1690</v>
      </c>
      <c r="O3070" s="43">
        <v>3.3659147869674189</v>
      </c>
      <c r="P3070" s="169"/>
      <c r="Q3070" s="169"/>
      <c r="R3070" s="169">
        <v>3</v>
      </c>
    </row>
    <row r="3071" spans="1:18" ht="24">
      <c r="A3071" s="165">
        <v>406</v>
      </c>
      <c r="B3071" s="162" t="s">
        <v>5589</v>
      </c>
      <c r="C3071" s="166" t="s">
        <v>5590</v>
      </c>
      <c r="D3071" s="167">
        <v>75.290000000000006</v>
      </c>
      <c r="E3071" s="167">
        <v>35.5</v>
      </c>
      <c r="F3071" s="167"/>
      <c r="G3071" s="167">
        <v>39.79</v>
      </c>
      <c r="H3071" s="168">
        <v>513.48</v>
      </c>
      <c r="I3071" s="168">
        <v>408.31</v>
      </c>
      <c r="J3071" s="168"/>
      <c r="K3071" s="168">
        <v>105.17</v>
      </c>
      <c r="L3071" s="43">
        <v>6.8200292203479878</v>
      </c>
      <c r="M3071" s="43">
        <v>11.501690140845071</v>
      </c>
      <c r="N3071" s="43" t="s">
        <v>1690</v>
      </c>
      <c r="O3071" s="43">
        <v>2.6431264136717769</v>
      </c>
      <c r="P3071" s="169"/>
      <c r="Q3071" s="169"/>
      <c r="R3071" s="169">
        <v>3</v>
      </c>
    </row>
    <row r="3072" spans="1:18" ht="24">
      <c r="A3072" s="165">
        <v>407</v>
      </c>
      <c r="B3072" s="162" t="s">
        <v>5591</v>
      </c>
      <c r="C3072" s="166" t="s">
        <v>5592</v>
      </c>
      <c r="D3072" s="167">
        <v>110.72</v>
      </c>
      <c r="E3072" s="167">
        <v>47.34</v>
      </c>
      <c r="F3072" s="167"/>
      <c r="G3072" s="167">
        <v>63.38</v>
      </c>
      <c r="H3072" s="168">
        <v>703.54</v>
      </c>
      <c r="I3072" s="168">
        <v>544.41999999999996</v>
      </c>
      <c r="J3072" s="168"/>
      <c r="K3072" s="168">
        <v>159.12</v>
      </c>
      <c r="L3072" s="43">
        <v>6.3542268786127165</v>
      </c>
      <c r="M3072" s="43">
        <v>11.500211237853822</v>
      </c>
      <c r="N3072" s="43" t="s">
        <v>1690</v>
      </c>
      <c r="O3072" s="43">
        <v>2.5105711580940357</v>
      </c>
      <c r="P3072" s="169"/>
      <c r="Q3072" s="169"/>
      <c r="R3072" s="169">
        <v>3</v>
      </c>
    </row>
    <row r="3073" spans="1:18" ht="24">
      <c r="A3073" s="165">
        <v>408</v>
      </c>
      <c r="B3073" s="162" t="s">
        <v>5593</v>
      </c>
      <c r="C3073" s="166" t="s">
        <v>5594</v>
      </c>
      <c r="D3073" s="167">
        <v>820.61</v>
      </c>
      <c r="E3073" s="167">
        <v>11.83</v>
      </c>
      <c r="F3073" s="167"/>
      <c r="G3073" s="167">
        <v>808.78</v>
      </c>
      <c r="H3073" s="168">
        <v>2250.88</v>
      </c>
      <c r="I3073" s="168">
        <v>136.1</v>
      </c>
      <c r="J3073" s="168"/>
      <c r="K3073" s="168">
        <v>2114.7800000000002</v>
      </c>
      <c r="L3073" s="43">
        <v>2.742935133620112</v>
      </c>
      <c r="M3073" s="43">
        <v>11.504649196956889</v>
      </c>
      <c r="N3073" s="43" t="s">
        <v>1690</v>
      </c>
      <c r="O3073" s="43">
        <v>2.6147778134968722</v>
      </c>
      <c r="P3073" s="169"/>
      <c r="Q3073" s="169"/>
      <c r="R3073" s="169">
        <v>3</v>
      </c>
    </row>
    <row r="3074" spans="1:18" ht="24">
      <c r="A3074" s="165">
        <v>409</v>
      </c>
      <c r="B3074" s="162" t="s">
        <v>5595</v>
      </c>
      <c r="C3074" s="166" t="s">
        <v>5596</v>
      </c>
      <c r="D3074" s="167">
        <v>1016.77</v>
      </c>
      <c r="E3074" s="167">
        <v>11.83</v>
      </c>
      <c r="F3074" s="167"/>
      <c r="G3074" s="167">
        <v>1004.94</v>
      </c>
      <c r="H3074" s="168">
        <v>3083.58</v>
      </c>
      <c r="I3074" s="168">
        <v>136.1</v>
      </c>
      <c r="J3074" s="168"/>
      <c r="K3074" s="168">
        <v>2947.48</v>
      </c>
      <c r="L3074" s="43">
        <v>3.0327212643960779</v>
      </c>
      <c r="M3074" s="43">
        <v>11.504649196956889</v>
      </c>
      <c r="N3074" s="43" t="s">
        <v>1690</v>
      </c>
      <c r="O3074" s="43">
        <v>2.9329910243397612</v>
      </c>
      <c r="P3074" s="169"/>
      <c r="Q3074" s="169"/>
      <c r="R3074" s="169">
        <v>3</v>
      </c>
    </row>
    <row r="3075" spans="1:18" ht="24">
      <c r="A3075" s="165">
        <v>410</v>
      </c>
      <c r="B3075" s="162" t="s">
        <v>5597</v>
      </c>
      <c r="C3075" s="166" t="s">
        <v>5598</v>
      </c>
      <c r="D3075" s="167">
        <v>1172.47</v>
      </c>
      <c r="E3075" s="167">
        <v>23.67</v>
      </c>
      <c r="F3075" s="167"/>
      <c r="G3075" s="167">
        <v>1148.8</v>
      </c>
      <c r="H3075" s="168">
        <v>3831.15</v>
      </c>
      <c r="I3075" s="168">
        <v>272.20999999999998</v>
      </c>
      <c r="J3075" s="168"/>
      <c r="K3075" s="168">
        <v>3558.94</v>
      </c>
      <c r="L3075" s="43">
        <v>3.2675889361774715</v>
      </c>
      <c r="M3075" s="43">
        <v>11.500211237853822</v>
      </c>
      <c r="N3075" s="43" t="s">
        <v>1690</v>
      </c>
      <c r="O3075" s="43">
        <v>3.0979630919220056</v>
      </c>
      <c r="P3075" s="169"/>
      <c r="Q3075" s="169"/>
      <c r="R3075" s="169">
        <v>3</v>
      </c>
    </row>
    <row r="3076" spans="1:18" ht="24">
      <c r="A3076" s="165">
        <v>411</v>
      </c>
      <c r="B3076" s="162" t="s">
        <v>5599</v>
      </c>
      <c r="C3076" s="166" t="s">
        <v>5600</v>
      </c>
      <c r="D3076" s="167">
        <v>1564.49</v>
      </c>
      <c r="E3076" s="167">
        <v>23.67</v>
      </c>
      <c r="F3076" s="167"/>
      <c r="G3076" s="167">
        <v>1540.82</v>
      </c>
      <c r="H3076" s="168">
        <v>5494.03</v>
      </c>
      <c r="I3076" s="168">
        <v>272.20999999999998</v>
      </c>
      <c r="J3076" s="168"/>
      <c r="K3076" s="168">
        <v>5221.82</v>
      </c>
      <c r="L3076" s="43">
        <v>3.5117066903591585</v>
      </c>
      <c r="M3076" s="43">
        <v>11.500211237853822</v>
      </c>
      <c r="N3076" s="43" t="s">
        <v>1690</v>
      </c>
      <c r="O3076" s="43">
        <v>3.3889876818836724</v>
      </c>
      <c r="P3076" s="169"/>
      <c r="Q3076" s="169"/>
      <c r="R3076" s="169">
        <v>3</v>
      </c>
    </row>
    <row r="3077" spans="1:18" ht="12.75" customHeight="1">
      <c r="A3077" s="628" t="s">
        <v>5601</v>
      </c>
      <c r="B3077" s="629"/>
      <c r="C3077" s="629"/>
      <c r="D3077" s="629"/>
      <c r="E3077" s="629"/>
      <c r="F3077" s="629"/>
      <c r="G3077" s="629"/>
      <c r="H3077" s="629"/>
      <c r="I3077" s="629"/>
      <c r="J3077" s="629"/>
      <c r="K3077" s="629"/>
      <c r="L3077" s="629"/>
      <c r="M3077" s="629"/>
      <c r="N3077" s="629"/>
      <c r="O3077" s="629"/>
      <c r="P3077" s="629"/>
      <c r="Q3077" s="629"/>
      <c r="R3077" s="629"/>
    </row>
    <row r="3078" spans="1:18" ht="24">
      <c r="A3078" s="165">
        <v>412</v>
      </c>
      <c r="B3078" s="162" t="s">
        <v>5602</v>
      </c>
      <c r="C3078" s="166" t="s">
        <v>5603</v>
      </c>
      <c r="D3078" s="167">
        <v>36.21</v>
      </c>
      <c r="E3078" s="167">
        <v>35.5</v>
      </c>
      <c r="F3078" s="167"/>
      <c r="G3078" s="167">
        <v>0.71</v>
      </c>
      <c r="H3078" s="168">
        <v>416.48</v>
      </c>
      <c r="I3078" s="168">
        <v>408.31</v>
      </c>
      <c r="J3078" s="168"/>
      <c r="K3078" s="168">
        <v>8.17</v>
      </c>
      <c r="L3078" s="43">
        <v>11.501795084230876</v>
      </c>
      <c r="M3078" s="43">
        <v>11.501690140845071</v>
      </c>
      <c r="N3078" s="43" t="s">
        <v>1690</v>
      </c>
      <c r="O3078" s="43">
        <v>11.507042253521128</v>
      </c>
      <c r="P3078" s="169"/>
      <c r="Q3078" s="169"/>
      <c r="R3078" s="169">
        <v>4</v>
      </c>
    </row>
    <row r="3079" spans="1:18" ht="24">
      <c r="A3079" s="170">
        <v>413</v>
      </c>
      <c r="B3079" s="171" t="s">
        <v>5604</v>
      </c>
      <c r="C3079" s="172" t="s">
        <v>5605</v>
      </c>
      <c r="D3079" s="173">
        <v>36.21</v>
      </c>
      <c r="E3079" s="173">
        <v>35.5</v>
      </c>
      <c r="F3079" s="173"/>
      <c r="G3079" s="173">
        <v>0.71</v>
      </c>
      <c r="H3079" s="174">
        <v>416.48</v>
      </c>
      <c r="I3079" s="174">
        <v>408.31</v>
      </c>
      <c r="J3079" s="174"/>
      <c r="K3079" s="174">
        <v>8.17</v>
      </c>
      <c r="L3079" s="611">
        <v>11.501795084230876</v>
      </c>
      <c r="M3079" s="611">
        <v>11.501690140845071</v>
      </c>
      <c r="N3079" s="611" t="s">
        <v>1690</v>
      </c>
      <c r="O3079" s="611">
        <v>11.507042253521128</v>
      </c>
      <c r="P3079" s="175"/>
      <c r="Q3079" s="175"/>
      <c r="R3079" s="175">
        <v>4</v>
      </c>
    </row>
    <row r="3080" spans="1:18" ht="12.75" customHeight="1">
      <c r="A3080" s="630" t="s">
        <v>5606</v>
      </c>
      <c r="B3080" s="631"/>
      <c r="C3080" s="631"/>
      <c r="D3080" s="631"/>
      <c r="E3080" s="631"/>
      <c r="F3080" s="631"/>
      <c r="G3080" s="631"/>
      <c r="H3080" s="631"/>
      <c r="I3080" s="631"/>
      <c r="J3080" s="631"/>
      <c r="K3080" s="631"/>
      <c r="L3080" s="631"/>
      <c r="M3080" s="631"/>
      <c r="N3080" s="631"/>
      <c r="O3080" s="631"/>
      <c r="P3080" s="631"/>
      <c r="Q3080" s="631"/>
      <c r="R3080" s="631"/>
    </row>
    <row r="3081" spans="1:18" ht="12.75" customHeight="1">
      <c r="A3081" s="628" t="s">
        <v>5607</v>
      </c>
      <c r="B3081" s="629"/>
      <c r="C3081" s="629"/>
      <c r="D3081" s="629"/>
      <c r="E3081" s="629"/>
      <c r="F3081" s="629"/>
      <c r="G3081" s="629"/>
      <c r="H3081" s="629"/>
      <c r="I3081" s="629"/>
      <c r="J3081" s="629"/>
      <c r="K3081" s="629"/>
      <c r="L3081" s="629"/>
      <c r="M3081" s="629"/>
      <c r="N3081" s="629"/>
      <c r="O3081" s="629"/>
      <c r="P3081" s="629"/>
      <c r="Q3081" s="629"/>
      <c r="R3081" s="629"/>
    </row>
    <row r="3082" spans="1:18" ht="12.75" customHeight="1">
      <c r="A3082" s="628" t="s">
        <v>5608</v>
      </c>
      <c r="B3082" s="629"/>
      <c r="C3082" s="629"/>
      <c r="D3082" s="629"/>
      <c r="E3082" s="629"/>
      <c r="F3082" s="629"/>
      <c r="G3082" s="629"/>
      <c r="H3082" s="629"/>
      <c r="I3082" s="629"/>
      <c r="J3082" s="629"/>
      <c r="K3082" s="629"/>
      <c r="L3082" s="629"/>
      <c r="M3082" s="629"/>
      <c r="N3082" s="629"/>
      <c r="O3082" s="629"/>
      <c r="P3082" s="629"/>
      <c r="Q3082" s="629"/>
      <c r="R3082" s="629"/>
    </row>
    <row r="3083" spans="1:18" ht="24">
      <c r="A3083" s="165">
        <v>414</v>
      </c>
      <c r="B3083" s="162" t="s">
        <v>5609</v>
      </c>
      <c r="C3083" s="166" t="s">
        <v>5610</v>
      </c>
      <c r="D3083" s="167">
        <v>3468.44</v>
      </c>
      <c r="E3083" s="167">
        <v>745.71</v>
      </c>
      <c r="F3083" s="167">
        <v>1934.68</v>
      </c>
      <c r="G3083" s="167">
        <v>788.05</v>
      </c>
      <c r="H3083" s="168">
        <v>23040.84</v>
      </c>
      <c r="I3083" s="168">
        <v>8576.02</v>
      </c>
      <c r="J3083" s="168">
        <v>11161.39</v>
      </c>
      <c r="K3083" s="168">
        <v>3303.43</v>
      </c>
      <c r="L3083" s="43">
        <v>6.6429980048667412</v>
      </c>
      <c r="M3083" s="43">
        <v>11.500476056375803</v>
      </c>
      <c r="N3083" s="43">
        <v>5.7691142721276902</v>
      </c>
      <c r="O3083" s="43">
        <v>4.1919040670008245</v>
      </c>
      <c r="P3083" s="169"/>
      <c r="Q3083" s="169"/>
      <c r="R3083" s="169">
        <v>1</v>
      </c>
    </row>
    <row r="3084" spans="1:18" ht="12.75" customHeight="1">
      <c r="A3084" s="628" t="s">
        <v>5611</v>
      </c>
      <c r="B3084" s="629"/>
      <c r="C3084" s="629"/>
      <c r="D3084" s="629"/>
      <c r="E3084" s="629"/>
      <c r="F3084" s="629"/>
      <c r="G3084" s="629"/>
      <c r="H3084" s="629"/>
      <c r="I3084" s="629"/>
      <c r="J3084" s="629"/>
      <c r="K3084" s="629"/>
      <c r="L3084" s="629"/>
      <c r="M3084" s="629"/>
      <c r="N3084" s="629"/>
      <c r="O3084" s="629"/>
      <c r="P3084" s="629"/>
      <c r="Q3084" s="629"/>
      <c r="R3084" s="629"/>
    </row>
    <row r="3085" spans="1:18" ht="24">
      <c r="A3085" s="165">
        <v>415</v>
      </c>
      <c r="B3085" s="162" t="s">
        <v>5612</v>
      </c>
      <c r="C3085" s="166" t="s">
        <v>5613</v>
      </c>
      <c r="D3085" s="167">
        <v>896.99</v>
      </c>
      <c r="E3085" s="167">
        <v>157.41</v>
      </c>
      <c r="F3085" s="167">
        <v>608.42999999999995</v>
      </c>
      <c r="G3085" s="167">
        <v>131.15</v>
      </c>
      <c r="H3085" s="168">
        <v>5321.17</v>
      </c>
      <c r="I3085" s="168">
        <v>1810.32</v>
      </c>
      <c r="J3085" s="168">
        <v>2922.21</v>
      </c>
      <c r="K3085" s="168">
        <v>588.64</v>
      </c>
      <c r="L3085" s="43">
        <v>5.9322511956655033</v>
      </c>
      <c r="M3085" s="43">
        <v>11.50066704783686</v>
      </c>
      <c r="N3085" s="43">
        <v>4.8028696809822007</v>
      </c>
      <c r="O3085" s="43">
        <v>4.4882958444529164</v>
      </c>
      <c r="P3085" s="169"/>
      <c r="Q3085" s="169"/>
      <c r="R3085" s="169">
        <v>2</v>
      </c>
    </row>
    <row r="3086" spans="1:18" ht="24">
      <c r="A3086" s="165">
        <v>416</v>
      </c>
      <c r="B3086" s="162" t="s">
        <v>5614</v>
      </c>
      <c r="C3086" s="166" t="s">
        <v>5615</v>
      </c>
      <c r="D3086" s="167">
        <v>944.14</v>
      </c>
      <c r="E3086" s="167">
        <v>157.41</v>
      </c>
      <c r="F3086" s="167">
        <v>655.58</v>
      </c>
      <c r="G3086" s="167">
        <v>131.15</v>
      </c>
      <c r="H3086" s="168">
        <v>5574.87</v>
      </c>
      <c r="I3086" s="168">
        <v>1810.32</v>
      </c>
      <c r="J3086" s="168">
        <v>3175.91</v>
      </c>
      <c r="K3086" s="168">
        <v>588.64</v>
      </c>
      <c r="L3086" s="43">
        <v>5.9047069290571317</v>
      </c>
      <c r="M3086" s="43">
        <v>11.50066704783686</v>
      </c>
      <c r="N3086" s="43">
        <v>4.844427834894292</v>
      </c>
      <c r="O3086" s="43">
        <v>4.4882958444529164</v>
      </c>
      <c r="P3086" s="169"/>
      <c r="Q3086" s="169"/>
      <c r="R3086" s="169">
        <v>2</v>
      </c>
    </row>
    <row r="3087" spans="1:18" ht="24">
      <c r="A3087" s="165">
        <v>417</v>
      </c>
      <c r="B3087" s="162" t="s">
        <v>5616</v>
      </c>
      <c r="C3087" s="166" t="s">
        <v>5617</v>
      </c>
      <c r="D3087" s="167">
        <v>1119.19</v>
      </c>
      <c r="E3087" s="167">
        <v>163.16</v>
      </c>
      <c r="F3087" s="167">
        <v>824.77</v>
      </c>
      <c r="G3087" s="167">
        <v>131.26</v>
      </c>
      <c r="H3087" s="168">
        <v>6552.52</v>
      </c>
      <c r="I3087" s="168">
        <v>1876.39</v>
      </c>
      <c r="J3087" s="168">
        <v>4086.23</v>
      </c>
      <c r="K3087" s="168">
        <v>589.9</v>
      </c>
      <c r="L3087" s="43">
        <v>5.8546984872988501</v>
      </c>
      <c r="M3087" s="43">
        <v>11.50030644765874</v>
      </c>
      <c r="N3087" s="43">
        <v>4.9543872837275851</v>
      </c>
      <c r="O3087" s="43">
        <v>4.4941337802834074</v>
      </c>
      <c r="P3087" s="169"/>
      <c r="Q3087" s="169"/>
      <c r="R3087" s="169">
        <v>2</v>
      </c>
    </row>
    <row r="3088" spans="1:18" ht="24">
      <c r="A3088" s="165">
        <v>418</v>
      </c>
      <c r="B3088" s="162" t="s">
        <v>5618</v>
      </c>
      <c r="C3088" s="166" t="s">
        <v>5619</v>
      </c>
      <c r="D3088" s="167">
        <v>1611.72</v>
      </c>
      <c r="E3088" s="167">
        <v>250.48</v>
      </c>
      <c r="F3088" s="167">
        <v>1228.23</v>
      </c>
      <c r="G3088" s="167">
        <v>133.01</v>
      </c>
      <c r="H3088" s="168">
        <v>9557.7999999999993</v>
      </c>
      <c r="I3088" s="168">
        <v>2880.65</v>
      </c>
      <c r="J3088" s="168">
        <v>6067.12</v>
      </c>
      <c r="K3088" s="168">
        <v>610.03</v>
      </c>
      <c r="L3088" s="43">
        <v>5.9301863847318383</v>
      </c>
      <c r="M3088" s="43">
        <v>11.500519003513256</v>
      </c>
      <c r="N3088" s="43">
        <v>4.9397262727665012</v>
      </c>
      <c r="O3088" s="43">
        <v>4.5863468912111873</v>
      </c>
      <c r="P3088" s="169"/>
      <c r="Q3088" s="169"/>
      <c r="R3088" s="169">
        <v>2</v>
      </c>
    </row>
    <row r="3089" spans="1:18" ht="24">
      <c r="A3089" s="165">
        <v>419</v>
      </c>
      <c r="B3089" s="162" t="s">
        <v>5620</v>
      </c>
      <c r="C3089" s="166" t="s">
        <v>5621</v>
      </c>
      <c r="D3089" s="167">
        <v>1830.41</v>
      </c>
      <c r="E3089" s="167">
        <v>252.78</v>
      </c>
      <c r="F3089" s="167">
        <v>1444.57</v>
      </c>
      <c r="G3089" s="167">
        <v>133.06</v>
      </c>
      <c r="H3089" s="168">
        <v>10748.83</v>
      </c>
      <c r="I3089" s="168">
        <v>2907.08</v>
      </c>
      <c r="J3089" s="168">
        <v>7231.15</v>
      </c>
      <c r="K3089" s="168">
        <v>610.6</v>
      </c>
      <c r="L3089" s="43">
        <v>5.8723619298408547</v>
      </c>
      <c r="M3089" s="43">
        <v>11.500435161009573</v>
      </c>
      <c r="N3089" s="43">
        <v>5.0057456544161933</v>
      </c>
      <c r="O3089" s="43">
        <v>4.5889072598827596</v>
      </c>
      <c r="P3089" s="169"/>
      <c r="Q3089" s="169"/>
      <c r="R3089" s="169">
        <v>2</v>
      </c>
    </row>
    <row r="3090" spans="1:18" ht="24">
      <c r="A3090" s="165">
        <v>420</v>
      </c>
      <c r="B3090" s="162" t="s">
        <v>5622</v>
      </c>
      <c r="C3090" s="166" t="s">
        <v>5623</v>
      </c>
      <c r="D3090" s="167">
        <v>2097.3000000000002</v>
      </c>
      <c r="E3090" s="167">
        <v>264.27</v>
      </c>
      <c r="F3090" s="167">
        <v>1699.74</v>
      </c>
      <c r="G3090" s="167">
        <v>133.29</v>
      </c>
      <c r="H3090" s="168">
        <v>12256.56</v>
      </c>
      <c r="I3090" s="168">
        <v>3039.22</v>
      </c>
      <c r="J3090" s="168">
        <v>8604.09</v>
      </c>
      <c r="K3090" s="168">
        <v>613.25</v>
      </c>
      <c r="L3090" s="43">
        <v>5.8439708196252313</v>
      </c>
      <c r="M3090" s="43">
        <v>11.500435161009573</v>
      </c>
      <c r="N3090" s="43">
        <v>5.0620036005506721</v>
      </c>
      <c r="O3090" s="43">
        <v>4.6008702828419237</v>
      </c>
      <c r="P3090" s="169"/>
      <c r="Q3090" s="169"/>
      <c r="R3090" s="169">
        <v>2</v>
      </c>
    </row>
    <row r="3091" spans="1:18" ht="24">
      <c r="A3091" s="165">
        <v>421</v>
      </c>
      <c r="B3091" s="162" t="s">
        <v>5624</v>
      </c>
      <c r="C3091" s="166" t="s">
        <v>5625</v>
      </c>
      <c r="D3091" s="167">
        <v>2585.64</v>
      </c>
      <c r="E3091" s="167">
        <v>332.06</v>
      </c>
      <c r="F3091" s="167">
        <v>2118.94</v>
      </c>
      <c r="G3091" s="167">
        <v>134.63999999999999</v>
      </c>
      <c r="H3091" s="168">
        <v>15168.57</v>
      </c>
      <c r="I3091" s="168">
        <v>3818.85</v>
      </c>
      <c r="J3091" s="168">
        <v>10720.95</v>
      </c>
      <c r="K3091" s="168">
        <v>628.77</v>
      </c>
      <c r="L3091" s="43">
        <v>5.866466329419409</v>
      </c>
      <c r="M3091" s="43">
        <v>11.500481840631211</v>
      </c>
      <c r="N3091" s="43">
        <v>5.059581677631269</v>
      </c>
      <c r="O3091" s="43">
        <v>4.6700089126559714</v>
      </c>
      <c r="P3091" s="169"/>
      <c r="Q3091" s="169"/>
      <c r="R3091" s="169">
        <v>2</v>
      </c>
    </row>
    <row r="3092" spans="1:18" ht="24">
      <c r="A3092" s="165">
        <v>422</v>
      </c>
      <c r="B3092" s="162" t="s">
        <v>5626</v>
      </c>
      <c r="C3092" s="166" t="s">
        <v>5627</v>
      </c>
      <c r="D3092" s="167">
        <v>2817.34</v>
      </c>
      <c r="E3092" s="167">
        <v>338.96</v>
      </c>
      <c r="F3092" s="167">
        <v>2343.6</v>
      </c>
      <c r="G3092" s="167">
        <v>134.78</v>
      </c>
      <c r="H3092" s="168">
        <v>16458.25</v>
      </c>
      <c r="I3092" s="168">
        <v>3898.13</v>
      </c>
      <c r="J3092" s="168">
        <v>11929.74</v>
      </c>
      <c r="K3092" s="168">
        <v>630.38</v>
      </c>
      <c r="L3092" s="43">
        <v>5.8417691865376558</v>
      </c>
      <c r="M3092" s="43">
        <v>11.50026551805523</v>
      </c>
      <c r="N3092" s="43">
        <v>5.090348182283666</v>
      </c>
      <c r="O3092" s="43">
        <v>4.6771034278082801</v>
      </c>
      <c r="P3092" s="169"/>
      <c r="Q3092" s="169"/>
      <c r="R3092" s="169">
        <v>2</v>
      </c>
    </row>
    <row r="3093" spans="1:18" ht="24">
      <c r="A3093" s="165">
        <v>423</v>
      </c>
      <c r="B3093" s="162" t="s">
        <v>5628</v>
      </c>
      <c r="C3093" s="166" t="s">
        <v>5629</v>
      </c>
      <c r="D3093" s="167">
        <v>3387.91</v>
      </c>
      <c r="E3093" s="167">
        <v>417.09</v>
      </c>
      <c r="F3093" s="167">
        <v>2834.48</v>
      </c>
      <c r="G3093" s="167">
        <v>136.34</v>
      </c>
      <c r="H3093" s="168">
        <v>19834.740000000002</v>
      </c>
      <c r="I3093" s="168">
        <v>4796.68</v>
      </c>
      <c r="J3093" s="168">
        <v>14389.74</v>
      </c>
      <c r="K3093" s="168">
        <v>648.32000000000005</v>
      </c>
      <c r="L3093" s="43">
        <v>5.8545652039162794</v>
      </c>
      <c r="M3093" s="43">
        <v>11.500347646790862</v>
      </c>
      <c r="N3093" s="43">
        <v>5.0766772035787868</v>
      </c>
      <c r="O3093" s="43">
        <v>4.7551708962886901</v>
      </c>
      <c r="P3093" s="169"/>
      <c r="Q3093" s="169"/>
      <c r="R3093" s="169">
        <v>2</v>
      </c>
    </row>
    <row r="3094" spans="1:18" ht="12.75" customHeight="1">
      <c r="A3094" s="628" t="s">
        <v>5630</v>
      </c>
      <c r="B3094" s="629"/>
      <c r="C3094" s="629"/>
      <c r="D3094" s="629"/>
      <c r="E3094" s="629"/>
      <c r="F3094" s="629"/>
      <c r="G3094" s="629"/>
      <c r="H3094" s="629"/>
      <c r="I3094" s="629"/>
      <c r="J3094" s="629"/>
      <c r="K3094" s="629"/>
      <c r="L3094" s="629"/>
      <c r="M3094" s="629"/>
      <c r="N3094" s="629"/>
      <c r="O3094" s="629"/>
      <c r="P3094" s="629"/>
      <c r="Q3094" s="629"/>
      <c r="R3094" s="629"/>
    </row>
    <row r="3095" spans="1:18" ht="24">
      <c r="A3095" s="165">
        <v>424</v>
      </c>
      <c r="B3095" s="162" t="s">
        <v>5631</v>
      </c>
      <c r="C3095" s="166" t="s">
        <v>5632</v>
      </c>
      <c r="D3095" s="167">
        <v>1461.73</v>
      </c>
      <c r="E3095" s="167">
        <v>76.180000000000007</v>
      </c>
      <c r="F3095" s="167">
        <v>1384.03</v>
      </c>
      <c r="G3095" s="167">
        <v>1.52</v>
      </c>
      <c r="H3095" s="168">
        <v>8340.2900000000009</v>
      </c>
      <c r="I3095" s="168">
        <v>876.09</v>
      </c>
      <c r="J3095" s="168">
        <v>7446.72</v>
      </c>
      <c r="K3095" s="168">
        <v>17.48</v>
      </c>
      <c r="L3095" s="43">
        <v>5.7057664548172378</v>
      </c>
      <c r="M3095" s="43">
        <v>11.500262536098713</v>
      </c>
      <c r="N3095" s="43">
        <v>5.3804614061833922</v>
      </c>
      <c r="O3095" s="43">
        <v>11.5</v>
      </c>
      <c r="P3095" s="169"/>
      <c r="Q3095" s="169"/>
      <c r="R3095" s="169">
        <v>3</v>
      </c>
    </row>
    <row r="3096" spans="1:18" ht="24">
      <c r="A3096" s="165">
        <v>425</v>
      </c>
      <c r="B3096" s="162" t="s">
        <v>5633</v>
      </c>
      <c r="C3096" s="166" t="s">
        <v>5634</v>
      </c>
      <c r="D3096" s="167">
        <v>425.8</v>
      </c>
      <c r="E3096" s="167">
        <v>28.61</v>
      </c>
      <c r="F3096" s="167">
        <v>396.62</v>
      </c>
      <c r="G3096" s="167">
        <v>0.56999999999999995</v>
      </c>
      <c r="H3096" s="168">
        <v>2469.63</v>
      </c>
      <c r="I3096" s="168">
        <v>329.03</v>
      </c>
      <c r="J3096" s="168">
        <v>2134.04</v>
      </c>
      <c r="K3096" s="168">
        <v>6.56</v>
      </c>
      <c r="L3096" s="43">
        <v>5.799976514795679</v>
      </c>
      <c r="M3096" s="43">
        <v>11.500524292205522</v>
      </c>
      <c r="N3096" s="43">
        <v>5.3805657808481673</v>
      </c>
      <c r="O3096" s="43">
        <v>11.508771929824562</v>
      </c>
      <c r="P3096" s="169"/>
      <c r="Q3096" s="169"/>
      <c r="R3096" s="169">
        <v>3</v>
      </c>
    </row>
    <row r="3097" spans="1:18" ht="12.75" customHeight="1">
      <c r="A3097" s="628" t="s">
        <v>5635</v>
      </c>
      <c r="B3097" s="629"/>
      <c r="C3097" s="629"/>
      <c r="D3097" s="629"/>
      <c r="E3097" s="629"/>
      <c r="F3097" s="629"/>
      <c r="G3097" s="629"/>
      <c r="H3097" s="629"/>
      <c r="I3097" s="629"/>
      <c r="J3097" s="629"/>
      <c r="K3097" s="629"/>
      <c r="L3097" s="629"/>
      <c r="M3097" s="629"/>
      <c r="N3097" s="629"/>
      <c r="O3097" s="629"/>
      <c r="P3097" s="629"/>
      <c r="Q3097" s="629"/>
      <c r="R3097" s="629"/>
    </row>
    <row r="3098" spans="1:18" ht="24">
      <c r="A3098" s="165">
        <v>426</v>
      </c>
      <c r="B3098" s="162" t="s">
        <v>5636</v>
      </c>
      <c r="C3098" s="166" t="s">
        <v>5637</v>
      </c>
      <c r="D3098" s="167">
        <v>1252.31</v>
      </c>
      <c r="E3098" s="167">
        <v>74.8</v>
      </c>
      <c r="F3098" s="167">
        <v>1176.01</v>
      </c>
      <c r="G3098" s="167">
        <v>1.5</v>
      </c>
      <c r="H3098" s="168">
        <v>7204.96</v>
      </c>
      <c r="I3098" s="168">
        <v>860.23</v>
      </c>
      <c r="J3098" s="168">
        <v>6327.48</v>
      </c>
      <c r="K3098" s="168">
        <v>17.25</v>
      </c>
      <c r="L3098" s="43">
        <v>5.7533358353762249</v>
      </c>
      <c r="M3098" s="43">
        <v>11.500401069518718</v>
      </c>
      <c r="N3098" s="43">
        <v>5.3804644518328919</v>
      </c>
      <c r="O3098" s="43">
        <v>11.5</v>
      </c>
      <c r="P3098" s="169"/>
      <c r="Q3098" s="169"/>
      <c r="R3098" s="169">
        <v>4</v>
      </c>
    </row>
    <row r="3099" spans="1:18" ht="24">
      <c r="A3099" s="165">
        <v>427</v>
      </c>
      <c r="B3099" s="162" t="s">
        <v>5638</v>
      </c>
      <c r="C3099" s="166" t="s">
        <v>5639</v>
      </c>
      <c r="D3099" s="167">
        <v>744.34</v>
      </c>
      <c r="E3099" s="167">
        <v>39.07</v>
      </c>
      <c r="F3099" s="167">
        <v>704.49</v>
      </c>
      <c r="G3099" s="167">
        <v>0.78</v>
      </c>
      <c r="H3099" s="168">
        <v>4248.76</v>
      </c>
      <c r="I3099" s="168">
        <v>449.28</v>
      </c>
      <c r="J3099" s="168">
        <v>3790.51</v>
      </c>
      <c r="K3099" s="168">
        <v>8.9700000000000006</v>
      </c>
      <c r="L3099" s="43">
        <v>5.7080903888008168</v>
      </c>
      <c r="M3099" s="43">
        <v>11.499360122856411</v>
      </c>
      <c r="N3099" s="43">
        <v>5.3805022072705082</v>
      </c>
      <c r="O3099" s="43">
        <v>11.5</v>
      </c>
      <c r="P3099" s="169"/>
      <c r="Q3099" s="169"/>
      <c r="R3099" s="169">
        <v>4</v>
      </c>
    </row>
    <row r="3100" spans="1:18" ht="24">
      <c r="A3100" s="165">
        <v>428</v>
      </c>
      <c r="B3100" s="162" t="s">
        <v>5640</v>
      </c>
      <c r="C3100" s="166" t="s">
        <v>5641</v>
      </c>
      <c r="D3100" s="167">
        <v>1556.93</v>
      </c>
      <c r="E3100" s="167">
        <v>82.5</v>
      </c>
      <c r="F3100" s="167">
        <v>1472.78</v>
      </c>
      <c r="G3100" s="167">
        <v>1.65</v>
      </c>
      <c r="H3100" s="168">
        <v>8892.02</v>
      </c>
      <c r="I3100" s="168">
        <v>948.77</v>
      </c>
      <c r="J3100" s="168">
        <v>7924.27</v>
      </c>
      <c r="K3100" s="168">
        <v>18.98</v>
      </c>
      <c r="L3100" s="43">
        <v>5.7112522720995802</v>
      </c>
      <c r="M3100" s="43">
        <v>11.500242424242424</v>
      </c>
      <c r="N3100" s="43">
        <v>5.3804845258626548</v>
      </c>
      <c r="O3100" s="43">
        <v>11.503030303030304</v>
      </c>
      <c r="P3100" s="169"/>
      <c r="Q3100" s="169"/>
      <c r="R3100" s="169">
        <v>4</v>
      </c>
    </row>
    <row r="3101" spans="1:18" ht="24">
      <c r="A3101" s="165">
        <v>429</v>
      </c>
      <c r="B3101" s="162" t="s">
        <v>5642</v>
      </c>
      <c r="C3101" s="166" t="s">
        <v>5643</v>
      </c>
      <c r="D3101" s="167">
        <v>778.45</v>
      </c>
      <c r="E3101" s="167">
        <v>39.869999999999997</v>
      </c>
      <c r="F3101" s="167">
        <v>737.78</v>
      </c>
      <c r="G3101" s="167">
        <v>0.8</v>
      </c>
      <c r="H3101" s="168">
        <v>4437.33</v>
      </c>
      <c r="I3101" s="168">
        <v>458.53</v>
      </c>
      <c r="J3101" s="168">
        <v>3969.6</v>
      </c>
      <c r="K3101" s="168">
        <v>9.1999999999999993</v>
      </c>
      <c r="L3101" s="43">
        <v>5.7002119596634335</v>
      </c>
      <c r="M3101" s="43">
        <v>11.500627037873087</v>
      </c>
      <c r="N3101" s="43">
        <v>5.3804657214887905</v>
      </c>
      <c r="O3101" s="43">
        <v>11.499999999999998</v>
      </c>
      <c r="P3101" s="169"/>
      <c r="Q3101" s="169"/>
      <c r="R3101" s="169">
        <v>4</v>
      </c>
    </row>
    <row r="3102" spans="1:18" ht="12.75" customHeight="1">
      <c r="A3102" s="628" t="s">
        <v>5644</v>
      </c>
      <c r="B3102" s="629"/>
      <c r="C3102" s="629"/>
      <c r="D3102" s="629"/>
      <c r="E3102" s="629"/>
      <c r="F3102" s="629"/>
      <c r="G3102" s="629"/>
      <c r="H3102" s="629"/>
      <c r="I3102" s="629"/>
      <c r="J3102" s="629"/>
      <c r="K3102" s="629"/>
      <c r="L3102" s="629"/>
      <c r="M3102" s="629"/>
      <c r="N3102" s="629"/>
      <c r="O3102" s="629"/>
      <c r="P3102" s="629"/>
      <c r="Q3102" s="629"/>
      <c r="R3102" s="629"/>
    </row>
    <row r="3103" spans="1:18" ht="24">
      <c r="A3103" s="165">
        <v>430</v>
      </c>
      <c r="B3103" s="162" t="s">
        <v>5645</v>
      </c>
      <c r="C3103" s="166" t="s">
        <v>5646</v>
      </c>
      <c r="D3103" s="167">
        <v>140.63999999999999</v>
      </c>
      <c r="E3103" s="167">
        <v>137.88</v>
      </c>
      <c r="F3103" s="167"/>
      <c r="G3103" s="167">
        <v>2.76</v>
      </c>
      <c r="H3103" s="168">
        <v>1617.42</v>
      </c>
      <c r="I3103" s="168">
        <v>1585.68</v>
      </c>
      <c r="J3103" s="168"/>
      <c r="K3103" s="168">
        <v>31.74</v>
      </c>
      <c r="L3103" s="43">
        <v>11.500426621160411</v>
      </c>
      <c r="M3103" s="43">
        <v>11.500435161009575</v>
      </c>
      <c r="N3103" s="43" t="s">
        <v>1690</v>
      </c>
      <c r="O3103" s="43">
        <v>11.5</v>
      </c>
      <c r="P3103" s="169"/>
      <c r="Q3103" s="169"/>
      <c r="R3103" s="169">
        <v>5</v>
      </c>
    </row>
    <row r="3104" spans="1:18" ht="24">
      <c r="A3104" s="165">
        <v>431</v>
      </c>
      <c r="B3104" s="162" t="s">
        <v>5647</v>
      </c>
      <c r="C3104" s="166" t="s">
        <v>5648</v>
      </c>
      <c r="D3104" s="167">
        <v>152.36000000000001</v>
      </c>
      <c r="E3104" s="167">
        <v>149.37</v>
      </c>
      <c r="F3104" s="167"/>
      <c r="G3104" s="167">
        <v>2.99</v>
      </c>
      <c r="H3104" s="168">
        <v>1752.21</v>
      </c>
      <c r="I3104" s="168">
        <v>1717.82</v>
      </c>
      <c r="J3104" s="168"/>
      <c r="K3104" s="168">
        <v>34.39</v>
      </c>
      <c r="L3104" s="43">
        <v>11.500459438172747</v>
      </c>
      <c r="M3104" s="43">
        <v>11.500435161009573</v>
      </c>
      <c r="N3104" s="43" t="s">
        <v>1690</v>
      </c>
      <c r="O3104" s="43">
        <v>11.501672240802675</v>
      </c>
      <c r="P3104" s="169"/>
      <c r="Q3104" s="169"/>
      <c r="R3104" s="169">
        <v>5</v>
      </c>
    </row>
    <row r="3105" spans="1:18" ht="24">
      <c r="A3105" s="165">
        <v>432</v>
      </c>
      <c r="B3105" s="162" t="s">
        <v>5649</v>
      </c>
      <c r="C3105" s="166" t="s">
        <v>5650</v>
      </c>
      <c r="D3105" s="167">
        <v>178.14</v>
      </c>
      <c r="E3105" s="167">
        <v>174.65</v>
      </c>
      <c r="F3105" s="167"/>
      <c r="G3105" s="167">
        <v>3.49</v>
      </c>
      <c r="H3105" s="168">
        <v>2048.67</v>
      </c>
      <c r="I3105" s="168">
        <v>2008.53</v>
      </c>
      <c r="J3105" s="168"/>
      <c r="K3105" s="168">
        <v>40.14</v>
      </c>
      <c r="L3105" s="43">
        <v>11.500336813742003</v>
      </c>
      <c r="M3105" s="43">
        <v>11.500314915545376</v>
      </c>
      <c r="N3105" s="43" t="s">
        <v>1690</v>
      </c>
      <c r="O3105" s="43">
        <v>11.501432664756447</v>
      </c>
      <c r="P3105" s="169"/>
      <c r="Q3105" s="169"/>
      <c r="R3105" s="169">
        <v>5</v>
      </c>
    </row>
    <row r="3106" spans="1:18" ht="24">
      <c r="A3106" s="165">
        <v>433</v>
      </c>
      <c r="B3106" s="162" t="s">
        <v>5651</v>
      </c>
      <c r="C3106" s="166" t="s">
        <v>5652</v>
      </c>
      <c r="D3106" s="167">
        <v>200.41</v>
      </c>
      <c r="E3106" s="167">
        <v>196.48</v>
      </c>
      <c r="F3106" s="167"/>
      <c r="G3106" s="167">
        <v>3.93</v>
      </c>
      <c r="H3106" s="168">
        <v>2304.79</v>
      </c>
      <c r="I3106" s="168">
        <v>2259.59</v>
      </c>
      <c r="J3106" s="168"/>
      <c r="K3106" s="168">
        <v>45.2</v>
      </c>
      <c r="L3106" s="43">
        <v>11.500374232822713</v>
      </c>
      <c r="M3106" s="43">
        <v>11.500356270358308</v>
      </c>
      <c r="N3106" s="43" t="s">
        <v>1690</v>
      </c>
      <c r="O3106" s="43">
        <v>11.501272264631044</v>
      </c>
      <c r="P3106" s="169"/>
      <c r="Q3106" s="169"/>
      <c r="R3106" s="169">
        <v>5</v>
      </c>
    </row>
    <row r="3107" spans="1:18" ht="24">
      <c r="A3107" s="165">
        <v>434</v>
      </c>
      <c r="B3107" s="162" t="s">
        <v>5653</v>
      </c>
      <c r="C3107" s="166" t="s">
        <v>5654</v>
      </c>
      <c r="D3107" s="167">
        <v>221.5</v>
      </c>
      <c r="E3107" s="167">
        <v>217.16</v>
      </c>
      <c r="F3107" s="167"/>
      <c r="G3107" s="167">
        <v>4.34</v>
      </c>
      <c r="H3107" s="168">
        <v>2547.36</v>
      </c>
      <c r="I3107" s="168">
        <v>2497.4499999999998</v>
      </c>
      <c r="J3107" s="168"/>
      <c r="K3107" s="168">
        <v>49.91</v>
      </c>
      <c r="L3107" s="43">
        <v>11.500496613995486</v>
      </c>
      <c r="M3107" s="43">
        <v>11.500506538957451</v>
      </c>
      <c r="N3107" s="43" t="s">
        <v>1690</v>
      </c>
      <c r="O3107" s="43">
        <v>11.5</v>
      </c>
      <c r="P3107" s="169"/>
      <c r="Q3107" s="169"/>
      <c r="R3107" s="169">
        <v>5</v>
      </c>
    </row>
    <row r="3108" spans="1:18" ht="24">
      <c r="A3108" s="165">
        <v>435</v>
      </c>
      <c r="B3108" s="162" t="s">
        <v>5655</v>
      </c>
      <c r="C3108" s="166" t="s">
        <v>5656</v>
      </c>
      <c r="D3108" s="167">
        <v>332.85</v>
      </c>
      <c r="E3108" s="167">
        <v>326.32</v>
      </c>
      <c r="F3108" s="167"/>
      <c r="G3108" s="167">
        <v>6.53</v>
      </c>
      <c r="H3108" s="168">
        <v>3827.88</v>
      </c>
      <c r="I3108" s="168">
        <v>3752.78</v>
      </c>
      <c r="J3108" s="168"/>
      <c r="K3108" s="168">
        <v>75.099999999999994</v>
      </c>
      <c r="L3108" s="43">
        <v>11.500315457413249</v>
      </c>
      <c r="M3108" s="43">
        <v>11.50030644765874</v>
      </c>
      <c r="N3108" s="43" t="s">
        <v>1690</v>
      </c>
      <c r="O3108" s="43">
        <v>11.500765696784072</v>
      </c>
      <c r="P3108" s="169"/>
      <c r="Q3108" s="169"/>
      <c r="R3108" s="169">
        <v>5</v>
      </c>
    </row>
    <row r="3109" spans="1:18" ht="24">
      <c r="A3109" s="165">
        <v>436</v>
      </c>
      <c r="B3109" s="162" t="s">
        <v>5657</v>
      </c>
      <c r="C3109" s="166" t="s">
        <v>5658</v>
      </c>
      <c r="D3109" s="167">
        <v>445.35</v>
      </c>
      <c r="E3109" s="167">
        <v>436.62</v>
      </c>
      <c r="F3109" s="167"/>
      <c r="G3109" s="167">
        <v>8.73</v>
      </c>
      <c r="H3109" s="168">
        <v>5121.72</v>
      </c>
      <c r="I3109" s="168">
        <v>5021.32</v>
      </c>
      <c r="J3109" s="168"/>
      <c r="K3109" s="168">
        <v>100.4</v>
      </c>
      <c r="L3109" s="43">
        <v>11.5004378578646</v>
      </c>
      <c r="M3109" s="43">
        <v>11.500435161009573</v>
      </c>
      <c r="N3109" s="43" t="s">
        <v>1690</v>
      </c>
      <c r="O3109" s="43">
        <v>11.50057273768614</v>
      </c>
      <c r="P3109" s="169"/>
      <c r="Q3109" s="169"/>
      <c r="R3109" s="169">
        <v>5</v>
      </c>
    </row>
    <row r="3110" spans="1:18" ht="24">
      <c r="A3110" s="165">
        <v>437</v>
      </c>
      <c r="B3110" s="162" t="s">
        <v>5659</v>
      </c>
      <c r="C3110" s="166" t="s">
        <v>5660</v>
      </c>
      <c r="D3110" s="167">
        <v>679.75</v>
      </c>
      <c r="E3110" s="167">
        <v>666.42</v>
      </c>
      <c r="F3110" s="167"/>
      <c r="G3110" s="167">
        <v>13.33</v>
      </c>
      <c r="H3110" s="168">
        <v>7817.42</v>
      </c>
      <c r="I3110" s="168">
        <v>7664.12</v>
      </c>
      <c r="J3110" s="168"/>
      <c r="K3110" s="168">
        <v>153.30000000000001</v>
      </c>
      <c r="L3110" s="43">
        <v>11.500433983082015</v>
      </c>
      <c r="M3110" s="43">
        <v>11.500435161009575</v>
      </c>
      <c r="N3110" s="43" t="s">
        <v>1690</v>
      </c>
      <c r="O3110" s="43">
        <v>11.500375093773444</v>
      </c>
      <c r="P3110" s="169"/>
      <c r="Q3110" s="169"/>
      <c r="R3110" s="169">
        <v>5</v>
      </c>
    </row>
    <row r="3111" spans="1:18" ht="12.75" customHeight="1">
      <c r="A3111" s="628" t="s">
        <v>5661</v>
      </c>
      <c r="B3111" s="629"/>
      <c r="C3111" s="629"/>
      <c r="D3111" s="629"/>
      <c r="E3111" s="629"/>
      <c r="F3111" s="629"/>
      <c r="G3111" s="629"/>
      <c r="H3111" s="629"/>
      <c r="I3111" s="629"/>
      <c r="J3111" s="629"/>
      <c r="K3111" s="629"/>
      <c r="L3111" s="629"/>
      <c r="M3111" s="629"/>
      <c r="N3111" s="629"/>
      <c r="O3111" s="629"/>
      <c r="P3111" s="629"/>
      <c r="Q3111" s="629"/>
      <c r="R3111" s="629"/>
    </row>
    <row r="3112" spans="1:18" ht="24">
      <c r="A3112" s="165">
        <v>438</v>
      </c>
      <c r="B3112" s="162" t="s">
        <v>5662</v>
      </c>
      <c r="C3112" s="166" t="s">
        <v>5663</v>
      </c>
      <c r="D3112" s="167">
        <v>556.99</v>
      </c>
      <c r="E3112" s="167">
        <v>84.11</v>
      </c>
      <c r="F3112" s="167">
        <v>373.84</v>
      </c>
      <c r="G3112" s="167">
        <v>99.04</v>
      </c>
      <c r="H3112" s="168">
        <v>3262.37</v>
      </c>
      <c r="I3112" s="168">
        <v>967.26</v>
      </c>
      <c r="J3112" s="168">
        <v>1824.79</v>
      </c>
      <c r="K3112" s="168">
        <v>470.32</v>
      </c>
      <c r="L3112" s="43">
        <v>5.8571428571428568</v>
      </c>
      <c r="M3112" s="43">
        <v>11.499940554036382</v>
      </c>
      <c r="N3112" s="43">
        <v>4.8812058634710036</v>
      </c>
      <c r="O3112" s="43">
        <v>4.7487883683360259</v>
      </c>
      <c r="P3112" s="169"/>
      <c r="Q3112" s="169"/>
      <c r="R3112" s="169">
        <v>6</v>
      </c>
    </row>
    <row r="3113" spans="1:18" ht="24">
      <c r="A3113" s="165">
        <v>439</v>
      </c>
      <c r="B3113" s="162" t="s">
        <v>5664</v>
      </c>
      <c r="C3113" s="166" t="s">
        <v>5665</v>
      </c>
      <c r="D3113" s="167">
        <v>637.91999999999996</v>
      </c>
      <c r="E3113" s="167">
        <v>95.25</v>
      </c>
      <c r="F3113" s="167">
        <v>443.4</v>
      </c>
      <c r="G3113" s="167">
        <v>99.27</v>
      </c>
      <c r="H3113" s="168">
        <v>3747.86</v>
      </c>
      <c r="I3113" s="168">
        <v>1095.44</v>
      </c>
      <c r="J3113" s="168">
        <v>2179.4499999999998</v>
      </c>
      <c r="K3113" s="168">
        <v>472.97</v>
      </c>
      <c r="L3113" s="43">
        <v>5.8751254075746182</v>
      </c>
      <c r="M3113" s="43">
        <v>11.500682414698163</v>
      </c>
      <c r="N3113" s="43">
        <v>4.91531348669373</v>
      </c>
      <c r="O3113" s="43">
        <v>4.7644807091769925</v>
      </c>
      <c r="P3113" s="169"/>
      <c r="Q3113" s="169"/>
      <c r="R3113" s="169">
        <v>6</v>
      </c>
    </row>
    <row r="3114" spans="1:18" ht="24">
      <c r="A3114" s="165">
        <v>440</v>
      </c>
      <c r="B3114" s="162" t="s">
        <v>5666</v>
      </c>
      <c r="C3114" s="166" t="s">
        <v>5667</v>
      </c>
      <c r="D3114" s="167">
        <v>848.14</v>
      </c>
      <c r="E3114" s="167">
        <v>106.86</v>
      </c>
      <c r="F3114" s="167">
        <v>641.78</v>
      </c>
      <c r="G3114" s="167">
        <v>99.5</v>
      </c>
      <c r="H3114" s="168">
        <v>4932.75</v>
      </c>
      <c r="I3114" s="168">
        <v>1228.9000000000001</v>
      </c>
      <c r="J3114" s="168">
        <v>3228.24</v>
      </c>
      <c r="K3114" s="168">
        <v>475.61</v>
      </c>
      <c r="L3114" s="43">
        <v>5.8159619874077393</v>
      </c>
      <c r="M3114" s="43">
        <v>11.500093580385553</v>
      </c>
      <c r="N3114" s="43">
        <v>5.0301349372058963</v>
      </c>
      <c r="O3114" s="43">
        <v>4.78</v>
      </c>
      <c r="P3114" s="169"/>
      <c r="Q3114" s="169"/>
      <c r="R3114" s="169">
        <v>6</v>
      </c>
    </row>
    <row r="3115" spans="1:18" ht="24">
      <c r="A3115" s="165">
        <v>441</v>
      </c>
      <c r="B3115" s="162" t="s">
        <v>5668</v>
      </c>
      <c r="C3115" s="166" t="s">
        <v>5669</v>
      </c>
      <c r="D3115" s="167">
        <v>1130.1500000000001</v>
      </c>
      <c r="E3115" s="167">
        <v>147.07</v>
      </c>
      <c r="F3115" s="167">
        <v>882.78</v>
      </c>
      <c r="G3115" s="167">
        <v>100.3</v>
      </c>
      <c r="H3115" s="168">
        <v>6621.46</v>
      </c>
      <c r="I3115" s="168">
        <v>1691.39</v>
      </c>
      <c r="J3115" s="168">
        <v>4445.26</v>
      </c>
      <c r="K3115" s="168">
        <v>484.81</v>
      </c>
      <c r="L3115" s="43">
        <v>5.8589213821174173</v>
      </c>
      <c r="M3115" s="43">
        <v>11.50057795607534</v>
      </c>
      <c r="N3115" s="43">
        <v>5.035524139649743</v>
      </c>
      <c r="O3115" s="43">
        <v>4.833599202392822</v>
      </c>
      <c r="P3115" s="169"/>
      <c r="Q3115" s="169"/>
      <c r="R3115" s="169">
        <v>6</v>
      </c>
    </row>
    <row r="3116" spans="1:18" ht="24">
      <c r="A3116" s="165">
        <v>442</v>
      </c>
      <c r="B3116" s="162" t="s">
        <v>5670</v>
      </c>
      <c r="C3116" s="166" t="s">
        <v>5671</v>
      </c>
      <c r="D3116" s="167">
        <v>1436.31</v>
      </c>
      <c r="E3116" s="167">
        <v>172.35</v>
      </c>
      <c r="F3116" s="167">
        <v>1163.1500000000001</v>
      </c>
      <c r="G3116" s="167">
        <v>100.81</v>
      </c>
      <c r="H3116" s="168">
        <v>8379.65</v>
      </c>
      <c r="I3116" s="168">
        <v>1982.1</v>
      </c>
      <c r="J3116" s="168">
        <v>5906.87</v>
      </c>
      <c r="K3116" s="168">
        <v>490.68</v>
      </c>
      <c r="L3116" s="43">
        <v>5.8341514018561451</v>
      </c>
      <c r="M3116" s="43">
        <v>11.500435161009573</v>
      </c>
      <c r="N3116" s="43">
        <v>5.0783389932510845</v>
      </c>
      <c r="O3116" s="43">
        <v>4.8673742684257517</v>
      </c>
      <c r="P3116" s="169"/>
      <c r="Q3116" s="169"/>
      <c r="R3116" s="169">
        <v>6</v>
      </c>
    </row>
    <row r="3117" spans="1:18" ht="24">
      <c r="A3117" s="165">
        <v>443</v>
      </c>
      <c r="B3117" s="162" t="s">
        <v>5672</v>
      </c>
      <c r="C3117" s="166" t="s">
        <v>5673</v>
      </c>
      <c r="D3117" s="167">
        <v>1752.96</v>
      </c>
      <c r="E3117" s="167">
        <v>193.03</v>
      </c>
      <c r="F3117" s="167">
        <v>1458.71</v>
      </c>
      <c r="G3117" s="167">
        <v>101.22</v>
      </c>
      <c r="H3117" s="168">
        <v>10184.11</v>
      </c>
      <c r="I3117" s="168">
        <v>2219.9499999999998</v>
      </c>
      <c r="J3117" s="168">
        <v>7468.77</v>
      </c>
      <c r="K3117" s="168">
        <v>495.39</v>
      </c>
      <c r="L3117" s="43">
        <v>5.80966479554582</v>
      </c>
      <c r="M3117" s="43">
        <v>11.500543956897891</v>
      </c>
      <c r="N3117" s="43">
        <v>5.1201198319062735</v>
      </c>
      <c r="O3117" s="43">
        <v>4.8941908713692941</v>
      </c>
      <c r="P3117" s="169"/>
      <c r="Q3117" s="169"/>
      <c r="R3117" s="169">
        <v>6</v>
      </c>
    </row>
    <row r="3118" spans="1:18" ht="24">
      <c r="A3118" s="165">
        <v>444</v>
      </c>
      <c r="B3118" s="162" t="s">
        <v>5674</v>
      </c>
      <c r="C3118" s="166" t="s">
        <v>5675</v>
      </c>
      <c r="D3118" s="167">
        <v>2124.92</v>
      </c>
      <c r="E3118" s="167">
        <v>234.4</v>
      </c>
      <c r="F3118" s="167">
        <v>1788.47</v>
      </c>
      <c r="G3118" s="167">
        <v>102.05</v>
      </c>
      <c r="H3118" s="168">
        <v>12363.93</v>
      </c>
      <c r="I3118" s="168">
        <v>2695.66</v>
      </c>
      <c r="J3118" s="168">
        <v>9163.33</v>
      </c>
      <c r="K3118" s="168">
        <v>504.94</v>
      </c>
      <c r="L3118" s="43">
        <v>5.8185390508819159</v>
      </c>
      <c r="M3118" s="43">
        <v>11.500255972696245</v>
      </c>
      <c r="N3118" s="43">
        <v>5.1235581251013436</v>
      </c>
      <c r="O3118" s="43">
        <v>4.9479666829985298</v>
      </c>
      <c r="P3118" s="169"/>
      <c r="Q3118" s="169"/>
      <c r="R3118" s="169">
        <v>6</v>
      </c>
    </row>
    <row r="3119" spans="1:18" ht="24">
      <c r="A3119" s="165">
        <v>445</v>
      </c>
      <c r="B3119" s="162" t="s">
        <v>5676</v>
      </c>
      <c r="C3119" s="166" t="s">
        <v>5677</v>
      </c>
      <c r="D3119" s="167">
        <v>2359.13</v>
      </c>
      <c r="E3119" s="167">
        <v>252.78</v>
      </c>
      <c r="F3119" s="167">
        <v>2003.93</v>
      </c>
      <c r="G3119" s="167">
        <v>102.42</v>
      </c>
      <c r="H3119" s="168">
        <v>13708.34</v>
      </c>
      <c r="I3119" s="168">
        <v>2907.08</v>
      </c>
      <c r="J3119" s="168">
        <v>10292.07</v>
      </c>
      <c r="K3119" s="168">
        <v>509.19</v>
      </c>
      <c r="L3119" s="43">
        <v>5.8107607465463964</v>
      </c>
      <c r="M3119" s="43">
        <v>11.500435161009573</v>
      </c>
      <c r="N3119" s="43">
        <v>5.1359428722560168</v>
      </c>
      <c r="O3119" s="43">
        <v>4.9715875805506737</v>
      </c>
      <c r="P3119" s="169"/>
      <c r="Q3119" s="169"/>
      <c r="R3119" s="169">
        <v>6</v>
      </c>
    </row>
    <row r="3120" spans="1:18" ht="24">
      <c r="A3120" s="165">
        <v>446</v>
      </c>
      <c r="B3120" s="162" t="s">
        <v>5678</v>
      </c>
      <c r="C3120" s="166" t="s">
        <v>5679</v>
      </c>
      <c r="D3120" s="167">
        <v>2623.76</v>
      </c>
      <c r="E3120" s="167">
        <v>273.45999999999998</v>
      </c>
      <c r="F3120" s="167">
        <v>2247.4699999999998</v>
      </c>
      <c r="G3120" s="167">
        <v>102.83</v>
      </c>
      <c r="H3120" s="168">
        <v>15228.5</v>
      </c>
      <c r="I3120" s="168">
        <v>3144.93</v>
      </c>
      <c r="J3120" s="168">
        <v>11569.66</v>
      </c>
      <c r="K3120" s="168">
        <v>513.91</v>
      </c>
      <c r="L3120" s="43">
        <v>5.8040750678415707</v>
      </c>
      <c r="M3120" s="43">
        <v>11.500511957873181</v>
      </c>
      <c r="N3120" s="43">
        <v>5.1478595932315008</v>
      </c>
      <c r="O3120" s="43">
        <v>4.9976660507633959</v>
      </c>
      <c r="P3120" s="169"/>
      <c r="Q3120" s="169"/>
      <c r="R3120" s="169">
        <v>6</v>
      </c>
    </row>
    <row r="3121" spans="1:18" ht="12.75" customHeight="1">
      <c r="A3121" s="628" t="s">
        <v>5680</v>
      </c>
      <c r="B3121" s="629"/>
      <c r="C3121" s="629"/>
      <c r="D3121" s="629"/>
      <c r="E3121" s="629"/>
      <c r="F3121" s="629"/>
      <c r="G3121" s="629"/>
      <c r="H3121" s="629"/>
      <c r="I3121" s="629"/>
      <c r="J3121" s="629"/>
      <c r="K3121" s="629"/>
      <c r="L3121" s="629"/>
      <c r="M3121" s="629"/>
      <c r="N3121" s="629"/>
      <c r="O3121" s="629"/>
      <c r="P3121" s="629"/>
      <c r="Q3121" s="629"/>
      <c r="R3121" s="629"/>
    </row>
    <row r="3122" spans="1:18" ht="24">
      <c r="A3122" s="165">
        <v>447</v>
      </c>
      <c r="B3122" s="162" t="s">
        <v>5681</v>
      </c>
      <c r="C3122" s="166" t="s">
        <v>5682</v>
      </c>
      <c r="D3122" s="167">
        <v>3647.02</v>
      </c>
      <c r="E3122" s="167">
        <v>168.9</v>
      </c>
      <c r="F3122" s="167">
        <v>1397.13</v>
      </c>
      <c r="G3122" s="167">
        <v>2080.9899999999998</v>
      </c>
      <c r="H3122" s="168">
        <v>18725.54</v>
      </c>
      <c r="I3122" s="168">
        <v>1942.46</v>
      </c>
      <c r="J3122" s="168">
        <v>6910.39</v>
      </c>
      <c r="K3122" s="168">
        <v>9872.69</v>
      </c>
      <c r="L3122" s="43">
        <v>5.1344769153994223</v>
      </c>
      <c r="M3122" s="43">
        <v>11.500651272942569</v>
      </c>
      <c r="N3122" s="43">
        <v>4.9461324286215316</v>
      </c>
      <c r="O3122" s="43">
        <v>4.7442275070999864</v>
      </c>
      <c r="P3122" s="169"/>
      <c r="Q3122" s="169"/>
      <c r="R3122" s="169">
        <v>7</v>
      </c>
    </row>
    <row r="3123" spans="1:18" ht="24">
      <c r="A3123" s="165">
        <v>448</v>
      </c>
      <c r="B3123" s="162" t="s">
        <v>5683</v>
      </c>
      <c r="C3123" s="166" t="s">
        <v>5684</v>
      </c>
      <c r="D3123" s="167">
        <v>3885.93</v>
      </c>
      <c r="E3123" s="167">
        <v>191.88</v>
      </c>
      <c r="F3123" s="167">
        <v>1612.6</v>
      </c>
      <c r="G3123" s="167">
        <v>2081.4499999999998</v>
      </c>
      <c r="H3123" s="168">
        <v>20079.12</v>
      </c>
      <c r="I3123" s="168">
        <v>2206.7399999999998</v>
      </c>
      <c r="J3123" s="168">
        <v>7994.4</v>
      </c>
      <c r="K3123" s="168">
        <v>9877.98</v>
      </c>
      <c r="L3123" s="43">
        <v>5.1671337363256669</v>
      </c>
      <c r="M3123" s="43">
        <v>11.500625390869292</v>
      </c>
      <c r="N3123" s="43">
        <v>4.9574600024804667</v>
      </c>
      <c r="O3123" s="43">
        <v>4.7457205313603499</v>
      </c>
      <c r="P3123" s="169"/>
      <c r="Q3123" s="169"/>
      <c r="R3123" s="169">
        <v>7</v>
      </c>
    </row>
    <row r="3124" spans="1:18" ht="24">
      <c r="A3124" s="165">
        <v>449</v>
      </c>
      <c r="B3124" s="162" t="s">
        <v>5685</v>
      </c>
      <c r="C3124" s="166" t="s">
        <v>5686</v>
      </c>
      <c r="D3124" s="167">
        <v>4186.46</v>
      </c>
      <c r="E3124" s="167">
        <v>221.76</v>
      </c>
      <c r="F3124" s="167">
        <v>1882.65</v>
      </c>
      <c r="G3124" s="167">
        <v>2082.0500000000002</v>
      </c>
      <c r="H3124" s="168">
        <v>21781.1</v>
      </c>
      <c r="I3124" s="168">
        <v>2550.3000000000002</v>
      </c>
      <c r="J3124" s="168">
        <v>9345.92</v>
      </c>
      <c r="K3124" s="168">
        <v>9884.8799999999992</v>
      </c>
      <c r="L3124" s="43">
        <v>5.2027488618068727</v>
      </c>
      <c r="M3124" s="43">
        <v>11.500270562770565</v>
      </c>
      <c r="N3124" s="43">
        <v>4.9642365814144958</v>
      </c>
      <c r="O3124" s="43">
        <v>4.7476669628491139</v>
      </c>
      <c r="P3124" s="169"/>
      <c r="Q3124" s="169"/>
      <c r="R3124" s="169">
        <v>7</v>
      </c>
    </row>
    <row r="3125" spans="1:18" ht="24">
      <c r="A3125" s="165">
        <v>450</v>
      </c>
      <c r="B3125" s="162" t="s">
        <v>5687</v>
      </c>
      <c r="C3125" s="166" t="s">
        <v>5688</v>
      </c>
      <c r="D3125" s="167">
        <v>4733.9399999999996</v>
      </c>
      <c r="E3125" s="167">
        <v>267.72000000000003</v>
      </c>
      <c r="F3125" s="167">
        <v>2383.2600000000002</v>
      </c>
      <c r="G3125" s="167">
        <v>2082.96</v>
      </c>
      <c r="H3125" s="168">
        <v>24860.85</v>
      </c>
      <c r="I3125" s="168">
        <v>3078.86</v>
      </c>
      <c r="J3125" s="168">
        <v>11886.64</v>
      </c>
      <c r="K3125" s="168">
        <v>9895.35</v>
      </c>
      <c r="L3125" s="43">
        <v>5.2516191586712129</v>
      </c>
      <c r="M3125" s="43">
        <v>11.500298819662333</v>
      </c>
      <c r="N3125" s="43">
        <v>4.987554861827916</v>
      </c>
      <c r="O3125" s="43">
        <v>4.7506193109805279</v>
      </c>
      <c r="P3125" s="169"/>
      <c r="Q3125" s="169"/>
      <c r="R3125" s="169">
        <v>7</v>
      </c>
    </row>
    <row r="3126" spans="1:18" ht="24">
      <c r="A3126" s="165">
        <v>451</v>
      </c>
      <c r="B3126" s="162" t="s">
        <v>5689</v>
      </c>
      <c r="C3126" s="166" t="s">
        <v>5690</v>
      </c>
      <c r="D3126" s="167">
        <v>5574.87</v>
      </c>
      <c r="E3126" s="167">
        <v>349.3</v>
      </c>
      <c r="F3126" s="167">
        <v>3140.97</v>
      </c>
      <c r="G3126" s="167">
        <v>2084.6</v>
      </c>
      <c r="H3126" s="168">
        <v>29617.45</v>
      </c>
      <c r="I3126" s="168">
        <v>4017.06</v>
      </c>
      <c r="J3126" s="168">
        <v>15686.18</v>
      </c>
      <c r="K3126" s="168">
        <v>9914.2099999999991</v>
      </c>
      <c r="L3126" s="43">
        <v>5.3126709681122612</v>
      </c>
      <c r="M3126" s="43">
        <v>11.500314915545376</v>
      </c>
      <c r="N3126" s="43">
        <v>4.9940559763385197</v>
      </c>
      <c r="O3126" s="43">
        <v>4.7559291950494096</v>
      </c>
      <c r="P3126" s="169"/>
      <c r="Q3126" s="169"/>
      <c r="R3126" s="169">
        <v>7</v>
      </c>
    </row>
    <row r="3127" spans="1:18" ht="24">
      <c r="A3127" s="165">
        <v>452</v>
      </c>
      <c r="B3127" s="162" t="s">
        <v>5691</v>
      </c>
      <c r="C3127" s="166" t="s">
        <v>5692</v>
      </c>
      <c r="D3127" s="167">
        <v>6536.81</v>
      </c>
      <c r="E3127" s="167">
        <v>438.92</v>
      </c>
      <c r="F3127" s="167">
        <v>4011.5</v>
      </c>
      <c r="G3127" s="167">
        <v>2086.39</v>
      </c>
      <c r="H3127" s="168">
        <v>35049.15</v>
      </c>
      <c r="I3127" s="168">
        <v>5047.75</v>
      </c>
      <c r="J3127" s="168">
        <v>20066.61</v>
      </c>
      <c r="K3127" s="168">
        <v>9934.7900000000009</v>
      </c>
      <c r="L3127" s="43">
        <v>5.3618125660681581</v>
      </c>
      <c r="M3127" s="43">
        <v>11.50038731431696</v>
      </c>
      <c r="N3127" s="43">
        <v>5.0022709709584943</v>
      </c>
      <c r="O3127" s="43">
        <v>4.7617128149578942</v>
      </c>
      <c r="P3127" s="169"/>
      <c r="Q3127" s="169"/>
      <c r="R3127" s="169">
        <v>7</v>
      </c>
    </row>
    <row r="3128" spans="1:18" ht="24">
      <c r="A3128" s="165">
        <v>453</v>
      </c>
      <c r="B3128" s="162" t="s">
        <v>5693</v>
      </c>
      <c r="C3128" s="166" t="s">
        <v>5694</v>
      </c>
      <c r="D3128" s="167">
        <v>7794.99</v>
      </c>
      <c r="E3128" s="167">
        <v>557.27</v>
      </c>
      <c r="F3128" s="167">
        <v>5148.96</v>
      </c>
      <c r="G3128" s="167">
        <v>2088.7600000000002</v>
      </c>
      <c r="H3128" s="168">
        <v>42154.879999999997</v>
      </c>
      <c r="I3128" s="168">
        <v>6408.79</v>
      </c>
      <c r="J3128" s="168">
        <v>25784.04</v>
      </c>
      <c r="K3128" s="168">
        <v>9962.0499999999993</v>
      </c>
      <c r="L3128" s="43">
        <v>5.4079453597759581</v>
      </c>
      <c r="M3128" s="43">
        <v>11.500331975523535</v>
      </c>
      <c r="N3128" s="43">
        <v>5.0076209564649954</v>
      </c>
      <c r="O3128" s="43">
        <v>4.7693607690687285</v>
      </c>
      <c r="P3128" s="169"/>
      <c r="Q3128" s="169"/>
      <c r="R3128" s="169">
        <v>7</v>
      </c>
    </row>
    <row r="3129" spans="1:18" ht="24">
      <c r="A3129" s="165">
        <v>454</v>
      </c>
      <c r="B3129" s="162" t="s">
        <v>5695</v>
      </c>
      <c r="C3129" s="166" t="s">
        <v>5696</v>
      </c>
      <c r="D3129" s="167">
        <v>9207.7199999999993</v>
      </c>
      <c r="E3129" s="167">
        <v>697.44</v>
      </c>
      <c r="F3129" s="167">
        <v>6418.72</v>
      </c>
      <c r="G3129" s="167">
        <v>2091.56</v>
      </c>
      <c r="H3129" s="168">
        <v>50149.35</v>
      </c>
      <c r="I3129" s="168">
        <v>8020.9</v>
      </c>
      <c r="J3129" s="168">
        <v>32134.2</v>
      </c>
      <c r="K3129" s="168">
        <v>9994.25</v>
      </c>
      <c r="L3129" s="43">
        <v>5.4464460257262388</v>
      </c>
      <c r="M3129" s="43">
        <v>11.500487497132369</v>
      </c>
      <c r="N3129" s="43">
        <v>5.0063252486477055</v>
      </c>
      <c r="O3129" s="43">
        <v>4.77837116793207</v>
      </c>
      <c r="P3129" s="169"/>
      <c r="Q3129" s="169"/>
      <c r="R3129" s="169">
        <v>7</v>
      </c>
    </row>
    <row r="3130" spans="1:18" ht="24">
      <c r="A3130" s="165">
        <v>455</v>
      </c>
      <c r="B3130" s="162" t="s">
        <v>5697</v>
      </c>
      <c r="C3130" s="166" t="s">
        <v>5698</v>
      </c>
      <c r="D3130" s="167">
        <v>10677.87</v>
      </c>
      <c r="E3130" s="167">
        <v>847.96</v>
      </c>
      <c r="F3130" s="167">
        <v>7735.34</v>
      </c>
      <c r="G3130" s="167">
        <v>2094.5700000000002</v>
      </c>
      <c r="H3130" s="168">
        <v>58470.95</v>
      </c>
      <c r="I3130" s="168">
        <v>9751.93</v>
      </c>
      <c r="J3130" s="168">
        <v>38690.160000000003</v>
      </c>
      <c r="K3130" s="168">
        <v>10028.86</v>
      </c>
      <c r="L3130" s="43">
        <v>5.4759001561172775</v>
      </c>
      <c r="M3130" s="43">
        <v>11.500459927355063</v>
      </c>
      <c r="N3130" s="43">
        <v>5.0017400657243254</v>
      </c>
      <c r="O3130" s="43">
        <v>4.7880280916846898</v>
      </c>
      <c r="P3130" s="169"/>
      <c r="Q3130" s="169"/>
      <c r="R3130" s="169">
        <v>7</v>
      </c>
    </row>
    <row r="3131" spans="1:18" ht="24">
      <c r="A3131" s="165">
        <v>456</v>
      </c>
      <c r="B3131" s="162" t="s">
        <v>5699</v>
      </c>
      <c r="C3131" s="166" t="s">
        <v>5700</v>
      </c>
      <c r="D3131" s="167">
        <v>12510.36</v>
      </c>
      <c r="E3131" s="167">
        <v>1042.1400000000001</v>
      </c>
      <c r="F3131" s="167">
        <v>9369.77</v>
      </c>
      <c r="G3131" s="167">
        <v>2098.4499999999998</v>
      </c>
      <c r="H3131" s="168">
        <v>68889.399999999994</v>
      </c>
      <c r="I3131" s="168">
        <v>11985.1</v>
      </c>
      <c r="J3131" s="168">
        <v>46830.82</v>
      </c>
      <c r="K3131" s="168">
        <v>10073.48</v>
      </c>
      <c r="L3131" s="43">
        <v>5.5065881397497742</v>
      </c>
      <c r="M3131" s="43">
        <v>11.500470186347323</v>
      </c>
      <c r="N3131" s="43">
        <v>4.9980757265119635</v>
      </c>
      <c r="O3131" s="43">
        <v>4.8004384188329485</v>
      </c>
      <c r="P3131" s="169"/>
      <c r="Q3131" s="169"/>
      <c r="R3131" s="169">
        <v>7</v>
      </c>
    </row>
    <row r="3132" spans="1:18" ht="12.75" customHeight="1">
      <c r="A3132" s="628" t="s">
        <v>5701</v>
      </c>
      <c r="B3132" s="629"/>
      <c r="C3132" s="629"/>
      <c r="D3132" s="629"/>
      <c r="E3132" s="629"/>
      <c r="F3132" s="629"/>
      <c r="G3132" s="629"/>
      <c r="H3132" s="629"/>
      <c r="I3132" s="629"/>
      <c r="J3132" s="629"/>
      <c r="K3132" s="629"/>
      <c r="L3132" s="629"/>
      <c r="M3132" s="629"/>
      <c r="N3132" s="629"/>
      <c r="O3132" s="629"/>
      <c r="P3132" s="629"/>
      <c r="Q3132" s="629"/>
      <c r="R3132" s="629"/>
    </row>
    <row r="3133" spans="1:18" ht="36">
      <c r="A3133" s="165">
        <v>457</v>
      </c>
      <c r="B3133" s="162" t="s">
        <v>5702</v>
      </c>
      <c r="C3133" s="166" t="s">
        <v>5703</v>
      </c>
      <c r="D3133" s="167">
        <v>765.16</v>
      </c>
      <c r="E3133" s="167">
        <v>133.28</v>
      </c>
      <c r="F3133" s="167">
        <v>485.49</v>
      </c>
      <c r="G3133" s="167">
        <v>146.38999999999999</v>
      </c>
      <c r="H3133" s="168">
        <v>4304.0200000000004</v>
      </c>
      <c r="I3133" s="168">
        <v>1532.82</v>
      </c>
      <c r="J3133" s="168">
        <v>2312.0100000000002</v>
      </c>
      <c r="K3133" s="168">
        <v>459.19</v>
      </c>
      <c r="L3133" s="43">
        <v>5.6249934654189984</v>
      </c>
      <c r="M3133" s="43">
        <v>11.500750300120048</v>
      </c>
      <c r="N3133" s="43">
        <v>4.7622196131743193</v>
      </c>
      <c r="O3133" s="43">
        <v>3.1367579752715353</v>
      </c>
      <c r="P3133" s="169"/>
      <c r="Q3133" s="169"/>
      <c r="R3133" s="169">
        <v>8</v>
      </c>
    </row>
    <row r="3134" spans="1:18" ht="36">
      <c r="A3134" s="165">
        <v>458</v>
      </c>
      <c r="B3134" s="162" t="s">
        <v>5704</v>
      </c>
      <c r="C3134" s="166" t="s">
        <v>5705</v>
      </c>
      <c r="D3134" s="167">
        <v>999.24</v>
      </c>
      <c r="E3134" s="167">
        <v>176.95</v>
      </c>
      <c r="F3134" s="167">
        <v>675.79</v>
      </c>
      <c r="G3134" s="167">
        <v>146.5</v>
      </c>
      <c r="H3134" s="168">
        <v>5743.25</v>
      </c>
      <c r="I3134" s="168">
        <v>2034.96</v>
      </c>
      <c r="J3134" s="168">
        <v>3243.16</v>
      </c>
      <c r="K3134" s="168">
        <v>465.13</v>
      </c>
      <c r="L3134" s="43">
        <v>5.7476181898242666</v>
      </c>
      <c r="M3134" s="43">
        <v>11.500197795987567</v>
      </c>
      <c r="N3134" s="43">
        <v>4.7990647982361381</v>
      </c>
      <c r="O3134" s="43">
        <v>3.1749488054607506</v>
      </c>
      <c r="P3134" s="169"/>
      <c r="Q3134" s="169"/>
      <c r="R3134" s="169">
        <v>8</v>
      </c>
    </row>
    <row r="3135" spans="1:18" ht="36">
      <c r="A3135" s="165">
        <v>459</v>
      </c>
      <c r="B3135" s="162" t="s">
        <v>5706</v>
      </c>
      <c r="C3135" s="166" t="s">
        <v>5707</v>
      </c>
      <c r="D3135" s="167">
        <v>1206.24</v>
      </c>
      <c r="E3135" s="167">
        <v>214.86</v>
      </c>
      <c r="F3135" s="167">
        <v>844.12</v>
      </c>
      <c r="G3135" s="167">
        <v>147.26</v>
      </c>
      <c r="H3135" s="168">
        <v>7008.63</v>
      </c>
      <c r="I3135" s="168">
        <v>2471.02</v>
      </c>
      <c r="J3135" s="168">
        <v>4063.74</v>
      </c>
      <c r="K3135" s="168">
        <v>473.87</v>
      </c>
      <c r="L3135" s="43">
        <v>5.8103113808197371</v>
      </c>
      <c r="M3135" s="43">
        <v>11.500605045145676</v>
      </c>
      <c r="N3135" s="43">
        <v>4.8141733402833715</v>
      </c>
      <c r="O3135" s="43">
        <v>3.2179138937932912</v>
      </c>
      <c r="P3135" s="169"/>
      <c r="Q3135" s="169"/>
      <c r="R3135" s="169">
        <v>8</v>
      </c>
    </row>
    <row r="3136" spans="1:18" ht="36">
      <c r="A3136" s="165">
        <v>460</v>
      </c>
      <c r="B3136" s="162" t="s">
        <v>5708</v>
      </c>
      <c r="C3136" s="166" t="s">
        <v>5709</v>
      </c>
      <c r="D3136" s="167">
        <v>1685.15</v>
      </c>
      <c r="E3136" s="167">
        <v>290.7</v>
      </c>
      <c r="F3136" s="167">
        <v>1245.68</v>
      </c>
      <c r="G3136" s="167">
        <v>148.77000000000001</v>
      </c>
      <c r="H3136" s="168">
        <v>9899.36</v>
      </c>
      <c r="I3136" s="168">
        <v>3343.14</v>
      </c>
      <c r="J3136" s="168">
        <v>6064.98</v>
      </c>
      <c r="K3136" s="168">
        <v>491.24</v>
      </c>
      <c r="L3136" s="43">
        <v>5.8744681482360619</v>
      </c>
      <c r="M3136" s="43">
        <v>11.50030959752322</v>
      </c>
      <c r="N3136" s="43">
        <v>4.8688106094663146</v>
      </c>
      <c r="O3136" s="43">
        <v>3.302009813806547</v>
      </c>
      <c r="P3136" s="169"/>
      <c r="Q3136" s="169"/>
      <c r="R3136" s="169">
        <v>8</v>
      </c>
    </row>
    <row r="3137" spans="1:18" ht="36">
      <c r="A3137" s="165">
        <v>461</v>
      </c>
      <c r="B3137" s="162" t="s">
        <v>5710</v>
      </c>
      <c r="C3137" s="166" t="s">
        <v>5711</v>
      </c>
      <c r="D3137" s="167">
        <v>2088.0100000000002</v>
      </c>
      <c r="E3137" s="167">
        <v>356.19</v>
      </c>
      <c r="F3137" s="167">
        <v>1573.35</v>
      </c>
      <c r="G3137" s="167">
        <v>158.47</v>
      </c>
      <c r="H3137" s="168">
        <v>12329.49</v>
      </c>
      <c r="I3137" s="168">
        <v>4096.34</v>
      </c>
      <c r="J3137" s="168">
        <v>7689.37</v>
      </c>
      <c r="K3137" s="168">
        <v>543.78</v>
      </c>
      <c r="L3137" s="43">
        <v>5.9048998807476965</v>
      </c>
      <c r="M3137" s="43">
        <v>11.500435161009573</v>
      </c>
      <c r="N3137" s="43">
        <v>4.8872596688594401</v>
      </c>
      <c r="O3137" s="43">
        <v>3.4314381270903009</v>
      </c>
      <c r="P3137" s="169"/>
      <c r="Q3137" s="169"/>
      <c r="R3137" s="169">
        <v>8</v>
      </c>
    </row>
    <row r="3138" spans="1:18" ht="36">
      <c r="A3138" s="165">
        <v>462</v>
      </c>
      <c r="B3138" s="162" t="s">
        <v>5712</v>
      </c>
      <c r="C3138" s="166" t="s">
        <v>5713</v>
      </c>
      <c r="D3138" s="167">
        <v>2924.97</v>
      </c>
      <c r="E3138" s="167">
        <v>452.71</v>
      </c>
      <c r="F3138" s="167">
        <v>2311.86</v>
      </c>
      <c r="G3138" s="167">
        <v>160.4</v>
      </c>
      <c r="H3138" s="168">
        <v>17239.86</v>
      </c>
      <c r="I3138" s="168">
        <v>5206.32</v>
      </c>
      <c r="J3138" s="168">
        <v>11467.56</v>
      </c>
      <c r="K3138" s="168">
        <v>565.98</v>
      </c>
      <c r="L3138" s="43">
        <v>5.8940296823557174</v>
      </c>
      <c r="M3138" s="43">
        <v>11.500342382540699</v>
      </c>
      <c r="N3138" s="43">
        <v>4.9603176662946717</v>
      </c>
      <c r="O3138" s="43">
        <v>3.5285536159600999</v>
      </c>
      <c r="P3138" s="169"/>
      <c r="Q3138" s="169"/>
      <c r="R3138" s="169">
        <v>8</v>
      </c>
    </row>
    <row r="3139" spans="1:18" ht="36">
      <c r="A3139" s="165">
        <v>463</v>
      </c>
      <c r="B3139" s="162" t="s">
        <v>5714</v>
      </c>
      <c r="C3139" s="166" t="s">
        <v>5715</v>
      </c>
      <c r="D3139" s="167">
        <v>3798.78</v>
      </c>
      <c r="E3139" s="167">
        <v>575.65</v>
      </c>
      <c r="F3139" s="167">
        <v>3060.27</v>
      </c>
      <c r="G3139" s="167">
        <v>162.86000000000001</v>
      </c>
      <c r="H3139" s="168">
        <v>22457.79</v>
      </c>
      <c r="I3139" s="168">
        <v>6620.21</v>
      </c>
      <c r="J3139" s="168">
        <v>15243.31</v>
      </c>
      <c r="K3139" s="168">
        <v>594.27</v>
      </c>
      <c r="L3139" s="43">
        <v>5.9118427495143173</v>
      </c>
      <c r="M3139" s="43">
        <v>11.500408234170068</v>
      </c>
      <c r="N3139" s="43">
        <v>4.9810343531779875</v>
      </c>
      <c r="O3139" s="43">
        <v>3.6489622989070365</v>
      </c>
      <c r="P3139" s="169"/>
      <c r="Q3139" s="169"/>
      <c r="R3139" s="169">
        <v>8</v>
      </c>
    </row>
    <row r="3140" spans="1:18" ht="36">
      <c r="A3140" s="165">
        <v>464</v>
      </c>
      <c r="B3140" s="162" t="s">
        <v>5716</v>
      </c>
      <c r="C3140" s="166" t="s">
        <v>5717</v>
      </c>
      <c r="D3140" s="167">
        <v>4669.99</v>
      </c>
      <c r="E3140" s="167">
        <v>660.68</v>
      </c>
      <c r="F3140" s="167">
        <v>3844.75</v>
      </c>
      <c r="G3140" s="167">
        <v>164.56</v>
      </c>
      <c r="H3140" s="168">
        <v>27370.47</v>
      </c>
      <c r="I3140" s="168">
        <v>7598.05</v>
      </c>
      <c r="J3140" s="168">
        <v>19158.599999999999</v>
      </c>
      <c r="K3140" s="168">
        <v>613.82000000000005</v>
      </c>
      <c r="L3140" s="43">
        <v>5.8609268970597377</v>
      </c>
      <c r="M3140" s="43">
        <v>11.500348126173035</v>
      </c>
      <c r="N3140" s="43">
        <v>4.9830548150074776</v>
      </c>
      <c r="O3140" s="43">
        <v>3.7300680602819645</v>
      </c>
      <c r="P3140" s="169"/>
      <c r="Q3140" s="169"/>
      <c r="R3140" s="169">
        <v>8</v>
      </c>
    </row>
    <row r="3141" spans="1:18" ht="36">
      <c r="A3141" s="165">
        <v>465</v>
      </c>
      <c r="B3141" s="162" t="s">
        <v>5718</v>
      </c>
      <c r="C3141" s="166" t="s">
        <v>5719</v>
      </c>
      <c r="D3141" s="167">
        <v>5880.21</v>
      </c>
      <c r="E3141" s="167">
        <v>899.67</v>
      </c>
      <c r="F3141" s="167">
        <v>4811.2</v>
      </c>
      <c r="G3141" s="167">
        <v>169.34</v>
      </c>
      <c r="H3141" s="168">
        <v>35002.85</v>
      </c>
      <c r="I3141" s="168">
        <v>10346.56</v>
      </c>
      <c r="J3141" s="168">
        <v>23987.5</v>
      </c>
      <c r="K3141" s="168">
        <v>668.79</v>
      </c>
      <c r="L3141" s="43">
        <v>5.9526530515066636</v>
      </c>
      <c r="M3141" s="43">
        <v>11.500394589127124</v>
      </c>
      <c r="N3141" s="43">
        <v>4.9857623877618895</v>
      </c>
      <c r="O3141" s="43">
        <v>3.9493917562300696</v>
      </c>
      <c r="P3141" s="169"/>
      <c r="Q3141" s="169"/>
      <c r="R3141" s="169">
        <v>8</v>
      </c>
    </row>
    <row r="3142" spans="1:18" ht="36">
      <c r="A3142" s="165">
        <v>466</v>
      </c>
      <c r="B3142" s="162" t="s">
        <v>5720</v>
      </c>
      <c r="C3142" s="166" t="s">
        <v>5721</v>
      </c>
      <c r="D3142" s="167">
        <v>1374.5</v>
      </c>
      <c r="E3142" s="167">
        <v>202.22</v>
      </c>
      <c r="F3142" s="167">
        <v>718.74</v>
      </c>
      <c r="G3142" s="167">
        <v>453.54</v>
      </c>
      <c r="H3142" s="168">
        <v>6707.63</v>
      </c>
      <c r="I3142" s="168">
        <v>2325.66</v>
      </c>
      <c r="J3142" s="168">
        <v>3410.98</v>
      </c>
      <c r="K3142" s="168">
        <v>970.99</v>
      </c>
      <c r="L3142" s="43">
        <v>4.8800509276100401</v>
      </c>
      <c r="M3142" s="43">
        <v>11.500642864207299</v>
      </c>
      <c r="N3142" s="43">
        <v>4.7457773325541917</v>
      </c>
      <c r="O3142" s="43">
        <v>2.1409137011068484</v>
      </c>
      <c r="P3142" s="169"/>
      <c r="Q3142" s="169"/>
      <c r="R3142" s="169">
        <v>8</v>
      </c>
    </row>
    <row r="3143" spans="1:18" ht="36">
      <c r="A3143" s="165">
        <v>467</v>
      </c>
      <c r="B3143" s="162" t="s">
        <v>5722</v>
      </c>
      <c r="C3143" s="166" t="s">
        <v>5723</v>
      </c>
      <c r="D3143" s="167">
        <v>1609.58</v>
      </c>
      <c r="E3143" s="167">
        <v>248.18</v>
      </c>
      <c r="F3143" s="167">
        <v>906.94</v>
      </c>
      <c r="G3143" s="167">
        <v>454.46</v>
      </c>
      <c r="H3143" s="168">
        <v>8162.22</v>
      </c>
      <c r="I3143" s="168">
        <v>2854.22</v>
      </c>
      <c r="J3143" s="168">
        <v>4326.43</v>
      </c>
      <c r="K3143" s="168">
        <v>981.57</v>
      </c>
      <c r="L3143" s="43">
        <v>5.0710247393730041</v>
      </c>
      <c r="M3143" s="43">
        <v>11.500604400032234</v>
      </c>
      <c r="N3143" s="43">
        <v>4.7703596709815423</v>
      </c>
      <c r="O3143" s="43">
        <v>2.1598600536900938</v>
      </c>
      <c r="P3143" s="169"/>
      <c r="Q3143" s="169"/>
      <c r="R3143" s="169">
        <v>8</v>
      </c>
    </row>
    <row r="3144" spans="1:18" ht="36">
      <c r="A3144" s="165">
        <v>468</v>
      </c>
      <c r="B3144" s="162" t="s">
        <v>5724</v>
      </c>
      <c r="C3144" s="166" t="s">
        <v>5725</v>
      </c>
      <c r="D3144" s="167">
        <v>1863.05</v>
      </c>
      <c r="E3144" s="167">
        <v>298.74</v>
      </c>
      <c r="F3144" s="167">
        <v>1117.22</v>
      </c>
      <c r="G3144" s="167">
        <v>447.09</v>
      </c>
      <c r="H3144" s="168">
        <v>9734.58</v>
      </c>
      <c r="I3144" s="168">
        <v>3435.64</v>
      </c>
      <c r="J3144" s="168">
        <v>5343.23</v>
      </c>
      <c r="K3144" s="168">
        <v>955.71</v>
      </c>
      <c r="L3144" s="43">
        <v>5.2250771584230158</v>
      </c>
      <c r="M3144" s="43">
        <v>11.500435161009573</v>
      </c>
      <c r="N3144" s="43">
        <v>4.7826121981346548</v>
      </c>
      <c r="O3144" s="43">
        <v>2.137623297322687</v>
      </c>
      <c r="P3144" s="169"/>
      <c r="Q3144" s="169"/>
      <c r="R3144" s="169">
        <v>8</v>
      </c>
    </row>
    <row r="3145" spans="1:18" ht="36">
      <c r="A3145" s="165">
        <v>469</v>
      </c>
      <c r="B3145" s="162" t="s">
        <v>5726</v>
      </c>
      <c r="C3145" s="166" t="s">
        <v>5727</v>
      </c>
      <c r="D3145" s="167">
        <v>2559.06</v>
      </c>
      <c r="E3145" s="167">
        <v>426.28</v>
      </c>
      <c r="F3145" s="167">
        <v>1683.13</v>
      </c>
      <c r="G3145" s="167">
        <v>449.65</v>
      </c>
      <c r="H3145" s="168">
        <v>14002.78</v>
      </c>
      <c r="I3145" s="168">
        <v>4902.3900000000003</v>
      </c>
      <c r="J3145" s="168">
        <v>8115.24</v>
      </c>
      <c r="K3145" s="168">
        <v>985.15</v>
      </c>
      <c r="L3145" s="43">
        <v>5.4718451306339047</v>
      </c>
      <c r="M3145" s="43">
        <v>11.500398798911515</v>
      </c>
      <c r="N3145" s="43">
        <v>4.8215170545352999</v>
      </c>
      <c r="O3145" s="43">
        <v>2.1909262759924388</v>
      </c>
      <c r="P3145" s="169"/>
      <c r="Q3145" s="169"/>
      <c r="R3145" s="169">
        <v>8</v>
      </c>
    </row>
    <row r="3146" spans="1:18" ht="36">
      <c r="A3146" s="165">
        <v>470</v>
      </c>
      <c r="B3146" s="162" t="s">
        <v>5728</v>
      </c>
      <c r="C3146" s="166" t="s">
        <v>5729</v>
      </c>
      <c r="D3146" s="167">
        <v>3268.68</v>
      </c>
      <c r="E3146" s="167">
        <v>565.30999999999995</v>
      </c>
      <c r="F3146" s="167">
        <v>2250.94</v>
      </c>
      <c r="G3146" s="167">
        <v>452.43</v>
      </c>
      <c r="H3146" s="168">
        <v>18385.310000000001</v>
      </c>
      <c r="I3146" s="168">
        <v>6501.29</v>
      </c>
      <c r="J3146" s="168">
        <v>10866.9</v>
      </c>
      <c r="K3146" s="168">
        <v>1017.12</v>
      </c>
      <c r="L3146" s="43">
        <v>5.6246894770977898</v>
      </c>
      <c r="M3146" s="43">
        <v>11.50039801171039</v>
      </c>
      <c r="N3146" s="43">
        <v>4.8277164206953538</v>
      </c>
      <c r="O3146" s="43">
        <v>2.2481267820436313</v>
      </c>
      <c r="P3146" s="169"/>
      <c r="Q3146" s="169"/>
      <c r="R3146" s="169">
        <v>8</v>
      </c>
    </row>
    <row r="3147" spans="1:18" ht="36">
      <c r="A3147" s="165">
        <v>471</v>
      </c>
      <c r="B3147" s="162" t="s">
        <v>5730</v>
      </c>
      <c r="C3147" s="166" t="s">
        <v>5731</v>
      </c>
      <c r="D3147" s="167">
        <v>4445.3100000000004</v>
      </c>
      <c r="E3147" s="167">
        <v>737.66</v>
      </c>
      <c r="F3147" s="167">
        <v>3251.78</v>
      </c>
      <c r="G3147" s="167">
        <v>455.87</v>
      </c>
      <c r="H3147" s="168">
        <v>25431.82</v>
      </c>
      <c r="I3147" s="168">
        <v>8483.39</v>
      </c>
      <c r="J3147" s="168">
        <v>15891.75</v>
      </c>
      <c r="K3147" s="168">
        <v>1056.68</v>
      </c>
      <c r="L3147" s="43">
        <v>5.7210453264226784</v>
      </c>
      <c r="M3147" s="43">
        <v>11.500406691429655</v>
      </c>
      <c r="N3147" s="43">
        <v>4.8870926077409909</v>
      </c>
      <c r="O3147" s="43">
        <v>2.317941518415338</v>
      </c>
      <c r="P3147" s="169"/>
      <c r="Q3147" s="169"/>
      <c r="R3147" s="169">
        <v>8</v>
      </c>
    </row>
    <row r="3148" spans="1:18" ht="36">
      <c r="A3148" s="165">
        <v>472</v>
      </c>
      <c r="B3148" s="162" t="s">
        <v>5732</v>
      </c>
      <c r="C3148" s="166" t="s">
        <v>5733</v>
      </c>
      <c r="D3148" s="167">
        <v>5854.45</v>
      </c>
      <c r="E3148" s="167">
        <v>991.59</v>
      </c>
      <c r="F3148" s="167">
        <v>4401.91</v>
      </c>
      <c r="G3148" s="167">
        <v>460.95</v>
      </c>
      <c r="H3148" s="168">
        <v>34042.160000000003</v>
      </c>
      <c r="I3148" s="168">
        <v>11403.68</v>
      </c>
      <c r="J3148" s="168">
        <v>21523.38</v>
      </c>
      <c r="K3148" s="168">
        <v>1115.0999999999999</v>
      </c>
      <c r="L3148" s="43">
        <v>5.8147494640828779</v>
      </c>
      <c r="M3148" s="43">
        <v>11.500398350124547</v>
      </c>
      <c r="N3148" s="43">
        <v>4.8895547614558232</v>
      </c>
      <c r="O3148" s="43">
        <v>2.4191343963553531</v>
      </c>
      <c r="P3148" s="169"/>
      <c r="Q3148" s="169"/>
      <c r="R3148" s="169">
        <v>8</v>
      </c>
    </row>
    <row r="3149" spans="1:18" ht="36">
      <c r="A3149" s="165">
        <v>473</v>
      </c>
      <c r="B3149" s="162" t="s">
        <v>5734</v>
      </c>
      <c r="C3149" s="166" t="s">
        <v>5735</v>
      </c>
      <c r="D3149" s="167">
        <v>7105</v>
      </c>
      <c r="E3149" s="167">
        <v>1206.45</v>
      </c>
      <c r="F3149" s="167">
        <v>5433.3</v>
      </c>
      <c r="G3149" s="167">
        <v>465.25</v>
      </c>
      <c r="H3149" s="168">
        <v>41642.699999999997</v>
      </c>
      <c r="I3149" s="168">
        <v>13874.7</v>
      </c>
      <c r="J3149" s="168">
        <v>26603.45</v>
      </c>
      <c r="K3149" s="168">
        <v>1164.55</v>
      </c>
      <c r="L3149" s="43">
        <v>5.8610415200562977</v>
      </c>
      <c r="M3149" s="43">
        <v>11.500435161009573</v>
      </c>
      <c r="N3149" s="43">
        <v>4.8963705298805511</v>
      </c>
      <c r="O3149" s="43">
        <v>2.5030628694250403</v>
      </c>
      <c r="P3149" s="169"/>
      <c r="Q3149" s="169"/>
      <c r="R3149" s="169">
        <v>8</v>
      </c>
    </row>
    <row r="3150" spans="1:18" ht="36">
      <c r="A3150" s="165">
        <v>474</v>
      </c>
      <c r="B3150" s="162" t="s">
        <v>5736</v>
      </c>
      <c r="C3150" s="166" t="s">
        <v>5737</v>
      </c>
      <c r="D3150" s="167">
        <v>8812.82</v>
      </c>
      <c r="E3150" s="167">
        <v>1505.19</v>
      </c>
      <c r="F3150" s="167">
        <v>6836.41</v>
      </c>
      <c r="G3150" s="167">
        <v>471.22</v>
      </c>
      <c r="H3150" s="168">
        <v>52063.37</v>
      </c>
      <c r="I3150" s="168">
        <v>17310.34</v>
      </c>
      <c r="J3150" s="168">
        <v>33519.83</v>
      </c>
      <c r="K3150" s="168">
        <v>1233.2</v>
      </c>
      <c r="L3150" s="43">
        <v>5.9076856216284916</v>
      </c>
      <c r="M3150" s="43">
        <v>11.500435161009573</v>
      </c>
      <c r="N3150" s="43">
        <v>4.9031333697072004</v>
      </c>
      <c r="O3150" s="43">
        <v>2.6170366283264714</v>
      </c>
      <c r="P3150" s="169"/>
      <c r="Q3150" s="169"/>
      <c r="R3150" s="169">
        <v>8</v>
      </c>
    </row>
    <row r="3151" spans="1:18" ht="12.75" customHeight="1">
      <c r="A3151" s="628" t="s">
        <v>5738</v>
      </c>
      <c r="B3151" s="629"/>
      <c r="C3151" s="629"/>
      <c r="D3151" s="629"/>
      <c r="E3151" s="629"/>
      <c r="F3151" s="629"/>
      <c r="G3151" s="629"/>
      <c r="H3151" s="629"/>
      <c r="I3151" s="629"/>
      <c r="J3151" s="629"/>
      <c r="K3151" s="629"/>
      <c r="L3151" s="629"/>
      <c r="M3151" s="629"/>
      <c r="N3151" s="629"/>
      <c r="O3151" s="629"/>
      <c r="P3151" s="629"/>
      <c r="Q3151" s="629"/>
      <c r="R3151" s="629"/>
    </row>
    <row r="3152" spans="1:18" ht="24">
      <c r="A3152" s="165">
        <v>475</v>
      </c>
      <c r="B3152" s="162" t="s">
        <v>5739</v>
      </c>
      <c r="C3152" s="166" t="s">
        <v>5740</v>
      </c>
      <c r="D3152" s="167">
        <v>798.13</v>
      </c>
      <c r="E3152" s="167">
        <v>142.47999999999999</v>
      </c>
      <c r="F3152" s="167">
        <v>574.25</v>
      </c>
      <c r="G3152" s="167">
        <v>81.400000000000006</v>
      </c>
      <c r="H3152" s="168">
        <v>4816.13</v>
      </c>
      <c r="I3152" s="168">
        <v>1638.54</v>
      </c>
      <c r="J3152" s="168">
        <v>2762.32</v>
      </c>
      <c r="K3152" s="168">
        <v>415.27</v>
      </c>
      <c r="L3152" s="43">
        <v>6.0342676005162064</v>
      </c>
      <c r="M3152" s="43">
        <v>11.500140370578327</v>
      </c>
      <c r="N3152" s="43">
        <v>4.810309098824554</v>
      </c>
      <c r="O3152" s="43">
        <v>5.101597051597051</v>
      </c>
      <c r="P3152" s="169"/>
      <c r="Q3152" s="169"/>
      <c r="R3152" s="169">
        <v>9</v>
      </c>
    </row>
    <row r="3153" spans="1:18" ht="24">
      <c r="A3153" s="165">
        <v>476</v>
      </c>
      <c r="B3153" s="162" t="s">
        <v>5741</v>
      </c>
      <c r="C3153" s="166" t="s">
        <v>5742</v>
      </c>
      <c r="D3153" s="167">
        <v>1110.19</v>
      </c>
      <c r="E3153" s="167">
        <v>210.27</v>
      </c>
      <c r="F3153" s="167">
        <v>817.16</v>
      </c>
      <c r="G3153" s="167">
        <v>82.76</v>
      </c>
      <c r="H3153" s="168">
        <v>6780.82</v>
      </c>
      <c r="I3153" s="168">
        <v>2418.16</v>
      </c>
      <c r="J3153" s="168">
        <v>3931.75</v>
      </c>
      <c r="K3153" s="168">
        <v>430.91</v>
      </c>
      <c r="L3153" s="43">
        <v>6.1078013673335185</v>
      </c>
      <c r="M3153" s="43">
        <v>11.500261568459598</v>
      </c>
      <c r="N3153" s="43">
        <v>4.8114812276665528</v>
      </c>
      <c r="O3153" s="43">
        <v>5.206742387626873</v>
      </c>
      <c r="P3153" s="169"/>
      <c r="Q3153" s="169"/>
      <c r="R3153" s="169">
        <v>9</v>
      </c>
    </row>
    <row r="3154" spans="1:18" ht="24">
      <c r="A3154" s="165">
        <v>477</v>
      </c>
      <c r="B3154" s="162" t="s">
        <v>5743</v>
      </c>
      <c r="C3154" s="166" t="s">
        <v>5744</v>
      </c>
      <c r="D3154" s="167">
        <v>1501.81</v>
      </c>
      <c r="E3154" s="167">
        <v>266.57</v>
      </c>
      <c r="F3154" s="167">
        <v>1151.3599999999999</v>
      </c>
      <c r="G3154" s="167">
        <v>83.88</v>
      </c>
      <c r="H3154" s="168">
        <v>9121.49</v>
      </c>
      <c r="I3154" s="168">
        <v>3065.65</v>
      </c>
      <c r="J3154" s="168">
        <v>5612.05</v>
      </c>
      <c r="K3154" s="168">
        <v>443.79</v>
      </c>
      <c r="L3154" s="43">
        <v>6.0736644449031507</v>
      </c>
      <c r="M3154" s="43">
        <v>11.500356379187457</v>
      </c>
      <c r="N3154" s="43">
        <v>4.8742791133963319</v>
      </c>
      <c r="O3154" s="43">
        <v>5.2907725321888419</v>
      </c>
      <c r="P3154" s="169"/>
      <c r="Q3154" s="169"/>
      <c r="R3154" s="169">
        <v>9</v>
      </c>
    </row>
    <row r="3155" spans="1:18" ht="24">
      <c r="A3155" s="165">
        <v>478</v>
      </c>
      <c r="B3155" s="162" t="s">
        <v>5745</v>
      </c>
      <c r="C3155" s="166" t="s">
        <v>5746</v>
      </c>
      <c r="D3155" s="167">
        <v>1865.59</v>
      </c>
      <c r="E3155" s="167">
        <v>330.91</v>
      </c>
      <c r="F3155" s="167">
        <v>1449.51</v>
      </c>
      <c r="G3155" s="167">
        <v>85.17</v>
      </c>
      <c r="H3155" s="168">
        <v>11362.61</v>
      </c>
      <c r="I3155" s="168">
        <v>3805.63</v>
      </c>
      <c r="J3155" s="168">
        <v>7098.36</v>
      </c>
      <c r="K3155" s="168">
        <v>458.62</v>
      </c>
      <c r="L3155" s="43">
        <v>6.0906254857712581</v>
      </c>
      <c r="M3155" s="43">
        <v>11.500498625003777</v>
      </c>
      <c r="N3155" s="43">
        <v>4.8970755634662746</v>
      </c>
      <c r="O3155" s="43">
        <v>5.3847598919807442</v>
      </c>
      <c r="P3155" s="169"/>
      <c r="Q3155" s="169"/>
      <c r="R3155" s="169">
        <v>9</v>
      </c>
    </row>
    <row r="3156" spans="1:18" ht="24">
      <c r="A3156" s="165">
        <v>479</v>
      </c>
      <c r="B3156" s="162" t="s">
        <v>5747</v>
      </c>
      <c r="C3156" s="166" t="s">
        <v>5748</v>
      </c>
      <c r="D3156" s="167">
        <v>2632.29</v>
      </c>
      <c r="E3156" s="167">
        <v>422.83</v>
      </c>
      <c r="F3156" s="167">
        <v>2122.4499999999998</v>
      </c>
      <c r="G3156" s="167">
        <v>87.01</v>
      </c>
      <c r="H3156" s="168">
        <v>15859.75</v>
      </c>
      <c r="I3156" s="168">
        <v>4862.75</v>
      </c>
      <c r="J3156" s="168">
        <v>10517.22</v>
      </c>
      <c r="K3156" s="168">
        <v>479.78</v>
      </c>
      <c r="L3156" s="43">
        <v>6.0250770241880645</v>
      </c>
      <c r="M3156" s="43">
        <v>11.50048482841804</v>
      </c>
      <c r="N3156" s="43">
        <v>4.9552262715258308</v>
      </c>
      <c r="O3156" s="43">
        <v>5.5140788415124691</v>
      </c>
      <c r="P3156" s="169"/>
      <c r="Q3156" s="169"/>
      <c r="R3156" s="169">
        <v>9</v>
      </c>
    </row>
    <row r="3157" spans="1:18" ht="24">
      <c r="A3157" s="165">
        <v>480</v>
      </c>
      <c r="B3157" s="162" t="s">
        <v>5749</v>
      </c>
      <c r="C3157" s="166" t="s">
        <v>5750</v>
      </c>
      <c r="D3157" s="167">
        <v>3466.35</v>
      </c>
      <c r="E3157" s="167">
        <v>525.09</v>
      </c>
      <c r="F3157" s="167">
        <v>2852.21</v>
      </c>
      <c r="G3157" s="167">
        <v>89.05</v>
      </c>
      <c r="H3157" s="168">
        <v>20775.03</v>
      </c>
      <c r="I3157" s="168">
        <v>6038.8</v>
      </c>
      <c r="J3157" s="168">
        <v>14232.99</v>
      </c>
      <c r="K3157" s="168">
        <v>503.24</v>
      </c>
      <c r="L3157" s="43">
        <v>5.9933445843610711</v>
      </c>
      <c r="M3157" s="43">
        <v>11.500504675388981</v>
      </c>
      <c r="N3157" s="43">
        <v>4.9901620147184111</v>
      </c>
      <c r="O3157" s="43">
        <v>5.6512071869736102</v>
      </c>
      <c r="P3157" s="169"/>
      <c r="Q3157" s="169"/>
      <c r="R3157" s="169">
        <v>9</v>
      </c>
    </row>
    <row r="3158" spans="1:18" ht="24">
      <c r="A3158" s="165">
        <v>481</v>
      </c>
      <c r="B3158" s="162" t="s">
        <v>5751</v>
      </c>
      <c r="C3158" s="166" t="s">
        <v>5752</v>
      </c>
      <c r="D3158" s="167">
        <v>4244.59</v>
      </c>
      <c r="E3158" s="167">
        <v>625.05999999999995</v>
      </c>
      <c r="F3158" s="167">
        <v>3528.48</v>
      </c>
      <c r="G3158" s="167">
        <v>91.05</v>
      </c>
      <c r="H3158" s="168">
        <v>25389.88</v>
      </c>
      <c r="I3158" s="168">
        <v>7188.42</v>
      </c>
      <c r="J3158" s="168">
        <v>17675.22</v>
      </c>
      <c r="K3158" s="168">
        <v>526.24</v>
      </c>
      <c r="L3158" s="43">
        <v>5.9817037687974572</v>
      </c>
      <c r="M3158" s="43">
        <v>11.500367964675393</v>
      </c>
      <c r="N3158" s="43">
        <v>5.009301455584275</v>
      </c>
      <c r="O3158" s="43">
        <v>5.7796814936847891</v>
      </c>
      <c r="P3158" s="169"/>
      <c r="Q3158" s="169"/>
      <c r="R3158" s="169">
        <v>9</v>
      </c>
    </row>
    <row r="3159" spans="1:18" ht="24">
      <c r="A3159" s="165">
        <v>482</v>
      </c>
      <c r="B3159" s="162" t="s">
        <v>5753</v>
      </c>
      <c r="C3159" s="166" t="s">
        <v>5754</v>
      </c>
      <c r="D3159" s="167">
        <v>5100.0600000000004</v>
      </c>
      <c r="E3159" s="167">
        <v>727.32</v>
      </c>
      <c r="F3159" s="167">
        <v>4279.6400000000003</v>
      </c>
      <c r="G3159" s="167">
        <v>93.1</v>
      </c>
      <c r="H3159" s="168">
        <v>30434.65</v>
      </c>
      <c r="I3159" s="168">
        <v>8364.4599999999991</v>
      </c>
      <c r="J3159" s="168">
        <v>21520.37</v>
      </c>
      <c r="K3159" s="168">
        <v>549.82000000000005</v>
      </c>
      <c r="L3159" s="43">
        <v>5.9675082253934262</v>
      </c>
      <c r="M3159" s="43">
        <v>11.500384974976624</v>
      </c>
      <c r="N3159" s="43">
        <v>5.0285467936555408</v>
      </c>
      <c r="O3159" s="43">
        <v>5.905692803437165</v>
      </c>
      <c r="P3159" s="169"/>
      <c r="Q3159" s="169"/>
      <c r="R3159" s="169">
        <v>9</v>
      </c>
    </row>
    <row r="3160" spans="1:18" ht="24">
      <c r="A3160" s="165">
        <v>483</v>
      </c>
      <c r="B3160" s="162" t="s">
        <v>5755</v>
      </c>
      <c r="C3160" s="166" t="s">
        <v>5756</v>
      </c>
      <c r="D3160" s="167">
        <v>5963.99</v>
      </c>
      <c r="E3160" s="167">
        <v>842.22</v>
      </c>
      <c r="F3160" s="167">
        <v>5026.38</v>
      </c>
      <c r="G3160" s="167">
        <v>95.39</v>
      </c>
      <c r="H3160" s="168">
        <v>35560.07</v>
      </c>
      <c r="I3160" s="168">
        <v>9685.86</v>
      </c>
      <c r="J3160" s="168">
        <v>25298.06</v>
      </c>
      <c r="K3160" s="168">
        <v>576.15</v>
      </c>
      <c r="L3160" s="43">
        <v>5.9624630490661454</v>
      </c>
      <c r="M3160" s="43">
        <v>11.500391821614306</v>
      </c>
      <c r="N3160" s="43">
        <v>5.0330575881648425</v>
      </c>
      <c r="O3160" s="43">
        <v>6.039941293636649</v>
      </c>
      <c r="P3160" s="169"/>
      <c r="Q3160" s="169"/>
      <c r="R3160" s="169">
        <v>9</v>
      </c>
    </row>
    <row r="3161" spans="1:18" ht="12.75" customHeight="1">
      <c r="A3161" s="628" t="s">
        <v>5757</v>
      </c>
      <c r="B3161" s="629"/>
      <c r="C3161" s="629"/>
      <c r="D3161" s="629"/>
      <c r="E3161" s="629"/>
      <c r="F3161" s="629"/>
      <c r="G3161" s="629"/>
      <c r="H3161" s="629"/>
      <c r="I3161" s="629"/>
      <c r="J3161" s="629"/>
      <c r="K3161" s="629"/>
      <c r="L3161" s="629"/>
      <c r="M3161" s="629"/>
      <c r="N3161" s="629"/>
      <c r="O3161" s="629"/>
      <c r="P3161" s="629"/>
      <c r="Q3161" s="629"/>
      <c r="R3161" s="629"/>
    </row>
    <row r="3162" spans="1:18" ht="24">
      <c r="A3162" s="165">
        <v>484</v>
      </c>
      <c r="B3162" s="162" t="s">
        <v>5758</v>
      </c>
      <c r="C3162" s="166" t="s">
        <v>5759</v>
      </c>
      <c r="D3162" s="167">
        <v>4638.1499999999996</v>
      </c>
      <c r="E3162" s="167">
        <v>196.48</v>
      </c>
      <c r="F3162" s="167">
        <v>2799.6</v>
      </c>
      <c r="G3162" s="167">
        <v>1642.07</v>
      </c>
      <c r="H3162" s="168">
        <v>21991.919999999998</v>
      </c>
      <c r="I3162" s="168">
        <v>2259.59</v>
      </c>
      <c r="J3162" s="168">
        <v>14112.26</v>
      </c>
      <c r="K3162" s="168">
        <v>5620.07</v>
      </c>
      <c r="L3162" s="43">
        <v>4.7415284111121894</v>
      </c>
      <c r="M3162" s="43">
        <v>11.500356270358308</v>
      </c>
      <c r="N3162" s="43">
        <v>5.0408129732818976</v>
      </c>
      <c r="O3162" s="43">
        <v>3.4225520227517707</v>
      </c>
      <c r="P3162" s="169"/>
      <c r="Q3162" s="169"/>
      <c r="R3162" s="169">
        <v>10</v>
      </c>
    </row>
    <row r="3163" spans="1:18" ht="24">
      <c r="A3163" s="165">
        <v>485</v>
      </c>
      <c r="B3163" s="162" t="s">
        <v>5760</v>
      </c>
      <c r="C3163" s="166" t="s">
        <v>5761</v>
      </c>
      <c r="D3163" s="167">
        <v>5724.02</v>
      </c>
      <c r="E3163" s="167">
        <v>259.67</v>
      </c>
      <c r="F3163" s="167">
        <v>3821.02</v>
      </c>
      <c r="G3163" s="167">
        <v>1643.33</v>
      </c>
      <c r="H3163" s="168">
        <v>27935.52</v>
      </c>
      <c r="I3163" s="168">
        <v>2986.36</v>
      </c>
      <c r="J3163" s="168">
        <v>19314.599999999999</v>
      </c>
      <c r="K3163" s="168">
        <v>5634.56</v>
      </c>
      <c r="L3163" s="43">
        <v>4.8804022347930296</v>
      </c>
      <c r="M3163" s="43">
        <v>11.500596911464552</v>
      </c>
      <c r="N3163" s="43">
        <v>5.0548282919220515</v>
      </c>
      <c r="O3163" s="43">
        <v>3.4287452915726</v>
      </c>
      <c r="P3163" s="169"/>
      <c r="Q3163" s="169"/>
      <c r="R3163" s="169">
        <v>10</v>
      </c>
    </row>
    <row r="3164" spans="1:18" ht="28.5" customHeight="1">
      <c r="A3164" s="628" t="s">
        <v>5762</v>
      </c>
      <c r="B3164" s="629"/>
      <c r="C3164" s="629"/>
      <c r="D3164" s="629"/>
      <c r="E3164" s="629"/>
      <c r="F3164" s="629"/>
      <c r="G3164" s="629"/>
      <c r="H3164" s="629"/>
      <c r="I3164" s="629"/>
      <c r="J3164" s="629"/>
      <c r="K3164" s="629"/>
      <c r="L3164" s="629"/>
      <c r="M3164" s="629"/>
      <c r="N3164" s="629"/>
      <c r="O3164" s="629"/>
      <c r="P3164" s="629"/>
      <c r="Q3164" s="629"/>
      <c r="R3164" s="629"/>
    </row>
    <row r="3165" spans="1:18" ht="48">
      <c r="A3165" s="165">
        <v>486</v>
      </c>
      <c r="B3165" s="162" t="s">
        <v>5763</v>
      </c>
      <c r="C3165" s="166" t="s">
        <v>5764</v>
      </c>
      <c r="D3165" s="167">
        <v>10951.8</v>
      </c>
      <c r="E3165" s="167">
        <v>741.13</v>
      </c>
      <c r="F3165" s="167">
        <v>3732.74</v>
      </c>
      <c r="G3165" s="167">
        <v>6477.93</v>
      </c>
      <c r="H3165" s="168">
        <v>42979.76</v>
      </c>
      <c r="I3165" s="168">
        <v>8522.9500000000007</v>
      </c>
      <c r="J3165" s="168">
        <v>19538.900000000001</v>
      </c>
      <c r="K3165" s="168">
        <v>14917.91</v>
      </c>
      <c r="L3165" s="43">
        <v>3.9244471228473863</v>
      </c>
      <c r="M3165" s="43">
        <v>11.499939281907359</v>
      </c>
      <c r="N3165" s="43">
        <v>5.2344658347487378</v>
      </c>
      <c r="O3165" s="43">
        <v>2.302882247878566</v>
      </c>
      <c r="P3165" s="169"/>
      <c r="Q3165" s="169"/>
      <c r="R3165" s="169">
        <v>11</v>
      </c>
    </row>
    <row r="3166" spans="1:18" ht="48">
      <c r="A3166" s="165">
        <v>487</v>
      </c>
      <c r="B3166" s="162" t="s">
        <v>5765</v>
      </c>
      <c r="C3166" s="166" t="s">
        <v>5766</v>
      </c>
      <c r="D3166" s="167">
        <v>9270.3700000000008</v>
      </c>
      <c r="E3166" s="167">
        <v>1544.16</v>
      </c>
      <c r="F3166" s="167">
        <v>1232.22</v>
      </c>
      <c r="G3166" s="167">
        <v>6493.99</v>
      </c>
      <c r="H3166" s="168">
        <v>39130.93</v>
      </c>
      <c r="I3166" s="168">
        <v>17757.900000000001</v>
      </c>
      <c r="J3166" s="168">
        <v>6270.43</v>
      </c>
      <c r="K3166" s="168">
        <v>15102.6</v>
      </c>
      <c r="L3166" s="43">
        <v>4.2210753184608594</v>
      </c>
      <c r="M3166" s="43">
        <v>11.50003885607709</v>
      </c>
      <c r="N3166" s="43">
        <v>5.0887260391813154</v>
      </c>
      <c r="O3166" s="43">
        <v>2.3256272337961716</v>
      </c>
      <c r="P3166" s="169"/>
      <c r="Q3166" s="169"/>
      <c r="R3166" s="169">
        <v>11</v>
      </c>
    </row>
    <row r="3167" spans="1:18" ht="24">
      <c r="A3167" s="165">
        <v>488</v>
      </c>
      <c r="B3167" s="162" t="s">
        <v>5767</v>
      </c>
      <c r="C3167" s="166" t="s">
        <v>5768</v>
      </c>
      <c r="D3167" s="167">
        <v>332.17</v>
      </c>
      <c r="E3167" s="167">
        <v>18.13</v>
      </c>
      <c r="F3167" s="167">
        <v>109.99</v>
      </c>
      <c r="G3167" s="167">
        <v>204.05</v>
      </c>
      <c r="H3167" s="168">
        <v>1250.6600000000001</v>
      </c>
      <c r="I3167" s="168">
        <v>208.51</v>
      </c>
      <c r="J3167" s="168">
        <v>573.32000000000005</v>
      </c>
      <c r="K3167" s="168">
        <v>468.83</v>
      </c>
      <c r="L3167" s="43">
        <v>3.7651202697413977</v>
      </c>
      <c r="M3167" s="43">
        <v>11.500827357970214</v>
      </c>
      <c r="N3167" s="43">
        <v>5.2124738612601149</v>
      </c>
      <c r="O3167" s="43">
        <v>2.2976231315853957</v>
      </c>
      <c r="P3167" s="169"/>
      <c r="Q3167" s="169"/>
      <c r="R3167" s="169">
        <v>11</v>
      </c>
    </row>
    <row r="3168" spans="1:18" ht="24">
      <c r="A3168" s="165">
        <v>489</v>
      </c>
      <c r="B3168" s="162" t="s">
        <v>5769</v>
      </c>
      <c r="C3168" s="166" t="s">
        <v>5768</v>
      </c>
      <c r="D3168" s="167">
        <v>276.33</v>
      </c>
      <c r="E3168" s="167">
        <v>40.56</v>
      </c>
      <c r="F3168" s="167">
        <v>31.27</v>
      </c>
      <c r="G3168" s="167">
        <v>204.5</v>
      </c>
      <c r="H3168" s="168">
        <v>1096.03</v>
      </c>
      <c r="I3168" s="168">
        <v>466.45</v>
      </c>
      <c r="J3168" s="168">
        <v>155.57</v>
      </c>
      <c r="K3168" s="168">
        <v>474.01</v>
      </c>
      <c r="L3168" s="43">
        <v>3.9663807766076795</v>
      </c>
      <c r="M3168" s="43">
        <v>11.500246548323471</v>
      </c>
      <c r="N3168" s="43">
        <v>4.9750559641829231</v>
      </c>
      <c r="O3168" s="43">
        <v>2.3178973105134473</v>
      </c>
      <c r="P3168" s="169"/>
      <c r="Q3168" s="169"/>
      <c r="R3168" s="169">
        <v>11</v>
      </c>
    </row>
    <row r="3169" spans="1:18" ht="12.75" customHeight="1">
      <c r="A3169" s="628" t="s">
        <v>5770</v>
      </c>
      <c r="B3169" s="629"/>
      <c r="C3169" s="629"/>
      <c r="D3169" s="629"/>
      <c r="E3169" s="629"/>
      <c r="F3169" s="629"/>
      <c r="G3169" s="629"/>
      <c r="H3169" s="629"/>
      <c r="I3169" s="629"/>
      <c r="J3169" s="629"/>
      <c r="K3169" s="629"/>
      <c r="L3169" s="629"/>
      <c r="M3169" s="629"/>
      <c r="N3169" s="629"/>
      <c r="O3169" s="629"/>
      <c r="P3169" s="629"/>
      <c r="Q3169" s="629"/>
      <c r="R3169" s="629"/>
    </row>
    <row r="3170" spans="1:18" ht="36">
      <c r="A3170" s="165">
        <v>490</v>
      </c>
      <c r="B3170" s="162" t="s">
        <v>5771</v>
      </c>
      <c r="C3170" s="166" t="s">
        <v>5772</v>
      </c>
      <c r="D3170" s="167">
        <v>2004.53</v>
      </c>
      <c r="E3170" s="167">
        <v>226.35</v>
      </c>
      <c r="F3170" s="167">
        <v>1392.08</v>
      </c>
      <c r="G3170" s="167">
        <v>386.1</v>
      </c>
      <c r="H3170" s="168">
        <v>11611.4</v>
      </c>
      <c r="I3170" s="168">
        <v>2603.16</v>
      </c>
      <c r="J3170" s="168">
        <v>8084.56</v>
      </c>
      <c r="K3170" s="168">
        <v>923.68</v>
      </c>
      <c r="L3170" s="43">
        <v>5.7925798067377388</v>
      </c>
      <c r="M3170" s="43">
        <v>11.500596421471172</v>
      </c>
      <c r="N3170" s="43">
        <v>5.8075397965634163</v>
      </c>
      <c r="O3170" s="43">
        <v>2.3923335923335922</v>
      </c>
      <c r="P3170" s="169"/>
      <c r="Q3170" s="169"/>
      <c r="R3170" s="169">
        <v>12</v>
      </c>
    </row>
    <row r="3171" spans="1:18" ht="36">
      <c r="A3171" s="165">
        <v>491</v>
      </c>
      <c r="B3171" s="162" t="s">
        <v>5773</v>
      </c>
      <c r="C3171" s="166" t="s">
        <v>5774</v>
      </c>
      <c r="D3171" s="167">
        <v>3097.68</v>
      </c>
      <c r="E3171" s="167">
        <v>351.59</v>
      </c>
      <c r="F3171" s="167">
        <v>2357.4899999999998</v>
      </c>
      <c r="G3171" s="167">
        <v>388.6</v>
      </c>
      <c r="H3171" s="168">
        <v>18588.759999999998</v>
      </c>
      <c r="I3171" s="168">
        <v>4043.48</v>
      </c>
      <c r="J3171" s="168">
        <v>13592.85</v>
      </c>
      <c r="K3171" s="168">
        <v>952.43</v>
      </c>
      <c r="L3171" s="43">
        <v>6.0008651636063117</v>
      </c>
      <c r="M3171" s="43">
        <v>11.500554623282802</v>
      </c>
      <c r="N3171" s="43">
        <v>5.7658144891388732</v>
      </c>
      <c r="O3171" s="43">
        <v>2.4509264024704063</v>
      </c>
      <c r="P3171" s="169"/>
      <c r="Q3171" s="169"/>
      <c r="R3171" s="169">
        <v>12</v>
      </c>
    </row>
    <row r="3172" spans="1:18" ht="36">
      <c r="A3172" s="165">
        <v>492</v>
      </c>
      <c r="B3172" s="162" t="s">
        <v>5775</v>
      </c>
      <c r="C3172" s="166" t="s">
        <v>5776</v>
      </c>
      <c r="D3172" s="167">
        <v>3645.74</v>
      </c>
      <c r="E3172" s="167">
        <v>443.51</v>
      </c>
      <c r="F3172" s="167">
        <v>2811.79</v>
      </c>
      <c r="G3172" s="167">
        <v>390.44</v>
      </c>
      <c r="H3172" s="168">
        <v>22143.7</v>
      </c>
      <c r="I3172" s="168">
        <v>5100.6000000000004</v>
      </c>
      <c r="J3172" s="168">
        <v>16069.51</v>
      </c>
      <c r="K3172" s="168">
        <v>973.59</v>
      </c>
      <c r="L3172" s="43">
        <v>6.0738560621437632</v>
      </c>
      <c r="M3172" s="43">
        <v>11.500529864039143</v>
      </c>
      <c r="N3172" s="43">
        <v>5.7150462872405123</v>
      </c>
      <c r="O3172" s="43">
        <v>2.4935713553939145</v>
      </c>
      <c r="P3172" s="169"/>
      <c r="Q3172" s="169"/>
      <c r="R3172" s="169">
        <v>12</v>
      </c>
    </row>
    <row r="3173" spans="1:18" ht="12.75" customHeight="1">
      <c r="A3173" s="628" t="s">
        <v>5777</v>
      </c>
      <c r="B3173" s="629"/>
      <c r="C3173" s="629"/>
      <c r="D3173" s="629"/>
      <c r="E3173" s="629"/>
      <c r="F3173" s="629"/>
      <c r="G3173" s="629"/>
      <c r="H3173" s="629"/>
      <c r="I3173" s="629"/>
      <c r="J3173" s="629"/>
      <c r="K3173" s="629"/>
      <c r="L3173" s="629"/>
      <c r="M3173" s="629"/>
      <c r="N3173" s="629"/>
      <c r="O3173" s="629"/>
      <c r="P3173" s="629"/>
      <c r="Q3173" s="629"/>
      <c r="R3173" s="629"/>
    </row>
    <row r="3174" spans="1:18" ht="24">
      <c r="A3174" s="165">
        <v>493</v>
      </c>
      <c r="B3174" s="162" t="s">
        <v>5778</v>
      </c>
      <c r="C3174" s="166" t="s">
        <v>5779</v>
      </c>
      <c r="D3174" s="167">
        <v>20955.03</v>
      </c>
      <c r="E3174" s="167">
        <v>1160.49</v>
      </c>
      <c r="F3174" s="167">
        <v>827.23</v>
      </c>
      <c r="G3174" s="167">
        <v>18967.310000000001</v>
      </c>
      <c r="H3174" s="168">
        <v>105088.4</v>
      </c>
      <c r="I3174" s="168">
        <v>13346.14</v>
      </c>
      <c r="J3174" s="168">
        <v>4430.6000000000004</v>
      </c>
      <c r="K3174" s="168">
        <v>87311.66</v>
      </c>
      <c r="L3174" s="43">
        <v>5.0149486781932548</v>
      </c>
      <c r="M3174" s="43">
        <v>11.500435161009573</v>
      </c>
      <c r="N3174" s="43">
        <v>5.3559469555020973</v>
      </c>
      <c r="O3174" s="43">
        <v>4.6032705744778779</v>
      </c>
      <c r="P3174" s="169"/>
      <c r="Q3174" s="169"/>
      <c r="R3174" s="169">
        <v>13</v>
      </c>
    </row>
    <row r="3175" spans="1:18" ht="24">
      <c r="A3175" s="165">
        <v>494</v>
      </c>
      <c r="B3175" s="162" t="s">
        <v>5780</v>
      </c>
      <c r="C3175" s="166" t="s">
        <v>5781</v>
      </c>
      <c r="D3175" s="167">
        <v>17854.22</v>
      </c>
      <c r="E3175" s="167">
        <v>775.58</v>
      </c>
      <c r="F3175" s="167">
        <v>729.49</v>
      </c>
      <c r="G3175" s="167">
        <v>16349.15</v>
      </c>
      <c r="H3175" s="168">
        <v>85976.86</v>
      </c>
      <c r="I3175" s="168">
        <v>8919.4500000000007</v>
      </c>
      <c r="J3175" s="168">
        <v>3911.3</v>
      </c>
      <c r="K3175" s="168">
        <v>73146.11</v>
      </c>
      <c r="L3175" s="43">
        <v>4.8154923597894497</v>
      </c>
      <c r="M3175" s="43">
        <v>11.500361020139767</v>
      </c>
      <c r="N3175" s="43">
        <v>5.3616910444282997</v>
      </c>
      <c r="O3175" s="43">
        <v>4.4740007890318454</v>
      </c>
      <c r="P3175" s="169"/>
      <c r="Q3175" s="169"/>
      <c r="R3175" s="169">
        <v>13</v>
      </c>
    </row>
    <row r="3176" spans="1:18" ht="24">
      <c r="A3176" s="165">
        <v>495</v>
      </c>
      <c r="B3176" s="162" t="s">
        <v>5782</v>
      </c>
      <c r="C3176" s="166" t="s">
        <v>5783</v>
      </c>
      <c r="D3176" s="167">
        <v>16630.259999999998</v>
      </c>
      <c r="E3176" s="167">
        <v>517.04999999999995</v>
      </c>
      <c r="F3176" s="167">
        <v>700.45</v>
      </c>
      <c r="G3176" s="167">
        <v>15412.76</v>
      </c>
      <c r="H3176" s="168">
        <v>77750.91</v>
      </c>
      <c r="I3176" s="168">
        <v>5946.3</v>
      </c>
      <c r="J3176" s="168">
        <v>3757.48</v>
      </c>
      <c r="K3176" s="168">
        <v>68047.13</v>
      </c>
      <c r="L3176" s="43">
        <v>4.675267253789178</v>
      </c>
      <c r="M3176" s="43">
        <v>11.500435161009575</v>
      </c>
      <c r="N3176" s="43">
        <v>5.3643800414019553</v>
      </c>
      <c r="O3176" s="43">
        <v>4.414986673379719</v>
      </c>
      <c r="P3176" s="169"/>
      <c r="Q3176" s="169"/>
      <c r="R3176" s="169">
        <v>13</v>
      </c>
    </row>
    <row r="3177" spans="1:18" ht="24">
      <c r="A3177" s="165">
        <v>496</v>
      </c>
      <c r="B3177" s="162" t="s">
        <v>5784</v>
      </c>
      <c r="C3177" s="166" t="s">
        <v>5785</v>
      </c>
      <c r="D3177" s="167">
        <v>1586.27</v>
      </c>
      <c r="E3177" s="167">
        <v>326.32</v>
      </c>
      <c r="F3177" s="167">
        <v>307.32</v>
      </c>
      <c r="G3177" s="167">
        <v>952.63</v>
      </c>
      <c r="H3177" s="168">
        <v>9950.16</v>
      </c>
      <c r="I3177" s="168">
        <v>3752.78</v>
      </c>
      <c r="J3177" s="168">
        <v>1637.27</v>
      </c>
      <c r="K3177" s="168">
        <v>4560.1099999999997</v>
      </c>
      <c r="L3177" s="43">
        <v>6.2726774130507419</v>
      </c>
      <c r="M3177" s="43">
        <v>11.50030644765874</v>
      </c>
      <c r="N3177" s="43">
        <v>5.3275738643758945</v>
      </c>
      <c r="O3177" s="43">
        <v>4.7868637351332621</v>
      </c>
      <c r="P3177" s="169"/>
      <c r="Q3177" s="169"/>
      <c r="R3177" s="169">
        <v>13</v>
      </c>
    </row>
    <row r="3178" spans="1:18" ht="24">
      <c r="A3178" s="165">
        <v>497</v>
      </c>
      <c r="B3178" s="162" t="s">
        <v>5786</v>
      </c>
      <c r="C3178" s="166" t="s">
        <v>5787</v>
      </c>
      <c r="D3178" s="167">
        <v>2071.5700000000002</v>
      </c>
      <c r="E3178" s="167">
        <v>326.32</v>
      </c>
      <c r="F3178" s="167">
        <v>346.15</v>
      </c>
      <c r="G3178" s="167">
        <v>1399.1</v>
      </c>
      <c r="H3178" s="168">
        <v>12301.27</v>
      </c>
      <c r="I3178" s="168">
        <v>3752.78</v>
      </c>
      <c r="J3178" s="168">
        <v>1846.2</v>
      </c>
      <c r="K3178" s="168">
        <v>6702.29</v>
      </c>
      <c r="L3178" s="43">
        <v>5.9381387063917703</v>
      </c>
      <c r="M3178" s="43">
        <v>11.50030644765874</v>
      </c>
      <c r="N3178" s="43">
        <v>5.3335259280658676</v>
      </c>
      <c r="O3178" s="43">
        <v>4.7904295618611972</v>
      </c>
      <c r="P3178" s="169"/>
      <c r="Q3178" s="169"/>
      <c r="R3178" s="169">
        <v>13</v>
      </c>
    </row>
    <row r="3179" spans="1:18" ht="24">
      <c r="A3179" s="165">
        <v>498</v>
      </c>
      <c r="B3179" s="162" t="s">
        <v>5788</v>
      </c>
      <c r="C3179" s="166" t="s">
        <v>5789</v>
      </c>
      <c r="D3179" s="167">
        <v>2561.75</v>
      </c>
      <c r="E3179" s="167">
        <v>326.32</v>
      </c>
      <c r="F3179" s="167">
        <v>376.66</v>
      </c>
      <c r="G3179" s="167">
        <v>1858.77</v>
      </c>
      <c r="H3179" s="168">
        <v>14607.05</v>
      </c>
      <c r="I3179" s="168">
        <v>3752.78</v>
      </c>
      <c r="J3179" s="168">
        <v>2010.36</v>
      </c>
      <c r="K3179" s="168">
        <v>8843.91</v>
      </c>
      <c r="L3179" s="43">
        <v>5.7019810676295499</v>
      </c>
      <c r="M3179" s="43">
        <v>11.50030644765874</v>
      </c>
      <c r="N3179" s="43">
        <v>5.3373334041310461</v>
      </c>
      <c r="O3179" s="43">
        <v>4.7579367000758568</v>
      </c>
      <c r="P3179" s="169"/>
      <c r="Q3179" s="169"/>
      <c r="R3179" s="169">
        <v>13</v>
      </c>
    </row>
    <row r="3180" spans="1:18" ht="24">
      <c r="A3180" s="165">
        <v>499</v>
      </c>
      <c r="B3180" s="162" t="s">
        <v>5790</v>
      </c>
      <c r="C3180" s="166" t="s">
        <v>5791</v>
      </c>
      <c r="D3180" s="167">
        <v>56.07</v>
      </c>
      <c r="E3180" s="167">
        <v>23.67</v>
      </c>
      <c r="F3180" s="167">
        <v>30.51</v>
      </c>
      <c r="G3180" s="167">
        <v>1.89</v>
      </c>
      <c r="H3180" s="168">
        <v>447.38</v>
      </c>
      <c r="I3180" s="168">
        <v>272.20999999999998</v>
      </c>
      <c r="J3180" s="168">
        <v>164.16</v>
      </c>
      <c r="K3180" s="168">
        <v>11.01</v>
      </c>
      <c r="L3180" s="43">
        <v>7.9789548778312822</v>
      </c>
      <c r="M3180" s="43">
        <v>11.500211237853822</v>
      </c>
      <c r="N3180" s="43">
        <v>5.3805309734513269</v>
      </c>
      <c r="O3180" s="43">
        <v>5.825396825396826</v>
      </c>
      <c r="P3180" s="169"/>
      <c r="Q3180" s="169"/>
      <c r="R3180" s="169">
        <v>13</v>
      </c>
    </row>
    <row r="3181" spans="1:18" ht="24">
      <c r="A3181" s="165">
        <v>500</v>
      </c>
      <c r="B3181" s="162" t="s">
        <v>5792</v>
      </c>
      <c r="C3181" s="166" t="s">
        <v>5793</v>
      </c>
      <c r="D3181" s="167">
        <v>112.32</v>
      </c>
      <c r="E3181" s="167">
        <v>25.85</v>
      </c>
      <c r="F3181" s="167">
        <v>83.21</v>
      </c>
      <c r="G3181" s="167">
        <v>3.26</v>
      </c>
      <c r="H3181" s="168">
        <v>761.86</v>
      </c>
      <c r="I3181" s="168">
        <v>297.32</v>
      </c>
      <c r="J3181" s="168">
        <v>447.7</v>
      </c>
      <c r="K3181" s="168">
        <v>16.84</v>
      </c>
      <c r="L3181" s="43">
        <v>6.7829415954415957</v>
      </c>
      <c r="M3181" s="43">
        <v>11.50174081237911</v>
      </c>
      <c r="N3181" s="43">
        <v>5.3803629371469777</v>
      </c>
      <c r="O3181" s="43">
        <v>5.1656441717791415</v>
      </c>
      <c r="P3181" s="169"/>
      <c r="Q3181" s="169"/>
      <c r="R3181" s="169">
        <v>13</v>
      </c>
    </row>
    <row r="3182" spans="1:18" ht="24">
      <c r="A3182" s="165">
        <v>501</v>
      </c>
      <c r="B3182" s="162" t="s">
        <v>5794</v>
      </c>
      <c r="C3182" s="166" t="s">
        <v>5795</v>
      </c>
      <c r="D3182" s="167">
        <v>120.77</v>
      </c>
      <c r="E3182" s="167">
        <v>28.15</v>
      </c>
      <c r="F3182" s="167">
        <v>91.53</v>
      </c>
      <c r="G3182" s="167">
        <v>1.0900000000000001</v>
      </c>
      <c r="H3182" s="168">
        <v>824.74</v>
      </c>
      <c r="I3182" s="168">
        <v>323.74</v>
      </c>
      <c r="J3182" s="168">
        <v>492.46</v>
      </c>
      <c r="K3182" s="168">
        <v>8.5399999999999991</v>
      </c>
      <c r="L3182" s="43">
        <v>6.829013827937402</v>
      </c>
      <c r="M3182" s="43">
        <v>11.500532859680286</v>
      </c>
      <c r="N3182" s="43">
        <v>5.3803124658581885</v>
      </c>
      <c r="O3182" s="43">
        <v>7.8348623853210997</v>
      </c>
      <c r="P3182" s="169"/>
      <c r="Q3182" s="169"/>
      <c r="R3182" s="169">
        <v>13</v>
      </c>
    </row>
    <row r="3183" spans="1:18" ht="24">
      <c r="A3183" s="165">
        <v>502</v>
      </c>
      <c r="B3183" s="162" t="s">
        <v>5796</v>
      </c>
      <c r="C3183" s="166" t="s">
        <v>5797</v>
      </c>
      <c r="D3183" s="167">
        <v>1439.36</v>
      </c>
      <c r="E3183" s="167">
        <v>180.39</v>
      </c>
      <c r="F3183" s="167">
        <v>22.19</v>
      </c>
      <c r="G3183" s="167">
        <v>1236.78</v>
      </c>
      <c r="H3183" s="168">
        <v>8901.51</v>
      </c>
      <c r="I3183" s="168">
        <v>2074.6</v>
      </c>
      <c r="J3183" s="168">
        <v>119.39</v>
      </c>
      <c r="K3183" s="168">
        <v>6707.52</v>
      </c>
      <c r="L3183" s="43">
        <v>6.1843527678968435</v>
      </c>
      <c r="M3183" s="43">
        <v>11.500637507622374</v>
      </c>
      <c r="N3183" s="43">
        <v>5.3803515096890484</v>
      </c>
      <c r="O3183" s="43">
        <v>5.4233735991849805</v>
      </c>
      <c r="P3183" s="169"/>
      <c r="Q3183" s="169"/>
      <c r="R3183" s="169">
        <v>13</v>
      </c>
    </row>
    <row r="3184" spans="1:18" ht="36">
      <c r="A3184" s="165">
        <v>503</v>
      </c>
      <c r="B3184" s="162" t="s">
        <v>5798</v>
      </c>
      <c r="C3184" s="166" t="s">
        <v>5799</v>
      </c>
      <c r="D3184" s="167">
        <v>1169.27</v>
      </c>
      <c r="E3184" s="167">
        <v>515.9</v>
      </c>
      <c r="F3184" s="167">
        <v>554.53</v>
      </c>
      <c r="G3184" s="167">
        <v>98.84</v>
      </c>
      <c r="H3184" s="168">
        <v>9444.42</v>
      </c>
      <c r="I3184" s="168">
        <v>5933.09</v>
      </c>
      <c r="J3184" s="168">
        <v>2955.73</v>
      </c>
      <c r="K3184" s="168">
        <v>555.6</v>
      </c>
      <c r="L3184" s="43">
        <v>8.0771934625877684</v>
      </c>
      <c r="M3184" s="43">
        <v>11.500465206435356</v>
      </c>
      <c r="N3184" s="43">
        <v>5.3301534632932395</v>
      </c>
      <c r="O3184" s="43">
        <v>5.6212059894779438</v>
      </c>
      <c r="P3184" s="169"/>
      <c r="Q3184" s="169"/>
      <c r="R3184" s="169">
        <v>13</v>
      </c>
    </row>
    <row r="3185" spans="1:18" ht="36">
      <c r="A3185" s="165">
        <v>504</v>
      </c>
      <c r="B3185" s="162" t="s">
        <v>5800</v>
      </c>
      <c r="C3185" s="166" t="s">
        <v>5801</v>
      </c>
      <c r="D3185" s="167">
        <v>1414.15</v>
      </c>
      <c r="E3185" s="167">
        <v>521.65</v>
      </c>
      <c r="F3185" s="167">
        <v>765.32</v>
      </c>
      <c r="G3185" s="167">
        <v>127.18</v>
      </c>
      <c r="H3185" s="168">
        <v>10757.68</v>
      </c>
      <c r="I3185" s="168">
        <v>5999.16</v>
      </c>
      <c r="J3185" s="168">
        <v>4089.9</v>
      </c>
      <c r="K3185" s="168">
        <v>668.62</v>
      </c>
      <c r="L3185" s="43">
        <v>7.6071703850369481</v>
      </c>
      <c r="M3185" s="43">
        <v>11.500354643918337</v>
      </c>
      <c r="N3185" s="43">
        <v>5.3440390947577479</v>
      </c>
      <c r="O3185" s="43">
        <v>5.2572731561566277</v>
      </c>
      <c r="P3185" s="169"/>
      <c r="Q3185" s="169"/>
      <c r="R3185" s="169">
        <v>13</v>
      </c>
    </row>
    <row r="3186" spans="1:18" ht="24">
      <c r="A3186" s="165">
        <v>505</v>
      </c>
      <c r="B3186" s="162" t="s">
        <v>5802</v>
      </c>
      <c r="C3186" s="166" t="s">
        <v>5803</v>
      </c>
      <c r="D3186" s="167">
        <v>2092.7600000000002</v>
      </c>
      <c r="E3186" s="167">
        <v>206.82</v>
      </c>
      <c r="F3186" s="167">
        <v>124.38</v>
      </c>
      <c r="G3186" s="167">
        <v>1761.56</v>
      </c>
      <c r="H3186" s="168">
        <v>12565.5</v>
      </c>
      <c r="I3186" s="168">
        <v>2378.52</v>
      </c>
      <c r="J3186" s="168">
        <v>663.91</v>
      </c>
      <c r="K3186" s="168">
        <v>9523.07</v>
      </c>
      <c r="L3186" s="43">
        <v>6.0042718706397284</v>
      </c>
      <c r="M3186" s="43">
        <v>11.500435161009573</v>
      </c>
      <c r="N3186" s="43">
        <v>5.337755266119955</v>
      </c>
      <c r="O3186" s="43">
        <v>5.4060435068916188</v>
      </c>
      <c r="P3186" s="169"/>
      <c r="Q3186" s="169"/>
      <c r="R3186" s="169">
        <v>13</v>
      </c>
    </row>
    <row r="3187" spans="1:18" ht="24">
      <c r="A3187" s="165">
        <v>506</v>
      </c>
      <c r="B3187" s="162" t="s">
        <v>5804</v>
      </c>
      <c r="C3187" s="166" t="s">
        <v>5805</v>
      </c>
      <c r="D3187" s="167">
        <v>3052.34</v>
      </c>
      <c r="E3187" s="167">
        <v>206.82</v>
      </c>
      <c r="F3187" s="167">
        <v>215.91</v>
      </c>
      <c r="G3187" s="167">
        <v>2629.61</v>
      </c>
      <c r="H3187" s="168">
        <v>17731.740000000002</v>
      </c>
      <c r="I3187" s="168">
        <v>2378.52</v>
      </c>
      <c r="J3187" s="168">
        <v>1156.3699999999999</v>
      </c>
      <c r="K3187" s="168">
        <v>14196.85</v>
      </c>
      <c r="L3187" s="43">
        <v>5.8092283297404617</v>
      </c>
      <c r="M3187" s="43">
        <v>11.500435161009573</v>
      </c>
      <c r="N3187" s="43">
        <v>5.3557963966467508</v>
      </c>
      <c r="O3187" s="43">
        <v>5.3988424138940756</v>
      </c>
      <c r="P3187" s="169"/>
      <c r="Q3187" s="169"/>
      <c r="R3187" s="169">
        <v>13</v>
      </c>
    </row>
    <row r="3188" spans="1:18" ht="24">
      <c r="A3188" s="165">
        <v>507</v>
      </c>
      <c r="B3188" s="162" t="s">
        <v>5806</v>
      </c>
      <c r="C3188" s="166" t="s">
        <v>5807</v>
      </c>
      <c r="D3188" s="167">
        <v>29.58</v>
      </c>
      <c r="E3188" s="167">
        <v>25.85</v>
      </c>
      <c r="F3188" s="167">
        <v>2.77</v>
      </c>
      <c r="G3188" s="167">
        <v>0.96</v>
      </c>
      <c r="H3188" s="168">
        <v>319.98</v>
      </c>
      <c r="I3188" s="168">
        <v>297.32</v>
      </c>
      <c r="J3188" s="168">
        <v>14.93</v>
      </c>
      <c r="K3188" s="168">
        <v>7.73</v>
      </c>
      <c r="L3188" s="43">
        <v>10.817444219066939</v>
      </c>
      <c r="M3188" s="43">
        <v>11.50174081237911</v>
      </c>
      <c r="N3188" s="43">
        <v>5.3898916967509027</v>
      </c>
      <c r="O3188" s="43">
        <v>8.0520833333333339</v>
      </c>
      <c r="P3188" s="169"/>
      <c r="Q3188" s="169"/>
      <c r="R3188" s="169">
        <v>13</v>
      </c>
    </row>
    <row r="3189" spans="1:18" ht="48">
      <c r="A3189" s="165">
        <v>508</v>
      </c>
      <c r="B3189" s="162" t="s">
        <v>5808</v>
      </c>
      <c r="C3189" s="166" t="s">
        <v>5809</v>
      </c>
      <c r="D3189" s="167">
        <v>3529.7</v>
      </c>
      <c r="E3189" s="167">
        <v>865.2</v>
      </c>
      <c r="F3189" s="167">
        <v>1015.26</v>
      </c>
      <c r="G3189" s="167">
        <v>1649.24</v>
      </c>
      <c r="H3189" s="168">
        <v>23627.85</v>
      </c>
      <c r="I3189" s="168">
        <v>9950.14</v>
      </c>
      <c r="J3189" s="168">
        <v>5429.07</v>
      </c>
      <c r="K3189" s="168">
        <v>8248.64</v>
      </c>
      <c r="L3189" s="43">
        <v>6.6940108224495001</v>
      </c>
      <c r="M3189" s="43">
        <v>11.500392972723068</v>
      </c>
      <c r="N3189" s="43">
        <v>5.3474676437562794</v>
      </c>
      <c r="O3189" s="43">
        <v>5.0014794693313283</v>
      </c>
      <c r="P3189" s="169"/>
      <c r="Q3189" s="169"/>
      <c r="R3189" s="169">
        <v>13</v>
      </c>
    </row>
    <row r="3190" spans="1:18" ht="48">
      <c r="A3190" s="165">
        <v>509</v>
      </c>
      <c r="B3190" s="162" t="s">
        <v>5810</v>
      </c>
      <c r="C3190" s="166" t="s">
        <v>5811</v>
      </c>
      <c r="D3190" s="167">
        <v>3768.26</v>
      </c>
      <c r="E3190" s="167">
        <v>1043.29</v>
      </c>
      <c r="F3190" s="167">
        <v>1003.81</v>
      </c>
      <c r="G3190" s="167">
        <v>1721.16</v>
      </c>
      <c r="H3190" s="168">
        <v>26013.22</v>
      </c>
      <c r="I3190" s="168">
        <v>11998.31</v>
      </c>
      <c r="J3190" s="168">
        <v>5360.75</v>
      </c>
      <c r="K3190" s="168">
        <v>8654.16</v>
      </c>
      <c r="L3190" s="43">
        <v>6.9032444682691745</v>
      </c>
      <c r="M3190" s="43">
        <v>11.500455290475323</v>
      </c>
      <c r="N3190" s="43">
        <v>5.3404030643249225</v>
      </c>
      <c r="O3190" s="43">
        <v>5.0280973297078715</v>
      </c>
      <c r="P3190" s="169"/>
      <c r="Q3190" s="169"/>
      <c r="R3190" s="169">
        <v>13</v>
      </c>
    </row>
    <row r="3191" spans="1:18" ht="48">
      <c r="A3191" s="165">
        <v>510</v>
      </c>
      <c r="B3191" s="162" t="s">
        <v>5812</v>
      </c>
      <c r="C3191" s="166" t="s">
        <v>5813</v>
      </c>
      <c r="D3191" s="167">
        <v>4166.97</v>
      </c>
      <c r="E3191" s="167">
        <v>1263.9000000000001</v>
      </c>
      <c r="F3191" s="167">
        <v>1166.9100000000001</v>
      </c>
      <c r="G3191" s="167">
        <v>1736.16</v>
      </c>
      <c r="H3191" s="168">
        <v>29535</v>
      </c>
      <c r="I3191" s="168">
        <v>14535.4</v>
      </c>
      <c r="J3191" s="168">
        <v>6229.74</v>
      </c>
      <c r="K3191" s="168">
        <v>8769.86</v>
      </c>
      <c r="L3191" s="43">
        <v>7.0878840020446505</v>
      </c>
      <c r="M3191" s="43">
        <v>11.500435161009573</v>
      </c>
      <c r="N3191" s="43">
        <v>5.3386636501529674</v>
      </c>
      <c r="O3191" s="43">
        <v>5.0512971154732282</v>
      </c>
      <c r="P3191" s="169"/>
      <c r="Q3191" s="169"/>
      <c r="R3191" s="169">
        <v>13</v>
      </c>
    </row>
    <row r="3192" spans="1:18" ht="48">
      <c r="A3192" s="165">
        <v>511</v>
      </c>
      <c r="B3192" s="162" t="s">
        <v>5814</v>
      </c>
      <c r="C3192" s="166" t="s">
        <v>5815</v>
      </c>
      <c r="D3192" s="167">
        <v>4193.8</v>
      </c>
      <c r="E3192" s="167">
        <v>1367.31</v>
      </c>
      <c r="F3192" s="167">
        <v>1255.1500000000001</v>
      </c>
      <c r="G3192" s="167">
        <v>1571.34</v>
      </c>
      <c r="H3192" s="168">
        <v>31024.78</v>
      </c>
      <c r="I3192" s="168">
        <v>15724.66</v>
      </c>
      <c r="J3192" s="168">
        <v>6700.61</v>
      </c>
      <c r="K3192" s="168">
        <v>8599.51</v>
      </c>
      <c r="L3192" s="43">
        <v>7.3977729028565973</v>
      </c>
      <c r="M3192" s="43">
        <v>11.500435161009573</v>
      </c>
      <c r="N3192" s="43">
        <v>5.3384934071624901</v>
      </c>
      <c r="O3192" s="43">
        <v>5.472723917166241</v>
      </c>
      <c r="P3192" s="169"/>
      <c r="Q3192" s="169"/>
      <c r="R3192" s="169">
        <v>13</v>
      </c>
    </row>
    <row r="3193" spans="1:18" ht="48">
      <c r="A3193" s="165">
        <v>512</v>
      </c>
      <c r="B3193" s="162" t="s">
        <v>5816</v>
      </c>
      <c r="C3193" s="166" t="s">
        <v>5817</v>
      </c>
      <c r="D3193" s="167">
        <v>4658.53</v>
      </c>
      <c r="E3193" s="167">
        <v>1585.62</v>
      </c>
      <c r="F3193" s="167">
        <v>1463.64</v>
      </c>
      <c r="G3193" s="167">
        <v>1609.27</v>
      </c>
      <c r="H3193" s="168">
        <v>34877.980000000003</v>
      </c>
      <c r="I3193" s="168">
        <v>18235.32</v>
      </c>
      <c r="J3193" s="168">
        <v>7813.98</v>
      </c>
      <c r="K3193" s="168">
        <v>8828.68</v>
      </c>
      <c r="L3193" s="43">
        <v>7.4869068139520421</v>
      </c>
      <c r="M3193" s="43">
        <v>11.500435161009575</v>
      </c>
      <c r="N3193" s="43">
        <v>5.3387308354513401</v>
      </c>
      <c r="O3193" s="43">
        <v>5.4861396782392022</v>
      </c>
      <c r="P3193" s="169"/>
      <c r="Q3193" s="169"/>
      <c r="R3193" s="169">
        <v>13</v>
      </c>
    </row>
    <row r="3194" spans="1:18" ht="12.75" customHeight="1">
      <c r="A3194" s="628" t="s">
        <v>5818</v>
      </c>
      <c r="B3194" s="629"/>
      <c r="C3194" s="629"/>
      <c r="D3194" s="629"/>
      <c r="E3194" s="629"/>
      <c r="F3194" s="629"/>
      <c r="G3194" s="629"/>
      <c r="H3194" s="629"/>
      <c r="I3194" s="629"/>
      <c r="J3194" s="629"/>
      <c r="K3194" s="629"/>
      <c r="L3194" s="629"/>
      <c r="M3194" s="629"/>
      <c r="N3194" s="629"/>
      <c r="O3194" s="629"/>
      <c r="P3194" s="629"/>
      <c r="Q3194" s="629"/>
      <c r="R3194" s="629"/>
    </row>
    <row r="3195" spans="1:18" ht="24">
      <c r="A3195" s="165">
        <v>513</v>
      </c>
      <c r="B3195" s="162" t="s">
        <v>5819</v>
      </c>
      <c r="C3195" s="166" t="s">
        <v>5820</v>
      </c>
      <c r="D3195" s="167">
        <v>6580.31</v>
      </c>
      <c r="E3195" s="167">
        <v>1666.05</v>
      </c>
      <c r="F3195" s="167">
        <v>4422.2</v>
      </c>
      <c r="G3195" s="167">
        <v>492.06</v>
      </c>
      <c r="H3195" s="168">
        <v>43401.96</v>
      </c>
      <c r="I3195" s="168">
        <v>19160.3</v>
      </c>
      <c r="J3195" s="168">
        <v>21486.59</v>
      </c>
      <c r="K3195" s="168">
        <v>2755.07</v>
      </c>
      <c r="L3195" s="43">
        <v>6.5957318120270925</v>
      </c>
      <c r="M3195" s="43">
        <v>11.500435161009573</v>
      </c>
      <c r="N3195" s="43">
        <v>4.8588010492515039</v>
      </c>
      <c r="O3195" s="43">
        <v>5.5990529610210142</v>
      </c>
      <c r="P3195" s="169"/>
      <c r="Q3195" s="169"/>
      <c r="R3195" s="169">
        <v>14</v>
      </c>
    </row>
    <row r="3196" spans="1:18" ht="12.75" customHeight="1">
      <c r="A3196" s="628" t="s">
        <v>5821</v>
      </c>
      <c r="B3196" s="629"/>
      <c r="C3196" s="629"/>
      <c r="D3196" s="629"/>
      <c r="E3196" s="629"/>
      <c r="F3196" s="629"/>
      <c r="G3196" s="629"/>
      <c r="H3196" s="629"/>
      <c r="I3196" s="629"/>
      <c r="J3196" s="629"/>
      <c r="K3196" s="629"/>
      <c r="L3196" s="629"/>
      <c r="M3196" s="629"/>
      <c r="N3196" s="629"/>
      <c r="O3196" s="629"/>
      <c r="P3196" s="629"/>
      <c r="Q3196" s="629"/>
      <c r="R3196" s="629"/>
    </row>
    <row r="3197" spans="1:18" ht="24">
      <c r="A3197" s="165">
        <v>514</v>
      </c>
      <c r="B3197" s="162" t="s">
        <v>5822</v>
      </c>
      <c r="C3197" s="166" t="s">
        <v>5823</v>
      </c>
      <c r="D3197" s="167">
        <v>2300.36</v>
      </c>
      <c r="E3197" s="167">
        <v>315.98</v>
      </c>
      <c r="F3197" s="167">
        <v>696.17</v>
      </c>
      <c r="G3197" s="167">
        <v>1288.21</v>
      </c>
      <c r="H3197" s="168">
        <v>10679.17</v>
      </c>
      <c r="I3197" s="168">
        <v>3633.85</v>
      </c>
      <c r="J3197" s="168">
        <v>3745.75</v>
      </c>
      <c r="K3197" s="168">
        <v>3299.57</v>
      </c>
      <c r="L3197" s="43">
        <v>4.6423907562294593</v>
      </c>
      <c r="M3197" s="43">
        <v>11.500253180581048</v>
      </c>
      <c r="N3197" s="43">
        <v>5.3805105074909871</v>
      </c>
      <c r="O3197" s="43">
        <v>2.5613603372121005</v>
      </c>
      <c r="P3197" s="169"/>
      <c r="Q3197" s="169"/>
      <c r="R3197" s="169">
        <v>15</v>
      </c>
    </row>
    <row r="3198" spans="1:18" ht="12.75" customHeight="1">
      <c r="A3198" s="628" t="s">
        <v>5824</v>
      </c>
      <c r="B3198" s="629"/>
      <c r="C3198" s="629"/>
      <c r="D3198" s="629"/>
      <c r="E3198" s="629"/>
      <c r="F3198" s="629"/>
      <c r="G3198" s="629"/>
      <c r="H3198" s="629"/>
      <c r="I3198" s="629"/>
      <c r="J3198" s="629"/>
      <c r="K3198" s="629"/>
      <c r="L3198" s="629"/>
      <c r="M3198" s="629"/>
      <c r="N3198" s="629"/>
      <c r="O3198" s="629"/>
      <c r="P3198" s="629"/>
      <c r="Q3198" s="629"/>
      <c r="R3198" s="629"/>
    </row>
    <row r="3199" spans="1:18" ht="36">
      <c r="A3199" s="165">
        <v>515</v>
      </c>
      <c r="B3199" s="162" t="s">
        <v>5825</v>
      </c>
      <c r="C3199" s="166" t="s">
        <v>5826</v>
      </c>
      <c r="D3199" s="167">
        <v>22.17</v>
      </c>
      <c r="E3199" s="167">
        <v>5.4</v>
      </c>
      <c r="F3199" s="167"/>
      <c r="G3199" s="167">
        <v>16.77</v>
      </c>
      <c r="H3199" s="168">
        <v>170.45</v>
      </c>
      <c r="I3199" s="168">
        <v>62.11</v>
      </c>
      <c r="J3199" s="168"/>
      <c r="K3199" s="168">
        <v>108.34</v>
      </c>
      <c r="L3199" s="43">
        <v>7.6883175462336482</v>
      </c>
      <c r="M3199" s="43">
        <v>11.501851851851852</v>
      </c>
      <c r="N3199" s="43" t="s">
        <v>1690</v>
      </c>
      <c r="O3199" s="43">
        <v>6.4603458556946931</v>
      </c>
      <c r="P3199" s="169"/>
      <c r="Q3199" s="169"/>
      <c r="R3199" s="169">
        <v>16</v>
      </c>
    </row>
    <row r="3200" spans="1:18" ht="24">
      <c r="A3200" s="165">
        <v>516</v>
      </c>
      <c r="B3200" s="162" t="s">
        <v>5827</v>
      </c>
      <c r="C3200" s="166" t="s">
        <v>5828</v>
      </c>
      <c r="D3200" s="167">
        <v>15.66</v>
      </c>
      <c r="E3200" s="167">
        <v>14.48</v>
      </c>
      <c r="F3200" s="167"/>
      <c r="G3200" s="167">
        <v>1.18</v>
      </c>
      <c r="H3200" s="168">
        <v>177.47</v>
      </c>
      <c r="I3200" s="168">
        <v>166.5</v>
      </c>
      <c r="J3200" s="168"/>
      <c r="K3200" s="168">
        <v>10.97</v>
      </c>
      <c r="L3200" s="43">
        <v>11.332694763729247</v>
      </c>
      <c r="M3200" s="43">
        <v>11.498618784530386</v>
      </c>
      <c r="N3200" s="43" t="s">
        <v>1690</v>
      </c>
      <c r="O3200" s="43">
        <v>9.296610169491526</v>
      </c>
      <c r="P3200" s="169"/>
      <c r="Q3200" s="169"/>
      <c r="R3200" s="169">
        <v>16</v>
      </c>
    </row>
    <row r="3201" spans="1:18" ht="19.5" customHeight="1">
      <c r="A3201" s="628" t="s">
        <v>5829</v>
      </c>
      <c r="B3201" s="629"/>
      <c r="C3201" s="629"/>
      <c r="D3201" s="629"/>
      <c r="E3201" s="629"/>
      <c r="F3201" s="629"/>
      <c r="G3201" s="629"/>
      <c r="H3201" s="629"/>
      <c r="I3201" s="629"/>
      <c r="J3201" s="629"/>
      <c r="K3201" s="629"/>
      <c r="L3201" s="629"/>
      <c r="M3201" s="629"/>
      <c r="N3201" s="629"/>
      <c r="O3201" s="629"/>
      <c r="P3201" s="629"/>
      <c r="Q3201" s="629"/>
      <c r="R3201" s="629"/>
    </row>
    <row r="3202" spans="1:18" ht="36">
      <c r="A3202" s="165">
        <v>517</v>
      </c>
      <c r="B3202" s="162" t="s">
        <v>5830</v>
      </c>
      <c r="C3202" s="166" t="s">
        <v>5831</v>
      </c>
      <c r="D3202" s="167">
        <v>886.68</v>
      </c>
      <c r="E3202" s="167">
        <v>84.22</v>
      </c>
      <c r="F3202" s="167">
        <v>44.38</v>
      </c>
      <c r="G3202" s="167">
        <v>758.08</v>
      </c>
      <c r="H3202" s="168">
        <v>4899.13</v>
      </c>
      <c r="I3202" s="168">
        <v>968.59</v>
      </c>
      <c r="J3202" s="168">
        <v>238.77</v>
      </c>
      <c r="K3202" s="168">
        <v>3691.77</v>
      </c>
      <c r="L3202" s="43">
        <v>5.5252514999774442</v>
      </c>
      <c r="M3202" s="43">
        <v>11.500712419852768</v>
      </c>
      <c r="N3202" s="43">
        <v>5.3801261829652995</v>
      </c>
      <c r="O3202" s="43">
        <v>4.8698949978894044</v>
      </c>
      <c r="P3202" s="169"/>
      <c r="Q3202" s="169"/>
      <c r="R3202" s="169">
        <v>17</v>
      </c>
    </row>
    <row r="3203" spans="1:18" ht="36">
      <c r="A3203" s="165">
        <v>518</v>
      </c>
      <c r="B3203" s="162" t="s">
        <v>5832</v>
      </c>
      <c r="C3203" s="166" t="s">
        <v>5833</v>
      </c>
      <c r="D3203" s="167">
        <v>611</v>
      </c>
      <c r="E3203" s="167">
        <v>134.43</v>
      </c>
      <c r="F3203" s="167">
        <v>58.25</v>
      </c>
      <c r="G3203" s="167">
        <v>418.32</v>
      </c>
      <c r="H3203" s="168">
        <v>3664.81</v>
      </c>
      <c r="I3203" s="168">
        <v>1546.04</v>
      </c>
      <c r="J3203" s="168">
        <v>313.39</v>
      </c>
      <c r="K3203" s="168">
        <v>1805.38</v>
      </c>
      <c r="L3203" s="43">
        <v>5.9980523731587558</v>
      </c>
      <c r="M3203" s="43">
        <v>11.500706687495351</v>
      </c>
      <c r="N3203" s="43">
        <v>5.3800858369098714</v>
      </c>
      <c r="O3203" s="43">
        <v>4.3157869573532226</v>
      </c>
      <c r="P3203" s="169"/>
      <c r="Q3203" s="169"/>
      <c r="R3203" s="169">
        <v>17</v>
      </c>
    </row>
    <row r="3204" spans="1:18" ht="48">
      <c r="A3204" s="165">
        <v>519</v>
      </c>
      <c r="B3204" s="162" t="s">
        <v>5834</v>
      </c>
      <c r="C3204" s="166" t="s">
        <v>5835</v>
      </c>
      <c r="D3204" s="167">
        <v>168.17</v>
      </c>
      <c r="E3204" s="167">
        <v>41.25</v>
      </c>
      <c r="F3204" s="167">
        <v>119.31</v>
      </c>
      <c r="G3204" s="167">
        <v>7.61</v>
      </c>
      <c r="H3204" s="168">
        <v>1080.8499999999999</v>
      </c>
      <c r="I3204" s="168">
        <v>474.38</v>
      </c>
      <c r="J3204" s="168">
        <v>568.52</v>
      </c>
      <c r="K3204" s="168">
        <v>37.950000000000003</v>
      </c>
      <c r="L3204" s="43">
        <v>6.4271273116489267</v>
      </c>
      <c r="M3204" s="43">
        <v>11.500121212121211</v>
      </c>
      <c r="N3204" s="43">
        <v>4.7650657949878461</v>
      </c>
      <c r="O3204" s="43">
        <v>4.9868593955321945</v>
      </c>
      <c r="P3204" s="169"/>
      <c r="Q3204" s="169"/>
      <c r="R3204" s="169">
        <v>17</v>
      </c>
    </row>
    <row r="3205" spans="1:18" ht="48">
      <c r="A3205" s="165">
        <v>520</v>
      </c>
      <c r="B3205" s="162" t="s">
        <v>5836</v>
      </c>
      <c r="C3205" s="166" t="s">
        <v>5837</v>
      </c>
      <c r="D3205" s="167">
        <v>184.46</v>
      </c>
      <c r="E3205" s="167">
        <v>54.92</v>
      </c>
      <c r="F3205" s="167">
        <v>121.65</v>
      </c>
      <c r="G3205" s="167">
        <v>7.89</v>
      </c>
      <c r="H3205" s="168">
        <v>1254.8800000000001</v>
      </c>
      <c r="I3205" s="168">
        <v>631.63</v>
      </c>
      <c r="J3205" s="168">
        <v>582.08000000000004</v>
      </c>
      <c r="K3205" s="168">
        <v>41.17</v>
      </c>
      <c r="L3205" s="43">
        <v>6.8029925187032418</v>
      </c>
      <c r="M3205" s="43">
        <v>11.500910415149308</v>
      </c>
      <c r="N3205" s="43">
        <v>4.7848746403616937</v>
      </c>
      <c r="O3205" s="43">
        <v>5.2179974651457544</v>
      </c>
      <c r="P3205" s="169"/>
      <c r="Q3205" s="169"/>
      <c r="R3205" s="169">
        <v>17</v>
      </c>
    </row>
    <row r="3206" spans="1:18" ht="48">
      <c r="A3206" s="165">
        <v>521</v>
      </c>
      <c r="B3206" s="162" t="s">
        <v>5838</v>
      </c>
      <c r="C3206" s="166" t="s">
        <v>5839</v>
      </c>
      <c r="D3206" s="167">
        <v>267.02999999999997</v>
      </c>
      <c r="E3206" s="167">
        <v>109.84</v>
      </c>
      <c r="F3206" s="167">
        <v>146.61000000000001</v>
      </c>
      <c r="G3206" s="167">
        <v>10.58</v>
      </c>
      <c r="H3206" s="168">
        <v>2041.04</v>
      </c>
      <c r="I3206" s="168">
        <v>1263.26</v>
      </c>
      <c r="J3206" s="168">
        <v>716.39</v>
      </c>
      <c r="K3206" s="168">
        <v>61.39</v>
      </c>
      <c r="L3206" s="43">
        <v>7.6434857506647198</v>
      </c>
      <c r="M3206" s="43">
        <v>11.500910415149308</v>
      </c>
      <c r="N3206" s="43">
        <v>4.886365186549348</v>
      </c>
      <c r="O3206" s="43">
        <v>5.8024574669187148</v>
      </c>
      <c r="P3206" s="169"/>
      <c r="Q3206" s="169"/>
      <c r="R3206" s="169">
        <v>17</v>
      </c>
    </row>
    <row r="3207" spans="1:18" ht="48">
      <c r="A3207" s="165">
        <v>522</v>
      </c>
      <c r="B3207" s="162" t="s">
        <v>5840</v>
      </c>
      <c r="C3207" s="166" t="s">
        <v>5841</v>
      </c>
      <c r="D3207" s="167">
        <v>299</v>
      </c>
      <c r="E3207" s="167">
        <v>124.09</v>
      </c>
      <c r="F3207" s="167">
        <v>163.25</v>
      </c>
      <c r="G3207" s="167">
        <v>11.66</v>
      </c>
      <c r="H3207" s="168">
        <v>2299.9899999999998</v>
      </c>
      <c r="I3207" s="168">
        <v>1427.11</v>
      </c>
      <c r="J3207" s="168">
        <v>805.94</v>
      </c>
      <c r="K3207" s="168">
        <v>66.94</v>
      </c>
      <c r="L3207" s="43">
        <v>7.6922742474916381</v>
      </c>
      <c r="M3207" s="43">
        <v>11.500604400032234</v>
      </c>
      <c r="N3207" s="43">
        <v>4.9368453292496177</v>
      </c>
      <c r="O3207" s="43">
        <v>5.740994854202401</v>
      </c>
      <c r="P3207" s="169"/>
      <c r="Q3207" s="169"/>
      <c r="R3207" s="169">
        <v>17</v>
      </c>
    </row>
    <row r="3208" spans="1:18" ht="12.75" customHeight="1">
      <c r="A3208" s="628" t="s">
        <v>5842</v>
      </c>
      <c r="B3208" s="629"/>
      <c r="C3208" s="629"/>
      <c r="D3208" s="629"/>
      <c r="E3208" s="629"/>
      <c r="F3208" s="629"/>
      <c r="G3208" s="629"/>
      <c r="H3208" s="629"/>
      <c r="I3208" s="629"/>
      <c r="J3208" s="629"/>
      <c r="K3208" s="629"/>
      <c r="L3208" s="629"/>
      <c r="M3208" s="629"/>
      <c r="N3208" s="629"/>
      <c r="O3208" s="629"/>
      <c r="P3208" s="629"/>
      <c r="Q3208" s="629"/>
      <c r="R3208" s="629"/>
    </row>
    <row r="3209" spans="1:18" ht="24">
      <c r="A3209" s="165">
        <v>523</v>
      </c>
      <c r="B3209" s="162" t="s">
        <v>5843</v>
      </c>
      <c r="C3209" s="166" t="s">
        <v>5844</v>
      </c>
      <c r="D3209" s="167">
        <v>18.510000000000002</v>
      </c>
      <c r="E3209" s="167">
        <v>18.149999999999999</v>
      </c>
      <c r="F3209" s="167"/>
      <c r="G3209" s="167">
        <v>0.36</v>
      </c>
      <c r="H3209" s="168">
        <v>212.92</v>
      </c>
      <c r="I3209" s="168">
        <v>208.78</v>
      </c>
      <c r="J3209" s="168"/>
      <c r="K3209" s="168">
        <v>4.1399999999999997</v>
      </c>
      <c r="L3209" s="43">
        <v>11.50297136682874</v>
      </c>
      <c r="M3209" s="43">
        <v>11.503030303030304</v>
      </c>
      <c r="N3209" s="43" t="s">
        <v>1690</v>
      </c>
      <c r="O3209" s="43">
        <v>11.5</v>
      </c>
      <c r="P3209" s="169"/>
      <c r="Q3209" s="169"/>
      <c r="R3209" s="169">
        <v>18</v>
      </c>
    </row>
    <row r="3210" spans="1:18" ht="24">
      <c r="A3210" s="165">
        <v>524</v>
      </c>
      <c r="B3210" s="162" t="s">
        <v>5845</v>
      </c>
      <c r="C3210" s="166" t="s">
        <v>5846</v>
      </c>
      <c r="D3210" s="167">
        <v>28.37</v>
      </c>
      <c r="E3210" s="167">
        <v>27.81</v>
      </c>
      <c r="F3210" s="167"/>
      <c r="G3210" s="167">
        <v>0.56000000000000005</v>
      </c>
      <c r="H3210" s="168">
        <v>326.22000000000003</v>
      </c>
      <c r="I3210" s="168">
        <v>319.77999999999997</v>
      </c>
      <c r="J3210" s="168"/>
      <c r="K3210" s="168">
        <v>6.44</v>
      </c>
      <c r="L3210" s="43">
        <v>11.498766302432147</v>
      </c>
      <c r="M3210" s="43">
        <v>11.498741459906508</v>
      </c>
      <c r="N3210" s="43" t="s">
        <v>1690</v>
      </c>
      <c r="O3210" s="43">
        <v>11.5</v>
      </c>
      <c r="P3210" s="169"/>
      <c r="Q3210" s="169"/>
      <c r="R3210" s="169">
        <v>18</v>
      </c>
    </row>
    <row r="3211" spans="1:18" ht="12.75" customHeight="1">
      <c r="A3211" s="628" t="s">
        <v>5847</v>
      </c>
      <c r="B3211" s="629"/>
      <c r="C3211" s="629"/>
      <c r="D3211" s="629"/>
      <c r="E3211" s="629"/>
      <c r="F3211" s="629"/>
      <c r="G3211" s="629"/>
      <c r="H3211" s="629"/>
      <c r="I3211" s="629"/>
      <c r="J3211" s="629"/>
      <c r="K3211" s="629"/>
      <c r="L3211" s="629"/>
      <c r="M3211" s="629"/>
      <c r="N3211" s="629"/>
      <c r="O3211" s="629"/>
      <c r="P3211" s="629"/>
      <c r="Q3211" s="629"/>
      <c r="R3211" s="629"/>
    </row>
    <row r="3212" spans="1:18" ht="36">
      <c r="A3212" s="165">
        <v>525</v>
      </c>
      <c r="B3212" s="162" t="s">
        <v>5848</v>
      </c>
      <c r="C3212" s="166" t="s">
        <v>5849</v>
      </c>
      <c r="D3212" s="167">
        <v>39.21</v>
      </c>
      <c r="E3212" s="167">
        <v>29.3</v>
      </c>
      <c r="F3212" s="167">
        <v>2.77</v>
      </c>
      <c r="G3212" s="167">
        <v>7.14</v>
      </c>
      <c r="H3212" s="168">
        <v>393.2</v>
      </c>
      <c r="I3212" s="168">
        <v>336.96</v>
      </c>
      <c r="J3212" s="168">
        <v>14.93</v>
      </c>
      <c r="K3212" s="168">
        <v>41.31</v>
      </c>
      <c r="L3212" s="43">
        <v>10.028054067839836</v>
      </c>
      <c r="M3212" s="43">
        <v>11.500341296928326</v>
      </c>
      <c r="N3212" s="43">
        <v>5.3898916967509027</v>
      </c>
      <c r="O3212" s="43">
        <v>5.7857142857142865</v>
      </c>
      <c r="P3212" s="169"/>
      <c r="Q3212" s="169"/>
      <c r="R3212" s="169">
        <v>19</v>
      </c>
    </row>
    <row r="3213" spans="1:18" ht="36">
      <c r="A3213" s="165">
        <v>526</v>
      </c>
      <c r="B3213" s="162" t="s">
        <v>5850</v>
      </c>
      <c r="C3213" s="166" t="s">
        <v>5851</v>
      </c>
      <c r="D3213" s="167">
        <v>45.53</v>
      </c>
      <c r="E3213" s="167">
        <v>35.5</v>
      </c>
      <c r="F3213" s="167">
        <v>2.77</v>
      </c>
      <c r="G3213" s="167">
        <v>7.26</v>
      </c>
      <c r="H3213" s="168">
        <v>465.93</v>
      </c>
      <c r="I3213" s="168">
        <v>408.31</v>
      </c>
      <c r="J3213" s="168">
        <v>14.93</v>
      </c>
      <c r="K3213" s="168">
        <v>42.69</v>
      </c>
      <c r="L3213" s="43">
        <v>10.233472435756644</v>
      </c>
      <c r="M3213" s="43">
        <v>11.501690140845071</v>
      </c>
      <c r="N3213" s="43">
        <v>5.3898916967509027</v>
      </c>
      <c r="O3213" s="43">
        <v>5.8801652892561984</v>
      </c>
      <c r="P3213" s="169"/>
      <c r="Q3213" s="169"/>
      <c r="R3213" s="169">
        <v>19</v>
      </c>
    </row>
    <row r="3214" spans="1:18" ht="36">
      <c r="A3214" s="165">
        <v>527</v>
      </c>
      <c r="B3214" s="162" t="s">
        <v>5852</v>
      </c>
      <c r="C3214" s="166" t="s">
        <v>5853</v>
      </c>
      <c r="D3214" s="167">
        <v>45.53</v>
      </c>
      <c r="E3214" s="167">
        <v>35.5</v>
      </c>
      <c r="F3214" s="167">
        <v>2.77</v>
      </c>
      <c r="G3214" s="167">
        <v>7.26</v>
      </c>
      <c r="H3214" s="168">
        <v>465.93</v>
      </c>
      <c r="I3214" s="168">
        <v>408.31</v>
      </c>
      <c r="J3214" s="168">
        <v>14.93</v>
      </c>
      <c r="K3214" s="168">
        <v>42.69</v>
      </c>
      <c r="L3214" s="43">
        <v>10.233472435756644</v>
      </c>
      <c r="M3214" s="43">
        <v>11.501690140845071</v>
      </c>
      <c r="N3214" s="43">
        <v>5.3898916967509027</v>
      </c>
      <c r="O3214" s="43">
        <v>5.8801652892561984</v>
      </c>
      <c r="P3214" s="169"/>
      <c r="Q3214" s="169"/>
      <c r="R3214" s="169">
        <v>19</v>
      </c>
    </row>
    <row r="3215" spans="1:18" ht="36">
      <c r="A3215" s="165">
        <v>528</v>
      </c>
      <c r="B3215" s="162" t="s">
        <v>5854</v>
      </c>
      <c r="C3215" s="166" t="s">
        <v>5855</v>
      </c>
      <c r="D3215" s="167">
        <v>55.9</v>
      </c>
      <c r="E3215" s="167">
        <v>2.99</v>
      </c>
      <c r="F3215" s="167">
        <v>2.77</v>
      </c>
      <c r="G3215" s="167">
        <v>50.14</v>
      </c>
      <c r="H3215" s="168">
        <v>196.7</v>
      </c>
      <c r="I3215" s="168">
        <v>34.36</v>
      </c>
      <c r="J3215" s="168">
        <v>14.93</v>
      </c>
      <c r="K3215" s="168">
        <v>147.41</v>
      </c>
      <c r="L3215" s="43">
        <v>3.5187835420393561</v>
      </c>
      <c r="M3215" s="43">
        <v>11.5</v>
      </c>
      <c r="N3215" s="43">
        <v>5.3898916967509027</v>
      </c>
      <c r="O3215" s="43">
        <v>2.9399680893498203</v>
      </c>
      <c r="P3215" s="169"/>
      <c r="Q3215" s="169"/>
      <c r="R3215" s="169">
        <v>19</v>
      </c>
    </row>
    <row r="3216" spans="1:18" ht="36">
      <c r="A3216" s="165">
        <v>529</v>
      </c>
      <c r="B3216" s="162" t="s">
        <v>5856</v>
      </c>
      <c r="C3216" s="166" t="s">
        <v>5857</v>
      </c>
      <c r="D3216" s="167">
        <v>57.31</v>
      </c>
      <c r="E3216" s="167">
        <v>4.37</v>
      </c>
      <c r="F3216" s="167">
        <v>2.77</v>
      </c>
      <c r="G3216" s="167">
        <v>50.17</v>
      </c>
      <c r="H3216" s="168">
        <v>212.9</v>
      </c>
      <c r="I3216" s="168">
        <v>50.21</v>
      </c>
      <c r="J3216" s="168">
        <v>14.93</v>
      </c>
      <c r="K3216" s="168">
        <v>147.76</v>
      </c>
      <c r="L3216" s="43">
        <v>3.7148839644041178</v>
      </c>
      <c r="M3216" s="43">
        <v>11.5</v>
      </c>
      <c r="N3216" s="43">
        <v>5.3898916967509027</v>
      </c>
      <c r="O3216" s="43">
        <v>2.9451863663543949</v>
      </c>
      <c r="P3216" s="169"/>
      <c r="Q3216" s="169"/>
      <c r="R3216" s="169">
        <v>19</v>
      </c>
    </row>
    <row r="3217" spans="1:18" ht="36">
      <c r="A3217" s="165">
        <v>530</v>
      </c>
      <c r="B3217" s="162" t="s">
        <v>5858</v>
      </c>
      <c r="C3217" s="166" t="s">
        <v>5859</v>
      </c>
      <c r="D3217" s="167">
        <v>60.22</v>
      </c>
      <c r="E3217" s="167">
        <v>5.97</v>
      </c>
      <c r="F3217" s="167">
        <v>2.77</v>
      </c>
      <c r="G3217" s="167">
        <v>51.48</v>
      </c>
      <c r="H3217" s="168">
        <v>235.8</v>
      </c>
      <c r="I3217" s="168">
        <v>68.709999999999994</v>
      </c>
      <c r="J3217" s="168">
        <v>14.93</v>
      </c>
      <c r="K3217" s="168">
        <v>152.16</v>
      </c>
      <c r="L3217" s="43">
        <v>3.9156426436399872</v>
      </c>
      <c r="M3217" s="43">
        <v>11.5021951219512</v>
      </c>
      <c r="N3217" s="43">
        <v>5.3898916967509027</v>
      </c>
      <c r="O3217" s="43">
        <v>2.955710955710956</v>
      </c>
      <c r="P3217" s="169"/>
      <c r="Q3217" s="169"/>
      <c r="R3217" s="169">
        <v>19</v>
      </c>
    </row>
    <row r="3218" spans="1:18" ht="36">
      <c r="A3218" s="165">
        <v>531</v>
      </c>
      <c r="B3218" s="162" t="s">
        <v>5860</v>
      </c>
      <c r="C3218" s="166" t="s">
        <v>5861</v>
      </c>
      <c r="D3218" s="167">
        <v>62.22</v>
      </c>
      <c r="E3218" s="167">
        <v>7.93</v>
      </c>
      <c r="F3218" s="167">
        <v>2.77</v>
      </c>
      <c r="G3218" s="167">
        <v>51.52</v>
      </c>
      <c r="H3218" s="168">
        <v>258.73</v>
      </c>
      <c r="I3218" s="168">
        <v>91.18</v>
      </c>
      <c r="J3218" s="168">
        <v>14.93</v>
      </c>
      <c r="K3218" s="168">
        <v>152.62</v>
      </c>
      <c r="L3218" s="43">
        <v>4.158309225329476</v>
      </c>
      <c r="M3218" s="43">
        <v>11.498108448928122</v>
      </c>
      <c r="N3218" s="43">
        <v>5.3898916967509027</v>
      </c>
      <c r="O3218" s="43">
        <v>2.9623447204968945</v>
      </c>
      <c r="P3218" s="169"/>
      <c r="Q3218" s="169"/>
      <c r="R3218" s="169">
        <v>19</v>
      </c>
    </row>
    <row r="3219" spans="1:18" ht="36">
      <c r="A3219" s="165">
        <v>532</v>
      </c>
      <c r="B3219" s="162" t="s">
        <v>5862</v>
      </c>
      <c r="C3219" s="166" t="s">
        <v>5863</v>
      </c>
      <c r="D3219" s="167">
        <v>64.94</v>
      </c>
      <c r="E3219" s="167">
        <v>10.46</v>
      </c>
      <c r="F3219" s="167">
        <v>2.77</v>
      </c>
      <c r="G3219" s="167">
        <v>51.71</v>
      </c>
      <c r="H3219" s="168">
        <v>288.83999999999997</v>
      </c>
      <c r="I3219" s="168">
        <v>120.25</v>
      </c>
      <c r="J3219" s="168">
        <v>14.93</v>
      </c>
      <c r="K3219" s="168">
        <v>153.66</v>
      </c>
      <c r="L3219" s="43">
        <v>4.4477979673544805</v>
      </c>
      <c r="M3219" s="43">
        <v>11.496175908221796</v>
      </c>
      <c r="N3219" s="43">
        <v>5.3898916967509027</v>
      </c>
      <c r="O3219" s="43">
        <v>2.9715722297427964</v>
      </c>
      <c r="P3219" s="169"/>
      <c r="Q3219" s="169"/>
      <c r="R3219" s="169">
        <v>19</v>
      </c>
    </row>
    <row r="3220" spans="1:18" ht="36">
      <c r="A3220" s="165">
        <v>533</v>
      </c>
      <c r="B3220" s="162" t="s">
        <v>5864</v>
      </c>
      <c r="C3220" s="166" t="s">
        <v>5865</v>
      </c>
      <c r="D3220" s="167">
        <v>69.180000000000007</v>
      </c>
      <c r="E3220" s="167">
        <v>14.48</v>
      </c>
      <c r="F3220" s="167">
        <v>2.77</v>
      </c>
      <c r="G3220" s="167">
        <v>51.93</v>
      </c>
      <c r="H3220" s="168">
        <v>336.47</v>
      </c>
      <c r="I3220" s="168">
        <v>166.5</v>
      </c>
      <c r="J3220" s="168">
        <v>14.93</v>
      </c>
      <c r="K3220" s="168">
        <v>155.04</v>
      </c>
      <c r="L3220" s="43">
        <v>4.8636889274356747</v>
      </c>
      <c r="M3220" s="43">
        <v>11.498618784530386</v>
      </c>
      <c r="N3220" s="43">
        <v>5.3898916967509027</v>
      </c>
      <c r="O3220" s="43">
        <v>2.9855574812247254</v>
      </c>
      <c r="P3220" s="169"/>
      <c r="Q3220" s="169"/>
      <c r="R3220" s="169">
        <v>19</v>
      </c>
    </row>
    <row r="3221" spans="1:18" ht="36">
      <c r="A3221" s="165">
        <v>534</v>
      </c>
      <c r="B3221" s="162" t="s">
        <v>5866</v>
      </c>
      <c r="C3221" s="166" t="s">
        <v>5867</v>
      </c>
      <c r="D3221" s="167">
        <v>74.099999999999994</v>
      </c>
      <c r="E3221" s="167">
        <v>19.3</v>
      </c>
      <c r="F3221" s="167">
        <v>2.77</v>
      </c>
      <c r="G3221" s="167">
        <v>52.03</v>
      </c>
      <c r="H3221" s="168">
        <v>393.12</v>
      </c>
      <c r="I3221" s="168">
        <v>222</v>
      </c>
      <c r="J3221" s="168">
        <v>14.93</v>
      </c>
      <c r="K3221" s="168">
        <v>156.19</v>
      </c>
      <c r="L3221" s="43">
        <v>5.3052631578947373</v>
      </c>
      <c r="M3221" s="43">
        <v>11.50259067357513</v>
      </c>
      <c r="N3221" s="43">
        <v>5.3898916967509027</v>
      </c>
      <c r="O3221" s="43">
        <v>3.0019219680953295</v>
      </c>
      <c r="P3221" s="169"/>
      <c r="Q3221" s="169"/>
      <c r="R3221" s="169">
        <v>19</v>
      </c>
    </row>
    <row r="3222" spans="1:18" ht="36">
      <c r="A3222" s="165">
        <v>535</v>
      </c>
      <c r="B3222" s="162" t="s">
        <v>5868</v>
      </c>
      <c r="C3222" s="166" t="s">
        <v>5869</v>
      </c>
      <c r="D3222" s="167">
        <v>57.67</v>
      </c>
      <c r="E3222" s="167">
        <v>3.33</v>
      </c>
      <c r="F3222" s="167">
        <v>2.77</v>
      </c>
      <c r="G3222" s="167">
        <v>51.57</v>
      </c>
      <c r="H3222" s="168">
        <v>205.3</v>
      </c>
      <c r="I3222" s="168">
        <v>38.32</v>
      </c>
      <c r="J3222" s="168">
        <v>14.93</v>
      </c>
      <c r="K3222" s="168">
        <v>152.05000000000001</v>
      </c>
      <c r="L3222" s="43">
        <v>3.55990983180163</v>
      </c>
      <c r="M3222" s="43">
        <v>11.5021951219512</v>
      </c>
      <c r="N3222" s="43">
        <v>5.3898916967509027</v>
      </c>
      <c r="O3222" s="43">
        <v>2.9484196238122942</v>
      </c>
      <c r="P3222" s="169"/>
      <c r="Q3222" s="169"/>
      <c r="R3222" s="169">
        <v>19</v>
      </c>
    </row>
    <row r="3223" spans="1:18" ht="36">
      <c r="A3223" s="165">
        <v>536</v>
      </c>
      <c r="B3223" s="162" t="s">
        <v>5870</v>
      </c>
      <c r="C3223" s="166" t="s">
        <v>5871</v>
      </c>
      <c r="D3223" s="167">
        <v>59.07</v>
      </c>
      <c r="E3223" s="167">
        <v>4.71</v>
      </c>
      <c r="F3223" s="167">
        <v>2.77</v>
      </c>
      <c r="G3223" s="167">
        <v>51.59</v>
      </c>
      <c r="H3223" s="168">
        <v>221.39</v>
      </c>
      <c r="I3223" s="168">
        <v>54.18</v>
      </c>
      <c r="J3223" s="168">
        <v>14.93</v>
      </c>
      <c r="K3223" s="168">
        <v>152.28</v>
      </c>
      <c r="L3223" s="43">
        <v>3.7479261892669711</v>
      </c>
      <c r="M3223" s="43">
        <v>11.503184713375797</v>
      </c>
      <c r="N3223" s="43">
        <v>5.3898916967509027</v>
      </c>
      <c r="O3223" s="43">
        <v>2.9517348323318471</v>
      </c>
      <c r="P3223" s="169"/>
      <c r="Q3223" s="169"/>
      <c r="R3223" s="169">
        <v>19</v>
      </c>
    </row>
    <row r="3224" spans="1:18" ht="36">
      <c r="A3224" s="165">
        <v>537</v>
      </c>
      <c r="B3224" s="162" t="s">
        <v>5872</v>
      </c>
      <c r="C3224" s="166" t="s">
        <v>5873</v>
      </c>
      <c r="D3224" s="167">
        <v>60.73</v>
      </c>
      <c r="E3224" s="167">
        <v>6.2</v>
      </c>
      <c r="F3224" s="167">
        <v>2.77</v>
      </c>
      <c r="G3224" s="167">
        <v>51.76</v>
      </c>
      <c r="H3224" s="168">
        <v>239.37</v>
      </c>
      <c r="I3224" s="168">
        <v>71.36</v>
      </c>
      <c r="J3224" s="168">
        <v>14.93</v>
      </c>
      <c r="K3224" s="168">
        <v>153.08000000000001</v>
      </c>
      <c r="L3224" s="43">
        <v>3.941544541412811</v>
      </c>
      <c r="M3224" s="43">
        <v>11.5021951219512</v>
      </c>
      <c r="N3224" s="43">
        <v>5.3898916967509027</v>
      </c>
      <c r="O3224" s="43">
        <v>2.9574961360123653</v>
      </c>
      <c r="P3224" s="169"/>
      <c r="Q3224" s="169"/>
      <c r="R3224" s="169">
        <v>19</v>
      </c>
    </row>
    <row r="3225" spans="1:18" ht="48">
      <c r="A3225" s="165">
        <v>538</v>
      </c>
      <c r="B3225" s="162" t="s">
        <v>5874</v>
      </c>
      <c r="C3225" s="166" t="s">
        <v>5875</v>
      </c>
      <c r="D3225" s="167">
        <v>23.38</v>
      </c>
      <c r="E3225" s="167">
        <v>13.21</v>
      </c>
      <c r="F3225" s="167">
        <v>2.77</v>
      </c>
      <c r="G3225" s="167">
        <v>7.4</v>
      </c>
      <c r="H3225" s="168">
        <v>216.74</v>
      </c>
      <c r="I3225" s="168">
        <v>151.96</v>
      </c>
      <c r="J3225" s="168">
        <v>14.93</v>
      </c>
      <c r="K3225" s="168">
        <v>49.85</v>
      </c>
      <c r="L3225" s="43">
        <v>9.2703165098374694</v>
      </c>
      <c r="M3225" s="43">
        <v>11.503406510219531</v>
      </c>
      <c r="N3225" s="43">
        <v>5.3898916967509027</v>
      </c>
      <c r="O3225" s="43">
        <v>6.736486486486486</v>
      </c>
      <c r="P3225" s="169"/>
      <c r="Q3225" s="169"/>
      <c r="R3225" s="169">
        <v>19</v>
      </c>
    </row>
    <row r="3226" spans="1:18" ht="48">
      <c r="A3226" s="165">
        <v>539</v>
      </c>
      <c r="B3226" s="162" t="s">
        <v>5876</v>
      </c>
      <c r="C3226" s="166" t="s">
        <v>5877</v>
      </c>
      <c r="D3226" s="167">
        <v>25.96</v>
      </c>
      <c r="E3226" s="167">
        <v>15.74</v>
      </c>
      <c r="F3226" s="167">
        <v>2.77</v>
      </c>
      <c r="G3226" s="167">
        <v>7.45</v>
      </c>
      <c r="H3226" s="168">
        <v>246.39</v>
      </c>
      <c r="I3226" s="168">
        <v>181.03</v>
      </c>
      <c r="J3226" s="168">
        <v>14.93</v>
      </c>
      <c r="K3226" s="168">
        <v>50.43</v>
      </c>
      <c r="L3226" s="43">
        <v>9.4911402157164861</v>
      </c>
      <c r="M3226" s="43">
        <v>11.501270648030495</v>
      </c>
      <c r="N3226" s="43">
        <v>5.3898916967509027</v>
      </c>
      <c r="O3226" s="43">
        <v>6.7691275167785232</v>
      </c>
      <c r="P3226" s="169"/>
      <c r="Q3226" s="169"/>
      <c r="R3226" s="169">
        <v>19</v>
      </c>
    </row>
    <row r="3227" spans="1:18" ht="48">
      <c r="A3227" s="165">
        <v>540</v>
      </c>
      <c r="B3227" s="162" t="s">
        <v>5878</v>
      </c>
      <c r="C3227" s="166" t="s">
        <v>5879</v>
      </c>
      <c r="D3227" s="167">
        <v>28.42</v>
      </c>
      <c r="E3227" s="167">
        <v>18.149999999999999</v>
      </c>
      <c r="F3227" s="167">
        <v>2.77</v>
      </c>
      <c r="G3227" s="167">
        <v>7.5</v>
      </c>
      <c r="H3227" s="168">
        <v>274.70999999999998</v>
      </c>
      <c r="I3227" s="168">
        <v>208.78</v>
      </c>
      <c r="J3227" s="168">
        <v>14.93</v>
      </c>
      <c r="K3227" s="168">
        <v>51</v>
      </c>
      <c r="L3227" s="43">
        <v>9.6660802251935252</v>
      </c>
      <c r="M3227" s="43">
        <v>11.503030303030304</v>
      </c>
      <c r="N3227" s="43">
        <v>5.3898916967509027</v>
      </c>
      <c r="O3227" s="43">
        <v>6.8</v>
      </c>
      <c r="P3227" s="169"/>
      <c r="Q3227" s="169"/>
      <c r="R3227" s="169">
        <v>19</v>
      </c>
    </row>
    <row r="3228" spans="1:18" ht="48">
      <c r="A3228" s="165">
        <v>541</v>
      </c>
      <c r="B3228" s="162" t="s">
        <v>5880</v>
      </c>
      <c r="C3228" s="166" t="s">
        <v>5881</v>
      </c>
      <c r="D3228" s="167">
        <v>29.6</v>
      </c>
      <c r="E3228" s="167">
        <v>19.3</v>
      </c>
      <c r="F3228" s="167">
        <v>2.77</v>
      </c>
      <c r="G3228" s="167">
        <v>7.53</v>
      </c>
      <c r="H3228" s="168">
        <v>288.27999999999997</v>
      </c>
      <c r="I3228" s="168">
        <v>222</v>
      </c>
      <c r="J3228" s="168">
        <v>14.93</v>
      </c>
      <c r="K3228" s="168">
        <v>51.35</v>
      </c>
      <c r="L3228" s="43">
        <v>9.7391891891891884</v>
      </c>
      <c r="M3228" s="43">
        <v>11.50259067357513</v>
      </c>
      <c r="N3228" s="43">
        <v>5.3898916967509027</v>
      </c>
      <c r="O3228" s="43">
        <v>6.8193891102257638</v>
      </c>
      <c r="P3228" s="169"/>
      <c r="Q3228" s="169"/>
      <c r="R3228" s="169">
        <v>19</v>
      </c>
    </row>
    <row r="3229" spans="1:18" ht="48">
      <c r="A3229" s="165">
        <v>542</v>
      </c>
      <c r="B3229" s="162" t="s">
        <v>5882</v>
      </c>
      <c r="C3229" s="166" t="s">
        <v>5883</v>
      </c>
      <c r="D3229" s="167">
        <v>30.74</v>
      </c>
      <c r="E3229" s="167">
        <v>20.45</v>
      </c>
      <c r="F3229" s="167">
        <v>2.77</v>
      </c>
      <c r="G3229" s="167">
        <v>7.52</v>
      </c>
      <c r="H3229" s="168">
        <v>301.52999999999997</v>
      </c>
      <c r="I3229" s="168">
        <v>235.21</v>
      </c>
      <c r="J3229" s="168">
        <v>14.93</v>
      </c>
      <c r="K3229" s="168">
        <v>51.39</v>
      </c>
      <c r="L3229" s="43">
        <v>9.8090435914118412</v>
      </c>
      <c r="M3229" s="43">
        <v>11.501711491442544</v>
      </c>
      <c r="N3229" s="43">
        <v>5.3898916967509027</v>
      </c>
      <c r="O3229" s="43">
        <v>6.8337765957446814</v>
      </c>
      <c r="P3229" s="169"/>
      <c r="Q3229" s="169"/>
      <c r="R3229" s="169">
        <v>19</v>
      </c>
    </row>
    <row r="3230" spans="1:18" ht="48">
      <c r="A3230" s="165">
        <v>543</v>
      </c>
      <c r="B3230" s="162" t="s">
        <v>5884</v>
      </c>
      <c r="C3230" s="166" t="s">
        <v>5885</v>
      </c>
      <c r="D3230" s="167">
        <v>34.49</v>
      </c>
      <c r="E3230" s="167">
        <v>24.13</v>
      </c>
      <c r="F3230" s="167">
        <v>2.77</v>
      </c>
      <c r="G3230" s="167">
        <v>7.59</v>
      </c>
      <c r="H3230" s="168">
        <v>344.61</v>
      </c>
      <c r="I3230" s="168">
        <v>277.49</v>
      </c>
      <c r="J3230" s="168">
        <v>14.93</v>
      </c>
      <c r="K3230" s="168">
        <v>52.19</v>
      </c>
      <c r="L3230" s="43">
        <v>9.991591765729197</v>
      </c>
      <c r="M3230" s="43">
        <v>11.499792789059263</v>
      </c>
      <c r="N3230" s="43">
        <v>5.3898916967509027</v>
      </c>
      <c r="O3230" s="43">
        <v>6.8761528326745713</v>
      </c>
      <c r="P3230" s="169"/>
      <c r="Q3230" s="169"/>
      <c r="R3230" s="169">
        <v>19</v>
      </c>
    </row>
    <row r="3231" spans="1:18" ht="48">
      <c r="A3231" s="165">
        <v>544</v>
      </c>
      <c r="B3231" s="162" t="s">
        <v>5886</v>
      </c>
      <c r="C3231" s="166" t="s">
        <v>5887</v>
      </c>
      <c r="D3231" s="167">
        <v>38.25</v>
      </c>
      <c r="E3231" s="167">
        <v>27.81</v>
      </c>
      <c r="F3231" s="167">
        <v>2.77</v>
      </c>
      <c r="G3231" s="167">
        <v>7.67</v>
      </c>
      <c r="H3231" s="168">
        <v>387.82</v>
      </c>
      <c r="I3231" s="168">
        <v>319.77999999999997</v>
      </c>
      <c r="J3231" s="168">
        <v>14.93</v>
      </c>
      <c r="K3231" s="168">
        <v>53.11</v>
      </c>
      <c r="L3231" s="43">
        <v>10.139084967320262</v>
      </c>
      <c r="M3231" s="43">
        <v>11.498741459906508</v>
      </c>
      <c r="N3231" s="43">
        <v>5.3898916967509027</v>
      </c>
      <c r="O3231" s="43">
        <v>6.9243807040417211</v>
      </c>
      <c r="P3231" s="169"/>
      <c r="Q3231" s="169"/>
      <c r="R3231" s="169">
        <v>19</v>
      </c>
    </row>
    <row r="3232" spans="1:18" ht="48">
      <c r="A3232" s="165">
        <v>545</v>
      </c>
      <c r="B3232" s="162" t="s">
        <v>5888</v>
      </c>
      <c r="C3232" s="166" t="s">
        <v>5889</v>
      </c>
      <c r="D3232" s="167">
        <v>44.46</v>
      </c>
      <c r="E3232" s="167">
        <v>33.9</v>
      </c>
      <c r="F3232" s="167">
        <v>2.77</v>
      </c>
      <c r="G3232" s="167">
        <v>7.79</v>
      </c>
      <c r="H3232" s="168">
        <v>459.23</v>
      </c>
      <c r="I3232" s="168">
        <v>389.81</v>
      </c>
      <c r="J3232" s="168">
        <v>14.93</v>
      </c>
      <c r="K3232" s="168">
        <v>54.49</v>
      </c>
      <c r="L3232" s="43">
        <v>10.32905982905983</v>
      </c>
      <c r="M3232" s="43">
        <v>11.498820058997051</v>
      </c>
      <c r="N3232" s="43">
        <v>5.3898916967509027</v>
      </c>
      <c r="O3232" s="43">
        <v>6.994865211810013</v>
      </c>
      <c r="P3232" s="169"/>
      <c r="Q3232" s="169"/>
      <c r="R3232" s="169">
        <v>19</v>
      </c>
    </row>
    <row r="3233" spans="1:18" ht="48">
      <c r="A3233" s="165">
        <v>546</v>
      </c>
      <c r="B3233" s="162" t="s">
        <v>5890</v>
      </c>
      <c r="C3233" s="166" t="s">
        <v>5891</v>
      </c>
      <c r="D3233" s="167">
        <v>47.97</v>
      </c>
      <c r="E3233" s="167">
        <v>37.340000000000003</v>
      </c>
      <c r="F3233" s="167">
        <v>2.77</v>
      </c>
      <c r="G3233" s="167">
        <v>7.86</v>
      </c>
      <c r="H3233" s="168">
        <v>499.69</v>
      </c>
      <c r="I3233" s="168">
        <v>429.46</v>
      </c>
      <c r="J3233" s="168">
        <v>14.93</v>
      </c>
      <c r="K3233" s="168">
        <v>55.3</v>
      </c>
      <c r="L3233" s="43">
        <v>10.416718782572442</v>
      </c>
      <c r="M3233" s="43">
        <v>11.501339046598821</v>
      </c>
      <c r="N3233" s="43">
        <v>5.3898916967509027</v>
      </c>
      <c r="O3233" s="43">
        <v>7.0356234096692107</v>
      </c>
      <c r="P3233" s="169"/>
      <c r="Q3233" s="169"/>
      <c r="R3233" s="169">
        <v>19</v>
      </c>
    </row>
    <row r="3234" spans="1:18" ht="12.75" customHeight="1">
      <c r="A3234" s="628" t="s">
        <v>5892</v>
      </c>
      <c r="B3234" s="629"/>
      <c r="C3234" s="629"/>
      <c r="D3234" s="629"/>
      <c r="E3234" s="629"/>
      <c r="F3234" s="629"/>
      <c r="G3234" s="629"/>
      <c r="H3234" s="629"/>
      <c r="I3234" s="629"/>
      <c r="J3234" s="629"/>
      <c r="K3234" s="629"/>
      <c r="L3234" s="629"/>
      <c r="M3234" s="629"/>
      <c r="N3234" s="629"/>
      <c r="O3234" s="629"/>
      <c r="P3234" s="629"/>
      <c r="Q3234" s="629"/>
      <c r="R3234" s="629"/>
    </row>
    <row r="3235" spans="1:18" ht="36">
      <c r="A3235" s="165">
        <v>547</v>
      </c>
      <c r="B3235" s="162" t="s">
        <v>5893</v>
      </c>
      <c r="C3235" s="166" t="s">
        <v>5894</v>
      </c>
      <c r="D3235" s="167">
        <v>34.520000000000003</v>
      </c>
      <c r="E3235" s="167">
        <v>24.13</v>
      </c>
      <c r="F3235" s="167">
        <v>2.77</v>
      </c>
      <c r="G3235" s="167">
        <v>7.62</v>
      </c>
      <c r="H3235" s="168">
        <v>344.8</v>
      </c>
      <c r="I3235" s="168">
        <v>277.49</v>
      </c>
      <c r="J3235" s="168">
        <v>14.93</v>
      </c>
      <c r="K3235" s="168">
        <v>52.38</v>
      </c>
      <c r="L3235" s="43">
        <v>9.9884125144843559</v>
      </c>
      <c r="M3235" s="43">
        <v>11.499792789059263</v>
      </c>
      <c r="N3235" s="43">
        <v>5.3898916967509027</v>
      </c>
      <c r="O3235" s="43">
        <v>6.8740157480314963</v>
      </c>
      <c r="P3235" s="169"/>
      <c r="Q3235" s="169"/>
      <c r="R3235" s="169">
        <v>20</v>
      </c>
    </row>
    <row r="3236" spans="1:18" ht="36">
      <c r="A3236" s="165">
        <v>548</v>
      </c>
      <c r="B3236" s="162" t="s">
        <v>5895</v>
      </c>
      <c r="C3236" s="166" t="s">
        <v>5896</v>
      </c>
      <c r="D3236" s="167">
        <v>37.68</v>
      </c>
      <c r="E3236" s="167">
        <v>27.23</v>
      </c>
      <c r="F3236" s="167">
        <v>2.77</v>
      </c>
      <c r="G3236" s="167">
        <v>7.68</v>
      </c>
      <c r="H3236" s="168">
        <v>381.17</v>
      </c>
      <c r="I3236" s="168">
        <v>313.17</v>
      </c>
      <c r="J3236" s="168">
        <v>14.93</v>
      </c>
      <c r="K3236" s="168">
        <v>53.07</v>
      </c>
      <c r="L3236" s="43">
        <v>10.115976645435245</v>
      </c>
      <c r="M3236" s="43">
        <v>11.500918105031216</v>
      </c>
      <c r="N3236" s="43">
        <v>5.3898916967509027</v>
      </c>
      <c r="O3236" s="43">
        <v>6.91015625</v>
      </c>
      <c r="P3236" s="169"/>
      <c r="Q3236" s="169"/>
      <c r="R3236" s="169">
        <v>20</v>
      </c>
    </row>
    <row r="3237" spans="1:18" ht="36">
      <c r="A3237" s="165">
        <v>549</v>
      </c>
      <c r="B3237" s="162" t="s">
        <v>5897</v>
      </c>
      <c r="C3237" s="166" t="s">
        <v>5898</v>
      </c>
      <c r="D3237" s="167">
        <v>40.729999999999997</v>
      </c>
      <c r="E3237" s="167">
        <v>30.22</v>
      </c>
      <c r="F3237" s="167">
        <v>2.77</v>
      </c>
      <c r="G3237" s="167">
        <v>7.74</v>
      </c>
      <c r="H3237" s="168">
        <v>416.22</v>
      </c>
      <c r="I3237" s="168">
        <v>347.53</v>
      </c>
      <c r="J3237" s="168">
        <v>14.93</v>
      </c>
      <c r="K3237" s="168">
        <v>53.76</v>
      </c>
      <c r="L3237" s="43">
        <v>10.219003191750554</v>
      </c>
      <c r="M3237" s="43">
        <v>11.5</v>
      </c>
      <c r="N3237" s="43">
        <v>5.3898916967509027</v>
      </c>
      <c r="O3237" s="43">
        <v>6.945736434108527</v>
      </c>
      <c r="P3237" s="169"/>
      <c r="Q3237" s="169"/>
      <c r="R3237" s="169">
        <v>20</v>
      </c>
    </row>
    <row r="3238" spans="1:18" ht="36">
      <c r="A3238" s="165">
        <v>550</v>
      </c>
      <c r="B3238" s="162" t="s">
        <v>5899</v>
      </c>
      <c r="C3238" s="166" t="s">
        <v>5900</v>
      </c>
      <c r="D3238" s="167">
        <v>43.08</v>
      </c>
      <c r="E3238" s="167">
        <v>32.520000000000003</v>
      </c>
      <c r="F3238" s="167">
        <v>2.77</v>
      </c>
      <c r="G3238" s="167">
        <v>7.79</v>
      </c>
      <c r="H3238" s="168">
        <v>443.23</v>
      </c>
      <c r="I3238" s="168">
        <v>373.96</v>
      </c>
      <c r="J3238" s="168">
        <v>14.93</v>
      </c>
      <c r="K3238" s="168">
        <v>54.34</v>
      </c>
      <c r="L3238" s="43">
        <v>10.288532961931292</v>
      </c>
      <c r="M3238" s="43">
        <v>11.499384993849937</v>
      </c>
      <c r="N3238" s="43">
        <v>5.3898916967509027</v>
      </c>
      <c r="O3238" s="43">
        <v>6.975609756097561</v>
      </c>
      <c r="P3238" s="169"/>
      <c r="Q3238" s="169"/>
      <c r="R3238" s="169">
        <v>20</v>
      </c>
    </row>
    <row r="3239" spans="1:18" ht="36">
      <c r="A3239" s="165">
        <v>551</v>
      </c>
      <c r="B3239" s="162" t="s">
        <v>5901</v>
      </c>
      <c r="C3239" s="166" t="s">
        <v>5902</v>
      </c>
      <c r="D3239" s="167">
        <v>32.18</v>
      </c>
      <c r="E3239" s="167">
        <v>21.83</v>
      </c>
      <c r="F3239" s="167">
        <v>2.77</v>
      </c>
      <c r="G3239" s="167">
        <v>7.58</v>
      </c>
      <c r="H3239" s="168">
        <v>317.92</v>
      </c>
      <c r="I3239" s="168">
        <v>251.07</v>
      </c>
      <c r="J3239" s="168">
        <v>14.93</v>
      </c>
      <c r="K3239" s="168">
        <v>51.92</v>
      </c>
      <c r="L3239" s="43">
        <v>9.8794282162834062</v>
      </c>
      <c r="M3239" s="43">
        <v>11.50114521300962</v>
      </c>
      <c r="N3239" s="43">
        <v>5.3898916967509027</v>
      </c>
      <c r="O3239" s="43">
        <v>6.8496042216358841</v>
      </c>
      <c r="P3239" s="169"/>
      <c r="Q3239" s="169"/>
      <c r="R3239" s="169">
        <v>20</v>
      </c>
    </row>
    <row r="3240" spans="1:18" ht="36">
      <c r="A3240" s="165">
        <v>552</v>
      </c>
      <c r="B3240" s="162" t="s">
        <v>5903</v>
      </c>
      <c r="C3240" s="166" t="s">
        <v>5904</v>
      </c>
      <c r="D3240" s="167">
        <v>38.28</v>
      </c>
      <c r="E3240" s="167">
        <v>27.81</v>
      </c>
      <c r="F3240" s="167">
        <v>2.77</v>
      </c>
      <c r="G3240" s="167">
        <v>7.7</v>
      </c>
      <c r="H3240" s="168">
        <v>388.01</v>
      </c>
      <c r="I3240" s="168">
        <v>319.77999999999997</v>
      </c>
      <c r="J3240" s="168">
        <v>14.93</v>
      </c>
      <c r="K3240" s="168">
        <v>53.3</v>
      </c>
      <c r="L3240" s="43">
        <v>10.136102403343783</v>
      </c>
      <c r="M3240" s="43">
        <v>11.498741459906508</v>
      </c>
      <c r="N3240" s="43">
        <v>5.3898916967509027</v>
      </c>
      <c r="O3240" s="43">
        <v>6.9220779220779214</v>
      </c>
      <c r="P3240" s="169"/>
      <c r="Q3240" s="169"/>
      <c r="R3240" s="169">
        <v>20</v>
      </c>
    </row>
    <row r="3241" spans="1:18" ht="36">
      <c r="A3241" s="165">
        <v>553</v>
      </c>
      <c r="B3241" s="162" t="s">
        <v>5905</v>
      </c>
      <c r="C3241" s="166" t="s">
        <v>5906</v>
      </c>
      <c r="D3241" s="167">
        <v>43.08</v>
      </c>
      <c r="E3241" s="167">
        <v>32.520000000000003</v>
      </c>
      <c r="F3241" s="167">
        <v>2.77</v>
      </c>
      <c r="G3241" s="167">
        <v>7.79</v>
      </c>
      <c r="H3241" s="168">
        <v>443.23</v>
      </c>
      <c r="I3241" s="168">
        <v>373.96</v>
      </c>
      <c r="J3241" s="168">
        <v>14.93</v>
      </c>
      <c r="K3241" s="168">
        <v>54.34</v>
      </c>
      <c r="L3241" s="43">
        <v>10.288532961931292</v>
      </c>
      <c r="M3241" s="43">
        <v>11.499384993849937</v>
      </c>
      <c r="N3241" s="43">
        <v>5.3898916967509027</v>
      </c>
      <c r="O3241" s="43">
        <v>6.975609756097561</v>
      </c>
      <c r="P3241" s="169"/>
      <c r="Q3241" s="169"/>
      <c r="R3241" s="169">
        <v>20</v>
      </c>
    </row>
    <row r="3242" spans="1:18" ht="36">
      <c r="A3242" s="165">
        <v>554</v>
      </c>
      <c r="B3242" s="162" t="s">
        <v>5907</v>
      </c>
      <c r="C3242" s="166" t="s">
        <v>5908</v>
      </c>
      <c r="D3242" s="167">
        <v>49.29</v>
      </c>
      <c r="E3242" s="167">
        <v>38.61</v>
      </c>
      <c r="F3242" s="167">
        <v>2.77</v>
      </c>
      <c r="G3242" s="167">
        <v>7.91</v>
      </c>
      <c r="H3242" s="168">
        <v>514.64</v>
      </c>
      <c r="I3242" s="168">
        <v>443.99</v>
      </c>
      <c r="J3242" s="168">
        <v>14.93</v>
      </c>
      <c r="K3242" s="168">
        <v>55.72</v>
      </c>
      <c r="L3242" s="43">
        <v>10.44106309596267</v>
      </c>
      <c r="M3242" s="43">
        <v>11.499352499352499</v>
      </c>
      <c r="N3242" s="43">
        <v>5.3898916967509027</v>
      </c>
      <c r="O3242" s="43">
        <v>7.0442477876106189</v>
      </c>
      <c r="P3242" s="169"/>
      <c r="Q3242" s="169"/>
      <c r="R3242" s="169">
        <v>20</v>
      </c>
    </row>
    <row r="3243" spans="1:18" ht="36">
      <c r="A3243" s="165">
        <v>555</v>
      </c>
      <c r="B3243" s="162" t="s">
        <v>5909</v>
      </c>
      <c r="C3243" s="166" t="s">
        <v>5910</v>
      </c>
      <c r="D3243" s="167">
        <v>55.38</v>
      </c>
      <c r="E3243" s="167">
        <v>44.58</v>
      </c>
      <c r="F3243" s="167">
        <v>2.77</v>
      </c>
      <c r="G3243" s="167">
        <v>8.0299999999999994</v>
      </c>
      <c r="H3243" s="168">
        <v>584.73</v>
      </c>
      <c r="I3243" s="168">
        <v>512.70000000000005</v>
      </c>
      <c r="J3243" s="168">
        <v>14.93</v>
      </c>
      <c r="K3243" s="168">
        <v>57.1</v>
      </c>
      <c r="L3243" s="43">
        <v>10.558504875406284</v>
      </c>
      <c r="M3243" s="43">
        <v>11.500672947510095</v>
      </c>
      <c r="N3243" s="43">
        <v>5.3898916967509027</v>
      </c>
      <c r="O3243" s="43">
        <v>7.1108343711083446</v>
      </c>
      <c r="P3243" s="169"/>
      <c r="Q3243" s="169"/>
      <c r="R3243" s="169">
        <v>20</v>
      </c>
    </row>
    <row r="3244" spans="1:18" ht="12.75" customHeight="1">
      <c r="A3244" s="628" t="s">
        <v>5911</v>
      </c>
      <c r="B3244" s="629"/>
      <c r="C3244" s="629"/>
      <c r="D3244" s="629"/>
      <c r="E3244" s="629"/>
      <c r="F3244" s="629"/>
      <c r="G3244" s="629"/>
      <c r="H3244" s="629"/>
      <c r="I3244" s="629"/>
      <c r="J3244" s="629"/>
      <c r="K3244" s="629"/>
      <c r="L3244" s="629"/>
      <c r="M3244" s="629"/>
      <c r="N3244" s="629"/>
      <c r="O3244" s="629"/>
      <c r="P3244" s="629"/>
      <c r="Q3244" s="629"/>
      <c r="R3244" s="629"/>
    </row>
    <row r="3245" spans="1:18" ht="36">
      <c r="A3245" s="165">
        <v>556</v>
      </c>
      <c r="B3245" s="162" t="s">
        <v>5912</v>
      </c>
      <c r="C3245" s="166" t="s">
        <v>5913</v>
      </c>
      <c r="D3245" s="167">
        <v>45.65</v>
      </c>
      <c r="E3245" s="167">
        <v>35.04</v>
      </c>
      <c r="F3245" s="167">
        <v>2.77</v>
      </c>
      <c r="G3245" s="167">
        <v>7.84</v>
      </c>
      <c r="H3245" s="168">
        <v>472.87</v>
      </c>
      <c r="I3245" s="168">
        <v>403.03</v>
      </c>
      <c r="J3245" s="168">
        <v>14.93</v>
      </c>
      <c r="K3245" s="168">
        <v>54.91</v>
      </c>
      <c r="L3245" s="43">
        <v>10.358598028477546</v>
      </c>
      <c r="M3245" s="43">
        <v>11.501997716894977</v>
      </c>
      <c r="N3245" s="43">
        <v>5.3898916967509027</v>
      </c>
      <c r="O3245" s="43">
        <v>7.0038265306122449</v>
      </c>
      <c r="P3245" s="169"/>
      <c r="Q3245" s="169"/>
      <c r="R3245" s="169">
        <v>21</v>
      </c>
    </row>
    <row r="3246" spans="1:18" ht="36">
      <c r="A3246" s="165">
        <v>557</v>
      </c>
      <c r="B3246" s="162" t="s">
        <v>5914</v>
      </c>
      <c r="C3246" s="166" t="s">
        <v>5915</v>
      </c>
      <c r="D3246" s="167">
        <v>55.38</v>
      </c>
      <c r="E3246" s="167">
        <v>44.58</v>
      </c>
      <c r="F3246" s="167">
        <v>2.77</v>
      </c>
      <c r="G3246" s="167">
        <v>8.0299999999999994</v>
      </c>
      <c r="H3246" s="168">
        <v>584.73</v>
      </c>
      <c r="I3246" s="168">
        <v>512.70000000000005</v>
      </c>
      <c r="J3246" s="168">
        <v>14.93</v>
      </c>
      <c r="K3246" s="168">
        <v>57.1</v>
      </c>
      <c r="L3246" s="43">
        <v>10.558504875406284</v>
      </c>
      <c r="M3246" s="43">
        <v>11.500672947510095</v>
      </c>
      <c r="N3246" s="43">
        <v>5.3898916967509027</v>
      </c>
      <c r="O3246" s="43">
        <v>7.1108343711083446</v>
      </c>
      <c r="P3246" s="169"/>
      <c r="Q3246" s="169"/>
      <c r="R3246" s="169">
        <v>21</v>
      </c>
    </row>
    <row r="3247" spans="1:18" ht="36">
      <c r="A3247" s="165">
        <v>558</v>
      </c>
      <c r="B3247" s="162" t="s">
        <v>5916</v>
      </c>
      <c r="C3247" s="166" t="s">
        <v>5917</v>
      </c>
      <c r="D3247" s="167">
        <v>43.08</v>
      </c>
      <c r="E3247" s="167">
        <v>32.520000000000003</v>
      </c>
      <c r="F3247" s="167">
        <v>2.77</v>
      </c>
      <c r="G3247" s="167">
        <v>7.79</v>
      </c>
      <c r="H3247" s="168">
        <v>443.23</v>
      </c>
      <c r="I3247" s="168">
        <v>373.96</v>
      </c>
      <c r="J3247" s="168">
        <v>14.93</v>
      </c>
      <c r="K3247" s="168">
        <v>54.34</v>
      </c>
      <c r="L3247" s="43">
        <v>10.288532961931292</v>
      </c>
      <c r="M3247" s="43">
        <v>11.499384993849937</v>
      </c>
      <c r="N3247" s="43">
        <v>5.3898916967509027</v>
      </c>
      <c r="O3247" s="43">
        <v>6.975609756097561</v>
      </c>
      <c r="P3247" s="169"/>
      <c r="Q3247" s="169"/>
      <c r="R3247" s="169">
        <v>21</v>
      </c>
    </row>
    <row r="3248" spans="1:18" ht="36">
      <c r="A3248" s="165">
        <v>559</v>
      </c>
      <c r="B3248" s="162" t="s">
        <v>5918</v>
      </c>
      <c r="C3248" s="166" t="s">
        <v>5919</v>
      </c>
      <c r="D3248" s="167">
        <v>50.58</v>
      </c>
      <c r="E3248" s="167">
        <v>39.869999999999997</v>
      </c>
      <c r="F3248" s="167">
        <v>2.77</v>
      </c>
      <c r="G3248" s="167">
        <v>7.94</v>
      </c>
      <c r="H3248" s="168">
        <v>529.52</v>
      </c>
      <c r="I3248" s="168">
        <v>458.53</v>
      </c>
      <c r="J3248" s="168">
        <v>14.93</v>
      </c>
      <c r="K3248" s="168">
        <v>56.06</v>
      </c>
      <c r="L3248" s="43">
        <v>10.468960063266113</v>
      </c>
      <c r="M3248" s="43">
        <v>11.500627037873087</v>
      </c>
      <c r="N3248" s="43">
        <v>5.3898916967509027</v>
      </c>
      <c r="O3248" s="43">
        <v>7.0604534005037785</v>
      </c>
      <c r="P3248" s="169"/>
      <c r="Q3248" s="169"/>
      <c r="R3248" s="169">
        <v>21</v>
      </c>
    </row>
    <row r="3249" spans="1:18" ht="36">
      <c r="A3249" s="165">
        <v>560</v>
      </c>
      <c r="B3249" s="162" t="s">
        <v>5920</v>
      </c>
      <c r="C3249" s="166" t="s">
        <v>5921</v>
      </c>
      <c r="D3249" s="167">
        <v>55.38</v>
      </c>
      <c r="E3249" s="167">
        <v>44.58</v>
      </c>
      <c r="F3249" s="167">
        <v>2.77</v>
      </c>
      <c r="G3249" s="167">
        <v>8.0299999999999994</v>
      </c>
      <c r="H3249" s="168">
        <v>584.73</v>
      </c>
      <c r="I3249" s="168">
        <v>512.70000000000005</v>
      </c>
      <c r="J3249" s="168">
        <v>14.93</v>
      </c>
      <c r="K3249" s="168">
        <v>57.1</v>
      </c>
      <c r="L3249" s="43">
        <v>10.558504875406284</v>
      </c>
      <c r="M3249" s="43">
        <v>11.500672947510095</v>
      </c>
      <c r="N3249" s="43">
        <v>5.3898916967509027</v>
      </c>
      <c r="O3249" s="43">
        <v>7.1108343711083446</v>
      </c>
      <c r="P3249" s="169"/>
      <c r="Q3249" s="169"/>
      <c r="R3249" s="169">
        <v>21</v>
      </c>
    </row>
    <row r="3250" spans="1:18" ht="24">
      <c r="A3250" s="165">
        <v>561</v>
      </c>
      <c r="B3250" s="162" t="s">
        <v>5922</v>
      </c>
      <c r="C3250" s="166" t="s">
        <v>5923</v>
      </c>
      <c r="D3250" s="167">
        <v>102.74</v>
      </c>
      <c r="E3250" s="167">
        <v>48.03</v>
      </c>
      <c r="F3250" s="167">
        <v>2.77</v>
      </c>
      <c r="G3250" s="167">
        <v>51.94</v>
      </c>
      <c r="H3250" s="168">
        <v>726.83</v>
      </c>
      <c r="I3250" s="168">
        <v>552.35</v>
      </c>
      <c r="J3250" s="168">
        <v>14.93</v>
      </c>
      <c r="K3250" s="168">
        <v>159.55000000000001</v>
      </c>
      <c r="L3250" s="43">
        <v>7.07445980144053</v>
      </c>
      <c r="M3250" s="43">
        <v>11.500104101603165</v>
      </c>
      <c r="N3250" s="43">
        <v>5.3898916967509027</v>
      </c>
      <c r="O3250" s="43">
        <v>3.071813631112823</v>
      </c>
      <c r="P3250" s="169"/>
      <c r="Q3250" s="169"/>
      <c r="R3250" s="169">
        <v>21</v>
      </c>
    </row>
    <row r="3251" spans="1:18" ht="24">
      <c r="A3251" s="165">
        <v>562</v>
      </c>
      <c r="B3251" s="162" t="s">
        <v>5924</v>
      </c>
      <c r="C3251" s="166" t="s">
        <v>5925</v>
      </c>
      <c r="D3251" s="167">
        <v>114.81</v>
      </c>
      <c r="E3251" s="167">
        <v>59.86</v>
      </c>
      <c r="F3251" s="167">
        <v>2.77</v>
      </c>
      <c r="G3251" s="167">
        <v>52.18</v>
      </c>
      <c r="H3251" s="168">
        <v>865.69</v>
      </c>
      <c r="I3251" s="168">
        <v>688.45</v>
      </c>
      <c r="J3251" s="168">
        <v>14.93</v>
      </c>
      <c r="K3251" s="168">
        <v>162.31</v>
      </c>
      <c r="L3251" s="43">
        <v>7.5401968469645508</v>
      </c>
      <c r="M3251" s="43">
        <v>11.501002338790512</v>
      </c>
      <c r="N3251" s="43">
        <v>5.3898916967509027</v>
      </c>
      <c r="O3251" s="43">
        <v>3.1105787658106556</v>
      </c>
      <c r="P3251" s="169"/>
      <c r="Q3251" s="169"/>
      <c r="R3251" s="169">
        <v>21</v>
      </c>
    </row>
    <row r="3252" spans="1:18" ht="24">
      <c r="A3252" s="165">
        <v>563</v>
      </c>
      <c r="B3252" s="162" t="s">
        <v>5926</v>
      </c>
      <c r="C3252" s="166" t="s">
        <v>5927</v>
      </c>
      <c r="D3252" s="167">
        <v>130.63</v>
      </c>
      <c r="E3252" s="167">
        <v>75.37</v>
      </c>
      <c r="F3252" s="167">
        <v>2.77</v>
      </c>
      <c r="G3252" s="167">
        <v>52.49</v>
      </c>
      <c r="H3252" s="168">
        <v>1047.6500000000001</v>
      </c>
      <c r="I3252" s="168">
        <v>866.84</v>
      </c>
      <c r="J3252" s="168">
        <v>14.93</v>
      </c>
      <c r="K3252" s="168">
        <v>165.88</v>
      </c>
      <c r="L3252" s="43">
        <v>8.0199800964556385</v>
      </c>
      <c r="M3252" s="43">
        <v>11.50112776966963</v>
      </c>
      <c r="N3252" s="43">
        <v>5.3898916967509027</v>
      </c>
      <c r="O3252" s="43">
        <v>3.160220994475138</v>
      </c>
      <c r="P3252" s="169"/>
      <c r="Q3252" s="169"/>
      <c r="R3252" s="169">
        <v>21</v>
      </c>
    </row>
    <row r="3253" spans="1:18" ht="12.75" customHeight="1">
      <c r="A3253" s="628" t="s">
        <v>5928</v>
      </c>
      <c r="B3253" s="629"/>
      <c r="C3253" s="629"/>
      <c r="D3253" s="629"/>
      <c r="E3253" s="629"/>
      <c r="F3253" s="629"/>
      <c r="G3253" s="629"/>
      <c r="H3253" s="629"/>
      <c r="I3253" s="629"/>
      <c r="J3253" s="629"/>
      <c r="K3253" s="629"/>
      <c r="L3253" s="629"/>
      <c r="M3253" s="629"/>
      <c r="N3253" s="629"/>
      <c r="O3253" s="629"/>
      <c r="P3253" s="629"/>
      <c r="Q3253" s="629"/>
      <c r="R3253" s="629"/>
    </row>
    <row r="3254" spans="1:18" ht="48">
      <c r="A3254" s="165">
        <v>564</v>
      </c>
      <c r="B3254" s="162" t="s">
        <v>5929</v>
      </c>
      <c r="C3254" s="166" t="s">
        <v>5930</v>
      </c>
      <c r="D3254" s="167">
        <v>13.15</v>
      </c>
      <c r="E3254" s="167">
        <v>4.37</v>
      </c>
      <c r="F3254" s="167">
        <v>2.77</v>
      </c>
      <c r="G3254" s="167">
        <v>6.01</v>
      </c>
      <c r="H3254" s="168">
        <v>104.87</v>
      </c>
      <c r="I3254" s="168">
        <v>50.21</v>
      </c>
      <c r="J3254" s="168">
        <v>14.93</v>
      </c>
      <c r="K3254" s="168">
        <v>39.729999999999997</v>
      </c>
      <c r="L3254" s="43">
        <v>7.9749049429657797</v>
      </c>
      <c r="M3254" s="43">
        <v>11.5</v>
      </c>
      <c r="N3254" s="43">
        <v>5.3898916967509027</v>
      </c>
      <c r="O3254" s="43">
        <v>6.6106489184692174</v>
      </c>
      <c r="P3254" s="169"/>
      <c r="Q3254" s="169"/>
      <c r="R3254" s="169">
        <v>22</v>
      </c>
    </row>
    <row r="3255" spans="1:18" ht="48">
      <c r="A3255" s="165">
        <v>565</v>
      </c>
      <c r="B3255" s="162" t="s">
        <v>5931</v>
      </c>
      <c r="C3255" s="166" t="s">
        <v>5932</v>
      </c>
      <c r="D3255" s="167">
        <v>14.32</v>
      </c>
      <c r="E3255" s="167">
        <v>5.52</v>
      </c>
      <c r="F3255" s="167">
        <v>2.77</v>
      </c>
      <c r="G3255" s="167">
        <v>6.03</v>
      </c>
      <c r="H3255" s="168">
        <v>118.32</v>
      </c>
      <c r="I3255" s="168">
        <v>63.43</v>
      </c>
      <c r="J3255" s="168">
        <v>14.93</v>
      </c>
      <c r="K3255" s="168">
        <v>39.96</v>
      </c>
      <c r="L3255" s="43">
        <v>8.2625698324022334</v>
      </c>
      <c r="M3255" s="43">
        <v>11.5</v>
      </c>
      <c r="N3255" s="43">
        <v>5.3898916967509027</v>
      </c>
      <c r="O3255" s="43">
        <v>6.6268656716417906</v>
      </c>
      <c r="P3255" s="169"/>
      <c r="Q3255" s="169"/>
      <c r="R3255" s="169">
        <v>22</v>
      </c>
    </row>
    <row r="3256" spans="1:18" ht="48">
      <c r="A3256" s="165">
        <v>566</v>
      </c>
      <c r="B3256" s="162" t="s">
        <v>5933</v>
      </c>
      <c r="C3256" s="166" t="s">
        <v>5934</v>
      </c>
      <c r="D3256" s="167">
        <v>14.55</v>
      </c>
      <c r="E3256" s="167">
        <v>5.75</v>
      </c>
      <c r="F3256" s="167">
        <v>2.77</v>
      </c>
      <c r="G3256" s="167">
        <v>6.03</v>
      </c>
      <c r="H3256" s="168">
        <v>120.96</v>
      </c>
      <c r="I3256" s="168">
        <v>66.069999999999993</v>
      </c>
      <c r="J3256" s="168">
        <v>14.93</v>
      </c>
      <c r="K3256" s="168">
        <v>39.96</v>
      </c>
      <c r="L3256" s="43">
        <v>8.313402061855669</v>
      </c>
      <c r="M3256" s="43">
        <v>11.5</v>
      </c>
      <c r="N3256" s="43">
        <v>5.3898916967509027</v>
      </c>
      <c r="O3256" s="43">
        <v>6.6268656716417906</v>
      </c>
      <c r="P3256" s="169"/>
      <c r="Q3256" s="169"/>
      <c r="R3256" s="169">
        <v>22</v>
      </c>
    </row>
    <row r="3257" spans="1:18" ht="12.75" customHeight="1">
      <c r="A3257" s="628" t="s">
        <v>5935</v>
      </c>
      <c r="B3257" s="629"/>
      <c r="C3257" s="629"/>
      <c r="D3257" s="629"/>
      <c r="E3257" s="629"/>
      <c r="F3257" s="629"/>
      <c r="G3257" s="629"/>
      <c r="H3257" s="629"/>
      <c r="I3257" s="629"/>
      <c r="J3257" s="629"/>
      <c r="K3257" s="629"/>
      <c r="L3257" s="629"/>
      <c r="M3257" s="629"/>
      <c r="N3257" s="629"/>
      <c r="O3257" s="629"/>
      <c r="P3257" s="629"/>
      <c r="Q3257" s="629"/>
      <c r="R3257" s="629"/>
    </row>
    <row r="3258" spans="1:18" ht="48">
      <c r="A3258" s="165">
        <v>567</v>
      </c>
      <c r="B3258" s="162" t="s">
        <v>5936</v>
      </c>
      <c r="C3258" s="166" t="s">
        <v>5937</v>
      </c>
      <c r="D3258" s="167">
        <v>33.56</v>
      </c>
      <c r="E3258" s="167">
        <v>24.13</v>
      </c>
      <c r="F3258" s="167">
        <v>2.77</v>
      </c>
      <c r="G3258" s="167">
        <v>6.66</v>
      </c>
      <c r="H3258" s="168">
        <v>337.9</v>
      </c>
      <c r="I3258" s="168">
        <v>277.49</v>
      </c>
      <c r="J3258" s="168">
        <v>14.93</v>
      </c>
      <c r="K3258" s="168">
        <v>45.48</v>
      </c>
      <c r="L3258" s="43">
        <v>10.068533969010726</v>
      </c>
      <c r="M3258" s="43">
        <v>11.499792789059263</v>
      </c>
      <c r="N3258" s="43">
        <v>5.3898916967509027</v>
      </c>
      <c r="O3258" s="43">
        <v>6.8288288288288284</v>
      </c>
      <c r="P3258" s="169"/>
      <c r="Q3258" s="169"/>
      <c r="R3258" s="169">
        <v>23</v>
      </c>
    </row>
    <row r="3259" spans="1:18" ht="48">
      <c r="A3259" s="165">
        <v>568</v>
      </c>
      <c r="B3259" s="162" t="s">
        <v>5938</v>
      </c>
      <c r="C3259" s="166" t="s">
        <v>5939</v>
      </c>
      <c r="D3259" s="167">
        <v>37.32</v>
      </c>
      <c r="E3259" s="167">
        <v>27.81</v>
      </c>
      <c r="F3259" s="167">
        <v>2.77</v>
      </c>
      <c r="G3259" s="167">
        <v>6.74</v>
      </c>
      <c r="H3259" s="168">
        <v>381.11</v>
      </c>
      <c r="I3259" s="168">
        <v>319.77999999999997</v>
      </c>
      <c r="J3259" s="168">
        <v>14.93</v>
      </c>
      <c r="K3259" s="168">
        <v>46.4</v>
      </c>
      <c r="L3259" s="43">
        <v>10.211950696677386</v>
      </c>
      <c r="M3259" s="43">
        <v>11.498741459906508</v>
      </c>
      <c r="N3259" s="43">
        <v>5.3898916967509027</v>
      </c>
      <c r="O3259" s="43">
        <v>6.8842729970326406</v>
      </c>
      <c r="P3259" s="169"/>
      <c r="Q3259" s="169"/>
      <c r="R3259" s="169">
        <v>23</v>
      </c>
    </row>
    <row r="3260" spans="1:18" ht="48">
      <c r="A3260" s="165">
        <v>569</v>
      </c>
      <c r="B3260" s="162" t="s">
        <v>5940</v>
      </c>
      <c r="C3260" s="166" t="s">
        <v>5941</v>
      </c>
      <c r="D3260" s="167">
        <v>43.53</v>
      </c>
      <c r="E3260" s="167">
        <v>33.9</v>
      </c>
      <c r="F3260" s="167">
        <v>2.77</v>
      </c>
      <c r="G3260" s="167">
        <v>6.86</v>
      </c>
      <c r="H3260" s="168">
        <v>452.52</v>
      </c>
      <c r="I3260" s="168">
        <v>389.81</v>
      </c>
      <c r="J3260" s="168">
        <v>14.93</v>
      </c>
      <c r="K3260" s="168">
        <v>47.78</v>
      </c>
      <c r="L3260" s="43">
        <v>10.395589248793934</v>
      </c>
      <c r="M3260" s="43">
        <v>11.498820058997051</v>
      </c>
      <c r="N3260" s="43">
        <v>5.3898916967509027</v>
      </c>
      <c r="O3260" s="43">
        <v>6.9650145772594749</v>
      </c>
      <c r="P3260" s="169"/>
      <c r="Q3260" s="169"/>
      <c r="R3260" s="169">
        <v>23</v>
      </c>
    </row>
    <row r="3261" spans="1:18" ht="12.75" customHeight="1">
      <c r="A3261" s="628" t="s">
        <v>5942</v>
      </c>
      <c r="B3261" s="629"/>
      <c r="C3261" s="629"/>
      <c r="D3261" s="629"/>
      <c r="E3261" s="629"/>
      <c r="F3261" s="629"/>
      <c r="G3261" s="629"/>
      <c r="H3261" s="629"/>
      <c r="I3261" s="629"/>
      <c r="J3261" s="629"/>
      <c r="K3261" s="629"/>
      <c r="L3261" s="629"/>
      <c r="M3261" s="629"/>
      <c r="N3261" s="629"/>
      <c r="O3261" s="629"/>
      <c r="P3261" s="629"/>
      <c r="Q3261" s="629"/>
      <c r="R3261" s="629"/>
    </row>
    <row r="3262" spans="1:18" ht="48">
      <c r="A3262" s="165">
        <v>570</v>
      </c>
      <c r="B3262" s="162" t="s">
        <v>5943</v>
      </c>
      <c r="C3262" s="166" t="s">
        <v>5944</v>
      </c>
      <c r="D3262" s="167">
        <v>25</v>
      </c>
      <c r="E3262" s="167">
        <v>15.74</v>
      </c>
      <c r="F3262" s="167">
        <v>2.77</v>
      </c>
      <c r="G3262" s="167">
        <v>6.49</v>
      </c>
      <c r="H3262" s="168">
        <v>239.49</v>
      </c>
      <c r="I3262" s="168">
        <v>181.03</v>
      </c>
      <c r="J3262" s="168">
        <v>14.93</v>
      </c>
      <c r="K3262" s="168">
        <v>43.53</v>
      </c>
      <c r="L3262" s="43">
        <v>9.579600000000001</v>
      </c>
      <c r="M3262" s="43">
        <v>11.501270648030495</v>
      </c>
      <c r="N3262" s="43">
        <v>5.3898916967509027</v>
      </c>
      <c r="O3262" s="43">
        <v>6.7072419106317414</v>
      </c>
      <c r="P3262" s="169"/>
      <c r="Q3262" s="169"/>
      <c r="R3262" s="169">
        <v>24</v>
      </c>
    </row>
    <row r="3263" spans="1:18" ht="48">
      <c r="A3263" s="165">
        <v>571</v>
      </c>
      <c r="B3263" s="162" t="s">
        <v>5945</v>
      </c>
      <c r="C3263" s="166" t="s">
        <v>5946</v>
      </c>
      <c r="D3263" s="167">
        <v>29.23</v>
      </c>
      <c r="E3263" s="167">
        <v>19.88</v>
      </c>
      <c r="F3263" s="167">
        <v>2.77</v>
      </c>
      <c r="G3263" s="167">
        <v>6.58</v>
      </c>
      <c r="H3263" s="168">
        <v>288.08999999999997</v>
      </c>
      <c r="I3263" s="168">
        <v>228.6</v>
      </c>
      <c r="J3263" s="168">
        <v>14.93</v>
      </c>
      <c r="K3263" s="168">
        <v>44.56</v>
      </c>
      <c r="L3263" s="43">
        <v>9.855969893944577</v>
      </c>
      <c r="M3263" s="43">
        <v>11.498993963782697</v>
      </c>
      <c r="N3263" s="43">
        <v>5.3898916967509027</v>
      </c>
      <c r="O3263" s="43">
        <v>6.7720364741641337</v>
      </c>
      <c r="P3263" s="169"/>
      <c r="Q3263" s="169"/>
      <c r="R3263" s="169">
        <v>24</v>
      </c>
    </row>
    <row r="3264" spans="1:18" ht="48">
      <c r="A3264" s="165">
        <v>572</v>
      </c>
      <c r="B3264" s="162" t="s">
        <v>5947</v>
      </c>
      <c r="C3264" s="166" t="s">
        <v>5948</v>
      </c>
      <c r="D3264" s="167">
        <v>32.39</v>
      </c>
      <c r="E3264" s="167">
        <v>22.98</v>
      </c>
      <c r="F3264" s="167">
        <v>2.77</v>
      </c>
      <c r="G3264" s="167">
        <v>6.64</v>
      </c>
      <c r="H3264" s="168">
        <v>324.45999999999998</v>
      </c>
      <c r="I3264" s="168">
        <v>264.27999999999997</v>
      </c>
      <c r="J3264" s="168">
        <v>14.93</v>
      </c>
      <c r="K3264" s="168">
        <v>45.25</v>
      </c>
      <c r="L3264" s="43">
        <v>10.017289286816919</v>
      </c>
      <c r="M3264" s="43">
        <v>11.500435161009571</v>
      </c>
      <c r="N3264" s="43">
        <v>5.3898916967509027</v>
      </c>
      <c r="O3264" s="43">
        <v>6.8147590361445785</v>
      </c>
      <c r="P3264" s="169"/>
      <c r="Q3264" s="169"/>
      <c r="R3264" s="169">
        <v>24</v>
      </c>
    </row>
    <row r="3265" spans="1:18" ht="12.75" customHeight="1">
      <c r="A3265" s="628" t="s">
        <v>5949</v>
      </c>
      <c r="B3265" s="629"/>
      <c r="C3265" s="629"/>
      <c r="D3265" s="629"/>
      <c r="E3265" s="629"/>
      <c r="F3265" s="629"/>
      <c r="G3265" s="629"/>
      <c r="H3265" s="629"/>
      <c r="I3265" s="629"/>
      <c r="J3265" s="629"/>
      <c r="K3265" s="629"/>
      <c r="L3265" s="629"/>
      <c r="M3265" s="629"/>
      <c r="N3265" s="629"/>
      <c r="O3265" s="629"/>
      <c r="P3265" s="629"/>
      <c r="Q3265" s="629"/>
      <c r="R3265" s="629"/>
    </row>
    <row r="3266" spans="1:18" ht="36">
      <c r="A3266" s="165">
        <v>573</v>
      </c>
      <c r="B3266" s="162" t="s">
        <v>5950</v>
      </c>
      <c r="C3266" s="166" t="s">
        <v>5951</v>
      </c>
      <c r="D3266" s="167">
        <v>645.84</v>
      </c>
      <c r="E3266" s="167">
        <v>84.22</v>
      </c>
      <c r="F3266" s="167">
        <v>537.58000000000004</v>
      </c>
      <c r="G3266" s="167">
        <v>24.04</v>
      </c>
      <c r="H3266" s="168">
        <v>3883.12</v>
      </c>
      <c r="I3266" s="168">
        <v>968.59</v>
      </c>
      <c r="J3266" s="168">
        <v>2742.68</v>
      </c>
      <c r="K3266" s="168">
        <v>171.85</v>
      </c>
      <c r="L3266" s="43">
        <v>6.0125108385977946</v>
      </c>
      <c r="M3266" s="43">
        <v>11.500712419852768</v>
      </c>
      <c r="N3266" s="43">
        <v>5.1019011123925733</v>
      </c>
      <c r="O3266" s="43">
        <v>7.1485024958402663</v>
      </c>
      <c r="P3266" s="169"/>
      <c r="Q3266" s="169"/>
      <c r="R3266" s="169">
        <v>25</v>
      </c>
    </row>
    <row r="3267" spans="1:18" ht="36">
      <c r="A3267" s="165">
        <v>574</v>
      </c>
      <c r="B3267" s="162" t="s">
        <v>5952</v>
      </c>
      <c r="C3267" s="166" t="s">
        <v>5953</v>
      </c>
      <c r="D3267" s="167">
        <v>707.7</v>
      </c>
      <c r="E3267" s="167">
        <v>94.79</v>
      </c>
      <c r="F3267" s="167">
        <v>588.65</v>
      </c>
      <c r="G3267" s="167">
        <v>24.26</v>
      </c>
      <c r="H3267" s="168">
        <v>4267.33</v>
      </c>
      <c r="I3267" s="168">
        <v>1090.1600000000001</v>
      </c>
      <c r="J3267" s="168">
        <v>3002.79</v>
      </c>
      <c r="K3267" s="168">
        <v>174.38</v>
      </c>
      <c r="L3267" s="43">
        <v>6.029857284159954</v>
      </c>
      <c r="M3267" s="43">
        <v>11.500791222702818</v>
      </c>
      <c r="N3267" s="43">
        <v>5.1011466915824348</v>
      </c>
      <c r="O3267" s="43">
        <v>7.1879637262984328</v>
      </c>
      <c r="P3267" s="169"/>
      <c r="Q3267" s="169"/>
      <c r="R3267" s="169">
        <v>25</v>
      </c>
    </row>
    <row r="3268" spans="1:18" ht="36">
      <c r="A3268" s="165">
        <v>575</v>
      </c>
      <c r="B3268" s="162" t="s">
        <v>5954</v>
      </c>
      <c r="C3268" s="166" t="s">
        <v>5955</v>
      </c>
      <c r="D3268" s="167">
        <v>777.66</v>
      </c>
      <c r="E3268" s="167">
        <v>103.3</v>
      </c>
      <c r="F3268" s="167">
        <v>649.92999999999995</v>
      </c>
      <c r="G3268" s="167">
        <v>24.43</v>
      </c>
      <c r="H3268" s="168">
        <v>4679.21</v>
      </c>
      <c r="I3268" s="168">
        <v>1187.94</v>
      </c>
      <c r="J3268" s="168">
        <v>3314.93</v>
      </c>
      <c r="K3268" s="168">
        <v>176.34</v>
      </c>
      <c r="L3268" s="43">
        <v>6.0170382943702903</v>
      </c>
      <c r="M3268" s="43">
        <v>11.499903194578897</v>
      </c>
      <c r="N3268" s="43">
        <v>5.1004415860169559</v>
      </c>
      <c r="O3268" s="43">
        <v>7.2181743757674992</v>
      </c>
      <c r="P3268" s="169"/>
      <c r="Q3268" s="169"/>
      <c r="R3268" s="169">
        <v>25</v>
      </c>
    </row>
    <row r="3269" spans="1:18" ht="36">
      <c r="A3269" s="165">
        <v>576</v>
      </c>
      <c r="B3269" s="162" t="s">
        <v>5956</v>
      </c>
      <c r="C3269" s="166" t="s">
        <v>5957</v>
      </c>
      <c r="D3269" s="167">
        <v>886</v>
      </c>
      <c r="E3269" s="167">
        <v>116.05</v>
      </c>
      <c r="F3269" s="167">
        <v>745.27</v>
      </c>
      <c r="G3269" s="167">
        <v>24.68</v>
      </c>
      <c r="H3269" s="168">
        <v>5314.29</v>
      </c>
      <c r="I3269" s="168">
        <v>1334.61</v>
      </c>
      <c r="J3269" s="168">
        <v>3800.47</v>
      </c>
      <c r="K3269" s="168">
        <v>179.21</v>
      </c>
      <c r="L3269" s="43">
        <v>5.9980699774266366</v>
      </c>
      <c r="M3269" s="43">
        <v>11.500301594140456</v>
      </c>
      <c r="N3269" s="43">
        <v>5.0994538891945203</v>
      </c>
      <c r="O3269" s="43">
        <v>7.2613452188006491</v>
      </c>
      <c r="P3269" s="169"/>
      <c r="Q3269" s="169"/>
      <c r="R3269" s="169">
        <v>25</v>
      </c>
    </row>
    <row r="3270" spans="1:18" ht="36">
      <c r="A3270" s="165">
        <v>577</v>
      </c>
      <c r="B3270" s="162" t="s">
        <v>5958</v>
      </c>
      <c r="C3270" s="166" t="s">
        <v>5959</v>
      </c>
      <c r="D3270" s="167">
        <v>1096.82</v>
      </c>
      <c r="E3270" s="167">
        <v>142.47999999999999</v>
      </c>
      <c r="F3270" s="167">
        <v>929.13</v>
      </c>
      <c r="G3270" s="167">
        <v>25.21</v>
      </c>
      <c r="H3270" s="168">
        <v>6560.72</v>
      </c>
      <c r="I3270" s="168">
        <v>1638.54</v>
      </c>
      <c r="J3270" s="168">
        <v>4736.87</v>
      </c>
      <c r="K3270" s="168">
        <v>185.31</v>
      </c>
      <c r="L3270" s="43">
        <v>5.9815831221166649</v>
      </c>
      <c r="M3270" s="43">
        <v>11.500140370578327</v>
      </c>
      <c r="N3270" s="43">
        <v>5.0981778653148639</v>
      </c>
      <c r="O3270" s="43">
        <v>7.3506545021816736</v>
      </c>
      <c r="P3270" s="169"/>
      <c r="Q3270" s="169"/>
      <c r="R3270" s="169">
        <v>25</v>
      </c>
    </row>
    <row r="3271" spans="1:18" ht="36">
      <c r="A3271" s="165">
        <v>578</v>
      </c>
      <c r="B3271" s="162" t="s">
        <v>5960</v>
      </c>
      <c r="C3271" s="166" t="s">
        <v>5961</v>
      </c>
      <c r="D3271" s="167">
        <v>714.2</v>
      </c>
      <c r="E3271" s="167">
        <v>94.68</v>
      </c>
      <c r="F3271" s="167">
        <v>591.41999999999996</v>
      </c>
      <c r="G3271" s="167">
        <v>28.1</v>
      </c>
      <c r="H3271" s="168">
        <v>4308.3999999999996</v>
      </c>
      <c r="I3271" s="168">
        <v>1088.83</v>
      </c>
      <c r="J3271" s="168">
        <v>3017.71</v>
      </c>
      <c r="K3271" s="168">
        <v>201.86</v>
      </c>
      <c r="L3271" s="43">
        <v>6.0324838980677669</v>
      </c>
      <c r="M3271" s="43">
        <v>11.500105618926909</v>
      </c>
      <c r="N3271" s="43">
        <v>5.1024821615772211</v>
      </c>
      <c r="O3271" s="43">
        <v>7.1836298932384341</v>
      </c>
      <c r="P3271" s="169"/>
      <c r="Q3271" s="169"/>
      <c r="R3271" s="169">
        <v>25</v>
      </c>
    </row>
    <row r="3272" spans="1:18" ht="36">
      <c r="A3272" s="165">
        <v>579</v>
      </c>
      <c r="B3272" s="162" t="s">
        <v>5962</v>
      </c>
      <c r="C3272" s="166" t="s">
        <v>5963</v>
      </c>
      <c r="D3272" s="167">
        <v>819.03</v>
      </c>
      <c r="E3272" s="167">
        <v>107.32</v>
      </c>
      <c r="F3272" s="167">
        <v>683.35</v>
      </c>
      <c r="G3272" s="167">
        <v>28.36</v>
      </c>
      <c r="H3272" s="168">
        <v>4924.96</v>
      </c>
      <c r="I3272" s="168">
        <v>1234.19</v>
      </c>
      <c r="J3272" s="168">
        <v>3485.92</v>
      </c>
      <c r="K3272" s="168">
        <v>204.85</v>
      </c>
      <c r="L3272" s="43">
        <v>6.0131619110411094</v>
      </c>
      <c r="M3272" s="43">
        <v>11.500093179276931</v>
      </c>
      <c r="N3272" s="43">
        <v>5.1012219214165508</v>
      </c>
      <c r="O3272" s="43">
        <v>7.2232016925246825</v>
      </c>
      <c r="P3272" s="169"/>
      <c r="Q3272" s="169"/>
      <c r="R3272" s="169">
        <v>25</v>
      </c>
    </row>
    <row r="3273" spans="1:18" ht="36">
      <c r="A3273" s="165">
        <v>580</v>
      </c>
      <c r="B3273" s="162" t="s">
        <v>5964</v>
      </c>
      <c r="C3273" s="166" t="s">
        <v>5965</v>
      </c>
      <c r="D3273" s="167">
        <v>988.93</v>
      </c>
      <c r="E3273" s="167">
        <v>128.69</v>
      </c>
      <c r="F3273" s="167">
        <v>831.46</v>
      </c>
      <c r="G3273" s="167">
        <v>28.78</v>
      </c>
      <c r="H3273" s="168">
        <v>5929.89</v>
      </c>
      <c r="I3273" s="168">
        <v>1479.97</v>
      </c>
      <c r="J3273" s="168">
        <v>4240.24</v>
      </c>
      <c r="K3273" s="168">
        <v>209.68</v>
      </c>
      <c r="L3273" s="43">
        <v>5.9962686944475347</v>
      </c>
      <c r="M3273" s="43">
        <v>11.50027197140415</v>
      </c>
      <c r="N3273" s="43">
        <v>5.0997522430423583</v>
      </c>
      <c r="O3273" s="43">
        <v>7.2856150104239052</v>
      </c>
      <c r="P3273" s="169"/>
      <c r="Q3273" s="169"/>
      <c r="R3273" s="169">
        <v>25</v>
      </c>
    </row>
    <row r="3274" spans="1:18" ht="36">
      <c r="A3274" s="165">
        <v>581</v>
      </c>
      <c r="B3274" s="162" t="s">
        <v>5966</v>
      </c>
      <c r="C3274" s="166" t="s">
        <v>5967</v>
      </c>
      <c r="D3274" s="167">
        <v>1148.29</v>
      </c>
      <c r="E3274" s="167">
        <v>148.22</v>
      </c>
      <c r="F3274" s="167">
        <v>967.65</v>
      </c>
      <c r="G3274" s="167">
        <v>32.42</v>
      </c>
      <c r="H3274" s="168">
        <v>6866.24</v>
      </c>
      <c r="I3274" s="168">
        <v>1704.61</v>
      </c>
      <c r="J3274" s="168">
        <v>4933.87</v>
      </c>
      <c r="K3274" s="168">
        <v>227.76</v>
      </c>
      <c r="L3274" s="43">
        <v>5.9795347865086343</v>
      </c>
      <c r="M3274" s="43">
        <v>11.500539738226959</v>
      </c>
      <c r="N3274" s="43">
        <v>5.0988167209218211</v>
      </c>
      <c r="O3274" s="43">
        <v>7.0252930289944473</v>
      </c>
      <c r="P3274" s="169"/>
      <c r="Q3274" s="169"/>
      <c r="R3274" s="169">
        <v>25</v>
      </c>
    </row>
    <row r="3275" spans="1:18" ht="36">
      <c r="A3275" s="165">
        <v>582</v>
      </c>
      <c r="B3275" s="162" t="s">
        <v>5968</v>
      </c>
      <c r="C3275" s="166" t="s">
        <v>5969</v>
      </c>
      <c r="D3275" s="167">
        <v>1418.92</v>
      </c>
      <c r="E3275" s="167">
        <v>181.54</v>
      </c>
      <c r="F3275" s="167">
        <v>1204.29</v>
      </c>
      <c r="G3275" s="167">
        <v>33.090000000000003</v>
      </c>
      <c r="H3275" s="168">
        <v>8462.34</v>
      </c>
      <c r="I3275" s="168">
        <v>2087.81</v>
      </c>
      <c r="J3275" s="168">
        <v>6139.06</v>
      </c>
      <c r="K3275" s="168">
        <v>235.47</v>
      </c>
      <c r="L3275" s="43">
        <v>5.9639303131959513</v>
      </c>
      <c r="M3275" s="43">
        <v>11.500550842789469</v>
      </c>
      <c r="N3275" s="43">
        <v>5.0976592016873017</v>
      </c>
      <c r="O3275" s="43">
        <v>7.1160471441523114</v>
      </c>
      <c r="P3275" s="169"/>
      <c r="Q3275" s="169"/>
      <c r="R3275" s="169">
        <v>25</v>
      </c>
    </row>
    <row r="3276" spans="1:18" ht="36">
      <c r="A3276" s="165">
        <v>583</v>
      </c>
      <c r="B3276" s="162" t="s">
        <v>5970</v>
      </c>
      <c r="C3276" s="166" t="s">
        <v>5971</v>
      </c>
      <c r="D3276" s="167">
        <v>1534.6</v>
      </c>
      <c r="E3276" s="167">
        <v>196.48</v>
      </c>
      <c r="F3276" s="167">
        <v>1304.73</v>
      </c>
      <c r="G3276" s="167">
        <v>33.39</v>
      </c>
      <c r="H3276" s="168">
        <v>9149.1200000000008</v>
      </c>
      <c r="I3276" s="168">
        <v>2259.59</v>
      </c>
      <c r="J3276" s="168">
        <v>6650.61</v>
      </c>
      <c r="K3276" s="168">
        <v>238.92</v>
      </c>
      <c r="L3276" s="43">
        <v>5.9618923497979939</v>
      </c>
      <c r="M3276" s="43">
        <v>11.500356270358308</v>
      </c>
      <c r="N3276" s="43">
        <v>5.0973074889057504</v>
      </c>
      <c r="O3276" s="43">
        <v>7.155435759209344</v>
      </c>
      <c r="P3276" s="169"/>
      <c r="Q3276" s="169"/>
      <c r="R3276" s="169">
        <v>25</v>
      </c>
    </row>
    <row r="3277" spans="1:18" ht="12.75" customHeight="1">
      <c r="A3277" s="628" t="s">
        <v>5972</v>
      </c>
      <c r="B3277" s="629"/>
      <c r="C3277" s="629"/>
      <c r="D3277" s="629"/>
      <c r="E3277" s="629"/>
      <c r="F3277" s="629"/>
      <c r="G3277" s="629"/>
      <c r="H3277" s="629"/>
      <c r="I3277" s="629"/>
      <c r="J3277" s="629"/>
      <c r="K3277" s="629"/>
      <c r="L3277" s="629"/>
      <c r="M3277" s="629"/>
      <c r="N3277" s="629"/>
      <c r="O3277" s="629"/>
      <c r="P3277" s="629"/>
      <c r="Q3277" s="629"/>
      <c r="R3277" s="629"/>
    </row>
    <row r="3278" spans="1:18" ht="36">
      <c r="A3278" s="165">
        <v>584</v>
      </c>
      <c r="B3278" s="162" t="s">
        <v>5973</v>
      </c>
      <c r="C3278" s="166" t="s">
        <v>5974</v>
      </c>
      <c r="D3278" s="167">
        <v>694.92</v>
      </c>
      <c r="E3278" s="167">
        <v>58.02</v>
      </c>
      <c r="F3278" s="167">
        <v>631.59</v>
      </c>
      <c r="G3278" s="167">
        <v>5.31</v>
      </c>
      <c r="H3278" s="168">
        <v>3920.42</v>
      </c>
      <c r="I3278" s="168">
        <v>667.31</v>
      </c>
      <c r="J3278" s="168">
        <v>3216.72</v>
      </c>
      <c r="K3278" s="168">
        <v>36.39</v>
      </c>
      <c r="L3278" s="43">
        <v>5.6415414723997008</v>
      </c>
      <c r="M3278" s="43">
        <v>11.501378834884521</v>
      </c>
      <c r="N3278" s="43">
        <v>5.093050871609746</v>
      </c>
      <c r="O3278" s="43">
        <v>6.853107344632769</v>
      </c>
      <c r="P3278" s="169"/>
      <c r="Q3278" s="169"/>
      <c r="R3278" s="169">
        <v>26</v>
      </c>
    </row>
    <row r="3279" spans="1:18" ht="36">
      <c r="A3279" s="165">
        <v>585</v>
      </c>
      <c r="B3279" s="162" t="s">
        <v>5975</v>
      </c>
      <c r="C3279" s="166" t="s">
        <v>5976</v>
      </c>
      <c r="D3279" s="167">
        <v>800.7</v>
      </c>
      <c r="E3279" s="167">
        <v>64.92</v>
      </c>
      <c r="F3279" s="167">
        <v>730.33</v>
      </c>
      <c r="G3279" s="167">
        <v>5.45</v>
      </c>
      <c r="H3279" s="168">
        <v>4504.1899999999996</v>
      </c>
      <c r="I3279" s="168">
        <v>746.59</v>
      </c>
      <c r="J3279" s="168">
        <v>3719.6</v>
      </c>
      <c r="K3279" s="168">
        <v>38</v>
      </c>
      <c r="L3279" s="43">
        <v>5.6253153490695631</v>
      </c>
      <c r="M3279" s="43">
        <v>11.500154035736291</v>
      </c>
      <c r="N3279" s="43">
        <v>5.0930401325428223</v>
      </c>
      <c r="O3279" s="43">
        <v>6.9724770642201834</v>
      </c>
      <c r="P3279" s="169"/>
      <c r="Q3279" s="169"/>
      <c r="R3279" s="169">
        <v>26</v>
      </c>
    </row>
    <row r="3280" spans="1:18" ht="36">
      <c r="A3280" s="165">
        <v>586</v>
      </c>
      <c r="B3280" s="162" t="s">
        <v>5977</v>
      </c>
      <c r="C3280" s="166" t="s">
        <v>5978</v>
      </c>
      <c r="D3280" s="167">
        <v>992.34</v>
      </c>
      <c r="E3280" s="167">
        <v>77.56</v>
      </c>
      <c r="F3280" s="167">
        <v>909.08</v>
      </c>
      <c r="G3280" s="167">
        <v>5.7</v>
      </c>
      <c r="H3280" s="168">
        <v>5562.82</v>
      </c>
      <c r="I3280" s="168">
        <v>891.95</v>
      </c>
      <c r="J3280" s="168">
        <v>4629.99</v>
      </c>
      <c r="K3280" s="168">
        <v>40.880000000000003</v>
      </c>
      <c r="L3280" s="43">
        <v>5.605760122538646</v>
      </c>
      <c r="M3280" s="43">
        <v>11.500128932439402</v>
      </c>
      <c r="N3280" s="43">
        <v>5.0930501166013986</v>
      </c>
      <c r="O3280" s="43">
        <v>7.1719298245614036</v>
      </c>
      <c r="P3280" s="169"/>
      <c r="Q3280" s="169"/>
      <c r="R3280" s="169">
        <v>26</v>
      </c>
    </row>
    <row r="3281" spans="1:18" ht="36">
      <c r="A3281" s="165">
        <v>587</v>
      </c>
      <c r="B3281" s="162" t="s">
        <v>5979</v>
      </c>
      <c r="C3281" s="166" t="s">
        <v>5980</v>
      </c>
      <c r="D3281" s="167">
        <v>1394.05</v>
      </c>
      <c r="E3281" s="167">
        <v>104.21</v>
      </c>
      <c r="F3281" s="167">
        <v>1283.6099999999999</v>
      </c>
      <c r="G3281" s="167">
        <v>6.23</v>
      </c>
      <c r="H3281" s="168">
        <v>7782.96</v>
      </c>
      <c r="I3281" s="168">
        <v>1198.51</v>
      </c>
      <c r="J3281" s="168">
        <v>6537.48</v>
      </c>
      <c r="K3281" s="168">
        <v>46.97</v>
      </c>
      <c r="L3281" s="43">
        <v>5.5829848283777483</v>
      </c>
      <c r="M3281" s="43">
        <v>11.500911620765763</v>
      </c>
      <c r="N3281" s="43">
        <v>5.0930422791969523</v>
      </c>
      <c r="O3281" s="43">
        <v>7.5393258426966288</v>
      </c>
      <c r="P3281" s="169"/>
      <c r="Q3281" s="169"/>
      <c r="R3281" s="169">
        <v>26</v>
      </c>
    </row>
    <row r="3282" spans="1:18" ht="36">
      <c r="A3282" s="165">
        <v>588</v>
      </c>
      <c r="B3282" s="162" t="s">
        <v>5981</v>
      </c>
      <c r="C3282" s="166" t="s">
        <v>5982</v>
      </c>
      <c r="D3282" s="167">
        <v>789.12</v>
      </c>
      <c r="E3282" s="167">
        <v>63.77</v>
      </c>
      <c r="F3282" s="167">
        <v>719.92</v>
      </c>
      <c r="G3282" s="167">
        <v>5.43</v>
      </c>
      <c r="H3282" s="168">
        <v>4440.1499999999996</v>
      </c>
      <c r="I3282" s="168">
        <v>733.38</v>
      </c>
      <c r="J3282" s="168">
        <v>3669</v>
      </c>
      <c r="K3282" s="168">
        <v>37.770000000000003</v>
      </c>
      <c r="L3282" s="43">
        <v>5.6267107664233569</v>
      </c>
      <c r="M3282" s="43">
        <v>11.500392033871726</v>
      </c>
      <c r="N3282" s="43">
        <v>5.0963995999555509</v>
      </c>
      <c r="O3282" s="43">
        <v>6.9558011049723767</v>
      </c>
      <c r="P3282" s="169"/>
      <c r="Q3282" s="169"/>
      <c r="R3282" s="169">
        <v>26</v>
      </c>
    </row>
    <row r="3283" spans="1:18" ht="36">
      <c r="A3283" s="165">
        <v>589</v>
      </c>
      <c r="B3283" s="162" t="s">
        <v>5983</v>
      </c>
      <c r="C3283" s="166" t="s">
        <v>5984</v>
      </c>
      <c r="D3283" s="167">
        <v>979.06</v>
      </c>
      <c r="E3283" s="167">
        <v>76.41</v>
      </c>
      <c r="F3283" s="167">
        <v>896.97</v>
      </c>
      <c r="G3283" s="167">
        <v>5.68</v>
      </c>
      <c r="H3283" s="168">
        <v>5490.1</v>
      </c>
      <c r="I3283" s="168">
        <v>878.73</v>
      </c>
      <c r="J3283" s="168">
        <v>4570.72</v>
      </c>
      <c r="K3283" s="168">
        <v>40.65</v>
      </c>
      <c r="L3283" s="43">
        <v>5.6075215002144922</v>
      </c>
      <c r="M3283" s="43">
        <v>11.50019630938359</v>
      </c>
      <c r="N3283" s="43">
        <v>5.0957334136035763</v>
      </c>
      <c r="O3283" s="43">
        <v>7.1566901408450709</v>
      </c>
      <c r="P3283" s="169"/>
      <c r="Q3283" s="169"/>
      <c r="R3283" s="169">
        <v>26</v>
      </c>
    </row>
    <row r="3284" spans="1:18" ht="36">
      <c r="A3284" s="165">
        <v>590</v>
      </c>
      <c r="B3284" s="162" t="s">
        <v>5985</v>
      </c>
      <c r="C3284" s="166" t="s">
        <v>5986</v>
      </c>
      <c r="D3284" s="167">
        <v>1148.6400000000001</v>
      </c>
      <c r="E3284" s="167">
        <v>87.44</v>
      </c>
      <c r="F3284" s="167">
        <v>1055.3</v>
      </c>
      <c r="G3284" s="167">
        <v>5.9</v>
      </c>
      <c r="H3284" s="168">
        <v>6425.84</v>
      </c>
      <c r="I3284" s="168">
        <v>1005.59</v>
      </c>
      <c r="J3284" s="168">
        <v>5377.07</v>
      </c>
      <c r="K3284" s="168">
        <v>43.18</v>
      </c>
      <c r="L3284" s="43">
        <v>5.5943028276918785</v>
      </c>
      <c r="M3284" s="43">
        <v>11.500343092406222</v>
      </c>
      <c r="N3284" s="43">
        <v>5.0952999147161941</v>
      </c>
      <c r="O3284" s="43">
        <v>7.31864406779661</v>
      </c>
      <c r="P3284" s="169"/>
      <c r="Q3284" s="169"/>
      <c r="R3284" s="169">
        <v>26</v>
      </c>
    </row>
    <row r="3285" spans="1:18" ht="36">
      <c r="A3285" s="165">
        <v>591</v>
      </c>
      <c r="B3285" s="162" t="s">
        <v>5987</v>
      </c>
      <c r="C3285" s="166" t="s">
        <v>5988</v>
      </c>
      <c r="D3285" s="167">
        <v>1486.55</v>
      </c>
      <c r="E3285" s="167">
        <v>109.96</v>
      </c>
      <c r="F3285" s="167">
        <v>1370.24</v>
      </c>
      <c r="G3285" s="167">
        <v>6.35</v>
      </c>
      <c r="H3285" s="168">
        <v>8294.02</v>
      </c>
      <c r="I3285" s="168">
        <v>1264.58</v>
      </c>
      <c r="J3285" s="168">
        <v>6981.09</v>
      </c>
      <c r="K3285" s="168">
        <v>48.35</v>
      </c>
      <c r="L3285" s="43">
        <v>5.5793750630654877</v>
      </c>
      <c r="M3285" s="43">
        <v>11.500363768643142</v>
      </c>
      <c r="N3285" s="43">
        <v>5.0947936127977584</v>
      </c>
      <c r="O3285" s="43">
        <v>7.6141732283464574</v>
      </c>
      <c r="P3285" s="169"/>
      <c r="Q3285" s="169"/>
      <c r="R3285" s="169">
        <v>26</v>
      </c>
    </row>
    <row r="3286" spans="1:18" ht="36">
      <c r="A3286" s="165">
        <v>592</v>
      </c>
      <c r="B3286" s="162" t="s">
        <v>5989</v>
      </c>
      <c r="C3286" s="166" t="s">
        <v>5990</v>
      </c>
      <c r="D3286" s="167">
        <v>1635.88</v>
      </c>
      <c r="E3286" s="167">
        <v>119.5</v>
      </c>
      <c r="F3286" s="167">
        <v>1509.84</v>
      </c>
      <c r="G3286" s="167">
        <v>6.54</v>
      </c>
      <c r="H3286" s="168">
        <v>9116.86</v>
      </c>
      <c r="I3286" s="168">
        <v>1374.26</v>
      </c>
      <c r="J3286" s="168">
        <v>7692.06</v>
      </c>
      <c r="K3286" s="168">
        <v>50.54</v>
      </c>
      <c r="L3286" s="43">
        <v>5.5730615937599337</v>
      </c>
      <c r="M3286" s="43">
        <v>11.500083682008368</v>
      </c>
      <c r="N3286" s="43">
        <v>5.0946192974089977</v>
      </c>
      <c r="O3286" s="43">
        <v>7.7278287461773703</v>
      </c>
      <c r="P3286" s="169"/>
      <c r="Q3286" s="169"/>
      <c r="R3286" s="169">
        <v>26</v>
      </c>
    </row>
    <row r="3287" spans="1:18" ht="12.75" customHeight="1">
      <c r="A3287" s="628" t="s">
        <v>5991</v>
      </c>
      <c r="B3287" s="629"/>
      <c r="C3287" s="629"/>
      <c r="D3287" s="629"/>
      <c r="E3287" s="629"/>
      <c r="F3287" s="629"/>
      <c r="G3287" s="629"/>
      <c r="H3287" s="629"/>
      <c r="I3287" s="629"/>
      <c r="J3287" s="629"/>
      <c r="K3287" s="629"/>
      <c r="L3287" s="629"/>
      <c r="M3287" s="629"/>
      <c r="N3287" s="629"/>
      <c r="O3287" s="629"/>
      <c r="P3287" s="629"/>
      <c r="Q3287" s="629"/>
      <c r="R3287" s="629"/>
    </row>
    <row r="3288" spans="1:18" ht="36">
      <c r="A3288" s="165">
        <v>593</v>
      </c>
      <c r="B3288" s="162" t="s">
        <v>5992</v>
      </c>
      <c r="C3288" s="166" t="s">
        <v>5993</v>
      </c>
      <c r="D3288" s="167">
        <v>126.54</v>
      </c>
      <c r="E3288" s="167">
        <v>86.29</v>
      </c>
      <c r="F3288" s="167">
        <v>11.09</v>
      </c>
      <c r="G3288" s="167">
        <v>29.16</v>
      </c>
      <c r="H3288" s="168">
        <v>1264.1099999999999</v>
      </c>
      <c r="I3288" s="168">
        <v>992.37</v>
      </c>
      <c r="J3288" s="168">
        <v>59.69</v>
      </c>
      <c r="K3288" s="168">
        <v>212.05</v>
      </c>
      <c r="L3288" s="43">
        <v>9.9898055950687521</v>
      </c>
      <c r="M3288" s="43">
        <v>11.50040560899293</v>
      </c>
      <c r="N3288" s="43">
        <v>5.3823264201983765</v>
      </c>
      <c r="O3288" s="43">
        <v>7.2719478737997258</v>
      </c>
      <c r="P3288" s="169"/>
      <c r="Q3288" s="169"/>
      <c r="R3288" s="169">
        <v>27</v>
      </c>
    </row>
    <row r="3289" spans="1:18" ht="36">
      <c r="A3289" s="165">
        <v>594</v>
      </c>
      <c r="B3289" s="162" t="s">
        <v>5994</v>
      </c>
      <c r="C3289" s="166" t="s">
        <v>5995</v>
      </c>
      <c r="D3289" s="167">
        <v>144.6</v>
      </c>
      <c r="E3289" s="167">
        <v>98.35</v>
      </c>
      <c r="F3289" s="167">
        <v>11.09</v>
      </c>
      <c r="G3289" s="167">
        <v>35.159999999999997</v>
      </c>
      <c r="H3289" s="168">
        <v>1447.01</v>
      </c>
      <c r="I3289" s="168">
        <v>1131.1199999999999</v>
      </c>
      <c r="J3289" s="168">
        <v>59.69</v>
      </c>
      <c r="K3289" s="168">
        <v>256.2</v>
      </c>
      <c r="L3289" s="43">
        <v>10.006984785615492</v>
      </c>
      <c r="M3289" s="43">
        <v>11.500965937976614</v>
      </c>
      <c r="N3289" s="43">
        <v>5.3823264201983765</v>
      </c>
      <c r="O3289" s="43">
        <v>7.2866894197952226</v>
      </c>
      <c r="P3289" s="169"/>
      <c r="Q3289" s="169"/>
      <c r="R3289" s="169">
        <v>27</v>
      </c>
    </row>
    <row r="3290" spans="1:18" ht="36">
      <c r="A3290" s="165">
        <v>595</v>
      </c>
      <c r="B3290" s="162" t="s">
        <v>5996</v>
      </c>
      <c r="C3290" s="166" t="s">
        <v>5997</v>
      </c>
      <c r="D3290" s="167">
        <v>165.51</v>
      </c>
      <c r="E3290" s="167">
        <v>113.41</v>
      </c>
      <c r="F3290" s="167">
        <v>16.64</v>
      </c>
      <c r="G3290" s="167">
        <v>35.46</v>
      </c>
      <c r="H3290" s="168">
        <v>1653.41</v>
      </c>
      <c r="I3290" s="168">
        <v>1304.22</v>
      </c>
      <c r="J3290" s="168">
        <v>89.54</v>
      </c>
      <c r="K3290" s="168">
        <v>259.64999999999998</v>
      </c>
      <c r="L3290" s="43">
        <v>9.9897891366080618</v>
      </c>
      <c r="M3290" s="43">
        <v>11.500044087822944</v>
      </c>
      <c r="N3290" s="43">
        <v>5.3810096153846159</v>
      </c>
      <c r="O3290" s="43">
        <v>7.3223350253807098</v>
      </c>
      <c r="P3290" s="169"/>
      <c r="Q3290" s="169"/>
      <c r="R3290" s="169">
        <v>27</v>
      </c>
    </row>
    <row r="3291" spans="1:18" ht="48">
      <c r="A3291" s="165">
        <v>596</v>
      </c>
      <c r="B3291" s="162" t="s">
        <v>5998</v>
      </c>
      <c r="C3291" s="166" t="s">
        <v>5999</v>
      </c>
      <c r="D3291" s="167">
        <v>191.55</v>
      </c>
      <c r="E3291" s="167">
        <v>133.28</v>
      </c>
      <c r="F3291" s="167">
        <v>16.64</v>
      </c>
      <c r="G3291" s="167">
        <v>41.63</v>
      </c>
      <c r="H3291" s="168">
        <v>1927.99</v>
      </c>
      <c r="I3291" s="168">
        <v>1532.82</v>
      </c>
      <c r="J3291" s="168">
        <v>89.54</v>
      </c>
      <c r="K3291" s="168">
        <v>305.63</v>
      </c>
      <c r="L3291" s="43">
        <v>10.065204907334898</v>
      </c>
      <c r="M3291" s="43">
        <v>11.500750300120048</v>
      </c>
      <c r="N3291" s="43">
        <v>5.3810096153846159</v>
      </c>
      <c r="O3291" s="43">
        <v>7.3415805909200094</v>
      </c>
      <c r="P3291" s="169"/>
      <c r="Q3291" s="169"/>
      <c r="R3291" s="169">
        <v>27</v>
      </c>
    </row>
    <row r="3292" spans="1:18" ht="48">
      <c r="A3292" s="165">
        <v>597</v>
      </c>
      <c r="B3292" s="162" t="s">
        <v>6000</v>
      </c>
      <c r="C3292" s="166" t="s">
        <v>6001</v>
      </c>
      <c r="D3292" s="167">
        <v>222.46</v>
      </c>
      <c r="E3292" s="167">
        <v>160.86000000000001</v>
      </c>
      <c r="F3292" s="167">
        <v>19.420000000000002</v>
      </c>
      <c r="G3292" s="167">
        <v>42.18</v>
      </c>
      <c r="H3292" s="168">
        <v>2266.37</v>
      </c>
      <c r="I3292" s="168">
        <v>1849.96</v>
      </c>
      <c r="J3292" s="168">
        <v>104.46</v>
      </c>
      <c r="K3292" s="168">
        <v>311.95</v>
      </c>
      <c r="L3292" s="43">
        <v>10.187764092421109</v>
      </c>
      <c r="M3292" s="43">
        <v>11.500435161009573</v>
      </c>
      <c r="N3292" s="43">
        <v>5.3789907312049428</v>
      </c>
      <c r="O3292" s="43">
        <v>7.3956851588430537</v>
      </c>
      <c r="P3292" s="169"/>
      <c r="Q3292" s="169"/>
      <c r="R3292" s="169">
        <v>27</v>
      </c>
    </row>
    <row r="3293" spans="1:18" ht="48">
      <c r="A3293" s="165">
        <v>598</v>
      </c>
      <c r="B3293" s="162" t="s">
        <v>6002</v>
      </c>
      <c r="C3293" s="166" t="s">
        <v>6003</v>
      </c>
      <c r="D3293" s="167">
        <v>254.44</v>
      </c>
      <c r="E3293" s="167">
        <v>188.44</v>
      </c>
      <c r="F3293" s="167">
        <v>19.420000000000002</v>
      </c>
      <c r="G3293" s="167">
        <v>46.58</v>
      </c>
      <c r="H3293" s="168">
        <v>2617.4299999999998</v>
      </c>
      <c r="I3293" s="168">
        <v>2167.1</v>
      </c>
      <c r="J3293" s="168">
        <v>104.46</v>
      </c>
      <c r="K3293" s="168">
        <v>345.87</v>
      </c>
      <c r="L3293" s="43">
        <v>10.287022480742021</v>
      </c>
      <c r="M3293" s="43">
        <v>11.500212269157291</v>
      </c>
      <c r="N3293" s="43">
        <v>5.3789907312049428</v>
      </c>
      <c r="O3293" s="43">
        <v>7.4252898239587806</v>
      </c>
      <c r="P3293" s="169"/>
      <c r="Q3293" s="169"/>
      <c r="R3293" s="169">
        <v>27</v>
      </c>
    </row>
    <row r="3294" spans="1:18" ht="36">
      <c r="A3294" s="165">
        <v>599</v>
      </c>
      <c r="B3294" s="162" t="s">
        <v>6004</v>
      </c>
      <c r="C3294" s="166" t="s">
        <v>6005</v>
      </c>
      <c r="D3294" s="167">
        <v>147.31</v>
      </c>
      <c r="E3294" s="167">
        <v>91.58</v>
      </c>
      <c r="F3294" s="167">
        <v>11.09</v>
      </c>
      <c r="G3294" s="167">
        <v>44.64</v>
      </c>
      <c r="H3294" s="168">
        <v>1436.41</v>
      </c>
      <c r="I3294" s="168">
        <v>1053.1600000000001</v>
      </c>
      <c r="J3294" s="168">
        <v>59.69</v>
      </c>
      <c r="K3294" s="168">
        <v>323.56</v>
      </c>
      <c r="L3294" s="43">
        <v>9.7509334057429911</v>
      </c>
      <c r="M3294" s="43">
        <v>11.499890805852807</v>
      </c>
      <c r="N3294" s="43">
        <v>5.3823264201983765</v>
      </c>
      <c r="O3294" s="43">
        <v>7.2482078853046596</v>
      </c>
      <c r="P3294" s="169"/>
      <c r="Q3294" s="169"/>
      <c r="R3294" s="169">
        <v>27</v>
      </c>
    </row>
    <row r="3295" spans="1:18" ht="36">
      <c r="A3295" s="165">
        <v>600</v>
      </c>
      <c r="B3295" s="162" t="s">
        <v>6006</v>
      </c>
      <c r="C3295" s="166" t="s">
        <v>6007</v>
      </c>
      <c r="D3295" s="167">
        <v>130.44</v>
      </c>
      <c r="E3295" s="167">
        <v>97.67</v>
      </c>
      <c r="F3295" s="167">
        <v>11.09</v>
      </c>
      <c r="G3295" s="167">
        <v>21.68</v>
      </c>
      <c r="H3295" s="168">
        <v>1342.29</v>
      </c>
      <c r="I3295" s="168">
        <v>1123.19</v>
      </c>
      <c r="J3295" s="168">
        <v>59.69</v>
      </c>
      <c r="K3295" s="168">
        <v>159.41</v>
      </c>
      <c r="L3295" s="43">
        <v>10.290478380864766</v>
      </c>
      <c r="M3295" s="43">
        <v>11.499846421623836</v>
      </c>
      <c r="N3295" s="43">
        <v>5.3823264201983765</v>
      </c>
      <c r="O3295" s="43">
        <v>7.3528597785977858</v>
      </c>
      <c r="P3295" s="169"/>
      <c r="Q3295" s="169"/>
      <c r="R3295" s="169">
        <v>27</v>
      </c>
    </row>
    <row r="3296" spans="1:18" ht="36">
      <c r="A3296" s="165">
        <v>601</v>
      </c>
      <c r="B3296" s="162" t="s">
        <v>6008</v>
      </c>
      <c r="C3296" s="166" t="s">
        <v>6009</v>
      </c>
      <c r="D3296" s="167">
        <v>162.11000000000001</v>
      </c>
      <c r="E3296" s="167">
        <v>119.5</v>
      </c>
      <c r="F3296" s="167">
        <v>16.64</v>
      </c>
      <c r="G3296" s="167">
        <v>25.97</v>
      </c>
      <c r="H3296" s="168">
        <v>1655.86</v>
      </c>
      <c r="I3296" s="168">
        <v>1374.26</v>
      </c>
      <c r="J3296" s="168">
        <v>89.54</v>
      </c>
      <c r="K3296" s="168">
        <v>192.06</v>
      </c>
      <c r="L3296" s="43">
        <v>10.21442230584171</v>
      </c>
      <c r="M3296" s="43">
        <v>11.500083682008368</v>
      </c>
      <c r="N3296" s="43">
        <v>5.3810096153846159</v>
      </c>
      <c r="O3296" s="43">
        <v>7.3954562957258378</v>
      </c>
      <c r="P3296" s="169"/>
      <c r="Q3296" s="169"/>
      <c r="R3296" s="169">
        <v>27</v>
      </c>
    </row>
    <row r="3297" spans="1:18" ht="36">
      <c r="A3297" s="165">
        <v>602</v>
      </c>
      <c r="B3297" s="162" t="s">
        <v>6010</v>
      </c>
      <c r="C3297" s="166" t="s">
        <v>6011</v>
      </c>
      <c r="D3297" s="167">
        <v>188.23</v>
      </c>
      <c r="E3297" s="167">
        <v>141.33000000000001</v>
      </c>
      <c r="F3297" s="167">
        <v>16.64</v>
      </c>
      <c r="G3297" s="167">
        <v>30.26</v>
      </c>
      <c r="H3297" s="168">
        <v>1939.56</v>
      </c>
      <c r="I3297" s="168">
        <v>1625.32</v>
      </c>
      <c r="J3297" s="168">
        <v>89.54</v>
      </c>
      <c r="K3297" s="168">
        <v>224.7</v>
      </c>
      <c r="L3297" s="43">
        <v>10.304202305689849</v>
      </c>
      <c r="M3297" s="43">
        <v>11.500176890964408</v>
      </c>
      <c r="N3297" s="43">
        <v>5.3810096153846159</v>
      </c>
      <c r="O3297" s="43">
        <v>7.4256444150693977</v>
      </c>
      <c r="P3297" s="169"/>
      <c r="Q3297" s="169"/>
      <c r="R3297" s="169">
        <v>27</v>
      </c>
    </row>
    <row r="3298" spans="1:18" ht="36">
      <c r="A3298" s="165">
        <v>603</v>
      </c>
      <c r="B3298" s="162" t="s">
        <v>6012</v>
      </c>
      <c r="C3298" s="166" t="s">
        <v>6013</v>
      </c>
      <c r="D3298" s="167">
        <v>234.87</v>
      </c>
      <c r="E3298" s="167">
        <v>170.05</v>
      </c>
      <c r="F3298" s="167">
        <v>19.420000000000002</v>
      </c>
      <c r="G3298" s="167">
        <v>45.4</v>
      </c>
      <c r="H3298" s="168">
        <v>2326.77</v>
      </c>
      <c r="I3298" s="168">
        <v>1955.67</v>
      </c>
      <c r="J3298" s="168">
        <v>104.46</v>
      </c>
      <c r="K3298" s="168">
        <v>266.64</v>
      </c>
      <c r="L3298" s="43">
        <v>9.9066291991314337</v>
      </c>
      <c r="M3298" s="43">
        <v>11.500558659217877</v>
      </c>
      <c r="N3298" s="43">
        <v>5.3789907312049428</v>
      </c>
      <c r="O3298" s="43">
        <v>5.8731277533039643</v>
      </c>
      <c r="P3298" s="169"/>
      <c r="Q3298" s="169"/>
      <c r="R3298" s="169">
        <v>27</v>
      </c>
    </row>
    <row r="3299" spans="1:18" ht="36">
      <c r="A3299" s="165">
        <v>604</v>
      </c>
      <c r="B3299" s="162" t="s">
        <v>6014</v>
      </c>
      <c r="C3299" s="166" t="s">
        <v>6015</v>
      </c>
      <c r="D3299" s="167">
        <v>267.27</v>
      </c>
      <c r="E3299" s="167">
        <v>199.93</v>
      </c>
      <c r="F3299" s="167">
        <v>19.420000000000002</v>
      </c>
      <c r="G3299" s="167">
        <v>47.92</v>
      </c>
      <c r="H3299" s="168">
        <v>2691.04</v>
      </c>
      <c r="I3299" s="168">
        <v>2299.2399999999998</v>
      </c>
      <c r="J3299" s="168">
        <v>104.46</v>
      </c>
      <c r="K3299" s="168">
        <v>287.33999999999997</v>
      </c>
      <c r="L3299" s="43">
        <v>10.068619747820556</v>
      </c>
      <c r="M3299" s="43">
        <v>11.500225078777571</v>
      </c>
      <c r="N3299" s="43">
        <v>5.3789907312049428</v>
      </c>
      <c r="O3299" s="43">
        <v>5.9962437395659425</v>
      </c>
      <c r="P3299" s="169"/>
      <c r="Q3299" s="169"/>
      <c r="R3299" s="169">
        <v>27</v>
      </c>
    </row>
    <row r="3300" spans="1:18" ht="12.75" customHeight="1">
      <c r="A3300" s="628" t="s">
        <v>6016</v>
      </c>
      <c r="B3300" s="629"/>
      <c r="C3300" s="629"/>
      <c r="D3300" s="629"/>
      <c r="E3300" s="629"/>
      <c r="F3300" s="629"/>
      <c r="G3300" s="629"/>
      <c r="H3300" s="629"/>
      <c r="I3300" s="629"/>
      <c r="J3300" s="629"/>
      <c r="K3300" s="629"/>
      <c r="L3300" s="629"/>
      <c r="M3300" s="629"/>
      <c r="N3300" s="629"/>
      <c r="O3300" s="629"/>
      <c r="P3300" s="629"/>
      <c r="Q3300" s="629"/>
      <c r="R3300" s="629"/>
    </row>
    <row r="3301" spans="1:18" ht="36">
      <c r="A3301" s="165">
        <v>605</v>
      </c>
      <c r="B3301" s="162" t="s">
        <v>6017</v>
      </c>
      <c r="C3301" s="166" t="s">
        <v>6018</v>
      </c>
      <c r="D3301" s="167">
        <v>103.08</v>
      </c>
      <c r="E3301" s="167">
        <v>79.400000000000006</v>
      </c>
      <c r="F3301" s="167">
        <v>2.77</v>
      </c>
      <c r="G3301" s="167">
        <v>20.91</v>
      </c>
      <c r="H3301" s="168">
        <v>1024.92</v>
      </c>
      <c r="I3301" s="168">
        <v>913.09</v>
      </c>
      <c r="J3301" s="168">
        <v>14.93</v>
      </c>
      <c r="K3301" s="168">
        <v>96.9</v>
      </c>
      <c r="L3301" s="43">
        <v>9.9429569266589066</v>
      </c>
      <c r="M3301" s="43">
        <v>11.499874055415617</v>
      </c>
      <c r="N3301" s="43">
        <v>5.3898916967509027</v>
      </c>
      <c r="O3301" s="43">
        <v>4.6341463414634152</v>
      </c>
      <c r="P3301" s="169"/>
      <c r="Q3301" s="169"/>
      <c r="R3301" s="169">
        <v>28</v>
      </c>
    </row>
    <row r="3302" spans="1:18" ht="36">
      <c r="A3302" s="165">
        <v>606</v>
      </c>
      <c r="B3302" s="162" t="s">
        <v>6019</v>
      </c>
      <c r="C3302" s="166" t="s">
        <v>6020</v>
      </c>
      <c r="D3302" s="167">
        <v>117.15</v>
      </c>
      <c r="E3302" s="167">
        <v>89.39</v>
      </c>
      <c r="F3302" s="167">
        <v>2.77</v>
      </c>
      <c r="G3302" s="167">
        <v>24.99</v>
      </c>
      <c r="H3302" s="168">
        <v>1153.3699999999999</v>
      </c>
      <c r="I3302" s="168">
        <v>1028.05</v>
      </c>
      <c r="J3302" s="168">
        <v>14.93</v>
      </c>
      <c r="K3302" s="168">
        <v>110.39</v>
      </c>
      <c r="L3302" s="43">
        <v>9.8452411438326912</v>
      </c>
      <c r="M3302" s="43">
        <v>11.500727150687997</v>
      </c>
      <c r="N3302" s="43">
        <v>5.3898916967509027</v>
      </c>
      <c r="O3302" s="43">
        <v>4.4173669467787118</v>
      </c>
      <c r="P3302" s="169"/>
      <c r="Q3302" s="169"/>
      <c r="R3302" s="169">
        <v>28</v>
      </c>
    </row>
    <row r="3303" spans="1:18" ht="36">
      <c r="A3303" s="165">
        <v>607</v>
      </c>
      <c r="B3303" s="162" t="s">
        <v>6021</v>
      </c>
      <c r="C3303" s="166" t="s">
        <v>6022</v>
      </c>
      <c r="D3303" s="167">
        <v>164.18</v>
      </c>
      <c r="E3303" s="167">
        <v>107.09</v>
      </c>
      <c r="F3303" s="167">
        <v>2.77</v>
      </c>
      <c r="G3303" s="167">
        <v>54.32</v>
      </c>
      <c r="H3303" s="168">
        <v>1445.95</v>
      </c>
      <c r="I3303" s="168">
        <v>1231.54</v>
      </c>
      <c r="J3303" s="168">
        <v>14.93</v>
      </c>
      <c r="K3303" s="168">
        <v>199.48</v>
      </c>
      <c r="L3303" s="43">
        <v>8.8071019612620294</v>
      </c>
      <c r="M3303" s="43">
        <v>11.500046689700252</v>
      </c>
      <c r="N3303" s="43">
        <v>5.3898916967509027</v>
      </c>
      <c r="O3303" s="43">
        <v>3.6723122238586154</v>
      </c>
      <c r="P3303" s="169"/>
      <c r="Q3303" s="169"/>
      <c r="R3303" s="169">
        <v>28</v>
      </c>
    </row>
    <row r="3304" spans="1:18" ht="36">
      <c r="A3304" s="165">
        <v>608</v>
      </c>
      <c r="B3304" s="162" t="s">
        <v>6023</v>
      </c>
      <c r="C3304" s="166" t="s">
        <v>6024</v>
      </c>
      <c r="D3304" s="167">
        <v>207.92</v>
      </c>
      <c r="E3304" s="167">
        <v>129.84</v>
      </c>
      <c r="F3304" s="167">
        <v>2.77</v>
      </c>
      <c r="G3304" s="167">
        <v>75.31</v>
      </c>
      <c r="H3304" s="168">
        <v>1772.89</v>
      </c>
      <c r="I3304" s="168">
        <v>1493.18</v>
      </c>
      <c r="J3304" s="168">
        <v>14.93</v>
      </c>
      <c r="K3304" s="168">
        <v>264.77999999999997</v>
      </c>
      <c r="L3304" s="43">
        <v>8.5267891496729522</v>
      </c>
      <c r="M3304" s="43">
        <v>11.500154035736291</v>
      </c>
      <c r="N3304" s="43">
        <v>5.3898916967509027</v>
      </c>
      <c r="O3304" s="43">
        <v>3.5158677466471913</v>
      </c>
      <c r="P3304" s="169"/>
      <c r="Q3304" s="169"/>
      <c r="R3304" s="169">
        <v>28</v>
      </c>
    </row>
    <row r="3305" spans="1:18" ht="36">
      <c r="A3305" s="165">
        <v>609</v>
      </c>
      <c r="B3305" s="162" t="s">
        <v>6025</v>
      </c>
      <c r="C3305" s="166" t="s">
        <v>6026</v>
      </c>
      <c r="D3305" s="167">
        <v>267.7</v>
      </c>
      <c r="E3305" s="167">
        <v>148.22</v>
      </c>
      <c r="F3305" s="167">
        <v>2.77</v>
      </c>
      <c r="G3305" s="167">
        <v>116.71</v>
      </c>
      <c r="H3305" s="168">
        <v>2326.02</v>
      </c>
      <c r="I3305" s="168">
        <v>1704.61</v>
      </c>
      <c r="J3305" s="168">
        <v>14.93</v>
      </c>
      <c r="K3305" s="168">
        <v>606.48</v>
      </c>
      <c r="L3305" s="43">
        <v>8.6889054912215169</v>
      </c>
      <c r="M3305" s="43">
        <v>11.500539738226959</v>
      </c>
      <c r="N3305" s="43">
        <v>5.3898916967509027</v>
      </c>
      <c r="O3305" s="43">
        <v>5.1964698826150295</v>
      </c>
      <c r="P3305" s="169"/>
      <c r="Q3305" s="169"/>
      <c r="R3305" s="169">
        <v>28</v>
      </c>
    </row>
    <row r="3306" spans="1:18" ht="36">
      <c r="A3306" s="165">
        <v>610</v>
      </c>
      <c r="B3306" s="162" t="s">
        <v>6027</v>
      </c>
      <c r="C3306" s="166" t="s">
        <v>6028</v>
      </c>
      <c r="D3306" s="167">
        <v>110.07</v>
      </c>
      <c r="E3306" s="167">
        <v>83.53</v>
      </c>
      <c r="F3306" s="167">
        <v>5.55</v>
      </c>
      <c r="G3306" s="167">
        <v>20.99</v>
      </c>
      <c r="H3306" s="168">
        <v>1088.32</v>
      </c>
      <c r="I3306" s="168">
        <v>960.66</v>
      </c>
      <c r="J3306" s="168">
        <v>29.84</v>
      </c>
      <c r="K3306" s="168">
        <v>97.82</v>
      </c>
      <c r="L3306" s="43">
        <v>9.8875261197419828</v>
      </c>
      <c r="M3306" s="43">
        <v>11.50077816353406</v>
      </c>
      <c r="N3306" s="43">
        <v>5.3765765765765767</v>
      </c>
      <c r="O3306" s="43">
        <v>4.66031443544545</v>
      </c>
      <c r="P3306" s="169"/>
      <c r="Q3306" s="169"/>
      <c r="R3306" s="169">
        <v>28</v>
      </c>
    </row>
    <row r="3307" spans="1:18" ht="36">
      <c r="A3307" s="165">
        <v>611</v>
      </c>
      <c r="B3307" s="162" t="s">
        <v>6029</v>
      </c>
      <c r="C3307" s="166" t="s">
        <v>6030</v>
      </c>
      <c r="D3307" s="167">
        <v>124.62</v>
      </c>
      <c r="E3307" s="167">
        <v>93.99</v>
      </c>
      <c r="F3307" s="167">
        <v>5.55</v>
      </c>
      <c r="G3307" s="167">
        <v>25.08</v>
      </c>
      <c r="H3307" s="168">
        <v>1222.17</v>
      </c>
      <c r="I3307" s="168">
        <v>1080.9100000000001</v>
      </c>
      <c r="J3307" s="168">
        <v>29.84</v>
      </c>
      <c r="K3307" s="168">
        <v>111.42</v>
      </c>
      <c r="L3307" s="43">
        <v>9.8071738083774669</v>
      </c>
      <c r="M3307" s="43">
        <v>11.500265985743166</v>
      </c>
      <c r="N3307" s="43">
        <v>5.3765765765765767</v>
      </c>
      <c r="O3307" s="43">
        <v>4.4425837320574164</v>
      </c>
      <c r="P3307" s="169"/>
      <c r="Q3307" s="169"/>
      <c r="R3307" s="169">
        <v>28</v>
      </c>
    </row>
    <row r="3308" spans="1:18" ht="36">
      <c r="A3308" s="165">
        <v>612</v>
      </c>
      <c r="B3308" s="162" t="s">
        <v>6031</v>
      </c>
      <c r="C3308" s="166" t="s">
        <v>6032</v>
      </c>
      <c r="D3308" s="167">
        <v>172.94</v>
      </c>
      <c r="E3308" s="167">
        <v>112.95</v>
      </c>
      <c r="F3308" s="167">
        <v>5.55</v>
      </c>
      <c r="G3308" s="167">
        <v>54.44</v>
      </c>
      <c r="H3308" s="168">
        <v>1529.64</v>
      </c>
      <c r="I3308" s="168">
        <v>1298.94</v>
      </c>
      <c r="J3308" s="168">
        <v>29.84</v>
      </c>
      <c r="K3308" s="168">
        <v>200.86</v>
      </c>
      <c r="L3308" s="43">
        <v>8.8449173123626696</v>
      </c>
      <c r="M3308" s="43">
        <v>11.500132802124835</v>
      </c>
      <c r="N3308" s="43">
        <v>5.3765765765765767</v>
      </c>
      <c r="O3308" s="43">
        <v>3.6895664952241005</v>
      </c>
      <c r="P3308" s="169"/>
      <c r="Q3308" s="169"/>
      <c r="R3308" s="169">
        <v>28</v>
      </c>
    </row>
    <row r="3309" spans="1:18" ht="36">
      <c r="A3309" s="165">
        <v>613</v>
      </c>
      <c r="B3309" s="162" t="s">
        <v>6033</v>
      </c>
      <c r="C3309" s="166" t="s">
        <v>6034</v>
      </c>
      <c r="D3309" s="167">
        <v>220.49</v>
      </c>
      <c r="E3309" s="167">
        <v>136.72999999999999</v>
      </c>
      <c r="F3309" s="167">
        <v>8.32</v>
      </c>
      <c r="G3309" s="167">
        <v>75.44</v>
      </c>
      <c r="H3309" s="168">
        <v>1883.52</v>
      </c>
      <c r="I3309" s="168">
        <v>1572.47</v>
      </c>
      <c r="J3309" s="168">
        <v>44.77</v>
      </c>
      <c r="K3309" s="168">
        <v>266.27999999999997</v>
      </c>
      <c r="L3309" s="43">
        <v>8.5424282280375525</v>
      </c>
      <c r="M3309" s="43">
        <v>11.500548526292695</v>
      </c>
      <c r="N3309" s="43">
        <v>5.3810096153846159</v>
      </c>
      <c r="O3309" s="43">
        <v>3.5296924708377517</v>
      </c>
      <c r="P3309" s="169"/>
      <c r="Q3309" s="169"/>
      <c r="R3309" s="169">
        <v>28</v>
      </c>
    </row>
    <row r="3310" spans="1:18" ht="36">
      <c r="A3310" s="165">
        <v>614</v>
      </c>
      <c r="B3310" s="162" t="s">
        <v>6035</v>
      </c>
      <c r="C3310" s="166" t="s">
        <v>6036</v>
      </c>
      <c r="D3310" s="167">
        <v>286.14999999999998</v>
      </c>
      <c r="E3310" s="167">
        <v>160.86000000000001</v>
      </c>
      <c r="F3310" s="167">
        <v>8.32</v>
      </c>
      <c r="G3310" s="167">
        <v>116.97</v>
      </c>
      <c r="H3310" s="168">
        <v>2504.1999999999998</v>
      </c>
      <c r="I3310" s="168">
        <v>1849.96</v>
      </c>
      <c r="J3310" s="168">
        <v>44.77</v>
      </c>
      <c r="K3310" s="168">
        <v>609.47</v>
      </c>
      <c r="L3310" s="43">
        <v>8.7513541848680756</v>
      </c>
      <c r="M3310" s="43">
        <v>11.500435161009573</v>
      </c>
      <c r="N3310" s="43">
        <v>5.3810096153846159</v>
      </c>
      <c r="O3310" s="43">
        <v>5.2104813199965809</v>
      </c>
      <c r="P3310" s="169"/>
      <c r="Q3310" s="169"/>
      <c r="R3310" s="169">
        <v>28</v>
      </c>
    </row>
    <row r="3311" spans="1:18" ht="36">
      <c r="A3311" s="165">
        <v>615</v>
      </c>
      <c r="B3311" s="162" t="s">
        <v>6037</v>
      </c>
      <c r="C3311" s="166" t="s">
        <v>6038</v>
      </c>
      <c r="D3311" s="167">
        <v>65.930000000000007</v>
      </c>
      <c r="E3311" s="167">
        <v>58.6</v>
      </c>
      <c r="F3311" s="167">
        <v>2.77</v>
      </c>
      <c r="G3311" s="167">
        <v>4.5599999999999996</v>
      </c>
      <c r="H3311" s="168">
        <v>720.22</v>
      </c>
      <c r="I3311" s="168">
        <v>673.91</v>
      </c>
      <c r="J3311" s="168">
        <v>14.93</v>
      </c>
      <c r="K3311" s="168">
        <v>31.38</v>
      </c>
      <c r="L3311" s="43">
        <v>10.92401031396936</v>
      </c>
      <c r="M3311" s="43">
        <v>11.500170648464163</v>
      </c>
      <c r="N3311" s="43">
        <v>5.3898916967509027</v>
      </c>
      <c r="O3311" s="43">
        <v>6.8815789473684212</v>
      </c>
      <c r="P3311" s="169"/>
      <c r="Q3311" s="169"/>
      <c r="R3311" s="169">
        <v>28</v>
      </c>
    </row>
    <row r="3312" spans="1:18" ht="36">
      <c r="A3312" s="165">
        <v>616</v>
      </c>
      <c r="B3312" s="162" t="s">
        <v>6039</v>
      </c>
      <c r="C3312" s="166" t="s">
        <v>6040</v>
      </c>
      <c r="D3312" s="167">
        <v>75.19</v>
      </c>
      <c r="E3312" s="167">
        <v>67.680000000000007</v>
      </c>
      <c r="F3312" s="167">
        <v>2.77</v>
      </c>
      <c r="G3312" s="167">
        <v>4.74</v>
      </c>
      <c r="H3312" s="168">
        <v>826.68</v>
      </c>
      <c r="I3312" s="168">
        <v>778.3</v>
      </c>
      <c r="J3312" s="168">
        <v>14.93</v>
      </c>
      <c r="K3312" s="168">
        <v>33.450000000000003</v>
      </c>
      <c r="L3312" s="43">
        <v>10.994547147227024</v>
      </c>
      <c r="M3312" s="43">
        <v>11.499704491725767</v>
      </c>
      <c r="N3312" s="43">
        <v>5.3898916967509027</v>
      </c>
      <c r="O3312" s="43">
        <v>7.056962025316456</v>
      </c>
      <c r="P3312" s="169"/>
      <c r="Q3312" s="169"/>
      <c r="R3312" s="169">
        <v>28</v>
      </c>
    </row>
    <row r="3313" spans="1:18" ht="36">
      <c r="A3313" s="165">
        <v>617</v>
      </c>
      <c r="B3313" s="162" t="s">
        <v>6041</v>
      </c>
      <c r="C3313" s="166" t="s">
        <v>6042</v>
      </c>
      <c r="D3313" s="167">
        <v>80.7</v>
      </c>
      <c r="E3313" s="167">
        <v>73.08</v>
      </c>
      <c r="F3313" s="167">
        <v>2.77</v>
      </c>
      <c r="G3313" s="167">
        <v>4.8499999999999996</v>
      </c>
      <c r="H3313" s="168">
        <v>890.05</v>
      </c>
      <c r="I3313" s="168">
        <v>840.41</v>
      </c>
      <c r="J3313" s="168">
        <v>14.93</v>
      </c>
      <c r="K3313" s="168">
        <v>34.71</v>
      </c>
      <c r="L3313" s="43">
        <v>11.029120198265179</v>
      </c>
      <c r="M3313" s="43">
        <v>11.499863163656267</v>
      </c>
      <c r="N3313" s="43">
        <v>5.3898916967509027</v>
      </c>
      <c r="O3313" s="43">
        <v>7.1567010309278354</v>
      </c>
      <c r="P3313" s="169"/>
      <c r="Q3313" s="169"/>
      <c r="R3313" s="169">
        <v>28</v>
      </c>
    </row>
    <row r="3314" spans="1:18" ht="36">
      <c r="A3314" s="165">
        <v>618</v>
      </c>
      <c r="B3314" s="162" t="s">
        <v>6043</v>
      </c>
      <c r="C3314" s="166" t="s">
        <v>6044</v>
      </c>
      <c r="D3314" s="167">
        <v>75.31</v>
      </c>
      <c r="E3314" s="167">
        <v>67.790000000000006</v>
      </c>
      <c r="F3314" s="167">
        <v>2.77</v>
      </c>
      <c r="G3314" s="167">
        <v>4.75</v>
      </c>
      <c r="H3314" s="168">
        <v>828.12</v>
      </c>
      <c r="I3314" s="168">
        <v>779.63</v>
      </c>
      <c r="J3314" s="168">
        <v>14.93</v>
      </c>
      <c r="K3314" s="168">
        <v>33.56</v>
      </c>
      <c r="L3314" s="43">
        <v>10.996149249767626</v>
      </c>
      <c r="M3314" s="43">
        <v>11.500663814721934</v>
      </c>
      <c r="N3314" s="43">
        <v>5.3898916967509027</v>
      </c>
      <c r="O3314" s="43">
        <v>7.0652631578947371</v>
      </c>
      <c r="P3314" s="169"/>
      <c r="Q3314" s="169"/>
      <c r="R3314" s="169">
        <v>28</v>
      </c>
    </row>
    <row r="3315" spans="1:18" ht="19.5" customHeight="1">
      <c r="A3315" s="628" t="s">
        <v>6045</v>
      </c>
      <c r="B3315" s="629"/>
      <c r="C3315" s="629"/>
      <c r="D3315" s="629"/>
      <c r="E3315" s="629"/>
      <c r="F3315" s="629"/>
      <c r="G3315" s="629"/>
      <c r="H3315" s="629"/>
      <c r="I3315" s="629"/>
      <c r="J3315" s="629"/>
      <c r="K3315" s="629"/>
      <c r="L3315" s="629"/>
      <c r="M3315" s="629"/>
      <c r="N3315" s="629"/>
      <c r="O3315" s="629"/>
      <c r="P3315" s="629"/>
      <c r="Q3315" s="629"/>
      <c r="R3315" s="629"/>
    </row>
    <row r="3316" spans="1:18" ht="48">
      <c r="A3316" s="165">
        <v>619</v>
      </c>
      <c r="B3316" s="162" t="s">
        <v>6046</v>
      </c>
      <c r="C3316" s="166" t="s">
        <v>6047</v>
      </c>
      <c r="D3316" s="167">
        <v>50.92</v>
      </c>
      <c r="E3316" s="167">
        <v>46.07</v>
      </c>
      <c r="F3316" s="167"/>
      <c r="G3316" s="167">
        <v>4.8499999999999996</v>
      </c>
      <c r="H3316" s="168">
        <v>561.17999999999995</v>
      </c>
      <c r="I3316" s="168">
        <v>529.88</v>
      </c>
      <c r="J3316" s="168"/>
      <c r="K3316" s="168">
        <v>31.3</v>
      </c>
      <c r="L3316" s="43">
        <v>11.020816967792614</v>
      </c>
      <c r="M3316" s="43">
        <v>11.501627957456044</v>
      </c>
      <c r="N3316" s="43" t="s">
        <v>1690</v>
      </c>
      <c r="O3316" s="43">
        <v>6.4536082474226815</v>
      </c>
      <c r="P3316" s="169"/>
      <c r="Q3316" s="169"/>
      <c r="R3316" s="169">
        <v>29</v>
      </c>
    </row>
    <row r="3317" spans="1:18" ht="48">
      <c r="A3317" s="165">
        <v>620</v>
      </c>
      <c r="B3317" s="162" t="s">
        <v>6048</v>
      </c>
      <c r="C3317" s="166" t="s">
        <v>6049</v>
      </c>
      <c r="D3317" s="167">
        <v>56.32</v>
      </c>
      <c r="E3317" s="167">
        <v>51.36</v>
      </c>
      <c r="F3317" s="167"/>
      <c r="G3317" s="167">
        <v>4.96</v>
      </c>
      <c r="H3317" s="168">
        <v>623.24</v>
      </c>
      <c r="I3317" s="168">
        <v>590.66999999999996</v>
      </c>
      <c r="J3317" s="168"/>
      <c r="K3317" s="168">
        <v>32.57</v>
      </c>
      <c r="L3317" s="43">
        <v>11.066051136363637</v>
      </c>
      <c r="M3317" s="43">
        <v>11.500584112149532</v>
      </c>
      <c r="N3317" s="43" t="s">
        <v>1690</v>
      </c>
      <c r="O3317" s="43">
        <v>6.566532258064516</v>
      </c>
      <c r="P3317" s="169"/>
      <c r="Q3317" s="169"/>
      <c r="R3317" s="169">
        <v>29</v>
      </c>
    </row>
    <row r="3318" spans="1:18" ht="48">
      <c r="A3318" s="165">
        <v>621</v>
      </c>
      <c r="B3318" s="162" t="s">
        <v>6050</v>
      </c>
      <c r="C3318" s="166" t="s">
        <v>6051</v>
      </c>
      <c r="D3318" s="167">
        <v>65.69</v>
      </c>
      <c r="E3318" s="167">
        <v>60.55</v>
      </c>
      <c r="F3318" s="167"/>
      <c r="G3318" s="167">
        <v>5.14</v>
      </c>
      <c r="H3318" s="168">
        <v>731.02</v>
      </c>
      <c r="I3318" s="168">
        <v>696.38</v>
      </c>
      <c r="J3318" s="168"/>
      <c r="K3318" s="168">
        <v>34.64</v>
      </c>
      <c r="L3318" s="43">
        <v>11.12833003501294</v>
      </c>
      <c r="M3318" s="43">
        <v>11.5009083402147</v>
      </c>
      <c r="N3318" s="43" t="s">
        <v>1690</v>
      </c>
      <c r="O3318" s="43">
        <v>6.7392996108949426</v>
      </c>
      <c r="P3318" s="169"/>
      <c r="Q3318" s="169"/>
      <c r="R3318" s="169">
        <v>29</v>
      </c>
    </row>
    <row r="3319" spans="1:18" ht="48">
      <c r="A3319" s="165">
        <v>622</v>
      </c>
      <c r="B3319" s="162" t="s">
        <v>6052</v>
      </c>
      <c r="C3319" s="166" t="s">
        <v>6053</v>
      </c>
      <c r="D3319" s="167">
        <v>52.22</v>
      </c>
      <c r="E3319" s="167">
        <v>47.34</v>
      </c>
      <c r="F3319" s="167"/>
      <c r="G3319" s="167">
        <v>4.88</v>
      </c>
      <c r="H3319" s="168">
        <v>576.07000000000005</v>
      </c>
      <c r="I3319" s="168">
        <v>544.41999999999996</v>
      </c>
      <c r="J3319" s="168"/>
      <c r="K3319" s="168">
        <v>31.65</v>
      </c>
      <c r="L3319" s="43">
        <v>11.031597089237842</v>
      </c>
      <c r="M3319" s="43">
        <v>11.500211237853822</v>
      </c>
      <c r="N3319" s="43" t="s">
        <v>1690</v>
      </c>
      <c r="O3319" s="43">
        <v>6.485655737704918</v>
      </c>
      <c r="P3319" s="169"/>
      <c r="Q3319" s="169"/>
      <c r="R3319" s="169">
        <v>29</v>
      </c>
    </row>
    <row r="3320" spans="1:18" ht="48">
      <c r="A3320" s="165">
        <v>623</v>
      </c>
      <c r="B3320" s="162" t="s">
        <v>6054</v>
      </c>
      <c r="C3320" s="166" t="s">
        <v>6055</v>
      </c>
      <c r="D3320" s="167">
        <v>60.31</v>
      </c>
      <c r="E3320" s="167">
        <v>55.27</v>
      </c>
      <c r="F3320" s="167"/>
      <c r="G3320" s="167">
        <v>5.04</v>
      </c>
      <c r="H3320" s="168">
        <v>669.08</v>
      </c>
      <c r="I3320" s="168">
        <v>635.59</v>
      </c>
      <c r="J3320" s="168"/>
      <c r="K3320" s="168">
        <v>33.49</v>
      </c>
      <c r="L3320" s="43">
        <v>11.094014259658431</v>
      </c>
      <c r="M3320" s="43">
        <v>11.499728605029853</v>
      </c>
      <c r="N3320" s="43" t="s">
        <v>1690</v>
      </c>
      <c r="O3320" s="43">
        <v>6.6448412698412698</v>
      </c>
      <c r="P3320" s="169"/>
      <c r="Q3320" s="169"/>
      <c r="R3320" s="169">
        <v>29</v>
      </c>
    </row>
    <row r="3321" spans="1:18" ht="12.75" customHeight="1">
      <c r="A3321" s="628" t="s">
        <v>6056</v>
      </c>
      <c r="B3321" s="629"/>
      <c r="C3321" s="629"/>
      <c r="D3321" s="629"/>
      <c r="E3321" s="629"/>
      <c r="F3321" s="629"/>
      <c r="G3321" s="629"/>
      <c r="H3321" s="629"/>
      <c r="I3321" s="629"/>
      <c r="J3321" s="629"/>
      <c r="K3321" s="629"/>
      <c r="L3321" s="629"/>
      <c r="M3321" s="629"/>
      <c r="N3321" s="629"/>
      <c r="O3321" s="629"/>
      <c r="P3321" s="629"/>
      <c r="Q3321" s="629"/>
      <c r="R3321" s="629"/>
    </row>
    <row r="3322" spans="1:18" ht="60">
      <c r="A3322" s="165">
        <v>624</v>
      </c>
      <c r="B3322" s="162" t="s">
        <v>6057</v>
      </c>
      <c r="C3322" s="166" t="s">
        <v>6058</v>
      </c>
      <c r="D3322" s="167">
        <v>269.79000000000002</v>
      </c>
      <c r="E3322" s="167">
        <v>245.89</v>
      </c>
      <c r="F3322" s="167"/>
      <c r="G3322" s="167">
        <v>23.9</v>
      </c>
      <c r="H3322" s="168">
        <v>3006.06</v>
      </c>
      <c r="I3322" s="168">
        <v>2827.8</v>
      </c>
      <c r="J3322" s="168"/>
      <c r="K3322" s="168">
        <v>178.26</v>
      </c>
      <c r="L3322" s="43">
        <v>11.142221728010673</v>
      </c>
      <c r="M3322" s="43">
        <v>11.500264345845705</v>
      </c>
      <c r="N3322" s="43" t="s">
        <v>1690</v>
      </c>
      <c r="O3322" s="43">
        <v>7.4585774058577403</v>
      </c>
      <c r="P3322" s="169"/>
      <c r="Q3322" s="169"/>
      <c r="R3322" s="169">
        <v>30</v>
      </c>
    </row>
    <row r="3323" spans="1:18" ht="60">
      <c r="A3323" s="165">
        <v>625</v>
      </c>
      <c r="B3323" s="162" t="s">
        <v>6059</v>
      </c>
      <c r="C3323" s="166" t="s">
        <v>6060</v>
      </c>
      <c r="D3323" s="167">
        <v>343.62</v>
      </c>
      <c r="E3323" s="167">
        <v>318.27</v>
      </c>
      <c r="F3323" s="167"/>
      <c r="G3323" s="167">
        <v>25.35</v>
      </c>
      <c r="H3323" s="168">
        <v>3855.22</v>
      </c>
      <c r="I3323" s="168">
        <v>3660.28</v>
      </c>
      <c r="J3323" s="168"/>
      <c r="K3323" s="168">
        <v>194.94</v>
      </c>
      <c r="L3323" s="43">
        <v>11.219428438391246</v>
      </c>
      <c r="M3323" s="43">
        <v>11.500549847613662</v>
      </c>
      <c r="N3323" s="43" t="s">
        <v>1690</v>
      </c>
      <c r="O3323" s="43">
        <v>7.6899408284023663</v>
      </c>
      <c r="P3323" s="169"/>
      <c r="Q3323" s="169"/>
      <c r="R3323" s="169">
        <v>30</v>
      </c>
    </row>
    <row r="3324" spans="1:18" ht="60">
      <c r="A3324" s="165">
        <v>626</v>
      </c>
      <c r="B3324" s="162" t="s">
        <v>6061</v>
      </c>
      <c r="C3324" s="166" t="s">
        <v>6062</v>
      </c>
      <c r="D3324" s="167">
        <v>401.04</v>
      </c>
      <c r="E3324" s="167">
        <v>374.57</v>
      </c>
      <c r="F3324" s="167"/>
      <c r="G3324" s="167">
        <v>26.47</v>
      </c>
      <c r="H3324" s="168">
        <v>4515.58</v>
      </c>
      <c r="I3324" s="168">
        <v>4307.76</v>
      </c>
      <c r="J3324" s="168"/>
      <c r="K3324" s="168">
        <v>207.82</v>
      </c>
      <c r="L3324" s="43">
        <v>11.259674845401953</v>
      </c>
      <c r="M3324" s="43">
        <v>11.500547294230719</v>
      </c>
      <c r="N3324" s="43" t="s">
        <v>1690</v>
      </c>
      <c r="O3324" s="43">
        <v>7.8511522478277298</v>
      </c>
      <c r="P3324" s="169"/>
      <c r="Q3324" s="169"/>
      <c r="R3324" s="169">
        <v>30</v>
      </c>
    </row>
    <row r="3325" spans="1:18" ht="60">
      <c r="A3325" s="165">
        <v>627</v>
      </c>
      <c r="B3325" s="162" t="s">
        <v>6063</v>
      </c>
      <c r="C3325" s="166" t="s">
        <v>6064</v>
      </c>
      <c r="D3325" s="167">
        <v>464.33</v>
      </c>
      <c r="E3325" s="167">
        <v>436.62</v>
      </c>
      <c r="F3325" s="167"/>
      <c r="G3325" s="167">
        <v>27.71</v>
      </c>
      <c r="H3325" s="168">
        <v>5243.4</v>
      </c>
      <c r="I3325" s="168">
        <v>5021.32</v>
      </c>
      <c r="J3325" s="168"/>
      <c r="K3325" s="168">
        <v>222.08</v>
      </c>
      <c r="L3325" s="43">
        <v>11.292399801865052</v>
      </c>
      <c r="M3325" s="43">
        <v>11.500435161009573</v>
      </c>
      <c r="N3325" s="43" t="s">
        <v>1690</v>
      </c>
      <c r="O3325" s="43">
        <v>8.0144352219415378</v>
      </c>
      <c r="P3325" s="169"/>
      <c r="Q3325" s="169"/>
      <c r="R3325" s="169">
        <v>30</v>
      </c>
    </row>
    <row r="3326" spans="1:18" ht="18.75" customHeight="1">
      <c r="A3326" s="628" t="s">
        <v>6065</v>
      </c>
      <c r="B3326" s="629"/>
      <c r="C3326" s="629"/>
      <c r="D3326" s="629"/>
      <c r="E3326" s="629"/>
      <c r="F3326" s="629"/>
      <c r="G3326" s="629"/>
      <c r="H3326" s="629"/>
      <c r="I3326" s="629"/>
      <c r="J3326" s="629"/>
      <c r="K3326" s="629"/>
      <c r="L3326" s="629"/>
      <c r="M3326" s="629"/>
      <c r="N3326" s="629"/>
      <c r="O3326" s="629"/>
      <c r="P3326" s="629"/>
      <c r="Q3326" s="629"/>
      <c r="R3326" s="629"/>
    </row>
    <row r="3327" spans="1:18" ht="48">
      <c r="A3327" s="165">
        <v>628</v>
      </c>
      <c r="B3327" s="162" t="s">
        <v>6066</v>
      </c>
      <c r="C3327" s="166" t="s">
        <v>6067</v>
      </c>
      <c r="D3327" s="167">
        <v>159.16999999999999</v>
      </c>
      <c r="E3327" s="167">
        <v>137.88</v>
      </c>
      <c r="F3327" s="167"/>
      <c r="G3327" s="167">
        <v>21.29</v>
      </c>
      <c r="H3327" s="168">
        <v>1736.77</v>
      </c>
      <c r="I3327" s="168">
        <v>1585.68</v>
      </c>
      <c r="J3327" s="168"/>
      <c r="K3327" s="168">
        <v>151.09</v>
      </c>
      <c r="L3327" s="43">
        <v>10.911415467738896</v>
      </c>
      <c r="M3327" s="43">
        <v>11.500435161009575</v>
      </c>
      <c r="N3327" s="43" t="s">
        <v>1690</v>
      </c>
      <c r="O3327" s="43">
        <v>7.0967590418036641</v>
      </c>
      <c r="P3327" s="169"/>
      <c r="Q3327" s="169"/>
      <c r="R3327" s="169">
        <v>31</v>
      </c>
    </row>
    <row r="3328" spans="1:18" ht="48">
      <c r="A3328" s="165">
        <v>629</v>
      </c>
      <c r="B3328" s="162" t="s">
        <v>6068</v>
      </c>
      <c r="C3328" s="166" t="s">
        <v>6069</v>
      </c>
      <c r="D3328" s="167">
        <v>206.05</v>
      </c>
      <c r="E3328" s="167">
        <v>183.84</v>
      </c>
      <c r="F3328" s="167"/>
      <c r="G3328" s="167">
        <v>22.21</v>
      </c>
      <c r="H3328" s="168">
        <v>2275.91</v>
      </c>
      <c r="I3328" s="168">
        <v>2114.2399999999998</v>
      </c>
      <c r="J3328" s="168"/>
      <c r="K3328" s="168">
        <v>161.66999999999999</v>
      </c>
      <c r="L3328" s="43">
        <v>11.045425867507886</v>
      </c>
      <c r="M3328" s="43">
        <v>11.500435161009571</v>
      </c>
      <c r="N3328" s="43" t="s">
        <v>1690</v>
      </c>
      <c r="O3328" s="43">
        <v>7.2791535344439433</v>
      </c>
      <c r="P3328" s="169"/>
      <c r="Q3328" s="169"/>
      <c r="R3328" s="169">
        <v>31</v>
      </c>
    </row>
    <row r="3329" spans="1:18" ht="48">
      <c r="A3329" s="165">
        <v>630</v>
      </c>
      <c r="B3329" s="162" t="s">
        <v>6070</v>
      </c>
      <c r="C3329" s="166" t="s">
        <v>6071</v>
      </c>
      <c r="D3329" s="167">
        <v>235.78</v>
      </c>
      <c r="E3329" s="167">
        <v>210.27</v>
      </c>
      <c r="F3329" s="167">
        <v>2.77</v>
      </c>
      <c r="G3329" s="167">
        <v>22.74</v>
      </c>
      <c r="H3329" s="168">
        <v>2600.86</v>
      </c>
      <c r="I3329" s="168">
        <v>2418.16</v>
      </c>
      <c r="J3329" s="168">
        <v>14.93</v>
      </c>
      <c r="K3329" s="168">
        <v>167.77</v>
      </c>
      <c r="L3329" s="43">
        <v>11.030876240563238</v>
      </c>
      <c r="M3329" s="43">
        <v>11.500261568459598</v>
      </c>
      <c r="N3329" s="43">
        <v>5.3898916967509027</v>
      </c>
      <c r="O3329" s="43">
        <v>7.3777484608619179</v>
      </c>
      <c r="P3329" s="169"/>
      <c r="Q3329" s="169"/>
      <c r="R3329" s="169">
        <v>31</v>
      </c>
    </row>
    <row r="3330" spans="1:18" ht="12.75" customHeight="1">
      <c r="A3330" s="628" t="s">
        <v>6072</v>
      </c>
      <c r="B3330" s="629"/>
      <c r="C3330" s="629"/>
      <c r="D3330" s="629"/>
      <c r="E3330" s="629"/>
      <c r="F3330" s="629"/>
      <c r="G3330" s="629"/>
      <c r="H3330" s="629"/>
      <c r="I3330" s="629"/>
      <c r="J3330" s="629"/>
      <c r="K3330" s="629"/>
      <c r="L3330" s="629"/>
      <c r="M3330" s="629"/>
      <c r="N3330" s="629"/>
      <c r="O3330" s="629"/>
      <c r="P3330" s="629"/>
      <c r="Q3330" s="629"/>
      <c r="R3330" s="629"/>
    </row>
    <row r="3331" spans="1:18" ht="24">
      <c r="A3331" s="165">
        <v>631</v>
      </c>
      <c r="B3331" s="162" t="s">
        <v>6073</v>
      </c>
      <c r="C3331" s="166" t="s">
        <v>6074</v>
      </c>
      <c r="D3331" s="167">
        <v>474.57</v>
      </c>
      <c r="E3331" s="167">
        <v>280.36</v>
      </c>
      <c r="F3331" s="167">
        <v>188.6</v>
      </c>
      <c r="G3331" s="167">
        <v>5.61</v>
      </c>
      <c r="H3331" s="168">
        <v>4303.5200000000004</v>
      </c>
      <c r="I3331" s="168">
        <v>3224.22</v>
      </c>
      <c r="J3331" s="168">
        <v>1014.78</v>
      </c>
      <c r="K3331" s="168">
        <v>64.52</v>
      </c>
      <c r="L3331" s="43">
        <v>9.0682512590344952</v>
      </c>
      <c r="M3331" s="43">
        <v>11.500285347410472</v>
      </c>
      <c r="N3331" s="43">
        <v>5.3805938494167549</v>
      </c>
      <c r="O3331" s="43">
        <v>11.500891265597147</v>
      </c>
      <c r="P3331" s="169"/>
      <c r="Q3331" s="169"/>
      <c r="R3331" s="169">
        <v>32</v>
      </c>
    </row>
    <row r="3332" spans="1:18" ht="12.75" customHeight="1">
      <c r="A3332" s="628" t="s">
        <v>6075</v>
      </c>
      <c r="B3332" s="629"/>
      <c r="C3332" s="629"/>
      <c r="D3332" s="629"/>
      <c r="E3332" s="629"/>
      <c r="F3332" s="629"/>
      <c r="G3332" s="629"/>
      <c r="H3332" s="629"/>
      <c r="I3332" s="629"/>
      <c r="J3332" s="629"/>
      <c r="K3332" s="629"/>
      <c r="L3332" s="629"/>
      <c r="M3332" s="629"/>
      <c r="N3332" s="629"/>
      <c r="O3332" s="629"/>
      <c r="P3332" s="629"/>
      <c r="Q3332" s="629"/>
      <c r="R3332" s="629"/>
    </row>
    <row r="3333" spans="1:18" ht="24">
      <c r="A3333" s="165">
        <v>632</v>
      </c>
      <c r="B3333" s="162" t="s">
        <v>6076</v>
      </c>
      <c r="C3333" s="166" t="s">
        <v>6077</v>
      </c>
      <c r="D3333" s="167">
        <v>153.51</v>
      </c>
      <c r="E3333" s="167">
        <v>13.67</v>
      </c>
      <c r="F3333" s="167">
        <v>13.87</v>
      </c>
      <c r="G3333" s="167">
        <v>125.97</v>
      </c>
      <c r="H3333" s="168">
        <v>796.96</v>
      </c>
      <c r="I3333" s="168">
        <v>157.25</v>
      </c>
      <c r="J3333" s="168">
        <v>74.62</v>
      </c>
      <c r="K3333" s="168">
        <v>565.09</v>
      </c>
      <c r="L3333" s="43">
        <v>5.1915836101882622</v>
      </c>
      <c r="M3333" s="43">
        <v>11.503291880029261</v>
      </c>
      <c r="N3333" s="43">
        <v>5.3799567411679892</v>
      </c>
      <c r="O3333" s="43">
        <v>4.485909343494483</v>
      </c>
      <c r="P3333" s="169"/>
      <c r="Q3333" s="169"/>
      <c r="R3333" s="169">
        <v>33</v>
      </c>
    </row>
    <row r="3334" spans="1:18" ht="12.75" customHeight="1">
      <c r="A3334" s="628" t="s">
        <v>6078</v>
      </c>
      <c r="B3334" s="629"/>
      <c r="C3334" s="629"/>
      <c r="D3334" s="629"/>
      <c r="E3334" s="629"/>
      <c r="F3334" s="629"/>
      <c r="G3334" s="629"/>
      <c r="H3334" s="629"/>
      <c r="I3334" s="629"/>
      <c r="J3334" s="629"/>
      <c r="K3334" s="629"/>
      <c r="L3334" s="629"/>
      <c r="M3334" s="629"/>
      <c r="N3334" s="629"/>
      <c r="O3334" s="629"/>
      <c r="P3334" s="629"/>
      <c r="Q3334" s="629"/>
      <c r="R3334" s="629"/>
    </row>
    <row r="3335" spans="1:18" ht="36">
      <c r="A3335" s="165">
        <v>633</v>
      </c>
      <c r="B3335" s="162" t="s">
        <v>6079</v>
      </c>
      <c r="C3335" s="166" t="s">
        <v>6080</v>
      </c>
      <c r="D3335" s="167">
        <v>17503.36</v>
      </c>
      <c r="E3335" s="167">
        <v>3056.34</v>
      </c>
      <c r="F3335" s="167">
        <v>12599.01</v>
      </c>
      <c r="G3335" s="167">
        <v>1848.01</v>
      </c>
      <c r="H3335" s="168">
        <v>110322.1</v>
      </c>
      <c r="I3335" s="168">
        <v>35149.24</v>
      </c>
      <c r="J3335" s="168">
        <v>70067.199999999997</v>
      </c>
      <c r="K3335" s="168">
        <v>5105.66</v>
      </c>
      <c r="L3335" s="43">
        <v>6.3029098413104689</v>
      </c>
      <c r="M3335" s="43">
        <v>11.500435161009573</v>
      </c>
      <c r="N3335" s="43">
        <v>5.5613258502056908</v>
      </c>
      <c r="O3335" s="43">
        <v>2.7627880801510813</v>
      </c>
      <c r="P3335" s="169"/>
      <c r="Q3335" s="169"/>
      <c r="R3335" s="169">
        <v>34</v>
      </c>
    </row>
    <row r="3336" spans="1:18" ht="36">
      <c r="A3336" s="165">
        <v>634</v>
      </c>
      <c r="B3336" s="162" t="s">
        <v>6081</v>
      </c>
      <c r="C3336" s="166" t="s">
        <v>6082</v>
      </c>
      <c r="D3336" s="167">
        <v>34731.78</v>
      </c>
      <c r="E3336" s="167">
        <v>5400.3</v>
      </c>
      <c r="F3336" s="167">
        <v>26006.080000000002</v>
      </c>
      <c r="G3336" s="167">
        <v>3325.4</v>
      </c>
      <c r="H3336" s="168">
        <v>216618.77</v>
      </c>
      <c r="I3336" s="168">
        <v>62105.8</v>
      </c>
      <c r="J3336" s="168">
        <v>144980.94</v>
      </c>
      <c r="K3336" s="168">
        <v>9532.0300000000007</v>
      </c>
      <c r="L3336" s="43">
        <v>6.2369037809176495</v>
      </c>
      <c r="M3336" s="43">
        <v>11.500435161009573</v>
      </c>
      <c r="N3336" s="43">
        <v>5.5748863342726009</v>
      </c>
      <c r="O3336" s="43">
        <v>2.8664311060323571</v>
      </c>
      <c r="P3336" s="169"/>
      <c r="Q3336" s="169"/>
      <c r="R3336" s="169">
        <v>34</v>
      </c>
    </row>
    <row r="3337" spans="1:18" ht="36">
      <c r="A3337" s="165">
        <v>635</v>
      </c>
      <c r="B3337" s="162" t="s">
        <v>6083</v>
      </c>
      <c r="C3337" s="166" t="s">
        <v>6084</v>
      </c>
      <c r="D3337" s="167">
        <v>11056.98</v>
      </c>
      <c r="E3337" s="167">
        <v>4147.8900000000003</v>
      </c>
      <c r="F3337" s="167">
        <v>4559.01</v>
      </c>
      <c r="G3337" s="167">
        <v>2350.08</v>
      </c>
      <c r="H3337" s="168">
        <v>83386.37</v>
      </c>
      <c r="I3337" s="168">
        <v>47702.54</v>
      </c>
      <c r="J3337" s="168">
        <v>23531.68</v>
      </c>
      <c r="K3337" s="168">
        <v>12152.15</v>
      </c>
      <c r="L3337" s="43">
        <v>7.5415140481397271</v>
      </c>
      <c r="M3337" s="43">
        <v>11.500435161009573</v>
      </c>
      <c r="N3337" s="43">
        <v>5.1615767458285902</v>
      </c>
      <c r="O3337" s="43">
        <v>5.1709516271786491</v>
      </c>
      <c r="P3337" s="169"/>
      <c r="Q3337" s="169"/>
      <c r="R3337" s="169">
        <v>34</v>
      </c>
    </row>
    <row r="3338" spans="1:18" ht="36">
      <c r="A3338" s="165">
        <v>636</v>
      </c>
      <c r="B3338" s="162" t="s">
        <v>6085</v>
      </c>
      <c r="C3338" s="166" t="s">
        <v>6086</v>
      </c>
      <c r="D3338" s="167">
        <v>12777.44</v>
      </c>
      <c r="E3338" s="167">
        <v>4860.2700000000004</v>
      </c>
      <c r="F3338" s="167">
        <v>5252.24</v>
      </c>
      <c r="G3338" s="167">
        <v>2664.93</v>
      </c>
      <c r="H3338" s="168">
        <v>98596.21</v>
      </c>
      <c r="I3338" s="168">
        <v>55895.22</v>
      </c>
      <c r="J3338" s="168">
        <v>26962.26</v>
      </c>
      <c r="K3338" s="168">
        <v>15738.73</v>
      </c>
      <c r="L3338" s="43">
        <v>7.7164291125608884</v>
      </c>
      <c r="M3338" s="43">
        <v>11.500435161009573</v>
      </c>
      <c r="N3338" s="43">
        <v>5.1334782873592983</v>
      </c>
      <c r="O3338" s="43">
        <v>5.9058699478035068</v>
      </c>
      <c r="P3338" s="169"/>
      <c r="Q3338" s="169"/>
      <c r="R3338" s="169">
        <v>34</v>
      </c>
    </row>
    <row r="3339" spans="1:18" ht="18.75" customHeight="1">
      <c r="A3339" s="628" t="s">
        <v>6087</v>
      </c>
      <c r="B3339" s="629"/>
      <c r="C3339" s="629"/>
      <c r="D3339" s="629"/>
      <c r="E3339" s="629"/>
      <c r="F3339" s="629"/>
      <c r="G3339" s="629"/>
      <c r="H3339" s="629"/>
      <c r="I3339" s="629"/>
      <c r="J3339" s="629"/>
      <c r="K3339" s="629"/>
      <c r="L3339" s="629"/>
      <c r="M3339" s="629"/>
      <c r="N3339" s="629"/>
      <c r="O3339" s="629"/>
      <c r="P3339" s="629"/>
      <c r="Q3339" s="629"/>
      <c r="R3339" s="629"/>
    </row>
    <row r="3340" spans="1:18" ht="24">
      <c r="A3340" s="165">
        <v>637</v>
      </c>
      <c r="B3340" s="162" t="s">
        <v>6088</v>
      </c>
      <c r="C3340" s="166" t="s">
        <v>6089</v>
      </c>
      <c r="D3340" s="167">
        <v>64193.09</v>
      </c>
      <c r="E3340" s="167">
        <v>7330.62</v>
      </c>
      <c r="F3340" s="167">
        <v>47476.94</v>
      </c>
      <c r="G3340" s="167">
        <v>9385.5300000000007</v>
      </c>
      <c r="H3340" s="168">
        <v>412036.34</v>
      </c>
      <c r="I3340" s="168">
        <v>84305.32</v>
      </c>
      <c r="J3340" s="168">
        <v>273231.3</v>
      </c>
      <c r="K3340" s="168">
        <v>54499.72</v>
      </c>
      <c r="L3340" s="43">
        <v>6.4187023868145321</v>
      </c>
      <c r="M3340" s="43">
        <v>11.500435161009575</v>
      </c>
      <c r="N3340" s="43">
        <v>5.7550318112329899</v>
      </c>
      <c r="O3340" s="43">
        <v>5.8067812899218261</v>
      </c>
      <c r="P3340" s="169"/>
      <c r="Q3340" s="169"/>
      <c r="R3340" s="169">
        <v>35</v>
      </c>
    </row>
    <row r="3341" spans="1:18" ht="24">
      <c r="A3341" s="165">
        <v>638</v>
      </c>
      <c r="B3341" s="162" t="s">
        <v>6090</v>
      </c>
      <c r="C3341" s="166" t="s">
        <v>6091</v>
      </c>
      <c r="D3341" s="167">
        <v>81890.52</v>
      </c>
      <c r="E3341" s="167">
        <v>8617.5</v>
      </c>
      <c r="F3341" s="167">
        <v>55679.49</v>
      </c>
      <c r="G3341" s="167">
        <v>17593.53</v>
      </c>
      <c r="H3341" s="168">
        <v>533046.91</v>
      </c>
      <c r="I3341" s="168">
        <v>99105</v>
      </c>
      <c r="J3341" s="168">
        <v>320238.26</v>
      </c>
      <c r="K3341" s="168">
        <v>113703.65</v>
      </c>
      <c r="L3341" s="43">
        <v>6.5092627327314565</v>
      </c>
      <c r="M3341" s="43">
        <v>11.500435161009573</v>
      </c>
      <c r="N3341" s="43">
        <v>5.7514582119915252</v>
      </c>
      <c r="O3341" s="43">
        <v>6.4628104763512493</v>
      </c>
      <c r="P3341" s="169"/>
      <c r="Q3341" s="169"/>
      <c r="R3341" s="169">
        <v>35</v>
      </c>
    </row>
    <row r="3342" spans="1:18" ht="24">
      <c r="A3342" s="165">
        <v>639</v>
      </c>
      <c r="B3342" s="162" t="s">
        <v>6092</v>
      </c>
      <c r="C3342" s="166" t="s">
        <v>6093</v>
      </c>
      <c r="D3342" s="167">
        <v>101085.68</v>
      </c>
      <c r="E3342" s="167">
        <v>10605.27</v>
      </c>
      <c r="F3342" s="167">
        <v>67690.34</v>
      </c>
      <c r="G3342" s="167">
        <v>22790.07</v>
      </c>
      <c r="H3342" s="168">
        <v>655869.29</v>
      </c>
      <c r="I3342" s="168">
        <v>121965.22</v>
      </c>
      <c r="J3342" s="168">
        <v>387954.58</v>
      </c>
      <c r="K3342" s="168">
        <v>145949.49</v>
      </c>
      <c r="L3342" s="43">
        <v>6.4882512537878769</v>
      </c>
      <c r="M3342" s="43">
        <v>11.500435161009573</v>
      </c>
      <c r="N3342" s="43">
        <v>5.7313138034171498</v>
      </c>
      <c r="O3342" s="43">
        <v>6.404082567539283</v>
      </c>
      <c r="P3342" s="169"/>
      <c r="Q3342" s="169"/>
      <c r="R3342" s="169">
        <v>35</v>
      </c>
    </row>
    <row r="3343" spans="1:18" ht="24">
      <c r="A3343" s="165">
        <v>640</v>
      </c>
      <c r="B3343" s="162" t="s">
        <v>6094</v>
      </c>
      <c r="C3343" s="166" t="s">
        <v>6095</v>
      </c>
      <c r="D3343" s="167">
        <v>58471.41</v>
      </c>
      <c r="E3343" s="167">
        <v>6445.89</v>
      </c>
      <c r="F3343" s="167">
        <v>47179.33</v>
      </c>
      <c r="G3343" s="167">
        <v>4846.1899999999996</v>
      </c>
      <c r="H3343" s="168">
        <v>362308.88</v>
      </c>
      <c r="I3343" s="168">
        <v>74130.539999999994</v>
      </c>
      <c r="J3343" s="168">
        <v>271458.88</v>
      </c>
      <c r="K3343" s="168">
        <v>16719.46</v>
      </c>
      <c r="L3343" s="43">
        <v>6.1963424518067889</v>
      </c>
      <c r="M3343" s="43">
        <v>11.500435161009571</v>
      </c>
      <c r="N3343" s="43">
        <v>5.7537671688004046</v>
      </c>
      <c r="O3343" s="43">
        <v>3.4500215633311941</v>
      </c>
      <c r="P3343" s="169"/>
      <c r="Q3343" s="169"/>
      <c r="R3343" s="169">
        <v>35</v>
      </c>
    </row>
    <row r="3344" spans="1:18" ht="24">
      <c r="A3344" s="165">
        <v>641</v>
      </c>
      <c r="B3344" s="162" t="s">
        <v>6096</v>
      </c>
      <c r="C3344" s="166" t="s">
        <v>6097</v>
      </c>
      <c r="D3344" s="167">
        <v>67769.91</v>
      </c>
      <c r="E3344" s="167">
        <v>7767.24</v>
      </c>
      <c r="F3344" s="167">
        <v>54376.24</v>
      </c>
      <c r="G3344" s="167">
        <v>5626.43</v>
      </c>
      <c r="H3344" s="168">
        <v>422005.21</v>
      </c>
      <c r="I3344" s="168">
        <v>89326.64</v>
      </c>
      <c r="J3344" s="168">
        <v>313197.40999999997</v>
      </c>
      <c r="K3344" s="168">
        <v>19481.16</v>
      </c>
      <c r="L3344" s="43">
        <v>6.2270292228512627</v>
      </c>
      <c r="M3344" s="43">
        <v>11.500435161009573</v>
      </c>
      <c r="N3344" s="43">
        <v>5.7598210174149589</v>
      </c>
      <c r="O3344" s="43">
        <v>3.4624371048782261</v>
      </c>
      <c r="P3344" s="169"/>
      <c r="Q3344" s="169"/>
      <c r="R3344" s="169">
        <v>35</v>
      </c>
    </row>
    <row r="3345" spans="1:18" ht="24">
      <c r="A3345" s="165">
        <v>642</v>
      </c>
      <c r="B3345" s="162" t="s">
        <v>6098</v>
      </c>
      <c r="C3345" s="166" t="s">
        <v>6099</v>
      </c>
      <c r="D3345" s="167">
        <v>81728.25</v>
      </c>
      <c r="E3345" s="167">
        <v>9548.19</v>
      </c>
      <c r="F3345" s="167">
        <v>65485.43</v>
      </c>
      <c r="G3345" s="167">
        <v>6694.63</v>
      </c>
      <c r="H3345" s="168">
        <v>506852.3</v>
      </c>
      <c r="I3345" s="168">
        <v>109808.34</v>
      </c>
      <c r="J3345" s="168">
        <v>375854.59</v>
      </c>
      <c r="K3345" s="168">
        <v>21189.37</v>
      </c>
      <c r="L3345" s="43">
        <v>6.2016781223138873</v>
      </c>
      <c r="M3345" s="43">
        <v>11.500435161009573</v>
      </c>
      <c r="N3345" s="43">
        <v>5.7395147286961397</v>
      </c>
      <c r="O3345" s="43">
        <v>3.1651293648790149</v>
      </c>
      <c r="P3345" s="169"/>
      <c r="Q3345" s="169"/>
      <c r="R3345" s="169">
        <v>35</v>
      </c>
    </row>
    <row r="3346" spans="1:18" ht="36">
      <c r="A3346" s="165">
        <v>643</v>
      </c>
      <c r="B3346" s="162" t="s">
        <v>6100</v>
      </c>
      <c r="C3346" s="166" t="s">
        <v>6101</v>
      </c>
      <c r="D3346" s="167">
        <v>30804.53</v>
      </c>
      <c r="E3346" s="167">
        <v>9421.7999999999993</v>
      </c>
      <c r="F3346" s="167">
        <v>14737.3</v>
      </c>
      <c r="G3346" s="167">
        <v>6645.43</v>
      </c>
      <c r="H3346" s="168">
        <v>238959.46</v>
      </c>
      <c r="I3346" s="168">
        <v>108354.8</v>
      </c>
      <c r="J3346" s="168">
        <v>82550.95</v>
      </c>
      <c r="K3346" s="168">
        <v>48053.71</v>
      </c>
      <c r="L3346" s="43">
        <v>7.7572831008945764</v>
      </c>
      <c r="M3346" s="43">
        <v>11.500435161009575</v>
      </c>
      <c r="N3346" s="43">
        <v>5.6014975606115094</v>
      </c>
      <c r="O3346" s="43">
        <v>7.2310911408291103</v>
      </c>
      <c r="P3346" s="169"/>
      <c r="Q3346" s="169"/>
      <c r="R3346" s="169">
        <v>35</v>
      </c>
    </row>
    <row r="3347" spans="1:18" ht="36">
      <c r="A3347" s="165">
        <v>644</v>
      </c>
      <c r="B3347" s="162" t="s">
        <v>6102</v>
      </c>
      <c r="C3347" s="166" t="s">
        <v>6103</v>
      </c>
      <c r="D3347" s="167">
        <v>36764.730000000003</v>
      </c>
      <c r="E3347" s="167">
        <v>11972.58</v>
      </c>
      <c r="F3347" s="167">
        <v>17431.09</v>
      </c>
      <c r="G3347" s="167">
        <v>7361.06</v>
      </c>
      <c r="H3347" s="168">
        <v>288722.95</v>
      </c>
      <c r="I3347" s="168">
        <v>137689.88</v>
      </c>
      <c r="J3347" s="168">
        <v>97058.41</v>
      </c>
      <c r="K3347" s="168">
        <v>53974.66</v>
      </c>
      <c r="L3347" s="43">
        <v>7.8532590882620381</v>
      </c>
      <c r="M3347" s="43">
        <v>11.500435161009573</v>
      </c>
      <c r="N3347" s="43">
        <v>5.5681205248782497</v>
      </c>
      <c r="O3347" s="43">
        <v>7.3324575536675427</v>
      </c>
      <c r="P3347" s="169"/>
      <c r="Q3347" s="169"/>
      <c r="R3347" s="169">
        <v>35</v>
      </c>
    </row>
    <row r="3348" spans="1:18" ht="36">
      <c r="A3348" s="165">
        <v>645</v>
      </c>
      <c r="B3348" s="162" t="s">
        <v>6104</v>
      </c>
      <c r="C3348" s="166" t="s">
        <v>6105</v>
      </c>
      <c r="D3348" s="167">
        <v>52417.36</v>
      </c>
      <c r="E3348" s="167">
        <v>17062.650000000001</v>
      </c>
      <c r="F3348" s="167">
        <v>25636.25</v>
      </c>
      <c r="G3348" s="167">
        <v>9718.4599999999991</v>
      </c>
      <c r="H3348" s="168">
        <v>411730.47</v>
      </c>
      <c r="I3348" s="168">
        <v>196227.9</v>
      </c>
      <c r="J3348" s="168">
        <v>143119.84</v>
      </c>
      <c r="K3348" s="168">
        <v>72382.73</v>
      </c>
      <c r="L3348" s="43">
        <v>7.8548494239313076</v>
      </c>
      <c r="M3348" s="43">
        <v>11.500435161009571</v>
      </c>
      <c r="N3348" s="43">
        <v>5.5827135403968988</v>
      </c>
      <c r="O3348" s="43">
        <v>7.4479629488622683</v>
      </c>
      <c r="P3348" s="169"/>
      <c r="Q3348" s="169"/>
      <c r="R3348" s="169">
        <v>35</v>
      </c>
    </row>
    <row r="3349" spans="1:18" ht="12.75" customHeight="1">
      <c r="A3349" s="628" t="s">
        <v>6106</v>
      </c>
      <c r="B3349" s="629"/>
      <c r="C3349" s="629"/>
      <c r="D3349" s="629"/>
      <c r="E3349" s="629"/>
      <c r="F3349" s="629"/>
      <c r="G3349" s="629"/>
      <c r="H3349" s="629"/>
      <c r="I3349" s="629"/>
      <c r="J3349" s="629"/>
      <c r="K3349" s="629"/>
      <c r="L3349" s="629"/>
      <c r="M3349" s="629"/>
      <c r="N3349" s="629"/>
      <c r="O3349" s="629"/>
      <c r="P3349" s="629"/>
      <c r="Q3349" s="629"/>
      <c r="R3349" s="629"/>
    </row>
    <row r="3350" spans="1:18" ht="24">
      <c r="A3350" s="165">
        <v>646</v>
      </c>
      <c r="B3350" s="162" t="s">
        <v>6107</v>
      </c>
      <c r="C3350" s="166" t="s">
        <v>6108</v>
      </c>
      <c r="D3350" s="167">
        <v>544.27</v>
      </c>
      <c r="E3350" s="167">
        <v>194.18</v>
      </c>
      <c r="F3350" s="167">
        <v>27.74</v>
      </c>
      <c r="G3350" s="167">
        <v>322.35000000000002</v>
      </c>
      <c r="H3350" s="168">
        <v>4151.05</v>
      </c>
      <c r="I3350" s="168">
        <v>2233.17</v>
      </c>
      <c r="J3350" s="168">
        <v>149.22999999999999</v>
      </c>
      <c r="K3350" s="168">
        <v>1768.65</v>
      </c>
      <c r="L3350" s="43">
        <v>7.6268212468076513</v>
      </c>
      <c r="M3350" s="43">
        <v>11.500514986095375</v>
      </c>
      <c r="N3350" s="43">
        <v>5.3795962509012254</v>
      </c>
      <c r="O3350" s="43">
        <v>5.4867380176826428</v>
      </c>
      <c r="P3350" s="169"/>
      <c r="Q3350" s="169"/>
      <c r="R3350" s="169">
        <v>36</v>
      </c>
    </row>
    <row r="3351" spans="1:18" ht="24">
      <c r="A3351" s="165">
        <v>647</v>
      </c>
      <c r="B3351" s="162" t="s">
        <v>6109</v>
      </c>
      <c r="C3351" s="166" t="s">
        <v>6110</v>
      </c>
      <c r="D3351" s="167">
        <v>1271.19</v>
      </c>
      <c r="E3351" s="167">
        <v>542.33000000000004</v>
      </c>
      <c r="F3351" s="167">
        <v>44.38</v>
      </c>
      <c r="G3351" s="167">
        <v>684.48</v>
      </c>
      <c r="H3351" s="168">
        <v>10335.25</v>
      </c>
      <c r="I3351" s="168">
        <v>6237.01</v>
      </c>
      <c r="J3351" s="168">
        <v>238.77</v>
      </c>
      <c r="K3351" s="168">
        <v>3859.47</v>
      </c>
      <c r="L3351" s="43">
        <v>8.1303739016197412</v>
      </c>
      <c r="M3351" s="43">
        <v>11.500396437593347</v>
      </c>
      <c r="N3351" s="43">
        <v>5.3801261829652995</v>
      </c>
      <c r="O3351" s="43">
        <v>5.6385431276297329</v>
      </c>
      <c r="P3351" s="169"/>
      <c r="Q3351" s="169"/>
      <c r="R3351" s="169">
        <v>36</v>
      </c>
    </row>
    <row r="3352" spans="1:18" ht="24">
      <c r="A3352" s="165">
        <v>648</v>
      </c>
      <c r="B3352" s="162" t="s">
        <v>6111</v>
      </c>
      <c r="C3352" s="166" t="s">
        <v>6112</v>
      </c>
      <c r="D3352" s="167">
        <v>7135.14</v>
      </c>
      <c r="E3352" s="167">
        <v>2654.19</v>
      </c>
      <c r="F3352" s="167">
        <v>1723.66</v>
      </c>
      <c r="G3352" s="167">
        <v>2757.29</v>
      </c>
      <c r="H3352" s="168">
        <v>53572.21</v>
      </c>
      <c r="I3352" s="168">
        <v>30524.34</v>
      </c>
      <c r="J3352" s="168">
        <v>9870.69</v>
      </c>
      <c r="K3352" s="168">
        <v>13177.18</v>
      </c>
      <c r="L3352" s="43">
        <v>7.508221282273368</v>
      </c>
      <c r="M3352" s="43">
        <v>11.500435161009573</v>
      </c>
      <c r="N3352" s="43">
        <v>5.7265876100855158</v>
      </c>
      <c r="O3352" s="43">
        <v>4.7790330360607696</v>
      </c>
      <c r="P3352" s="169"/>
      <c r="Q3352" s="169"/>
      <c r="R3352" s="169">
        <v>36</v>
      </c>
    </row>
    <row r="3353" spans="1:18" ht="36">
      <c r="A3353" s="165">
        <v>649</v>
      </c>
      <c r="B3353" s="162" t="s">
        <v>6113</v>
      </c>
      <c r="C3353" s="166" t="s">
        <v>6114</v>
      </c>
      <c r="D3353" s="167">
        <v>10445.969999999999</v>
      </c>
      <c r="E3353" s="167">
        <v>2481.84</v>
      </c>
      <c r="F3353" s="167">
        <v>1333.94</v>
      </c>
      <c r="G3353" s="167">
        <v>6630.19</v>
      </c>
      <c r="H3353" s="168">
        <v>66045.98</v>
      </c>
      <c r="I3353" s="168">
        <v>28542.240000000002</v>
      </c>
      <c r="J3353" s="168">
        <v>7784.04</v>
      </c>
      <c r="K3353" s="168">
        <v>29719.7</v>
      </c>
      <c r="L3353" s="43">
        <v>6.322627769369431</v>
      </c>
      <c r="M3353" s="43">
        <v>11.500435161009573</v>
      </c>
      <c r="N3353" s="43">
        <v>5.8353749044184893</v>
      </c>
      <c r="O3353" s="43">
        <v>4.482480894212685</v>
      </c>
      <c r="P3353" s="169"/>
      <c r="Q3353" s="169"/>
      <c r="R3353" s="169">
        <v>36</v>
      </c>
    </row>
    <row r="3354" spans="1:18" ht="36">
      <c r="A3354" s="165">
        <v>650</v>
      </c>
      <c r="B3354" s="162" t="s">
        <v>6115</v>
      </c>
      <c r="C3354" s="166" t="s">
        <v>6116</v>
      </c>
      <c r="D3354" s="167">
        <v>11381.43</v>
      </c>
      <c r="E3354" s="167">
        <v>2757.6</v>
      </c>
      <c r="F3354" s="167">
        <v>1574.39</v>
      </c>
      <c r="G3354" s="167">
        <v>7049.44</v>
      </c>
      <c r="H3354" s="168">
        <v>72025.42</v>
      </c>
      <c r="I3354" s="168">
        <v>31713.599999999999</v>
      </c>
      <c r="J3354" s="168">
        <v>9193.02</v>
      </c>
      <c r="K3354" s="168">
        <v>31118.799999999999</v>
      </c>
      <c r="L3354" s="43">
        <v>6.3283278111801415</v>
      </c>
      <c r="M3354" s="43">
        <v>11.500435161009573</v>
      </c>
      <c r="N3354" s="43">
        <v>5.839099587776853</v>
      </c>
      <c r="O3354" s="43">
        <v>4.4143648289793234</v>
      </c>
      <c r="P3354" s="169"/>
      <c r="Q3354" s="169"/>
      <c r="R3354" s="169">
        <v>36</v>
      </c>
    </row>
    <row r="3355" spans="1:18" ht="24">
      <c r="A3355" s="165">
        <v>651</v>
      </c>
      <c r="B3355" s="162" t="s">
        <v>6117</v>
      </c>
      <c r="C3355" s="166" t="s">
        <v>6118</v>
      </c>
      <c r="D3355" s="167">
        <v>11097.92</v>
      </c>
      <c r="E3355" s="167">
        <v>7813.2</v>
      </c>
      <c r="F3355" s="167">
        <v>1509.09</v>
      </c>
      <c r="G3355" s="167">
        <v>1775.63</v>
      </c>
      <c r="H3355" s="168">
        <v>112542.54</v>
      </c>
      <c r="I3355" s="168">
        <v>89855.2</v>
      </c>
      <c r="J3355" s="168">
        <v>9226.2000000000007</v>
      </c>
      <c r="K3355" s="168">
        <v>13461.14</v>
      </c>
      <c r="L3355" s="43">
        <v>10.140867838297627</v>
      </c>
      <c r="M3355" s="43">
        <v>11.500435161009573</v>
      </c>
      <c r="N3355" s="43">
        <v>6.1137506709341398</v>
      </c>
      <c r="O3355" s="43">
        <v>7.5810501061595028</v>
      </c>
      <c r="P3355" s="169"/>
      <c r="Q3355" s="169"/>
      <c r="R3355" s="169">
        <v>36</v>
      </c>
    </row>
    <row r="3356" spans="1:18" ht="24">
      <c r="A3356" s="165">
        <v>652</v>
      </c>
      <c r="B3356" s="162" t="s">
        <v>6119</v>
      </c>
      <c r="C3356" s="166" t="s">
        <v>6120</v>
      </c>
      <c r="D3356" s="167">
        <v>7434.17</v>
      </c>
      <c r="E3356" s="167">
        <v>4504.08</v>
      </c>
      <c r="F3356" s="167">
        <v>1021.04</v>
      </c>
      <c r="G3356" s="167">
        <v>1909.05</v>
      </c>
      <c r="H3356" s="168">
        <v>69044.38</v>
      </c>
      <c r="I3356" s="168">
        <v>51798.879999999997</v>
      </c>
      <c r="J3356" s="168">
        <v>6045.57</v>
      </c>
      <c r="K3356" s="168">
        <v>11199.93</v>
      </c>
      <c r="L3356" s="43">
        <v>9.2874362571746421</v>
      </c>
      <c r="M3356" s="43">
        <v>11.500435161009573</v>
      </c>
      <c r="N3356" s="43">
        <v>5.9209923215544933</v>
      </c>
      <c r="O3356" s="43">
        <v>5.8667557161939188</v>
      </c>
      <c r="P3356" s="169"/>
      <c r="Q3356" s="169"/>
      <c r="R3356" s="169">
        <v>36</v>
      </c>
    </row>
    <row r="3357" spans="1:18" ht="36">
      <c r="A3357" s="165">
        <v>653</v>
      </c>
      <c r="B3357" s="162" t="s">
        <v>6121</v>
      </c>
      <c r="C3357" s="166" t="s">
        <v>6122</v>
      </c>
      <c r="D3357" s="167">
        <v>8319.3700000000008</v>
      </c>
      <c r="E3357" s="167">
        <v>5331.36</v>
      </c>
      <c r="F3357" s="167">
        <v>1100.77</v>
      </c>
      <c r="G3357" s="167">
        <v>1887.24</v>
      </c>
      <c r="H3357" s="168">
        <v>78966.47</v>
      </c>
      <c r="I3357" s="168">
        <v>61312.959999999999</v>
      </c>
      <c r="J3357" s="168">
        <v>6467.86</v>
      </c>
      <c r="K3357" s="168">
        <v>11185.65</v>
      </c>
      <c r="L3357" s="43">
        <v>9.4918809957965564</v>
      </c>
      <c r="M3357" s="43">
        <v>11.500435161009575</v>
      </c>
      <c r="N3357" s="43">
        <v>5.8757596954858871</v>
      </c>
      <c r="O3357" s="43">
        <v>5.9269886182997391</v>
      </c>
      <c r="P3357" s="169"/>
      <c r="Q3357" s="169"/>
      <c r="R3357" s="169">
        <v>36</v>
      </c>
    </row>
    <row r="3358" spans="1:18" ht="24">
      <c r="A3358" s="165">
        <v>654</v>
      </c>
      <c r="B3358" s="162" t="s">
        <v>6123</v>
      </c>
      <c r="C3358" s="166" t="s">
        <v>6124</v>
      </c>
      <c r="D3358" s="167">
        <v>17709.47</v>
      </c>
      <c r="E3358" s="167">
        <v>13098.6</v>
      </c>
      <c r="F3358" s="167">
        <v>2131.0100000000002</v>
      </c>
      <c r="G3358" s="167">
        <v>2479.86</v>
      </c>
      <c r="H3358" s="168">
        <v>183395.4</v>
      </c>
      <c r="I3358" s="168">
        <v>150639.6</v>
      </c>
      <c r="J3358" s="168">
        <v>13122.8</v>
      </c>
      <c r="K3358" s="168">
        <v>19633</v>
      </c>
      <c r="L3358" s="43">
        <v>10.355781398314008</v>
      </c>
      <c r="M3358" s="43">
        <v>11.500435161009573</v>
      </c>
      <c r="N3358" s="43">
        <v>6.1580189675318264</v>
      </c>
      <c r="O3358" s="43">
        <v>7.9169791843087909</v>
      </c>
      <c r="P3358" s="169"/>
      <c r="Q3358" s="169"/>
      <c r="R3358" s="169">
        <v>36</v>
      </c>
    </row>
    <row r="3359" spans="1:18" ht="24">
      <c r="A3359" s="165">
        <v>655</v>
      </c>
      <c r="B3359" s="162" t="s">
        <v>6125</v>
      </c>
      <c r="C3359" s="166" t="s">
        <v>6126</v>
      </c>
      <c r="D3359" s="167">
        <v>12595.89</v>
      </c>
      <c r="E3359" s="167">
        <v>8479.6200000000008</v>
      </c>
      <c r="F3359" s="167">
        <v>1259.0999999999999</v>
      </c>
      <c r="G3359" s="167">
        <v>2857.17</v>
      </c>
      <c r="H3359" s="168">
        <v>121885.06</v>
      </c>
      <c r="I3359" s="168">
        <v>97519.32</v>
      </c>
      <c r="J3359" s="168">
        <v>7315.54</v>
      </c>
      <c r="K3359" s="168">
        <v>17050.2</v>
      </c>
      <c r="L3359" s="43">
        <v>9.6765738665548842</v>
      </c>
      <c r="M3359" s="43">
        <v>11.500435161009573</v>
      </c>
      <c r="N3359" s="43">
        <v>5.810134222857597</v>
      </c>
      <c r="O3359" s="43">
        <v>5.9675133086235679</v>
      </c>
      <c r="P3359" s="169"/>
      <c r="Q3359" s="169"/>
      <c r="R3359" s="169">
        <v>36</v>
      </c>
    </row>
    <row r="3360" spans="1:18" ht="36">
      <c r="A3360" s="165">
        <v>656</v>
      </c>
      <c r="B3360" s="162" t="s">
        <v>6127</v>
      </c>
      <c r="C3360" s="166" t="s">
        <v>6128</v>
      </c>
      <c r="D3360" s="167">
        <v>13482.08</v>
      </c>
      <c r="E3360" s="167">
        <v>9306.9</v>
      </c>
      <c r="F3360" s="167">
        <v>1259.0999999999999</v>
      </c>
      <c r="G3360" s="167">
        <v>2916.08</v>
      </c>
      <c r="H3360" s="168">
        <v>131745.28</v>
      </c>
      <c r="I3360" s="168">
        <v>107033.4</v>
      </c>
      <c r="J3360" s="168">
        <v>7315.54</v>
      </c>
      <c r="K3360" s="168">
        <v>17396.34</v>
      </c>
      <c r="L3360" s="43">
        <v>9.7718808967162332</v>
      </c>
      <c r="M3360" s="43">
        <v>11.500435161009573</v>
      </c>
      <c r="N3360" s="43">
        <v>5.810134222857597</v>
      </c>
      <c r="O3360" s="43">
        <v>5.9656593783435294</v>
      </c>
      <c r="P3360" s="169"/>
      <c r="Q3360" s="169"/>
      <c r="R3360" s="169">
        <v>36</v>
      </c>
    </row>
    <row r="3361" spans="1:18" ht="24">
      <c r="A3361" s="165">
        <v>657</v>
      </c>
      <c r="B3361" s="162" t="s">
        <v>6129</v>
      </c>
      <c r="C3361" s="166" t="s">
        <v>6130</v>
      </c>
      <c r="D3361" s="167">
        <v>5032.6099999999997</v>
      </c>
      <c r="E3361" s="167">
        <v>2366.94</v>
      </c>
      <c r="F3361" s="167">
        <v>1530.9</v>
      </c>
      <c r="G3361" s="167">
        <v>1134.77</v>
      </c>
      <c r="H3361" s="168">
        <v>41695.96</v>
      </c>
      <c r="I3361" s="168">
        <v>27220.84</v>
      </c>
      <c r="J3361" s="168">
        <v>8578.82</v>
      </c>
      <c r="K3361" s="168">
        <v>5896.3</v>
      </c>
      <c r="L3361" s="43">
        <v>8.2851562111906158</v>
      </c>
      <c r="M3361" s="43">
        <v>11.500435161009573</v>
      </c>
      <c r="N3361" s="43">
        <v>5.6037755568619758</v>
      </c>
      <c r="O3361" s="43">
        <v>5.1960309137534484</v>
      </c>
      <c r="P3361" s="169"/>
      <c r="Q3361" s="169"/>
      <c r="R3361" s="169">
        <v>36</v>
      </c>
    </row>
    <row r="3362" spans="1:18" ht="24">
      <c r="A3362" s="165">
        <v>658</v>
      </c>
      <c r="B3362" s="162" t="s">
        <v>6131</v>
      </c>
      <c r="C3362" s="166" t="s">
        <v>6132</v>
      </c>
      <c r="D3362" s="167">
        <v>2935.43</v>
      </c>
      <c r="E3362" s="167">
        <v>1332.84</v>
      </c>
      <c r="F3362" s="167">
        <v>562.98</v>
      </c>
      <c r="G3362" s="167">
        <v>1039.6099999999999</v>
      </c>
      <c r="H3362" s="168">
        <v>23998.46</v>
      </c>
      <c r="I3362" s="168">
        <v>15328.24</v>
      </c>
      <c r="J3362" s="168">
        <v>3321.71</v>
      </c>
      <c r="K3362" s="168">
        <v>5348.51</v>
      </c>
      <c r="L3362" s="43">
        <v>8.1754495934156157</v>
      </c>
      <c r="M3362" s="43">
        <v>11.500435161009575</v>
      </c>
      <c r="N3362" s="43">
        <v>5.9002273615403746</v>
      </c>
      <c r="O3362" s="43">
        <v>5.144727349679207</v>
      </c>
      <c r="P3362" s="169"/>
      <c r="Q3362" s="169"/>
      <c r="R3362" s="169">
        <v>36</v>
      </c>
    </row>
    <row r="3363" spans="1:18" ht="12.75" customHeight="1">
      <c r="A3363" s="628" t="s">
        <v>6133</v>
      </c>
      <c r="B3363" s="629"/>
      <c r="C3363" s="629"/>
      <c r="D3363" s="629"/>
      <c r="E3363" s="629"/>
      <c r="F3363" s="629"/>
      <c r="G3363" s="629"/>
      <c r="H3363" s="629"/>
      <c r="I3363" s="629"/>
      <c r="J3363" s="629"/>
      <c r="K3363" s="629"/>
      <c r="L3363" s="629"/>
      <c r="M3363" s="629"/>
      <c r="N3363" s="629"/>
      <c r="O3363" s="629"/>
      <c r="P3363" s="629"/>
      <c r="Q3363" s="629"/>
      <c r="R3363" s="629"/>
    </row>
    <row r="3364" spans="1:18" ht="24">
      <c r="A3364" s="165">
        <v>659</v>
      </c>
      <c r="B3364" s="162" t="s">
        <v>6134</v>
      </c>
      <c r="C3364" s="166" t="s">
        <v>6135</v>
      </c>
      <c r="D3364" s="167">
        <v>2720.12</v>
      </c>
      <c r="E3364" s="167">
        <v>1263.9000000000001</v>
      </c>
      <c r="F3364" s="167">
        <v>1313.74</v>
      </c>
      <c r="G3364" s="167">
        <v>142.47999999999999</v>
      </c>
      <c r="H3364" s="168">
        <v>22694.33</v>
      </c>
      <c r="I3364" s="168">
        <v>14535.4</v>
      </c>
      <c r="J3364" s="168">
        <v>7342.57</v>
      </c>
      <c r="K3364" s="168">
        <v>816.36</v>
      </c>
      <c r="L3364" s="43">
        <v>8.3431355969589589</v>
      </c>
      <c r="M3364" s="43">
        <v>11.500435161009573</v>
      </c>
      <c r="N3364" s="43">
        <v>5.5890587178589364</v>
      </c>
      <c r="O3364" s="43">
        <v>5.7296462661426171</v>
      </c>
      <c r="P3364" s="169"/>
      <c r="Q3364" s="169"/>
      <c r="R3364" s="169">
        <v>37</v>
      </c>
    </row>
    <row r="3365" spans="1:18" ht="12.75" customHeight="1">
      <c r="A3365" s="628" t="s">
        <v>6136</v>
      </c>
      <c r="B3365" s="629"/>
      <c r="C3365" s="629"/>
      <c r="D3365" s="629"/>
      <c r="E3365" s="629"/>
      <c r="F3365" s="629"/>
      <c r="G3365" s="629"/>
      <c r="H3365" s="629"/>
      <c r="I3365" s="629"/>
      <c r="J3365" s="629"/>
      <c r="K3365" s="629"/>
      <c r="L3365" s="629"/>
      <c r="M3365" s="629"/>
      <c r="N3365" s="629"/>
      <c r="O3365" s="629"/>
      <c r="P3365" s="629"/>
      <c r="Q3365" s="629"/>
      <c r="R3365" s="629"/>
    </row>
    <row r="3366" spans="1:18" ht="24">
      <c r="A3366" s="165">
        <v>660</v>
      </c>
      <c r="B3366" s="162" t="s">
        <v>6137</v>
      </c>
      <c r="C3366" s="166" t="s">
        <v>6138</v>
      </c>
      <c r="D3366" s="167">
        <v>34.15</v>
      </c>
      <c r="E3366" s="167">
        <v>7.35</v>
      </c>
      <c r="F3366" s="167"/>
      <c r="G3366" s="167">
        <v>26.8</v>
      </c>
      <c r="H3366" s="168">
        <v>199.98</v>
      </c>
      <c r="I3366" s="168">
        <v>84.57</v>
      </c>
      <c r="J3366" s="168"/>
      <c r="K3366" s="168">
        <v>115.41</v>
      </c>
      <c r="L3366" s="43">
        <v>5.85592972181552</v>
      </c>
      <c r="M3366" s="43">
        <v>11.5021951219512</v>
      </c>
      <c r="N3366" s="43" t="s">
        <v>1690</v>
      </c>
      <c r="O3366" s="43">
        <v>4.3063432835820894</v>
      </c>
      <c r="P3366" s="169"/>
      <c r="Q3366" s="169"/>
      <c r="R3366" s="169">
        <v>38</v>
      </c>
    </row>
    <row r="3367" spans="1:18" ht="12.75" customHeight="1">
      <c r="A3367" s="628" t="s">
        <v>6139</v>
      </c>
      <c r="B3367" s="629"/>
      <c r="C3367" s="629"/>
      <c r="D3367" s="629"/>
      <c r="E3367" s="629"/>
      <c r="F3367" s="629"/>
      <c r="G3367" s="629"/>
      <c r="H3367" s="629"/>
      <c r="I3367" s="629"/>
      <c r="J3367" s="629"/>
      <c r="K3367" s="629"/>
      <c r="L3367" s="629"/>
      <c r="M3367" s="629"/>
      <c r="N3367" s="629"/>
      <c r="O3367" s="629"/>
      <c r="P3367" s="629"/>
      <c r="Q3367" s="629"/>
      <c r="R3367" s="629"/>
    </row>
    <row r="3368" spans="1:18" ht="24">
      <c r="A3368" s="165">
        <v>661</v>
      </c>
      <c r="B3368" s="162" t="s">
        <v>6140</v>
      </c>
      <c r="C3368" s="166" t="s">
        <v>6141</v>
      </c>
      <c r="D3368" s="167">
        <v>844.54</v>
      </c>
      <c r="E3368" s="167">
        <v>194.18</v>
      </c>
      <c r="F3368" s="167">
        <v>55.47</v>
      </c>
      <c r="G3368" s="167">
        <v>594.89</v>
      </c>
      <c r="H3368" s="168">
        <v>5256.73</v>
      </c>
      <c r="I3368" s="168">
        <v>2233.17</v>
      </c>
      <c r="J3368" s="168">
        <v>298.45999999999998</v>
      </c>
      <c r="K3368" s="168">
        <v>2725.1</v>
      </c>
      <c r="L3368" s="43">
        <v>6.2243706633196769</v>
      </c>
      <c r="M3368" s="43">
        <v>11.500514986095375</v>
      </c>
      <c r="N3368" s="43">
        <v>5.3805660717504953</v>
      </c>
      <c r="O3368" s="43">
        <v>4.5808468792549881</v>
      </c>
      <c r="P3368" s="169"/>
      <c r="Q3368" s="169"/>
      <c r="R3368" s="169">
        <v>39</v>
      </c>
    </row>
    <row r="3369" spans="1:18" ht="24">
      <c r="A3369" s="165">
        <v>662</v>
      </c>
      <c r="B3369" s="162" t="s">
        <v>6142</v>
      </c>
      <c r="C3369" s="166" t="s">
        <v>6143</v>
      </c>
      <c r="D3369" s="167">
        <v>26878.73</v>
      </c>
      <c r="E3369" s="167">
        <v>13971.84</v>
      </c>
      <c r="F3369" s="167">
        <v>9260.25</v>
      </c>
      <c r="G3369" s="167">
        <v>3646.64</v>
      </c>
      <c r="H3369" s="168">
        <v>229603.04</v>
      </c>
      <c r="I3369" s="168">
        <v>160682.23999999999</v>
      </c>
      <c r="J3369" s="168">
        <v>47807.38</v>
      </c>
      <c r="K3369" s="168">
        <v>21113.42</v>
      </c>
      <c r="L3369" s="43">
        <v>8.542183354645104</v>
      </c>
      <c r="M3369" s="43">
        <v>11.500435161009573</v>
      </c>
      <c r="N3369" s="43">
        <v>5.1626446370238384</v>
      </c>
      <c r="O3369" s="43">
        <v>5.7898284448149528</v>
      </c>
      <c r="P3369" s="169"/>
      <c r="Q3369" s="169"/>
      <c r="R3369" s="169">
        <v>39</v>
      </c>
    </row>
    <row r="3370" spans="1:18" ht="12.75" customHeight="1">
      <c r="A3370" s="628" t="s">
        <v>6144</v>
      </c>
      <c r="B3370" s="629"/>
      <c r="C3370" s="629"/>
      <c r="D3370" s="629"/>
      <c r="E3370" s="629"/>
      <c r="F3370" s="629"/>
      <c r="G3370" s="629"/>
      <c r="H3370" s="629"/>
      <c r="I3370" s="629"/>
      <c r="J3370" s="629"/>
      <c r="K3370" s="629"/>
      <c r="L3370" s="629"/>
      <c r="M3370" s="629"/>
      <c r="N3370" s="629"/>
      <c r="O3370" s="629"/>
      <c r="P3370" s="629"/>
      <c r="Q3370" s="629"/>
      <c r="R3370" s="629"/>
    </row>
    <row r="3371" spans="1:18" ht="36">
      <c r="A3371" s="165">
        <v>663</v>
      </c>
      <c r="B3371" s="162" t="s">
        <v>6145</v>
      </c>
      <c r="C3371" s="166" t="s">
        <v>6146</v>
      </c>
      <c r="D3371" s="167">
        <v>1634.26</v>
      </c>
      <c r="E3371" s="167">
        <v>535.42999999999995</v>
      </c>
      <c r="F3371" s="167">
        <v>628.59</v>
      </c>
      <c r="G3371" s="167">
        <v>470.24</v>
      </c>
      <c r="H3371" s="168">
        <v>12051.58</v>
      </c>
      <c r="I3371" s="168">
        <v>6157.72</v>
      </c>
      <c r="J3371" s="168">
        <v>3472.16</v>
      </c>
      <c r="K3371" s="168">
        <v>2421.6999999999998</v>
      </c>
      <c r="L3371" s="43">
        <v>7.3743345612081308</v>
      </c>
      <c r="M3371" s="43">
        <v>11.500513605886859</v>
      </c>
      <c r="N3371" s="43">
        <v>5.5237277080449889</v>
      </c>
      <c r="O3371" s="43">
        <v>5.1499234433480767</v>
      </c>
      <c r="P3371" s="169"/>
      <c r="Q3371" s="169"/>
      <c r="R3371" s="169">
        <v>40</v>
      </c>
    </row>
    <row r="3372" spans="1:18" ht="12.75" customHeight="1">
      <c r="A3372" s="628" t="s">
        <v>6147</v>
      </c>
      <c r="B3372" s="629"/>
      <c r="C3372" s="629"/>
      <c r="D3372" s="629"/>
      <c r="E3372" s="629"/>
      <c r="F3372" s="629"/>
      <c r="G3372" s="629"/>
      <c r="H3372" s="629"/>
      <c r="I3372" s="629"/>
      <c r="J3372" s="629"/>
      <c r="K3372" s="629"/>
      <c r="L3372" s="629"/>
      <c r="M3372" s="629"/>
      <c r="N3372" s="629"/>
      <c r="O3372" s="629"/>
      <c r="P3372" s="629"/>
      <c r="Q3372" s="629"/>
      <c r="R3372" s="629"/>
    </row>
    <row r="3373" spans="1:18" ht="36">
      <c r="A3373" s="165">
        <v>664</v>
      </c>
      <c r="B3373" s="162" t="s">
        <v>6148</v>
      </c>
      <c r="C3373" s="166" t="s">
        <v>6149</v>
      </c>
      <c r="D3373" s="167">
        <v>1545.71</v>
      </c>
      <c r="E3373" s="167">
        <v>108.72</v>
      </c>
      <c r="F3373" s="167">
        <v>262.42</v>
      </c>
      <c r="G3373" s="167">
        <v>1174.57</v>
      </c>
      <c r="H3373" s="168">
        <v>6398.29</v>
      </c>
      <c r="I3373" s="168">
        <v>1250.22</v>
      </c>
      <c r="J3373" s="168">
        <v>1340.5</v>
      </c>
      <c r="K3373" s="168">
        <v>3807.57</v>
      </c>
      <c r="L3373" s="43">
        <v>4.1393857838792529</v>
      </c>
      <c r="M3373" s="43">
        <v>11.49944812362031</v>
      </c>
      <c r="N3373" s="43">
        <v>5.1082234585778519</v>
      </c>
      <c r="O3373" s="43">
        <v>3.2416714201793</v>
      </c>
      <c r="P3373" s="169"/>
      <c r="Q3373" s="169"/>
      <c r="R3373" s="169">
        <v>41</v>
      </c>
    </row>
    <row r="3374" spans="1:18" ht="36">
      <c r="A3374" s="165">
        <v>665</v>
      </c>
      <c r="B3374" s="162" t="s">
        <v>6150</v>
      </c>
      <c r="C3374" s="166" t="s">
        <v>6151</v>
      </c>
      <c r="D3374" s="167">
        <v>1578.62</v>
      </c>
      <c r="E3374" s="167">
        <v>119.28</v>
      </c>
      <c r="F3374" s="167">
        <v>284.55</v>
      </c>
      <c r="G3374" s="167">
        <v>1174.79</v>
      </c>
      <c r="H3374" s="168">
        <v>6635.03</v>
      </c>
      <c r="I3374" s="168">
        <v>1371.72</v>
      </c>
      <c r="J3374" s="168">
        <v>1453.21</v>
      </c>
      <c r="K3374" s="168">
        <v>3810.1</v>
      </c>
      <c r="L3374" s="43">
        <v>4.2030571005055046</v>
      </c>
      <c r="M3374" s="43">
        <v>11.5</v>
      </c>
      <c r="N3374" s="43">
        <v>5.1070462133192756</v>
      </c>
      <c r="O3374" s="43">
        <v>3.2432179368227514</v>
      </c>
      <c r="P3374" s="169"/>
      <c r="Q3374" s="169"/>
      <c r="R3374" s="169">
        <v>41</v>
      </c>
    </row>
    <row r="3375" spans="1:18" ht="24">
      <c r="A3375" s="165">
        <v>666</v>
      </c>
      <c r="B3375" s="162" t="s">
        <v>6152</v>
      </c>
      <c r="C3375" s="166" t="s">
        <v>6153</v>
      </c>
      <c r="D3375" s="167">
        <v>172.31</v>
      </c>
      <c r="E3375" s="167">
        <v>94.4</v>
      </c>
      <c r="F3375" s="167">
        <v>57.06</v>
      </c>
      <c r="G3375" s="167">
        <v>20.85</v>
      </c>
      <c r="H3375" s="168">
        <v>1486.08</v>
      </c>
      <c r="I3375" s="168">
        <v>1085.6199999999999</v>
      </c>
      <c r="J3375" s="168">
        <v>293.79000000000002</v>
      </c>
      <c r="K3375" s="168">
        <v>106.67</v>
      </c>
      <c r="L3375" s="43">
        <v>8.624455922465323</v>
      </c>
      <c r="M3375" s="43">
        <v>11.500211864406777</v>
      </c>
      <c r="N3375" s="43">
        <v>5.1487907465825451</v>
      </c>
      <c r="O3375" s="43">
        <v>5.1160671462829734</v>
      </c>
      <c r="P3375" s="169"/>
      <c r="Q3375" s="169"/>
      <c r="R3375" s="169">
        <v>41</v>
      </c>
    </row>
    <row r="3376" spans="1:18" ht="24">
      <c r="A3376" s="165">
        <v>667</v>
      </c>
      <c r="B3376" s="162" t="s">
        <v>6154</v>
      </c>
      <c r="C3376" s="166" t="s">
        <v>6155</v>
      </c>
      <c r="D3376" s="167">
        <v>193.22</v>
      </c>
      <c r="E3376" s="167">
        <v>96.79</v>
      </c>
      <c r="F3376" s="167">
        <v>74.08</v>
      </c>
      <c r="G3376" s="167">
        <v>22.35</v>
      </c>
      <c r="H3376" s="168">
        <v>1605.86</v>
      </c>
      <c r="I3376" s="168">
        <v>1113.05</v>
      </c>
      <c r="J3376" s="168">
        <v>380.49</v>
      </c>
      <c r="K3376" s="168">
        <v>112.32</v>
      </c>
      <c r="L3376" s="43">
        <v>8.311044405341061</v>
      </c>
      <c r="M3376" s="43">
        <v>11.499638392395907</v>
      </c>
      <c r="N3376" s="43">
        <v>5.1362041036717061</v>
      </c>
      <c r="O3376" s="43">
        <v>5.0255033557046973</v>
      </c>
      <c r="P3376" s="169"/>
      <c r="Q3376" s="169"/>
      <c r="R3376" s="169">
        <v>41</v>
      </c>
    </row>
    <row r="3377" spans="1:18" ht="12.75" customHeight="1">
      <c r="A3377" s="628" t="s">
        <v>6156</v>
      </c>
      <c r="B3377" s="629"/>
      <c r="C3377" s="629"/>
      <c r="D3377" s="629"/>
      <c r="E3377" s="629"/>
      <c r="F3377" s="629"/>
      <c r="G3377" s="629"/>
      <c r="H3377" s="629"/>
      <c r="I3377" s="629"/>
      <c r="J3377" s="629"/>
      <c r="K3377" s="629"/>
      <c r="L3377" s="629"/>
      <c r="M3377" s="629"/>
      <c r="N3377" s="629"/>
      <c r="O3377" s="629"/>
      <c r="P3377" s="629"/>
      <c r="Q3377" s="629"/>
      <c r="R3377" s="629"/>
    </row>
    <row r="3378" spans="1:18" ht="24">
      <c r="A3378" s="165">
        <v>668</v>
      </c>
      <c r="B3378" s="162" t="s">
        <v>6157</v>
      </c>
      <c r="C3378" s="166" t="s">
        <v>6158</v>
      </c>
      <c r="D3378" s="167">
        <v>247.02</v>
      </c>
      <c r="E3378" s="167">
        <v>173.81</v>
      </c>
      <c r="F3378" s="167">
        <v>2.77</v>
      </c>
      <c r="G3378" s="167">
        <v>70.44</v>
      </c>
      <c r="H3378" s="168">
        <v>2552.39</v>
      </c>
      <c r="I3378" s="168">
        <v>1998.79</v>
      </c>
      <c r="J3378" s="168">
        <v>14.93</v>
      </c>
      <c r="K3378" s="168">
        <v>538.66999999999996</v>
      </c>
      <c r="L3378" s="43">
        <v>10.332726095053031</v>
      </c>
      <c r="M3378" s="43">
        <v>11.499856164777631</v>
      </c>
      <c r="N3378" s="43">
        <v>5.3898916967509027</v>
      </c>
      <c r="O3378" s="43">
        <v>7.6472174900624639</v>
      </c>
      <c r="P3378" s="169"/>
      <c r="Q3378" s="169"/>
      <c r="R3378" s="169">
        <v>42</v>
      </c>
    </row>
    <row r="3379" spans="1:18" ht="24">
      <c r="A3379" s="165">
        <v>669</v>
      </c>
      <c r="B3379" s="162" t="s">
        <v>6159</v>
      </c>
      <c r="C3379" s="166" t="s">
        <v>6160</v>
      </c>
      <c r="D3379" s="167">
        <v>301.47000000000003</v>
      </c>
      <c r="E3379" s="167">
        <v>227.2</v>
      </c>
      <c r="F3379" s="167">
        <v>2.77</v>
      </c>
      <c r="G3379" s="167">
        <v>71.5</v>
      </c>
      <c r="H3379" s="168">
        <v>3178.59</v>
      </c>
      <c r="I3379" s="168">
        <v>2612.8000000000002</v>
      </c>
      <c r="J3379" s="168">
        <v>14.93</v>
      </c>
      <c r="K3379" s="168">
        <v>550.86</v>
      </c>
      <c r="L3379" s="43">
        <v>10.543636182704747</v>
      </c>
      <c r="M3379" s="43">
        <v>11.500000000000002</v>
      </c>
      <c r="N3379" s="43">
        <v>5.3898916967509027</v>
      </c>
      <c r="O3379" s="43">
        <v>7.7043356643356642</v>
      </c>
      <c r="P3379" s="169"/>
      <c r="Q3379" s="169"/>
      <c r="R3379" s="169">
        <v>42</v>
      </c>
    </row>
    <row r="3380" spans="1:18" ht="24">
      <c r="A3380" s="165">
        <v>670</v>
      </c>
      <c r="B3380" s="162" t="s">
        <v>6161</v>
      </c>
      <c r="C3380" s="166" t="s">
        <v>6162</v>
      </c>
      <c r="D3380" s="167">
        <v>263.23</v>
      </c>
      <c r="E3380" s="167">
        <v>189.71</v>
      </c>
      <c r="F3380" s="167">
        <v>2.77</v>
      </c>
      <c r="G3380" s="167">
        <v>70.75</v>
      </c>
      <c r="H3380" s="168">
        <v>2738.86</v>
      </c>
      <c r="I3380" s="168">
        <v>2181.69</v>
      </c>
      <c r="J3380" s="168">
        <v>14.93</v>
      </c>
      <c r="K3380" s="168">
        <v>542.24</v>
      </c>
      <c r="L3380" s="43">
        <v>10.404817080120047</v>
      </c>
      <c r="M3380" s="43">
        <v>11.500131780085393</v>
      </c>
      <c r="N3380" s="43">
        <v>5.3898916967509027</v>
      </c>
      <c r="O3380" s="43">
        <v>7.6641696113074209</v>
      </c>
      <c r="P3380" s="169"/>
      <c r="Q3380" s="169"/>
      <c r="R3380" s="169">
        <v>42</v>
      </c>
    </row>
    <row r="3381" spans="1:18" ht="24">
      <c r="A3381" s="165">
        <v>671</v>
      </c>
      <c r="B3381" s="162" t="s">
        <v>6163</v>
      </c>
      <c r="C3381" s="166" t="s">
        <v>6164</v>
      </c>
      <c r="D3381" s="167">
        <v>383.5</v>
      </c>
      <c r="E3381" s="167">
        <v>241.97</v>
      </c>
      <c r="F3381" s="167">
        <v>2.77</v>
      </c>
      <c r="G3381" s="167">
        <v>138.76</v>
      </c>
      <c r="H3381" s="168">
        <v>3850.51</v>
      </c>
      <c r="I3381" s="168">
        <v>2782.63</v>
      </c>
      <c r="J3381" s="168">
        <v>14.93</v>
      </c>
      <c r="K3381" s="168">
        <v>1052.95</v>
      </c>
      <c r="L3381" s="43">
        <v>10.040443285528031</v>
      </c>
      <c r="M3381" s="43">
        <v>11.499896681406787</v>
      </c>
      <c r="N3381" s="43">
        <v>5.3898916967509027</v>
      </c>
      <c r="O3381" s="43">
        <v>7.5882819256269824</v>
      </c>
      <c r="P3381" s="169"/>
      <c r="Q3381" s="169"/>
      <c r="R3381" s="169">
        <v>42</v>
      </c>
    </row>
    <row r="3382" spans="1:18" ht="12.75" customHeight="1">
      <c r="A3382" s="628" t="s">
        <v>6165</v>
      </c>
      <c r="B3382" s="629"/>
      <c r="C3382" s="629"/>
      <c r="D3382" s="629"/>
      <c r="E3382" s="629"/>
      <c r="F3382" s="629"/>
      <c r="G3382" s="629"/>
      <c r="H3382" s="629"/>
      <c r="I3382" s="629"/>
      <c r="J3382" s="629"/>
      <c r="K3382" s="629"/>
      <c r="L3382" s="629"/>
      <c r="M3382" s="629"/>
      <c r="N3382" s="629"/>
      <c r="O3382" s="629"/>
      <c r="P3382" s="629"/>
      <c r="Q3382" s="629"/>
      <c r="R3382" s="629"/>
    </row>
    <row r="3383" spans="1:18" ht="36">
      <c r="A3383" s="165">
        <v>672</v>
      </c>
      <c r="B3383" s="162" t="s">
        <v>6166</v>
      </c>
      <c r="C3383" s="166" t="s">
        <v>6167</v>
      </c>
      <c r="D3383" s="167">
        <v>459.3</v>
      </c>
      <c r="E3383" s="167">
        <v>205.62</v>
      </c>
      <c r="F3383" s="167">
        <v>19.420000000000002</v>
      </c>
      <c r="G3383" s="167">
        <v>234.26</v>
      </c>
      <c r="H3383" s="168">
        <v>3520.66</v>
      </c>
      <c r="I3383" s="168">
        <v>2364.58</v>
      </c>
      <c r="J3383" s="168">
        <v>104.46</v>
      </c>
      <c r="K3383" s="168">
        <v>1051.6199999999999</v>
      </c>
      <c r="L3383" s="43">
        <v>7.6652732418898317</v>
      </c>
      <c r="M3383" s="43">
        <v>11.499756832992899</v>
      </c>
      <c r="N3383" s="43">
        <v>5.3789907312049428</v>
      </c>
      <c r="O3383" s="43">
        <v>4.4891146589259794</v>
      </c>
      <c r="P3383" s="169"/>
      <c r="Q3383" s="169"/>
      <c r="R3383" s="169">
        <v>43</v>
      </c>
    </row>
    <row r="3384" spans="1:18" ht="36">
      <c r="A3384" s="165">
        <v>673</v>
      </c>
      <c r="B3384" s="162" t="s">
        <v>6168</v>
      </c>
      <c r="C3384" s="166" t="s">
        <v>6169</v>
      </c>
      <c r="D3384" s="167">
        <v>563.14</v>
      </c>
      <c r="E3384" s="167">
        <v>271.5</v>
      </c>
      <c r="F3384" s="167">
        <v>24.96</v>
      </c>
      <c r="G3384" s="167">
        <v>266.68</v>
      </c>
      <c r="H3384" s="168">
        <v>4437.38</v>
      </c>
      <c r="I3384" s="168">
        <v>3122.3</v>
      </c>
      <c r="J3384" s="168">
        <v>134.31</v>
      </c>
      <c r="K3384" s="168">
        <v>1180.77</v>
      </c>
      <c r="L3384" s="43">
        <v>7.8797101963987641</v>
      </c>
      <c r="M3384" s="43">
        <v>11.500184162062617</v>
      </c>
      <c r="N3384" s="43">
        <v>5.381009615384615</v>
      </c>
      <c r="O3384" s="43">
        <v>4.4276661166941649</v>
      </c>
      <c r="P3384" s="169"/>
      <c r="Q3384" s="169"/>
      <c r="R3384" s="169">
        <v>43</v>
      </c>
    </row>
    <row r="3385" spans="1:18" ht="36">
      <c r="A3385" s="165">
        <v>674</v>
      </c>
      <c r="B3385" s="162" t="s">
        <v>6170</v>
      </c>
      <c r="C3385" s="166" t="s">
        <v>6171</v>
      </c>
      <c r="D3385" s="167">
        <v>663.04</v>
      </c>
      <c r="E3385" s="167">
        <v>346.48</v>
      </c>
      <c r="F3385" s="167">
        <v>27.74</v>
      </c>
      <c r="G3385" s="167">
        <v>288.82</v>
      </c>
      <c r="H3385" s="168">
        <v>5404.81</v>
      </c>
      <c r="I3385" s="168">
        <v>3984.52</v>
      </c>
      <c r="J3385" s="168">
        <v>149.22999999999999</v>
      </c>
      <c r="K3385" s="168">
        <v>1271.06</v>
      </c>
      <c r="L3385" s="43">
        <v>8.1515594835907343</v>
      </c>
      <c r="M3385" s="43">
        <v>11.5</v>
      </c>
      <c r="N3385" s="43">
        <v>5.3795962509012254</v>
      </c>
      <c r="O3385" s="43">
        <v>4.4008725157537567</v>
      </c>
      <c r="P3385" s="169"/>
      <c r="Q3385" s="169"/>
      <c r="R3385" s="169">
        <v>43</v>
      </c>
    </row>
    <row r="3386" spans="1:18" ht="36">
      <c r="A3386" s="165">
        <v>675</v>
      </c>
      <c r="B3386" s="162" t="s">
        <v>6172</v>
      </c>
      <c r="C3386" s="166" t="s">
        <v>6173</v>
      </c>
      <c r="D3386" s="167">
        <v>730.74</v>
      </c>
      <c r="E3386" s="167">
        <v>383.97</v>
      </c>
      <c r="F3386" s="167">
        <v>33.28</v>
      </c>
      <c r="G3386" s="167">
        <v>313.49</v>
      </c>
      <c r="H3386" s="168">
        <v>5963.49</v>
      </c>
      <c r="I3386" s="168">
        <v>4415.63</v>
      </c>
      <c r="J3386" s="168">
        <v>179.08</v>
      </c>
      <c r="K3386" s="168">
        <v>1368.78</v>
      </c>
      <c r="L3386" s="43">
        <v>8.1608916988258482</v>
      </c>
      <c r="M3386" s="43">
        <v>11.499934890746673</v>
      </c>
      <c r="N3386" s="43">
        <v>5.3810096153846159</v>
      </c>
      <c r="O3386" s="43">
        <v>4.3662636766723022</v>
      </c>
      <c r="P3386" s="169"/>
      <c r="Q3386" s="169"/>
      <c r="R3386" s="169">
        <v>43</v>
      </c>
    </row>
    <row r="3387" spans="1:18" ht="12.75" customHeight="1">
      <c r="A3387" s="628" t="s">
        <v>6174</v>
      </c>
      <c r="B3387" s="629"/>
      <c r="C3387" s="629"/>
      <c r="D3387" s="629"/>
      <c r="E3387" s="629"/>
      <c r="F3387" s="629"/>
      <c r="G3387" s="629"/>
      <c r="H3387" s="629"/>
      <c r="I3387" s="629"/>
      <c r="J3387" s="629"/>
      <c r="K3387" s="629"/>
      <c r="L3387" s="629"/>
      <c r="M3387" s="629"/>
      <c r="N3387" s="629"/>
      <c r="O3387" s="629"/>
      <c r="P3387" s="629"/>
      <c r="Q3387" s="629"/>
      <c r="R3387" s="629"/>
    </row>
    <row r="3388" spans="1:18" ht="12.75" customHeight="1">
      <c r="A3388" s="628" t="s">
        <v>6175</v>
      </c>
      <c r="B3388" s="629"/>
      <c r="C3388" s="629"/>
      <c r="D3388" s="629"/>
      <c r="E3388" s="629"/>
      <c r="F3388" s="629"/>
      <c r="G3388" s="629"/>
      <c r="H3388" s="629"/>
      <c r="I3388" s="629"/>
      <c r="J3388" s="629"/>
      <c r="K3388" s="629"/>
      <c r="L3388" s="629"/>
      <c r="M3388" s="629"/>
      <c r="N3388" s="629"/>
      <c r="O3388" s="629"/>
      <c r="P3388" s="629"/>
      <c r="Q3388" s="629"/>
      <c r="R3388" s="629"/>
    </row>
    <row r="3389" spans="1:18" ht="24">
      <c r="A3389" s="165">
        <v>676</v>
      </c>
      <c r="B3389" s="162" t="s">
        <v>6176</v>
      </c>
      <c r="C3389" s="166" t="s">
        <v>6177</v>
      </c>
      <c r="D3389" s="167">
        <v>159.41999999999999</v>
      </c>
      <c r="E3389" s="167">
        <v>24.28</v>
      </c>
      <c r="F3389" s="167">
        <v>127.49</v>
      </c>
      <c r="G3389" s="167">
        <v>7.65</v>
      </c>
      <c r="H3389" s="168">
        <v>947.41</v>
      </c>
      <c r="I3389" s="168">
        <v>279.2</v>
      </c>
      <c r="J3389" s="168">
        <v>651.70000000000005</v>
      </c>
      <c r="K3389" s="168">
        <v>16.510000000000002</v>
      </c>
      <c r="L3389" s="43">
        <v>5.9428553506460924</v>
      </c>
      <c r="M3389" s="43">
        <v>11.499176276771005</v>
      </c>
      <c r="N3389" s="43">
        <v>5.1117734724292108</v>
      </c>
      <c r="O3389" s="43">
        <v>2.1581699346405232</v>
      </c>
      <c r="P3389" s="169"/>
      <c r="Q3389" s="169"/>
      <c r="R3389" s="169">
        <v>1</v>
      </c>
    </row>
    <row r="3390" spans="1:18" ht="24">
      <c r="A3390" s="165">
        <v>677</v>
      </c>
      <c r="B3390" s="162" t="s">
        <v>6178</v>
      </c>
      <c r="C3390" s="166" t="s">
        <v>6179</v>
      </c>
      <c r="D3390" s="167">
        <v>227.31</v>
      </c>
      <c r="E3390" s="167">
        <v>36.75</v>
      </c>
      <c r="F3390" s="167">
        <v>177.3</v>
      </c>
      <c r="G3390" s="167">
        <v>13.26</v>
      </c>
      <c r="H3390" s="168">
        <v>1357.2</v>
      </c>
      <c r="I3390" s="168">
        <v>422.68</v>
      </c>
      <c r="J3390" s="168">
        <v>906.98</v>
      </c>
      <c r="K3390" s="168">
        <v>27.54</v>
      </c>
      <c r="L3390" s="43">
        <v>5.9707008050679686</v>
      </c>
      <c r="M3390" s="43">
        <v>11.501496598639456</v>
      </c>
      <c r="N3390" s="43">
        <v>5.11551043429216</v>
      </c>
      <c r="O3390" s="43">
        <v>2.0769230769230771</v>
      </c>
      <c r="P3390" s="169"/>
      <c r="Q3390" s="169"/>
      <c r="R3390" s="169">
        <v>1</v>
      </c>
    </row>
    <row r="3391" spans="1:18" ht="24">
      <c r="A3391" s="165">
        <v>678</v>
      </c>
      <c r="B3391" s="162" t="s">
        <v>6180</v>
      </c>
      <c r="C3391" s="166" t="s">
        <v>6181</v>
      </c>
      <c r="D3391" s="167">
        <v>277.81</v>
      </c>
      <c r="E3391" s="167">
        <v>47.88</v>
      </c>
      <c r="F3391" s="167">
        <v>216.45</v>
      </c>
      <c r="G3391" s="167">
        <v>13.48</v>
      </c>
      <c r="H3391" s="168">
        <v>1687.12</v>
      </c>
      <c r="I3391" s="168">
        <v>550.65</v>
      </c>
      <c r="J3391" s="168">
        <v>1106.4000000000001</v>
      </c>
      <c r="K3391" s="168">
        <v>30.07</v>
      </c>
      <c r="L3391" s="43">
        <v>6.0729275404053125</v>
      </c>
      <c r="M3391" s="43">
        <v>11.50062656641604</v>
      </c>
      <c r="N3391" s="43">
        <v>5.1115731115731124</v>
      </c>
      <c r="O3391" s="43">
        <v>2.2307121661721068</v>
      </c>
      <c r="P3391" s="169"/>
      <c r="Q3391" s="169"/>
      <c r="R3391" s="169">
        <v>1</v>
      </c>
    </row>
    <row r="3392" spans="1:18" ht="24">
      <c r="A3392" s="165">
        <v>679</v>
      </c>
      <c r="B3392" s="162" t="s">
        <v>6182</v>
      </c>
      <c r="C3392" s="166" t="s">
        <v>6183</v>
      </c>
      <c r="D3392" s="167">
        <v>274.33</v>
      </c>
      <c r="E3392" s="167">
        <v>45.52</v>
      </c>
      <c r="F3392" s="167">
        <v>215.38</v>
      </c>
      <c r="G3392" s="167">
        <v>13.43</v>
      </c>
      <c r="H3392" s="168">
        <v>1653.14</v>
      </c>
      <c r="I3392" s="168">
        <v>523.5</v>
      </c>
      <c r="J3392" s="168">
        <v>1100.1400000000001</v>
      </c>
      <c r="K3392" s="168">
        <v>29.5</v>
      </c>
      <c r="L3392" s="43">
        <v>6.0260999526118182</v>
      </c>
      <c r="M3392" s="43">
        <v>11.500439367311071</v>
      </c>
      <c r="N3392" s="43">
        <v>5.1079023121924045</v>
      </c>
      <c r="O3392" s="43">
        <v>2.1965748324646315</v>
      </c>
      <c r="P3392" s="169"/>
      <c r="Q3392" s="169"/>
      <c r="R3392" s="169">
        <v>1</v>
      </c>
    </row>
    <row r="3393" spans="1:18" ht="24">
      <c r="A3393" s="165">
        <v>680</v>
      </c>
      <c r="B3393" s="162" t="s">
        <v>6184</v>
      </c>
      <c r="C3393" s="166" t="s">
        <v>6185</v>
      </c>
      <c r="D3393" s="167">
        <v>112.95</v>
      </c>
      <c r="E3393" s="167">
        <v>19.22</v>
      </c>
      <c r="F3393" s="167">
        <v>72.569999999999993</v>
      </c>
      <c r="G3393" s="167">
        <v>21.16</v>
      </c>
      <c r="H3393" s="168">
        <v>690.38</v>
      </c>
      <c r="I3393" s="168">
        <v>221.03</v>
      </c>
      <c r="J3393" s="168">
        <v>370.42</v>
      </c>
      <c r="K3393" s="168">
        <v>98.93</v>
      </c>
      <c r="L3393" s="43">
        <v>6.1122620628596724</v>
      </c>
      <c r="M3393" s="43">
        <v>11.5</v>
      </c>
      <c r="N3393" s="43">
        <v>5.1043130770290759</v>
      </c>
      <c r="O3393" s="43">
        <v>4.6753308128544431</v>
      </c>
      <c r="P3393" s="169"/>
      <c r="Q3393" s="169"/>
      <c r="R3393" s="169">
        <v>1</v>
      </c>
    </row>
    <row r="3394" spans="1:18" ht="12.75" customHeight="1">
      <c r="A3394" s="628" t="s">
        <v>6186</v>
      </c>
      <c r="B3394" s="629"/>
      <c r="C3394" s="629"/>
      <c r="D3394" s="629"/>
      <c r="E3394" s="629"/>
      <c r="F3394" s="629"/>
      <c r="G3394" s="629"/>
      <c r="H3394" s="629"/>
      <c r="I3394" s="629"/>
      <c r="J3394" s="629"/>
      <c r="K3394" s="629"/>
      <c r="L3394" s="629"/>
      <c r="M3394" s="629"/>
      <c r="N3394" s="629"/>
      <c r="O3394" s="629"/>
      <c r="P3394" s="629"/>
      <c r="Q3394" s="629"/>
      <c r="R3394" s="629"/>
    </row>
    <row r="3395" spans="1:18" ht="24">
      <c r="A3395" s="165">
        <v>681</v>
      </c>
      <c r="B3395" s="162" t="s">
        <v>6187</v>
      </c>
      <c r="C3395" s="166" t="s">
        <v>6188</v>
      </c>
      <c r="D3395" s="167">
        <v>110.38</v>
      </c>
      <c r="E3395" s="167">
        <v>26</v>
      </c>
      <c r="F3395" s="167">
        <v>83.86</v>
      </c>
      <c r="G3395" s="167">
        <v>0.52</v>
      </c>
      <c r="H3395" s="168">
        <v>733.66</v>
      </c>
      <c r="I3395" s="168">
        <v>299</v>
      </c>
      <c r="J3395" s="168">
        <v>428.68</v>
      </c>
      <c r="K3395" s="168">
        <v>5.98</v>
      </c>
      <c r="L3395" s="43">
        <v>6.6466751223047655</v>
      </c>
      <c r="M3395" s="43">
        <v>11.5</v>
      </c>
      <c r="N3395" s="43">
        <v>5.1118530884808013</v>
      </c>
      <c r="O3395" s="43">
        <v>11.5</v>
      </c>
      <c r="P3395" s="169"/>
      <c r="Q3395" s="169"/>
      <c r="R3395" s="169">
        <v>2</v>
      </c>
    </row>
    <row r="3396" spans="1:18" ht="24">
      <c r="A3396" s="165">
        <v>682</v>
      </c>
      <c r="B3396" s="162" t="s">
        <v>6189</v>
      </c>
      <c r="C3396" s="166" t="s">
        <v>6190</v>
      </c>
      <c r="D3396" s="167">
        <v>119.87</v>
      </c>
      <c r="E3396" s="167">
        <v>28.63</v>
      </c>
      <c r="F3396" s="167">
        <v>90.67</v>
      </c>
      <c r="G3396" s="167">
        <v>0.56999999999999995</v>
      </c>
      <c r="H3396" s="168">
        <v>799.2</v>
      </c>
      <c r="I3396" s="168">
        <v>329.28</v>
      </c>
      <c r="J3396" s="168">
        <v>463.36</v>
      </c>
      <c r="K3396" s="168">
        <v>6.56</v>
      </c>
      <c r="L3396" s="43">
        <v>6.6672228247267871</v>
      </c>
      <c r="M3396" s="43">
        <v>11.50122249388753</v>
      </c>
      <c r="N3396" s="43">
        <v>5.1104003529282016</v>
      </c>
      <c r="O3396" s="43">
        <v>11.5</v>
      </c>
      <c r="P3396" s="169"/>
      <c r="Q3396" s="169"/>
      <c r="R3396" s="169">
        <v>2</v>
      </c>
    </row>
    <row r="3397" spans="1:18" ht="24">
      <c r="A3397" s="165">
        <v>683</v>
      </c>
      <c r="B3397" s="162" t="s">
        <v>6191</v>
      </c>
      <c r="C3397" s="166" t="s">
        <v>6192</v>
      </c>
      <c r="D3397" s="167">
        <v>128.24</v>
      </c>
      <c r="E3397" s="167">
        <v>34.119999999999997</v>
      </c>
      <c r="F3397" s="167">
        <v>93.44</v>
      </c>
      <c r="G3397" s="167">
        <v>0.68</v>
      </c>
      <c r="H3397" s="168">
        <v>878.47</v>
      </c>
      <c r="I3397" s="168">
        <v>392.36</v>
      </c>
      <c r="J3397" s="168">
        <v>478.29</v>
      </c>
      <c r="K3397" s="168">
        <v>7.82</v>
      </c>
      <c r="L3397" s="43">
        <v>6.8502027448533998</v>
      </c>
      <c r="M3397" s="43">
        <v>11.499413833528724</v>
      </c>
      <c r="N3397" s="43">
        <v>5.1186857876712333</v>
      </c>
      <c r="O3397" s="43">
        <v>11.5</v>
      </c>
      <c r="P3397" s="169"/>
      <c r="Q3397" s="169"/>
      <c r="R3397" s="169">
        <v>2</v>
      </c>
    </row>
    <row r="3398" spans="1:18" ht="24">
      <c r="A3398" s="165">
        <v>684</v>
      </c>
      <c r="B3398" s="162" t="s">
        <v>6193</v>
      </c>
      <c r="C3398" s="166" t="s">
        <v>6194</v>
      </c>
      <c r="D3398" s="167">
        <v>194.95</v>
      </c>
      <c r="E3398" s="167">
        <v>51.12</v>
      </c>
      <c r="F3398" s="167">
        <v>142.81</v>
      </c>
      <c r="G3398" s="167">
        <v>1.02</v>
      </c>
      <c r="H3398" s="168">
        <v>1329.37</v>
      </c>
      <c r="I3398" s="168">
        <v>587.91</v>
      </c>
      <c r="J3398" s="168">
        <v>729.73</v>
      </c>
      <c r="K3398" s="168">
        <v>11.73</v>
      </c>
      <c r="L3398" s="43">
        <v>6.8190305206463195</v>
      </c>
      <c r="M3398" s="43">
        <v>11.500586854460094</v>
      </c>
      <c r="N3398" s="43">
        <v>5.1097962327568096</v>
      </c>
      <c r="O3398" s="43">
        <v>11.5</v>
      </c>
      <c r="P3398" s="169"/>
      <c r="Q3398" s="169"/>
      <c r="R3398" s="169">
        <v>2</v>
      </c>
    </row>
    <row r="3399" spans="1:18" ht="24">
      <c r="A3399" s="165">
        <v>685</v>
      </c>
      <c r="B3399" s="162" t="s">
        <v>6195</v>
      </c>
      <c r="C3399" s="166" t="s">
        <v>6196</v>
      </c>
      <c r="D3399" s="167">
        <v>150.5</v>
      </c>
      <c r="E3399" s="167">
        <v>18.760000000000002</v>
      </c>
      <c r="F3399" s="167">
        <v>61.73</v>
      </c>
      <c r="G3399" s="167">
        <v>70.010000000000005</v>
      </c>
      <c r="H3399" s="168">
        <v>767.34</v>
      </c>
      <c r="I3399" s="168">
        <v>215.73</v>
      </c>
      <c r="J3399" s="168">
        <v>315.95999999999998</v>
      </c>
      <c r="K3399" s="168">
        <v>235.65</v>
      </c>
      <c r="L3399" s="43">
        <v>5.0986046511627912</v>
      </c>
      <c r="M3399" s="43">
        <v>11.499466950959487</v>
      </c>
      <c r="N3399" s="43">
        <v>5.1184189211080513</v>
      </c>
      <c r="O3399" s="43">
        <v>3.365947721754035</v>
      </c>
      <c r="P3399" s="169"/>
      <c r="Q3399" s="169"/>
      <c r="R3399" s="169">
        <v>2</v>
      </c>
    </row>
    <row r="3400" spans="1:18" ht="24">
      <c r="A3400" s="165">
        <v>686</v>
      </c>
      <c r="B3400" s="162" t="s">
        <v>6197</v>
      </c>
      <c r="C3400" s="166" t="s">
        <v>6198</v>
      </c>
      <c r="D3400" s="167">
        <v>229.51</v>
      </c>
      <c r="E3400" s="167">
        <v>21.28</v>
      </c>
      <c r="F3400" s="167">
        <v>68.540000000000006</v>
      </c>
      <c r="G3400" s="167">
        <v>139.69</v>
      </c>
      <c r="H3400" s="168">
        <v>1062.9100000000001</v>
      </c>
      <c r="I3400" s="168">
        <v>244.75</v>
      </c>
      <c r="J3400" s="168">
        <v>350.64</v>
      </c>
      <c r="K3400" s="168">
        <v>467.52</v>
      </c>
      <c r="L3400" s="43">
        <v>4.6312143261731524</v>
      </c>
      <c r="M3400" s="43">
        <v>11.501409774436089</v>
      </c>
      <c r="N3400" s="43">
        <v>5.1158447621826664</v>
      </c>
      <c r="O3400" s="43">
        <v>3.3468394301667979</v>
      </c>
      <c r="P3400" s="169"/>
      <c r="Q3400" s="169"/>
      <c r="R3400" s="169">
        <v>2</v>
      </c>
    </row>
    <row r="3401" spans="1:18" ht="36">
      <c r="A3401" s="165">
        <v>687</v>
      </c>
      <c r="B3401" s="162" t="s">
        <v>6199</v>
      </c>
      <c r="C3401" s="166" t="s">
        <v>6200</v>
      </c>
      <c r="D3401" s="167">
        <v>185.66</v>
      </c>
      <c r="E3401" s="167">
        <v>24.86</v>
      </c>
      <c r="F3401" s="167">
        <v>90.67</v>
      </c>
      <c r="G3401" s="167">
        <v>70.13</v>
      </c>
      <c r="H3401" s="168">
        <v>986.33</v>
      </c>
      <c r="I3401" s="168">
        <v>285.94</v>
      </c>
      <c r="J3401" s="168">
        <v>463.36</v>
      </c>
      <c r="K3401" s="168">
        <v>237.03</v>
      </c>
      <c r="L3401" s="43">
        <v>5.3125605946353556</v>
      </c>
      <c r="M3401" s="43">
        <v>11.502011263073211</v>
      </c>
      <c r="N3401" s="43">
        <v>5.1104003529282016</v>
      </c>
      <c r="O3401" s="43">
        <v>3.3798659632111794</v>
      </c>
      <c r="P3401" s="169"/>
      <c r="Q3401" s="169"/>
      <c r="R3401" s="169">
        <v>2</v>
      </c>
    </row>
    <row r="3402" spans="1:18" ht="24">
      <c r="A3402" s="165">
        <v>688</v>
      </c>
      <c r="B3402" s="162" t="s">
        <v>6201</v>
      </c>
      <c r="C3402" s="166" t="s">
        <v>6202</v>
      </c>
      <c r="D3402" s="167">
        <v>161.74</v>
      </c>
      <c r="E3402" s="167">
        <v>34.630000000000003</v>
      </c>
      <c r="F3402" s="167">
        <v>126.42</v>
      </c>
      <c r="G3402" s="167">
        <v>0.69</v>
      </c>
      <c r="H3402" s="168">
        <v>1051.6500000000001</v>
      </c>
      <c r="I3402" s="168">
        <v>398.27</v>
      </c>
      <c r="J3402" s="168">
        <v>645.44000000000005</v>
      </c>
      <c r="K3402" s="168">
        <v>7.94</v>
      </c>
      <c r="L3402" s="43">
        <v>6.5021021392358112</v>
      </c>
      <c r="M3402" s="43">
        <v>11.500721917412646</v>
      </c>
      <c r="N3402" s="43">
        <v>5.1055212782787533</v>
      </c>
      <c r="O3402" s="43">
        <v>11.5</v>
      </c>
      <c r="P3402" s="169"/>
      <c r="Q3402" s="169"/>
      <c r="R3402" s="169">
        <v>2</v>
      </c>
    </row>
    <row r="3403" spans="1:18" ht="24">
      <c r="A3403" s="165">
        <v>689</v>
      </c>
      <c r="B3403" s="162" t="s">
        <v>6203</v>
      </c>
      <c r="C3403" s="166" t="s">
        <v>6204</v>
      </c>
      <c r="D3403" s="167">
        <v>169.33</v>
      </c>
      <c r="E3403" s="167">
        <v>37.07</v>
      </c>
      <c r="F3403" s="167">
        <v>131.52000000000001</v>
      </c>
      <c r="G3403" s="167">
        <v>0.74</v>
      </c>
      <c r="H3403" s="168">
        <v>1106.31</v>
      </c>
      <c r="I3403" s="168">
        <v>426.35</v>
      </c>
      <c r="J3403" s="168">
        <v>671.45</v>
      </c>
      <c r="K3403" s="168">
        <v>8.51</v>
      </c>
      <c r="L3403" s="43">
        <v>6.5334553829799793</v>
      </c>
      <c r="M3403" s="43">
        <v>11.501213919611546</v>
      </c>
      <c r="N3403" s="43">
        <v>5.1053071776155718</v>
      </c>
      <c r="O3403" s="43">
        <v>11.5</v>
      </c>
      <c r="P3403" s="169"/>
      <c r="Q3403" s="169"/>
      <c r="R3403" s="169">
        <v>2</v>
      </c>
    </row>
    <row r="3404" spans="1:18" ht="36">
      <c r="A3404" s="165">
        <v>690</v>
      </c>
      <c r="B3404" s="162" t="s">
        <v>6205</v>
      </c>
      <c r="C3404" s="166" t="s">
        <v>6206</v>
      </c>
      <c r="D3404" s="167">
        <v>161.85</v>
      </c>
      <c r="E3404" s="167">
        <v>34.74</v>
      </c>
      <c r="F3404" s="167">
        <v>126.42</v>
      </c>
      <c r="G3404" s="167">
        <v>0.69</v>
      </c>
      <c r="H3404" s="168">
        <v>1052.92</v>
      </c>
      <c r="I3404" s="168">
        <v>399.54</v>
      </c>
      <c r="J3404" s="168">
        <v>645.44000000000005</v>
      </c>
      <c r="K3404" s="168">
        <v>7.94</v>
      </c>
      <c r="L3404" s="43">
        <v>6.5055298115539086</v>
      </c>
      <c r="M3404" s="43">
        <v>11.500863557858377</v>
      </c>
      <c r="N3404" s="43">
        <v>5.1055212782787533</v>
      </c>
      <c r="O3404" s="43">
        <v>11.5</v>
      </c>
      <c r="P3404" s="169"/>
      <c r="Q3404" s="169"/>
      <c r="R3404" s="169">
        <v>2</v>
      </c>
    </row>
    <row r="3405" spans="1:18" ht="15.75" customHeight="1">
      <c r="A3405" s="628" t="s">
        <v>6207</v>
      </c>
      <c r="B3405" s="629"/>
      <c r="C3405" s="629"/>
      <c r="D3405" s="629"/>
      <c r="E3405" s="629"/>
      <c r="F3405" s="629"/>
      <c r="G3405" s="629"/>
      <c r="H3405" s="629"/>
      <c r="I3405" s="629"/>
      <c r="J3405" s="629"/>
      <c r="K3405" s="629"/>
      <c r="L3405" s="629"/>
      <c r="M3405" s="629"/>
      <c r="N3405" s="629"/>
      <c r="O3405" s="629"/>
      <c r="P3405" s="629"/>
      <c r="Q3405" s="629"/>
      <c r="R3405" s="629"/>
    </row>
    <row r="3406" spans="1:18" ht="24">
      <c r="A3406" s="165">
        <v>691</v>
      </c>
      <c r="B3406" s="162" t="s">
        <v>6208</v>
      </c>
      <c r="C3406" s="166" t="s">
        <v>6209</v>
      </c>
      <c r="D3406" s="167">
        <v>85.74</v>
      </c>
      <c r="E3406" s="167">
        <v>18.54</v>
      </c>
      <c r="F3406" s="167">
        <v>66.83</v>
      </c>
      <c r="G3406" s="167">
        <v>0.37</v>
      </c>
      <c r="H3406" s="168">
        <v>559.41</v>
      </c>
      <c r="I3406" s="168">
        <v>213.18</v>
      </c>
      <c r="J3406" s="168">
        <v>341.97</v>
      </c>
      <c r="K3406" s="168">
        <v>4.26</v>
      </c>
      <c r="L3406" s="43">
        <v>6.5244926522043389</v>
      </c>
      <c r="M3406" s="43">
        <v>11.498381877022654</v>
      </c>
      <c r="N3406" s="43">
        <v>5.1170133173724377</v>
      </c>
      <c r="O3406" s="43">
        <v>11.5</v>
      </c>
      <c r="P3406" s="169"/>
      <c r="Q3406" s="169"/>
      <c r="R3406" s="169">
        <v>3</v>
      </c>
    </row>
    <row r="3407" spans="1:18" ht="24">
      <c r="A3407" s="165">
        <v>692</v>
      </c>
      <c r="B3407" s="162" t="s">
        <v>6210</v>
      </c>
      <c r="C3407" s="166" t="s">
        <v>6211</v>
      </c>
      <c r="D3407" s="167">
        <v>95.77</v>
      </c>
      <c r="E3407" s="167">
        <v>20.65</v>
      </c>
      <c r="F3407" s="167">
        <v>74.709999999999994</v>
      </c>
      <c r="G3407" s="167">
        <v>0.41</v>
      </c>
      <c r="H3407" s="168">
        <v>625.07000000000005</v>
      </c>
      <c r="I3407" s="168">
        <v>237.43</v>
      </c>
      <c r="J3407" s="168">
        <v>382.92</v>
      </c>
      <c r="K3407" s="168">
        <v>4.72</v>
      </c>
      <c r="L3407" s="43">
        <v>6.5267829174062868</v>
      </c>
      <c r="M3407" s="43">
        <v>11.497820823244552</v>
      </c>
      <c r="N3407" s="43">
        <v>5.1254182840315892</v>
      </c>
      <c r="O3407" s="43">
        <v>11.5</v>
      </c>
      <c r="P3407" s="169"/>
      <c r="Q3407" s="169"/>
      <c r="R3407" s="169">
        <v>3</v>
      </c>
    </row>
    <row r="3408" spans="1:18" ht="24">
      <c r="A3408" s="165">
        <v>693</v>
      </c>
      <c r="B3408" s="162" t="s">
        <v>6212</v>
      </c>
      <c r="C3408" s="166" t="s">
        <v>6213</v>
      </c>
      <c r="D3408" s="167">
        <v>125.61</v>
      </c>
      <c r="E3408" s="167">
        <v>26.53</v>
      </c>
      <c r="F3408" s="167">
        <v>98.55</v>
      </c>
      <c r="G3408" s="167">
        <v>0.53</v>
      </c>
      <c r="H3408" s="168">
        <v>815.48</v>
      </c>
      <c r="I3408" s="168">
        <v>305.08</v>
      </c>
      <c r="J3408" s="168">
        <v>504.3</v>
      </c>
      <c r="K3408" s="168">
        <v>6.1</v>
      </c>
      <c r="L3408" s="43">
        <v>6.4921582676538492</v>
      </c>
      <c r="M3408" s="43">
        <v>11.499434602336976</v>
      </c>
      <c r="N3408" s="43">
        <v>5.1171993911719937</v>
      </c>
      <c r="O3408" s="43">
        <v>11.5</v>
      </c>
      <c r="P3408" s="169"/>
      <c r="Q3408" s="169"/>
      <c r="R3408" s="169">
        <v>3</v>
      </c>
    </row>
    <row r="3409" spans="1:18" ht="24">
      <c r="A3409" s="165">
        <v>694</v>
      </c>
      <c r="B3409" s="162" t="s">
        <v>6214</v>
      </c>
      <c r="C3409" s="166" t="s">
        <v>6215</v>
      </c>
      <c r="D3409" s="167">
        <v>134.12</v>
      </c>
      <c r="E3409" s="167">
        <v>26.53</v>
      </c>
      <c r="F3409" s="167">
        <v>107.06</v>
      </c>
      <c r="G3409" s="167">
        <v>0.53</v>
      </c>
      <c r="H3409" s="168">
        <v>858.83</v>
      </c>
      <c r="I3409" s="168">
        <v>305.08</v>
      </c>
      <c r="J3409" s="168">
        <v>547.65</v>
      </c>
      <c r="K3409" s="168">
        <v>6.1</v>
      </c>
      <c r="L3409" s="43">
        <v>6.4034446764091859</v>
      </c>
      <c r="M3409" s="43">
        <v>11.499434602336976</v>
      </c>
      <c r="N3409" s="43">
        <v>5.1153558752101622</v>
      </c>
      <c r="O3409" s="43">
        <v>11.5</v>
      </c>
      <c r="P3409" s="169"/>
      <c r="Q3409" s="169"/>
      <c r="R3409" s="169">
        <v>3</v>
      </c>
    </row>
    <row r="3410" spans="1:18" ht="24">
      <c r="A3410" s="165">
        <v>695</v>
      </c>
      <c r="B3410" s="162" t="s">
        <v>6216</v>
      </c>
      <c r="C3410" s="166" t="s">
        <v>6217</v>
      </c>
      <c r="D3410" s="167">
        <v>65.16</v>
      </c>
      <c r="E3410" s="167">
        <v>14.43</v>
      </c>
      <c r="F3410" s="167">
        <v>50.44</v>
      </c>
      <c r="G3410" s="167">
        <v>0.28999999999999998</v>
      </c>
      <c r="H3410" s="168">
        <v>426.99</v>
      </c>
      <c r="I3410" s="168">
        <v>165.95</v>
      </c>
      <c r="J3410" s="168">
        <v>257.7</v>
      </c>
      <c r="K3410" s="168">
        <v>3.34</v>
      </c>
      <c r="L3410" s="43">
        <v>6.5529465930018418</v>
      </c>
      <c r="M3410" s="43">
        <v>11.500346500346501</v>
      </c>
      <c r="N3410" s="43">
        <v>5.1090404440919901</v>
      </c>
      <c r="O3410" s="43">
        <v>11.5</v>
      </c>
      <c r="P3410" s="169"/>
      <c r="Q3410" s="169"/>
      <c r="R3410" s="169">
        <v>3</v>
      </c>
    </row>
    <row r="3411" spans="1:18" ht="24">
      <c r="A3411" s="165">
        <v>696</v>
      </c>
      <c r="B3411" s="162" t="s">
        <v>6218</v>
      </c>
      <c r="C3411" s="166" t="s">
        <v>6219</v>
      </c>
      <c r="D3411" s="167">
        <v>70.72</v>
      </c>
      <c r="E3411" s="167">
        <v>16.54</v>
      </c>
      <c r="F3411" s="167">
        <v>53.85</v>
      </c>
      <c r="G3411" s="167">
        <v>0.33</v>
      </c>
      <c r="H3411" s="168">
        <v>469.04</v>
      </c>
      <c r="I3411" s="168">
        <v>190.2</v>
      </c>
      <c r="J3411" s="168">
        <v>275.04000000000002</v>
      </c>
      <c r="K3411" s="168">
        <v>3.8</v>
      </c>
      <c r="L3411" s="43">
        <v>6.632352941176471</v>
      </c>
      <c r="M3411" s="43">
        <v>11.499395405078598</v>
      </c>
      <c r="N3411" s="43">
        <v>5.1075208913649028</v>
      </c>
      <c r="O3411" s="43">
        <v>11.5</v>
      </c>
      <c r="P3411" s="169"/>
      <c r="Q3411" s="169"/>
      <c r="R3411" s="169">
        <v>3</v>
      </c>
    </row>
    <row r="3412" spans="1:18" ht="24">
      <c r="A3412" s="165">
        <v>697</v>
      </c>
      <c r="B3412" s="162" t="s">
        <v>6220</v>
      </c>
      <c r="C3412" s="166" t="s">
        <v>6221</v>
      </c>
      <c r="D3412" s="167">
        <v>755.88</v>
      </c>
      <c r="E3412" s="167">
        <v>342.99</v>
      </c>
      <c r="F3412" s="167">
        <v>406.03</v>
      </c>
      <c r="G3412" s="167">
        <v>6.86</v>
      </c>
      <c r="H3412" s="168">
        <v>6115.94</v>
      </c>
      <c r="I3412" s="168">
        <v>3944.39</v>
      </c>
      <c r="J3412" s="168">
        <v>2092.66</v>
      </c>
      <c r="K3412" s="168">
        <v>78.89</v>
      </c>
      <c r="L3412" s="43">
        <v>8.0911520347145043</v>
      </c>
      <c r="M3412" s="43">
        <v>11.50001457768448</v>
      </c>
      <c r="N3412" s="43">
        <v>5.1539541413196073</v>
      </c>
      <c r="O3412" s="43">
        <v>11.5</v>
      </c>
      <c r="P3412" s="169"/>
      <c r="Q3412" s="169"/>
      <c r="R3412" s="169">
        <v>3</v>
      </c>
    </row>
    <row r="3413" spans="1:18" ht="12.75" customHeight="1">
      <c r="A3413" s="628" t="s">
        <v>6222</v>
      </c>
      <c r="B3413" s="629"/>
      <c r="C3413" s="629"/>
      <c r="D3413" s="629"/>
      <c r="E3413" s="629"/>
      <c r="F3413" s="629"/>
      <c r="G3413" s="629"/>
      <c r="H3413" s="629"/>
      <c r="I3413" s="629"/>
      <c r="J3413" s="629"/>
      <c r="K3413" s="629"/>
      <c r="L3413" s="629"/>
      <c r="M3413" s="629"/>
      <c r="N3413" s="629"/>
      <c r="O3413" s="629"/>
      <c r="P3413" s="629"/>
      <c r="Q3413" s="629"/>
      <c r="R3413" s="629"/>
    </row>
    <row r="3414" spans="1:18" ht="24">
      <c r="A3414" s="165">
        <v>698</v>
      </c>
      <c r="B3414" s="162" t="s">
        <v>6223</v>
      </c>
      <c r="C3414" s="166" t="s">
        <v>6224</v>
      </c>
      <c r="D3414" s="167">
        <v>127.4</v>
      </c>
      <c r="E3414" s="167">
        <v>17.04</v>
      </c>
      <c r="F3414" s="167">
        <v>110.02</v>
      </c>
      <c r="G3414" s="167">
        <v>0.34</v>
      </c>
      <c r="H3414" s="168">
        <v>761.04</v>
      </c>
      <c r="I3414" s="168">
        <v>195.96</v>
      </c>
      <c r="J3414" s="168">
        <v>561.16999999999996</v>
      </c>
      <c r="K3414" s="168">
        <v>3.91</v>
      </c>
      <c r="L3414" s="43">
        <v>5.9736263736263728</v>
      </c>
      <c r="M3414" s="43">
        <v>11.500000000000002</v>
      </c>
      <c r="N3414" s="43">
        <v>5.1006180694419196</v>
      </c>
      <c r="O3414" s="43">
        <v>11.5</v>
      </c>
      <c r="P3414" s="169"/>
      <c r="Q3414" s="169"/>
      <c r="R3414" s="169">
        <v>4</v>
      </c>
    </row>
    <row r="3415" spans="1:18" ht="24">
      <c r="A3415" s="165">
        <v>699</v>
      </c>
      <c r="B3415" s="162" t="s">
        <v>6225</v>
      </c>
      <c r="C3415" s="166" t="s">
        <v>6226</v>
      </c>
      <c r="D3415" s="167">
        <v>59.37</v>
      </c>
      <c r="E3415" s="167">
        <v>5.1100000000000003</v>
      </c>
      <c r="F3415" s="167">
        <v>40.229999999999997</v>
      </c>
      <c r="G3415" s="167">
        <v>14.03</v>
      </c>
      <c r="H3415" s="168">
        <v>311.88</v>
      </c>
      <c r="I3415" s="168">
        <v>58.79</v>
      </c>
      <c r="J3415" s="168">
        <v>205.68</v>
      </c>
      <c r="K3415" s="168">
        <v>47.41</v>
      </c>
      <c r="L3415" s="43">
        <v>5.2531581606872155</v>
      </c>
      <c r="M3415" s="43">
        <v>11.504892367906066</v>
      </c>
      <c r="N3415" s="43">
        <v>5.1126025354213276</v>
      </c>
      <c r="O3415" s="43">
        <v>3.3791874554526014</v>
      </c>
      <c r="P3415" s="169"/>
      <c r="Q3415" s="169"/>
      <c r="R3415" s="169">
        <v>4</v>
      </c>
    </row>
    <row r="3416" spans="1:18" ht="24">
      <c r="A3416" s="165">
        <v>700</v>
      </c>
      <c r="B3416" s="162" t="s">
        <v>6227</v>
      </c>
      <c r="C3416" s="166" t="s">
        <v>6228</v>
      </c>
      <c r="D3416" s="167">
        <v>77.010000000000005</v>
      </c>
      <c r="E3416" s="167">
        <v>7.38</v>
      </c>
      <c r="F3416" s="167">
        <v>55.55</v>
      </c>
      <c r="G3416" s="167">
        <v>14.08</v>
      </c>
      <c r="H3416" s="168">
        <v>416.62</v>
      </c>
      <c r="I3416" s="168">
        <v>84.92</v>
      </c>
      <c r="J3416" s="168">
        <v>283.70999999999998</v>
      </c>
      <c r="K3416" s="168">
        <v>47.99</v>
      </c>
      <c r="L3416" s="43">
        <v>5.4099467601610174</v>
      </c>
      <c r="M3416" s="43">
        <v>11.5021951219512</v>
      </c>
      <c r="N3416" s="43">
        <v>5.1072907290729068</v>
      </c>
      <c r="O3416" s="43">
        <v>3.4083806818181821</v>
      </c>
      <c r="P3416" s="169"/>
      <c r="Q3416" s="169"/>
      <c r="R3416" s="169">
        <v>4</v>
      </c>
    </row>
    <row r="3417" spans="1:18" ht="24">
      <c r="A3417" s="165">
        <v>701</v>
      </c>
      <c r="B3417" s="162" t="s">
        <v>6229</v>
      </c>
      <c r="C3417" s="166" t="s">
        <v>6230</v>
      </c>
      <c r="D3417" s="167">
        <v>66.19</v>
      </c>
      <c r="E3417" s="167">
        <v>7.84</v>
      </c>
      <c r="F3417" s="167">
        <v>44.26</v>
      </c>
      <c r="G3417" s="167">
        <v>14.09</v>
      </c>
      <c r="H3417" s="168">
        <v>363.67</v>
      </c>
      <c r="I3417" s="168">
        <v>90.14</v>
      </c>
      <c r="J3417" s="168">
        <v>225.43</v>
      </c>
      <c r="K3417" s="168">
        <v>48.1</v>
      </c>
      <c r="L3417" s="43">
        <v>5.4943344916150476</v>
      </c>
      <c r="M3417" s="43">
        <v>11.497448979591837</v>
      </c>
      <c r="N3417" s="43">
        <v>5.0933122458201536</v>
      </c>
      <c r="O3417" s="43">
        <v>3.413768630234209</v>
      </c>
      <c r="P3417" s="169"/>
      <c r="Q3417" s="169"/>
      <c r="R3417" s="169">
        <v>4</v>
      </c>
    </row>
    <row r="3418" spans="1:18" ht="24">
      <c r="A3418" s="165">
        <v>702</v>
      </c>
      <c r="B3418" s="162" t="s">
        <v>6231</v>
      </c>
      <c r="C3418" s="166" t="s">
        <v>6232</v>
      </c>
      <c r="D3418" s="167">
        <v>52.96</v>
      </c>
      <c r="E3418" s="167">
        <v>4.88</v>
      </c>
      <c r="F3418" s="167">
        <v>34.049999999999997</v>
      </c>
      <c r="G3418" s="167">
        <v>14.03</v>
      </c>
      <c r="H3418" s="168">
        <v>277</v>
      </c>
      <c r="I3418" s="168">
        <v>56.18</v>
      </c>
      <c r="J3418" s="168">
        <v>173.41</v>
      </c>
      <c r="K3418" s="168">
        <v>47.41</v>
      </c>
      <c r="L3418" s="43">
        <v>5.2303625377643508</v>
      </c>
      <c r="M3418" s="43">
        <v>11.5021951219512</v>
      </c>
      <c r="N3418" s="43">
        <v>5.0928046989720999</v>
      </c>
      <c r="O3418" s="43">
        <v>3.3791874554526014</v>
      </c>
      <c r="P3418" s="169"/>
      <c r="Q3418" s="169"/>
      <c r="R3418" s="169">
        <v>4</v>
      </c>
    </row>
    <row r="3419" spans="1:18" ht="24">
      <c r="A3419" s="165">
        <v>703</v>
      </c>
      <c r="B3419" s="162" t="s">
        <v>6233</v>
      </c>
      <c r="C3419" s="166" t="s">
        <v>6234</v>
      </c>
      <c r="D3419" s="167">
        <v>50.4</v>
      </c>
      <c r="E3419" s="167">
        <v>6.02</v>
      </c>
      <c r="F3419" s="167">
        <v>44.26</v>
      </c>
      <c r="G3419" s="167">
        <v>0.12</v>
      </c>
      <c r="H3419" s="168">
        <v>296.05</v>
      </c>
      <c r="I3419" s="168">
        <v>69.239999999999995</v>
      </c>
      <c r="J3419" s="168">
        <v>225.43</v>
      </c>
      <c r="K3419" s="168">
        <v>1.38</v>
      </c>
      <c r="L3419" s="43">
        <v>5.8740079365079367</v>
      </c>
      <c r="M3419" s="43">
        <v>11.501661129568106</v>
      </c>
      <c r="N3419" s="43">
        <v>5.0933122458201536</v>
      </c>
      <c r="O3419" s="43">
        <v>11.5</v>
      </c>
      <c r="P3419" s="169"/>
      <c r="Q3419" s="169"/>
      <c r="R3419" s="169">
        <v>4</v>
      </c>
    </row>
    <row r="3420" spans="1:18" ht="12.75" customHeight="1">
      <c r="A3420" s="628" t="s">
        <v>6235</v>
      </c>
      <c r="B3420" s="629"/>
      <c r="C3420" s="629"/>
      <c r="D3420" s="629"/>
      <c r="E3420" s="629"/>
      <c r="F3420" s="629"/>
      <c r="G3420" s="629"/>
      <c r="H3420" s="629"/>
      <c r="I3420" s="629"/>
      <c r="J3420" s="629"/>
      <c r="K3420" s="629"/>
      <c r="L3420" s="629"/>
      <c r="M3420" s="629"/>
      <c r="N3420" s="629"/>
      <c r="O3420" s="629"/>
      <c r="P3420" s="629"/>
      <c r="Q3420" s="629"/>
      <c r="R3420" s="629"/>
    </row>
    <row r="3421" spans="1:18" ht="24">
      <c r="A3421" s="165">
        <v>704</v>
      </c>
      <c r="B3421" s="162" t="s">
        <v>6236</v>
      </c>
      <c r="C3421" s="166" t="s">
        <v>6237</v>
      </c>
      <c r="D3421" s="167">
        <v>54.27</v>
      </c>
      <c r="E3421" s="167">
        <v>2.63</v>
      </c>
      <c r="F3421" s="167">
        <v>51.59</v>
      </c>
      <c r="G3421" s="167">
        <v>0.05</v>
      </c>
      <c r="H3421" s="168">
        <v>308.2</v>
      </c>
      <c r="I3421" s="168">
        <v>30.28</v>
      </c>
      <c r="J3421" s="168">
        <v>277.33999999999997</v>
      </c>
      <c r="K3421" s="168">
        <v>0.57999999999999996</v>
      </c>
      <c r="L3421" s="43">
        <v>5.6790123456790118</v>
      </c>
      <c r="M3421" s="43">
        <v>11.503307984790901</v>
      </c>
      <c r="N3421" s="43">
        <v>5.3758480325644493</v>
      </c>
      <c r="O3421" s="43">
        <v>11.5</v>
      </c>
      <c r="P3421" s="169"/>
      <c r="Q3421" s="169"/>
      <c r="R3421" s="169">
        <v>5</v>
      </c>
    </row>
    <row r="3422" spans="1:18" ht="24">
      <c r="A3422" s="165">
        <v>705</v>
      </c>
      <c r="B3422" s="162" t="s">
        <v>6238</v>
      </c>
      <c r="C3422" s="166" t="s">
        <v>6239</v>
      </c>
      <c r="D3422" s="167">
        <v>101.66</v>
      </c>
      <c r="E3422" s="167">
        <v>13.38</v>
      </c>
      <c r="F3422" s="167">
        <v>88.01</v>
      </c>
      <c r="G3422" s="167">
        <v>0.27</v>
      </c>
      <c r="H3422" s="168">
        <v>630.14</v>
      </c>
      <c r="I3422" s="168">
        <v>153.91999999999999</v>
      </c>
      <c r="J3422" s="168">
        <v>473.11</v>
      </c>
      <c r="K3422" s="168">
        <v>3.11</v>
      </c>
      <c r="L3422" s="43">
        <v>6.1985048199881962</v>
      </c>
      <c r="M3422" s="43">
        <v>11.503736920777278</v>
      </c>
      <c r="N3422" s="43">
        <v>5.3756391319168273</v>
      </c>
      <c r="O3422" s="43">
        <v>11.5</v>
      </c>
      <c r="P3422" s="169"/>
      <c r="Q3422" s="169"/>
      <c r="R3422" s="169">
        <v>5</v>
      </c>
    </row>
    <row r="3423" spans="1:18" ht="24">
      <c r="A3423" s="165">
        <v>706</v>
      </c>
      <c r="B3423" s="162" t="s">
        <v>6240</v>
      </c>
      <c r="C3423" s="166" t="s">
        <v>6241</v>
      </c>
      <c r="D3423" s="167">
        <v>203.33</v>
      </c>
      <c r="E3423" s="167">
        <v>26.77</v>
      </c>
      <c r="F3423" s="167">
        <v>176.02</v>
      </c>
      <c r="G3423" s="167">
        <v>0.54</v>
      </c>
      <c r="H3423" s="168">
        <v>1260.26</v>
      </c>
      <c r="I3423" s="168">
        <v>307.83</v>
      </c>
      <c r="J3423" s="168">
        <v>946.22</v>
      </c>
      <c r="K3423" s="168">
        <v>6.21</v>
      </c>
      <c r="L3423" s="43">
        <v>6.1981016082230855</v>
      </c>
      <c r="M3423" s="43">
        <v>11.49906611878969</v>
      </c>
      <c r="N3423" s="43">
        <v>5.3756391319168273</v>
      </c>
      <c r="O3423" s="43">
        <v>11.5</v>
      </c>
      <c r="P3423" s="169"/>
      <c r="Q3423" s="169"/>
      <c r="R3423" s="169">
        <v>5</v>
      </c>
    </row>
    <row r="3424" spans="1:18" ht="24">
      <c r="A3424" s="165">
        <v>707</v>
      </c>
      <c r="B3424" s="162" t="s">
        <v>6242</v>
      </c>
      <c r="C3424" s="166" t="s">
        <v>6243</v>
      </c>
      <c r="D3424" s="167">
        <v>33.42</v>
      </c>
      <c r="E3424" s="167">
        <v>4.5</v>
      </c>
      <c r="F3424" s="167">
        <v>28.83</v>
      </c>
      <c r="G3424" s="167">
        <v>0.09</v>
      </c>
      <c r="H3424" s="168">
        <v>207.75</v>
      </c>
      <c r="I3424" s="168">
        <v>51.73</v>
      </c>
      <c r="J3424" s="168">
        <v>154.97999999999999</v>
      </c>
      <c r="K3424" s="168">
        <v>1.04</v>
      </c>
      <c r="L3424" s="43">
        <v>6.2163375224416511</v>
      </c>
      <c r="M3424" s="43">
        <v>11.495555555555555</v>
      </c>
      <c r="N3424" s="43">
        <v>5.3756503642039544</v>
      </c>
      <c r="O3424" s="43">
        <v>11.5</v>
      </c>
      <c r="P3424" s="169"/>
      <c r="Q3424" s="169"/>
      <c r="R3424" s="169">
        <v>5</v>
      </c>
    </row>
    <row r="3425" spans="1:18" ht="12.75" customHeight="1">
      <c r="A3425" s="628" t="s">
        <v>5201</v>
      </c>
      <c r="B3425" s="629"/>
      <c r="C3425" s="629"/>
      <c r="D3425" s="629"/>
      <c r="E3425" s="629"/>
      <c r="F3425" s="629"/>
      <c r="G3425" s="629"/>
      <c r="H3425" s="629"/>
      <c r="I3425" s="629"/>
      <c r="J3425" s="629"/>
      <c r="K3425" s="629"/>
      <c r="L3425" s="629"/>
      <c r="M3425" s="629"/>
      <c r="N3425" s="629"/>
      <c r="O3425" s="629"/>
      <c r="P3425" s="629"/>
      <c r="Q3425" s="629"/>
      <c r="R3425" s="629"/>
    </row>
    <row r="3426" spans="1:18" ht="24">
      <c r="A3426" s="165">
        <v>708</v>
      </c>
      <c r="B3426" s="162" t="s">
        <v>6244</v>
      </c>
      <c r="C3426" s="166" t="s">
        <v>6245</v>
      </c>
      <c r="D3426" s="167">
        <v>128.88</v>
      </c>
      <c r="E3426" s="167">
        <v>22.87</v>
      </c>
      <c r="F3426" s="167">
        <v>105.55</v>
      </c>
      <c r="G3426" s="167">
        <v>0.46</v>
      </c>
      <c r="H3426" s="168">
        <v>805.9</v>
      </c>
      <c r="I3426" s="168">
        <v>263.05</v>
      </c>
      <c r="J3426" s="168">
        <v>537.55999999999995</v>
      </c>
      <c r="K3426" s="168">
        <v>5.29</v>
      </c>
      <c r="L3426" s="43">
        <v>6.2531036623215392</v>
      </c>
      <c r="M3426" s="43">
        <v>11.5019676432007</v>
      </c>
      <c r="N3426" s="43">
        <v>5.0929417337754614</v>
      </c>
      <c r="O3426" s="43">
        <v>11.5</v>
      </c>
      <c r="P3426" s="169"/>
      <c r="Q3426" s="169"/>
      <c r="R3426" s="169">
        <v>6</v>
      </c>
    </row>
    <row r="3427" spans="1:18" ht="24">
      <c r="A3427" s="165">
        <v>709</v>
      </c>
      <c r="B3427" s="162" t="s">
        <v>6246</v>
      </c>
      <c r="C3427" s="166" t="s">
        <v>6247</v>
      </c>
      <c r="D3427" s="167">
        <v>128.88</v>
      </c>
      <c r="E3427" s="167">
        <v>22.87</v>
      </c>
      <c r="F3427" s="167">
        <v>105.55</v>
      </c>
      <c r="G3427" s="167">
        <v>0.46</v>
      </c>
      <c r="H3427" s="168">
        <v>805.9</v>
      </c>
      <c r="I3427" s="168">
        <v>263.05</v>
      </c>
      <c r="J3427" s="168">
        <v>537.55999999999995</v>
      </c>
      <c r="K3427" s="168">
        <v>5.29</v>
      </c>
      <c r="L3427" s="43">
        <v>6.2531036623215392</v>
      </c>
      <c r="M3427" s="43">
        <v>11.5019676432007</v>
      </c>
      <c r="N3427" s="43">
        <v>5.0929417337754614</v>
      </c>
      <c r="O3427" s="43">
        <v>11.5</v>
      </c>
      <c r="P3427" s="169"/>
      <c r="Q3427" s="169"/>
      <c r="R3427" s="169">
        <v>6</v>
      </c>
    </row>
    <row r="3428" spans="1:18" ht="36">
      <c r="A3428" s="165">
        <v>710</v>
      </c>
      <c r="B3428" s="162" t="s">
        <v>6248</v>
      </c>
      <c r="C3428" s="166" t="s">
        <v>6249</v>
      </c>
      <c r="D3428" s="167">
        <v>174.19</v>
      </c>
      <c r="E3428" s="167">
        <v>47.26</v>
      </c>
      <c r="F3428" s="167">
        <v>125.98</v>
      </c>
      <c r="G3428" s="167">
        <v>0.95</v>
      </c>
      <c r="H3428" s="168">
        <v>1196.0899999999999</v>
      </c>
      <c r="I3428" s="168">
        <v>543.54999999999995</v>
      </c>
      <c r="J3428" s="168">
        <v>641.61</v>
      </c>
      <c r="K3428" s="168">
        <v>10.93</v>
      </c>
      <c r="L3428" s="43">
        <v>6.8665824674206322</v>
      </c>
      <c r="M3428" s="43">
        <v>11.501269572577232</v>
      </c>
      <c r="N3428" s="43">
        <v>5.0929512621050961</v>
      </c>
      <c r="O3428" s="43">
        <v>11.5</v>
      </c>
      <c r="P3428" s="169"/>
      <c r="Q3428" s="169"/>
      <c r="R3428" s="169">
        <v>6</v>
      </c>
    </row>
    <row r="3429" spans="1:18" ht="12.75" customHeight="1">
      <c r="A3429" s="628" t="s">
        <v>6250</v>
      </c>
      <c r="B3429" s="629"/>
      <c r="C3429" s="629"/>
      <c r="D3429" s="629"/>
      <c r="E3429" s="629"/>
      <c r="F3429" s="629"/>
      <c r="G3429" s="629"/>
      <c r="H3429" s="629"/>
      <c r="I3429" s="629"/>
      <c r="J3429" s="629"/>
      <c r="K3429" s="629"/>
      <c r="L3429" s="629"/>
      <c r="M3429" s="629"/>
      <c r="N3429" s="629"/>
      <c r="O3429" s="629"/>
      <c r="P3429" s="629"/>
      <c r="Q3429" s="629"/>
      <c r="R3429" s="629"/>
    </row>
    <row r="3430" spans="1:18" ht="24">
      <c r="A3430" s="165">
        <v>711</v>
      </c>
      <c r="B3430" s="162" t="s">
        <v>6251</v>
      </c>
      <c r="C3430" s="166" t="s">
        <v>6252</v>
      </c>
      <c r="D3430" s="167">
        <v>38.5</v>
      </c>
      <c r="E3430" s="167">
        <v>6.03</v>
      </c>
      <c r="F3430" s="167">
        <v>32.35</v>
      </c>
      <c r="G3430" s="167">
        <v>0.12</v>
      </c>
      <c r="H3430" s="168">
        <v>235.51</v>
      </c>
      <c r="I3430" s="168">
        <v>69.39</v>
      </c>
      <c r="J3430" s="168">
        <v>164.74</v>
      </c>
      <c r="K3430" s="168">
        <v>1.38</v>
      </c>
      <c r="L3430" s="43">
        <v>6.1171428571428565</v>
      </c>
      <c r="M3430" s="43">
        <v>11.5021951219512</v>
      </c>
      <c r="N3430" s="43">
        <v>5.0924265842349303</v>
      </c>
      <c r="O3430" s="43">
        <v>11.5</v>
      </c>
      <c r="P3430" s="169"/>
      <c r="Q3430" s="169"/>
      <c r="R3430" s="169">
        <v>7</v>
      </c>
    </row>
    <row r="3431" spans="1:18" ht="24">
      <c r="A3431" s="165">
        <v>712</v>
      </c>
      <c r="B3431" s="162" t="s">
        <v>6253</v>
      </c>
      <c r="C3431" s="166" t="s">
        <v>6254</v>
      </c>
      <c r="D3431" s="167">
        <v>73.650000000000006</v>
      </c>
      <c r="E3431" s="167">
        <v>8.7799999999999994</v>
      </c>
      <c r="F3431" s="167">
        <v>64.69</v>
      </c>
      <c r="G3431" s="167">
        <v>0.18</v>
      </c>
      <c r="H3431" s="168">
        <v>432.48</v>
      </c>
      <c r="I3431" s="168">
        <v>100.93</v>
      </c>
      <c r="J3431" s="168">
        <v>329.48</v>
      </c>
      <c r="K3431" s="168">
        <v>2.0699999999999998</v>
      </c>
      <c r="L3431" s="43">
        <v>5.8720977596741344</v>
      </c>
      <c r="M3431" s="43">
        <v>11.495444191343966</v>
      </c>
      <c r="N3431" s="43">
        <v>5.0932137888390789</v>
      </c>
      <c r="O3431" s="43">
        <v>11.5</v>
      </c>
      <c r="P3431" s="169"/>
      <c r="Q3431" s="169"/>
      <c r="R3431" s="169">
        <v>7</v>
      </c>
    </row>
    <row r="3432" spans="1:18" ht="24">
      <c r="A3432" s="165">
        <v>713</v>
      </c>
      <c r="B3432" s="162" t="s">
        <v>6255</v>
      </c>
      <c r="C3432" s="166" t="s">
        <v>6256</v>
      </c>
      <c r="D3432" s="167">
        <v>176.51</v>
      </c>
      <c r="E3432" s="167">
        <v>19.2</v>
      </c>
      <c r="F3432" s="167">
        <v>143</v>
      </c>
      <c r="G3432" s="167">
        <v>14.31</v>
      </c>
      <c r="H3432" s="168">
        <v>999.72</v>
      </c>
      <c r="I3432" s="168">
        <v>220.78</v>
      </c>
      <c r="J3432" s="168">
        <v>728.31</v>
      </c>
      <c r="K3432" s="168">
        <v>50.63</v>
      </c>
      <c r="L3432" s="43">
        <v>5.6638150812985106</v>
      </c>
      <c r="M3432" s="43">
        <v>11.498958333333334</v>
      </c>
      <c r="N3432" s="43">
        <v>5.0930769230769224</v>
      </c>
      <c r="O3432" s="43">
        <v>3.5380852550663873</v>
      </c>
      <c r="P3432" s="169"/>
      <c r="Q3432" s="169"/>
      <c r="R3432" s="169">
        <v>7</v>
      </c>
    </row>
    <row r="3433" spans="1:18" ht="24">
      <c r="A3433" s="165">
        <v>714</v>
      </c>
      <c r="B3433" s="162" t="s">
        <v>6257</v>
      </c>
      <c r="C3433" s="166" t="s">
        <v>6258</v>
      </c>
      <c r="D3433" s="167">
        <v>112.61</v>
      </c>
      <c r="E3433" s="167">
        <v>11.63</v>
      </c>
      <c r="F3433" s="167">
        <v>86.82</v>
      </c>
      <c r="G3433" s="167">
        <v>14.16</v>
      </c>
      <c r="H3433" s="168">
        <v>624.83000000000004</v>
      </c>
      <c r="I3433" s="168">
        <v>133.72999999999999</v>
      </c>
      <c r="J3433" s="168">
        <v>442.19</v>
      </c>
      <c r="K3433" s="168">
        <v>48.91</v>
      </c>
      <c r="L3433" s="43">
        <v>5.5486191279637689</v>
      </c>
      <c r="M3433" s="43">
        <v>11.49871023215821</v>
      </c>
      <c r="N3433" s="43">
        <v>5.0931812946325739</v>
      </c>
      <c r="O3433" s="43">
        <v>3.4540960451977401</v>
      </c>
      <c r="P3433" s="169"/>
      <c r="Q3433" s="169"/>
      <c r="R3433" s="169">
        <v>7</v>
      </c>
    </row>
    <row r="3434" spans="1:18" ht="24">
      <c r="A3434" s="165">
        <v>715</v>
      </c>
      <c r="B3434" s="162" t="s">
        <v>6259</v>
      </c>
      <c r="C3434" s="166" t="s">
        <v>6260</v>
      </c>
      <c r="D3434" s="167">
        <v>984.31</v>
      </c>
      <c r="E3434" s="167">
        <v>23.8</v>
      </c>
      <c r="F3434" s="167">
        <v>148.86000000000001</v>
      </c>
      <c r="G3434" s="167">
        <v>811.65</v>
      </c>
      <c r="H3434" s="168">
        <v>4693.32</v>
      </c>
      <c r="I3434" s="168">
        <v>273.77</v>
      </c>
      <c r="J3434" s="168">
        <v>770.09</v>
      </c>
      <c r="K3434" s="168">
        <v>3649.46</v>
      </c>
      <c r="L3434" s="43">
        <v>4.7681319909378139</v>
      </c>
      <c r="M3434" s="43">
        <v>11.502941176470587</v>
      </c>
      <c r="N3434" s="43">
        <v>5.1732500335886069</v>
      </c>
      <c r="O3434" s="43">
        <v>4.4963469475759261</v>
      </c>
      <c r="P3434" s="169"/>
      <c r="Q3434" s="169"/>
      <c r="R3434" s="169">
        <v>7</v>
      </c>
    </row>
    <row r="3435" spans="1:18" ht="24">
      <c r="A3435" s="165">
        <v>716</v>
      </c>
      <c r="B3435" s="162" t="s">
        <v>6261</v>
      </c>
      <c r="C3435" s="166" t="s">
        <v>6262</v>
      </c>
      <c r="D3435" s="167">
        <v>277.99</v>
      </c>
      <c r="E3435" s="167">
        <v>22.93</v>
      </c>
      <c r="F3435" s="167">
        <v>137.76</v>
      </c>
      <c r="G3435" s="167">
        <v>117.3</v>
      </c>
      <c r="H3435" s="168">
        <v>1571.68</v>
      </c>
      <c r="I3435" s="168">
        <v>263.67</v>
      </c>
      <c r="J3435" s="168">
        <v>710.4</v>
      </c>
      <c r="K3435" s="168">
        <v>597.61</v>
      </c>
      <c r="L3435" s="43">
        <v>5.6537285513867408</v>
      </c>
      <c r="M3435" s="43">
        <v>11.498909725250764</v>
      </c>
      <c r="N3435" s="43">
        <v>5.1567944250871083</v>
      </c>
      <c r="O3435" s="43">
        <v>5.0947144075021313</v>
      </c>
      <c r="P3435" s="169"/>
      <c r="Q3435" s="169"/>
      <c r="R3435" s="169">
        <v>7</v>
      </c>
    </row>
    <row r="3436" spans="1:18" ht="12.75" customHeight="1">
      <c r="A3436" s="628" t="s">
        <v>6263</v>
      </c>
      <c r="B3436" s="629"/>
      <c r="C3436" s="629"/>
      <c r="D3436" s="629"/>
      <c r="E3436" s="629"/>
      <c r="F3436" s="629"/>
      <c r="G3436" s="629"/>
      <c r="H3436" s="629"/>
      <c r="I3436" s="629"/>
      <c r="J3436" s="629"/>
      <c r="K3436" s="629"/>
      <c r="L3436" s="629"/>
      <c r="M3436" s="629"/>
      <c r="N3436" s="629"/>
      <c r="O3436" s="629"/>
      <c r="P3436" s="629"/>
      <c r="Q3436" s="629"/>
      <c r="R3436" s="629"/>
    </row>
    <row r="3437" spans="1:18" ht="24">
      <c r="A3437" s="165">
        <v>717</v>
      </c>
      <c r="B3437" s="162" t="s">
        <v>6264</v>
      </c>
      <c r="C3437" s="166" t="s">
        <v>6265</v>
      </c>
      <c r="D3437" s="167">
        <v>251.88</v>
      </c>
      <c r="E3437" s="167">
        <v>28.92</v>
      </c>
      <c r="F3437" s="167">
        <v>222.38</v>
      </c>
      <c r="G3437" s="167">
        <v>0.57999999999999996</v>
      </c>
      <c r="H3437" s="168">
        <v>1472.64</v>
      </c>
      <c r="I3437" s="168">
        <v>332.56</v>
      </c>
      <c r="J3437" s="168">
        <v>1133.4100000000001</v>
      </c>
      <c r="K3437" s="168">
        <v>6.67</v>
      </c>
      <c r="L3437" s="43">
        <v>5.8465936160076231</v>
      </c>
      <c r="M3437" s="43">
        <v>11.499308437067773</v>
      </c>
      <c r="N3437" s="43">
        <v>5.0967263243097403</v>
      </c>
      <c r="O3437" s="43">
        <v>11.5</v>
      </c>
      <c r="P3437" s="169"/>
      <c r="Q3437" s="169"/>
      <c r="R3437" s="169">
        <v>8</v>
      </c>
    </row>
    <row r="3438" spans="1:18" ht="24">
      <c r="A3438" s="165">
        <v>718</v>
      </c>
      <c r="B3438" s="162" t="s">
        <v>6266</v>
      </c>
      <c r="C3438" s="166" t="s">
        <v>6267</v>
      </c>
      <c r="D3438" s="167">
        <v>52.49</v>
      </c>
      <c r="E3438" s="167">
        <v>13.39</v>
      </c>
      <c r="F3438" s="167">
        <v>24.9</v>
      </c>
      <c r="G3438" s="167">
        <v>14.2</v>
      </c>
      <c r="H3438" s="168">
        <v>330.98</v>
      </c>
      <c r="I3438" s="168">
        <v>153.96</v>
      </c>
      <c r="J3438" s="168">
        <v>127.65</v>
      </c>
      <c r="K3438" s="168">
        <v>49.37</v>
      </c>
      <c r="L3438" s="43">
        <v>6.305582015622023</v>
      </c>
      <c r="M3438" s="43">
        <v>11.498132935026138</v>
      </c>
      <c r="N3438" s="43">
        <v>5.1265060240963862</v>
      </c>
      <c r="O3438" s="43">
        <v>3.4767605633802816</v>
      </c>
      <c r="P3438" s="169"/>
      <c r="Q3438" s="169"/>
      <c r="R3438" s="169">
        <v>8</v>
      </c>
    </row>
    <row r="3439" spans="1:18" ht="24">
      <c r="A3439" s="165">
        <v>719</v>
      </c>
      <c r="B3439" s="162" t="s">
        <v>6268</v>
      </c>
      <c r="C3439" s="166" t="s">
        <v>6269</v>
      </c>
      <c r="D3439" s="167">
        <v>79.819999999999993</v>
      </c>
      <c r="E3439" s="167">
        <v>16.809999999999999</v>
      </c>
      <c r="F3439" s="167">
        <v>48.74</v>
      </c>
      <c r="G3439" s="167">
        <v>14.27</v>
      </c>
      <c r="H3439" s="168">
        <v>492.58</v>
      </c>
      <c r="I3439" s="168">
        <v>193.38</v>
      </c>
      <c r="J3439" s="168">
        <v>249.03</v>
      </c>
      <c r="K3439" s="168">
        <v>50.17</v>
      </c>
      <c r="L3439" s="43">
        <v>6.1711350538712102</v>
      </c>
      <c r="M3439" s="43">
        <v>11.503866745984533</v>
      </c>
      <c r="N3439" s="43">
        <v>5.1093557652851862</v>
      </c>
      <c r="O3439" s="43">
        <v>3.5157673440784865</v>
      </c>
      <c r="P3439" s="169"/>
      <c r="Q3439" s="169"/>
      <c r="R3439" s="169">
        <v>8</v>
      </c>
    </row>
    <row r="3440" spans="1:18" ht="24">
      <c r="A3440" s="165">
        <v>720</v>
      </c>
      <c r="B3440" s="162" t="s">
        <v>6270</v>
      </c>
      <c r="C3440" s="166" t="s">
        <v>6271</v>
      </c>
      <c r="D3440" s="167">
        <v>402.84</v>
      </c>
      <c r="E3440" s="167">
        <v>38.56</v>
      </c>
      <c r="F3440" s="167">
        <v>293.88</v>
      </c>
      <c r="G3440" s="167">
        <v>70.400000000000006</v>
      </c>
      <c r="H3440" s="168">
        <v>2181.12</v>
      </c>
      <c r="I3440" s="168">
        <v>443.41</v>
      </c>
      <c r="J3440" s="168">
        <v>1497.57</v>
      </c>
      <c r="K3440" s="168">
        <v>240.14</v>
      </c>
      <c r="L3440" s="43">
        <v>5.414358057789693</v>
      </c>
      <c r="M3440" s="43">
        <v>11.499221991701244</v>
      </c>
      <c r="N3440" s="43">
        <v>5.0958554512045735</v>
      </c>
      <c r="O3440" s="43">
        <v>3.4110795454545451</v>
      </c>
      <c r="P3440" s="169"/>
      <c r="Q3440" s="169"/>
      <c r="R3440" s="169">
        <v>8</v>
      </c>
    </row>
    <row r="3441" spans="1:18" ht="24">
      <c r="A3441" s="165">
        <v>721</v>
      </c>
      <c r="B3441" s="162" t="s">
        <v>6272</v>
      </c>
      <c r="C3441" s="166" t="s">
        <v>6273</v>
      </c>
      <c r="D3441" s="167">
        <v>9.98</v>
      </c>
      <c r="E3441" s="167">
        <v>3.11</v>
      </c>
      <c r="F3441" s="167">
        <v>6.81</v>
      </c>
      <c r="G3441" s="167">
        <v>0.06</v>
      </c>
      <c r="H3441" s="168">
        <v>71.09</v>
      </c>
      <c r="I3441" s="168">
        <v>35.72</v>
      </c>
      <c r="J3441" s="168">
        <v>34.68</v>
      </c>
      <c r="K3441" s="168">
        <v>0.69</v>
      </c>
      <c r="L3441" s="43">
        <v>7.123246492985972</v>
      </c>
      <c r="M3441" s="43">
        <v>11.5</v>
      </c>
      <c r="N3441" s="43">
        <v>5.0925110132158595</v>
      </c>
      <c r="O3441" s="43">
        <v>11.5</v>
      </c>
      <c r="P3441" s="169"/>
      <c r="Q3441" s="169"/>
      <c r="R3441" s="169">
        <v>8</v>
      </c>
    </row>
    <row r="3442" spans="1:18" ht="36">
      <c r="A3442" s="165">
        <v>722</v>
      </c>
      <c r="B3442" s="162" t="s">
        <v>6274</v>
      </c>
      <c r="C3442" s="166" t="s">
        <v>6275</v>
      </c>
      <c r="D3442" s="167">
        <v>127.7</v>
      </c>
      <c r="E3442" s="167">
        <v>6.43</v>
      </c>
      <c r="F3442" s="167">
        <v>51.51</v>
      </c>
      <c r="G3442" s="167">
        <v>69.760000000000005</v>
      </c>
      <c r="H3442" s="168">
        <v>570.62</v>
      </c>
      <c r="I3442" s="168">
        <v>73.900000000000006</v>
      </c>
      <c r="J3442" s="168">
        <v>263.94</v>
      </c>
      <c r="K3442" s="168">
        <v>232.78</v>
      </c>
      <c r="L3442" s="43">
        <v>4.4684416601409556</v>
      </c>
      <c r="M3442" s="43">
        <v>11.5</v>
      </c>
      <c r="N3442" s="43">
        <v>5.1240535818287709</v>
      </c>
      <c r="O3442" s="43">
        <v>3.3368692660550456</v>
      </c>
      <c r="P3442" s="169"/>
      <c r="Q3442" s="169"/>
      <c r="R3442" s="169">
        <v>8</v>
      </c>
    </row>
    <row r="3443" spans="1:18" ht="36">
      <c r="A3443" s="165">
        <v>723</v>
      </c>
      <c r="B3443" s="162" t="s">
        <v>6276</v>
      </c>
      <c r="C3443" s="166" t="s">
        <v>6277</v>
      </c>
      <c r="D3443" s="167">
        <v>263.73</v>
      </c>
      <c r="E3443" s="167">
        <v>30.52</v>
      </c>
      <c r="F3443" s="167">
        <v>232.6</v>
      </c>
      <c r="G3443" s="167">
        <v>0.61</v>
      </c>
      <c r="H3443" s="168">
        <v>1543.48</v>
      </c>
      <c r="I3443" s="168">
        <v>351.03</v>
      </c>
      <c r="J3443" s="168">
        <v>1185.43</v>
      </c>
      <c r="K3443" s="168">
        <v>7.02</v>
      </c>
      <c r="L3443" s="43">
        <v>5.8525006635574259</v>
      </c>
      <c r="M3443" s="43">
        <v>11.501638269986893</v>
      </c>
      <c r="N3443" s="43">
        <v>5.0964316423043856</v>
      </c>
      <c r="O3443" s="43">
        <v>11.5</v>
      </c>
      <c r="P3443" s="169"/>
      <c r="Q3443" s="169"/>
      <c r="R3443" s="169">
        <v>8</v>
      </c>
    </row>
    <row r="3444" spans="1:18" ht="24">
      <c r="A3444" s="165">
        <v>724</v>
      </c>
      <c r="B3444" s="162" t="s">
        <v>6278</v>
      </c>
      <c r="C3444" s="166" t="s">
        <v>6279</v>
      </c>
      <c r="D3444" s="167">
        <v>127.7</v>
      </c>
      <c r="E3444" s="167">
        <v>6.43</v>
      </c>
      <c r="F3444" s="167">
        <v>51.51</v>
      </c>
      <c r="G3444" s="167">
        <v>69.760000000000005</v>
      </c>
      <c r="H3444" s="168">
        <v>570.62</v>
      </c>
      <c r="I3444" s="168">
        <v>73.900000000000006</v>
      </c>
      <c r="J3444" s="168">
        <v>263.94</v>
      </c>
      <c r="K3444" s="168">
        <v>232.78</v>
      </c>
      <c r="L3444" s="43">
        <v>4.4684416601409556</v>
      </c>
      <c r="M3444" s="43">
        <v>11.5</v>
      </c>
      <c r="N3444" s="43">
        <v>5.1240535818287709</v>
      </c>
      <c r="O3444" s="43">
        <v>3.3368692660550456</v>
      </c>
      <c r="P3444" s="169"/>
      <c r="Q3444" s="169"/>
      <c r="R3444" s="169">
        <v>8</v>
      </c>
    </row>
    <row r="3445" spans="1:18" ht="24">
      <c r="A3445" s="165">
        <v>725</v>
      </c>
      <c r="B3445" s="162" t="s">
        <v>6280</v>
      </c>
      <c r="C3445" s="166" t="s">
        <v>6281</v>
      </c>
      <c r="D3445" s="167">
        <v>263.73</v>
      </c>
      <c r="E3445" s="167">
        <v>30.52</v>
      </c>
      <c r="F3445" s="167">
        <v>232.6</v>
      </c>
      <c r="G3445" s="167">
        <v>0.61</v>
      </c>
      <c r="H3445" s="168">
        <v>1543.48</v>
      </c>
      <c r="I3445" s="168">
        <v>351.03</v>
      </c>
      <c r="J3445" s="168">
        <v>1185.43</v>
      </c>
      <c r="K3445" s="168">
        <v>7.02</v>
      </c>
      <c r="L3445" s="43">
        <v>5.8525006635574259</v>
      </c>
      <c r="M3445" s="43">
        <v>11.501638269986893</v>
      </c>
      <c r="N3445" s="43">
        <v>5.0964316423043856</v>
      </c>
      <c r="O3445" s="43">
        <v>11.5</v>
      </c>
      <c r="P3445" s="169"/>
      <c r="Q3445" s="169"/>
      <c r="R3445" s="169">
        <v>8</v>
      </c>
    </row>
    <row r="3446" spans="1:18" ht="12.75" customHeight="1">
      <c r="A3446" s="628" t="s">
        <v>6282</v>
      </c>
      <c r="B3446" s="629"/>
      <c r="C3446" s="629"/>
      <c r="D3446" s="629"/>
      <c r="E3446" s="629"/>
      <c r="F3446" s="629"/>
      <c r="G3446" s="629"/>
      <c r="H3446" s="629"/>
      <c r="I3446" s="629"/>
      <c r="J3446" s="629"/>
      <c r="K3446" s="629"/>
      <c r="L3446" s="629"/>
      <c r="M3446" s="629"/>
      <c r="N3446" s="629"/>
      <c r="O3446" s="629"/>
      <c r="P3446" s="629"/>
      <c r="Q3446" s="629"/>
      <c r="R3446" s="629"/>
    </row>
    <row r="3447" spans="1:18" ht="24">
      <c r="A3447" s="165">
        <v>726</v>
      </c>
      <c r="B3447" s="162" t="s">
        <v>6283</v>
      </c>
      <c r="C3447" s="166" t="s">
        <v>6284</v>
      </c>
      <c r="D3447" s="167">
        <v>70.78</v>
      </c>
      <c r="E3447" s="167">
        <v>24.95</v>
      </c>
      <c r="F3447" s="167">
        <v>45.33</v>
      </c>
      <c r="G3447" s="167">
        <v>0.5</v>
      </c>
      <c r="H3447" s="168">
        <v>524.42999999999995</v>
      </c>
      <c r="I3447" s="168">
        <v>286.99</v>
      </c>
      <c r="J3447" s="168">
        <v>231.69</v>
      </c>
      <c r="K3447" s="168">
        <v>5.75</v>
      </c>
      <c r="L3447" s="43">
        <v>7.409296411415653</v>
      </c>
      <c r="M3447" s="43">
        <v>11.502605210420842</v>
      </c>
      <c r="N3447" s="43">
        <v>5.111184645929848</v>
      </c>
      <c r="O3447" s="43">
        <v>11.5</v>
      </c>
      <c r="P3447" s="169"/>
      <c r="Q3447" s="169"/>
      <c r="R3447" s="169">
        <v>9</v>
      </c>
    </row>
    <row r="3448" spans="1:18" ht="24">
      <c r="A3448" s="165">
        <v>727</v>
      </c>
      <c r="B3448" s="162" t="s">
        <v>6285</v>
      </c>
      <c r="C3448" s="166" t="s">
        <v>6286</v>
      </c>
      <c r="D3448" s="167">
        <v>132.66</v>
      </c>
      <c r="E3448" s="167">
        <v>27.2</v>
      </c>
      <c r="F3448" s="167">
        <v>104.92</v>
      </c>
      <c r="G3448" s="167">
        <v>0.54</v>
      </c>
      <c r="H3448" s="168">
        <v>854.21</v>
      </c>
      <c r="I3448" s="168">
        <v>312.85000000000002</v>
      </c>
      <c r="J3448" s="168">
        <v>535.15</v>
      </c>
      <c r="K3448" s="168">
        <v>6.21</v>
      </c>
      <c r="L3448" s="43">
        <v>6.4390924167043577</v>
      </c>
      <c r="M3448" s="43">
        <v>11.50183823529412</v>
      </c>
      <c r="N3448" s="43">
        <v>5.1005528021349598</v>
      </c>
      <c r="O3448" s="43">
        <v>11.5</v>
      </c>
      <c r="P3448" s="169"/>
      <c r="Q3448" s="169"/>
      <c r="R3448" s="169">
        <v>9</v>
      </c>
    </row>
    <row r="3449" spans="1:18" ht="12.75" customHeight="1">
      <c r="A3449" s="628" t="s">
        <v>6287</v>
      </c>
      <c r="B3449" s="629"/>
      <c r="C3449" s="629"/>
      <c r="D3449" s="629"/>
      <c r="E3449" s="629"/>
      <c r="F3449" s="629"/>
      <c r="G3449" s="629"/>
      <c r="H3449" s="629"/>
      <c r="I3449" s="629"/>
      <c r="J3449" s="629"/>
      <c r="K3449" s="629"/>
      <c r="L3449" s="629"/>
      <c r="M3449" s="629"/>
      <c r="N3449" s="629"/>
      <c r="O3449" s="629"/>
      <c r="P3449" s="629"/>
      <c r="Q3449" s="629"/>
      <c r="R3449" s="629"/>
    </row>
    <row r="3450" spans="1:18" ht="24">
      <c r="A3450" s="165">
        <v>728</v>
      </c>
      <c r="B3450" s="162" t="s">
        <v>6288</v>
      </c>
      <c r="C3450" s="166" t="s">
        <v>6289</v>
      </c>
      <c r="D3450" s="167">
        <v>12269.92</v>
      </c>
      <c r="E3450" s="167">
        <v>2470.35</v>
      </c>
      <c r="F3450" s="167">
        <v>9750.16</v>
      </c>
      <c r="G3450" s="167">
        <v>49.41</v>
      </c>
      <c r="H3450" s="168">
        <v>78693.740000000005</v>
      </c>
      <c r="I3450" s="168">
        <v>28410.1</v>
      </c>
      <c r="J3450" s="168">
        <v>49715.42</v>
      </c>
      <c r="K3450" s="168">
        <v>568.22</v>
      </c>
      <c r="L3450" s="43">
        <v>6.4135495585953297</v>
      </c>
      <c r="M3450" s="43">
        <v>11.500435161009573</v>
      </c>
      <c r="N3450" s="43">
        <v>5.0989337610869976</v>
      </c>
      <c r="O3450" s="43">
        <v>11.500101194090266</v>
      </c>
      <c r="P3450" s="169"/>
      <c r="Q3450" s="169"/>
      <c r="R3450" s="169">
        <v>10</v>
      </c>
    </row>
    <row r="3451" spans="1:18" ht="24">
      <c r="A3451" s="165">
        <v>729</v>
      </c>
      <c r="B3451" s="162" t="s">
        <v>6290</v>
      </c>
      <c r="C3451" s="166" t="s">
        <v>6291</v>
      </c>
      <c r="D3451" s="167">
        <v>5743.08</v>
      </c>
      <c r="E3451" s="167">
        <v>893.92</v>
      </c>
      <c r="F3451" s="167">
        <v>4831.28</v>
      </c>
      <c r="G3451" s="167">
        <v>17.88</v>
      </c>
      <c r="H3451" s="168">
        <v>35100.800000000003</v>
      </c>
      <c r="I3451" s="168">
        <v>10280.49</v>
      </c>
      <c r="J3451" s="168">
        <v>24614.69</v>
      </c>
      <c r="K3451" s="168">
        <v>205.62</v>
      </c>
      <c r="L3451" s="43">
        <v>6.1118424260153095</v>
      </c>
      <c r="M3451" s="43">
        <v>11.500458654018257</v>
      </c>
      <c r="N3451" s="43">
        <v>5.0948589193754037</v>
      </c>
      <c r="O3451" s="43">
        <v>11.500000000000002</v>
      </c>
      <c r="P3451" s="169"/>
      <c r="Q3451" s="169"/>
      <c r="R3451" s="169">
        <v>10</v>
      </c>
    </row>
    <row r="3452" spans="1:18" ht="24">
      <c r="A3452" s="165">
        <v>730</v>
      </c>
      <c r="B3452" s="162" t="s">
        <v>6292</v>
      </c>
      <c r="C3452" s="166" t="s">
        <v>6293</v>
      </c>
      <c r="D3452" s="167">
        <v>23746.77</v>
      </c>
      <c r="E3452" s="167">
        <v>4021.5</v>
      </c>
      <c r="F3452" s="167">
        <v>19644.84</v>
      </c>
      <c r="G3452" s="167">
        <v>80.430000000000007</v>
      </c>
      <c r="H3452" s="168">
        <v>147343.19</v>
      </c>
      <c r="I3452" s="168">
        <v>46249</v>
      </c>
      <c r="J3452" s="168">
        <v>100169.24</v>
      </c>
      <c r="K3452" s="168">
        <v>924.95</v>
      </c>
      <c r="L3452" s="43">
        <v>6.2047676378724352</v>
      </c>
      <c r="M3452" s="43">
        <v>11.500435161009573</v>
      </c>
      <c r="N3452" s="43">
        <v>5.0990102235497972</v>
      </c>
      <c r="O3452" s="43">
        <v>11.500062165858511</v>
      </c>
      <c r="P3452" s="169"/>
      <c r="Q3452" s="169"/>
      <c r="R3452" s="169">
        <v>10</v>
      </c>
    </row>
    <row r="3453" spans="1:18" ht="24">
      <c r="A3453" s="165">
        <v>731</v>
      </c>
      <c r="B3453" s="162" t="s">
        <v>6294</v>
      </c>
      <c r="C3453" s="166" t="s">
        <v>6295</v>
      </c>
      <c r="D3453" s="167">
        <v>7757.95</v>
      </c>
      <c r="E3453" s="167">
        <v>1206.45</v>
      </c>
      <c r="F3453" s="167">
        <v>6527.37</v>
      </c>
      <c r="G3453" s="167">
        <v>24.13</v>
      </c>
      <c r="H3453" s="168">
        <v>47413.11</v>
      </c>
      <c r="I3453" s="168">
        <v>13874.7</v>
      </c>
      <c r="J3453" s="168">
        <v>33260.910000000003</v>
      </c>
      <c r="K3453" s="168">
        <v>277.5</v>
      </c>
      <c r="L3453" s="43">
        <v>6.1115513763300875</v>
      </c>
      <c r="M3453" s="43">
        <v>11.500435161009573</v>
      </c>
      <c r="N3453" s="43">
        <v>5.0956066532156141</v>
      </c>
      <c r="O3453" s="43">
        <v>11.500207210940738</v>
      </c>
      <c r="P3453" s="169"/>
      <c r="Q3453" s="169"/>
      <c r="R3453" s="169">
        <v>10</v>
      </c>
    </row>
    <row r="3454" spans="1:18" ht="24">
      <c r="A3454" s="165">
        <v>732</v>
      </c>
      <c r="B3454" s="162" t="s">
        <v>6296</v>
      </c>
      <c r="C3454" s="166" t="s">
        <v>6297</v>
      </c>
      <c r="D3454" s="167">
        <v>2822.46</v>
      </c>
      <c r="E3454" s="167">
        <v>466.49</v>
      </c>
      <c r="F3454" s="167">
        <v>2346.64</v>
      </c>
      <c r="G3454" s="167">
        <v>9.33</v>
      </c>
      <c r="H3454" s="168">
        <v>17457.18</v>
      </c>
      <c r="I3454" s="168">
        <v>5364.88</v>
      </c>
      <c r="J3454" s="168">
        <v>11985</v>
      </c>
      <c r="K3454" s="168">
        <v>107.3</v>
      </c>
      <c r="L3454" s="43">
        <v>6.1850938542973148</v>
      </c>
      <c r="M3454" s="43">
        <v>11.500525198825269</v>
      </c>
      <c r="N3454" s="43">
        <v>5.1073023557085877</v>
      </c>
      <c r="O3454" s="43">
        <v>11.5005359056806</v>
      </c>
      <c r="P3454" s="169"/>
      <c r="Q3454" s="169"/>
      <c r="R3454" s="169">
        <v>10</v>
      </c>
    </row>
    <row r="3455" spans="1:18" ht="36">
      <c r="A3455" s="165">
        <v>733</v>
      </c>
      <c r="B3455" s="162" t="s">
        <v>6298</v>
      </c>
      <c r="C3455" s="166" t="s">
        <v>6299</v>
      </c>
      <c r="D3455" s="167">
        <v>2840.52</v>
      </c>
      <c r="E3455" s="167">
        <v>443.51</v>
      </c>
      <c r="F3455" s="167">
        <v>2388.14</v>
      </c>
      <c r="G3455" s="167">
        <v>8.8699999999999992</v>
      </c>
      <c r="H3455" s="168">
        <v>17376.689999999999</v>
      </c>
      <c r="I3455" s="168">
        <v>5100.6000000000004</v>
      </c>
      <c r="J3455" s="168">
        <v>12174.08</v>
      </c>
      <c r="K3455" s="168">
        <v>102.01</v>
      </c>
      <c r="L3455" s="43">
        <v>6.1174327235858215</v>
      </c>
      <c r="M3455" s="43">
        <v>11.500529864039143</v>
      </c>
      <c r="N3455" s="43">
        <v>5.0977245890106948</v>
      </c>
      <c r="O3455" s="43">
        <v>11.500563697857949</v>
      </c>
      <c r="P3455" s="169"/>
      <c r="Q3455" s="169"/>
      <c r="R3455" s="169">
        <v>10</v>
      </c>
    </row>
    <row r="3456" spans="1:18" ht="12.75" customHeight="1">
      <c r="A3456" s="628" t="s">
        <v>6300</v>
      </c>
      <c r="B3456" s="629"/>
      <c r="C3456" s="629"/>
      <c r="D3456" s="629"/>
      <c r="E3456" s="629"/>
      <c r="F3456" s="629"/>
      <c r="G3456" s="629"/>
      <c r="H3456" s="629"/>
      <c r="I3456" s="629"/>
      <c r="J3456" s="629"/>
      <c r="K3456" s="629"/>
      <c r="L3456" s="629"/>
      <c r="M3456" s="629"/>
      <c r="N3456" s="629"/>
      <c r="O3456" s="629"/>
      <c r="P3456" s="629"/>
      <c r="Q3456" s="629"/>
      <c r="R3456" s="629"/>
    </row>
    <row r="3457" spans="1:18" ht="24">
      <c r="A3457" s="165">
        <v>734</v>
      </c>
      <c r="B3457" s="162" t="s">
        <v>6301</v>
      </c>
      <c r="C3457" s="166" t="s">
        <v>6302</v>
      </c>
      <c r="D3457" s="167">
        <v>18698.02</v>
      </c>
      <c r="E3457" s="167">
        <v>3400.7</v>
      </c>
      <c r="F3457" s="167">
        <v>15229.31</v>
      </c>
      <c r="G3457" s="167">
        <v>68.010000000000005</v>
      </c>
      <c r="H3457" s="168">
        <v>117580.45</v>
      </c>
      <c r="I3457" s="168">
        <v>39109.599999999999</v>
      </c>
      <c r="J3457" s="168">
        <v>77688.73</v>
      </c>
      <c r="K3457" s="168">
        <v>782.12</v>
      </c>
      <c r="L3457" s="43">
        <v>6.2883904285052639</v>
      </c>
      <c r="M3457" s="43">
        <v>11.500455788514129</v>
      </c>
      <c r="N3457" s="43">
        <v>5.1012639443284034</v>
      </c>
      <c r="O3457" s="43">
        <v>11.500073518600205</v>
      </c>
      <c r="P3457" s="169"/>
      <c r="Q3457" s="169"/>
      <c r="R3457" s="169">
        <v>11</v>
      </c>
    </row>
    <row r="3458" spans="1:18" ht="24">
      <c r="A3458" s="165">
        <v>735</v>
      </c>
      <c r="B3458" s="162" t="s">
        <v>6303</v>
      </c>
      <c r="C3458" s="166" t="s">
        <v>6304</v>
      </c>
      <c r="D3458" s="167">
        <v>15043.73</v>
      </c>
      <c r="E3458" s="167">
        <v>2808.32</v>
      </c>
      <c r="F3458" s="167">
        <v>12179.24</v>
      </c>
      <c r="G3458" s="167">
        <v>56.17</v>
      </c>
      <c r="H3458" s="168">
        <v>95096.72</v>
      </c>
      <c r="I3458" s="168">
        <v>32296.959999999999</v>
      </c>
      <c r="J3458" s="168">
        <v>62153.8</v>
      </c>
      <c r="K3458" s="168">
        <v>645.96</v>
      </c>
      <c r="L3458" s="43">
        <v>6.3213524837257786</v>
      </c>
      <c r="M3458" s="43">
        <v>11.500455788514129</v>
      </c>
      <c r="N3458" s="43">
        <v>5.1032576745347003</v>
      </c>
      <c r="O3458" s="43">
        <v>11.500089015488696</v>
      </c>
      <c r="P3458" s="169"/>
      <c r="Q3458" s="169"/>
      <c r="R3458" s="169">
        <v>11</v>
      </c>
    </row>
    <row r="3459" spans="1:18" ht="24">
      <c r="A3459" s="165">
        <v>736</v>
      </c>
      <c r="B3459" s="162" t="s">
        <v>6305</v>
      </c>
      <c r="C3459" s="166" t="s">
        <v>6306</v>
      </c>
      <c r="D3459" s="167">
        <v>12335.44</v>
      </c>
      <c r="E3459" s="167">
        <v>1623.56</v>
      </c>
      <c r="F3459" s="167">
        <v>10679.41</v>
      </c>
      <c r="G3459" s="167">
        <v>32.47</v>
      </c>
      <c r="H3459" s="168">
        <v>73510.73</v>
      </c>
      <c r="I3459" s="168">
        <v>18671.68</v>
      </c>
      <c r="J3459" s="168">
        <v>54465.64</v>
      </c>
      <c r="K3459" s="168">
        <v>373.41</v>
      </c>
      <c r="L3459" s="43">
        <v>5.9593115446226479</v>
      </c>
      <c r="M3459" s="43">
        <v>11.500455788514129</v>
      </c>
      <c r="N3459" s="43">
        <v>5.1000607711474695</v>
      </c>
      <c r="O3459" s="43">
        <v>11.500153988296891</v>
      </c>
      <c r="P3459" s="169"/>
      <c r="Q3459" s="169"/>
      <c r="R3459" s="169">
        <v>11</v>
      </c>
    </row>
    <row r="3460" spans="1:18" ht="12.75" customHeight="1">
      <c r="A3460" s="628" t="s">
        <v>6307</v>
      </c>
      <c r="B3460" s="629"/>
      <c r="C3460" s="629"/>
      <c r="D3460" s="629"/>
      <c r="E3460" s="629"/>
      <c r="F3460" s="629"/>
      <c r="G3460" s="629"/>
      <c r="H3460" s="629"/>
      <c r="I3460" s="629"/>
      <c r="J3460" s="629"/>
      <c r="K3460" s="629"/>
      <c r="L3460" s="629"/>
      <c r="M3460" s="629"/>
      <c r="N3460" s="629"/>
      <c r="O3460" s="629"/>
      <c r="P3460" s="629"/>
      <c r="Q3460" s="629"/>
      <c r="R3460" s="629"/>
    </row>
    <row r="3461" spans="1:18" ht="24">
      <c r="A3461" s="165">
        <v>737</v>
      </c>
      <c r="B3461" s="162" t="s">
        <v>6308</v>
      </c>
      <c r="C3461" s="166" t="s">
        <v>6309</v>
      </c>
      <c r="D3461" s="167">
        <v>8165.15</v>
      </c>
      <c r="E3461" s="167">
        <v>1217.67</v>
      </c>
      <c r="F3461" s="167">
        <v>6923.13</v>
      </c>
      <c r="G3461" s="167">
        <v>24.35</v>
      </c>
      <c r="H3461" s="168">
        <v>49649.62</v>
      </c>
      <c r="I3461" s="168">
        <v>14003.76</v>
      </c>
      <c r="J3461" s="168">
        <v>35365.83</v>
      </c>
      <c r="K3461" s="168">
        <v>280.02999999999997</v>
      </c>
      <c r="L3461" s="43">
        <v>6.0806745742576691</v>
      </c>
      <c r="M3461" s="43">
        <v>11.500455788514129</v>
      </c>
      <c r="N3461" s="43">
        <v>5.1083585025848137</v>
      </c>
      <c r="O3461" s="43">
        <v>11.500205338809034</v>
      </c>
      <c r="P3461" s="169"/>
      <c r="Q3461" s="169"/>
      <c r="R3461" s="169">
        <v>12</v>
      </c>
    </row>
    <row r="3462" spans="1:18" ht="24">
      <c r="A3462" s="165">
        <v>738</v>
      </c>
      <c r="B3462" s="162" t="s">
        <v>6310</v>
      </c>
      <c r="C3462" s="166" t="s">
        <v>6311</v>
      </c>
      <c r="D3462" s="167">
        <v>3352.34</v>
      </c>
      <c r="E3462" s="167">
        <v>505.72</v>
      </c>
      <c r="F3462" s="167">
        <v>2836.51</v>
      </c>
      <c r="G3462" s="167">
        <v>10.11</v>
      </c>
      <c r="H3462" s="168">
        <v>20460.02</v>
      </c>
      <c r="I3462" s="168">
        <v>5815.98</v>
      </c>
      <c r="J3462" s="168">
        <v>14527.77</v>
      </c>
      <c r="K3462" s="168">
        <v>116.27</v>
      </c>
      <c r="L3462" s="43">
        <v>6.103205522112912</v>
      </c>
      <c r="M3462" s="43">
        <v>11.500395475757335</v>
      </c>
      <c r="N3462" s="43">
        <v>5.1217058991507169</v>
      </c>
      <c r="O3462" s="43">
        <v>11.500494559841741</v>
      </c>
      <c r="P3462" s="169"/>
      <c r="Q3462" s="169"/>
      <c r="R3462" s="169">
        <v>12</v>
      </c>
    </row>
    <row r="3463" spans="1:18" ht="12.75" customHeight="1">
      <c r="A3463" s="628" t="s">
        <v>6312</v>
      </c>
      <c r="B3463" s="629"/>
      <c r="C3463" s="629"/>
      <c r="D3463" s="629"/>
      <c r="E3463" s="629"/>
      <c r="F3463" s="629"/>
      <c r="G3463" s="629"/>
      <c r="H3463" s="629"/>
      <c r="I3463" s="629"/>
      <c r="J3463" s="629"/>
      <c r="K3463" s="629"/>
      <c r="L3463" s="629"/>
      <c r="M3463" s="629"/>
      <c r="N3463" s="629"/>
      <c r="O3463" s="629"/>
      <c r="P3463" s="629"/>
      <c r="Q3463" s="629"/>
      <c r="R3463" s="629"/>
    </row>
    <row r="3464" spans="1:18" ht="24">
      <c r="A3464" s="165">
        <v>739</v>
      </c>
      <c r="B3464" s="162" t="s">
        <v>6313</v>
      </c>
      <c r="C3464" s="166" t="s">
        <v>6314</v>
      </c>
      <c r="D3464" s="167">
        <v>463.93</v>
      </c>
      <c r="E3464" s="167">
        <v>104.53</v>
      </c>
      <c r="F3464" s="167">
        <v>357.31</v>
      </c>
      <c r="G3464" s="167">
        <v>2.09</v>
      </c>
      <c r="H3464" s="168">
        <v>3048.34</v>
      </c>
      <c r="I3464" s="168">
        <v>1202.0999999999999</v>
      </c>
      <c r="J3464" s="168">
        <v>1822.2</v>
      </c>
      <c r="K3464" s="168">
        <v>24.04</v>
      </c>
      <c r="L3464" s="43">
        <v>6.5706895436811594</v>
      </c>
      <c r="M3464" s="43">
        <v>11.500047833157945</v>
      </c>
      <c r="N3464" s="43">
        <v>5.0997733060927484</v>
      </c>
      <c r="O3464" s="43">
        <v>11.502392344497608</v>
      </c>
      <c r="P3464" s="169"/>
      <c r="Q3464" s="169"/>
      <c r="R3464" s="169">
        <v>13</v>
      </c>
    </row>
    <row r="3465" spans="1:18" ht="24">
      <c r="A3465" s="165">
        <v>740</v>
      </c>
      <c r="B3465" s="162" t="s">
        <v>6315</v>
      </c>
      <c r="C3465" s="166" t="s">
        <v>6316</v>
      </c>
      <c r="D3465" s="167">
        <v>576.16999999999996</v>
      </c>
      <c r="E3465" s="167">
        <v>131.12</v>
      </c>
      <c r="F3465" s="167">
        <v>442.43</v>
      </c>
      <c r="G3465" s="167">
        <v>2.62</v>
      </c>
      <c r="H3465" s="168">
        <v>3793.81</v>
      </c>
      <c r="I3465" s="168">
        <v>1507.96</v>
      </c>
      <c r="J3465" s="168">
        <v>2255.7199999999998</v>
      </c>
      <c r="K3465" s="168">
        <v>30.13</v>
      </c>
      <c r="L3465" s="43">
        <v>6.5845323428849127</v>
      </c>
      <c r="M3465" s="43">
        <v>11.500610128126906</v>
      </c>
      <c r="N3465" s="43">
        <v>5.0984788554121554</v>
      </c>
      <c r="O3465" s="43">
        <v>11.5</v>
      </c>
      <c r="P3465" s="169"/>
      <c r="Q3465" s="169"/>
      <c r="R3465" s="169">
        <v>13</v>
      </c>
    </row>
    <row r="3466" spans="1:18" ht="24">
      <c r="A3466" s="165">
        <v>741</v>
      </c>
      <c r="B3466" s="162" t="s">
        <v>6317</v>
      </c>
      <c r="C3466" s="166" t="s">
        <v>6318</v>
      </c>
      <c r="D3466" s="167">
        <v>410.46</v>
      </c>
      <c r="E3466" s="167">
        <v>83.81</v>
      </c>
      <c r="F3466" s="167">
        <v>324.97000000000003</v>
      </c>
      <c r="G3466" s="167">
        <v>1.68</v>
      </c>
      <c r="H3466" s="168">
        <v>2640.54</v>
      </c>
      <c r="I3466" s="168">
        <v>963.76</v>
      </c>
      <c r="J3466" s="168">
        <v>1657.46</v>
      </c>
      <c r="K3466" s="168">
        <v>19.32</v>
      </c>
      <c r="L3466" s="43">
        <v>6.4331238123081427</v>
      </c>
      <c r="M3466" s="43">
        <v>11.499343753728672</v>
      </c>
      <c r="N3466" s="43">
        <v>5.1003477244053297</v>
      </c>
      <c r="O3466" s="43">
        <v>11.5</v>
      </c>
      <c r="P3466" s="169"/>
      <c r="Q3466" s="169"/>
      <c r="R3466" s="169">
        <v>13</v>
      </c>
    </row>
    <row r="3467" spans="1:18" ht="24">
      <c r="A3467" s="165">
        <v>742</v>
      </c>
      <c r="B3467" s="162" t="s">
        <v>6319</v>
      </c>
      <c r="C3467" s="166" t="s">
        <v>6320</v>
      </c>
      <c r="D3467" s="167">
        <v>392.22</v>
      </c>
      <c r="E3467" s="167">
        <v>65.930000000000007</v>
      </c>
      <c r="F3467" s="167">
        <v>324.97000000000003</v>
      </c>
      <c r="G3467" s="167">
        <v>1.32</v>
      </c>
      <c r="H3467" s="168">
        <v>2430.88</v>
      </c>
      <c r="I3467" s="168">
        <v>758.24</v>
      </c>
      <c r="J3467" s="168">
        <v>1657.46</v>
      </c>
      <c r="K3467" s="168">
        <v>15.18</v>
      </c>
      <c r="L3467" s="43">
        <v>6.1977461628677784</v>
      </c>
      <c r="M3467" s="43">
        <v>11.500682542090095</v>
      </c>
      <c r="N3467" s="43">
        <v>5.1003477244053297</v>
      </c>
      <c r="O3467" s="43">
        <v>11.5</v>
      </c>
      <c r="P3467" s="169"/>
      <c r="Q3467" s="169"/>
      <c r="R3467" s="169">
        <v>13</v>
      </c>
    </row>
    <row r="3468" spans="1:18" ht="24">
      <c r="A3468" s="165">
        <v>743</v>
      </c>
      <c r="B3468" s="162" t="s">
        <v>6321</v>
      </c>
      <c r="C3468" s="166" t="s">
        <v>6322</v>
      </c>
      <c r="D3468" s="167">
        <v>1443.73</v>
      </c>
      <c r="E3468" s="167">
        <v>858.82</v>
      </c>
      <c r="F3468" s="167">
        <v>324.97000000000003</v>
      </c>
      <c r="G3468" s="167">
        <v>259.94</v>
      </c>
      <c r="H3468" s="168">
        <v>12940.92</v>
      </c>
      <c r="I3468" s="168">
        <v>9876.3799999999992</v>
      </c>
      <c r="J3468" s="168">
        <v>1657.46</v>
      </c>
      <c r="K3468" s="168">
        <v>1407.08</v>
      </c>
      <c r="L3468" s="43">
        <v>8.9635319623475311</v>
      </c>
      <c r="M3468" s="43">
        <v>11.499941780582658</v>
      </c>
      <c r="N3468" s="43">
        <v>5.1003477244053297</v>
      </c>
      <c r="O3468" s="43">
        <v>5.4130953296914672</v>
      </c>
      <c r="P3468" s="169"/>
      <c r="Q3468" s="169"/>
      <c r="R3468" s="169">
        <v>13</v>
      </c>
    </row>
    <row r="3469" spans="1:18" ht="12.75" customHeight="1">
      <c r="A3469" s="628" t="s">
        <v>6323</v>
      </c>
      <c r="B3469" s="629"/>
      <c r="C3469" s="629"/>
      <c r="D3469" s="629"/>
      <c r="E3469" s="629"/>
      <c r="F3469" s="629"/>
      <c r="G3469" s="629"/>
      <c r="H3469" s="629"/>
      <c r="I3469" s="629"/>
      <c r="J3469" s="629"/>
      <c r="K3469" s="629"/>
      <c r="L3469" s="629"/>
      <c r="M3469" s="629"/>
      <c r="N3469" s="629"/>
      <c r="O3469" s="629"/>
      <c r="P3469" s="629"/>
      <c r="Q3469" s="629"/>
      <c r="R3469" s="629"/>
    </row>
    <row r="3470" spans="1:18" ht="24">
      <c r="A3470" s="165">
        <v>744</v>
      </c>
      <c r="B3470" s="162" t="s">
        <v>6324</v>
      </c>
      <c r="C3470" s="166" t="s">
        <v>6325</v>
      </c>
      <c r="D3470" s="167">
        <v>2116.96</v>
      </c>
      <c r="E3470" s="167">
        <v>326.32</v>
      </c>
      <c r="F3470" s="167"/>
      <c r="G3470" s="167">
        <v>1790.64</v>
      </c>
      <c r="H3470" s="168">
        <v>8850.5499999999993</v>
      </c>
      <c r="I3470" s="168">
        <v>3752.78</v>
      </c>
      <c r="J3470" s="168"/>
      <c r="K3470" s="168">
        <v>5097.7700000000004</v>
      </c>
      <c r="L3470" s="43">
        <v>4.1807828206484769</v>
      </c>
      <c r="M3470" s="43">
        <v>11.50030644765874</v>
      </c>
      <c r="N3470" s="43" t="s">
        <v>1690</v>
      </c>
      <c r="O3470" s="43">
        <v>2.8468983156860119</v>
      </c>
      <c r="P3470" s="169"/>
      <c r="Q3470" s="169"/>
      <c r="R3470" s="169">
        <v>14</v>
      </c>
    </row>
    <row r="3471" spans="1:18" ht="24">
      <c r="A3471" s="165">
        <v>745</v>
      </c>
      <c r="B3471" s="162" t="s">
        <v>6326</v>
      </c>
      <c r="C3471" s="166" t="s">
        <v>6327</v>
      </c>
      <c r="D3471" s="167">
        <v>1760.95</v>
      </c>
      <c r="E3471" s="167">
        <v>415.94</v>
      </c>
      <c r="F3471" s="167"/>
      <c r="G3471" s="167">
        <v>1345.01</v>
      </c>
      <c r="H3471" s="168">
        <v>8719.08</v>
      </c>
      <c r="I3471" s="168">
        <v>4783.47</v>
      </c>
      <c r="J3471" s="168"/>
      <c r="K3471" s="168">
        <v>3935.61</v>
      </c>
      <c r="L3471" s="43">
        <v>4.9513501235128761</v>
      </c>
      <c r="M3471" s="43">
        <v>11.500384670865991</v>
      </c>
      <c r="N3471" s="43" t="s">
        <v>1690</v>
      </c>
      <c r="O3471" s="43">
        <v>2.9260823339603426</v>
      </c>
      <c r="P3471" s="169"/>
      <c r="Q3471" s="169"/>
      <c r="R3471" s="169">
        <v>14</v>
      </c>
    </row>
    <row r="3472" spans="1:18" ht="24">
      <c r="A3472" s="165">
        <v>746</v>
      </c>
      <c r="B3472" s="162" t="s">
        <v>6328</v>
      </c>
      <c r="C3472" s="166" t="s">
        <v>6329</v>
      </c>
      <c r="D3472" s="167">
        <v>2638.02</v>
      </c>
      <c r="E3472" s="167">
        <v>433.17</v>
      </c>
      <c r="F3472" s="167">
        <v>2.77</v>
      </c>
      <c r="G3472" s="167">
        <v>2202.08</v>
      </c>
      <c r="H3472" s="168">
        <v>11441.06</v>
      </c>
      <c r="I3472" s="168">
        <v>4981.68</v>
      </c>
      <c r="J3472" s="168">
        <v>14.93</v>
      </c>
      <c r="K3472" s="168">
        <v>6444.45</v>
      </c>
      <c r="L3472" s="43">
        <v>4.3369875891767311</v>
      </c>
      <c r="M3472" s="43">
        <v>11.500519426553085</v>
      </c>
      <c r="N3472" s="43">
        <v>5.3898916967509027</v>
      </c>
      <c r="O3472" s="43">
        <v>2.9265285548208966</v>
      </c>
      <c r="P3472" s="169"/>
      <c r="Q3472" s="169"/>
      <c r="R3472" s="169">
        <v>14</v>
      </c>
    </row>
    <row r="3473" spans="1:18" ht="24">
      <c r="A3473" s="165">
        <v>747</v>
      </c>
      <c r="B3473" s="162" t="s">
        <v>6330</v>
      </c>
      <c r="C3473" s="166" t="s">
        <v>6331</v>
      </c>
      <c r="D3473" s="167">
        <v>1299</v>
      </c>
      <c r="E3473" s="167">
        <v>189.59</v>
      </c>
      <c r="F3473" s="167"/>
      <c r="G3473" s="167">
        <v>1109.4100000000001</v>
      </c>
      <c r="H3473" s="168">
        <v>5399.18</v>
      </c>
      <c r="I3473" s="168">
        <v>2180.31</v>
      </c>
      <c r="J3473" s="168"/>
      <c r="K3473" s="168">
        <v>3218.87</v>
      </c>
      <c r="L3473" s="43">
        <v>4.1564126250962277</v>
      </c>
      <c r="M3473" s="43">
        <v>11.500131863494909</v>
      </c>
      <c r="N3473" s="43" t="s">
        <v>1690</v>
      </c>
      <c r="O3473" s="43">
        <v>2.9014250818002361</v>
      </c>
      <c r="P3473" s="169"/>
      <c r="Q3473" s="169"/>
      <c r="R3473" s="169">
        <v>14</v>
      </c>
    </row>
    <row r="3474" spans="1:18" ht="12.75" customHeight="1">
      <c r="A3474" s="628" t="s">
        <v>6332</v>
      </c>
      <c r="B3474" s="629"/>
      <c r="C3474" s="629"/>
      <c r="D3474" s="629"/>
      <c r="E3474" s="629"/>
      <c r="F3474" s="629"/>
      <c r="G3474" s="629"/>
      <c r="H3474" s="629"/>
      <c r="I3474" s="629"/>
      <c r="J3474" s="629"/>
      <c r="K3474" s="629"/>
      <c r="L3474" s="629"/>
      <c r="M3474" s="629"/>
      <c r="N3474" s="629"/>
      <c r="O3474" s="629"/>
      <c r="P3474" s="629"/>
      <c r="Q3474" s="629"/>
      <c r="R3474" s="629"/>
    </row>
    <row r="3475" spans="1:18" ht="24">
      <c r="A3475" s="165">
        <v>748</v>
      </c>
      <c r="B3475" s="162" t="s">
        <v>6333</v>
      </c>
      <c r="C3475" s="166" t="s">
        <v>6334</v>
      </c>
      <c r="D3475" s="167">
        <v>379.06</v>
      </c>
      <c r="E3475" s="167">
        <v>61.43</v>
      </c>
      <c r="F3475" s="167"/>
      <c r="G3475" s="167">
        <v>317.63</v>
      </c>
      <c r="H3475" s="168">
        <v>1558.62</v>
      </c>
      <c r="I3475" s="168">
        <v>706.5</v>
      </c>
      <c r="J3475" s="168"/>
      <c r="K3475" s="168">
        <v>852.12</v>
      </c>
      <c r="L3475" s="43">
        <v>4.1118028808104254</v>
      </c>
      <c r="M3475" s="43">
        <v>11.500895328015627</v>
      </c>
      <c r="N3475" s="43" t="s">
        <v>1690</v>
      </c>
      <c r="O3475" s="43">
        <v>2.6827440732928252</v>
      </c>
      <c r="P3475" s="169"/>
      <c r="Q3475" s="169"/>
      <c r="R3475" s="169">
        <v>15</v>
      </c>
    </row>
    <row r="3476" spans="1:18" ht="24">
      <c r="A3476" s="165">
        <v>749</v>
      </c>
      <c r="B3476" s="162" t="s">
        <v>6335</v>
      </c>
      <c r="C3476" s="166" t="s">
        <v>6336</v>
      </c>
      <c r="D3476" s="167">
        <v>1150.3</v>
      </c>
      <c r="E3476" s="167">
        <v>114.09</v>
      </c>
      <c r="F3476" s="167">
        <v>2.77</v>
      </c>
      <c r="G3476" s="167">
        <v>1033.44</v>
      </c>
      <c r="H3476" s="168">
        <v>4398.2</v>
      </c>
      <c r="I3476" s="168">
        <v>1312.06</v>
      </c>
      <c r="J3476" s="168">
        <v>14.93</v>
      </c>
      <c r="K3476" s="168">
        <v>3071.21</v>
      </c>
      <c r="L3476" s="43">
        <v>3.823524298009215</v>
      </c>
      <c r="M3476" s="43">
        <v>11.500219125251993</v>
      </c>
      <c r="N3476" s="43">
        <v>5.3898916967509027</v>
      </c>
      <c r="O3476" s="43">
        <v>2.9718319399287814</v>
      </c>
      <c r="P3476" s="169"/>
      <c r="Q3476" s="169"/>
      <c r="R3476" s="169">
        <v>15</v>
      </c>
    </row>
    <row r="3477" spans="1:18" ht="24">
      <c r="A3477" s="165">
        <v>750</v>
      </c>
      <c r="B3477" s="162" t="s">
        <v>6337</v>
      </c>
      <c r="C3477" s="166" t="s">
        <v>6338</v>
      </c>
      <c r="D3477" s="167">
        <v>26.69</v>
      </c>
      <c r="E3477" s="167">
        <v>6.14</v>
      </c>
      <c r="F3477" s="167">
        <v>20.43</v>
      </c>
      <c r="G3477" s="167">
        <v>0.12</v>
      </c>
      <c r="H3477" s="168">
        <v>176.07</v>
      </c>
      <c r="I3477" s="168">
        <v>70.650000000000006</v>
      </c>
      <c r="J3477" s="168">
        <v>104.04</v>
      </c>
      <c r="K3477" s="168">
        <v>1.38</v>
      </c>
      <c r="L3477" s="43">
        <v>6.5968527538403894</v>
      </c>
      <c r="M3477" s="43">
        <v>11.5021951219512</v>
      </c>
      <c r="N3477" s="43">
        <v>5.0925110132158595</v>
      </c>
      <c r="O3477" s="43">
        <v>11.5</v>
      </c>
      <c r="P3477" s="169"/>
      <c r="Q3477" s="169"/>
      <c r="R3477" s="169">
        <v>15</v>
      </c>
    </row>
    <row r="3478" spans="1:18" ht="24">
      <c r="A3478" s="165">
        <v>751</v>
      </c>
      <c r="B3478" s="162" t="s">
        <v>6339</v>
      </c>
      <c r="C3478" s="166" t="s">
        <v>6340</v>
      </c>
      <c r="D3478" s="167">
        <v>19.510000000000002</v>
      </c>
      <c r="E3478" s="167">
        <v>4.1100000000000003</v>
      </c>
      <c r="F3478" s="167">
        <v>15.32</v>
      </c>
      <c r="G3478" s="167">
        <v>0.08</v>
      </c>
      <c r="H3478" s="168">
        <v>126.19</v>
      </c>
      <c r="I3478" s="168">
        <v>47.24</v>
      </c>
      <c r="J3478" s="168">
        <v>78.03</v>
      </c>
      <c r="K3478" s="168">
        <v>0.92</v>
      </c>
      <c r="L3478" s="43">
        <v>6.4679651460789334</v>
      </c>
      <c r="M3478" s="43">
        <v>11.5</v>
      </c>
      <c r="N3478" s="43">
        <v>5.0933420365535245</v>
      </c>
      <c r="O3478" s="43">
        <v>11.5</v>
      </c>
      <c r="P3478" s="169"/>
      <c r="Q3478" s="169"/>
      <c r="R3478" s="169">
        <v>15</v>
      </c>
    </row>
    <row r="3479" spans="1:18" ht="12.75" customHeight="1">
      <c r="A3479" s="628" t="s">
        <v>6341</v>
      </c>
      <c r="B3479" s="629"/>
      <c r="C3479" s="629"/>
      <c r="D3479" s="629"/>
      <c r="E3479" s="629"/>
      <c r="F3479" s="629"/>
      <c r="G3479" s="629"/>
      <c r="H3479" s="629"/>
      <c r="I3479" s="629"/>
      <c r="J3479" s="629"/>
      <c r="K3479" s="629"/>
      <c r="L3479" s="629"/>
      <c r="M3479" s="629"/>
      <c r="N3479" s="629"/>
      <c r="O3479" s="629"/>
      <c r="P3479" s="629"/>
      <c r="Q3479" s="629"/>
      <c r="R3479" s="629"/>
    </row>
    <row r="3480" spans="1:18" ht="24">
      <c r="A3480" s="165">
        <v>752</v>
      </c>
      <c r="B3480" s="162" t="s">
        <v>6342</v>
      </c>
      <c r="C3480" s="166" t="s">
        <v>6343</v>
      </c>
      <c r="D3480" s="167">
        <v>5611.96</v>
      </c>
      <c r="E3480" s="167">
        <v>633.26</v>
      </c>
      <c r="F3480" s="167">
        <v>2877.15</v>
      </c>
      <c r="G3480" s="167">
        <v>2101.5500000000002</v>
      </c>
      <c r="H3480" s="168">
        <v>29054.51</v>
      </c>
      <c r="I3480" s="168">
        <v>7282.54</v>
      </c>
      <c r="J3480" s="168">
        <v>14687.76</v>
      </c>
      <c r="K3480" s="168">
        <v>7084.21</v>
      </c>
      <c r="L3480" s="43">
        <v>5.1772482341285393</v>
      </c>
      <c r="M3480" s="43">
        <v>11.500078956510754</v>
      </c>
      <c r="N3480" s="43">
        <v>5.1049684583702621</v>
      </c>
      <c r="O3480" s="43">
        <v>3.3709452546929644</v>
      </c>
      <c r="P3480" s="169"/>
      <c r="Q3480" s="169"/>
      <c r="R3480" s="169">
        <v>16</v>
      </c>
    </row>
    <row r="3481" spans="1:18" ht="12.75" customHeight="1">
      <c r="A3481" s="628" t="s">
        <v>6344</v>
      </c>
      <c r="B3481" s="629"/>
      <c r="C3481" s="629"/>
      <c r="D3481" s="629"/>
      <c r="E3481" s="629"/>
      <c r="F3481" s="629"/>
      <c r="G3481" s="629"/>
      <c r="H3481" s="629"/>
      <c r="I3481" s="629"/>
      <c r="J3481" s="629"/>
      <c r="K3481" s="629"/>
      <c r="L3481" s="629"/>
      <c r="M3481" s="629"/>
      <c r="N3481" s="629"/>
      <c r="O3481" s="629"/>
      <c r="P3481" s="629"/>
      <c r="Q3481" s="629"/>
      <c r="R3481" s="629"/>
    </row>
    <row r="3482" spans="1:18" ht="24">
      <c r="A3482" s="165">
        <v>753</v>
      </c>
      <c r="B3482" s="162" t="s">
        <v>6345</v>
      </c>
      <c r="C3482" s="166" t="s">
        <v>6346</v>
      </c>
      <c r="D3482" s="167">
        <v>343.73</v>
      </c>
      <c r="E3482" s="167">
        <v>122.33</v>
      </c>
      <c r="F3482" s="167">
        <v>156.62</v>
      </c>
      <c r="G3482" s="167">
        <v>64.78</v>
      </c>
      <c r="H3482" s="168">
        <v>2481.13</v>
      </c>
      <c r="I3482" s="168">
        <v>1406.8</v>
      </c>
      <c r="J3482" s="168">
        <v>797.68</v>
      </c>
      <c r="K3482" s="168">
        <v>276.64999999999998</v>
      </c>
      <c r="L3482" s="43">
        <v>7.2182526983388122</v>
      </c>
      <c r="M3482" s="43">
        <v>11.500040873048311</v>
      </c>
      <c r="N3482" s="43">
        <v>5.093091559187843</v>
      </c>
      <c r="O3482" s="43">
        <v>4.2706082124112372</v>
      </c>
      <c r="P3482" s="169"/>
      <c r="Q3482" s="169"/>
      <c r="R3482" s="169">
        <v>17</v>
      </c>
    </row>
    <row r="3483" spans="1:18" ht="24">
      <c r="A3483" s="165">
        <v>754</v>
      </c>
      <c r="B3483" s="162" t="s">
        <v>6347</v>
      </c>
      <c r="C3483" s="166" t="s">
        <v>6348</v>
      </c>
      <c r="D3483" s="167">
        <v>635.66999999999996</v>
      </c>
      <c r="E3483" s="167">
        <v>44.47</v>
      </c>
      <c r="F3483" s="167">
        <v>114.06</v>
      </c>
      <c r="G3483" s="167">
        <v>477.14</v>
      </c>
      <c r="H3483" s="168">
        <v>2432.33</v>
      </c>
      <c r="I3483" s="168">
        <v>511.43</v>
      </c>
      <c r="J3483" s="168">
        <v>580.91999999999996</v>
      </c>
      <c r="K3483" s="168">
        <v>1339.98</v>
      </c>
      <c r="L3483" s="43">
        <v>3.8264036371073042</v>
      </c>
      <c r="M3483" s="43">
        <v>11.500562176748371</v>
      </c>
      <c r="N3483" s="43">
        <v>5.0931088900578638</v>
      </c>
      <c r="O3483" s="43">
        <v>2.8083581338810415</v>
      </c>
      <c r="P3483" s="169"/>
      <c r="Q3483" s="169"/>
      <c r="R3483" s="169">
        <v>17</v>
      </c>
    </row>
    <row r="3484" spans="1:18" ht="24">
      <c r="A3484" s="165">
        <v>755</v>
      </c>
      <c r="B3484" s="162" t="s">
        <v>6349</v>
      </c>
      <c r="C3484" s="166" t="s">
        <v>6350</v>
      </c>
      <c r="D3484" s="167">
        <v>262.16000000000003</v>
      </c>
      <c r="E3484" s="167">
        <v>68.34</v>
      </c>
      <c r="F3484" s="167">
        <v>189.02</v>
      </c>
      <c r="G3484" s="167">
        <v>4.8</v>
      </c>
      <c r="H3484" s="168">
        <v>1781.56</v>
      </c>
      <c r="I3484" s="168">
        <v>785.94</v>
      </c>
      <c r="J3484" s="168">
        <v>969.09</v>
      </c>
      <c r="K3484" s="168">
        <v>26.53</v>
      </c>
      <c r="L3484" s="43">
        <v>6.795697284101311</v>
      </c>
      <c r="M3484" s="43">
        <v>11.500438981562775</v>
      </c>
      <c r="N3484" s="43">
        <v>5.1269177864776214</v>
      </c>
      <c r="O3484" s="43">
        <v>5.5270833333333336</v>
      </c>
      <c r="P3484" s="169"/>
      <c r="Q3484" s="169"/>
      <c r="R3484" s="169">
        <v>17</v>
      </c>
    </row>
    <row r="3485" spans="1:18" ht="24">
      <c r="A3485" s="165">
        <v>756</v>
      </c>
      <c r="B3485" s="162" t="s">
        <v>6351</v>
      </c>
      <c r="C3485" s="166" t="s">
        <v>6352</v>
      </c>
      <c r="D3485" s="167">
        <v>4381.45</v>
      </c>
      <c r="E3485" s="167">
        <v>122.86</v>
      </c>
      <c r="F3485" s="167">
        <v>5.55</v>
      </c>
      <c r="G3485" s="167">
        <v>4253.04</v>
      </c>
      <c r="H3485" s="168">
        <v>15251.68</v>
      </c>
      <c r="I3485" s="168">
        <v>1412.99</v>
      </c>
      <c r="J3485" s="168">
        <v>29.84</v>
      </c>
      <c r="K3485" s="168">
        <v>13808.85</v>
      </c>
      <c r="L3485" s="43">
        <v>3.4809663467573522</v>
      </c>
      <c r="M3485" s="43">
        <v>11.500813934559661</v>
      </c>
      <c r="N3485" s="43">
        <v>5.3765765765765767</v>
      </c>
      <c r="O3485" s="43">
        <v>3.2468187461204221</v>
      </c>
      <c r="P3485" s="169"/>
      <c r="Q3485" s="169"/>
      <c r="R3485" s="169">
        <v>17</v>
      </c>
    </row>
    <row r="3486" spans="1:18" ht="24">
      <c r="A3486" s="165">
        <v>757</v>
      </c>
      <c r="B3486" s="162" t="s">
        <v>6353</v>
      </c>
      <c r="C3486" s="166" t="s">
        <v>6354</v>
      </c>
      <c r="D3486" s="167">
        <v>498.56</v>
      </c>
      <c r="E3486" s="167">
        <v>40.21</v>
      </c>
      <c r="F3486" s="167">
        <v>5.55</v>
      </c>
      <c r="G3486" s="167">
        <v>452.8</v>
      </c>
      <c r="H3486" s="168">
        <v>1698.61</v>
      </c>
      <c r="I3486" s="168">
        <v>462.47</v>
      </c>
      <c r="J3486" s="168">
        <v>29.84</v>
      </c>
      <c r="K3486" s="168">
        <v>1206.3</v>
      </c>
      <c r="L3486" s="43">
        <v>3.4070322528883183</v>
      </c>
      <c r="M3486" s="43">
        <v>11.501367818950511</v>
      </c>
      <c r="N3486" s="43">
        <v>5.3765765765765767</v>
      </c>
      <c r="O3486" s="43">
        <v>2.664090106007067</v>
      </c>
      <c r="P3486" s="169"/>
      <c r="Q3486" s="169"/>
      <c r="R3486" s="169">
        <v>17</v>
      </c>
    </row>
    <row r="3487" spans="1:18" ht="24">
      <c r="A3487" s="165">
        <v>758</v>
      </c>
      <c r="B3487" s="162" t="s">
        <v>6355</v>
      </c>
      <c r="C3487" s="166" t="s">
        <v>6356</v>
      </c>
      <c r="D3487" s="167">
        <v>4716.3900000000003</v>
      </c>
      <c r="E3487" s="167">
        <v>862.22</v>
      </c>
      <c r="F3487" s="167">
        <v>2090.41</v>
      </c>
      <c r="G3487" s="167">
        <v>1763.76</v>
      </c>
      <c r="H3487" s="168">
        <v>25825.96</v>
      </c>
      <c r="I3487" s="168">
        <v>9915.58</v>
      </c>
      <c r="J3487" s="168">
        <v>10655.34</v>
      </c>
      <c r="K3487" s="168">
        <v>5255.04</v>
      </c>
      <c r="L3487" s="43">
        <v>5.4757897459709648</v>
      </c>
      <c r="M3487" s="43">
        <v>11.50005798984018</v>
      </c>
      <c r="N3487" s="43">
        <v>5.0972488650551808</v>
      </c>
      <c r="O3487" s="43">
        <v>2.9794529868009252</v>
      </c>
      <c r="P3487" s="169"/>
      <c r="Q3487" s="169"/>
      <c r="R3487" s="169">
        <v>17</v>
      </c>
    </row>
    <row r="3488" spans="1:18" ht="24">
      <c r="A3488" s="165">
        <v>759</v>
      </c>
      <c r="B3488" s="162" t="s">
        <v>6357</v>
      </c>
      <c r="C3488" s="166" t="s">
        <v>6358</v>
      </c>
      <c r="D3488" s="167">
        <v>3925.84</v>
      </c>
      <c r="E3488" s="167">
        <v>1238.24</v>
      </c>
      <c r="F3488" s="167">
        <v>805.26</v>
      </c>
      <c r="G3488" s="167">
        <v>1882.34</v>
      </c>
      <c r="H3488" s="168">
        <v>23948.04</v>
      </c>
      <c r="I3488" s="168">
        <v>14239.76</v>
      </c>
      <c r="J3488" s="168">
        <v>4150.63</v>
      </c>
      <c r="K3488" s="168">
        <v>5557.65</v>
      </c>
      <c r="L3488" s="43">
        <v>6.100105964583376</v>
      </c>
      <c r="M3488" s="43">
        <v>11.5</v>
      </c>
      <c r="N3488" s="43">
        <v>5.1543973375058991</v>
      </c>
      <c r="O3488" s="43">
        <v>2.9525218610877948</v>
      </c>
      <c r="P3488" s="169"/>
      <c r="Q3488" s="169"/>
      <c r="R3488" s="169">
        <v>17</v>
      </c>
    </row>
    <row r="3489" spans="1:18" ht="24">
      <c r="A3489" s="165">
        <v>760</v>
      </c>
      <c r="B3489" s="162" t="s">
        <v>6359</v>
      </c>
      <c r="C3489" s="166" t="s">
        <v>6360</v>
      </c>
      <c r="D3489" s="167">
        <v>2261.29</v>
      </c>
      <c r="E3489" s="167">
        <v>823.89</v>
      </c>
      <c r="F3489" s="167">
        <v>66.83</v>
      </c>
      <c r="G3489" s="167">
        <v>1370.57</v>
      </c>
      <c r="H3489" s="168">
        <v>13920.48</v>
      </c>
      <c r="I3489" s="168">
        <v>9474.76</v>
      </c>
      <c r="J3489" s="168">
        <v>341.97</v>
      </c>
      <c r="K3489" s="168">
        <v>4103.75</v>
      </c>
      <c r="L3489" s="43">
        <v>6.1559906071313275</v>
      </c>
      <c r="M3489" s="43">
        <v>11.500030343856583</v>
      </c>
      <c r="N3489" s="43">
        <v>5.1170133173724377</v>
      </c>
      <c r="O3489" s="43">
        <v>2.9941921974069183</v>
      </c>
      <c r="P3489" s="169"/>
      <c r="Q3489" s="169"/>
      <c r="R3489" s="169">
        <v>17</v>
      </c>
    </row>
    <row r="3490" spans="1:18" ht="24">
      <c r="A3490" s="165">
        <v>761</v>
      </c>
      <c r="B3490" s="162" t="s">
        <v>6361</v>
      </c>
      <c r="C3490" s="166" t="s">
        <v>6362</v>
      </c>
      <c r="D3490" s="167">
        <v>1949.29</v>
      </c>
      <c r="E3490" s="167">
        <v>345.07</v>
      </c>
      <c r="F3490" s="167">
        <v>661.85</v>
      </c>
      <c r="G3490" s="167">
        <v>942.37</v>
      </c>
      <c r="H3490" s="168">
        <v>10247.68</v>
      </c>
      <c r="I3490" s="168">
        <v>3968.28</v>
      </c>
      <c r="J3490" s="168">
        <v>3375.62</v>
      </c>
      <c r="K3490" s="168">
        <v>2903.78</v>
      </c>
      <c r="L3490" s="43">
        <v>5.2571346490260558</v>
      </c>
      <c r="M3490" s="43">
        <v>11.499927550931696</v>
      </c>
      <c r="N3490" s="43">
        <v>5.1002795195285939</v>
      </c>
      <c r="O3490" s="43">
        <v>3.0813587019960313</v>
      </c>
      <c r="P3490" s="169"/>
      <c r="Q3490" s="169"/>
      <c r="R3490" s="169">
        <v>17</v>
      </c>
    </row>
    <row r="3491" spans="1:18" ht="24">
      <c r="A3491" s="165">
        <v>762</v>
      </c>
      <c r="B3491" s="162" t="s">
        <v>6363</v>
      </c>
      <c r="C3491" s="166" t="s">
        <v>6364</v>
      </c>
      <c r="D3491" s="167">
        <v>2230.13</v>
      </c>
      <c r="E3491" s="167">
        <v>463.09</v>
      </c>
      <c r="F3491" s="167">
        <v>780.83</v>
      </c>
      <c r="G3491" s="167">
        <v>986.21</v>
      </c>
      <c r="H3491" s="168">
        <v>12374.43</v>
      </c>
      <c r="I3491" s="168">
        <v>5325.51</v>
      </c>
      <c r="J3491" s="168">
        <v>3983.97</v>
      </c>
      <c r="K3491" s="168">
        <v>3064.95</v>
      </c>
      <c r="L3491" s="43">
        <v>5.5487482792482945</v>
      </c>
      <c r="M3491" s="43">
        <v>11.499946014813537</v>
      </c>
      <c r="N3491" s="43">
        <v>5.1022245559212624</v>
      </c>
      <c r="O3491" s="43">
        <v>3.1078066537552851</v>
      </c>
      <c r="P3491" s="169"/>
      <c r="Q3491" s="169"/>
      <c r="R3491" s="169">
        <v>17</v>
      </c>
    </row>
    <row r="3492" spans="1:18" ht="24">
      <c r="A3492" s="165">
        <v>763</v>
      </c>
      <c r="B3492" s="162" t="s">
        <v>6365</v>
      </c>
      <c r="C3492" s="166" t="s">
        <v>6366</v>
      </c>
      <c r="D3492" s="167">
        <v>4109.79</v>
      </c>
      <c r="E3492" s="167">
        <v>496.81</v>
      </c>
      <c r="F3492" s="167">
        <v>1267.52</v>
      </c>
      <c r="G3492" s="167">
        <v>2345.46</v>
      </c>
      <c r="H3492" s="168">
        <v>19178.18</v>
      </c>
      <c r="I3492" s="168">
        <v>5713.29</v>
      </c>
      <c r="J3492" s="168">
        <v>6465.12</v>
      </c>
      <c r="K3492" s="168">
        <v>6999.77</v>
      </c>
      <c r="L3492" s="43">
        <v>4.6664622766613384</v>
      </c>
      <c r="M3492" s="43">
        <v>11.499949678951712</v>
      </c>
      <c r="N3492" s="43">
        <v>5.1006059075990908</v>
      </c>
      <c r="O3492" s="43">
        <v>2.984391121571035</v>
      </c>
      <c r="P3492" s="169"/>
      <c r="Q3492" s="169"/>
      <c r="R3492" s="169">
        <v>17</v>
      </c>
    </row>
    <row r="3493" spans="1:18" ht="24">
      <c r="A3493" s="165">
        <v>764</v>
      </c>
      <c r="B3493" s="162" t="s">
        <v>6367</v>
      </c>
      <c r="C3493" s="166" t="s">
        <v>6368</v>
      </c>
      <c r="D3493" s="167">
        <v>1220.81</v>
      </c>
      <c r="E3493" s="167">
        <v>83.59</v>
      </c>
      <c r="F3493" s="167">
        <v>5.55</v>
      </c>
      <c r="G3493" s="167">
        <v>1131.67</v>
      </c>
      <c r="H3493" s="168">
        <v>4003.11</v>
      </c>
      <c r="I3493" s="168">
        <v>961.31</v>
      </c>
      <c r="J3493" s="168">
        <v>29.84</v>
      </c>
      <c r="K3493" s="168">
        <v>3011.96</v>
      </c>
      <c r="L3493" s="43">
        <v>3.2790606236842756</v>
      </c>
      <c r="M3493" s="43">
        <v>11.50029907883718</v>
      </c>
      <c r="N3493" s="43">
        <v>5.3765765765765767</v>
      </c>
      <c r="O3493" s="43">
        <v>2.661517933673244</v>
      </c>
      <c r="P3493" s="169"/>
      <c r="Q3493" s="169"/>
      <c r="R3493" s="169">
        <v>17</v>
      </c>
    </row>
    <row r="3494" spans="1:18" ht="24">
      <c r="A3494" s="165">
        <v>765</v>
      </c>
      <c r="B3494" s="162" t="s">
        <v>6369</v>
      </c>
      <c r="C3494" s="166" t="s">
        <v>6370</v>
      </c>
      <c r="D3494" s="167">
        <v>5509.47</v>
      </c>
      <c r="E3494" s="167">
        <v>942.39</v>
      </c>
      <c r="F3494" s="167">
        <v>890.28</v>
      </c>
      <c r="G3494" s="167">
        <v>3676.8</v>
      </c>
      <c r="H3494" s="168">
        <v>25969.95</v>
      </c>
      <c r="I3494" s="168">
        <v>10837.49</v>
      </c>
      <c r="J3494" s="168">
        <v>4549.38</v>
      </c>
      <c r="K3494" s="168">
        <v>10583.08</v>
      </c>
      <c r="L3494" s="43">
        <v>4.7136929686521567</v>
      </c>
      <c r="M3494" s="43">
        <v>11.500005305659016</v>
      </c>
      <c r="N3494" s="43">
        <v>5.1100552635126029</v>
      </c>
      <c r="O3494" s="43">
        <v>2.8783398607484769</v>
      </c>
      <c r="P3494" s="169"/>
      <c r="Q3494" s="169"/>
      <c r="R3494" s="169">
        <v>17</v>
      </c>
    </row>
    <row r="3495" spans="1:18" ht="12.75" customHeight="1">
      <c r="A3495" s="628" t="s">
        <v>6371</v>
      </c>
      <c r="B3495" s="629"/>
      <c r="C3495" s="629"/>
      <c r="D3495" s="629"/>
      <c r="E3495" s="629"/>
      <c r="F3495" s="629"/>
      <c r="G3495" s="629"/>
      <c r="H3495" s="629"/>
      <c r="I3495" s="629"/>
      <c r="J3495" s="629"/>
      <c r="K3495" s="629"/>
      <c r="L3495" s="629"/>
      <c r="M3495" s="629"/>
      <c r="N3495" s="629"/>
      <c r="O3495" s="629"/>
      <c r="P3495" s="629"/>
      <c r="Q3495" s="629"/>
      <c r="R3495" s="629"/>
    </row>
    <row r="3496" spans="1:18" ht="24">
      <c r="A3496" s="165">
        <v>766</v>
      </c>
      <c r="B3496" s="162" t="s">
        <v>6372</v>
      </c>
      <c r="C3496" s="166" t="s">
        <v>6373</v>
      </c>
      <c r="D3496" s="167">
        <v>103.7</v>
      </c>
      <c r="E3496" s="167">
        <v>29.47</v>
      </c>
      <c r="F3496" s="167">
        <v>73.64</v>
      </c>
      <c r="G3496" s="167">
        <v>0.59</v>
      </c>
      <c r="H3496" s="168">
        <v>722.36</v>
      </c>
      <c r="I3496" s="168">
        <v>338.91</v>
      </c>
      <c r="J3496" s="168">
        <v>376.66</v>
      </c>
      <c r="K3496" s="168">
        <v>6.79</v>
      </c>
      <c r="L3496" s="43">
        <v>6.9658630665380903</v>
      </c>
      <c r="M3496" s="43">
        <v>11.500169664065153</v>
      </c>
      <c r="N3496" s="43">
        <v>5.1148832156436725</v>
      </c>
      <c r="O3496" s="43">
        <v>11.5</v>
      </c>
      <c r="P3496" s="169"/>
      <c r="Q3496" s="169"/>
      <c r="R3496" s="169">
        <v>18</v>
      </c>
    </row>
    <row r="3497" spans="1:18" ht="24">
      <c r="A3497" s="165">
        <v>767</v>
      </c>
      <c r="B3497" s="162" t="s">
        <v>6374</v>
      </c>
      <c r="C3497" s="166" t="s">
        <v>6375</v>
      </c>
      <c r="D3497" s="167">
        <v>69.28</v>
      </c>
      <c r="E3497" s="167">
        <v>19.09</v>
      </c>
      <c r="F3497" s="167">
        <v>49.81</v>
      </c>
      <c r="G3497" s="167">
        <v>0.38</v>
      </c>
      <c r="H3497" s="168">
        <v>479.2</v>
      </c>
      <c r="I3497" s="168">
        <v>219.56</v>
      </c>
      <c r="J3497" s="168">
        <v>255.27</v>
      </c>
      <c r="K3497" s="168">
        <v>4.37</v>
      </c>
      <c r="L3497" s="43">
        <v>6.9168591224018474</v>
      </c>
      <c r="M3497" s="43">
        <v>11.50130958617077</v>
      </c>
      <c r="N3497" s="43">
        <v>5.1248745231881152</v>
      </c>
      <c r="O3497" s="43">
        <v>11.5</v>
      </c>
      <c r="P3497" s="169"/>
      <c r="Q3497" s="169"/>
      <c r="R3497" s="169">
        <v>18</v>
      </c>
    </row>
    <row r="3498" spans="1:18" ht="12.75" customHeight="1">
      <c r="A3498" s="628" t="s">
        <v>6376</v>
      </c>
      <c r="B3498" s="629"/>
      <c r="C3498" s="629"/>
      <c r="D3498" s="629"/>
      <c r="E3498" s="629"/>
      <c r="F3498" s="629"/>
      <c r="G3498" s="629"/>
      <c r="H3498" s="629"/>
      <c r="I3498" s="629"/>
      <c r="J3498" s="629"/>
      <c r="K3498" s="629"/>
      <c r="L3498" s="629"/>
      <c r="M3498" s="629"/>
      <c r="N3498" s="629"/>
      <c r="O3498" s="629"/>
      <c r="P3498" s="629"/>
      <c r="Q3498" s="629"/>
      <c r="R3498" s="629"/>
    </row>
    <row r="3499" spans="1:18" ht="12.75" customHeight="1">
      <c r="A3499" s="628" t="s">
        <v>6377</v>
      </c>
      <c r="B3499" s="629"/>
      <c r="C3499" s="629"/>
      <c r="D3499" s="629"/>
      <c r="E3499" s="629"/>
      <c r="F3499" s="629"/>
      <c r="G3499" s="629"/>
      <c r="H3499" s="629"/>
      <c r="I3499" s="629"/>
      <c r="J3499" s="629"/>
      <c r="K3499" s="629"/>
      <c r="L3499" s="629"/>
      <c r="M3499" s="629"/>
      <c r="N3499" s="629"/>
      <c r="O3499" s="629"/>
      <c r="P3499" s="629"/>
      <c r="Q3499" s="629"/>
      <c r="R3499" s="629"/>
    </row>
    <row r="3500" spans="1:18" ht="24">
      <c r="A3500" s="165">
        <v>768</v>
      </c>
      <c r="B3500" s="162" t="s">
        <v>6378</v>
      </c>
      <c r="C3500" s="166" t="s">
        <v>6379</v>
      </c>
      <c r="D3500" s="167">
        <v>689.4</v>
      </c>
      <c r="E3500" s="167">
        <v>323.26</v>
      </c>
      <c r="F3500" s="167">
        <v>44.77</v>
      </c>
      <c r="G3500" s="167">
        <v>321.37</v>
      </c>
      <c r="H3500" s="168">
        <v>5571.67</v>
      </c>
      <c r="I3500" s="168">
        <v>3717.62</v>
      </c>
      <c r="J3500" s="168">
        <v>240.63</v>
      </c>
      <c r="K3500" s="168">
        <v>1613.42</v>
      </c>
      <c r="L3500" s="43">
        <v>8.0819118073687264</v>
      </c>
      <c r="M3500" s="43">
        <v>11.500402153065643</v>
      </c>
      <c r="N3500" s="43">
        <v>5.3748045566227383</v>
      </c>
      <c r="O3500" s="43">
        <v>5.020443725301055</v>
      </c>
      <c r="P3500" s="169"/>
      <c r="Q3500" s="169"/>
      <c r="R3500" s="169">
        <v>1</v>
      </c>
    </row>
    <row r="3501" spans="1:18" ht="24">
      <c r="A3501" s="165">
        <v>769</v>
      </c>
      <c r="B3501" s="162" t="s">
        <v>6380</v>
      </c>
      <c r="C3501" s="166" t="s">
        <v>6381</v>
      </c>
      <c r="D3501" s="167">
        <v>1721.34</v>
      </c>
      <c r="E3501" s="167">
        <v>686.2</v>
      </c>
      <c r="F3501" s="167">
        <v>130.75</v>
      </c>
      <c r="G3501" s="167">
        <v>904.39</v>
      </c>
      <c r="H3501" s="168">
        <v>12682.35</v>
      </c>
      <c r="I3501" s="168">
        <v>7891.55</v>
      </c>
      <c r="J3501" s="168">
        <v>703.26</v>
      </c>
      <c r="K3501" s="168">
        <v>4087.54</v>
      </c>
      <c r="L3501" s="43">
        <v>7.3677193349367363</v>
      </c>
      <c r="M3501" s="43">
        <v>11.500364325269601</v>
      </c>
      <c r="N3501" s="43">
        <v>5.3786615678776286</v>
      </c>
      <c r="O3501" s="43">
        <v>4.5196651886907198</v>
      </c>
      <c r="P3501" s="169"/>
      <c r="Q3501" s="169"/>
      <c r="R3501" s="169">
        <v>1</v>
      </c>
    </row>
    <row r="3502" spans="1:18" ht="24">
      <c r="A3502" s="165">
        <v>770</v>
      </c>
      <c r="B3502" s="162" t="s">
        <v>6382</v>
      </c>
      <c r="C3502" s="166" t="s">
        <v>6383</v>
      </c>
      <c r="D3502" s="167">
        <v>59.6</v>
      </c>
      <c r="E3502" s="167">
        <v>41.9</v>
      </c>
      <c r="F3502" s="167">
        <v>9.99</v>
      </c>
      <c r="G3502" s="167">
        <v>7.71</v>
      </c>
      <c r="H3502" s="168">
        <v>589.04999999999995</v>
      </c>
      <c r="I3502" s="168">
        <v>481.81</v>
      </c>
      <c r="J3502" s="168">
        <v>53.63</v>
      </c>
      <c r="K3502" s="168">
        <v>53.61</v>
      </c>
      <c r="L3502" s="43">
        <v>9.8833892617449646</v>
      </c>
      <c r="M3502" s="43">
        <v>11.499045346062053</v>
      </c>
      <c r="N3502" s="43">
        <v>5.3683683683683689</v>
      </c>
      <c r="O3502" s="43">
        <v>6.9533073929961091</v>
      </c>
      <c r="P3502" s="169"/>
      <c r="Q3502" s="169"/>
      <c r="R3502" s="169">
        <v>1</v>
      </c>
    </row>
    <row r="3503" spans="1:18" ht="24">
      <c r="A3503" s="165">
        <v>771</v>
      </c>
      <c r="B3503" s="162" t="s">
        <v>6384</v>
      </c>
      <c r="C3503" s="166" t="s">
        <v>6385</v>
      </c>
      <c r="D3503" s="167">
        <v>273.41000000000003</v>
      </c>
      <c r="E3503" s="167">
        <v>138.87</v>
      </c>
      <c r="F3503" s="167">
        <v>30.37</v>
      </c>
      <c r="G3503" s="167">
        <v>104.17</v>
      </c>
      <c r="H3503" s="168">
        <v>2569.36</v>
      </c>
      <c r="I3503" s="168">
        <v>1597.1</v>
      </c>
      <c r="J3503" s="168">
        <v>162.25</v>
      </c>
      <c r="K3503" s="168">
        <v>810.01</v>
      </c>
      <c r="L3503" s="43">
        <v>9.3974616875754364</v>
      </c>
      <c r="M3503" s="43">
        <v>11.500684093036652</v>
      </c>
      <c r="N3503" s="43">
        <v>5.3424432005268354</v>
      </c>
      <c r="O3503" s="43">
        <v>7.775847172890467</v>
      </c>
      <c r="P3503" s="169"/>
      <c r="Q3503" s="169"/>
      <c r="R3503" s="169">
        <v>1</v>
      </c>
    </row>
    <row r="3504" spans="1:18" ht="24">
      <c r="A3504" s="165">
        <v>772</v>
      </c>
      <c r="B3504" s="162" t="s">
        <v>6386</v>
      </c>
      <c r="C3504" s="166" t="s">
        <v>6387</v>
      </c>
      <c r="D3504" s="167">
        <v>325.67</v>
      </c>
      <c r="E3504" s="167">
        <v>236.9</v>
      </c>
      <c r="F3504" s="167">
        <v>45.68</v>
      </c>
      <c r="G3504" s="167">
        <v>43.09</v>
      </c>
      <c r="H3504" s="168">
        <v>3269.37</v>
      </c>
      <c r="I3504" s="168">
        <v>2724.46</v>
      </c>
      <c r="J3504" s="168">
        <v>243.84</v>
      </c>
      <c r="K3504" s="168">
        <v>301.07</v>
      </c>
      <c r="L3504" s="43">
        <v>10.038904412442042</v>
      </c>
      <c r="M3504" s="43">
        <v>11.500464330941325</v>
      </c>
      <c r="N3504" s="43">
        <v>5.3380035026269708</v>
      </c>
      <c r="O3504" s="43">
        <v>6.987003945230911</v>
      </c>
      <c r="P3504" s="169"/>
      <c r="Q3504" s="169"/>
      <c r="R3504" s="169">
        <v>1</v>
      </c>
    </row>
    <row r="3505" spans="1:18" ht="36">
      <c r="A3505" s="165">
        <v>773</v>
      </c>
      <c r="B3505" s="162" t="s">
        <v>6388</v>
      </c>
      <c r="C3505" s="166" t="s">
        <v>6389</v>
      </c>
      <c r="D3505" s="167">
        <v>227.32</v>
      </c>
      <c r="E3505" s="167">
        <v>65.59</v>
      </c>
      <c r="F3505" s="167">
        <v>39.56</v>
      </c>
      <c r="G3505" s="167">
        <v>122.17</v>
      </c>
      <c r="H3505" s="168">
        <v>1746.89</v>
      </c>
      <c r="I3505" s="168">
        <v>754.26</v>
      </c>
      <c r="J3505" s="168">
        <v>209.76</v>
      </c>
      <c r="K3505" s="168">
        <v>782.87</v>
      </c>
      <c r="L3505" s="43">
        <v>7.6847175787436219</v>
      </c>
      <c r="M3505" s="43">
        <v>11.499618844336027</v>
      </c>
      <c r="N3505" s="43">
        <v>5.3023255813953485</v>
      </c>
      <c r="O3505" s="43">
        <v>6.4080379798641234</v>
      </c>
      <c r="P3505" s="169"/>
      <c r="Q3505" s="169"/>
      <c r="R3505" s="169">
        <v>1</v>
      </c>
    </row>
    <row r="3506" spans="1:18" ht="24">
      <c r="A3506" s="165">
        <v>774</v>
      </c>
      <c r="B3506" s="162" t="s">
        <v>6390</v>
      </c>
      <c r="C3506" s="166" t="s">
        <v>6391</v>
      </c>
      <c r="D3506" s="167">
        <v>91.61</v>
      </c>
      <c r="E3506" s="167">
        <v>27.31</v>
      </c>
      <c r="F3506" s="167">
        <v>17.47</v>
      </c>
      <c r="G3506" s="167">
        <v>46.83</v>
      </c>
      <c r="H3506" s="168">
        <v>703.68</v>
      </c>
      <c r="I3506" s="168">
        <v>314.05</v>
      </c>
      <c r="J3506" s="168">
        <v>92.77</v>
      </c>
      <c r="K3506" s="168">
        <v>296.86</v>
      </c>
      <c r="L3506" s="43">
        <v>7.6812575046392313</v>
      </c>
      <c r="M3506" s="43">
        <v>11.499450750640792</v>
      </c>
      <c r="N3506" s="43">
        <v>5.3102461362335429</v>
      </c>
      <c r="O3506" s="43">
        <v>6.3390988682468512</v>
      </c>
      <c r="P3506" s="169"/>
      <c r="Q3506" s="169"/>
      <c r="R3506" s="169">
        <v>1</v>
      </c>
    </row>
    <row r="3507" spans="1:18" ht="24">
      <c r="A3507" s="165">
        <v>775</v>
      </c>
      <c r="B3507" s="162" t="s">
        <v>6392</v>
      </c>
      <c r="C3507" s="166" t="s">
        <v>6393</v>
      </c>
      <c r="D3507" s="167">
        <v>124.87</v>
      </c>
      <c r="E3507" s="167">
        <v>36.119999999999997</v>
      </c>
      <c r="F3507" s="167">
        <v>0.62</v>
      </c>
      <c r="G3507" s="167">
        <v>88.13</v>
      </c>
      <c r="H3507" s="168">
        <v>845.72</v>
      </c>
      <c r="I3507" s="168">
        <v>415.4</v>
      </c>
      <c r="J3507" s="168">
        <v>3.26</v>
      </c>
      <c r="K3507" s="168">
        <v>427.06</v>
      </c>
      <c r="L3507" s="43">
        <v>6.7728037158644989</v>
      </c>
      <c r="M3507" s="43">
        <v>11.500553709856035</v>
      </c>
      <c r="N3507" s="43">
        <v>5.258064516129032</v>
      </c>
      <c r="O3507" s="43">
        <v>4.8457959832066271</v>
      </c>
      <c r="P3507" s="169"/>
      <c r="Q3507" s="169"/>
      <c r="R3507" s="169">
        <v>1</v>
      </c>
    </row>
    <row r="3508" spans="1:18" ht="36">
      <c r="A3508" s="165">
        <v>776</v>
      </c>
      <c r="B3508" s="162" t="s">
        <v>6394</v>
      </c>
      <c r="C3508" s="166" t="s">
        <v>6395</v>
      </c>
      <c r="D3508" s="167">
        <v>312.82</v>
      </c>
      <c r="E3508" s="167">
        <v>105.03</v>
      </c>
      <c r="F3508" s="167">
        <v>17.78</v>
      </c>
      <c r="G3508" s="167">
        <v>190.01</v>
      </c>
      <c r="H3508" s="168">
        <v>2236.2399999999998</v>
      </c>
      <c r="I3508" s="168">
        <v>1207.8900000000001</v>
      </c>
      <c r="J3508" s="168">
        <v>94.63</v>
      </c>
      <c r="K3508" s="168">
        <v>933.72</v>
      </c>
      <c r="L3508" s="43">
        <v>7.1486477846684986</v>
      </c>
      <c r="M3508" s="43">
        <v>11.500428449014569</v>
      </c>
      <c r="N3508" s="43">
        <v>5.3222722159730029</v>
      </c>
      <c r="O3508" s="43">
        <v>4.914057154886585</v>
      </c>
      <c r="P3508" s="169"/>
      <c r="Q3508" s="169"/>
      <c r="R3508" s="169">
        <v>1</v>
      </c>
    </row>
    <row r="3509" spans="1:18" ht="36">
      <c r="A3509" s="165">
        <v>777</v>
      </c>
      <c r="B3509" s="162" t="s">
        <v>6396</v>
      </c>
      <c r="C3509" s="166" t="s">
        <v>6397</v>
      </c>
      <c r="D3509" s="167">
        <v>413.99</v>
      </c>
      <c r="E3509" s="167">
        <v>133.04</v>
      </c>
      <c r="F3509" s="167">
        <v>17.78</v>
      </c>
      <c r="G3509" s="167">
        <v>263.17</v>
      </c>
      <c r="H3509" s="168">
        <v>2851.81</v>
      </c>
      <c r="I3509" s="168">
        <v>1529.99</v>
      </c>
      <c r="J3509" s="168">
        <v>94.63</v>
      </c>
      <c r="K3509" s="168">
        <v>1227.19</v>
      </c>
      <c r="L3509" s="43">
        <v>6.8885963429068333</v>
      </c>
      <c r="M3509" s="43">
        <v>11.500225496091401</v>
      </c>
      <c r="N3509" s="43">
        <v>5.3222722159730029</v>
      </c>
      <c r="O3509" s="43">
        <v>4.6631074970551358</v>
      </c>
      <c r="P3509" s="169"/>
      <c r="Q3509" s="169"/>
      <c r="R3509" s="169">
        <v>1</v>
      </c>
    </row>
    <row r="3510" spans="1:18" ht="36">
      <c r="A3510" s="165">
        <v>778</v>
      </c>
      <c r="B3510" s="162" t="s">
        <v>6398</v>
      </c>
      <c r="C3510" s="166" t="s">
        <v>6399</v>
      </c>
      <c r="D3510" s="167">
        <v>504.91</v>
      </c>
      <c r="E3510" s="167">
        <v>159.88</v>
      </c>
      <c r="F3510" s="167">
        <v>20.55</v>
      </c>
      <c r="G3510" s="167">
        <v>324.48</v>
      </c>
      <c r="H3510" s="168">
        <v>3433.48</v>
      </c>
      <c r="I3510" s="168">
        <v>1838.68</v>
      </c>
      <c r="J3510" s="168">
        <v>109.56</v>
      </c>
      <c r="K3510" s="168">
        <v>1485.24</v>
      </c>
      <c r="L3510" s="43">
        <v>6.8001822106910144</v>
      </c>
      <c r="M3510" s="43">
        <v>11.500375281461096</v>
      </c>
      <c r="N3510" s="43">
        <v>5.3313868613138684</v>
      </c>
      <c r="O3510" s="43">
        <v>4.5772928994082838</v>
      </c>
      <c r="P3510" s="169"/>
      <c r="Q3510" s="169"/>
      <c r="R3510" s="169">
        <v>1</v>
      </c>
    </row>
    <row r="3511" spans="1:18" ht="12.75" customHeight="1">
      <c r="A3511" s="628" t="s">
        <v>6400</v>
      </c>
      <c r="B3511" s="629"/>
      <c r="C3511" s="629"/>
      <c r="D3511" s="629"/>
      <c r="E3511" s="629"/>
      <c r="F3511" s="629"/>
      <c r="G3511" s="629"/>
      <c r="H3511" s="629"/>
      <c r="I3511" s="629"/>
      <c r="J3511" s="629"/>
      <c r="K3511" s="629"/>
      <c r="L3511" s="629"/>
      <c r="M3511" s="629"/>
      <c r="N3511" s="629"/>
      <c r="O3511" s="629"/>
      <c r="P3511" s="629"/>
      <c r="Q3511" s="629"/>
      <c r="R3511" s="629"/>
    </row>
    <row r="3512" spans="1:18" ht="24">
      <c r="A3512" s="165">
        <v>779</v>
      </c>
      <c r="B3512" s="162" t="s">
        <v>6401</v>
      </c>
      <c r="C3512" s="166" t="s">
        <v>6402</v>
      </c>
      <c r="D3512" s="167">
        <v>701.33</v>
      </c>
      <c r="E3512" s="167">
        <v>340.1</v>
      </c>
      <c r="F3512" s="167">
        <v>47.55</v>
      </c>
      <c r="G3512" s="167">
        <v>313.68</v>
      </c>
      <c r="H3512" s="168">
        <v>5640.92</v>
      </c>
      <c r="I3512" s="168">
        <v>3911.24</v>
      </c>
      <c r="J3512" s="168">
        <v>255.55</v>
      </c>
      <c r="K3512" s="168">
        <v>1474.13</v>
      </c>
      <c r="L3512" s="43">
        <v>8.0431751101478621</v>
      </c>
      <c r="M3512" s="43">
        <v>11.500264628050571</v>
      </c>
      <c r="N3512" s="43">
        <v>5.3743427970557311</v>
      </c>
      <c r="O3512" s="43">
        <v>4.6994707982657484</v>
      </c>
      <c r="P3512" s="169"/>
      <c r="Q3512" s="169"/>
      <c r="R3512" s="169">
        <v>2</v>
      </c>
    </row>
    <row r="3513" spans="1:18" ht="24">
      <c r="A3513" s="165">
        <v>780</v>
      </c>
      <c r="B3513" s="162" t="s">
        <v>6403</v>
      </c>
      <c r="C3513" s="166" t="s">
        <v>6404</v>
      </c>
      <c r="D3513" s="167">
        <v>1582.35</v>
      </c>
      <c r="E3513" s="167">
        <v>671.9</v>
      </c>
      <c r="F3513" s="167">
        <v>116.89</v>
      </c>
      <c r="G3513" s="167">
        <v>793.56</v>
      </c>
      <c r="H3513" s="168">
        <v>12025.3</v>
      </c>
      <c r="I3513" s="168">
        <v>7727.08</v>
      </c>
      <c r="J3513" s="168">
        <v>628.63</v>
      </c>
      <c r="K3513" s="168">
        <v>3669.59</v>
      </c>
      <c r="L3513" s="43">
        <v>7.5996460959964613</v>
      </c>
      <c r="M3513" s="43">
        <v>11.500342312844174</v>
      </c>
      <c r="N3513" s="43">
        <v>5.3779621866712297</v>
      </c>
      <c r="O3513" s="43">
        <v>4.6242124098996928</v>
      </c>
      <c r="P3513" s="169"/>
      <c r="Q3513" s="169"/>
      <c r="R3513" s="169">
        <v>2</v>
      </c>
    </row>
    <row r="3514" spans="1:18" ht="24">
      <c r="A3514" s="165">
        <v>781</v>
      </c>
      <c r="B3514" s="162" t="s">
        <v>6405</v>
      </c>
      <c r="C3514" s="166" t="s">
        <v>6393</v>
      </c>
      <c r="D3514" s="167">
        <v>139.77000000000001</v>
      </c>
      <c r="E3514" s="167">
        <v>39.159999999999997</v>
      </c>
      <c r="F3514" s="167">
        <v>14.48</v>
      </c>
      <c r="G3514" s="167">
        <v>86.13</v>
      </c>
      <c r="H3514" s="168">
        <v>939.43</v>
      </c>
      <c r="I3514" s="168">
        <v>450.39</v>
      </c>
      <c r="J3514" s="168">
        <v>77.88</v>
      </c>
      <c r="K3514" s="168">
        <v>411.16</v>
      </c>
      <c r="L3514" s="43">
        <v>6.7212563497173923</v>
      </c>
      <c r="M3514" s="43">
        <v>11.501276813074567</v>
      </c>
      <c r="N3514" s="43">
        <v>5.3784530386740323</v>
      </c>
      <c r="O3514" s="43">
        <v>4.773714153024498</v>
      </c>
      <c r="P3514" s="169"/>
      <c r="Q3514" s="169"/>
      <c r="R3514" s="169">
        <v>2</v>
      </c>
    </row>
    <row r="3515" spans="1:18" ht="36">
      <c r="A3515" s="165">
        <v>782</v>
      </c>
      <c r="B3515" s="162" t="s">
        <v>6406</v>
      </c>
      <c r="C3515" s="166" t="s">
        <v>6395</v>
      </c>
      <c r="D3515" s="167">
        <v>377.14</v>
      </c>
      <c r="E3515" s="167">
        <v>141.02000000000001</v>
      </c>
      <c r="F3515" s="167">
        <v>25</v>
      </c>
      <c r="G3515" s="167">
        <v>211.12</v>
      </c>
      <c r="H3515" s="168">
        <v>2834.83</v>
      </c>
      <c r="I3515" s="168">
        <v>1621.73</v>
      </c>
      <c r="J3515" s="168">
        <v>133.33000000000001</v>
      </c>
      <c r="K3515" s="168">
        <v>1079.77</v>
      </c>
      <c r="L3515" s="43">
        <v>7.5166516413003128</v>
      </c>
      <c r="M3515" s="43">
        <v>11.5</v>
      </c>
      <c r="N3515" s="43">
        <v>5.3332000000000006</v>
      </c>
      <c r="O3515" s="43">
        <v>5.1144846532777564</v>
      </c>
      <c r="P3515" s="169"/>
      <c r="Q3515" s="169"/>
      <c r="R3515" s="169">
        <v>2</v>
      </c>
    </row>
    <row r="3516" spans="1:18" ht="36">
      <c r="A3516" s="165">
        <v>783</v>
      </c>
      <c r="B3516" s="162" t="s">
        <v>6407</v>
      </c>
      <c r="C3516" s="166" t="s">
        <v>6397</v>
      </c>
      <c r="D3516" s="167">
        <v>475.03</v>
      </c>
      <c r="E3516" s="167">
        <v>171.83</v>
      </c>
      <c r="F3516" s="167">
        <v>25</v>
      </c>
      <c r="G3516" s="167">
        <v>278.2</v>
      </c>
      <c r="H3516" s="168">
        <v>3478.9</v>
      </c>
      <c r="I3516" s="168">
        <v>1976.06</v>
      </c>
      <c r="J3516" s="168">
        <v>133.33000000000001</v>
      </c>
      <c r="K3516" s="168">
        <v>1369.51</v>
      </c>
      <c r="L3516" s="43">
        <v>7.3235374607919503</v>
      </c>
      <c r="M3516" s="43">
        <v>11.500087295582842</v>
      </c>
      <c r="N3516" s="43">
        <v>5.3332000000000006</v>
      </c>
      <c r="O3516" s="43">
        <v>4.92275341480949</v>
      </c>
      <c r="P3516" s="169"/>
      <c r="Q3516" s="169"/>
      <c r="R3516" s="169">
        <v>2</v>
      </c>
    </row>
    <row r="3517" spans="1:18" ht="36">
      <c r="A3517" s="165">
        <v>784</v>
      </c>
      <c r="B3517" s="162" t="s">
        <v>6408</v>
      </c>
      <c r="C3517" s="166" t="s">
        <v>6399</v>
      </c>
      <c r="D3517" s="167">
        <v>579.20000000000005</v>
      </c>
      <c r="E3517" s="167">
        <v>211.53</v>
      </c>
      <c r="F3517" s="167">
        <v>25</v>
      </c>
      <c r="G3517" s="167">
        <v>342.67</v>
      </c>
      <c r="H3517" s="168">
        <v>4204.8100000000004</v>
      </c>
      <c r="I3517" s="168">
        <v>2432.65</v>
      </c>
      <c r="J3517" s="168">
        <v>133.33000000000001</v>
      </c>
      <c r="K3517" s="168">
        <v>1638.83</v>
      </c>
      <c r="L3517" s="43">
        <v>7.2596857734806628</v>
      </c>
      <c r="M3517" s="43">
        <v>11.500260010400416</v>
      </c>
      <c r="N3517" s="43">
        <v>5.3332000000000006</v>
      </c>
      <c r="O3517" s="43">
        <v>4.782531298333673</v>
      </c>
      <c r="P3517" s="169"/>
      <c r="Q3517" s="169"/>
      <c r="R3517" s="169">
        <v>2</v>
      </c>
    </row>
    <row r="3518" spans="1:18" ht="48">
      <c r="A3518" s="165">
        <v>785</v>
      </c>
      <c r="B3518" s="162" t="s">
        <v>6409</v>
      </c>
      <c r="C3518" s="166" t="s">
        <v>6410</v>
      </c>
      <c r="D3518" s="167">
        <v>234.43</v>
      </c>
      <c r="E3518" s="167">
        <v>113.93</v>
      </c>
      <c r="F3518" s="167">
        <v>30.72</v>
      </c>
      <c r="G3518" s="167">
        <v>89.78</v>
      </c>
      <c r="H3518" s="168">
        <v>2065.13</v>
      </c>
      <c r="I3518" s="168">
        <v>1310.21</v>
      </c>
      <c r="J3518" s="168">
        <v>163.63</v>
      </c>
      <c r="K3518" s="168">
        <v>591.29</v>
      </c>
      <c r="L3518" s="43">
        <v>8.8091541185001923</v>
      </c>
      <c r="M3518" s="43">
        <v>11.5001316597911</v>
      </c>
      <c r="N3518" s="43">
        <v>5.326497395833333</v>
      </c>
      <c r="O3518" s="43">
        <v>6.585987970594787</v>
      </c>
      <c r="P3518" s="169"/>
      <c r="Q3518" s="169"/>
      <c r="R3518" s="169">
        <v>2</v>
      </c>
    </row>
    <row r="3519" spans="1:18" ht="48">
      <c r="A3519" s="165">
        <v>786</v>
      </c>
      <c r="B3519" s="162" t="s">
        <v>6411</v>
      </c>
      <c r="C3519" s="166" t="s">
        <v>6412</v>
      </c>
      <c r="D3519" s="167">
        <v>449.82</v>
      </c>
      <c r="E3519" s="167">
        <v>195.45</v>
      </c>
      <c r="F3519" s="167">
        <v>30.72</v>
      </c>
      <c r="G3519" s="167">
        <v>223.65</v>
      </c>
      <c r="H3519" s="168">
        <v>3551.15</v>
      </c>
      <c r="I3519" s="168">
        <v>2247.71</v>
      </c>
      <c r="J3519" s="168">
        <v>163.63</v>
      </c>
      <c r="K3519" s="168">
        <v>1139.81</v>
      </c>
      <c r="L3519" s="43">
        <v>7.8946022853585882</v>
      </c>
      <c r="M3519" s="43">
        <v>11.500179073931953</v>
      </c>
      <c r="N3519" s="43">
        <v>5.326497395833333</v>
      </c>
      <c r="O3519" s="43">
        <v>5.0964006259780907</v>
      </c>
      <c r="P3519" s="169"/>
      <c r="Q3519" s="169"/>
      <c r="R3519" s="169">
        <v>2</v>
      </c>
    </row>
    <row r="3520" spans="1:18" ht="12.75" customHeight="1">
      <c r="A3520" s="628" t="s">
        <v>6413</v>
      </c>
      <c r="B3520" s="629"/>
      <c r="C3520" s="629"/>
      <c r="D3520" s="629"/>
      <c r="E3520" s="629"/>
      <c r="F3520" s="629"/>
      <c r="G3520" s="629"/>
      <c r="H3520" s="629"/>
      <c r="I3520" s="629"/>
      <c r="J3520" s="629"/>
      <c r="K3520" s="629"/>
      <c r="L3520" s="629"/>
      <c r="M3520" s="629"/>
      <c r="N3520" s="629"/>
      <c r="O3520" s="629"/>
      <c r="P3520" s="629"/>
      <c r="Q3520" s="629"/>
      <c r="R3520" s="629"/>
    </row>
    <row r="3521" spans="1:18" ht="12.75" customHeight="1">
      <c r="A3521" s="628" t="s">
        <v>6414</v>
      </c>
      <c r="B3521" s="629"/>
      <c r="C3521" s="629"/>
      <c r="D3521" s="629"/>
      <c r="E3521" s="629"/>
      <c r="F3521" s="629"/>
      <c r="G3521" s="629"/>
      <c r="H3521" s="629"/>
      <c r="I3521" s="629"/>
      <c r="J3521" s="629"/>
      <c r="K3521" s="629"/>
      <c r="L3521" s="629"/>
      <c r="M3521" s="629"/>
      <c r="N3521" s="629"/>
      <c r="O3521" s="629"/>
      <c r="P3521" s="629"/>
      <c r="Q3521" s="629"/>
      <c r="R3521" s="629"/>
    </row>
    <row r="3522" spans="1:18" ht="24">
      <c r="A3522" s="165">
        <v>787</v>
      </c>
      <c r="B3522" s="162" t="s">
        <v>6415</v>
      </c>
      <c r="C3522" s="166" t="s">
        <v>6416</v>
      </c>
      <c r="D3522" s="167">
        <v>2744.11</v>
      </c>
      <c r="E3522" s="167">
        <v>56.88</v>
      </c>
      <c r="F3522" s="167">
        <v>457.95</v>
      </c>
      <c r="G3522" s="167">
        <v>2229.2800000000002</v>
      </c>
      <c r="H3522" s="168">
        <v>10400.65</v>
      </c>
      <c r="I3522" s="168">
        <v>654.14</v>
      </c>
      <c r="J3522" s="168">
        <v>2332.34</v>
      </c>
      <c r="K3522" s="168">
        <v>7414.17</v>
      </c>
      <c r="L3522" s="43">
        <v>3.7901724056251385</v>
      </c>
      <c r="M3522" s="43">
        <v>11.500351617440224</v>
      </c>
      <c r="N3522" s="43">
        <v>5.0930014193689273</v>
      </c>
      <c r="O3522" s="43">
        <v>3.3258137156391299</v>
      </c>
      <c r="P3522" s="169"/>
      <c r="Q3522" s="169"/>
      <c r="R3522" s="169">
        <v>1</v>
      </c>
    </row>
    <row r="3523" spans="1:18" ht="24">
      <c r="A3523" s="165">
        <v>788</v>
      </c>
      <c r="B3523" s="162" t="s">
        <v>6417</v>
      </c>
      <c r="C3523" s="166" t="s">
        <v>6418</v>
      </c>
      <c r="D3523" s="167">
        <v>2818.69</v>
      </c>
      <c r="E3523" s="167">
        <v>49.89</v>
      </c>
      <c r="F3523" s="167">
        <v>539.66</v>
      </c>
      <c r="G3523" s="167">
        <v>2229.14</v>
      </c>
      <c r="H3523" s="168">
        <v>10734.82</v>
      </c>
      <c r="I3523" s="168">
        <v>573.74</v>
      </c>
      <c r="J3523" s="168">
        <v>2748.52</v>
      </c>
      <c r="K3523" s="168">
        <v>7412.56</v>
      </c>
      <c r="L3523" s="43">
        <v>3.8084429291621285</v>
      </c>
      <c r="M3523" s="43">
        <v>11.500100220485066</v>
      </c>
      <c r="N3523" s="43">
        <v>5.0930585924470968</v>
      </c>
      <c r="O3523" s="43">
        <v>3.3253003400414514</v>
      </c>
      <c r="P3523" s="169"/>
      <c r="Q3523" s="169"/>
      <c r="R3523" s="169">
        <v>1</v>
      </c>
    </row>
    <row r="3524" spans="1:18" ht="24">
      <c r="A3524" s="165">
        <v>789</v>
      </c>
      <c r="B3524" s="162" t="s">
        <v>6419</v>
      </c>
      <c r="C3524" s="166" t="s">
        <v>6420</v>
      </c>
      <c r="D3524" s="167">
        <v>2609.73</v>
      </c>
      <c r="E3524" s="167">
        <v>36.97</v>
      </c>
      <c r="F3524" s="167">
        <v>343.88</v>
      </c>
      <c r="G3524" s="167">
        <v>2228.88</v>
      </c>
      <c r="H3524" s="168">
        <v>9586.18</v>
      </c>
      <c r="I3524" s="168">
        <v>425.19</v>
      </c>
      <c r="J3524" s="168">
        <v>1751.42</v>
      </c>
      <c r="K3524" s="168">
        <v>7409.57</v>
      </c>
      <c r="L3524" s="43">
        <v>3.6732458913374182</v>
      </c>
      <c r="M3524" s="43">
        <v>11.500946713551528</v>
      </c>
      <c r="N3524" s="43">
        <v>5.0931138769338142</v>
      </c>
      <c r="O3524" s="43">
        <v>3.3243467571156811</v>
      </c>
      <c r="P3524" s="169"/>
      <c r="Q3524" s="169"/>
      <c r="R3524" s="169">
        <v>1</v>
      </c>
    </row>
    <row r="3525" spans="1:18" ht="24">
      <c r="A3525" s="165">
        <v>790</v>
      </c>
      <c r="B3525" s="162" t="s">
        <v>6421</v>
      </c>
      <c r="C3525" s="166" t="s">
        <v>6422</v>
      </c>
      <c r="D3525" s="167">
        <v>195.17</v>
      </c>
      <c r="E3525" s="167">
        <v>19.43</v>
      </c>
      <c r="F3525" s="167">
        <v>175.35</v>
      </c>
      <c r="G3525" s="167">
        <v>0.39</v>
      </c>
      <c r="H3525" s="168">
        <v>1121.04</v>
      </c>
      <c r="I3525" s="168">
        <v>223.5</v>
      </c>
      <c r="J3525" s="168">
        <v>893.05</v>
      </c>
      <c r="K3525" s="168">
        <v>4.49</v>
      </c>
      <c r="L3525" s="43">
        <v>5.7439155607931545</v>
      </c>
      <c r="M3525" s="43">
        <v>11.502830674215131</v>
      </c>
      <c r="N3525" s="43">
        <v>5.0929569432563442</v>
      </c>
      <c r="O3525" s="43">
        <v>11.5</v>
      </c>
      <c r="P3525" s="169"/>
      <c r="Q3525" s="169"/>
      <c r="R3525" s="169">
        <v>1</v>
      </c>
    </row>
    <row r="3526" spans="1:18" ht="24">
      <c r="A3526" s="165">
        <v>791</v>
      </c>
      <c r="B3526" s="162" t="s">
        <v>6423</v>
      </c>
      <c r="C3526" s="166" t="s">
        <v>6424</v>
      </c>
      <c r="D3526" s="167">
        <v>500.97</v>
      </c>
      <c r="E3526" s="167">
        <v>33.299999999999997</v>
      </c>
      <c r="F3526" s="167">
        <v>454.54</v>
      </c>
      <c r="G3526" s="167">
        <v>13.13</v>
      </c>
      <c r="H3526" s="168">
        <v>2806.03</v>
      </c>
      <c r="I3526" s="168">
        <v>382.95</v>
      </c>
      <c r="J3526" s="168">
        <v>2315</v>
      </c>
      <c r="K3526" s="168">
        <v>108.08</v>
      </c>
      <c r="L3526" s="43">
        <v>5.60119368425255</v>
      </c>
      <c r="M3526" s="43">
        <v>11.5</v>
      </c>
      <c r="N3526" s="43">
        <v>5.0930611167334003</v>
      </c>
      <c r="O3526" s="43">
        <v>8.2315308453922302</v>
      </c>
      <c r="P3526" s="169"/>
      <c r="Q3526" s="169"/>
      <c r="R3526" s="169">
        <v>1</v>
      </c>
    </row>
    <row r="3527" spans="1:18" ht="12.75" customHeight="1">
      <c r="A3527" s="628" t="s">
        <v>6425</v>
      </c>
      <c r="B3527" s="629"/>
      <c r="C3527" s="629"/>
      <c r="D3527" s="629"/>
      <c r="E3527" s="629"/>
      <c r="F3527" s="629"/>
      <c r="G3527" s="629"/>
      <c r="H3527" s="629"/>
      <c r="I3527" s="629"/>
      <c r="J3527" s="629"/>
      <c r="K3527" s="629"/>
      <c r="L3527" s="629"/>
      <c r="M3527" s="629"/>
      <c r="N3527" s="629"/>
      <c r="O3527" s="629"/>
      <c r="P3527" s="629"/>
      <c r="Q3527" s="629"/>
      <c r="R3527" s="629"/>
    </row>
    <row r="3528" spans="1:18" ht="24">
      <c r="A3528" s="165">
        <v>792</v>
      </c>
      <c r="B3528" s="162" t="s">
        <v>6426</v>
      </c>
      <c r="C3528" s="166" t="s">
        <v>6427</v>
      </c>
      <c r="D3528" s="167">
        <v>4278.67</v>
      </c>
      <c r="E3528" s="167">
        <v>141.02000000000001</v>
      </c>
      <c r="F3528" s="167">
        <v>1906.69</v>
      </c>
      <c r="G3528" s="167">
        <v>2230.96</v>
      </c>
      <c r="H3528" s="168">
        <v>18766.07</v>
      </c>
      <c r="I3528" s="168">
        <v>1621.73</v>
      </c>
      <c r="J3528" s="168">
        <v>9710.85</v>
      </c>
      <c r="K3528" s="168">
        <v>7433.49</v>
      </c>
      <c r="L3528" s="43">
        <v>4.3859587208174498</v>
      </c>
      <c r="M3528" s="43">
        <v>11.5</v>
      </c>
      <c r="N3528" s="43">
        <v>5.0930408194305317</v>
      </c>
      <c r="O3528" s="43">
        <v>3.3319691971169361</v>
      </c>
      <c r="P3528" s="169"/>
      <c r="Q3528" s="169"/>
      <c r="R3528" s="169">
        <v>2</v>
      </c>
    </row>
    <row r="3529" spans="1:18" ht="24">
      <c r="A3529" s="165">
        <v>793</v>
      </c>
      <c r="B3529" s="162" t="s">
        <v>6428</v>
      </c>
      <c r="C3529" s="166" t="s">
        <v>6429</v>
      </c>
      <c r="D3529" s="167">
        <v>5287.51</v>
      </c>
      <c r="E3529" s="167">
        <v>212.12</v>
      </c>
      <c r="F3529" s="167">
        <v>2843.01</v>
      </c>
      <c r="G3529" s="167">
        <v>2232.38</v>
      </c>
      <c r="H3529" s="168">
        <v>24368.799999999999</v>
      </c>
      <c r="I3529" s="168">
        <v>2439.41</v>
      </c>
      <c r="J3529" s="168">
        <v>14479.57</v>
      </c>
      <c r="K3529" s="168">
        <v>7449.82</v>
      </c>
      <c r="L3529" s="43">
        <v>4.6087477848741658</v>
      </c>
      <c r="M3529" s="43">
        <v>11.500141429379596</v>
      </c>
      <c r="N3529" s="43">
        <v>5.0930422334075498</v>
      </c>
      <c r="O3529" s="43">
        <v>3.3371648196095642</v>
      </c>
      <c r="P3529" s="169"/>
      <c r="Q3529" s="169"/>
      <c r="R3529" s="169">
        <v>2</v>
      </c>
    </row>
    <row r="3530" spans="1:18" ht="24">
      <c r="A3530" s="165">
        <v>794</v>
      </c>
      <c r="B3530" s="162" t="s">
        <v>6430</v>
      </c>
      <c r="C3530" s="166" t="s">
        <v>6431</v>
      </c>
      <c r="D3530" s="167">
        <v>2825.64</v>
      </c>
      <c r="E3530" s="167">
        <v>46.69</v>
      </c>
      <c r="F3530" s="167">
        <v>549.88</v>
      </c>
      <c r="G3530" s="167">
        <v>2229.0700000000002</v>
      </c>
      <c r="H3530" s="168">
        <v>10749.24</v>
      </c>
      <c r="I3530" s="168">
        <v>536.94000000000005</v>
      </c>
      <c r="J3530" s="168">
        <v>2800.54</v>
      </c>
      <c r="K3530" s="168">
        <v>7411.76</v>
      </c>
      <c r="L3530" s="43">
        <v>3.8041788762899733</v>
      </c>
      <c r="M3530" s="43">
        <v>11.500107089312488</v>
      </c>
      <c r="N3530" s="43">
        <v>5.0930021095511746</v>
      </c>
      <c r="O3530" s="43">
        <v>3.3250458711480571</v>
      </c>
      <c r="P3530" s="169"/>
      <c r="Q3530" s="169"/>
      <c r="R3530" s="169">
        <v>2</v>
      </c>
    </row>
    <row r="3531" spans="1:18" ht="24">
      <c r="A3531" s="165">
        <v>795</v>
      </c>
      <c r="B3531" s="162" t="s">
        <v>6432</v>
      </c>
      <c r="C3531" s="166" t="s">
        <v>6433</v>
      </c>
      <c r="D3531" s="167">
        <v>3332.86</v>
      </c>
      <c r="E3531" s="167">
        <v>83.31</v>
      </c>
      <c r="F3531" s="167">
        <v>1019.74</v>
      </c>
      <c r="G3531" s="167">
        <v>2229.81</v>
      </c>
      <c r="H3531" s="168">
        <v>13571.89</v>
      </c>
      <c r="I3531" s="168">
        <v>958.05</v>
      </c>
      <c r="J3531" s="168">
        <v>5193.57</v>
      </c>
      <c r="K3531" s="168">
        <v>7420.27</v>
      </c>
      <c r="L3531" s="43">
        <v>4.0721452446247364</v>
      </c>
      <c r="M3531" s="43">
        <v>11.499819949585882</v>
      </c>
      <c r="N3531" s="43">
        <v>5.0930335183478137</v>
      </c>
      <c r="O3531" s="43">
        <v>3.3277588673474425</v>
      </c>
      <c r="P3531" s="169"/>
      <c r="Q3531" s="169"/>
      <c r="R3531" s="169">
        <v>2</v>
      </c>
    </row>
    <row r="3532" spans="1:18" ht="24">
      <c r="A3532" s="165">
        <v>796</v>
      </c>
      <c r="B3532" s="162" t="s">
        <v>6434</v>
      </c>
      <c r="C3532" s="166" t="s">
        <v>6435</v>
      </c>
      <c r="D3532" s="167">
        <v>264.95999999999998</v>
      </c>
      <c r="E3532" s="167">
        <v>7.47</v>
      </c>
      <c r="F3532" s="167">
        <v>90.23</v>
      </c>
      <c r="G3532" s="167">
        <v>167.26</v>
      </c>
      <c r="H3532" s="168">
        <v>1102.2</v>
      </c>
      <c r="I3532" s="168">
        <v>85.86</v>
      </c>
      <c r="J3532" s="168">
        <v>459.53</v>
      </c>
      <c r="K3532" s="168">
        <v>556.80999999999995</v>
      </c>
      <c r="L3532" s="43">
        <v>4.1598731884057978</v>
      </c>
      <c r="M3532" s="43">
        <v>11.5</v>
      </c>
      <c r="N3532" s="43">
        <v>5.0928737670397863</v>
      </c>
      <c r="O3532" s="43">
        <v>3.329008728925027</v>
      </c>
      <c r="P3532" s="169"/>
      <c r="Q3532" s="169"/>
      <c r="R3532" s="169">
        <v>2</v>
      </c>
    </row>
    <row r="3533" spans="1:18" ht="12.75" customHeight="1">
      <c r="A3533" s="628" t="s">
        <v>6436</v>
      </c>
      <c r="B3533" s="629"/>
      <c r="C3533" s="629"/>
      <c r="D3533" s="629"/>
      <c r="E3533" s="629"/>
      <c r="F3533" s="629"/>
      <c r="G3533" s="629"/>
      <c r="H3533" s="629"/>
      <c r="I3533" s="629"/>
      <c r="J3533" s="629"/>
      <c r="K3533" s="629"/>
      <c r="L3533" s="629"/>
      <c r="M3533" s="629"/>
      <c r="N3533" s="629"/>
      <c r="O3533" s="629"/>
      <c r="P3533" s="629"/>
      <c r="Q3533" s="629"/>
      <c r="R3533" s="629"/>
    </row>
    <row r="3534" spans="1:18" ht="36">
      <c r="A3534" s="165">
        <v>797</v>
      </c>
      <c r="B3534" s="162" t="s">
        <v>6437</v>
      </c>
      <c r="C3534" s="166" t="s">
        <v>6438</v>
      </c>
      <c r="D3534" s="167">
        <v>30.9</v>
      </c>
      <c r="E3534" s="167">
        <v>23.11</v>
      </c>
      <c r="F3534" s="167">
        <v>0.88</v>
      </c>
      <c r="G3534" s="167">
        <v>6.91</v>
      </c>
      <c r="H3534" s="168">
        <v>308.13</v>
      </c>
      <c r="I3534" s="168">
        <v>265.75</v>
      </c>
      <c r="J3534" s="168">
        <v>4.6100000000000003</v>
      </c>
      <c r="K3534" s="168">
        <v>37.770000000000003</v>
      </c>
      <c r="L3534" s="43">
        <v>9.9718446601941757</v>
      </c>
      <c r="M3534" s="43">
        <v>11.49935093033319</v>
      </c>
      <c r="N3534" s="43">
        <v>5.2386363636363642</v>
      </c>
      <c r="O3534" s="43">
        <v>5.4659913169319827</v>
      </c>
      <c r="P3534" s="169"/>
      <c r="Q3534" s="169"/>
      <c r="R3534" s="169">
        <v>3</v>
      </c>
    </row>
    <row r="3535" spans="1:18" ht="36">
      <c r="A3535" s="165">
        <v>798</v>
      </c>
      <c r="B3535" s="162" t="s">
        <v>6439</v>
      </c>
      <c r="C3535" s="166" t="s">
        <v>6440</v>
      </c>
      <c r="D3535" s="167">
        <v>32.340000000000003</v>
      </c>
      <c r="E3535" s="167">
        <v>24.29</v>
      </c>
      <c r="F3535" s="167">
        <v>1.1100000000000001</v>
      </c>
      <c r="G3535" s="167">
        <v>6.94</v>
      </c>
      <c r="H3535" s="168">
        <v>323.25</v>
      </c>
      <c r="I3535" s="168">
        <v>279.37</v>
      </c>
      <c r="J3535" s="168">
        <v>5.76</v>
      </c>
      <c r="K3535" s="168">
        <v>38.119999999999997</v>
      </c>
      <c r="L3535" s="43">
        <v>9.9953617810760651</v>
      </c>
      <c r="M3535" s="43">
        <v>11.501440922190202</v>
      </c>
      <c r="N3535" s="43">
        <v>5.1891891891891886</v>
      </c>
      <c r="O3535" s="43">
        <v>5.4927953890489905</v>
      </c>
      <c r="P3535" s="169"/>
      <c r="Q3535" s="169"/>
      <c r="R3535" s="169">
        <v>3</v>
      </c>
    </row>
    <row r="3536" spans="1:18" ht="24">
      <c r="A3536" s="165">
        <v>799</v>
      </c>
      <c r="B3536" s="162" t="s">
        <v>6441</v>
      </c>
      <c r="C3536" s="166" t="s">
        <v>6442</v>
      </c>
      <c r="D3536" s="167">
        <v>48.35</v>
      </c>
      <c r="E3536" s="167">
        <v>47.4</v>
      </c>
      <c r="F3536" s="167"/>
      <c r="G3536" s="167">
        <v>0.95</v>
      </c>
      <c r="H3536" s="168">
        <v>556.04999999999995</v>
      </c>
      <c r="I3536" s="168">
        <v>545.12</v>
      </c>
      <c r="J3536" s="168"/>
      <c r="K3536" s="168">
        <v>10.93</v>
      </c>
      <c r="L3536" s="43">
        <v>11.500517063081695</v>
      </c>
      <c r="M3536" s="43">
        <v>11.50042194092827</v>
      </c>
      <c r="N3536" s="43" t="s">
        <v>1690</v>
      </c>
      <c r="O3536" s="43">
        <v>11.5</v>
      </c>
      <c r="P3536" s="169"/>
      <c r="Q3536" s="169"/>
      <c r="R3536" s="169">
        <v>3</v>
      </c>
    </row>
    <row r="3537" spans="1:18" ht="24">
      <c r="A3537" s="165">
        <v>800</v>
      </c>
      <c r="B3537" s="162" t="s">
        <v>6443</v>
      </c>
      <c r="C3537" s="166" t="s">
        <v>6444</v>
      </c>
      <c r="D3537" s="167">
        <v>15.23</v>
      </c>
      <c r="E3537" s="167">
        <v>14.93</v>
      </c>
      <c r="F3537" s="167"/>
      <c r="G3537" s="167">
        <v>0.3</v>
      </c>
      <c r="H3537" s="168">
        <v>175.16</v>
      </c>
      <c r="I3537" s="168">
        <v>171.71</v>
      </c>
      <c r="J3537" s="168"/>
      <c r="K3537" s="168">
        <v>3.45</v>
      </c>
      <c r="L3537" s="43">
        <v>11.500984898227182</v>
      </c>
      <c r="M3537" s="43">
        <v>11.501004688546551</v>
      </c>
      <c r="N3537" s="43" t="s">
        <v>1690</v>
      </c>
      <c r="O3537" s="43">
        <v>11.500000000000002</v>
      </c>
      <c r="P3537" s="169"/>
      <c r="Q3537" s="169"/>
      <c r="R3537" s="169">
        <v>3</v>
      </c>
    </row>
    <row r="3538" spans="1:18" ht="12.75" customHeight="1">
      <c r="A3538" s="628" t="s">
        <v>6445</v>
      </c>
      <c r="B3538" s="629"/>
      <c r="C3538" s="629"/>
      <c r="D3538" s="629"/>
      <c r="E3538" s="629"/>
      <c r="F3538" s="629"/>
      <c r="G3538" s="629"/>
      <c r="H3538" s="629"/>
      <c r="I3538" s="629"/>
      <c r="J3538" s="629"/>
      <c r="K3538" s="629"/>
      <c r="L3538" s="629"/>
      <c r="M3538" s="629"/>
      <c r="N3538" s="629"/>
      <c r="O3538" s="629"/>
      <c r="P3538" s="629"/>
      <c r="Q3538" s="629"/>
      <c r="R3538" s="629"/>
    </row>
    <row r="3539" spans="1:18" ht="24">
      <c r="A3539" s="165">
        <v>801</v>
      </c>
      <c r="B3539" s="162" t="s">
        <v>6446</v>
      </c>
      <c r="C3539" s="166" t="s">
        <v>6447</v>
      </c>
      <c r="D3539" s="167">
        <v>503.09</v>
      </c>
      <c r="E3539" s="167">
        <v>34.25</v>
      </c>
      <c r="F3539" s="167">
        <v>468.16</v>
      </c>
      <c r="G3539" s="167">
        <v>0.68</v>
      </c>
      <c r="H3539" s="168">
        <v>2786.03</v>
      </c>
      <c r="I3539" s="168">
        <v>393.85</v>
      </c>
      <c r="J3539" s="168">
        <v>2384.36</v>
      </c>
      <c r="K3539" s="168">
        <v>7.82</v>
      </c>
      <c r="L3539" s="43">
        <v>5.5378361724542335</v>
      </c>
      <c r="M3539" s="43">
        <v>11.499270072992701</v>
      </c>
      <c r="N3539" s="43">
        <v>5.0930451127819545</v>
      </c>
      <c r="O3539" s="43">
        <v>11.5</v>
      </c>
      <c r="P3539" s="169"/>
      <c r="Q3539" s="169"/>
      <c r="R3539" s="169">
        <v>4</v>
      </c>
    </row>
    <row r="3540" spans="1:18" ht="24">
      <c r="A3540" s="165">
        <v>802</v>
      </c>
      <c r="B3540" s="162" t="s">
        <v>6448</v>
      </c>
      <c r="C3540" s="166" t="s">
        <v>6449</v>
      </c>
      <c r="D3540" s="167">
        <v>718.4</v>
      </c>
      <c r="E3540" s="167">
        <v>75.010000000000005</v>
      </c>
      <c r="F3540" s="167">
        <v>631.59</v>
      </c>
      <c r="G3540" s="167">
        <v>11.8</v>
      </c>
      <c r="H3540" s="168">
        <v>4179.57</v>
      </c>
      <c r="I3540" s="168">
        <v>862.65</v>
      </c>
      <c r="J3540" s="168">
        <v>3216.72</v>
      </c>
      <c r="K3540" s="168">
        <v>100.2</v>
      </c>
      <c r="L3540" s="43">
        <v>5.8178869710467707</v>
      </c>
      <c r="M3540" s="43">
        <v>11.500466604452738</v>
      </c>
      <c r="N3540" s="43">
        <v>5.093050871609746</v>
      </c>
      <c r="O3540" s="43">
        <v>8.4915254237288131</v>
      </c>
      <c r="P3540" s="169"/>
      <c r="Q3540" s="169"/>
      <c r="R3540" s="169">
        <v>4</v>
      </c>
    </row>
    <row r="3541" spans="1:18" ht="24">
      <c r="A3541" s="165">
        <v>803</v>
      </c>
      <c r="B3541" s="162" t="s">
        <v>6450</v>
      </c>
      <c r="C3541" s="166" t="s">
        <v>6451</v>
      </c>
      <c r="D3541" s="167">
        <v>740.05</v>
      </c>
      <c r="E3541" s="167">
        <v>54.63</v>
      </c>
      <c r="F3541" s="167"/>
      <c r="G3541" s="167">
        <v>685.42</v>
      </c>
      <c r="H3541" s="168">
        <v>3474.14</v>
      </c>
      <c r="I3541" s="168">
        <v>628.25</v>
      </c>
      <c r="J3541" s="168"/>
      <c r="K3541" s="168">
        <v>2845.89</v>
      </c>
      <c r="L3541" s="43">
        <v>4.6944665900952636</v>
      </c>
      <c r="M3541" s="43">
        <v>11.500091524803221</v>
      </c>
      <c r="N3541" s="43" t="s">
        <v>1690</v>
      </c>
      <c r="O3541" s="43">
        <v>4.1520381663797377</v>
      </c>
      <c r="P3541" s="169"/>
      <c r="Q3541" s="169"/>
      <c r="R3541" s="169">
        <v>4</v>
      </c>
    </row>
    <row r="3542" spans="1:18" ht="24">
      <c r="A3542" s="165">
        <v>804</v>
      </c>
      <c r="B3542" s="162" t="s">
        <v>6452</v>
      </c>
      <c r="C3542" s="166" t="s">
        <v>6453</v>
      </c>
      <c r="D3542" s="167">
        <v>639.41</v>
      </c>
      <c r="E3542" s="167">
        <v>626.87</v>
      </c>
      <c r="F3542" s="167"/>
      <c r="G3542" s="167">
        <v>12.54</v>
      </c>
      <c r="H3542" s="168">
        <v>7353.42</v>
      </c>
      <c r="I3542" s="168">
        <v>7209.21</v>
      </c>
      <c r="J3542" s="168"/>
      <c r="K3542" s="168">
        <v>144.21</v>
      </c>
      <c r="L3542" s="43">
        <v>11.500320608060557</v>
      </c>
      <c r="M3542" s="43">
        <v>11.500327021551518</v>
      </c>
      <c r="N3542" s="43" t="s">
        <v>1690</v>
      </c>
      <c r="O3542" s="43">
        <v>11.500000000000002</v>
      </c>
      <c r="P3542" s="169"/>
      <c r="Q3542" s="169"/>
      <c r="R3542" s="169">
        <v>4</v>
      </c>
    </row>
    <row r="3543" spans="1:18" ht="12.75" customHeight="1">
      <c r="A3543" s="628" t="s">
        <v>6454</v>
      </c>
      <c r="B3543" s="629"/>
      <c r="C3543" s="629"/>
      <c r="D3543" s="629"/>
      <c r="E3543" s="629"/>
      <c r="F3543" s="629"/>
      <c r="G3543" s="629"/>
      <c r="H3543" s="629"/>
      <c r="I3543" s="629"/>
      <c r="J3543" s="629"/>
      <c r="K3543" s="629"/>
      <c r="L3543" s="629"/>
      <c r="M3543" s="629"/>
      <c r="N3543" s="629"/>
      <c r="O3543" s="629"/>
      <c r="P3543" s="629"/>
      <c r="Q3543" s="629"/>
      <c r="R3543" s="629"/>
    </row>
    <row r="3544" spans="1:18" ht="24">
      <c r="A3544" s="165">
        <v>805</v>
      </c>
      <c r="B3544" s="162" t="s">
        <v>6455</v>
      </c>
      <c r="C3544" s="166" t="s">
        <v>6456</v>
      </c>
      <c r="D3544" s="167">
        <v>806.68</v>
      </c>
      <c r="E3544" s="167">
        <v>334.17</v>
      </c>
      <c r="F3544" s="167"/>
      <c r="G3544" s="167">
        <v>472.51</v>
      </c>
      <c r="H3544" s="168">
        <v>6562.63</v>
      </c>
      <c r="I3544" s="168">
        <v>3843.1</v>
      </c>
      <c r="J3544" s="168"/>
      <c r="K3544" s="168">
        <v>2719.53</v>
      </c>
      <c r="L3544" s="43">
        <v>8.1353572668220373</v>
      </c>
      <c r="M3544" s="43">
        <v>11.500433910883681</v>
      </c>
      <c r="N3544" s="43" t="s">
        <v>1690</v>
      </c>
      <c r="O3544" s="43">
        <v>5.7554972381536906</v>
      </c>
      <c r="P3544" s="169"/>
      <c r="Q3544" s="169"/>
      <c r="R3544" s="169">
        <v>5</v>
      </c>
    </row>
    <row r="3545" spans="1:18" ht="24">
      <c r="A3545" s="165">
        <v>806</v>
      </c>
      <c r="B3545" s="162" t="s">
        <v>6457</v>
      </c>
      <c r="C3545" s="166" t="s">
        <v>6458</v>
      </c>
      <c r="D3545" s="167">
        <v>1150.2</v>
      </c>
      <c r="E3545" s="167">
        <v>476.37</v>
      </c>
      <c r="F3545" s="167"/>
      <c r="G3545" s="167">
        <v>673.83</v>
      </c>
      <c r="H3545" s="168">
        <v>9182.7000000000007</v>
      </c>
      <c r="I3545" s="168">
        <v>5478.46</v>
      </c>
      <c r="J3545" s="168"/>
      <c r="K3545" s="168">
        <v>3704.24</v>
      </c>
      <c r="L3545" s="43">
        <v>7.983568075117371</v>
      </c>
      <c r="M3545" s="43">
        <v>11.500430337762664</v>
      </c>
      <c r="N3545" s="43" t="s">
        <v>1690</v>
      </c>
      <c r="O3545" s="43">
        <v>5.4972916017393105</v>
      </c>
      <c r="P3545" s="169"/>
      <c r="Q3545" s="169"/>
      <c r="R3545" s="169">
        <v>5</v>
      </c>
    </row>
    <row r="3546" spans="1:18" ht="24">
      <c r="A3546" s="165">
        <v>807</v>
      </c>
      <c r="B3546" s="162" t="s">
        <v>6459</v>
      </c>
      <c r="C3546" s="166" t="s">
        <v>6460</v>
      </c>
      <c r="D3546" s="167">
        <v>68.66</v>
      </c>
      <c r="E3546" s="167">
        <v>49.3</v>
      </c>
      <c r="F3546" s="167"/>
      <c r="G3546" s="167">
        <v>19.36</v>
      </c>
      <c r="H3546" s="168">
        <v>718.22</v>
      </c>
      <c r="I3546" s="168">
        <v>566.91999999999996</v>
      </c>
      <c r="J3546" s="168"/>
      <c r="K3546" s="168">
        <v>151.30000000000001</v>
      </c>
      <c r="L3546" s="43">
        <v>10.460530148558114</v>
      </c>
      <c r="M3546" s="43">
        <v>11.499391480730223</v>
      </c>
      <c r="N3546" s="43" t="s">
        <v>1690</v>
      </c>
      <c r="O3546" s="43">
        <v>7.8150826446280997</v>
      </c>
      <c r="P3546" s="169"/>
      <c r="Q3546" s="169"/>
      <c r="R3546" s="169">
        <v>5</v>
      </c>
    </row>
    <row r="3547" spans="1:18" ht="24">
      <c r="A3547" s="165">
        <v>808</v>
      </c>
      <c r="B3547" s="162" t="s">
        <v>6461</v>
      </c>
      <c r="C3547" s="166" t="s">
        <v>6462</v>
      </c>
      <c r="D3547" s="167">
        <v>118.93</v>
      </c>
      <c r="E3547" s="167">
        <v>98.59</v>
      </c>
      <c r="F3547" s="167"/>
      <c r="G3547" s="167">
        <v>20.34</v>
      </c>
      <c r="H3547" s="168">
        <v>1296.42</v>
      </c>
      <c r="I3547" s="168">
        <v>1133.8499999999999</v>
      </c>
      <c r="J3547" s="168"/>
      <c r="K3547" s="168">
        <v>162.57</v>
      </c>
      <c r="L3547" s="43">
        <v>10.900697889514841</v>
      </c>
      <c r="M3547" s="43">
        <v>11.500659296074652</v>
      </c>
      <c r="N3547" s="43" t="s">
        <v>1690</v>
      </c>
      <c r="O3547" s="43">
        <v>7.9926253687315629</v>
      </c>
      <c r="P3547" s="169"/>
      <c r="Q3547" s="169"/>
      <c r="R3547" s="169">
        <v>5</v>
      </c>
    </row>
    <row r="3548" spans="1:18" ht="24">
      <c r="A3548" s="165">
        <v>809</v>
      </c>
      <c r="B3548" s="162" t="s">
        <v>6463</v>
      </c>
      <c r="C3548" s="166" t="s">
        <v>6464</v>
      </c>
      <c r="D3548" s="167">
        <v>1753.6</v>
      </c>
      <c r="E3548" s="167">
        <v>87.33</v>
      </c>
      <c r="F3548" s="167"/>
      <c r="G3548" s="167">
        <v>1666.27</v>
      </c>
      <c r="H3548" s="168">
        <v>7249.13</v>
      </c>
      <c r="I3548" s="168">
        <v>1004.38</v>
      </c>
      <c r="J3548" s="168"/>
      <c r="K3548" s="168">
        <v>6244.75</v>
      </c>
      <c r="L3548" s="43">
        <v>4.1338560675182485</v>
      </c>
      <c r="M3548" s="43">
        <v>11.500973319592351</v>
      </c>
      <c r="N3548" s="43" t="s">
        <v>1690</v>
      </c>
      <c r="O3548" s="43">
        <v>3.7477419625870958</v>
      </c>
      <c r="P3548" s="169"/>
      <c r="Q3548" s="169"/>
      <c r="R3548" s="169">
        <v>5</v>
      </c>
    </row>
    <row r="3549" spans="1:18" ht="24">
      <c r="A3549" s="165">
        <v>810</v>
      </c>
      <c r="B3549" s="162" t="s">
        <v>6465</v>
      </c>
      <c r="C3549" s="166" t="s">
        <v>6466</v>
      </c>
      <c r="D3549" s="167">
        <v>1819.23</v>
      </c>
      <c r="E3549" s="167">
        <v>151.68</v>
      </c>
      <c r="F3549" s="167"/>
      <c r="G3549" s="167">
        <v>1667.55</v>
      </c>
      <c r="H3549" s="168">
        <v>8003.85</v>
      </c>
      <c r="I3549" s="168">
        <v>1744.38</v>
      </c>
      <c r="J3549" s="168"/>
      <c r="K3549" s="168">
        <v>6259.47</v>
      </c>
      <c r="L3549" s="43">
        <v>4.3995811414719412</v>
      </c>
      <c r="M3549" s="43">
        <v>11.500395569620254</v>
      </c>
      <c r="N3549" s="43" t="s">
        <v>1690</v>
      </c>
      <c r="O3549" s="43">
        <v>3.7536925429522356</v>
      </c>
      <c r="P3549" s="169"/>
      <c r="Q3549" s="169"/>
      <c r="R3549" s="169">
        <v>5</v>
      </c>
    </row>
    <row r="3550" spans="1:18" ht="24">
      <c r="A3550" s="165">
        <v>811</v>
      </c>
      <c r="B3550" s="162" t="s">
        <v>6467</v>
      </c>
      <c r="C3550" s="166" t="s">
        <v>6468</v>
      </c>
      <c r="D3550" s="167">
        <v>459.32</v>
      </c>
      <c r="E3550" s="167">
        <v>214.49</v>
      </c>
      <c r="F3550" s="167"/>
      <c r="G3550" s="167">
        <v>244.83</v>
      </c>
      <c r="H3550" s="168">
        <v>4078.14</v>
      </c>
      <c r="I3550" s="168">
        <v>2466.67</v>
      </c>
      <c r="J3550" s="168"/>
      <c r="K3550" s="168">
        <v>1611.47</v>
      </c>
      <c r="L3550" s="43">
        <v>8.8786466951145169</v>
      </c>
      <c r="M3550" s="43">
        <v>11.500163177770526</v>
      </c>
      <c r="N3550" s="43" t="s">
        <v>1690</v>
      </c>
      <c r="O3550" s="43">
        <v>6.5819956704652203</v>
      </c>
      <c r="P3550" s="169"/>
      <c r="Q3550" s="169"/>
      <c r="R3550" s="169">
        <v>5</v>
      </c>
    </row>
    <row r="3551" spans="1:18" ht="24">
      <c r="A3551" s="165">
        <v>812</v>
      </c>
      <c r="B3551" s="162" t="s">
        <v>6469</v>
      </c>
      <c r="C3551" s="166" t="s">
        <v>6470</v>
      </c>
      <c r="D3551" s="167">
        <v>676.89</v>
      </c>
      <c r="E3551" s="167">
        <v>427.79</v>
      </c>
      <c r="F3551" s="167"/>
      <c r="G3551" s="167">
        <v>249.1</v>
      </c>
      <c r="H3551" s="168">
        <v>6580.28</v>
      </c>
      <c r="I3551" s="168">
        <v>4919.71</v>
      </c>
      <c r="J3551" s="168"/>
      <c r="K3551" s="168">
        <v>1660.57</v>
      </c>
      <c r="L3551" s="43">
        <v>9.7213432019973709</v>
      </c>
      <c r="M3551" s="43">
        <v>11.500292199443653</v>
      </c>
      <c r="N3551" s="43" t="s">
        <v>1690</v>
      </c>
      <c r="O3551" s="43">
        <v>6.666278602970694</v>
      </c>
      <c r="P3551" s="169"/>
      <c r="Q3551" s="169"/>
      <c r="R3551" s="169">
        <v>5</v>
      </c>
    </row>
    <row r="3552" spans="1:18" ht="24">
      <c r="A3552" s="165">
        <v>813</v>
      </c>
      <c r="B3552" s="162" t="s">
        <v>6471</v>
      </c>
      <c r="C3552" s="166" t="s">
        <v>6472</v>
      </c>
      <c r="D3552" s="167">
        <v>1691.22</v>
      </c>
      <c r="E3552" s="167">
        <v>72.52</v>
      </c>
      <c r="F3552" s="167"/>
      <c r="G3552" s="167">
        <v>1618.7</v>
      </c>
      <c r="H3552" s="168">
        <v>6791.43</v>
      </c>
      <c r="I3552" s="168">
        <v>834.03</v>
      </c>
      <c r="J3552" s="168"/>
      <c r="K3552" s="168">
        <v>5957.4</v>
      </c>
      <c r="L3552" s="43">
        <v>4.0156987263632171</v>
      </c>
      <c r="M3552" s="43">
        <v>11.50068946497518</v>
      </c>
      <c r="N3552" s="43" t="s">
        <v>1690</v>
      </c>
      <c r="O3552" s="43">
        <v>3.6803607833446588</v>
      </c>
      <c r="P3552" s="169"/>
      <c r="Q3552" s="169"/>
      <c r="R3552" s="169">
        <v>5</v>
      </c>
    </row>
    <row r="3553" spans="1:18" ht="24">
      <c r="A3553" s="165">
        <v>814</v>
      </c>
      <c r="B3553" s="162" t="s">
        <v>6473</v>
      </c>
      <c r="C3553" s="166" t="s">
        <v>6474</v>
      </c>
      <c r="D3553" s="167">
        <v>1741.75</v>
      </c>
      <c r="E3553" s="167">
        <v>122.06</v>
      </c>
      <c r="F3553" s="167"/>
      <c r="G3553" s="167">
        <v>1619.69</v>
      </c>
      <c r="H3553" s="168">
        <v>7372.46</v>
      </c>
      <c r="I3553" s="168">
        <v>1403.68</v>
      </c>
      <c r="J3553" s="168"/>
      <c r="K3553" s="168">
        <v>5968.78</v>
      </c>
      <c r="L3553" s="43">
        <v>4.2327888617769487</v>
      </c>
      <c r="M3553" s="43">
        <v>11.499918073078813</v>
      </c>
      <c r="N3553" s="43" t="s">
        <v>1690</v>
      </c>
      <c r="O3553" s="43">
        <v>3.6851372793559261</v>
      </c>
      <c r="P3553" s="169"/>
      <c r="Q3553" s="169"/>
      <c r="R3553" s="169">
        <v>5</v>
      </c>
    </row>
    <row r="3554" spans="1:18" ht="12.75" customHeight="1">
      <c r="A3554" s="628" t="s">
        <v>6475</v>
      </c>
      <c r="B3554" s="629"/>
      <c r="C3554" s="629"/>
      <c r="D3554" s="629"/>
      <c r="E3554" s="629"/>
      <c r="F3554" s="629"/>
      <c r="G3554" s="629"/>
      <c r="H3554" s="629"/>
      <c r="I3554" s="629"/>
      <c r="J3554" s="629"/>
      <c r="K3554" s="629"/>
      <c r="L3554" s="629"/>
      <c r="M3554" s="629"/>
      <c r="N3554" s="629"/>
      <c r="O3554" s="629"/>
      <c r="P3554" s="629"/>
      <c r="Q3554" s="629"/>
      <c r="R3554" s="629"/>
    </row>
    <row r="3555" spans="1:18" ht="24">
      <c r="A3555" s="165">
        <v>815</v>
      </c>
      <c r="B3555" s="162" t="s">
        <v>6476</v>
      </c>
      <c r="C3555" s="166" t="s">
        <v>6477</v>
      </c>
      <c r="D3555" s="167">
        <v>217.06</v>
      </c>
      <c r="E3555" s="167">
        <v>20.86</v>
      </c>
      <c r="F3555" s="167">
        <v>195.78</v>
      </c>
      <c r="G3555" s="167">
        <v>0.42</v>
      </c>
      <c r="H3555" s="168">
        <v>1241.78</v>
      </c>
      <c r="I3555" s="168">
        <v>239.85</v>
      </c>
      <c r="J3555" s="168">
        <v>997.1</v>
      </c>
      <c r="K3555" s="168">
        <v>4.83</v>
      </c>
      <c r="L3555" s="43">
        <v>5.7209066617525108</v>
      </c>
      <c r="M3555" s="43">
        <v>11.498082454458293</v>
      </c>
      <c r="N3555" s="43">
        <v>5.0929614873837981</v>
      </c>
      <c r="O3555" s="43">
        <v>11.5</v>
      </c>
      <c r="P3555" s="169"/>
      <c r="Q3555" s="169"/>
      <c r="R3555" s="169">
        <v>6</v>
      </c>
    </row>
    <row r="3556" spans="1:18" ht="24">
      <c r="A3556" s="165">
        <v>816</v>
      </c>
      <c r="B3556" s="162" t="s">
        <v>6478</v>
      </c>
      <c r="C3556" s="166" t="s">
        <v>6479</v>
      </c>
      <c r="D3556" s="167">
        <v>659.95</v>
      </c>
      <c r="E3556" s="167">
        <v>647.01</v>
      </c>
      <c r="F3556" s="167"/>
      <c r="G3556" s="167">
        <v>12.94</v>
      </c>
      <c r="H3556" s="168">
        <v>7589.7</v>
      </c>
      <c r="I3556" s="168">
        <v>7440.89</v>
      </c>
      <c r="J3556" s="168"/>
      <c r="K3556" s="168">
        <v>148.81</v>
      </c>
      <c r="L3556" s="43">
        <v>11.500416698234714</v>
      </c>
      <c r="M3556" s="43">
        <v>11.500425032070602</v>
      </c>
      <c r="N3556" s="43" t="s">
        <v>1690</v>
      </c>
      <c r="O3556" s="43">
        <v>11.5</v>
      </c>
      <c r="P3556" s="169"/>
      <c r="Q3556" s="169"/>
      <c r="R3556" s="169">
        <v>6</v>
      </c>
    </row>
    <row r="3557" spans="1:18" ht="24">
      <c r="A3557" s="165">
        <v>817</v>
      </c>
      <c r="B3557" s="162" t="s">
        <v>6480</v>
      </c>
      <c r="C3557" s="166" t="s">
        <v>6481</v>
      </c>
      <c r="D3557" s="167">
        <v>270.43</v>
      </c>
      <c r="E3557" s="167">
        <v>177.75</v>
      </c>
      <c r="F3557" s="167"/>
      <c r="G3557" s="167">
        <v>92.68</v>
      </c>
      <c r="H3557" s="168">
        <v>2328.2399999999998</v>
      </c>
      <c r="I3557" s="168">
        <v>2044.2</v>
      </c>
      <c r="J3557" s="168"/>
      <c r="K3557" s="168">
        <v>284.04000000000002</v>
      </c>
      <c r="L3557" s="43">
        <v>8.6093998446917865</v>
      </c>
      <c r="M3557" s="43">
        <v>11.50042194092827</v>
      </c>
      <c r="N3557" s="43" t="s">
        <v>1690</v>
      </c>
      <c r="O3557" s="43">
        <v>3.0647388864911522</v>
      </c>
      <c r="P3557" s="169"/>
      <c r="Q3557" s="169"/>
      <c r="R3557" s="169">
        <v>6</v>
      </c>
    </row>
    <row r="3558" spans="1:18" ht="24">
      <c r="A3558" s="165">
        <v>818</v>
      </c>
      <c r="B3558" s="162" t="s">
        <v>6482</v>
      </c>
      <c r="C3558" s="166" t="s">
        <v>6483</v>
      </c>
      <c r="D3558" s="167">
        <v>108.57</v>
      </c>
      <c r="E3558" s="167">
        <v>54.04</v>
      </c>
      <c r="F3558" s="167"/>
      <c r="G3558" s="167">
        <v>54.53</v>
      </c>
      <c r="H3558" s="168">
        <v>1061.28</v>
      </c>
      <c r="I3558" s="168">
        <v>621.44000000000005</v>
      </c>
      <c r="J3558" s="168"/>
      <c r="K3558" s="168">
        <v>439.84</v>
      </c>
      <c r="L3558" s="43">
        <v>9.7750759878419462</v>
      </c>
      <c r="M3558" s="43">
        <v>11.499629903774983</v>
      </c>
      <c r="N3558" s="43" t="s">
        <v>1690</v>
      </c>
      <c r="O3558" s="43">
        <v>8.0660187052998342</v>
      </c>
      <c r="P3558" s="169"/>
      <c r="Q3558" s="169"/>
      <c r="R3558" s="169">
        <v>6</v>
      </c>
    </row>
    <row r="3559" spans="1:18" ht="12.75" customHeight="1">
      <c r="A3559" s="628" t="s">
        <v>6484</v>
      </c>
      <c r="B3559" s="629"/>
      <c r="C3559" s="629"/>
      <c r="D3559" s="629"/>
      <c r="E3559" s="629"/>
      <c r="F3559" s="629"/>
      <c r="G3559" s="629"/>
      <c r="H3559" s="629"/>
      <c r="I3559" s="629"/>
      <c r="J3559" s="629"/>
      <c r="K3559" s="629"/>
      <c r="L3559" s="629"/>
      <c r="M3559" s="629"/>
      <c r="N3559" s="629"/>
      <c r="O3559" s="629"/>
      <c r="P3559" s="629"/>
      <c r="Q3559" s="629"/>
      <c r="R3559" s="629"/>
    </row>
    <row r="3560" spans="1:18" ht="24">
      <c r="A3560" s="165">
        <v>819</v>
      </c>
      <c r="B3560" s="162" t="s">
        <v>6485</v>
      </c>
      <c r="C3560" s="166" t="s">
        <v>6486</v>
      </c>
      <c r="D3560" s="167">
        <v>470.36</v>
      </c>
      <c r="E3560" s="167">
        <v>37.21</v>
      </c>
      <c r="F3560" s="167">
        <v>432.41</v>
      </c>
      <c r="G3560" s="167">
        <v>0.74</v>
      </c>
      <c r="H3560" s="168">
        <v>2638.71</v>
      </c>
      <c r="I3560" s="168">
        <v>427.92</v>
      </c>
      <c r="J3560" s="168">
        <v>2202.2800000000002</v>
      </c>
      <c r="K3560" s="168">
        <v>8.51</v>
      </c>
      <c r="L3560" s="43">
        <v>5.6099795901011991</v>
      </c>
      <c r="M3560" s="43">
        <v>11.500134372480517</v>
      </c>
      <c r="N3560" s="43">
        <v>5.0930367012788791</v>
      </c>
      <c r="O3560" s="43">
        <v>11.5</v>
      </c>
      <c r="P3560" s="169"/>
      <c r="Q3560" s="169"/>
      <c r="R3560" s="169">
        <v>7</v>
      </c>
    </row>
    <row r="3561" spans="1:18" ht="24">
      <c r="A3561" s="165">
        <v>820</v>
      </c>
      <c r="B3561" s="162" t="s">
        <v>6487</v>
      </c>
      <c r="C3561" s="166" t="s">
        <v>6488</v>
      </c>
      <c r="D3561" s="167">
        <v>492.24</v>
      </c>
      <c r="E3561" s="167">
        <v>38.630000000000003</v>
      </c>
      <c r="F3561" s="167">
        <v>452.84</v>
      </c>
      <c r="G3561" s="167">
        <v>0.77</v>
      </c>
      <c r="H3561" s="168">
        <v>2759.46</v>
      </c>
      <c r="I3561" s="168">
        <v>444.27</v>
      </c>
      <c r="J3561" s="168">
        <v>2306.33</v>
      </c>
      <c r="K3561" s="168">
        <v>8.86</v>
      </c>
      <c r="L3561" s="43">
        <v>5.6059239395416869</v>
      </c>
      <c r="M3561" s="43">
        <v>11.500647165415479</v>
      </c>
      <c r="N3561" s="43">
        <v>5.0930350675735356</v>
      </c>
      <c r="O3561" s="43">
        <v>11.5</v>
      </c>
      <c r="P3561" s="169"/>
      <c r="Q3561" s="169"/>
      <c r="R3561" s="169">
        <v>7</v>
      </c>
    </row>
    <row r="3562" spans="1:18" ht="24">
      <c r="A3562" s="165">
        <v>821</v>
      </c>
      <c r="B3562" s="162" t="s">
        <v>6489</v>
      </c>
      <c r="C3562" s="166" t="s">
        <v>6490</v>
      </c>
      <c r="D3562" s="167">
        <v>142.34</v>
      </c>
      <c r="E3562" s="167">
        <v>9.36</v>
      </c>
      <c r="F3562" s="167">
        <v>132.79</v>
      </c>
      <c r="G3562" s="167">
        <v>0.19</v>
      </c>
      <c r="H3562" s="168">
        <v>786.14</v>
      </c>
      <c r="I3562" s="168">
        <v>107.66</v>
      </c>
      <c r="J3562" s="168">
        <v>676.29</v>
      </c>
      <c r="K3562" s="168">
        <v>2.19</v>
      </c>
      <c r="L3562" s="43">
        <v>5.5229731628495147</v>
      </c>
      <c r="M3562" s="43">
        <v>11.502136752136753</v>
      </c>
      <c r="N3562" s="43">
        <v>5.0929286843888848</v>
      </c>
      <c r="O3562" s="43">
        <v>11.5</v>
      </c>
      <c r="P3562" s="169"/>
      <c r="Q3562" s="169"/>
      <c r="R3562" s="169">
        <v>7</v>
      </c>
    </row>
    <row r="3563" spans="1:18" ht="24">
      <c r="A3563" s="165">
        <v>822</v>
      </c>
      <c r="B3563" s="162" t="s">
        <v>6491</v>
      </c>
      <c r="C3563" s="166" t="s">
        <v>6492</v>
      </c>
      <c r="D3563" s="167">
        <v>164.94</v>
      </c>
      <c r="E3563" s="167">
        <v>31.52</v>
      </c>
      <c r="F3563" s="167">
        <v>132.79</v>
      </c>
      <c r="G3563" s="167">
        <v>0.63</v>
      </c>
      <c r="H3563" s="168">
        <v>1046.04</v>
      </c>
      <c r="I3563" s="168">
        <v>362.5</v>
      </c>
      <c r="J3563" s="168">
        <v>676.29</v>
      </c>
      <c r="K3563" s="168">
        <v>7.25</v>
      </c>
      <c r="L3563" s="43">
        <v>6.3419425245543835</v>
      </c>
      <c r="M3563" s="43">
        <v>11.500634517766498</v>
      </c>
      <c r="N3563" s="43">
        <v>5.0929286843888848</v>
      </c>
      <c r="O3563" s="43">
        <v>11.5</v>
      </c>
      <c r="P3563" s="169"/>
      <c r="Q3563" s="169"/>
      <c r="R3563" s="169">
        <v>7</v>
      </c>
    </row>
    <row r="3564" spans="1:18" ht="24">
      <c r="A3564" s="165">
        <v>823</v>
      </c>
      <c r="B3564" s="162" t="s">
        <v>6493</v>
      </c>
      <c r="C3564" s="166" t="s">
        <v>6494</v>
      </c>
      <c r="D3564" s="167">
        <v>74.36</v>
      </c>
      <c r="E3564" s="167">
        <v>9.48</v>
      </c>
      <c r="F3564" s="167">
        <v>64.69</v>
      </c>
      <c r="G3564" s="167">
        <v>0.19</v>
      </c>
      <c r="H3564" s="168">
        <v>440.69</v>
      </c>
      <c r="I3564" s="168">
        <v>109.02</v>
      </c>
      <c r="J3564" s="168">
        <v>329.48</v>
      </c>
      <c r="K3564" s="168">
        <v>2.19</v>
      </c>
      <c r="L3564" s="43">
        <v>5.9264389456697151</v>
      </c>
      <c r="M3564" s="43">
        <v>11.499999999999998</v>
      </c>
      <c r="N3564" s="43">
        <v>5.0932137888390789</v>
      </c>
      <c r="O3564" s="43">
        <v>11.5</v>
      </c>
      <c r="P3564" s="169"/>
      <c r="Q3564" s="169"/>
      <c r="R3564" s="169">
        <v>7</v>
      </c>
    </row>
    <row r="3565" spans="1:18" ht="12.75" customHeight="1">
      <c r="A3565" s="628" t="s">
        <v>6495</v>
      </c>
      <c r="B3565" s="629"/>
      <c r="C3565" s="629"/>
      <c r="D3565" s="629"/>
      <c r="E3565" s="629"/>
      <c r="F3565" s="629"/>
      <c r="G3565" s="629"/>
      <c r="H3565" s="629"/>
      <c r="I3565" s="629"/>
      <c r="J3565" s="629"/>
      <c r="K3565" s="629"/>
      <c r="L3565" s="629"/>
      <c r="M3565" s="629"/>
      <c r="N3565" s="629"/>
      <c r="O3565" s="629"/>
      <c r="P3565" s="629"/>
      <c r="Q3565" s="629"/>
      <c r="R3565" s="629"/>
    </row>
    <row r="3566" spans="1:18" ht="12.75" customHeight="1">
      <c r="A3566" s="628" t="s">
        <v>6496</v>
      </c>
      <c r="B3566" s="629"/>
      <c r="C3566" s="629"/>
      <c r="D3566" s="629"/>
      <c r="E3566" s="629"/>
      <c r="F3566" s="629"/>
      <c r="G3566" s="629"/>
      <c r="H3566" s="629"/>
      <c r="I3566" s="629"/>
      <c r="J3566" s="629"/>
      <c r="K3566" s="629"/>
      <c r="L3566" s="629"/>
      <c r="M3566" s="629"/>
      <c r="N3566" s="629"/>
      <c r="O3566" s="629"/>
      <c r="P3566" s="629"/>
      <c r="Q3566" s="629"/>
      <c r="R3566" s="629"/>
    </row>
    <row r="3567" spans="1:18" ht="24">
      <c r="A3567" s="165">
        <v>824</v>
      </c>
      <c r="B3567" s="162" t="s">
        <v>6497</v>
      </c>
      <c r="C3567" s="166" t="s">
        <v>6498</v>
      </c>
      <c r="D3567" s="167">
        <v>33.85</v>
      </c>
      <c r="E3567" s="167">
        <v>15.05</v>
      </c>
      <c r="F3567" s="167">
        <v>5.55</v>
      </c>
      <c r="G3567" s="167">
        <v>13.25</v>
      </c>
      <c r="H3567" s="168">
        <v>227.9</v>
      </c>
      <c r="I3567" s="168">
        <v>173.08</v>
      </c>
      <c r="J3567" s="168">
        <v>29.84</v>
      </c>
      <c r="K3567" s="168">
        <v>24.98</v>
      </c>
      <c r="L3567" s="43">
        <v>6.7326440177252582</v>
      </c>
      <c r="M3567" s="43">
        <v>11.500332225913622</v>
      </c>
      <c r="N3567" s="43">
        <v>5.3765765765765767</v>
      </c>
      <c r="O3567" s="43">
        <v>1.8852830188679246</v>
      </c>
      <c r="P3567" s="169"/>
      <c r="Q3567" s="169"/>
      <c r="R3567" s="169">
        <v>1</v>
      </c>
    </row>
    <row r="3568" spans="1:18" ht="12.75" customHeight="1">
      <c r="A3568" s="628" t="s">
        <v>6499</v>
      </c>
      <c r="B3568" s="629"/>
      <c r="C3568" s="629"/>
      <c r="D3568" s="629"/>
      <c r="E3568" s="629"/>
      <c r="F3568" s="629"/>
      <c r="G3568" s="629"/>
      <c r="H3568" s="629"/>
      <c r="I3568" s="629"/>
      <c r="J3568" s="629"/>
      <c r="K3568" s="629"/>
      <c r="L3568" s="629"/>
      <c r="M3568" s="629"/>
      <c r="N3568" s="629"/>
      <c r="O3568" s="629"/>
      <c r="P3568" s="629"/>
      <c r="Q3568" s="629"/>
      <c r="R3568" s="629"/>
    </row>
    <row r="3569" spans="1:18" ht="24">
      <c r="A3569" s="165">
        <v>825</v>
      </c>
      <c r="B3569" s="162" t="s">
        <v>6500</v>
      </c>
      <c r="C3569" s="166" t="s">
        <v>6501</v>
      </c>
      <c r="D3569" s="167">
        <v>437.68</v>
      </c>
      <c r="E3569" s="167">
        <v>50.6</v>
      </c>
      <c r="F3569" s="167">
        <v>337.62</v>
      </c>
      <c r="G3569" s="167">
        <v>49.46</v>
      </c>
      <c r="H3569" s="168">
        <v>2565.6999999999998</v>
      </c>
      <c r="I3569" s="168">
        <v>581.91999999999996</v>
      </c>
      <c r="J3569" s="168">
        <v>1815.76</v>
      </c>
      <c r="K3569" s="168">
        <v>168.02</v>
      </c>
      <c r="L3569" s="43">
        <v>5.8620453299214033</v>
      </c>
      <c r="M3569" s="43">
        <v>11.500395256916995</v>
      </c>
      <c r="N3569" s="43">
        <v>5.3781174101060358</v>
      </c>
      <c r="O3569" s="43">
        <v>3.3970885564092197</v>
      </c>
      <c r="P3569" s="169"/>
      <c r="Q3569" s="169"/>
      <c r="R3569" s="169">
        <v>2</v>
      </c>
    </row>
    <row r="3570" spans="1:18" ht="12.75" customHeight="1">
      <c r="A3570" s="628" t="s">
        <v>6502</v>
      </c>
      <c r="B3570" s="629"/>
      <c r="C3570" s="629"/>
      <c r="D3570" s="629"/>
      <c r="E3570" s="629"/>
      <c r="F3570" s="629"/>
      <c r="G3570" s="629"/>
      <c r="H3570" s="629"/>
      <c r="I3570" s="629"/>
      <c r="J3570" s="629"/>
      <c r="K3570" s="629"/>
      <c r="L3570" s="629"/>
      <c r="M3570" s="629"/>
      <c r="N3570" s="629"/>
      <c r="O3570" s="629"/>
      <c r="P3570" s="629"/>
      <c r="Q3570" s="629"/>
      <c r="R3570" s="629"/>
    </row>
    <row r="3571" spans="1:18" ht="36">
      <c r="A3571" s="165">
        <v>826</v>
      </c>
      <c r="B3571" s="162" t="s">
        <v>6503</v>
      </c>
      <c r="C3571" s="166" t="s">
        <v>6504</v>
      </c>
      <c r="D3571" s="167">
        <v>299.83999999999997</v>
      </c>
      <c r="E3571" s="167">
        <v>39.79</v>
      </c>
      <c r="F3571" s="167">
        <v>231.97</v>
      </c>
      <c r="G3571" s="167">
        <v>28.08</v>
      </c>
      <c r="H3571" s="168">
        <v>1713.1</v>
      </c>
      <c r="I3571" s="168">
        <v>457.66</v>
      </c>
      <c r="J3571" s="168">
        <v>1183</v>
      </c>
      <c r="K3571" s="168">
        <v>72.44</v>
      </c>
      <c r="L3571" s="43">
        <v>5.713380469583778</v>
      </c>
      <c r="M3571" s="43">
        <v>11.501884895702439</v>
      </c>
      <c r="N3571" s="43">
        <v>5.099797387593223</v>
      </c>
      <c r="O3571" s="43">
        <v>2.5797720797720798</v>
      </c>
      <c r="P3571" s="169"/>
      <c r="Q3571" s="169"/>
      <c r="R3571" s="169">
        <v>3</v>
      </c>
    </row>
    <row r="3572" spans="1:18" ht="36">
      <c r="A3572" s="165">
        <v>827</v>
      </c>
      <c r="B3572" s="162" t="s">
        <v>6505</v>
      </c>
      <c r="C3572" s="166" t="s">
        <v>6506</v>
      </c>
      <c r="D3572" s="167">
        <v>362.49</v>
      </c>
      <c r="E3572" s="167">
        <v>53.1</v>
      </c>
      <c r="F3572" s="167">
        <v>273.89999999999998</v>
      </c>
      <c r="G3572" s="167">
        <v>35.49</v>
      </c>
      <c r="H3572" s="168">
        <v>2094.31</v>
      </c>
      <c r="I3572" s="168">
        <v>610.66</v>
      </c>
      <c r="J3572" s="168">
        <v>1397.35</v>
      </c>
      <c r="K3572" s="168">
        <v>86.3</v>
      </c>
      <c r="L3572" s="43">
        <v>5.7775662776904184</v>
      </c>
      <c r="M3572" s="43">
        <v>11.500188323917136</v>
      </c>
      <c r="N3572" s="43">
        <v>5.1016794450529392</v>
      </c>
      <c r="O3572" s="43">
        <v>2.4316708932093545</v>
      </c>
      <c r="P3572" s="169"/>
      <c r="Q3572" s="169"/>
      <c r="R3572" s="169">
        <v>3</v>
      </c>
    </row>
    <row r="3573" spans="1:18" ht="24">
      <c r="A3573" s="165">
        <v>828</v>
      </c>
      <c r="B3573" s="162" t="s">
        <v>6507</v>
      </c>
      <c r="C3573" s="166" t="s">
        <v>6508</v>
      </c>
      <c r="D3573" s="167">
        <v>82.14</v>
      </c>
      <c r="E3573" s="167">
        <v>13.42</v>
      </c>
      <c r="F3573" s="167">
        <v>61.29</v>
      </c>
      <c r="G3573" s="167">
        <v>7.43</v>
      </c>
      <c r="H3573" s="168">
        <v>480.45</v>
      </c>
      <c r="I3573" s="168">
        <v>154.34</v>
      </c>
      <c r="J3573" s="168">
        <v>312.13</v>
      </c>
      <c r="K3573" s="168">
        <v>13.98</v>
      </c>
      <c r="L3573" s="43">
        <v>5.8491599707815922</v>
      </c>
      <c r="M3573" s="43">
        <v>11.500745156482862</v>
      </c>
      <c r="N3573" s="43">
        <v>5.0926741719693265</v>
      </c>
      <c r="O3573" s="43">
        <v>1.8815612382234188</v>
      </c>
      <c r="P3573" s="169"/>
      <c r="Q3573" s="169"/>
      <c r="R3573" s="169">
        <v>3</v>
      </c>
    </row>
    <row r="3574" spans="1:18" ht="24">
      <c r="A3574" s="165">
        <v>829</v>
      </c>
      <c r="B3574" s="162" t="s">
        <v>6509</v>
      </c>
      <c r="C3574" s="166" t="s">
        <v>6510</v>
      </c>
      <c r="D3574" s="167">
        <v>62.65</v>
      </c>
      <c r="E3574" s="167">
        <v>11.9</v>
      </c>
      <c r="F3574" s="167">
        <v>49.37</v>
      </c>
      <c r="G3574" s="167">
        <v>1.38</v>
      </c>
      <c r="H3574" s="168">
        <v>394.68</v>
      </c>
      <c r="I3574" s="168">
        <v>136.88999999999999</v>
      </c>
      <c r="J3574" s="168">
        <v>251.44</v>
      </c>
      <c r="K3574" s="168">
        <v>6.35</v>
      </c>
      <c r="L3574" s="43">
        <v>6.29976057462091</v>
      </c>
      <c r="M3574" s="43">
        <v>11.503361344537813</v>
      </c>
      <c r="N3574" s="43">
        <v>5.0929714401458375</v>
      </c>
      <c r="O3574" s="43">
        <v>4.6014492753623193</v>
      </c>
      <c r="P3574" s="169"/>
      <c r="Q3574" s="169"/>
      <c r="R3574" s="169">
        <v>3</v>
      </c>
    </row>
    <row r="3575" spans="1:18" ht="12.75" customHeight="1">
      <c r="A3575" s="628" t="s">
        <v>6511</v>
      </c>
      <c r="B3575" s="629"/>
      <c r="C3575" s="629"/>
      <c r="D3575" s="629"/>
      <c r="E3575" s="629"/>
      <c r="F3575" s="629"/>
      <c r="G3575" s="629"/>
      <c r="H3575" s="629"/>
      <c r="I3575" s="629"/>
      <c r="J3575" s="629"/>
      <c r="K3575" s="629"/>
      <c r="L3575" s="629"/>
      <c r="M3575" s="629"/>
      <c r="N3575" s="629"/>
      <c r="O3575" s="629"/>
      <c r="P3575" s="629"/>
      <c r="Q3575" s="629"/>
      <c r="R3575" s="629"/>
    </row>
    <row r="3576" spans="1:18" ht="24">
      <c r="A3576" s="165">
        <v>830</v>
      </c>
      <c r="B3576" s="162" t="s">
        <v>6512</v>
      </c>
      <c r="C3576" s="166" t="s">
        <v>6513</v>
      </c>
      <c r="D3576" s="167">
        <v>25.21</v>
      </c>
      <c r="E3576" s="167">
        <v>12.68</v>
      </c>
      <c r="F3576" s="167">
        <v>8.32</v>
      </c>
      <c r="G3576" s="167">
        <v>4.21</v>
      </c>
      <c r="H3576" s="168">
        <v>208.08</v>
      </c>
      <c r="I3576" s="168">
        <v>145.82</v>
      </c>
      <c r="J3576" s="168">
        <v>44.77</v>
      </c>
      <c r="K3576" s="168">
        <v>17.489999999999998</v>
      </c>
      <c r="L3576" s="43">
        <v>8.2538675128917092</v>
      </c>
      <c r="M3576" s="43">
        <v>11.5</v>
      </c>
      <c r="N3576" s="43">
        <v>5.3810096153846159</v>
      </c>
      <c r="O3576" s="43">
        <v>4.1543942992874108</v>
      </c>
      <c r="P3576" s="169"/>
      <c r="Q3576" s="169"/>
      <c r="R3576" s="169">
        <v>4</v>
      </c>
    </row>
    <row r="3577" spans="1:18" ht="24">
      <c r="A3577" s="165">
        <v>831</v>
      </c>
      <c r="B3577" s="162" t="s">
        <v>6514</v>
      </c>
      <c r="C3577" s="166" t="s">
        <v>6515</v>
      </c>
      <c r="D3577" s="167">
        <v>26.39</v>
      </c>
      <c r="E3577" s="167">
        <v>12.44</v>
      </c>
      <c r="F3577" s="167">
        <v>11.09</v>
      </c>
      <c r="G3577" s="167">
        <v>2.86</v>
      </c>
      <c r="H3577" s="168">
        <v>215.02</v>
      </c>
      <c r="I3577" s="168">
        <v>143.09</v>
      </c>
      <c r="J3577" s="168">
        <v>59.69</v>
      </c>
      <c r="K3577" s="168">
        <v>12.24</v>
      </c>
      <c r="L3577" s="43">
        <v>8.1477832512315267</v>
      </c>
      <c r="M3577" s="43">
        <v>11.502411575562702</v>
      </c>
      <c r="N3577" s="43">
        <v>5.3823264201983765</v>
      </c>
      <c r="O3577" s="43">
        <v>4.27972027972028</v>
      </c>
      <c r="P3577" s="169"/>
      <c r="Q3577" s="169"/>
      <c r="R3577" s="169">
        <v>4</v>
      </c>
    </row>
    <row r="3578" spans="1:18" ht="12.75" customHeight="1">
      <c r="A3578" s="628" t="s">
        <v>6516</v>
      </c>
      <c r="B3578" s="629"/>
      <c r="C3578" s="629"/>
      <c r="D3578" s="629"/>
      <c r="E3578" s="629"/>
      <c r="F3578" s="629"/>
      <c r="G3578" s="629"/>
      <c r="H3578" s="629"/>
      <c r="I3578" s="629"/>
      <c r="J3578" s="629"/>
      <c r="K3578" s="629"/>
      <c r="L3578" s="629"/>
      <c r="M3578" s="629"/>
      <c r="N3578" s="629"/>
      <c r="O3578" s="629"/>
      <c r="P3578" s="629"/>
      <c r="Q3578" s="629"/>
      <c r="R3578" s="629"/>
    </row>
    <row r="3579" spans="1:18" ht="24">
      <c r="A3579" s="165">
        <v>832</v>
      </c>
      <c r="B3579" s="162" t="s">
        <v>6517</v>
      </c>
      <c r="C3579" s="166" t="s">
        <v>6518</v>
      </c>
      <c r="D3579" s="167">
        <v>361.65</v>
      </c>
      <c r="E3579" s="167">
        <v>40.99</v>
      </c>
      <c r="F3579" s="167">
        <v>194.51</v>
      </c>
      <c r="G3579" s="167">
        <v>126.15</v>
      </c>
      <c r="H3579" s="168">
        <v>1889.35</v>
      </c>
      <c r="I3579" s="168">
        <v>471.36</v>
      </c>
      <c r="J3579" s="168">
        <v>992.25</v>
      </c>
      <c r="K3579" s="168">
        <v>425.74</v>
      </c>
      <c r="L3579" s="43">
        <v>5.2242499654361954</v>
      </c>
      <c r="M3579" s="43">
        <v>11.499390095145158</v>
      </c>
      <c r="N3579" s="43">
        <v>5.1012801398385692</v>
      </c>
      <c r="O3579" s="43">
        <v>3.3748711850971067</v>
      </c>
      <c r="P3579" s="169"/>
      <c r="Q3579" s="169"/>
      <c r="R3579" s="169">
        <v>5</v>
      </c>
    </row>
    <row r="3580" spans="1:18" ht="24">
      <c r="A3580" s="165">
        <v>833</v>
      </c>
      <c r="B3580" s="162" t="s">
        <v>6519</v>
      </c>
      <c r="C3580" s="166" t="s">
        <v>6520</v>
      </c>
      <c r="D3580" s="167">
        <v>477.63</v>
      </c>
      <c r="E3580" s="167">
        <v>55.17</v>
      </c>
      <c r="F3580" s="167">
        <v>296.02999999999997</v>
      </c>
      <c r="G3580" s="167">
        <v>126.43</v>
      </c>
      <c r="H3580" s="168">
        <v>2573.5100000000002</v>
      </c>
      <c r="I3580" s="168">
        <v>634.48</v>
      </c>
      <c r="J3580" s="168">
        <v>1510.07</v>
      </c>
      <c r="K3580" s="168">
        <v>428.96</v>
      </c>
      <c r="L3580" s="43">
        <v>5.3880828256181568</v>
      </c>
      <c r="M3580" s="43">
        <v>11.500453144825086</v>
      </c>
      <c r="N3580" s="43">
        <v>5.1010708374151275</v>
      </c>
      <c r="O3580" s="43">
        <v>3.392865617337657</v>
      </c>
      <c r="P3580" s="169"/>
      <c r="Q3580" s="169"/>
      <c r="R3580" s="169">
        <v>5</v>
      </c>
    </row>
    <row r="3581" spans="1:18" ht="24">
      <c r="A3581" s="165">
        <v>834</v>
      </c>
      <c r="B3581" s="162" t="s">
        <v>6521</v>
      </c>
      <c r="C3581" s="166" t="s">
        <v>6522</v>
      </c>
      <c r="D3581" s="167">
        <v>280.17</v>
      </c>
      <c r="E3581" s="167">
        <v>28.01</v>
      </c>
      <c r="F3581" s="167">
        <v>124.72</v>
      </c>
      <c r="G3581" s="167">
        <v>127.44</v>
      </c>
      <c r="H3581" s="168">
        <v>1394.04</v>
      </c>
      <c r="I3581" s="168">
        <v>322.08</v>
      </c>
      <c r="J3581" s="168">
        <v>636.77</v>
      </c>
      <c r="K3581" s="168">
        <v>435.19</v>
      </c>
      <c r="L3581" s="43">
        <v>4.9756933290502188</v>
      </c>
      <c r="M3581" s="43">
        <v>11.498750446269188</v>
      </c>
      <c r="N3581" s="43">
        <v>5.1055965362411797</v>
      </c>
      <c r="O3581" s="43">
        <v>3.414861895794099</v>
      </c>
      <c r="P3581" s="169"/>
      <c r="Q3581" s="169"/>
      <c r="R3581" s="169">
        <v>5</v>
      </c>
    </row>
    <row r="3582" spans="1:18" ht="12.75" customHeight="1">
      <c r="A3582" s="628" t="s">
        <v>6523</v>
      </c>
      <c r="B3582" s="629"/>
      <c r="C3582" s="629"/>
      <c r="D3582" s="629"/>
      <c r="E3582" s="629"/>
      <c r="F3582" s="629"/>
      <c r="G3582" s="629"/>
      <c r="H3582" s="629"/>
      <c r="I3582" s="629"/>
      <c r="J3582" s="629"/>
      <c r="K3582" s="629"/>
      <c r="L3582" s="629"/>
      <c r="M3582" s="629"/>
      <c r="N3582" s="629"/>
      <c r="O3582" s="629"/>
      <c r="P3582" s="629"/>
      <c r="Q3582" s="629"/>
      <c r="R3582" s="629"/>
    </row>
    <row r="3583" spans="1:18" ht="24">
      <c r="A3583" s="165">
        <v>835</v>
      </c>
      <c r="B3583" s="162" t="s">
        <v>6524</v>
      </c>
      <c r="C3583" s="166" t="s">
        <v>6525</v>
      </c>
      <c r="D3583" s="167">
        <v>101.38</v>
      </c>
      <c r="E3583" s="167">
        <v>12.95</v>
      </c>
      <c r="F3583" s="167">
        <v>87.89</v>
      </c>
      <c r="G3583" s="167">
        <v>0.54</v>
      </c>
      <c r="H3583" s="168">
        <v>601.34</v>
      </c>
      <c r="I3583" s="168">
        <v>148.97</v>
      </c>
      <c r="J3583" s="168">
        <v>448.45</v>
      </c>
      <c r="K3583" s="168">
        <v>3.92</v>
      </c>
      <c r="L3583" s="43">
        <v>5.9315446833695011</v>
      </c>
      <c r="M3583" s="43">
        <v>11.503474903474904</v>
      </c>
      <c r="N3583" s="43">
        <v>5.102400728182956</v>
      </c>
      <c r="O3583" s="43">
        <v>7.2592592592592586</v>
      </c>
      <c r="P3583" s="169"/>
      <c r="Q3583" s="169"/>
      <c r="R3583" s="169">
        <v>6</v>
      </c>
    </row>
    <row r="3584" spans="1:18" ht="24">
      <c r="A3584" s="165">
        <v>836</v>
      </c>
      <c r="B3584" s="162" t="s">
        <v>6526</v>
      </c>
      <c r="C3584" s="166" t="s">
        <v>6527</v>
      </c>
      <c r="D3584" s="167">
        <v>102</v>
      </c>
      <c r="E3584" s="167">
        <v>13.42</v>
      </c>
      <c r="F3584" s="167">
        <v>87.89</v>
      </c>
      <c r="G3584" s="167">
        <v>0.69</v>
      </c>
      <c r="H3584" s="168">
        <v>607.29</v>
      </c>
      <c r="I3584" s="168">
        <v>154.34</v>
      </c>
      <c r="J3584" s="168">
        <v>448.45</v>
      </c>
      <c r="K3584" s="168">
        <v>4.5</v>
      </c>
      <c r="L3584" s="43">
        <v>5.9538235294117641</v>
      </c>
      <c r="M3584" s="43">
        <v>11.500745156482862</v>
      </c>
      <c r="N3584" s="43">
        <v>5.102400728182956</v>
      </c>
      <c r="O3584" s="43">
        <v>6.5217391304347831</v>
      </c>
      <c r="P3584" s="169"/>
      <c r="Q3584" s="169"/>
      <c r="R3584" s="169">
        <v>6</v>
      </c>
    </row>
    <row r="3585" spans="1:18" ht="24">
      <c r="A3585" s="165">
        <v>837</v>
      </c>
      <c r="B3585" s="162" t="s">
        <v>6528</v>
      </c>
      <c r="C3585" s="166" t="s">
        <v>6529</v>
      </c>
      <c r="D3585" s="167">
        <v>102.5</v>
      </c>
      <c r="E3585" s="167">
        <v>13.77</v>
      </c>
      <c r="F3585" s="167">
        <v>87.89</v>
      </c>
      <c r="G3585" s="167">
        <v>0.84</v>
      </c>
      <c r="H3585" s="168">
        <v>611.89</v>
      </c>
      <c r="I3585" s="168">
        <v>158.37</v>
      </c>
      <c r="J3585" s="168">
        <v>448.45</v>
      </c>
      <c r="K3585" s="168">
        <v>5.07</v>
      </c>
      <c r="L3585" s="43">
        <v>5.9696585365853654</v>
      </c>
      <c r="M3585" s="43">
        <v>11.501089324618738</v>
      </c>
      <c r="N3585" s="43">
        <v>5.102400728182956</v>
      </c>
      <c r="O3585" s="43">
        <v>6.0357142857142865</v>
      </c>
      <c r="P3585" s="169"/>
      <c r="Q3585" s="169"/>
      <c r="R3585" s="169">
        <v>6</v>
      </c>
    </row>
    <row r="3586" spans="1:18" ht="24">
      <c r="A3586" s="165">
        <v>838</v>
      </c>
      <c r="B3586" s="162" t="s">
        <v>6530</v>
      </c>
      <c r="C3586" s="166" t="s">
        <v>6531</v>
      </c>
      <c r="D3586" s="167">
        <v>104.25</v>
      </c>
      <c r="E3586" s="167">
        <v>13.3</v>
      </c>
      <c r="F3586" s="167">
        <v>87.89</v>
      </c>
      <c r="G3586" s="167">
        <v>3.06</v>
      </c>
      <c r="H3586" s="168">
        <v>613.80999999999995</v>
      </c>
      <c r="I3586" s="168">
        <v>153</v>
      </c>
      <c r="J3586" s="168">
        <v>448.45</v>
      </c>
      <c r="K3586" s="168">
        <v>12.36</v>
      </c>
      <c r="L3586" s="43">
        <v>5.8878657074340524</v>
      </c>
      <c r="M3586" s="43">
        <v>11.503759398496239</v>
      </c>
      <c r="N3586" s="43">
        <v>5.102400728182956</v>
      </c>
      <c r="O3586" s="43">
        <v>4.0392156862745097</v>
      </c>
      <c r="P3586" s="169"/>
      <c r="Q3586" s="169"/>
      <c r="R3586" s="169">
        <v>6</v>
      </c>
    </row>
    <row r="3587" spans="1:18" ht="24">
      <c r="A3587" s="165">
        <v>839</v>
      </c>
      <c r="B3587" s="162" t="s">
        <v>6532</v>
      </c>
      <c r="C3587" s="166" t="s">
        <v>6533</v>
      </c>
      <c r="D3587" s="167">
        <v>105.99</v>
      </c>
      <c r="E3587" s="167">
        <v>13.65</v>
      </c>
      <c r="F3587" s="167">
        <v>87.89</v>
      </c>
      <c r="G3587" s="167">
        <v>4.45</v>
      </c>
      <c r="H3587" s="168">
        <v>622.47</v>
      </c>
      <c r="I3587" s="168">
        <v>157.03</v>
      </c>
      <c r="J3587" s="168">
        <v>448.45</v>
      </c>
      <c r="K3587" s="168">
        <v>16.989999999999998</v>
      </c>
      <c r="L3587" s="43">
        <v>5.8729125389187669</v>
      </c>
      <c r="M3587" s="43">
        <v>11.504029304029304</v>
      </c>
      <c r="N3587" s="43">
        <v>5.102400728182956</v>
      </c>
      <c r="O3587" s="43">
        <v>3.8179775280898873</v>
      </c>
      <c r="P3587" s="169"/>
      <c r="Q3587" s="169"/>
      <c r="R3587" s="169">
        <v>6</v>
      </c>
    </row>
    <row r="3588" spans="1:18" ht="24">
      <c r="A3588" s="165">
        <v>840</v>
      </c>
      <c r="B3588" s="162" t="s">
        <v>6534</v>
      </c>
      <c r="C3588" s="166" t="s">
        <v>6535</v>
      </c>
      <c r="D3588" s="167">
        <v>107.86</v>
      </c>
      <c r="E3588" s="167">
        <v>14.12</v>
      </c>
      <c r="F3588" s="167">
        <v>87.89</v>
      </c>
      <c r="G3588" s="167">
        <v>5.85</v>
      </c>
      <c r="H3588" s="168">
        <v>632.55999999999995</v>
      </c>
      <c r="I3588" s="168">
        <v>162.38999999999999</v>
      </c>
      <c r="J3588" s="168">
        <v>448.45</v>
      </c>
      <c r="K3588" s="168">
        <v>21.72</v>
      </c>
      <c r="L3588" s="43">
        <v>5.8646393473020577</v>
      </c>
      <c r="M3588" s="43">
        <v>11.50070821529745</v>
      </c>
      <c r="N3588" s="43">
        <v>5.102400728182956</v>
      </c>
      <c r="O3588" s="43">
        <v>3.712820512820513</v>
      </c>
      <c r="P3588" s="169"/>
      <c r="Q3588" s="169"/>
      <c r="R3588" s="169">
        <v>6</v>
      </c>
    </row>
    <row r="3589" spans="1:18" ht="12.75" customHeight="1">
      <c r="A3589" s="628" t="s">
        <v>6536</v>
      </c>
      <c r="B3589" s="629"/>
      <c r="C3589" s="629"/>
      <c r="D3589" s="629"/>
      <c r="E3589" s="629"/>
      <c r="F3589" s="629"/>
      <c r="G3589" s="629"/>
      <c r="H3589" s="629"/>
      <c r="I3589" s="629"/>
      <c r="J3589" s="629"/>
      <c r="K3589" s="629"/>
      <c r="L3589" s="629"/>
      <c r="M3589" s="629"/>
      <c r="N3589" s="629"/>
      <c r="O3589" s="629"/>
      <c r="P3589" s="629"/>
      <c r="Q3589" s="629"/>
      <c r="R3589" s="629"/>
    </row>
    <row r="3590" spans="1:18" ht="24">
      <c r="A3590" s="165">
        <v>841</v>
      </c>
      <c r="B3590" s="162" t="s">
        <v>6537</v>
      </c>
      <c r="C3590" s="166" t="s">
        <v>6538</v>
      </c>
      <c r="D3590" s="167">
        <v>1998.25</v>
      </c>
      <c r="E3590" s="167">
        <v>250.1</v>
      </c>
      <c r="F3590" s="167">
        <v>1721.82</v>
      </c>
      <c r="G3590" s="167">
        <v>26.33</v>
      </c>
      <c r="H3590" s="168">
        <v>11835.32</v>
      </c>
      <c r="I3590" s="168">
        <v>2876.15</v>
      </c>
      <c r="J3590" s="168">
        <v>8774.86</v>
      </c>
      <c r="K3590" s="168">
        <v>184.31</v>
      </c>
      <c r="L3590" s="43">
        <v>5.922842487176279</v>
      </c>
      <c r="M3590" s="43">
        <v>11.5</v>
      </c>
      <c r="N3590" s="43">
        <v>5.0962702256914199</v>
      </c>
      <c r="O3590" s="43">
        <v>7.0000000000000009</v>
      </c>
      <c r="P3590" s="169"/>
      <c r="Q3590" s="169"/>
      <c r="R3590" s="169">
        <v>7</v>
      </c>
    </row>
    <row r="3591" spans="1:18" ht="24">
      <c r="A3591" s="165">
        <v>842</v>
      </c>
      <c r="B3591" s="162" t="s">
        <v>6539</v>
      </c>
      <c r="C3591" s="166" t="s">
        <v>6540</v>
      </c>
      <c r="D3591" s="167">
        <v>2370.62</v>
      </c>
      <c r="E3591" s="167">
        <v>291.58</v>
      </c>
      <c r="F3591" s="167">
        <v>2045.27</v>
      </c>
      <c r="G3591" s="167">
        <v>33.770000000000003</v>
      </c>
      <c r="H3591" s="168">
        <v>14002.51</v>
      </c>
      <c r="I3591" s="168">
        <v>3353.17</v>
      </c>
      <c r="J3591" s="168">
        <v>10422.24</v>
      </c>
      <c r="K3591" s="168">
        <v>227.1</v>
      </c>
      <c r="L3591" s="43">
        <v>5.9066868582902368</v>
      </c>
      <c r="M3591" s="43">
        <v>11.5</v>
      </c>
      <c r="N3591" s="43">
        <v>5.0957770856659508</v>
      </c>
      <c r="O3591" s="43">
        <v>6.7249037607343789</v>
      </c>
      <c r="P3591" s="169"/>
      <c r="Q3591" s="169"/>
      <c r="R3591" s="169">
        <v>7</v>
      </c>
    </row>
    <row r="3592" spans="1:18" ht="24">
      <c r="A3592" s="165">
        <v>843</v>
      </c>
      <c r="B3592" s="162" t="s">
        <v>6541</v>
      </c>
      <c r="C3592" s="166" t="s">
        <v>6542</v>
      </c>
      <c r="D3592" s="167">
        <v>2393.0500000000002</v>
      </c>
      <c r="E3592" s="167">
        <v>302.56</v>
      </c>
      <c r="F3592" s="167">
        <v>2048.04</v>
      </c>
      <c r="G3592" s="167">
        <v>42.45</v>
      </c>
      <c r="H3592" s="168">
        <v>14188.31</v>
      </c>
      <c r="I3592" s="168">
        <v>3479.44</v>
      </c>
      <c r="J3592" s="168">
        <v>10437.17</v>
      </c>
      <c r="K3592" s="168">
        <v>271.7</v>
      </c>
      <c r="L3592" s="43">
        <v>5.9289651281836981</v>
      </c>
      <c r="M3592" s="43">
        <v>11.5</v>
      </c>
      <c r="N3592" s="43">
        <v>5.0961748793968873</v>
      </c>
      <c r="O3592" s="43">
        <v>6.4004711425206118</v>
      </c>
      <c r="P3592" s="169"/>
      <c r="Q3592" s="169"/>
      <c r="R3592" s="169">
        <v>7</v>
      </c>
    </row>
    <row r="3593" spans="1:18" ht="36">
      <c r="A3593" s="165">
        <v>844</v>
      </c>
      <c r="B3593" s="162" t="s">
        <v>6543</v>
      </c>
      <c r="C3593" s="166" t="s">
        <v>6544</v>
      </c>
      <c r="D3593" s="167">
        <v>973.13</v>
      </c>
      <c r="E3593" s="167">
        <v>152.5</v>
      </c>
      <c r="F3593" s="167">
        <v>786.76</v>
      </c>
      <c r="G3593" s="167">
        <v>33.869999999999997</v>
      </c>
      <c r="H3593" s="168">
        <v>5953.4</v>
      </c>
      <c r="I3593" s="168">
        <v>1753.75</v>
      </c>
      <c r="J3593" s="168">
        <v>4010.98</v>
      </c>
      <c r="K3593" s="168">
        <v>188.67</v>
      </c>
      <c r="L3593" s="43">
        <v>6.1177848797180232</v>
      </c>
      <c r="M3593" s="43">
        <v>11.5</v>
      </c>
      <c r="N3593" s="43">
        <v>5.0980985306828002</v>
      </c>
      <c r="O3593" s="43">
        <v>5.570416297608503</v>
      </c>
      <c r="P3593" s="169"/>
      <c r="Q3593" s="169"/>
      <c r="R3593" s="169">
        <v>7</v>
      </c>
    </row>
    <row r="3594" spans="1:18" ht="36">
      <c r="A3594" s="165">
        <v>845</v>
      </c>
      <c r="B3594" s="162" t="s">
        <v>6545</v>
      </c>
      <c r="C3594" s="166" t="s">
        <v>6546</v>
      </c>
      <c r="D3594" s="167">
        <v>1100.55</v>
      </c>
      <c r="E3594" s="167">
        <v>167.14</v>
      </c>
      <c r="F3594" s="167">
        <v>896.15</v>
      </c>
      <c r="G3594" s="167">
        <v>37.26</v>
      </c>
      <c r="H3594" s="168">
        <v>6706.79</v>
      </c>
      <c r="I3594" s="168">
        <v>1922.11</v>
      </c>
      <c r="J3594" s="168">
        <v>4569.72</v>
      </c>
      <c r="K3594" s="168">
        <v>214.96</v>
      </c>
      <c r="L3594" s="43">
        <v>6.0940348007814276</v>
      </c>
      <c r="M3594" s="43">
        <v>11.5</v>
      </c>
      <c r="N3594" s="43">
        <v>5.0992802544216929</v>
      </c>
      <c r="O3594" s="43">
        <v>5.7691894793344076</v>
      </c>
      <c r="P3594" s="169"/>
      <c r="Q3594" s="169"/>
      <c r="R3594" s="169">
        <v>7</v>
      </c>
    </row>
    <row r="3595" spans="1:18" ht="36">
      <c r="A3595" s="165">
        <v>846</v>
      </c>
      <c r="B3595" s="162" t="s">
        <v>6547</v>
      </c>
      <c r="C3595" s="166" t="s">
        <v>6548</v>
      </c>
      <c r="D3595" s="167">
        <v>1365.11</v>
      </c>
      <c r="E3595" s="167">
        <v>193.98</v>
      </c>
      <c r="F3595" s="167">
        <v>1129.3800000000001</v>
      </c>
      <c r="G3595" s="167">
        <v>41.75</v>
      </c>
      <c r="H3595" s="168">
        <v>8238.7199999999993</v>
      </c>
      <c r="I3595" s="168">
        <v>2230.77</v>
      </c>
      <c r="J3595" s="168">
        <v>5757.56</v>
      </c>
      <c r="K3595" s="168">
        <v>250.39</v>
      </c>
      <c r="L3595" s="43">
        <v>6.0352059540989371</v>
      </c>
      <c r="M3595" s="43">
        <v>11.5</v>
      </c>
      <c r="N3595" s="43">
        <v>5.0979829641041983</v>
      </c>
      <c r="O3595" s="43">
        <v>5.9973652694610777</v>
      </c>
      <c r="P3595" s="169"/>
      <c r="Q3595" s="169"/>
      <c r="R3595" s="169">
        <v>7</v>
      </c>
    </row>
    <row r="3596" spans="1:18" ht="36">
      <c r="A3596" s="165">
        <v>847</v>
      </c>
      <c r="B3596" s="162" t="s">
        <v>6549</v>
      </c>
      <c r="C3596" s="166" t="s">
        <v>6550</v>
      </c>
      <c r="D3596" s="167">
        <v>1525.59</v>
      </c>
      <c r="E3596" s="167">
        <v>236.68</v>
      </c>
      <c r="F3596" s="167">
        <v>1241.1099999999999</v>
      </c>
      <c r="G3596" s="167">
        <v>47.8</v>
      </c>
      <c r="H3596" s="168">
        <v>9348.57</v>
      </c>
      <c r="I3596" s="168">
        <v>2721.82</v>
      </c>
      <c r="J3596" s="168">
        <v>6327.4</v>
      </c>
      <c r="K3596" s="168">
        <v>299.35000000000002</v>
      </c>
      <c r="L3596" s="43">
        <v>6.1278390655418562</v>
      </c>
      <c r="M3596" s="43">
        <v>11.5</v>
      </c>
      <c r="N3596" s="43">
        <v>5.0981782436689738</v>
      </c>
      <c r="O3596" s="43">
        <v>6.2625523012552309</v>
      </c>
      <c r="P3596" s="169"/>
      <c r="Q3596" s="169"/>
      <c r="R3596" s="169">
        <v>7</v>
      </c>
    </row>
    <row r="3597" spans="1:18" ht="12.75" customHeight="1">
      <c r="A3597" s="628" t="s">
        <v>6551</v>
      </c>
      <c r="B3597" s="629"/>
      <c r="C3597" s="629"/>
      <c r="D3597" s="629"/>
      <c r="E3597" s="629"/>
      <c r="F3597" s="629"/>
      <c r="G3597" s="629"/>
      <c r="H3597" s="629"/>
      <c r="I3597" s="629"/>
      <c r="J3597" s="629"/>
      <c r="K3597" s="629"/>
      <c r="L3597" s="629"/>
      <c r="M3597" s="629"/>
      <c r="N3597" s="629"/>
      <c r="O3597" s="629"/>
      <c r="P3597" s="629"/>
      <c r="Q3597" s="629"/>
      <c r="R3597" s="629"/>
    </row>
    <row r="3598" spans="1:18" ht="24">
      <c r="A3598" s="165">
        <v>848</v>
      </c>
      <c r="B3598" s="162" t="s">
        <v>6552</v>
      </c>
      <c r="C3598" s="166" t="s">
        <v>6553</v>
      </c>
      <c r="D3598" s="167">
        <v>4601.8900000000003</v>
      </c>
      <c r="E3598" s="167">
        <v>971.12</v>
      </c>
      <c r="F3598" s="167">
        <v>3478.06</v>
      </c>
      <c r="G3598" s="167">
        <v>152.71</v>
      </c>
      <c r="H3598" s="168">
        <v>29561.46</v>
      </c>
      <c r="I3598" s="168">
        <v>11167.88</v>
      </c>
      <c r="J3598" s="168">
        <v>17720.3</v>
      </c>
      <c r="K3598" s="168">
        <v>673.28</v>
      </c>
      <c r="L3598" s="43">
        <v>6.4237650182859642</v>
      </c>
      <c r="M3598" s="43">
        <v>11.5</v>
      </c>
      <c r="N3598" s="43">
        <v>5.0948804793476823</v>
      </c>
      <c r="O3598" s="43">
        <v>4.4088795756662948</v>
      </c>
      <c r="P3598" s="169"/>
      <c r="Q3598" s="169"/>
      <c r="R3598" s="169">
        <v>8</v>
      </c>
    </row>
    <row r="3599" spans="1:18" ht="24">
      <c r="A3599" s="165">
        <v>849</v>
      </c>
      <c r="B3599" s="162" t="s">
        <v>6554</v>
      </c>
      <c r="C3599" s="166" t="s">
        <v>6555</v>
      </c>
      <c r="D3599" s="167">
        <v>742.16</v>
      </c>
      <c r="E3599" s="167">
        <v>158.6</v>
      </c>
      <c r="F3599" s="167">
        <v>447.1</v>
      </c>
      <c r="G3599" s="167">
        <v>136.46</v>
      </c>
      <c r="H3599" s="168">
        <v>4588.21</v>
      </c>
      <c r="I3599" s="168">
        <v>1823.9</v>
      </c>
      <c r="J3599" s="168">
        <v>2277.9</v>
      </c>
      <c r="K3599" s="168">
        <v>486.41</v>
      </c>
      <c r="L3599" s="43">
        <v>6.1822383313571203</v>
      </c>
      <c r="M3599" s="43">
        <v>11.500000000000002</v>
      </c>
      <c r="N3599" s="43">
        <v>5.0948333706106013</v>
      </c>
      <c r="O3599" s="43">
        <v>3.5644877619815332</v>
      </c>
      <c r="P3599" s="169"/>
      <c r="Q3599" s="169"/>
      <c r="R3599" s="169">
        <v>8</v>
      </c>
    </row>
    <row r="3600" spans="1:18" ht="12.75" customHeight="1">
      <c r="A3600" s="628" t="s">
        <v>6556</v>
      </c>
      <c r="B3600" s="629"/>
      <c r="C3600" s="629"/>
      <c r="D3600" s="629"/>
      <c r="E3600" s="629"/>
      <c r="F3600" s="629"/>
      <c r="G3600" s="629"/>
      <c r="H3600" s="629"/>
      <c r="I3600" s="629"/>
      <c r="J3600" s="629"/>
      <c r="K3600" s="629"/>
      <c r="L3600" s="629"/>
      <c r="M3600" s="629"/>
      <c r="N3600" s="629"/>
      <c r="O3600" s="629"/>
      <c r="P3600" s="629"/>
      <c r="Q3600" s="629"/>
      <c r="R3600" s="629"/>
    </row>
    <row r="3601" spans="1:18" ht="24">
      <c r="A3601" s="165">
        <v>850</v>
      </c>
      <c r="B3601" s="162" t="s">
        <v>6557</v>
      </c>
      <c r="C3601" s="166" t="s">
        <v>6558</v>
      </c>
      <c r="D3601" s="167">
        <v>133.30000000000001</v>
      </c>
      <c r="E3601" s="167">
        <v>14.42</v>
      </c>
      <c r="F3601" s="167">
        <v>61.73</v>
      </c>
      <c r="G3601" s="167">
        <v>57.15</v>
      </c>
      <c r="H3601" s="168">
        <v>684.38</v>
      </c>
      <c r="I3601" s="168">
        <v>165.84</v>
      </c>
      <c r="J3601" s="168">
        <v>315.95999999999998</v>
      </c>
      <c r="K3601" s="168">
        <v>202.58</v>
      </c>
      <c r="L3601" s="43">
        <v>5.1341335333833458</v>
      </c>
      <c r="M3601" s="43">
        <v>11.500693481276006</v>
      </c>
      <c r="N3601" s="43">
        <v>5.1184189211080513</v>
      </c>
      <c r="O3601" s="43">
        <v>3.5447069116360459</v>
      </c>
      <c r="P3601" s="169"/>
      <c r="Q3601" s="169"/>
      <c r="R3601" s="169">
        <v>9</v>
      </c>
    </row>
    <row r="3602" spans="1:18" ht="24">
      <c r="A3602" s="165">
        <v>851</v>
      </c>
      <c r="B3602" s="162" t="s">
        <v>6559</v>
      </c>
      <c r="C3602" s="166" t="s">
        <v>6560</v>
      </c>
      <c r="D3602" s="167">
        <v>235.34</v>
      </c>
      <c r="E3602" s="167">
        <v>29.34</v>
      </c>
      <c r="F3602" s="167">
        <v>148.55000000000001</v>
      </c>
      <c r="G3602" s="167">
        <v>57.45</v>
      </c>
      <c r="H3602" s="168">
        <v>1301.6300000000001</v>
      </c>
      <c r="I3602" s="168">
        <v>337.45</v>
      </c>
      <c r="J3602" s="168">
        <v>758.15</v>
      </c>
      <c r="K3602" s="168">
        <v>206.03</v>
      </c>
      <c r="L3602" s="43">
        <v>5.5308489844480331</v>
      </c>
      <c r="M3602" s="43">
        <v>11.501363326516701</v>
      </c>
      <c r="N3602" s="43">
        <v>5.1036687983843816</v>
      </c>
      <c r="O3602" s="43">
        <v>3.5862489120974761</v>
      </c>
      <c r="P3602" s="169"/>
      <c r="Q3602" s="169"/>
      <c r="R3602" s="169">
        <v>9</v>
      </c>
    </row>
    <row r="3603" spans="1:18" ht="24">
      <c r="A3603" s="165">
        <v>852</v>
      </c>
      <c r="B3603" s="162" t="s">
        <v>6561</v>
      </c>
      <c r="C3603" s="166" t="s">
        <v>6562</v>
      </c>
      <c r="D3603" s="167">
        <v>147.1</v>
      </c>
      <c r="E3603" s="167">
        <v>22.95</v>
      </c>
      <c r="F3603" s="167">
        <v>66.83</v>
      </c>
      <c r="G3603" s="167">
        <v>57.32</v>
      </c>
      <c r="H3603" s="168">
        <v>810.4</v>
      </c>
      <c r="I3603" s="168">
        <v>263.89999999999998</v>
      </c>
      <c r="J3603" s="168">
        <v>341.97</v>
      </c>
      <c r="K3603" s="168">
        <v>204.53</v>
      </c>
      <c r="L3603" s="43">
        <v>5.5091774303195109</v>
      </c>
      <c r="M3603" s="43">
        <v>11.498910675381262</v>
      </c>
      <c r="N3603" s="43">
        <v>5.1170133173724377</v>
      </c>
      <c r="O3603" s="43">
        <v>3.5682135380321003</v>
      </c>
      <c r="P3603" s="169"/>
      <c r="Q3603" s="169"/>
      <c r="R3603" s="169">
        <v>9</v>
      </c>
    </row>
    <row r="3604" spans="1:18" ht="24">
      <c r="A3604" s="165">
        <v>853</v>
      </c>
      <c r="B3604" s="162" t="s">
        <v>6563</v>
      </c>
      <c r="C3604" s="166" t="s">
        <v>6564</v>
      </c>
      <c r="D3604" s="167">
        <v>155.38999999999999</v>
      </c>
      <c r="E3604" s="167">
        <v>16.05</v>
      </c>
      <c r="F3604" s="167">
        <v>82.16</v>
      </c>
      <c r="G3604" s="167">
        <v>57.18</v>
      </c>
      <c r="H3604" s="168">
        <v>807.52</v>
      </c>
      <c r="I3604" s="168">
        <v>184.59</v>
      </c>
      <c r="J3604" s="168">
        <v>420.01</v>
      </c>
      <c r="K3604" s="168">
        <v>202.92</v>
      </c>
      <c r="L3604" s="43">
        <v>5.1967308063581958</v>
      </c>
      <c r="M3604" s="43">
        <v>11.500934579439251</v>
      </c>
      <c r="N3604" s="43">
        <v>5.1120983446932815</v>
      </c>
      <c r="O3604" s="43">
        <v>3.5487932843651624</v>
      </c>
      <c r="P3604" s="169"/>
      <c r="Q3604" s="169"/>
      <c r="R3604" s="169">
        <v>9</v>
      </c>
    </row>
    <row r="3605" spans="1:18" ht="12.75" customHeight="1">
      <c r="A3605" s="628" t="s">
        <v>6565</v>
      </c>
      <c r="B3605" s="629"/>
      <c r="C3605" s="629"/>
      <c r="D3605" s="629"/>
      <c r="E3605" s="629"/>
      <c r="F3605" s="629"/>
      <c r="G3605" s="629"/>
      <c r="H3605" s="629"/>
      <c r="I3605" s="629"/>
      <c r="J3605" s="629"/>
      <c r="K3605" s="629"/>
      <c r="L3605" s="629"/>
      <c r="M3605" s="629"/>
      <c r="N3605" s="629"/>
      <c r="O3605" s="629"/>
      <c r="P3605" s="629"/>
      <c r="Q3605" s="629"/>
      <c r="R3605" s="629"/>
    </row>
    <row r="3606" spans="1:18" ht="24">
      <c r="A3606" s="165">
        <v>854</v>
      </c>
      <c r="B3606" s="162" t="s">
        <v>6566</v>
      </c>
      <c r="C3606" s="166" t="s">
        <v>6567</v>
      </c>
      <c r="D3606" s="167">
        <v>57.57</v>
      </c>
      <c r="E3606" s="167">
        <v>13.54</v>
      </c>
      <c r="F3606" s="167">
        <v>36.06</v>
      </c>
      <c r="G3606" s="167">
        <v>7.97</v>
      </c>
      <c r="H3606" s="168">
        <v>398.62</v>
      </c>
      <c r="I3606" s="168">
        <v>155.75</v>
      </c>
      <c r="J3606" s="168">
        <v>194</v>
      </c>
      <c r="K3606" s="168">
        <v>48.87</v>
      </c>
      <c r="L3606" s="43">
        <v>6.9240924092409237</v>
      </c>
      <c r="M3606" s="43">
        <v>11.502954209748893</v>
      </c>
      <c r="N3606" s="43">
        <v>5.3799223516361616</v>
      </c>
      <c r="O3606" s="43">
        <v>6.1317440401505641</v>
      </c>
      <c r="P3606" s="169"/>
      <c r="Q3606" s="169"/>
      <c r="R3606" s="169">
        <v>10</v>
      </c>
    </row>
    <row r="3607" spans="1:18" ht="24">
      <c r="A3607" s="165">
        <v>855</v>
      </c>
      <c r="B3607" s="162" t="s">
        <v>6568</v>
      </c>
      <c r="C3607" s="166" t="s">
        <v>6569</v>
      </c>
      <c r="D3607" s="167">
        <v>58.21</v>
      </c>
      <c r="E3607" s="167">
        <v>14.17</v>
      </c>
      <c r="F3607" s="167">
        <v>36.06</v>
      </c>
      <c r="G3607" s="167">
        <v>7.98</v>
      </c>
      <c r="H3607" s="168">
        <v>405.94</v>
      </c>
      <c r="I3607" s="168">
        <v>162.96</v>
      </c>
      <c r="J3607" s="168">
        <v>194</v>
      </c>
      <c r="K3607" s="168">
        <v>48.98</v>
      </c>
      <c r="L3607" s="43">
        <v>6.9737158563820651</v>
      </c>
      <c r="M3607" s="43">
        <v>11.500352858151023</v>
      </c>
      <c r="N3607" s="43">
        <v>5.3799223516361616</v>
      </c>
      <c r="O3607" s="43">
        <v>6.1378446115288217</v>
      </c>
      <c r="P3607" s="169"/>
      <c r="Q3607" s="169"/>
      <c r="R3607" s="169">
        <v>10</v>
      </c>
    </row>
    <row r="3608" spans="1:18" ht="12.75" customHeight="1">
      <c r="A3608" s="628" t="s">
        <v>6570</v>
      </c>
      <c r="B3608" s="629"/>
      <c r="C3608" s="629"/>
      <c r="D3608" s="629"/>
      <c r="E3608" s="629"/>
      <c r="F3608" s="629"/>
      <c r="G3608" s="629"/>
      <c r="H3608" s="629"/>
      <c r="I3608" s="629"/>
      <c r="J3608" s="629"/>
      <c r="K3608" s="629"/>
      <c r="L3608" s="629"/>
      <c r="M3608" s="629"/>
      <c r="N3608" s="629"/>
      <c r="O3608" s="629"/>
      <c r="P3608" s="629"/>
      <c r="Q3608" s="629"/>
      <c r="R3608" s="629"/>
    </row>
    <row r="3609" spans="1:18" ht="24">
      <c r="A3609" s="165">
        <v>856</v>
      </c>
      <c r="B3609" s="162" t="s">
        <v>6571</v>
      </c>
      <c r="C3609" s="166" t="s">
        <v>6572</v>
      </c>
      <c r="D3609" s="167">
        <v>19.5</v>
      </c>
      <c r="E3609" s="167">
        <v>14.8</v>
      </c>
      <c r="F3609" s="167">
        <v>2.77</v>
      </c>
      <c r="G3609" s="167">
        <v>1.93</v>
      </c>
      <c r="H3609" s="168">
        <v>200.7</v>
      </c>
      <c r="I3609" s="168">
        <v>170.17</v>
      </c>
      <c r="J3609" s="168">
        <v>14.93</v>
      </c>
      <c r="K3609" s="168">
        <v>15.6</v>
      </c>
      <c r="L3609" s="43">
        <v>10.292307692307691</v>
      </c>
      <c r="M3609" s="43">
        <v>11.497972972972972</v>
      </c>
      <c r="N3609" s="43">
        <v>5.3898916967509027</v>
      </c>
      <c r="O3609" s="43">
        <v>8.0829015544041454</v>
      </c>
      <c r="P3609" s="169"/>
      <c r="Q3609" s="169"/>
      <c r="R3609" s="169">
        <v>11</v>
      </c>
    </row>
    <row r="3610" spans="1:18" ht="12.75" customHeight="1">
      <c r="A3610" s="628" t="s">
        <v>6573</v>
      </c>
      <c r="B3610" s="629"/>
      <c r="C3610" s="629"/>
      <c r="D3610" s="629"/>
      <c r="E3610" s="629"/>
      <c r="F3610" s="629"/>
      <c r="G3610" s="629"/>
      <c r="H3610" s="629"/>
      <c r="I3610" s="629"/>
      <c r="J3610" s="629"/>
      <c r="K3610" s="629"/>
      <c r="L3610" s="629"/>
      <c r="M3610" s="629"/>
      <c r="N3610" s="629"/>
      <c r="O3610" s="629"/>
      <c r="P3610" s="629"/>
      <c r="Q3610" s="629"/>
      <c r="R3610" s="629"/>
    </row>
    <row r="3611" spans="1:18" ht="24">
      <c r="A3611" s="165">
        <v>857</v>
      </c>
      <c r="B3611" s="162" t="s">
        <v>6574</v>
      </c>
      <c r="C3611" s="166" t="s">
        <v>6575</v>
      </c>
      <c r="D3611" s="167">
        <v>93.72</v>
      </c>
      <c r="E3611" s="167">
        <v>14.42</v>
      </c>
      <c r="F3611" s="167">
        <v>75.98</v>
      </c>
      <c r="G3611" s="167">
        <v>3.32</v>
      </c>
      <c r="H3611" s="168">
        <v>576.53</v>
      </c>
      <c r="I3611" s="168">
        <v>165.88</v>
      </c>
      <c r="J3611" s="168">
        <v>387.76</v>
      </c>
      <c r="K3611" s="168">
        <v>22.89</v>
      </c>
      <c r="L3611" s="43">
        <v>6.1516218523260777</v>
      </c>
      <c r="M3611" s="43">
        <v>11.503467406380027</v>
      </c>
      <c r="N3611" s="43">
        <v>5.1034482758620685</v>
      </c>
      <c r="O3611" s="43">
        <v>6.894578313253013</v>
      </c>
      <c r="P3611" s="169"/>
      <c r="Q3611" s="169"/>
      <c r="R3611" s="169">
        <v>12</v>
      </c>
    </row>
    <row r="3612" spans="1:18" ht="24">
      <c r="A3612" s="165">
        <v>858</v>
      </c>
      <c r="B3612" s="162" t="s">
        <v>6576</v>
      </c>
      <c r="C3612" s="166" t="s">
        <v>6577</v>
      </c>
      <c r="D3612" s="167">
        <v>119.74</v>
      </c>
      <c r="E3612" s="167">
        <v>14.9</v>
      </c>
      <c r="F3612" s="167">
        <v>101.51</v>
      </c>
      <c r="G3612" s="167">
        <v>3.33</v>
      </c>
      <c r="H3612" s="168">
        <v>712.22</v>
      </c>
      <c r="I3612" s="168">
        <v>171.41</v>
      </c>
      <c r="J3612" s="168">
        <v>517.80999999999995</v>
      </c>
      <c r="K3612" s="168">
        <v>23</v>
      </c>
      <c r="L3612" s="43">
        <v>5.9480541172540509</v>
      </c>
      <c r="M3612" s="43">
        <v>11.504026845637583</v>
      </c>
      <c r="N3612" s="43">
        <v>5.1010737858339068</v>
      </c>
      <c r="O3612" s="43">
        <v>6.9069069069069071</v>
      </c>
      <c r="P3612" s="169"/>
      <c r="Q3612" s="169"/>
      <c r="R3612" s="169">
        <v>12</v>
      </c>
    </row>
    <row r="3613" spans="1:18" ht="12.75" customHeight="1">
      <c r="A3613" s="628" t="s">
        <v>6578</v>
      </c>
      <c r="B3613" s="629"/>
      <c r="C3613" s="629"/>
      <c r="D3613" s="629"/>
      <c r="E3613" s="629"/>
      <c r="F3613" s="629"/>
      <c r="G3613" s="629"/>
      <c r="H3613" s="629"/>
      <c r="I3613" s="629"/>
      <c r="J3613" s="629"/>
      <c r="K3613" s="629"/>
      <c r="L3613" s="629"/>
      <c r="M3613" s="629"/>
      <c r="N3613" s="629"/>
      <c r="O3613" s="629"/>
      <c r="P3613" s="629"/>
      <c r="Q3613" s="629"/>
      <c r="R3613" s="629"/>
    </row>
    <row r="3614" spans="1:18" ht="24">
      <c r="A3614" s="165">
        <v>859</v>
      </c>
      <c r="B3614" s="162" t="s">
        <v>6579</v>
      </c>
      <c r="C3614" s="166" t="s">
        <v>6580</v>
      </c>
      <c r="D3614" s="167">
        <v>62.59</v>
      </c>
      <c r="E3614" s="167">
        <v>10.86</v>
      </c>
      <c r="F3614" s="167">
        <v>51.51</v>
      </c>
      <c r="G3614" s="167">
        <v>0.22</v>
      </c>
      <c r="H3614" s="168">
        <v>391.34</v>
      </c>
      <c r="I3614" s="168">
        <v>124.87</v>
      </c>
      <c r="J3614" s="168">
        <v>263.94</v>
      </c>
      <c r="K3614" s="168">
        <v>2.5299999999999998</v>
      </c>
      <c r="L3614" s="43">
        <v>6.2524364914523076</v>
      </c>
      <c r="M3614" s="43">
        <v>11.49815837937385</v>
      </c>
      <c r="N3614" s="43">
        <v>5.1240535818287709</v>
      </c>
      <c r="O3614" s="43">
        <v>11.499999999999998</v>
      </c>
      <c r="P3614" s="169"/>
      <c r="Q3614" s="169"/>
      <c r="R3614" s="169">
        <v>13</v>
      </c>
    </row>
    <row r="3615" spans="1:18" ht="36">
      <c r="A3615" s="165">
        <v>860</v>
      </c>
      <c r="B3615" s="162" t="s">
        <v>6581</v>
      </c>
      <c r="C3615" s="166" t="s">
        <v>6582</v>
      </c>
      <c r="D3615" s="167">
        <v>74.55</v>
      </c>
      <c r="E3615" s="167">
        <v>12.57</v>
      </c>
      <c r="F3615" s="167">
        <v>61.73</v>
      </c>
      <c r="G3615" s="167">
        <v>0.25</v>
      </c>
      <c r="H3615" s="168">
        <v>463.35</v>
      </c>
      <c r="I3615" s="168">
        <v>144.51</v>
      </c>
      <c r="J3615" s="168">
        <v>315.95999999999998</v>
      </c>
      <c r="K3615" s="168">
        <v>2.88</v>
      </c>
      <c r="L3615" s="43">
        <v>6.2152917505030185</v>
      </c>
      <c r="M3615" s="43">
        <v>11.496420047732697</v>
      </c>
      <c r="N3615" s="43">
        <v>5.1184189211080513</v>
      </c>
      <c r="O3615" s="43">
        <v>11.5</v>
      </c>
      <c r="P3615" s="169"/>
      <c r="Q3615" s="169"/>
      <c r="R3615" s="169">
        <v>13</v>
      </c>
    </row>
    <row r="3616" spans="1:18" ht="36">
      <c r="A3616" s="165">
        <v>861</v>
      </c>
      <c r="B3616" s="162" t="s">
        <v>6583</v>
      </c>
      <c r="C3616" s="166" t="s">
        <v>6584</v>
      </c>
      <c r="D3616" s="167">
        <v>82.73</v>
      </c>
      <c r="E3616" s="167">
        <v>13.91</v>
      </c>
      <c r="F3616" s="167">
        <v>68.540000000000006</v>
      </c>
      <c r="G3616" s="167">
        <v>0.28000000000000003</v>
      </c>
      <c r="H3616" s="168">
        <v>513.79999999999995</v>
      </c>
      <c r="I3616" s="168">
        <v>159.94</v>
      </c>
      <c r="J3616" s="168">
        <v>350.64</v>
      </c>
      <c r="K3616" s="168">
        <v>3.22</v>
      </c>
      <c r="L3616" s="43">
        <v>6.2105644868850467</v>
      </c>
      <c r="M3616" s="43">
        <v>11.498202731847591</v>
      </c>
      <c r="N3616" s="43">
        <v>5.1158447621826664</v>
      </c>
      <c r="O3616" s="43">
        <v>11.5</v>
      </c>
      <c r="P3616" s="169"/>
      <c r="Q3616" s="169"/>
      <c r="R3616" s="169">
        <v>13</v>
      </c>
    </row>
    <row r="3617" spans="1:18" ht="12.75" customHeight="1">
      <c r="A3617" s="628" t="s">
        <v>6585</v>
      </c>
      <c r="B3617" s="629"/>
      <c r="C3617" s="629"/>
      <c r="D3617" s="629"/>
      <c r="E3617" s="629"/>
      <c r="F3617" s="629"/>
      <c r="G3617" s="629"/>
      <c r="H3617" s="629"/>
      <c r="I3617" s="629"/>
      <c r="J3617" s="629"/>
      <c r="K3617" s="629"/>
      <c r="L3617" s="629"/>
      <c r="M3617" s="629"/>
      <c r="N3617" s="629"/>
      <c r="O3617" s="629"/>
      <c r="P3617" s="629"/>
      <c r="Q3617" s="629"/>
      <c r="R3617" s="629"/>
    </row>
    <row r="3618" spans="1:18" ht="36">
      <c r="A3618" s="165">
        <v>862</v>
      </c>
      <c r="B3618" s="162" t="s">
        <v>6586</v>
      </c>
      <c r="C3618" s="166" t="s">
        <v>6587</v>
      </c>
      <c r="D3618" s="167">
        <v>535.08000000000004</v>
      </c>
      <c r="E3618" s="167">
        <v>40.25</v>
      </c>
      <c r="F3618" s="167">
        <v>477.74</v>
      </c>
      <c r="G3618" s="167">
        <v>17.09</v>
      </c>
      <c r="H3618" s="168">
        <v>2960.74</v>
      </c>
      <c r="I3618" s="168">
        <v>462.91</v>
      </c>
      <c r="J3618" s="168">
        <v>2433.9699999999998</v>
      </c>
      <c r="K3618" s="168">
        <v>63.86</v>
      </c>
      <c r="L3618" s="43">
        <v>5.5332660536742164</v>
      </c>
      <c r="M3618" s="43">
        <v>11.500869565217393</v>
      </c>
      <c r="N3618" s="43">
        <v>5.0947586553355375</v>
      </c>
      <c r="O3618" s="43">
        <v>3.7366881217086014</v>
      </c>
      <c r="P3618" s="169"/>
      <c r="Q3618" s="169"/>
      <c r="R3618" s="169">
        <v>14</v>
      </c>
    </row>
    <row r="3619" spans="1:18" ht="36">
      <c r="A3619" s="165">
        <v>863</v>
      </c>
      <c r="B3619" s="162" t="s">
        <v>6588</v>
      </c>
      <c r="C3619" s="166" t="s">
        <v>6589</v>
      </c>
      <c r="D3619" s="167">
        <v>719.33</v>
      </c>
      <c r="E3619" s="167">
        <v>54.42</v>
      </c>
      <c r="F3619" s="167">
        <v>646.28</v>
      </c>
      <c r="G3619" s="167">
        <v>18.63</v>
      </c>
      <c r="H3619" s="168">
        <v>3993.39</v>
      </c>
      <c r="I3619" s="168">
        <v>625.87</v>
      </c>
      <c r="J3619" s="168">
        <v>3292.34</v>
      </c>
      <c r="K3619" s="168">
        <v>75.180000000000007</v>
      </c>
      <c r="L3619" s="43">
        <v>5.5515410173355759</v>
      </c>
      <c r="M3619" s="43">
        <v>11.500735023888277</v>
      </c>
      <c r="N3619" s="43">
        <v>5.0942934950795324</v>
      </c>
      <c r="O3619" s="43">
        <v>4.0354267310789051</v>
      </c>
      <c r="P3619" s="169"/>
      <c r="Q3619" s="169"/>
      <c r="R3619" s="169">
        <v>14</v>
      </c>
    </row>
    <row r="3620" spans="1:18" ht="36">
      <c r="A3620" s="165">
        <v>864</v>
      </c>
      <c r="B3620" s="162" t="s">
        <v>6590</v>
      </c>
      <c r="C3620" s="166" t="s">
        <v>6591</v>
      </c>
      <c r="D3620" s="167">
        <v>879.78</v>
      </c>
      <c r="E3620" s="167">
        <v>66.959999999999994</v>
      </c>
      <c r="F3620" s="167">
        <v>792.69</v>
      </c>
      <c r="G3620" s="167">
        <v>20.13</v>
      </c>
      <c r="H3620" s="168">
        <v>4894.2299999999996</v>
      </c>
      <c r="I3620" s="168">
        <v>770.08</v>
      </c>
      <c r="J3620" s="168">
        <v>4038</v>
      </c>
      <c r="K3620" s="168">
        <v>86.15</v>
      </c>
      <c r="L3620" s="43">
        <v>5.5630157539384841</v>
      </c>
      <c r="M3620" s="43">
        <v>11.500597371565116</v>
      </c>
      <c r="N3620" s="43">
        <v>5.0940468531203873</v>
      </c>
      <c r="O3620" s="43">
        <v>4.2796820665673128</v>
      </c>
      <c r="P3620" s="169"/>
      <c r="Q3620" s="169"/>
      <c r="R3620" s="169">
        <v>14</v>
      </c>
    </row>
    <row r="3621" spans="1:18" ht="12.75" customHeight="1">
      <c r="A3621" s="628" t="s">
        <v>6592</v>
      </c>
      <c r="B3621" s="629"/>
      <c r="C3621" s="629"/>
      <c r="D3621" s="629"/>
      <c r="E3621" s="629"/>
      <c r="F3621" s="629"/>
      <c r="G3621" s="629"/>
      <c r="H3621" s="629"/>
      <c r="I3621" s="629"/>
      <c r="J3621" s="629"/>
      <c r="K3621" s="629"/>
      <c r="L3621" s="629"/>
      <c r="M3621" s="629"/>
      <c r="N3621" s="629"/>
      <c r="O3621" s="629"/>
      <c r="P3621" s="629"/>
      <c r="Q3621" s="629"/>
      <c r="R3621" s="629"/>
    </row>
    <row r="3622" spans="1:18" ht="12.75" customHeight="1">
      <c r="A3622" s="628" t="s">
        <v>6593</v>
      </c>
      <c r="B3622" s="629"/>
      <c r="C3622" s="629"/>
      <c r="D3622" s="629"/>
      <c r="E3622" s="629"/>
      <c r="F3622" s="629"/>
      <c r="G3622" s="629"/>
      <c r="H3622" s="629"/>
      <c r="I3622" s="629"/>
      <c r="J3622" s="629"/>
      <c r="K3622" s="629"/>
      <c r="L3622" s="629"/>
      <c r="M3622" s="629"/>
      <c r="N3622" s="629"/>
      <c r="O3622" s="629"/>
      <c r="P3622" s="629"/>
      <c r="Q3622" s="629"/>
      <c r="R3622" s="629"/>
    </row>
    <row r="3623" spans="1:18" ht="24">
      <c r="A3623" s="165">
        <v>865</v>
      </c>
      <c r="B3623" s="162" t="s">
        <v>6594</v>
      </c>
      <c r="C3623" s="166" t="s">
        <v>6595</v>
      </c>
      <c r="D3623" s="167">
        <v>279.75</v>
      </c>
      <c r="E3623" s="167">
        <v>185.05</v>
      </c>
      <c r="F3623" s="167">
        <v>35.630000000000003</v>
      </c>
      <c r="G3623" s="167">
        <v>59.07</v>
      </c>
      <c r="H3623" s="168">
        <v>2560.5100000000002</v>
      </c>
      <c r="I3623" s="168">
        <v>2128.13</v>
      </c>
      <c r="J3623" s="168">
        <v>185.38</v>
      </c>
      <c r="K3623" s="168">
        <v>247</v>
      </c>
      <c r="L3623" s="43">
        <v>9.1528507596067925</v>
      </c>
      <c r="M3623" s="43">
        <v>11.500297216968386</v>
      </c>
      <c r="N3623" s="43">
        <v>5.2029188885770417</v>
      </c>
      <c r="O3623" s="43">
        <v>4.181479600474014</v>
      </c>
      <c r="P3623" s="169"/>
      <c r="Q3623" s="169"/>
      <c r="R3623" s="169">
        <v>1</v>
      </c>
    </row>
    <row r="3624" spans="1:18" ht="24">
      <c r="A3624" s="165">
        <v>866</v>
      </c>
      <c r="B3624" s="162" t="s">
        <v>6596</v>
      </c>
      <c r="C3624" s="166" t="s">
        <v>6597</v>
      </c>
      <c r="D3624" s="167">
        <v>329.33</v>
      </c>
      <c r="E3624" s="167">
        <v>208.91</v>
      </c>
      <c r="F3624" s="167">
        <v>40.270000000000003</v>
      </c>
      <c r="G3624" s="167">
        <v>80.150000000000006</v>
      </c>
      <c r="H3624" s="168">
        <v>2937.93</v>
      </c>
      <c r="I3624" s="168">
        <v>2402.4699999999998</v>
      </c>
      <c r="J3624" s="168">
        <v>209.44</v>
      </c>
      <c r="K3624" s="168">
        <v>326.02</v>
      </c>
      <c r="L3624" s="43">
        <v>8.9209303737892078</v>
      </c>
      <c r="M3624" s="43">
        <v>11.500023933751375</v>
      </c>
      <c r="N3624" s="43">
        <v>5.2008939657313134</v>
      </c>
      <c r="O3624" s="43">
        <v>4.067623206487835</v>
      </c>
      <c r="P3624" s="169"/>
      <c r="Q3624" s="169"/>
      <c r="R3624" s="169">
        <v>1</v>
      </c>
    </row>
    <row r="3625" spans="1:18" ht="24">
      <c r="A3625" s="165">
        <v>867</v>
      </c>
      <c r="B3625" s="162" t="s">
        <v>6598</v>
      </c>
      <c r="C3625" s="166" t="s">
        <v>6599</v>
      </c>
      <c r="D3625" s="167">
        <v>382.42</v>
      </c>
      <c r="E3625" s="167">
        <v>230.95</v>
      </c>
      <c r="F3625" s="167">
        <v>44.62</v>
      </c>
      <c r="G3625" s="167">
        <v>106.85</v>
      </c>
      <c r="H3625" s="168">
        <v>3315.46</v>
      </c>
      <c r="I3625" s="168">
        <v>2655.91</v>
      </c>
      <c r="J3625" s="168">
        <v>232</v>
      </c>
      <c r="K3625" s="168">
        <v>427.55</v>
      </c>
      <c r="L3625" s="43">
        <v>8.669682547983891</v>
      </c>
      <c r="M3625" s="43">
        <v>11.499935050876813</v>
      </c>
      <c r="N3625" s="43">
        <v>5.1994621246077992</v>
      </c>
      <c r="O3625" s="43">
        <v>4.0014038371548901</v>
      </c>
      <c r="P3625" s="169"/>
      <c r="Q3625" s="169"/>
      <c r="R3625" s="169">
        <v>1</v>
      </c>
    </row>
    <row r="3626" spans="1:18" ht="12.75" customHeight="1">
      <c r="A3626" s="628" t="s">
        <v>6600</v>
      </c>
      <c r="B3626" s="629"/>
      <c r="C3626" s="629"/>
      <c r="D3626" s="629"/>
      <c r="E3626" s="629"/>
      <c r="F3626" s="629"/>
      <c r="G3626" s="629"/>
      <c r="H3626" s="629"/>
      <c r="I3626" s="629"/>
      <c r="J3626" s="629"/>
      <c r="K3626" s="629"/>
      <c r="L3626" s="629"/>
      <c r="M3626" s="629"/>
      <c r="N3626" s="629"/>
      <c r="O3626" s="629"/>
      <c r="P3626" s="629"/>
      <c r="Q3626" s="629"/>
      <c r="R3626" s="629"/>
    </row>
    <row r="3627" spans="1:18" ht="24">
      <c r="A3627" s="165">
        <v>868</v>
      </c>
      <c r="B3627" s="162" t="s">
        <v>6601</v>
      </c>
      <c r="C3627" s="166" t="s">
        <v>6602</v>
      </c>
      <c r="D3627" s="167">
        <v>1380.5</v>
      </c>
      <c r="E3627" s="167">
        <v>125.89</v>
      </c>
      <c r="F3627" s="167">
        <v>2.77</v>
      </c>
      <c r="G3627" s="167">
        <v>1251.8399999999999</v>
      </c>
      <c r="H3627" s="168">
        <v>3971.93</v>
      </c>
      <c r="I3627" s="168">
        <v>1447.71</v>
      </c>
      <c r="J3627" s="168">
        <v>14.93</v>
      </c>
      <c r="K3627" s="168">
        <v>2509.29</v>
      </c>
      <c r="L3627" s="43">
        <v>2.8771676928649037</v>
      </c>
      <c r="M3627" s="43">
        <v>11.499801413932799</v>
      </c>
      <c r="N3627" s="43">
        <v>5.3898916967509027</v>
      </c>
      <c r="O3627" s="43">
        <v>2.0044814033742333</v>
      </c>
      <c r="P3627" s="169"/>
      <c r="Q3627" s="169"/>
      <c r="R3627" s="169">
        <v>2</v>
      </c>
    </row>
    <row r="3628" spans="1:18" ht="12.75" customHeight="1">
      <c r="A3628" s="628" t="s">
        <v>6603</v>
      </c>
      <c r="B3628" s="629"/>
      <c r="C3628" s="629"/>
      <c r="D3628" s="629"/>
      <c r="E3628" s="629"/>
      <c r="F3628" s="629"/>
      <c r="G3628" s="629"/>
      <c r="H3628" s="629"/>
      <c r="I3628" s="629"/>
      <c r="J3628" s="629"/>
      <c r="K3628" s="629"/>
      <c r="L3628" s="629"/>
      <c r="M3628" s="629"/>
      <c r="N3628" s="629"/>
      <c r="O3628" s="629"/>
      <c r="P3628" s="629"/>
      <c r="Q3628" s="629"/>
      <c r="R3628" s="629"/>
    </row>
    <row r="3629" spans="1:18" ht="24">
      <c r="A3629" s="165">
        <v>869</v>
      </c>
      <c r="B3629" s="162" t="s">
        <v>6604</v>
      </c>
      <c r="C3629" s="166" t="s">
        <v>6605</v>
      </c>
      <c r="D3629" s="167">
        <v>5977.07</v>
      </c>
      <c r="E3629" s="167">
        <v>189.96</v>
      </c>
      <c r="F3629" s="167">
        <v>11.43</v>
      </c>
      <c r="G3629" s="167">
        <v>5775.68</v>
      </c>
      <c r="H3629" s="168">
        <v>15469.84</v>
      </c>
      <c r="I3629" s="168">
        <v>2184.4899999999998</v>
      </c>
      <c r="J3629" s="168">
        <v>59.75</v>
      </c>
      <c r="K3629" s="168">
        <v>13225.6</v>
      </c>
      <c r="L3629" s="43">
        <v>2.5881978962936691</v>
      </c>
      <c r="M3629" s="43">
        <v>11.499736786691933</v>
      </c>
      <c r="N3629" s="43">
        <v>5.227471566054243</v>
      </c>
      <c r="O3629" s="43">
        <v>2.2898775555432431</v>
      </c>
      <c r="P3629" s="169"/>
      <c r="Q3629" s="169"/>
      <c r="R3629" s="169">
        <v>3</v>
      </c>
    </row>
    <row r="3630" spans="1:18" ht="12.75" customHeight="1">
      <c r="A3630" s="628" t="s">
        <v>6606</v>
      </c>
      <c r="B3630" s="629"/>
      <c r="C3630" s="629"/>
      <c r="D3630" s="629"/>
      <c r="E3630" s="629"/>
      <c r="F3630" s="629"/>
      <c r="G3630" s="629"/>
      <c r="H3630" s="629"/>
      <c r="I3630" s="629"/>
      <c r="J3630" s="629"/>
      <c r="K3630" s="629"/>
      <c r="L3630" s="629"/>
      <c r="M3630" s="629"/>
      <c r="N3630" s="629"/>
      <c r="O3630" s="629"/>
      <c r="P3630" s="629"/>
      <c r="Q3630" s="629"/>
      <c r="R3630" s="629"/>
    </row>
    <row r="3631" spans="1:18" ht="24">
      <c r="A3631" s="165">
        <v>870</v>
      </c>
      <c r="B3631" s="162" t="s">
        <v>6607</v>
      </c>
      <c r="C3631" s="166" t="s">
        <v>6608</v>
      </c>
      <c r="D3631" s="167">
        <v>2922.79</v>
      </c>
      <c r="E3631" s="167">
        <v>319.22000000000003</v>
      </c>
      <c r="F3631" s="167">
        <v>122.64</v>
      </c>
      <c r="G3631" s="167">
        <v>2480.9299999999998</v>
      </c>
      <c r="H3631" s="168">
        <v>15726.9</v>
      </c>
      <c r="I3631" s="168">
        <v>3670.98</v>
      </c>
      <c r="J3631" s="168">
        <v>657.96</v>
      </c>
      <c r="K3631" s="168">
        <v>11397.96</v>
      </c>
      <c r="L3631" s="43">
        <v>5.3807834295313723</v>
      </c>
      <c r="M3631" s="43">
        <v>11.49984336821001</v>
      </c>
      <c r="N3631" s="43">
        <v>5.3649706457925639</v>
      </c>
      <c r="O3631" s="43">
        <v>4.5942287771118089</v>
      </c>
      <c r="P3631" s="169"/>
      <c r="Q3631" s="169"/>
      <c r="R3631" s="169">
        <v>4</v>
      </c>
    </row>
    <row r="3632" spans="1:18" ht="24">
      <c r="A3632" s="165">
        <v>871</v>
      </c>
      <c r="B3632" s="162" t="s">
        <v>6609</v>
      </c>
      <c r="C3632" s="166" t="s">
        <v>6610</v>
      </c>
      <c r="D3632" s="167">
        <v>3048.46</v>
      </c>
      <c r="E3632" s="167">
        <v>412.51</v>
      </c>
      <c r="F3632" s="167">
        <v>153.15</v>
      </c>
      <c r="G3632" s="167">
        <v>2482.8000000000002</v>
      </c>
      <c r="H3632" s="168">
        <v>16985.419999999998</v>
      </c>
      <c r="I3632" s="168">
        <v>4743.84</v>
      </c>
      <c r="J3632" s="168">
        <v>822.11</v>
      </c>
      <c r="K3632" s="168">
        <v>11419.47</v>
      </c>
      <c r="L3632" s="43">
        <v>5.571803467980553</v>
      </c>
      <c r="M3632" s="43">
        <v>11.499939395408596</v>
      </c>
      <c r="N3632" s="43">
        <v>5.3680052236369571</v>
      </c>
      <c r="O3632" s="43">
        <v>4.5994320927984527</v>
      </c>
      <c r="P3632" s="169"/>
      <c r="Q3632" s="169"/>
      <c r="R3632" s="169">
        <v>4</v>
      </c>
    </row>
    <row r="3633" spans="1:18" ht="24">
      <c r="A3633" s="165">
        <v>872</v>
      </c>
      <c r="B3633" s="162" t="s">
        <v>6611</v>
      </c>
      <c r="C3633" s="166" t="s">
        <v>6612</v>
      </c>
      <c r="D3633" s="167">
        <v>3215.52</v>
      </c>
      <c r="E3633" s="167">
        <v>532.78</v>
      </c>
      <c r="F3633" s="167">
        <v>197.53</v>
      </c>
      <c r="G3633" s="167">
        <v>2485.21</v>
      </c>
      <c r="H3633" s="168">
        <v>18634.990000000002</v>
      </c>
      <c r="I3633" s="168">
        <v>6126.92</v>
      </c>
      <c r="J3633" s="168">
        <v>1060.8900000000001</v>
      </c>
      <c r="K3633" s="168">
        <v>11447.18</v>
      </c>
      <c r="L3633" s="43">
        <v>5.7953270388615223</v>
      </c>
      <c r="M3633" s="43">
        <v>11.499906152633358</v>
      </c>
      <c r="N3633" s="43">
        <v>5.3707791221586598</v>
      </c>
      <c r="O3633" s="43">
        <v>4.6061218166674047</v>
      </c>
      <c r="P3633" s="169"/>
      <c r="Q3633" s="169"/>
      <c r="R3633" s="169">
        <v>4</v>
      </c>
    </row>
    <row r="3634" spans="1:18" ht="24">
      <c r="A3634" s="165">
        <v>873</v>
      </c>
      <c r="B3634" s="162" t="s">
        <v>6613</v>
      </c>
      <c r="C3634" s="166" t="s">
        <v>6614</v>
      </c>
      <c r="D3634" s="167">
        <v>3627.02</v>
      </c>
      <c r="E3634" s="167">
        <v>746.34</v>
      </c>
      <c r="F3634" s="167">
        <v>167.02</v>
      </c>
      <c r="G3634" s="167">
        <v>2713.66</v>
      </c>
      <c r="H3634" s="168">
        <v>22630.58</v>
      </c>
      <c r="I3634" s="168">
        <v>8582.86</v>
      </c>
      <c r="J3634" s="168">
        <v>896.73</v>
      </c>
      <c r="K3634" s="168">
        <v>13150.99</v>
      </c>
      <c r="L3634" s="43">
        <v>6.2394417455652302</v>
      </c>
      <c r="M3634" s="43">
        <v>11.499933006404587</v>
      </c>
      <c r="N3634" s="43">
        <v>5.368997724823374</v>
      </c>
      <c r="O3634" s="43">
        <v>4.8462187599035991</v>
      </c>
      <c r="P3634" s="169"/>
      <c r="Q3634" s="169"/>
      <c r="R3634" s="169">
        <v>4</v>
      </c>
    </row>
    <row r="3635" spans="1:18" ht="12.75" customHeight="1">
      <c r="A3635" s="628" t="s">
        <v>6615</v>
      </c>
      <c r="B3635" s="629"/>
      <c r="C3635" s="629"/>
      <c r="D3635" s="629"/>
      <c r="E3635" s="629"/>
      <c r="F3635" s="629"/>
      <c r="G3635" s="629"/>
      <c r="H3635" s="629"/>
      <c r="I3635" s="629"/>
      <c r="J3635" s="629"/>
      <c r="K3635" s="629"/>
      <c r="L3635" s="629"/>
      <c r="M3635" s="629"/>
      <c r="N3635" s="629"/>
      <c r="O3635" s="629"/>
      <c r="P3635" s="629"/>
      <c r="Q3635" s="629"/>
      <c r="R3635" s="629"/>
    </row>
    <row r="3636" spans="1:18" ht="36">
      <c r="A3636" s="165">
        <v>874</v>
      </c>
      <c r="B3636" s="162" t="s">
        <v>6616</v>
      </c>
      <c r="C3636" s="166" t="s">
        <v>6617</v>
      </c>
      <c r="D3636" s="167">
        <v>1388.28</v>
      </c>
      <c r="E3636" s="167">
        <v>758.7</v>
      </c>
      <c r="F3636" s="167">
        <v>547.96</v>
      </c>
      <c r="G3636" s="167">
        <v>81.62</v>
      </c>
      <c r="H3636" s="168">
        <v>12263.67</v>
      </c>
      <c r="I3636" s="168">
        <v>8725.0499999999993</v>
      </c>
      <c r="J3636" s="168">
        <v>2938.63</v>
      </c>
      <c r="K3636" s="168">
        <v>599.99</v>
      </c>
      <c r="L3636" s="43">
        <v>8.8337151007001466</v>
      </c>
      <c r="M3636" s="43">
        <v>11.499999999999998</v>
      </c>
      <c r="N3636" s="43">
        <v>5.3628549529162708</v>
      </c>
      <c r="O3636" s="43">
        <v>7.3510169076206813</v>
      </c>
      <c r="P3636" s="169"/>
      <c r="Q3636" s="169"/>
      <c r="R3636" s="169">
        <v>5</v>
      </c>
    </row>
    <row r="3637" spans="1:18" ht="36">
      <c r="A3637" s="165">
        <v>875</v>
      </c>
      <c r="B3637" s="162" t="s">
        <v>6618</v>
      </c>
      <c r="C3637" s="166" t="s">
        <v>6619</v>
      </c>
      <c r="D3637" s="167">
        <v>1242.29</v>
      </c>
      <c r="E3637" s="167">
        <v>653.04</v>
      </c>
      <c r="F3637" s="167">
        <v>525.96</v>
      </c>
      <c r="G3637" s="167">
        <v>63.29</v>
      </c>
      <c r="H3637" s="168">
        <v>10800.04</v>
      </c>
      <c r="I3637" s="168">
        <v>7510.01</v>
      </c>
      <c r="J3637" s="168">
        <v>2822.11</v>
      </c>
      <c r="K3637" s="168">
        <v>467.92</v>
      </c>
      <c r="L3637" s="43">
        <v>8.6936544607136828</v>
      </c>
      <c r="M3637" s="43">
        <v>11.500076564988364</v>
      </c>
      <c r="N3637" s="43">
        <v>5.3656361700509541</v>
      </c>
      <c r="O3637" s="43">
        <v>7.3932690788434199</v>
      </c>
      <c r="P3637" s="169"/>
      <c r="Q3637" s="169"/>
      <c r="R3637" s="169">
        <v>5</v>
      </c>
    </row>
    <row r="3638" spans="1:18" ht="12.75" customHeight="1">
      <c r="A3638" s="628" t="s">
        <v>6620</v>
      </c>
      <c r="B3638" s="629"/>
      <c r="C3638" s="629"/>
      <c r="D3638" s="629"/>
      <c r="E3638" s="629"/>
      <c r="F3638" s="629"/>
      <c r="G3638" s="629"/>
      <c r="H3638" s="629"/>
      <c r="I3638" s="629"/>
      <c r="J3638" s="629"/>
      <c r="K3638" s="629"/>
      <c r="L3638" s="629"/>
      <c r="M3638" s="629"/>
      <c r="N3638" s="629"/>
      <c r="O3638" s="629"/>
      <c r="P3638" s="629"/>
      <c r="Q3638" s="629"/>
      <c r="R3638" s="629"/>
    </row>
    <row r="3639" spans="1:18" ht="24">
      <c r="A3639" s="165">
        <v>876</v>
      </c>
      <c r="B3639" s="162" t="s">
        <v>6621</v>
      </c>
      <c r="C3639" s="166" t="s">
        <v>6622</v>
      </c>
      <c r="D3639" s="167">
        <v>1909.81</v>
      </c>
      <c r="E3639" s="167">
        <v>422.62</v>
      </c>
      <c r="F3639" s="167">
        <v>519.23</v>
      </c>
      <c r="G3639" s="167">
        <v>967.96</v>
      </c>
      <c r="H3639" s="168">
        <v>12656.73</v>
      </c>
      <c r="I3639" s="168">
        <v>4860.18</v>
      </c>
      <c r="J3639" s="168">
        <v>2789.61</v>
      </c>
      <c r="K3639" s="168">
        <v>5006.9399999999996</v>
      </c>
      <c r="L3639" s="43">
        <v>6.6272194616218369</v>
      </c>
      <c r="M3639" s="43">
        <v>11.500118309592542</v>
      </c>
      <c r="N3639" s="43">
        <v>5.3725901816150836</v>
      </c>
      <c r="O3639" s="43">
        <v>5.1726724244803499</v>
      </c>
      <c r="P3639" s="169"/>
      <c r="Q3639" s="169"/>
      <c r="R3639" s="169">
        <v>6</v>
      </c>
    </row>
    <row r="3640" spans="1:18" ht="24">
      <c r="A3640" s="165">
        <v>877</v>
      </c>
      <c r="B3640" s="162" t="s">
        <v>6623</v>
      </c>
      <c r="C3640" s="166" t="s">
        <v>6624</v>
      </c>
      <c r="D3640" s="167">
        <v>1788.73</v>
      </c>
      <c r="E3640" s="167">
        <v>356.31</v>
      </c>
      <c r="F3640" s="167">
        <v>465.78</v>
      </c>
      <c r="G3640" s="167">
        <v>966.64</v>
      </c>
      <c r="H3640" s="168">
        <v>11591.57</v>
      </c>
      <c r="I3640" s="168">
        <v>4097.54</v>
      </c>
      <c r="J3640" s="168">
        <v>2502.27</v>
      </c>
      <c r="K3640" s="168">
        <v>4991.76</v>
      </c>
      <c r="L3640" s="43">
        <v>6.4803352098975244</v>
      </c>
      <c r="M3640" s="43">
        <v>11.499929836378435</v>
      </c>
      <c r="N3640" s="43">
        <v>5.372214350122376</v>
      </c>
      <c r="O3640" s="43">
        <v>5.1640321112306546</v>
      </c>
      <c r="P3640" s="169"/>
      <c r="Q3640" s="169"/>
      <c r="R3640" s="169">
        <v>6</v>
      </c>
    </row>
    <row r="3641" spans="1:18" ht="36">
      <c r="A3641" s="165">
        <v>878</v>
      </c>
      <c r="B3641" s="162" t="s">
        <v>6625</v>
      </c>
      <c r="C3641" s="166" t="s">
        <v>6626</v>
      </c>
      <c r="D3641" s="167">
        <v>1775.75</v>
      </c>
      <c r="E3641" s="167">
        <v>343.94</v>
      </c>
      <c r="F3641" s="167">
        <v>465.42</v>
      </c>
      <c r="G3641" s="167">
        <v>966.39</v>
      </c>
      <c r="H3641" s="168">
        <v>11444.67</v>
      </c>
      <c r="I3641" s="168">
        <v>3955.36</v>
      </c>
      <c r="J3641" s="168">
        <v>2500.4299999999998</v>
      </c>
      <c r="K3641" s="168">
        <v>4988.88</v>
      </c>
      <c r="L3641" s="43">
        <v>6.4449781782345488</v>
      </c>
      <c r="M3641" s="43">
        <v>11.500145374193174</v>
      </c>
      <c r="N3641" s="43">
        <v>5.3724163121481663</v>
      </c>
      <c r="O3641" s="43">
        <v>5.1623878558346012</v>
      </c>
      <c r="P3641" s="169"/>
      <c r="Q3641" s="169"/>
      <c r="R3641" s="169">
        <v>6</v>
      </c>
    </row>
    <row r="3642" spans="1:18" ht="36">
      <c r="A3642" s="165">
        <v>879</v>
      </c>
      <c r="B3642" s="162" t="s">
        <v>6627</v>
      </c>
      <c r="C3642" s="166" t="s">
        <v>6628</v>
      </c>
      <c r="D3642" s="167">
        <v>1733.73</v>
      </c>
      <c r="E3642" s="167">
        <v>303.48</v>
      </c>
      <c r="F3642" s="167">
        <v>464.67</v>
      </c>
      <c r="G3642" s="167">
        <v>965.58</v>
      </c>
      <c r="H3642" s="168">
        <v>10966.22</v>
      </c>
      <c r="I3642" s="168">
        <v>3490.02</v>
      </c>
      <c r="J3642" s="168">
        <v>2496.63</v>
      </c>
      <c r="K3642" s="168">
        <v>4979.57</v>
      </c>
      <c r="L3642" s="43">
        <v>6.3252178828306596</v>
      </c>
      <c r="M3642" s="43">
        <v>11.5</v>
      </c>
      <c r="N3642" s="43">
        <v>5.372909806959778</v>
      </c>
      <c r="O3642" s="43">
        <v>5.1570765757368626</v>
      </c>
      <c r="P3642" s="169"/>
      <c r="Q3642" s="169"/>
      <c r="R3642" s="169">
        <v>6</v>
      </c>
    </row>
    <row r="3643" spans="1:18" ht="24">
      <c r="A3643" s="165">
        <v>880</v>
      </c>
      <c r="B3643" s="162" t="s">
        <v>6629</v>
      </c>
      <c r="C3643" s="166" t="s">
        <v>6630</v>
      </c>
      <c r="D3643" s="167">
        <v>1683.86</v>
      </c>
      <c r="E3643" s="167">
        <v>422.62</v>
      </c>
      <c r="F3643" s="167">
        <v>376.76</v>
      </c>
      <c r="G3643" s="167">
        <v>884.48</v>
      </c>
      <c r="H3643" s="168">
        <v>11581.65</v>
      </c>
      <c r="I3643" s="168">
        <v>4860.18</v>
      </c>
      <c r="J3643" s="168">
        <v>2025.31</v>
      </c>
      <c r="K3643" s="168">
        <v>4696.16</v>
      </c>
      <c r="L3643" s="43">
        <v>6.8780361787797091</v>
      </c>
      <c r="M3643" s="43">
        <v>11.500118309592542</v>
      </c>
      <c r="N3643" s="43">
        <v>5.3755971971546872</v>
      </c>
      <c r="O3643" s="43">
        <v>5.3095151953690305</v>
      </c>
      <c r="P3643" s="169"/>
      <c r="Q3643" s="169"/>
      <c r="R3643" s="169">
        <v>6</v>
      </c>
    </row>
    <row r="3644" spans="1:18" ht="24">
      <c r="A3644" s="165">
        <v>881</v>
      </c>
      <c r="B3644" s="162" t="s">
        <v>6631</v>
      </c>
      <c r="C3644" s="166" t="s">
        <v>6632</v>
      </c>
      <c r="D3644" s="167">
        <v>1534.43</v>
      </c>
      <c r="E3644" s="167">
        <v>330.46</v>
      </c>
      <c r="F3644" s="167">
        <v>321.33</v>
      </c>
      <c r="G3644" s="167">
        <v>882.64</v>
      </c>
      <c r="H3644" s="168">
        <v>10202.56</v>
      </c>
      <c r="I3644" s="168">
        <v>3800.24</v>
      </c>
      <c r="J3644" s="168">
        <v>1727.32</v>
      </c>
      <c r="K3644" s="168">
        <v>4675</v>
      </c>
      <c r="L3644" s="43">
        <v>6.649087934933493</v>
      </c>
      <c r="M3644" s="43">
        <v>11.499848695757429</v>
      </c>
      <c r="N3644" s="43">
        <v>5.3755329412130832</v>
      </c>
      <c r="O3644" s="43">
        <v>5.2966101694915251</v>
      </c>
      <c r="P3644" s="169"/>
      <c r="Q3644" s="169"/>
      <c r="R3644" s="169">
        <v>6</v>
      </c>
    </row>
    <row r="3645" spans="1:18" ht="24">
      <c r="A3645" s="165">
        <v>882</v>
      </c>
      <c r="B3645" s="162" t="s">
        <v>6633</v>
      </c>
      <c r="C3645" s="166" t="s">
        <v>6634</v>
      </c>
      <c r="D3645" s="167">
        <v>1478.07</v>
      </c>
      <c r="E3645" s="167">
        <v>276.5</v>
      </c>
      <c r="F3645" s="167">
        <v>320.01</v>
      </c>
      <c r="G3645" s="167">
        <v>881.56</v>
      </c>
      <c r="H3645" s="168">
        <v>9562.7099999999991</v>
      </c>
      <c r="I3645" s="168">
        <v>3179.8</v>
      </c>
      <c r="J3645" s="168">
        <v>1720.33</v>
      </c>
      <c r="K3645" s="168">
        <v>4662.58</v>
      </c>
      <c r="L3645" s="43">
        <v>6.4697274148044404</v>
      </c>
      <c r="M3645" s="43">
        <v>11.500180831826402</v>
      </c>
      <c r="N3645" s="43">
        <v>5.3758632542733036</v>
      </c>
      <c r="O3645" s="43">
        <v>5.2890103906710833</v>
      </c>
      <c r="P3645" s="169"/>
      <c r="Q3645" s="169"/>
      <c r="R3645" s="169">
        <v>6</v>
      </c>
    </row>
    <row r="3646" spans="1:18" ht="24">
      <c r="A3646" s="165">
        <v>883</v>
      </c>
      <c r="B3646" s="162" t="s">
        <v>6635</v>
      </c>
      <c r="C3646" s="166" t="s">
        <v>6636</v>
      </c>
      <c r="D3646" s="167">
        <v>1391.58</v>
      </c>
      <c r="E3646" s="167">
        <v>198.95</v>
      </c>
      <c r="F3646" s="167">
        <v>312.62</v>
      </c>
      <c r="G3646" s="167">
        <v>880.01</v>
      </c>
      <c r="H3646" s="168">
        <v>8613.82</v>
      </c>
      <c r="I3646" s="168">
        <v>2287.9</v>
      </c>
      <c r="J3646" s="168">
        <v>1681.17</v>
      </c>
      <c r="K3646" s="168">
        <v>4644.75</v>
      </c>
      <c r="L3646" s="43">
        <v>6.1899567398209232</v>
      </c>
      <c r="M3646" s="43">
        <v>11.499874340286505</v>
      </c>
      <c r="N3646" s="43">
        <v>5.3776789712750306</v>
      </c>
      <c r="O3646" s="43">
        <v>5.2780650219883869</v>
      </c>
      <c r="P3646" s="169"/>
      <c r="Q3646" s="169"/>
      <c r="R3646" s="169">
        <v>6</v>
      </c>
    </row>
    <row r="3647" spans="1:18" ht="36">
      <c r="A3647" s="165">
        <v>884</v>
      </c>
      <c r="B3647" s="162" t="s">
        <v>6637</v>
      </c>
      <c r="C3647" s="166" t="s">
        <v>6638</v>
      </c>
      <c r="D3647" s="167">
        <v>1931.02</v>
      </c>
      <c r="E3647" s="167">
        <v>673.28</v>
      </c>
      <c r="F3647" s="167">
        <v>387.88</v>
      </c>
      <c r="G3647" s="167">
        <v>869.86</v>
      </c>
      <c r="H3647" s="168">
        <v>14539.5</v>
      </c>
      <c r="I3647" s="168">
        <v>7742.67</v>
      </c>
      <c r="J3647" s="168">
        <v>2083.19</v>
      </c>
      <c r="K3647" s="168">
        <v>4713.6400000000003</v>
      </c>
      <c r="L3647" s="43">
        <v>7.5294403993744243</v>
      </c>
      <c r="M3647" s="43">
        <v>11.499925736692015</v>
      </c>
      <c r="N3647" s="43">
        <v>5.3707074352892645</v>
      </c>
      <c r="O3647" s="43">
        <v>5.4188490101855473</v>
      </c>
      <c r="P3647" s="169"/>
      <c r="Q3647" s="169"/>
      <c r="R3647" s="169">
        <v>6</v>
      </c>
    </row>
    <row r="3648" spans="1:18" ht="36">
      <c r="A3648" s="165">
        <v>885</v>
      </c>
      <c r="B3648" s="162" t="s">
        <v>6639</v>
      </c>
      <c r="C3648" s="166" t="s">
        <v>6640</v>
      </c>
      <c r="D3648" s="167">
        <v>1757.17</v>
      </c>
      <c r="E3648" s="167">
        <v>555.26</v>
      </c>
      <c r="F3648" s="167">
        <v>334.41</v>
      </c>
      <c r="G3648" s="167">
        <v>867.5</v>
      </c>
      <c r="H3648" s="168">
        <v>12867.66</v>
      </c>
      <c r="I3648" s="168">
        <v>6385.44</v>
      </c>
      <c r="J3648" s="168">
        <v>1795.72</v>
      </c>
      <c r="K3648" s="168">
        <v>4686.5</v>
      </c>
      <c r="L3648" s="43">
        <v>7.3229454179163085</v>
      </c>
      <c r="M3648" s="43">
        <v>11.499909952094514</v>
      </c>
      <c r="N3648" s="43">
        <v>5.369815495948087</v>
      </c>
      <c r="O3648" s="43">
        <v>5.4023054755043232</v>
      </c>
      <c r="P3648" s="169"/>
      <c r="Q3648" s="169"/>
      <c r="R3648" s="169">
        <v>6</v>
      </c>
    </row>
    <row r="3649" spans="1:18" ht="36">
      <c r="A3649" s="165">
        <v>886</v>
      </c>
      <c r="B3649" s="162" t="s">
        <v>6641</v>
      </c>
      <c r="C3649" s="166" t="s">
        <v>6642</v>
      </c>
      <c r="D3649" s="167">
        <v>1701.67</v>
      </c>
      <c r="E3649" s="167">
        <v>501.3</v>
      </c>
      <c r="F3649" s="167">
        <v>333.95</v>
      </c>
      <c r="G3649" s="167">
        <v>866.42</v>
      </c>
      <c r="H3649" s="168">
        <v>12232.47</v>
      </c>
      <c r="I3649" s="168">
        <v>5765</v>
      </c>
      <c r="J3649" s="168">
        <v>1793.39</v>
      </c>
      <c r="K3649" s="168">
        <v>4674.08</v>
      </c>
      <c r="L3649" s="43">
        <v>7.1885089353399891</v>
      </c>
      <c r="M3649" s="43">
        <v>11.500099740674246</v>
      </c>
      <c r="N3649" s="43">
        <v>5.3702350651295108</v>
      </c>
      <c r="O3649" s="43">
        <v>5.3947046467071402</v>
      </c>
      <c r="P3649" s="169"/>
      <c r="Q3649" s="169"/>
      <c r="R3649" s="169">
        <v>6</v>
      </c>
    </row>
    <row r="3650" spans="1:18" ht="36">
      <c r="A3650" s="165">
        <v>887</v>
      </c>
      <c r="B3650" s="162" t="s">
        <v>6643</v>
      </c>
      <c r="C3650" s="166" t="s">
        <v>6644</v>
      </c>
      <c r="D3650" s="167">
        <v>1593.25</v>
      </c>
      <c r="E3650" s="167">
        <v>395.65</v>
      </c>
      <c r="F3650" s="167">
        <v>333.3</v>
      </c>
      <c r="G3650" s="167">
        <v>864.3</v>
      </c>
      <c r="H3650" s="168">
        <v>10989.73</v>
      </c>
      <c r="I3650" s="168">
        <v>4549.95</v>
      </c>
      <c r="J3650" s="168">
        <v>1790.08</v>
      </c>
      <c r="K3650" s="168">
        <v>4649.7</v>
      </c>
      <c r="L3650" s="43">
        <v>6.8976808410481718</v>
      </c>
      <c r="M3650" s="43">
        <v>11.499936812839632</v>
      </c>
      <c r="N3650" s="43">
        <v>5.3707770777077704</v>
      </c>
      <c r="O3650" s="43">
        <v>5.3797292606733773</v>
      </c>
      <c r="P3650" s="169"/>
      <c r="Q3650" s="169"/>
      <c r="R3650" s="169">
        <v>6</v>
      </c>
    </row>
    <row r="3651" spans="1:18" ht="24">
      <c r="A3651" s="165">
        <v>888</v>
      </c>
      <c r="B3651" s="162" t="s">
        <v>6645</v>
      </c>
      <c r="C3651" s="166" t="s">
        <v>6646</v>
      </c>
      <c r="D3651" s="167">
        <v>916.03</v>
      </c>
      <c r="E3651" s="167">
        <v>487.82</v>
      </c>
      <c r="F3651" s="167">
        <v>398.82</v>
      </c>
      <c r="G3651" s="167">
        <v>29.39</v>
      </c>
      <c r="H3651" s="168">
        <v>7906.74</v>
      </c>
      <c r="I3651" s="168">
        <v>5609.88</v>
      </c>
      <c r="J3651" s="168">
        <v>2144.37</v>
      </c>
      <c r="K3651" s="168">
        <v>152.49</v>
      </c>
      <c r="L3651" s="43">
        <v>8.6315295350588954</v>
      </c>
      <c r="M3651" s="43">
        <v>11.499897503177403</v>
      </c>
      <c r="N3651" s="43">
        <v>5.3767865202346918</v>
      </c>
      <c r="O3651" s="43">
        <v>5.1884994896223207</v>
      </c>
      <c r="P3651" s="169"/>
      <c r="Q3651" s="169"/>
      <c r="R3651" s="169">
        <v>6</v>
      </c>
    </row>
    <row r="3652" spans="1:18" ht="24">
      <c r="A3652" s="165">
        <v>889</v>
      </c>
      <c r="B3652" s="162" t="s">
        <v>6647</v>
      </c>
      <c r="C3652" s="166" t="s">
        <v>6648</v>
      </c>
      <c r="D3652" s="167">
        <v>796.16</v>
      </c>
      <c r="E3652" s="167">
        <v>409.14</v>
      </c>
      <c r="F3652" s="167">
        <v>359.21</v>
      </c>
      <c r="G3652" s="167">
        <v>27.81</v>
      </c>
      <c r="H3652" s="168">
        <v>6770.89</v>
      </c>
      <c r="I3652" s="168">
        <v>4705.0600000000004</v>
      </c>
      <c r="J3652" s="168">
        <v>1931.51</v>
      </c>
      <c r="K3652" s="168">
        <v>134.32</v>
      </c>
      <c r="L3652" s="43">
        <v>8.5044337821543419</v>
      </c>
      <c r="M3652" s="43">
        <v>11.499877792442685</v>
      </c>
      <c r="N3652" s="43">
        <v>5.3771053144400218</v>
      </c>
      <c r="O3652" s="43">
        <v>4.8299172959367134</v>
      </c>
      <c r="P3652" s="169"/>
      <c r="Q3652" s="169"/>
      <c r="R3652" s="169">
        <v>6</v>
      </c>
    </row>
    <row r="3653" spans="1:18" ht="24">
      <c r="A3653" s="165">
        <v>890</v>
      </c>
      <c r="B3653" s="162" t="s">
        <v>6649</v>
      </c>
      <c r="C3653" s="166" t="s">
        <v>6650</v>
      </c>
      <c r="D3653" s="167">
        <v>769.34</v>
      </c>
      <c r="E3653" s="167">
        <v>383.28</v>
      </c>
      <c r="F3653" s="167">
        <v>358.76</v>
      </c>
      <c r="G3653" s="167">
        <v>27.3</v>
      </c>
      <c r="H3653" s="168">
        <v>6465.41</v>
      </c>
      <c r="I3653" s="168">
        <v>4407.7700000000004</v>
      </c>
      <c r="J3653" s="168">
        <v>1929.18</v>
      </c>
      <c r="K3653" s="168">
        <v>128.46</v>
      </c>
      <c r="L3653" s="43">
        <v>8.4038396547690226</v>
      </c>
      <c r="M3653" s="43">
        <v>11.500130452932584</v>
      </c>
      <c r="N3653" s="43">
        <v>5.3773553350429255</v>
      </c>
      <c r="O3653" s="43">
        <v>4.7054945054945057</v>
      </c>
      <c r="P3653" s="169"/>
      <c r="Q3653" s="169"/>
      <c r="R3653" s="169">
        <v>6</v>
      </c>
    </row>
    <row r="3654" spans="1:18" ht="24">
      <c r="A3654" s="165">
        <v>891</v>
      </c>
      <c r="B3654" s="162" t="s">
        <v>6651</v>
      </c>
      <c r="C3654" s="166" t="s">
        <v>6652</v>
      </c>
      <c r="D3654" s="167">
        <v>701.05</v>
      </c>
      <c r="E3654" s="167">
        <v>316.97000000000003</v>
      </c>
      <c r="F3654" s="167">
        <v>358.11</v>
      </c>
      <c r="G3654" s="167">
        <v>25.97</v>
      </c>
      <c r="H3654" s="168">
        <v>5684.16</v>
      </c>
      <c r="I3654" s="168">
        <v>3645.13</v>
      </c>
      <c r="J3654" s="168">
        <v>1925.87</v>
      </c>
      <c r="K3654" s="168">
        <v>113.16</v>
      </c>
      <c r="L3654" s="43">
        <v>8.1080664717209903</v>
      </c>
      <c r="M3654" s="43">
        <v>11.499921128182477</v>
      </c>
      <c r="N3654" s="43">
        <v>5.3778727206724186</v>
      </c>
      <c r="O3654" s="43">
        <v>4.3573353869849827</v>
      </c>
      <c r="P3654" s="169"/>
      <c r="Q3654" s="169"/>
      <c r="R3654" s="169">
        <v>6</v>
      </c>
    </row>
    <row r="3655" spans="1:18" ht="12.75" customHeight="1">
      <c r="A3655" s="628" t="s">
        <v>6653</v>
      </c>
      <c r="B3655" s="629"/>
      <c r="C3655" s="629"/>
      <c r="D3655" s="629"/>
      <c r="E3655" s="629"/>
      <c r="F3655" s="629"/>
      <c r="G3655" s="629"/>
      <c r="H3655" s="629"/>
      <c r="I3655" s="629"/>
      <c r="J3655" s="629"/>
      <c r="K3655" s="629"/>
      <c r="L3655" s="629"/>
      <c r="M3655" s="629"/>
      <c r="N3655" s="629"/>
      <c r="O3655" s="629"/>
      <c r="P3655" s="629"/>
      <c r="Q3655" s="629"/>
      <c r="R3655" s="629"/>
    </row>
    <row r="3656" spans="1:18" ht="24">
      <c r="A3656" s="165">
        <v>892</v>
      </c>
      <c r="B3656" s="162" t="s">
        <v>6654</v>
      </c>
      <c r="C3656" s="166" t="s">
        <v>6655</v>
      </c>
      <c r="D3656" s="167">
        <v>951.05</v>
      </c>
      <c r="E3656" s="167">
        <v>120.27</v>
      </c>
      <c r="F3656" s="167">
        <v>123.34</v>
      </c>
      <c r="G3656" s="167">
        <v>707.44</v>
      </c>
      <c r="H3656" s="168">
        <v>5982.54</v>
      </c>
      <c r="I3656" s="168">
        <v>1383.08</v>
      </c>
      <c r="J3656" s="168">
        <v>659.85</v>
      </c>
      <c r="K3656" s="168">
        <v>3939.61</v>
      </c>
      <c r="L3656" s="43">
        <v>6.2904579149361233</v>
      </c>
      <c r="M3656" s="43">
        <v>11.499792134364347</v>
      </c>
      <c r="N3656" s="43">
        <v>5.3498459542727419</v>
      </c>
      <c r="O3656" s="43">
        <v>5.5688256247879675</v>
      </c>
      <c r="P3656" s="169"/>
      <c r="Q3656" s="169"/>
      <c r="R3656" s="169">
        <v>7</v>
      </c>
    </row>
    <row r="3657" spans="1:18" ht="12.75" customHeight="1">
      <c r="A3657" s="628" t="s">
        <v>6656</v>
      </c>
      <c r="B3657" s="629"/>
      <c r="C3657" s="629"/>
      <c r="D3657" s="629"/>
      <c r="E3657" s="629"/>
      <c r="F3657" s="629"/>
      <c r="G3657" s="629"/>
      <c r="H3657" s="629"/>
      <c r="I3657" s="629"/>
      <c r="J3657" s="629"/>
      <c r="K3657" s="629"/>
      <c r="L3657" s="629"/>
      <c r="M3657" s="629"/>
      <c r="N3657" s="629"/>
      <c r="O3657" s="629"/>
      <c r="P3657" s="629"/>
      <c r="Q3657" s="629"/>
      <c r="R3657" s="629"/>
    </row>
    <row r="3658" spans="1:18" ht="24">
      <c r="A3658" s="165">
        <v>893</v>
      </c>
      <c r="B3658" s="162" t="s">
        <v>6657</v>
      </c>
      <c r="C3658" s="166" t="s">
        <v>6658</v>
      </c>
      <c r="D3658" s="167">
        <v>84.22</v>
      </c>
      <c r="E3658" s="167">
        <v>18.88</v>
      </c>
      <c r="F3658" s="167">
        <v>2.77</v>
      </c>
      <c r="G3658" s="167">
        <v>62.57</v>
      </c>
      <c r="H3658" s="168">
        <v>449.81</v>
      </c>
      <c r="I3658" s="168">
        <v>217.16</v>
      </c>
      <c r="J3658" s="168">
        <v>14.93</v>
      </c>
      <c r="K3658" s="168">
        <v>217.72</v>
      </c>
      <c r="L3658" s="43">
        <v>5.340892899548801</v>
      </c>
      <c r="M3658" s="43">
        <v>11.502118644067798</v>
      </c>
      <c r="N3658" s="43">
        <v>5.3898916967509027</v>
      </c>
      <c r="O3658" s="43">
        <v>3.4796228224388686</v>
      </c>
      <c r="P3658" s="169"/>
      <c r="Q3658" s="169"/>
      <c r="R3658" s="169">
        <v>8</v>
      </c>
    </row>
    <row r="3659" spans="1:18" ht="24">
      <c r="A3659" s="165">
        <v>894</v>
      </c>
      <c r="B3659" s="162" t="s">
        <v>6659</v>
      </c>
      <c r="C3659" s="166" t="s">
        <v>6660</v>
      </c>
      <c r="D3659" s="167">
        <v>104.13</v>
      </c>
      <c r="E3659" s="167">
        <v>30.01</v>
      </c>
      <c r="F3659" s="167">
        <v>8.32</v>
      </c>
      <c r="G3659" s="167">
        <v>65.8</v>
      </c>
      <c r="H3659" s="168">
        <v>626.29999999999995</v>
      </c>
      <c r="I3659" s="168">
        <v>345.12</v>
      </c>
      <c r="J3659" s="168">
        <v>44.77</v>
      </c>
      <c r="K3659" s="168">
        <v>236.41</v>
      </c>
      <c r="L3659" s="43">
        <v>6.0145971381926433</v>
      </c>
      <c r="M3659" s="43">
        <v>11.500166611129623</v>
      </c>
      <c r="N3659" s="43">
        <v>5.3810096153846159</v>
      </c>
      <c r="O3659" s="43">
        <v>3.592857142857143</v>
      </c>
      <c r="P3659" s="169"/>
      <c r="Q3659" s="169"/>
      <c r="R3659" s="169">
        <v>8</v>
      </c>
    </row>
    <row r="3660" spans="1:18" ht="24">
      <c r="A3660" s="165">
        <v>895</v>
      </c>
      <c r="B3660" s="162" t="s">
        <v>6661</v>
      </c>
      <c r="C3660" s="166" t="s">
        <v>6662</v>
      </c>
      <c r="D3660" s="167">
        <v>137.94</v>
      </c>
      <c r="E3660" s="167">
        <v>39.56</v>
      </c>
      <c r="F3660" s="167">
        <v>30.51</v>
      </c>
      <c r="G3660" s="167">
        <v>67.87</v>
      </c>
      <c r="H3660" s="168">
        <v>867.41</v>
      </c>
      <c r="I3660" s="168">
        <v>455</v>
      </c>
      <c r="J3660" s="168">
        <v>164.16</v>
      </c>
      <c r="K3660" s="168">
        <v>248.25</v>
      </c>
      <c r="L3660" s="43">
        <v>6.2883137596056251</v>
      </c>
      <c r="M3660" s="43">
        <v>11.501516683518705</v>
      </c>
      <c r="N3660" s="43">
        <v>5.3805309734513269</v>
      </c>
      <c r="O3660" s="43">
        <v>3.6577280094297921</v>
      </c>
      <c r="P3660" s="169"/>
      <c r="Q3660" s="169"/>
      <c r="R3660" s="169">
        <v>8</v>
      </c>
    </row>
    <row r="3661" spans="1:18" ht="24">
      <c r="A3661" s="165">
        <v>896</v>
      </c>
      <c r="B3661" s="162" t="s">
        <v>6663</v>
      </c>
      <c r="C3661" s="166" t="s">
        <v>6664</v>
      </c>
      <c r="D3661" s="167">
        <v>189.33</v>
      </c>
      <c r="E3661" s="167">
        <v>57.44</v>
      </c>
      <c r="F3661" s="167">
        <v>61.02</v>
      </c>
      <c r="G3661" s="167">
        <v>70.87</v>
      </c>
      <c r="H3661" s="168">
        <v>1254.02</v>
      </c>
      <c r="I3661" s="168">
        <v>660.52</v>
      </c>
      <c r="J3661" s="168">
        <v>328.32</v>
      </c>
      <c r="K3661" s="168">
        <v>265.18</v>
      </c>
      <c r="L3661" s="43">
        <v>6.6234616806633912</v>
      </c>
      <c r="M3661" s="43">
        <v>11.499303621169917</v>
      </c>
      <c r="N3661" s="43">
        <v>5.3805309734513269</v>
      </c>
      <c r="O3661" s="43">
        <v>3.741780725271624</v>
      </c>
      <c r="P3661" s="169"/>
      <c r="Q3661" s="169"/>
      <c r="R3661" s="169">
        <v>8</v>
      </c>
    </row>
    <row r="3662" spans="1:18" ht="24">
      <c r="A3662" s="165">
        <v>897</v>
      </c>
      <c r="B3662" s="162" t="s">
        <v>6665</v>
      </c>
      <c r="C3662" s="166" t="s">
        <v>6666</v>
      </c>
      <c r="D3662" s="167">
        <v>253.35</v>
      </c>
      <c r="E3662" s="167">
        <v>79.239999999999995</v>
      </c>
      <c r="F3662" s="167">
        <v>91.53</v>
      </c>
      <c r="G3662" s="167">
        <v>82.58</v>
      </c>
      <c r="H3662" s="168">
        <v>1724.63</v>
      </c>
      <c r="I3662" s="168">
        <v>911.28</v>
      </c>
      <c r="J3662" s="168">
        <v>492.46</v>
      </c>
      <c r="K3662" s="168">
        <v>320.89</v>
      </c>
      <c r="L3662" s="43">
        <v>6.8073021511742651</v>
      </c>
      <c r="M3662" s="43">
        <v>11.500252397778899</v>
      </c>
      <c r="N3662" s="43">
        <v>5.3803124658581885</v>
      </c>
      <c r="O3662" s="43">
        <v>3.8858077016226686</v>
      </c>
      <c r="P3662" s="169"/>
      <c r="Q3662" s="169"/>
      <c r="R3662" s="169">
        <v>8</v>
      </c>
    </row>
    <row r="3663" spans="1:18" ht="12.75" customHeight="1">
      <c r="A3663" s="628" t="s">
        <v>6667</v>
      </c>
      <c r="B3663" s="629"/>
      <c r="C3663" s="629"/>
      <c r="D3663" s="629"/>
      <c r="E3663" s="629"/>
      <c r="F3663" s="629"/>
      <c r="G3663" s="629"/>
      <c r="H3663" s="629"/>
      <c r="I3663" s="629"/>
      <c r="J3663" s="629"/>
      <c r="K3663" s="629"/>
      <c r="L3663" s="629"/>
      <c r="M3663" s="629"/>
      <c r="N3663" s="629"/>
      <c r="O3663" s="629"/>
      <c r="P3663" s="629"/>
      <c r="Q3663" s="629"/>
      <c r="R3663" s="629"/>
    </row>
    <row r="3664" spans="1:18" ht="24">
      <c r="A3664" s="165">
        <v>898</v>
      </c>
      <c r="B3664" s="162" t="s">
        <v>6668</v>
      </c>
      <c r="C3664" s="166" t="s">
        <v>6669</v>
      </c>
      <c r="D3664" s="167">
        <v>105.31</v>
      </c>
      <c r="E3664" s="167">
        <v>39.56</v>
      </c>
      <c r="F3664" s="167">
        <v>2.77</v>
      </c>
      <c r="G3664" s="167">
        <v>62.98</v>
      </c>
      <c r="H3664" s="168">
        <v>692.37</v>
      </c>
      <c r="I3664" s="168">
        <v>455</v>
      </c>
      <c r="J3664" s="168">
        <v>14.93</v>
      </c>
      <c r="K3664" s="168">
        <v>222.44</v>
      </c>
      <c r="L3664" s="43">
        <v>6.574589307758048</v>
      </c>
      <c r="M3664" s="43">
        <v>11.501516683518705</v>
      </c>
      <c r="N3664" s="43">
        <v>5.3898916967509027</v>
      </c>
      <c r="O3664" s="43">
        <v>3.5319148936170213</v>
      </c>
      <c r="P3664" s="169"/>
      <c r="Q3664" s="169"/>
      <c r="R3664" s="169">
        <v>9</v>
      </c>
    </row>
    <row r="3665" spans="1:18" ht="24">
      <c r="A3665" s="165">
        <v>899</v>
      </c>
      <c r="B3665" s="162" t="s">
        <v>6670</v>
      </c>
      <c r="C3665" s="166" t="s">
        <v>6671</v>
      </c>
      <c r="D3665" s="167">
        <v>127.41</v>
      </c>
      <c r="E3665" s="167">
        <v>52.83</v>
      </c>
      <c r="F3665" s="167">
        <v>8.32</v>
      </c>
      <c r="G3665" s="167">
        <v>66.260000000000005</v>
      </c>
      <c r="H3665" s="168">
        <v>893.99</v>
      </c>
      <c r="I3665" s="168">
        <v>607.52</v>
      </c>
      <c r="J3665" s="168">
        <v>44.77</v>
      </c>
      <c r="K3665" s="168">
        <v>241.7</v>
      </c>
      <c r="L3665" s="43">
        <v>7.0166391962954249</v>
      </c>
      <c r="M3665" s="43">
        <v>11.499526784024228</v>
      </c>
      <c r="N3665" s="43">
        <v>5.3810096153846159</v>
      </c>
      <c r="O3665" s="43">
        <v>3.6477512828252334</v>
      </c>
      <c r="P3665" s="169"/>
      <c r="Q3665" s="169"/>
      <c r="R3665" s="169">
        <v>9</v>
      </c>
    </row>
    <row r="3666" spans="1:18" ht="24">
      <c r="A3666" s="165">
        <v>900</v>
      </c>
      <c r="B3666" s="162" t="s">
        <v>6672</v>
      </c>
      <c r="C3666" s="166" t="s">
        <v>6673</v>
      </c>
      <c r="D3666" s="167">
        <v>164.89</v>
      </c>
      <c r="E3666" s="167">
        <v>65.98</v>
      </c>
      <c r="F3666" s="167">
        <v>30.51</v>
      </c>
      <c r="G3666" s="167">
        <v>68.400000000000006</v>
      </c>
      <c r="H3666" s="168">
        <v>1177.26</v>
      </c>
      <c r="I3666" s="168">
        <v>758.76</v>
      </c>
      <c r="J3666" s="168">
        <v>164.16</v>
      </c>
      <c r="K3666" s="168">
        <v>254.34</v>
      </c>
      <c r="L3666" s="43">
        <v>7.1396688701558624</v>
      </c>
      <c r="M3666" s="43">
        <v>11.499848438920884</v>
      </c>
      <c r="N3666" s="43">
        <v>5.3805309734513269</v>
      </c>
      <c r="O3666" s="43">
        <v>3.7184210526315788</v>
      </c>
      <c r="P3666" s="169"/>
      <c r="Q3666" s="169"/>
      <c r="R3666" s="169">
        <v>9</v>
      </c>
    </row>
    <row r="3667" spans="1:18" ht="24">
      <c r="A3667" s="165">
        <v>901</v>
      </c>
      <c r="B3667" s="162" t="s">
        <v>6674</v>
      </c>
      <c r="C3667" s="166" t="s">
        <v>6675</v>
      </c>
      <c r="D3667" s="167">
        <v>224.98</v>
      </c>
      <c r="E3667" s="167">
        <v>92.39</v>
      </c>
      <c r="F3667" s="167">
        <v>61.02</v>
      </c>
      <c r="G3667" s="167">
        <v>71.569999999999993</v>
      </c>
      <c r="H3667" s="168">
        <v>1664.07</v>
      </c>
      <c r="I3667" s="168">
        <v>1062.52</v>
      </c>
      <c r="J3667" s="168">
        <v>328.32</v>
      </c>
      <c r="K3667" s="168">
        <v>273.23</v>
      </c>
      <c r="L3667" s="43">
        <v>7.3965241354787095</v>
      </c>
      <c r="M3667" s="43">
        <v>11.500378828877583</v>
      </c>
      <c r="N3667" s="43">
        <v>5.3805309734513269</v>
      </c>
      <c r="O3667" s="43">
        <v>3.8176610311583072</v>
      </c>
      <c r="P3667" s="169"/>
      <c r="Q3667" s="169"/>
      <c r="R3667" s="169">
        <v>9</v>
      </c>
    </row>
    <row r="3668" spans="1:18" ht="24">
      <c r="A3668" s="165">
        <v>902</v>
      </c>
      <c r="B3668" s="162" t="s">
        <v>6676</v>
      </c>
      <c r="C3668" s="166" t="s">
        <v>6677</v>
      </c>
      <c r="D3668" s="167">
        <v>294.05</v>
      </c>
      <c r="E3668" s="167">
        <v>119.14</v>
      </c>
      <c r="F3668" s="167">
        <v>91.53</v>
      </c>
      <c r="G3668" s="167">
        <v>83.38</v>
      </c>
      <c r="H3668" s="168">
        <v>2192.71</v>
      </c>
      <c r="I3668" s="168">
        <v>1370.16</v>
      </c>
      <c r="J3668" s="168">
        <v>492.46</v>
      </c>
      <c r="K3668" s="168">
        <v>330.09</v>
      </c>
      <c r="L3668" s="43">
        <v>7.4569290936915493</v>
      </c>
      <c r="M3668" s="43">
        <v>11.500419674332719</v>
      </c>
      <c r="N3668" s="43">
        <v>5.3803124658581885</v>
      </c>
      <c r="O3668" s="43">
        <v>3.9588630366994484</v>
      </c>
      <c r="P3668" s="169"/>
      <c r="Q3668" s="169"/>
      <c r="R3668" s="169">
        <v>9</v>
      </c>
    </row>
    <row r="3669" spans="1:18" ht="12.75" customHeight="1">
      <c r="A3669" s="628" t="s">
        <v>6678</v>
      </c>
      <c r="B3669" s="629"/>
      <c r="C3669" s="629"/>
      <c r="D3669" s="629"/>
      <c r="E3669" s="629"/>
      <c r="F3669" s="629"/>
      <c r="G3669" s="629"/>
      <c r="H3669" s="629"/>
      <c r="I3669" s="629"/>
      <c r="J3669" s="629"/>
      <c r="K3669" s="629"/>
      <c r="L3669" s="629"/>
      <c r="M3669" s="629"/>
      <c r="N3669" s="629"/>
      <c r="O3669" s="629"/>
      <c r="P3669" s="629"/>
      <c r="Q3669" s="629"/>
      <c r="R3669" s="629"/>
    </row>
    <row r="3670" spans="1:18" ht="24">
      <c r="A3670" s="165">
        <v>903</v>
      </c>
      <c r="B3670" s="162" t="s">
        <v>6679</v>
      </c>
      <c r="C3670" s="166" t="s">
        <v>6680</v>
      </c>
      <c r="D3670" s="167">
        <v>118.85</v>
      </c>
      <c r="E3670" s="167">
        <v>52.83</v>
      </c>
      <c r="F3670" s="167">
        <v>2.77</v>
      </c>
      <c r="G3670" s="167">
        <v>63.25</v>
      </c>
      <c r="H3670" s="168">
        <v>847.99</v>
      </c>
      <c r="I3670" s="168">
        <v>607.52</v>
      </c>
      <c r="J3670" s="168">
        <v>14.93</v>
      </c>
      <c r="K3670" s="168">
        <v>225.54</v>
      </c>
      <c r="L3670" s="43">
        <v>7.1349600336558687</v>
      </c>
      <c r="M3670" s="43">
        <v>11.499526784024228</v>
      </c>
      <c r="N3670" s="43">
        <v>5.3898916967509027</v>
      </c>
      <c r="O3670" s="43">
        <v>3.5658498023715413</v>
      </c>
      <c r="P3670" s="169"/>
      <c r="Q3670" s="169"/>
      <c r="R3670" s="169">
        <v>10</v>
      </c>
    </row>
    <row r="3671" spans="1:18" ht="12.75" customHeight="1">
      <c r="A3671" s="628" t="s">
        <v>6681</v>
      </c>
      <c r="B3671" s="629"/>
      <c r="C3671" s="629"/>
      <c r="D3671" s="629"/>
      <c r="E3671" s="629"/>
      <c r="F3671" s="629"/>
      <c r="G3671" s="629"/>
      <c r="H3671" s="629"/>
      <c r="I3671" s="629"/>
      <c r="J3671" s="629"/>
      <c r="K3671" s="629"/>
      <c r="L3671" s="629"/>
      <c r="M3671" s="629"/>
      <c r="N3671" s="629"/>
      <c r="O3671" s="629"/>
      <c r="P3671" s="629"/>
      <c r="Q3671" s="629"/>
      <c r="R3671" s="629"/>
    </row>
    <row r="3672" spans="1:18" ht="36">
      <c r="A3672" s="165">
        <v>904</v>
      </c>
      <c r="B3672" s="162" t="s">
        <v>6682</v>
      </c>
      <c r="C3672" s="166" t="s">
        <v>6683</v>
      </c>
      <c r="D3672" s="167">
        <v>2780.44</v>
      </c>
      <c r="E3672" s="167">
        <v>579.98</v>
      </c>
      <c r="F3672" s="167">
        <v>105.61</v>
      </c>
      <c r="G3672" s="167">
        <v>2094.85</v>
      </c>
      <c r="H3672" s="168">
        <v>14192.42</v>
      </c>
      <c r="I3672" s="168">
        <v>6669.82</v>
      </c>
      <c r="J3672" s="168">
        <v>562.15</v>
      </c>
      <c r="K3672" s="168">
        <v>6960.45</v>
      </c>
      <c r="L3672" s="43">
        <v>5.1043791630101714</v>
      </c>
      <c r="M3672" s="43">
        <v>11.500086209869306</v>
      </c>
      <c r="N3672" s="43">
        <v>5.3228860903323545</v>
      </c>
      <c r="O3672" s="43">
        <v>3.3226483996467526</v>
      </c>
      <c r="P3672" s="169"/>
      <c r="Q3672" s="169"/>
      <c r="R3672" s="169">
        <v>11</v>
      </c>
    </row>
    <row r="3673" spans="1:18" ht="12.75" customHeight="1">
      <c r="A3673" s="628" t="s">
        <v>6684</v>
      </c>
      <c r="B3673" s="629"/>
      <c r="C3673" s="629"/>
      <c r="D3673" s="629"/>
      <c r="E3673" s="629"/>
      <c r="F3673" s="629"/>
      <c r="G3673" s="629"/>
      <c r="H3673" s="629"/>
      <c r="I3673" s="629"/>
      <c r="J3673" s="629"/>
      <c r="K3673" s="629"/>
      <c r="L3673" s="629"/>
      <c r="M3673" s="629"/>
      <c r="N3673" s="629"/>
      <c r="O3673" s="629"/>
      <c r="P3673" s="629"/>
      <c r="Q3673" s="629"/>
      <c r="R3673" s="629"/>
    </row>
    <row r="3674" spans="1:18" ht="48">
      <c r="A3674" s="165">
        <v>905</v>
      </c>
      <c r="B3674" s="162" t="s">
        <v>6685</v>
      </c>
      <c r="C3674" s="166" t="s">
        <v>6686</v>
      </c>
      <c r="D3674" s="167">
        <v>975.01</v>
      </c>
      <c r="E3674" s="167">
        <v>171.97</v>
      </c>
      <c r="F3674" s="167">
        <v>556.28</v>
      </c>
      <c r="G3674" s="167">
        <v>246.76</v>
      </c>
      <c r="H3674" s="168">
        <v>6025.94</v>
      </c>
      <c r="I3674" s="168">
        <v>1977.68</v>
      </c>
      <c r="J3674" s="168">
        <v>2988.65</v>
      </c>
      <c r="K3674" s="168">
        <v>1059.6099999999999</v>
      </c>
      <c r="L3674" s="43">
        <v>6.1803878934575023</v>
      </c>
      <c r="M3674" s="43">
        <v>11.500145374193174</v>
      </c>
      <c r="N3674" s="43">
        <v>5.3725641763140866</v>
      </c>
      <c r="O3674" s="43">
        <v>4.2940914248662665</v>
      </c>
      <c r="P3674" s="169"/>
      <c r="Q3674" s="169"/>
      <c r="R3674" s="169">
        <v>12</v>
      </c>
    </row>
    <row r="3675" spans="1:18" ht="60">
      <c r="A3675" s="165">
        <v>906</v>
      </c>
      <c r="B3675" s="162" t="s">
        <v>6687</v>
      </c>
      <c r="C3675" s="166" t="s">
        <v>6688</v>
      </c>
      <c r="D3675" s="167">
        <v>1024.81</v>
      </c>
      <c r="E3675" s="167">
        <v>158.47999999999999</v>
      </c>
      <c r="F3675" s="167">
        <v>486.46</v>
      </c>
      <c r="G3675" s="167">
        <v>379.87</v>
      </c>
      <c r="H3675" s="168">
        <v>6278.53</v>
      </c>
      <c r="I3675" s="168">
        <v>1822.57</v>
      </c>
      <c r="J3675" s="168">
        <v>2613.12</v>
      </c>
      <c r="K3675" s="168">
        <v>1842.84</v>
      </c>
      <c r="L3675" s="43">
        <v>6.1265307715576549</v>
      </c>
      <c r="M3675" s="43">
        <v>11.500315497223625</v>
      </c>
      <c r="N3675" s="43">
        <v>5.3717057928709453</v>
      </c>
      <c r="O3675" s="43">
        <v>4.8512385816200272</v>
      </c>
      <c r="P3675" s="169"/>
      <c r="Q3675" s="169"/>
      <c r="R3675" s="169">
        <v>12</v>
      </c>
    </row>
    <row r="3676" spans="1:18" ht="12.75" customHeight="1">
      <c r="A3676" s="628" t="s">
        <v>6689</v>
      </c>
      <c r="B3676" s="629"/>
      <c r="C3676" s="629"/>
      <c r="D3676" s="629"/>
      <c r="E3676" s="629"/>
      <c r="F3676" s="629"/>
      <c r="G3676" s="629"/>
      <c r="H3676" s="629"/>
      <c r="I3676" s="629"/>
      <c r="J3676" s="629"/>
      <c r="K3676" s="629"/>
      <c r="L3676" s="629"/>
      <c r="M3676" s="629"/>
      <c r="N3676" s="629"/>
      <c r="O3676" s="629"/>
      <c r="P3676" s="629"/>
      <c r="Q3676" s="629"/>
      <c r="R3676" s="629"/>
    </row>
    <row r="3677" spans="1:18" ht="36">
      <c r="A3677" s="165">
        <v>907</v>
      </c>
      <c r="B3677" s="162" t="s">
        <v>6690</v>
      </c>
      <c r="C3677" s="166" t="s">
        <v>6691</v>
      </c>
      <c r="D3677" s="167">
        <v>469.28</v>
      </c>
      <c r="E3677" s="167">
        <v>191.08</v>
      </c>
      <c r="F3677" s="167">
        <v>8.32</v>
      </c>
      <c r="G3677" s="167">
        <v>269.88</v>
      </c>
      <c r="H3677" s="168">
        <v>2937.56</v>
      </c>
      <c r="I3677" s="168">
        <v>2197.42</v>
      </c>
      <c r="J3677" s="168">
        <v>44.77</v>
      </c>
      <c r="K3677" s="168">
        <v>695.37</v>
      </c>
      <c r="L3677" s="43">
        <v>6.2597170132969655</v>
      </c>
      <c r="M3677" s="43">
        <v>11.5</v>
      </c>
      <c r="N3677" s="43">
        <v>5.3810096153846159</v>
      </c>
      <c r="O3677" s="43">
        <v>2.5765895953757227</v>
      </c>
      <c r="P3677" s="169"/>
      <c r="Q3677" s="169"/>
      <c r="R3677" s="169">
        <v>13</v>
      </c>
    </row>
    <row r="3678" spans="1:18" ht="48">
      <c r="A3678" s="165">
        <v>908</v>
      </c>
      <c r="B3678" s="162" t="s">
        <v>6692</v>
      </c>
      <c r="C3678" s="166" t="s">
        <v>6693</v>
      </c>
      <c r="D3678" s="167">
        <v>503.68</v>
      </c>
      <c r="E3678" s="167">
        <v>224.8</v>
      </c>
      <c r="F3678" s="167">
        <v>8.32</v>
      </c>
      <c r="G3678" s="167">
        <v>270.56</v>
      </c>
      <c r="H3678" s="168">
        <v>3333.16</v>
      </c>
      <c r="I3678" s="168">
        <v>2585.1999999999998</v>
      </c>
      <c r="J3678" s="168">
        <v>44.77</v>
      </c>
      <c r="K3678" s="168">
        <v>703.19</v>
      </c>
      <c r="L3678" s="43">
        <v>6.6176143583227445</v>
      </c>
      <c r="M3678" s="43">
        <v>11.499999999999998</v>
      </c>
      <c r="N3678" s="43">
        <v>5.3810096153846159</v>
      </c>
      <c r="O3678" s="43">
        <v>2.5990168539325844</v>
      </c>
      <c r="P3678" s="169"/>
      <c r="Q3678" s="169"/>
      <c r="R3678" s="169">
        <v>13</v>
      </c>
    </row>
    <row r="3679" spans="1:18" ht="48">
      <c r="A3679" s="165">
        <v>909</v>
      </c>
      <c r="B3679" s="162" t="s">
        <v>6694</v>
      </c>
      <c r="C3679" s="166" t="s">
        <v>6695</v>
      </c>
      <c r="D3679" s="167">
        <v>2002.15</v>
      </c>
      <c r="E3679" s="167">
        <v>415.88</v>
      </c>
      <c r="F3679" s="167">
        <v>8.32</v>
      </c>
      <c r="G3679" s="167">
        <v>1577.95</v>
      </c>
      <c r="H3679" s="168">
        <v>8896.2800000000007</v>
      </c>
      <c r="I3679" s="168">
        <v>4782.62</v>
      </c>
      <c r="J3679" s="168">
        <v>44.77</v>
      </c>
      <c r="K3679" s="168">
        <v>4068.89</v>
      </c>
      <c r="L3679" s="43">
        <v>4.4433633843618114</v>
      </c>
      <c r="M3679" s="43">
        <v>11.5</v>
      </c>
      <c r="N3679" s="43">
        <v>5.3810096153846159</v>
      </c>
      <c r="O3679" s="43">
        <v>2.5785924775816724</v>
      </c>
      <c r="P3679" s="169"/>
      <c r="Q3679" s="169"/>
      <c r="R3679" s="169">
        <v>13</v>
      </c>
    </row>
    <row r="3680" spans="1:18" ht="36">
      <c r="A3680" s="165">
        <v>910</v>
      </c>
      <c r="B3680" s="162" t="s">
        <v>6696</v>
      </c>
      <c r="C3680" s="166" t="s">
        <v>6697</v>
      </c>
      <c r="D3680" s="167">
        <v>1554.4</v>
      </c>
      <c r="E3680" s="167">
        <v>213.56</v>
      </c>
      <c r="F3680" s="167">
        <v>5.81</v>
      </c>
      <c r="G3680" s="167">
        <v>1335.03</v>
      </c>
      <c r="H3680" s="168">
        <v>4957.9399999999996</v>
      </c>
      <c r="I3680" s="168">
        <v>2455.94</v>
      </c>
      <c r="J3680" s="168">
        <v>31.24</v>
      </c>
      <c r="K3680" s="168">
        <v>2470.7600000000002</v>
      </c>
      <c r="L3680" s="43">
        <v>3.1896165723108592</v>
      </c>
      <c r="M3680" s="43">
        <v>11.5</v>
      </c>
      <c r="N3680" s="43">
        <v>5.3769363166953532</v>
      </c>
      <c r="O3680" s="43">
        <v>1.8507149652067745</v>
      </c>
      <c r="P3680" s="169"/>
      <c r="Q3680" s="169"/>
      <c r="R3680" s="169">
        <v>13</v>
      </c>
    </row>
    <row r="3681" spans="1:18" ht="22.5" customHeight="1">
      <c r="A3681" s="628" t="s">
        <v>6698</v>
      </c>
      <c r="B3681" s="629"/>
      <c r="C3681" s="629"/>
      <c r="D3681" s="629"/>
      <c r="E3681" s="629"/>
      <c r="F3681" s="629"/>
      <c r="G3681" s="629"/>
      <c r="H3681" s="629"/>
      <c r="I3681" s="629"/>
      <c r="J3681" s="629"/>
      <c r="K3681" s="629"/>
      <c r="L3681" s="629"/>
      <c r="M3681" s="629"/>
      <c r="N3681" s="629"/>
      <c r="O3681" s="629"/>
      <c r="P3681" s="629"/>
      <c r="Q3681" s="629"/>
      <c r="R3681" s="629"/>
    </row>
    <row r="3682" spans="1:18" ht="36">
      <c r="A3682" s="165">
        <v>911</v>
      </c>
      <c r="B3682" s="162" t="s">
        <v>6699</v>
      </c>
      <c r="C3682" s="166" t="s">
        <v>6700</v>
      </c>
      <c r="D3682" s="167">
        <v>467.96</v>
      </c>
      <c r="E3682" s="167">
        <v>205.69</v>
      </c>
      <c r="F3682" s="167">
        <v>8.32</v>
      </c>
      <c r="G3682" s="167">
        <v>253.95</v>
      </c>
      <c r="H3682" s="168">
        <v>3078.67</v>
      </c>
      <c r="I3682" s="168">
        <v>2365.46</v>
      </c>
      <c r="J3682" s="168">
        <v>44.77</v>
      </c>
      <c r="K3682" s="168">
        <v>668.44</v>
      </c>
      <c r="L3682" s="43">
        <v>6.5789170014531164</v>
      </c>
      <c r="M3682" s="43">
        <v>11.500121542126502</v>
      </c>
      <c r="N3682" s="43">
        <v>5.3810096153846159</v>
      </c>
      <c r="O3682" s="43">
        <v>2.632171687340028</v>
      </c>
      <c r="P3682" s="169"/>
      <c r="Q3682" s="169"/>
      <c r="R3682" s="169">
        <v>14</v>
      </c>
    </row>
    <row r="3683" spans="1:18" ht="36">
      <c r="A3683" s="165">
        <v>912</v>
      </c>
      <c r="B3683" s="162" t="s">
        <v>6701</v>
      </c>
      <c r="C3683" s="166" t="s">
        <v>6702</v>
      </c>
      <c r="D3683" s="167">
        <v>614.09</v>
      </c>
      <c r="E3683" s="167">
        <v>258.52</v>
      </c>
      <c r="F3683" s="167">
        <v>61.02</v>
      </c>
      <c r="G3683" s="167">
        <v>294.55</v>
      </c>
      <c r="H3683" s="168">
        <v>4071.45</v>
      </c>
      <c r="I3683" s="168">
        <v>2972.98</v>
      </c>
      <c r="J3683" s="168">
        <v>328.32</v>
      </c>
      <c r="K3683" s="168">
        <v>770.15</v>
      </c>
      <c r="L3683" s="43">
        <v>6.6300542265791655</v>
      </c>
      <c r="M3683" s="43">
        <v>11.5</v>
      </c>
      <c r="N3683" s="43">
        <v>5.3805309734513269</v>
      </c>
      <c r="O3683" s="43">
        <v>2.6146664403327109</v>
      </c>
      <c r="P3683" s="169"/>
      <c r="Q3683" s="169"/>
      <c r="R3683" s="169">
        <v>14</v>
      </c>
    </row>
    <row r="3684" spans="1:18" ht="36">
      <c r="A3684" s="165">
        <v>913</v>
      </c>
      <c r="B3684" s="162" t="s">
        <v>6703</v>
      </c>
      <c r="C3684" s="166" t="s">
        <v>6704</v>
      </c>
      <c r="D3684" s="167">
        <v>767.19</v>
      </c>
      <c r="E3684" s="167">
        <v>359.68</v>
      </c>
      <c r="F3684" s="167">
        <v>110.94</v>
      </c>
      <c r="G3684" s="167">
        <v>296.57</v>
      </c>
      <c r="H3684" s="168">
        <v>5526.63</v>
      </c>
      <c r="I3684" s="168">
        <v>4136.32</v>
      </c>
      <c r="J3684" s="168">
        <v>596.92999999999995</v>
      </c>
      <c r="K3684" s="168">
        <v>793.38</v>
      </c>
      <c r="L3684" s="43">
        <v>7.2037304970085634</v>
      </c>
      <c r="M3684" s="43">
        <v>11.499999999999998</v>
      </c>
      <c r="N3684" s="43">
        <v>5.3806562105642683</v>
      </c>
      <c r="O3684" s="43">
        <v>2.6751862966584619</v>
      </c>
      <c r="P3684" s="169"/>
      <c r="Q3684" s="169"/>
      <c r="R3684" s="169">
        <v>14</v>
      </c>
    </row>
    <row r="3685" spans="1:18" ht="36">
      <c r="A3685" s="165">
        <v>914</v>
      </c>
      <c r="B3685" s="162" t="s">
        <v>6705</v>
      </c>
      <c r="C3685" s="166" t="s">
        <v>6706</v>
      </c>
      <c r="D3685" s="167">
        <v>999.74</v>
      </c>
      <c r="E3685" s="167">
        <v>497.93</v>
      </c>
      <c r="F3685" s="167">
        <v>202.47</v>
      </c>
      <c r="G3685" s="167">
        <v>299.33999999999997</v>
      </c>
      <c r="H3685" s="168">
        <v>7640.85</v>
      </c>
      <c r="I3685" s="168">
        <v>5726.22</v>
      </c>
      <c r="J3685" s="168">
        <v>1089.4000000000001</v>
      </c>
      <c r="K3685" s="168">
        <v>825.23</v>
      </c>
      <c r="L3685" s="43">
        <v>7.6428371376557909</v>
      </c>
      <c r="M3685" s="43">
        <v>11.500050207860543</v>
      </c>
      <c r="N3685" s="43">
        <v>5.380550204968638</v>
      </c>
      <c r="O3685" s="43">
        <v>2.756831696398744</v>
      </c>
      <c r="P3685" s="169"/>
      <c r="Q3685" s="169"/>
      <c r="R3685" s="169">
        <v>14</v>
      </c>
    </row>
    <row r="3686" spans="1:18" ht="36">
      <c r="A3686" s="165">
        <v>915</v>
      </c>
      <c r="B3686" s="162" t="s">
        <v>6707</v>
      </c>
      <c r="C3686" s="166" t="s">
        <v>6708</v>
      </c>
      <c r="D3686" s="167">
        <v>561.54</v>
      </c>
      <c r="E3686" s="167">
        <v>250.65</v>
      </c>
      <c r="F3686" s="167">
        <v>69.34</v>
      </c>
      <c r="G3686" s="167">
        <v>241.55</v>
      </c>
      <c r="H3686" s="168">
        <v>3894.67</v>
      </c>
      <c r="I3686" s="168">
        <v>2882.5</v>
      </c>
      <c r="J3686" s="168">
        <v>373.09</v>
      </c>
      <c r="K3686" s="168">
        <v>639.08000000000004</v>
      </c>
      <c r="L3686" s="43">
        <v>6.9356946967268591</v>
      </c>
      <c r="M3686" s="43">
        <v>11.500099740674246</v>
      </c>
      <c r="N3686" s="43">
        <v>5.3805884049610606</v>
      </c>
      <c r="O3686" s="43">
        <v>2.6457462223142207</v>
      </c>
      <c r="P3686" s="169"/>
      <c r="Q3686" s="169"/>
      <c r="R3686" s="169">
        <v>14</v>
      </c>
    </row>
    <row r="3687" spans="1:18" ht="36">
      <c r="A3687" s="165">
        <v>916</v>
      </c>
      <c r="B3687" s="162" t="s">
        <v>6709</v>
      </c>
      <c r="C3687" s="166" t="s">
        <v>6710</v>
      </c>
      <c r="D3687" s="167">
        <v>690.21</v>
      </c>
      <c r="E3687" s="167">
        <v>316.97000000000003</v>
      </c>
      <c r="F3687" s="167">
        <v>130.36000000000001</v>
      </c>
      <c r="G3687" s="167">
        <v>242.88</v>
      </c>
      <c r="H3687" s="168">
        <v>5000.8900000000003</v>
      </c>
      <c r="I3687" s="168">
        <v>3645.13</v>
      </c>
      <c r="J3687" s="168">
        <v>701.39</v>
      </c>
      <c r="K3687" s="168">
        <v>654.37</v>
      </c>
      <c r="L3687" s="43">
        <v>7.2454615262021704</v>
      </c>
      <c r="M3687" s="43">
        <v>11.499921128182477</v>
      </c>
      <c r="N3687" s="43">
        <v>5.3804081006443685</v>
      </c>
      <c r="O3687" s="43">
        <v>2.6942111330698286</v>
      </c>
      <c r="P3687" s="169"/>
      <c r="Q3687" s="169"/>
      <c r="R3687" s="169">
        <v>14</v>
      </c>
    </row>
    <row r="3688" spans="1:18" ht="36">
      <c r="A3688" s="165">
        <v>917</v>
      </c>
      <c r="B3688" s="162" t="s">
        <v>6711</v>
      </c>
      <c r="C3688" s="166" t="s">
        <v>6712</v>
      </c>
      <c r="D3688" s="167">
        <v>864.65</v>
      </c>
      <c r="E3688" s="167">
        <v>409.14</v>
      </c>
      <c r="F3688" s="167">
        <v>210.79</v>
      </c>
      <c r="G3688" s="167">
        <v>244.72</v>
      </c>
      <c r="H3688" s="168">
        <v>6514.76</v>
      </c>
      <c r="I3688" s="168">
        <v>4705.0600000000004</v>
      </c>
      <c r="J3688" s="168">
        <v>1134.17</v>
      </c>
      <c r="K3688" s="168">
        <v>675.53</v>
      </c>
      <c r="L3688" s="43">
        <v>7.5345631180246349</v>
      </c>
      <c r="M3688" s="43">
        <v>11.499877792442685</v>
      </c>
      <c r="N3688" s="43">
        <v>5.3805683381564595</v>
      </c>
      <c r="O3688" s="43">
        <v>2.7604200719189276</v>
      </c>
      <c r="P3688" s="169"/>
      <c r="Q3688" s="169"/>
      <c r="R3688" s="169">
        <v>14</v>
      </c>
    </row>
    <row r="3689" spans="1:18" ht="36">
      <c r="A3689" s="165">
        <v>918</v>
      </c>
      <c r="B3689" s="162" t="s">
        <v>6713</v>
      </c>
      <c r="C3689" s="166" t="s">
        <v>6714</v>
      </c>
      <c r="D3689" s="167">
        <v>637.62</v>
      </c>
      <c r="E3689" s="167">
        <v>303.48</v>
      </c>
      <c r="F3689" s="167">
        <v>91.53</v>
      </c>
      <c r="G3689" s="167">
        <v>242.61</v>
      </c>
      <c r="H3689" s="168">
        <v>4633.75</v>
      </c>
      <c r="I3689" s="168">
        <v>3490.02</v>
      </c>
      <c r="J3689" s="168">
        <v>492.46</v>
      </c>
      <c r="K3689" s="168">
        <v>651.27</v>
      </c>
      <c r="L3689" s="43">
        <v>7.2672594962516861</v>
      </c>
      <c r="M3689" s="43">
        <v>11.5</v>
      </c>
      <c r="N3689" s="43">
        <v>5.3803124658581885</v>
      </c>
      <c r="O3689" s="43">
        <v>2.6844318041300852</v>
      </c>
      <c r="P3689" s="169"/>
      <c r="Q3689" s="169"/>
      <c r="R3689" s="169">
        <v>14</v>
      </c>
    </row>
    <row r="3690" spans="1:18" ht="36">
      <c r="A3690" s="165">
        <v>919</v>
      </c>
      <c r="B3690" s="162" t="s">
        <v>6715</v>
      </c>
      <c r="C3690" s="166" t="s">
        <v>6716</v>
      </c>
      <c r="D3690" s="167">
        <v>788.36</v>
      </c>
      <c r="E3690" s="167">
        <v>383.28</v>
      </c>
      <c r="F3690" s="167">
        <v>160.87</v>
      </c>
      <c r="G3690" s="167">
        <v>244.21</v>
      </c>
      <c r="H3690" s="168">
        <v>5942.99</v>
      </c>
      <c r="I3690" s="168">
        <v>4407.7700000000004</v>
      </c>
      <c r="J3690" s="168">
        <v>865.55</v>
      </c>
      <c r="K3690" s="168">
        <v>669.67</v>
      </c>
      <c r="L3690" s="43">
        <v>7.5384215333096547</v>
      </c>
      <c r="M3690" s="43">
        <v>11.500130452932584</v>
      </c>
      <c r="N3690" s="43">
        <v>5.3804314042394479</v>
      </c>
      <c r="O3690" s="43">
        <v>2.742189099545473</v>
      </c>
      <c r="P3690" s="169"/>
      <c r="Q3690" s="169"/>
      <c r="R3690" s="169">
        <v>14</v>
      </c>
    </row>
    <row r="3691" spans="1:18" ht="12.75" customHeight="1">
      <c r="A3691" s="628" t="s">
        <v>6717</v>
      </c>
      <c r="B3691" s="629"/>
      <c r="C3691" s="629"/>
      <c r="D3691" s="629"/>
      <c r="E3691" s="629"/>
      <c r="F3691" s="629"/>
      <c r="G3691" s="629"/>
      <c r="H3691" s="629"/>
      <c r="I3691" s="629"/>
      <c r="J3691" s="629"/>
      <c r="K3691" s="629"/>
      <c r="L3691" s="629"/>
      <c r="M3691" s="629"/>
      <c r="N3691" s="629"/>
      <c r="O3691" s="629"/>
      <c r="P3691" s="629"/>
      <c r="Q3691" s="629"/>
      <c r="R3691" s="629"/>
    </row>
    <row r="3692" spans="1:18" ht="24">
      <c r="A3692" s="165">
        <v>920</v>
      </c>
      <c r="B3692" s="162" t="s">
        <v>6718</v>
      </c>
      <c r="C3692" s="166" t="s">
        <v>6719</v>
      </c>
      <c r="D3692" s="167">
        <v>1583.43</v>
      </c>
      <c r="E3692" s="167">
        <v>430.49</v>
      </c>
      <c r="F3692" s="167">
        <v>137.22999999999999</v>
      </c>
      <c r="G3692" s="167">
        <v>1015.71</v>
      </c>
      <c r="H3692" s="168">
        <v>9191.01</v>
      </c>
      <c r="I3692" s="168">
        <v>4950.66</v>
      </c>
      <c r="J3692" s="168">
        <v>731.53</v>
      </c>
      <c r="K3692" s="168">
        <v>3508.82</v>
      </c>
      <c r="L3692" s="43">
        <v>5.8044940414164188</v>
      </c>
      <c r="M3692" s="43">
        <v>11.500058073358266</v>
      </c>
      <c r="N3692" s="43">
        <v>5.3306857101216938</v>
      </c>
      <c r="O3692" s="43">
        <v>3.4545490346654066</v>
      </c>
      <c r="P3692" s="169"/>
      <c r="Q3692" s="169"/>
      <c r="R3692" s="169">
        <v>15</v>
      </c>
    </row>
    <row r="3693" spans="1:18" ht="24">
      <c r="A3693" s="165">
        <v>921</v>
      </c>
      <c r="B3693" s="162" t="s">
        <v>6720</v>
      </c>
      <c r="C3693" s="166" t="s">
        <v>6721</v>
      </c>
      <c r="D3693" s="167">
        <v>1668.18</v>
      </c>
      <c r="E3693" s="167">
        <v>469.83</v>
      </c>
      <c r="F3693" s="167">
        <v>167.74</v>
      </c>
      <c r="G3693" s="167">
        <v>1030.6099999999999</v>
      </c>
      <c r="H3693" s="168">
        <v>9874.91</v>
      </c>
      <c r="I3693" s="168">
        <v>5403.07</v>
      </c>
      <c r="J3693" s="168">
        <v>895.68</v>
      </c>
      <c r="K3693" s="168">
        <v>3576.16</v>
      </c>
      <c r="L3693" s="43">
        <v>5.9195710295052093</v>
      </c>
      <c r="M3693" s="43">
        <v>11.500053210735798</v>
      </c>
      <c r="N3693" s="43">
        <v>5.3396923810659347</v>
      </c>
      <c r="O3693" s="43">
        <v>3.4699449840385794</v>
      </c>
      <c r="P3693" s="169"/>
      <c r="Q3693" s="169"/>
      <c r="R3693" s="169">
        <v>15</v>
      </c>
    </row>
    <row r="3694" spans="1:18" ht="24">
      <c r="A3694" s="165">
        <v>922</v>
      </c>
      <c r="B3694" s="162" t="s">
        <v>6722</v>
      </c>
      <c r="C3694" s="166" t="s">
        <v>6723</v>
      </c>
      <c r="D3694" s="167">
        <v>1837.47</v>
      </c>
      <c r="E3694" s="167">
        <v>523.78</v>
      </c>
      <c r="F3694" s="167">
        <v>278.68</v>
      </c>
      <c r="G3694" s="167">
        <v>1035.01</v>
      </c>
      <c r="H3694" s="168">
        <v>11115.17</v>
      </c>
      <c r="I3694" s="168">
        <v>6023.52</v>
      </c>
      <c r="J3694" s="168">
        <v>1492.61</v>
      </c>
      <c r="K3694" s="168">
        <v>3599.04</v>
      </c>
      <c r="L3694" s="43">
        <v>6.0491708708169387</v>
      </c>
      <c r="M3694" s="43">
        <v>11.500095459925925</v>
      </c>
      <c r="N3694" s="43">
        <v>5.3559997129323955</v>
      </c>
      <c r="O3694" s="43">
        <v>3.4772997362344324</v>
      </c>
      <c r="P3694" s="169"/>
      <c r="Q3694" s="169"/>
      <c r="R3694" s="169">
        <v>15</v>
      </c>
    </row>
    <row r="3695" spans="1:18" ht="24">
      <c r="A3695" s="165">
        <v>923</v>
      </c>
      <c r="B3695" s="162" t="s">
        <v>6724</v>
      </c>
      <c r="C3695" s="166" t="s">
        <v>6725</v>
      </c>
      <c r="D3695" s="167">
        <v>2034.1</v>
      </c>
      <c r="E3695" s="167">
        <v>577.74</v>
      </c>
      <c r="F3695" s="167">
        <v>400.72</v>
      </c>
      <c r="G3695" s="167">
        <v>1055.6400000000001</v>
      </c>
      <c r="H3695" s="168">
        <v>12467.91</v>
      </c>
      <c r="I3695" s="168">
        <v>6643.96</v>
      </c>
      <c r="J3695" s="168">
        <v>2149.23</v>
      </c>
      <c r="K3695" s="168">
        <v>3674.72</v>
      </c>
      <c r="L3695" s="43">
        <v>6.129447913081953</v>
      </c>
      <c r="M3695" s="43">
        <v>11.499913455879808</v>
      </c>
      <c r="N3695" s="43">
        <v>5.3634208424835297</v>
      </c>
      <c r="O3695" s="43">
        <v>3.4810352013944144</v>
      </c>
      <c r="P3695" s="169"/>
      <c r="Q3695" s="169"/>
      <c r="R3695" s="169">
        <v>15</v>
      </c>
    </row>
    <row r="3696" spans="1:18" ht="24">
      <c r="A3696" s="165">
        <v>924</v>
      </c>
      <c r="B3696" s="162" t="s">
        <v>6726</v>
      </c>
      <c r="C3696" s="166" t="s">
        <v>6727</v>
      </c>
      <c r="D3696" s="167">
        <v>2325.6999999999998</v>
      </c>
      <c r="E3696" s="167">
        <v>618.20000000000005</v>
      </c>
      <c r="F3696" s="167">
        <v>650.34</v>
      </c>
      <c r="G3696" s="167">
        <v>1057.1600000000001</v>
      </c>
      <c r="H3696" s="168">
        <v>14288.75</v>
      </c>
      <c r="I3696" s="168">
        <v>7109.3</v>
      </c>
      <c r="J3696" s="168">
        <v>3492.33</v>
      </c>
      <c r="K3696" s="168">
        <v>3687.12</v>
      </c>
      <c r="L3696" s="43">
        <v>6.1438491636926518</v>
      </c>
      <c r="M3696" s="43">
        <v>11.5</v>
      </c>
      <c r="N3696" s="43">
        <v>5.3700064581603462</v>
      </c>
      <c r="O3696" s="43">
        <v>3.4877596579514925</v>
      </c>
      <c r="P3696" s="169"/>
      <c r="Q3696" s="169"/>
      <c r="R3696" s="169">
        <v>15</v>
      </c>
    </row>
    <row r="3697" spans="1:18" ht="24">
      <c r="A3697" s="165">
        <v>925</v>
      </c>
      <c r="B3697" s="162" t="s">
        <v>6728</v>
      </c>
      <c r="C3697" s="166" t="s">
        <v>6729</v>
      </c>
      <c r="D3697" s="167">
        <v>2861.85</v>
      </c>
      <c r="E3697" s="167">
        <v>858.74</v>
      </c>
      <c r="F3697" s="167">
        <v>924.93</v>
      </c>
      <c r="G3697" s="167">
        <v>1078.18</v>
      </c>
      <c r="H3697" s="168">
        <v>18639.73</v>
      </c>
      <c r="I3697" s="168">
        <v>9875.4599999999991</v>
      </c>
      <c r="J3697" s="168">
        <v>4969.74</v>
      </c>
      <c r="K3697" s="168">
        <v>3794.53</v>
      </c>
      <c r="L3697" s="43">
        <v>6.5131750441148206</v>
      </c>
      <c r="M3697" s="43">
        <v>11.499941775158952</v>
      </c>
      <c r="N3697" s="43">
        <v>5.3730985047517112</v>
      </c>
      <c r="O3697" s="43">
        <v>3.5193845183550057</v>
      </c>
      <c r="P3697" s="169"/>
      <c r="Q3697" s="169"/>
      <c r="R3697" s="169">
        <v>15</v>
      </c>
    </row>
    <row r="3698" spans="1:18" ht="12.75" customHeight="1">
      <c r="A3698" s="628" t="s">
        <v>6730</v>
      </c>
      <c r="B3698" s="629"/>
      <c r="C3698" s="629"/>
      <c r="D3698" s="629"/>
      <c r="E3698" s="629"/>
      <c r="F3698" s="629"/>
      <c r="G3698" s="629"/>
      <c r="H3698" s="629"/>
      <c r="I3698" s="629"/>
      <c r="J3698" s="629"/>
      <c r="K3698" s="629"/>
      <c r="L3698" s="629"/>
      <c r="M3698" s="629"/>
      <c r="N3698" s="629"/>
      <c r="O3698" s="629"/>
      <c r="P3698" s="629"/>
      <c r="Q3698" s="629"/>
      <c r="R3698" s="629"/>
    </row>
    <row r="3699" spans="1:18" ht="24">
      <c r="A3699" s="165">
        <v>926</v>
      </c>
      <c r="B3699" s="162" t="s">
        <v>6731</v>
      </c>
      <c r="C3699" s="166" t="s">
        <v>6732</v>
      </c>
      <c r="D3699" s="167">
        <v>17122.95</v>
      </c>
      <c r="E3699" s="167">
        <v>3001.08</v>
      </c>
      <c r="F3699" s="167">
        <v>1827.19</v>
      </c>
      <c r="G3699" s="167">
        <v>12294.68</v>
      </c>
      <c r="H3699" s="168">
        <v>107358.5</v>
      </c>
      <c r="I3699" s="168">
        <v>34512.42</v>
      </c>
      <c r="J3699" s="168">
        <v>9716.75</v>
      </c>
      <c r="K3699" s="168">
        <v>63129.33</v>
      </c>
      <c r="L3699" s="43">
        <v>6.2698600416400208</v>
      </c>
      <c r="M3699" s="43">
        <v>11.5</v>
      </c>
      <c r="N3699" s="43">
        <v>5.3178651371778525</v>
      </c>
      <c r="O3699" s="43">
        <v>5.1346867100241731</v>
      </c>
      <c r="P3699" s="169"/>
      <c r="Q3699" s="169"/>
      <c r="R3699" s="169">
        <v>16</v>
      </c>
    </row>
    <row r="3700" spans="1:18" ht="24">
      <c r="A3700" s="165">
        <v>927</v>
      </c>
      <c r="B3700" s="162" t="s">
        <v>6733</v>
      </c>
      <c r="C3700" s="166" t="s">
        <v>6734</v>
      </c>
      <c r="D3700" s="167">
        <v>27912.2</v>
      </c>
      <c r="E3700" s="167">
        <v>3248.36</v>
      </c>
      <c r="F3700" s="167">
        <v>2161.59</v>
      </c>
      <c r="G3700" s="167">
        <v>22502.25</v>
      </c>
      <c r="H3700" s="168">
        <v>166457.74</v>
      </c>
      <c r="I3700" s="168">
        <v>37356.14</v>
      </c>
      <c r="J3700" s="168">
        <v>11487.93</v>
      </c>
      <c r="K3700" s="168">
        <v>117613.67</v>
      </c>
      <c r="L3700" s="43">
        <v>5.9636194925516435</v>
      </c>
      <c r="M3700" s="43">
        <v>11.5</v>
      </c>
      <c r="N3700" s="43">
        <v>5.3145739941432</v>
      </c>
      <c r="O3700" s="43">
        <v>5.226751547067515</v>
      </c>
      <c r="P3700" s="169"/>
      <c r="Q3700" s="169"/>
      <c r="R3700" s="169">
        <v>16</v>
      </c>
    </row>
    <row r="3701" spans="1:18" ht="12.75" customHeight="1">
      <c r="A3701" s="628" t="s">
        <v>6735</v>
      </c>
      <c r="B3701" s="629"/>
      <c r="C3701" s="629"/>
      <c r="D3701" s="629"/>
      <c r="E3701" s="629"/>
      <c r="F3701" s="629"/>
      <c r="G3701" s="629"/>
      <c r="H3701" s="629"/>
      <c r="I3701" s="629"/>
      <c r="J3701" s="629"/>
      <c r="K3701" s="629"/>
      <c r="L3701" s="629"/>
      <c r="M3701" s="629"/>
      <c r="N3701" s="629"/>
      <c r="O3701" s="629"/>
      <c r="P3701" s="629"/>
      <c r="Q3701" s="629"/>
      <c r="R3701" s="629"/>
    </row>
    <row r="3702" spans="1:18" ht="36">
      <c r="A3702" s="165">
        <v>928</v>
      </c>
      <c r="B3702" s="162" t="s">
        <v>6736</v>
      </c>
      <c r="C3702" s="166" t="s">
        <v>6737</v>
      </c>
      <c r="D3702" s="167">
        <v>988.83</v>
      </c>
      <c r="E3702" s="167">
        <v>346.19</v>
      </c>
      <c r="F3702" s="167">
        <v>201.75</v>
      </c>
      <c r="G3702" s="167">
        <v>440.89</v>
      </c>
      <c r="H3702" s="168">
        <v>6530.93</v>
      </c>
      <c r="I3702" s="168">
        <v>3981.21</v>
      </c>
      <c r="J3702" s="168">
        <v>1076.4000000000001</v>
      </c>
      <c r="K3702" s="168">
        <v>1473.32</v>
      </c>
      <c r="L3702" s="43">
        <v>6.6047045498215065</v>
      </c>
      <c r="M3702" s="43">
        <v>11.5000722146798</v>
      </c>
      <c r="N3702" s="43">
        <v>5.3353159851301122</v>
      </c>
      <c r="O3702" s="43">
        <v>3.3416952074213522</v>
      </c>
      <c r="P3702" s="169"/>
      <c r="Q3702" s="169"/>
      <c r="R3702" s="169">
        <v>17</v>
      </c>
    </row>
    <row r="3703" spans="1:18" ht="36">
      <c r="A3703" s="165">
        <v>929</v>
      </c>
      <c r="B3703" s="162" t="s">
        <v>6738</v>
      </c>
      <c r="C3703" s="166" t="s">
        <v>6739</v>
      </c>
      <c r="D3703" s="167">
        <v>1209.68</v>
      </c>
      <c r="E3703" s="167">
        <v>466.46</v>
      </c>
      <c r="F3703" s="167">
        <v>298.8</v>
      </c>
      <c r="G3703" s="167">
        <v>444.42</v>
      </c>
      <c r="H3703" s="168">
        <v>8465.09</v>
      </c>
      <c r="I3703" s="168">
        <v>5364.29</v>
      </c>
      <c r="J3703" s="168">
        <v>1596.95</v>
      </c>
      <c r="K3703" s="168">
        <v>1503.85</v>
      </c>
      <c r="L3703" s="43">
        <v>6.9977928047086833</v>
      </c>
      <c r="M3703" s="43">
        <v>11.5</v>
      </c>
      <c r="N3703" s="43">
        <v>5.3445448460508702</v>
      </c>
      <c r="O3703" s="43">
        <v>3.3838486116736419</v>
      </c>
      <c r="P3703" s="169"/>
      <c r="Q3703" s="169"/>
      <c r="R3703" s="169">
        <v>17</v>
      </c>
    </row>
    <row r="3704" spans="1:18" ht="36">
      <c r="A3704" s="165">
        <v>930</v>
      </c>
      <c r="B3704" s="162" t="s">
        <v>6740</v>
      </c>
      <c r="C3704" s="166" t="s">
        <v>6741</v>
      </c>
      <c r="D3704" s="167">
        <v>1869.67</v>
      </c>
      <c r="E3704" s="167">
        <v>532.78</v>
      </c>
      <c r="F3704" s="167">
        <v>308.89</v>
      </c>
      <c r="G3704" s="167">
        <v>1028</v>
      </c>
      <c r="H3704" s="168">
        <v>12456.74</v>
      </c>
      <c r="I3704" s="168">
        <v>6126.92</v>
      </c>
      <c r="J3704" s="168">
        <v>1657.26</v>
      </c>
      <c r="K3704" s="168">
        <v>4672.5600000000004</v>
      </c>
      <c r="L3704" s="43">
        <v>6.6625340300694775</v>
      </c>
      <c r="M3704" s="43">
        <v>11.499906152633358</v>
      </c>
      <c r="N3704" s="43">
        <v>5.365210916507495</v>
      </c>
      <c r="O3704" s="43">
        <v>4.5452918287937747</v>
      </c>
      <c r="P3704" s="169"/>
      <c r="Q3704" s="169"/>
      <c r="R3704" s="169">
        <v>17</v>
      </c>
    </row>
    <row r="3705" spans="1:18" ht="36">
      <c r="A3705" s="165">
        <v>931</v>
      </c>
      <c r="B3705" s="162" t="s">
        <v>6742</v>
      </c>
      <c r="C3705" s="166" t="s">
        <v>6743</v>
      </c>
      <c r="D3705" s="167">
        <v>2018.55</v>
      </c>
      <c r="E3705" s="167">
        <v>758.7</v>
      </c>
      <c r="F3705" s="167">
        <v>458.67</v>
      </c>
      <c r="G3705" s="167">
        <v>801.18</v>
      </c>
      <c r="H3705" s="168">
        <v>14817.73</v>
      </c>
      <c r="I3705" s="168">
        <v>8725.0499999999993</v>
      </c>
      <c r="J3705" s="168">
        <v>2463.12</v>
      </c>
      <c r="K3705" s="168">
        <v>3629.56</v>
      </c>
      <c r="L3705" s="43">
        <v>7.3407792722498826</v>
      </c>
      <c r="M3705" s="43">
        <v>11.499999999999998</v>
      </c>
      <c r="N3705" s="43">
        <v>5.3701353914579109</v>
      </c>
      <c r="O3705" s="43">
        <v>4.5302678549140021</v>
      </c>
      <c r="P3705" s="169"/>
      <c r="Q3705" s="169"/>
      <c r="R3705" s="169">
        <v>17</v>
      </c>
    </row>
    <row r="3706" spans="1:18" ht="36">
      <c r="A3706" s="165">
        <v>932</v>
      </c>
      <c r="B3706" s="162" t="s">
        <v>6744</v>
      </c>
      <c r="C3706" s="166" t="s">
        <v>6745</v>
      </c>
      <c r="D3706" s="167">
        <v>2426.0300000000002</v>
      </c>
      <c r="E3706" s="167">
        <v>1037.45</v>
      </c>
      <c r="F3706" s="167">
        <v>580.71</v>
      </c>
      <c r="G3706" s="167">
        <v>807.87</v>
      </c>
      <c r="H3706" s="168">
        <v>18746.990000000002</v>
      </c>
      <c r="I3706" s="168">
        <v>11930.7</v>
      </c>
      <c r="J3706" s="168">
        <v>3119.74</v>
      </c>
      <c r="K3706" s="168">
        <v>3696.55</v>
      </c>
      <c r="L3706" s="43">
        <v>7.7274353573533716</v>
      </c>
      <c r="M3706" s="43">
        <v>11.50002409754687</v>
      </c>
      <c r="N3706" s="43">
        <v>5.3722856503246019</v>
      </c>
      <c r="O3706" s="43">
        <v>4.5756743040340648</v>
      </c>
      <c r="P3706" s="169"/>
      <c r="Q3706" s="169"/>
      <c r="R3706" s="169">
        <v>17</v>
      </c>
    </row>
    <row r="3707" spans="1:18" ht="36">
      <c r="A3707" s="165">
        <v>933</v>
      </c>
      <c r="B3707" s="162" t="s">
        <v>6746</v>
      </c>
      <c r="C3707" s="166" t="s">
        <v>6747</v>
      </c>
      <c r="D3707" s="167">
        <v>1273.06</v>
      </c>
      <c r="E3707" s="167">
        <v>213.56</v>
      </c>
      <c r="F3707" s="167">
        <v>167.76</v>
      </c>
      <c r="G3707" s="167">
        <v>891.74</v>
      </c>
      <c r="H3707" s="168">
        <v>8133.38</v>
      </c>
      <c r="I3707" s="168">
        <v>2455.94</v>
      </c>
      <c r="J3707" s="168">
        <v>899.48</v>
      </c>
      <c r="K3707" s="168">
        <v>4777.96</v>
      </c>
      <c r="L3707" s="43">
        <v>6.388842631140716</v>
      </c>
      <c r="M3707" s="43">
        <v>11.5</v>
      </c>
      <c r="N3707" s="43">
        <v>5.3617072007629956</v>
      </c>
      <c r="O3707" s="43">
        <v>5.3580191535649409</v>
      </c>
      <c r="P3707" s="169"/>
      <c r="Q3707" s="169"/>
      <c r="R3707" s="169">
        <v>17</v>
      </c>
    </row>
    <row r="3708" spans="1:18" ht="36">
      <c r="A3708" s="165">
        <v>934</v>
      </c>
      <c r="B3708" s="162" t="s">
        <v>6748</v>
      </c>
      <c r="C3708" s="166" t="s">
        <v>6749</v>
      </c>
      <c r="D3708" s="167">
        <v>1422.57</v>
      </c>
      <c r="E3708" s="167">
        <v>266.39</v>
      </c>
      <c r="F3708" s="167">
        <v>259.29000000000002</v>
      </c>
      <c r="G3708" s="167">
        <v>896.89</v>
      </c>
      <c r="H3708" s="168">
        <v>9263.58</v>
      </c>
      <c r="I3708" s="168">
        <v>3063.46</v>
      </c>
      <c r="J3708" s="168">
        <v>1391.96</v>
      </c>
      <c r="K3708" s="168">
        <v>4808.16</v>
      </c>
      <c r="L3708" s="43">
        <v>6.5118623336637214</v>
      </c>
      <c r="M3708" s="43">
        <v>11.499906152633358</v>
      </c>
      <c r="N3708" s="43">
        <v>5.3683520382583207</v>
      </c>
      <c r="O3708" s="43">
        <v>5.3609249740770881</v>
      </c>
      <c r="P3708" s="169"/>
      <c r="Q3708" s="169"/>
      <c r="R3708" s="169">
        <v>17</v>
      </c>
    </row>
    <row r="3709" spans="1:18" ht="36">
      <c r="A3709" s="165">
        <v>935</v>
      </c>
      <c r="B3709" s="162" t="s">
        <v>6750</v>
      </c>
      <c r="C3709" s="166" t="s">
        <v>6751</v>
      </c>
      <c r="D3709" s="167">
        <v>1496.4</v>
      </c>
      <c r="E3709" s="167">
        <v>319.22000000000003</v>
      </c>
      <c r="F3709" s="167">
        <v>289.8</v>
      </c>
      <c r="G3709" s="167">
        <v>887.38</v>
      </c>
      <c r="H3709" s="168">
        <v>9992.77</v>
      </c>
      <c r="I3709" s="168">
        <v>3670.98</v>
      </c>
      <c r="J3709" s="168">
        <v>1556.11</v>
      </c>
      <c r="K3709" s="168">
        <v>4765.68</v>
      </c>
      <c r="L3709" s="43">
        <v>6.677873563218391</v>
      </c>
      <c r="M3709" s="43">
        <v>11.49984336821001</v>
      </c>
      <c r="N3709" s="43">
        <v>5.3695997239475499</v>
      </c>
      <c r="O3709" s="43">
        <v>5.3705064346728575</v>
      </c>
      <c r="P3709" s="169"/>
      <c r="Q3709" s="169"/>
      <c r="R3709" s="169">
        <v>17</v>
      </c>
    </row>
    <row r="3710" spans="1:18" ht="36">
      <c r="A3710" s="165">
        <v>936</v>
      </c>
      <c r="B3710" s="162" t="s">
        <v>6752</v>
      </c>
      <c r="C3710" s="166" t="s">
        <v>6753</v>
      </c>
      <c r="D3710" s="167">
        <v>1816.53</v>
      </c>
      <c r="E3710" s="167">
        <v>479.95</v>
      </c>
      <c r="F3710" s="167">
        <v>439.57</v>
      </c>
      <c r="G3710" s="167">
        <v>897.01</v>
      </c>
      <c r="H3710" s="168">
        <v>12713.61</v>
      </c>
      <c r="I3710" s="168">
        <v>5519.4</v>
      </c>
      <c r="J3710" s="168">
        <v>2361.9699999999998</v>
      </c>
      <c r="K3710" s="168">
        <v>4832.24</v>
      </c>
      <c r="L3710" s="43">
        <v>6.9988439497283288</v>
      </c>
      <c r="M3710" s="43">
        <v>11.499947911240755</v>
      </c>
      <c r="N3710" s="43">
        <v>5.3733648793138746</v>
      </c>
      <c r="O3710" s="43">
        <v>5.3870525412202763</v>
      </c>
      <c r="P3710" s="169"/>
      <c r="Q3710" s="169"/>
      <c r="R3710" s="169">
        <v>17</v>
      </c>
    </row>
    <row r="3711" spans="1:18" ht="36">
      <c r="A3711" s="165">
        <v>937</v>
      </c>
      <c r="B3711" s="162" t="s">
        <v>6754</v>
      </c>
      <c r="C3711" s="166" t="s">
        <v>6755</v>
      </c>
      <c r="D3711" s="167">
        <v>2079.58</v>
      </c>
      <c r="E3711" s="167">
        <v>612.58000000000004</v>
      </c>
      <c r="F3711" s="167">
        <v>561.61</v>
      </c>
      <c r="G3711" s="167">
        <v>905.39</v>
      </c>
      <c r="H3711" s="168">
        <v>14951.84</v>
      </c>
      <c r="I3711" s="168">
        <v>7044.67</v>
      </c>
      <c r="J3711" s="168">
        <v>3018.59</v>
      </c>
      <c r="K3711" s="168">
        <v>4888.58</v>
      </c>
      <c r="L3711" s="43">
        <v>7.1898364092749505</v>
      </c>
      <c r="M3711" s="43">
        <v>11.5</v>
      </c>
      <c r="N3711" s="43">
        <v>5.3748864870639768</v>
      </c>
      <c r="O3711" s="43">
        <v>5.3994190348910411</v>
      </c>
      <c r="P3711" s="169"/>
      <c r="Q3711" s="169"/>
      <c r="R3711" s="169">
        <v>17</v>
      </c>
    </row>
    <row r="3712" spans="1:18" ht="36">
      <c r="A3712" s="165">
        <v>938</v>
      </c>
      <c r="B3712" s="162" t="s">
        <v>6756</v>
      </c>
      <c r="C3712" s="166" t="s">
        <v>6757</v>
      </c>
      <c r="D3712" s="167">
        <v>1521.06</v>
      </c>
      <c r="E3712" s="167">
        <v>372.04</v>
      </c>
      <c r="F3712" s="167">
        <v>190.29</v>
      </c>
      <c r="G3712" s="167">
        <v>958.73</v>
      </c>
      <c r="H3712" s="168">
        <v>9431.25</v>
      </c>
      <c r="I3712" s="168">
        <v>4278.51</v>
      </c>
      <c r="J3712" s="168">
        <v>1018.8</v>
      </c>
      <c r="K3712" s="168">
        <v>4133.9399999999996</v>
      </c>
      <c r="L3712" s="43">
        <v>6.2004457417853338</v>
      </c>
      <c r="M3712" s="43">
        <v>11.500134394151166</v>
      </c>
      <c r="N3712" s="43">
        <v>5.3539334699668926</v>
      </c>
      <c r="O3712" s="43">
        <v>4.3118917734920146</v>
      </c>
      <c r="P3712" s="169"/>
      <c r="Q3712" s="169"/>
      <c r="R3712" s="169">
        <v>17</v>
      </c>
    </row>
    <row r="3713" spans="1:18" ht="36">
      <c r="A3713" s="165">
        <v>939</v>
      </c>
      <c r="B3713" s="162" t="s">
        <v>6758</v>
      </c>
      <c r="C3713" s="166" t="s">
        <v>6759</v>
      </c>
      <c r="D3713" s="167">
        <v>1730.13</v>
      </c>
      <c r="E3713" s="167">
        <v>479.95</v>
      </c>
      <c r="F3713" s="167">
        <v>281.82</v>
      </c>
      <c r="G3713" s="167">
        <v>968.36</v>
      </c>
      <c r="H3713" s="168">
        <v>11226.16</v>
      </c>
      <c r="I3713" s="168">
        <v>5519.4</v>
      </c>
      <c r="J3713" s="168">
        <v>1511.28</v>
      </c>
      <c r="K3713" s="168">
        <v>4195.4799999999996</v>
      </c>
      <c r="L3713" s="43">
        <v>6.4886222422592521</v>
      </c>
      <c r="M3713" s="43">
        <v>11.499947911240755</v>
      </c>
      <c r="N3713" s="43">
        <v>5.3625718543751333</v>
      </c>
      <c r="O3713" s="43">
        <v>4.3325622702300794</v>
      </c>
      <c r="P3713" s="169"/>
      <c r="Q3713" s="169"/>
      <c r="R3713" s="169">
        <v>17</v>
      </c>
    </row>
    <row r="3714" spans="1:18" ht="36">
      <c r="A3714" s="165">
        <v>940</v>
      </c>
      <c r="B3714" s="162" t="s">
        <v>6760</v>
      </c>
      <c r="C3714" s="166" t="s">
        <v>6761</v>
      </c>
      <c r="D3714" s="167">
        <v>1846.86</v>
      </c>
      <c r="E3714" s="167">
        <v>585.6</v>
      </c>
      <c r="F3714" s="167">
        <v>312.33</v>
      </c>
      <c r="G3714" s="167">
        <v>948.93</v>
      </c>
      <c r="H3714" s="168">
        <v>12518.15</v>
      </c>
      <c r="I3714" s="168">
        <v>6734.45</v>
      </c>
      <c r="J3714" s="168">
        <v>1675.43</v>
      </c>
      <c r="K3714" s="168">
        <v>4108.2700000000004</v>
      </c>
      <c r="L3714" s="43">
        <v>6.7780719708045005</v>
      </c>
      <c r="M3714" s="43">
        <v>11.50008538251366</v>
      </c>
      <c r="N3714" s="43">
        <v>5.3642941760317617</v>
      </c>
      <c r="O3714" s="43">
        <v>4.3293709757305603</v>
      </c>
      <c r="P3714" s="169"/>
      <c r="Q3714" s="169"/>
      <c r="R3714" s="169">
        <v>17</v>
      </c>
    </row>
    <row r="3715" spans="1:18" ht="36">
      <c r="A3715" s="165">
        <v>941</v>
      </c>
      <c r="B3715" s="162" t="s">
        <v>6762</v>
      </c>
      <c r="C3715" s="166" t="s">
        <v>6763</v>
      </c>
      <c r="D3715" s="167">
        <v>2148.39</v>
      </c>
      <c r="E3715" s="167">
        <v>811.53</v>
      </c>
      <c r="F3715" s="167">
        <v>462.1</v>
      </c>
      <c r="G3715" s="167">
        <v>874.76</v>
      </c>
      <c r="H3715" s="168">
        <v>15721.13</v>
      </c>
      <c r="I3715" s="168">
        <v>9332.57</v>
      </c>
      <c r="J3715" s="168">
        <v>2481.29</v>
      </c>
      <c r="K3715" s="168">
        <v>3907.27</v>
      </c>
      <c r="L3715" s="43">
        <v>7.3176332043995735</v>
      </c>
      <c r="M3715" s="43">
        <v>11.499969193991596</v>
      </c>
      <c r="N3715" s="43">
        <v>5.3695953256870803</v>
      </c>
      <c r="O3715" s="43">
        <v>4.4666765741460512</v>
      </c>
      <c r="P3715" s="169"/>
      <c r="Q3715" s="169"/>
      <c r="R3715" s="169">
        <v>17</v>
      </c>
    </row>
    <row r="3716" spans="1:18" ht="36">
      <c r="A3716" s="165">
        <v>942</v>
      </c>
      <c r="B3716" s="162" t="s">
        <v>6764</v>
      </c>
      <c r="C3716" s="166" t="s">
        <v>6765</v>
      </c>
      <c r="D3716" s="167">
        <v>2516.89</v>
      </c>
      <c r="E3716" s="167">
        <v>1052.06</v>
      </c>
      <c r="F3716" s="167">
        <v>584.14</v>
      </c>
      <c r="G3716" s="167">
        <v>880.69</v>
      </c>
      <c r="H3716" s="168">
        <v>19202.05</v>
      </c>
      <c r="I3716" s="168">
        <v>12098.74</v>
      </c>
      <c r="J3716" s="168">
        <v>3137.91</v>
      </c>
      <c r="K3716" s="168">
        <v>3965.4</v>
      </c>
      <c r="L3716" s="43">
        <v>7.6292766072414766</v>
      </c>
      <c r="M3716" s="43">
        <v>11.500047525806513</v>
      </c>
      <c r="N3716" s="43">
        <v>5.3718457903927144</v>
      </c>
      <c r="O3716" s="43">
        <v>4.5026059112741148</v>
      </c>
      <c r="P3716" s="169"/>
      <c r="Q3716" s="169"/>
      <c r="R3716" s="169">
        <v>17</v>
      </c>
    </row>
    <row r="3717" spans="1:18" ht="36">
      <c r="A3717" s="165">
        <v>943</v>
      </c>
      <c r="B3717" s="162" t="s">
        <v>6766</v>
      </c>
      <c r="C3717" s="166" t="s">
        <v>6767</v>
      </c>
      <c r="D3717" s="167">
        <v>1653.38</v>
      </c>
      <c r="E3717" s="167">
        <v>372.04</v>
      </c>
      <c r="F3717" s="167">
        <v>302.23</v>
      </c>
      <c r="G3717" s="167">
        <v>979.11</v>
      </c>
      <c r="H3717" s="168">
        <v>9900.19</v>
      </c>
      <c r="I3717" s="168">
        <v>4278.51</v>
      </c>
      <c r="J3717" s="168">
        <v>1619.42</v>
      </c>
      <c r="K3717" s="168">
        <v>4002.26</v>
      </c>
      <c r="L3717" s="43">
        <v>5.9878491332905925</v>
      </c>
      <c r="M3717" s="43">
        <v>11.500134394151166</v>
      </c>
      <c r="N3717" s="43">
        <v>5.3582371041921713</v>
      </c>
      <c r="O3717" s="43">
        <v>4.0876510300170565</v>
      </c>
      <c r="P3717" s="169"/>
      <c r="Q3717" s="169"/>
      <c r="R3717" s="169">
        <v>17</v>
      </c>
    </row>
    <row r="3718" spans="1:18" ht="36">
      <c r="A3718" s="165">
        <v>944</v>
      </c>
      <c r="B3718" s="162" t="s">
        <v>6768</v>
      </c>
      <c r="C3718" s="166" t="s">
        <v>6769</v>
      </c>
      <c r="D3718" s="167">
        <v>1718.51</v>
      </c>
      <c r="E3718" s="167">
        <v>452.97</v>
      </c>
      <c r="F3718" s="167">
        <v>339.52</v>
      </c>
      <c r="G3718" s="167">
        <v>926.02</v>
      </c>
      <c r="H3718" s="168">
        <v>10722.61</v>
      </c>
      <c r="I3718" s="168">
        <v>5209.18</v>
      </c>
      <c r="J3718" s="168">
        <v>1819.46</v>
      </c>
      <c r="K3718" s="168">
        <v>3693.97</v>
      </c>
      <c r="L3718" s="43">
        <v>6.2394807129431893</v>
      </c>
      <c r="M3718" s="43">
        <v>11.500055191293022</v>
      </c>
      <c r="N3718" s="43">
        <v>5.3589184731385489</v>
      </c>
      <c r="O3718" s="43">
        <v>3.9890823092373813</v>
      </c>
      <c r="P3718" s="169"/>
      <c r="Q3718" s="169"/>
      <c r="R3718" s="169">
        <v>17</v>
      </c>
    </row>
    <row r="3719" spans="1:18" ht="36">
      <c r="A3719" s="165">
        <v>945</v>
      </c>
      <c r="B3719" s="162" t="s">
        <v>6770</v>
      </c>
      <c r="C3719" s="166" t="s">
        <v>6771</v>
      </c>
      <c r="D3719" s="167">
        <v>1956.33</v>
      </c>
      <c r="E3719" s="167">
        <v>653.04</v>
      </c>
      <c r="F3719" s="167">
        <v>498.09</v>
      </c>
      <c r="G3719" s="167">
        <v>805.2</v>
      </c>
      <c r="H3719" s="168">
        <v>13549.77</v>
      </c>
      <c r="I3719" s="168">
        <v>7510.01</v>
      </c>
      <c r="J3719" s="168">
        <v>2671.93</v>
      </c>
      <c r="K3719" s="168">
        <v>3367.83</v>
      </c>
      <c r="L3719" s="43">
        <v>6.9261167594424258</v>
      </c>
      <c r="M3719" s="43">
        <v>11.500076564988364</v>
      </c>
      <c r="N3719" s="43">
        <v>5.3643518239675556</v>
      </c>
      <c r="O3719" s="43">
        <v>4.1826005961251855</v>
      </c>
      <c r="P3719" s="169"/>
      <c r="Q3719" s="169"/>
      <c r="R3719" s="169">
        <v>17</v>
      </c>
    </row>
    <row r="3720" spans="1:18" ht="36">
      <c r="A3720" s="165">
        <v>946</v>
      </c>
      <c r="B3720" s="162" t="s">
        <v>6772</v>
      </c>
      <c r="C3720" s="166" t="s">
        <v>6773</v>
      </c>
      <c r="D3720" s="167">
        <v>2420.0300000000002</v>
      </c>
      <c r="E3720" s="167">
        <v>785.68</v>
      </c>
      <c r="F3720" s="167">
        <v>635.09</v>
      </c>
      <c r="G3720" s="167">
        <v>999.26</v>
      </c>
      <c r="H3720" s="168">
        <v>16326.01</v>
      </c>
      <c r="I3720" s="168">
        <v>9035.27</v>
      </c>
      <c r="J3720" s="168">
        <v>3407.79</v>
      </c>
      <c r="K3720" s="168">
        <v>3882.95</v>
      </c>
      <c r="L3720" s="43">
        <v>6.7462014933699166</v>
      </c>
      <c r="M3720" s="43">
        <v>11.499936360859385</v>
      </c>
      <c r="N3720" s="43">
        <v>5.3658379127367768</v>
      </c>
      <c r="O3720" s="43">
        <v>3.8858255108780497</v>
      </c>
      <c r="P3720" s="169"/>
      <c r="Q3720" s="169"/>
      <c r="R3720" s="169">
        <v>17</v>
      </c>
    </row>
    <row r="3721" spans="1:18" ht="12.75" customHeight="1">
      <c r="A3721" s="628" t="s">
        <v>6774</v>
      </c>
      <c r="B3721" s="629"/>
      <c r="C3721" s="629"/>
      <c r="D3721" s="629"/>
      <c r="E3721" s="629"/>
      <c r="F3721" s="629"/>
      <c r="G3721" s="629"/>
      <c r="H3721" s="629"/>
      <c r="I3721" s="629"/>
      <c r="J3721" s="629"/>
      <c r="K3721" s="629"/>
      <c r="L3721" s="629"/>
      <c r="M3721" s="629"/>
      <c r="N3721" s="629"/>
      <c r="O3721" s="629"/>
      <c r="P3721" s="629"/>
      <c r="Q3721" s="629"/>
      <c r="R3721" s="629"/>
    </row>
    <row r="3722" spans="1:18" ht="48">
      <c r="A3722" s="165">
        <v>947</v>
      </c>
      <c r="B3722" s="162" t="s">
        <v>6775</v>
      </c>
      <c r="C3722" s="166" t="s">
        <v>6776</v>
      </c>
      <c r="D3722" s="167">
        <v>1424.15</v>
      </c>
      <c r="E3722" s="167">
        <v>705.87</v>
      </c>
      <c r="F3722" s="167">
        <v>168.69</v>
      </c>
      <c r="G3722" s="167">
        <v>549.59</v>
      </c>
      <c r="H3722" s="168">
        <v>10402.17</v>
      </c>
      <c r="I3722" s="168">
        <v>8117.53</v>
      </c>
      <c r="J3722" s="168">
        <v>899.63</v>
      </c>
      <c r="K3722" s="168">
        <v>1385.01</v>
      </c>
      <c r="L3722" s="43">
        <v>7.304125267703542</v>
      </c>
      <c r="M3722" s="43">
        <v>11.500035417286469</v>
      </c>
      <c r="N3722" s="43">
        <v>5.3330369316497714</v>
      </c>
      <c r="O3722" s="43">
        <v>2.5200786040502918</v>
      </c>
      <c r="P3722" s="169"/>
      <c r="Q3722" s="169"/>
      <c r="R3722" s="169">
        <v>18</v>
      </c>
    </row>
    <row r="3723" spans="1:18" ht="48">
      <c r="A3723" s="165">
        <v>948</v>
      </c>
      <c r="B3723" s="162" t="s">
        <v>6777</v>
      </c>
      <c r="C3723" s="166" t="s">
        <v>6778</v>
      </c>
      <c r="D3723" s="167">
        <v>1692.63</v>
      </c>
      <c r="E3723" s="167">
        <v>892.46</v>
      </c>
      <c r="F3723" s="167">
        <v>245.74</v>
      </c>
      <c r="G3723" s="167">
        <v>554.42999999999995</v>
      </c>
      <c r="H3723" s="168">
        <v>13005.9</v>
      </c>
      <c r="I3723" s="168">
        <v>10263.24</v>
      </c>
      <c r="J3723" s="168">
        <v>1311.94</v>
      </c>
      <c r="K3723" s="168">
        <v>1430.72</v>
      </c>
      <c r="L3723" s="43">
        <v>7.6838411229861219</v>
      </c>
      <c r="M3723" s="43">
        <v>11.499943975080114</v>
      </c>
      <c r="N3723" s="43">
        <v>5.3387319931635062</v>
      </c>
      <c r="O3723" s="43">
        <v>2.5805241419115128</v>
      </c>
      <c r="P3723" s="169"/>
      <c r="Q3723" s="169"/>
      <c r="R3723" s="169">
        <v>18</v>
      </c>
    </row>
    <row r="3724" spans="1:18" ht="48">
      <c r="A3724" s="165">
        <v>949</v>
      </c>
      <c r="B3724" s="162" t="s">
        <v>6779</v>
      </c>
      <c r="C3724" s="166" t="s">
        <v>6780</v>
      </c>
      <c r="D3724" s="167">
        <v>1930.05</v>
      </c>
      <c r="E3724" s="167">
        <v>1077.92</v>
      </c>
      <c r="F3724" s="167">
        <v>303.98</v>
      </c>
      <c r="G3724" s="167">
        <v>548.15</v>
      </c>
      <c r="H3724" s="168">
        <v>15439.88</v>
      </c>
      <c r="I3724" s="168">
        <v>12396.03</v>
      </c>
      <c r="J3724" s="168">
        <v>1623.68</v>
      </c>
      <c r="K3724" s="168">
        <v>1420.17</v>
      </c>
      <c r="L3724" s="43">
        <v>7.9997305769280587</v>
      </c>
      <c r="M3724" s="43">
        <v>11.499953614368414</v>
      </c>
      <c r="N3724" s="43">
        <v>5.3414040397394569</v>
      </c>
      <c r="O3724" s="43">
        <v>2.5908419228313422</v>
      </c>
      <c r="P3724" s="169"/>
      <c r="Q3724" s="169"/>
      <c r="R3724" s="169">
        <v>18</v>
      </c>
    </row>
    <row r="3725" spans="1:18" ht="48">
      <c r="A3725" s="165">
        <v>950</v>
      </c>
      <c r="B3725" s="162" t="s">
        <v>6781</v>
      </c>
      <c r="C3725" s="166" t="s">
        <v>6782</v>
      </c>
      <c r="D3725" s="167">
        <v>909.47</v>
      </c>
      <c r="E3725" s="167">
        <v>532.78</v>
      </c>
      <c r="F3725" s="167">
        <v>141.44999999999999</v>
      </c>
      <c r="G3725" s="167">
        <v>235.24</v>
      </c>
      <c r="H3725" s="168">
        <v>7814.77</v>
      </c>
      <c r="I3725" s="168">
        <v>6126.92</v>
      </c>
      <c r="J3725" s="168">
        <v>761.09</v>
      </c>
      <c r="K3725" s="168">
        <v>926.76</v>
      </c>
      <c r="L3725" s="43">
        <v>8.5926638591707256</v>
      </c>
      <c r="M3725" s="43">
        <v>11.499906152633358</v>
      </c>
      <c r="N3725" s="43">
        <v>5.3806291975963241</v>
      </c>
      <c r="O3725" s="43">
        <v>3.9396361163067501</v>
      </c>
      <c r="P3725" s="169"/>
      <c r="Q3725" s="169"/>
      <c r="R3725" s="169">
        <v>18</v>
      </c>
    </row>
    <row r="3726" spans="1:18" ht="48">
      <c r="A3726" s="165">
        <v>951</v>
      </c>
      <c r="B3726" s="162" t="s">
        <v>6783</v>
      </c>
      <c r="C3726" s="166" t="s">
        <v>6784</v>
      </c>
      <c r="D3726" s="167">
        <v>1127.53</v>
      </c>
      <c r="E3726" s="167">
        <v>665.41</v>
      </c>
      <c r="F3726" s="167">
        <v>210.79</v>
      </c>
      <c r="G3726" s="167">
        <v>251.33</v>
      </c>
      <c r="H3726" s="168">
        <v>9783.2999999999993</v>
      </c>
      <c r="I3726" s="168">
        <v>7652.19</v>
      </c>
      <c r="J3726" s="168">
        <v>1134.17</v>
      </c>
      <c r="K3726" s="168">
        <v>996.94</v>
      </c>
      <c r="L3726" s="43">
        <v>8.6767536118772881</v>
      </c>
      <c r="M3726" s="43">
        <v>11.499962429179002</v>
      </c>
      <c r="N3726" s="43">
        <v>5.3805683381564595</v>
      </c>
      <c r="O3726" s="43">
        <v>3.9666573827239087</v>
      </c>
      <c r="P3726" s="169"/>
      <c r="Q3726" s="169"/>
      <c r="R3726" s="169">
        <v>18</v>
      </c>
    </row>
    <row r="3727" spans="1:18" ht="48">
      <c r="A3727" s="165">
        <v>952</v>
      </c>
      <c r="B3727" s="162" t="s">
        <v>6785</v>
      </c>
      <c r="C3727" s="166" t="s">
        <v>6786</v>
      </c>
      <c r="D3727" s="167">
        <v>1343.25</v>
      </c>
      <c r="E3727" s="167">
        <v>826.14</v>
      </c>
      <c r="F3727" s="167">
        <v>263.49</v>
      </c>
      <c r="G3727" s="167">
        <v>253.62</v>
      </c>
      <c r="H3727" s="168">
        <v>11933.27</v>
      </c>
      <c r="I3727" s="168">
        <v>9500.61</v>
      </c>
      <c r="J3727" s="168">
        <v>1417.71</v>
      </c>
      <c r="K3727" s="168">
        <v>1014.95</v>
      </c>
      <c r="L3727" s="43">
        <v>8.8838786525218687</v>
      </c>
      <c r="M3727" s="43">
        <v>11.500000000000002</v>
      </c>
      <c r="N3727" s="43">
        <v>5.3805077991574635</v>
      </c>
      <c r="O3727" s="43">
        <v>4.0018531661540893</v>
      </c>
      <c r="P3727" s="169"/>
      <c r="Q3727" s="169"/>
      <c r="R3727" s="169">
        <v>18</v>
      </c>
    </row>
    <row r="3728" spans="1:18" ht="48">
      <c r="A3728" s="165">
        <v>953</v>
      </c>
      <c r="B3728" s="162" t="s">
        <v>6787</v>
      </c>
      <c r="C3728" s="166" t="s">
        <v>6788</v>
      </c>
      <c r="D3728" s="167">
        <v>1074.55</v>
      </c>
      <c r="E3728" s="167">
        <v>694.63</v>
      </c>
      <c r="F3728" s="167">
        <v>141.44999999999999</v>
      </c>
      <c r="G3728" s="167">
        <v>238.47</v>
      </c>
      <c r="H3728" s="168">
        <v>9713.27</v>
      </c>
      <c r="I3728" s="168">
        <v>7988.27</v>
      </c>
      <c r="J3728" s="168">
        <v>761.09</v>
      </c>
      <c r="K3728" s="168">
        <v>963.91</v>
      </c>
      <c r="L3728" s="43">
        <v>9.0393839281559725</v>
      </c>
      <c r="M3728" s="43">
        <v>11.50003599038337</v>
      </c>
      <c r="N3728" s="43">
        <v>5.3806291975963241</v>
      </c>
      <c r="O3728" s="43">
        <v>4.0420597978781396</v>
      </c>
      <c r="P3728" s="169"/>
      <c r="Q3728" s="169"/>
      <c r="R3728" s="169">
        <v>18</v>
      </c>
    </row>
    <row r="3729" spans="1:18" ht="48">
      <c r="A3729" s="165">
        <v>954</v>
      </c>
      <c r="B3729" s="162" t="s">
        <v>6789</v>
      </c>
      <c r="C3729" s="166" t="s">
        <v>6790</v>
      </c>
      <c r="D3729" s="167">
        <v>1310.96</v>
      </c>
      <c r="E3729" s="167">
        <v>845.25</v>
      </c>
      <c r="F3729" s="167">
        <v>210.79</v>
      </c>
      <c r="G3729" s="167">
        <v>254.92</v>
      </c>
      <c r="H3729" s="168">
        <v>11892.74</v>
      </c>
      <c r="I3729" s="168">
        <v>9720.35</v>
      </c>
      <c r="J3729" s="168">
        <v>1134.17</v>
      </c>
      <c r="K3729" s="168">
        <v>1038.22</v>
      </c>
      <c r="L3729" s="43">
        <v>9.0717794593275158</v>
      </c>
      <c r="M3729" s="43">
        <v>11.49997042295179</v>
      </c>
      <c r="N3729" s="43">
        <v>5.3805683381564595</v>
      </c>
      <c r="O3729" s="43">
        <v>4.0727286991997493</v>
      </c>
      <c r="P3729" s="169"/>
      <c r="Q3729" s="169"/>
      <c r="R3729" s="169">
        <v>18</v>
      </c>
    </row>
    <row r="3730" spans="1:18" ht="48">
      <c r="A3730" s="165">
        <v>955</v>
      </c>
      <c r="B3730" s="162" t="s">
        <v>6791</v>
      </c>
      <c r="C3730" s="166" t="s">
        <v>6792</v>
      </c>
      <c r="D3730" s="167">
        <v>1569.11</v>
      </c>
      <c r="E3730" s="167">
        <v>1047.57</v>
      </c>
      <c r="F3730" s="167">
        <v>263.49</v>
      </c>
      <c r="G3730" s="167">
        <v>258.05</v>
      </c>
      <c r="H3730" s="168">
        <v>14530.64</v>
      </c>
      <c r="I3730" s="168">
        <v>12047.03</v>
      </c>
      <c r="J3730" s="168">
        <v>1417.71</v>
      </c>
      <c r="K3730" s="168">
        <v>1065.9000000000001</v>
      </c>
      <c r="L3730" s="43">
        <v>9.2604342589111024</v>
      </c>
      <c r="M3730" s="43">
        <v>11.499976135246333</v>
      </c>
      <c r="N3730" s="43">
        <v>5.3805077991574635</v>
      </c>
      <c r="O3730" s="43">
        <v>4.1305948459600854</v>
      </c>
      <c r="P3730" s="169"/>
      <c r="Q3730" s="169"/>
      <c r="R3730" s="169">
        <v>18</v>
      </c>
    </row>
    <row r="3731" spans="1:18" ht="12.75" customHeight="1">
      <c r="A3731" s="628" t="s">
        <v>6793</v>
      </c>
      <c r="B3731" s="629"/>
      <c r="C3731" s="629"/>
      <c r="D3731" s="629"/>
      <c r="E3731" s="629"/>
      <c r="F3731" s="629"/>
      <c r="G3731" s="629"/>
      <c r="H3731" s="629"/>
      <c r="I3731" s="629"/>
      <c r="J3731" s="629"/>
      <c r="K3731" s="629"/>
      <c r="L3731" s="629"/>
      <c r="M3731" s="629"/>
      <c r="N3731" s="629"/>
      <c r="O3731" s="629"/>
      <c r="P3731" s="629"/>
      <c r="Q3731" s="629"/>
      <c r="R3731" s="629"/>
    </row>
    <row r="3732" spans="1:18" ht="36">
      <c r="A3732" s="165">
        <v>956</v>
      </c>
      <c r="B3732" s="162" t="s">
        <v>6794</v>
      </c>
      <c r="C3732" s="166" t="s">
        <v>6795</v>
      </c>
      <c r="D3732" s="167">
        <v>2034.56</v>
      </c>
      <c r="E3732" s="167">
        <v>267.51</v>
      </c>
      <c r="F3732" s="167">
        <v>65.930000000000007</v>
      </c>
      <c r="G3732" s="167">
        <v>1701.12</v>
      </c>
      <c r="H3732" s="168">
        <v>10155.74</v>
      </c>
      <c r="I3732" s="168">
        <v>3076.39</v>
      </c>
      <c r="J3732" s="168">
        <v>349.35</v>
      </c>
      <c r="K3732" s="168">
        <v>6730</v>
      </c>
      <c r="L3732" s="43">
        <v>4.99161489462095</v>
      </c>
      <c r="M3732" s="43">
        <v>11.500093454450301</v>
      </c>
      <c r="N3732" s="43">
        <v>5.2988017594418322</v>
      </c>
      <c r="O3732" s="43">
        <v>3.9562170805116632</v>
      </c>
      <c r="P3732" s="169"/>
      <c r="Q3732" s="169"/>
      <c r="R3732" s="169">
        <v>19</v>
      </c>
    </row>
    <row r="3733" spans="1:18" ht="36">
      <c r="A3733" s="165">
        <v>957</v>
      </c>
      <c r="B3733" s="162" t="s">
        <v>6796</v>
      </c>
      <c r="C3733" s="166" t="s">
        <v>6797</v>
      </c>
      <c r="D3733" s="167">
        <v>2228.1</v>
      </c>
      <c r="E3733" s="167">
        <v>386.66</v>
      </c>
      <c r="F3733" s="167">
        <v>132.06</v>
      </c>
      <c r="G3733" s="167">
        <v>1709.38</v>
      </c>
      <c r="H3733" s="168">
        <v>11955.75</v>
      </c>
      <c r="I3733" s="168">
        <v>4446.54</v>
      </c>
      <c r="J3733" s="168">
        <v>703.64</v>
      </c>
      <c r="K3733" s="168">
        <v>6805.57</v>
      </c>
      <c r="L3733" s="43">
        <v>5.365894708496028</v>
      </c>
      <c r="M3733" s="43">
        <v>11.499870687425645</v>
      </c>
      <c r="N3733" s="43">
        <v>5.328184158715735</v>
      </c>
      <c r="O3733" s="43">
        <v>3.9813090126244597</v>
      </c>
      <c r="P3733" s="169"/>
      <c r="Q3733" s="169"/>
      <c r="R3733" s="169">
        <v>19</v>
      </c>
    </row>
    <row r="3734" spans="1:18" ht="36">
      <c r="A3734" s="165">
        <v>958</v>
      </c>
      <c r="B3734" s="162" t="s">
        <v>6798</v>
      </c>
      <c r="C3734" s="166" t="s">
        <v>6799</v>
      </c>
      <c r="D3734" s="167">
        <v>2299.5300000000002</v>
      </c>
      <c r="E3734" s="167">
        <v>439.48</v>
      </c>
      <c r="F3734" s="167">
        <v>167.42</v>
      </c>
      <c r="G3734" s="167">
        <v>1692.63</v>
      </c>
      <c r="H3734" s="168">
        <v>12688.37</v>
      </c>
      <c r="I3734" s="168">
        <v>5054.07</v>
      </c>
      <c r="J3734" s="168">
        <v>892.44</v>
      </c>
      <c r="K3734" s="168">
        <v>6741.86</v>
      </c>
      <c r="L3734" s="43">
        <v>5.5178101612068549</v>
      </c>
      <c r="M3734" s="43">
        <v>11.500113770820059</v>
      </c>
      <c r="N3734" s="43">
        <v>5.3305459323856175</v>
      </c>
      <c r="O3734" s="43">
        <v>3.9830677702746611</v>
      </c>
      <c r="P3734" s="169"/>
      <c r="Q3734" s="169"/>
      <c r="R3734" s="169">
        <v>19</v>
      </c>
    </row>
    <row r="3735" spans="1:18" ht="24">
      <c r="A3735" s="165">
        <v>959</v>
      </c>
      <c r="B3735" s="162" t="s">
        <v>6800</v>
      </c>
      <c r="C3735" s="166" t="s">
        <v>6801</v>
      </c>
      <c r="D3735" s="167">
        <v>2142.61</v>
      </c>
      <c r="E3735" s="167">
        <v>306.85000000000002</v>
      </c>
      <c r="F3735" s="167">
        <v>127.97</v>
      </c>
      <c r="G3735" s="167">
        <v>1707.79</v>
      </c>
      <c r="H3735" s="168">
        <v>10998.88</v>
      </c>
      <c r="I3735" s="168">
        <v>3528.8</v>
      </c>
      <c r="J3735" s="168">
        <v>682.8</v>
      </c>
      <c r="K3735" s="168">
        <v>6787.28</v>
      </c>
      <c r="L3735" s="43">
        <v>5.1334027191136036</v>
      </c>
      <c r="M3735" s="43">
        <v>11.500081473032425</v>
      </c>
      <c r="N3735" s="43">
        <v>5.3356255372352894</v>
      </c>
      <c r="O3735" s="43">
        <v>3.9743059743879514</v>
      </c>
      <c r="P3735" s="169"/>
      <c r="Q3735" s="169"/>
      <c r="R3735" s="169">
        <v>19</v>
      </c>
    </row>
    <row r="3736" spans="1:18" ht="24">
      <c r="A3736" s="165">
        <v>960</v>
      </c>
      <c r="B3736" s="162" t="s">
        <v>6802</v>
      </c>
      <c r="C3736" s="166" t="s">
        <v>6803</v>
      </c>
      <c r="D3736" s="167">
        <v>2186.17</v>
      </c>
      <c r="E3736" s="167">
        <v>333.83</v>
      </c>
      <c r="F3736" s="167">
        <v>161.82</v>
      </c>
      <c r="G3736" s="167">
        <v>1690.52</v>
      </c>
      <c r="H3736" s="168">
        <v>11420.61</v>
      </c>
      <c r="I3736" s="168">
        <v>3839.02</v>
      </c>
      <c r="J3736" s="168">
        <v>864</v>
      </c>
      <c r="K3736" s="168">
        <v>6717.59</v>
      </c>
      <c r="L3736" s="43">
        <v>5.2240264938225298</v>
      </c>
      <c r="M3736" s="43">
        <v>11.499925111583741</v>
      </c>
      <c r="N3736" s="43">
        <v>5.3392658509454956</v>
      </c>
      <c r="O3736" s="43">
        <v>3.9736826538579848</v>
      </c>
      <c r="P3736" s="169"/>
      <c r="Q3736" s="169"/>
      <c r="R3736" s="169">
        <v>19</v>
      </c>
    </row>
    <row r="3737" spans="1:18" ht="36">
      <c r="A3737" s="165">
        <v>961</v>
      </c>
      <c r="B3737" s="162" t="s">
        <v>6804</v>
      </c>
      <c r="C3737" s="166" t="s">
        <v>6805</v>
      </c>
      <c r="D3737" s="167">
        <v>1734.32</v>
      </c>
      <c r="E3737" s="167">
        <v>214.68</v>
      </c>
      <c r="F3737" s="167">
        <v>37.6</v>
      </c>
      <c r="G3737" s="167">
        <v>1482.04</v>
      </c>
      <c r="H3737" s="168">
        <v>8970.5300000000007</v>
      </c>
      <c r="I3737" s="168">
        <v>2468.87</v>
      </c>
      <c r="J3737" s="168">
        <v>200.2</v>
      </c>
      <c r="K3737" s="168">
        <v>6301.46</v>
      </c>
      <c r="L3737" s="43">
        <v>5.1723615019142954</v>
      </c>
      <c r="M3737" s="43">
        <v>11.500232904788522</v>
      </c>
      <c r="N3737" s="43">
        <v>5.3244680851063828</v>
      </c>
      <c r="O3737" s="43">
        <v>4.2518825402823133</v>
      </c>
      <c r="P3737" s="169"/>
      <c r="Q3737" s="169"/>
      <c r="R3737" s="169">
        <v>19</v>
      </c>
    </row>
    <row r="3738" spans="1:18" ht="36">
      <c r="A3738" s="165">
        <v>962</v>
      </c>
      <c r="B3738" s="162" t="s">
        <v>6806</v>
      </c>
      <c r="C3738" s="166" t="s">
        <v>6807</v>
      </c>
      <c r="D3738" s="167">
        <v>1829.18</v>
      </c>
      <c r="E3738" s="167">
        <v>240.54</v>
      </c>
      <c r="F3738" s="167">
        <v>100.2</v>
      </c>
      <c r="G3738" s="167">
        <v>1488.44</v>
      </c>
      <c r="H3738" s="168">
        <v>9658.4</v>
      </c>
      <c r="I3738" s="168">
        <v>2766.16</v>
      </c>
      <c r="J3738" s="168">
        <v>536.6</v>
      </c>
      <c r="K3738" s="168">
        <v>6355.64</v>
      </c>
      <c r="L3738" s="43">
        <v>5.2801801900305048</v>
      </c>
      <c r="M3738" s="43">
        <v>11.499792134364347</v>
      </c>
      <c r="N3738" s="43">
        <v>5.3552894211576847</v>
      </c>
      <c r="O3738" s="43">
        <v>4.2700008062132166</v>
      </c>
      <c r="P3738" s="169"/>
      <c r="Q3738" s="169"/>
      <c r="R3738" s="169">
        <v>19</v>
      </c>
    </row>
    <row r="3739" spans="1:18" ht="36">
      <c r="A3739" s="165">
        <v>963</v>
      </c>
      <c r="B3739" s="162" t="s">
        <v>6808</v>
      </c>
      <c r="C3739" s="166" t="s">
        <v>6809</v>
      </c>
      <c r="D3739" s="167">
        <v>1867.62</v>
      </c>
      <c r="E3739" s="167">
        <v>264.14</v>
      </c>
      <c r="F3739" s="167">
        <v>132.38</v>
      </c>
      <c r="G3739" s="167">
        <v>1471.1</v>
      </c>
      <c r="H3739" s="168">
        <v>10031.969999999999</v>
      </c>
      <c r="I3739" s="168">
        <v>3037.61</v>
      </c>
      <c r="J3739" s="168">
        <v>709.22</v>
      </c>
      <c r="K3739" s="168">
        <v>6285.14</v>
      </c>
      <c r="L3739" s="43">
        <v>5.3715263276255341</v>
      </c>
      <c r="M3739" s="43">
        <v>11.500000000000002</v>
      </c>
      <c r="N3739" s="43">
        <v>5.3574558090345974</v>
      </c>
      <c r="O3739" s="43">
        <v>4.2724084018761479</v>
      </c>
      <c r="P3739" s="169"/>
      <c r="Q3739" s="169"/>
      <c r="R3739" s="169">
        <v>19</v>
      </c>
    </row>
    <row r="3740" spans="1:18" ht="12.75" customHeight="1">
      <c r="A3740" s="628" t="s">
        <v>6810</v>
      </c>
      <c r="B3740" s="629"/>
      <c r="C3740" s="629"/>
      <c r="D3740" s="629"/>
      <c r="E3740" s="629"/>
      <c r="F3740" s="629"/>
      <c r="G3740" s="629"/>
      <c r="H3740" s="629"/>
      <c r="I3740" s="629"/>
      <c r="J3740" s="629"/>
      <c r="K3740" s="629"/>
      <c r="L3740" s="629"/>
      <c r="M3740" s="629"/>
      <c r="N3740" s="629"/>
      <c r="O3740" s="629"/>
      <c r="P3740" s="629"/>
      <c r="Q3740" s="629"/>
      <c r="R3740" s="629"/>
    </row>
    <row r="3741" spans="1:18" ht="24">
      <c r="A3741" s="165">
        <v>964</v>
      </c>
      <c r="B3741" s="162" t="s">
        <v>6811</v>
      </c>
      <c r="C3741" s="166" t="s">
        <v>6812</v>
      </c>
      <c r="D3741" s="167">
        <v>1081.31</v>
      </c>
      <c r="E3741" s="167">
        <v>187.71</v>
      </c>
      <c r="F3741" s="167">
        <v>32.46</v>
      </c>
      <c r="G3741" s="167">
        <v>861.14</v>
      </c>
      <c r="H3741" s="168">
        <v>6959.52</v>
      </c>
      <c r="I3741" s="168">
        <v>2158.64</v>
      </c>
      <c r="J3741" s="168">
        <v>174.09</v>
      </c>
      <c r="K3741" s="168">
        <v>4626.79</v>
      </c>
      <c r="L3741" s="43">
        <v>6.436193136103431</v>
      </c>
      <c r="M3741" s="43">
        <v>11.499866815832933</v>
      </c>
      <c r="N3741" s="43">
        <v>5.3632162661737519</v>
      </c>
      <c r="O3741" s="43">
        <v>5.3728662006177856</v>
      </c>
      <c r="P3741" s="169"/>
      <c r="Q3741" s="169"/>
      <c r="R3741" s="169">
        <v>20</v>
      </c>
    </row>
    <row r="3742" spans="1:18" ht="24">
      <c r="A3742" s="165">
        <v>965</v>
      </c>
      <c r="B3742" s="162" t="s">
        <v>6813</v>
      </c>
      <c r="C3742" s="166" t="s">
        <v>6814</v>
      </c>
      <c r="D3742" s="167">
        <v>1127.46</v>
      </c>
      <c r="E3742" s="167">
        <v>214.68</v>
      </c>
      <c r="F3742" s="167">
        <v>41.34</v>
      </c>
      <c r="G3742" s="167">
        <v>871.44</v>
      </c>
      <c r="H3742" s="168">
        <v>7381.93</v>
      </c>
      <c r="I3742" s="168">
        <v>2468.87</v>
      </c>
      <c r="J3742" s="168">
        <v>221.68</v>
      </c>
      <c r="K3742" s="168">
        <v>4691.38</v>
      </c>
      <c r="L3742" s="43">
        <v>6.5473985773331203</v>
      </c>
      <c r="M3742" s="43">
        <v>11.500232904788522</v>
      </c>
      <c r="N3742" s="43">
        <v>5.3623609095307208</v>
      </c>
      <c r="O3742" s="43">
        <v>5.3834802166528961</v>
      </c>
      <c r="P3742" s="169"/>
      <c r="Q3742" s="169"/>
      <c r="R3742" s="169">
        <v>20</v>
      </c>
    </row>
    <row r="3743" spans="1:18" ht="24">
      <c r="A3743" s="165">
        <v>966</v>
      </c>
      <c r="B3743" s="162" t="s">
        <v>6815</v>
      </c>
      <c r="C3743" s="166" t="s">
        <v>6816</v>
      </c>
      <c r="D3743" s="167">
        <v>1135.32</v>
      </c>
      <c r="E3743" s="167">
        <v>214.68</v>
      </c>
      <c r="F3743" s="167">
        <v>64.180000000000007</v>
      </c>
      <c r="G3743" s="167">
        <v>856.46</v>
      </c>
      <c r="H3743" s="168">
        <v>7436.12</v>
      </c>
      <c r="I3743" s="168">
        <v>2468.87</v>
      </c>
      <c r="J3743" s="168">
        <v>344.38</v>
      </c>
      <c r="K3743" s="168">
        <v>4622.87</v>
      </c>
      <c r="L3743" s="43">
        <v>6.5498009371807067</v>
      </c>
      <c r="M3743" s="43">
        <v>11.500232904788522</v>
      </c>
      <c r="N3743" s="43">
        <v>5.3658460579619813</v>
      </c>
      <c r="O3743" s="43">
        <v>5.3976484599397514</v>
      </c>
      <c r="P3743" s="169"/>
      <c r="Q3743" s="169"/>
      <c r="R3743" s="169">
        <v>20</v>
      </c>
    </row>
    <row r="3744" spans="1:18" ht="12.75" customHeight="1">
      <c r="A3744" s="628" t="s">
        <v>6817</v>
      </c>
      <c r="B3744" s="629"/>
      <c r="C3744" s="629"/>
      <c r="D3744" s="629"/>
      <c r="E3744" s="629"/>
      <c r="F3744" s="629"/>
      <c r="G3744" s="629"/>
      <c r="H3744" s="629"/>
      <c r="I3744" s="629"/>
      <c r="J3744" s="629"/>
      <c r="K3744" s="629"/>
      <c r="L3744" s="629"/>
      <c r="M3744" s="629"/>
      <c r="N3744" s="629"/>
      <c r="O3744" s="629"/>
      <c r="P3744" s="629"/>
      <c r="Q3744" s="629"/>
      <c r="R3744" s="629"/>
    </row>
    <row r="3745" spans="1:18" ht="24">
      <c r="A3745" s="165">
        <v>967</v>
      </c>
      <c r="B3745" s="162" t="s">
        <v>6818</v>
      </c>
      <c r="C3745" s="166" t="s">
        <v>6819</v>
      </c>
      <c r="D3745" s="167">
        <v>3584.75</v>
      </c>
      <c r="E3745" s="167">
        <v>390.03</v>
      </c>
      <c r="F3745" s="167">
        <v>229.24</v>
      </c>
      <c r="G3745" s="167">
        <v>2965.48</v>
      </c>
      <c r="H3745" s="168">
        <v>17241.38</v>
      </c>
      <c r="I3745" s="168">
        <v>4485.32</v>
      </c>
      <c r="J3745" s="168">
        <v>1217.07</v>
      </c>
      <c r="K3745" s="168">
        <v>11538.99</v>
      </c>
      <c r="L3745" s="43">
        <v>4.8096464188576613</v>
      </c>
      <c r="M3745" s="43">
        <v>11.499935902366484</v>
      </c>
      <c r="N3745" s="43">
        <v>5.3091519804571625</v>
      </c>
      <c r="O3745" s="43">
        <v>3.8911036324642216</v>
      </c>
      <c r="P3745" s="169"/>
      <c r="Q3745" s="169"/>
      <c r="R3745" s="169">
        <v>21</v>
      </c>
    </row>
    <row r="3746" spans="1:18" ht="24">
      <c r="A3746" s="165">
        <v>968</v>
      </c>
      <c r="B3746" s="162" t="s">
        <v>6820</v>
      </c>
      <c r="C3746" s="166" t="s">
        <v>6821</v>
      </c>
      <c r="D3746" s="167">
        <v>3446.5</v>
      </c>
      <c r="E3746" s="167">
        <v>402.39</v>
      </c>
      <c r="F3746" s="167">
        <v>260.23</v>
      </c>
      <c r="G3746" s="167">
        <v>2783.88</v>
      </c>
      <c r="H3746" s="168">
        <v>17274.05</v>
      </c>
      <c r="I3746" s="168">
        <v>4627.51</v>
      </c>
      <c r="J3746" s="168">
        <v>1383.67</v>
      </c>
      <c r="K3746" s="168">
        <v>11262.87</v>
      </c>
      <c r="L3746" s="43">
        <v>5.0120557086899753</v>
      </c>
      <c r="M3746" s="43">
        <v>11.500062128780538</v>
      </c>
      <c r="N3746" s="43">
        <v>5.3171041002190371</v>
      </c>
      <c r="O3746" s="43">
        <v>4.0457455062718219</v>
      </c>
      <c r="P3746" s="169"/>
      <c r="Q3746" s="169"/>
      <c r="R3746" s="169">
        <v>21</v>
      </c>
    </row>
    <row r="3747" spans="1:18" ht="24">
      <c r="A3747" s="165">
        <v>969</v>
      </c>
      <c r="B3747" s="162" t="s">
        <v>6822</v>
      </c>
      <c r="C3747" s="166" t="s">
        <v>6823</v>
      </c>
      <c r="D3747" s="167">
        <v>3455.74</v>
      </c>
      <c r="E3747" s="167">
        <v>402.39</v>
      </c>
      <c r="F3747" s="167">
        <v>269.47000000000003</v>
      </c>
      <c r="G3747" s="167">
        <v>2783.88</v>
      </c>
      <c r="H3747" s="168">
        <v>17323.490000000002</v>
      </c>
      <c r="I3747" s="168">
        <v>4627.51</v>
      </c>
      <c r="J3747" s="168">
        <v>1433.11</v>
      </c>
      <c r="K3747" s="168">
        <v>11262.87</v>
      </c>
      <c r="L3747" s="43">
        <v>5.0129610445230259</v>
      </c>
      <c r="M3747" s="43">
        <v>11.500062128780538</v>
      </c>
      <c r="N3747" s="43">
        <v>5.3182543511337057</v>
      </c>
      <c r="O3747" s="43">
        <v>4.0457455062718219</v>
      </c>
      <c r="P3747" s="169"/>
      <c r="Q3747" s="169"/>
      <c r="R3747" s="169">
        <v>21</v>
      </c>
    </row>
    <row r="3748" spans="1:18" ht="24">
      <c r="A3748" s="165">
        <v>970</v>
      </c>
      <c r="B3748" s="162" t="s">
        <v>6824</v>
      </c>
      <c r="C3748" s="166" t="s">
        <v>6825</v>
      </c>
      <c r="D3748" s="167">
        <v>23.94</v>
      </c>
      <c r="E3748" s="167">
        <v>11.58</v>
      </c>
      <c r="F3748" s="167"/>
      <c r="G3748" s="167">
        <v>12.36</v>
      </c>
      <c r="H3748" s="168">
        <v>177.19</v>
      </c>
      <c r="I3748" s="168">
        <v>133.13999999999999</v>
      </c>
      <c r="J3748" s="168"/>
      <c r="K3748" s="168">
        <v>44.05</v>
      </c>
      <c r="L3748" s="43">
        <v>7.4014202172096901</v>
      </c>
      <c r="M3748" s="43">
        <v>11.497409326424869</v>
      </c>
      <c r="N3748" s="43" t="s">
        <v>1690</v>
      </c>
      <c r="O3748" s="43">
        <v>3.5639158576051777</v>
      </c>
      <c r="P3748" s="169"/>
      <c r="Q3748" s="169"/>
      <c r="R3748" s="169">
        <v>21</v>
      </c>
    </row>
    <row r="3749" spans="1:18" ht="24">
      <c r="A3749" s="165">
        <v>971</v>
      </c>
      <c r="B3749" s="162" t="s">
        <v>6826</v>
      </c>
      <c r="C3749" s="166" t="s">
        <v>6827</v>
      </c>
      <c r="D3749" s="167">
        <v>23.94</v>
      </c>
      <c r="E3749" s="167">
        <v>11.58</v>
      </c>
      <c r="F3749" s="167"/>
      <c r="G3749" s="167">
        <v>12.36</v>
      </c>
      <c r="H3749" s="168">
        <v>177.19</v>
      </c>
      <c r="I3749" s="168">
        <v>133.13999999999999</v>
      </c>
      <c r="J3749" s="168"/>
      <c r="K3749" s="168">
        <v>44.05</v>
      </c>
      <c r="L3749" s="43">
        <v>7.4014202172096901</v>
      </c>
      <c r="M3749" s="43">
        <v>11.497409326424869</v>
      </c>
      <c r="N3749" s="43" t="s">
        <v>1690</v>
      </c>
      <c r="O3749" s="43">
        <v>3.5639158576051777</v>
      </c>
      <c r="P3749" s="169"/>
      <c r="Q3749" s="169"/>
      <c r="R3749" s="169">
        <v>21</v>
      </c>
    </row>
    <row r="3750" spans="1:18" ht="24">
      <c r="A3750" s="165">
        <v>972</v>
      </c>
      <c r="B3750" s="162" t="s">
        <v>6828</v>
      </c>
      <c r="C3750" s="166" t="s">
        <v>6829</v>
      </c>
      <c r="D3750" s="167">
        <v>23.94</v>
      </c>
      <c r="E3750" s="167">
        <v>11.58</v>
      </c>
      <c r="F3750" s="167"/>
      <c r="G3750" s="167">
        <v>12.36</v>
      </c>
      <c r="H3750" s="168">
        <v>177.19</v>
      </c>
      <c r="I3750" s="168">
        <v>133.13999999999999</v>
      </c>
      <c r="J3750" s="168"/>
      <c r="K3750" s="168">
        <v>44.05</v>
      </c>
      <c r="L3750" s="43">
        <v>7.4014202172096901</v>
      </c>
      <c r="M3750" s="43">
        <v>11.497409326424869</v>
      </c>
      <c r="N3750" s="43" t="s">
        <v>1690</v>
      </c>
      <c r="O3750" s="43">
        <v>3.5639158576051777</v>
      </c>
      <c r="P3750" s="169"/>
      <c r="Q3750" s="169"/>
      <c r="R3750" s="169">
        <v>21</v>
      </c>
    </row>
    <row r="3751" spans="1:18" ht="24">
      <c r="A3751" s="165">
        <v>973</v>
      </c>
      <c r="B3751" s="162" t="s">
        <v>6830</v>
      </c>
      <c r="C3751" s="166" t="s">
        <v>6831</v>
      </c>
      <c r="D3751" s="167">
        <v>23.94</v>
      </c>
      <c r="E3751" s="167">
        <v>11.58</v>
      </c>
      <c r="F3751" s="167"/>
      <c r="G3751" s="167">
        <v>12.36</v>
      </c>
      <c r="H3751" s="168">
        <v>177.19</v>
      </c>
      <c r="I3751" s="168">
        <v>133.13999999999999</v>
      </c>
      <c r="J3751" s="168"/>
      <c r="K3751" s="168">
        <v>44.05</v>
      </c>
      <c r="L3751" s="43">
        <v>7.4014202172096901</v>
      </c>
      <c r="M3751" s="43">
        <v>11.497409326424869</v>
      </c>
      <c r="N3751" s="43" t="s">
        <v>1690</v>
      </c>
      <c r="O3751" s="43">
        <v>3.5639158576051777</v>
      </c>
      <c r="P3751" s="169"/>
      <c r="Q3751" s="169"/>
      <c r="R3751" s="169">
        <v>21</v>
      </c>
    </row>
    <row r="3752" spans="1:18" ht="12.75" customHeight="1">
      <c r="A3752" s="628" t="s">
        <v>6832</v>
      </c>
      <c r="B3752" s="629"/>
      <c r="C3752" s="629"/>
      <c r="D3752" s="629"/>
      <c r="E3752" s="629"/>
      <c r="F3752" s="629"/>
      <c r="G3752" s="629"/>
      <c r="H3752" s="629"/>
      <c r="I3752" s="629"/>
      <c r="J3752" s="629"/>
      <c r="K3752" s="629"/>
      <c r="L3752" s="629"/>
      <c r="M3752" s="629"/>
      <c r="N3752" s="629"/>
      <c r="O3752" s="629"/>
      <c r="P3752" s="629"/>
      <c r="Q3752" s="629"/>
      <c r="R3752" s="629"/>
    </row>
    <row r="3753" spans="1:18" ht="48">
      <c r="A3753" s="165">
        <v>974</v>
      </c>
      <c r="B3753" s="162" t="s">
        <v>6833</v>
      </c>
      <c r="C3753" s="166" t="s">
        <v>6834</v>
      </c>
      <c r="D3753" s="167">
        <v>297.55</v>
      </c>
      <c r="E3753" s="167">
        <v>63.06</v>
      </c>
      <c r="F3753" s="167">
        <v>2.77</v>
      </c>
      <c r="G3753" s="167">
        <v>231.72</v>
      </c>
      <c r="H3753" s="168">
        <v>1896.5</v>
      </c>
      <c r="I3753" s="168">
        <v>725.15</v>
      </c>
      <c r="J3753" s="168">
        <v>14.93</v>
      </c>
      <c r="K3753" s="168">
        <v>1156.42</v>
      </c>
      <c r="L3753" s="43">
        <v>6.3737187027390352</v>
      </c>
      <c r="M3753" s="43">
        <v>11.499365683476054</v>
      </c>
      <c r="N3753" s="43">
        <v>5.3898916967509027</v>
      </c>
      <c r="O3753" s="43">
        <v>4.9905920939064394</v>
      </c>
      <c r="P3753" s="169"/>
      <c r="Q3753" s="169"/>
      <c r="R3753" s="169">
        <v>22</v>
      </c>
    </row>
    <row r="3754" spans="1:18" ht="48">
      <c r="A3754" s="165">
        <v>975</v>
      </c>
      <c r="B3754" s="162" t="s">
        <v>6835</v>
      </c>
      <c r="C3754" s="166" t="s">
        <v>6836</v>
      </c>
      <c r="D3754" s="167">
        <v>316.72000000000003</v>
      </c>
      <c r="E3754" s="167">
        <v>75.760000000000005</v>
      </c>
      <c r="F3754" s="167">
        <v>5.55</v>
      </c>
      <c r="G3754" s="167">
        <v>235.41</v>
      </c>
      <c r="H3754" s="168">
        <v>2073.2399999999998</v>
      </c>
      <c r="I3754" s="168">
        <v>871.21</v>
      </c>
      <c r="J3754" s="168">
        <v>29.84</v>
      </c>
      <c r="K3754" s="168">
        <v>1172.19</v>
      </c>
      <c r="L3754" s="43">
        <v>6.5459712048497085</v>
      </c>
      <c r="M3754" s="43">
        <v>11.499604012671595</v>
      </c>
      <c r="N3754" s="43">
        <v>5.3765765765765767</v>
      </c>
      <c r="O3754" s="43">
        <v>4.9793551675799668</v>
      </c>
      <c r="P3754" s="169"/>
      <c r="Q3754" s="169"/>
      <c r="R3754" s="169">
        <v>22</v>
      </c>
    </row>
    <row r="3755" spans="1:18" ht="48">
      <c r="A3755" s="165">
        <v>976</v>
      </c>
      <c r="B3755" s="162" t="s">
        <v>6837</v>
      </c>
      <c r="C3755" s="166" t="s">
        <v>6838</v>
      </c>
      <c r="D3755" s="167">
        <v>357</v>
      </c>
      <c r="E3755" s="167">
        <v>88.35</v>
      </c>
      <c r="F3755" s="167">
        <v>11.09</v>
      </c>
      <c r="G3755" s="167">
        <v>257.56</v>
      </c>
      <c r="H3755" s="168">
        <v>2322.69</v>
      </c>
      <c r="I3755" s="168">
        <v>1015.98</v>
      </c>
      <c r="J3755" s="168">
        <v>59.69</v>
      </c>
      <c r="K3755" s="168">
        <v>1247.02</v>
      </c>
      <c r="L3755" s="43">
        <v>6.5061344537815131</v>
      </c>
      <c r="M3755" s="43">
        <v>11.49949066213922</v>
      </c>
      <c r="N3755" s="43">
        <v>5.3823264201983765</v>
      </c>
      <c r="O3755" s="43">
        <v>4.8416679608634876</v>
      </c>
      <c r="P3755" s="169"/>
      <c r="Q3755" s="169"/>
      <c r="R3755" s="169">
        <v>22</v>
      </c>
    </row>
    <row r="3756" spans="1:18" ht="48">
      <c r="A3756" s="165">
        <v>977</v>
      </c>
      <c r="B3756" s="162" t="s">
        <v>6839</v>
      </c>
      <c r="C3756" s="166" t="s">
        <v>6840</v>
      </c>
      <c r="D3756" s="167">
        <v>421.19</v>
      </c>
      <c r="E3756" s="167">
        <v>125.89</v>
      </c>
      <c r="F3756" s="167">
        <v>22.19</v>
      </c>
      <c r="G3756" s="167">
        <v>273.11</v>
      </c>
      <c r="H3756" s="168">
        <v>2870.93</v>
      </c>
      <c r="I3756" s="168">
        <v>1447.71</v>
      </c>
      <c r="J3756" s="168">
        <v>119.39</v>
      </c>
      <c r="K3756" s="168">
        <v>1303.83</v>
      </c>
      <c r="L3756" s="43">
        <v>6.8162349533464708</v>
      </c>
      <c r="M3756" s="43">
        <v>11.499801413932799</v>
      </c>
      <c r="N3756" s="43">
        <v>5.3803515096890484</v>
      </c>
      <c r="O3756" s="43">
        <v>4.7740104719710006</v>
      </c>
      <c r="P3756" s="169"/>
      <c r="Q3756" s="169"/>
      <c r="R3756" s="169">
        <v>22</v>
      </c>
    </row>
    <row r="3757" spans="1:18" ht="48">
      <c r="A3757" s="165">
        <v>978</v>
      </c>
      <c r="B3757" s="162" t="s">
        <v>6841</v>
      </c>
      <c r="C3757" s="166" t="s">
        <v>6842</v>
      </c>
      <c r="D3757" s="167">
        <v>494.29</v>
      </c>
      <c r="E3757" s="167">
        <v>164.1</v>
      </c>
      <c r="F3757" s="167">
        <v>38.83</v>
      </c>
      <c r="G3757" s="167">
        <v>291.36</v>
      </c>
      <c r="H3757" s="168">
        <v>3467.45</v>
      </c>
      <c r="I3757" s="168">
        <v>1887.2</v>
      </c>
      <c r="J3757" s="168">
        <v>208.93</v>
      </c>
      <c r="K3757" s="168">
        <v>1371.32</v>
      </c>
      <c r="L3757" s="43">
        <v>7.0150114305367284</v>
      </c>
      <c r="M3757" s="43">
        <v>11.500304692260817</v>
      </c>
      <c r="N3757" s="43">
        <v>5.3806335307751745</v>
      </c>
      <c r="O3757" s="43">
        <v>4.7066172432729267</v>
      </c>
      <c r="P3757" s="169"/>
      <c r="Q3757" s="169"/>
      <c r="R3757" s="169">
        <v>22</v>
      </c>
    </row>
    <row r="3758" spans="1:18" ht="48">
      <c r="A3758" s="165">
        <v>979</v>
      </c>
      <c r="B3758" s="162" t="s">
        <v>6843</v>
      </c>
      <c r="C3758" s="166" t="s">
        <v>6844</v>
      </c>
      <c r="D3758" s="167">
        <v>612.41999999999996</v>
      </c>
      <c r="E3758" s="167">
        <v>202.32</v>
      </c>
      <c r="F3758" s="167">
        <v>69.34</v>
      </c>
      <c r="G3758" s="167">
        <v>340.76</v>
      </c>
      <c r="H3758" s="168">
        <v>4232.0200000000004</v>
      </c>
      <c r="I3758" s="168">
        <v>2326.6799999999998</v>
      </c>
      <c r="J3758" s="168">
        <v>373.09</v>
      </c>
      <c r="K3758" s="168">
        <v>1532.25</v>
      </c>
      <c r="L3758" s="43">
        <v>6.91032298096078</v>
      </c>
      <c r="M3758" s="43">
        <v>11.5</v>
      </c>
      <c r="N3758" s="43">
        <v>5.3805884049610606</v>
      </c>
      <c r="O3758" s="43">
        <v>4.4965664984153069</v>
      </c>
      <c r="P3758" s="169"/>
      <c r="Q3758" s="169"/>
      <c r="R3758" s="169">
        <v>22</v>
      </c>
    </row>
    <row r="3759" spans="1:18" ht="48">
      <c r="A3759" s="165">
        <v>980</v>
      </c>
      <c r="B3759" s="162" t="s">
        <v>6845</v>
      </c>
      <c r="C3759" s="166" t="s">
        <v>6846</v>
      </c>
      <c r="D3759" s="167">
        <v>757.27</v>
      </c>
      <c r="E3759" s="167">
        <v>302.36</v>
      </c>
      <c r="F3759" s="167">
        <v>83.21</v>
      </c>
      <c r="G3759" s="167">
        <v>371.7</v>
      </c>
      <c r="H3759" s="168">
        <v>5571.55</v>
      </c>
      <c r="I3759" s="168">
        <v>3477.09</v>
      </c>
      <c r="J3759" s="168">
        <v>447.7</v>
      </c>
      <c r="K3759" s="168">
        <v>1646.76</v>
      </c>
      <c r="L3759" s="43">
        <v>7.3574154528767819</v>
      </c>
      <c r="M3759" s="43">
        <v>11.499834634210874</v>
      </c>
      <c r="N3759" s="43">
        <v>5.3803629371469777</v>
      </c>
      <c r="O3759" s="43">
        <v>4.4303470540758676</v>
      </c>
      <c r="P3759" s="169"/>
      <c r="Q3759" s="169"/>
      <c r="R3759" s="169">
        <v>22</v>
      </c>
    </row>
    <row r="3760" spans="1:18" ht="48">
      <c r="A3760" s="165">
        <v>981</v>
      </c>
      <c r="B3760" s="162" t="s">
        <v>6847</v>
      </c>
      <c r="C3760" s="166" t="s">
        <v>6848</v>
      </c>
      <c r="D3760" s="167">
        <v>1001.4</v>
      </c>
      <c r="E3760" s="167">
        <v>441.73</v>
      </c>
      <c r="F3760" s="167">
        <v>110.94</v>
      </c>
      <c r="G3760" s="167">
        <v>448.73</v>
      </c>
      <c r="H3760" s="168">
        <v>7923.7</v>
      </c>
      <c r="I3760" s="168">
        <v>5079.92</v>
      </c>
      <c r="J3760" s="168">
        <v>596.92999999999995</v>
      </c>
      <c r="K3760" s="168">
        <v>2246.85</v>
      </c>
      <c r="L3760" s="43">
        <v>7.9126223287397641</v>
      </c>
      <c r="M3760" s="43">
        <v>11.500056595657981</v>
      </c>
      <c r="N3760" s="43">
        <v>5.3806562105642683</v>
      </c>
      <c r="O3760" s="43">
        <v>5.0071312370467762</v>
      </c>
      <c r="P3760" s="169"/>
      <c r="Q3760" s="169"/>
      <c r="R3760" s="169">
        <v>22</v>
      </c>
    </row>
    <row r="3761" spans="1:18" ht="48">
      <c r="A3761" s="165">
        <v>982</v>
      </c>
      <c r="B3761" s="162" t="s">
        <v>6849</v>
      </c>
      <c r="C3761" s="166" t="s">
        <v>6850</v>
      </c>
      <c r="D3761" s="167">
        <v>240</v>
      </c>
      <c r="E3761" s="167">
        <v>25.74</v>
      </c>
      <c r="F3761" s="167">
        <v>2.77</v>
      </c>
      <c r="G3761" s="167">
        <v>211.49</v>
      </c>
      <c r="H3761" s="168">
        <v>1413.94</v>
      </c>
      <c r="I3761" s="168">
        <v>296.01</v>
      </c>
      <c r="J3761" s="168">
        <v>14.93</v>
      </c>
      <c r="K3761" s="168">
        <v>1103</v>
      </c>
      <c r="L3761" s="43">
        <v>5.8914166666666672</v>
      </c>
      <c r="M3761" s="43">
        <v>11.5</v>
      </c>
      <c r="N3761" s="43">
        <v>5.3898916967509027</v>
      </c>
      <c r="O3761" s="43">
        <v>5.2153766135514683</v>
      </c>
      <c r="P3761" s="169"/>
      <c r="Q3761" s="169"/>
      <c r="R3761" s="169">
        <v>22</v>
      </c>
    </row>
    <row r="3762" spans="1:18" ht="48">
      <c r="A3762" s="165">
        <v>983</v>
      </c>
      <c r="B3762" s="162" t="s">
        <v>6851</v>
      </c>
      <c r="C3762" s="166" t="s">
        <v>6852</v>
      </c>
      <c r="D3762" s="167">
        <v>319.29000000000002</v>
      </c>
      <c r="E3762" s="167">
        <v>63.06</v>
      </c>
      <c r="F3762" s="167">
        <v>22.19</v>
      </c>
      <c r="G3762" s="167">
        <v>234.04</v>
      </c>
      <c r="H3762" s="168">
        <v>2032.6</v>
      </c>
      <c r="I3762" s="168">
        <v>725.15</v>
      </c>
      <c r="J3762" s="168">
        <v>119.39</v>
      </c>
      <c r="K3762" s="168">
        <v>1188.06</v>
      </c>
      <c r="L3762" s="43">
        <v>6.3659995615271381</v>
      </c>
      <c r="M3762" s="43">
        <v>11.499365683476054</v>
      </c>
      <c r="N3762" s="43">
        <v>5.3803515096890484</v>
      </c>
      <c r="O3762" s="43">
        <v>5.0763117415826358</v>
      </c>
      <c r="P3762" s="169"/>
      <c r="Q3762" s="169"/>
      <c r="R3762" s="169">
        <v>22</v>
      </c>
    </row>
    <row r="3763" spans="1:18" ht="48">
      <c r="A3763" s="165">
        <v>984</v>
      </c>
      <c r="B3763" s="162" t="s">
        <v>6853</v>
      </c>
      <c r="C3763" s="166" t="s">
        <v>6854</v>
      </c>
      <c r="D3763" s="167">
        <v>385.81</v>
      </c>
      <c r="E3763" s="167">
        <v>100.94</v>
      </c>
      <c r="F3763" s="167">
        <v>38.83</v>
      </c>
      <c r="G3763" s="167">
        <v>246.04</v>
      </c>
      <c r="H3763" s="168">
        <v>2607.1799999999998</v>
      </c>
      <c r="I3763" s="168">
        <v>1160.75</v>
      </c>
      <c r="J3763" s="168">
        <v>208.93</v>
      </c>
      <c r="K3763" s="168">
        <v>1237.5</v>
      </c>
      <c r="L3763" s="43">
        <v>6.7576786501127497</v>
      </c>
      <c r="M3763" s="43">
        <v>11.49940558747771</v>
      </c>
      <c r="N3763" s="43">
        <v>5.3806335307751745</v>
      </c>
      <c r="O3763" s="43">
        <v>5.0296699723622176</v>
      </c>
      <c r="P3763" s="169"/>
      <c r="Q3763" s="169"/>
      <c r="R3763" s="169">
        <v>22</v>
      </c>
    </row>
    <row r="3764" spans="1:18" ht="48">
      <c r="A3764" s="165">
        <v>985</v>
      </c>
      <c r="B3764" s="162" t="s">
        <v>6855</v>
      </c>
      <c r="C3764" s="166" t="s">
        <v>6856</v>
      </c>
      <c r="D3764" s="167">
        <v>443.65</v>
      </c>
      <c r="E3764" s="167">
        <v>125.89</v>
      </c>
      <c r="F3764" s="167">
        <v>69.34</v>
      </c>
      <c r="G3764" s="167">
        <v>248.42</v>
      </c>
      <c r="H3764" s="168">
        <v>3078.92</v>
      </c>
      <c r="I3764" s="168">
        <v>1447.71</v>
      </c>
      <c r="J3764" s="168">
        <v>373.09</v>
      </c>
      <c r="K3764" s="168">
        <v>1258.1199999999999</v>
      </c>
      <c r="L3764" s="43">
        <v>6.9399752056801534</v>
      </c>
      <c r="M3764" s="43">
        <v>11.499801413932799</v>
      </c>
      <c r="N3764" s="43">
        <v>5.3805884049610606</v>
      </c>
      <c r="O3764" s="43">
        <v>5.0644875613879714</v>
      </c>
      <c r="P3764" s="169"/>
      <c r="Q3764" s="169"/>
      <c r="R3764" s="169">
        <v>22</v>
      </c>
    </row>
    <row r="3765" spans="1:18" ht="48">
      <c r="A3765" s="165">
        <v>986</v>
      </c>
      <c r="B3765" s="162" t="s">
        <v>6857</v>
      </c>
      <c r="C3765" s="166" t="s">
        <v>6858</v>
      </c>
      <c r="D3765" s="167">
        <v>500.18</v>
      </c>
      <c r="E3765" s="167">
        <v>164.1</v>
      </c>
      <c r="F3765" s="167">
        <v>83.21</v>
      </c>
      <c r="G3765" s="167">
        <v>252.87</v>
      </c>
      <c r="H3765" s="168">
        <v>3619.22</v>
      </c>
      <c r="I3765" s="168">
        <v>1887.2</v>
      </c>
      <c r="J3765" s="168">
        <v>447.7</v>
      </c>
      <c r="K3765" s="168">
        <v>1284.32</v>
      </c>
      <c r="L3765" s="43">
        <v>7.2358350993642286</v>
      </c>
      <c r="M3765" s="43">
        <v>11.500304692260817</v>
      </c>
      <c r="N3765" s="43">
        <v>5.3803629371469777</v>
      </c>
      <c r="O3765" s="43">
        <v>5.0789733855340682</v>
      </c>
      <c r="P3765" s="169"/>
      <c r="Q3765" s="169"/>
      <c r="R3765" s="169">
        <v>22</v>
      </c>
    </row>
    <row r="3766" spans="1:18" ht="48">
      <c r="A3766" s="165">
        <v>987</v>
      </c>
      <c r="B3766" s="162" t="s">
        <v>6859</v>
      </c>
      <c r="C3766" s="166" t="s">
        <v>6860</v>
      </c>
      <c r="D3766" s="167">
        <v>567.1</v>
      </c>
      <c r="E3766" s="167">
        <v>202.32</v>
      </c>
      <c r="F3766" s="167">
        <v>110.94</v>
      </c>
      <c r="G3766" s="167">
        <v>253.84</v>
      </c>
      <c r="H3766" s="168">
        <v>4217.71</v>
      </c>
      <c r="I3766" s="168">
        <v>2326.6799999999998</v>
      </c>
      <c r="J3766" s="168">
        <v>596.92999999999995</v>
      </c>
      <c r="K3766" s="168">
        <v>1294.0999999999999</v>
      </c>
      <c r="L3766" s="43">
        <v>7.437330276847117</v>
      </c>
      <c r="M3766" s="43">
        <v>11.5</v>
      </c>
      <c r="N3766" s="43">
        <v>5.3806562105642683</v>
      </c>
      <c r="O3766" s="43">
        <v>5.0980932871099904</v>
      </c>
      <c r="P3766" s="169"/>
      <c r="Q3766" s="169"/>
      <c r="R3766" s="169">
        <v>22</v>
      </c>
    </row>
    <row r="3767" spans="1:18" ht="12.75" customHeight="1">
      <c r="A3767" s="628" t="s">
        <v>6861</v>
      </c>
      <c r="B3767" s="629"/>
      <c r="C3767" s="629"/>
      <c r="D3767" s="629"/>
      <c r="E3767" s="629"/>
      <c r="F3767" s="629"/>
      <c r="G3767" s="629"/>
      <c r="H3767" s="629"/>
      <c r="I3767" s="629"/>
      <c r="J3767" s="629"/>
      <c r="K3767" s="629"/>
      <c r="L3767" s="629"/>
      <c r="M3767" s="629"/>
      <c r="N3767" s="629"/>
      <c r="O3767" s="629"/>
      <c r="P3767" s="629"/>
      <c r="Q3767" s="629"/>
      <c r="R3767" s="629"/>
    </row>
    <row r="3768" spans="1:18" ht="24">
      <c r="A3768" s="165">
        <v>988</v>
      </c>
      <c r="B3768" s="162" t="s">
        <v>6862</v>
      </c>
      <c r="C3768" s="166" t="s">
        <v>6863</v>
      </c>
      <c r="D3768" s="167">
        <v>1517.84</v>
      </c>
      <c r="E3768" s="167">
        <v>227.05</v>
      </c>
      <c r="F3768" s="167">
        <v>61.02</v>
      </c>
      <c r="G3768" s="167">
        <v>1229.77</v>
      </c>
      <c r="H3768" s="168">
        <v>6714.23</v>
      </c>
      <c r="I3768" s="168">
        <v>2611.0500000000002</v>
      </c>
      <c r="J3768" s="168">
        <v>328.32</v>
      </c>
      <c r="K3768" s="168">
        <v>3774.86</v>
      </c>
      <c r="L3768" s="43">
        <v>4.4235426658936383</v>
      </c>
      <c r="M3768" s="43">
        <v>11.499889892094252</v>
      </c>
      <c r="N3768" s="43">
        <v>5.3805309734513269</v>
      </c>
      <c r="O3768" s="43">
        <v>3.0695658537775357</v>
      </c>
      <c r="P3768" s="169"/>
      <c r="Q3768" s="169"/>
      <c r="R3768" s="169">
        <v>23</v>
      </c>
    </row>
    <row r="3769" spans="1:18" ht="24">
      <c r="A3769" s="165">
        <v>989</v>
      </c>
      <c r="B3769" s="162" t="s">
        <v>6864</v>
      </c>
      <c r="C3769" s="166" t="s">
        <v>6865</v>
      </c>
      <c r="D3769" s="167">
        <v>1639.37</v>
      </c>
      <c r="E3769" s="167">
        <v>315.83999999999997</v>
      </c>
      <c r="F3769" s="167">
        <v>91.53</v>
      </c>
      <c r="G3769" s="167">
        <v>1232</v>
      </c>
      <c r="H3769" s="168">
        <v>7922.04</v>
      </c>
      <c r="I3769" s="168">
        <v>3632.21</v>
      </c>
      <c r="J3769" s="168">
        <v>492.46</v>
      </c>
      <c r="K3769" s="168">
        <v>3797.37</v>
      </c>
      <c r="L3769" s="43">
        <v>4.8323685318140512</v>
      </c>
      <c r="M3769" s="43">
        <v>11.500158308004053</v>
      </c>
      <c r="N3769" s="43">
        <v>5.3803124658581885</v>
      </c>
      <c r="O3769" s="43">
        <v>3.0822808441558442</v>
      </c>
      <c r="P3769" s="169"/>
      <c r="Q3769" s="169"/>
      <c r="R3769" s="169">
        <v>23</v>
      </c>
    </row>
    <row r="3770" spans="1:18" ht="24">
      <c r="A3770" s="165">
        <v>990</v>
      </c>
      <c r="B3770" s="162" t="s">
        <v>6866</v>
      </c>
      <c r="C3770" s="166" t="s">
        <v>6867</v>
      </c>
      <c r="D3770" s="167">
        <v>1560.07</v>
      </c>
      <c r="E3770" s="167">
        <v>264.14</v>
      </c>
      <c r="F3770" s="167">
        <v>61.02</v>
      </c>
      <c r="G3770" s="167">
        <v>1234.9100000000001</v>
      </c>
      <c r="H3770" s="168">
        <v>7160.29</v>
      </c>
      <c r="I3770" s="168">
        <v>3037.61</v>
      </c>
      <c r="J3770" s="168">
        <v>328.32</v>
      </c>
      <c r="K3770" s="168">
        <v>3794.36</v>
      </c>
      <c r="L3770" s="43">
        <v>4.5897235380463695</v>
      </c>
      <c r="M3770" s="43">
        <v>11.500000000000002</v>
      </c>
      <c r="N3770" s="43">
        <v>5.3805309734513269</v>
      </c>
      <c r="O3770" s="43">
        <v>3.0725801880298969</v>
      </c>
      <c r="P3770" s="169"/>
      <c r="Q3770" s="169"/>
      <c r="R3770" s="169">
        <v>23</v>
      </c>
    </row>
    <row r="3771" spans="1:18" ht="24">
      <c r="A3771" s="165">
        <v>991</v>
      </c>
      <c r="B3771" s="162" t="s">
        <v>6868</v>
      </c>
      <c r="C3771" s="166" t="s">
        <v>6869</v>
      </c>
      <c r="D3771" s="167">
        <v>1734.54</v>
      </c>
      <c r="E3771" s="167">
        <v>378.79</v>
      </c>
      <c r="F3771" s="167">
        <v>99.85</v>
      </c>
      <c r="G3771" s="167">
        <v>1255.9000000000001</v>
      </c>
      <c r="H3771" s="168">
        <v>8773.2999999999993</v>
      </c>
      <c r="I3771" s="168">
        <v>4356.0600000000004</v>
      </c>
      <c r="J3771" s="168">
        <v>537.24</v>
      </c>
      <c r="K3771" s="168">
        <v>3880</v>
      </c>
      <c r="L3771" s="43">
        <v>5.057998085947859</v>
      </c>
      <c r="M3771" s="43">
        <v>11.499934000369599</v>
      </c>
      <c r="N3771" s="43">
        <v>5.3804707060590893</v>
      </c>
      <c r="O3771" s="43">
        <v>3.0894179472887968</v>
      </c>
      <c r="P3771" s="169"/>
      <c r="Q3771" s="169"/>
      <c r="R3771" s="169">
        <v>23</v>
      </c>
    </row>
    <row r="3772" spans="1:18" ht="24">
      <c r="A3772" s="165">
        <v>992</v>
      </c>
      <c r="B3772" s="162" t="s">
        <v>6870</v>
      </c>
      <c r="C3772" s="166" t="s">
        <v>6871</v>
      </c>
      <c r="D3772" s="167">
        <v>1965.56</v>
      </c>
      <c r="E3772" s="167">
        <v>504.68</v>
      </c>
      <c r="F3772" s="167">
        <v>202.47</v>
      </c>
      <c r="G3772" s="167">
        <v>1258.4100000000001</v>
      </c>
      <c r="H3772" s="168">
        <v>10802.04</v>
      </c>
      <c r="I3772" s="168">
        <v>5803.77</v>
      </c>
      <c r="J3772" s="168">
        <v>1089.4000000000001</v>
      </c>
      <c r="K3772" s="168">
        <v>3908.87</v>
      </c>
      <c r="L3772" s="43">
        <v>5.4956551822381412</v>
      </c>
      <c r="M3772" s="43">
        <v>11.499900927320283</v>
      </c>
      <c r="N3772" s="43">
        <v>5.380550204968638</v>
      </c>
      <c r="O3772" s="43">
        <v>3.1061975031984805</v>
      </c>
      <c r="P3772" s="169"/>
      <c r="Q3772" s="169"/>
      <c r="R3772" s="169">
        <v>23</v>
      </c>
    </row>
    <row r="3773" spans="1:18" ht="24">
      <c r="A3773" s="165">
        <v>993</v>
      </c>
      <c r="B3773" s="162" t="s">
        <v>6872</v>
      </c>
      <c r="C3773" s="166" t="s">
        <v>6873</v>
      </c>
      <c r="D3773" s="167">
        <v>2239.8000000000002</v>
      </c>
      <c r="E3773" s="167">
        <v>642.92999999999995</v>
      </c>
      <c r="F3773" s="167">
        <v>310.64</v>
      </c>
      <c r="G3773" s="167">
        <v>1286.23</v>
      </c>
      <c r="H3773" s="168">
        <v>13107.24</v>
      </c>
      <c r="I3773" s="168">
        <v>7393.67</v>
      </c>
      <c r="J3773" s="168">
        <v>1671.41</v>
      </c>
      <c r="K3773" s="168">
        <v>4042.16</v>
      </c>
      <c r="L3773" s="43">
        <v>5.8519689257969452</v>
      </c>
      <c r="M3773" s="43">
        <v>11.499961115518021</v>
      </c>
      <c r="N3773" s="43">
        <v>5.3805369559618859</v>
      </c>
      <c r="O3773" s="43">
        <v>3.1426416737286487</v>
      </c>
      <c r="P3773" s="169"/>
      <c r="Q3773" s="169"/>
      <c r="R3773" s="169">
        <v>23</v>
      </c>
    </row>
    <row r="3774" spans="1:18" ht="24">
      <c r="A3774" s="165">
        <v>994</v>
      </c>
      <c r="B3774" s="162" t="s">
        <v>6874</v>
      </c>
      <c r="C3774" s="166" t="s">
        <v>6875</v>
      </c>
      <c r="D3774" s="167">
        <v>1563.58</v>
      </c>
      <c r="E3774" s="167">
        <v>264.14</v>
      </c>
      <c r="F3774" s="167">
        <v>61.02</v>
      </c>
      <c r="G3774" s="167">
        <v>1238.42</v>
      </c>
      <c r="H3774" s="168">
        <v>7167.21</v>
      </c>
      <c r="I3774" s="168">
        <v>3037.61</v>
      </c>
      <c r="J3774" s="168">
        <v>328.32</v>
      </c>
      <c r="K3774" s="168">
        <v>3801.28</v>
      </c>
      <c r="L3774" s="43">
        <v>4.5838460456132726</v>
      </c>
      <c r="M3774" s="43">
        <v>11.500000000000002</v>
      </c>
      <c r="N3774" s="43">
        <v>5.3805309734513269</v>
      </c>
      <c r="O3774" s="43">
        <v>3.0694594725537376</v>
      </c>
      <c r="P3774" s="169"/>
      <c r="Q3774" s="169"/>
      <c r="R3774" s="169">
        <v>23</v>
      </c>
    </row>
    <row r="3775" spans="1:18" ht="24">
      <c r="A3775" s="165">
        <v>995</v>
      </c>
      <c r="B3775" s="162" t="s">
        <v>6876</v>
      </c>
      <c r="C3775" s="166" t="s">
        <v>6877</v>
      </c>
      <c r="D3775" s="167">
        <v>1616.76</v>
      </c>
      <c r="E3775" s="167">
        <v>315.83999999999997</v>
      </c>
      <c r="F3775" s="167">
        <v>61.02</v>
      </c>
      <c r="G3775" s="167">
        <v>1239.9000000000001</v>
      </c>
      <c r="H3775" s="168">
        <v>7775.81</v>
      </c>
      <c r="I3775" s="168">
        <v>3632.21</v>
      </c>
      <c r="J3775" s="168">
        <v>328.32</v>
      </c>
      <c r="K3775" s="168">
        <v>3815.28</v>
      </c>
      <c r="L3775" s="43">
        <v>4.8095017194883596</v>
      </c>
      <c r="M3775" s="43">
        <v>11.500158308004053</v>
      </c>
      <c r="N3775" s="43">
        <v>5.3805309734513269</v>
      </c>
      <c r="O3775" s="43">
        <v>3.0770868618436968</v>
      </c>
      <c r="P3775" s="169"/>
      <c r="Q3775" s="169"/>
      <c r="R3775" s="169">
        <v>23</v>
      </c>
    </row>
    <row r="3776" spans="1:18" ht="24">
      <c r="A3776" s="165">
        <v>996</v>
      </c>
      <c r="B3776" s="162" t="s">
        <v>6878</v>
      </c>
      <c r="C3776" s="166" t="s">
        <v>6879</v>
      </c>
      <c r="D3776" s="167">
        <v>1826.39</v>
      </c>
      <c r="E3776" s="167">
        <v>454.1</v>
      </c>
      <c r="F3776" s="167">
        <v>110.94</v>
      </c>
      <c r="G3776" s="167">
        <v>1261.3499999999999</v>
      </c>
      <c r="H3776" s="168">
        <v>9725.24</v>
      </c>
      <c r="I3776" s="168">
        <v>5222.1000000000004</v>
      </c>
      <c r="J3776" s="168">
        <v>596.92999999999995</v>
      </c>
      <c r="K3776" s="168">
        <v>3906.21</v>
      </c>
      <c r="L3776" s="43">
        <v>5.324842996293234</v>
      </c>
      <c r="M3776" s="43">
        <v>11.499889892094252</v>
      </c>
      <c r="N3776" s="43">
        <v>5.3806562105642683</v>
      </c>
      <c r="O3776" s="43">
        <v>3.0968486145796175</v>
      </c>
      <c r="P3776" s="169"/>
      <c r="Q3776" s="169"/>
      <c r="R3776" s="169">
        <v>23</v>
      </c>
    </row>
    <row r="3777" spans="1:18" ht="24">
      <c r="A3777" s="165">
        <v>997</v>
      </c>
      <c r="B3777" s="162" t="s">
        <v>6880</v>
      </c>
      <c r="C3777" s="166" t="s">
        <v>6881</v>
      </c>
      <c r="D3777" s="167">
        <v>2060.33</v>
      </c>
      <c r="E3777" s="167">
        <v>593.47</v>
      </c>
      <c r="F3777" s="167">
        <v>202.47</v>
      </c>
      <c r="G3777" s="167">
        <v>1264.3900000000001</v>
      </c>
      <c r="H3777" s="168">
        <v>11853.76</v>
      </c>
      <c r="I3777" s="168">
        <v>6824.93</v>
      </c>
      <c r="J3777" s="168">
        <v>1089.4000000000001</v>
      </c>
      <c r="K3777" s="168">
        <v>3939.43</v>
      </c>
      <c r="L3777" s="43">
        <v>5.7533307771085216</v>
      </c>
      <c r="M3777" s="43">
        <v>11.500042125128482</v>
      </c>
      <c r="N3777" s="43">
        <v>5.380550204968638</v>
      </c>
      <c r="O3777" s="43">
        <v>3.1156763340425022</v>
      </c>
      <c r="P3777" s="169"/>
      <c r="Q3777" s="169"/>
      <c r="R3777" s="169">
        <v>23</v>
      </c>
    </row>
    <row r="3778" spans="1:18" ht="24">
      <c r="A3778" s="165">
        <v>998</v>
      </c>
      <c r="B3778" s="162" t="s">
        <v>6882</v>
      </c>
      <c r="C3778" s="166" t="s">
        <v>6883</v>
      </c>
      <c r="D3778" s="167">
        <v>2424.42</v>
      </c>
      <c r="E3778" s="167">
        <v>745.21</v>
      </c>
      <c r="F3778" s="167">
        <v>402.17</v>
      </c>
      <c r="G3778" s="167">
        <v>1277.04</v>
      </c>
      <c r="H3778" s="168">
        <v>14738.95</v>
      </c>
      <c r="I3778" s="168">
        <v>8569.94</v>
      </c>
      <c r="J3778" s="168">
        <v>2163.88</v>
      </c>
      <c r="K3778" s="168">
        <v>4005.13</v>
      </c>
      <c r="L3778" s="43">
        <v>6.0793715610331542</v>
      </c>
      <c r="M3778" s="43">
        <v>11.500033547590613</v>
      </c>
      <c r="N3778" s="43">
        <v>5.3805107292935821</v>
      </c>
      <c r="O3778" s="43">
        <v>3.1362604147090147</v>
      </c>
      <c r="P3778" s="169"/>
      <c r="Q3778" s="169"/>
      <c r="R3778" s="169">
        <v>23</v>
      </c>
    </row>
    <row r="3779" spans="1:18" ht="24">
      <c r="A3779" s="165">
        <v>999</v>
      </c>
      <c r="B3779" s="162" t="s">
        <v>6884</v>
      </c>
      <c r="C3779" s="166" t="s">
        <v>6885</v>
      </c>
      <c r="D3779" s="167">
        <v>1674.15</v>
      </c>
      <c r="E3779" s="167">
        <v>315.83999999999997</v>
      </c>
      <c r="F3779" s="167">
        <v>110.94</v>
      </c>
      <c r="G3779" s="167">
        <v>1247.3699999999999</v>
      </c>
      <c r="H3779" s="168">
        <v>8060.27</v>
      </c>
      <c r="I3779" s="168">
        <v>3632.21</v>
      </c>
      <c r="J3779" s="168">
        <v>596.92999999999995</v>
      </c>
      <c r="K3779" s="168">
        <v>3831.13</v>
      </c>
      <c r="L3779" s="43">
        <v>4.8145446943224917</v>
      </c>
      <c r="M3779" s="43">
        <v>11.500158308004053</v>
      </c>
      <c r="N3779" s="43">
        <v>5.3806562105642683</v>
      </c>
      <c r="O3779" s="43">
        <v>3.0713661543888344</v>
      </c>
      <c r="P3779" s="169"/>
      <c r="Q3779" s="169"/>
      <c r="R3779" s="169">
        <v>23</v>
      </c>
    </row>
    <row r="3780" spans="1:18" ht="24">
      <c r="A3780" s="165">
        <v>1000</v>
      </c>
      <c r="B3780" s="162" t="s">
        <v>6886</v>
      </c>
      <c r="C3780" s="166" t="s">
        <v>6887</v>
      </c>
      <c r="D3780" s="167">
        <v>1749.9</v>
      </c>
      <c r="E3780" s="167">
        <v>378.79</v>
      </c>
      <c r="F3780" s="167">
        <v>122.04</v>
      </c>
      <c r="G3780" s="167">
        <v>1249.07</v>
      </c>
      <c r="H3780" s="168">
        <v>8860.34</v>
      </c>
      <c r="I3780" s="168">
        <v>4356.0600000000004</v>
      </c>
      <c r="J3780" s="168">
        <v>656.62</v>
      </c>
      <c r="K3780" s="168">
        <v>3847.66</v>
      </c>
      <c r="L3780" s="43">
        <v>5.0633407623292754</v>
      </c>
      <c r="M3780" s="43">
        <v>11.499934000369599</v>
      </c>
      <c r="N3780" s="43">
        <v>5.3803670927564733</v>
      </c>
      <c r="O3780" s="43">
        <v>3.0804198323552723</v>
      </c>
      <c r="P3780" s="169"/>
      <c r="Q3780" s="169"/>
      <c r="R3780" s="169">
        <v>23</v>
      </c>
    </row>
    <row r="3781" spans="1:18" ht="24">
      <c r="A3781" s="165">
        <v>1001</v>
      </c>
      <c r="B3781" s="162" t="s">
        <v>6888</v>
      </c>
      <c r="C3781" s="166" t="s">
        <v>6889</v>
      </c>
      <c r="D3781" s="167">
        <v>2029.02</v>
      </c>
      <c r="E3781" s="167">
        <v>555.26</v>
      </c>
      <c r="F3781" s="167">
        <v>202.47</v>
      </c>
      <c r="G3781" s="167">
        <v>1271.29</v>
      </c>
      <c r="H3781" s="168">
        <v>11422.29</v>
      </c>
      <c r="I3781" s="168">
        <v>6385.44</v>
      </c>
      <c r="J3781" s="168">
        <v>1089.4000000000001</v>
      </c>
      <c r="K3781" s="168">
        <v>3947.45</v>
      </c>
      <c r="L3781" s="43">
        <v>5.6294615134399866</v>
      </c>
      <c r="M3781" s="43">
        <v>11.499909952094514</v>
      </c>
      <c r="N3781" s="43">
        <v>5.380550204968638</v>
      </c>
      <c r="O3781" s="43">
        <v>3.1050743732743906</v>
      </c>
      <c r="P3781" s="169"/>
      <c r="Q3781" s="169"/>
      <c r="R3781" s="169">
        <v>23</v>
      </c>
    </row>
    <row r="3782" spans="1:18" ht="24">
      <c r="A3782" s="165">
        <v>1002</v>
      </c>
      <c r="B3782" s="162" t="s">
        <v>6890</v>
      </c>
      <c r="C3782" s="166" t="s">
        <v>6891</v>
      </c>
      <c r="D3782" s="167">
        <v>2447.94</v>
      </c>
      <c r="E3782" s="167">
        <v>769.94</v>
      </c>
      <c r="F3782" s="167">
        <v>402.17</v>
      </c>
      <c r="G3782" s="167">
        <v>1275.83</v>
      </c>
      <c r="H3782" s="168">
        <v>15016.1</v>
      </c>
      <c r="I3782" s="168">
        <v>8854.31</v>
      </c>
      <c r="J3782" s="168">
        <v>2163.88</v>
      </c>
      <c r="K3782" s="168">
        <v>3997.91</v>
      </c>
      <c r="L3782" s="43">
        <v>6.1341781252808483</v>
      </c>
      <c r="M3782" s="43">
        <v>11.499999999999998</v>
      </c>
      <c r="N3782" s="43">
        <v>5.3805107292935821</v>
      </c>
      <c r="O3782" s="43">
        <v>3.1335757898779617</v>
      </c>
      <c r="P3782" s="169"/>
      <c r="Q3782" s="169"/>
      <c r="R3782" s="169">
        <v>23</v>
      </c>
    </row>
    <row r="3783" spans="1:18" ht="24">
      <c r="A3783" s="165">
        <v>1003</v>
      </c>
      <c r="B3783" s="162" t="s">
        <v>6892</v>
      </c>
      <c r="C3783" s="166" t="s">
        <v>6893</v>
      </c>
      <c r="D3783" s="167">
        <v>1734.09</v>
      </c>
      <c r="E3783" s="167">
        <v>366.42</v>
      </c>
      <c r="F3783" s="167">
        <v>110.94</v>
      </c>
      <c r="G3783" s="167">
        <v>1256.73</v>
      </c>
      <c r="H3783" s="168">
        <v>8673.51</v>
      </c>
      <c r="I3783" s="168">
        <v>4213.88</v>
      </c>
      <c r="J3783" s="168">
        <v>596.92999999999995</v>
      </c>
      <c r="K3783" s="168">
        <v>3862.7</v>
      </c>
      <c r="L3783" s="43">
        <v>5.0017646142933758</v>
      </c>
      <c r="M3783" s="43">
        <v>11.500136455433655</v>
      </c>
      <c r="N3783" s="43">
        <v>5.3806562105642683</v>
      </c>
      <c r="O3783" s="43">
        <v>3.0736116747431823</v>
      </c>
      <c r="P3783" s="169"/>
      <c r="Q3783" s="169"/>
      <c r="R3783" s="169">
        <v>23</v>
      </c>
    </row>
    <row r="3784" spans="1:18" ht="24">
      <c r="A3784" s="165">
        <v>1004</v>
      </c>
      <c r="B3784" s="162" t="s">
        <v>6894</v>
      </c>
      <c r="C3784" s="166" t="s">
        <v>6895</v>
      </c>
      <c r="D3784" s="167">
        <v>1829.97</v>
      </c>
      <c r="E3784" s="167">
        <v>454.1</v>
      </c>
      <c r="F3784" s="167">
        <v>117.01</v>
      </c>
      <c r="G3784" s="167">
        <v>1258.8599999999999</v>
      </c>
      <c r="H3784" s="168">
        <v>9736.2099999999991</v>
      </c>
      <c r="I3784" s="168">
        <v>5222.1000000000004</v>
      </c>
      <c r="J3784" s="168">
        <v>629.55999999999995</v>
      </c>
      <c r="K3784" s="168">
        <v>3884.55</v>
      </c>
      <c r="L3784" s="43">
        <v>5.3204205533424043</v>
      </c>
      <c r="M3784" s="43">
        <v>11.499889892094252</v>
      </c>
      <c r="N3784" s="43">
        <v>5.3803948380480291</v>
      </c>
      <c r="O3784" s="43">
        <v>3.085768075878176</v>
      </c>
      <c r="P3784" s="169"/>
      <c r="Q3784" s="169"/>
      <c r="R3784" s="169">
        <v>23</v>
      </c>
    </row>
    <row r="3785" spans="1:18" ht="24">
      <c r="A3785" s="165">
        <v>1005</v>
      </c>
      <c r="B3785" s="162" t="s">
        <v>6896</v>
      </c>
      <c r="C3785" s="166" t="s">
        <v>6897</v>
      </c>
      <c r="D3785" s="167">
        <v>2161.2800000000002</v>
      </c>
      <c r="E3785" s="167">
        <v>668.78</v>
      </c>
      <c r="F3785" s="167">
        <v>210.79</v>
      </c>
      <c r="G3785" s="167">
        <v>1281.71</v>
      </c>
      <c r="H3785" s="168">
        <v>12817.73</v>
      </c>
      <c r="I3785" s="168">
        <v>7690.97</v>
      </c>
      <c r="J3785" s="168">
        <v>1134.17</v>
      </c>
      <c r="K3785" s="168">
        <v>3992.59</v>
      </c>
      <c r="L3785" s="43">
        <v>5.930619817885697</v>
      </c>
      <c r="M3785" s="43">
        <v>11.5</v>
      </c>
      <c r="N3785" s="43">
        <v>5.3805683381564595</v>
      </c>
      <c r="O3785" s="43">
        <v>3.1150494261572432</v>
      </c>
      <c r="P3785" s="169"/>
      <c r="Q3785" s="169"/>
      <c r="R3785" s="169">
        <v>23</v>
      </c>
    </row>
    <row r="3786" spans="1:18" ht="12.75" customHeight="1">
      <c r="A3786" s="628" t="s">
        <v>6898</v>
      </c>
      <c r="B3786" s="629"/>
      <c r="C3786" s="629"/>
      <c r="D3786" s="629"/>
      <c r="E3786" s="629"/>
      <c r="F3786" s="629"/>
      <c r="G3786" s="629"/>
      <c r="H3786" s="629"/>
      <c r="I3786" s="629"/>
      <c r="J3786" s="629"/>
      <c r="K3786" s="629"/>
      <c r="L3786" s="629"/>
      <c r="M3786" s="629"/>
      <c r="N3786" s="629"/>
      <c r="O3786" s="629"/>
      <c r="P3786" s="629"/>
      <c r="Q3786" s="629"/>
      <c r="R3786" s="629"/>
    </row>
    <row r="3787" spans="1:18" ht="24">
      <c r="A3787" s="165">
        <v>1006</v>
      </c>
      <c r="B3787" s="162" t="s">
        <v>6899</v>
      </c>
      <c r="C3787" s="166" t="s">
        <v>6900</v>
      </c>
      <c r="D3787" s="167">
        <v>20757.48</v>
      </c>
      <c r="E3787" s="167">
        <v>2090.64</v>
      </c>
      <c r="F3787" s="167">
        <v>2739.59</v>
      </c>
      <c r="G3787" s="167">
        <v>15927.25</v>
      </c>
      <c r="H3787" s="168">
        <v>119938.71</v>
      </c>
      <c r="I3787" s="168">
        <v>24042.36</v>
      </c>
      <c r="J3787" s="168">
        <v>17707.25</v>
      </c>
      <c r="K3787" s="168">
        <v>78189.100000000006</v>
      </c>
      <c r="L3787" s="43">
        <v>5.7780958960336228</v>
      </c>
      <c r="M3787" s="43">
        <v>11.500000000000002</v>
      </c>
      <c r="N3787" s="43">
        <v>6.4634671611445507</v>
      </c>
      <c r="O3787" s="43">
        <v>4.9091399959189443</v>
      </c>
      <c r="P3787" s="169"/>
      <c r="Q3787" s="169"/>
      <c r="R3787" s="169">
        <v>24</v>
      </c>
    </row>
    <row r="3788" spans="1:18" ht="12.75" customHeight="1">
      <c r="A3788" s="628" t="s">
        <v>6901</v>
      </c>
      <c r="B3788" s="629"/>
      <c r="C3788" s="629"/>
      <c r="D3788" s="629"/>
      <c r="E3788" s="629"/>
      <c r="F3788" s="629"/>
      <c r="G3788" s="629"/>
      <c r="H3788" s="629"/>
      <c r="I3788" s="629"/>
      <c r="J3788" s="629"/>
      <c r="K3788" s="629"/>
      <c r="L3788" s="629"/>
      <c r="M3788" s="629"/>
      <c r="N3788" s="629"/>
      <c r="O3788" s="629"/>
      <c r="P3788" s="629"/>
      <c r="Q3788" s="629"/>
      <c r="R3788" s="629"/>
    </row>
    <row r="3789" spans="1:18" ht="24">
      <c r="A3789" s="165">
        <v>1007</v>
      </c>
      <c r="B3789" s="162" t="s">
        <v>6902</v>
      </c>
      <c r="C3789" s="166" t="s">
        <v>6903</v>
      </c>
      <c r="D3789" s="167">
        <v>3946.78</v>
      </c>
      <c r="E3789" s="167">
        <v>390.03</v>
      </c>
      <c r="F3789" s="167">
        <v>851.78</v>
      </c>
      <c r="G3789" s="167">
        <v>2704.97</v>
      </c>
      <c r="H3789" s="168">
        <v>20302.11</v>
      </c>
      <c r="I3789" s="168">
        <v>4485.32</v>
      </c>
      <c r="J3789" s="168">
        <v>4408.0600000000004</v>
      </c>
      <c r="K3789" s="168">
        <v>11408.73</v>
      </c>
      <c r="L3789" s="43">
        <v>5.1439679941623293</v>
      </c>
      <c r="M3789" s="43">
        <v>11.499935902366484</v>
      </c>
      <c r="N3789" s="43">
        <v>5.1751156401887819</v>
      </c>
      <c r="O3789" s="43">
        <v>4.2176918782833086</v>
      </c>
      <c r="P3789" s="169"/>
      <c r="Q3789" s="169"/>
      <c r="R3789" s="169">
        <v>25</v>
      </c>
    </row>
    <row r="3790" spans="1:18" ht="24">
      <c r="A3790" s="165">
        <v>1008</v>
      </c>
      <c r="B3790" s="162" t="s">
        <v>6904</v>
      </c>
      <c r="C3790" s="166" t="s">
        <v>6905</v>
      </c>
      <c r="D3790" s="167">
        <v>5033.6499999999996</v>
      </c>
      <c r="E3790" s="167">
        <v>523.78</v>
      </c>
      <c r="F3790" s="167">
        <v>1187.93</v>
      </c>
      <c r="G3790" s="167">
        <v>3321.94</v>
      </c>
      <c r="H3790" s="168">
        <v>26590.22</v>
      </c>
      <c r="I3790" s="168">
        <v>6023.52</v>
      </c>
      <c r="J3790" s="168">
        <v>6158.9</v>
      </c>
      <c r="K3790" s="168">
        <v>14407.8</v>
      </c>
      <c r="L3790" s="43">
        <v>5.2824928232991972</v>
      </c>
      <c r="M3790" s="43">
        <v>11.500095459925925</v>
      </c>
      <c r="N3790" s="43">
        <v>5.1845647470810565</v>
      </c>
      <c r="O3790" s="43">
        <v>4.3371644280149546</v>
      </c>
      <c r="P3790" s="169"/>
      <c r="Q3790" s="169"/>
      <c r="R3790" s="169">
        <v>25</v>
      </c>
    </row>
    <row r="3791" spans="1:18" ht="24">
      <c r="A3791" s="165">
        <v>1009</v>
      </c>
      <c r="B3791" s="162" t="s">
        <v>6906</v>
      </c>
      <c r="C3791" s="166" t="s">
        <v>6907</v>
      </c>
      <c r="D3791" s="167">
        <v>5966.6</v>
      </c>
      <c r="E3791" s="167">
        <v>699.13</v>
      </c>
      <c r="F3791" s="167">
        <v>1625.69</v>
      </c>
      <c r="G3791" s="167">
        <v>3641.78</v>
      </c>
      <c r="H3791" s="168">
        <v>32458.19</v>
      </c>
      <c r="I3791" s="168">
        <v>8039.97</v>
      </c>
      <c r="J3791" s="168">
        <v>8465.61</v>
      </c>
      <c r="K3791" s="168">
        <v>15952.61</v>
      </c>
      <c r="L3791" s="43">
        <v>5.4399808936412688</v>
      </c>
      <c r="M3791" s="43">
        <v>11.499964241271295</v>
      </c>
      <c r="N3791" s="43">
        <v>5.2073950138095206</v>
      </c>
      <c r="O3791" s="43">
        <v>4.3804430800322915</v>
      </c>
      <c r="P3791" s="169"/>
      <c r="Q3791" s="169"/>
      <c r="R3791" s="169">
        <v>25</v>
      </c>
    </row>
    <row r="3792" spans="1:18" ht="12.75" customHeight="1">
      <c r="A3792" s="628" t="s">
        <v>6908</v>
      </c>
      <c r="B3792" s="629"/>
      <c r="C3792" s="629"/>
      <c r="D3792" s="629"/>
      <c r="E3792" s="629"/>
      <c r="F3792" s="629"/>
      <c r="G3792" s="629"/>
      <c r="H3792" s="629"/>
      <c r="I3792" s="629"/>
      <c r="J3792" s="629"/>
      <c r="K3792" s="629"/>
      <c r="L3792" s="629"/>
      <c r="M3792" s="629"/>
      <c r="N3792" s="629"/>
      <c r="O3792" s="629"/>
      <c r="P3792" s="629"/>
      <c r="Q3792" s="629"/>
      <c r="R3792" s="629"/>
    </row>
    <row r="3793" spans="1:18" ht="24">
      <c r="A3793" s="165">
        <v>1010</v>
      </c>
      <c r="B3793" s="162" t="s">
        <v>6909</v>
      </c>
      <c r="C3793" s="166" t="s">
        <v>6910</v>
      </c>
      <c r="D3793" s="167">
        <v>21489.05</v>
      </c>
      <c r="E3793" s="167">
        <v>2652.64</v>
      </c>
      <c r="F3793" s="167">
        <v>8252.3799999999992</v>
      </c>
      <c r="G3793" s="167">
        <v>10584.03</v>
      </c>
      <c r="H3793" s="168">
        <v>124671.7</v>
      </c>
      <c r="I3793" s="168">
        <v>30505.360000000001</v>
      </c>
      <c r="J3793" s="168">
        <v>42267.82</v>
      </c>
      <c r="K3793" s="168">
        <v>51898.52</v>
      </c>
      <c r="L3793" s="43">
        <v>5.8016385089150058</v>
      </c>
      <c r="M3793" s="43">
        <v>11.5</v>
      </c>
      <c r="N3793" s="43">
        <v>5.1218945322440321</v>
      </c>
      <c r="O3793" s="43">
        <v>4.9034743854656488</v>
      </c>
      <c r="P3793" s="169"/>
      <c r="Q3793" s="169"/>
      <c r="R3793" s="169">
        <v>26</v>
      </c>
    </row>
    <row r="3794" spans="1:18" ht="36">
      <c r="A3794" s="165">
        <v>1011</v>
      </c>
      <c r="B3794" s="162" t="s">
        <v>6911</v>
      </c>
      <c r="C3794" s="166" t="s">
        <v>6912</v>
      </c>
      <c r="D3794" s="167">
        <v>21080.09</v>
      </c>
      <c r="E3794" s="167">
        <v>2607.6799999999998</v>
      </c>
      <c r="F3794" s="167">
        <v>7716.32</v>
      </c>
      <c r="G3794" s="167">
        <v>10756.09</v>
      </c>
      <c r="H3794" s="168">
        <v>121388.45</v>
      </c>
      <c r="I3794" s="168">
        <v>29988.32</v>
      </c>
      <c r="J3794" s="168">
        <v>39419.97</v>
      </c>
      <c r="K3794" s="168">
        <v>51980.160000000003</v>
      </c>
      <c r="L3794" s="43">
        <v>5.7584407846456065</v>
      </c>
      <c r="M3794" s="43">
        <v>11.5</v>
      </c>
      <c r="N3794" s="43">
        <v>5.1086489414643257</v>
      </c>
      <c r="O3794" s="43">
        <v>4.8326259821180377</v>
      </c>
      <c r="P3794" s="169"/>
      <c r="Q3794" s="169"/>
      <c r="R3794" s="169">
        <v>26</v>
      </c>
    </row>
    <row r="3795" spans="1:18" ht="36">
      <c r="A3795" s="165">
        <v>1012</v>
      </c>
      <c r="B3795" s="162" t="s">
        <v>6913</v>
      </c>
      <c r="C3795" s="166" t="s">
        <v>6914</v>
      </c>
      <c r="D3795" s="167">
        <v>20412.27</v>
      </c>
      <c r="E3795" s="167">
        <v>2911.16</v>
      </c>
      <c r="F3795" s="167">
        <v>8579.27</v>
      </c>
      <c r="G3795" s="167">
        <v>8921.84</v>
      </c>
      <c r="H3795" s="168">
        <v>122144.87</v>
      </c>
      <c r="I3795" s="168">
        <v>33478.339999999997</v>
      </c>
      <c r="J3795" s="168">
        <v>43806.8</v>
      </c>
      <c r="K3795" s="168">
        <v>44859.73</v>
      </c>
      <c r="L3795" s="43">
        <v>5.9838944909115934</v>
      </c>
      <c r="M3795" s="43">
        <v>11.5</v>
      </c>
      <c r="N3795" s="43">
        <v>5.1061220826480573</v>
      </c>
      <c r="O3795" s="43">
        <v>5.0280805304735345</v>
      </c>
      <c r="P3795" s="169"/>
      <c r="Q3795" s="169"/>
      <c r="R3795" s="169">
        <v>26</v>
      </c>
    </row>
    <row r="3796" spans="1:18" ht="24">
      <c r="A3796" s="165">
        <v>1013</v>
      </c>
      <c r="B3796" s="162" t="s">
        <v>6915</v>
      </c>
      <c r="C3796" s="166" t="s">
        <v>6916</v>
      </c>
      <c r="D3796" s="167">
        <v>26591.59</v>
      </c>
      <c r="E3796" s="167">
        <v>3383.24</v>
      </c>
      <c r="F3796" s="167">
        <v>10648.47</v>
      </c>
      <c r="G3796" s="167">
        <v>12559.88</v>
      </c>
      <c r="H3796" s="168">
        <v>155068.12</v>
      </c>
      <c r="I3796" s="168">
        <v>38907.26</v>
      </c>
      <c r="J3796" s="168">
        <v>54583.76</v>
      </c>
      <c r="K3796" s="168">
        <v>61577.1</v>
      </c>
      <c r="L3796" s="43">
        <v>5.8314722812738911</v>
      </c>
      <c r="M3796" s="43">
        <v>11.500000000000002</v>
      </c>
      <c r="N3796" s="43">
        <v>5.1259720880088882</v>
      </c>
      <c r="O3796" s="43">
        <v>4.9026821912311265</v>
      </c>
      <c r="P3796" s="169"/>
      <c r="Q3796" s="169"/>
      <c r="R3796" s="169">
        <v>26</v>
      </c>
    </row>
    <row r="3797" spans="1:18" ht="36">
      <c r="A3797" s="165">
        <v>1014</v>
      </c>
      <c r="B3797" s="162" t="s">
        <v>6917</v>
      </c>
      <c r="C3797" s="166" t="s">
        <v>6918</v>
      </c>
      <c r="D3797" s="167">
        <v>24416.74</v>
      </c>
      <c r="E3797" s="167">
        <v>2911.16</v>
      </c>
      <c r="F3797" s="167">
        <v>9054.66</v>
      </c>
      <c r="G3797" s="167">
        <v>12450.92</v>
      </c>
      <c r="H3797" s="168">
        <v>140549.99</v>
      </c>
      <c r="I3797" s="168">
        <v>33478.339999999997</v>
      </c>
      <c r="J3797" s="168">
        <v>46416.83</v>
      </c>
      <c r="K3797" s="168">
        <v>60654.82</v>
      </c>
      <c r="L3797" s="43">
        <v>5.7562962950827989</v>
      </c>
      <c r="M3797" s="43">
        <v>11.5</v>
      </c>
      <c r="N3797" s="43">
        <v>5.1262918762272687</v>
      </c>
      <c r="O3797" s="43">
        <v>4.8715131090714578</v>
      </c>
      <c r="P3797" s="169"/>
      <c r="Q3797" s="169"/>
      <c r="R3797" s="169">
        <v>26</v>
      </c>
    </row>
    <row r="3798" spans="1:18" ht="36">
      <c r="A3798" s="165">
        <v>1015</v>
      </c>
      <c r="B3798" s="162" t="s">
        <v>6919</v>
      </c>
      <c r="C3798" s="166" t="s">
        <v>6920</v>
      </c>
      <c r="D3798" s="167">
        <v>27256.720000000001</v>
      </c>
      <c r="E3798" s="167">
        <v>3709.2</v>
      </c>
      <c r="F3798" s="167">
        <v>11316.13</v>
      </c>
      <c r="G3798" s="167">
        <v>12231.39</v>
      </c>
      <c r="H3798" s="168">
        <v>159792.82999999999</v>
      </c>
      <c r="I3798" s="168">
        <v>42655.8</v>
      </c>
      <c r="J3798" s="168">
        <v>57858.38</v>
      </c>
      <c r="K3798" s="168">
        <v>59278.65</v>
      </c>
      <c r="L3798" s="43">
        <v>5.862511336653859</v>
      </c>
      <c r="M3798" s="43">
        <v>11.500000000000002</v>
      </c>
      <c r="N3798" s="43">
        <v>5.1129122765468411</v>
      </c>
      <c r="O3798" s="43">
        <v>4.8464360959792803</v>
      </c>
      <c r="P3798" s="169"/>
      <c r="Q3798" s="169"/>
      <c r="R3798" s="169">
        <v>26</v>
      </c>
    </row>
    <row r="3799" spans="1:18" ht="24">
      <c r="A3799" s="165">
        <v>1016</v>
      </c>
      <c r="B3799" s="162" t="s">
        <v>6921</v>
      </c>
      <c r="C3799" s="166" t="s">
        <v>6922</v>
      </c>
      <c r="D3799" s="167">
        <v>29987.48</v>
      </c>
      <c r="E3799" s="167">
        <v>3709.2</v>
      </c>
      <c r="F3799" s="167">
        <v>12141.47</v>
      </c>
      <c r="G3799" s="167">
        <v>14136.81</v>
      </c>
      <c r="H3799" s="168">
        <v>173081.58</v>
      </c>
      <c r="I3799" s="168">
        <v>42655.8</v>
      </c>
      <c r="J3799" s="168">
        <v>62322.51</v>
      </c>
      <c r="K3799" s="168">
        <v>68103.27</v>
      </c>
      <c r="L3799" s="43">
        <v>5.7717947623474863</v>
      </c>
      <c r="M3799" s="43">
        <v>11.500000000000002</v>
      </c>
      <c r="N3799" s="43">
        <v>5.1330283730059048</v>
      </c>
      <c r="O3799" s="43">
        <v>4.8174425489201598</v>
      </c>
      <c r="P3799" s="169"/>
      <c r="Q3799" s="169"/>
      <c r="R3799" s="169">
        <v>26</v>
      </c>
    </row>
    <row r="3800" spans="1:18" ht="36">
      <c r="A3800" s="165">
        <v>1017</v>
      </c>
      <c r="B3800" s="162" t="s">
        <v>6923</v>
      </c>
      <c r="C3800" s="166" t="s">
        <v>6924</v>
      </c>
      <c r="D3800" s="167">
        <v>29787.34</v>
      </c>
      <c r="E3800" s="167">
        <v>3709.2</v>
      </c>
      <c r="F3800" s="167">
        <v>11768.49</v>
      </c>
      <c r="G3800" s="167">
        <v>14309.65</v>
      </c>
      <c r="H3800" s="168">
        <v>171161.97</v>
      </c>
      <c r="I3800" s="168">
        <v>42655.8</v>
      </c>
      <c r="J3800" s="168">
        <v>60311.55</v>
      </c>
      <c r="K3800" s="168">
        <v>68194.62</v>
      </c>
      <c r="L3800" s="43">
        <v>5.7461314101896983</v>
      </c>
      <c r="M3800" s="43">
        <v>11.500000000000002</v>
      </c>
      <c r="N3800" s="43">
        <v>5.1248333473538237</v>
      </c>
      <c r="O3800" s="43">
        <v>4.7656385725716559</v>
      </c>
      <c r="P3800" s="169"/>
      <c r="Q3800" s="169"/>
      <c r="R3800" s="169">
        <v>26</v>
      </c>
    </row>
    <row r="3801" spans="1:18" ht="36">
      <c r="A3801" s="165">
        <v>1018</v>
      </c>
      <c r="B3801" s="162" t="s">
        <v>6925</v>
      </c>
      <c r="C3801" s="166" t="s">
        <v>6926</v>
      </c>
      <c r="D3801" s="167">
        <v>30315.45</v>
      </c>
      <c r="E3801" s="167">
        <v>4035.16</v>
      </c>
      <c r="F3801" s="167">
        <v>12744.56</v>
      </c>
      <c r="G3801" s="167">
        <v>13535.73</v>
      </c>
      <c r="H3801" s="168">
        <v>176575.75</v>
      </c>
      <c r="I3801" s="168">
        <v>46404.34</v>
      </c>
      <c r="J3801" s="168">
        <v>65272.94</v>
      </c>
      <c r="K3801" s="168">
        <v>64898.47</v>
      </c>
      <c r="L3801" s="43">
        <v>5.824612532553533</v>
      </c>
      <c r="M3801" s="43">
        <v>11.5</v>
      </c>
      <c r="N3801" s="43">
        <v>5.1216315039514901</v>
      </c>
      <c r="O3801" s="43">
        <v>4.7946043545490342</v>
      </c>
      <c r="P3801" s="169"/>
      <c r="Q3801" s="169"/>
      <c r="R3801" s="169">
        <v>26</v>
      </c>
    </row>
    <row r="3802" spans="1:18" ht="12.75" customHeight="1">
      <c r="A3802" s="628" t="s">
        <v>6927</v>
      </c>
      <c r="B3802" s="629"/>
      <c r="C3802" s="629"/>
      <c r="D3802" s="629"/>
      <c r="E3802" s="629"/>
      <c r="F3802" s="629"/>
      <c r="G3802" s="629"/>
      <c r="H3802" s="629"/>
      <c r="I3802" s="629"/>
      <c r="J3802" s="629"/>
      <c r="K3802" s="629"/>
      <c r="L3802" s="629"/>
      <c r="M3802" s="629"/>
      <c r="N3802" s="629"/>
      <c r="O3802" s="629"/>
      <c r="P3802" s="629"/>
      <c r="Q3802" s="629"/>
      <c r="R3802" s="629"/>
    </row>
    <row r="3803" spans="1:18" ht="24">
      <c r="A3803" s="165">
        <v>1019</v>
      </c>
      <c r="B3803" s="162" t="s">
        <v>6928</v>
      </c>
      <c r="C3803" s="166" t="s">
        <v>6929</v>
      </c>
      <c r="D3803" s="167">
        <v>4679.26</v>
      </c>
      <c r="E3803" s="167">
        <v>1865.84</v>
      </c>
      <c r="F3803" s="167">
        <v>2170.61</v>
      </c>
      <c r="G3803" s="167">
        <v>642.80999999999995</v>
      </c>
      <c r="H3803" s="168">
        <v>38238.36</v>
      </c>
      <c r="I3803" s="168">
        <v>21457.16</v>
      </c>
      <c r="J3803" s="168">
        <v>13176.93</v>
      </c>
      <c r="K3803" s="168">
        <v>3604.27</v>
      </c>
      <c r="L3803" s="43">
        <v>8.1718818787586063</v>
      </c>
      <c r="M3803" s="43">
        <v>11.5</v>
      </c>
      <c r="N3803" s="43">
        <v>6.0706114870934895</v>
      </c>
      <c r="O3803" s="43">
        <v>5.6070534061386725</v>
      </c>
      <c r="P3803" s="169"/>
      <c r="Q3803" s="169"/>
      <c r="R3803" s="169">
        <v>27</v>
      </c>
    </row>
    <row r="3804" spans="1:18" ht="36">
      <c r="A3804" s="165">
        <v>1020</v>
      </c>
      <c r="B3804" s="162" t="s">
        <v>6930</v>
      </c>
      <c r="C3804" s="166" t="s">
        <v>6931</v>
      </c>
      <c r="D3804" s="167">
        <v>3956.26</v>
      </c>
      <c r="E3804" s="167">
        <v>1832.12</v>
      </c>
      <c r="F3804" s="167">
        <v>1785.51</v>
      </c>
      <c r="G3804" s="167">
        <v>338.63</v>
      </c>
      <c r="H3804" s="168">
        <v>34151.019999999997</v>
      </c>
      <c r="I3804" s="168">
        <v>21069.38</v>
      </c>
      <c r="J3804" s="168">
        <v>11149.26</v>
      </c>
      <c r="K3804" s="168">
        <v>1932.38</v>
      </c>
      <c r="L3804" s="43">
        <v>8.6321475332763757</v>
      </c>
      <c r="M3804" s="43">
        <v>11.500000000000002</v>
      </c>
      <c r="N3804" s="43">
        <v>6.2442999479140413</v>
      </c>
      <c r="O3804" s="43">
        <v>5.7064642825502769</v>
      </c>
      <c r="P3804" s="169"/>
      <c r="Q3804" s="169"/>
      <c r="R3804" s="169">
        <v>27</v>
      </c>
    </row>
    <row r="3805" spans="1:18" ht="36">
      <c r="A3805" s="165">
        <v>1021</v>
      </c>
      <c r="B3805" s="162" t="s">
        <v>6932</v>
      </c>
      <c r="C3805" s="166" t="s">
        <v>6933</v>
      </c>
      <c r="D3805" s="167">
        <v>7348.15</v>
      </c>
      <c r="E3805" s="167">
        <v>1832.12</v>
      </c>
      <c r="F3805" s="167">
        <v>1931.59</v>
      </c>
      <c r="G3805" s="167">
        <v>3584.44</v>
      </c>
      <c r="H3805" s="168">
        <v>52869.31</v>
      </c>
      <c r="I3805" s="168">
        <v>21069.38</v>
      </c>
      <c r="J3805" s="168">
        <v>11922.99</v>
      </c>
      <c r="K3805" s="168">
        <v>19876.939999999999</v>
      </c>
      <c r="L3805" s="43">
        <v>7.1949143662010169</v>
      </c>
      <c r="M3805" s="43">
        <v>11.500000000000002</v>
      </c>
      <c r="N3805" s="43">
        <v>6.1726298023907766</v>
      </c>
      <c r="O3805" s="43">
        <v>5.5453404157971677</v>
      </c>
      <c r="P3805" s="169"/>
      <c r="Q3805" s="169"/>
      <c r="R3805" s="169">
        <v>27</v>
      </c>
    </row>
    <row r="3806" spans="1:18" ht="12.75" customHeight="1">
      <c r="A3806" s="628" t="s">
        <v>6934</v>
      </c>
      <c r="B3806" s="629"/>
      <c r="C3806" s="629"/>
      <c r="D3806" s="629"/>
      <c r="E3806" s="629"/>
      <c r="F3806" s="629"/>
      <c r="G3806" s="629"/>
      <c r="H3806" s="629"/>
      <c r="I3806" s="629"/>
      <c r="J3806" s="629"/>
      <c r="K3806" s="629"/>
      <c r="L3806" s="629"/>
      <c r="M3806" s="629"/>
      <c r="N3806" s="629"/>
      <c r="O3806" s="629"/>
      <c r="P3806" s="629"/>
      <c r="Q3806" s="629"/>
      <c r="R3806" s="629"/>
    </row>
    <row r="3807" spans="1:18" ht="24">
      <c r="A3807" s="165">
        <v>1022</v>
      </c>
      <c r="B3807" s="162" t="s">
        <v>6935</v>
      </c>
      <c r="C3807" s="166" t="s">
        <v>6936</v>
      </c>
      <c r="D3807" s="167">
        <v>7677.92</v>
      </c>
      <c r="E3807" s="167">
        <v>2540.2399999999998</v>
      </c>
      <c r="F3807" s="167">
        <v>3734.66</v>
      </c>
      <c r="G3807" s="167">
        <v>1403.02</v>
      </c>
      <c r="H3807" s="168">
        <v>57967.69</v>
      </c>
      <c r="I3807" s="168">
        <v>29212.76</v>
      </c>
      <c r="J3807" s="168">
        <v>23580.34</v>
      </c>
      <c r="K3807" s="168">
        <v>5174.59</v>
      </c>
      <c r="L3807" s="43">
        <v>7.5499210723737677</v>
      </c>
      <c r="M3807" s="43">
        <v>11.5</v>
      </c>
      <c r="N3807" s="43">
        <v>6.3139188038536309</v>
      </c>
      <c r="O3807" s="43">
        <v>3.6881797836096424</v>
      </c>
      <c r="P3807" s="169"/>
      <c r="Q3807" s="169"/>
      <c r="R3807" s="169">
        <v>28</v>
      </c>
    </row>
    <row r="3808" spans="1:18" ht="24">
      <c r="A3808" s="165">
        <v>1023</v>
      </c>
      <c r="B3808" s="162" t="s">
        <v>6937</v>
      </c>
      <c r="C3808" s="166" t="s">
        <v>6938</v>
      </c>
      <c r="D3808" s="167">
        <v>9323.4500000000007</v>
      </c>
      <c r="E3808" s="167">
        <v>2832.48</v>
      </c>
      <c r="F3808" s="167">
        <v>4583.3</v>
      </c>
      <c r="G3808" s="167">
        <v>1907.67</v>
      </c>
      <c r="H3808" s="168">
        <v>68189.23</v>
      </c>
      <c r="I3808" s="168">
        <v>32573.52</v>
      </c>
      <c r="J3808" s="168">
        <v>28520.76</v>
      </c>
      <c r="K3808" s="168">
        <v>7094.95</v>
      </c>
      <c r="L3808" s="43">
        <v>7.3137336500973342</v>
      </c>
      <c r="M3808" s="43">
        <v>11.5</v>
      </c>
      <c r="N3808" s="43">
        <v>6.2227565291383931</v>
      </c>
      <c r="O3808" s="43">
        <v>3.7191705064293088</v>
      </c>
      <c r="P3808" s="169"/>
      <c r="Q3808" s="169"/>
      <c r="R3808" s="169">
        <v>28</v>
      </c>
    </row>
    <row r="3809" spans="1:18" ht="24">
      <c r="A3809" s="165">
        <v>1024</v>
      </c>
      <c r="B3809" s="162" t="s">
        <v>6939</v>
      </c>
      <c r="C3809" s="166" t="s">
        <v>6940</v>
      </c>
      <c r="D3809" s="167">
        <v>10272.9</v>
      </c>
      <c r="E3809" s="167">
        <v>3147.2</v>
      </c>
      <c r="F3809" s="167">
        <v>5210.59</v>
      </c>
      <c r="G3809" s="167">
        <v>1915.11</v>
      </c>
      <c r="H3809" s="168">
        <v>75683.83</v>
      </c>
      <c r="I3809" s="168">
        <v>36192.800000000003</v>
      </c>
      <c r="J3809" s="168">
        <v>32320.16</v>
      </c>
      <c r="K3809" s="168">
        <v>7170.87</v>
      </c>
      <c r="L3809" s="43">
        <v>7.3673286024394287</v>
      </c>
      <c r="M3809" s="43">
        <v>11.500000000000002</v>
      </c>
      <c r="N3809" s="43">
        <v>6.2027831781045908</v>
      </c>
      <c r="O3809" s="43">
        <v>3.7443645534721246</v>
      </c>
      <c r="P3809" s="169"/>
      <c r="Q3809" s="169"/>
      <c r="R3809" s="169">
        <v>28</v>
      </c>
    </row>
    <row r="3810" spans="1:18" ht="12.75" customHeight="1">
      <c r="A3810" s="628" t="s">
        <v>6941</v>
      </c>
      <c r="B3810" s="629"/>
      <c r="C3810" s="629"/>
      <c r="D3810" s="629"/>
      <c r="E3810" s="629"/>
      <c r="F3810" s="629"/>
      <c r="G3810" s="629"/>
      <c r="H3810" s="629"/>
      <c r="I3810" s="629"/>
      <c r="J3810" s="629"/>
      <c r="K3810" s="629"/>
      <c r="L3810" s="629"/>
      <c r="M3810" s="629"/>
      <c r="N3810" s="629"/>
      <c r="O3810" s="629"/>
      <c r="P3810" s="629"/>
      <c r="Q3810" s="629"/>
      <c r="R3810" s="629"/>
    </row>
    <row r="3811" spans="1:18" ht="24">
      <c r="A3811" s="165">
        <v>1025</v>
      </c>
      <c r="B3811" s="162" t="s">
        <v>6942</v>
      </c>
      <c r="C3811" s="166" t="s">
        <v>6943</v>
      </c>
      <c r="D3811" s="167">
        <v>2847.19</v>
      </c>
      <c r="E3811" s="167">
        <v>673.28</v>
      </c>
      <c r="F3811" s="167">
        <v>302.32</v>
      </c>
      <c r="G3811" s="167">
        <v>1871.59</v>
      </c>
      <c r="H3811" s="168">
        <v>16855.650000000001</v>
      </c>
      <c r="I3811" s="168">
        <v>7742.67</v>
      </c>
      <c r="J3811" s="168">
        <v>1626.64</v>
      </c>
      <c r="K3811" s="168">
        <v>7486.34</v>
      </c>
      <c r="L3811" s="43">
        <v>5.9201001689384976</v>
      </c>
      <c r="M3811" s="43">
        <v>11.499925736692015</v>
      </c>
      <c r="N3811" s="43">
        <v>5.3805239481344271</v>
      </c>
      <c r="O3811" s="43">
        <v>3.9999893138988778</v>
      </c>
      <c r="P3811" s="169"/>
      <c r="Q3811" s="169"/>
      <c r="R3811" s="169">
        <v>29</v>
      </c>
    </row>
    <row r="3812" spans="1:18" ht="12.75" customHeight="1">
      <c r="A3812" s="628" t="s">
        <v>6944</v>
      </c>
      <c r="B3812" s="629"/>
      <c r="C3812" s="629"/>
      <c r="D3812" s="629"/>
      <c r="E3812" s="629"/>
      <c r="F3812" s="629"/>
      <c r="G3812" s="629"/>
      <c r="H3812" s="629"/>
      <c r="I3812" s="629"/>
      <c r="J3812" s="629"/>
      <c r="K3812" s="629"/>
      <c r="L3812" s="629"/>
      <c r="M3812" s="629"/>
      <c r="N3812" s="629"/>
      <c r="O3812" s="629"/>
      <c r="P3812" s="629"/>
      <c r="Q3812" s="629"/>
      <c r="R3812" s="629"/>
    </row>
    <row r="3813" spans="1:18" ht="36">
      <c r="A3813" s="165">
        <v>1026</v>
      </c>
      <c r="B3813" s="162" t="s">
        <v>6945</v>
      </c>
      <c r="C3813" s="166" t="s">
        <v>6946</v>
      </c>
      <c r="D3813" s="167">
        <v>13043.89</v>
      </c>
      <c r="E3813" s="167">
        <v>2630.16</v>
      </c>
      <c r="F3813" s="167">
        <v>1511.61</v>
      </c>
      <c r="G3813" s="167">
        <v>8902.1200000000008</v>
      </c>
      <c r="H3813" s="168">
        <v>59710.32</v>
      </c>
      <c r="I3813" s="168">
        <v>30246.84</v>
      </c>
      <c r="J3813" s="168">
        <v>8133.2</v>
      </c>
      <c r="K3813" s="168">
        <v>21330.28</v>
      </c>
      <c r="L3813" s="43">
        <v>4.5776466989525364</v>
      </c>
      <c r="M3813" s="43">
        <v>11.5</v>
      </c>
      <c r="N3813" s="43">
        <v>5.3804883534774186</v>
      </c>
      <c r="O3813" s="43">
        <v>2.3960899201538508</v>
      </c>
      <c r="P3813" s="169"/>
      <c r="Q3813" s="169"/>
      <c r="R3813" s="169">
        <v>30</v>
      </c>
    </row>
    <row r="3814" spans="1:18" ht="12.75" customHeight="1">
      <c r="A3814" s="628" t="s">
        <v>6947</v>
      </c>
      <c r="B3814" s="629"/>
      <c r="C3814" s="629"/>
      <c r="D3814" s="629"/>
      <c r="E3814" s="629"/>
      <c r="F3814" s="629"/>
      <c r="G3814" s="629"/>
      <c r="H3814" s="629"/>
      <c r="I3814" s="629"/>
      <c r="J3814" s="629"/>
      <c r="K3814" s="629"/>
      <c r="L3814" s="629"/>
      <c r="M3814" s="629"/>
      <c r="N3814" s="629"/>
      <c r="O3814" s="629"/>
      <c r="P3814" s="629"/>
      <c r="Q3814" s="629"/>
      <c r="R3814" s="629"/>
    </row>
    <row r="3815" spans="1:18" ht="48">
      <c r="A3815" s="165">
        <v>1027</v>
      </c>
      <c r="B3815" s="162" t="s">
        <v>6948</v>
      </c>
      <c r="C3815" s="166" t="s">
        <v>6949</v>
      </c>
      <c r="D3815" s="167">
        <v>2938.66</v>
      </c>
      <c r="E3815" s="167">
        <v>577.74</v>
      </c>
      <c r="F3815" s="167">
        <v>390.55</v>
      </c>
      <c r="G3815" s="167">
        <v>1970.37</v>
      </c>
      <c r="H3815" s="168">
        <v>18917.66</v>
      </c>
      <c r="I3815" s="168">
        <v>6643.96</v>
      </c>
      <c r="J3815" s="168">
        <v>2231.62</v>
      </c>
      <c r="K3815" s="168">
        <v>10042.08</v>
      </c>
      <c r="L3815" s="43">
        <v>6.4375123355543007</v>
      </c>
      <c r="M3815" s="43">
        <v>11.499913455879808</v>
      </c>
      <c r="N3815" s="43">
        <v>5.7140442965049285</v>
      </c>
      <c r="O3815" s="43">
        <v>5.096545318899496</v>
      </c>
      <c r="P3815" s="169"/>
      <c r="Q3815" s="169"/>
      <c r="R3815" s="169">
        <v>31</v>
      </c>
    </row>
    <row r="3816" spans="1:18" ht="48">
      <c r="A3816" s="165">
        <v>1028</v>
      </c>
      <c r="B3816" s="162" t="s">
        <v>6950</v>
      </c>
      <c r="C3816" s="166" t="s">
        <v>6951</v>
      </c>
      <c r="D3816" s="167">
        <v>2665.62</v>
      </c>
      <c r="E3816" s="167">
        <v>430.49</v>
      </c>
      <c r="F3816" s="167">
        <v>326.14999999999998</v>
      </c>
      <c r="G3816" s="167">
        <v>1908.98</v>
      </c>
      <c r="H3816" s="168">
        <v>16424.02</v>
      </c>
      <c r="I3816" s="168">
        <v>4950.66</v>
      </c>
      <c r="J3816" s="168">
        <v>1838.91</v>
      </c>
      <c r="K3816" s="168">
        <v>9634.4500000000007</v>
      </c>
      <c r="L3816" s="43">
        <v>6.1614258596499134</v>
      </c>
      <c r="M3816" s="43">
        <v>11.500058073358266</v>
      </c>
      <c r="N3816" s="43">
        <v>5.6382339414379894</v>
      </c>
      <c r="O3816" s="43">
        <v>5.0469098680970994</v>
      </c>
      <c r="P3816" s="169"/>
      <c r="Q3816" s="169"/>
      <c r="R3816" s="169">
        <v>31</v>
      </c>
    </row>
    <row r="3817" spans="1:18" ht="12.75" customHeight="1">
      <c r="A3817" s="628" t="s">
        <v>6952</v>
      </c>
      <c r="B3817" s="629"/>
      <c r="C3817" s="629"/>
      <c r="D3817" s="629"/>
      <c r="E3817" s="629"/>
      <c r="F3817" s="629"/>
      <c r="G3817" s="629"/>
      <c r="H3817" s="629"/>
      <c r="I3817" s="629"/>
      <c r="J3817" s="629"/>
      <c r="K3817" s="629"/>
      <c r="L3817" s="629"/>
      <c r="M3817" s="629"/>
      <c r="N3817" s="629"/>
      <c r="O3817" s="629"/>
      <c r="P3817" s="629"/>
      <c r="Q3817" s="629"/>
      <c r="R3817" s="629"/>
    </row>
    <row r="3818" spans="1:18" ht="24">
      <c r="A3818" s="165">
        <v>1029</v>
      </c>
      <c r="B3818" s="162" t="s">
        <v>6953</v>
      </c>
      <c r="C3818" s="166" t="s">
        <v>6954</v>
      </c>
      <c r="D3818" s="167">
        <v>535.61</v>
      </c>
      <c r="E3818" s="167">
        <v>284.39999999999998</v>
      </c>
      <c r="F3818" s="167">
        <v>2.77</v>
      </c>
      <c r="G3818" s="167">
        <v>248.44</v>
      </c>
      <c r="H3818" s="168">
        <v>4549.08</v>
      </c>
      <c r="I3818" s="168">
        <v>3270.72</v>
      </c>
      <c r="J3818" s="168">
        <v>14.93</v>
      </c>
      <c r="K3818" s="168">
        <v>1263.43</v>
      </c>
      <c r="L3818" s="43">
        <v>8.4932693564347197</v>
      </c>
      <c r="M3818" s="43">
        <v>11.50042194092827</v>
      </c>
      <c r="N3818" s="43">
        <v>5.3898916967509027</v>
      </c>
      <c r="O3818" s="43">
        <v>5.0854532281436162</v>
      </c>
      <c r="P3818" s="169"/>
      <c r="Q3818" s="169"/>
      <c r="R3818" s="169">
        <v>32</v>
      </c>
    </row>
    <row r="3819" spans="1:18" ht="24">
      <c r="A3819" s="165">
        <v>1030</v>
      </c>
      <c r="B3819" s="162" t="s">
        <v>6955</v>
      </c>
      <c r="C3819" s="166" t="s">
        <v>6956</v>
      </c>
      <c r="D3819" s="167">
        <v>564.98</v>
      </c>
      <c r="E3819" s="167">
        <v>310.47000000000003</v>
      </c>
      <c r="F3819" s="167">
        <v>5.55</v>
      </c>
      <c r="G3819" s="167">
        <v>248.96</v>
      </c>
      <c r="H3819" s="168">
        <v>4869.79</v>
      </c>
      <c r="I3819" s="168">
        <v>3570.54</v>
      </c>
      <c r="J3819" s="168">
        <v>29.84</v>
      </c>
      <c r="K3819" s="168">
        <v>1269.4100000000001</v>
      </c>
      <c r="L3819" s="43">
        <v>8.6194024567241314</v>
      </c>
      <c r="M3819" s="43">
        <v>11.500434824620735</v>
      </c>
      <c r="N3819" s="43">
        <v>5.3765765765765767</v>
      </c>
      <c r="O3819" s="43">
        <v>5.0988512210796912</v>
      </c>
      <c r="P3819" s="169"/>
      <c r="Q3819" s="169"/>
      <c r="R3819" s="169">
        <v>32</v>
      </c>
    </row>
    <row r="3820" spans="1:18" ht="24">
      <c r="A3820" s="165">
        <v>1031</v>
      </c>
      <c r="B3820" s="162" t="s">
        <v>6957</v>
      </c>
      <c r="C3820" s="166" t="s">
        <v>6958</v>
      </c>
      <c r="D3820" s="167">
        <v>783.14</v>
      </c>
      <c r="E3820" s="167">
        <v>321.14</v>
      </c>
      <c r="F3820" s="167">
        <v>5.55</v>
      </c>
      <c r="G3820" s="167">
        <v>456.45</v>
      </c>
      <c r="H3820" s="168">
        <v>6074.6</v>
      </c>
      <c r="I3820" s="168">
        <v>3693.19</v>
      </c>
      <c r="J3820" s="168">
        <v>29.84</v>
      </c>
      <c r="K3820" s="168">
        <v>2351.5700000000002</v>
      </c>
      <c r="L3820" s="43">
        <v>7.756722935873535</v>
      </c>
      <c r="M3820" s="43">
        <v>11.500249112536588</v>
      </c>
      <c r="N3820" s="43">
        <v>5.3765765765765767</v>
      </c>
      <c r="O3820" s="43">
        <v>5.1518676744440794</v>
      </c>
      <c r="P3820" s="169"/>
      <c r="Q3820" s="169"/>
      <c r="R3820" s="169">
        <v>32</v>
      </c>
    </row>
    <row r="3821" spans="1:18" ht="24">
      <c r="A3821" s="165">
        <v>1032</v>
      </c>
      <c r="B3821" s="162" t="s">
        <v>6959</v>
      </c>
      <c r="C3821" s="166" t="s">
        <v>6960</v>
      </c>
      <c r="D3821" s="167">
        <v>1076.02</v>
      </c>
      <c r="E3821" s="167">
        <v>401.72</v>
      </c>
      <c r="F3821" s="167">
        <v>8.32</v>
      </c>
      <c r="G3821" s="167">
        <v>665.98</v>
      </c>
      <c r="H3821" s="168">
        <v>8115.77</v>
      </c>
      <c r="I3821" s="168">
        <v>4619.8900000000003</v>
      </c>
      <c r="J3821" s="168">
        <v>44.77</v>
      </c>
      <c r="K3821" s="168">
        <v>3451.11</v>
      </c>
      <c r="L3821" s="43">
        <v>7.5423969814687464</v>
      </c>
      <c r="M3821" s="43">
        <v>11.500273822562979</v>
      </c>
      <c r="N3821" s="43">
        <v>5.3810096153846159</v>
      </c>
      <c r="O3821" s="43">
        <v>5.1820024625364125</v>
      </c>
      <c r="P3821" s="169"/>
      <c r="Q3821" s="169"/>
      <c r="R3821" s="169">
        <v>32</v>
      </c>
    </row>
    <row r="3822" spans="1:18" ht="12.75" customHeight="1">
      <c r="A3822" s="628" t="s">
        <v>6961</v>
      </c>
      <c r="B3822" s="629"/>
      <c r="C3822" s="629"/>
      <c r="D3822" s="629"/>
      <c r="E3822" s="629"/>
      <c r="F3822" s="629"/>
      <c r="G3822" s="629"/>
      <c r="H3822" s="629"/>
      <c r="I3822" s="629"/>
      <c r="J3822" s="629"/>
      <c r="K3822" s="629"/>
      <c r="L3822" s="629"/>
      <c r="M3822" s="629"/>
      <c r="N3822" s="629"/>
      <c r="O3822" s="629"/>
      <c r="P3822" s="629"/>
      <c r="Q3822" s="629"/>
      <c r="R3822" s="629"/>
    </row>
    <row r="3823" spans="1:18" ht="12.75" customHeight="1">
      <c r="A3823" s="628" t="s">
        <v>6962</v>
      </c>
      <c r="B3823" s="629"/>
      <c r="C3823" s="629"/>
      <c r="D3823" s="629"/>
      <c r="E3823" s="629"/>
      <c r="F3823" s="629"/>
      <c r="G3823" s="629"/>
      <c r="H3823" s="629"/>
      <c r="I3823" s="629"/>
      <c r="J3823" s="629"/>
      <c r="K3823" s="629"/>
      <c r="L3823" s="629"/>
      <c r="M3823" s="629"/>
      <c r="N3823" s="629"/>
      <c r="O3823" s="629"/>
      <c r="P3823" s="629"/>
      <c r="Q3823" s="629"/>
      <c r="R3823" s="629"/>
    </row>
    <row r="3824" spans="1:18" ht="36">
      <c r="A3824" s="165">
        <v>1033</v>
      </c>
      <c r="B3824" s="162" t="s">
        <v>6963</v>
      </c>
      <c r="C3824" s="166" t="s">
        <v>6964</v>
      </c>
      <c r="D3824" s="167">
        <v>2042.85</v>
      </c>
      <c r="E3824" s="167">
        <v>141.02000000000001</v>
      </c>
      <c r="F3824" s="167">
        <v>567.25</v>
      </c>
      <c r="G3824" s="167">
        <v>1334.58</v>
      </c>
      <c r="H3824" s="168">
        <v>10189.08</v>
      </c>
      <c r="I3824" s="168">
        <v>1621.73</v>
      </c>
      <c r="J3824" s="168">
        <v>2836.78</v>
      </c>
      <c r="K3824" s="168">
        <v>5730.57</v>
      </c>
      <c r="L3824" s="43">
        <v>4.9876789778985247</v>
      </c>
      <c r="M3824" s="43">
        <v>11.5</v>
      </c>
      <c r="N3824" s="43">
        <v>5.0009343323049809</v>
      </c>
      <c r="O3824" s="43">
        <v>4.2939126916333228</v>
      </c>
      <c r="P3824" s="169"/>
      <c r="Q3824" s="169"/>
      <c r="R3824" s="169">
        <v>1</v>
      </c>
    </row>
    <row r="3825" spans="1:18" ht="36">
      <c r="A3825" s="165">
        <v>1034</v>
      </c>
      <c r="B3825" s="162" t="s">
        <v>6965</v>
      </c>
      <c r="C3825" s="166" t="s">
        <v>6966</v>
      </c>
      <c r="D3825" s="167">
        <v>954.68</v>
      </c>
      <c r="E3825" s="167">
        <v>38.39</v>
      </c>
      <c r="F3825" s="167">
        <v>364.3</v>
      </c>
      <c r="G3825" s="167">
        <v>551.99</v>
      </c>
      <c r="H3825" s="168">
        <v>4454.41</v>
      </c>
      <c r="I3825" s="168">
        <v>441.55</v>
      </c>
      <c r="J3825" s="168">
        <v>1774.59</v>
      </c>
      <c r="K3825" s="168">
        <v>2238.27</v>
      </c>
      <c r="L3825" s="43">
        <v>4.665867096828257</v>
      </c>
      <c r="M3825" s="43">
        <v>11.501693149257619</v>
      </c>
      <c r="N3825" s="43">
        <v>4.8712325006862471</v>
      </c>
      <c r="O3825" s="43">
        <v>4.0549104150437509</v>
      </c>
      <c r="P3825" s="169"/>
      <c r="Q3825" s="169"/>
      <c r="R3825" s="169">
        <v>1</v>
      </c>
    </row>
    <row r="3826" spans="1:18" ht="36">
      <c r="A3826" s="165">
        <v>1035</v>
      </c>
      <c r="B3826" s="162" t="s">
        <v>6967</v>
      </c>
      <c r="C3826" s="166" t="s">
        <v>6968</v>
      </c>
      <c r="D3826" s="167">
        <v>1959.06</v>
      </c>
      <c r="E3826" s="167">
        <v>368.54</v>
      </c>
      <c r="F3826" s="167">
        <v>655.51</v>
      </c>
      <c r="G3826" s="167">
        <v>935.01</v>
      </c>
      <c r="H3826" s="168">
        <v>11929.93</v>
      </c>
      <c r="I3826" s="168">
        <v>4238.3100000000004</v>
      </c>
      <c r="J3826" s="168">
        <v>3401.84</v>
      </c>
      <c r="K3826" s="168">
        <v>4289.78</v>
      </c>
      <c r="L3826" s="43">
        <v>6.0896195113983236</v>
      </c>
      <c r="M3826" s="43">
        <v>11.50027134096706</v>
      </c>
      <c r="N3826" s="43">
        <v>5.1896080914097427</v>
      </c>
      <c r="O3826" s="43">
        <v>4.5879509310060849</v>
      </c>
      <c r="P3826" s="169"/>
      <c r="Q3826" s="169"/>
      <c r="R3826" s="169">
        <v>1</v>
      </c>
    </row>
    <row r="3827" spans="1:18" ht="36">
      <c r="A3827" s="165">
        <v>1036</v>
      </c>
      <c r="B3827" s="162" t="s">
        <v>6969</v>
      </c>
      <c r="C3827" s="166" t="s">
        <v>6970</v>
      </c>
      <c r="D3827" s="167">
        <v>703.53</v>
      </c>
      <c r="E3827" s="167">
        <v>207.38</v>
      </c>
      <c r="F3827" s="167">
        <v>446.11</v>
      </c>
      <c r="G3827" s="167">
        <v>50.04</v>
      </c>
      <c r="H3827" s="168">
        <v>5042.1499999999996</v>
      </c>
      <c r="I3827" s="168">
        <v>2384.9</v>
      </c>
      <c r="J3827" s="168">
        <v>2291.14</v>
      </c>
      <c r="K3827" s="168">
        <v>366.11</v>
      </c>
      <c r="L3827" s="43">
        <v>7.1669296263130216</v>
      </c>
      <c r="M3827" s="43">
        <v>11.50014466197319</v>
      </c>
      <c r="N3827" s="43">
        <v>5.1358185200959401</v>
      </c>
      <c r="O3827" s="43">
        <v>7.3163469224620306</v>
      </c>
      <c r="P3827" s="169"/>
      <c r="Q3827" s="169"/>
      <c r="R3827" s="169">
        <v>1</v>
      </c>
    </row>
    <row r="3828" spans="1:18" ht="48">
      <c r="A3828" s="165">
        <v>1037</v>
      </c>
      <c r="B3828" s="162" t="s">
        <v>6971</v>
      </c>
      <c r="C3828" s="166" t="s">
        <v>6972</v>
      </c>
      <c r="D3828" s="167">
        <v>2129.21</v>
      </c>
      <c r="E3828" s="167">
        <v>646.67999999999995</v>
      </c>
      <c r="F3828" s="167">
        <v>907.98</v>
      </c>
      <c r="G3828" s="167">
        <v>574.54999999999995</v>
      </c>
      <c r="H3828" s="168">
        <v>15424.47</v>
      </c>
      <c r="I3828" s="168">
        <v>7436.77</v>
      </c>
      <c r="J3828" s="168">
        <v>4997.1899999999996</v>
      </c>
      <c r="K3828" s="168">
        <v>2990.51</v>
      </c>
      <c r="L3828" s="43">
        <v>7.2442220354028013</v>
      </c>
      <c r="M3828" s="43">
        <v>11.499922682006558</v>
      </c>
      <c r="N3828" s="43">
        <v>5.5036344412872529</v>
      </c>
      <c r="O3828" s="43">
        <v>5.2049604037942743</v>
      </c>
      <c r="P3828" s="169"/>
      <c r="Q3828" s="169"/>
      <c r="R3828" s="169">
        <v>1</v>
      </c>
    </row>
    <row r="3829" spans="1:18" ht="48">
      <c r="A3829" s="165">
        <v>1038</v>
      </c>
      <c r="B3829" s="162" t="s">
        <v>6973</v>
      </c>
      <c r="C3829" s="166" t="s">
        <v>6974</v>
      </c>
      <c r="D3829" s="167">
        <v>1176.2</v>
      </c>
      <c r="E3829" s="167">
        <v>417.09</v>
      </c>
      <c r="F3829" s="167">
        <v>593.96</v>
      </c>
      <c r="G3829" s="167">
        <v>165.15</v>
      </c>
      <c r="H3829" s="168">
        <v>9161.74</v>
      </c>
      <c r="I3829" s="168">
        <v>4796.58</v>
      </c>
      <c r="J3829" s="168">
        <v>3202.05</v>
      </c>
      <c r="K3829" s="168">
        <v>1163.1099999999999</v>
      </c>
      <c r="L3829" s="43">
        <v>7.7892705322224103</v>
      </c>
      <c r="M3829" s="43">
        <v>11.50010789038337</v>
      </c>
      <c r="N3829" s="43">
        <v>5.3910195972792785</v>
      </c>
      <c r="O3829" s="43">
        <v>7.0427490160460176</v>
      </c>
      <c r="P3829" s="169"/>
      <c r="Q3829" s="169"/>
      <c r="R3829" s="169">
        <v>1</v>
      </c>
    </row>
    <row r="3830" spans="1:18" ht="36">
      <c r="A3830" s="165">
        <v>1039</v>
      </c>
      <c r="B3830" s="162" t="s">
        <v>6975</v>
      </c>
      <c r="C3830" s="166" t="s">
        <v>6976</v>
      </c>
      <c r="D3830" s="167">
        <v>749.13</v>
      </c>
      <c r="E3830" s="167">
        <v>84.95</v>
      </c>
      <c r="F3830" s="167">
        <v>219.44</v>
      </c>
      <c r="G3830" s="167">
        <v>444.74</v>
      </c>
      <c r="H3830" s="168">
        <v>3982.03</v>
      </c>
      <c r="I3830" s="168">
        <v>976.9</v>
      </c>
      <c r="J3830" s="168">
        <v>1149.29</v>
      </c>
      <c r="K3830" s="168">
        <v>1855.84</v>
      </c>
      <c r="L3830" s="43">
        <v>5.3155393589897617</v>
      </c>
      <c r="M3830" s="43">
        <v>11.499705709240729</v>
      </c>
      <c r="N3830" s="43">
        <v>5.2373769595333579</v>
      </c>
      <c r="O3830" s="43">
        <v>4.1728650447452438</v>
      </c>
      <c r="P3830" s="169"/>
      <c r="Q3830" s="169"/>
      <c r="R3830" s="169">
        <v>1</v>
      </c>
    </row>
    <row r="3831" spans="1:18" ht="12.75" customHeight="1">
      <c r="A3831" s="628" t="s">
        <v>6977</v>
      </c>
      <c r="B3831" s="629"/>
      <c r="C3831" s="629"/>
      <c r="D3831" s="629"/>
      <c r="E3831" s="629"/>
      <c r="F3831" s="629"/>
      <c r="G3831" s="629"/>
      <c r="H3831" s="629"/>
      <c r="I3831" s="629"/>
      <c r="J3831" s="629"/>
      <c r="K3831" s="629"/>
      <c r="L3831" s="629"/>
      <c r="M3831" s="629"/>
      <c r="N3831" s="629"/>
      <c r="O3831" s="629"/>
      <c r="P3831" s="629"/>
      <c r="Q3831" s="629"/>
      <c r="R3831" s="629"/>
    </row>
    <row r="3832" spans="1:18" ht="12.75" customHeight="1">
      <c r="A3832" s="628" t="s">
        <v>4919</v>
      </c>
      <c r="B3832" s="629"/>
      <c r="C3832" s="629"/>
      <c r="D3832" s="629"/>
      <c r="E3832" s="629"/>
      <c r="F3832" s="629"/>
      <c r="G3832" s="629"/>
      <c r="H3832" s="629"/>
      <c r="I3832" s="629"/>
      <c r="J3832" s="629"/>
      <c r="K3832" s="629"/>
      <c r="L3832" s="629"/>
      <c r="M3832" s="629"/>
      <c r="N3832" s="629"/>
      <c r="O3832" s="629"/>
      <c r="P3832" s="629"/>
      <c r="Q3832" s="629"/>
      <c r="R3832" s="629"/>
    </row>
    <row r="3833" spans="1:18" ht="24">
      <c r="A3833" s="165">
        <v>1040</v>
      </c>
      <c r="B3833" s="162" t="s">
        <v>6978</v>
      </c>
      <c r="C3833" s="166" t="s">
        <v>6979</v>
      </c>
      <c r="D3833" s="167">
        <v>989.52</v>
      </c>
      <c r="E3833" s="167">
        <v>120.27</v>
      </c>
      <c r="F3833" s="167">
        <v>68.099999999999994</v>
      </c>
      <c r="G3833" s="167">
        <v>801.15</v>
      </c>
      <c r="H3833" s="168">
        <v>5558.14</v>
      </c>
      <c r="I3833" s="168">
        <v>1383.08</v>
      </c>
      <c r="J3833" s="168">
        <v>365.11</v>
      </c>
      <c r="K3833" s="168">
        <v>3809.95</v>
      </c>
      <c r="L3833" s="43">
        <v>5.6170062252405213</v>
      </c>
      <c r="M3833" s="43">
        <v>11.499792134364347</v>
      </c>
      <c r="N3833" s="43">
        <v>5.3613803230543322</v>
      </c>
      <c r="O3833" s="43">
        <v>4.7556013230980465</v>
      </c>
      <c r="P3833" s="169"/>
      <c r="Q3833" s="169"/>
      <c r="R3833" s="169">
        <v>1</v>
      </c>
    </row>
    <row r="3834" spans="1:18" ht="24">
      <c r="A3834" s="165">
        <v>1041</v>
      </c>
      <c r="B3834" s="162" t="s">
        <v>6980</v>
      </c>
      <c r="C3834" s="166" t="s">
        <v>6981</v>
      </c>
      <c r="D3834" s="167">
        <v>1443.63</v>
      </c>
      <c r="E3834" s="167">
        <v>132.63</v>
      </c>
      <c r="F3834" s="167">
        <v>98.61</v>
      </c>
      <c r="G3834" s="167">
        <v>1212.3900000000001</v>
      </c>
      <c r="H3834" s="168">
        <v>7815.98</v>
      </c>
      <c r="I3834" s="168">
        <v>1525.27</v>
      </c>
      <c r="J3834" s="168">
        <v>529.27</v>
      </c>
      <c r="K3834" s="168">
        <v>5761.44</v>
      </c>
      <c r="L3834" s="43">
        <v>5.4141158052963698</v>
      </c>
      <c r="M3834" s="43">
        <v>11.500188494307473</v>
      </c>
      <c r="N3834" s="43">
        <v>5.3673055471047562</v>
      </c>
      <c r="O3834" s="43">
        <v>4.7521342142379916</v>
      </c>
      <c r="P3834" s="169"/>
      <c r="Q3834" s="169"/>
      <c r="R3834" s="169">
        <v>1</v>
      </c>
    </row>
    <row r="3835" spans="1:18" ht="24">
      <c r="A3835" s="165">
        <v>1042</v>
      </c>
      <c r="B3835" s="162" t="s">
        <v>6982</v>
      </c>
      <c r="C3835" s="166" t="s">
        <v>6983</v>
      </c>
      <c r="D3835" s="167">
        <v>450.04</v>
      </c>
      <c r="E3835" s="167">
        <v>93.18</v>
      </c>
      <c r="F3835" s="167">
        <v>44.54</v>
      </c>
      <c r="G3835" s="167">
        <v>312.32</v>
      </c>
      <c r="H3835" s="168">
        <v>2645.01</v>
      </c>
      <c r="I3835" s="168">
        <v>1071.57</v>
      </c>
      <c r="J3835" s="168">
        <v>237.78</v>
      </c>
      <c r="K3835" s="168">
        <v>1335.66</v>
      </c>
      <c r="L3835" s="43">
        <v>5.8772775753266382</v>
      </c>
      <c r="M3835" s="43">
        <v>11.499999999999998</v>
      </c>
      <c r="N3835" s="43">
        <v>5.3385720700493939</v>
      </c>
      <c r="O3835" s="43">
        <v>4.2765753073770494</v>
      </c>
      <c r="P3835" s="169"/>
      <c r="Q3835" s="169"/>
      <c r="R3835" s="169">
        <v>1</v>
      </c>
    </row>
    <row r="3836" spans="1:18" ht="24">
      <c r="A3836" s="165">
        <v>1043</v>
      </c>
      <c r="B3836" s="162" t="s">
        <v>6984</v>
      </c>
      <c r="C3836" s="166" t="s">
        <v>6985</v>
      </c>
      <c r="D3836" s="167">
        <v>674.66</v>
      </c>
      <c r="E3836" s="167">
        <v>93.18</v>
      </c>
      <c r="F3836" s="167">
        <v>61.18</v>
      </c>
      <c r="G3836" s="167">
        <v>520.29999999999995</v>
      </c>
      <c r="H3836" s="168">
        <v>3612.27</v>
      </c>
      <c r="I3836" s="168">
        <v>1071.57</v>
      </c>
      <c r="J3836" s="168">
        <v>327.32</v>
      </c>
      <c r="K3836" s="168">
        <v>2213.38</v>
      </c>
      <c r="L3836" s="43">
        <v>5.3542080455340466</v>
      </c>
      <c r="M3836" s="43">
        <v>11.499999999999998</v>
      </c>
      <c r="N3836" s="43">
        <v>5.3501144164759724</v>
      </c>
      <c r="O3836" s="43">
        <v>4.2540457428406695</v>
      </c>
      <c r="P3836" s="169"/>
      <c r="Q3836" s="169"/>
      <c r="R3836" s="169">
        <v>1</v>
      </c>
    </row>
    <row r="3837" spans="1:18" ht="12.75" customHeight="1">
      <c r="A3837" s="628" t="s">
        <v>6986</v>
      </c>
      <c r="B3837" s="629"/>
      <c r="C3837" s="629"/>
      <c r="D3837" s="629"/>
      <c r="E3837" s="629"/>
      <c r="F3837" s="629"/>
      <c r="G3837" s="629"/>
      <c r="H3837" s="629"/>
      <c r="I3837" s="629"/>
      <c r="J3837" s="629"/>
      <c r="K3837" s="629"/>
      <c r="L3837" s="629"/>
      <c r="M3837" s="629"/>
      <c r="N3837" s="629"/>
      <c r="O3837" s="629"/>
      <c r="P3837" s="629"/>
      <c r="Q3837" s="629"/>
      <c r="R3837" s="629"/>
    </row>
    <row r="3838" spans="1:18" ht="24">
      <c r="A3838" s="165">
        <v>1044</v>
      </c>
      <c r="B3838" s="162" t="s">
        <v>6987</v>
      </c>
      <c r="C3838" s="166" t="s">
        <v>6988</v>
      </c>
      <c r="D3838" s="167">
        <v>867.22</v>
      </c>
      <c r="E3838" s="167">
        <v>213.56</v>
      </c>
      <c r="F3838" s="167">
        <v>66.37</v>
      </c>
      <c r="G3838" s="167">
        <v>587.29</v>
      </c>
      <c r="H3838" s="168">
        <v>5321.74</v>
      </c>
      <c r="I3838" s="168">
        <v>2455.94</v>
      </c>
      <c r="J3838" s="168">
        <v>354.82</v>
      </c>
      <c r="K3838" s="168">
        <v>2510.98</v>
      </c>
      <c r="L3838" s="43">
        <v>6.1365512787989198</v>
      </c>
      <c r="M3838" s="43">
        <v>11.5</v>
      </c>
      <c r="N3838" s="43">
        <v>5.3460901009492234</v>
      </c>
      <c r="O3838" s="43">
        <v>4.2755367876177015</v>
      </c>
      <c r="P3838" s="169"/>
      <c r="Q3838" s="169"/>
      <c r="R3838" s="169">
        <v>2</v>
      </c>
    </row>
    <row r="3839" spans="1:18" ht="24">
      <c r="A3839" s="165">
        <v>1045</v>
      </c>
      <c r="B3839" s="162" t="s">
        <v>6989</v>
      </c>
      <c r="C3839" s="166" t="s">
        <v>6990</v>
      </c>
      <c r="D3839" s="167">
        <v>1254.1400000000001</v>
      </c>
      <c r="E3839" s="167">
        <v>186.58</v>
      </c>
      <c r="F3839" s="167">
        <v>88.56</v>
      </c>
      <c r="G3839" s="167">
        <v>979</v>
      </c>
      <c r="H3839" s="168">
        <v>7280.08</v>
      </c>
      <c r="I3839" s="168">
        <v>2145.7199999999998</v>
      </c>
      <c r="J3839" s="168">
        <v>474.21</v>
      </c>
      <c r="K3839" s="168">
        <v>4660.1499999999996</v>
      </c>
      <c r="L3839" s="43">
        <v>5.8048383753010029</v>
      </c>
      <c r="M3839" s="43">
        <v>11.500267981562867</v>
      </c>
      <c r="N3839" s="43">
        <v>5.3546747967479673</v>
      </c>
      <c r="O3839" s="43">
        <v>4.7601123595505612</v>
      </c>
      <c r="P3839" s="169"/>
      <c r="Q3839" s="169"/>
      <c r="R3839" s="169">
        <v>2</v>
      </c>
    </row>
    <row r="3840" spans="1:18" ht="24">
      <c r="A3840" s="165">
        <v>1046</v>
      </c>
      <c r="B3840" s="162" t="s">
        <v>6991</v>
      </c>
      <c r="C3840" s="166" t="s">
        <v>6992</v>
      </c>
      <c r="D3840" s="167">
        <v>1031.81</v>
      </c>
      <c r="E3840" s="167">
        <v>173.1</v>
      </c>
      <c r="F3840" s="167">
        <v>215.82</v>
      </c>
      <c r="G3840" s="167">
        <v>642.89</v>
      </c>
      <c r="H3840" s="168">
        <v>6201.62</v>
      </c>
      <c r="I3840" s="168">
        <v>1990.6</v>
      </c>
      <c r="J3840" s="168">
        <v>1155.9100000000001</v>
      </c>
      <c r="K3840" s="168">
        <v>3055.11</v>
      </c>
      <c r="L3840" s="43">
        <v>6.0104282765237791</v>
      </c>
      <c r="M3840" s="43">
        <v>11.499711149624494</v>
      </c>
      <c r="N3840" s="43">
        <v>5.3558984338800855</v>
      </c>
      <c r="O3840" s="43">
        <v>4.7521504456438892</v>
      </c>
      <c r="P3840" s="169"/>
      <c r="Q3840" s="169"/>
      <c r="R3840" s="169">
        <v>2</v>
      </c>
    </row>
    <row r="3841" spans="1:18" ht="24">
      <c r="A3841" s="165">
        <v>1047</v>
      </c>
      <c r="B3841" s="162" t="s">
        <v>6993</v>
      </c>
      <c r="C3841" s="166" t="s">
        <v>6994</v>
      </c>
      <c r="D3841" s="167">
        <v>674.62</v>
      </c>
      <c r="E3841" s="167">
        <v>200.07</v>
      </c>
      <c r="F3841" s="167">
        <v>193.63</v>
      </c>
      <c r="G3841" s="167">
        <v>280.92</v>
      </c>
      <c r="H3841" s="168">
        <v>4550.93</v>
      </c>
      <c r="I3841" s="168">
        <v>2300.83</v>
      </c>
      <c r="J3841" s="168">
        <v>1036.52</v>
      </c>
      <c r="K3841" s="168">
        <v>1213.58</v>
      </c>
      <c r="L3841" s="43">
        <v>6.7459162195013489</v>
      </c>
      <c r="M3841" s="43">
        <v>11.500124956265307</v>
      </c>
      <c r="N3841" s="43">
        <v>5.353096111139803</v>
      </c>
      <c r="O3841" s="43">
        <v>4.3200199345009249</v>
      </c>
      <c r="P3841" s="169"/>
      <c r="Q3841" s="169"/>
      <c r="R3841" s="169">
        <v>2</v>
      </c>
    </row>
    <row r="3842" spans="1:18" ht="24">
      <c r="A3842" s="165">
        <v>1048</v>
      </c>
      <c r="B3842" s="162" t="s">
        <v>6995</v>
      </c>
      <c r="C3842" s="166" t="s">
        <v>6996</v>
      </c>
      <c r="D3842" s="167">
        <v>1027.8</v>
      </c>
      <c r="E3842" s="167">
        <v>200.07</v>
      </c>
      <c r="F3842" s="167">
        <v>215.82</v>
      </c>
      <c r="G3842" s="167">
        <v>611.91</v>
      </c>
      <c r="H3842" s="168">
        <v>6078.48</v>
      </c>
      <c r="I3842" s="168">
        <v>2300.83</v>
      </c>
      <c r="J3842" s="168">
        <v>1155.9100000000001</v>
      </c>
      <c r="K3842" s="168">
        <v>2621.74</v>
      </c>
      <c r="L3842" s="43">
        <v>5.9140688849970813</v>
      </c>
      <c r="M3842" s="43">
        <v>11.500124956265307</v>
      </c>
      <c r="N3842" s="43">
        <v>5.3558984338800855</v>
      </c>
      <c r="O3842" s="43">
        <v>4.2845189652073019</v>
      </c>
      <c r="P3842" s="169"/>
      <c r="Q3842" s="169"/>
      <c r="R3842" s="169">
        <v>2</v>
      </c>
    </row>
    <row r="3843" spans="1:18" ht="36">
      <c r="A3843" s="165">
        <v>1049</v>
      </c>
      <c r="B3843" s="162" t="s">
        <v>6997</v>
      </c>
      <c r="C3843" s="166" t="s">
        <v>6998</v>
      </c>
      <c r="D3843" s="167">
        <v>1535.18</v>
      </c>
      <c r="E3843" s="167">
        <v>213.56</v>
      </c>
      <c r="F3843" s="167">
        <v>82.27</v>
      </c>
      <c r="G3843" s="167">
        <v>1239.3499999999999</v>
      </c>
      <c r="H3843" s="168">
        <v>8745.52</v>
      </c>
      <c r="I3843" s="168">
        <v>2455.94</v>
      </c>
      <c r="J3843" s="168">
        <v>440.15</v>
      </c>
      <c r="K3843" s="168">
        <v>5849.43</v>
      </c>
      <c r="L3843" s="43">
        <v>5.6967391445954219</v>
      </c>
      <c r="M3843" s="43">
        <v>11.5</v>
      </c>
      <c r="N3843" s="43">
        <v>5.3500668530448525</v>
      </c>
      <c r="O3843" s="43">
        <v>4.7197563238794533</v>
      </c>
      <c r="P3843" s="169"/>
      <c r="Q3843" s="169"/>
      <c r="R3843" s="169">
        <v>2</v>
      </c>
    </row>
    <row r="3844" spans="1:18" ht="36">
      <c r="A3844" s="165">
        <v>1050</v>
      </c>
      <c r="B3844" s="162" t="s">
        <v>6999</v>
      </c>
      <c r="C3844" s="166" t="s">
        <v>7000</v>
      </c>
      <c r="D3844" s="167">
        <v>1949.11</v>
      </c>
      <c r="E3844" s="167">
        <v>239.41</v>
      </c>
      <c r="F3844" s="167">
        <v>98.91</v>
      </c>
      <c r="G3844" s="167">
        <v>1610.79</v>
      </c>
      <c r="H3844" s="168">
        <v>10872.42</v>
      </c>
      <c r="I3844" s="168">
        <v>2753.24</v>
      </c>
      <c r="J3844" s="168">
        <v>529.70000000000005</v>
      </c>
      <c r="K3844" s="168">
        <v>7589.48</v>
      </c>
      <c r="L3844" s="43">
        <v>5.5781459230110153</v>
      </c>
      <c r="M3844" s="43">
        <v>11.500104423374127</v>
      </c>
      <c r="N3844" s="43">
        <v>5.3553735719340825</v>
      </c>
      <c r="O3844" s="43">
        <v>4.7116508048845596</v>
      </c>
      <c r="P3844" s="169"/>
      <c r="Q3844" s="169"/>
      <c r="R3844" s="169">
        <v>2</v>
      </c>
    </row>
    <row r="3845" spans="1:18" ht="36">
      <c r="A3845" s="165">
        <v>1051</v>
      </c>
      <c r="B3845" s="162" t="s">
        <v>7001</v>
      </c>
      <c r="C3845" s="166" t="s">
        <v>7002</v>
      </c>
      <c r="D3845" s="167">
        <v>1213.97</v>
      </c>
      <c r="E3845" s="167">
        <v>225.92</v>
      </c>
      <c r="F3845" s="167">
        <v>60.08</v>
      </c>
      <c r="G3845" s="167">
        <v>927.97</v>
      </c>
      <c r="H3845" s="168">
        <v>7352.63</v>
      </c>
      <c r="I3845" s="168">
        <v>2598.13</v>
      </c>
      <c r="J3845" s="168">
        <v>320.77</v>
      </c>
      <c r="K3845" s="168">
        <v>4433.7299999999996</v>
      </c>
      <c r="L3845" s="43">
        <v>6.0566817960905128</v>
      </c>
      <c r="M3845" s="43">
        <v>11.500221317280454</v>
      </c>
      <c r="N3845" s="43">
        <v>5.3390479360852199</v>
      </c>
      <c r="O3845" s="43">
        <v>4.777880750455294</v>
      </c>
      <c r="P3845" s="169"/>
      <c r="Q3845" s="169"/>
      <c r="R3845" s="169">
        <v>2</v>
      </c>
    </row>
    <row r="3846" spans="1:18" ht="36">
      <c r="A3846" s="165">
        <v>1052</v>
      </c>
      <c r="B3846" s="162" t="s">
        <v>7003</v>
      </c>
      <c r="C3846" s="166" t="s">
        <v>7004</v>
      </c>
      <c r="D3846" s="167">
        <v>1557.65</v>
      </c>
      <c r="E3846" s="167">
        <v>239.41</v>
      </c>
      <c r="F3846" s="167">
        <v>82.27</v>
      </c>
      <c r="G3846" s="167">
        <v>1235.97</v>
      </c>
      <c r="H3846" s="168">
        <v>8686.1</v>
      </c>
      <c r="I3846" s="168">
        <v>2753.24</v>
      </c>
      <c r="J3846" s="168">
        <v>440.15</v>
      </c>
      <c r="K3846" s="168">
        <v>5492.71</v>
      </c>
      <c r="L3846" s="43">
        <v>5.576413186530992</v>
      </c>
      <c r="M3846" s="43">
        <v>11.500104423374127</v>
      </c>
      <c r="N3846" s="43">
        <v>5.3500668530448525</v>
      </c>
      <c r="O3846" s="43">
        <v>4.4440479946924274</v>
      </c>
      <c r="P3846" s="169"/>
      <c r="Q3846" s="169"/>
      <c r="R3846" s="169">
        <v>2</v>
      </c>
    </row>
    <row r="3847" spans="1:18" ht="36">
      <c r="A3847" s="165">
        <v>1053</v>
      </c>
      <c r="B3847" s="162" t="s">
        <v>7005</v>
      </c>
      <c r="C3847" s="166" t="s">
        <v>7006</v>
      </c>
      <c r="D3847" s="167">
        <v>7412.74</v>
      </c>
      <c r="E3847" s="167">
        <v>523.78</v>
      </c>
      <c r="F3847" s="167">
        <v>36.61</v>
      </c>
      <c r="G3847" s="167">
        <v>6852.35</v>
      </c>
      <c r="H3847" s="168">
        <v>21702.06</v>
      </c>
      <c r="I3847" s="168">
        <v>6023.52</v>
      </c>
      <c r="J3847" s="168">
        <v>192.23</v>
      </c>
      <c r="K3847" s="168">
        <v>15486.31</v>
      </c>
      <c r="L3847" s="43">
        <v>2.9276704700286267</v>
      </c>
      <c r="M3847" s="43">
        <v>11.500095459925925</v>
      </c>
      <c r="N3847" s="43">
        <v>5.2507511608850042</v>
      </c>
      <c r="O3847" s="43">
        <v>2.259999854064664</v>
      </c>
      <c r="P3847" s="169"/>
      <c r="Q3847" s="169"/>
      <c r="R3847" s="169">
        <v>2</v>
      </c>
    </row>
    <row r="3848" spans="1:18" ht="36">
      <c r="A3848" s="170">
        <v>1054</v>
      </c>
      <c r="B3848" s="171" t="s">
        <v>7007</v>
      </c>
      <c r="C3848" s="172" t="s">
        <v>7008</v>
      </c>
      <c r="D3848" s="173">
        <v>58.32</v>
      </c>
      <c r="E3848" s="173">
        <v>40.35</v>
      </c>
      <c r="F3848" s="173">
        <v>7.7</v>
      </c>
      <c r="G3848" s="173">
        <v>10.27</v>
      </c>
      <c r="H3848" s="174">
        <v>557.45000000000005</v>
      </c>
      <c r="I3848" s="174">
        <v>464.04</v>
      </c>
      <c r="J3848" s="174">
        <v>41.03</v>
      </c>
      <c r="K3848" s="174">
        <v>52.38</v>
      </c>
      <c r="L3848" s="611">
        <v>9.5584705075445822</v>
      </c>
      <c r="M3848" s="611">
        <v>11.500371747211895</v>
      </c>
      <c r="N3848" s="611">
        <v>5.3285714285714283</v>
      </c>
      <c r="O3848" s="611">
        <v>5.1002921129503411</v>
      </c>
      <c r="P3848" s="175"/>
      <c r="Q3848" s="175"/>
      <c r="R3848" s="175">
        <v>2</v>
      </c>
    </row>
    <row r="3849" spans="1:18" ht="19.5" customHeight="1">
      <c r="A3849" s="630" t="s">
        <v>7009</v>
      </c>
      <c r="B3849" s="631"/>
      <c r="C3849" s="631"/>
      <c r="D3849" s="631"/>
      <c r="E3849" s="631"/>
      <c r="F3849" s="631"/>
      <c r="G3849" s="631"/>
      <c r="H3849" s="631"/>
      <c r="I3849" s="631"/>
      <c r="J3849" s="631"/>
      <c r="K3849" s="631"/>
      <c r="L3849" s="631"/>
      <c r="M3849" s="631"/>
      <c r="N3849" s="631"/>
      <c r="O3849" s="631"/>
      <c r="P3849" s="631"/>
      <c r="Q3849" s="631"/>
      <c r="R3849" s="631"/>
    </row>
    <row r="3850" spans="1:18" ht="12.75" customHeight="1">
      <c r="A3850" s="628" t="s">
        <v>7010</v>
      </c>
      <c r="B3850" s="629"/>
      <c r="C3850" s="629"/>
      <c r="D3850" s="629"/>
      <c r="E3850" s="629"/>
      <c r="F3850" s="629"/>
      <c r="G3850" s="629"/>
      <c r="H3850" s="629"/>
      <c r="I3850" s="629"/>
      <c r="J3850" s="629"/>
      <c r="K3850" s="629"/>
      <c r="L3850" s="629"/>
      <c r="M3850" s="629"/>
      <c r="N3850" s="629"/>
      <c r="O3850" s="629"/>
      <c r="P3850" s="629"/>
      <c r="Q3850" s="629"/>
      <c r="R3850" s="629"/>
    </row>
    <row r="3851" spans="1:18" ht="15.75" customHeight="1">
      <c r="A3851" s="628" t="s">
        <v>7011</v>
      </c>
      <c r="B3851" s="629"/>
      <c r="C3851" s="629"/>
      <c r="D3851" s="629"/>
      <c r="E3851" s="629"/>
      <c r="F3851" s="629"/>
      <c r="G3851" s="629"/>
      <c r="H3851" s="629"/>
      <c r="I3851" s="629"/>
      <c r="J3851" s="629"/>
      <c r="K3851" s="629"/>
      <c r="L3851" s="629"/>
      <c r="M3851" s="629"/>
      <c r="N3851" s="629"/>
      <c r="O3851" s="629"/>
      <c r="P3851" s="629"/>
      <c r="Q3851" s="629"/>
      <c r="R3851" s="629"/>
    </row>
    <row r="3852" spans="1:18" ht="48">
      <c r="A3852" s="165">
        <v>1055</v>
      </c>
      <c r="B3852" s="162" t="s">
        <v>7012</v>
      </c>
      <c r="C3852" s="166" t="s">
        <v>7013</v>
      </c>
      <c r="D3852" s="167">
        <v>155.47999999999999</v>
      </c>
      <c r="E3852" s="167">
        <v>42.9</v>
      </c>
      <c r="F3852" s="167">
        <v>108.62</v>
      </c>
      <c r="G3852" s="167">
        <v>3.96</v>
      </c>
      <c r="H3852" s="168">
        <v>1042.28</v>
      </c>
      <c r="I3852" s="168">
        <v>493.33</v>
      </c>
      <c r="J3852" s="168">
        <v>524.04999999999995</v>
      </c>
      <c r="K3852" s="168">
        <v>24.9</v>
      </c>
      <c r="L3852" s="43">
        <v>6.703627476202727</v>
      </c>
      <c r="M3852" s="43">
        <v>11.499533799533799</v>
      </c>
      <c r="N3852" s="43">
        <v>4.8246179340821209</v>
      </c>
      <c r="O3852" s="43">
        <v>6.2878787878787872</v>
      </c>
      <c r="P3852" s="169"/>
      <c r="Q3852" s="169"/>
      <c r="R3852" s="169">
        <v>1</v>
      </c>
    </row>
    <row r="3853" spans="1:18" ht="48">
      <c r="A3853" s="165">
        <v>1056</v>
      </c>
      <c r="B3853" s="162" t="s">
        <v>7014</v>
      </c>
      <c r="C3853" s="166" t="s">
        <v>7015</v>
      </c>
      <c r="D3853" s="167">
        <v>238.96</v>
      </c>
      <c r="E3853" s="167">
        <v>71.459999999999994</v>
      </c>
      <c r="F3853" s="167">
        <v>162.97</v>
      </c>
      <c r="G3853" s="167">
        <v>4.53</v>
      </c>
      <c r="H3853" s="168">
        <v>1648.53</v>
      </c>
      <c r="I3853" s="168">
        <v>821.77</v>
      </c>
      <c r="J3853" s="168">
        <v>795.3</v>
      </c>
      <c r="K3853" s="168">
        <v>31.46</v>
      </c>
      <c r="L3853" s="43">
        <v>6.8987696685637756</v>
      </c>
      <c r="M3853" s="43">
        <v>11.499720123145817</v>
      </c>
      <c r="N3853" s="43">
        <v>4.8800392710314782</v>
      </c>
      <c r="O3853" s="43">
        <v>6.9448123620309046</v>
      </c>
      <c r="P3853" s="169"/>
      <c r="Q3853" s="169"/>
      <c r="R3853" s="169">
        <v>1</v>
      </c>
    </row>
    <row r="3854" spans="1:18" ht="48">
      <c r="A3854" s="165">
        <v>1057</v>
      </c>
      <c r="B3854" s="162" t="s">
        <v>7016</v>
      </c>
      <c r="C3854" s="166" t="s">
        <v>7017</v>
      </c>
      <c r="D3854" s="167">
        <v>275.14</v>
      </c>
      <c r="E3854" s="167">
        <v>85.68</v>
      </c>
      <c r="F3854" s="167">
        <v>184.65</v>
      </c>
      <c r="G3854" s="167">
        <v>4.8099999999999996</v>
      </c>
      <c r="H3854" s="168">
        <v>1930.28</v>
      </c>
      <c r="I3854" s="168">
        <v>985.3</v>
      </c>
      <c r="J3854" s="168">
        <v>910.3</v>
      </c>
      <c r="K3854" s="168">
        <v>34.68</v>
      </c>
      <c r="L3854" s="43">
        <v>7.0156284073562549</v>
      </c>
      <c r="M3854" s="43">
        <v>11.499766573295984</v>
      </c>
      <c r="N3854" s="43">
        <v>4.9298673165448141</v>
      </c>
      <c r="O3854" s="43">
        <v>7.2099792099792106</v>
      </c>
      <c r="P3854" s="169"/>
      <c r="Q3854" s="169"/>
      <c r="R3854" s="169">
        <v>1</v>
      </c>
    </row>
    <row r="3855" spans="1:18" ht="48">
      <c r="A3855" s="165">
        <v>1058</v>
      </c>
      <c r="B3855" s="162" t="s">
        <v>7018</v>
      </c>
      <c r="C3855" s="166" t="s">
        <v>7019</v>
      </c>
      <c r="D3855" s="167">
        <v>360.96</v>
      </c>
      <c r="E3855" s="167">
        <v>114.23</v>
      </c>
      <c r="F3855" s="167">
        <v>241.35</v>
      </c>
      <c r="G3855" s="167">
        <v>5.38</v>
      </c>
      <c r="H3855" s="168">
        <v>2565.4899999999998</v>
      </c>
      <c r="I3855" s="168">
        <v>1313.74</v>
      </c>
      <c r="J3855" s="168">
        <v>1210.52</v>
      </c>
      <c r="K3855" s="168">
        <v>41.23</v>
      </c>
      <c r="L3855" s="43">
        <v>7.1074080230496453</v>
      </c>
      <c r="M3855" s="43">
        <v>11.500831655432023</v>
      </c>
      <c r="N3855" s="43">
        <v>5.0156204681997103</v>
      </c>
      <c r="O3855" s="43">
        <v>7.6635687732341999</v>
      </c>
      <c r="P3855" s="169"/>
      <c r="Q3855" s="169"/>
      <c r="R3855" s="169">
        <v>1</v>
      </c>
    </row>
    <row r="3856" spans="1:18" ht="48">
      <c r="A3856" s="165">
        <v>1059</v>
      </c>
      <c r="B3856" s="162" t="s">
        <v>7020</v>
      </c>
      <c r="C3856" s="166" t="s">
        <v>7021</v>
      </c>
      <c r="D3856" s="167">
        <v>649.25</v>
      </c>
      <c r="E3856" s="167">
        <v>114.23</v>
      </c>
      <c r="F3856" s="167">
        <v>526.48</v>
      </c>
      <c r="G3856" s="167">
        <v>8.5399999999999991</v>
      </c>
      <c r="H3856" s="168">
        <v>4005.66</v>
      </c>
      <c r="I3856" s="168">
        <v>1313.74</v>
      </c>
      <c r="J3856" s="168">
        <v>2636.96</v>
      </c>
      <c r="K3856" s="168">
        <v>54.96</v>
      </c>
      <c r="L3856" s="43">
        <v>6.1696726992683866</v>
      </c>
      <c r="M3856" s="43">
        <v>11.500831655432023</v>
      </c>
      <c r="N3856" s="43">
        <v>5.0086612976751255</v>
      </c>
      <c r="O3856" s="43">
        <v>6.4355971896955513</v>
      </c>
      <c r="P3856" s="169"/>
      <c r="Q3856" s="169"/>
      <c r="R3856" s="169">
        <v>1</v>
      </c>
    </row>
    <row r="3857" spans="1:18" ht="48">
      <c r="A3857" s="165">
        <v>1060</v>
      </c>
      <c r="B3857" s="162" t="s">
        <v>7022</v>
      </c>
      <c r="C3857" s="166" t="s">
        <v>7023</v>
      </c>
      <c r="D3857" s="167">
        <v>967.51</v>
      </c>
      <c r="E3857" s="167">
        <v>186.05</v>
      </c>
      <c r="F3857" s="167">
        <v>769.16</v>
      </c>
      <c r="G3857" s="167">
        <v>12.3</v>
      </c>
      <c r="H3857" s="168">
        <v>6090.04</v>
      </c>
      <c r="I3857" s="168">
        <v>2139.6</v>
      </c>
      <c r="J3857" s="168">
        <v>3867.67</v>
      </c>
      <c r="K3857" s="168">
        <v>82.77</v>
      </c>
      <c r="L3857" s="43">
        <v>6.294549927132536</v>
      </c>
      <c r="M3857" s="43">
        <v>11.500134372480515</v>
      </c>
      <c r="N3857" s="43">
        <v>5.0284336158926628</v>
      </c>
      <c r="O3857" s="43">
        <v>6.7292682926829261</v>
      </c>
      <c r="P3857" s="169"/>
      <c r="Q3857" s="169"/>
      <c r="R3857" s="169">
        <v>1</v>
      </c>
    </row>
    <row r="3858" spans="1:18" ht="48">
      <c r="A3858" s="165">
        <v>1061</v>
      </c>
      <c r="B3858" s="162" t="s">
        <v>7024</v>
      </c>
      <c r="C3858" s="166" t="s">
        <v>7025</v>
      </c>
      <c r="D3858" s="167">
        <v>1316.69</v>
      </c>
      <c r="E3858" s="167">
        <v>214.49</v>
      </c>
      <c r="F3858" s="167">
        <v>1032.3800000000001</v>
      </c>
      <c r="G3858" s="167">
        <v>69.819999999999993</v>
      </c>
      <c r="H3858" s="168">
        <v>8061.39</v>
      </c>
      <c r="I3858" s="168">
        <v>2466.67</v>
      </c>
      <c r="J3858" s="168">
        <v>5230.0600000000004</v>
      </c>
      <c r="K3858" s="168">
        <v>364.66</v>
      </c>
      <c r="L3858" s="43">
        <v>6.1224661841435726</v>
      </c>
      <c r="M3858" s="43">
        <v>11.500163177770526</v>
      </c>
      <c r="N3858" s="43">
        <v>5.0660222011274918</v>
      </c>
      <c r="O3858" s="43">
        <v>5.2228587797192789</v>
      </c>
      <c r="P3858" s="169"/>
      <c r="Q3858" s="169"/>
      <c r="R3858" s="169">
        <v>1</v>
      </c>
    </row>
    <row r="3859" spans="1:18" ht="48">
      <c r="A3859" s="165">
        <v>1062</v>
      </c>
      <c r="B3859" s="162" t="s">
        <v>7026</v>
      </c>
      <c r="C3859" s="166" t="s">
        <v>7027</v>
      </c>
      <c r="D3859" s="167">
        <v>1894.67</v>
      </c>
      <c r="E3859" s="167">
        <v>271.37</v>
      </c>
      <c r="F3859" s="167">
        <v>1531.16</v>
      </c>
      <c r="G3859" s="167">
        <v>92.14</v>
      </c>
      <c r="H3859" s="168">
        <v>11400.54</v>
      </c>
      <c r="I3859" s="168">
        <v>3120.81</v>
      </c>
      <c r="J3859" s="168">
        <v>7824.05</v>
      </c>
      <c r="K3859" s="168">
        <v>455.68</v>
      </c>
      <c r="L3859" s="43">
        <v>6.0171639388389533</v>
      </c>
      <c r="M3859" s="43">
        <v>11.500202675314146</v>
      </c>
      <c r="N3859" s="43">
        <v>5.1098840095091305</v>
      </c>
      <c r="O3859" s="43">
        <v>4.9455176904710223</v>
      </c>
      <c r="P3859" s="169"/>
      <c r="Q3859" s="169"/>
      <c r="R3859" s="169">
        <v>1</v>
      </c>
    </row>
    <row r="3860" spans="1:18" ht="48">
      <c r="A3860" s="165">
        <v>1063</v>
      </c>
      <c r="B3860" s="162" t="s">
        <v>7028</v>
      </c>
      <c r="C3860" s="166" t="s">
        <v>7029</v>
      </c>
      <c r="D3860" s="167">
        <v>2404.48</v>
      </c>
      <c r="E3860" s="167">
        <v>342.47</v>
      </c>
      <c r="F3860" s="167">
        <v>1745.78</v>
      </c>
      <c r="G3860" s="167">
        <v>316.23</v>
      </c>
      <c r="H3860" s="168">
        <v>14178.84</v>
      </c>
      <c r="I3860" s="168">
        <v>3938.49</v>
      </c>
      <c r="J3860" s="168">
        <v>8938.01</v>
      </c>
      <c r="K3860" s="168">
        <v>1302.3399999999999</v>
      </c>
      <c r="L3860" s="43">
        <v>5.8968425605536332</v>
      </c>
      <c r="M3860" s="43">
        <v>11.500248196922357</v>
      </c>
      <c r="N3860" s="43">
        <v>5.1197802701371309</v>
      </c>
      <c r="O3860" s="43">
        <v>4.1183315940929068</v>
      </c>
      <c r="P3860" s="169"/>
      <c r="Q3860" s="169"/>
      <c r="R3860" s="169">
        <v>1</v>
      </c>
    </row>
    <row r="3861" spans="1:18" ht="48">
      <c r="A3861" s="165">
        <v>1064</v>
      </c>
      <c r="B3861" s="162" t="s">
        <v>7030</v>
      </c>
      <c r="C3861" s="166" t="s">
        <v>7031</v>
      </c>
      <c r="D3861" s="167">
        <v>3645.54</v>
      </c>
      <c r="E3861" s="167">
        <v>500.07</v>
      </c>
      <c r="F3861" s="167">
        <v>2826.09</v>
      </c>
      <c r="G3861" s="167">
        <v>319.38</v>
      </c>
      <c r="H3861" s="168">
        <v>21571.05</v>
      </c>
      <c r="I3861" s="168">
        <v>5751.02</v>
      </c>
      <c r="J3861" s="168">
        <v>14481.47</v>
      </c>
      <c r="K3861" s="168">
        <v>1338.56</v>
      </c>
      <c r="L3861" s="43">
        <v>5.917106930660478</v>
      </c>
      <c r="M3861" s="43">
        <v>11.500429939808427</v>
      </c>
      <c r="N3861" s="43">
        <v>5.1242069431617532</v>
      </c>
      <c r="O3861" s="43">
        <v>4.1911202955726718</v>
      </c>
      <c r="P3861" s="169"/>
      <c r="Q3861" s="169"/>
      <c r="R3861" s="169">
        <v>1</v>
      </c>
    </row>
    <row r="3862" spans="1:18" ht="48">
      <c r="A3862" s="165">
        <v>1065</v>
      </c>
      <c r="B3862" s="162" t="s">
        <v>7032</v>
      </c>
      <c r="C3862" s="166" t="s">
        <v>7033</v>
      </c>
      <c r="D3862" s="167">
        <v>4617.17</v>
      </c>
      <c r="E3862" s="167">
        <v>643.46</v>
      </c>
      <c r="F3862" s="167">
        <v>3647.63</v>
      </c>
      <c r="G3862" s="167">
        <v>326.08</v>
      </c>
      <c r="H3862" s="168">
        <v>27450.04</v>
      </c>
      <c r="I3862" s="168">
        <v>7400</v>
      </c>
      <c r="J3862" s="168">
        <v>18665.189999999999</v>
      </c>
      <c r="K3862" s="168">
        <v>1384.85</v>
      </c>
      <c r="L3862" s="43">
        <v>5.9452088617053302</v>
      </c>
      <c r="M3862" s="43">
        <v>11.500326360612936</v>
      </c>
      <c r="N3862" s="43">
        <v>5.1170732777173118</v>
      </c>
      <c r="O3862" s="43">
        <v>4.2469639352306183</v>
      </c>
      <c r="P3862" s="169"/>
      <c r="Q3862" s="169"/>
      <c r="R3862" s="169">
        <v>1</v>
      </c>
    </row>
    <row r="3863" spans="1:18" ht="48">
      <c r="A3863" s="165">
        <v>1066</v>
      </c>
      <c r="B3863" s="162" t="s">
        <v>7034</v>
      </c>
      <c r="C3863" s="166" t="s">
        <v>7035</v>
      </c>
      <c r="D3863" s="167">
        <v>6275.36</v>
      </c>
      <c r="E3863" s="167">
        <v>870.98</v>
      </c>
      <c r="F3863" s="167">
        <v>4437.88</v>
      </c>
      <c r="G3863" s="167">
        <v>966.5</v>
      </c>
      <c r="H3863" s="168">
        <v>36393.93</v>
      </c>
      <c r="I3863" s="168">
        <v>10016.58</v>
      </c>
      <c r="J3863" s="168">
        <v>22581.11</v>
      </c>
      <c r="K3863" s="168">
        <v>3796.24</v>
      </c>
      <c r="L3863" s="43">
        <v>5.7994967619387578</v>
      </c>
      <c r="M3863" s="43">
        <v>11.500355920916668</v>
      </c>
      <c r="N3863" s="43">
        <v>5.088265117578664</v>
      </c>
      <c r="O3863" s="43">
        <v>3.9278220382824625</v>
      </c>
      <c r="P3863" s="169"/>
      <c r="Q3863" s="169"/>
      <c r="R3863" s="169">
        <v>1</v>
      </c>
    </row>
    <row r="3864" spans="1:18" ht="48">
      <c r="A3864" s="165">
        <v>1067</v>
      </c>
      <c r="B3864" s="162" t="s">
        <v>7036</v>
      </c>
      <c r="C3864" s="166" t="s">
        <v>7037</v>
      </c>
      <c r="D3864" s="167">
        <v>277.83999999999997</v>
      </c>
      <c r="E3864" s="167">
        <v>69.319999999999993</v>
      </c>
      <c r="F3864" s="167">
        <v>184.65</v>
      </c>
      <c r="G3864" s="167">
        <v>23.87</v>
      </c>
      <c r="H3864" s="168">
        <v>1774.92</v>
      </c>
      <c r="I3864" s="168">
        <v>797.24</v>
      </c>
      <c r="J3864" s="168">
        <v>910.3</v>
      </c>
      <c r="K3864" s="168">
        <v>67.38</v>
      </c>
      <c r="L3864" s="43">
        <v>6.3882810250503894</v>
      </c>
      <c r="M3864" s="43">
        <v>11.500865551067514</v>
      </c>
      <c r="N3864" s="43">
        <v>4.9298673165448141</v>
      </c>
      <c r="O3864" s="43">
        <v>2.8227901131126933</v>
      </c>
      <c r="P3864" s="169"/>
      <c r="Q3864" s="169"/>
      <c r="R3864" s="169">
        <v>1</v>
      </c>
    </row>
    <row r="3865" spans="1:18" ht="36">
      <c r="A3865" s="165">
        <v>1068</v>
      </c>
      <c r="B3865" s="162" t="s">
        <v>7038</v>
      </c>
      <c r="C3865" s="166" t="s">
        <v>7039</v>
      </c>
      <c r="D3865" s="167">
        <v>402.47</v>
      </c>
      <c r="E3865" s="167">
        <v>111.63</v>
      </c>
      <c r="F3865" s="167">
        <v>266.13</v>
      </c>
      <c r="G3865" s="167">
        <v>24.71</v>
      </c>
      <c r="H3865" s="168">
        <v>2668.74</v>
      </c>
      <c r="I3865" s="168">
        <v>1283.76</v>
      </c>
      <c r="J3865" s="168">
        <v>1307.94</v>
      </c>
      <c r="K3865" s="168">
        <v>77.040000000000006</v>
      </c>
      <c r="L3865" s="43">
        <v>6.6309041667701933</v>
      </c>
      <c r="M3865" s="43">
        <v>11.500134372480517</v>
      </c>
      <c r="N3865" s="43">
        <v>4.9146657648517644</v>
      </c>
      <c r="O3865" s="43">
        <v>3.1177660866046137</v>
      </c>
      <c r="P3865" s="169"/>
      <c r="Q3865" s="169"/>
      <c r="R3865" s="169">
        <v>1</v>
      </c>
    </row>
    <row r="3866" spans="1:18" ht="48">
      <c r="A3866" s="165">
        <v>1069</v>
      </c>
      <c r="B3866" s="162" t="s">
        <v>7040</v>
      </c>
      <c r="C3866" s="166" t="s">
        <v>7041</v>
      </c>
      <c r="D3866" s="167">
        <v>460.21</v>
      </c>
      <c r="E3866" s="167">
        <v>139.83000000000001</v>
      </c>
      <c r="F3866" s="167">
        <v>295.10000000000002</v>
      </c>
      <c r="G3866" s="167">
        <v>25.28</v>
      </c>
      <c r="H3866" s="168">
        <v>3150.62</v>
      </c>
      <c r="I3866" s="168">
        <v>1608.1</v>
      </c>
      <c r="J3866" s="168">
        <v>1458.93</v>
      </c>
      <c r="K3866" s="168">
        <v>83.59</v>
      </c>
      <c r="L3866" s="43">
        <v>6.8460485430564306</v>
      </c>
      <c r="M3866" s="43">
        <v>11.50039333476364</v>
      </c>
      <c r="N3866" s="43">
        <v>4.9438495425279561</v>
      </c>
      <c r="O3866" s="43">
        <v>3.3065664556962027</v>
      </c>
      <c r="P3866" s="169"/>
      <c r="Q3866" s="169"/>
      <c r="R3866" s="169">
        <v>1</v>
      </c>
    </row>
    <row r="3867" spans="1:18" ht="48">
      <c r="A3867" s="165">
        <v>1070</v>
      </c>
      <c r="B3867" s="162" t="s">
        <v>7042</v>
      </c>
      <c r="C3867" s="166" t="s">
        <v>7043</v>
      </c>
      <c r="D3867" s="167">
        <v>554.04</v>
      </c>
      <c r="E3867" s="167">
        <v>178.94</v>
      </c>
      <c r="F3867" s="167">
        <v>349.04</v>
      </c>
      <c r="G3867" s="167">
        <v>26.06</v>
      </c>
      <c r="H3867" s="168">
        <v>3894.62</v>
      </c>
      <c r="I3867" s="168">
        <v>2057.83</v>
      </c>
      <c r="J3867" s="168">
        <v>1744.23</v>
      </c>
      <c r="K3867" s="168">
        <v>92.56</v>
      </c>
      <c r="L3867" s="43">
        <v>7.0294924554183815</v>
      </c>
      <c r="M3867" s="43">
        <v>11.500111769308148</v>
      </c>
      <c r="N3867" s="43">
        <v>4.997220948888379</v>
      </c>
      <c r="O3867" s="43">
        <v>3.5518035303146589</v>
      </c>
      <c r="P3867" s="169"/>
      <c r="Q3867" s="169"/>
      <c r="R3867" s="169">
        <v>1</v>
      </c>
    </row>
    <row r="3868" spans="1:18" ht="36">
      <c r="A3868" s="165">
        <v>1071</v>
      </c>
      <c r="B3868" s="162" t="s">
        <v>7044</v>
      </c>
      <c r="C3868" s="166" t="s">
        <v>7045</v>
      </c>
      <c r="D3868" s="167">
        <v>1055.79</v>
      </c>
      <c r="E3868" s="167">
        <v>180.12</v>
      </c>
      <c r="F3868" s="167">
        <v>765.39</v>
      </c>
      <c r="G3868" s="167">
        <v>110.28</v>
      </c>
      <c r="H3868" s="168">
        <v>6296.33</v>
      </c>
      <c r="I3868" s="168">
        <v>2071.46</v>
      </c>
      <c r="J3868" s="168">
        <v>3800.06</v>
      </c>
      <c r="K3868" s="168">
        <v>424.81</v>
      </c>
      <c r="L3868" s="43">
        <v>5.963619659212533</v>
      </c>
      <c r="M3868" s="43">
        <v>11.500444148345547</v>
      </c>
      <c r="N3868" s="43">
        <v>4.9648675838461438</v>
      </c>
      <c r="O3868" s="43">
        <v>3.8521037359448678</v>
      </c>
      <c r="P3868" s="169"/>
      <c r="Q3868" s="169"/>
      <c r="R3868" s="169">
        <v>1</v>
      </c>
    </row>
    <row r="3869" spans="1:18" ht="36">
      <c r="A3869" s="165">
        <v>1072</v>
      </c>
      <c r="B3869" s="162" t="s">
        <v>7046</v>
      </c>
      <c r="C3869" s="166" t="s">
        <v>7047</v>
      </c>
      <c r="D3869" s="167">
        <v>1469.94</v>
      </c>
      <c r="E3869" s="167">
        <v>277.29000000000002</v>
      </c>
      <c r="F3869" s="167">
        <v>1080.42</v>
      </c>
      <c r="G3869" s="167">
        <v>112.23</v>
      </c>
      <c r="H3869" s="168">
        <v>9004.0400000000009</v>
      </c>
      <c r="I3869" s="168">
        <v>3188.95</v>
      </c>
      <c r="J3869" s="168">
        <v>5367.85</v>
      </c>
      <c r="K3869" s="168">
        <v>447.24</v>
      </c>
      <c r="L3869" s="43">
        <v>6.1254472971685923</v>
      </c>
      <c r="M3869" s="43">
        <v>11.500414728262829</v>
      </c>
      <c r="N3869" s="43">
        <v>4.9682993650617355</v>
      </c>
      <c r="O3869" s="43">
        <v>3.9850307404437317</v>
      </c>
      <c r="P3869" s="169"/>
      <c r="Q3869" s="169"/>
      <c r="R3869" s="169">
        <v>1</v>
      </c>
    </row>
    <row r="3870" spans="1:18" ht="36">
      <c r="A3870" s="165">
        <v>1073</v>
      </c>
      <c r="B3870" s="162" t="s">
        <v>7048</v>
      </c>
      <c r="C3870" s="166" t="s">
        <v>7049</v>
      </c>
      <c r="D3870" s="167">
        <v>1901.13</v>
      </c>
      <c r="E3870" s="167">
        <v>330.62</v>
      </c>
      <c r="F3870" s="167">
        <v>1412.06</v>
      </c>
      <c r="G3870" s="167">
        <v>158.44999999999999</v>
      </c>
      <c r="H3870" s="168">
        <v>11449.08</v>
      </c>
      <c r="I3870" s="168">
        <v>3802.21</v>
      </c>
      <c r="J3870" s="168">
        <v>7069.06</v>
      </c>
      <c r="K3870" s="168">
        <v>577.80999999999995</v>
      </c>
      <c r="L3870" s="43">
        <v>6.0222499250445782</v>
      </c>
      <c r="M3870" s="43">
        <v>11.50024196963281</v>
      </c>
      <c r="N3870" s="43">
        <v>5.0062037023922503</v>
      </c>
      <c r="O3870" s="43">
        <v>3.6466393183969705</v>
      </c>
      <c r="P3870" s="169"/>
      <c r="Q3870" s="169"/>
      <c r="R3870" s="169">
        <v>1</v>
      </c>
    </row>
    <row r="3871" spans="1:18" ht="72">
      <c r="A3871" s="165">
        <v>1074</v>
      </c>
      <c r="B3871" s="162" t="s">
        <v>7050</v>
      </c>
      <c r="C3871" s="166" t="s">
        <v>7051</v>
      </c>
      <c r="D3871" s="167">
        <v>132.18</v>
      </c>
      <c r="E3871" s="167">
        <v>14.34</v>
      </c>
      <c r="F3871" s="167">
        <v>0.93</v>
      </c>
      <c r="G3871" s="167">
        <v>116.91</v>
      </c>
      <c r="H3871" s="168">
        <v>521.08000000000004</v>
      </c>
      <c r="I3871" s="168">
        <v>164.9</v>
      </c>
      <c r="J3871" s="168">
        <v>4.91</v>
      </c>
      <c r="K3871" s="168">
        <v>351.27</v>
      </c>
      <c r="L3871" s="43">
        <v>3.9422000302617644</v>
      </c>
      <c r="M3871" s="43">
        <v>11.499302649930266</v>
      </c>
      <c r="N3871" s="43">
        <v>5.279569892473118</v>
      </c>
      <c r="O3871" s="43">
        <v>3.0046189376443415</v>
      </c>
      <c r="P3871" s="169"/>
      <c r="Q3871" s="169"/>
      <c r="R3871" s="169">
        <v>1</v>
      </c>
    </row>
    <row r="3872" spans="1:18" ht="72">
      <c r="A3872" s="165">
        <v>1075</v>
      </c>
      <c r="B3872" s="162" t="s">
        <v>7052</v>
      </c>
      <c r="C3872" s="166" t="s">
        <v>7053</v>
      </c>
      <c r="D3872" s="167">
        <v>146.71</v>
      </c>
      <c r="E3872" s="167">
        <v>28.56</v>
      </c>
      <c r="F3872" s="167">
        <v>0.96</v>
      </c>
      <c r="G3872" s="167">
        <v>117.19</v>
      </c>
      <c r="H3872" s="168">
        <v>687.96</v>
      </c>
      <c r="I3872" s="168">
        <v>328.43</v>
      </c>
      <c r="J3872" s="168">
        <v>5.04</v>
      </c>
      <c r="K3872" s="168">
        <v>354.49</v>
      </c>
      <c r="L3872" s="43">
        <v>4.6892509031422538</v>
      </c>
      <c r="M3872" s="43">
        <v>11.499649859943979</v>
      </c>
      <c r="N3872" s="43">
        <v>5.25</v>
      </c>
      <c r="O3872" s="43">
        <v>3.0249168017748955</v>
      </c>
      <c r="P3872" s="169"/>
      <c r="Q3872" s="169"/>
      <c r="R3872" s="169">
        <v>1</v>
      </c>
    </row>
    <row r="3873" spans="1:18" ht="72">
      <c r="A3873" s="165">
        <v>1076</v>
      </c>
      <c r="B3873" s="162" t="s">
        <v>7054</v>
      </c>
      <c r="C3873" s="166" t="s">
        <v>7055</v>
      </c>
      <c r="D3873" s="167">
        <v>167.13</v>
      </c>
      <c r="E3873" s="167">
        <v>28.56</v>
      </c>
      <c r="F3873" s="167">
        <v>0.96</v>
      </c>
      <c r="G3873" s="167">
        <v>137.61000000000001</v>
      </c>
      <c r="H3873" s="168">
        <v>790.57</v>
      </c>
      <c r="I3873" s="168">
        <v>328.43</v>
      </c>
      <c r="J3873" s="168">
        <v>5.04</v>
      </c>
      <c r="K3873" s="168">
        <v>457.1</v>
      </c>
      <c r="L3873" s="43">
        <v>4.7302698498175078</v>
      </c>
      <c r="M3873" s="43">
        <v>11.499649859943979</v>
      </c>
      <c r="N3873" s="43">
        <v>5.25</v>
      </c>
      <c r="O3873" s="43">
        <v>3.3217062713465588</v>
      </c>
      <c r="P3873" s="169"/>
      <c r="Q3873" s="169"/>
      <c r="R3873" s="169">
        <v>1</v>
      </c>
    </row>
    <row r="3874" spans="1:18" ht="72">
      <c r="A3874" s="165">
        <v>1077</v>
      </c>
      <c r="B3874" s="162" t="s">
        <v>7056</v>
      </c>
      <c r="C3874" s="166" t="s">
        <v>7057</v>
      </c>
      <c r="D3874" s="167">
        <v>167.15</v>
      </c>
      <c r="E3874" s="167">
        <v>28.56</v>
      </c>
      <c r="F3874" s="167">
        <v>0.98</v>
      </c>
      <c r="G3874" s="167">
        <v>137.61000000000001</v>
      </c>
      <c r="H3874" s="168">
        <v>790.7</v>
      </c>
      <c r="I3874" s="168">
        <v>328.43</v>
      </c>
      <c r="J3874" s="168">
        <v>5.17</v>
      </c>
      <c r="K3874" s="168">
        <v>457.1</v>
      </c>
      <c r="L3874" s="43">
        <v>4.7304816033502846</v>
      </c>
      <c r="M3874" s="43">
        <v>11.499649859943979</v>
      </c>
      <c r="N3874" s="43">
        <v>5.2755102040816331</v>
      </c>
      <c r="O3874" s="43">
        <v>3.3217062713465588</v>
      </c>
      <c r="P3874" s="169"/>
      <c r="Q3874" s="169"/>
      <c r="R3874" s="169">
        <v>1</v>
      </c>
    </row>
    <row r="3875" spans="1:18" ht="72">
      <c r="A3875" s="165">
        <v>1078</v>
      </c>
      <c r="B3875" s="162" t="s">
        <v>7058</v>
      </c>
      <c r="C3875" s="166" t="s">
        <v>7059</v>
      </c>
      <c r="D3875" s="167">
        <v>168.06</v>
      </c>
      <c r="E3875" s="167">
        <v>43.02</v>
      </c>
      <c r="F3875" s="167">
        <v>3.81</v>
      </c>
      <c r="G3875" s="167">
        <v>121.23</v>
      </c>
      <c r="H3875" s="168">
        <v>903.76</v>
      </c>
      <c r="I3875" s="168">
        <v>494.7</v>
      </c>
      <c r="J3875" s="168">
        <v>20.36</v>
      </c>
      <c r="K3875" s="168">
        <v>388.7</v>
      </c>
      <c r="L3875" s="43">
        <v>5.377603236939188</v>
      </c>
      <c r="M3875" s="43">
        <v>11.499302649930264</v>
      </c>
      <c r="N3875" s="43">
        <v>5.3438320209973753</v>
      </c>
      <c r="O3875" s="43">
        <v>3.2063020704446092</v>
      </c>
      <c r="P3875" s="169"/>
      <c r="Q3875" s="169"/>
      <c r="R3875" s="169">
        <v>1</v>
      </c>
    </row>
    <row r="3876" spans="1:18" ht="72">
      <c r="A3876" s="165">
        <v>1079</v>
      </c>
      <c r="B3876" s="162" t="s">
        <v>7060</v>
      </c>
      <c r="C3876" s="166" t="s">
        <v>7061</v>
      </c>
      <c r="D3876" s="167">
        <v>185.93</v>
      </c>
      <c r="E3876" s="167">
        <v>43.02</v>
      </c>
      <c r="F3876" s="167">
        <v>3.73</v>
      </c>
      <c r="G3876" s="167">
        <v>139.18</v>
      </c>
      <c r="H3876" s="168">
        <v>1009.73</v>
      </c>
      <c r="I3876" s="168">
        <v>494.7</v>
      </c>
      <c r="J3876" s="168">
        <v>19.97</v>
      </c>
      <c r="K3876" s="168">
        <v>495.06</v>
      </c>
      <c r="L3876" s="43">
        <v>5.4306997257032217</v>
      </c>
      <c r="M3876" s="43">
        <v>11.499302649930264</v>
      </c>
      <c r="N3876" s="43">
        <v>5.3538873994638063</v>
      </c>
      <c r="O3876" s="43">
        <v>3.5569765770944102</v>
      </c>
      <c r="P3876" s="169"/>
      <c r="Q3876" s="169"/>
      <c r="R3876" s="169">
        <v>1</v>
      </c>
    </row>
    <row r="3877" spans="1:18" ht="72">
      <c r="A3877" s="165">
        <v>1080</v>
      </c>
      <c r="B3877" s="162" t="s">
        <v>7062</v>
      </c>
      <c r="C3877" s="166" t="s">
        <v>7063</v>
      </c>
      <c r="D3877" s="167">
        <v>200.31</v>
      </c>
      <c r="E3877" s="167">
        <v>57.12</v>
      </c>
      <c r="F3877" s="167">
        <v>3.73</v>
      </c>
      <c r="G3877" s="167">
        <v>139.46</v>
      </c>
      <c r="H3877" s="168">
        <v>1175.1199999999999</v>
      </c>
      <c r="I3877" s="168">
        <v>656.87</v>
      </c>
      <c r="J3877" s="168">
        <v>19.97</v>
      </c>
      <c r="K3877" s="168">
        <v>498.28</v>
      </c>
      <c r="L3877" s="43">
        <v>5.8665069142828612</v>
      </c>
      <c r="M3877" s="43">
        <v>11.499824929971989</v>
      </c>
      <c r="N3877" s="43">
        <v>5.3538873994638063</v>
      </c>
      <c r="O3877" s="43">
        <v>3.5729241359529609</v>
      </c>
      <c r="P3877" s="169"/>
      <c r="Q3877" s="169"/>
      <c r="R3877" s="169">
        <v>1</v>
      </c>
    </row>
    <row r="3878" spans="1:18" ht="72">
      <c r="A3878" s="165">
        <v>1081</v>
      </c>
      <c r="B3878" s="162" t="s">
        <v>7064</v>
      </c>
      <c r="C3878" s="166" t="s">
        <v>7065</v>
      </c>
      <c r="D3878" s="167">
        <v>215.58</v>
      </c>
      <c r="E3878" s="167">
        <v>72.05</v>
      </c>
      <c r="F3878" s="167">
        <v>3.77</v>
      </c>
      <c r="G3878" s="167">
        <v>139.76</v>
      </c>
      <c r="H3878" s="168">
        <v>1350.48</v>
      </c>
      <c r="I3878" s="168">
        <v>828.58</v>
      </c>
      <c r="J3878" s="168">
        <v>20.170000000000002</v>
      </c>
      <c r="K3878" s="168">
        <v>501.73</v>
      </c>
      <c r="L3878" s="43">
        <v>6.2644030058446978</v>
      </c>
      <c r="M3878" s="43">
        <v>11.500069396252604</v>
      </c>
      <c r="N3878" s="43">
        <v>5.3501326259946955</v>
      </c>
      <c r="O3878" s="43">
        <v>3.5899398969662282</v>
      </c>
      <c r="P3878" s="169"/>
      <c r="Q3878" s="169"/>
      <c r="R3878" s="169">
        <v>1</v>
      </c>
    </row>
    <row r="3879" spans="1:18" ht="72">
      <c r="A3879" s="165">
        <v>1082</v>
      </c>
      <c r="B3879" s="162" t="s">
        <v>7066</v>
      </c>
      <c r="C3879" s="166" t="s">
        <v>7067</v>
      </c>
      <c r="D3879" s="167">
        <v>250.02</v>
      </c>
      <c r="E3879" s="167">
        <v>85.68</v>
      </c>
      <c r="F3879" s="167">
        <v>3.77</v>
      </c>
      <c r="G3879" s="167">
        <v>160.57</v>
      </c>
      <c r="H3879" s="168">
        <v>1635.4</v>
      </c>
      <c r="I3879" s="168">
        <v>985.3</v>
      </c>
      <c r="J3879" s="168">
        <v>20.170000000000002</v>
      </c>
      <c r="K3879" s="168">
        <v>629.92999999999995</v>
      </c>
      <c r="L3879" s="43">
        <v>6.5410767138628909</v>
      </c>
      <c r="M3879" s="43">
        <v>11.499766573295984</v>
      </c>
      <c r="N3879" s="43">
        <v>5.3501326259946955</v>
      </c>
      <c r="O3879" s="43">
        <v>3.9230865043283303</v>
      </c>
      <c r="P3879" s="169"/>
      <c r="Q3879" s="169"/>
      <c r="R3879" s="169">
        <v>1</v>
      </c>
    </row>
    <row r="3880" spans="1:18" ht="84">
      <c r="A3880" s="165">
        <v>1083</v>
      </c>
      <c r="B3880" s="162" t="s">
        <v>7068</v>
      </c>
      <c r="C3880" s="166" t="s">
        <v>7069</v>
      </c>
      <c r="D3880" s="167">
        <v>200.72</v>
      </c>
      <c r="E3880" s="167">
        <v>28.56</v>
      </c>
      <c r="F3880" s="167">
        <v>1.03</v>
      </c>
      <c r="G3880" s="167">
        <v>171.13</v>
      </c>
      <c r="H3880" s="168">
        <v>774.15</v>
      </c>
      <c r="I3880" s="168">
        <v>328.43</v>
      </c>
      <c r="J3880" s="168">
        <v>5.43</v>
      </c>
      <c r="K3880" s="168">
        <v>440.29</v>
      </c>
      <c r="L3880" s="43">
        <v>3.8568652849740932</v>
      </c>
      <c r="M3880" s="43">
        <v>11.499649859943979</v>
      </c>
      <c r="N3880" s="43">
        <v>5.2718446601941746</v>
      </c>
      <c r="O3880" s="43">
        <v>2.5728393618886227</v>
      </c>
      <c r="P3880" s="169"/>
      <c r="Q3880" s="169"/>
      <c r="R3880" s="169">
        <v>1</v>
      </c>
    </row>
    <row r="3881" spans="1:18" ht="84">
      <c r="A3881" s="165">
        <v>1084</v>
      </c>
      <c r="B3881" s="162" t="s">
        <v>7070</v>
      </c>
      <c r="C3881" s="166" t="s">
        <v>7071</v>
      </c>
      <c r="D3881" s="167">
        <v>284.60000000000002</v>
      </c>
      <c r="E3881" s="167">
        <v>43.02</v>
      </c>
      <c r="F3881" s="167">
        <v>1.05</v>
      </c>
      <c r="G3881" s="167">
        <v>240.53</v>
      </c>
      <c r="H3881" s="168">
        <v>1115.99</v>
      </c>
      <c r="I3881" s="168">
        <v>494.7</v>
      </c>
      <c r="J3881" s="168">
        <v>5.5</v>
      </c>
      <c r="K3881" s="168">
        <v>615.79</v>
      </c>
      <c r="L3881" s="43">
        <v>3.9212579058327472</v>
      </c>
      <c r="M3881" s="43">
        <v>11.499302649930264</v>
      </c>
      <c r="N3881" s="43">
        <v>5.2380952380952381</v>
      </c>
      <c r="O3881" s="43">
        <v>2.5601380285203508</v>
      </c>
      <c r="P3881" s="169"/>
      <c r="Q3881" s="169"/>
      <c r="R3881" s="169">
        <v>1</v>
      </c>
    </row>
    <row r="3882" spans="1:18" ht="84">
      <c r="A3882" s="165">
        <v>1085</v>
      </c>
      <c r="B3882" s="162" t="s">
        <v>7072</v>
      </c>
      <c r="C3882" s="166" t="s">
        <v>7073</v>
      </c>
      <c r="D3882" s="167">
        <v>226.7</v>
      </c>
      <c r="E3882" s="167">
        <v>43.02</v>
      </c>
      <c r="F3882" s="167">
        <v>1.06</v>
      </c>
      <c r="G3882" s="167">
        <v>182.62</v>
      </c>
      <c r="H3882" s="168">
        <v>986.91</v>
      </c>
      <c r="I3882" s="168">
        <v>494.7</v>
      </c>
      <c r="J3882" s="168">
        <v>5.56</v>
      </c>
      <c r="K3882" s="168">
        <v>486.65</v>
      </c>
      <c r="L3882" s="43">
        <v>4.3533745037494489</v>
      </c>
      <c r="M3882" s="43">
        <v>11.499302649930264</v>
      </c>
      <c r="N3882" s="43">
        <v>5.2452830188679238</v>
      </c>
      <c r="O3882" s="43">
        <v>2.6648231299967144</v>
      </c>
      <c r="P3882" s="169"/>
      <c r="Q3882" s="169"/>
      <c r="R3882" s="169">
        <v>1</v>
      </c>
    </row>
    <row r="3883" spans="1:18" ht="84">
      <c r="A3883" s="165">
        <v>1086</v>
      </c>
      <c r="B3883" s="162" t="s">
        <v>7074</v>
      </c>
      <c r="C3883" s="166" t="s">
        <v>7075</v>
      </c>
      <c r="D3883" s="167">
        <v>226.93</v>
      </c>
      <c r="E3883" s="167">
        <v>43.02</v>
      </c>
      <c r="F3883" s="167">
        <v>1.07</v>
      </c>
      <c r="G3883" s="167">
        <v>182.84</v>
      </c>
      <c r="H3883" s="168">
        <v>987.69</v>
      </c>
      <c r="I3883" s="168">
        <v>494.7</v>
      </c>
      <c r="J3883" s="168">
        <v>5.63</v>
      </c>
      <c r="K3883" s="168">
        <v>487.36</v>
      </c>
      <c r="L3883" s="43">
        <v>4.3523994183228307</v>
      </c>
      <c r="M3883" s="43">
        <v>11.499302649930264</v>
      </c>
      <c r="N3883" s="43">
        <v>5.2616822429906538</v>
      </c>
      <c r="O3883" s="43">
        <v>2.6654998906147451</v>
      </c>
      <c r="P3883" s="169"/>
      <c r="Q3883" s="169"/>
      <c r="R3883" s="169">
        <v>1</v>
      </c>
    </row>
    <row r="3884" spans="1:18" ht="84">
      <c r="A3884" s="165">
        <v>1087</v>
      </c>
      <c r="B3884" s="162" t="s">
        <v>7076</v>
      </c>
      <c r="C3884" s="166" t="s">
        <v>7077</v>
      </c>
      <c r="D3884" s="167">
        <v>248.29</v>
      </c>
      <c r="E3884" s="167">
        <v>57.12</v>
      </c>
      <c r="F3884" s="167">
        <v>3.91</v>
      </c>
      <c r="G3884" s="167">
        <v>187.26</v>
      </c>
      <c r="H3884" s="168">
        <v>1225.8499999999999</v>
      </c>
      <c r="I3884" s="168">
        <v>656.87</v>
      </c>
      <c r="J3884" s="168">
        <v>20.89</v>
      </c>
      <c r="K3884" s="168">
        <v>548.09</v>
      </c>
      <c r="L3884" s="43">
        <v>4.9371702444721892</v>
      </c>
      <c r="M3884" s="43">
        <v>11.499824929971989</v>
      </c>
      <c r="N3884" s="43">
        <v>5.3427109974424551</v>
      </c>
      <c r="O3884" s="43">
        <v>2.9268930898216388</v>
      </c>
      <c r="P3884" s="169"/>
      <c r="Q3884" s="169"/>
      <c r="R3884" s="169">
        <v>1</v>
      </c>
    </row>
    <row r="3885" spans="1:18" ht="84">
      <c r="A3885" s="165">
        <v>1088</v>
      </c>
      <c r="B3885" s="162" t="s">
        <v>7078</v>
      </c>
      <c r="C3885" s="166" t="s">
        <v>7079</v>
      </c>
      <c r="D3885" s="167">
        <v>365.65</v>
      </c>
      <c r="E3885" s="167">
        <v>85.68</v>
      </c>
      <c r="F3885" s="167">
        <v>3.97</v>
      </c>
      <c r="G3885" s="167">
        <v>276</v>
      </c>
      <c r="H3885" s="168">
        <v>1858.27</v>
      </c>
      <c r="I3885" s="168">
        <v>985.3</v>
      </c>
      <c r="J3885" s="168">
        <v>21.21</v>
      </c>
      <c r="K3885" s="168">
        <v>851.76</v>
      </c>
      <c r="L3885" s="43">
        <v>5.0821003692055244</v>
      </c>
      <c r="M3885" s="43">
        <v>11.499766573295984</v>
      </c>
      <c r="N3885" s="43">
        <v>5.3425692695214106</v>
      </c>
      <c r="O3885" s="43">
        <v>3.086086956521739</v>
      </c>
      <c r="P3885" s="169"/>
      <c r="Q3885" s="169"/>
      <c r="R3885" s="169">
        <v>1</v>
      </c>
    </row>
    <row r="3886" spans="1:18" ht="84">
      <c r="A3886" s="165">
        <v>1089</v>
      </c>
      <c r="B3886" s="162" t="s">
        <v>7080</v>
      </c>
      <c r="C3886" s="166" t="s">
        <v>7081</v>
      </c>
      <c r="D3886" s="167">
        <v>410.39</v>
      </c>
      <c r="E3886" s="167">
        <v>98.95</v>
      </c>
      <c r="F3886" s="167">
        <v>4.0199999999999996</v>
      </c>
      <c r="G3886" s="167">
        <v>307.42</v>
      </c>
      <c r="H3886" s="168">
        <v>2087.38</v>
      </c>
      <c r="I3886" s="168">
        <v>1137.94</v>
      </c>
      <c r="J3886" s="168">
        <v>21.47</v>
      </c>
      <c r="K3886" s="168">
        <v>927.97</v>
      </c>
      <c r="L3886" s="43">
        <v>5.0863325129754626</v>
      </c>
      <c r="M3886" s="43">
        <v>11.500151591712987</v>
      </c>
      <c r="N3886" s="43">
        <v>5.3407960199004982</v>
      </c>
      <c r="O3886" s="43">
        <v>3.0185739379350727</v>
      </c>
      <c r="P3886" s="169"/>
      <c r="Q3886" s="169"/>
      <c r="R3886" s="169">
        <v>1</v>
      </c>
    </row>
    <row r="3887" spans="1:18" ht="84">
      <c r="A3887" s="165">
        <v>1090</v>
      </c>
      <c r="B3887" s="162" t="s">
        <v>7082</v>
      </c>
      <c r="C3887" s="166" t="s">
        <v>7083</v>
      </c>
      <c r="D3887" s="167">
        <v>452.72</v>
      </c>
      <c r="E3887" s="167">
        <v>126.8</v>
      </c>
      <c r="F3887" s="167">
        <v>4.07</v>
      </c>
      <c r="G3887" s="167">
        <v>321.85000000000002</v>
      </c>
      <c r="H3887" s="168">
        <v>2498.84</v>
      </c>
      <c r="I3887" s="168">
        <v>1458.2</v>
      </c>
      <c r="J3887" s="168">
        <v>21.74</v>
      </c>
      <c r="K3887" s="168">
        <v>1018.9</v>
      </c>
      <c r="L3887" s="43">
        <v>5.5196147729280796</v>
      </c>
      <c r="M3887" s="43">
        <v>11.5</v>
      </c>
      <c r="N3887" s="43">
        <v>5.3415233415233407</v>
      </c>
      <c r="O3887" s="43">
        <v>3.1657604474133909</v>
      </c>
      <c r="P3887" s="169"/>
      <c r="Q3887" s="169"/>
      <c r="R3887" s="169">
        <v>1</v>
      </c>
    </row>
    <row r="3888" spans="1:18" ht="84">
      <c r="A3888" s="165">
        <v>1091</v>
      </c>
      <c r="B3888" s="162" t="s">
        <v>7084</v>
      </c>
      <c r="C3888" s="166" t="s">
        <v>7085</v>
      </c>
      <c r="D3888" s="167">
        <v>529.85</v>
      </c>
      <c r="E3888" s="167">
        <v>171.83</v>
      </c>
      <c r="F3888" s="167">
        <v>4.12</v>
      </c>
      <c r="G3888" s="167">
        <v>353.9</v>
      </c>
      <c r="H3888" s="168">
        <v>3100.4</v>
      </c>
      <c r="I3888" s="168">
        <v>1976.06</v>
      </c>
      <c r="J3888" s="168">
        <v>22</v>
      </c>
      <c r="K3888" s="168">
        <v>1102.3399999999999</v>
      </c>
      <c r="L3888" s="43">
        <v>5.8514673964329527</v>
      </c>
      <c r="M3888" s="43">
        <v>11.500087295582842</v>
      </c>
      <c r="N3888" s="43">
        <v>5.3398058252427187</v>
      </c>
      <c r="O3888" s="43">
        <v>3.1148346990675333</v>
      </c>
      <c r="P3888" s="169"/>
      <c r="Q3888" s="169"/>
      <c r="R3888" s="169">
        <v>1</v>
      </c>
    </row>
    <row r="3889" spans="1:18" ht="12.75" customHeight="1">
      <c r="A3889" s="628" t="s">
        <v>7086</v>
      </c>
      <c r="B3889" s="629"/>
      <c r="C3889" s="629"/>
      <c r="D3889" s="629"/>
      <c r="E3889" s="629"/>
      <c r="F3889" s="629"/>
      <c r="G3889" s="629"/>
      <c r="H3889" s="629"/>
      <c r="I3889" s="629"/>
      <c r="J3889" s="629"/>
      <c r="K3889" s="629"/>
      <c r="L3889" s="629"/>
      <c r="M3889" s="629"/>
      <c r="N3889" s="629"/>
      <c r="O3889" s="629"/>
      <c r="P3889" s="629"/>
      <c r="Q3889" s="629"/>
      <c r="R3889" s="629"/>
    </row>
    <row r="3890" spans="1:18" ht="48">
      <c r="A3890" s="165">
        <v>1092</v>
      </c>
      <c r="B3890" s="162" t="s">
        <v>7087</v>
      </c>
      <c r="C3890" s="166" t="s">
        <v>7088</v>
      </c>
      <c r="D3890" s="167">
        <v>125.19</v>
      </c>
      <c r="E3890" s="167">
        <v>43.25</v>
      </c>
      <c r="F3890" s="167">
        <v>77.97</v>
      </c>
      <c r="G3890" s="167">
        <v>3.97</v>
      </c>
      <c r="H3890" s="168">
        <v>927.47</v>
      </c>
      <c r="I3890" s="168">
        <v>497.42</v>
      </c>
      <c r="J3890" s="168">
        <v>405.03</v>
      </c>
      <c r="K3890" s="168">
        <v>25.02</v>
      </c>
      <c r="L3890" s="43">
        <v>7.4084990813962781</v>
      </c>
      <c r="M3890" s="43">
        <v>11.501040462427746</v>
      </c>
      <c r="N3890" s="43">
        <v>5.1946902654867255</v>
      </c>
      <c r="O3890" s="43">
        <v>6.3022670025188914</v>
      </c>
      <c r="P3890" s="169"/>
      <c r="Q3890" s="169"/>
      <c r="R3890" s="169">
        <v>2</v>
      </c>
    </row>
    <row r="3891" spans="1:18" ht="48">
      <c r="A3891" s="165">
        <v>1093</v>
      </c>
      <c r="B3891" s="162" t="s">
        <v>7089</v>
      </c>
      <c r="C3891" s="166" t="s">
        <v>7090</v>
      </c>
      <c r="D3891" s="167">
        <v>164.61</v>
      </c>
      <c r="E3891" s="167">
        <v>46.1</v>
      </c>
      <c r="F3891" s="167">
        <v>114.49</v>
      </c>
      <c r="G3891" s="167">
        <v>4.0199999999999996</v>
      </c>
      <c r="H3891" s="168">
        <v>1142.5</v>
      </c>
      <c r="I3891" s="168">
        <v>530.13</v>
      </c>
      <c r="J3891" s="168">
        <v>586.78</v>
      </c>
      <c r="K3891" s="168">
        <v>25.59</v>
      </c>
      <c r="L3891" s="43">
        <v>6.9406475912763499</v>
      </c>
      <c r="M3891" s="43">
        <v>11.499566160520606</v>
      </c>
      <c r="N3891" s="43">
        <v>5.1251637697615511</v>
      </c>
      <c r="O3891" s="43">
        <v>6.3656716417910451</v>
      </c>
      <c r="P3891" s="169"/>
      <c r="Q3891" s="169"/>
      <c r="R3891" s="169">
        <v>2</v>
      </c>
    </row>
    <row r="3892" spans="1:18" ht="48">
      <c r="A3892" s="165">
        <v>1094</v>
      </c>
      <c r="B3892" s="162" t="s">
        <v>7091</v>
      </c>
      <c r="C3892" s="166" t="s">
        <v>7092</v>
      </c>
      <c r="D3892" s="167">
        <v>225.3</v>
      </c>
      <c r="E3892" s="167">
        <v>69.8</v>
      </c>
      <c r="F3892" s="167">
        <v>151</v>
      </c>
      <c r="G3892" s="167">
        <v>4.5</v>
      </c>
      <c r="H3892" s="168">
        <v>1603.93</v>
      </c>
      <c r="I3892" s="168">
        <v>802.69</v>
      </c>
      <c r="J3892" s="168">
        <v>770.13</v>
      </c>
      <c r="K3892" s="168">
        <v>31.11</v>
      </c>
      <c r="L3892" s="43">
        <v>7.119085663559698</v>
      </c>
      <c r="M3892" s="43">
        <v>11.499856733524357</v>
      </c>
      <c r="N3892" s="43">
        <v>5.1001986754966886</v>
      </c>
      <c r="O3892" s="43">
        <v>6.9133333333333331</v>
      </c>
      <c r="P3892" s="169"/>
      <c r="Q3892" s="169"/>
      <c r="R3892" s="169">
        <v>2</v>
      </c>
    </row>
    <row r="3893" spans="1:18" ht="48">
      <c r="A3893" s="165">
        <v>1095</v>
      </c>
      <c r="B3893" s="162" t="s">
        <v>7093</v>
      </c>
      <c r="C3893" s="166" t="s">
        <v>7094</v>
      </c>
      <c r="D3893" s="167">
        <v>319.64</v>
      </c>
      <c r="E3893" s="167">
        <v>95.63</v>
      </c>
      <c r="F3893" s="167">
        <v>219</v>
      </c>
      <c r="G3893" s="167">
        <v>5.01</v>
      </c>
      <c r="H3893" s="168">
        <v>2244.94</v>
      </c>
      <c r="I3893" s="168">
        <v>1099.78</v>
      </c>
      <c r="J3893" s="168">
        <v>1108.18</v>
      </c>
      <c r="K3893" s="168">
        <v>36.979999999999997</v>
      </c>
      <c r="L3893" s="43">
        <v>7.023338756100614</v>
      </c>
      <c r="M3893" s="43">
        <v>11.500365993934958</v>
      </c>
      <c r="N3893" s="43">
        <v>5.0601826484018266</v>
      </c>
      <c r="O3893" s="43">
        <v>7.3812375249500999</v>
      </c>
      <c r="P3893" s="169"/>
      <c r="Q3893" s="169"/>
      <c r="R3893" s="169">
        <v>2</v>
      </c>
    </row>
    <row r="3894" spans="1:18" ht="48">
      <c r="A3894" s="165">
        <v>1096</v>
      </c>
      <c r="B3894" s="162" t="s">
        <v>7095</v>
      </c>
      <c r="C3894" s="166" t="s">
        <v>7096</v>
      </c>
      <c r="D3894" s="167">
        <v>519.44000000000005</v>
      </c>
      <c r="E3894" s="167">
        <v>138.65</v>
      </c>
      <c r="F3894" s="167">
        <v>374.92</v>
      </c>
      <c r="G3894" s="167">
        <v>5.87</v>
      </c>
      <c r="H3894" s="168">
        <v>3562.81</v>
      </c>
      <c r="I3894" s="168">
        <v>1594.48</v>
      </c>
      <c r="J3894" s="168">
        <v>1921.46</v>
      </c>
      <c r="K3894" s="168">
        <v>46.87</v>
      </c>
      <c r="L3894" s="43">
        <v>6.8589442476513156</v>
      </c>
      <c r="M3894" s="43">
        <v>11.500036062026686</v>
      </c>
      <c r="N3894" s="43">
        <v>5.1249866638216153</v>
      </c>
      <c r="O3894" s="43">
        <v>7.9846678023850082</v>
      </c>
      <c r="P3894" s="169"/>
      <c r="Q3894" s="169"/>
      <c r="R3894" s="169">
        <v>2</v>
      </c>
    </row>
    <row r="3895" spans="1:18" ht="48">
      <c r="A3895" s="165">
        <v>1097</v>
      </c>
      <c r="B3895" s="162" t="s">
        <v>7097</v>
      </c>
      <c r="C3895" s="166" t="s">
        <v>7098</v>
      </c>
      <c r="D3895" s="167">
        <v>762.19</v>
      </c>
      <c r="E3895" s="167">
        <v>167.09</v>
      </c>
      <c r="F3895" s="167">
        <v>529.75</v>
      </c>
      <c r="G3895" s="167">
        <v>65.349999999999994</v>
      </c>
      <c r="H3895" s="168">
        <v>4959.4399999999996</v>
      </c>
      <c r="I3895" s="168">
        <v>1921.55</v>
      </c>
      <c r="J3895" s="168">
        <v>2700.63</v>
      </c>
      <c r="K3895" s="168">
        <v>337.26</v>
      </c>
      <c r="L3895" s="43">
        <v>6.5068290058909186</v>
      </c>
      <c r="M3895" s="43">
        <v>11.500089771979173</v>
      </c>
      <c r="N3895" s="43">
        <v>5.0979329872581411</v>
      </c>
      <c r="O3895" s="43">
        <v>5.1608263198163735</v>
      </c>
      <c r="P3895" s="169"/>
      <c r="Q3895" s="169"/>
      <c r="R3895" s="169">
        <v>2</v>
      </c>
    </row>
    <row r="3896" spans="1:18" ht="48">
      <c r="A3896" s="165">
        <v>1098</v>
      </c>
      <c r="B3896" s="162" t="s">
        <v>7099</v>
      </c>
      <c r="C3896" s="166" t="s">
        <v>7100</v>
      </c>
      <c r="D3896" s="167">
        <v>1074.54</v>
      </c>
      <c r="E3896" s="167">
        <v>221.6</v>
      </c>
      <c r="F3896" s="167">
        <v>786.5</v>
      </c>
      <c r="G3896" s="167">
        <v>66.44</v>
      </c>
      <c r="H3896" s="168">
        <v>6898.78</v>
      </c>
      <c r="I3896" s="168">
        <v>2548.44</v>
      </c>
      <c r="J3896" s="168">
        <v>4000.54</v>
      </c>
      <c r="K3896" s="168">
        <v>349.8</v>
      </c>
      <c r="L3896" s="43">
        <v>6.4202170230982558</v>
      </c>
      <c r="M3896" s="43">
        <v>11.500180505415162</v>
      </c>
      <c r="N3896" s="43">
        <v>5.086509853782581</v>
      </c>
      <c r="O3896" s="43">
        <v>5.2649006622516561</v>
      </c>
      <c r="P3896" s="169"/>
      <c r="Q3896" s="169"/>
      <c r="R3896" s="169">
        <v>2</v>
      </c>
    </row>
    <row r="3897" spans="1:18" ht="48">
      <c r="A3897" s="165">
        <v>1099</v>
      </c>
      <c r="B3897" s="162" t="s">
        <v>7101</v>
      </c>
      <c r="C3897" s="166" t="s">
        <v>7102</v>
      </c>
      <c r="D3897" s="167">
        <v>1577.8</v>
      </c>
      <c r="E3897" s="167">
        <v>287.95999999999998</v>
      </c>
      <c r="F3897" s="167">
        <v>1204.2</v>
      </c>
      <c r="G3897" s="167">
        <v>85.64</v>
      </c>
      <c r="H3897" s="168">
        <v>9775.66</v>
      </c>
      <c r="I3897" s="168">
        <v>3311.6</v>
      </c>
      <c r="J3897" s="168">
        <v>6030.6</v>
      </c>
      <c r="K3897" s="168">
        <v>433.46</v>
      </c>
      <c r="L3897" s="43">
        <v>6.19575358093548</v>
      </c>
      <c r="M3897" s="43">
        <v>11.500208362272538</v>
      </c>
      <c r="N3897" s="43">
        <v>5.0079720976581967</v>
      </c>
      <c r="O3897" s="43">
        <v>5.0614198972442779</v>
      </c>
      <c r="P3897" s="169"/>
      <c r="Q3897" s="169"/>
      <c r="R3897" s="169">
        <v>2</v>
      </c>
    </row>
    <row r="3898" spans="1:18" ht="48">
      <c r="A3898" s="165">
        <v>1100</v>
      </c>
      <c r="B3898" s="162" t="s">
        <v>7103</v>
      </c>
      <c r="C3898" s="166" t="s">
        <v>7104</v>
      </c>
      <c r="D3898" s="167">
        <v>2430.44</v>
      </c>
      <c r="E3898" s="167">
        <v>440.82</v>
      </c>
      <c r="F3898" s="167">
        <v>1900.92</v>
      </c>
      <c r="G3898" s="167">
        <v>88.7</v>
      </c>
      <c r="H3898" s="168">
        <v>15081.04</v>
      </c>
      <c r="I3898" s="168">
        <v>5069.62</v>
      </c>
      <c r="J3898" s="168">
        <v>9542.77</v>
      </c>
      <c r="K3898" s="168">
        <v>468.65</v>
      </c>
      <c r="L3898" s="43">
        <v>6.205065749411629</v>
      </c>
      <c r="M3898" s="43">
        <v>11.500431014926727</v>
      </c>
      <c r="N3898" s="43">
        <v>5.0200797508574793</v>
      </c>
      <c r="O3898" s="43">
        <v>5.2835400225479141</v>
      </c>
      <c r="P3898" s="169"/>
      <c r="Q3898" s="169"/>
      <c r="R3898" s="169">
        <v>2</v>
      </c>
    </row>
    <row r="3899" spans="1:18" ht="48">
      <c r="A3899" s="165">
        <v>1101</v>
      </c>
      <c r="B3899" s="162" t="s">
        <v>7105</v>
      </c>
      <c r="C3899" s="166" t="s">
        <v>7106</v>
      </c>
      <c r="D3899" s="167">
        <v>3325.38</v>
      </c>
      <c r="E3899" s="167">
        <v>606.72</v>
      </c>
      <c r="F3899" s="167">
        <v>2442.14</v>
      </c>
      <c r="G3899" s="167">
        <v>276.52</v>
      </c>
      <c r="H3899" s="168">
        <v>20354.55</v>
      </c>
      <c r="I3899" s="168">
        <v>6977.54</v>
      </c>
      <c r="J3899" s="168">
        <v>12182.32</v>
      </c>
      <c r="K3899" s="168">
        <v>1194.69</v>
      </c>
      <c r="L3899" s="43">
        <v>6.1209696335456396</v>
      </c>
      <c r="M3899" s="43">
        <v>11.500428533755274</v>
      </c>
      <c r="N3899" s="43">
        <v>4.9883790446084175</v>
      </c>
      <c r="O3899" s="43">
        <v>4.3204469839432953</v>
      </c>
      <c r="P3899" s="169"/>
      <c r="Q3899" s="169"/>
      <c r="R3899" s="169">
        <v>2</v>
      </c>
    </row>
    <row r="3900" spans="1:18" ht="48">
      <c r="A3900" s="165">
        <v>1102</v>
      </c>
      <c r="B3900" s="162" t="s">
        <v>7107</v>
      </c>
      <c r="C3900" s="166" t="s">
        <v>7108</v>
      </c>
      <c r="D3900" s="167">
        <v>5218.32</v>
      </c>
      <c r="E3900" s="167">
        <v>977.63</v>
      </c>
      <c r="F3900" s="167">
        <v>3956.75</v>
      </c>
      <c r="G3900" s="167">
        <v>283.94</v>
      </c>
      <c r="H3900" s="168">
        <v>32264.33</v>
      </c>
      <c r="I3900" s="168">
        <v>11243.1</v>
      </c>
      <c r="J3900" s="168">
        <v>19741.21</v>
      </c>
      <c r="K3900" s="168">
        <v>1280.02</v>
      </c>
      <c r="L3900" s="43">
        <v>6.1828960278403784</v>
      </c>
      <c r="M3900" s="43">
        <v>11.500363123062918</v>
      </c>
      <c r="N3900" s="43">
        <v>4.9892487521324318</v>
      </c>
      <c r="O3900" s="43">
        <v>4.5080650841727126</v>
      </c>
      <c r="P3900" s="169"/>
      <c r="Q3900" s="169"/>
      <c r="R3900" s="169">
        <v>2</v>
      </c>
    </row>
    <row r="3901" spans="1:18" ht="48">
      <c r="A3901" s="165">
        <v>1103</v>
      </c>
      <c r="B3901" s="162" t="s">
        <v>7109</v>
      </c>
      <c r="C3901" s="166" t="s">
        <v>7110</v>
      </c>
      <c r="D3901" s="167">
        <v>7095.56</v>
      </c>
      <c r="E3901" s="167">
        <v>1327.2</v>
      </c>
      <c r="F3901" s="167">
        <v>5477.43</v>
      </c>
      <c r="G3901" s="167">
        <v>290.93</v>
      </c>
      <c r="H3901" s="168">
        <v>43958.080000000002</v>
      </c>
      <c r="I3901" s="168">
        <v>15263.36</v>
      </c>
      <c r="J3901" s="168">
        <v>27334.32</v>
      </c>
      <c r="K3901" s="168">
        <v>1360.4</v>
      </c>
      <c r="L3901" s="43">
        <v>6.1951530252721421</v>
      </c>
      <c r="M3901" s="43">
        <v>11.50042194092827</v>
      </c>
      <c r="N3901" s="43">
        <v>4.9903549657412327</v>
      </c>
      <c r="O3901" s="43">
        <v>4.6760389097033652</v>
      </c>
      <c r="P3901" s="169"/>
      <c r="Q3901" s="169"/>
      <c r="R3901" s="169">
        <v>2</v>
      </c>
    </row>
    <row r="3902" spans="1:18" ht="48">
      <c r="A3902" s="165">
        <v>1104</v>
      </c>
      <c r="B3902" s="162" t="s">
        <v>7111</v>
      </c>
      <c r="C3902" s="166" t="s">
        <v>7112</v>
      </c>
      <c r="D3902" s="167">
        <v>9754.4500000000007</v>
      </c>
      <c r="E3902" s="167">
        <v>1990.8</v>
      </c>
      <c r="F3902" s="167">
        <v>6777.91</v>
      </c>
      <c r="G3902" s="167">
        <v>985.74</v>
      </c>
      <c r="H3902" s="168">
        <v>60418.45</v>
      </c>
      <c r="I3902" s="168">
        <v>22895.040000000001</v>
      </c>
      <c r="J3902" s="168">
        <v>33483.29</v>
      </c>
      <c r="K3902" s="168">
        <v>4040.12</v>
      </c>
      <c r="L3902" s="43">
        <v>6.193937126132175</v>
      </c>
      <c r="M3902" s="43">
        <v>11.500421940928272</v>
      </c>
      <c r="N3902" s="43">
        <v>4.9400611692985006</v>
      </c>
      <c r="O3902" s="43">
        <v>4.0985655446669504</v>
      </c>
      <c r="P3902" s="169"/>
      <c r="Q3902" s="169"/>
      <c r="R3902" s="169">
        <v>2</v>
      </c>
    </row>
    <row r="3903" spans="1:18" ht="72">
      <c r="A3903" s="165">
        <v>1105</v>
      </c>
      <c r="B3903" s="162" t="s">
        <v>7113</v>
      </c>
      <c r="C3903" s="166" t="s">
        <v>7114</v>
      </c>
      <c r="D3903" s="167">
        <v>169.46</v>
      </c>
      <c r="E3903" s="167">
        <v>28.32</v>
      </c>
      <c r="F3903" s="167">
        <v>1.02</v>
      </c>
      <c r="G3903" s="167">
        <v>140.12</v>
      </c>
      <c r="H3903" s="168">
        <v>702.4</v>
      </c>
      <c r="I3903" s="168">
        <v>325.70999999999998</v>
      </c>
      <c r="J3903" s="168">
        <v>5.37</v>
      </c>
      <c r="K3903" s="168">
        <v>371.32</v>
      </c>
      <c r="L3903" s="43">
        <v>4.1449309571580315</v>
      </c>
      <c r="M3903" s="43">
        <v>11.501059322033898</v>
      </c>
      <c r="N3903" s="43">
        <v>5.2647058823529411</v>
      </c>
      <c r="O3903" s="43">
        <v>2.6500142734798744</v>
      </c>
      <c r="P3903" s="169"/>
      <c r="Q3903" s="169"/>
      <c r="R3903" s="169">
        <v>2</v>
      </c>
    </row>
    <row r="3904" spans="1:18" ht="72">
      <c r="A3904" s="165">
        <v>1106</v>
      </c>
      <c r="B3904" s="162" t="s">
        <v>7115</v>
      </c>
      <c r="C3904" s="166" t="s">
        <v>7116</v>
      </c>
      <c r="D3904" s="167">
        <v>184.08</v>
      </c>
      <c r="E3904" s="167">
        <v>42.66</v>
      </c>
      <c r="F3904" s="167">
        <v>1.02</v>
      </c>
      <c r="G3904" s="167">
        <v>140.4</v>
      </c>
      <c r="H3904" s="168">
        <v>870.52</v>
      </c>
      <c r="I3904" s="168">
        <v>490.61</v>
      </c>
      <c r="J3904" s="168">
        <v>5.37</v>
      </c>
      <c r="K3904" s="168">
        <v>374.54</v>
      </c>
      <c r="L3904" s="43">
        <v>4.7290308561494996</v>
      </c>
      <c r="M3904" s="43">
        <v>11.500468823253634</v>
      </c>
      <c r="N3904" s="43">
        <v>5.2647058823529411</v>
      </c>
      <c r="O3904" s="43">
        <v>2.6676638176638177</v>
      </c>
      <c r="P3904" s="169"/>
      <c r="Q3904" s="169"/>
      <c r="R3904" s="169">
        <v>2</v>
      </c>
    </row>
    <row r="3905" spans="1:18" ht="72">
      <c r="A3905" s="165">
        <v>1107</v>
      </c>
      <c r="B3905" s="162" t="s">
        <v>7117</v>
      </c>
      <c r="C3905" s="166" t="s">
        <v>7118</v>
      </c>
      <c r="D3905" s="167">
        <v>211.09</v>
      </c>
      <c r="E3905" s="167">
        <v>56.64</v>
      </c>
      <c r="F3905" s="167">
        <v>1.03</v>
      </c>
      <c r="G3905" s="167">
        <v>153.41999999999999</v>
      </c>
      <c r="H3905" s="168">
        <v>1085</v>
      </c>
      <c r="I3905" s="168">
        <v>651.41999999999996</v>
      </c>
      <c r="J3905" s="168">
        <v>5.43</v>
      </c>
      <c r="K3905" s="168">
        <v>428.15</v>
      </c>
      <c r="L3905" s="43">
        <v>5.1399876829788242</v>
      </c>
      <c r="M3905" s="43">
        <v>11.501059322033898</v>
      </c>
      <c r="N3905" s="43">
        <v>5.2718446601941746</v>
      </c>
      <c r="O3905" s="43">
        <v>2.79070525355234</v>
      </c>
      <c r="P3905" s="169"/>
      <c r="Q3905" s="169"/>
      <c r="R3905" s="169">
        <v>2</v>
      </c>
    </row>
    <row r="3906" spans="1:18" ht="72">
      <c r="A3906" s="165">
        <v>1108</v>
      </c>
      <c r="B3906" s="162" t="s">
        <v>7119</v>
      </c>
      <c r="C3906" s="166" t="s">
        <v>7120</v>
      </c>
      <c r="D3906" s="167">
        <v>233.36</v>
      </c>
      <c r="E3906" s="167">
        <v>70.98</v>
      </c>
      <c r="F3906" s="167">
        <v>3.91</v>
      </c>
      <c r="G3906" s="167">
        <v>158.47</v>
      </c>
      <c r="H3906" s="168">
        <v>1329.34</v>
      </c>
      <c r="I3906" s="168">
        <v>816.32</v>
      </c>
      <c r="J3906" s="168">
        <v>20.89</v>
      </c>
      <c r="K3906" s="168">
        <v>492.13</v>
      </c>
      <c r="L3906" s="43">
        <v>5.696520397668837</v>
      </c>
      <c r="M3906" s="43">
        <v>11.500704423781347</v>
      </c>
      <c r="N3906" s="43">
        <v>5.3427109974424551</v>
      </c>
      <c r="O3906" s="43">
        <v>3.1055089291348521</v>
      </c>
      <c r="P3906" s="169"/>
      <c r="Q3906" s="169"/>
      <c r="R3906" s="169">
        <v>2</v>
      </c>
    </row>
    <row r="3907" spans="1:18" ht="72">
      <c r="A3907" s="165">
        <v>1109</v>
      </c>
      <c r="B3907" s="162" t="s">
        <v>7121</v>
      </c>
      <c r="C3907" s="166" t="s">
        <v>7122</v>
      </c>
      <c r="D3907" s="167">
        <v>249.19</v>
      </c>
      <c r="E3907" s="167">
        <v>84.96</v>
      </c>
      <c r="F3907" s="167">
        <v>3.91</v>
      </c>
      <c r="G3907" s="167">
        <v>160.32</v>
      </c>
      <c r="H3907" s="168">
        <v>1500.02</v>
      </c>
      <c r="I3907" s="168">
        <v>977.13</v>
      </c>
      <c r="J3907" s="168">
        <v>20.89</v>
      </c>
      <c r="K3907" s="168">
        <v>502</v>
      </c>
      <c r="L3907" s="43">
        <v>6.0195834503792289</v>
      </c>
      <c r="M3907" s="43">
        <v>11.5010593220339</v>
      </c>
      <c r="N3907" s="43">
        <v>5.3427109974424551</v>
      </c>
      <c r="O3907" s="43">
        <v>3.1312375249500999</v>
      </c>
      <c r="P3907" s="169"/>
      <c r="Q3907" s="169"/>
      <c r="R3907" s="169">
        <v>2</v>
      </c>
    </row>
    <row r="3908" spans="1:18" ht="72">
      <c r="A3908" s="165">
        <v>1110</v>
      </c>
      <c r="B3908" s="162" t="s">
        <v>7123</v>
      </c>
      <c r="C3908" s="166" t="s">
        <v>7124</v>
      </c>
      <c r="D3908" s="167">
        <v>342.16</v>
      </c>
      <c r="E3908" s="167">
        <v>98.24</v>
      </c>
      <c r="F3908" s="167">
        <v>3.93</v>
      </c>
      <c r="G3908" s="167">
        <v>239.99</v>
      </c>
      <c r="H3908" s="168">
        <v>1906.25</v>
      </c>
      <c r="I3908" s="168">
        <v>1129.76</v>
      </c>
      <c r="J3908" s="168">
        <v>21.02</v>
      </c>
      <c r="K3908" s="168">
        <v>755.47</v>
      </c>
      <c r="L3908" s="43">
        <v>5.5712239887771799</v>
      </c>
      <c r="M3908" s="43">
        <v>11.5</v>
      </c>
      <c r="N3908" s="43">
        <v>5.3486005089058519</v>
      </c>
      <c r="O3908" s="43">
        <v>3.1479228301179214</v>
      </c>
      <c r="P3908" s="169"/>
      <c r="Q3908" s="169"/>
      <c r="R3908" s="169">
        <v>2</v>
      </c>
    </row>
    <row r="3909" spans="1:18" ht="72">
      <c r="A3909" s="165">
        <v>1111</v>
      </c>
      <c r="B3909" s="162" t="s">
        <v>7125</v>
      </c>
      <c r="C3909" s="166" t="s">
        <v>7126</v>
      </c>
      <c r="D3909" s="167">
        <v>370.08</v>
      </c>
      <c r="E3909" s="167">
        <v>125.61</v>
      </c>
      <c r="F3909" s="167">
        <v>3.93</v>
      </c>
      <c r="G3909" s="167">
        <v>240.54</v>
      </c>
      <c r="H3909" s="168">
        <v>2227.39</v>
      </c>
      <c r="I3909" s="168">
        <v>1444.57</v>
      </c>
      <c r="J3909" s="168">
        <v>21.02</v>
      </c>
      <c r="K3909" s="168">
        <v>761.8</v>
      </c>
      <c r="L3909" s="43">
        <v>6.0186716385646344</v>
      </c>
      <c r="M3909" s="43">
        <v>11.50043786322745</v>
      </c>
      <c r="N3909" s="43">
        <v>5.3486005089058519</v>
      </c>
      <c r="O3909" s="43">
        <v>3.1670408248108424</v>
      </c>
      <c r="P3909" s="169"/>
      <c r="Q3909" s="169"/>
      <c r="R3909" s="169">
        <v>2</v>
      </c>
    </row>
    <row r="3910" spans="1:18" ht="72">
      <c r="A3910" s="165">
        <v>1112</v>
      </c>
      <c r="B3910" s="162" t="s">
        <v>7127</v>
      </c>
      <c r="C3910" s="166" t="s">
        <v>7128</v>
      </c>
      <c r="D3910" s="167">
        <v>413.11</v>
      </c>
      <c r="E3910" s="167">
        <v>155.24</v>
      </c>
      <c r="F3910" s="167">
        <v>3.93</v>
      </c>
      <c r="G3910" s="167">
        <v>253.94</v>
      </c>
      <c r="H3910" s="168">
        <v>2651.21</v>
      </c>
      <c r="I3910" s="168">
        <v>1785.27</v>
      </c>
      <c r="J3910" s="168">
        <v>21.02</v>
      </c>
      <c r="K3910" s="168">
        <v>844.92</v>
      </c>
      <c r="L3910" s="43">
        <v>6.4176853622521843</v>
      </c>
      <c r="M3910" s="43">
        <v>11.500064416387529</v>
      </c>
      <c r="N3910" s="43">
        <v>5.3486005089058519</v>
      </c>
      <c r="O3910" s="43">
        <v>3.3272426557454517</v>
      </c>
      <c r="P3910" s="169"/>
      <c r="Q3910" s="169"/>
      <c r="R3910" s="169">
        <v>2</v>
      </c>
    </row>
    <row r="3911" spans="1:18" ht="72">
      <c r="A3911" s="165">
        <v>1113</v>
      </c>
      <c r="B3911" s="162" t="s">
        <v>7129</v>
      </c>
      <c r="C3911" s="166" t="s">
        <v>7130</v>
      </c>
      <c r="D3911" s="167">
        <v>456.67</v>
      </c>
      <c r="E3911" s="167">
        <v>197.9</v>
      </c>
      <c r="F3911" s="167">
        <v>3.97</v>
      </c>
      <c r="G3911" s="167">
        <v>254.8</v>
      </c>
      <c r="H3911" s="168">
        <v>3151.9</v>
      </c>
      <c r="I3911" s="168">
        <v>2275.88</v>
      </c>
      <c r="J3911" s="168">
        <v>21.21</v>
      </c>
      <c r="K3911" s="168">
        <v>854.81</v>
      </c>
      <c r="L3911" s="43">
        <v>6.9019204239385115</v>
      </c>
      <c r="M3911" s="43">
        <v>11.500151591712987</v>
      </c>
      <c r="N3911" s="43">
        <v>5.3425692695214106</v>
      </c>
      <c r="O3911" s="43">
        <v>3.3548273155416011</v>
      </c>
      <c r="P3911" s="169"/>
      <c r="Q3911" s="169"/>
      <c r="R3911" s="169">
        <v>2</v>
      </c>
    </row>
    <row r="3912" spans="1:18" ht="72">
      <c r="A3912" s="165">
        <v>1114</v>
      </c>
      <c r="B3912" s="162" t="s">
        <v>7131</v>
      </c>
      <c r="C3912" s="166" t="s">
        <v>7132</v>
      </c>
      <c r="D3912" s="167">
        <v>169.39</v>
      </c>
      <c r="E3912" s="167">
        <v>28.32</v>
      </c>
      <c r="F3912" s="167">
        <v>0.98</v>
      </c>
      <c r="G3912" s="167">
        <v>140.09</v>
      </c>
      <c r="H3912" s="168">
        <v>702.12</v>
      </c>
      <c r="I3912" s="168">
        <v>325.70999999999998</v>
      </c>
      <c r="J3912" s="168">
        <v>5.17</v>
      </c>
      <c r="K3912" s="168">
        <v>371.24</v>
      </c>
      <c r="L3912" s="43">
        <v>4.1449908495188623</v>
      </c>
      <c r="M3912" s="43">
        <v>11.501059322033898</v>
      </c>
      <c r="N3912" s="43">
        <v>5.2755102040816331</v>
      </c>
      <c r="O3912" s="43">
        <v>2.6500107074023842</v>
      </c>
      <c r="P3912" s="169"/>
      <c r="Q3912" s="169"/>
      <c r="R3912" s="169">
        <v>2</v>
      </c>
    </row>
    <row r="3913" spans="1:18" ht="72">
      <c r="A3913" s="165">
        <v>1115</v>
      </c>
      <c r="B3913" s="162" t="s">
        <v>7133</v>
      </c>
      <c r="C3913" s="166" t="s">
        <v>7134</v>
      </c>
      <c r="D3913" s="167">
        <v>170.01</v>
      </c>
      <c r="E3913" s="167">
        <v>28.91</v>
      </c>
      <c r="F3913" s="167">
        <v>1</v>
      </c>
      <c r="G3913" s="167">
        <v>140.1</v>
      </c>
      <c r="H3913" s="168">
        <v>709.11</v>
      </c>
      <c r="I3913" s="168">
        <v>332.52</v>
      </c>
      <c r="J3913" s="168">
        <v>5.24</v>
      </c>
      <c r="K3913" s="168">
        <v>371.35</v>
      </c>
      <c r="L3913" s="43">
        <v>4.1709899417681315</v>
      </c>
      <c r="M3913" s="43">
        <v>11.501902455897612</v>
      </c>
      <c r="N3913" s="43">
        <v>5.24</v>
      </c>
      <c r="O3913" s="43">
        <v>2.6506067094932195</v>
      </c>
      <c r="P3913" s="169"/>
      <c r="Q3913" s="169"/>
      <c r="R3913" s="169">
        <v>2</v>
      </c>
    </row>
    <row r="3914" spans="1:18" ht="72">
      <c r="A3914" s="165">
        <v>1116</v>
      </c>
      <c r="B3914" s="162" t="s">
        <v>7135</v>
      </c>
      <c r="C3914" s="166" t="s">
        <v>7136</v>
      </c>
      <c r="D3914" s="167">
        <v>183.91</v>
      </c>
      <c r="E3914" s="167">
        <v>42.54</v>
      </c>
      <c r="F3914" s="167">
        <v>1</v>
      </c>
      <c r="G3914" s="167">
        <v>140.37</v>
      </c>
      <c r="H3914" s="168">
        <v>868.95</v>
      </c>
      <c r="I3914" s="168">
        <v>489.25</v>
      </c>
      <c r="J3914" s="168">
        <v>5.24</v>
      </c>
      <c r="K3914" s="168">
        <v>374.46</v>
      </c>
      <c r="L3914" s="43">
        <v>4.7248654233048777</v>
      </c>
      <c r="M3914" s="43">
        <v>11.500940291490362</v>
      </c>
      <c r="N3914" s="43">
        <v>5.24</v>
      </c>
      <c r="O3914" s="43">
        <v>2.6676640307758066</v>
      </c>
      <c r="P3914" s="169"/>
      <c r="Q3914" s="169"/>
      <c r="R3914" s="169">
        <v>2</v>
      </c>
    </row>
    <row r="3915" spans="1:18" ht="72">
      <c r="A3915" s="165">
        <v>1117</v>
      </c>
      <c r="B3915" s="162" t="s">
        <v>7137</v>
      </c>
      <c r="C3915" s="166" t="s">
        <v>7138</v>
      </c>
      <c r="D3915" s="167">
        <v>192.86</v>
      </c>
      <c r="E3915" s="167">
        <v>42.66</v>
      </c>
      <c r="F3915" s="167">
        <v>1.01</v>
      </c>
      <c r="G3915" s="167">
        <v>149.19</v>
      </c>
      <c r="H3915" s="168">
        <v>933.21</v>
      </c>
      <c r="I3915" s="168">
        <v>490.61</v>
      </c>
      <c r="J3915" s="168">
        <v>5.3</v>
      </c>
      <c r="K3915" s="168">
        <v>437.3</v>
      </c>
      <c r="L3915" s="43">
        <v>4.8387949808150985</v>
      </c>
      <c r="M3915" s="43">
        <v>11.500468823253634</v>
      </c>
      <c r="N3915" s="43">
        <v>5.2475247524752477</v>
      </c>
      <c r="O3915" s="43">
        <v>2.9311616060057646</v>
      </c>
      <c r="P3915" s="169"/>
      <c r="Q3915" s="169"/>
      <c r="R3915" s="169">
        <v>2</v>
      </c>
    </row>
    <row r="3916" spans="1:18" ht="72">
      <c r="A3916" s="165">
        <v>1118</v>
      </c>
      <c r="B3916" s="162" t="s">
        <v>7139</v>
      </c>
      <c r="C3916" s="166" t="s">
        <v>7140</v>
      </c>
      <c r="D3916" s="167">
        <v>232.96</v>
      </c>
      <c r="E3916" s="167">
        <v>70.739999999999995</v>
      </c>
      <c r="F3916" s="167">
        <v>3.79</v>
      </c>
      <c r="G3916" s="167">
        <v>158.43</v>
      </c>
      <c r="H3916" s="168">
        <v>1325.83</v>
      </c>
      <c r="I3916" s="168">
        <v>813.59</v>
      </c>
      <c r="J3916" s="168">
        <v>20.3</v>
      </c>
      <c r="K3916" s="168">
        <v>491.94</v>
      </c>
      <c r="L3916" s="43">
        <v>5.6912345467032965</v>
      </c>
      <c r="M3916" s="43">
        <v>11.501130901894262</v>
      </c>
      <c r="N3916" s="43">
        <v>5.3562005277044857</v>
      </c>
      <c r="O3916" s="43">
        <v>3.1050937322476804</v>
      </c>
      <c r="P3916" s="169"/>
      <c r="Q3916" s="169"/>
      <c r="R3916" s="169">
        <v>2</v>
      </c>
    </row>
    <row r="3917" spans="1:18" ht="72">
      <c r="A3917" s="165">
        <v>1119</v>
      </c>
      <c r="B3917" s="162" t="s">
        <v>7141</v>
      </c>
      <c r="C3917" s="166" t="s">
        <v>7142</v>
      </c>
      <c r="D3917" s="167">
        <v>233.72</v>
      </c>
      <c r="E3917" s="167">
        <v>71.459999999999994</v>
      </c>
      <c r="F3917" s="167">
        <v>3.81</v>
      </c>
      <c r="G3917" s="167">
        <v>158.44999999999999</v>
      </c>
      <c r="H3917" s="168">
        <v>1334.3</v>
      </c>
      <c r="I3917" s="168">
        <v>821.77</v>
      </c>
      <c r="J3917" s="168">
        <v>20.36</v>
      </c>
      <c r="K3917" s="168">
        <v>492.17</v>
      </c>
      <c r="L3917" s="43">
        <v>5.7089679958925208</v>
      </c>
      <c r="M3917" s="43">
        <v>11.499720123145817</v>
      </c>
      <c r="N3917" s="43">
        <v>5.3438320209973753</v>
      </c>
      <c r="O3917" s="43">
        <v>3.1061533606816032</v>
      </c>
      <c r="P3917" s="169"/>
      <c r="Q3917" s="169"/>
      <c r="R3917" s="169">
        <v>2</v>
      </c>
    </row>
    <row r="3918" spans="1:18" ht="72">
      <c r="A3918" s="165">
        <v>1120</v>
      </c>
      <c r="B3918" s="162" t="s">
        <v>7143</v>
      </c>
      <c r="C3918" s="166" t="s">
        <v>7144</v>
      </c>
      <c r="D3918" s="167">
        <v>235.44</v>
      </c>
      <c r="E3918" s="167">
        <v>71.569999999999993</v>
      </c>
      <c r="F3918" s="167">
        <v>3.85</v>
      </c>
      <c r="G3918" s="167">
        <v>160.02000000000001</v>
      </c>
      <c r="H3918" s="168">
        <v>1342.51</v>
      </c>
      <c r="I3918" s="168">
        <v>823.13</v>
      </c>
      <c r="J3918" s="168">
        <v>20.56</v>
      </c>
      <c r="K3918" s="168">
        <v>498.82</v>
      </c>
      <c r="L3918" s="43">
        <v>5.7021321780496095</v>
      </c>
      <c r="M3918" s="43">
        <v>11.501047925108287</v>
      </c>
      <c r="N3918" s="43">
        <v>5.3402597402597394</v>
      </c>
      <c r="O3918" s="43">
        <v>3.1172353455818018</v>
      </c>
      <c r="P3918" s="169"/>
      <c r="Q3918" s="169"/>
      <c r="R3918" s="169">
        <v>2</v>
      </c>
    </row>
    <row r="3919" spans="1:18" ht="72">
      <c r="A3919" s="165">
        <v>1121</v>
      </c>
      <c r="B3919" s="162" t="s">
        <v>7145</v>
      </c>
      <c r="C3919" s="166" t="s">
        <v>7146</v>
      </c>
      <c r="D3919" s="167">
        <v>357.55</v>
      </c>
      <c r="E3919" s="167">
        <v>113.29</v>
      </c>
      <c r="F3919" s="167">
        <v>3.96</v>
      </c>
      <c r="G3919" s="167">
        <v>240.3</v>
      </c>
      <c r="H3919" s="168">
        <v>2083.0300000000002</v>
      </c>
      <c r="I3919" s="168">
        <v>1302.8399999999999</v>
      </c>
      <c r="J3919" s="168">
        <v>21.15</v>
      </c>
      <c r="K3919" s="168">
        <v>759.04</v>
      </c>
      <c r="L3919" s="43">
        <v>5.8258425395049649</v>
      </c>
      <c r="M3919" s="43">
        <v>11.500044134522021</v>
      </c>
      <c r="N3919" s="43">
        <v>5.3409090909090908</v>
      </c>
      <c r="O3919" s="43">
        <v>3.1587182688306279</v>
      </c>
      <c r="P3919" s="169"/>
      <c r="Q3919" s="169"/>
      <c r="R3919" s="169">
        <v>2</v>
      </c>
    </row>
    <row r="3920" spans="1:18" ht="72">
      <c r="A3920" s="165">
        <v>1122</v>
      </c>
      <c r="B3920" s="162" t="s">
        <v>7147</v>
      </c>
      <c r="C3920" s="166" t="s">
        <v>7148</v>
      </c>
      <c r="D3920" s="167">
        <v>385.73</v>
      </c>
      <c r="E3920" s="167">
        <v>141.02000000000001</v>
      </c>
      <c r="F3920" s="167">
        <v>4</v>
      </c>
      <c r="G3920" s="167">
        <v>240.71</v>
      </c>
      <c r="H3920" s="168">
        <v>2407.58</v>
      </c>
      <c r="I3920" s="168">
        <v>1621.73</v>
      </c>
      <c r="J3920" s="168">
        <v>21.34</v>
      </c>
      <c r="K3920" s="168">
        <v>764.51</v>
      </c>
      <c r="L3920" s="43">
        <v>6.2416197858605758</v>
      </c>
      <c r="M3920" s="43">
        <v>11.5</v>
      </c>
      <c r="N3920" s="43">
        <v>5.335</v>
      </c>
      <c r="O3920" s="43">
        <v>3.1760624818246019</v>
      </c>
      <c r="P3920" s="169"/>
      <c r="Q3920" s="169"/>
      <c r="R3920" s="169">
        <v>2</v>
      </c>
    </row>
    <row r="3921" spans="1:18" ht="72">
      <c r="A3921" s="165">
        <v>1123</v>
      </c>
      <c r="B3921" s="162" t="s">
        <v>7149</v>
      </c>
      <c r="C3921" s="166" t="s">
        <v>7150</v>
      </c>
      <c r="D3921" s="167">
        <v>442.29</v>
      </c>
      <c r="E3921" s="167">
        <v>183.68</v>
      </c>
      <c r="F3921" s="167">
        <v>4.0999999999999996</v>
      </c>
      <c r="G3921" s="167">
        <v>254.51</v>
      </c>
      <c r="H3921" s="168">
        <v>2985.69</v>
      </c>
      <c r="I3921" s="168">
        <v>2112.34</v>
      </c>
      <c r="J3921" s="168">
        <v>21.87</v>
      </c>
      <c r="K3921" s="168">
        <v>851.48</v>
      </c>
      <c r="L3921" s="43">
        <v>6.7505256732008405</v>
      </c>
      <c r="M3921" s="43">
        <v>11.500108885017422</v>
      </c>
      <c r="N3921" s="43">
        <v>5.3341463414634154</v>
      </c>
      <c r="O3921" s="43">
        <v>3.3455659895485446</v>
      </c>
      <c r="P3921" s="169"/>
      <c r="Q3921" s="169"/>
      <c r="R3921" s="169">
        <v>2</v>
      </c>
    </row>
    <row r="3922" spans="1:18" ht="72">
      <c r="A3922" s="165">
        <v>1124</v>
      </c>
      <c r="B3922" s="162" t="s">
        <v>7151</v>
      </c>
      <c r="C3922" s="166" t="s">
        <v>7152</v>
      </c>
      <c r="D3922" s="167">
        <v>543.82000000000005</v>
      </c>
      <c r="E3922" s="167">
        <v>283.22000000000003</v>
      </c>
      <c r="F3922" s="167">
        <v>4.0999999999999996</v>
      </c>
      <c r="G3922" s="167">
        <v>256.5</v>
      </c>
      <c r="H3922" s="168">
        <v>4153.32</v>
      </c>
      <c r="I3922" s="168">
        <v>3257.09</v>
      </c>
      <c r="J3922" s="168">
        <v>21.87</v>
      </c>
      <c r="K3922" s="168">
        <v>874.36</v>
      </c>
      <c r="L3922" s="43">
        <v>7.637306461696884</v>
      </c>
      <c r="M3922" s="43">
        <v>11.500211849445661</v>
      </c>
      <c r="N3922" s="43">
        <v>5.3341463414634154</v>
      </c>
      <c r="O3922" s="43">
        <v>3.4088109161793372</v>
      </c>
      <c r="P3922" s="169"/>
      <c r="Q3922" s="169"/>
      <c r="R3922" s="169">
        <v>2</v>
      </c>
    </row>
    <row r="3923" spans="1:18" ht="12.75" customHeight="1">
      <c r="A3923" s="628" t="s">
        <v>7153</v>
      </c>
      <c r="B3923" s="629"/>
      <c r="C3923" s="629"/>
      <c r="D3923" s="629"/>
      <c r="E3923" s="629"/>
      <c r="F3923" s="629"/>
      <c r="G3923" s="629"/>
      <c r="H3923" s="629"/>
      <c r="I3923" s="629"/>
      <c r="J3923" s="629"/>
      <c r="K3923" s="629"/>
      <c r="L3923" s="629"/>
      <c r="M3923" s="629"/>
      <c r="N3923" s="629"/>
      <c r="O3923" s="629"/>
      <c r="P3923" s="629"/>
      <c r="Q3923" s="629"/>
      <c r="R3923" s="629"/>
    </row>
    <row r="3924" spans="1:18" ht="48">
      <c r="A3924" s="165">
        <v>1125</v>
      </c>
      <c r="B3924" s="162" t="s">
        <v>7154</v>
      </c>
      <c r="C3924" s="166" t="s">
        <v>7155</v>
      </c>
      <c r="D3924" s="167">
        <v>1449.59</v>
      </c>
      <c r="E3924" s="167">
        <v>247.67</v>
      </c>
      <c r="F3924" s="167">
        <v>1154.25</v>
      </c>
      <c r="G3924" s="167">
        <v>47.67</v>
      </c>
      <c r="H3924" s="168">
        <v>8898.23</v>
      </c>
      <c r="I3924" s="168">
        <v>2848.25</v>
      </c>
      <c r="J3924" s="168">
        <v>5805.9</v>
      </c>
      <c r="K3924" s="168">
        <v>244.08</v>
      </c>
      <c r="L3924" s="43">
        <v>6.1384460433639854</v>
      </c>
      <c r="M3924" s="43">
        <v>11.500181693382324</v>
      </c>
      <c r="N3924" s="43">
        <v>5.0300194931773872</v>
      </c>
      <c r="O3924" s="43">
        <v>5.1202013845185652</v>
      </c>
      <c r="P3924" s="169"/>
      <c r="Q3924" s="169"/>
      <c r="R3924" s="169">
        <v>3</v>
      </c>
    </row>
    <row r="3925" spans="1:18" ht="48">
      <c r="A3925" s="165">
        <v>1126</v>
      </c>
      <c r="B3925" s="162" t="s">
        <v>7156</v>
      </c>
      <c r="C3925" s="166" t="s">
        <v>7157</v>
      </c>
      <c r="D3925" s="167">
        <v>2239.33</v>
      </c>
      <c r="E3925" s="167">
        <v>312.83999999999997</v>
      </c>
      <c r="F3925" s="167">
        <v>1847.61</v>
      </c>
      <c r="G3925" s="167">
        <v>78.88</v>
      </c>
      <c r="H3925" s="168">
        <v>13405.78</v>
      </c>
      <c r="I3925" s="168">
        <v>3597.79</v>
      </c>
      <c r="J3925" s="168">
        <v>9430.4699999999993</v>
      </c>
      <c r="K3925" s="168">
        <v>377.52</v>
      </c>
      <c r="L3925" s="43">
        <v>5.9865138233310864</v>
      </c>
      <c r="M3925" s="43">
        <v>11.500415547883904</v>
      </c>
      <c r="N3925" s="43">
        <v>5.1041453553509673</v>
      </c>
      <c r="O3925" s="43">
        <v>4.7860040567951323</v>
      </c>
      <c r="P3925" s="169"/>
      <c r="Q3925" s="169"/>
      <c r="R3925" s="169">
        <v>3</v>
      </c>
    </row>
    <row r="3926" spans="1:18" ht="48">
      <c r="A3926" s="165">
        <v>1127</v>
      </c>
      <c r="B3926" s="162" t="s">
        <v>7158</v>
      </c>
      <c r="C3926" s="166" t="s">
        <v>7159</v>
      </c>
      <c r="D3926" s="167">
        <v>3158.9</v>
      </c>
      <c r="E3926" s="167">
        <v>393.42</v>
      </c>
      <c r="F3926" s="167">
        <v>2684.99</v>
      </c>
      <c r="G3926" s="167">
        <v>80.489999999999995</v>
      </c>
      <c r="H3926" s="168">
        <v>18758.61</v>
      </c>
      <c r="I3926" s="168">
        <v>4524.5</v>
      </c>
      <c r="J3926" s="168">
        <v>13838.07</v>
      </c>
      <c r="K3926" s="168">
        <v>396.04</v>
      </c>
      <c r="L3926" s="43">
        <v>5.93833612966539</v>
      </c>
      <c r="M3926" s="43">
        <v>11.500432108179552</v>
      </c>
      <c r="N3926" s="43">
        <v>5.1538627704386242</v>
      </c>
      <c r="O3926" s="43">
        <v>4.9203627779848436</v>
      </c>
      <c r="P3926" s="169"/>
      <c r="Q3926" s="169"/>
      <c r="R3926" s="169">
        <v>3</v>
      </c>
    </row>
    <row r="3927" spans="1:18" ht="48">
      <c r="A3927" s="165">
        <v>1128</v>
      </c>
      <c r="B3927" s="162" t="s">
        <v>7160</v>
      </c>
      <c r="C3927" s="166" t="s">
        <v>7161</v>
      </c>
      <c r="D3927" s="167">
        <v>4596.25</v>
      </c>
      <c r="E3927" s="167">
        <v>522.59</v>
      </c>
      <c r="F3927" s="167">
        <v>3460.22</v>
      </c>
      <c r="G3927" s="167">
        <v>613.44000000000005</v>
      </c>
      <c r="H3927" s="168">
        <v>26280.94</v>
      </c>
      <c r="I3927" s="168">
        <v>6009.95</v>
      </c>
      <c r="J3927" s="168">
        <v>17890.14</v>
      </c>
      <c r="K3927" s="168">
        <v>2380.85</v>
      </c>
      <c r="L3927" s="43">
        <v>5.7179091650802283</v>
      </c>
      <c r="M3927" s="43">
        <v>11.500315735088693</v>
      </c>
      <c r="N3927" s="43">
        <v>5.170231950569617</v>
      </c>
      <c r="O3927" s="43">
        <v>3.881145670318205</v>
      </c>
      <c r="P3927" s="169"/>
      <c r="Q3927" s="169"/>
      <c r="R3927" s="169">
        <v>3</v>
      </c>
    </row>
    <row r="3928" spans="1:18" ht="48">
      <c r="A3928" s="165">
        <v>1129</v>
      </c>
      <c r="B3928" s="162" t="s">
        <v>7162</v>
      </c>
      <c r="C3928" s="166" t="s">
        <v>7163</v>
      </c>
      <c r="D3928" s="167">
        <v>5124.5600000000004</v>
      </c>
      <c r="E3928" s="167">
        <v>584.21</v>
      </c>
      <c r="F3928" s="167">
        <v>3925.68</v>
      </c>
      <c r="G3928" s="167">
        <v>614.66999999999996</v>
      </c>
      <c r="H3928" s="168">
        <v>29361.3</v>
      </c>
      <c r="I3928" s="168">
        <v>6718.6</v>
      </c>
      <c r="J3928" s="168">
        <v>20247.71</v>
      </c>
      <c r="K3928" s="168">
        <v>2394.9899999999998</v>
      </c>
      <c r="L3928" s="43">
        <v>5.7295260471142884</v>
      </c>
      <c r="M3928" s="43">
        <v>11.500316666951953</v>
      </c>
      <c r="N3928" s="43">
        <v>5.1577586558252326</v>
      </c>
      <c r="O3928" s="43">
        <v>3.8963834252525746</v>
      </c>
      <c r="P3928" s="169"/>
      <c r="Q3928" s="169"/>
      <c r="R3928" s="169">
        <v>3</v>
      </c>
    </row>
    <row r="3929" spans="1:18" ht="48">
      <c r="A3929" s="165">
        <v>1130</v>
      </c>
      <c r="B3929" s="162" t="s">
        <v>7164</v>
      </c>
      <c r="C3929" s="166" t="s">
        <v>7165</v>
      </c>
      <c r="D3929" s="167">
        <v>9314.98</v>
      </c>
      <c r="E3929" s="167">
        <v>1047.54</v>
      </c>
      <c r="F3929" s="167">
        <v>7281.05</v>
      </c>
      <c r="G3929" s="167">
        <v>986.39</v>
      </c>
      <c r="H3929" s="168">
        <v>55437.81</v>
      </c>
      <c r="I3929" s="168">
        <v>12047.15</v>
      </c>
      <c r="J3929" s="168">
        <v>39549.57</v>
      </c>
      <c r="K3929" s="168">
        <v>3841.09</v>
      </c>
      <c r="L3929" s="43">
        <v>5.9514684948330538</v>
      </c>
      <c r="M3929" s="43">
        <v>11.500420031693301</v>
      </c>
      <c r="N3929" s="43">
        <v>5.4318498018829704</v>
      </c>
      <c r="O3929" s="43">
        <v>3.894088545098795</v>
      </c>
      <c r="P3929" s="169"/>
      <c r="Q3929" s="169"/>
      <c r="R3929" s="169">
        <v>3</v>
      </c>
    </row>
    <row r="3930" spans="1:18" ht="48">
      <c r="A3930" s="165">
        <v>1131</v>
      </c>
      <c r="B3930" s="162" t="s">
        <v>7166</v>
      </c>
      <c r="C3930" s="166" t="s">
        <v>7167</v>
      </c>
      <c r="D3930" s="167">
        <v>11702.5</v>
      </c>
      <c r="E3930" s="167">
        <v>1279.8</v>
      </c>
      <c r="F3930" s="167">
        <v>9342.2800000000007</v>
      </c>
      <c r="G3930" s="167">
        <v>1080.42</v>
      </c>
      <c r="H3930" s="168">
        <v>69772.509999999995</v>
      </c>
      <c r="I3930" s="168">
        <v>14718.24</v>
      </c>
      <c r="J3930" s="168">
        <v>50817.81</v>
      </c>
      <c r="K3930" s="168">
        <v>4236.46</v>
      </c>
      <c r="L3930" s="43">
        <v>5.9621884212775047</v>
      </c>
      <c r="M3930" s="43">
        <v>11.50042194092827</v>
      </c>
      <c r="N3930" s="43">
        <v>5.4395511588177614</v>
      </c>
      <c r="O3930" s="43">
        <v>3.9211232668776956</v>
      </c>
      <c r="P3930" s="169"/>
      <c r="Q3930" s="169"/>
      <c r="R3930" s="169">
        <v>3</v>
      </c>
    </row>
    <row r="3931" spans="1:18" ht="48">
      <c r="A3931" s="165">
        <v>1132</v>
      </c>
      <c r="B3931" s="162" t="s">
        <v>7168</v>
      </c>
      <c r="C3931" s="166" t="s">
        <v>7169</v>
      </c>
      <c r="D3931" s="167">
        <v>14211.57</v>
      </c>
      <c r="E3931" s="167">
        <v>1528.65</v>
      </c>
      <c r="F3931" s="167">
        <v>11415.42</v>
      </c>
      <c r="G3931" s="167">
        <v>1267.5</v>
      </c>
      <c r="H3931" s="168">
        <v>84709.67</v>
      </c>
      <c r="I3931" s="168">
        <v>17580.12</v>
      </c>
      <c r="J3931" s="168">
        <v>62161.57</v>
      </c>
      <c r="K3931" s="168">
        <v>4967.9799999999996</v>
      </c>
      <c r="L3931" s="43">
        <v>5.9606130779357942</v>
      </c>
      <c r="M3931" s="43">
        <v>11.500421940928268</v>
      </c>
      <c r="N3931" s="43">
        <v>5.4454036732770232</v>
      </c>
      <c r="O3931" s="43">
        <v>3.9195108481262322</v>
      </c>
      <c r="P3931" s="169"/>
      <c r="Q3931" s="169"/>
      <c r="R3931" s="169">
        <v>3</v>
      </c>
    </row>
    <row r="3932" spans="1:18" ht="48">
      <c r="A3932" s="165">
        <v>1133</v>
      </c>
      <c r="B3932" s="162" t="s">
        <v>7170</v>
      </c>
      <c r="C3932" s="166" t="s">
        <v>7171</v>
      </c>
      <c r="D3932" s="167">
        <v>15815.11</v>
      </c>
      <c r="E3932" s="167">
        <v>1741.95</v>
      </c>
      <c r="F3932" s="167">
        <v>12251.03</v>
      </c>
      <c r="G3932" s="167">
        <v>1822.13</v>
      </c>
      <c r="H3932" s="168">
        <v>93547.47</v>
      </c>
      <c r="I3932" s="168">
        <v>20033.16</v>
      </c>
      <c r="J3932" s="168">
        <v>66469.440000000002</v>
      </c>
      <c r="K3932" s="168">
        <v>7044.87</v>
      </c>
      <c r="L3932" s="43">
        <v>5.915069196483616</v>
      </c>
      <c r="M3932" s="43">
        <v>11.50042194092827</v>
      </c>
      <c r="N3932" s="43">
        <v>5.4256205396607466</v>
      </c>
      <c r="O3932" s="43">
        <v>3.8662828667548417</v>
      </c>
      <c r="P3932" s="169"/>
      <c r="Q3932" s="169"/>
      <c r="R3932" s="169">
        <v>3</v>
      </c>
    </row>
    <row r="3933" spans="1:18" ht="48">
      <c r="A3933" s="165">
        <v>1134</v>
      </c>
      <c r="B3933" s="162" t="s">
        <v>7172</v>
      </c>
      <c r="C3933" s="166" t="s">
        <v>7173</v>
      </c>
      <c r="D3933" s="167">
        <v>20982.240000000002</v>
      </c>
      <c r="E3933" s="167">
        <v>1753.8</v>
      </c>
      <c r="F3933" s="167">
        <v>17043.04</v>
      </c>
      <c r="G3933" s="167">
        <v>2185.4</v>
      </c>
      <c r="H3933" s="168">
        <v>117980.34</v>
      </c>
      <c r="I3933" s="168">
        <v>20169.439999999999</v>
      </c>
      <c r="J3933" s="168">
        <v>89414.080000000002</v>
      </c>
      <c r="K3933" s="168">
        <v>8396.82</v>
      </c>
      <c r="L3933" s="43">
        <v>5.6228667673232211</v>
      </c>
      <c r="M3933" s="43">
        <v>11.50042194092827</v>
      </c>
      <c r="N3933" s="43">
        <v>5.2463691923506603</v>
      </c>
      <c r="O3933" s="43">
        <v>3.8422348311521914</v>
      </c>
      <c r="P3933" s="169"/>
      <c r="Q3933" s="169"/>
      <c r="R3933" s="169">
        <v>3</v>
      </c>
    </row>
    <row r="3934" spans="1:18" ht="84">
      <c r="A3934" s="165">
        <v>1135</v>
      </c>
      <c r="B3934" s="162" t="s">
        <v>7174</v>
      </c>
      <c r="C3934" s="166" t="s">
        <v>7175</v>
      </c>
      <c r="D3934" s="167">
        <v>206.57</v>
      </c>
      <c r="E3934" s="167">
        <v>56.17</v>
      </c>
      <c r="F3934" s="167">
        <v>3.73</v>
      </c>
      <c r="G3934" s="167">
        <v>146.66999999999999</v>
      </c>
      <c r="H3934" s="168">
        <v>1212.8399999999999</v>
      </c>
      <c r="I3934" s="168">
        <v>645.97</v>
      </c>
      <c r="J3934" s="168">
        <v>19.97</v>
      </c>
      <c r="K3934" s="168">
        <v>546.9</v>
      </c>
      <c r="L3934" s="43">
        <v>5.8713269109744877</v>
      </c>
      <c r="M3934" s="43">
        <v>11.500267046466085</v>
      </c>
      <c r="N3934" s="43">
        <v>5.3538873994638063</v>
      </c>
      <c r="O3934" s="43">
        <v>3.7287788913888322</v>
      </c>
      <c r="P3934" s="169"/>
      <c r="Q3934" s="169"/>
      <c r="R3934" s="169">
        <v>3</v>
      </c>
    </row>
    <row r="3935" spans="1:18" ht="84">
      <c r="A3935" s="165">
        <v>1136</v>
      </c>
      <c r="B3935" s="162" t="s">
        <v>7176</v>
      </c>
      <c r="C3935" s="166" t="s">
        <v>7177</v>
      </c>
      <c r="D3935" s="167">
        <v>236.32</v>
      </c>
      <c r="E3935" s="167">
        <v>70.150000000000006</v>
      </c>
      <c r="F3935" s="167">
        <v>3.77</v>
      </c>
      <c r="G3935" s="167">
        <v>162.4</v>
      </c>
      <c r="H3935" s="168">
        <v>1468.21</v>
      </c>
      <c r="I3935" s="168">
        <v>806.78</v>
      </c>
      <c r="J3935" s="168">
        <v>20.170000000000002</v>
      </c>
      <c r="K3935" s="168">
        <v>641.26</v>
      </c>
      <c r="L3935" s="43">
        <v>6.2128046716316865</v>
      </c>
      <c r="M3935" s="43">
        <v>11.500784034212401</v>
      </c>
      <c r="N3935" s="43">
        <v>5.3501326259946955</v>
      </c>
      <c r="O3935" s="43">
        <v>3.948645320197044</v>
      </c>
      <c r="P3935" s="169"/>
      <c r="Q3935" s="169"/>
      <c r="R3935" s="169">
        <v>3</v>
      </c>
    </row>
    <row r="3936" spans="1:18" ht="84">
      <c r="A3936" s="165">
        <v>1137</v>
      </c>
      <c r="B3936" s="162" t="s">
        <v>7178</v>
      </c>
      <c r="C3936" s="166" t="s">
        <v>7179</v>
      </c>
      <c r="D3936" s="167">
        <v>368.68</v>
      </c>
      <c r="E3936" s="167">
        <v>84.25</v>
      </c>
      <c r="F3936" s="167">
        <v>6.76</v>
      </c>
      <c r="G3936" s="167">
        <v>277.67</v>
      </c>
      <c r="H3936" s="168">
        <v>2002.38</v>
      </c>
      <c r="I3936" s="168">
        <v>968.95</v>
      </c>
      <c r="J3936" s="168">
        <v>36.19</v>
      </c>
      <c r="K3936" s="168">
        <v>997.24</v>
      </c>
      <c r="L3936" s="43">
        <v>5.4312140609742867</v>
      </c>
      <c r="M3936" s="43">
        <v>11.500890207715134</v>
      </c>
      <c r="N3936" s="43">
        <v>5.3535502958579881</v>
      </c>
      <c r="O3936" s="43">
        <v>3.5914574855043755</v>
      </c>
      <c r="P3936" s="169"/>
      <c r="Q3936" s="169"/>
      <c r="R3936" s="169">
        <v>3</v>
      </c>
    </row>
    <row r="3937" spans="1:18" ht="84">
      <c r="A3937" s="165">
        <v>1138</v>
      </c>
      <c r="B3937" s="162" t="s">
        <v>7180</v>
      </c>
      <c r="C3937" s="166" t="s">
        <v>7181</v>
      </c>
      <c r="D3937" s="167">
        <v>445.18</v>
      </c>
      <c r="E3937" s="167">
        <v>112.34</v>
      </c>
      <c r="F3937" s="167">
        <v>9.6300000000000008</v>
      </c>
      <c r="G3937" s="167">
        <v>323.20999999999998</v>
      </c>
      <c r="H3937" s="168">
        <v>2618.5</v>
      </c>
      <c r="I3937" s="168">
        <v>1291.93</v>
      </c>
      <c r="J3937" s="168">
        <v>51.64</v>
      </c>
      <c r="K3937" s="168">
        <v>1274.93</v>
      </c>
      <c r="L3937" s="43">
        <v>5.8818904712700482</v>
      </c>
      <c r="M3937" s="43">
        <v>11.50017803097739</v>
      </c>
      <c r="N3937" s="43">
        <v>5.3624091381100722</v>
      </c>
      <c r="O3937" s="43">
        <v>3.9445871105473227</v>
      </c>
      <c r="P3937" s="169"/>
      <c r="Q3937" s="169"/>
      <c r="R3937" s="169">
        <v>3</v>
      </c>
    </row>
    <row r="3938" spans="1:18" ht="96">
      <c r="A3938" s="165">
        <v>1139</v>
      </c>
      <c r="B3938" s="162" t="s">
        <v>7182</v>
      </c>
      <c r="C3938" s="166" t="s">
        <v>7183</v>
      </c>
      <c r="D3938" s="167">
        <v>361.76</v>
      </c>
      <c r="E3938" s="167">
        <v>98.12</v>
      </c>
      <c r="F3938" s="167">
        <v>4.09</v>
      </c>
      <c r="G3938" s="167">
        <v>259.55</v>
      </c>
      <c r="H3938" s="168">
        <v>1901.75</v>
      </c>
      <c r="I3938" s="168">
        <v>1128.4000000000001</v>
      </c>
      <c r="J3938" s="168">
        <v>21.8</v>
      </c>
      <c r="K3938" s="168">
        <v>751.55</v>
      </c>
      <c r="L3938" s="43">
        <v>5.2569383016364446</v>
      </c>
      <c r="M3938" s="43">
        <v>11.500203832042397</v>
      </c>
      <c r="N3938" s="43">
        <v>5.3300733496332526</v>
      </c>
      <c r="O3938" s="43">
        <v>2.8955885185898667</v>
      </c>
      <c r="P3938" s="169"/>
      <c r="Q3938" s="169"/>
      <c r="R3938" s="169">
        <v>3</v>
      </c>
    </row>
    <row r="3939" spans="1:18" ht="96">
      <c r="A3939" s="165">
        <v>1140</v>
      </c>
      <c r="B3939" s="162" t="s">
        <v>7184</v>
      </c>
      <c r="C3939" s="166" t="s">
        <v>7185</v>
      </c>
      <c r="D3939" s="167">
        <v>400.4</v>
      </c>
      <c r="E3939" s="167">
        <v>112.34</v>
      </c>
      <c r="F3939" s="167">
        <v>4.1399999999999997</v>
      </c>
      <c r="G3939" s="167">
        <v>283.92</v>
      </c>
      <c r="H3939" s="168">
        <v>2215.5</v>
      </c>
      <c r="I3939" s="168">
        <v>1291.93</v>
      </c>
      <c r="J3939" s="168">
        <v>22.06</v>
      </c>
      <c r="K3939" s="168">
        <v>901.51</v>
      </c>
      <c r="L3939" s="43">
        <v>5.5332167832167833</v>
      </c>
      <c r="M3939" s="43">
        <v>11.50017803097739</v>
      </c>
      <c r="N3939" s="43">
        <v>5.3285024154589369</v>
      </c>
      <c r="O3939" s="43">
        <v>3.1752254156100306</v>
      </c>
      <c r="P3939" s="169"/>
      <c r="Q3939" s="169"/>
      <c r="R3939" s="169">
        <v>3</v>
      </c>
    </row>
    <row r="3940" spans="1:18" ht="96">
      <c r="A3940" s="165">
        <v>1141</v>
      </c>
      <c r="B3940" s="162" t="s">
        <v>7186</v>
      </c>
      <c r="C3940" s="166" t="s">
        <v>7187</v>
      </c>
      <c r="D3940" s="167">
        <v>492.11</v>
      </c>
      <c r="E3940" s="167">
        <v>126.8</v>
      </c>
      <c r="F3940" s="167">
        <v>6.97</v>
      </c>
      <c r="G3940" s="167">
        <v>358.34</v>
      </c>
      <c r="H3940" s="168">
        <v>2618.6</v>
      </c>
      <c r="I3940" s="168">
        <v>1458.2</v>
      </c>
      <c r="J3940" s="168">
        <v>37.299999999999997</v>
      </c>
      <c r="K3940" s="168">
        <v>1123.0999999999999</v>
      </c>
      <c r="L3940" s="43">
        <v>5.3211680315376642</v>
      </c>
      <c r="M3940" s="43">
        <v>11.5</v>
      </c>
      <c r="N3940" s="43">
        <v>5.351506456241033</v>
      </c>
      <c r="O3940" s="43">
        <v>3.1341742479209689</v>
      </c>
      <c r="P3940" s="169"/>
      <c r="Q3940" s="169"/>
      <c r="R3940" s="169">
        <v>3</v>
      </c>
    </row>
    <row r="3941" spans="1:18" ht="96">
      <c r="A3941" s="165">
        <v>1142</v>
      </c>
      <c r="B3941" s="162" t="s">
        <v>7188</v>
      </c>
      <c r="C3941" s="166" t="s">
        <v>7189</v>
      </c>
      <c r="D3941" s="167">
        <v>541.76</v>
      </c>
      <c r="E3941" s="167">
        <v>154.05000000000001</v>
      </c>
      <c r="F3941" s="167">
        <v>7.04</v>
      </c>
      <c r="G3941" s="167">
        <v>380.67</v>
      </c>
      <c r="H3941" s="168">
        <v>3069.6</v>
      </c>
      <c r="I3941" s="168">
        <v>1771.64</v>
      </c>
      <c r="J3941" s="168">
        <v>37.630000000000003</v>
      </c>
      <c r="K3941" s="168">
        <v>1260.33</v>
      </c>
      <c r="L3941" s="43">
        <v>5.665977554636739</v>
      </c>
      <c r="M3941" s="43">
        <v>11.50042194092827</v>
      </c>
      <c r="N3941" s="43">
        <v>5.345170454545455</v>
      </c>
      <c r="O3941" s="43">
        <v>3.3108203956182516</v>
      </c>
      <c r="P3941" s="169"/>
      <c r="Q3941" s="169"/>
      <c r="R3941" s="169">
        <v>3</v>
      </c>
    </row>
    <row r="3942" spans="1:18" ht="96">
      <c r="A3942" s="165">
        <v>1143</v>
      </c>
      <c r="B3942" s="162" t="s">
        <v>7190</v>
      </c>
      <c r="C3942" s="166" t="s">
        <v>7191</v>
      </c>
      <c r="D3942" s="167">
        <v>645.34</v>
      </c>
      <c r="E3942" s="167">
        <v>182.49</v>
      </c>
      <c r="F3942" s="167">
        <v>9.81</v>
      </c>
      <c r="G3942" s="167">
        <v>453.04</v>
      </c>
      <c r="H3942" s="168">
        <v>3802.55</v>
      </c>
      <c r="I3942" s="168">
        <v>2098.71</v>
      </c>
      <c r="J3942" s="168">
        <v>52.56</v>
      </c>
      <c r="K3942" s="168">
        <v>1651.28</v>
      </c>
      <c r="L3942" s="43">
        <v>5.8923203272693465</v>
      </c>
      <c r="M3942" s="43">
        <v>11.50041098142364</v>
      </c>
      <c r="N3942" s="43">
        <v>5.3577981651376145</v>
      </c>
      <c r="O3942" s="43">
        <v>3.6448878686208719</v>
      </c>
      <c r="P3942" s="169"/>
      <c r="Q3942" s="169"/>
      <c r="R3942" s="169">
        <v>3</v>
      </c>
    </row>
    <row r="3943" spans="1:18" ht="96">
      <c r="A3943" s="165">
        <v>1144</v>
      </c>
      <c r="B3943" s="162" t="s">
        <v>7192</v>
      </c>
      <c r="C3943" s="166" t="s">
        <v>7193</v>
      </c>
      <c r="D3943" s="167">
        <v>664.14</v>
      </c>
      <c r="E3943" s="167">
        <v>183.68</v>
      </c>
      <c r="F3943" s="167">
        <v>9.93</v>
      </c>
      <c r="G3943" s="167">
        <v>470.53</v>
      </c>
      <c r="H3943" s="168">
        <v>3919.99</v>
      </c>
      <c r="I3943" s="168">
        <v>2112.34</v>
      </c>
      <c r="J3943" s="168">
        <v>53.15</v>
      </c>
      <c r="K3943" s="168">
        <v>1754.5</v>
      </c>
      <c r="L3943" s="43">
        <v>5.9023549251663807</v>
      </c>
      <c r="M3943" s="43">
        <v>11.500108885017422</v>
      </c>
      <c r="N3943" s="43">
        <v>5.3524672708962742</v>
      </c>
      <c r="O3943" s="43">
        <v>3.7287739357745524</v>
      </c>
      <c r="P3943" s="169"/>
      <c r="Q3943" s="169"/>
      <c r="R3943" s="169">
        <v>3</v>
      </c>
    </row>
    <row r="3944" spans="1:18" ht="12.75" customHeight="1">
      <c r="A3944" s="628" t="s">
        <v>7194</v>
      </c>
      <c r="B3944" s="629"/>
      <c r="C3944" s="629"/>
      <c r="D3944" s="629"/>
      <c r="E3944" s="629"/>
      <c r="F3944" s="629"/>
      <c r="G3944" s="629"/>
      <c r="H3944" s="629"/>
      <c r="I3944" s="629"/>
      <c r="J3944" s="629"/>
      <c r="K3944" s="629"/>
      <c r="L3944" s="629"/>
      <c r="M3944" s="629"/>
      <c r="N3944" s="629"/>
      <c r="O3944" s="629"/>
      <c r="P3944" s="629"/>
      <c r="Q3944" s="629"/>
      <c r="R3944" s="629"/>
    </row>
    <row r="3945" spans="1:18" ht="60">
      <c r="A3945" s="165">
        <v>1145</v>
      </c>
      <c r="B3945" s="162" t="s">
        <v>7195</v>
      </c>
      <c r="C3945" s="166" t="s">
        <v>7196</v>
      </c>
      <c r="D3945" s="167">
        <v>7041.68</v>
      </c>
      <c r="E3945" s="167">
        <v>1433.85</v>
      </c>
      <c r="F3945" s="167">
        <v>5052.99</v>
      </c>
      <c r="G3945" s="167">
        <v>554.84</v>
      </c>
      <c r="H3945" s="168">
        <v>44590.75</v>
      </c>
      <c r="I3945" s="168">
        <v>16489.88</v>
      </c>
      <c r="J3945" s="168">
        <v>25376.86</v>
      </c>
      <c r="K3945" s="168">
        <v>2724.01</v>
      </c>
      <c r="L3945" s="43">
        <v>6.33240221083605</v>
      </c>
      <c r="M3945" s="43">
        <v>11.500421940928272</v>
      </c>
      <c r="N3945" s="43">
        <v>5.0221472830937728</v>
      </c>
      <c r="O3945" s="43">
        <v>4.9095414894383964</v>
      </c>
      <c r="P3945" s="169"/>
      <c r="Q3945" s="169"/>
      <c r="R3945" s="169">
        <v>4</v>
      </c>
    </row>
    <row r="3946" spans="1:18" ht="60">
      <c r="A3946" s="165">
        <v>1146</v>
      </c>
      <c r="B3946" s="162" t="s">
        <v>7197</v>
      </c>
      <c r="C3946" s="166" t="s">
        <v>7198</v>
      </c>
      <c r="D3946" s="167">
        <v>9773.7800000000007</v>
      </c>
      <c r="E3946" s="167">
        <v>1789.35</v>
      </c>
      <c r="F3946" s="167">
        <v>6985.6</v>
      </c>
      <c r="G3946" s="167">
        <v>998.83</v>
      </c>
      <c r="H3946" s="168">
        <v>60537.01</v>
      </c>
      <c r="I3946" s="168">
        <v>20578.28</v>
      </c>
      <c r="J3946" s="168">
        <v>35367.410000000003</v>
      </c>
      <c r="K3946" s="168">
        <v>4591.32</v>
      </c>
      <c r="L3946" s="43">
        <v>6.1938175403989035</v>
      </c>
      <c r="M3946" s="43">
        <v>11.50042194092827</v>
      </c>
      <c r="N3946" s="43">
        <v>5.0629022560696288</v>
      </c>
      <c r="O3946" s="43">
        <v>4.5966981368200788</v>
      </c>
      <c r="P3946" s="169"/>
      <c r="Q3946" s="169"/>
      <c r="R3946" s="169">
        <v>4</v>
      </c>
    </row>
    <row r="3947" spans="1:18" ht="60">
      <c r="A3947" s="165">
        <v>1147</v>
      </c>
      <c r="B3947" s="162" t="s">
        <v>7199</v>
      </c>
      <c r="C3947" s="166" t="s">
        <v>7200</v>
      </c>
      <c r="D3947" s="167">
        <v>16878.72</v>
      </c>
      <c r="E3947" s="167">
        <v>3081</v>
      </c>
      <c r="F3947" s="167">
        <v>11848.35</v>
      </c>
      <c r="G3947" s="167">
        <v>1949.37</v>
      </c>
      <c r="H3947" s="168">
        <v>106882.89</v>
      </c>
      <c r="I3947" s="168">
        <v>35432.800000000003</v>
      </c>
      <c r="J3947" s="168">
        <v>62735.69</v>
      </c>
      <c r="K3947" s="168">
        <v>8714.4</v>
      </c>
      <c r="L3947" s="43">
        <v>6.3324049453987028</v>
      </c>
      <c r="M3947" s="43">
        <v>11.500421940928272</v>
      </c>
      <c r="N3947" s="43">
        <v>5.2948883177826449</v>
      </c>
      <c r="O3947" s="43">
        <v>4.4703673494513616</v>
      </c>
      <c r="P3947" s="169"/>
      <c r="Q3947" s="169"/>
      <c r="R3947" s="169">
        <v>4</v>
      </c>
    </row>
    <row r="3948" spans="1:18" ht="60">
      <c r="A3948" s="165">
        <v>1148</v>
      </c>
      <c r="B3948" s="162" t="s">
        <v>7201</v>
      </c>
      <c r="C3948" s="166" t="s">
        <v>7202</v>
      </c>
      <c r="D3948" s="167">
        <v>20085.599999999999</v>
      </c>
      <c r="E3948" s="167">
        <v>3815.7</v>
      </c>
      <c r="F3948" s="167">
        <v>13414.29</v>
      </c>
      <c r="G3948" s="167">
        <v>2855.61</v>
      </c>
      <c r="H3948" s="168">
        <v>126953.76</v>
      </c>
      <c r="I3948" s="168">
        <v>43882.16</v>
      </c>
      <c r="J3948" s="168">
        <v>70479.960000000006</v>
      </c>
      <c r="K3948" s="168">
        <v>12591.64</v>
      </c>
      <c r="L3948" s="43">
        <v>6.3206356792926277</v>
      </c>
      <c r="M3948" s="43">
        <v>11.500421940928272</v>
      </c>
      <c r="N3948" s="43">
        <v>5.2540954459758957</v>
      </c>
      <c r="O3948" s="43">
        <v>4.4094396643799394</v>
      </c>
      <c r="P3948" s="169"/>
      <c r="Q3948" s="169"/>
      <c r="R3948" s="169">
        <v>4</v>
      </c>
    </row>
    <row r="3949" spans="1:18" ht="60">
      <c r="A3949" s="165">
        <v>1149</v>
      </c>
      <c r="B3949" s="162" t="s">
        <v>7203</v>
      </c>
      <c r="C3949" s="166" t="s">
        <v>7204</v>
      </c>
      <c r="D3949" s="167">
        <v>31211.94</v>
      </c>
      <c r="E3949" s="167">
        <v>3886.8</v>
      </c>
      <c r="F3949" s="167">
        <v>24592.79</v>
      </c>
      <c r="G3949" s="167">
        <v>2732.35</v>
      </c>
      <c r="H3949" s="168">
        <v>182445.95</v>
      </c>
      <c r="I3949" s="168">
        <v>44699.839999999997</v>
      </c>
      <c r="J3949" s="168">
        <v>125685.97</v>
      </c>
      <c r="K3949" s="168">
        <v>12060.14</v>
      </c>
      <c r="L3949" s="43">
        <v>5.8453896169222421</v>
      </c>
      <c r="M3949" s="43">
        <v>11.500421940928268</v>
      </c>
      <c r="N3949" s="43">
        <v>5.1106836597230325</v>
      </c>
      <c r="O3949" s="43">
        <v>4.4138342452467656</v>
      </c>
      <c r="P3949" s="169"/>
      <c r="Q3949" s="169"/>
      <c r="R3949" s="169">
        <v>4</v>
      </c>
    </row>
    <row r="3950" spans="1:18" ht="60">
      <c r="A3950" s="165">
        <v>1150</v>
      </c>
      <c r="B3950" s="162" t="s">
        <v>7205</v>
      </c>
      <c r="C3950" s="166" t="s">
        <v>7206</v>
      </c>
      <c r="D3950" s="167">
        <v>39077.81</v>
      </c>
      <c r="E3950" s="167">
        <v>5131.05</v>
      </c>
      <c r="F3950" s="167">
        <v>31189.53</v>
      </c>
      <c r="G3950" s="167">
        <v>2757.23</v>
      </c>
      <c r="H3950" s="168">
        <v>229990.83</v>
      </c>
      <c r="I3950" s="168">
        <v>59009.24</v>
      </c>
      <c r="J3950" s="168">
        <v>158635.32999999999</v>
      </c>
      <c r="K3950" s="168">
        <v>12346.26</v>
      </c>
      <c r="L3950" s="43">
        <v>5.8854585249275742</v>
      </c>
      <c r="M3950" s="43">
        <v>11.50042194092827</v>
      </c>
      <c r="N3950" s="43">
        <v>5.0861725072484258</v>
      </c>
      <c r="O3950" s="43">
        <v>4.4777766091330795</v>
      </c>
      <c r="P3950" s="169"/>
      <c r="Q3950" s="169"/>
      <c r="R3950" s="169">
        <v>4</v>
      </c>
    </row>
    <row r="3951" spans="1:18" ht="60">
      <c r="A3951" s="165">
        <v>1151</v>
      </c>
      <c r="B3951" s="162" t="s">
        <v>7207</v>
      </c>
      <c r="C3951" s="166" t="s">
        <v>7208</v>
      </c>
      <c r="D3951" s="167">
        <v>8459.8799999999992</v>
      </c>
      <c r="E3951" s="167">
        <v>1907.85</v>
      </c>
      <c r="F3951" s="167">
        <v>5979.96</v>
      </c>
      <c r="G3951" s="167">
        <v>572.07000000000005</v>
      </c>
      <c r="H3951" s="168">
        <v>54507.22</v>
      </c>
      <c r="I3951" s="168">
        <v>21941.08</v>
      </c>
      <c r="J3951" s="168">
        <v>29695.59</v>
      </c>
      <c r="K3951" s="168">
        <v>2870.55</v>
      </c>
      <c r="L3951" s="43">
        <v>6.4430251965748928</v>
      </c>
      <c r="M3951" s="43">
        <v>11.500421940928272</v>
      </c>
      <c r="N3951" s="43">
        <v>4.96585094214677</v>
      </c>
      <c r="O3951" s="43">
        <v>5.0178299858408932</v>
      </c>
      <c r="P3951" s="169"/>
      <c r="Q3951" s="169"/>
      <c r="R3951" s="169">
        <v>4</v>
      </c>
    </row>
    <row r="3952" spans="1:18" ht="60">
      <c r="A3952" s="165">
        <v>1152</v>
      </c>
      <c r="B3952" s="162" t="s">
        <v>7209</v>
      </c>
      <c r="C3952" s="166" t="s">
        <v>7210</v>
      </c>
      <c r="D3952" s="167">
        <v>11428.66</v>
      </c>
      <c r="E3952" s="167">
        <v>2370</v>
      </c>
      <c r="F3952" s="167">
        <v>8048.22</v>
      </c>
      <c r="G3952" s="167">
        <v>1010.44</v>
      </c>
      <c r="H3952" s="168">
        <v>72298.990000000005</v>
      </c>
      <c r="I3952" s="168">
        <v>27256</v>
      </c>
      <c r="J3952" s="168">
        <v>40318.160000000003</v>
      </c>
      <c r="K3952" s="168">
        <v>4724.83</v>
      </c>
      <c r="L3952" s="43">
        <v>6.3261125976273691</v>
      </c>
      <c r="M3952" s="43">
        <v>11.50042194092827</v>
      </c>
      <c r="N3952" s="43">
        <v>5.0095747879655379</v>
      </c>
      <c r="O3952" s="43">
        <v>4.6760124302284147</v>
      </c>
      <c r="P3952" s="169"/>
      <c r="Q3952" s="169"/>
      <c r="R3952" s="169">
        <v>4</v>
      </c>
    </row>
    <row r="3953" spans="1:18" ht="60">
      <c r="A3953" s="165">
        <v>1153</v>
      </c>
      <c r="B3953" s="162" t="s">
        <v>7211</v>
      </c>
      <c r="C3953" s="166" t="s">
        <v>7212</v>
      </c>
      <c r="D3953" s="167">
        <v>15453.67</v>
      </c>
      <c r="E3953" s="167">
        <v>3448.35</v>
      </c>
      <c r="F3953" s="167">
        <v>10224.24</v>
      </c>
      <c r="G3953" s="167">
        <v>1781.08</v>
      </c>
      <c r="H3953" s="168">
        <v>99298.43</v>
      </c>
      <c r="I3953" s="168">
        <v>39657.480000000003</v>
      </c>
      <c r="J3953" s="168">
        <v>51536.800000000003</v>
      </c>
      <c r="K3953" s="168">
        <v>8104.15</v>
      </c>
      <c r="L3953" s="43">
        <v>6.42555651828983</v>
      </c>
      <c r="M3953" s="43">
        <v>11.500421940928272</v>
      </c>
      <c r="N3953" s="43">
        <v>5.0406484980790749</v>
      </c>
      <c r="O3953" s="43">
        <v>4.5501325038740541</v>
      </c>
      <c r="P3953" s="169"/>
      <c r="Q3953" s="169"/>
      <c r="R3953" s="169">
        <v>4</v>
      </c>
    </row>
    <row r="3954" spans="1:18" ht="60">
      <c r="A3954" s="165">
        <v>1154</v>
      </c>
      <c r="B3954" s="162" t="s">
        <v>7213</v>
      </c>
      <c r="C3954" s="166" t="s">
        <v>7214</v>
      </c>
      <c r="D3954" s="167">
        <v>19362.080000000002</v>
      </c>
      <c r="E3954" s="167">
        <v>4088.25</v>
      </c>
      <c r="F3954" s="167">
        <v>13250.11</v>
      </c>
      <c r="G3954" s="167">
        <v>2023.72</v>
      </c>
      <c r="H3954" s="168">
        <v>125491.8</v>
      </c>
      <c r="I3954" s="168">
        <v>47016.6</v>
      </c>
      <c r="J3954" s="168">
        <v>69266.460000000006</v>
      </c>
      <c r="K3954" s="168">
        <v>9208.74</v>
      </c>
      <c r="L3954" s="43">
        <v>6.4813181228463055</v>
      </c>
      <c r="M3954" s="43">
        <v>11.50042194092827</v>
      </c>
      <c r="N3954" s="43">
        <v>5.22761395943128</v>
      </c>
      <c r="O3954" s="43">
        <v>4.5504022295574487</v>
      </c>
      <c r="P3954" s="169"/>
      <c r="Q3954" s="169"/>
      <c r="R3954" s="169">
        <v>4</v>
      </c>
    </row>
    <row r="3955" spans="1:18" ht="60">
      <c r="A3955" s="165">
        <v>1155</v>
      </c>
      <c r="B3955" s="162" t="s">
        <v>7215</v>
      </c>
      <c r="C3955" s="166" t="s">
        <v>7216</v>
      </c>
      <c r="D3955" s="167">
        <v>22991.99</v>
      </c>
      <c r="E3955" s="167">
        <v>4716.3</v>
      </c>
      <c r="F3955" s="167">
        <v>15850.74</v>
      </c>
      <c r="G3955" s="167">
        <v>2424.9499999999998</v>
      </c>
      <c r="H3955" s="168">
        <v>148279.64000000001</v>
      </c>
      <c r="I3955" s="168">
        <v>54239.44</v>
      </c>
      <c r="J3955" s="168">
        <v>83105.78</v>
      </c>
      <c r="K3955" s="168">
        <v>10934.42</v>
      </c>
      <c r="L3955" s="43">
        <v>6.4491868689922009</v>
      </c>
      <c r="M3955" s="43">
        <v>11.50042194092827</v>
      </c>
      <c r="N3955" s="43">
        <v>5.2430220923439537</v>
      </c>
      <c r="O3955" s="43">
        <v>4.5091321470545784</v>
      </c>
      <c r="P3955" s="169"/>
      <c r="Q3955" s="169"/>
      <c r="R3955" s="169">
        <v>4</v>
      </c>
    </row>
    <row r="3956" spans="1:18" ht="60">
      <c r="A3956" s="165">
        <v>1156</v>
      </c>
      <c r="B3956" s="162" t="s">
        <v>7217</v>
      </c>
      <c r="C3956" s="166" t="s">
        <v>7218</v>
      </c>
      <c r="D3956" s="167">
        <v>33028.959999999999</v>
      </c>
      <c r="E3956" s="167">
        <v>4988.8500000000004</v>
      </c>
      <c r="F3956" s="167">
        <v>25283.84</v>
      </c>
      <c r="G3956" s="167">
        <v>2756.27</v>
      </c>
      <c r="H3956" s="168">
        <v>197036.85</v>
      </c>
      <c r="I3956" s="168">
        <v>57373.88</v>
      </c>
      <c r="J3956" s="168">
        <v>127343.52</v>
      </c>
      <c r="K3956" s="168">
        <v>12319.45</v>
      </c>
      <c r="L3956" s="43">
        <v>5.9655783893891909</v>
      </c>
      <c r="M3956" s="43">
        <v>11.500421940928268</v>
      </c>
      <c r="N3956" s="43">
        <v>5.0365577380651043</v>
      </c>
      <c r="O3956" s="43">
        <v>4.4696092908169378</v>
      </c>
      <c r="P3956" s="169"/>
      <c r="Q3956" s="169"/>
      <c r="R3956" s="169">
        <v>4</v>
      </c>
    </row>
    <row r="3957" spans="1:18" ht="60">
      <c r="A3957" s="165">
        <v>1157</v>
      </c>
      <c r="B3957" s="162" t="s">
        <v>7219</v>
      </c>
      <c r="C3957" s="166" t="s">
        <v>7220</v>
      </c>
      <c r="D3957" s="167">
        <v>37459.58</v>
      </c>
      <c r="E3957" s="167">
        <v>5202.1499999999996</v>
      </c>
      <c r="F3957" s="167">
        <v>29544.16</v>
      </c>
      <c r="G3957" s="167">
        <v>2713.27</v>
      </c>
      <c r="H3957" s="168">
        <v>220776.91</v>
      </c>
      <c r="I3957" s="168">
        <v>59826.92</v>
      </c>
      <c r="J3957" s="168">
        <v>148754.34</v>
      </c>
      <c r="K3957" s="168">
        <v>12195.65</v>
      </c>
      <c r="L3957" s="43">
        <v>5.8937369292448016</v>
      </c>
      <c r="M3957" s="43">
        <v>11.50042194092827</v>
      </c>
      <c r="N3957" s="43">
        <v>5.0349828866347863</v>
      </c>
      <c r="O3957" s="43">
        <v>4.4948162180689719</v>
      </c>
      <c r="P3957" s="169"/>
      <c r="Q3957" s="169"/>
      <c r="R3957" s="169">
        <v>4</v>
      </c>
    </row>
    <row r="3958" spans="1:18" ht="60">
      <c r="A3958" s="165">
        <v>1158</v>
      </c>
      <c r="B3958" s="162" t="s">
        <v>7221</v>
      </c>
      <c r="C3958" s="166" t="s">
        <v>7222</v>
      </c>
      <c r="D3958" s="167">
        <v>45281.8</v>
      </c>
      <c r="E3958" s="167">
        <v>6470.1</v>
      </c>
      <c r="F3958" s="167">
        <v>36073.07</v>
      </c>
      <c r="G3958" s="167">
        <v>2738.63</v>
      </c>
      <c r="H3958" s="168">
        <v>268283.86</v>
      </c>
      <c r="I3958" s="168">
        <v>74408.88</v>
      </c>
      <c r="J3958" s="168">
        <v>181387.69</v>
      </c>
      <c r="K3958" s="168">
        <v>12487.29</v>
      </c>
      <c r="L3958" s="43">
        <v>5.924761383160563</v>
      </c>
      <c r="M3958" s="43">
        <v>11.50042194092827</v>
      </c>
      <c r="N3958" s="43">
        <v>5.0283408093627742</v>
      </c>
      <c r="O3958" s="43">
        <v>4.5596849519650338</v>
      </c>
      <c r="P3958" s="169"/>
      <c r="Q3958" s="169"/>
      <c r="R3958" s="169">
        <v>4</v>
      </c>
    </row>
    <row r="3959" spans="1:18" ht="60">
      <c r="A3959" s="165">
        <v>1159</v>
      </c>
      <c r="B3959" s="162" t="s">
        <v>7223</v>
      </c>
      <c r="C3959" s="166" t="s">
        <v>7224</v>
      </c>
      <c r="D3959" s="167">
        <v>63688.6</v>
      </c>
      <c r="E3959" s="167">
        <v>9088.9500000000007</v>
      </c>
      <c r="F3959" s="167">
        <v>52495.37</v>
      </c>
      <c r="G3959" s="167">
        <v>2104.2800000000002</v>
      </c>
      <c r="H3959" s="168">
        <v>378939.5</v>
      </c>
      <c r="I3959" s="168">
        <v>104526.76</v>
      </c>
      <c r="J3959" s="168">
        <v>265197.49</v>
      </c>
      <c r="K3959" s="168">
        <v>9215.25</v>
      </c>
      <c r="L3959" s="43">
        <v>5.949879570284164</v>
      </c>
      <c r="M3959" s="43">
        <v>11.500421940928268</v>
      </c>
      <c r="N3959" s="43">
        <v>5.0518262848704554</v>
      </c>
      <c r="O3959" s="43">
        <v>4.3792888779059815</v>
      </c>
      <c r="P3959" s="169"/>
      <c r="Q3959" s="169"/>
      <c r="R3959" s="169">
        <v>4</v>
      </c>
    </row>
    <row r="3960" spans="1:18" ht="60">
      <c r="A3960" s="165">
        <v>1160</v>
      </c>
      <c r="B3960" s="162" t="s">
        <v>7225</v>
      </c>
      <c r="C3960" s="166" t="s">
        <v>7226</v>
      </c>
      <c r="D3960" s="167">
        <v>75557.16</v>
      </c>
      <c r="E3960" s="167">
        <v>10368.75</v>
      </c>
      <c r="F3960" s="167">
        <v>62116.99</v>
      </c>
      <c r="G3960" s="167">
        <v>3071.42</v>
      </c>
      <c r="H3960" s="168">
        <v>447761.61</v>
      </c>
      <c r="I3960" s="168">
        <v>119245</v>
      </c>
      <c r="J3960" s="168">
        <v>315539.59000000003</v>
      </c>
      <c r="K3960" s="168">
        <v>12977.02</v>
      </c>
      <c r="L3960" s="43">
        <v>5.926130759811512</v>
      </c>
      <c r="M3960" s="43">
        <v>11.50042194092827</v>
      </c>
      <c r="N3960" s="43">
        <v>5.0797630406753456</v>
      </c>
      <c r="O3960" s="43">
        <v>4.2250880700132187</v>
      </c>
      <c r="P3960" s="169"/>
      <c r="Q3960" s="169"/>
      <c r="R3960" s="169">
        <v>4</v>
      </c>
    </row>
    <row r="3961" spans="1:18" ht="60">
      <c r="A3961" s="165">
        <v>1161</v>
      </c>
      <c r="B3961" s="162" t="s">
        <v>7227</v>
      </c>
      <c r="C3961" s="166" t="s">
        <v>7228</v>
      </c>
      <c r="D3961" s="167">
        <v>86015.34</v>
      </c>
      <c r="E3961" s="167">
        <v>11968.5</v>
      </c>
      <c r="F3961" s="167">
        <v>70943.429999999993</v>
      </c>
      <c r="G3961" s="167">
        <v>3103.41</v>
      </c>
      <c r="H3961" s="168">
        <v>510603.48</v>
      </c>
      <c r="I3961" s="168">
        <v>137642.79999999999</v>
      </c>
      <c r="J3961" s="168">
        <v>359615.77</v>
      </c>
      <c r="K3961" s="168">
        <v>13344.91</v>
      </c>
      <c r="L3961" s="43">
        <v>5.936190916643473</v>
      </c>
      <c r="M3961" s="43">
        <v>11.50042194092827</v>
      </c>
      <c r="N3961" s="43">
        <v>5.0690496639364637</v>
      </c>
      <c r="O3961" s="43">
        <v>4.3000795898704975</v>
      </c>
      <c r="P3961" s="169"/>
      <c r="Q3961" s="169"/>
      <c r="R3961" s="169">
        <v>4</v>
      </c>
    </row>
    <row r="3962" spans="1:18" ht="60">
      <c r="A3962" s="165">
        <v>1162</v>
      </c>
      <c r="B3962" s="162" t="s">
        <v>7229</v>
      </c>
      <c r="C3962" s="166" t="s">
        <v>7230</v>
      </c>
      <c r="D3962" s="167">
        <v>99678.1</v>
      </c>
      <c r="E3962" s="167">
        <v>13852.65</v>
      </c>
      <c r="F3962" s="167">
        <v>81742.12</v>
      </c>
      <c r="G3962" s="167">
        <v>4083.33</v>
      </c>
      <c r="H3962" s="168">
        <v>590963.34</v>
      </c>
      <c r="I3962" s="168">
        <v>159311.32</v>
      </c>
      <c r="J3962" s="168">
        <v>414403.96</v>
      </c>
      <c r="K3962" s="168">
        <v>17248.060000000001</v>
      </c>
      <c r="L3962" s="43">
        <v>5.9287179430587056</v>
      </c>
      <c r="M3962" s="43">
        <v>11.500421940928272</v>
      </c>
      <c r="N3962" s="43">
        <v>5.0696502610893877</v>
      </c>
      <c r="O3962" s="43">
        <v>4.2240181420556269</v>
      </c>
      <c r="P3962" s="169"/>
      <c r="Q3962" s="169"/>
      <c r="R3962" s="169">
        <v>4</v>
      </c>
    </row>
    <row r="3963" spans="1:18" ht="60">
      <c r="A3963" s="165">
        <v>1163</v>
      </c>
      <c r="B3963" s="162" t="s">
        <v>7231</v>
      </c>
      <c r="C3963" s="166" t="s">
        <v>7232</v>
      </c>
      <c r="D3963" s="167">
        <v>119474.89</v>
      </c>
      <c r="E3963" s="167">
        <v>16258.2</v>
      </c>
      <c r="F3963" s="167">
        <v>99085.25</v>
      </c>
      <c r="G3963" s="167">
        <v>4131.4399999999996</v>
      </c>
      <c r="H3963" s="168">
        <v>708755.55</v>
      </c>
      <c r="I3963" s="168">
        <v>186976.16</v>
      </c>
      <c r="J3963" s="168">
        <v>503978.07</v>
      </c>
      <c r="K3963" s="168">
        <v>17801.32</v>
      </c>
      <c r="L3963" s="43">
        <v>5.9322553048594564</v>
      </c>
      <c r="M3963" s="43">
        <v>11.50042194092827</v>
      </c>
      <c r="N3963" s="43">
        <v>5.0863076996828491</v>
      </c>
      <c r="O3963" s="43">
        <v>4.3087446507755169</v>
      </c>
      <c r="P3963" s="169"/>
      <c r="Q3963" s="169"/>
      <c r="R3963" s="169">
        <v>4</v>
      </c>
    </row>
    <row r="3964" spans="1:18" ht="60">
      <c r="A3964" s="165">
        <v>1164</v>
      </c>
      <c r="B3964" s="162" t="s">
        <v>7233</v>
      </c>
      <c r="C3964" s="166" t="s">
        <v>7234</v>
      </c>
      <c r="D3964" s="167">
        <v>137102.56</v>
      </c>
      <c r="E3964" s="167">
        <v>18877.05</v>
      </c>
      <c r="F3964" s="167">
        <v>113099.44</v>
      </c>
      <c r="G3964" s="167">
        <v>5126.07</v>
      </c>
      <c r="H3964" s="168">
        <v>813368.48</v>
      </c>
      <c r="I3964" s="168">
        <v>217094.04</v>
      </c>
      <c r="J3964" s="168">
        <v>574400.92000000004</v>
      </c>
      <c r="K3964" s="168">
        <v>21873.52</v>
      </c>
      <c r="L3964" s="43">
        <v>5.9325550157487941</v>
      </c>
      <c r="M3964" s="43">
        <v>11.500421940928272</v>
      </c>
      <c r="N3964" s="43">
        <v>5.0787247045608712</v>
      </c>
      <c r="O3964" s="43">
        <v>4.2671130125027554</v>
      </c>
      <c r="P3964" s="169"/>
      <c r="Q3964" s="169"/>
      <c r="R3964" s="169">
        <v>4</v>
      </c>
    </row>
    <row r="3965" spans="1:18" ht="60">
      <c r="A3965" s="165">
        <v>1165</v>
      </c>
      <c r="B3965" s="162" t="s">
        <v>7235</v>
      </c>
      <c r="C3965" s="166" t="s">
        <v>7236</v>
      </c>
      <c r="D3965" s="167">
        <v>174119.32</v>
      </c>
      <c r="E3965" s="167">
        <v>23285.25</v>
      </c>
      <c r="F3965" s="167">
        <v>144670.54999999999</v>
      </c>
      <c r="G3965" s="167">
        <v>6163.52</v>
      </c>
      <c r="H3965" s="168">
        <v>1032308.97</v>
      </c>
      <c r="I3965" s="168">
        <v>267790.2</v>
      </c>
      <c r="J3965" s="168">
        <v>738126.4</v>
      </c>
      <c r="K3965" s="168">
        <v>26392.37</v>
      </c>
      <c r="L3965" s="43">
        <v>5.9287445528732823</v>
      </c>
      <c r="M3965" s="43">
        <v>11.50042194092827</v>
      </c>
      <c r="N3965" s="43">
        <v>5.1021192633884374</v>
      </c>
      <c r="O3965" s="43">
        <v>4.2820287757644975</v>
      </c>
      <c r="P3965" s="169"/>
      <c r="Q3965" s="169"/>
      <c r="R3965" s="169">
        <v>4</v>
      </c>
    </row>
    <row r="3966" spans="1:18" ht="60">
      <c r="A3966" s="165">
        <v>1166</v>
      </c>
      <c r="B3966" s="162" t="s">
        <v>7237</v>
      </c>
      <c r="C3966" s="166" t="s">
        <v>7238</v>
      </c>
      <c r="D3966" s="167">
        <v>202871.8</v>
      </c>
      <c r="E3966" s="167">
        <v>27551.25</v>
      </c>
      <c r="F3966" s="167">
        <v>168121.73</v>
      </c>
      <c r="G3966" s="167">
        <v>7198.82</v>
      </c>
      <c r="H3966" s="168">
        <v>1203586.97</v>
      </c>
      <c r="I3966" s="168">
        <v>316851</v>
      </c>
      <c r="J3966" s="168">
        <v>855855.08</v>
      </c>
      <c r="K3966" s="168">
        <v>30880.89</v>
      </c>
      <c r="L3966" s="43">
        <v>5.9327465423977115</v>
      </c>
      <c r="M3966" s="43">
        <v>11.50042194092827</v>
      </c>
      <c r="N3966" s="43">
        <v>5.0906868493442214</v>
      </c>
      <c r="O3966" s="43">
        <v>4.2897155367129614</v>
      </c>
      <c r="P3966" s="169"/>
      <c r="Q3966" s="169"/>
      <c r="R3966" s="169">
        <v>4</v>
      </c>
    </row>
    <row r="3967" spans="1:18" ht="60">
      <c r="A3967" s="165">
        <v>1167</v>
      </c>
      <c r="B3967" s="162" t="s">
        <v>7239</v>
      </c>
      <c r="C3967" s="166" t="s">
        <v>7240</v>
      </c>
      <c r="D3967" s="167">
        <v>230330.28</v>
      </c>
      <c r="E3967" s="167">
        <v>30810</v>
      </c>
      <c r="F3967" s="167">
        <v>191721.08</v>
      </c>
      <c r="G3967" s="167">
        <v>7799.2</v>
      </c>
      <c r="H3967" s="168">
        <v>1365851.24</v>
      </c>
      <c r="I3967" s="168">
        <v>354328</v>
      </c>
      <c r="J3967" s="168">
        <v>977919.81</v>
      </c>
      <c r="K3967" s="168">
        <v>33603.43</v>
      </c>
      <c r="L3967" s="43">
        <v>5.9299682178131334</v>
      </c>
      <c r="M3967" s="43">
        <v>11.50042194092827</v>
      </c>
      <c r="N3967" s="43">
        <v>5.1007422345002444</v>
      </c>
      <c r="O3967" s="43">
        <v>4.3085739563032108</v>
      </c>
      <c r="P3967" s="169"/>
      <c r="Q3967" s="169"/>
      <c r="R3967" s="169">
        <v>4</v>
      </c>
    </row>
    <row r="3968" spans="1:18" ht="84">
      <c r="A3968" s="165">
        <v>1168</v>
      </c>
      <c r="B3968" s="162" t="s">
        <v>7241</v>
      </c>
      <c r="C3968" s="166" t="s">
        <v>7242</v>
      </c>
      <c r="D3968" s="167">
        <v>203.1</v>
      </c>
      <c r="E3968" s="167">
        <v>55.34</v>
      </c>
      <c r="F3968" s="167">
        <v>3.73</v>
      </c>
      <c r="G3968" s="167">
        <v>144.03</v>
      </c>
      <c r="H3968" s="168">
        <v>1196.6500000000001</v>
      </c>
      <c r="I3968" s="168">
        <v>636.42999999999995</v>
      </c>
      <c r="J3968" s="168">
        <v>19.97</v>
      </c>
      <c r="K3968" s="168">
        <v>540.25</v>
      </c>
      <c r="L3968" s="43">
        <v>5.8919251600196949</v>
      </c>
      <c r="M3968" s="43">
        <v>11.500361402240692</v>
      </c>
      <c r="N3968" s="43">
        <v>5.3538873994638063</v>
      </c>
      <c r="O3968" s="43">
        <v>3.750954662223148</v>
      </c>
      <c r="P3968" s="169"/>
      <c r="Q3968" s="169"/>
      <c r="R3968" s="169">
        <v>4</v>
      </c>
    </row>
    <row r="3969" spans="1:18" ht="84">
      <c r="A3969" s="165">
        <v>1169</v>
      </c>
      <c r="B3969" s="162" t="s">
        <v>7243</v>
      </c>
      <c r="C3969" s="166" t="s">
        <v>7244</v>
      </c>
      <c r="D3969" s="167">
        <v>236.59</v>
      </c>
      <c r="E3969" s="167">
        <v>70.27</v>
      </c>
      <c r="F3969" s="167">
        <v>6.54</v>
      </c>
      <c r="G3969" s="167">
        <v>159.78</v>
      </c>
      <c r="H3969" s="168">
        <v>1478.06</v>
      </c>
      <c r="I3969" s="168">
        <v>808.14</v>
      </c>
      <c r="J3969" s="168">
        <v>35.08</v>
      </c>
      <c r="K3969" s="168">
        <v>634.84</v>
      </c>
      <c r="L3969" s="43">
        <v>6.2473477323640045</v>
      </c>
      <c r="M3969" s="43">
        <v>11.500498078838765</v>
      </c>
      <c r="N3969" s="43">
        <v>5.3639143730886847</v>
      </c>
      <c r="O3969" s="43">
        <v>3.9732131681061462</v>
      </c>
      <c r="P3969" s="169"/>
      <c r="Q3969" s="169"/>
      <c r="R3969" s="169">
        <v>4</v>
      </c>
    </row>
    <row r="3970" spans="1:18" ht="84">
      <c r="A3970" s="165">
        <v>1170</v>
      </c>
      <c r="B3970" s="162" t="s">
        <v>7245</v>
      </c>
      <c r="C3970" s="166" t="s">
        <v>7246</v>
      </c>
      <c r="D3970" s="167">
        <v>362.69</v>
      </c>
      <c r="E3970" s="167">
        <v>83.54</v>
      </c>
      <c r="F3970" s="167">
        <v>6.76</v>
      </c>
      <c r="G3970" s="167">
        <v>272.39</v>
      </c>
      <c r="H3970" s="168">
        <v>1980.92</v>
      </c>
      <c r="I3970" s="168">
        <v>960.77</v>
      </c>
      <c r="J3970" s="168">
        <v>36.19</v>
      </c>
      <c r="K3970" s="168">
        <v>983.96</v>
      </c>
      <c r="L3970" s="43">
        <v>5.4617441892525296</v>
      </c>
      <c r="M3970" s="43">
        <v>11.500718218817331</v>
      </c>
      <c r="N3970" s="43">
        <v>5.3535502958579881</v>
      </c>
      <c r="O3970" s="43">
        <v>3.6123205697712844</v>
      </c>
      <c r="P3970" s="169"/>
      <c r="Q3970" s="169"/>
      <c r="R3970" s="169">
        <v>4</v>
      </c>
    </row>
    <row r="3971" spans="1:18" ht="84">
      <c r="A3971" s="165">
        <v>1171</v>
      </c>
      <c r="B3971" s="162" t="s">
        <v>7247</v>
      </c>
      <c r="C3971" s="166" t="s">
        <v>7248</v>
      </c>
      <c r="D3971" s="167">
        <v>419.4</v>
      </c>
      <c r="E3971" s="167">
        <v>111.27</v>
      </c>
      <c r="F3971" s="167">
        <v>6.86</v>
      </c>
      <c r="G3971" s="167">
        <v>301.27</v>
      </c>
      <c r="H3971" s="168">
        <v>2477.5500000000002</v>
      </c>
      <c r="I3971" s="168">
        <v>1279.67</v>
      </c>
      <c r="J3971" s="168">
        <v>36.71</v>
      </c>
      <c r="K3971" s="168">
        <v>1161.17</v>
      </c>
      <c r="L3971" s="43">
        <v>5.9073676680972822</v>
      </c>
      <c r="M3971" s="43">
        <v>11.500584164644559</v>
      </c>
      <c r="N3971" s="43">
        <v>5.35131195335277</v>
      </c>
      <c r="O3971" s="43">
        <v>3.8542503402263755</v>
      </c>
      <c r="P3971" s="169"/>
      <c r="Q3971" s="169"/>
      <c r="R3971" s="169">
        <v>4</v>
      </c>
    </row>
    <row r="3972" spans="1:18" ht="84">
      <c r="A3972" s="165">
        <v>1172</v>
      </c>
      <c r="B3972" s="162" t="s">
        <v>7249</v>
      </c>
      <c r="C3972" s="166" t="s">
        <v>7250</v>
      </c>
      <c r="D3972" s="167">
        <v>453.11</v>
      </c>
      <c r="E3972" s="167">
        <v>125.61</v>
      </c>
      <c r="F3972" s="167">
        <v>9.6300000000000008</v>
      </c>
      <c r="G3972" s="167">
        <v>317.87</v>
      </c>
      <c r="H3972" s="168">
        <v>2760</v>
      </c>
      <c r="I3972" s="168">
        <v>1444.57</v>
      </c>
      <c r="J3972" s="168">
        <v>51.64</v>
      </c>
      <c r="K3972" s="168">
        <v>1263.79</v>
      </c>
      <c r="L3972" s="43">
        <v>6.091236123678577</v>
      </c>
      <c r="M3972" s="43">
        <v>11.50043786322745</v>
      </c>
      <c r="N3972" s="43">
        <v>5.3624091381100722</v>
      </c>
      <c r="O3972" s="43">
        <v>3.9758077201371629</v>
      </c>
      <c r="P3972" s="169"/>
      <c r="Q3972" s="169"/>
      <c r="R3972" s="169">
        <v>4</v>
      </c>
    </row>
    <row r="3973" spans="1:18" ht="96">
      <c r="A3973" s="165">
        <v>1173</v>
      </c>
      <c r="B3973" s="162" t="s">
        <v>7251</v>
      </c>
      <c r="C3973" s="166" t="s">
        <v>7252</v>
      </c>
      <c r="D3973" s="167">
        <v>462.65</v>
      </c>
      <c r="E3973" s="167">
        <v>112.69</v>
      </c>
      <c r="F3973" s="167">
        <v>4.09</v>
      </c>
      <c r="G3973" s="167">
        <v>345.87</v>
      </c>
      <c r="H3973" s="168">
        <v>2364.4499999999998</v>
      </c>
      <c r="I3973" s="168">
        <v>1296.02</v>
      </c>
      <c r="J3973" s="168">
        <v>21.8</v>
      </c>
      <c r="K3973" s="168">
        <v>1046.6300000000001</v>
      </c>
      <c r="L3973" s="43">
        <v>5.1106668107640765</v>
      </c>
      <c r="M3973" s="43">
        <v>11.500754281657645</v>
      </c>
      <c r="N3973" s="43">
        <v>5.3300733496332526</v>
      </c>
      <c r="O3973" s="43">
        <v>3.0260791626911847</v>
      </c>
      <c r="P3973" s="169"/>
      <c r="Q3973" s="169"/>
      <c r="R3973" s="169">
        <v>4</v>
      </c>
    </row>
    <row r="3974" spans="1:18" ht="96">
      <c r="A3974" s="165">
        <v>1174</v>
      </c>
      <c r="B3974" s="162" t="s">
        <v>7253</v>
      </c>
      <c r="C3974" s="166" t="s">
        <v>7254</v>
      </c>
      <c r="D3974" s="167">
        <v>487.69</v>
      </c>
      <c r="E3974" s="167">
        <v>125.61</v>
      </c>
      <c r="F3974" s="167">
        <v>4.12</v>
      </c>
      <c r="G3974" s="167">
        <v>357.96</v>
      </c>
      <c r="H3974" s="168">
        <v>2588.25</v>
      </c>
      <c r="I3974" s="168">
        <v>1444.57</v>
      </c>
      <c r="J3974" s="168">
        <v>22</v>
      </c>
      <c r="K3974" s="168">
        <v>1121.68</v>
      </c>
      <c r="L3974" s="43">
        <v>5.3071623367302996</v>
      </c>
      <c r="M3974" s="43">
        <v>11.50043786322745</v>
      </c>
      <c r="N3974" s="43">
        <v>5.3398058252427187</v>
      </c>
      <c r="O3974" s="43">
        <v>3.1335344731254891</v>
      </c>
      <c r="P3974" s="169"/>
      <c r="Q3974" s="169"/>
      <c r="R3974" s="169">
        <v>4</v>
      </c>
    </row>
    <row r="3975" spans="1:18" ht="96">
      <c r="A3975" s="165">
        <v>1175</v>
      </c>
      <c r="B3975" s="162" t="s">
        <v>7255</v>
      </c>
      <c r="C3975" s="166" t="s">
        <v>7256</v>
      </c>
      <c r="D3975" s="167">
        <v>573.22</v>
      </c>
      <c r="E3975" s="167">
        <v>155.24</v>
      </c>
      <c r="F3975" s="167">
        <v>7.06</v>
      </c>
      <c r="G3975" s="167">
        <v>410.92</v>
      </c>
      <c r="H3975" s="168">
        <v>3153.81</v>
      </c>
      <c r="I3975" s="168">
        <v>1785.27</v>
      </c>
      <c r="J3975" s="168">
        <v>37.76</v>
      </c>
      <c r="K3975" s="168">
        <v>1330.78</v>
      </c>
      <c r="L3975" s="43">
        <v>5.5019189839852061</v>
      </c>
      <c r="M3975" s="43">
        <v>11.500064416387529</v>
      </c>
      <c r="N3975" s="43">
        <v>5.3484419263456093</v>
      </c>
      <c r="O3975" s="43">
        <v>3.2385379149226123</v>
      </c>
      <c r="P3975" s="169"/>
      <c r="Q3975" s="169"/>
      <c r="R3975" s="169">
        <v>4</v>
      </c>
    </row>
    <row r="3976" spans="1:18" ht="96">
      <c r="A3976" s="165">
        <v>1176</v>
      </c>
      <c r="B3976" s="162" t="s">
        <v>7257</v>
      </c>
      <c r="C3976" s="166" t="s">
        <v>7258</v>
      </c>
      <c r="D3976" s="167">
        <v>677.88</v>
      </c>
      <c r="E3976" s="167">
        <v>161.16</v>
      </c>
      <c r="F3976" s="167">
        <v>9.84</v>
      </c>
      <c r="G3976" s="167">
        <v>506.88</v>
      </c>
      <c r="H3976" s="168">
        <v>3698.06</v>
      </c>
      <c r="I3976" s="168">
        <v>1853.41</v>
      </c>
      <c r="J3976" s="168">
        <v>52.69</v>
      </c>
      <c r="K3976" s="168">
        <v>1791.96</v>
      </c>
      <c r="L3976" s="43">
        <v>5.4553313270785386</v>
      </c>
      <c r="M3976" s="43">
        <v>11.500434350955572</v>
      </c>
      <c r="N3976" s="43">
        <v>5.3546747967479673</v>
      </c>
      <c r="O3976" s="43">
        <v>3.5352746212121211</v>
      </c>
      <c r="P3976" s="169"/>
      <c r="Q3976" s="169"/>
      <c r="R3976" s="169">
        <v>4</v>
      </c>
    </row>
    <row r="3977" spans="1:18" ht="96">
      <c r="A3977" s="165">
        <v>1177</v>
      </c>
      <c r="B3977" s="162" t="s">
        <v>7259</v>
      </c>
      <c r="C3977" s="166" t="s">
        <v>7260</v>
      </c>
      <c r="D3977" s="167">
        <v>737.41</v>
      </c>
      <c r="E3977" s="167">
        <v>197.9</v>
      </c>
      <c r="F3977" s="167">
        <v>9.85</v>
      </c>
      <c r="G3977" s="167">
        <v>529.66</v>
      </c>
      <c r="H3977" s="168">
        <v>4246.45</v>
      </c>
      <c r="I3977" s="168">
        <v>2275.88</v>
      </c>
      <c r="J3977" s="168">
        <v>52.75</v>
      </c>
      <c r="K3977" s="168">
        <v>1917.82</v>
      </c>
      <c r="L3977" s="43">
        <v>5.7586010496196147</v>
      </c>
      <c r="M3977" s="43">
        <v>11.500151591712987</v>
      </c>
      <c r="N3977" s="43">
        <v>5.3553299492385786</v>
      </c>
      <c r="O3977" s="43">
        <v>3.6208511120341353</v>
      </c>
      <c r="P3977" s="169"/>
      <c r="Q3977" s="169"/>
      <c r="R3977" s="169">
        <v>4</v>
      </c>
    </row>
    <row r="3978" spans="1:18" ht="96">
      <c r="A3978" s="165">
        <v>1178</v>
      </c>
      <c r="B3978" s="162" t="s">
        <v>7261</v>
      </c>
      <c r="C3978" s="166" t="s">
        <v>7262</v>
      </c>
      <c r="D3978" s="167">
        <v>915.33</v>
      </c>
      <c r="E3978" s="167">
        <v>226.34</v>
      </c>
      <c r="F3978" s="167">
        <v>18.23</v>
      </c>
      <c r="G3978" s="167">
        <v>670.76</v>
      </c>
      <c r="H3978" s="168">
        <v>5424.72</v>
      </c>
      <c r="I3978" s="168">
        <v>2602.9499999999998</v>
      </c>
      <c r="J3978" s="168">
        <v>97.85</v>
      </c>
      <c r="K3978" s="168">
        <v>2723.92</v>
      </c>
      <c r="L3978" s="43">
        <v>5.9265183048736523</v>
      </c>
      <c r="M3978" s="43">
        <v>11.50017672528055</v>
      </c>
      <c r="N3978" s="43">
        <v>5.3675260559517275</v>
      </c>
      <c r="O3978" s="43">
        <v>4.0609457928320118</v>
      </c>
      <c r="P3978" s="169"/>
      <c r="Q3978" s="169"/>
      <c r="R3978" s="169">
        <v>4</v>
      </c>
    </row>
    <row r="3979" spans="1:18" ht="96">
      <c r="A3979" s="165">
        <v>1179</v>
      </c>
      <c r="B3979" s="162" t="s">
        <v>7263</v>
      </c>
      <c r="C3979" s="166" t="s">
        <v>7264</v>
      </c>
      <c r="D3979" s="167">
        <v>983.64</v>
      </c>
      <c r="E3979" s="167">
        <v>283.22000000000003</v>
      </c>
      <c r="F3979" s="167">
        <v>18.23</v>
      </c>
      <c r="G3979" s="167">
        <v>682.19</v>
      </c>
      <c r="H3979" s="168">
        <v>6124.17</v>
      </c>
      <c r="I3979" s="168">
        <v>3257.09</v>
      </c>
      <c r="J3979" s="168">
        <v>97.85</v>
      </c>
      <c r="K3979" s="168">
        <v>2769.23</v>
      </c>
      <c r="L3979" s="43">
        <v>6.2260278150542883</v>
      </c>
      <c r="M3979" s="43">
        <v>11.500211849445661</v>
      </c>
      <c r="N3979" s="43">
        <v>5.3675260559517275</v>
      </c>
      <c r="O3979" s="43">
        <v>4.0593236488368341</v>
      </c>
      <c r="P3979" s="169"/>
      <c r="Q3979" s="169"/>
      <c r="R3979" s="169">
        <v>4</v>
      </c>
    </row>
    <row r="3980" spans="1:18" ht="96">
      <c r="A3980" s="165">
        <v>1180</v>
      </c>
      <c r="B3980" s="162" t="s">
        <v>7265</v>
      </c>
      <c r="C3980" s="166" t="s">
        <v>7266</v>
      </c>
      <c r="D3980" s="167">
        <v>1065.6099999999999</v>
      </c>
      <c r="E3980" s="167">
        <v>354.32</v>
      </c>
      <c r="F3980" s="167">
        <v>26.12</v>
      </c>
      <c r="G3980" s="167">
        <v>685.17</v>
      </c>
      <c r="H3980" s="168">
        <v>7577.97</v>
      </c>
      <c r="I3980" s="168">
        <v>4074.77</v>
      </c>
      <c r="J3980" s="168">
        <v>140.4</v>
      </c>
      <c r="K3980" s="168">
        <v>3362.8</v>
      </c>
      <c r="L3980" s="43">
        <v>7.1113915973010773</v>
      </c>
      <c r="M3980" s="43">
        <v>11.500254007676677</v>
      </c>
      <c r="N3980" s="43">
        <v>5.3751914241960188</v>
      </c>
      <c r="O3980" s="43">
        <v>4.9079790416976818</v>
      </c>
      <c r="P3980" s="169"/>
      <c r="Q3980" s="169"/>
      <c r="R3980" s="169">
        <v>4</v>
      </c>
    </row>
    <row r="3981" spans="1:18" ht="96">
      <c r="A3981" s="165">
        <v>1181</v>
      </c>
      <c r="B3981" s="162" t="s">
        <v>7267</v>
      </c>
      <c r="C3981" s="166" t="s">
        <v>7268</v>
      </c>
      <c r="D3981" s="167">
        <v>1267.69</v>
      </c>
      <c r="E3981" s="167">
        <v>411.2</v>
      </c>
      <c r="F3981" s="167">
        <v>31.76</v>
      </c>
      <c r="G3981" s="167">
        <v>824.73</v>
      </c>
      <c r="H3981" s="168">
        <v>8989.15</v>
      </c>
      <c r="I3981" s="168">
        <v>4728.92</v>
      </c>
      <c r="J3981" s="168">
        <v>170.7</v>
      </c>
      <c r="K3981" s="168">
        <v>4089.53</v>
      </c>
      <c r="L3981" s="43">
        <v>7.0909686122001432</v>
      </c>
      <c r="M3981" s="43">
        <v>11.500291828793776</v>
      </c>
      <c r="N3981" s="43">
        <v>5.374685138539042</v>
      </c>
      <c r="O3981" s="43">
        <v>4.9586288846046589</v>
      </c>
      <c r="P3981" s="169"/>
      <c r="Q3981" s="169"/>
      <c r="R3981" s="169">
        <v>4</v>
      </c>
    </row>
    <row r="3982" spans="1:18" ht="96">
      <c r="A3982" s="165">
        <v>1182</v>
      </c>
      <c r="B3982" s="162" t="s">
        <v>7269</v>
      </c>
      <c r="C3982" s="166" t="s">
        <v>7270</v>
      </c>
      <c r="D3982" s="167">
        <v>1510.38</v>
      </c>
      <c r="E3982" s="167">
        <v>481.11</v>
      </c>
      <c r="F3982" s="167">
        <v>37.31</v>
      </c>
      <c r="G3982" s="167">
        <v>991.96</v>
      </c>
      <c r="H3982" s="168">
        <v>10763.41</v>
      </c>
      <c r="I3982" s="168">
        <v>5532.97</v>
      </c>
      <c r="J3982" s="168">
        <v>200.54</v>
      </c>
      <c r="K3982" s="168">
        <v>5029.8999999999996</v>
      </c>
      <c r="L3982" s="43">
        <v>7.126292721037089</v>
      </c>
      <c r="M3982" s="43">
        <v>11.50042609798175</v>
      </c>
      <c r="N3982" s="43">
        <v>5.3749664969177156</v>
      </c>
      <c r="O3982" s="43">
        <v>5.070668172103713</v>
      </c>
      <c r="P3982" s="169"/>
      <c r="Q3982" s="169"/>
      <c r="R3982" s="169">
        <v>4</v>
      </c>
    </row>
    <row r="3983" spans="1:18" ht="96">
      <c r="A3983" s="165">
        <v>1183</v>
      </c>
      <c r="B3983" s="162" t="s">
        <v>7271</v>
      </c>
      <c r="C3983" s="166" t="s">
        <v>7272</v>
      </c>
      <c r="D3983" s="167">
        <v>1597.47</v>
      </c>
      <c r="E3983" s="167">
        <v>566.42999999999995</v>
      </c>
      <c r="F3983" s="167">
        <v>37.369999999999997</v>
      </c>
      <c r="G3983" s="167">
        <v>993.67</v>
      </c>
      <c r="H3983" s="168">
        <v>11764.62</v>
      </c>
      <c r="I3983" s="168">
        <v>6514.18</v>
      </c>
      <c r="J3983" s="168">
        <v>200.87</v>
      </c>
      <c r="K3983" s="168">
        <v>5049.57</v>
      </c>
      <c r="L3983" s="43">
        <v>7.3645326672801374</v>
      </c>
      <c r="M3983" s="43">
        <v>11.500414879155414</v>
      </c>
      <c r="N3983" s="43">
        <v>5.3751672464543754</v>
      </c>
      <c r="O3983" s="43">
        <v>5.0817373977276157</v>
      </c>
      <c r="P3983" s="169"/>
      <c r="Q3983" s="169"/>
      <c r="R3983" s="169">
        <v>4</v>
      </c>
    </row>
    <row r="3984" spans="1:18" ht="96">
      <c r="A3984" s="165">
        <v>1184</v>
      </c>
      <c r="B3984" s="162" t="s">
        <v>7273</v>
      </c>
      <c r="C3984" s="166" t="s">
        <v>7274</v>
      </c>
      <c r="D3984" s="167">
        <v>1684.5</v>
      </c>
      <c r="E3984" s="167">
        <v>651.75</v>
      </c>
      <c r="F3984" s="167">
        <v>37.369999999999997</v>
      </c>
      <c r="G3984" s="167">
        <v>995.38</v>
      </c>
      <c r="H3984" s="168">
        <v>12765.5</v>
      </c>
      <c r="I3984" s="168">
        <v>7495.4</v>
      </c>
      <c r="J3984" s="168">
        <v>200.87</v>
      </c>
      <c r="K3984" s="168">
        <v>5069.2299999999996</v>
      </c>
      <c r="L3984" s="43">
        <v>7.5782131196200657</v>
      </c>
      <c r="M3984" s="43">
        <v>11.50042194092827</v>
      </c>
      <c r="N3984" s="43">
        <v>5.3751672464543754</v>
      </c>
      <c r="O3984" s="43">
        <v>5.0927585444754762</v>
      </c>
      <c r="P3984" s="169"/>
      <c r="Q3984" s="169"/>
      <c r="R3984" s="169">
        <v>4</v>
      </c>
    </row>
    <row r="3985" spans="1:18" ht="12.75" customHeight="1">
      <c r="A3985" s="628" t="s">
        <v>7275</v>
      </c>
      <c r="B3985" s="629"/>
      <c r="C3985" s="629"/>
      <c r="D3985" s="629"/>
      <c r="E3985" s="629"/>
      <c r="F3985" s="629"/>
      <c r="G3985" s="629"/>
      <c r="H3985" s="629"/>
      <c r="I3985" s="629"/>
      <c r="J3985" s="629"/>
      <c r="K3985" s="629"/>
      <c r="L3985" s="629"/>
      <c r="M3985" s="629"/>
      <c r="N3985" s="629"/>
      <c r="O3985" s="629"/>
      <c r="P3985" s="629"/>
      <c r="Q3985" s="629"/>
      <c r="R3985" s="629"/>
    </row>
    <row r="3986" spans="1:18" ht="48">
      <c r="A3986" s="165">
        <v>1185</v>
      </c>
      <c r="B3986" s="162" t="s">
        <v>7276</v>
      </c>
      <c r="C3986" s="166" t="s">
        <v>7277</v>
      </c>
      <c r="D3986" s="167">
        <v>15176.14</v>
      </c>
      <c r="E3986" s="167">
        <v>4929.6000000000004</v>
      </c>
      <c r="F3986" s="167">
        <v>9612.7800000000007</v>
      </c>
      <c r="G3986" s="167">
        <v>633.76</v>
      </c>
      <c r="H3986" s="168">
        <v>106944.35</v>
      </c>
      <c r="I3986" s="168">
        <v>56692.480000000003</v>
      </c>
      <c r="J3986" s="168">
        <v>46680.88</v>
      </c>
      <c r="K3986" s="168">
        <v>3570.99</v>
      </c>
      <c r="L3986" s="43">
        <v>7.0468742381132499</v>
      </c>
      <c r="M3986" s="43">
        <v>11.50042194092827</v>
      </c>
      <c r="N3986" s="43">
        <v>4.8561269476675832</v>
      </c>
      <c r="O3986" s="43">
        <v>5.6346093158293353</v>
      </c>
      <c r="P3986" s="169"/>
      <c r="Q3986" s="169"/>
      <c r="R3986" s="169">
        <v>5</v>
      </c>
    </row>
    <row r="3987" spans="1:18" ht="48">
      <c r="A3987" s="165">
        <v>1186</v>
      </c>
      <c r="B3987" s="162" t="s">
        <v>7278</v>
      </c>
      <c r="C3987" s="166" t="s">
        <v>7279</v>
      </c>
      <c r="D3987" s="167">
        <v>21097.07</v>
      </c>
      <c r="E3987" s="167">
        <v>6683.4</v>
      </c>
      <c r="F3987" s="167">
        <v>13318.22</v>
      </c>
      <c r="G3987" s="167">
        <v>1095.45</v>
      </c>
      <c r="H3987" s="168">
        <v>147364.32999999999</v>
      </c>
      <c r="I3987" s="168">
        <v>76861.919999999998</v>
      </c>
      <c r="J3987" s="168">
        <v>64790.96</v>
      </c>
      <c r="K3987" s="168">
        <v>5711.45</v>
      </c>
      <c r="L3987" s="43">
        <v>6.9850614327013174</v>
      </c>
      <c r="M3987" s="43">
        <v>11.50042194092827</v>
      </c>
      <c r="N3987" s="43">
        <v>4.8648362919369106</v>
      </c>
      <c r="O3987" s="43">
        <v>5.213793418229951</v>
      </c>
      <c r="P3987" s="169"/>
      <c r="Q3987" s="169"/>
      <c r="R3987" s="169">
        <v>5</v>
      </c>
    </row>
    <row r="3988" spans="1:18" ht="48">
      <c r="A3988" s="165">
        <v>1187</v>
      </c>
      <c r="B3988" s="162" t="s">
        <v>7280</v>
      </c>
      <c r="C3988" s="166" t="s">
        <v>7281</v>
      </c>
      <c r="D3988" s="167">
        <v>32337.33</v>
      </c>
      <c r="E3988" s="167">
        <v>9480</v>
      </c>
      <c r="F3988" s="167">
        <v>20725.78</v>
      </c>
      <c r="G3988" s="167">
        <v>2131.5500000000002</v>
      </c>
      <c r="H3988" s="168">
        <v>223546.31</v>
      </c>
      <c r="I3988" s="168">
        <v>109024</v>
      </c>
      <c r="J3988" s="168">
        <v>104073.53</v>
      </c>
      <c r="K3988" s="168">
        <v>10448.780000000001</v>
      </c>
      <c r="L3988" s="43">
        <v>6.9129489045632395</v>
      </c>
      <c r="M3988" s="43">
        <v>11.50042194092827</v>
      </c>
      <c r="N3988" s="43">
        <v>5.0214529923602393</v>
      </c>
      <c r="O3988" s="43">
        <v>4.9019633599962464</v>
      </c>
      <c r="P3988" s="169"/>
      <c r="Q3988" s="169"/>
      <c r="R3988" s="169">
        <v>5</v>
      </c>
    </row>
    <row r="3989" spans="1:18" ht="48">
      <c r="A3989" s="165">
        <v>1188</v>
      </c>
      <c r="B3989" s="162" t="s">
        <v>7282</v>
      </c>
      <c r="C3989" s="166" t="s">
        <v>7283</v>
      </c>
      <c r="D3989" s="167">
        <v>36462.58</v>
      </c>
      <c r="E3989" s="167">
        <v>10700.55</v>
      </c>
      <c r="F3989" s="167">
        <v>22769.21</v>
      </c>
      <c r="G3989" s="167">
        <v>2992.82</v>
      </c>
      <c r="H3989" s="168">
        <v>251066.54</v>
      </c>
      <c r="I3989" s="168">
        <v>123060.84</v>
      </c>
      <c r="J3989" s="168">
        <v>113832.23</v>
      </c>
      <c r="K3989" s="168">
        <v>14173.47</v>
      </c>
      <c r="L3989" s="43">
        <v>6.8855944916678959</v>
      </c>
      <c r="M3989" s="43">
        <v>11.50042194092827</v>
      </c>
      <c r="N3989" s="43">
        <v>4.9993930399868942</v>
      </c>
      <c r="O3989" s="43">
        <v>4.7358244064126804</v>
      </c>
      <c r="P3989" s="169"/>
      <c r="Q3989" s="169"/>
      <c r="R3989" s="169">
        <v>5</v>
      </c>
    </row>
    <row r="3990" spans="1:18" ht="48">
      <c r="A3990" s="165">
        <v>1189</v>
      </c>
      <c r="B3990" s="162" t="s">
        <v>7284</v>
      </c>
      <c r="C3990" s="166" t="s">
        <v>7285</v>
      </c>
      <c r="D3990" s="167">
        <v>19020.689999999999</v>
      </c>
      <c r="E3990" s="167">
        <v>6541.2</v>
      </c>
      <c r="F3990" s="167">
        <v>11813.5</v>
      </c>
      <c r="G3990" s="167">
        <v>665.99</v>
      </c>
      <c r="H3990" s="168">
        <v>136026.16</v>
      </c>
      <c r="I3990" s="168">
        <v>75226.559999999998</v>
      </c>
      <c r="J3990" s="168">
        <v>56857.97</v>
      </c>
      <c r="K3990" s="168">
        <v>3941.63</v>
      </c>
      <c r="L3990" s="43">
        <v>7.1514839892769411</v>
      </c>
      <c r="M3990" s="43">
        <v>11.50042194092827</v>
      </c>
      <c r="N3990" s="43">
        <v>4.8129656748635039</v>
      </c>
      <c r="O3990" s="43">
        <v>5.9184522290124475</v>
      </c>
      <c r="P3990" s="169"/>
      <c r="Q3990" s="169"/>
      <c r="R3990" s="169">
        <v>5</v>
      </c>
    </row>
    <row r="3991" spans="1:18" ht="48">
      <c r="A3991" s="165">
        <v>1190</v>
      </c>
      <c r="B3991" s="162" t="s">
        <v>7286</v>
      </c>
      <c r="C3991" s="166" t="s">
        <v>7287</v>
      </c>
      <c r="D3991" s="167">
        <v>26744.43</v>
      </c>
      <c r="E3991" s="167">
        <v>9006</v>
      </c>
      <c r="F3991" s="167">
        <v>16596.53</v>
      </c>
      <c r="G3991" s="167">
        <v>1141.9000000000001</v>
      </c>
      <c r="H3991" s="168">
        <v>189882.95</v>
      </c>
      <c r="I3991" s="168">
        <v>103572.8</v>
      </c>
      <c r="J3991" s="168">
        <v>80064.53</v>
      </c>
      <c r="K3991" s="168">
        <v>6245.62</v>
      </c>
      <c r="L3991" s="43">
        <v>7.0999064104189173</v>
      </c>
      <c r="M3991" s="43">
        <v>11.50042194092827</v>
      </c>
      <c r="N3991" s="43">
        <v>4.8241728843318459</v>
      </c>
      <c r="O3991" s="43">
        <v>5.4694982047464746</v>
      </c>
      <c r="P3991" s="169"/>
      <c r="Q3991" s="169"/>
      <c r="R3991" s="169">
        <v>5</v>
      </c>
    </row>
    <row r="3992" spans="1:18" ht="48">
      <c r="A3992" s="165">
        <v>1191</v>
      </c>
      <c r="B3992" s="162" t="s">
        <v>7288</v>
      </c>
      <c r="C3992" s="166" t="s">
        <v>7289</v>
      </c>
      <c r="D3992" s="167">
        <v>35126.9</v>
      </c>
      <c r="E3992" s="167">
        <v>11530.05</v>
      </c>
      <c r="F3992" s="167">
        <v>21654.14</v>
      </c>
      <c r="G3992" s="167">
        <v>1942.71</v>
      </c>
      <c r="H3992" s="168">
        <v>247311.84</v>
      </c>
      <c r="I3992" s="168">
        <v>132600.44</v>
      </c>
      <c r="J3992" s="168">
        <v>104748.51</v>
      </c>
      <c r="K3992" s="168">
        <v>9962.89</v>
      </c>
      <c r="L3992" s="43">
        <v>7.0405256370473905</v>
      </c>
      <c r="M3992" s="43">
        <v>11.500421940928272</v>
      </c>
      <c r="N3992" s="43">
        <v>4.8373433440441413</v>
      </c>
      <c r="O3992" s="43">
        <v>5.1283464850646769</v>
      </c>
      <c r="P3992" s="169"/>
      <c r="Q3992" s="169"/>
      <c r="R3992" s="169">
        <v>5</v>
      </c>
    </row>
    <row r="3993" spans="1:18" ht="48">
      <c r="A3993" s="165">
        <v>1192</v>
      </c>
      <c r="B3993" s="162" t="s">
        <v>7290</v>
      </c>
      <c r="C3993" s="166" t="s">
        <v>7291</v>
      </c>
      <c r="D3993" s="167">
        <v>45119.97</v>
      </c>
      <c r="E3993" s="167">
        <v>14267.4</v>
      </c>
      <c r="F3993" s="167">
        <v>27788.41</v>
      </c>
      <c r="G3993" s="167">
        <v>3064.16</v>
      </c>
      <c r="H3993" s="168">
        <v>316291.59999999998</v>
      </c>
      <c r="I3993" s="168">
        <v>164081.12</v>
      </c>
      <c r="J3993" s="168">
        <v>137216.6</v>
      </c>
      <c r="K3993" s="168">
        <v>14993.88</v>
      </c>
      <c r="L3993" s="43">
        <v>7.0100135261614751</v>
      </c>
      <c r="M3993" s="43">
        <v>11.50042194092827</v>
      </c>
      <c r="N3993" s="43">
        <v>4.9379075664998471</v>
      </c>
      <c r="O3993" s="43">
        <v>4.8933084434233196</v>
      </c>
      <c r="P3993" s="169"/>
      <c r="Q3993" s="169"/>
      <c r="R3993" s="169">
        <v>5</v>
      </c>
    </row>
    <row r="3994" spans="1:18" ht="48">
      <c r="A3994" s="165">
        <v>1193</v>
      </c>
      <c r="B3994" s="162" t="s">
        <v>7292</v>
      </c>
      <c r="C3994" s="166" t="s">
        <v>7293</v>
      </c>
      <c r="D3994" s="167">
        <v>106138.18</v>
      </c>
      <c r="E3994" s="167">
        <v>18414.900000000001</v>
      </c>
      <c r="F3994" s="167">
        <v>85432.48</v>
      </c>
      <c r="G3994" s="167">
        <v>2290.8000000000002</v>
      </c>
      <c r="H3994" s="168">
        <v>641412.12</v>
      </c>
      <c r="I3994" s="168">
        <v>211779.12</v>
      </c>
      <c r="J3994" s="168">
        <v>418272.77</v>
      </c>
      <c r="K3994" s="168">
        <v>11360.23</v>
      </c>
      <c r="L3994" s="43">
        <v>6.0431799377000814</v>
      </c>
      <c r="M3994" s="43">
        <v>11.50042194092827</v>
      </c>
      <c r="N3994" s="43">
        <v>4.8959455467054225</v>
      </c>
      <c r="O3994" s="43">
        <v>4.9590667015889638</v>
      </c>
      <c r="P3994" s="169"/>
      <c r="Q3994" s="169"/>
      <c r="R3994" s="169">
        <v>5</v>
      </c>
    </row>
    <row r="3995" spans="1:18" ht="48">
      <c r="A3995" s="165">
        <v>1194</v>
      </c>
      <c r="B3995" s="162" t="s">
        <v>7294</v>
      </c>
      <c r="C3995" s="166" t="s">
        <v>7295</v>
      </c>
      <c r="D3995" s="167">
        <v>126830.84</v>
      </c>
      <c r="E3995" s="167">
        <v>25975.200000000001</v>
      </c>
      <c r="F3995" s="167">
        <v>97471.75</v>
      </c>
      <c r="G3995" s="167">
        <v>3383.89</v>
      </c>
      <c r="H3995" s="168">
        <v>795122.04</v>
      </c>
      <c r="I3995" s="168">
        <v>298725.76000000001</v>
      </c>
      <c r="J3995" s="168">
        <v>479828.65</v>
      </c>
      <c r="K3995" s="168">
        <v>16567.63</v>
      </c>
      <c r="L3995" s="43">
        <v>6.2691537799481578</v>
      </c>
      <c r="M3995" s="43">
        <v>11.50042194092827</v>
      </c>
      <c r="N3995" s="43">
        <v>4.9227458212251243</v>
      </c>
      <c r="O3995" s="43">
        <v>4.896030899349566</v>
      </c>
      <c r="P3995" s="169"/>
      <c r="Q3995" s="169"/>
      <c r="R3995" s="169">
        <v>5</v>
      </c>
    </row>
    <row r="3996" spans="1:18" ht="72">
      <c r="A3996" s="165">
        <v>1195</v>
      </c>
      <c r="B3996" s="162" t="s">
        <v>7296</v>
      </c>
      <c r="C3996" s="166" t="s">
        <v>7297</v>
      </c>
      <c r="D3996" s="167">
        <v>1074.31</v>
      </c>
      <c r="E3996" s="167">
        <v>108.43</v>
      </c>
      <c r="F3996" s="167">
        <v>45.41</v>
      </c>
      <c r="G3996" s="167">
        <v>920.47</v>
      </c>
      <c r="H3996" s="168">
        <v>6756.73</v>
      </c>
      <c r="I3996" s="168">
        <v>1246.96</v>
      </c>
      <c r="J3996" s="168">
        <v>244.2</v>
      </c>
      <c r="K3996" s="168">
        <v>5265.57</v>
      </c>
      <c r="L3996" s="43">
        <v>6.2893671286686335</v>
      </c>
      <c r="M3996" s="43">
        <v>11.500138338098312</v>
      </c>
      <c r="N3996" s="43">
        <v>5.3776701167143806</v>
      </c>
      <c r="O3996" s="43">
        <v>5.7205232109683095</v>
      </c>
      <c r="P3996" s="169"/>
      <c r="Q3996" s="169"/>
      <c r="R3996" s="169">
        <v>5</v>
      </c>
    </row>
    <row r="3997" spans="1:18" ht="72">
      <c r="A3997" s="165">
        <v>1196</v>
      </c>
      <c r="B3997" s="162" t="s">
        <v>7298</v>
      </c>
      <c r="C3997" s="166" t="s">
        <v>7299</v>
      </c>
      <c r="D3997" s="167">
        <v>2545.4499999999998</v>
      </c>
      <c r="E3997" s="167">
        <v>109.14</v>
      </c>
      <c r="F3997" s="167">
        <v>128.63</v>
      </c>
      <c r="G3997" s="167">
        <v>2307.6799999999998</v>
      </c>
      <c r="H3997" s="168">
        <v>15661.8</v>
      </c>
      <c r="I3997" s="168">
        <v>1255.1400000000001</v>
      </c>
      <c r="J3997" s="168">
        <v>691.98</v>
      </c>
      <c r="K3997" s="168">
        <v>13714.68</v>
      </c>
      <c r="L3997" s="43">
        <v>6.1528609872517634</v>
      </c>
      <c r="M3997" s="43">
        <v>11.500274876305664</v>
      </c>
      <c r="N3997" s="43">
        <v>5.3796159527326441</v>
      </c>
      <c r="O3997" s="43">
        <v>5.9430596963183806</v>
      </c>
      <c r="P3997" s="169"/>
      <c r="Q3997" s="169"/>
      <c r="R3997" s="169">
        <v>5</v>
      </c>
    </row>
    <row r="3998" spans="1:18" ht="72">
      <c r="A3998" s="165">
        <v>1197</v>
      </c>
      <c r="B3998" s="162" t="s">
        <v>7300</v>
      </c>
      <c r="C3998" s="166" t="s">
        <v>7301</v>
      </c>
      <c r="D3998" s="167">
        <v>2829.98</v>
      </c>
      <c r="E3998" s="167">
        <v>135.09</v>
      </c>
      <c r="F3998" s="167">
        <v>139.74</v>
      </c>
      <c r="G3998" s="167">
        <v>2555.15</v>
      </c>
      <c r="H3998" s="168">
        <v>17525.419999999998</v>
      </c>
      <c r="I3998" s="168">
        <v>1553.59</v>
      </c>
      <c r="J3998" s="168">
        <v>751.73</v>
      </c>
      <c r="K3998" s="168">
        <v>15220.1</v>
      </c>
      <c r="L3998" s="43">
        <v>6.1927716803652313</v>
      </c>
      <c r="M3998" s="43">
        <v>11.500407135983417</v>
      </c>
      <c r="N3998" s="43">
        <v>5.3794904823243161</v>
      </c>
      <c r="O3998" s="43">
        <v>5.9566365966772983</v>
      </c>
      <c r="P3998" s="169"/>
      <c r="Q3998" s="169"/>
      <c r="R3998" s="169">
        <v>5</v>
      </c>
    </row>
    <row r="3999" spans="1:18" ht="72">
      <c r="A3999" s="165">
        <v>1198</v>
      </c>
      <c r="B3999" s="162" t="s">
        <v>7302</v>
      </c>
      <c r="C3999" s="166" t="s">
        <v>7303</v>
      </c>
      <c r="D3999" s="167">
        <v>3483.64</v>
      </c>
      <c r="E3999" s="167">
        <v>176.57</v>
      </c>
      <c r="F3999" s="167">
        <v>167.73</v>
      </c>
      <c r="G3999" s="167">
        <v>3139.34</v>
      </c>
      <c r="H3999" s="168">
        <v>21367.91</v>
      </c>
      <c r="I3999" s="168">
        <v>2030.57</v>
      </c>
      <c r="J3999" s="168">
        <v>902.27</v>
      </c>
      <c r="K3999" s="168">
        <v>18435.07</v>
      </c>
      <c r="L3999" s="43">
        <v>6.1337882215154265</v>
      </c>
      <c r="M3999" s="43">
        <v>11.500084952143625</v>
      </c>
      <c r="N3999" s="43">
        <v>5.3793000655815897</v>
      </c>
      <c r="O3999" s="43">
        <v>5.8722757012620486</v>
      </c>
      <c r="P3999" s="169"/>
      <c r="Q3999" s="169"/>
      <c r="R3999" s="169">
        <v>5</v>
      </c>
    </row>
    <row r="4000" spans="1:18" ht="72">
      <c r="A4000" s="165">
        <v>1199</v>
      </c>
      <c r="B4000" s="162" t="s">
        <v>7304</v>
      </c>
      <c r="C4000" s="166" t="s">
        <v>7305</v>
      </c>
      <c r="D4000" s="167">
        <v>1192.27</v>
      </c>
      <c r="E4000" s="167">
        <v>122.06</v>
      </c>
      <c r="F4000" s="167">
        <v>48.35</v>
      </c>
      <c r="G4000" s="167">
        <v>1021.86</v>
      </c>
      <c r="H4000" s="168">
        <v>7178.93</v>
      </c>
      <c r="I4000" s="168">
        <v>1403.68</v>
      </c>
      <c r="J4000" s="168">
        <v>259.98</v>
      </c>
      <c r="K4000" s="168">
        <v>5515.27</v>
      </c>
      <c r="L4000" s="43">
        <v>6.0212284130272513</v>
      </c>
      <c r="M4000" s="43">
        <v>11.499918073078813</v>
      </c>
      <c r="N4000" s="43">
        <v>5.3770423991726997</v>
      </c>
      <c r="O4000" s="43">
        <v>5.3972853424148122</v>
      </c>
      <c r="P4000" s="169"/>
      <c r="Q4000" s="169"/>
      <c r="R4000" s="169">
        <v>5</v>
      </c>
    </row>
    <row r="4001" spans="1:18" ht="72">
      <c r="A4001" s="165">
        <v>1200</v>
      </c>
      <c r="B4001" s="162" t="s">
        <v>7306</v>
      </c>
      <c r="C4001" s="166" t="s">
        <v>7307</v>
      </c>
      <c r="D4001" s="167">
        <v>2765.77</v>
      </c>
      <c r="E4001" s="167">
        <v>163.53</v>
      </c>
      <c r="F4001" s="167">
        <v>128.9</v>
      </c>
      <c r="G4001" s="167">
        <v>2473.34</v>
      </c>
      <c r="H4001" s="168">
        <v>16697.62</v>
      </c>
      <c r="I4001" s="168">
        <v>1880.66</v>
      </c>
      <c r="J4001" s="168">
        <v>693.35</v>
      </c>
      <c r="K4001" s="168">
        <v>14123.61</v>
      </c>
      <c r="L4001" s="43">
        <v>6.0372409853313904</v>
      </c>
      <c r="M4001" s="43">
        <v>11.500397480584603</v>
      </c>
      <c r="N4001" s="43">
        <v>5.3789759503491075</v>
      </c>
      <c r="O4001" s="43">
        <v>5.710339055689877</v>
      </c>
      <c r="P4001" s="169"/>
      <c r="Q4001" s="169"/>
      <c r="R4001" s="169">
        <v>5</v>
      </c>
    </row>
    <row r="4002" spans="1:18" ht="72">
      <c r="A4002" s="165">
        <v>1201</v>
      </c>
      <c r="B4002" s="162" t="s">
        <v>7308</v>
      </c>
      <c r="C4002" s="166" t="s">
        <v>7309</v>
      </c>
      <c r="D4002" s="167">
        <v>3097.48</v>
      </c>
      <c r="E4002" s="167">
        <v>176.57</v>
      </c>
      <c r="F4002" s="167">
        <v>140.21</v>
      </c>
      <c r="G4002" s="167">
        <v>2780.7</v>
      </c>
      <c r="H4002" s="168">
        <v>18548.509999999998</v>
      </c>
      <c r="I4002" s="168">
        <v>2030.57</v>
      </c>
      <c r="J4002" s="168">
        <v>754.15</v>
      </c>
      <c r="K4002" s="168">
        <v>15763.79</v>
      </c>
      <c r="L4002" s="43">
        <v>5.9882581969859361</v>
      </c>
      <c r="M4002" s="43">
        <v>11.500084952143625</v>
      </c>
      <c r="N4002" s="43">
        <v>5.3787176378289701</v>
      </c>
      <c r="O4002" s="43">
        <v>5.6690006113568536</v>
      </c>
      <c r="P4002" s="169"/>
      <c r="Q4002" s="169"/>
      <c r="R4002" s="169">
        <v>5</v>
      </c>
    </row>
    <row r="4003" spans="1:18" ht="72">
      <c r="A4003" s="165">
        <v>1202</v>
      </c>
      <c r="B4003" s="162" t="s">
        <v>7310</v>
      </c>
      <c r="C4003" s="166" t="s">
        <v>7311</v>
      </c>
      <c r="D4003" s="167">
        <v>6049.75</v>
      </c>
      <c r="E4003" s="167">
        <v>242.93</v>
      </c>
      <c r="F4003" s="167">
        <v>295.75</v>
      </c>
      <c r="G4003" s="167">
        <v>5511.07</v>
      </c>
      <c r="H4003" s="168">
        <v>36729.919999999998</v>
      </c>
      <c r="I4003" s="168">
        <v>2793.74</v>
      </c>
      <c r="J4003" s="168">
        <v>1590.97</v>
      </c>
      <c r="K4003" s="168">
        <v>32345.21</v>
      </c>
      <c r="L4003" s="43">
        <v>6.0713120376875072</v>
      </c>
      <c r="M4003" s="43">
        <v>11.500185238546083</v>
      </c>
      <c r="N4003" s="43">
        <v>5.3794420963651737</v>
      </c>
      <c r="O4003" s="43">
        <v>5.8691343060422021</v>
      </c>
      <c r="P4003" s="169"/>
      <c r="Q4003" s="169"/>
      <c r="R4003" s="169">
        <v>5</v>
      </c>
    </row>
    <row r="4004" spans="1:18" ht="72">
      <c r="A4004" s="165">
        <v>1203</v>
      </c>
      <c r="B4004" s="162" t="s">
        <v>7312</v>
      </c>
      <c r="C4004" s="166" t="s">
        <v>7313</v>
      </c>
      <c r="D4004" s="167">
        <v>9258.36</v>
      </c>
      <c r="E4004" s="167">
        <v>258.33</v>
      </c>
      <c r="F4004" s="167">
        <v>467.71</v>
      </c>
      <c r="G4004" s="167">
        <v>8532.32</v>
      </c>
      <c r="H4004" s="168">
        <v>56232.9</v>
      </c>
      <c r="I4004" s="168">
        <v>2970.9</v>
      </c>
      <c r="J4004" s="168">
        <v>2516.21</v>
      </c>
      <c r="K4004" s="168">
        <v>50745.79</v>
      </c>
      <c r="L4004" s="43">
        <v>6.0737430819281171</v>
      </c>
      <c r="M4004" s="43">
        <v>11.500406456857508</v>
      </c>
      <c r="N4004" s="43">
        <v>5.3798507622244554</v>
      </c>
      <c r="O4004" s="43">
        <v>5.9474785287002838</v>
      </c>
      <c r="P4004" s="169"/>
      <c r="Q4004" s="169"/>
      <c r="R4004" s="169">
        <v>5</v>
      </c>
    </row>
    <row r="4005" spans="1:18" ht="72">
      <c r="A4005" s="165">
        <v>1204</v>
      </c>
      <c r="B4005" s="162" t="s">
        <v>7314</v>
      </c>
      <c r="C4005" s="166" t="s">
        <v>7315</v>
      </c>
      <c r="D4005" s="167">
        <v>16033.03</v>
      </c>
      <c r="E4005" s="167">
        <v>311.66000000000003</v>
      </c>
      <c r="F4005" s="167">
        <v>835.91</v>
      </c>
      <c r="G4005" s="167">
        <v>14885.46</v>
      </c>
      <c r="H4005" s="168">
        <v>98208.22</v>
      </c>
      <c r="I4005" s="168">
        <v>3584.16</v>
      </c>
      <c r="J4005" s="168">
        <v>4497.4799999999996</v>
      </c>
      <c r="K4005" s="168">
        <v>90126.58</v>
      </c>
      <c r="L4005" s="43">
        <v>6.1253686920064387</v>
      </c>
      <c r="M4005" s="43">
        <v>11.500224603734837</v>
      </c>
      <c r="N4005" s="43">
        <v>5.3803399887547698</v>
      </c>
      <c r="O4005" s="43">
        <v>6.054672143151774</v>
      </c>
      <c r="P4005" s="169"/>
      <c r="Q4005" s="169"/>
      <c r="R4005" s="169">
        <v>5</v>
      </c>
    </row>
    <row r="4006" spans="1:18" ht="72">
      <c r="A4006" s="165">
        <v>1205</v>
      </c>
      <c r="B4006" s="162" t="s">
        <v>7316</v>
      </c>
      <c r="C4006" s="166" t="s">
        <v>7317</v>
      </c>
      <c r="D4006" s="167">
        <v>17873.8</v>
      </c>
      <c r="E4006" s="167">
        <v>351.95</v>
      </c>
      <c r="F4006" s="167">
        <v>930.3</v>
      </c>
      <c r="G4006" s="167">
        <v>16591.55</v>
      </c>
      <c r="H4006" s="168">
        <v>109322.11</v>
      </c>
      <c r="I4006" s="168">
        <v>4047.52</v>
      </c>
      <c r="J4006" s="168">
        <v>5005.33</v>
      </c>
      <c r="K4006" s="168">
        <v>100269.26</v>
      </c>
      <c r="L4006" s="43">
        <v>6.116332844722443</v>
      </c>
      <c r="M4006" s="43">
        <v>11.500269924705215</v>
      </c>
      <c r="N4006" s="43">
        <v>5.380339675373536</v>
      </c>
      <c r="O4006" s="43">
        <v>6.0433931730308501</v>
      </c>
      <c r="P4006" s="169"/>
      <c r="Q4006" s="169"/>
      <c r="R4006" s="169">
        <v>5</v>
      </c>
    </row>
    <row r="4007" spans="1:18" ht="12.75" customHeight="1">
      <c r="A4007" s="628" t="s">
        <v>7318</v>
      </c>
      <c r="B4007" s="629"/>
      <c r="C4007" s="629"/>
      <c r="D4007" s="629"/>
      <c r="E4007" s="629"/>
      <c r="F4007" s="629"/>
      <c r="G4007" s="629"/>
      <c r="H4007" s="629"/>
      <c r="I4007" s="629"/>
      <c r="J4007" s="629"/>
      <c r="K4007" s="629"/>
      <c r="L4007" s="629"/>
      <c r="M4007" s="629"/>
      <c r="N4007" s="629"/>
      <c r="O4007" s="629"/>
      <c r="P4007" s="629"/>
      <c r="Q4007" s="629"/>
      <c r="R4007" s="629"/>
    </row>
    <row r="4008" spans="1:18" ht="36">
      <c r="A4008" s="165">
        <v>1206</v>
      </c>
      <c r="B4008" s="162" t="s">
        <v>7319</v>
      </c>
      <c r="C4008" s="166" t="s">
        <v>7320</v>
      </c>
      <c r="D4008" s="167">
        <v>16870.189999999999</v>
      </c>
      <c r="E4008" s="167">
        <v>3555</v>
      </c>
      <c r="F4008" s="167">
        <v>12661.12</v>
      </c>
      <c r="G4008" s="167">
        <v>654.07000000000005</v>
      </c>
      <c r="H4008" s="168">
        <v>103156.08</v>
      </c>
      <c r="I4008" s="168">
        <v>40884</v>
      </c>
      <c r="J4008" s="168">
        <v>59200.12</v>
      </c>
      <c r="K4008" s="168">
        <v>3071.96</v>
      </c>
      <c r="L4008" s="43">
        <v>6.1146958036631487</v>
      </c>
      <c r="M4008" s="43">
        <v>11.50042194092827</v>
      </c>
      <c r="N4008" s="43">
        <v>4.6757411666582422</v>
      </c>
      <c r="O4008" s="43">
        <v>4.6966838411790786</v>
      </c>
      <c r="P4008" s="169"/>
      <c r="Q4008" s="169"/>
      <c r="R4008" s="169">
        <v>6</v>
      </c>
    </row>
    <row r="4009" spans="1:18" ht="36">
      <c r="A4009" s="165">
        <v>1207</v>
      </c>
      <c r="B4009" s="162" t="s">
        <v>7321</v>
      </c>
      <c r="C4009" s="166" t="s">
        <v>7322</v>
      </c>
      <c r="D4009" s="167">
        <v>31383.75</v>
      </c>
      <c r="E4009" s="167">
        <v>4988.8500000000004</v>
      </c>
      <c r="F4009" s="167">
        <v>25282.34</v>
      </c>
      <c r="G4009" s="167">
        <v>1112.56</v>
      </c>
      <c r="H4009" s="168">
        <v>187684.16</v>
      </c>
      <c r="I4009" s="168">
        <v>57373.88</v>
      </c>
      <c r="J4009" s="168">
        <v>125298.72</v>
      </c>
      <c r="K4009" s="168">
        <v>5011.5600000000004</v>
      </c>
      <c r="L4009" s="43">
        <v>5.9802974469271515</v>
      </c>
      <c r="M4009" s="43">
        <v>11.500421940928268</v>
      </c>
      <c r="N4009" s="43">
        <v>4.9559779672292992</v>
      </c>
      <c r="O4009" s="43">
        <v>4.504530092759043</v>
      </c>
      <c r="P4009" s="169"/>
      <c r="Q4009" s="169"/>
      <c r="R4009" s="169">
        <v>6</v>
      </c>
    </row>
    <row r="4010" spans="1:18" ht="36">
      <c r="A4010" s="165">
        <v>1208</v>
      </c>
      <c r="B4010" s="162" t="s">
        <v>7323</v>
      </c>
      <c r="C4010" s="166" t="s">
        <v>7324</v>
      </c>
      <c r="D4010" s="167">
        <v>45463.839999999997</v>
      </c>
      <c r="E4010" s="167">
        <v>7027.05</v>
      </c>
      <c r="F4010" s="167">
        <v>36918.75</v>
      </c>
      <c r="G4010" s="167">
        <v>1518.04</v>
      </c>
      <c r="H4010" s="168">
        <v>271704.77</v>
      </c>
      <c r="I4010" s="168">
        <v>80814.039999999994</v>
      </c>
      <c r="J4010" s="168">
        <v>184133.36</v>
      </c>
      <c r="K4010" s="168">
        <v>6757.37</v>
      </c>
      <c r="L4010" s="43">
        <v>5.9762829096706316</v>
      </c>
      <c r="M4010" s="43">
        <v>11.500421940928268</v>
      </c>
      <c r="N4010" s="43">
        <v>4.9875296427966811</v>
      </c>
      <c r="O4010" s="43">
        <v>4.4513780928038784</v>
      </c>
      <c r="P4010" s="169"/>
      <c r="Q4010" s="169"/>
      <c r="R4010" s="169">
        <v>6</v>
      </c>
    </row>
    <row r="4011" spans="1:18" ht="36">
      <c r="A4011" s="165">
        <v>1209</v>
      </c>
      <c r="B4011" s="162" t="s">
        <v>7325</v>
      </c>
      <c r="C4011" s="166" t="s">
        <v>7326</v>
      </c>
      <c r="D4011" s="167">
        <v>64261.67</v>
      </c>
      <c r="E4011" s="167">
        <v>9622.2000000000007</v>
      </c>
      <c r="F4011" s="167">
        <v>52501.3</v>
      </c>
      <c r="G4011" s="167">
        <v>2138.17</v>
      </c>
      <c r="H4011" s="168">
        <v>383087.6</v>
      </c>
      <c r="I4011" s="168">
        <v>110659.36</v>
      </c>
      <c r="J4011" s="168">
        <v>262977.84999999998</v>
      </c>
      <c r="K4011" s="168">
        <v>9450.39</v>
      </c>
      <c r="L4011" s="43">
        <v>5.9613701293477117</v>
      </c>
      <c r="M4011" s="43">
        <v>11.50042194092827</v>
      </c>
      <c r="N4011" s="43">
        <v>5.0089778729288597</v>
      </c>
      <c r="O4011" s="43">
        <v>4.4198496845433244</v>
      </c>
      <c r="P4011" s="169"/>
      <c r="Q4011" s="169"/>
      <c r="R4011" s="169">
        <v>6</v>
      </c>
    </row>
    <row r="4012" spans="1:18" ht="36">
      <c r="A4012" s="165">
        <v>1210</v>
      </c>
      <c r="B4012" s="162" t="s">
        <v>7327</v>
      </c>
      <c r="C4012" s="166" t="s">
        <v>7328</v>
      </c>
      <c r="D4012" s="167">
        <v>83986.16</v>
      </c>
      <c r="E4012" s="167">
        <v>12169.95</v>
      </c>
      <c r="F4012" s="167">
        <v>68677.8</v>
      </c>
      <c r="G4012" s="167">
        <v>3138.41</v>
      </c>
      <c r="H4012" s="168">
        <v>499447.1</v>
      </c>
      <c r="I4012" s="168">
        <v>139959.56</v>
      </c>
      <c r="J4012" s="168">
        <v>345946.22</v>
      </c>
      <c r="K4012" s="168">
        <v>13541.32</v>
      </c>
      <c r="L4012" s="43">
        <v>5.9467786120951356</v>
      </c>
      <c r="M4012" s="43">
        <v>11.50042194092827</v>
      </c>
      <c r="N4012" s="43">
        <v>5.0372350308250988</v>
      </c>
      <c r="O4012" s="43">
        <v>4.3147071287690268</v>
      </c>
      <c r="P4012" s="169"/>
      <c r="Q4012" s="169"/>
      <c r="R4012" s="169">
        <v>6</v>
      </c>
    </row>
    <row r="4013" spans="1:18" ht="36">
      <c r="A4013" s="165">
        <v>1211</v>
      </c>
      <c r="B4013" s="162" t="s">
        <v>7329</v>
      </c>
      <c r="C4013" s="166" t="s">
        <v>7330</v>
      </c>
      <c r="D4013" s="167">
        <v>126144.24</v>
      </c>
      <c r="E4013" s="167">
        <v>18237.150000000001</v>
      </c>
      <c r="F4013" s="167">
        <v>103697.35</v>
      </c>
      <c r="G4013" s="167">
        <v>4209.74</v>
      </c>
      <c r="H4013" s="168">
        <v>751433.36</v>
      </c>
      <c r="I4013" s="168">
        <v>209734.92</v>
      </c>
      <c r="J4013" s="168">
        <v>523254.37</v>
      </c>
      <c r="K4013" s="168">
        <v>18444.07</v>
      </c>
      <c r="L4013" s="43">
        <v>5.956937550220287</v>
      </c>
      <c r="M4013" s="43">
        <v>11.50042194092827</v>
      </c>
      <c r="N4013" s="43">
        <v>5.0459762954405294</v>
      </c>
      <c r="O4013" s="43">
        <v>4.3812848299419915</v>
      </c>
      <c r="P4013" s="169"/>
      <c r="Q4013" s="169"/>
      <c r="R4013" s="169">
        <v>6</v>
      </c>
    </row>
    <row r="4014" spans="1:18" ht="36">
      <c r="A4014" s="165">
        <v>1212</v>
      </c>
      <c r="B4014" s="162" t="s">
        <v>7331</v>
      </c>
      <c r="C4014" s="166" t="s">
        <v>7332</v>
      </c>
      <c r="D4014" s="167">
        <v>152733.82</v>
      </c>
      <c r="E4014" s="167">
        <v>22301.7</v>
      </c>
      <c r="F4014" s="167">
        <v>124279.29</v>
      </c>
      <c r="G4014" s="167">
        <v>6152.83</v>
      </c>
      <c r="H4014" s="168">
        <v>908464.14</v>
      </c>
      <c r="I4014" s="168">
        <v>256478.96</v>
      </c>
      <c r="J4014" s="168">
        <v>625745.27</v>
      </c>
      <c r="K4014" s="168">
        <v>26239.91</v>
      </c>
      <c r="L4014" s="43">
        <v>5.9480221210993083</v>
      </c>
      <c r="M4014" s="43">
        <v>11.50042194092827</v>
      </c>
      <c r="N4014" s="43">
        <v>5.0349923144877966</v>
      </c>
      <c r="O4014" s="43">
        <v>4.2646895818672057</v>
      </c>
      <c r="P4014" s="169"/>
      <c r="Q4014" s="169"/>
      <c r="R4014" s="169">
        <v>6</v>
      </c>
    </row>
    <row r="4015" spans="1:18" ht="36">
      <c r="A4015" s="165">
        <v>1213</v>
      </c>
      <c r="B4015" s="162" t="s">
        <v>7333</v>
      </c>
      <c r="C4015" s="166" t="s">
        <v>7334</v>
      </c>
      <c r="D4015" s="167">
        <v>192300.61</v>
      </c>
      <c r="E4015" s="167">
        <v>27480.15</v>
      </c>
      <c r="F4015" s="167">
        <v>156658.29999999999</v>
      </c>
      <c r="G4015" s="167">
        <v>8162.16</v>
      </c>
      <c r="H4015" s="168">
        <v>1141487.3700000001</v>
      </c>
      <c r="I4015" s="168">
        <v>316033.32</v>
      </c>
      <c r="J4015" s="168">
        <v>791009.69</v>
      </c>
      <c r="K4015" s="168">
        <v>34444.36</v>
      </c>
      <c r="L4015" s="43">
        <v>5.9359529332746277</v>
      </c>
      <c r="M4015" s="43">
        <v>11.50042194092827</v>
      </c>
      <c r="N4015" s="43">
        <v>5.0492676736566144</v>
      </c>
      <c r="O4015" s="43">
        <v>4.2200054887431762</v>
      </c>
      <c r="P4015" s="169"/>
      <c r="Q4015" s="169"/>
      <c r="R4015" s="169">
        <v>6</v>
      </c>
    </row>
    <row r="4016" spans="1:18" ht="36">
      <c r="A4016" s="165">
        <v>1214</v>
      </c>
      <c r="B4016" s="162" t="s">
        <v>7335</v>
      </c>
      <c r="C4016" s="166" t="s">
        <v>7336</v>
      </c>
      <c r="D4016" s="167">
        <v>225711.35999999999</v>
      </c>
      <c r="E4016" s="167">
        <v>32350.5</v>
      </c>
      <c r="F4016" s="167">
        <v>185101.29</v>
      </c>
      <c r="G4016" s="167">
        <v>8259.57</v>
      </c>
      <c r="H4016" s="168">
        <v>1342424.19</v>
      </c>
      <c r="I4016" s="168">
        <v>372044.4</v>
      </c>
      <c r="J4016" s="168">
        <v>934815.21</v>
      </c>
      <c r="K4016" s="168">
        <v>35564.58</v>
      </c>
      <c r="L4016" s="43">
        <v>5.9475260350210108</v>
      </c>
      <c r="M4016" s="43">
        <v>11.500421940928272</v>
      </c>
      <c r="N4016" s="43">
        <v>5.0502900871193273</v>
      </c>
      <c r="O4016" s="43">
        <v>4.3058633802970379</v>
      </c>
      <c r="P4016" s="169"/>
      <c r="Q4016" s="169"/>
      <c r="R4016" s="169">
        <v>6</v>
      </c>
    </row>
    <row r="4017" spans="1:18" ht="36">
      <c r="A4017" s="165">
        <v>1215</v>
      </c>
      <c r="B4017" s="162" t="s">
        <v>7337</v>
      </c>
      <c r="C4017" s="166" t="s">
        <v>7338</v>
      </c>
      <c r="D4017" s="167">
        <v>296996.92</v>
      </c>
      <c r="E4017" s="167">
        <v>42340.05</v>
      </c>
      <c r="F4017" s="167">
        <v>244313.73</v>
      </c>
      <c r="G4017" s="167">
        <v>10343.14</v>
      </c>
      <c r="H4017" s="168">
        <v>1766546.65</v>
      </c>
      <c r="I4017" s="168">
        <v>486928.44</v>
      </c>
      <c r="J4017" s="168">
        <v>1234818.8500000001</v>
      </c>
      <c r="K4017" s="168">
        <v>44799.360000000001</v>
      </c>
      <c r="L4017" s="43">
        <v>5.9480302017946851</v>
      </c>
      <c r="M4017" s="43">
        <v>11.50042194092827</v>
      </c>
      <c r="N4017" s="43">
        <v>5.0542343649699921</v>
      </c>
      <c r="O4017" s="43">
        <v>4.3313113812633306</v>
      </c>
      <c r="P4017" s="169"/>
      <c r="Q4017" s="169"/>
      <c r="R4017" s="169">
        <v>6</v>
      </c>
    </row>
    <row r="4018" spans="1:18" ht="60">
      <c r="A4018" s="165">
        <v>1216</v>
      </c>
      <c r="B4018" s="162" t="s">
        <v>7339</v>
      </c>
      <c r="C4018" s="166" t="s">
        <v>7340</v>
      </c>
      <c r="D4018" s="167">
        <v>523.20000000000005</v>
      </c>
      <c r="E4018" s="167">
        <v>161.16</v>
      </c>
      <c r="F4018" s="167">
        <v>12.09</v>
      </c>
      <c r="G4018" s="167">
        <v>349.95</v>
      </c>
      <c r="H4018" s="168">
        <v>3554.94</v>
      </c>
      <c r="I4018" s="168">
        <v>1853.41</v>
      </c>
      <c r="J4018" s="168">
        <v>64.930000000000007</v>
      </c>
      <c r="K4018" s="168">
        <v>1636.6</v>
      </c>
      <c r="L4018" s="43">
        <v>6.7946100917431185</v>
      </c>
      <c r="M4018" s="43">
        <v>11.500434350955572</v>
      </c>
      <c r="N4018" s="43">
        <v>5.3705541770057907</v>
      </c>
      <c r="O4018" s="43">
        <v>4.6766680954422055</v>
      </c>
      <c r="P4018" s="169"/>
      <c r="Q4018" s="169"/>
      <c r="R4018" s="169">
        <v>6</v>
      </c>
    </row>
    <row r="4019" spans="1:18" ht="60">
      <c r="A4019" s="165">
        <v>1217</v>
      </c>
      <c r="B4019" s="162" t="s">
        <v>7341</v>
      </c>
      <c r="C4019" s="166" t="s">
        <v>7342</v>
      </c>
      <c r="D4019" s="167">
        <v>591.12</v>
      </c>
      <c r="E4019" s="167">
        <v>202.64</v>
      </c>
      <c r="F4019" s="167">
        <v>17.649999999999999</v>
      </c>
      <c r="G4019" s="167">
        <v>370.83</v>
      </c>
      <c r="H4019" s="168">
        <v>4183.76</v>
      </c>
      <c r="I4019" s="168">
        <v>2330.39</v>
      </c>
      <c r="J4019" s="168">
        <v>94.84</v>
      </c>
      <c r="K4019" s="168">
        <v>1758.53</v>
      </c>
      <c r="L4019" s="43">
        <v>7.0776830423602659</v>
      </c>
      <c r="M4019" s="43">
        <v>11.5001480457955</v>
      </c>
      <c r="N4019" s="43">
        <v>5.373371104815865</v>
      </c>
      <c r="O4019" s="43">
        <v>4.7421459968179489</v>
      </c>
      <c r="P4019" s="169"/>
      <c r="Q4019" s="169"/>
      <c r="R4019" s="169">
        <v>6</v>
      </c>
    </row>
    <row r="4020" spans="1:18" ht="60">
      <c r="A4020" s="165">
        <v>1218</v>
      </c>
      <c r="B4020" s="162" t="s">
        <v>7343</v>
      </c>
      <c r="C4020" s="166" t="s">
        <v>7344</v>
      </c>
      <c r="D4020" s="167">
        <v>1014.08</v>
      </c>
      <c r="E4020" s="167">
        <v>367.35</v>
      </c>
      <c r="F4020" s="167">
        <v>26.01</v>
      </c>
      <c r="G4020" s="167">
        <v>620.72</v>
      </c>
      <c r="H4020" s="168">
        <v>7587.31</v>
      </c>
      <c r="I4020" s="168">
        <v>4224.68</v>
      </c>
      <c r="J4020" s="168">
        <v>139.81</v>
      </c>
      <c r="K4020" s="168">
        <v>3222.82</v>
      </c>
      <c r="L4020" s="43">
        <v>7.4819639476175448</v>
      </c>
      <c r="M4020" s="43">
        <v>11.50042194092827</v>
      </c>
      <c r="N4020" s="43">
        <v>5.3752402921953095</v>
      </c>
      <c r="O4020" s="43">
        <v>5.1920672767109162</v>
      </c>
      <c r="P4020" s="169"/>
      <c r="Q4020" s="169"/>
      <c r="R4020" s="169">
        <v>6</v>
      </c>
    </row>
    <row r="4021" spans="1:18" ht="60">
      <c r="A4021" s="165">
        <v>1219</v>
      </c>
      <c r="B4021" s="162" t="s">
        <v>7345</v>
      </c>
      <c r="C4021" s="166" t="s">
        <v>7346</v>
      </c>
      <c r="D4021" s="167">
        <v>1311.1</v>
      </c>
      <c r="E4021" s="167">
        <v>470.45</v>
      </c>
      <c r="F4021" s="167">
        <v>34.340000000000003</v>
      </c>
      <c r="G4021" s="167">
        <v>806.31</v>
      </c>
      <c r="H4021" s="168">
        <v>9926.9</v>
      </c>
      <c r="I4021" s="168">
        <v>5410.32</v>
      </c>
      <c r="J4021" s="168">
        <v>184.64</v>
      </c>
      <c r="K4021" s="168">
        <v>4331.9399999999996</v>
      </c>
      <c r="L4021" s="43">
        <v>7.5714285714285721</v>
      </c>
      <c r="M4021" s="43">
        <v>11.500308215538315</v>
      </c>
      <c r="N4021" s="43">
        <v>5.3768200349446698</v>
      </c>
      <c r="O4021" s="43">
        <v>5.3725490196078427</v>
      </c>
      <c r="P4021" s="169"/>
      <c r="Q4021" s="169"/>
      <c r="R4021" s="169">
        <v>6</v>
      </c>
    </row>
    <row r="4022" spans="1:18" ht="60">
      <c r="A4022" s="165">
        <v>1220</v>
      </c>
      <c r="B4022" s="162" t="s">
        <v>7347</v>
      </c>
      <c r="C4022" s="166" t="s">
        <v>7348</v>
      </c>
      <c r="D4022" s="167">
        <v>1665.63</v>
      </c>
      <c r="E4022" s="167">
        <v>577.1</v>
      </c>
      <c r="F4022" s="167">
        <v>48.25</v>
      </c>
      <c r="G4022" s="167">
        <v>1040.28</v>
      </c>
      <c r="H4022" s="168">
        <v>12632.12</v>
      </c>
      <c r="I4022" s="168">
        <v>6636.84</v>
      </c>
      <c r="J4022" s="168">
        <v>259.45999999999998</v>
      </c>
      <c r="K4022" s="168">
        <v>5735.82</v>
      </c>
      <c r="L4022" s="43">
        <v>7.5839892413080934</v>
      </c>
      <c r="M4022" s="43">
        <v>11.50032923236874</v>
      </c>
      <c r="N4022" s="43">
        <v>5.3774093264248704</v>
      </c>
      <c r="O4022" s="43">
        <v>5.5137270734802168</v>
      </c>
      <c r="P4022" s="169"/>
      <c r="Q4022" s="169"/>
      <c r="R4022" s="169">
        <v>6</v>
      </c>
    </row>
    <row r="4023" spans="1:18" ht="60">
      <c r="A4023" s="165">
        <v>1221</v>
      </c>
      <c r="B4023" s="162" t="s">
        <v>7349</v>
      </c>
      <c r="C4023" s="166" t="s">
        <v>7350</v>
      </c>
      <c r="D4023" s="167">
        <v>1774.68</v>
      </c>
      <c r="E4023" s="167">
        <v>671.9</v>
      </c>
      <c r="F4023" s="167">
        <v>48.29</v>
      </c>
      <c r="G4023" s="167">
        <v>1054.49</v>
      </c>
      <c r="H4023" s="168">
        <v>13800.09</v>
      </c>
      <c r="I4023" s="168">
        <v>7727.08</v>
      </c>
      <c r="J4023" s="168">
        <v>259.66000000000003</v>
      </c>
      <c r="K4023" s="168">
        <v>5813.35</v>
      </c>
      <c r="L4023" s="43">
        <v>7.7761004800865505</v>
      </c>
      <c r="M4023" s="43">
        <v>11.500342312844174</v>
      </c>
      <c r="N4023" s="43">
        <v>5.3770967073928357</v>
      </c>
      <c r="O4023" s="43">
        <v>5.5129493878557412</v>
      </c>
      <c r="P4023" s="169"/>
      <c r="Q4023" s="169"/>
      <c r="R4023" s="169">
        <v>6</v>
      </c>
    </row>
    <row r="4024" spans="1:18" ht="60">
      <c r="A4024" s="165">
        <v>1222</v>
      </c>
      <c r="B4024" s="162" t="s">
        <v>7351</v>
      </c>
      <c r="C4024" s="166" t="s">
        <v>7352</v>
      </c>
      <c r="D4024" s="167">
        <v>2354.36</v>
      </c>
      <c r="E4024" s="167">
        <v>899.42</v>
      </c>
      <c r="F4024" s="167">
        <v>59.91</v>
      </c>
      <c r="G4024" s="167">
        <v>1395.03</v>
      </c>
      <c r="H4024" s="168">
        <v>18078.150000000001</v>
      </c>
      <c r="I4024" s="168">
        <v>10343.65</v>
      </c>
      <c r="J4024" s="168">
        <v>322.08999999999997</v>
      </c>
      <c r="K4024" s="168">
        <v>7412.41</v>
      </c>
      <c r="L4024" s="43">
        <v>7.6785835641108413</v>
      </c>
      <c r="M4024" s="43">
        <v>11.500355784839119</v>
      </c>
      <c r="N4024" s="43">
        <v>5.3762310131864464</v>
      </c>
      <c r="O4024" s="43">
        <v>5.3134412880009751</v>
      </c>
      <c r="P4024" s="169"/>
      <c r="Q4024" s="169"/>
      <c r="R4024" s="169">
        <v>6</v>
      </c>
    </row>
    <row r="4025" spans="1:18" ht="12.75" customHeight="1">
      <c r="A4025" s="628" t="s">
        <v>7353</v>
      </c>
      <c r="B4025" s="629"/>
      <c r="C4025" s="629"/>
      <c r="D4025" s="629"/>
      <c r="E4025" s="629"/>
      <c r="F4025" s="629"/>
      <c r="G4025" s="629"/>
      <c r="H4025" s="629"/>
      <c r="I4025" s="629"/>
      <c r="J4025" s="629"/>
      <c r="K4025" s="629"/>
      <c r="L4025" s="629"/>
      <c r="M4025" s="629"/>
      <c r="N4025" s="629"/>
      <c r="O4025" s="629"/>
      <c r="P4025" s="629"/>
      <c r="Q4025" s="629"/>
      <c r="R4025" s="629"/>
    </row>
    <row r="4026" spans="1:18" ht="24">
      <c r="A4026" s="165">
        <v>1223</v>
      </c>
      <c r="B4026" s="162" t="s">
        <v>7354</v>
      </c>
      <c r="C4026" s="166" t="s">
        <v>7355</v>
      </c>
      <c r="D4026" s="167">
        <v>6138.3</v>
      </c>
      <c r="E4026" s="167">
        <v>2986.2</v>
      </c>
      <c r="F4026" s="167">
        <v>1149.48</v>
      </c>
      <c r="G4026" s="167">
        <v>2002.62</v>
      </c>
      <c r="H4026" s="168">
        <v>49523.9</v>
      </c>
      <c r="I4026" s="168">
        <v>34342.559999999998</v>
      </c>
      <c r="J4026" s="168">
        <v>5901.58</v>
      </c>
      <c r="K4026" s="168">
        <v>9279.76</v>
      </c>
      <c r="L4026" s="43">
        <v>8.0680155743446882</v>
      </c>
      <c r="M4026" s="43">
        <v>11.50042194092827</v>
      </c>
      <c r="N4026" s="43">
        <v>5.134130215401747</v>
      </c>
      <c r="O4026" s="43">
        <v>4.6338097092808423</v>
      </c>
      <c r="P4026" s="169"/>
      <c r="Q4026" s="169"/>
      <c r="R4026" s="169">
        <v>7</v>
      </c>
    </row>
    <row r="4027" spans="1:18" ht="24">
      <c r="A4027" s="165">
        <v>1224</v>
      </c>
      <c r="B4027" s="162" t="s">
        <v>7356</v>
      </c>
      <c r="C4027" s="166" t="s">
        <v>7357</v>
      </c>
      <c r="D4027" s="167">
        <v>9919.92</v>
      </c>
      <c r="E4027" s="167">
        <v>4491.1499999999996</v>
      </c>
      <c r="F4027" s="167">
        <v>2003.51</v>
      </c>
      <c r="G4027" s="167">
        <v>3425.26</v>
      </c>
      <c r="H4027" s="168">
        <v>77037.7</v>
      </c>
      <c r="I4027" s="168">
        <v>51650.12</v>
      </c>
      <c r="J4027" s="168">
        <v>10288.549999999999</v>
      </c>
      <c r="K4027" s="168">
        <v>15099.03</v>
      </c>
      <c r="L4027" s="43">
        <v>7.7659598061274684</v>
      </c>
      <c r="M4027" s="43">
        <v>11.500421940928272</v>
      </c>
      <c r="N4027" s="43">
        <v>5.1352626141122331</v>
      </c>
      <c r="O4027" s="43">
        <v>4.4081412797860597</v>
      </c>
      <c r="P4027" s="169"/>
      <c r="Q4027" s="169"/>
      <c r="R4027" s="169">
        <v>7</v>
      </c>
    </row>
    <row r="4028" spans="1:18" ht="24">
      <c r="A4028" s="165">
        <v>1225</v>
      </c>
      <c r="B4028" s="162" t="s">
        <v>7358</v>
      </c>
      <c r="C4028" s="166" t="s">
        <v>7359</v>
      </c>
      <c r="D4028" s="167">
        <v>14316.93</v>
      </c>
      <c r="E4028" s="167">
        <v>5202.1499999999996</v>
      </c>
      <c r="F4028" s="167">
        <v>2269.5300000000002</v>
      </c>
      <c r="G4028" s="167">
        <v>6845.25</v>
      </c>
      <c r="H4028" s="168">
        <v>99938.32</v>
      </c>
      <c r="I4028" s="168">
        <v>59826.92</v>
      </c>
      <c r="J4028" s="168">
        <v>11658.86</v>
      </c>
      <c r="K4028" s="168">
        <v>28452.54</v>
      </c>
      <c r="L4028" s="43">
        <v>6.9804294635791333</v>
      </c>
      <c r="M4028" s="43">
        <v>11.50042194092827</v>
      </c>
      <c r="N4028" s="43">
        <v>5.1371253078831298</v>
      </c>
      <c r="O4028" s="43">
        <v>4.1565377451517476</v>
      </c>
      <c r="P4028" s="169"/>
      <c r="Q4028" s="169"/>
      <c r="R4028" s="169">
        <v>7</v>
      </c>
    </row>
    <row r="4029" spans="1:18" ht="24">
      <c r="A4029" s="165">
        <v>1226</v>
      </c>
      <c r="B4029" s="162" t="s">
        <v>7360</v>
      </c>
      <c r="C4029" s="166" t="s">
        <v>7361</v>
      </c>
      <c r="D4029" s="167">
        <v>17279.78</v>
      </c>
      <c r="E4029" s="167">
        <v>6292.35</v>
      </c>
      <c r="F4029" s="167">
        <v>2605.15</v>
      </c>
      <c r="G4029" s="167">
        <v>8382.2800000000007</v>
      </c>
      <c r="H4029" s="168">
        <v>119504.08</v>
      </c>
      <c r="I4029" s="168">
        <v>72364.679999999993</v>
      </c>
      <c r="J4029" s="168">
        <v>13397.52</v>
      </c>
      <c r="K4029" s="168">
        <v>33741.879999999997</v>
      </c>
      <c r="L4029" s="43">
        <v>6.9158334191754758</v>
      </c>
      <c r="M4029" s="43">
        <v>11.500421940928268</v>
      </c>
      <c r="N4029" s="43">
        <v>5.1427057942920751</v>
      </c>
      <c r="O4029" s="43">
        <v>4.025382115605777</v>
      </c>
      <c r="P4029" s="169"/>
      <c r="Q4029" s="169"/>
      <c r="R4029" s="169">
        <v>7</v>
      </c>
    </row>
    <row r="4030" spans="1:18" ht="24">
      <c r="A4030" s="165">
        <v>1227</v>
      </c>
      <c r="B4030" s="162" t="s">
        <v>7362</v>
      </c>
      <c r="C4030" s="166" t="s">
        <v>7363</v>
      </c>
      <c r="D4030" s="167">
        <v>21727.63</v>
      </c>
      <c r="E4030" s="167">
        <v>7998.75</v>
      </c>
      <c r="F4030" s="167">
        <v>3382.54</v>
      </c>
      <c r="G4030" s="167">
        <v>10346.34</v>
      </c>
      <c r="H4030" s="168">
        <v>152322.60999999999</v>
      </c>
      <c r="I4030" s="168">
        <v>91989</v>
      </c>
      <c r="J4030" s="168">
        <v>17427.689999999999</v>
      </c>
      <c r="K4030" s="168">
        <v>42905.919999999998</v>
      </c>
      <c r="L4030" s="43">
        <v>7.0105487805158679</v>
      </c>
      <c r="M4030" s="43">
        <v>11.50042194092827</v>
      </c>
      <c r="N4030" s="43">
        <v>5.1522494929845619</v>
      </c>
      <c r="O4030" s="43">
        <v>4.1469659802403553</v>
      </c>
      <c r="P4030" s="169"/>
      <c r="Q4030" s="169"/>
      <c r="R4030" s="169">
        <v>7</v>
      </c>
    </row>
    <row r="4031" spans="1:18" ht="12.75" customHeight="1">
      <c r="A4031" s="628" t="s">
        <v>7364</v>
      </c>
      <c r="B4031" s="629"/>
      <c r="C4031" s="629"/>
      <c r="D4031" s="629"/>
      <c r="E4031" s="629"/>
      <c r="F4031" s="629"/>
      <c r="G4031" s="629"/>
      <c r="H4031" s="629"/>
      <c r="I4031" s="629"/>
      <c r="J4031" s="629"/>
      <c r="K4031" s="629"/>
      <c r="L4031" s="629"/>
      <c r="M4031" s="629"/>
      <c r="N4031" s="629"/>
      <c r="O4031" s="629"/>
      <c r="P4031" s="629"/>
      <c r="Q4031" s="629"/>
      <c r="R4031" s="629"/>
    </row>
    <row r="4032" spans="1:18" ht="24">
      <c r="A4032" s="165">
        <v>1228</v>
      </c>
      <c r="B4032" s="162" t="s">
        <v>7365</v>
      </c>
      <c r="C4032" s="166" t="s">
        <v>7366</v>
      </c>
      <c r="D4032" s="167">
        <v>45988.41</v>
      </c>
      <c r="E4032" s="167">
        <v>14871.75</v>
      </c>
      <c r="F4032" s="167">
        <v>21314.36</v>
      </c>
      <c r="G4032" s="167">
        <v>9802.2999999999993</v>
      </c>
      <c r="H4032" s="168">
        <v>313647.02</v>
      </c>
      <c r="I4032" s="168">
        <v>171031.4</v>
      </c>
      <c r="J4032" s="168">
        <v>103082.16</v>
      </c>
      <c r="K4032" s="168">
        <v>39533.46</v>
      </c>
      <c r="L4032" s="43">
        <v>6.8201318549608478</v>
      </c>
      <c r="M4032" s="43">
        <v>11.50042194092827</v>
      </c>
      <c r="N4032" s="43">
        <v>4.8362775143142933</v>
      </c>
      <c r="O4032" s="43">
        <v>4.0330799914305828</v>
      </c>
      <c r="P4032" s="169"/>
      <c r="Q4032" s="169"/>
      <c r="R4032" s="169">
        <v>8</v>
      </c>
    </row>
    <row r="4033" spans="1:18" ht="24">
      <c r="A4033" s="165">
        <v>1229</v>
      </c>
      <c r="B4033" s="162" t="s">
        <v>7367</v>
      </c>
      <c r="C4033" s="166" t="s">
        <v>7368</v>
      </c>
      <c r="D4033" s="167">
        <v>99393.97</v>
      </c>
      <c r="E4033" s="167">
        <v>43951.65</v>
      </c>
      <c r="F4033" s="167">
        <v>37974.44</v>
      </c>
      <c r="G4033" s="167">
        <v>17467.88</v>
      </c>
      <c r="H4033" s="168">
        <v>805682.12</v>
      </c>
      <c r="I4033" s="168">
        <v>505462.52</v>
      </c>
      <c r="J4033" s="168">
        <v>226446.21</v>
      </c>
      <c r="K4033" s="168">
        <v>73773.39</v>
      </c>
      <c r="L4033" s="43">
        <v>8.1059456624984385</v>
      </c>
      <c r="M4033" s="43">
        <v>11.50042194092827</v>
      </c>
      <c r="N4033" s="43">
        <v>5.9631217734876403</v>
      </c>
      <c r="O4033" s="43">
        <v>4.2233739869978493</v>
      </c>
      <c r="P4033" s="169"/>
      <c r="Q4033" s="169"/>
      <c r="R4033" s="169">
        <v>8</v>
      </c>
    </row>
    <row r="4034" spans="1:18" ht="24">
      <c r="A4034" s="165">
        <v>1230</v>
      </c>
      <c r="B4034" s="162" t="s">
        <v>7369</v>
      </c>
      <c r="C4034" s="166" t="s">
        <v>7370</v>
      </c>
      <c r="D4034" s="167">
        <v>157029.37</v>
      </c>
      <c r="E4034" s="167">
        <v>62425.8</v>
      </c>
      <c r="F4034" s="167">
        <v>73017.91</v>
      </c>
      <c r="G4034" s="167">
        <v>21585.66</v>
      </c>
      <c r="H4034" s="168">
        <v>1253900.7</v>
      </c>
      <c r="I4034" s="168">
        <v>717923.04</v>
      </c>
      <c r="J4034" s="168">
        <v>443292.41</v>
      </c>
      <c r="K4034" s="168">
        <v>92685.25</v>
      </c>
      <c r="L4034" s="43">
        <v>7.9851348827292625</v>
      </c>
      <c r="M4034" s="43">
        <v>11.50042194092827</v>
      </c>
      <c r="N4034" s="43">
        <v>6.0710092907342865</v>
      </c>
      <c r="O4034" s="43">
        <v>4.2938344252619567</v>
      </c>
      <c r="P4034" s="169"/>
      <c r="Q4034" s="169"/>
      <c r="R4034" s="169">
        <v>8</v>
      </c>
    </row>
    <row r="4035" spans="1:18" ht="12.75" customHeight="1">
      <c r="A4035" s="628" t="s">
        <v>7371</v>
      </c>
      <c r="B4035" s="629"/>
      <c r="C4035" s="629"/>
      <c r="D4035" s="629"/>
      <c r="E4035" s="629"/>
      <c r="F4035" s="629"/>
      <c r="G4035" s="629"/>
      <c r="H4035" s="629"/>
      <c r="I4035" s="629"/>
      <c r="J4035" s="629"/>
      <c r="K4035" s="629"/>
      <c r="L4035" s="629"/>
      <c r="M4035" s="629"/>
      <c r="N4035" s="629"/>
      <c r="O4035" s="629"/>
      <c r="P4035" s="629"/>
      <c r="Q4035" s="629"/>
      <c r="R4035" s="629"/>
    </row>
    <row r="4036" spans="1:18" ht="24">
      <c r="A4036" s="165">
        <v>1231</v>
      </c>
      <c r="B4036" s="162" t="s">
        <v>7372</v>
      </c>
      <c r="C4036" s="166" t="s">
        <v>7373</v>
      </c>
      <c r="D4036" s="167">
        <v>336.27</v>
      </c>
      <c r="E4036" s="167">
        <v>97.29</v>
      </c>
      <c r="F4036" s="167">
        <v>221.54</v>
      </c>
      <c r="G4036" s="167">
        <v>17.440000000000001</v>
      </c>
      <c r="H4036" s="168">
        <v>2292.52</v>
      </c>
      <c r="I4036" s="168">
        <v>1118.8599999999999</v>
      </c>
      <c r="J4036" s="168">
        <v>1076.2</v>
      </c>
      <c r="K4036" s="168">
        <v>97.46</v>
      </c>
      <c r="L4036" s="43">
        <v>6.8174978439944098</v>
      </c>
      <c r="M4036" s="43">
        <v>11.500256963716721</v>
      </c>
      <c r="N4036" s="43">
        <v>4.8578134874063377</v>
      </c>
      <c r="O4036" s="43">
        <v>5.5883027522935773</v>
      </c>
      <c r="P4036" s="169"/>
      <c r="Q4036" s="169"/>
      <c r="R4036" s="169">
        <v>9</v>
      </c>
    </row>
    <row r="4037" spans="1:18" ht="24">
      <c r="A4037" s="165">
        <v>1232</v>
      </c>
      <c r="B4037" s="162" t="s">
        <v>7374</v>
      </c>
      <c r="C4037" s="166" t="s">
        <v>7375</v>
      </c>
      <c r="D4037" s="167">
        <v>440.47</v>
      </c>
      <c r="E4037" s="167">
        <v>150.5</v>
      </c>
      <c r="F4037" s="167">
        <v>271.47000000000003</v>
      </c>
      <c r="G4037" s="167">
        <v>18.5</v>
      </c>
      <c r="H4037" s="168">
        <v>3185.22</v>
      </c>
      <c r="I4037" s="168">
        <v>1730.76</v>
      </c>
      <c r="J4037" s="168">
        <v>1344.81</v>
      </c>
      <c r="K4037" s="168">
        <v>109.65</v>
      </c>
      <c r="L4037" s="43">
        <v>7.2314119009240123</v>
      </c>
      <c r="M4037" s="43">
        <v>11.500066445182725</v>
      </c>
      <c r="N4037" s="43">
        <v>4.9538070505028173</v>
      </c>
      <c r="O4037" s="43">
        <v>5.9270270270270276</v>
      </c>
      <c r="P4037" s="169"/>
      <c r="Q4037" s="169"/>
      <c r="R4037" s="169">
        <v>9</v>
      </c>
    </row>
    <row r="4038" spans="1:18" ht="24">
      <c r="A4038" s="165">
        <v>1233</v>
      </c>
      <c r="B4038" s="162" t="s">
        <v>7376</v>
      </c>
      <c r="C4038" s="166" t="s">
        <v>7377</v>
      </c>
      <c r="D4038" s="167">
        <v>924.01</v>
      </c>
      <c r="E4038" s="167">
        <v>167.09</v>
      </c>
      <c r="F4038" s="167">
        <v>693.06</v>
      </c>
      <c r="G4038" s="167">
        <v>63.86</v>
      </c>
      <c r="H4038" s="168">
        <v>5669.11</v>
      </c>
      <c r="I4038" s="168">
        <v>1921.55</v>
      </c>
      <c r="J4038" s="168">
        <v>3419.08</v>
      </c>
      <c r="K4038" s="168">
        <v>328.48</v>
      </c>
      <c r="L4038" s="43">
        <v>6.1353340331814588</v>
      </c>
      <c r="M4038" s="43">
        <v>11.500089771979173</v>
      </c>
      <c r="N4038" s="43">
        <v>4.933310247309036</v>
      </c>
      <c r="O4038" s="43">
        <v>5.1437519574068276</v>
      </c>
      <c r="P4038" s="169"/>
      <c r="Q4038" s="169"/>
      <c r="R4038" s="169">
        <v>9</v>
      </c>
    </row>
    <row r="4039" spans="1:18" ht="24">
      <c r="A4039" s="165">
        <v>1234</v>
      </c>
      <c r="B4039" s="162" t="s">
        <v>7378</v>
      </c>
      <c r="C4039" s="166" t="s">
        <v>7379</v>
      </c>
      <c r="D4039" s="167">
        <v>1679.83</v>
      </c>
      <c r="E4039" s="167">
        <v>248.85</v>
      </c>
      <c r="F4039" s="167">
        <v>1365.48</v>
      </c>
      <c r="G4039" s="167">
        <v>65.5</v>
      </c>
      <c r="H4039" s="168">
        <v>9941.16</v>
      </c>
      <c r="I4039" s="168">
        <v>2861.88</v>
      </c>
      <c r="J4039" s="168">
        <v>6731.94</v>
      </c>
      <c r="K4039" s="168">
        <v>347.34</v>
      </c>
      <c r="L4039" s="43">
        <v>5.9179559836412023</v>
      </c>
      <c r="M4039" s="43">
        <v>11.500421940928272</v>
      </c>
      <c r="N4039" s="43">
        <v>4.9300905176201768</v>
      </c>
      <c r="O4039" s="43">
        <v>5.3029007633587781</v>
      </c>
      <c r="P4039" s="169"/>
      <c r="Q4039" s="169"/>
      <c r="R4039" s="169">
        <v>9</v>
      </c>
    </row>
    <row r="4040" spans="1:18" ht="24">
      <c r="A4040" s="165">
        <v>1235</v>
      </c>
      <c r="B4040" s="162" t="s">
        <v>7380</v>
      </c>
      <c r="C4040" s="166" t="s">
        <v>7381</v>
      </c>
      <c r="D4040" s="167">
        <v>2070.81</v>
      </c>
      <c r="E4040" s="167">
        <v>300.99</v>
      </c>
      <c r="F4040" s="167">
        <v>1672.24</v>
      </c>
      <c r="G4040" s="167">
        <v>97.58</v>
      </c>
      <c r="H4040" s="168">
        <v>12464.33</v>
      </c>
      <c r="I4040" s="168">
        <v>3461.51</v>
      </c>
      <c r="J4040" s="168">
        <v>8511.3700000000008</v>
      </c>
      <c r="K4040" s="168">
        <v>491.45</v>
      </c>
      <c r="L4040" s="43">
        <v>6.0190601745210817</v>
      </c>
      <c r="M4040" s="43">
        <v>11.500415296189242</v>
      </c>
      <c r="N4040" s="43">
        <v>5.0898017031048175</v>
      </c>
      <c r="O4040" s="43">
        <v>5.0363804058208652</v>
      </c>
      <c r="P4040" s="169"/>
      <c r="Q4040" s="169"/>
      <c r="R4040" s="169">
        <v>9</v>
      </c>
    </row>
    <row r="4041" spans="1:18" ht="24">
      <c r="A4041" s="165">
        <v>1236</v>
      </c>
      <c r="B4041" s="162" t="s">
        <v>7382</v>
      </c>
      <c r="C4041" s="166" t="s">
        <v>7383</v>
      </c>
      <c r="D4041" s="167">
        <v>2392.35</v>
      </c>
      <c r="E4041" s="167">
        <v>354.32</v>
      </c>
      <c r="F4041" s="167">
        <v>1939.38</v>
      </c>
      <c r="G4041" s="167">
        <v>98.65</v>
      </c>
      <c r="H4041" s="168">
        <v>14450.53</v>
      </c>
      <c r="I4041" s="168">
        <v>4074.77</v>
      </c>
      <c r="J4041" s="168">
        <v>9872</v>
      </c>
      <c r="K4041" s="168">
        <v>503.76</v>
      </c>
      <c r="L4041" s="43">
        <v>6.040307647292412</v>
      </c>
      <c r="M4041" s="43">
        <v>11.500254007676677</v>
      </c>
      <c r="N4041" s="43">
        <v>5.0902865864348401</v>
      </c>
      <c r="O4041" s="43">
        <v>5.1065382665990873</v>
      </c>
      <c r="P4041" s="169"/>
      <c r="Q4041" s="169"/>
      <c r="R4041" s="169">
        <v>9</v>
      </c>
    </row>
    <row r="4042" spans="1:18" ht="24">
      <c r="A4042" s="165">
        <v>1237</v>
      </c>
      <c r="B4042" s="162" t="s">
        <v>7384</v>
      </c>
      <c r="C4042" s="166" t="s">
        <v>7385</v>
      </c>
      <c r="D4042" s="167">
        <v>4136.3900000000003</v>
      </c>
      <c r="E4042" s="167">
        <v>459.78</v>
      </c>
      <c r="F4042" s="167">
        <v>3077.14</v>
      </c>
      <c r="G4042" s="167">
        <v>599.47</v>
      </c>
      <c r="H4042" s="168">
        <v>23510.54</v>
      </c>
      <c r="I4042" s="168">
        <v>5287.66</v>
      </c>
      <c r="J4042" s="168">
        <v>15863.22</v>
      </c>
      <c r="K4042" s="168">
        <v>2359.66</v>
      </c>
      <c r="L4042" s="43">
        <v>5.6838305865742829</v>
      </c>
      <c r="M4042" s="43">
        <v>11.500413241115316</v>
      </c>
      <c r="N4042" s="43">
        <v>5.1551830595942985</v>
      </c>
      <c r="O4042" s="43">
        <v>3.9362436819190281</v>
      </c>
      <c r="P4042" s="169"/>
      <c r="Q4042" s="169"/>
      <c r="R4042" s="169">
        <v>9</v>
      </c>
    </row>
    <row r="4043" spans="1:18" ht="24">
      <c r="A4043" s="165">
        <v>1238</v>
      </c>
      <c r="B4043" s="162" t="s">
        <v>7386</v>
      </c>
      <c r="C4043" s="166" t="s">
        <v>7387</v>
      </c>
      <c r="D4043" s="167">
        <v>4661.76</v>
      </c>
      <c r="E4043" s="167">
        <v>529.70000000000005</v>
      </c>
      <c r="F4043" s="167">
        <v>3562.17</v>
      </c>
      <c r="G4043" s="167">
        <v>569.89</v>
      </c>
      <c r="H4043" s="168">
        <v>26674.44</v>
      </c>
      <c r="I4043" s="168">
        <v>6091.72</v>
      </c>
      <c r="J4043" s="168">
        <v>18357.13</v>
      </c>
      <c r="K4043" s="168">
        <v>2225.59</v>
      </c>
      <c r="L4043" s="43">
        <v>5.721967668863261</v>
      </c>
      <c r="M4043" s="43">
        <v>11.500320936379081</v>
      </c>
      <c r="N4043" s="43">
        <v>5.1533559599906802</v>
      </c>
      <c r="O4043" s="43">
        <v>3.9052975135552477</v>
      </c>
      <c r="P4043" s="169"/>
      <c r="Q4043" s="169"/>
      <c r="R4043" s="169">
        <v>9</v>
      </c>
    </row>
    <row r="4044" spans="1:18" ht="24">
      <c r="A4044" s="165">
        <v>1239</v>
      </c>
      <c r="B4044" s="162" t="s">
        <v>7388</v>
      </c>
      <c r="C4044" s="166" t="s">
        <v>7389</v>
      </c>
      <c r="D4044" s="167">
        <v>5343.58</v>
      </c>
      <c r="E4044" s="167">
        <v>665.97</v>
      </c>
      <c r="F4044" s="167">
        <v>4104.99</v>
      </c>
      <c r="G4044" s="167">
        <v>572.62</v>
      </c>
      <c r="H4044" s="168">
        <v>30988.13</v>
      </c>
      <c r="I4044" s="168">
        <v>7658.94</v>
      </c>
      <c r="J4044" s="168">
        <v>21072.21</v>
      </c>
      <c r="K4044" s="168">
        <v>2256.98</v>
      </c>
      <c r="L4044" s="43">
        <v>5.799132791125051</v>
      </c>
      <c r="M4044" s="43">
        <v>11.500427947204829</v>
      </c>
      <c r="N4044" s="43">
        <v>5.1333157937047353</v>
      </c>
      <c r="O4044" s="43">
        <v>3.9414969787992038</v>
      </c>
      <c r="P4044" s="169"/>
      <c r="Q4044" s="169"/>
      <c r="R4044" s="169">
        <v>9</v>
      </c>
    </row>
    <row r="4045" spans="1:18" ht="24">
      <c r="A4045" s="165">
        <v>1240</v>
      </c>
      <c r="B4045" s="162" t="s">
        <v>7390</v>
      </c>
      <c r="C4045" s="166" t="s">
        <v>7391</v>
      </c>
      <c r="D4045" s="167">
        <v>10512.29</v>
      </c>
      <c r="E4045" s="167">
        <v>1232.4000000000001</v>
      </c>
      <c r="F4045" s="167">
        <v>8146.25</v>
      </c>
      <c r="G4045" s="167">
        <v>1133.6400000000001</v>
      </c>
      <c r="H4045" s="168">
        <v>62712.18</v>
      </c>
      <c r="I4045" s="168">
        <v>14173.12</v>
      </c>
      <c r="J4045" s="168">
        <v>44115.199999999997</v>
      </c>
      <c r="K4045" s="168">
        <v>4423.8599999999997</v>
      </c>
      <c r="L4045" s="43">
        <v>5.9656059716769603</v>
      </c>
      <c r="M4045" s="43">
        <v>11.50042194092827</v>
      </c>
      <c r="N4045" s="43">
        <v>5.4153997237992941</v>
      </c>
      <c r="O4045" s="43">
        <v>3.9023499523658298</v>
      </c>
      <c r="P4045" s="169"/>
      <c r="Q4045" s="169"/>
      <c r="R4045" s="169">
        <v>9</v>
      </c>
    </row>
    <row r="4046" spans="1:18" ht="24">
      <c r="A4046" s="165">
        <v>1241</v>
      </c>
      <c r="B4046" s="162" t="s">
        <v>7392</v>
      </c>
      <c r="C4046" s="166" t="s">
        <v>7393</v>
      </c>
      <c r="D4046" s="167">
        <v>12475.13</v>
      </c>
      <c r="E4046" s="167">
        <v>1516.8</v>
      </c>
      <c r="F4046" s="167">
        <v>9819</v>
      </c>
      <c r="G4046" s="167">
        <v>1139.33</v>
      </c>
      <c r="H4046" s="168">
        <v>75006</v>
      </c>
      <c r="I4046" s="168">
        <v>17443.84</v>
      </c>
      <c r="J4046" s="168">
        <v>53072.87</v>
      </c>
      <c r="K4046" s="168">
        <v>4489.29</v>
      </c>
      <c r="L4046" s="43">
        <v>6.0124423553101254</v>
      </c>
      <c r="M4046" s="43">
        <v>11.50042194092827</v>
      </c>
      <c r="N4046" s="43">
        <v>5.4051196659537633</v>
      </c>
      <c r="O4046" s="43">
        <v>3.9402894683717626</v>
      </c>
      <c r="P4046" s="169"/>
      <c r="Q4046" s="169"/>
      <c r="R4046" s="169">
        <v>9</v>
      </c>
    </row>
    <row r="4047" spans="1:18" ht="24">
      <c r="A4047" s="165">
        <v>1242</v>
      </c>
      <c r="B4047" s="162" t="s">
        <v>7394</v>
      </c>
      <c r="C4047" s="166" t="s">
        <v>7395</v>
      </c>
      <c r="D4047" s="167">
        <v>14825.51</v>
      </c>
      <c r="E4047" s="167">
        <v>2050.0500000000002</v>
      </c>
      <c r="F4047" s="167">
        <v>10994.96</v>
      </c>
      <c r="G4047" s="167">
        <v>1780.5</v>
      </c>
      <c r="H4047" s="168">
        <v>89297.31</v>
      </c>
      <c r="I4047" s="168">
        <v>23576.44</v>
      </c>
      <c r="J4047" s="168">
        <v>58784.08</v>
      </c>
      <c r="K4047" s="168">
        <v>6936.79</v>
      </c>
      <c r="L4047" s="43">
        <v>6.0232201118207733</v>
      </c>
      <c r="M4047" s="43">
        <v>11.500421940928268</v>
      </c>
      <c r="N4047" s="43">
        <v>5.3464569220806633</v>
      </c>
      <c r="O4047" s="43">
        <v>3.8959786576804269</v>
      </c>
      <c r="P4047" s="169"/>
      <c r="Q4047" s="169"/>
      <c r="R4047" s="169">
        <v>9</v>
      </c>
    </row>
    <row r="4048" spans="1:18" ht="24">
      <c r="A4048" s="165">
        <v>1243</v>
      </c>
      <c r="B4048" s="162" t="s">
        <v>7396</v>
      </c>
      <c r="C4048" s="166" t="s">
        <v>7397</v>
      </c>
      <c r="D4048" s="167">
        <v>28397.72</v>
      </c>
      <c r="E4048" s="167">
        <v>2725.5</v>
      </c>
      <c r="F4048" s="167">
        <v>23423.11</v>
      </c>
      <c r="G4048" s="167">
        <v>2249.11</v>
      </c>
      <c r="H4048" s="168">
        <v>161426.29999999999</v>
      </c>
      <c r="I4048" s="168">
        <v>31344.400000000001</v>
      </c>
      <c r="J4048" s="168">
        <v>121291.4</v>
      </c>
      <c r="K4048" s="168">
        <v>8790.5</v>
      </c>
      <c r="L4048" s="43">
        <v>5.6844810076301897</v>
      </c>
      <c r="M4048" s="43">
        <v>11.50042194092827</v>
      </c>
      <c r="N4048" s="43">
        <v>5.1782790585878642</v>
      </c>
      <c r="O4048" s="43">
        <v>3.9084348920239558</v>
      </c>
      <c r="P4048" s="169"/>
      <c r="Q4048" s="169"/>
      <c r="R4048" s="169">
        <v>9</v>
      </c>
    </row>
    <row r="4049" spans="1:18" ht="24">
      <c r="A4049" s="165">
        <v>1244</v>
      </c>
      <c r="B4049" s="162" t="s">
        <v>7398</v>
      </c>
      <c r="C4049" s="166" t="s">
        <v>7399</v>
      </c>
      <c r="D4049" s="167">
        <v>489.87</v>
      </c>
      <c r="E4049" s="167">
        <v>155.24</v>
      </c>
      <c r="F4049" s="167">
        <v>309.72000000000003</v>
      </c>
      <c r="G4049" s="167">
        <v>24.91</v>
      </c>
      <c r="H4049" s="168">
        <v>3410.42</v>
      </c>
      <c r="I4049" s="168">
        <v>1785.27</v>
      </c>
      <c r="J4049" s="168">
        <v>1487.01</v>
      </c>
      <c r="K4049" s="168">
        <v>138.13999999999999</v>
      </c>
      <c r="L4049" s="43">
        <v>6.9618878477963539</v>
      </c>
      <c r="M4049" s="43">
        <v>11.500064416387529</v>
      </c>
      <c r="N4049" s="43">
        <v>4.8011429678419208</v>
      </c>
      <c r="O4049" s="43">
        <v>5.5455640305098353</v>
      </c>
      <c r="P4049" s="169"/>
      <c r="Q4049" s="169"/>
      <c r="R4049" s="169">
        <v>9</v>
      </c>
    </row>
    <row r="4050" spans="1:18" ht="24">
      <c r="A4050" s="165">
        <v>1245</v>
      </c>
      <c r="B4050" s="162" t="s">
        <v>7400</v>
      </c>
      <c r="C4050" s="166" t="s">
        <v>7401</v>
      </c>
      <c r="D4050" s="167">
        <v>990.77</v>
      </c>
      <c r="E4050" s="167">
        <v>181.31</v>
      </c>
      <c r="F4050" s="167">
        <v>737.56</v>
      </c>
      <c r="G4050" s="167">
        <v>71.900000000000006</v>
      </c>
      <c r="H4050" s="168">
        <v>6086.8</v>
      </c>
      <c r="I4050" s="168">
        <v>2085.08</v>
      </c>
      <c r="J4050" s="168">
        <v>3632.39</v>
      </c>
      <c r="K4050" s="168">
        <v>369.33</v>
      </c>
      <c r="L4050" s="43">
        <v>6.1435045469685194</v>
      </c>
      <c r="M4050" s="43">
        <v>11.500082731233798</v>
      </c>
      <c r="N4050" s="43">
        <v>4.924873908563371</v>
      </c>
      <c r="O4050" s="43">
        <v>5.1367176634214182</v>
      </c>
      <c r="P4050" s="169"/>
      <c r="Q4050" s="169"/>
      <c r="R4050" s="169">
        <v>9</v>
      </c>
    </row>
    <row r="4051" spans="1:18" ht="24">
      <c r="A4051" s="165">
        <v>1246</v>
      </c>
      <c r="B4051" s="162" t="s">
        <v>7402</v>
      </c>
      <c r="C4051" s="166" t="s">
        <v>7403</v>
      </c>
      <c r="D4051" s="167">
        <v>1516.42</v>
      </c>
      <c r="E4051" s="167">
        <v>276.11</v>
      </c>
      <c r="F4051" s="167">
        <v>1166.52</v>
      </c>
      <c r="G4051" s="167">
        <v>73.790000000000006</v>
      </c>
      <c r="H4051" s="168">
        <v>9371.3700000000008</v>
      </c>
      <c r="I4051" s="168">
        <v>3175.32</v>
      </c>
      <c r="J4051" s="168">
        <v>5804.99</v>
      </c>
      <c r="K4051" s="168">
        <v>391.06</v>
      </c>
      <c r="L4051" s="43">
        <v>6.1799303623006825</v>
      </c>
      <c r="M4051" s="43">
        <v>11.50019919597262</v>
      </c>
      <c r="N4051" s="43">
        <v>4.9763313102218563</v>
      </c>
      <c r="O4051" s="43">
        <v>5.2996340967610784</v>
      </c>
      <c r="P4051" s="169"/>
      <c r="Q4051" s="169"/>
      <c r="R4051" s="169">
        <v>9</v>
      </c>
    </row>
    <row r="4052" spans="1:18" ht="24">
      <c r="A4052" s="165">
        <v>1247</v>
      </c>
      <c r="B4052" s="162" t="s">
        <v>7404</v>
      </c>
      <c r="C4052" s="166" t="s">
        <v>7405</v>
      </c>
      <c r="D4052" s="167">
        <v>2227.25</v>
      </c>
      <c r="E4052" s="167">
        <v>341.28</v>
      </c>
      <c r="F4052" s="167">
        <v>1779.83</v>
      </c>
      <c r="G4052" s="167">
        <v>106.14</v>
      </c>
      <c r="H4052" s="168">
        <v>13489.8</v>
      </c>
      <c r="I4052" s="168">
        <v>3924.86</v>
      </c>
      <c r="J4052" s="168">
        <v>9026.65</v>
      </c>
      <c r="K4052" s="168">
        <v>538.29</v>
      </c>
      <c r="L4052" s="43">
        <v>6.0567067010887863</v>
      </c>
      <c r="M4052" s="43">
        <v>11.500410220346931</v>
      </c>
      <c r="N4052" s="43">
        <v>5.0716360551288604</v>
      </c>
      <c r="O4052" s="43">
        <v>5.071509327303561</v>
      </c>
      <c r="P4052" s="169"/>
      <c r="Q4052" s="169"/>
      <c r="R4052" s="169">
        <v>9</v>
      </c>
    </row>
    <row r="4053" spans="1:18" ht="24">
      <c r="A4053" s="165">
        <v>1248</v>
      </c>
      <c r="B4053" s="162" t="s">
        <v>7406</v>
      </c>
      <c r="C4053" s="166" t="s">
        <v>7407</v>
      </c>
      <c r="D4053" s="167">
        <v>2481.15</v>
      </c>
      <c r="E4053" s="167">
        <v>369.72</v>
      </c>
      <c r="F4053" s="167">
        <v>2004.73</v>
      </c>
      <c r="G4053" s="167">
        <v>106.7</v>
      </c>
      <c r="H4053" s="168">
        <v>14981.17</v>
      </c>
      <c r="I4053" s="168">
        <v>4251.9399999999996</v>
      </c>
      <c r="J4053" s="168">
        <v>10184.5</v>
      </c>
      <c r="K4053" s="168">
        <v>544.73</v>
      </c>
      <c r="L4053" s="43">
        <v>6.037994478366886</v>
      </c>
      <c r="M4053" s="43">
        <v>11.500432759926429</v>
      </c>
      <c r="N4053" s="43">
        <v>5.0802352436487705</v>
      </c>
      <c r="O4053" s="43">
        <v>5.1052483598875353</v>
      </c>
      <c r="P4053" s="169"/>
      <c r="Q4053" s="169"/>
      <c r="R4053" s="169">
        <v>9</v>
      </c>
    </row>
    <row r="4054" spans="1:18" ht="24">
      <c r="A4054" s="165">
        <v>1249</v>
      </c>
      <c r="B4054" s="162" t="s">
        <v>7408</v>
      </c>
      <c r="C4054" s="166" t="s">
        <v>7409</v>
      </c>
      <c r="D4054" s="167">
        <v>4372.72</v>
      </c>
      <c r="E4054" s="167">
        <v>514.29</v>
      </c>
      <c r="F4054" s="167">
        <v>3227.9</v>
      </c>
      <c r="G4054" s="167">
        <v>630.53</v>
      </c>
      <c r="H4054" s="168">
        <v>24941.15</v>
      </c>
      <c r="I4054" s="168">
        <v>5914.55</v>
      </c>
      <c r="J4054" s="168">
        <v>16571.599999999999</v>
      </c>
      <c r="K4054" s="168">
        <v>2455</v>
      </c>
      <c r="L4054" s="43">
        <v>5.7038067838782265</v>
      </c>
      <c r="M4054" s="43">
        <v>11.50041805207179</v>
      </c>
      <c r="N4054" s="43">
        <v>5.1338641221847015</v>
      </c>
      <c r="O4054" s="43">
        <v>3.8935498707436604</v>
      </c>
      <c r="P4054" s="169"/>
      <c r="Q4054" s="169"/>
      <c r="R4054" s="169">
        <v>9</v>
      </c>
    </row>
    <row r="4055" spans="1:18" ht="24">
      <c r="A4055" s="165">
        <v>1250</v>
      </c>
      <c r="B4055" s="162" t="s">
        <v>7410</v>
      </c>
      <c r="C4055" s="166" t="s">
        <v>7411</v>
      </c>
      <c r="D4055" s="167">
        <v>4934.37</v>
      </c>
      <c r="E4055" s="167">
        <v>596.05999999999995</v>
      </c>
      <c r="F4055" s="167">
        <v>3706.15</v>
      </c>
      <c r="G4055" s="167">
        <v>632.16</v>
      </c>
      <c r="H4055" s="168">
        <v>28362.52</v>
      </c>
      <c r="I4055" s="168">
        <v>6854.88</v>
      </c>
      <c r="J4055" s="168">
        <v>19033.900000000001</v>
      </c>
      <c r="K4055" s="168">
        <v>2473.7399999999998</v>
      </c>
      <c r="L4055" s="43">
        <v>5.7479516128705388</v>
      </c>
      <c r="M4055" s="43">
        <v>11.500318759856391</v>
      </c>
      <c r="N4055" s="43">
        <v>5.1357608299718036</v>
      </c>
      <c r="O4055" s="43">
        <v>3.9131548974943051</v>
      </c>
      <c r="P4055" s="169"/>
      <c r="Q4055" s="169"/>
      <c r="R4055" s="169">
        <v>9</v>
      </c>
    </row>
    <row r="4056" spans="1:18" ht="24">
      <c r="A4056" s="165">
        <v>1251</v>
      </c>
      <c r="B4056" s="162" t="s">
        <v>7412</v>
      </c>
      <c r="C4056" s="166" t="s">
        <v>7413</v>
      </c>
      <c r="D4056" s="167">
        <v>5632.88</v>
      </c>
      <c r="E4056" s="167">
        <v>729.96</v>
      </c>
      <c r="F4056" s="167">
        <v>4268.08</v>
      </c>
      <c r="G4056" s="167">
        <v>634.84</v>
      </c>
      <c r="H4056" s="168">
        <v>32741.439999999999</v>
      </c>
      <c r="I4056" s="168">
        <v>8394.85</v>
      </c>
      <c r="J4056" s="168">
        <v>21842.03</v>
      </c>
      <c r="K4056" s="168">
        <v>2504.56</v>
      </c>
      <c r="L4056" s="43">
        <v>5.8125576969507602</v>
      </c>
      <c r="M4056" s="43">
        <v>11.500424680804427</v>
      </c>
      <c r="N4056" s="43">
        <v>5.1175305992390019</v>
      </c>
      <c r="O4056" s="43">
        <v>3.9451830382458568</v>
      </c>
      <c r="P4056" s="169"/>
      <c r="Q4056" s="169"/>
      <c r="R4056" s="169">
        <v>9</v>
      </c>
    </row>
    <row r="4057" spans="1:18" ht="24">
      <c r="A4057" s="165">
        <v>1252</v>
      </c>
      <c r="B4057" s="162" t="s">
        <v>7414</v>
      </c>
      <c r="C4057" s="166" t="s">
        <v>7415</v>
      </c>
      <c r="D4057" s="167">
        <v>10921.43</v>
      </c>
      <c r="E4057" s="167">
        <v>1327.2</v>
      </c>
      <c r="F4057" s="167">
        <v>8396.91</v>
      </c>
      <c r="G4057" s="167">
        <v>1197.32</v>
      </c>
      <c r="H4057" s="168">
        <v>65279.82</v>
      </c>
      <c r="I4057" s="168">
        <v>15263.36</v>
      </c>
      <c r="J4057" s="168">
        <v>45325.7</v>
      </c>
      <c r="K4057" s="168">
        <v>4690.76</v>
      </c>
      <c r="L4057" s="43">
        <v>5.9772227629532031</v>
      </c>
      <c r="M4057" s="43">
        <v>11.50042194092827</v>
      </c>
      <c r="N4057" s="43">
        <v>5.3979023235928452</v>
      </c>
      <c r="O4057" s="43">
        <v>3.9177162329201889</v>
      </c>
      <c r="P4057" s="169"/>
      <c r="Q4057" s="169"/>
      <c r="R4057" s="169">
        <v>9</v>
      </c>
    </row>
    <row r="4058" spans="1:18" ht="24">
      <c r="A4058" s="165">
        <v>1253</v>
      </c>
      <c r="B4058" s="162" t="s">
        <v>7416</v>
      </c>
      <c r="C4058" s="166" t="s">
        <v>7417</v>
      </c>
      <c r="D4058" s="167">
        <v>12971.27</v>
      </c>
      <c r="E4058" s="167">
        <v>1647.15</v>
      </c>
      <c r="F4058" s="167">
        <v>10120.4</v>
      </c>
      <c r="G4058" s="167">
        <v>1203.72</v>
      </c>
      <c r="H4058" s="168">
        <v>78222.38</v>
      </c>
      <c r="I4058" s="168">
        <v>18942.919999999998</v>
      </c>
      <c r="J4058" s="168">
        <v>54515.1</v>
      </c>
      <c r="K4058" s="168">
        <v>4764.3599999999997</v>
      </c>
      <c r="L4058" s="43">
        <v>6.0304334116859799</v>
      </c>
      <c r="M4058" s="43">
        <v>11.500421940928268</v>
      </c>
      <c r="N4058" s="43">
        <v>5.386654677680724</v>
      </c>
      <c r="O4058" s="43">
        <v>3.9580301066693249</v>
      </c>
      <c r="P4058" s="169"/>
      <c r="Q4058" s="169"/>
      <c r="R4058" s="169">
        <v>9</v>
      </c>
    </row>
    <row r="4059" spans="1:18" ht="24">
      <c r="A4059" s="165">
        <v>1254</v>
      </c>
      <c r="B4059" s="162" t="s">
        <v>7418</v>
      </c>
      <c r="C4059" s="166" t="s">
        <v>7419</v>
      </c>
      <c r="D4059" s="167">
        <v>16362.05</v>
      </c>
      <c r="E4059" s="167">
        <v>2002.65</v>
      </c>
      <c r="F4059" s="167">
        <v>12400.89</v>
      </c>
      <c r="G4059" s="167">
        <v>1958.51</v>
      </c>
      <c r="H4059" s="168">
        <v>97534.61</v>
      </c>
      <c r="I4059" s="168">
        <v>23031.32</v>
      </c>
      <c r="J4059" s="168">
        <v>66892.91</v>
      </c>
      <c r="K4059" s="168">
        <v>7610.38</v>
      </c>
      <c r="L4059" s="43">
        <v>5.9610262772696574</v>
      </c>
      <c r="M4059" s="43">
        <v>11.50042194092827</v>
      </c>
      <c r="N4059" s="43">
        <v>5.3942023516054096</v>
      </c>
      <c r="O4059" s="43">
        <v>3.8858009405108986</v>
      </c>
      <c r="P4059" s="169"/>
      <c r="Q4059" s="169"/>
      <c r="R4059" s="169">
        <v>9</v>
      </c>
    </row>
    <row r="4060" spans="1:18" ht="24">
      <c r="A4060" s="165">
        <v>1255</v>
      </c>
      <c r="B4060" s="162" t="s">
        <v>7420</v>
      </c>
      <c r="C4060" s="166" t="s">
        <v>7421</v>
      </c>
      <c r="D4060" s="167">
        <v>15930.22</v>
      </c>
      <c r="E4060" s="167">
        <v>2334.4499999999998</v>
      </c>
      <c r="F4060" s="167">
        <v>11630.62</v>
      </c>
      <c r="G4060" s="167">
        <v>1965.15</v>
      </c>
      <c r="H4060" s="168">
        <v>96395.56</v>
      </c>
      <c r="I4060" s="168">
        <v>26847.16</v>
      </c>
      <c r="J4060" s="168">
        <v>61861.66</v>
      </c>
      <c r="K4060" s="168">
        <v>7686.74</v>
      </c>
      <c r="L4060" s="43">
        <v>6.0511129162058026</v>
      </c>
      <c r="M4060" s="43">
        <v>11.500421940928272</v>
      </c>
      <c r="N4060" s="43">
        <v>5.3188617631734161</v>
      </c>
      <c r="O4060" s="43">
        <v>3.911528382057349</v>
      </c>
      <c r="P4060" s="169"/>
      <c r="Q4060" s="169"/>
      <c r="R4060" s="169">
        <v>9</v>
      </c>
    </row>
    <row r="4061" spans="1:18" ht="24">
      <c r="A4061" s="165">
        <v>1256</v>
      </c>
      <c r="B4061" s="162" t="s">
        <v>7422</v>
      </c>
      <c r="C4061" s="166" t="s">
        <v>7423</v>
      </c>
      <c r="D4061" s="167">
        <v>24225.63</v>
      </c>
      <c r="E4061" s="167">
        <v>3069.15</v>
      </c>
      <c r="F4061" s="167">
        <v>18545.36</v>
      </c>
      <c r="G4061" s="167">
        <v>2611.12</v>
      </c>
      <c r="H4061" s="168">
        <v>144157.29</v>
      </c>
      <c r="I4061" s="168">
        <v>35296.519999999997</v>
      </c>
      <c r="J4061" s="168">
        <v>98668.12</v>
      </c>
      <c r="K4061" s="168">
        <v>10192.65</v>
      </c>
      <c r="L4061" s="43">
        <v>5.9506105723566325</v>
      </c>
      <c r="M4061" s="43">
        <v>11.500421940928268</v>
      </c>
      <c r="N4061" s="43">
        <v>5.3203669273608059</v>
      </c>
      <c r="O4061" s="43">
        <v>3.9035547964092037</v>
      </c>
      <c r="P4061" s="169"/>
      <c r="Q4061" s="169"/>
      <c r="R4061" s="169">
        <v>9</v>
      </c>
    </row>
    <row r="4062" spans="1:18" ht="24">
      <c r="A4062" s="165">
        <v>1257</v>
      </c>
      <c r="B4062" s="162" t="s">
        <v>7424</v>
      </c>
      <c r="C4062" s="166" t="s">
        <v>7425</v>
      </c>
      <c r="D4062" s="167">
        <v>1681.46</v>
      </c>
      <c r="E4062" s="167">
        <v>305.73</v>
      </c>
      <c r="F4062" s="167">
        <v>1270.31</v>
      </c>
      <c r="G4062" s="167">
        <v>105.42</v>
      </c>
      <c r="H4062" s="168">
        <v>10342.59</v>
      </c>
      <c r="I4062" s="168">
        <v>3516.02</v>
      </c>
      <c r="J4062" s="168">
        <v>6296.56</v>
      </c>
      <c r="K4062" s="168">
        <v>530.01</v>
      </c>
      <c r="L4062" s="43">
        <v>6.1509580959404326</v>
      </c>
      <c r="M4062" s="43">
        <v>11.500408857488633</v>
      </c>
      <c r="N4062" s="43">
        <v>4.9567113539214844</v>
      </c>
      <c r="O4062" s="43">
        <v>5.0276038702333521</v>
      </c>
      <c r="P4062" s="169"/>
      <c r="Q4062" s="169"/>
      <c r="R4062" s="169">
        <v>9</v>
      </c>
    </row>
    <row r="4063" spans="1:18" ht="24">
      <c r="A4063" s="165">
        <v>1258</v>
      </c>
      <c r="B4063" s="162" t="s">
        <v>7426</v>
      </c>
      <c r="C4063" s="166" t="s">
        <v>7427</v>
      </c>
      <c r="D4063" s="167">
        <v>2347.44</v>
      </c>
      <c r="E4063" s="167">
        <v>369.72</v>
      </c>
      <c r="F4063" s="167">
        <v>1863.28</v>
      </c>
      <c r="G4063" s="167">
        <v>114.44</v>
      </c>
      <c r="H4063" s="168">
        <v>14257.58</v>
      </c>
      <c r="I4063" s="168">
        <v>4251.9399999999996</v>
      </c>
      <c r="J4063" s="168">
        <v>9423.4</v>
      </c>
      <c r="K4063" s="168">
        <v>582.24</v>
      </c>
      <c r="L4063" s="43">
        <v>6.0736717445387312</v>
      </c>
      <c r="M4063" s="43">
        <v>11.500432759926429</v>
      </c>
      <c r="N4063" s="43">
        <v>5.0574256150444379</v>
      </c>
      <c r="O4063" s="43">
        <v>5.0877315623907728</v>
      </c>
      <c r="P4063" s="169"/>
      <c r="Q4063" s="169"/>
      <c r="R4063" s="169">
        <v>9</v>
      </c>
    </row>
    <row r="4064" spans="1:18" ht="24">
      <c r="A4064" s="165">
        <v>1259</v>
      </c>
      <c r="B4064" s="162" t="s">
        <v>7428</v>
      </c>
      <c r="C4064" s="166" t="s">
        <v>7429</v>
      </c>
      <c r="D4064" s="167">
        <v>2701.7</v>
      </c>
      <c r="E4064" s="167">
        <v>424.23</v>
      </c>
      <c r="F4064" s="167">
        <v>2146.4499999999998</v>
      </c>
      <c r="G4064" s="167">
        <v>131.02000000000001</v>
      </c>
      <c r="H4064" s="168">
        <v>16399.37</v>
      </c>
      <c r="I4064" s="168">
        <v>4878.82</v>
      </c>
      <c r="J4064" s="168">
        <v>10850.75</v>
      </c>
      <c r="K4064" s="168">
        <v>669.8</v>
      </c>
      <c r="L4064" s="43">
        <v>6.0700188770033678</v>
      </c>
      <c r="M4064" s="43">
        <v>11.500412512080709</v>
      </c>
      <c r="N4064" s="43">
        <v>5.0552074355330898</v>
      </c>
      <c r="O4064" s="43">
        <v>5.1121966112043955</v>
      </c>
      <c r="P4064" s="169"/>
      <c r="Q4064" s="169"/>
      <c r="R4064" s="169">
        <v>9</v>
      </c>
    </row>
    <row r="4065" spans="1:18" ht="24">
      <c r="A4065" s="165">
        <v>1260</v>
      </c>
      <c r="B4065" s="162" t="s">
        <v>7430</v>
      </c>
      <c r="C4065" s="166" t="s">
        <v>7431</v>
      </c>
      <c r="D4065" s="167">
        <v>4406.97</v>
      </c>
      <c r="E4065" s="167">
        <v>574.73</v>
      </c>
      <c r="F4065" s="167">
        <v>3167.23</v>
      </c>
      <c r="G4065" s="167">
        <v>665.01</v>
      </c>
      <c r="H4065" s="168">
        <v>25367.69</v>
      </c>
      <c r="I4065" s="168">
        <v>6609.58</v>
      </c>
      <c r="J4065" s="168">
        <v>16166.89</v>
      </c>
      <c r="K4065" s="168">
        <v>2591.2199999999998</v>
      </c>
      <c r="L4065" s="43">
        <v>5.7562656428339647</v>
      </c>
      <c r="M4065" s="43">
        <v>11.500321890278913</v>
      </c>
      <c r="N4065" s="43">
        <v>5.104425633755679</v>
      </c>
      <c r="O4065" s="43">
        <v>3.8965128343934676</v>
      </c>
      <c r="P4065" s="169"/>
      <c r="Q4065" s="169"/>
      <c r="R4065" s="169">
        <v>9</v>
      </c>
    </row>
    <row r="4066" spans="1:18" ht="24">
      <c r="A4066" s="165">
        <v>1261</v>
      </c>
      <c r="B4066" s="162" t="s">
        <v>7432</v>
      </c>
      <c r="C4066" s="166" t="s">
        <v>7433</v>
      </c>
      <c r="D4066" s="167">
        <v>5208.38</v>
      </c>
      <c r="E4066" s="167">
        <v>652.94000000000005</v>
      </c>
      <c r="F4066" s="167">
        <v>3888.86</v>
      </c>
      <c r="G4066" s="167">
        <v>666.58</v>
      </c>
      <c r="H4066" s="168">
        <v>30019.46</v>
      </c>
      <c r="I4066" s="168">
        <v>7509.03</v>
      </c>
      <c r="J4066" s="168">
        <v>19901.16</v>
      </c>
      <c r="K4066" s="168">
        <v>2609.27</v>
      </c>
      <c r="L4066" s="43">
        <v>5.7636846773852906</v>
      </c>
      <c r="M4066" s="43">
        <v>11.500336937544031</v>
      </c>
      <c r="N4066" s="43">
        <v>5.1174791584166055</v>
      </c>
      <c r="O4066" s="43">
        <v>3.9144138738035941</v>
      </c>
      <c r="P4066" s="169"/>
      <c r="Q4066" s="169"/>
      <c r="R4066" s="169">
        <v>9</v>
      </c>
    </row>
    <row r="4067" spans="1:18" ht="24">
      <c r="A4067" s="165">
        <v>1262</v>
      </c>
      <c r="B4067" s="162" t="s">
        <v>7434</v>
      </c>
      <c r="C4067" s="166" t="s">
        <v>7435</v>
      </c>
      <c r="D4067" s="167">
        <v>6014.32</v>
      </c>
      <c r="E4067" s="167">
        <v>820.02</v>
      </c>
      <c r="F4067" s="167">
        <v>4524.38</v>
      </c>
      <c r="G4067" s="167">
        <v>669.92</v>
      </c>
      <c r="H4067" s="168">
        <v>35126.39</v>
      </c>
      <c r="I4067" s="168">
        <v>9430.58</v>
      </c>
      <c r="J4067" s="168">
        <v>23048.13</v>
      </c>
      <c r="K4067" s="168">
        <v>2647.68</v>
      </c>
      <c r="L4067" s="43">
        <v>5.8404591042711393</v>
      </c>
      <c r="M4067" s="43">
        <v>11.500426818858077</v>
      </c>
      <c r="N4067" s="43">
        <v>5.0942073831110566</v>
      </c>
      <c r="O4067" s="43">
        <v>3.9522331024599953</v>
      </c>
      <c r="P4067" s="169"/>
      <c r="Q4067" s="169"/>
      <c r="R4067" s="169">
        <v>9</v>
      </c>
    </row>
    <row r="4068" spans="1:18" ht="24">
      <c r="A4068" s="165">
        <v>1263</v>
      </c>
      <c r="B4068" s="162" t="s">
        <v>7436</v>
      </c>
      <c r="C4068" s="166" t="s">
        <v>7437</v>
      </c>
      <c r="D4068" s="167">
        <v>11536.99</v>
      </c>
      <c r="E4068" s="167">
        <v>1504.95</v>
      </c>
      <c r="F4068" s="167">
        <v>8743.74</v>
      </c>
      <c r="G4068" s="167">
        <v>1288.3</v>
      </c>
      <c r="H4068" s="168">
        <v>69345.75</v>
      </c>
      <c r="I4068" s="168">
        <v>17307.560000000001</v>
      </c>
      <c r="J4068" s="168">
        <v>46971.57</v>
      </c>
      <c r="K4068" s="168">
        <v>5066.62</v>
      </c>
      <c r="L4068" s="43">
        <v>6.0107315686327194</v>
      </c>
      <c r="M4068" s="43">
        <v>11.50042194092827</v>
      </c>
      <c r="N4068" s="43">
        <v>5.3720227271167715</v>
      </c>
      <c r="O4068" s="43">
        <v>3.9327951564076691</v>
      </c>
      <c r="P4068" s="169"/>
      <c r="Q4068" s="169"/>
      <c r="R4068" s="169">
        <v>9</v>
      </c>
    </row>
    <row r="4069" spans="1:18" ht="24">
      <c r="A4069" s="165">
        <v>1264</v>
      </c>
      <c r="B4069" s="162" t="s">
        <v>7438</v>
      </c>
      <c r="C4069" s="166" t="s">
        <v>7439</v>
      </c>
      <c r="D4069" s="167">
        <v>13655.22</v>
      </c>
      <c r="E4069" s="167">
        <v>1872.3</v>
      </c>
      <c r="F4069" s="167">
        <v>10487.27</v>
      </c>
      <c r="G4069" s="167">
        <v>1295.6500000000001</v>
      </c>
      <c r="H4069" s="168">
        <v>82927.75</v>
      </c>
      <c r="I4069" s="168">
        <v>21532.240000000002</v>
      </c>
      <c r="J4069" s="168">
        <v>56244.36</v>
      </c>
      <c r="K4069" s="168">
        <v>5151.1499999999996</v>
      </c>
      <c r="L4069" s="43">
        <v>6.0729706295467967</v>
      </c>
      <c r="M4069" s="43">
        <v>11.500421940928272</v>
      </c>
      <c r="N4069" s="43">
        <v>5.3631078440814433</v>
      </c>
      <c r="O4069" s="43">
        <v>3.9757264693397132</v>
      </c>
      <c r="P4069" s="169"/>
      <c r="Q4069" s="169"/>
      <c r="R4069" s="169">
        <v>9</v>
      </c>
    </row>
    <row r="4070" spans="1:18" ht="24">
      <c r="A4070" s="165">
        <v>1265</v>
      </c>
      <c r="B4070" s="162" t="s">
        <v>7440</v>
      </c>
      <c r="C4070" s="166" t="s">
        <v>7441</v>
      </c>
      <c r="D4070" s="167">
        <v>16697.14</v>
      </c>
      <c r="E4070" s="167">
        <v>2595.15</v>
      </c>
      <c r="F4070" s="167">
        <v>12116.5</v>
      </c>
      <c r="G4070" s="167">
        <v>1985.49</v>
      </c>
      <c r="H4070" s="168">
        <v>101781.01</v>
      </c>
      <c r="I4070" s="168">
        <v>29845.32</v>
      </c>
      <c r="J4070" s="168">
        <v>64133.39</v>
      </c>
      <c r="K4070" s="168">
        <v>7802.3</v>
      </c>
      <c r="L4070" s="43">
        <v>6.0957151943386707</v>
      </c>
      <c r="M4070" s="43">
        <v>11.50042194092827</v>
      </c>
      <c r="N4070" s="43">
        <v>5.2930623529897245</v>
      </c>
      <c r="O4070" s="43">
        <v>3.9296596809855502</v>
      </c>
      <c r="P4070" s="169"/>
      <c r="Q4070" s="169"/>
      <c r="R4070" s="169">
        <v>9</v>
      </c>
    </row>
    <row r="4071" spans="1:18" ht="24">
      <c r="A4071" s="165">
        <v>1266</v>
      </c>
      <c r="B4071" s="162" t="s">
        <v>7442</v>
      </c>
      <c r="C4071" s="166" t="s">
        <v>7443</v>
      </c>
      <c r="D4071" s="167">
        <v>27092.46</v>
      </c>
      <c r="E4071" s="167">
        <v>2772.9</v>
      </c>
      <c r="F4071" s="167">
        <v>21714.36</v>
      </c>
      <c r="G4071" s="167">
        <v>2605.1999999999998</v>
      </c>
      <c r="H4071" s="168">
        <v>153201.79999999999</v>
      </c>
      <c r="I4071" s="168">
        <v>31889.52</v>
      </c>
      <c r="J4071" s="168">
        <v>111187.71</v>
      </c>
      <c r="K4071" s="168">
        <v>10124.57</v>
      </c>
      <c r="L4071" s="43">
        <v>5.6547762735462186</v>
      </c>
      <c r="M4071" s="43">
        <v>11.50042194092827</v>
      </c>
      <c r="N4071" s="43">
        <v>5.1204691273424592</v>
      </c>
      <c r="O4071" s="43">
        <v>3.8862927990173501</v>
      </c>
      <c r="P4071" s="169"/>
      <c r="Q4071" s="169"/>
      <c r="R4071" s="169">
        <v>9</v>
      </c>
    </row>
    <row r="4072" spans="1:18" ht="24">
      <c r="A4072" s="165">
        <v>1267</v>
      </c>
      <c r="B4072" s="162" t="s">
        <v>7444</v>
      </c>
      <c r="C4072" s="166" t="s">
        <v>7445</v>
      </c>
      <c r="D4072" s="167">
        <v>1834.19</v>
      </c>
      <c r="E4072" s="167">
        <v>361.43</v>
      </c>
      <c r="F4072" s="167">
        <v>1358.48</v>
      </c>
      <c r="G4072" s="167">
        <v>114.28</v>
      </c>
      <c r="H4072" s="168">
        <v>11444.3</v>
      </c>
      <c r="I4072" s="168">
        <v>4156.54</v>
      </c>
      <c r="J4072" s="168">
        <v>6707.36</v>
      </c>
      <c r="K4072" s="168">
        <v>580.4</v>
      </c>
      <c r="L4072" s="43">
        <v>6.2394299391011829</v>
      </c>
      <c r="M4072" s="43">
        <v>11.500262844810889</v>
      </c>
      <c r="N4072" s="43">
        <v>4.9374006242270774</v>
      </c>
      <c r="O4072" s="43">
        <v>5.0787539376968844</v>
      </c>
      <c r="P4072" s="169"/>
      <c r="Q4072" s="169"/>
      <c r="R4072" s="169">
        <v>9</v>
      </c>
    </row>
    <row r="4073" spans="1:18" ht="24">
      <c r="A4073" s="165">
        <v>1268</v>
      </c>
      <c r="B4073" s="162" t="s">
        <v>7446</v>
      </c>
      <c r="C4073" s="166" t="s">
        <v>7447</v>
      </c>
      <c r="D4073" s="167">
        <v>2545.39</v>
      </c>
      <c r="E4073" s="167">
        <v>425.42</v>
      </c>
      <c r="F4073" s="167">
        <v>1996.67</v>
      </c>
      <c r="G4073" s="167">
        <v>123.3</v>
      </c>
      <c r="H4073" s="168">
        <v>15569.97</v>
      </c>
      <c r="I4073" s="168">
        <v>4892.45</v>
      </c>
      <c r="J4073" s="168">
        <v>10044.879999999999</v>
      </c>
      <c r="K4073" s="168">
        <v>632.64</v>
      </c>
      <c r="L4073" s="43">
        <v>6.1169290364148523</v>
      </c>
      <c r="M4073" s="43">
        <v>11.50028207418551</v>
      </c>
      <c r="N4073" s="43">
        <v>5.0308163091547424</v>
      </c>
      <c r="O4073" s="43">
        <v>5.1309002433090027</v>
      </c>
      <c r="P4073" s="169"/>
      <c r="Q4073" s="169"/>
      <c r="R4073" s="169">
        <v>9</v>
      </c>
    </row>
    <row r="4074" spans="1:18" ht="24">
      <c r="A4074" s="165">
        <v>1269</v>
      </c>
      <c r="B4074" s="162" t="s">
        <v>7448</v>
      </c>
      <c r="C4074" s="166" t="s">
        <v>7449</v>
      </c>
      <c r="D4074" s="167">
        <v>2916.75</v>
      </c>
      <c r="E4074" s="167">
        <v>478.74</v>
      </c>
      <c r="F4074" s="167">
        <v>2290.42</v>
      </c>
      <c r="G4074" s="167">
        <v>147.59</v>
      </c>
      <c r="H4074" s="168">
        <v>17790.599999999999</v>
      </c>
      <c r="I4074" s="168">
        <v>5505.71</v>
      </c>
      <c r="J4074" s="168">
        <v>11527.52</v>
      </c>
      <c r="K4074" s="168">
        <v>757.37</v>
      </c>
      <c r="L4074" s="43">
        <v>6.0994600154281304</v>
      </c>
      <c r="M4074" s="43">
        <v>11.500417763295317</v>
      </c>
      <c r="N4074" s="43">
        <v>5.0329284585359888</v>
      </c>
      <c r="O4074" s="43">
        <v>5.1315807304017884</v>
      </c>
      <c r="P4074" s="169"/>
      <c r="Q4074" s="169"/>
      <c r="R4074" s="169">
        <v>9</v>
      </c>
    </row>
    <row r="4075" spans="1:18" ht="24">
      <c r="A4075" s="165">
        <v>1270</v>
      </c>
      <c r="B4075" s="162" t="s">
        <v>7450</v>
      </c>
      <c r="C4075" s="166" t="s">
        <v>7451</v>
      </c>
      <c r="D4075" s="167">
        <v>4672.1099999999997</v>
      </c>
      <c r="E4075" s="167">
        <v>641.09</v>
      </c>
      <c r="F4075" s="167">
        <v>3356.94</v>
      </c>
      <c r="G4075" s="167">
        <v>674.08</v>
      </c>
      <c r="H4075" s="168">
        <v>27075.5</v>
      </c>
      <c r="I4075" s="168">
        <v>7372.75</v>
      </c>
      <c r="J4075" s="168">
        <v>17058.72</v>
      </c>
      <c r="K4075" s="168">
        <v>2644.03</v>
      </c>
      <c r="L4075" s="43">
        <v>5.7951332481469828</v>
      </c>
      <c r="M4075" s="43">
        <v>11.500335366329219</v>
      </c>
      <c r="N4075" s="43">
        <v>5.0816279111333538</v>
      </c>
      <c r="O4075" s="43">
        <v>3.9224276050320439</v>
      </c>
      <c r="P4075" s="169"/>
      <c r="Q4075" s="169"/>
      <c r="R4075" s="169">
        <v>9</v>
      </c>
    </row>
    <row r="4076" spans="1:18" ht="24">
      <c r="A4076" s="165">
        <v>1271</v>
      </c>
      <c r="B4076" s="162" t="s">
        <v>7452</v>
      </c>
      <c r="C4076" s="166" t="s">
        <v>7453</v>
      </c>
      <c r="D4076" s="167">
        <v>5541.48</v>
      </c>
      <c r="E4076" s="167">
        <v>752.48</v>
      </c>
      <c r="F4076" s="167">
        <v>4112.6899999999996</v>
      </c>
      <c r="G4076" s="167">
        <v>676.31</v>
      </c>
      <c r="H4076" s="168">
        <v>32267.439999999999</v>
      </c>
      <c r="I4076" s="168">
        <v>8653.7800000000007</v>
      </c>
      <c r="J4076" s="168">
        <v>20943.98</v>
      </c>
      <c r="K4076" s="168">
        <v>2669.68</v>
      </c>
      <c r="L4076" s="43">
        <v>5.8228920793722976</v>
      </c>
      <c r="M4076" s="43">
        <v>11.500345524133532</v>
      </c>
      <c r="N4076" s="43">
        <v>5.0925258164364449</v>
      </c>
      <c r="O4076" s="43">
        <v>3.9474205615767919</v>
      </c>
      <c r="P4076" s="169"/>
      <c r="Q4076" s="169"/>
      <c r="R4076" s="169">
        <v>9</v>
      </c>
    </row>
    <row r="4077" spans="1:18" ht="24">
      <c r="A4077" s="165">
        <v>1272</v>
      </c>
      <c r="B4077" s="162" t="s">
        <v>7454</v>
      </c>
      <c r="C4077" s="166" t="s">
        <v>7455</v>
      </c>
      <c r="D4077" s="167">
        <v>6395.26</v>
      </c>
      <c r="E4077" s="167">
        <v>942.08</v>
      </c>
      <c r="F4077" s="167">
        <v>4773.08</v>
      </c>
      <c r="G4077" s="167">
        <v>680.1</v>
      </c>
      <c r="H4077" s="168">
        <v>37754.33</v>
      </c>
      <c r="I4077" s="168">
        <v>10834.26</v>
      </c>
      <c r="J4077" s="168">
        <v>24206.81</v>
      </c>
      <c r="K4077" s="168">
        <v>2713.26</v>
      </c>
      <c r="L4077" s="43">
        <v>5.9034863320646851</v>
      </c>
      <c r="M4077" s="43">
        <v>11.500360903532609</v>
      </c>
      <c r="N4077" s="43">
        <v>5.07152823753216</v>
      </c>
      <c r="O4077" s="43">
        <v>3.9895015438906043</v>
      </c>
      <c r="P4077" s="169"/>
      <c r="Q4077" s="169"/>
      <c r="R4077" s="169">
        <v>9</v>
      </c>
    </row>
    <row r="4078" spans="1:18" ht="24">
      <c r="A4078" s="165">
        <v>1273</v>
      </c>
      <c r="B4078" s="162" t="s">
        <v>7456</v>
      </c>
      <c r="C4078" s="166" t="s">
        <v>7457</v>
      </c>
      <c r="D4078" s="167">
        <v>12075.06</v>
      </c>
      <c r="E4078" s="167">
        <v>1706.4</v>
      </c>
      <c r="F4078" s="167">
        <v>9068.59</v>
      </c>
      <c r="G4078" s="167">
        <v>1300.07</v>
      </c>
      <c r="H4078" s="168">
        <v>73265.84</v>
      </c>
      <c r="I4078" s="168">
        <v>19624.32</v>
      </c>
      <c r="J4078" s="168">
        <v>48491.040000000001</v>
      </c>
      <c r="K4078" s="168">
        <v>5150.4799999999996</v>
      </c>
      <c r="L4078" s="43">
        <v>6.0675342399954948</v>
      </c>
      <c r="M4078" s="43">
        <v>11.50042194092827</v>
      </c>
      <c r="N4078" s="43">
        <v>5.3471421687384701</v>
      </c>
      <c r="O4078" s="43">
        <v>3.9616943703031375</v>
      </c>
      <c r="P4078" s="169"/>
      <c r="Q4078" s="169"/>
      <c r="R4078" s="169">
        <v>9</v>
      </c>
    </row>
    <row r="4079" spans="1:18" ht="24">
      <c r="A4079" s="165">
        <v>1274</v>
      </c>
      <c r="B4079" s="162" t="s">
        <v>7458</v>
      </c>
      <c r="C4079" s="166" t="s">
        <v>7459</v>
      </c>
      <c r="D4079" s="167">
        <v>14425.27</v>
      </c>
      <c r="E4079" s="167">
        <v>2121.15</v>
      </c>
      <c r="F4079" s="167">
        <v>10995.76</v>
      </c>
      <c r="G4079" s="167">
        <v>1308.3599999999999</v>
      </c>
      <c r="H4079" s="168">
        <v>88261.34</v>
      </c>
      <c r="I4079" s="168">
        <v>24394.12</v>
      </c>
      <c r="J4079" s="168">
        <v>58621.41</v>
      </c>
      <c r="K4079" s="168">
        <v>5245.81</v>
      </c>
      <c r="L4079" s="43">
        <v>6.1185225649155957</v>
      </c>
      <c r="M4079" s="43">
        <v>11.50042194092827</v>
      </c>
      <c r="N4079" s="43">
        <v>5.3312740547265491</v>
      </c>
      <c r="O4079" s="43">
        <v>4.0094545843651597</v>
      </c>
      <c r="P4079" s="169"/>
      <c r="Q4079" s="169"/>
      <c r="R4079" s="169">
        <v>9</v>
      </c>
    </row>
    <row r="4080" spans="1:18" ht="24">
      <c r="A4080" s="165">
        <v>1275</v>
      </c>
      <c r="B4080" s="162" t="s">
        <v>7460</v>
      </c>
      <c r="C4080" s="166" t="s">
        <v>7461</v>
      </c>
      <c r="D4080" s="167">
        <v>17818.849999999999</v>
      </c>
      <c r="E4080" s="167">
        <v>2524.0500000000002</v>
      </c>
      <c r="F4080" s="167">
        <v>13302.99</v>
      </c>
      <c r="G4080" s="167">
        <v>1991.81</v>
      </c>
      <c r="H4080" s="168">
        <v>107935.76</v>
      </c>
      <c r="I4080" s="168">
        <v>29027.64</v>
      </c>
      <c r="J4080" s="168">
        <v>71084.639999999999</v>
      </c>
      <c r="K4080" s="168">
        <v>7823.48</v>
      </c>
      <c r="L4080" s="43">
        <v>6.0573920314722898</v>
      </c>
      <c r="M4080" s="43">
        <v>11.50042194092827</v>
      </c>
      <c r="N4080" s="43">
        <v>5.3435084894448543</v>
      </c>
      <c r="O4080" s="43">
        <v>3.9278244410862482</v>
      </c>
      <c r="P4080" s="169"/>
      <c r="Q4080" s="169"/>
      <c r="R4080" s="169">
        <v>9</v>
      </c>
    </row>
    <row r="4081" spans="1:18" ht="24">
      <c r="A4081" s="165">
        <v>1276</v>
      </c>
      <c r="B4081" s="162" t="s">
        <v>7462</v>
      </c>
      <c r="C4081" s="166" t="s">
        <v>7463</v>
      </c>
      <c r="D4081" s="167">
        <v>21942.39</v>
      </c>
      <c r="E4081" s="167">
        <v>3969.75</v>
      </c>
      <c r="F4081" s="167">
        <v>15945.59</v>
      </c>
      <c r="G4081" s="167">
        <v>2027.05</v>
      </c>
      <c r="H4081" s="168">
        <v>137310.66</v>
      </c>
      <c r="I4081" s="168">
        <v>45653.8</v>
      </c>
      <c r="J4081" s="168">
        <v>83473.34</v>
      </c>
      <c r="K4081" s="168">
        <v>8183.52</v>
      </c>
      <c r="L4081" s="43">
        <v>6.2577804879049186</v>
      </c>
      <c r="M4081" s="43">
        <v>11.500421940928272</v>
      </c>
      <c r="N4081" s="43">
        <v>5.2348856329555691</v>
      </c>
      <c r="O4081" s="43">
        <v>4.0371574455489512</v>
      </c>
      <c r="P4081" s="169"/>
      <c r="Q4081" s="169"/>
      <c r="R4081" s="169">
        <v>9</v>
      </c>
    </row>
    <row r="4082" spans="1:18" ht="24">
      <c r="A4082" s="165">
        <v>1277</v>
      </c>
      <c r="B4082" s="162" t="s">
        <v>7464</v>
      </c>
      <c r="C4082" s="166" t="s">
        <v>7465</v>
      </c>
      <c r="D4082" s="167">
        <v>35552.83</v>
      </c>
      <c r="E4082" s="167">
        <v>4206.75</v>
      </c>
      <c r="F4082" s="167">
        <v>28057.49</v>
      </c>
      <c r="G4082" s="167">
        <v>3288.59</v>
      </c>
      <c r="H4082" s="168">
        <v>202059.01</v>
      </c>
      <c r="I4082" s="168">
        <v>48379.4</v>
      </c>
      <c r="J4082" s="168">
        <v>140798.28</v>
      </c>
      <c r="K4082" s="168">
        <v>12881.33</v>
      </c>
      <c r="L4082" s="43">
        <v>5.6833453201897006</v>
      </c>
      <c r="M4082" s="43">
        <v>11.50042194092827</v>
      </c>
      <c r="N4082" s="43">
        <v>5.018206546629794</v>
      </c>
      <c r="O4082" s="43">
        <v>3.9169765765875342</v>
      </c>
      <c r="P4082" s="169"/>
      <c r="Q4082" s="169"/>
      <c r="R4082" s="169">
        <v>9</v>
      </c>
    </row>
    <row r="4083" spans="1:18" ht="24">
      <c r="A4083" s="165">
        <v>1278</v>
      </c>
      <c r="B4083" s="162" t="s">
        <v>7466</v>
      </c>
      <c r="C4083" s="166" t="s">
        <v>7467</v>
      </c>
      <c r="D4083" s="167">
        <v>2082.52</v>
      </c>
      <c r="E4083" s="167">
        <v>417.12</v>
      </c>
      <c r="F4083" s="167">
        <v>1511.29</v>
      </c>
      <c r="G4083" s="167">
        <v>154.11000000000001</v>
      </c>
      <c r="H4083" s="168">
        <v>13011.11</v>
      </c>
      <c r="I4083" s="168">
        <v>4797.0600000000004</v>
      </c>
      <c r="J4083" s="168">
        <v>7433.31</v>
      </c>
      <c r="K4083" s="168">
        <v>780.74</v>
      </c>
      <c r="L4083" s="43">
        <v>6.2477719301615355</v>
      </c>
      <c r="M4083" s="43">
        <v>11.500431530494822</v>
      </c>
      <c r="N4083" s="43">
        <v>4.9185199399188777</v>
      </c>
      <c r="O4083" s="43">
        <v>5.0661216014535064</v>
      </c>
      <c r="P4083" s="169"/>
      <c r="Q4083" s="169"/>
      <c r="R4083" s="169">
        <v>9</v>
      </c>
    </row>
    <row r="4084" spans="1:18" ht="24">
      <c r="A4084" s="165">
        <v>1279</v>
      </c>
      <c r="B4084" s="162" t="s">
        <v>7468</v>
      </c>
      <c r="C4084" s="166" t="s">
        <v>7469</v>
      </c>
      <c r="D4084" s="167">
        <v>2806.14</v>
      </c>
      <c r="E4084" s="167">
        <v>483.48</v>
      </c>
      <c r="F4084" s="167">
        <v>2151.7399999999998</v>
      </c>
      <c r="G4084" s="167">
        <v>170.92</v>
      </c>
      <c r="H4084" s="168">
        <v>17212.64</v>
      </c>
      <c r="I4084" s="168">
        <v>5560.22</v>
      </c>
      <c r="J4084" s="168">
        <v>10781.35</v>
      </c>
      <c r="K4084" s="168">
        <v>871.07</v>
      </c>
      <c r="L4084" s="43">
        <v>6.1339206169328691</v>
      </c>
      <c r="M4084" s="43">
        <v>11.500413667576735</v>
      </c>
      <c r="N4084" s="43">
        <v>5.0105263647094915</v>
      </c>
      <c r="O4084" s="43">
        <v>5.0963608705827292</v>
      </c>
      <c r="P4084" s="169"/>
      <c r="Q4084" s="169"/>
      <c r="R4084" s="169">
        <v>9</v>
      </c>
    </row>
    <row r="4085" spans="1:18" ht="24">
      <c r="A4085" s="165">
        <v>1280</v>
      </c>
      <c r="B4085" s="162" t="s">
        <v>7470</v>
      </c>
      <c r="C4085" s="166" t="s">
        <v>7471</v>
      </c>
      <c r="D4085" s="167">
        <v>3203.93</v>
      </c>
      <c r="E4085" s="167">
        <v>549.84</v>
      </c>
      <c r="F4085" s="167">
        <v>2466.35</v>
      </c>
      <c r="G4085" s="167">
        <v>187.74</v>
      </c>
      <c r="H4085" s="168">
        <v>19647.97</v>
      </c>
      <c r="I4085" s="168">
        <v>6323.39</v>
      </c>
      <c r="J4085" s="168">
        <v>12363.19</v>
      </c>
      <c r="K4085" s="168">
        <v>961.39</v>
      </c>
      <c r="L4085" s="43">
        <v>6.1324591985467851</v>
      </c>
      <c r="M4085" s="43">
        <v>11.500418303506475</v>
      </c>
      <c r="N4085" s="43">
        <v>5.0127475824599106</v>
      </c>
      <c r="O4085" s="43">
        <v>5.1208586342814524</v>
      </c>
      <c r="P4085" s="169"/>
      <c r="Q4085" s="169"/>
      <c r="R4085" s="169">
        <v>9</v>
      </c>
    </row>
    <row r="4086" spans="1:18" ht="24">
      <c r="A4086" s="165">
        <v>1281</v>
      </c>
      <c r="B4086" s="162" t="s">
        <v>7472</v>
      </c>
      <c r="C4086" s="166" t="s">
        <v>7473</v>
      </c>
      <c r="D4086" s="167">
        <v>4987.47</v>
      </c>
      <c r="E4086" s="167">
        <v>725.22</v>
      </c>
      <c r="F4086" s="167">
        <v>3571</v>
      </c>
      <c r="G4086" s="167">
        <v>691.25</v>
      </c>
      <c r="H4086" s="168">
        <v>29140.76</v>
      </c>
      <c r="I4086" s="168">
        <v>8340.34</v>
      </c>
      <c r="J4086" s="168">
        <v>18062.04</v>
      </c>
      <c r="K4086" s="168">
        <v>2738.38</v>
      </c>
      <c r="L4086" s="43">
        <v>5.842794041868923</v>
      </c>
      <c r="M4086" s="43">
        <v>11.500427456495959</v>
      </c>
      <c r="N4086" s="43">
        <v>5.0579781573788853</v>
      </c>
      <c r="O4086" s="43">
        <v>3.9614900542495479</v>
      </c>
      <c r="P4086" s="169"/>
      <c r="Q4086" s="169"/>
      <c r="R4086" s="169">
        <v>9</v>
      </c>
    </row>
    <row r="4087" spans="1:18" ht="24">
      <c r="A4087" s="165">
        <v>1282</v>
      </c>
      <c r="B4087" s="162" t="s">
        <v>7474</v>
      </c>
      <c r="C4087" s="166" t="s">
        <v>7475</v>
      </c>
      <c r="D4087" s="167">
        <v>5905.11</v>
      </c>
      <c r="E4087" s="167">
        <v>848.46</v>
      </c>
      <c r="F4087" s="167">
        <v>4362.93</v>
      </c>
      <c r="G4087" s="167">
        <v>693.72</v>
      </c>
      <c r="H4087" s="168">
        <v>34640.28</v>
      </c>
      <c r="I4087" s="168">
        <v>9757.65</v>
      </c>
      <c r="J4087" s="168">
        <v>22115.84</v>
      </c>
      <c r="K4087" s="168">
        <v>2766.79</v>
      </c>
      <c r="L4087" s="43">
        <v>5.8661532130646172</v>
      </c>
      <c r="M4087" s="43">
        <v>11.500424298140159</v>
      </c>
      <c r="N4087" s="43">
        <v>5.0690338831931747</v>
      </c>
      <c r="O4087" s="43">
        <v>3.9883382344461742</v>
      </c>
      <c r="P4087" s="169"/>
      <c r="Q4087" s="169"/>
      <c r="R4087" s="169">
        <v>9</v>
      </c>
    </row>
    <row r="4088" spans="1:18" ht="24">
      <c r="A4088" s="165">
        <v>1283</v>
      </c>
      <c r="B4088" s="162" t="s">
        <v>7476</v>
      </c>
      <c r="C4088" s="166" t="s">
        <v>7477</v>
      </c>
      <c r="D4088" s="167">
        <v>6811.02</v>
      </c>
      <c r="E4088" s="167">
        <v>1041.6199999999999</v>
      </c>
      <c r="F4088" s="167">
        <v>5071.82</v>
      </c>
      <c r="G4088" s="167">
        <v>697.58</v>
      </c>
      <c r="H4088" s="168">
        <v>40398.839999999997</v>
      </c>
      <c r="I4088" s="168">
        <v>11979.01</v>
      </c>
      <c r="J4088" s="168">
        <v>25608.65</v>
      </c>
      <c r="K4088" s="168">
        <v>2811.18</v>
      </c>
      <c r="L4088" s="43">
        <v>5.9313935357699723</v>
      </c>
      <c r="M4088" s="43">
        <v>11.500364816343774</v>
      </c>
      <c r="N4088" s="43">
        <v>5.0492032445946435</v>
      </c>
      <c r="O4088" s="43">
        <v>4.0299033802574611</v>
      </c>
      <c r="P4088" s="169"/>
      <c r="Q4088" s="169"/>
      <c r="R4088" s="169">
        <v>9</v>
      </c>
    </row>
    <row r="4089" spans="1:18" ht="24">
      <c r="A4089" s="165">
        <v>1284</v>
      </c>
      <c r="B4089" s="162" t="s">
        <v>7478</v>
      </c>
      <c r="C4089" s="166" t="s">
        <v>7479</v>
      </c>
      <c r="D4089" s="167">
        <v>12706.49</v>
      </c>
      <c r="E4089" s="167">
        <v>1907.85</v>
      </c>
      <c r="F4089" s="167">
        <v>9494.5400000000009</v>
      </c>
      <c r="G4089" s="167">
        <v>1304.0999999999999</v>
      </c>
      <c r="H4089" s="168">
        <v>77643.48</v>
      </c>
      <c r="I4089" s="168">
        <v>21941.08</v>
      </c>
      <c r="J4089" s="168">
        <v>50505.58</v>
      </c>
      <c r="K4089" s="168">
        <v>5196.82</v>
      </c>
      <c r="L4089" s="43">
        <v>6.1105372136601055</v>
      </c>
      <c r="M4089" s="43">
        <v>11.500421940928272</v>
      </c>
      <c r="N4089" s="43">
        <v>5.3194341168713803</v>
      </c>
      <c r="O4089" s="43">
        <v>3.9849858139713215</v>
      </c>
      <c r="P4089" s="169"/>
      <c r="Q4089" s="169"/>
      <c r="R4089" s="169">
        <v>9</v>
      </c>
    </row>
    <row r="4090" spans="1:18" ht="24">
      <c r="A4090" s="165">
        <v>1285</v>
      </c>
      <c r="B4090" s="162" t="s">
        <v>7480</v>
      </c>
      <c r="C4090" s="166" t="s">
        <v>7481</v>
      </c>
      <c r="D4090" s="167">
        <v>15137.2</v>
      </c>
      <c r="E4090" s="167">
        <v>2405.5500000000002</v>
      </c>
      <c r="F4090" s="167">
        <v>11417.6</v>
      </c>
      <c r="G4090" s="167">
        <v>1314.05</v>
      </c>
      <c r="H4090" s="168">
        <v>93528.09</v>
      </c>
      <c r="I4090" s="168">
        <v>27664.84</v>
      </c>
      <c r="J4090" s="168">
        <v>60552</v>
      </c>
      <c r="K4090" s="168">
        <v>5311.25</v>
      </c>
      <c r="L4090" s="43">
        <v>6.1786915677932503</v>
      </c>
      <c r="M4090" s="43">
        <v>11.50042194092827</v>
      </c>
      <c r="N4090" s="43">
        <v>5.3033912556053808</v>
      </c>
      <c r="O4090" s="43">
        <v>4.0418933830523951</v>
      </c>
      <c r="P4090" s="169"/>
      <c r="Q4090" s="169"/>
      <c r="R4090" s="169">
        <v>9</v>
      </c>
    </row>
    <row r="4091" spans="1:18" ht="24">
      <c r="A4091" s="165">
        <v>1286</v>
      </c>
      <c r="B4091" s="162" t="s">
        <v>7482</v>
      </c>
      <c r="C4091" s="166" t="s">
        <v>7483</v>
      </c>
      <c r="D4091" s="167">
        <v>18917.580000000002</v>
      </c>
      <c r="E4091" s="167">
        <v>2903.25</v>
      </c>
      <c r="F4091" s="167">
        <v>13977.64</v>
      </c>
      <c r="G4091" s="167">
        <v>2036.69</v>
      </c>
      <c r="H4091" s="168">
        <v>115734.75</v>
      </c>
      <c r="I4091" s="168">
        <v>33388.6</v>
      </c>
      <c r="J4091" s="168">
        <v>74257.86</v>
      </c>
      <c r="K4091" s="168">
        <v>8088.29</v>
      </c>
      <c r="L4091" s="43">
        <v>6.1178411826459831</v>
      </c>
      <c r="M4091" s="43">
        <v>11.50042194092827</v>
      </c>
      <c r="N4091" s="43">
        <v>5.3126178668215811</v>
      </c>
      <c r="O4091" s="43">
        <v>3.9712916545964285</v>
      </c>
      <c r="P4091" s="169"/>
      <c r="Q4091" s="169"/>
      <c r="R4091" s="169">
        <v>9</v>
      </c>
    </row>
    <row r="4092" spans="1:18" ht="24">
      <c r="A4092" s="165">
        <v>1287</v>
      </c>
      <c r="B4092" s="162" t="s">
        <v>7484</v>
      </c>
      <c r="C4092" s="166" t="s">
        <v>7485</v>
      </c>
      <c r="D4092" s="167">
        <v>23198.560000000001</v>
      </c>
      <c r="E4092" s="167">
        <v>4396.3500000000004</v>
      </c>
      <c r="F4092" s="167">
        <v>16735.66</v>
      </c>
      <c r="G4092" s="167">
        <v>2066.5500000000002</v>
      </c>
      <c r="H4092" s="168">
        <v>146160.5</v>
      </c>
      <c r="I4092" s="168">
        <v>50559.88</v>
      </c>
      <c r="J4092" s="168">
        <v>87168.94</v>
      </c>
      <c r="K4092" s="168">
        <v>8431.68</v>
      </c>
      <c r="L4092" s="43">
        <v>6.3004126118172845</v>
      </c>
      <c r="M4092" s="43">
        <v>11.500421940928268</v>
      </c>
      <c r="N4092" s="43">
        <v>5.2085749830003722</v>
      </c>
      <c r="O4092" s="43">
        <v>4.080075488132394</v>
      </c>
      <c r="P4092" s="169"/>
      <c r="Q4092" s="169"/>
      <c r="R4092" s="169">
        <v>9</v>
      </c>
    </row>
    <row r="4093" spans="1:18" ht="24">
      <c r="A4093" s="165">
        <v>1288</v>
      </c>
      <c r="B4093" s="162" t="s">
        <v>7486</v>
      </c>
      <c r="C4093" s="166" t="s">
        <v>7487</v>
      </c>
      <c r="D4093" s="167">
        <v>36770.230000000003</v>
      </c>
      <c r="E4093" s="167">
        <v>4372.6499999999996</v>
      </c>
      <c r="F4093" s="167">
        <v>29000.68</v>
      </c>
      <c r="G4093" s="167">
        <v>3396.9</v>
      </c>
      <c r="H4093" s="168">
        <v>208849.42</v>
      </c>
      <c r="I4093" s="168">
        <v>50287.32</v>
      </c>
      <c r="J4093" s="168">
        <v>145220.6</v>
      </c>
      <c r="K4093" s="168">
        <v>13341.5</v>
      </c>
      <c r="L4093" s="43">
        <v>5.6798507923393462</v>
      </c>
      <c r="M4093" s="43">
        <v>11.500421940928272</v>
      </c>
      <c r="N4093" s="43">
        <v>5.0074894795570311</v>
      </c>
      <c r="O4093" s="43">
        <v>3.9275515911566425</v>
      </c>
      <c r="P4093" s="169"/>
      <c r="Q4093" s="169"/>
      <c r="R4093" s="169">
        <v>9</v>
      </c>
    </row>
    <row r="4094" spans="1:18" ht="12.75" customHeight="1">
      <c r="A4094" s="628" t="s">
        <v>7488</v>
      </c>
      <c r="B4094" s="629"/>
      <c r="C4094" s="629"/>
      <c r="D4094" s="629"/>
      <c r="E4094" s="629"/>
      <c r="F4094" s="629"/>
      <c r="G4094" s="629"/>
      <c r="H4094" s="629"/>
      <c r="I4094" s="629"/>
      <c r="J4094" s="629"/>
      <c r="K4094" s="629"/>
      <c r="L4094" s="629"/>
      <c r="M4094" s="629"/>
      <c r="N4094" s="629"/>
      <c r="O4094" s="629"/>
      <c r="P4094" s="629"/>
      <c r="Q4094" s="629"/>
      <c r="R4094" s="629"/>
    </row>
    <row r="4095" spans="1:18" ht="24">
      <c r="A4095" s="165">
        <v>1289</v>
      </c>
      <c r="B4095" s="162" t="s">
        <v>7489</v>
      </c>
      <c r="C4095" s="166" t="s">
        <v>7490</v>
      </c>
      <c r="D4095" s="167">
        <v>13144.07</v>
      </c>
      <c r="E4095" s="167">
        <v>2701.8</v>
      </c>
      <c r="F4095" s="167">
        <v>8752.1299999999992</v>
      </c>
      <c r="G4095" s="167">
        <v>1690.14</v>
      </c>
      <c r="H4095" s="168">
        <v>82336.899999999994</v>
      </c>
      <c r="I4095" s="168">
        <v>31071.84</v>
      </c>
      <c r="J4095" s="168">
        <v>43697.7</v>
      </c>
      <c r="K4095" s="168">
        <v>7567.36</v>
      </c>
      <c r="L4095" s="43">
        <v>6.2641860550042718</v>
      </c>
      <c r="M4095" s="43">
        <v>11.50042194092827</v>
      </c>
      <c r="N4095" s="43">
        <v>4.9928074651541969</v>
      </c>
      <c r="O4095" s="43">
        <v>4.4773569053451192</v>
      </c>
      <c r="P4095" s="169"/>
      <c r="Q4095" s="169"/>
      <c r="R4095" s="169">
        <v>10</v>
      </c>
    </row>
    <row r="4096" spans="1:18" ht="24">
      <c r="A4096" s="165">
        <v>1290</v>
      </c>
      <c r="B4096" s="162" t="s">
        <v>7491</v>
      </c>
      <c r="C4096" s="166" t="s">
        <v>7492</v>
      </c>
      <c r="D4096" s="167">
        <v>16617.490000000002</v>
      </c>
      <c r="E4096" s="167">
        <v>3922.35</v>
      </c>
      <c r="F4096" s="167">
        <v>10980.59</v>
      </c>
      <c r="G4096" s="167">
        <v>1714.55</v>
      </c>
      <c r="H4096" s="168">
        <v>108057.4</v>
      </c>
      <c r="I4096" s="168">
        <v>45108.68</v>
      </c>
      <c r="J4096" s="168">
        <v>55100.639999999999</v>
      </c>
      <c r="K4096" s="168">
        <v>7848.08</v>
      </c>
      <c r="L4096" s="43">
        <v>6.5026306620313887</v>
      </c>
      <c r="M4096" s="43">
        <v>11.50042194092827</v>
      </c>
      <c r="N4096" s="43">
        <v>5.0180035863282395</v>
      </c>
      <c r="O4096" s="43">
        <v>4.5773409932635385</v>
      </c>
      <c r="P4096" s="169"/>
      <c r="Q4096" s="169"/>
      <c r="R4096" s="169">
        <v>10</v>
      </c>
    </row>
    <row r="4097" spans="1:18" ht="24">
      <c r="A4097" s="165">
        <v>1291</v>
      </c>
      <c r="B4097" s="162" t="s">
        <v>7493</v>
      </c>
      <c r="C4097" s="166" t="s">
        <v>7494</v>
      </c>
      <c r="D4097" s="167">
        <v>24987.43</v>
      </c>
      <c r="E4097" s="167">
        <v>5059.95</v>
      </c>
      <c r="F4097" s="167">
        <v>16374.19</v>
      </c>
      <c r="G4097" s="167">
        <v>3553.29</v>
      </c>
      <c r="H4097" s="168">
        <v>158973.92000000001</v>
      </c>
      <c r="I4097" s="168">
        <v>58191.56</v>
      </c>
      <c r="J4097" s="168">
        <v>85628.59</v>
      </c>
      <c r="K4097" s="168">
        <v>15153.77</v>
      </c>
      <c r="L4097" s="43">
        <v>6.3621556918818785</v>
      </c>
      <c r="M4097" s="43">
        <v>11.50042194092827</v>
      </c>
      <c r="N4097" s="43">
        <v>5.229485550124922</v>
      </c>
      <c r="O4097" s="43">
        <v>4.2647152357392724</v>
      </c>
      <c r="P4097" s="169"/>
      <c r="Q4097" s="169"/>
      <c r="R4097" s="169">
        <v>10</v>
      </c>
    </row>
    <row r="4098" spans="1:18" ht="24">
      <c r="A4098" s="165">
        <v>1292</v>
      </c>
      <c r="B4098" s="162" t="s">
        <v>7495</v>
      </c>
      <c r="C4098" s="166" t="s">
        <v>7496</v>
      </c>
      <c r="D4098" s="167">
        <v>55005.83</v>
      </c>
      <c r="E4098" s="167">
        <v>7761.75</v>
      </c>
      <c r="F4098" s="167">
        <v>45143.11</v>
      </c>
      <c r="G4098" s="167">
        <v>2100.9699999999998</v>
      </c>
      <c r="H4098" s="168">
        <v>326481.86</v>
      </c>
      <c r="I4098" s="168">
        <v>89263.4</v>
      </c>
      <c r="J4098" s="168">
        <v>228195.87</v>
      </c>
      <c r="K4098" s="168">
        <v>9022.59</v>
      </c>
      <c r="L4098" s="43">
        <v>5.9354046652872974</v>
      </c>
      <c r="M4098" s="43">
        <v>11.50042194092827</v>
      </c>
      <c r="N4098" s="43">
        <v>5.0549434897152627</v>
      </c>
      <c r="O4098" s="43">
        <v>4.2944877842139588</v>
      </c>
      <c r="P4098" s="169"/>
      <c r="Q4098" s="169"/>
      <c r="R4098" s="169">
        <v>10</v>
      </c>
    </row>
    <row r="4099" spans="1:18" ht="24">
      <c r="A4099" s="165">
        <v>1293</v>
      </c>
      <c r="B4099" s="162" t="s">
        <v>7497</v>
      </c>
      <c r="C4099" s="166" t="s">
        <v>7498</v>
      </c>
      <c r="D4099" s="167">
        <v>65498.25</v>
      </c>
      <c r="E4099" s="167">
        <v>9302.25</v>
      </c>
      <c r="F4099" s="167">
        <v>53114.23</v>
      </c>
      <c r="G4099" s="167">
        <v>3081.77</v>
      </c>
      <c r="H4099" s="168">
        <v>387926.97</v>
      </c>
      <c r="I4099" s="168">
        <v>106979.8</v>
      </c>
      <c r="J4099" s="168">
        <v>268062.92</v>
      </c>
      <c r="K4099" s="168">
        <v>12884.25</v>
      </c>
      <c r="L4099" s="43">
        <v>5.9227074005794043</v>
      </c>
      <c r="M4099" s="43">
        <v>11.50042194092827</v>
      </c>
      <c r="N4099" s="43">
        <v>5.046913416611706</v>
      </c>
      <c r="O4099" s="43">
        <v>4.1807954519642934</v>
      </c>
      <c r="P4099" s="169"/>
      <c r="Q4099" s="169"/>
      <c r="R4099" s="169">
        <v>10</v>
      </c>
    </row>
    <row r="4100" spans="1:18" ht="24">
      <c r="A4100" s="165">
        <v>1294</v>
      </c>
      <c r="B4100" s="162" t="s">
        <v>7499</v>
      </c>
      <c r="C4100" s="166" t="s">
        <v>7500</v>
      </c>
      <c r="D4100" s="167">
        <v>76405.67</v>
      </c>
      <c r="E4100" s="167">
        <v>10582.05</v>
      </c>
      <c r="F4100" s="167">
        <v>62716.26</v>
      </c>
      <c r="G4100" s="167">
        <v>3107.36</v>
      </c>
      <c r="H4100" s="168">
        <v>452988</v>
      </c>
      <c r="I4100" s="168">
        <v>121698.04</v>
      </c>
      <c r="J4100" s="168">
        <v>318111.43</v>
      </c>
      <c r="K4100" s="168">
        <v>13178.53</v>
      </c>
      <c r="L4100" s="43">
        <v>5.9287223055566427</v>
      </c>
      <c r="M4100" s="43">
        <v>11.50042194092827</v>
      </c>
      <c r="N4100" s="43">
        <v>5.0722321452203936</v>
      </c>
      <c r="O4100" s="43">
        <v>4.2410695896194843</v>
      </c>
      <c r="P4100" s="169"/>
      <c r="Q4100" s="169"/>
      <c r="R4100" s="169">
        <v>10</v>
      </c>
    </row>
    <row r="4101" spans="1:18" ht="24">
      <c r="A4101" s="165">
        <v>1295</v>
      </c>
      <c r="B4101" s="162" t="s">
        <v>7501</v>
      </c>
      <c r="C4101" s="166" t="s">
        <v>7502</v>
      </c>
      <c r="D4101" s="167">
        <v>106850.53</v>
      </c>
      <c r="E4101" s="167">
        <v>14717.7</v>
      </c>
      <c r="F4101" s="167">
        <v>87051.24</v>
      </c>
      <c r="G4101" s="167">
        <v>5081.59</v>
      </c>
      <c r="H4101" s="168">
        <v>631683.19999999995</v>
      </c>
      <c r="I4101" s="168">
        <v>169259.76</v>
      </c>
      <c r="J4101" s="168">
        <v>441319.03</v>
      </c>
      <c r="K4101" s="168">
        <v>21104.41</v>
      </c>
      <c r="L4101" s="43">
        <v>5.9118396511463249</v>
      </c>
      <c r="M4101" s="43">
        <v>11.50042194092827</v>
      </c>
      <c r="N4101" s="43">
        <v>5.0696466816555397</v>
      </c>
      <c r="O4101" s="43">
        <v>4.1531115261168257</v>
      </c>
      <c r="P4101" s="169"/>
      <c r="Q4101" s="169"/>
      <c r="R4101" s="169">
        <v>10</v>
      </c>
    </row>
    <row r="4102" spans="1:18" ht="24">
      <c r="A4102" s="165">
        <v>1296</v>
      </c>
      <c r="B4102" s="162" t="s">
        <v>7503</v>
      </c>
      <c r="C4102" s="166" t="s">
        <v>7504</v>
      </c>
      <c r="D4102" s="167">
        <v>136062.99</v>
      </c>
      <c r="E4102" s="167">
        <v>18770.400000000001</v>
      </c>
      <c r="F4102" s="167">
        <v>112129.94</v>
      </c>
      <c r="G4102" s="167">
        <v>5162.6499999999996</v>
      </c>
      <c r="H4102" s="168">
        <v>807578.04</v>
      </c>
      <c r="I4102" s="168">
        <v>215867.51999999999</v>
      </c>
      <c r="J4102" s="168">
        <v>569673.92000000004</v>
      </c>
      <c r="K4102" s="168">
        <v>22036.6</v>
      </c>
      <c r="L4102" s="43">
        <v>5.9353248080172287</v>
      </c>
      <c r="M4102" s="43">
        <v>11.500421940928268</v>
      </c>
      <c r="N4102" s="43">
        <v>5.0804800216605841</v>
      </c>
      <c r="O4102" s="43">
        <v>4.2684667757837547</v>
      </c>
      <c r="P4102" s="169"/>
      <c r="Q4102" s="169"/>
      <c r="R4102" s="169">
        <v>10</v>
      </c>
    </row>
    <row r="4103" spans="1:18" ht="24">
      <c r="A4103" s="165">
        <v>1297</v>
      </c>
      <c r="B4103" s="162" t="s">
        <v>7505</v>
      </c>
      <c r="C4103" s="166" t="s">
        <v>7506</v>
      </c>
      <c r="D4103" s="167">
        <v>169064.49</v>
      </c>
      <c r="E4103" s="167">
        <v>22846.799999999999</v>
      </c>
      <c r="F4103" s="167">
        <v>140016.48000000001</v>
      </c>
      <c r="G4103" s="167">
        <v>6201.21</v>
      </c>
      <c r="H4103" s="168">
        <v>1002477.98</v>
      </c>
      <c r="I4103" s="168">
        <v>262747.84000000003</v>
      </c>
      <c r="J4103" s="168">
        <v>713213.54</v>
      </c>
      <c r="K4103" s="168">
        <v>26516.6</v>
      </c>
      <c r="L4103" s="43">
        <v>5.9295596609317549</v>
      </c>
      <c r="M4103" s="43">
        <v>11.500421940928272</v>
      </c>
      <c r="N4103" s="43">
        <v>5.0937828175654749</v>
      </c>
      <c r="O4103" s="43">
        <v>4.2760364509507012</v>
      </c>
      <c r="P4103" s="169"/>
      <c r="Q4103" s="169"/>
      <c r="R4103" s="169">
        <v>10</v>
      </c>
    </row>
    <row r="4104" spans="1:18" ht="24">
      <c r="A4104" s="165">
        <v>1298</v>
      </c>
      <c r="B4104" s="162" t="s">
        <v>7507</v>
      </c>
      <c r="C4104" s="166" t="s">
        <v>7508</v>
      </c>
      <c r="D4104" s="167">
        <v>15062</v>
      </c>
      <c r="E4104" s="167">
        <v>3318</v>
      </c>
      <c r="F4104" s="167">
        <v>9887.7099999999991</v>
      </c>
      <c r="G4104" s="167">
        <v>1856.29</v>
      </c>
      <c r="H4104" s="168">
        <v>95468.08</v>
      </c>
      <c r="I4104" s="168">
        <v>38158.400000000001</v>
      </c>
      <c r="J4104" s="168">
        <v>49008.35</v>
      </c>
      <c r="K4104" s="168">
        <v>8301.33</v>
      </c>
      <c r="L4104" s="43">
        <v>6.3383401938653563</v>
      </c>
      <c r="M4104" s="43">
        <v>11.50042194092827</v>
      </c>
      <c r="N4104" s="43">
        <v>4.9564914424067865</v>
      </c>
      <c r="O4104" s="43">
        <v>4.4720006033540018</v>
      </c>
      <c r="P4104" s="169"/>
      <c r="Q4104" s="169"/>
      <c r="R4104" s="169">
        <v>10</v>
      </c>
    </row>
    <row r="4105" spans="1:18" ht="24">
      <c r="A4105" s="165">
        <v>1299</v>
      </c>
      <c r="B4105" s="162" t="s">
        <v>7509</v>
      </c>
      <c r="C4105" s="166" t="s">
        <v>7510</v>
      </c>
      <c r="D4105" s="167">
        <v>18486.21</v>
      </c>
      <c r="E4105" s="167">
        <v>4633.3500000000004</v>
      </c>
      <c r="F4105" s="167">
        <v>11970.26</v>
      </c>
      <c r="G4105" s="167">
        <v>1882.6</v>
      </c>
      <c r="H4105" s="168">
        <v>121580.87</v>
      </c>
      <c r="I4105" s="168">
        <v>53285.48</v>
      </c>
      <c r="J4105" s="168">
        <v>59691.49</v>
      </c>
      <c r="K4105" s="168">
        <v>8603.9</v>
      </c>
      <c r="L4105" s="43">
        <v>6.5768413319982839</v>
      </c>
      <c r="M4105" s="43">
        <v>11.50042194092827</v>
      </c>
      <c r="N4105" s="43">
        <v>4.9866494127947094</v>
      </c>
      <c r="O4105" s="43">
        <v>4.5702220333581218</v>
      </c>
      <c r="P4105" s="169"/>
      <c r="Q4105" s="169"/>
      <c r="R4105" s="169">
        <v>10</v>
      </c>
    </row>
    <row r="4106" spans="1:18" ht="24">
      <c r="A4106" s="165">
        <v>1300</v>
      </c>
      <c r="B4106" s="162" t="s">
        <v>7511</v>
      </c>
      <c r="C4106" s="166" t="s">
        <v>7512</v>
      </c>
      <c r="D4106" s="167">
        <v>24254.400000000001</v>
      </c>
      <c r="E4106" s="167">
        <v>6138.3</v>
      </c>
      <c r="F4106" s="167">
        <v>14160.02</v>
      </c>
      <c r="G4106" s="167">
        <v>3956.08</v>
      </c>
      <c r="H4106" s="168">
        <v>162839.54</v>
      </c>
      <c r="I4106" s="168">
        <v>70593.039999999994</v>
      </c>
      <c r="J4106" s="168">
        <v>75362.850000000006</v>
      </c>
      <c r="K4106" s="168">
        <v>16883.650000000001</v>
      </c>
      <c r="L4106" s="43">
        <v>6.7138144006860614</v>
      </c>
      <c r="M4106" s="43">
        <v>11.500421940928268</v>
      </c>
      <c r="N4106" s="43">
        <v>5.3222276522208301</v>
      </c>
      <c r="O4106" s="43">
        <v>4.2677726436270254</v>
      </c>
      <c r="P4106" s="169"/>
      <c r="Q4106" s="169"/>
      <c r="R4106" s="169">
        <v>10</v>
      </c>
    </row>
    <row r="4107" spans="1:18" ht="24">
      <c r="A4107" s="165">
        <v>1301</v>
      </c>
      <c r="B4107" s="162" t="s">
        <v>7513</v>
      </c>
      <c r="C4107" s="166" t="s">
        <v>7514</v>
      </c>
      <c r="D4107" s="167">
        <v>35970.49</v>
      </c>
      <c r="E4107" s="167">
        <v>7406.25</v>
      </c>
      <c r="F4107" s="167">
        <v>24582.799999999999</v>
      </c>
      <c r="G4107" s="167">
        <v>3981.44</v>
      </c>
      <c r="H4107" s="168">
        <v>231159.05</v>
      </c>
      <c r="I4107" s="168">
        <v>85175</v>
      </c>
      <c r="J4107" s="168">
        <v>128808.76</v>
      </c>
      <c r="K4107" s="168">
        <v>17175.29</v>
      </c>
      <c r="L4107" s="43">
        <v>6.4263525462121871</v>
      </c>
      <c r="M4107" s="43">
        <v>11.50042194092827</v>
      </c>
      <c r="N4107" s="43">
        <v>5.2397920497258248</v>
      </c>
      <c r="O4107" s="43">
        <v>4.3138387116219263</v>
      </c>
      <c r="P4107" s="169"/>
      <c r="Q4107" s="169"/>
      <c r="R4107" s="169">
        <v>10</v>
      </c>
    </row>
    <row r="4108" spans="1:18" ht="24">
      <c r="A4108" s="165">
        <v>1302</v>
      </c>
      <c r="B4108" s="162" t="s">
        <v>7515</v>
      </c>
      <c r="C4108" s="166" t="s">
        <v>7516</v>
      </c>
      <c r="D4108" s="167">
        <v>62865.71</v>
      </c>
      <c r="E4108" s="167">
        <v>9337.7999999999993</v>
      </c>
      <c r="F4108" s="167">
        <v>50912.82</v>
      </c>
      <c r="G4108" s="167">
        <v>2615.09</v>
      </c>
      <c r="H4108" s="168">
        <v>373938.46</v>
      </c>
      <c r="I4108" s="168">
        <v>107388.64</v>
      </c>
      <c r="J4108" s="168">
        <v>255374.05</v>
      </c>
      <c r="K4108" s="168">
        <v>11175.77</v>
      </c>
      <c r="L4108" s="43">
        <v>5.9482102405269908</v>
      </c>
      <c r="M4108" s="43">
        <v>11.500421940928272</v>
      </c>
      <c r="N4108" s="43">
        <v>5.015908566840336</v>
      </c>
      <c r="O4108" s="43">
        <v>4.273569934495562</v>
      </c>
      <c r="P4108" s="169"/>
      <c r="Q4108" s="169"/>
      <c r="R4108" s="169">
        <v>10</v>
      </c>
    </row>
    <row r="4109" spans="1:18" ht="24">
      <c r="A4109" s="165">
        <v>1303</v>
      </c>
      <c r="B4109" s="162" t="s">
        <v>7517</v>
      </c>
      <c r="C4109" s="166" t="s">
        <v>7518</v>
      </c>
      <c r="D4109" s="167">
        <v>75744.91</v>
      </c>
      <c r="E4109" s="167">
        <v>11387.85</v>
      </c>
      <c r="F4109" s="167">
        <v>60736.07</v>
      </c>
      <c r="G4109" s="167">
        <v>3620.99</v>
      </c>
      <c r="H4109" s="168">
        <v>449881.78</v>
      </c>
      <c r="I4109" s="168">
        <v>130965.08</v>
      </c>
      <c r="J4109" s="168">
        <v>303689.02</v>
      </c>
      <c r="K4109" s="168">
        <v>15227.68</v>
      </c>
      <c r="L4109" s="43">
        <v>5.9394324978404489</v>
      </c>
      <c r="M4109" s="43">
        <v>11.50042194092827</v>
      </c>
      <c r="N4109" s="43">
        <v>5.0001427487817374</v>
      </c>
      <c r="O4109" s="43">
        <v>4.2053913432514314</v>
      </c>
      <c r="P4109" s="169"/>
      <c r="Q4109" s="169"/>
      <c r="R4109" s="169">
        <v>10</v>
      </c>
    </row>
    <row r="4110" spans="1:18" ht="36">
      <c r="A4110" s="165">
        <v>1304</v>
      </c>
      <c r="B4110" s="162" t="s">
        <v>7519</v>
      </c>
      <c r="C4110" s="166" t="s">
        <v>7520</v>
      </c>
      <c r="D4110" s="167">
        <v>88384.81</v>
      </c>
      <c r="E4110" s="167">
        <v>12928.35</v>
      </c>
      <c r="F4110" s="167">
        <v>71804.66</v>
      </c>
      <c r="G4110" s="167">
        <v>3651.8</v>
      </c>
      <c r="H4110" s="168">
        <v>525385.11</v>
      </c>
      <c r="I4110" s="168">
        <v>148681.48000000001</v>
      </c>
      <c r="J4110" s="168">
        <v>361121.63</v>
      </c>
      <c r="K4110" s="168">
        <v>15582</v>
      </c>
      <c r="L4110" s="43">
        <v>5.9442918981214081</v>
      </c>
      <c r="M4110" s="43">
        <v>11.50042194092827</v>
      </c>
      <c r="N4110" s="43">
        <v>5.0292227551805135</v>
      </c>
      <c r="O4110" s="43">
        <v>4.2669368530587652</v>
      </c>
      <c r="P4110" s="169"/>
      <c r="Q4110" s="169"/>
      <c r="R4110" s="169">
        <v>10</v>
      </c>
    </row>
    <row r="4111" spans="1:18" ht="36">
      <c r="A4111" s="165">
        <v>1305</v>
      </c>
      <c r="B4111" s="162" t="s">
        <v>7521</v>
      </c>
      <c r="C4111" s="166" t="s">
        <v>7522</v>
      </c>
      <c r="D4111" s="167">
        <v>121957.04</v>
      </c>
      <c r="E4111" s="167">
        <v>17822.400000000001</v>
      </c>
      <c r="F4111" s="167">
        <v>98033.919999999998</v>
      </c>
      <c r="G4111" s="167">
        <v>6100.72</v>
      </c>
      <c r="H4111" s="168">
        <v>722907.32</v>
      </c>
      <c r="I4111" s="168">
        <v>204965.12</v>
      </c>
      <c r="J4111" s="168">
        <v>492581.23</v>
      </c>
      <c r="K4111" s="168">
        <v>25360.97</v>
      </c>
      <c r="L4111" s="43">
        <v>5.9275571135540845</v>
      </c>
      <c r="M4111" s="43">
        <v>11.500421940928268</v>
      </c>
      <c r="N4111" s="43">
        <v>5.0245999547911575</v>
      </c>
      <c r="O4111" s="43">
        <v>4.1570453979202453</v>
      </c>
      <c r="P4111" s="169"/>
      <c r="Q4111" s="169"/>
      <c r="R4111" s="169">
        <v>10</v>
      </c>
    </row>
    <row r="4112" spans="1:18" ht="36">
      <c r="A4112" s="165">
        <v>1306</v>
      </c>
      <c r="B4112" s="162" t="s">
        <v>7523</v>
      </c>
      <c r="C4112" s="166" t="s">
        <v>7524</v>
      </c>
      <c r="D4112" s="167">
        <v>157063.31</v>
      </c>
      <c r="E4112" s="167">
        <v>23107.5</v>
      </c>
      <c r="F4112" s="167">
        <v>126799.4</v>
      </c>
      <c r="G4112" s="167">
        <v>7156.41</v>
      </c>
      <c r="H4112" s="168">
        <v>933992.66</v>
      </c>
      <c r="I4112" s="168">
        <v>265746</v>
      </c>
      <c r="J4112" s="168">
        <v>638162.80000000005</v>
      </c>
      <c r="K4112" s="168">
        <v>30083.86</v>
      </c>
      <c r="L4112" s="43">
        <v>5.9465998774634254</v>
      </c>
      <c r="M4112" s="43">
        <v>11.50042194092827</v>
      </c>
      <c r="N4112" s="43">
        <v>5.0328534677608889</v>
      </c>
      <c r="O4112" s="43">
        <v>4.2037641778489494</v>
      </c>
      <c r="P4112" s="169"/>
      <c r="Q4112" s="169"/>
      <c r="R4112" s="169">
        <v>10</v>
      </c>
    </row>
    <row r="4113" spans="1:18" ht="36">
      <c r="A4113" s="165">
        <v>1307</v>
      </c>
      <c r="B4113" s="162" t="s">
        <v>7525</v>
      </c>
      <c r="C4113" s="166" t="s">
        <v>7526</v>
      </c>
      <c r="D4113" s="167">
        <v>193063.87</v>
      </c>
      <c r="E4113" s="167">
        <v>27752.7</v>
      </c>
      <c r="F4113" s="167">
        <v>157340.76999999999</v>
      </c>
      <c r="G4113" s="167">
        <v>7970.4</v>
      </c>
      <c r="H4113" s="168">
        <v>1147041.6499999999</v>
      </c>
      <c r="I4113" s="168">
        <v>319167.76</v>
      </c>
      <c r="J4113" s="168">
        <v>794029.22</v>
      </c>
      <c r="K4113" s="168">
        <v>33844.67</v>
      </c>
      <c r="L4113" s="43">
        <v>5.9412548292956107</v>
      </c>
      <c r="M4113" s="43">
        <v>11.50042194092827</v>
      </c>
      <c r="N4113" s="43">
        <v>5.0465573544606404</v>
      </c>
      <c r="O4113" s="43">
        <v>4.2462950416541201</v>
      </c>
      <c r="P4113" s="169"/>
      <c r="Q4113" s="169"/>
      <c r="R4113" s="169">
        <v>10</v>
      </c>
    </row>
    <row r="4114" spans="1:18" ht="36">
      <c r="A4114" s="165">
        <v>1308</v>
      </c>
      <c r="B4114" s="162" t="s">
        <v>7527</v>
      </c>
      <c r="C4114" s="166" t="s">
        <v>7528</v>
      </c>
      <c r="D4114" s="167">
        <v>226331.94</v>
      </c>
      <c r="E4114" s="167">
        <v>32658.6</v>
      </c>
      <c r="F4114" s="167">
        <v>185604.82</v>
      </c>
      <c r="G4114" s="167">
        <v>8068.52</v>
      </c>
      <c r="H4114" s="168">
        <v>1347595.82</v>
      </c>
      <c r="I4114" s="168">
        <v>375587.68</v>
      </c>
      <c r="J4114" s="168">
        <v>937035.09</v>
      </c>
      <c r="K4114" s="168">
        <v>34973.050000000003</v>
      </c>
      <c r="L4114" s="43">
        <v>5.9540682592125531</v>
      </c>
      <c r="M4114" s="43">
        <v>11.50042194092827</v>
      </c>
      <c r="N4114" s="43">
        <v>5.0485493318546357</v>
      </c>
      <c r="O4114" s="43">
        <v>4.3345062043596601</v>
      </c>
      <c r="P4114" s="169"/>
      <c r="Q4114" s="169"/>
      <c r="R4114" s="169">
        <v>10</v>
      </c>
    </row>
    <row r="4115" spans="1:18" ht="24">
      <c r="A4115" s="165">
        <v>1309</v>
      </c>
      <c r="B4115" s="162" t="s">
        <v>7529</v>
      </c>
      <c r="C4115" s="166" t="s">
        <v>7530</v>
      </c>
      <c r="D4115" s="167">
        <v>15606.2</v>
      </c>
      <c r="E4115" s="167">
        <v>3400.95</v>
      </c>
      <c r="F4115" s="167">
        <v>10078.83</v>
      </c>
      <c r="G4115" s="167">
        <v>2126.42</v>
      </c>
      <c r="H4115" s="168">
        <v>98459.75</v>
      </c>
      <c r="I4115" s="168">
        <v>39112.36</v>
      </c>
      <c r="J4115" s="168">
        <v>49938.83</v>
      </c>
      <c r="K4115" s="168">
        <v>9408.56</v>
      </c>
      <c r="L4115" s="43">
        <v>6.3090150068562494</v>
      </c>
      <c r="M4115" s="43">
        <v>11.500421940928272</v>
      </c>
      <c r="N4115" s="43">
        <v>4.9548241214506055</v>
      </c>
      <c r="O4115" s="43">
        <v>4.4246009725265933</v>
      </c>
      <c r="P4115" s="169"/>
      <c r="Q4115" s="169"/>
      <c r="R4115" s="169">
        <v>10</v>
      </c>
    </row>
    <row r="4116" spans="1:18" ht="24">
      <c r="A4116" s="165">
        <v>1310</v>
      </c>
      <c r="B4116" s="162" t="s">
        <v>7531</v>
      </c>
      <c r="C4116" s="166" t="s">
        <v>7532</v>
      </c>
      <c r="D4116" s="167">
        <v>19685.8</v>
      </c>
      <c r="E4116" s="167">
        <v>4977</v>
      </c>
      <c r="F4116" s="167">
        <v>12550.86</v>
      </c>
      <c r="G4116" s="167">
        <v>2157.94</v>
      </c>
      <c r="H4116" s="168">
        <v>129465.2</v>
      </c>
      <c r="I4116" s="168">
        <v>57237.599999999999</v>
      </c>
      <c r="J4116" s="168">
        <v>62456.56</v>
      </c>
      <c r="K4116" s="168">
        <v>9771.0400000000009</v>
      </c>
      <c r="L4116" s="43">
        <v>6.5765780410244945</v>
      </c>
      <c r="M4116" s="43">
        <v>11.50042194092827</v>
      </c>
      <c r="N4116" s="43">
        <v>4.9762773228288735</v>
      </c>
      <c r="O4116" s="43">
        <v>4.5279479503600655</v>
      </c>
      <c r="P4116" s="169"/>
      <c r="Q4116" s="169"/>
      <c r="R4116" s="169">
        <v>10</v>
      </c>
    </row>
    <row r="4117" spans="1:18" ht="24">
      <c r="A4117" s="165">
        <v>1311</v>
      </c>
      <c r="B4117" s="162" t="s">
        <v>7533</v>
      </c>
      <c r="C4117" s="166" t="s">
        <v>7534</v>
      </c>
      <c r="D4117" s="167">
        <v>30120.5</v>
      </c>
      <c r="E4117" s="167">
        <v>6695.25</v>
      </c>
      <c r="F4117" s="167">
        <v>18849.080000000002</v>
      </c>
      <c r="G4117" s="167">
        <v>4576.17</v>
      </c>
      <c r="H4117" s="168">
        <v>193738.38</v>
      </c>
      <c r="I4117" s="168">
        <v>76998.2</v>
      </c>
      <c r="J4117" s="168">
        <v>97297.14</v>
      </c>
      <c r="K4117" s="168">
        <v>19443.04</v>
      </c>
      <c r="L4117" s="43">
        <v>6.4321103567337863</v>
      </c>
      <c r="M4117" s="43">
        <v>11.50042194092827</v>
      </c>
      <c r="N4117" s="43">
        <v>5.1619039231622974</v>
      </c>
      <c r="O4117" s="43">
        <v>4.2487582410618492</v>
      </c>
      <c r="P4117" s="169"/>
      <c r="Q4117" s="169"/>
      <c r="R4117" s="169">
        <v>10</v>
      </c>
    </row>
    <row r="4118" spans="1:18" ht="24">
      <c r="A4118" s="165">
        <v>1312</v>
      </c>
      <c r="B4118" s="162" t="s">
        <v>7535</v>
      </c>
      <c r="C4118" s="166" t="s">
        <v>7536</v>
      </c>
      <c r="D4118" s="167">
        <v>37217.54</v>
      </c>
      <c r="E4118" s="167">
        <v>8093.55</v>
      </c>
      <c r="F4118" s="167">
        <v>25696.86</v>
      </c>
      <c r="G4118" s="167">
        <v>3427.13</v>
      </c>
      <c r="H4118" s="168">
        <v>241226.65</v>
      </c>
      <c r="I4118" s="168">
        <v>93079.24</v>
      </c>
      <c r="J4118" s="168">
        <v>134085.20000000001</v>
      </c>
      <c r="K4118" s="168">
        <v>14062.21</v>
      </c>
      <c r="L4118" s="43">
        <v>6.4815312887418131</v>
      </c>
      <c r="M4118" s="43">
        <v>11.50042194092827</v>
      </c>
      <c r="N4118" s="43">
        <v>5.2179604823313044</v>
      </c>
      <c r="O4118" s="43">
        <v>4.1032029715826361</v>
      </c>
      <c r="P4118" s="169"/>
      <c r="Q4118" s="169"/>
      <c r="R4118" s="169">
        <v>10</v>
      </c>
    </row>
    <row r="4119" spans="1:18" ht="24">
      <c r="A4119" s="165">
        <v>1313</v>
      </c>
      <c r="B4119" s="162" t="s">
        <v>7537</v>
      </c>
      <c r="C4119" s="166" t="s">
        <v>7538</v>
      </c>
      <c r="D4119" s="167">
        <v>68917.05</v>
      </c>
      <c r="E4119" s="167">
        <v>10487.25</v>
      </c>
      <c r="F4119" s="167">
        <v>55277.87</v>
      </c>
      <c r="G4119" s="167">
        <v>3151.93</v>
      </c>
      <c r="H4119" s="168">
        <v>409750.47</v>
      </c>
      <c r="I4119" s="168">
        <v>120607.8</v>
      </c>
      <c r="J4119" s="168">
        <v>275760.78000000003</v>
      </c>
      <c r="K4119" s="168">
        <v>13381.89</v>
      </c>
      <c r="L4119" s="43">
        <v>5.9455602060738233</v>
      </c>
      <c r="M4119" s="43">
        <v>11.50042194092827</v>
      </c>
      <c r="N4119" s="43">
        <v>4.9886289033929856</v>
      </c>
      <c r="O4119" s="43">
        <v>4.2456177643539039</v>
      </c>
      <c r="P4119" s="169"/>
      <c r="Q4119" s="169"/>
      <c r="R4119" s="169">
        <v>10</v>
      </c>
    </row>
    <row r="4120" spans="1:18" ht="24">
      <c r="A4120" s="165">
        <v>1314</v>
      </c>
      <c r="B4120" s="162" t="s">
        <v>7539</v>
      </c>
      <c r="C4120" s="166" t="s">
        <v>7540</v>
      </c>
      <c r="D4120" s="167">
        <v>82975.44</v>
      </c>
      <c r="E4120" s="167">
        <v>12845.4</v>
      </c>
      <c r="F4120" s="167">
        <v>65997.16</v>
      </c>
      <c r="G4120" s="167">
        <v>4132.88</v>
      </c>
      <c r="H4120" s="168">
        <v>493325.99</v>
      </c>
      <c r="I4120" s="168">
        <v>147727.51999999999</v>
      </c>
      <c r="J4120" s="168">
        <v>328244.38</v>
      </c>
      <c r="K4120" s="168">
        <v>17354.09</v>
      </c>
      <c r="L4120" s="43">
        <v>5.9454459054390068</v>
      </c>
      <c r="M4120" s="43">
        <v>11.50042194092827</v>
      </c>
      <c r="N4120" s="43">
        <v>4.9736137130749265</v>
      </c>
      <c r="O4120" s="43">
        <v>4.1990307001413054</v>
      </c>
      <c r="P4120" s="169"/>
      <c r="Q4120" s="169"/>
      <c r="R4120" s="169">
        <v>10</v>
      </c>
    </row>
    <row r="4121" spans="1:18" ht="36">
      <c r="A4121" s="165">
        <v>1315</v>
      </c>
      <c r="B4121" s="162" t="s">
        <v>7541</v>
      </c>
      <c r="C4121" s="166" t="s">
        <v>7542</v>
      </c>
      <c r="D4121" s="167">
        <v>96496.31</v>
      </c>
      <c r="E4121" s="167">
        <v>14587.35</v>
      </c>
      <c r="F4121" s="167">
        <v>77741.240000000005</v>
      </c>
      <c r="G4121" s="167">
        <v>4167.72</v>
      </c>
      <c r="H4121" s="168">
        <v>574337.55000000005</v>
      </c>
      <c r="I4121" s="168">
        <v>167760.68</v>
      </c>
      <c r="J4121" s="168">
        <v>388822.12</v>
      </c>
      <c r="K4121" s="168">
        <v>17754.75</v>
      </c>
      <c r="L4121" s="43">
        <v>5.9519120472067799</v>
      </c>
      <c r="M4121" s="43">
        <v>11.50042194092827</v>
      </c>
      <c r="N4121" s="43">
        <v>5.0014911004764002</v>
      </c>
      <c r="O4121" s="43">
        <v>4.2600630560594279</v>
      </c>
      <c r="P4121" s="169"/>
      <c r="Q4121" s="169"/>
      <c r="R4121" s="169">
        <v>10</v>
      </c>
    </row>
    <row r="4122" spans="1:18" ht="36">
      <c r="A4122" s="165">
        <v>1316</v>
      </c>
      <c r="B4122" s="162" t="s">
        <v>7543</v>
      </c>
      <c r="C4122" s="166" t="s">
        <v>7544</v>
      </c>
      <c r="D4122" s="167">
        <v>134601.82999999999</v>
      </c>
      <c r="E4122" s="167">
        <v>20334.599999999999</v>
      </c>
      <c r="F4122" s="167">
        <v>107166.28</v>
      </c>
      <c r="G4122" s="167">
        <v>7100.95</v>
      </c>
      <c r="H4122" s="168">
        <v>798495.33</v>
      </c>
      <c r="I4122" s="168">
        <v>233856.48</v>
      </c>
      <c r="J4122" s="168">
        <v>535192.78</v>
      </c>
      <c r="K4122" s="168">
        <v>29446.07</v>
      </c>
      <c r="L4122" s="43">
        <v>5.9322769237238457</v>
      </c>
      <c r="M4122" s="43">
        <v>11.500421940928272</v>
      </c>
      <c r="N4122" s="43">
        <v>4.9940408494164403</v>
      </c>
      <c r="O4122" s="43">
        <v>4.1467789521120411</v>
      </c>
      <c r="P4122" s="169"/>
      <c r="Q4122" s="169"/>
      <c r="R4122" s="169">
        <v>10</v>
      </c>
    </row>
    <row r="4123" spans="1:18" ht="36">
      <c r="A4123" s="165">
        <v>1317</v>
      </c>
      <c r="B4123" s="162" t="s">
        <v>7545</v>
      </c>
      <c r="C4123" s="166" t="s">
        <v>7546</v>
      </c>
      <c r="D4123" s="167">
        <v>172035.92</v>
      </c>
      <c r="E4123" s="167">
        <v>25987.05</v>
      </c>
      <c r="F4123" s="167">
        <v>138834.87</v>
      </c>
      <c r="G4123" s="167">
        <v>7214</v>
      </c>
      <c r="H4123" s="168">
        <v>1023882.07</v>
      </c>
      <c r="I4123" s="168">
        <v>298862.03999999998</v>
      </c>
      <c r="J4123" s="168">
        <v>694273.89</v>
      </c>
      <c r="K4123" s="168">
        <v>30746.14</v>
      </c>
      <c r="L4123" s="43">
        <v>5.9515598254132041</v>
      </c>
      <c r="M4123" s="43">
        <v>11.50042194092827</v>
      </c>
      <c r="N4123" s="43">
        <v>5.0007169668542204</v>
      </c>
      <c r="O4123" s="43">
        <v>4.2620099805932909</v>
      </c>
      <c r="P4123" s="169"/>
      <c r="Q4123" s="169"/>
      <c r="R4123" s="169">
        <v>10</v>
      </c>
    </row>
    <row r="4124" spans="1:18" ht="36">
      <c r="A4124" s="165">
        <v>1318</v>
      </c>
      <c r="B4124" s="162" t="s">
        <v>7547</v>
      </c>
      <c r="C4124" s="166" t="s">
        <v>7548</v>
      </c>
      <c r="D4124" s="167">
        <v>213918.8</v>
      </c>
      <c r="E4124" s="167">
        <v>31935.75</v>
      </c>
      <c r="F4124" s="167">
        <v>173218.06</v>
      </c>
      <c r="G4124" s="167">
        <v>8764.99</v>
      </c>
      <c r="H4124" s="168">
        <v>1273170.9099999999</v>
      </c>
      <c r="I4124" s="168">
        <v>367274.6</v>
      </c>
      <c r="J4124" s="168">
        <v>868485.82</v>
      </c>
      <c r="K4124" s="168">
        <v>37410.49</v>
      </c>
      <c r="L4124" s="43">
        <v>5.9516550672498161</v>
      </c>
      <c r="M4124" s="43">
        <v>11.50042194092827</v>
      </c>
      <c r="N4124" s="43">
        <v>5.0138295048449333</v>
      </c>
      <c r="O4124" s="43">
        <v>4.2681725820565681</v>
      </c>
      <c r="P4124" s="169"/>
      <c r="Q4124" s="169"/>
      <c r="R4124" s="169">
        <v>10</v>
      </c>
    </row>
    <row r="4125" spans="1:18" ht="36">
      <c r="A4125" s="165">
        <v>1319</v>
      </c>
      <c r="B4125" s="162" t="s">
        <v>7549</v>
      </c>
      <c r="C4125" s="166" t="s">
        <v>7550</v>
      </c>
      <c r="D4125" s="167">
        <v>264524.37</v>
      </c>
      <c r="E4125" s="167">
        <v>37884.449999999997</v>
      </c>
      <c r="F4125" s="167">
        <v>217126.09</v>
      </c>
      <c r="G4125" s="167">
        <v>9513.83</v>
      </c>
      <c r="H4125" s="168">
        <v>1573595.61</v>
      </c>
      <c r="I4125" s="168">
        <v>435687.16</v>
      </c>
      <c r="J4125" s="168">
        <v>1096625.82</v>
      </c>
      <c r="K4125" s="168">
        <v>41282.629999999997</v>
      </c>
      <c r="L4125" s="43">
        <v>5.9487736800960915</v>
      </c>
      <c r="M4125" s="43">
        <v>11.50042194092827</v>
      </c>
      <c r="N4125" s="43">
        <v>5.0506404826799027</v>
      </c>
      <c r="O4125" s="43">
        <v>4.3392230048256062</v>
      </c>
      <c r="P4125" s="169"/>
      <c r="Q4125" s="169"/>
      <c r="R4125" s="169">
        <v>10</v>
      </c>
    </row>
    <row r="4126" spans="1:18" ht="24">
      <c r="A4126" s="165">
        <v>1320</v>
      </c>
      <c r="B4126" s="162" t="s">
        <v>7551</v>
      </c>
      <c r="C4126" s="166" t="s">
        <v>7552</v>
      </c>
      <c r="D4126" s="167">
        <v>19233.14</v>
      </c>
      <c r="E4126" s="167">
        <v>4301.55</v>
      </c>
      <c r="F4126" s="167">
        <v>12638.78</v>
      </c>
      <c r="G4126" s="167">
        <v>2292.81</v>
      </c>
      <c r="H4126" s="168">
        <v>121658.14</v>
      </c>
      <c r="I4126" s="168">
        <v>49469.64</v>
      </c>
      <c r="J4126" s="168">
        <v>61885.58</v>
      </c>
      <c r="K4126" s="168">
        <v>10302.92</v>
      </c>
      <c r="L4126" s="43">
        <v>6.3254434793278689</v>
      </c>
      <c r="M4126" s="43">
        <v>11.50042194092827</v>
      </c>
      <c r="N4126" s="43">
        <v>4.896483679595657</v>
      </c>
      <c r="O4126" s="43">
        <v>4.4935777495736673</v>
      </c>
      <c r="P4126" s="169"/>
      <c r="Q4126" s="169"/>
      <c r="R4126" s="169">
        <v>10</v>
      </c>
    </row>
    <row r="4127" spans="1:18" ht="24">
      <c r="A4127" s="165">
        <v>1321</v>
      </c>
      <c r="B4127" s="162" t="s">
        <v>7553</v>
      </c>
      <c r="C4127" s="166" t="s">
        <v>7554</v>
      </c>
      <c r="D4127" s="167">
        <v>23476.57</v>
      </c>
      <c r="E4127" s="167">
        <v>6055.35</v>
      </c>
      <c r="F4127" s="167">
        <v>15093.33</v>
      </c>
      <c r="G4127" s="167">
        <v>2327.89</v>
      </c>
      <c r="H4127" s="168">
        <v>154687.29</v>
      </c>
      <c r="I4127" s="168">
        <v>69639.08</v>
      </c>
      <c r="J4127" s="168">
        <v>74341.87</v>
      </c>
      <c r="K4127" s="168">
        <v>10706.34</v>
      </c>
      <c r="L4127" s="43">
        <v>6.5890072527630741</v>
      </c>
      <c r="M4127" s="43">
        <v>11.50042194092827</v>
      </c>
      <c r="N4127" s="43">
        <v>4.9254783404324955</v>
      </c>
      <c r="O4127" s="43">
        <v>4.599160613259218</v>
      </c>
      <c r="P4127" s="169"/>
      <c r="Q4127" s="169"/>
      <c r="R4127" s="169">
        <v>10</v>
      </c>
    </row>
    <row r="4128" spans="1:18" ht="24">
      <c r="A4128" s="165">
        <v>1322</v>
      </c>
      <c r="B4128" s="162" t="s">
        <v>7555</v>
      </c>
      <c r="C4128" s="166" t="s">
        <v>7556</v>
      </c>
      <c r="D4128" s="167">
        <v>35358.629999999997</v>
      </c>
      <c r="E4128" s="167">
        <v>9373.35</v>
      </c>
      <c r="F4128" s="167">
        <v>21318.080000000002</v>
      </c>
      <c r="G4128" s="167">
        <v>4667.2</v>
      </c>
      <c r="H4128" s="168">
        <v>236649.08</v>
      </c>
      <c r="I4128" s="168">
        <v>107797.48</v>
      </c>
      <c r="J4128" s="168">
        <v>108624.09</v>
      </c>
      <c r="K4128" s="168">
        <v>20227.509999999998</v>
      </c>
      <c r="L4128" s="43">
        <v>6.6928237887044837</v>
      </c>
      <c r="M4128" s="43">
        <v>11.50042194092827</v>
      </c>
      <c r="N4128" s="43">
        <v>5.0953974279109557</v>
      </c>
      <c r="O4128" s="43">
        <v>4.333971117586561</v>
      </c>
      <c r="P4128" s="169"/>
      <c r="Q4128" s="169"/>
      <c r="R4128" s="169">
        <v>10</v>
      </c>
    </row>
    <row r="4129" spans="1:18" ht="24">
      <c r="A4129" s="165">
        <v>1323</v>
      </c>
      <c r="B4129" s="162" t="s">
        <v>7557</v>
      </c>
      <c r="C4129" s="166" t="s">
        <v>7558</v>
      </c>
      <c r="D4129" s="167">
        <v>45141.85</v>
      </c>
      <c r="E4129" s="167">
        <v>11755.2</v>
      </c>
      <c r="F4129" s="167">
        <v>30240.35</v>
      </c>
      <c r="G4129" s="167">
        <v>3146.3</v>
      </c>
      <c r="H4129" s="168">
        <v>303786.23999999999</v>
      </c>
      <c r="I4129" s="168">
        <v>135189.76000000001</v>
      </c>
      <c r="J4129" s="168">
        <v>155073.13</v>
      </c>
      <c r="K4129" s="168">
        <v>13523.35</v>
      </c>
      <c r="L4129" s="43">
        <v>6.7295921633694675</v>
      </c>
      <c r="M4129" s="43">
        <v>11.50042194092827</v>
      </c>
      <c r="N4129" s="43">
        <v>5.1280203436798848</v>
      </c>
      <c r="O4129" s="43">
        <v>4.2981756348727078</v>
      </c>
      <c r="P4129" s="169"/>
      <c r="Q4129" s="169"/>
      <c r="R4129" s="169">
        <v>10</v>
      </c>
    </row>
    <row r="4130" spans="1:18" ht="24">
      <c r="A4130" s="165">
        <v>1324</v>
      </c>
      <c r="B4130" s="162" t="s">
        <v>7559</v>
      </c>
      <c r="C4130" s="166" t="s">
        <v>7560</v>
      </c>
      <c r="D4130" s="167">
        <v>80559.83</v>
      </c>
      <c r="E4130" s="167">
        <v>14314.8</v>
      </c>
      <c r="F4130" s="167">
        <v>62082.76</v>
      </c>
      <c r="G4130" s="167">
        <v>4162.2700000000004</v>
      </c>
      <c r="H4130" s="168">
        <v>489798.98</v>
      </c>
      <c r="I4130" s="168">
        <v>164626.23999999999</v>
      </c>
      <c r="J4130" s="168">
        <v>307480.67</v>
      </c>
      <c r="K4130" s="168">
        <v>17692.07</v>
      </c>
      <c r="L4130" s="43">
        <v>6.0799405857733309</v>
      </c>
      <c r="M4130" s="43">
        <v>11.50042194092827</v>
      </c>
      <c r="N4130" s="43">
        <v>4.9527545167128517</v>
      </c>
      <c r="O4130" s="43">
        <v>4.2505820141413215</v>
      </c>
      <c r="P4130" s="169"/>
      <c r="Q4130" s="169"/>
      <c r="R4130" s="169">
        <v>10</v>
      </c>
    </row>
    <row r="4131" spans="1:18" ht="36">
      <c r="A4131" s="165">
        <v>1325</v>
      </c>
      <c r="B4131" s="162" t="s">
        <v>7561</v>
      </c>
      <c r="C4131" s="166" t="s">
        <v>7562</v>
      </c>
      <c r="D4131" s="167">
        <v>89236.42</v>
      </c>
      <c r="E4131" s="167">
        <v>16163.4</v>
      </c>
      <c r="F4131" s="167">
        <v>68873.78</v>
      </c>
      <c r="G4131" s="167">
        <v>4199.24</v>
      </c>
      <c r="H4131" s="168">
        <v>543129.09</v>
      </c>
      <c r="I4131" s="168">
        <v>185885.92</v>
      </c>
      <c r="J4131" s="168">
        <v>339125.94</v>
      </c>
      <c r="K4131" s="168">
        <v>18117.23</v>
      </c>
      <c r="L4131" s="43">
        <v>6.0864060884558118</v>
      </c>
      <c r="M4131" s="43">
        <v>11.500421940928272</v>
      </c>
      <c r="N4131" s="43">
        <v>4.9238758203775079</v>
      </c>
      <c r="O4131" s="43">
        <v>4.3144068926758177</v>
      </c>
      <c r="P4131" s="169"/>
      <c r="Q4131" s="169"/>
      <c r="R4131" s="169">
        <v>10</v>
      </c>
    </row>
    <row r="4132" spans="1:18" ht="36">
      <c r="A4132" s="165">
        <v>1326</v>
      </c>
      <c r="B4132" s="162" t="s">
        <v>7563</v>
      </c>
      <c r="C4132" s="166" t="s">
        <v>7564</v>
      </c>
      <c r="D4132" s="167">
        <v>102376.67</v>
      </c>
      <c r="E4132" s="167">
        <v>22728.3</v>
      </c>
      <c r="F4132" s="167">
        <v>72499.539999999994</v>
      </c>
      <c r="G4132" s="167">
        <v>7148.83</v>
      </c>
      <c r="H4132" s="168">
        <v>647406.04</v>
      </c>
      <c r="I4132" s="168">
        <v>261385.04</v>
      </c>
      <c r="J4132" s="168">
        <v>356024.31</v>
      </c>
      <c r="K4132" s="168">
        <v>29996.69</v>
      </c>
      <c r="L4132" s="43">
        <v>6.3237653656834123</v>
      </c>
      <c r="M4132" s="43">
        <v>11.500421940928272</v>
      </c>
      <c r="N4132" s="43">
        <v>4.9107112955475305</v>
      </c>
      <c r="O4132" s="43">
        <v>4.1960278814855014</v>
      </c>
      <c r="P4132" s="169"/>
      <c r="Q4132" s="169"/>
      <c r="R4132" s="169">
        <v>10</v>
      </c>
    </row>
    <row r="4133" spans="1:18" ht="36">
      <c r="A4133" s="165">
        <v>1327</v>
      </c>
      <c r="B4133" s="162" t="s">
        <v>7565</v>
      </c>
      <c r="C4133" s="166" t="s">
        <v>7566</v>
      </c>
      <c r="D4133" s="167">
        <v>113654.51</v>
      </c>
      <c r="E4133" s="167">
        <v>28665.15</v>
      </c>
      <c r="F4133" s="167">
        <v>77721.8</v>
      </c>
      <c r="G4133" s="167">
        <v>7267.56</v>
      </c>
      <c r="H4133" s="168">
        <v>741394.15</v>
      </c>
      <c r="I4133" s="168">
        <v>329661.32</v>
      </c>
      <c r="J4133" s="168">
        <v>380370.75</v>
      </c>
      <c r="K4133" s="168">
        <v>31362.080000000002</v>
      </c>
      <c r="L4133" s="43">
        <v>6.5232268389525423</v>
      </c>
      <c r="M4133" s="43">
        <v>11.50042194092827</v>
      </c>
      <c r="N4133" s="43">
        <v>4.8940033555579001</v>
      </c>
      <c r="O4133" s="43">
        <v>4.3153520576369511</v>
      </c>
      <c r="P4133" s="169"/>
      <c r="Q4133" s="169"/>
      <c r="R4133" s="169">
        <v>10</v>
      </c>
    </row>
    <row r="4134" spans="1:18" ht="36">
      <c r="A4134" s="165">
        <v>1328</v>
      </c>
      <c r="B4134" s="162" t="s">
        <v>7567</v>
      </c>
      <c r="C4134" s="166" t="s">
        <v>7568</v>
      </c>
      <c r="D4134" s="167">
        <v>126845.44</v>
      </c>
      <c r="E4134" s="167">
        <v>34767.9</v>
      </c>
      <c r="F4134" s="167">
        <v>83178.47</v>
      </c>
      <c r="G4134" s="167">
        <v>8899.07</v>
      </c>
      <c r="H4134" s="168">
        <v>844097.83</v>
      </c>
      <c r="I4134" s="168">
        <v>399845.52</v>
      </c>
      <c r="J4134" s="168">
        <v>405815.3</v>
      </c>
      <c r="K4134" s="168">
        <v>38437.01</v>
      </c>
      <c r="L4134" s="43">
        <v>6.6545382317251605</v>
      </c>
      <c r="M4134" s="43">
        <v>11.50042194092827</v>
      </c>
      <c r="N4134" s="43">
        <v>4.8788502601694885</v>
      </c>
      <c r="O4134" s="43">
        <v>4.3192165023985654</v>
      </c>
      <c r="P4134" s="169"/>
      <c r="Q4134" s="169"/>
      <c r="R4134" s="169">
        <v>10</v>
      </c>
    </row>
    <row r="4135" spans="1:18" ht="24">
      <c r="A4135" s="165">
        <v>1329</v>
      </c>
      <c r="B4135" s="162" t="s">
        <v>7569</v>
      </c>
      <c r="C4135" s="166" t="s">
        <v>7570</v>
      </c>
      <c r="D4135" s="167">
        <v>19772.71</v>
      </c>
      <c r="E4135" s="167">
        <v>4822.95</v>
      </c>
      <c r="F4135" s="167">
        <v>12638.78</v>
      </c>
      <c r="G4135" s="167">
        <v>2310.98</v>
      </c>
      <c r="H4135" s="168">
        <v>127811.91</v>
      </c>
      <c r="I4135" s="168">
        <v>55465.96</v>
      </c>
      <c r="J4135" s="168">
        <v>61885.58</v>
      </c>
      <c r="K4135" s="168">
        <v>10460.370000000001</v>
      </c>
      <c r="L4135" s="43">
        <v>6.4640562674514523</v>
      </c>
      <c r="M4135" s="43">
        <v>11.50042194092827</v>
      </c>
      <c r="N4135" s="43">
        <v>4.896483679595657</v>
      </c>
      <c r="O4135" s="43">
        <v>4.5263784195449555</v>
      </c>
      <c r="P4135" s="169"/>
      <c r="Q4135" s="169"/>
      <c r="R4135" s="169">
        <v>10</v>
      </c>
    </row>
    <row r="4136" spans="1:18" ht="24">
      <c r="A4136" s="165">
        <v>1330</v>
      </c>
      <c r="B4136" s="162" t="s">
        <v>7571</v>
      </c>
      <c r="C4136" s="166" t="s">
        <v>7572</v>
      </c>
      <c r="D4136" s="167">
        <v>24185.35</v>
      </c>
      <c r="E4136" s="167">
        <v>6742.65</v>
      </c>
      <c r="F4136" s="167">
        <v>15093.33</v>
      </c>
      <c r="G4136" s="167">
        <v>2349.37</v>
      </c>
      <c r="H4136" s="168">
        <v>162787.04999999999</v>
      </c>
      <c r="I4136" s="168">
        <v>77543.320000000007</v>
      </c>
      <c r="J4136" s="168">
        <v>74341.87</v>
      </c>
      <c r="K4136" s="168">
        <v>10901.86</v>
      </c>
      <c r="L4136" s="43">
        <v>6.7308122479104089</v>
      </c>
      <c r="M4136" s="43">
        <v>11.500421940928272</v>
      </c>
      <c r="N4136" s="43">
        <v>4.9254783404324955</v>
      </c>
      <c r="O4136" s="43">
        <v>4.6403333659661961</v>
      </c>
      <c r="P4136" s="169"/>
      <c r="Q4136" s="169"/>
      <c r="R4136" s="169">
        <v>10</v>
      </c>
    </row>
    <row r="4137" spans="1:18" ht="24">
      <c r="A4137" s="165">
        <v>1331</v>
      </c>
      <c r="B4137" s="162" t="s">
        <v>7573</v>
      </c>
      <c r="C4137" s="166" t="s">
        <v>7574</v>
      </c>
      <c r="D4137" s="167">
        <v>34698.76</v>
      </c>
      <c r="E4137" s="167">
        <v>8650.5</v>
      </c>
      <c r="F4137" s="167">
        <v>21318.080000000002</v>
      </c>
      <c r="G4137" s="167">
        <v>4730.18</v>
      </c>
      <c r="H4137" s="168">
        <v>228544.87</v>
      </c>
      <c r="I4137" s="168">
        <v>99484.4</v>
      </c>
      <c r="J4137" s="168">
        <v>108624.09</v>
      </c>
      <c r="K4137" s="168">
        <v>20436.38</v>
      </c>
      <c r="L4137" s="43">
        <v>6.5865428620504014</v>
      </c>
      <c r="M4137" s="43">
        <v>11.50042194092827</v>
      </c>
      <c r="N4137" s="43">
        <v>5.0953974279109557</v>
      </c>
      <c r="O4137" s="43">
        <v>4.3204233242709575</v>
      </c>
      <c r="P4137" s="169"/>
      <c r="Q4137" s="169"/>
      <c r="R4137" s="169">
        <v>10</v>
      </c>
    </row>
    <row r="4138" spans="1:18" ht="24">
      <c r="A4138" s="165">
        <v>1332</v>
      </c>
      <c r="B4138" s="162" t="s">
        <v>7575</v>
      </c>
      <c r="C4138" s="166" t="s">
        <v>7576</v>
      </c>
      <c r="D4138" s="167">
        <v>46546.080000000002</v>
      </c>
      <c r="E4138" s="167">
        <v>11518.2</v>
      </c>
      <c r="F4138" s="167">
        <v>30240.35</v>
      </c>
      <c r="G4138" s="167">
        <v>4787.53</v>
      </c>
      <c r="H4138" s="168">
        <v>308633.19</v>
      </c>
      <c r="I4138" s="168">
        <v>132464.16</v>
      </c>
      <c r="J4138" s="168">
        <v>155073.13</v>
      </c>
      <c r="K4138" s="168">
        <v>21095.9</v>
      </c>
      <c r="L4138" s="43">
        <v>6.6307020913468975</v>
      </c>
      <c r="M4138" s="43">
        <v>11.50042194092827</v>
      </c>
      <c r="N4138" s="43">
        <v>5.1280203436798848</v>
      </c>
      <c r="O4138" s="43">
        <v>4.4064266960207039</v>
      </c>
      <c r="P4138" s="169"/>
      <c r="Q4138" s="169"/>
      <c r="R4138" s="169">
        <v>10</v>
      </c>
    </row>
    <row r="4139" spans="1:18" ht="24">
      <c r="A4139" s="165">
        <v>1333</v>
      </c>
      <c r="B4139" s="162" t="s">
        <v>7577</v>
      </c>
      <c r="C4139" s="166" t="s">
        <v>7578</v>
      </c>
      <c r="D4139" s="167">
        <v>77623.33</v>
      </c>
      <c r="E4139" s="167">
        <v>12335.85</v>
      </c>
      <c r="F4139" s="167">
        <v>62082.76</v>
      </c>
      <c r="G4139" s="167">
        <v>3204.72</v>
      </c>
      <c r="H4139" s="168">
        <v>463177</v>
      </c>
      <c r="I4139" s="168">
        <v>141867.48000000001</v>
      </c>
      <c r="J4139" s="168">
        <v>307480.67</v>
      </c>
      <c r="K4139" s="168">
        <v>13828.85</v>
      </c>
      <c r="L4139" s="43">
        <v>5.9669818339409035</v>
      </c>
      <c r="M4139" s="43">
        <v>11.50042194092827</v>
      </c>
      <c r="N4139" s="43">
        <v>4.9527545167128517</v>
      </c>
      <c r="O4139" s="43">
        <v>4.3151507776030362</v>
      </c>
      <c r="P4139" s="169"/>
      <c r="Q4139" s="169"/>
      <c r="R4139" s="169">
        <v>10</v>
      </c>
    </row>
    <row r="4140" spans="1:18" ht="36">
      <c r="A4140" s="165">
        <v>1334</v>
      </c>
      <c r="B4140" s="162" t="s">
        <v>7579</v>
      </c>
      <c r="C4140" s="166" t="s">
        <v>7580</v>
      </c>
      <c r="D4140" s="167">
        <v>86432.88</v>
      </c>
      <c r="E4140" s="167">
        <v>14314.8</v>
      </c>
      <c r="F4140" s="167">
        <v>68873.78</v>
      </c>
      <c r="G4140" s="167">
        <v>3244.3</v>
      </c>
      <c r="H4140" s="168">
        <v>518036.2</v>
      </c>
      <c r="I4140" s="168">
        <v>164626.23999999999</v>
      </c>
      <c r="J4140" s="168">
        <v>339125.94</v>
      </c>
      <c r="K4140" s="168">
        <v>14284.02</v>
      </c>
      <c r="L4140" s="43">
        <v>5.9935084888991321</v>
      </c>
      <c r="M4140" s="43">
        <v>11.50042194092827</v>
      </c>
      <c r="N4140" s="43">
        <v>4.9238758203775079</v>
      </c>
      <c r="O4140" s="43">
        <v>4.402804919397096</v>
      </c>
      <c r="P4140" s="169"/>
      <c r="Q4140" s="169"/>
      <c r="R4140" s="169">
        <v>10</v>
      </c>
    </row>
    <row r="4141" spans="1:18" ht="36">
      <c r="A4141" s="165">
        <v>1335</v>
      </c>
      <c r="B4141" s="162" t="s">
        <v>7581</v>
      </c>
      <c r="C4141" s="166" t="s">
        <v>7582</v>
      </c>
      <c r="D4141" s="167">
        <v>91132.12</v>
      </c>
      <c r="E4141" s="167">
        <v>15322.05</v>
      </c>
      <c r="F4141" s="167">
        <v>72499.539999999994</v>
      </c>
      <c r="G4141" s="167">
        <v>3310.53</v>
      </c>
      <c r="H4141" s="168">
        <v>546919.38</v>
      </c>
      <c r="I4141" s="168">
        <v>176210.04</v>
      </c>
      <c r="J4141" s="168">
        <v>356024.31</v>
      </c>
      <c r="K4141" s="168">
        <v>14685.03</v>
      </c>
      <c r="L4141" s="43">
        <v>6.0013898502525791</v>
      </c>
      <c r="M4141" s="43">
        <v>11.500421940928272</v>
      </c>
      <c r="N4141" s="43">
        <v>4.9107112955475305</v>
      </c>
      <c r="O4141" s="43">
        <v>4.4358546818787321</v>
      </c>
      <c r="P4141" s="169"/>
      <c r="Q4141" s="169"/>
      <c r="R4141" s="169">
        <v>10</v>
      </c>
    </row>
    <row r="4142" spans="1:18" ht="36">
      <c r="A4142" s="165">
        <v>1336</v>
      </c>
      <c r="B4142" s="162" t="s">
        <v>7583</v>
      </c>
      <c r="C4142" s="166" t="s">
        <v>7584</v>
      </c>
      <c r="D4142" s="167">
        <v>97948.3</v>
      </c>
      <c r="E4142" s="167">
        <v>16601.849999999999</v>
      </c>
      <c r="F4142" s="167">
        <v>77721.8</v>
      </c>
      <c r="G4142" s="167">
        <v>3624.65</v>
      </c>
      <c r="H4142" s="168">
        <v>587347.13</v>
      </c>
      <c r="I4142" s="168">
        <v>190928.28</v>
      </c>
      <c r="J4142" s="168">
        <v>380370.75</v>
      </c>
      <c r="K4142" s="168">
        <v>16048.1</v>
      </c>
      <c r="L4142" s="43">
        <v>5.9965015217211528</v>
      </c>
      <c r="M4142" s="43">
        <v>11.500421940928272</v>
      </c>
      <c r="N4142" s="43">
        <v>4.8940033555579001</v>
      </c>
      <c r="O4142" s="43">
        <v>4.4274895507152419</v>
      </c>
      <c r="P4142" s="169"/>
      <c r="Q4142" s="169"/>
      <c r="R4142" s="169">
        <v>10</v>
      </c>
    </row>
    <row r="4143" spans="1:18" ht="36">
      <c r="A4143" s="165">
        <v>1337</v>
      </c>
      <c r="B4143" s="162" t="s">
        <v>7585</v>
      </c>
      <c r="C4143" s="166" t="s">
        <v>7586</v>
      </c>
      <c r="D4143" s="167">
        <v>105000.45</v>
      </c>
      <c r="E4143" s="167">
        <v>18166.05</v>
      </c>
      <c r="F4143" s="167">
        <v>83178.47</v>
      </c>
      <c r="G4143" s="167">
        <v>3655.93</v>
      </c>
      <c r="H4143" s="168">
        <v>631140.36</v>
      </c>
      <c r="I4143" s="168">
        <v>208917.24</v>
      </c>
      <c r="J4143" s="168">
        <v>405815.3</v>
      </c>
      <c r="K4143" s="168">
        <v>16407.82</v>
      </c>
      <c r="L4143" s="43">
        <v>6.0108348107079541</v>
      </c>
      <c r="M4143" s="43">
        <v>11.50042194092827</v>
      </c>
      <c r="N4143" s="43">
        <v>4.8788502601694885</v>
      </c>
      <c r="O4143" s="43">
        <v>4.4880016849337929</v>
      </c>
      <c r="P4143" s="169"/>
      <c r="Q4143" s="169"/>
      <c r="R4143" s="169">
        <v>10</v>
      </c>
    </row>
    <row r="4144" spans="1:18" ht="12.75" customHeight="1">
      <c r="A4144" s="628" t="s">
        <v>7587</v>
      </c>
      <c r="B4144" s="629"/>
      <c r="C4144" s="629"/>
      <c r="D4144" s="629"/>
      <c r="E4144" s="629"/>
      <c r="F4144" s="629"/>
      <c r="G4144" s="629"/>
      <c r="H4144" s="629"/>
      <c r="I4144" s="629"/>
      <c r="J4144" s="629"/>
      <c r="K4144" s="629"/>
      <c r="L4144" s="629"/>
      <c r="M4144" s="629"/>
      <c r="N4144" s="629"/>
      <c r="O4144" s="629"/>
      <c r="P4144" s="629"/>
      <c r="Q4144" s="629"/>
      <c r="R4144" s="629"/>
    </row>
    <row r="4145" spans="1:18" ht="24">
      <c r="A4145" s="165">
        <v>1338</v>
      </c>
      <c r="B4145" s="162" t="s">
        <v>7588</v>
      </c>
      <c r="C4145" s="166" t="s">
        <v>7589</v>
      </c>
      <c r="D4145" s="167">
        <v>397.72</v>
      </c>
      <c r="E4145" s="167">
        <v>43.61</v>
      </c>
      <c r="F4145" s="167">
        <v>345.5</v>
      </c>
      <c r="G4145" s="167">
        <v>8.61</v>
      </c>
      <c r="H4145" s="168">
        <v>2174.7199999999998</v>
      </c>
      <c r="I4145" s="168">
        <v>501.51</v>
      </c>
      <c r="J4145" s="168">
        <v>1625.68</v>
      </c>
      <c r="K4145" s="168">
        <v>47.53</v>
      </c>
      <c r="L4145" s="43">
        <v>5.4679674142612882</v>
      </c>
      <c r="M4145" s="43">
        <v>11.499885347397386</v>
      </c>
      <c r="N4145" s="43">
        <v>4.7052966714905935</v>
      </c>
      <c r="O4145" s="43">
        <v>5.5203252032520327</v>
      </c>
      <c r="P4145" s="169"/>
      <c r="Q4145" s="169"/>
      <c r="R4145" s="169">
        <v>11</v>
      </c>
    </row>
    <row r="4146" spans="1:18" ht="24">
      <c r="A4146" s="165">
        <v>1339</v>
      </c>
      <c r="B4146" s="162" t="s">
        <v>7590</v>
      </c>
      <c r="C4146" s="166" t="s">
        <v>7591</v>
      </c>
      <c r="D4146" s="167">
        <v>448.14</v>
      </c>
      <c r="E4146" s="167">
        <v>57.47</v>
      </c>
      <c r="F4146" s="167">
        <v>381.78</v>
      </c>
      <c r="G4146" s="167">
        <v>8.89</v>
      </c>
      <c r="H4146" s="168">
        <v>2512.91</v>
      </c>
      <c r="I4146" s="168">
        <v>660.96</v>
      </c>
      <c r="J4146" s="168">
        <v>1801.2</v>
      </c>
      <c r="K4146" s="168">
        <v>50.75</v>
      </c>
      <c r="L4146" s="43">
        <v>5.6074217878341592</v>
      </c>
      <c r="M4146" s="43">
        <v>11.500957021054464</v>
      </c>
      <c r="N4146" s="43">
        <v>4.7179003614647179</v>
      </c>
      <c r="O4146" s="43">
        <v>5.7086614173228343</v>
      </c>
      <c r="P4146" s="169"/>
      <c r="Q4146" s="169"/>
      <c r="R4146" s="169">
        <v>11</v>
      </c>
    </row>
    <row r="4147" spans="1:18" ht="24">
      <c r="A4147" s="165">
        <v>1340</v>
      </c>
      <c r="B4147" s="162" t="s">
        <v>7592</v>
      </c>
      <c r="C4147" s="166" t="s">
        <v>7593</v>
      </c>
      <c r="D4147" s="167">
        <v>544.67999999999995</v>
      </c>
      <c r="E4147" s="167">
        <v>69.319999999999993</v>
      </c>
      <c r="F4147" s="167">
        <v>466.23</v>
      </c>
      <c r="G4147" s="167">
        <v>9.1300000000000008</v>
      </c>
      <c r="H4147" s="168">
        <v>3068.94</v>
      </c>
      <c r="I4147" s="168">
        <v>797.24</v>
      </c>
      <c r="J4147" s="168">
        <v>2218.19</v>
      </c>
      <c r="K4147" s="168">
        <v>53.51</v>
      </c>
      <c r="L4147" s="43">
        <v>5.6343908349856804</v>
      </c>
      <c r="M4147" s="43">
        <v>11.500865551067514</v>
      </c>
      <c r="N4147" s="43">
        <v>4.7577161486819808</v>
      </c>
      <c r="O4147" s="43">
        <v>5.8608981380065712</v>
      </c>
      <c r="P4147" s="169"/>
      <c r="Q4147" s="169"/>
      <c r="R4147" s="169">
        <v>11</v>
      </c>
    </row>
    <row r="4148" spans="1:18" ht="36">
      <c r="A4148" s="165">
        <v>1341</v>
      </c>
      <c r="B4148" s="162" t="s">
        <v>7594</v>
      </c>
      <c r="C4148" s="166" t="s">
        <v>7595</v>
      </c>
      <c r="D4148" s="167">
        <v>34.68</v>
      </c>
      <c r="E4148" s="167">
        <v>13.63</v>
      </c>
      <c r="F4148" s="167">
        <v>2.73</v>
      </c>
      <c r="G4148" s="167">
        <v>18.32</v>
      </c>
      <c r="H4148" s="168">
        <v>246.06</v>
      </c>
      <c r="I4148" s="168">
        <v>156.72</v>
      </c>
      <c r="J4148" s="168">
        <v>14.45</v>
      </c>
      <c r="K4148" s="168">
        <v>74.89</v>
      </c>
      <c r="L4148" s="43">
        <v>7.0951557093425608</v>
      </c>
      <c r="M4148" s="43">
        <v>11.498165810711665</v>
      </c>
      <c r="N4148" s="43">
        <v>5.2930402930402929</v>
      </c>
      <c r="O4148" s="43">
        <v>4.087882096069869</v>
      </c>
      <c r="P4148" s="169"/>
      <c r="Q4148" s="169"/>
      <c r="R4148" s="169">
        <v>11</v>
      </c>
    </row>
    <row r="4149" spans="1:18" ht="36">
      <c r="A4149" s="165">
        <v>1342</v>
      </c>
      <c r="B4149" s="162" t="s">
        <v>7596</v>
      </c>
      <c r="C4149" s="166" t="s">
        <v>7597</v>
      </c>
      <c r="D4149" s="167">
        <v>37.51</v>
      </c>
      <c r="E4149" s="167">
        <v>14.81</v>
      </c>
      <c r="F4149" s="167">
        <v>2.73</v>
      </c>
      <c r="G4149" s="167">
        <v>19.97</v>
      </c>
      <c r="H4149" s="168">
        <v>266.42</v>
      </c>
      <c r="I4149" s="168">
        <v>170.35</v>
      </c>
      <c r="J4149" s="168">
        <v>14.45</v>
      </c>
      <c r="K4149" s="168">
        <v>81.62</v>
      </c>
      <c r="L4149" s="43">
        <v>7.1026392961876841</v>
      </c>
      <c r="M4149" s="43">
        <v>11.502363268062119</v>
      </c>
      <c r="N4149" s="43">
        <v>5.2930402930402929</v>
      </c>
      <c r="O4149" s="43">
        <v>4.087130696044067</v>
      </c>
      <c r="P4149" s="169"/>
      <c r="Q4149" s="169"/>
      <c r="R4149" s="169">
        <v>11</v>
      </c>
    </row>
    <row r="4150" spans="1:18" ht="24">
      <c r="A4150" s="165">
        <v>1343</v>
      </c>
      <c r="B4150" s="162" t="s">
        <v>7598</v>
      </c>
      <c r="C4150" s="166" t="s">
        <v>7599</v>
      </c>
      <c r="D4150" s="167">
        <v>108.61</v>
      </c>
      <c r="E4150" s="167">
        <v>93.02</v>
      </c>
      <c r="F4150" s="167">
        <v>5.55</v>
      </c>
      <c r="G4150" s="167">
        <v>10.039999999999999</v>
      </c>
      <c r="H4150" s="168">
        <v>1143.72</v>
      </c>
      <c r="I4150" s="168">
        <v>1069.8</v>
      </c>
      <c r="J4150" s="168">
        <v>29.84</v>
      </c>
      <c r="K4150" s="168">
        <v>44.08</v>
      </c>
      <c r="L4150" s="43">
        <v>10.530522051376485</v>
      </c>
      <c r="M4150" s="43">
        <v>11.500752526338422</v>
      </c>
      <c r="N4150" s="43">
        <v>5.3765765765765767</v>
      </c>
      <c r="O4150" s="43">
        <v>4.3904382470119527</v>
      </c>
      <c r="P4150" s="169"/>
      <c r="Q4150" s="169"/>
      <c r="R4150" s="169">
        <v>11</v>
      </c>
    </row>
    <row r="4151" spans="1:18" ht="12.75" customHeight="1">
      <c r="A4151" s="628" t="s">
        <v>7600</v>
      </c>
      <c r="B4151" s="629"/>
      <c r="C4151" s="629"/>
      <c r="D4151" s="629"/>
      <c r="E4151" s="629"/>
      <c r="F4151" s="629"/>
      <c r="G4151" s="629"/>
      <c r="H4151" s="629"/>
      <c r="I4151" s="629"/>
      <c r="J4151" s="629"/>
      <c r="K4151" s="629"/>
      <c r="L4151" s="629"/>
      <c r="M4151" s="629"/>
      <c r="N4151" s="629"/>
      <c r="O4151" s="629"/>
      <c r="P4151" s="629"/>
      <c r="Q4151" s="629"/>
      <c r="R4151" s="629"/>
    </row>
    <row r="4152" spans="1:18" ht="36">
      <c r="A4152" s="165">
        <v>1344</v>
      </c>
      <c r="B4152" s="162" t="s">
        <v>7601</v>
      </c>
      <c r="C4152" s="166" t="s">
        <v>7602</v>
      </c>
      <c r="D4152" s="167">
        <v>73.92</v>
      </c>
      <c r="E4152" s="167">
        <v>13.15</v>
      </c>
      <c r="F4152" s="167">
        <v>19.420000000000002</v>
      </c>
      <c r="G4152" s="167">
        <v>41.35</v>
      </c>
      <c r="H4152" s="168">
        <v>600.86</v>
      </c>
      <c r="I4152" s="168">
        <v>151.27000000000001</v>
      </c>
      <c r="J4152" s="168">
        <v>104.46</v>
      </c>
      <c r="K4152" s="168">
        <v>345.13</v>
      </c>
      <c r="L4152" s="43">
        <v>8.1285173160173159</v>
      </c>
      <c r="M4152" s="43">
        <v>11.50342205323194</v>
      </c>
      <c r="N4152" s="43">
        <v>5.3789907312049428</v>
      </c>
      <c r="O4152" s="43">
        <v>8.3465538089480038</v>
      </c>
      <c r="P4152" s="169"/>
      <c r="Q4152" s="169"/>
      <c r="R4152" s="169">
        <v>12</v>
      </c>
    </row>
    <row r="4153" spans="1:18" ht="36">
      <c r="A4153" s="165">
        <v>1345</v>
      </c>
      <c r="B4153" s="162" t="s">
        <v>7603</v>
      </c>
      <c r="C4153" s="166" t="s">
        <v>7604</v>
      </c>
      <c r="D4153" s="167">
        <v>103.56</v>
      </c>
      <c r="E4153" s="167">
        <v>26.66</v>
      </c>
      <c r="F4153" s="167">
        <v>24.96</v>
      </c>
      <c r="G4153" s="167">
        <v>51.94</v>
      </c>
      <c r="H4153" s="168">
        <v>880.47</v>
      </c>
      <c r="I4153" s="168">
        <v>306.63</v>
      </c>
      <c r="J4153" s="168">
        <v>134.31</v>
      </c>
      <c r="K4153" s="168">
        <v>439.53</v>
      </c>
      <c r="L4153" s="43">
        <v>8.502027809965238</v>
      </c>
      <c r="M4153" s="43">
        <v>11.501500375093773</v>
      </c>
      <c r="N4153" s="43">
        <v>5.381009615384615</v>
      </c>
      <c r="O4153" s="43">
        <v>8.4622641509433958</v>
      </c>
      <c r="P4153" s="169"/>
      <c r="Q4153" s="169"/>
      <c r="R4153" s="169">
        <v>12</v>
      </c>
    </row>
    <row r="4154" spans="1:18" ht="36">
      <c r="A4154" s="165">
        <v>1346</v>
      </c>
      <c r="B4154" s="162" t="s">
        <v>7605</v>
      </c>
      <c r="C4154" s="166" t="s">
        <v>7606</v>
      </c>
      <c r="D4154" s="167">
        <v>163.57</v>
      </c>
      <c r="E4154" s="167">
        <v>40.049999999999997</v>
      </c>
      <c r="F4154" s="167">
        <v>41.6</v>
      </c>
      <c r="G4154" s="167">
        <v>81.92</v>
      </c>
      <c r="H4154" s="168">
        <v>1386.7</v>
      </c>
      <c r="I4154" s="168">
        <v>460.63</v>
      </c>
      <c r="J4154" s="168">
        <v>223.85</v>
      </c>
      <c r="K4154" s="168">
        <v>702.22</v>
      </c>
      <c r="L4154" s="43">
        <v>8.477715962584826</v>
      </c>
      <c r="M4154" s="43">
        <v>11.501373283395756</v>
      </c>
      <c r="N4154" s="43">
        <v>5.381009615384615</v>
      </c>
      <c r="O4154" s="43">
        <v>8.572021484375</v>
      </c>
      <c r="P4154" s="169"/>
      <c r="Q4154" s="169"/>
      <c r="R4154" s="169">
        <v>12</v>
      </c>
    </row>
    <row r="4155" spans="1:18" ht="24">
      <c r="A4155" s="165">
        <v>1347</v>
      </c>
      <c r="B4155" s="162" t="s">
        <v>7607</v>
      </c>
      <c r="C4155" s="166" t="s">
        <v>7608</v>
      </c>
      <c r="D4155" s="167">
        <v>523.79</v>
      </c>
      <c r="E4155" s="167">
        <v>99.3</v>
      </c>
      <c r="F4155" s="167">
        <v>304.77999999999997</v>
      </c>
      <c r="G4155" s="167">
        <v>119.71</v>
      </c>
      <c r="H4155" s="168">
        <v>3657.67</v>
      </c>
      <c r="I4155" s="168">
        <v>1142.03</v>
      </c>
      <c r="J4155" s="168">
        <v>1479.98</v>
      </c>
      <c r="K4155" s="168">
        <v>1035.6600000000001</v>
      </c>
      <c r="L4155" s="43">
        <v>6.9830848240707164</v>
      </c>
      <c r="M4155" s="43">
        <v>11.500805639476335</v>
      </c>
      <c r="N4155" s="43">
        <v>4.8558960561716651</v>
      </c>
      <c r="O4155" s="43">
        <v>8.6514075682900362</v>
      </c>
      <c r="P4155" s="169"/>
      <c r="Q4155" s="169"/>
      <c r="R4155" s="169">
        <v>12</v>
      </c>
    </row>
    <row r="4156" spans="1:18" ht="36">
      <c r="A4156" s="165">
        <v>1348</v>
      </c>
      <c r="B4156" s="162" t="s">
        <v>7609</v>
      </c>
      <c r="C4156" s="166" t="s">
        <v>7610</v>
      </c>
      <c r="D4156" s="167">
        <v>655.65</v>
      </c>
      <c r="E4156" s="167">
        <v>111.86</v>
      </c>
      <c r="F4156" s="167">
        <v>371.25</v>
      </c>
      <c r="G4156" s="167">
        <v>172.54</v>
      </c>
      <c r="H4156" s="168">
        <v>4601.62</v>
      </c>
      <c r="I4156" s="168">
        <v>1286.48</v>
      </c>
      <c r="J4156" s="168">
        <v>1819.7</v>
      </c>
      <c r="K4156" s="168">
        <v>1495.44</v>
      </c>
      <c r="L4156" s="43">
        <v>7.018409212232136</v>
      </c>
      <c r="M4156" s="43">
        <v>11.50080457715001</v>
      </c>
      <c r="N4156" s="43">
        <v>4.9015488215488219</v>
      </c>
      <c r="O4156" s="43">
        <v>8.6672076040338482</v>
      </c>
      <c r="P4156" s="169"/>
      <c r="Q4156" s="169"/>
      <c r="R4156" s="169">
        <v>12</v>
      </c>
    </row>
    <row r="4157" spans="1:18" ht="36">
      <c r="A4157" s="165">
        <v>1349</v>
      </c>
      <c r="B4157" s="162" t="s">
        <v>7611</v>
      </c>
      <c r="C4157" s="166" t="s">
        <v>7612</v>
      </c>
      <c r="D4157" s="167">
        <v>858.32</v>
      </c>
      <c r="E4157" s="167">
        <v>124.43</v>
      </c>
      <c r="F4157" s="167">
        <v>485.09</v>
      </c>
      <c r="G4157" s="167">
        <v>248.8</v>
      </c>
      <c r="H4157" s="168">
        <v>6035.45</v>
      </c>
      <c r="I4157" s="168">
        <v>1430.94</v>
      </c>
      <c r="J4157" s="168">
        <v>2406.09</v>
      </c>
      <c r="K4157" s="168">
        <v>2198.42</v>
      </c>
      <c r="L4157" s="43">
        <v>7.0317014633237012</v>
      </c>
      <c r="M4157" s="43">
        <v>11.499959816764445</v>
      </c>
      <c r="N4157" s="43">
        <v>4.9600898802284119</v>
      </c>
      <c r="O4157" s="43">
        <v>8.8360932475884244</v>
      </c>
      <c r="P4157" s="169"/>
      <c r="Q4157" s="169"/>
      <c r="R4157" s="169">
        <v>12</v>
      </c>
    </row>
    <row r="4158" spans="1:18" ht="24">
      <c r="A4158" s="165">
        <v>1350</v>
      </c>
      <c r="B4158" s="162" t="s">
        <v>7613</v>
      </c>
      <c r="C4158" s="166" t="s">
        <v>7614</v>
      </c>
      <c r="D4158" s="167">
        <v>2723.68</v>
      </c>
      <c r="E4158" s="167">
        <v>452.67</v>
      </c>
      <c r="F4158" s="167">
        <v>1725.51</v>
      </c>
      <c r="G4158" s="167">
        <v>545.5</v>
      </c>
      <c r="H4158" s="168">
        <v>16948.14</v>
      </c>
      <c r="I4158" s="168">
        <v>5205.8999999999996</v>
      </c>
      <c r="J4158" s="168">
        <v>8711.49</v>
      </c>
      <c r="K4158" s="168">
        <v>3030.75</v>
      </c>
      <c r="L4158" s="43">
        <v>6.2225151265934322</v>
      </c>
      <c r="M4158" s="43">
        <v>11.5004307773875</v>
      </c>
      <c r="N4158" s="43">
        <v>5.048646487125545</v>
      </c>
      <c r="O4158" s="43">
        <v>5.5559120073327222</v>
      </c>
      <c r="P4158" s="169"/>
      <c r="Q4158" s="169"/>
      <c r="R4158" s="169">
        <v>12</v>
      </c>
    </row>
    <row r="4159" spans="1:18" ht="24">
      <c r="A4159" s="165">
        <v>1351</v>
      </c>
      <c r="B4159" s="162" t="s">
        <v>7615</v>
      </c>
      <c r="C4159" s="166" t="s">
        <v>7616</v>
      </c>
      <c r="D4159" s="167">
        <v>3207.59</v>
      </c>
      <c r="E4159" s="167">
        <v>579.47</v>
      </c>
      <c r="F4159" s="167">
        <v>1958.89</v>
      </c>
      <c r="G4159" s="167">
        <v>669.23</v>
      </c>
      <c r="H4159" s="168">
        <v>20240.55</v>
      </c>
      <c r="I4159" s="168">
        <v>6664.09</v>
      </c>
      <c r="J4159" s="168">
        <v>9800.83</v>
      </c>
      <c r="K4159" s="168">
        <v>3775.63</v>
      </c>
      <c r="L4159" s="43">
        <v>6.3102048578527796</v>
      </c>
      <c r="M4159" s="43">
        <v>11.500319257252317</v>
      </c>
      <c r="N4159" s="43">
        <v>5.0032569465360481</v>
      </c>
      <c r="O4159" s="43">
        <v>5.6417524617844386</v>
      </c>
      <c r="P4159" s="169"/>
      <c r="Q4159" s="169"/>
      <c r="R4159" s="169">
        <v>12</v>
      </c>
    </row>
    <row r="4160" spans="1:18" ht="24">
      <c r="A4160" s="165">
        <v>1352</v>
      </c>
      <c r="B4160" s="162" t="s">
        <v>7617</v>
      </c>
      <c r="C4160" s="166" t="s">
        <v>7618</v>
      </c>
      <c r="D4160" s="167">
        <v>3857.86</v>
      </c>
      <c r="E4160" s="167">
        <v>686.12</v>
      </c>
      <c r="F4160" s="167">
        <v>2372.44</v>
      </c>
      <c r="G4160" s="167">
        <v>799.3</v>
      </c>
      <c r="H4160" s="168">
        <v>24320.18</v>
      </c>
      <c r="I4160" s="168">
        <v>7890.61</v>
      </c>
      <c r="J4160" s="168">
        <v>11885.65</v>
      </c>
      <c r="K4160" s="168">
        <v>4543.92</v>
      </c>
      <c r="L4160" s="43">
        <v>6.3040597637031928</v>
      </c>
      <c r="M4160" s="43">
        <v>11.500335218329155</v>
      </c>
      <c r="N4160" s="43">
        <v>5.009884338486958</v>
      </c>
      <c r="O4160" s="43">
        <v>5.6848742649818593</v>
      </c>
      <c r="P4160" s="169"/>
      <c r="Q4160" s="169"/>
      <c r="R4160" s="169">
        <v>12</v>
      </c>
    </row>
    <row r="4161" spans="1:18" ht="24">
      <c r="A4161" s="165">
        <v>1353</v>
      </c>
      <c r="B4161" s="162" t="s">
        <v>7619</v>
      </c>
      <c r="C4161" s="166" t="s">
        <v>7620</v>
      </c>
      <c r="D4161" s="167">
        <v>4672.4799999999996</v>
      </c>
      <c r="E4161" s="167">
        <v>812.91</v>
      </c>
      <c r="F4161" s="167">
        <v>2813.73</v>
      </c>
      <c r="G4161" s="167">
        <v>1045.8399999999999</v>
      </c>
      <c r="H4161" s="168">
        <v>29276.11</v>
      </c>
      <c r="I4161" s="168">
        <v>9348.81</v>
      </c>
      <c r="J4161" s="168">
        <v>14119.71</v>
      </c>
      <c r="K4161" s="168">
        <v>5807.59</v>
      </c>
      <c r="L4161" s="43">
        <v>6.2656469369585324</v>
      </c>
      <c r="M4161" s="43">
        <v>11.500424401225228</v>
      </c>
      <c r="N4161" s="43">
        <v>5.0181467304965288</v>
      </c>
      <c r="O4161" s="43">
        <v>5.5530387057293664</v>
      </c>
      <c r="P4161" s="169"/>
      <c r="Q4161" s="169"/>
      <c r="R4161" s="169">
        <v>12</v>
      </c>
    </row>
    <row r="4162" spans="1:18" ht="12.75" customHeight="1">
      <c r="A4162" s="628" t="s">
        <v>7621</v>
      </c>
      <c r="B4162" s="629"/>
      <c r="C4162" s="629"/>
      <c r="D4162" s="629"/>
      <c r="E4162" s="629"/>
      <c r="F4162" s="629"/>
      <c r="G4162" s="629"/>
      <c r="H4162" s="629"/>
      <c r="I4162" s="629"/>
      <c r="J4162" s="629"/>
      <c r="K4162" s="629"/>
      <c r="L4162" s="629"/>
      <c r="M4162" s="629"/>
      <c r="N4162" s="629"/>
      <c r="O4162" s="629"/>
      <c r="P4162" s="629"/>
      <c r="Q4162" s="629"/>
      <c r="R4162" s="629"/>
    </row>
    <row r="4163" spans="1:18" ht="24">
      <c r="A4163" s="165">
        <v>1354</v>
      </c>
      <c r="B4163" s="162" t="s">
        <v>7622</v>
      </c>
      <c r="C4163" s="166" t="s">
        <v>7623</v>
      </c>
      <c r="D4163" s="167">
        <v>269.89999999999998</v>
      </c>
      <c r="E4163" s="167">
        <v>200.27</v>
      </c>
      <c r="F4163" s="167">
        <v>19.420000000000002</v>
      </c>
      <c r="G4163" s="167">
        <v>50.21</v>
      </c>
      <c r="H4163" s="168">
        <v>2715.72</v>
      </c>
      <c r="I4163" s="168">
        <v>2303.13</v>
      </c>
      <c r="J4163" s="168">
        <v>104.46</v>
      </c>
      <c r="K4163" s="168">
        <v>308.13</v>
      </c>
      <c r="L4163" s="43">
        <v>10.061948869951834</v>
      </c>
      <c r="M4163" s="43">
        <v>11.500124831477505</v>
      </c>
      <c r="N4163" s="43">
        <v>5.3789907312049428</v>
      </c>
      <c r="O4163" s="43">
        <v>6.1368253335988845</v>
      </c>
      <c r="P4163" s="169"/>
      <c r="Q4163" s="169"/>
      <c r="R4163" s="169">
        <v>13</v>
      </c>
    </row>
    <row r="4164" spans="1:18" ht="24">
      <c r="A4164" s="165">
        <v>1355</v>
      </c>
      <c r="B4164" s="162" t="s">
        <v>7624</v>
      </c>
      <c r="C4164" s="166" t="s">
        <v>7625</v>
      </c>
      <c r="D4164" s="167">
        <v>640.25</v>
      </c>
      <c r="E4164" s="167">
        <v>559.32000000000005</v>
      </c>
      <c r="F4164" s="167">
        <v>22.19</v>
      </c>
      <c r="G4164" s="167">
        <v>58.74</v>
      </c>
      <c r="H4164" s="168">
        <v>6947.57</v>
      </c>
      <c r="I4164" s="168">
        <v>6432.42</v>
      </c>
      <c r="J4164" s="168">
        <v>119.39</v>
      </c>
      <c r="K4164" s="168">
        <v>395.76</v>
      </c>
      <c r="L4164" s="43">
        <v>10.8513393205779</v>
      </c>
      <c r="M4164" s="43">
        <v>11.500429092469426</v>
      </c>
      <c r="N4164" s="43">
        <v>5.3803515096890484</v>
      </c>
      <c r="O4164" s="43">
        <v>6.7374872318692542</v>
      </c>
      <c r="P4164" s="169"/>
      <c r="Q4164" s="169"/>
      <c r="R4164" s="169">
        <v>13</v>
      </c>
    </row>
    <row r="4165" spans="1:18" ht="12.75" customHeight="1">
      <c r="A4165" s="628" t="s">
        <v>7626</v>
      </c>
      <c r="B4165" s="629"/>
      <c r="C4165" s="629"/>
      <c r="D4165" s="629"/>
      <c r="E4165" s="629"/>
      <c r="F4165" s="629"/>
      <c r="G4165" s="629"/>
      <c r="H4165" s="629"/>
      <c r="I4165" s="629"/>
      <c r="J4165" s="629"/>
      <c r="K4165" s="629"/>
      <c r="L4165" s="629"/>
      <c r="M4165" s="629"/>
      <c r="N4165" s="629"/>
      <c r="O4165" s="629"/>
      <c r="P4165" s="629"/>
      <c r="Q4165" s="629"/>
      <c r="R4165" s="629"/>
    </row>
    <row r="4166" spans="1:18" ht="60">
      <c r="A4166" s="165">
        <v>1356</v>
      </c>
      <c r="B4166" s="162" t="s">
        <v>7627</v>
      </c>
      <c r="C4166" s="166" t="s">
        <v>7628</v>
      </c>
      <c r="D4166" s="167">
        <v>11765.35</v>
      </c>
      <c r="E4166" s="167">
        <v>1232.4000000000001</v>
      </c>
      <c r="F4166" s="167">
        <v>173.3</v>
      </c>
      <c r="G4166" s="167">
        <v>10359.65</v>
      </c>
      <c r="H4166" s="168">
        <v>57802.49</v>
      </c>
      <c r="I4166" s="168">
        <v>14173.12</v>
      </c>
      <c r="J4166" s="168">
        <v>915.21</v>
      </c>
      <c r="K4166" s="168">
        <v>42714.16</v>
      </c>
      <c r="L4166" s="43">
        <v>4.9129426663890152</v>
      </c>
      <c r="M4166" s="43">
        <v>11.50042194092827</v>
      </c>
      <c r="N4166" s="43">
        <v>5.2810732833237157</v>
      </c>
      <c r="O4166" s="43">
        <v>4.123127711843547</v>
      </c>
      <c r="P4166" s="169"/>
      <c r="Q4166" s="169"/>
      <c r="R4166" s="169">
        <v>14</v>
      </c>
    </row>
    <row r="4167" spans="1:18" ht="60">
      <c r="A4167" s="165">
        <v>1357</v>
      </c>
      <c r="B4167" s="162" t="s">
        <v>7629</v>
      </c>
      <c r="C4167" s="166" t="s">
        <v>7630</v>
      </c>
      <c r="D4167" s="167">
        <v>25284.45</v>
      </c>
      <c r="E4167" s="167">
        <v>1943.4</v>
      </c>
      <c r="F4167" s="167">
        <v>340.28</v>
      </c>
      <c r="G4167" s="167">
        <v>23000.77</v>
      </c>
      <c r="H4167" s="168">
        <v>118841.5</v>
      </c>
      <c r="I4167" s="168">
        <v>22349.919999999998</v>
      </c>
      <c r="J4167" s="168">
        <v>1799.28</v>
      </c>
      <c r="K4167" s="168">
        <v>94692.3</v>
      </c>
      <c r="L4167" s="43">
        <v>4.700181336750453</v>
      </c>
      <c r="M4167" s="43">
        <v>11.500421940928268</v>
      </c>
      <c r="N4167" s="43">
        <v>5.2876454684377574</v>
      </c>
      <c r="O4167" s="43">
        <v>4.1169186944610985</v>
      </c>
      <c r="P4167" s="169"/>
      <c r="Q4167" s="169"/>
      <c r="R4167" s="169">
        <v>14</v>
      </c>
    </row>
    <row r="4168" spans="1:18" ht="60">
      <c r="A4168" s="165">
        <v>1358</v>
      </c>
      <c r="B4168" s="162" t="s">
        <v>7631</v>
      </c>
      <c r="C4168" s="166" t="s">
        <v>7632</v>
      </c>
      <c r="D4168" s="167">
        <v>2225</v>
      </c>
      <c r="E4168" s="167">
        <v>962.22</v>
      </c>
      <c r="F4168" s="167">
        <v>108.75</v>
      </c>
      <c r="G4168" s="167">
        <v>1154.03</v>
      </c>
      <c r="H4168" s="168">
        <v>16687.46</v>
      </c>
      <c r="I4168" s="168">
        <v>11065.94</v>
      </c>
      <c r="J4168" s="168">
        <v>572</v>
      </c>
      <c r="K4168" s="168">
        <v>5049.5200000000004</v>
      </c>
      <c r="L4168" s="43">
        <v>7.4999820224719098</v>
      </c>
      <c r="M4168" s="43">
        <v>11.50042609798175</v>
      </c>
      <c r="N4168" s="43">
        <v>5.2597701149425289</v>
      </c>
      <c r="O4168" s="43">
        <v>4.3755534951431079</v>
      </c>
      <c r="P4168" s="169"/>
      <c r="Q4168" s="169"/>
      <c r="R4168" s="169">
        <v>14</v>
      </c>
    </row>
    <row r="4169" spans="1:18" ht="60">
      <c r="A4169" s="165">
        <v>1359</v>
      </c>
      <c r="B4169" s="162" t="s">
        <v>7633</v>
      </c>
      <c r="C4169" s="166" t="s">
        <v>7634</v>
      </c>
      <c r="D4169" s="167">
        <v>3456.12</v>
      </c>
      <c r="E4169" s="167">
        <v>1244.25</v>
      </c>
      <c r="F4169" s="167">
        <v>186.85</v>
      </c>
      <c r="G4169" s="167">
        <v>2025.02</v>
      </c>
      <c r="H4169" s="168">
        <v>24143.26</v>
      </c>
      <c r="I4169" s="168">
        <v>14309.4</v>
      </c>
      <c r="J4169" s="168">
        <v>985.26</v>
      </c>
      <c r="K4169" s="168">
        <v>8848.6</v>
      </c>
      <c r="L4169" s="43">
        <v>6.9856544332951396</v>
      </c>
      <c r="M4169" s="43">
        <v>11.50042194092827</v>
      </c>
      <c r="N4169" s="43">
        <v>5.2729997324056734</v>
      </c>
      <c r="O4169" s="43">
        <v>4.3696358554483412</v>
      </c>
      <c r="P4169" s="169"/>
      <c r="Q4169" s="169"/>
      <c r="R4169" s="169">
        <v>14</v>
      </c>
    </row>
    <row r="4170" spans="1:18" ht="12.75" customHeight="1">
      <c r="A4170" s="628" t="s">
        <v>7635</v>
      </c>
      <c r="B4170" s="629"/>
      <c r="C4170" s="629"/>
      <c r="D4170" s="629"/>
      <c r="E4170" s="629"/>
      <c r="F4170" s="629"/>
      <c r="G4170" s="629"/>
      <c r="H4170" s="629"/>
      <c r="I4170" s="629"/>
      <c r="J4170" s="629"/>
      <c r="K4170" s="629"/>
      <c r="L4170" s="629"/>
      <c r="M4170" s="629"/>
      <c r="N4170" s="629"/>
      <c r="O4170" s="629"/>
      <c r="P4170" s="629"/>
      <c r="Q4170" s="629"/>
      <c r="R4170" s="629"/>
    </row>
    <row r="4171" spans="1:18" ht="12.75" customHeight="1">
      <c r="A4171" s="628" t="s">
        <v>7636</v>
      </c>
      <c r="B4171" s="629"/>
      <c r="C4171" s="629"/>
      <c r="D4171" s="629"/>
      <c r="E4171" s="629"/>
      <c r="F4171" s="629"/>
      <c r="G4171" s="629"/>
      <c r="H4171" s="629"/>
      <c r="I4171" s="629"/>
      <c r="J4171" s="629"/>
      <c r="K4171" s="629"/>
      <c r="L4171" s="629"/>
      <c r="M4171" s="629"/>
      <c r="N4171" s="629"/>
      <c r="O4171" s="629"/>
      <c r="P4171" s="629"/>
      <c r="Q4171" s="629"/>
      <c r="R4171" s="629"/>
    </row>
    <row r="4172" spans="1:18" ht="24">
      <c r="A4172" s="165">
        <v>1360</v>
      </c>
      <c r="B4172" s="162" t="s">
        <v>7637</v>
      </c>
      <c r="C4172" s="166" t="s">
        <v>7638</v>
      </c>
      <c r="D4172" s="167">
        <v>49635.47</v>
      </c>
      <c r="E4172" s="167">
        <v>1896</v>
      </c>
      <c r="F4172" s="167">
        <v>6871.99</v>
      </c>
      <c r="G4172" s="167">
        <v>40867.480000000003</v>
      </c>
      <c r="H4172" s="168">
        <v>246061.74</v>
      </c>
      <c r="I4172" s="168">
        <v>21804.799999999999</v>
      </c>
      <c r="J4172" s="168">
        <v>33739.25</v>
      </c>
      <c r="K4172" s="168">
        <v>190517.69</v>
      </c>
      <c r="L4172" s="43">
        <v>4.9573770531436487</v>
      </c>
      <c r="M4172" s="43">
        <v>11.50042194092827</v>
      </c>
      <c r="N4172" s="43">
        <v>4.9096768185052655</v>
      </c>
      <c r="O4172" s="43">
        <v>4.6618409062658133</v>
      </c>
      <c r="P4172" s="169"/>
      <c r="Q4172" s="169"/>
      <c r="R4172" s="169">
        <v>1</v>
      </c>
    </row>
    <row r="4173" spans="1:18" ht="24">
      <c r="A4173" s="165">
        <v>1361</v>
      </c>
      <c r="B4173" s="162" t="s">
        <v>7639</v>
      </c>
      <c r="C4173" s="166" t="s">
        <v>7640</v>
      </c>
      <c r="D4173" s="167">
        <v>50844.01</v>
      </c>
      <c r="E4173" s="167">
        <v>2002.65</v>
      </c>
      <c r="F4173" s="167">
        <v>7501.05</v>
      </c>
      <c r="G4173" s="167">
        <v>41340.31</v>
      </c>
      <c r="H4173" s="168">
        <v>251731.16</v>
      </c>
      <c r="I4173" s="168">
        <v>23031.32</v>
      </c>
      <c r="J4173" s="168">
        <v>36999.120000000003</v>
      </c>
      <c r="K4173" s="168">
        <v>191700.72</v>
      </c>
      <c r="L4173" s="43">
        <v>4.9510485109258688</v>
      </c>
      <c r="M4173" s="43">
        <v>11.50042194092827</v>
      </c>
      <c r="N4173" s="43">
        <v>4.9325254464374986</v>
      </c>
      <c r="O4173" s="43">
        <v>4.6371379411523526</v>
      </c>
      <c r="P4173" s="169"/>
      <c r="Q4173" s="169"/>
      <c r="R4173" s="169">
        <v>1</v>
      </c>
    </row>
    <row r="4174" spans="1:18" ht="24">
      <c r="A4174" s="165">
        <v>1362</v>
      </c>
      <c r="B4174" s="162" t="s">
        <v>7641</v>
      </c>
      <c r="C4174" s="166" t="s">
        <v>7642</v>
      </c>
      <c r="D4174" s="167">
        <v>52764.36</v>
      </c>
      <c r="E4174" s="167">
        <v>2334.4499999999998</v>
      </c>
      <c r="F4174" s="167">
        <v>8995.59</v>
      </c>
      <c r="G4174" s="167">
        <v>41434.32</v>
      </c>
      <c r="H4174" s="168">
        <v>263517.53999999998</v>
      </c>
      <c r="I4174" s="168">
        <v>26847.16</v>
      </c>
      <c r="J4174" s="168">
        <v>44502.82</v>
      </c>
      <c r="K4174" s="168">
        <v>192167.56</v>
      </c>
      <c r="L4174" s="43">
        <v>4.994233607685187</v>
      </c>
      <c r="M4174" s="43">
        <v>11.500421940928272</v>
      </c>
      <c r="N4174" s="43">
        <v>4.9471818969072618</v>
      </c>
      <c r="O4174" s="43">
        <v>4.6378837639908168</v>
      </c>
      <c r="P4174" s="169"/>
      <c r="Q4174" s="169"/>
      <c r="R4174" s="169">
        <v>1</v>
      </c>
    </row>
    <row r="4175" spans="1:18" ht="36">
      <c r="A4175" s="165">
        <v>1363</v>
      </c>
      <c r="B4175" s="162" t="s">
        <v>7643</v>
      </c>
      <c r="C4175" s="166" t="s">
        <v>7644</v>
      </c>
      <c r="D4175" s="167">
        <v>3207.36</v>
      </c>
      <c r="E4175" s="167">
        <v>481.11</v>
      </c>
      <c r="F4175" s="167">
        <v>1435.58</v>
      </c>
      <c r="G4175" s="167">
        <v>1290.67</v>
      </c>
      <c r="H4175" s="168">
        <v>17598.63</v>
      </c>
      <c r="I4175" s="168">
        <v>5532.97</v>
      </c>
      <c r="J4175" s="168">
        <v>7124.68</v>
      </c>
      <c r="K4175" s="168">
        <v>4940.9799999999996</v>
      </c>
      <c r="L4175" s="43">
        <v>5.4869518856629753</v>
      </c>
      <c r="M4175" s="43">
        <v>11.50042609798175</v>
      </c>
      <c r="N4175" s="43">
        <v>4.9629278758411237</v>
      </c>
      <c r="O4175" s="43">
        <v>3.8282287494092211</v>
      </c>
      <c r="P4175" s="169"/>
      <c r="Q4175" s="169"/>
      <c r="R4175" s="169">
        <v>1</v>
      </c>
    </row>
    <row r="4176" spans="1:18" ht="36">
      <c r="A4176" s="165">
        <v>1364</v>
      </c>
      <c r="B4176" s="162" t="s">
        <v>7645</v>
      </c>
      <c r="C4176" s="166" t="s">
        <v>7646</v>
      </c>
      <c r="D4176" s="167">
        <v>3767.37</v>
      </c>
      <c r="E4176" s="167">
        <v>509.55</v>
      </c>
      <c r="F4176" s="167">
        <v>1816.55</v>
      </c>
      <c r="G4176" s="167">
        <v>1441.27</v>
      </c>
      <c r="H4176" s="168">
        <v>20246.46</v>
      </c>
      <c r="I4176" s="168">
        <v>5860.04</v>
      </c>
      <c r="J4176" s="168">
        <v>9040.0400000000009</v>
      </c>
      <c r="K4176" s="168">
        <v>5346.38</v>
      </c>
      <c r="L4176" s="43">
        <v>5.3741628775511829</v>
      </c>
      <c r="M4176" s="43">
        <v>11.50042194092827</v>
      </c>
      <c r="N4176" s="43">
        <v>4.9764883983375086</v>
      </c>
      <c r="O4176" s="43">
        <v>3.7094923227431362</v>
      </c>
      <c r="P4176" s="169"/>
      <c r="Q4176" s="169"/>
      <c r="R4176" s="169">
        <v>1</v>
      </c>
    </row>
    <row r="4177" spans="1:18" ht="36">
      <c r="A4177" s="165">
        <v>1365</v>
      </c>
      <c r="B4177" s="162" t="s">
        <v>7647</v>
      </c>
      <c r="C4177" s="166" t="s">
        <v>7648</v>
      </c>
      <c r="D4177" s="167">
        <v>4765.96</v>
      </c>
      <c r="E4177" s="167">
        <v>594.87</v>
      </c>
      <c r="F4177" s="167">
        <v>2693.56</v>
      </c>
      <c r="G4177" s="167">
        <v>1477.53</v>
      </c>
      <c r="H4177" s="168">
        <v>25836.54</v>
      </c>
      <c r="I4177" s="168">
        <v>6841.26</v>
      </c>
      <c r="J4177" s="168">
        <v>13520.38</v>
      </c>
      <c r="K4177" s="168">
        <v>5474.9</v>
      </c>
      <c r="L4177" s="43">
        <v>5.4210568280052707</v>
      </c>
      <c r="M4177" s="43">
        <v>11.50042866508649</v>
      </c>
      <c r="N4177" s="43">
        <v>5.0195206344020553</v>
      </c>
      <c r="O4177" s="43">
        <v>3.7054408370726821</v>
      </c>
      <c r="P4177" s="169"/>
      <c r="Q4177" s="169"/>
      <c r="R4177" s="169">
        <v>1</v>
      </c>
    </row>
    <row r="4178" spans="1:18" ht="12.75" customHeight="1">
      <c r="A4178" s="628" t="s">
        <v>7649</v>
      </c>
      <c r="B4178" s="629"/>
      <c r="C4178" s="629"/>
      <c r="D4178" s="629"/>
      <c r="E4178" s="629"/>
      <c r="F4178" s="629"/>
      <c r="G4178" s="629"/>
      <c r="H4178" s="629"/>
      <c r="I4178" s="629"/>
      <c r="J4178" s="629"/>
      <c r="K4178" s="629"/>
      <c r="L4178" s="629"/>
      <c r="M4178" s="629"/>
      <c r="N4178" s="629"/>
      <c r="O4178" s="629"/>
      <c r="P4178" s="629"/>
      <c r="Q4178" s="629"/>
      <c r="R4178" s="629"/>
    </row>
    <row r="4179" spans="1:18" ht="24">
      <c r="A4179" s="165">
        <v>1366</v>
      </c>
      <c r="B4179" s="162" t="s">
        <v>7650</v>
      </c>
      <c r="C4179" s="166" t="s">
        <v>7651</v>
      </c>
      <c r="D4179" s="167">
        <v>9980.7800000000007</v>
      </c>
      <c r="E4179" s="167">
        <v>1445.7</v>
      </c>
      <c r="F4179" s="167">
        <v>1759.21</v>
      </c>
      <c r="G4179" s="167">
        <v>6775.87</v>
      </c>
      <c r="H4179" s="168">
        <v>54459.77</v>
      </c>
      <c r="I4179" s="168">
        <v>16626.16</v>
      </c>
      <c r="J4179" s="168">
        <v>9138.16</v>
      </c>
      <c r="K4179" s="168">
        <v>28695.45</v>
      </c>
      <c r="L4179" s="43">
        <v>5.4564643244315567</v>
      </c>
      <c r="M4179" s="43">
        <v>11.50042194092827</v>
      </c>
      <c r="N4179" s="43">
        <v>5.1944679714189892</v>
      </c>
      <c r="O4179" s="43">
        <v>4.2349469514615841</v>
      </c>
      <c r="P4179" s="169"/>
      <c r="Q4179" s="169"/>
      <c r="R4179" s="169">
        <v>2</v>
      </c>
    </row>
    <row r="4180" spans="1:18" ht="12.75" customHeight="1">
      <c r="A4180" s="628" t="s">
        <v>7652</v>
      </c>
      <c r="B4180" s="629"/>
      <c r="C4180" s="629"/>
      <c r="D4180" s="629"/>
      <c r="E4180" s="629"/>
      <c r="F4180" s="629"/>
      <c r="G4180" s="629"/>
      <c r="H4180" s="629"/>
      <c r="I4180" s="629"/>
      <c r="J4180" s="629"/>
      <c r="K4180" s="629"/>
      <c r="L4180" s="629"/>
      <c r="M4180" s="629"/>
      <c r="N4180" s="629"/>
      <c r="O4180" s="629"/>
      <c r="P4180" s="629"/>
      <c r="Q4180" s="629"/>
      <c r="R4180" s="629"/>
    </row>
    <row r="4181" spans="1:18" ht="36">
      <c r="A4181" s="165">
        <v>1367</v>
      </c>
      <c r="B4181" s="162" t="s">
        <v>7653</v>
      </c>
      <c r="C4181" s="166" t="s">
        <v>7654</v>
      </c>
      <c r="D4181" s="167">
        <v>9170.8799999999992</v>
      </c>
      <c r="E4181" s="167">
        <v>1445.7</v>
      </c>
      <c r="F4181" s="167">
        <v>7158.34</v>
      </c>
      <c r="G4181" s="167">
        <v>566.84</v>
      </c>
      <c r="H4181" s="168">
        <v>55219.8</v>
      </c>
      <c r="I4181" s="168">
        <v>16626.16</v>
      </c>
      <c r="J4181" s="168">
        <v>36721.57</v>
      </c>
      <c r="K4181" s="168">
        <v>1872.07</v>
      </c>
      <c r="L4181" s="43">
        <v>6.0212106144666606</v>
      </c>
      <c r="M4181" s="43">
        <v>11.50042194092827</v>
      </c>
      <c r="N4181" s="43">
        <v>5.1299002282652122</v>
      </c>
      <c r="O4181" s="43">
        <v>3.3026427210500313</v>
      </c>
      <c r="P4181" s="169"/>
      <c r="Q4181" s="169"/>
      <c r="R4181" s="169">
        <v>3</v>
      </c>
    </row>
    <row r="4182" spans="1:18" ht="36">
      <c r="A4182" s="165">
        <v>1368</v>
      </c>
      <c r="B4182" s="162" t="s">
        <v>7655</v>
      </c>
      <c r="C4182" s="166" t="s">
        <v>7656</v>
      </c>
      <c r="D4182" s="167">
        <v>10339.02</v>
      </c>
      <c r="E4182" s="167">
        <v>1493.1</v>
      </c>
      <c r="F4182" s="167">
        <v>7776.46</v>
      </c>
      <c r="G4182" s="167">
        <v>1069.46</v>
      </c>
      <c r="H4182" s="168">
        <v>60283.17</v>
      </c>
      <c r="I4182" s="168">
        <v>17171.28</v>
      </c>
      <c r="J4182" s="168">
        <v>39992.06</v>
      </c>
      <c r="K4182" s="168">
        <v>3119.83</v>
      </c>
      <c r="L4182" s="43">
        <v>5.8306464249029402</v>
      </c>
      <c r="M4182" s="43">
        <v>11.50042194092827</v>
      </c>
      <c r="N4182" s="43">
        <v>5.142707607317468</v>
      </c>
      <c r="O4182" s="43">
        <v>2.9172012043461186</v>
      </c>
      <c r="P4182" s="169"/>
      <c r="Q4182" s="169"/>
      <c r="R4182" s="169">
        <v>3</v>
      </c>
    </row>
    <row r="4183" spans="1:18" ht="36">
      <c r="A4183" s="165">
        <v>1369</v>
      </c>
      <c r="B4183" s="162" t="s">
        <v>7657</v>
      </c>
      <c r="C4183" s="166" t="s">
        <v>7658</v>
      </c>
      <c r="D4183" s="167">
        <v>12354.95</v>
      </c>
      <c r="E4183" s="167">
        <v>1943.4</v>
      </c>
      <c r="F4183" s="167">
        <v>9782.4699999999993</v>
      </c>
      <c r="G4183" s="167">
        <v>629.08000000000004</v>
      </c>
      <c r="H4183" s="168">
        <v>74646.559999999998</v>
      </c>
      <c r="I4183" s="168">
        <v>22349.919999999998</v>
      </c>
      <c r="J4183" s="168">
        <v>50196.08</v>
      </c>
      <c r="K4183" s="168">
        <v>2100.56</v>
      </c>
      <c r="L4183" s="43">
        <v>6.0418342445740363</v>
      </c>
      <c r="M4183" s="43">
        <v>11.500421940928268</v>
      </c>
      <c r="N4183" s="43">
        <v>5.1312275938489975</v>
      </c>
      <c r="O4183" s="43">
        <v>3.3390983658676161</v>
      </c>
      <c r="P4183" s="169"/>
      <c r="Q4183" s="169"/>
      <c r="R4183" s="169">
        <v>3</v>
      </c>
    </row>
    <row r="4184" spans="1:18" ht="48">
      <c r="A4184" s="165">
        <v>1370</v>
      </c>
      <c r="B4184" s="162" t="s">
        <v>7659</v>
      </c>
      <c r="C4184" s="166" t="s">
        <v>7660</v>
      </c>
      <c r="D4184" s="167">
        <v>13897.18</v>
      </c>
      <c r="E4184" s="167">
        <v>2097.4499999999998</v>
      </c>
      <c r="F4184" s="167">
        <v>10768.38</v>
      </c>
      <c r="G4184" s="167">
        <v>1031.3499999999999</v>
      </c>
      <c r="H4184" s="168">
        <v>82390.2</v>
      </c>
      <c r="I4184" s="168">
        <v>24121.56</v>
      </c>
      <c r="J4184" s="168">
        <v>55238.559999999998</v>
      </c>
      <c r="K4184" s="168">
        <v>3030.08</v>
      </c>
      <c r="L4184" s="43">
        <v>5.9285552896342999</v>
      </c>
      <c r="M4184" s="43">
        <v>11.500421940928272</v>
      </c>
      <c r="N4184" s="43">
        <v>5.1297001034510297</v>
      </c>
      <c r="O4184" s="43">
        <v>2.9379744994424786</v>
      </c>
      <c r="P4184" s="169"/>
      <c r="Q4184" s="169"/>
      <c r="R4184" s="169">
        <v>3</v>
      </c>
    </row>
    <row r="4185" spans="1:18" ht="48">
      <c r="A4185" s="165">
        <v>1371</v>
      </c>
      <c r="B4185" s="162" t="s">
        <v>7661</v>
      </c>
      <c r="C4185" s="166" t="s">
        <v>7662</v>
      </c>
      <c r="D4185" s="167">
        <v>13928.41</v>
      </c>
      <c r="E4185" s="167">
        <v>2097.4499999999998</v>
      </c>
      <c r="F4185" s="167">
        <v>10789.31</v>
      </c>
      <c r="G4185" s="167">
        <v>1041.6500000000001</v>
      </c>
      <c r="H4185" s="168">
        <v>82634.7</v>
      </c>
      <c r="I4185" s="168">
        <v>24121.56</v>
      </c>
      <c r="J4185" s="168">
        <v>55400.11</v>
      </c>
      <c r="K4185" s="168">
        <v>3113.03</v>
      </c>
      <c r="L4185" s="43">
        <v>5.9328164521291376</v>
      </c>
      <c r="M4185" s="43">
        <v>11.500421940928272</v>
      </c>
      <c r="N4185" s="43">
        <v>5.1347222389568934</v>
      </c>
      <c r="O4185" s="43">
        <v>2.9885566169058704</v>
      </c>
      <c r="P4185" s="169"/>
      <c r="Q4185" s="169"/>
      <c r="R4185" s="169">
        <v>3</v>
      </c>
    </row>
    <row r="4186" spans="1:18" ht="36">
      <c r="A4186" s="165">
        <v>1372</v>
      </c>
      <c r="B4186" s="162" t="s">
        <v>7663</v>
      </c>
      <c r="C4186" s="166" t="s">
        <v>7664</v>
      </c>
      <c r="D4186" s="167">
        <v>8451.9500000000007</v>
      </c>
      <c r="E4186" s="167">
        <v>1398.3</v>
      </c>
      <c r="F4186" s="167">
        <v>6505.94</v>
      </c>
      <c r="G4186" s="167">
        <v>547.71</v>
      </c>
      <c r="H4186" s="168">
        <v>51117.34</v>
      </c>
      <c r="I4186" s="168">
        <v>16081.04</v>
      </c>
      <c r="J4186" s="168">
        <v>33251.410000000003</v>
      </c>
      <c r="K4186" s="168">
        <v>1784.89</v>
      </c>
      <c r="L4186" s="43">
        <v>6.0479936582682097</v>
      </c>
      <c r="M4186" s="43">
        <v>11.500421940928272</v>
      </c>
      <c r="N4186" s="43">
        <v>5.1109309338850348</v>
      </c>
      <c r="O4186" s="43">
        <v>3.2588230998155958</v>
      </c>
      <c r="P4186" s="169"/>
      <c r="Q4186" s="169"/>
      <c r="R4186" s="169">
        <v>3</v>
      </c>
    </row>
    <row r="4187" spans="1:18" ht="12.75" customHeight="1">
      <c r="A4187" s="628" t="s">
        <v>7665</v>
      </c>
      <c r="B4187" s="629"/>
      <c r="C4187" s="629"/>
      <c r="D4187" s="629"/>
      <c r="E4187" s="629"/>
      <c r="F4187" s="629"/>
      <c r="G4187" s="629"/>
      <c r="H4187" s="629"/>
      <c r="I4187" s="629"/>
      <c r="J4187" s="629"/>
      <c r="K4187" s="629"/>
      <c r="L4187" s="629"/>
      <c r="M4187" s="629"/>
      <c r="N4187" s="629"/>
      <c r="O4187" s="629"/>
      <c r="P4187" s="629"/>
      <c r="Q4187" s="629"/>
      <c r="R4187" s="629"/>
    </row>
    <row r="4188" spans="1:18" ht="24">
      <c r="A4188" s="165">
        <v>1373</v>
      </c>
      <c r="B4188" s="162" t="s">
        <v>7666</v>
      </c>
      <c r="C4188" s="166" t="s">
        <v>7667</v>
      </c>
      <c r="D4188" s="167">
        <v>2790.12</v>
      </c>
      <c r="E4188" s="167">
        <v>969.33</v>
      </c>
      <c r="F4188" s="167">
        <v>1245.51</v>
      </c>
      <c r="G4188" s="167">
        <v>575.28</v>
      </c>
      <c r="H4188" s="168">
        <v>19646.54</v>
      </c>
      <c r="I4188" s="168">
        <v>11147.7</v>
      </c>
      <c r="J4188" s="168">
        <v>6664.27</v>
      </c>
      <c r="K4188" s="168">
        <v>1834.57</v>
      </c>
      <c r="L4188" s="43">
        <v>7.0414677504910186</v>
      </c>
      <c r="M4188" s="43">
        <v>11.500417814366624</v>
      </c>
      <c r="N4188" s="43">
        <v>5.3506354826536926</v>
      </c>
      <c r="O4188" s="43">
        <v>3.1890036156306496</v>
      </c>
      <c r="P4188" s="169"/>
      <c r="Q4188" s="169"/>
      <c r="R4188" s="169">
        <v>4</v>
      </c>
    </row>
    <row r="4189" spans="1:18" ht="24">
      <c r="A4189" s="165">
        <v>1374</v>
      </c>
      <c r="B4189" s="162" t="s">
        <v>7668</v>
      </c>
      <c r="C4189" s="166" t="s">
        <v>7669</v>
      </c>
      <c r="D4189" s="167">
        <v>2569.61</v>
      </c>
      <c r="E4189" s="167">
        <v>844.91</v>
      </c>
      <c r="F4189" s="167">
        <v>1160.1500000000001</v>
      </c>
      <c r="G4189" s="167">
        <v>564.54999999999995</v>
      </c>
      <c r="H4189" s="168">
        <v>17668.48</v>
      </c>
      <c r="I4189" s="168">
        <v>9716.76</v>
      </c>
      <c r="J4189" s="168">
        <v>6212.15</v>
      </c>
      <c r="K4189" s="168">
        <v>1739.57</v>
      </c>
      <c r="L4189" s="43">
        <v>6.8759383719708431</v>
      </c>
      <c r="M4189" s="43">
        <v>11.500349149613569</v>
      </c>
      <c r="N4189" s="43">
        <v>5.3546093177606338</v>
      </c>
      <c r="O4189" s="43">
        <v>3.0813391196528208</v>
      </c>
      <c r="P4189" s="169"/>
      <c r="Q4189" s="169"/>
      <c r="R4189" s="169">
        <v>4</v>
      </c>
    </row>
    <row r="4190" spans="1:18" ht="12.75" customHeight="1">
      <c r="A4190" s="628" t="s">
        <v>7670</v>
      </c>
      <c r="B4190" s="629"/>
      <c r="C4190" s="629"/>
      <c r="D4190" s="629"/>
      <c r="E4190" s="629"/>
      <c r="F4190" s="629"/>
      <c r="G4190" s="629"/>
      <c r="H4190" s="629"/>
      <c r="I4190" s="629"/>
      <c r="J4190" s="629"/>
      <c r="K4190" s="629"/>
      <c r="L4190" s="629"/>
      <c r="M4190" s="629"/>
      <c r="N4190" s="629"/>
      <c r="O4190" s="629"/>
      <c r="P4190" s="629"/>
      <c r="Q4190" s="629"/>
      <c r="R4190" s="629"/>
    </row>
    <row r="4191" spans="1:18" ht="24">
      <c r="A4191" s="165">
        <v>1375</v>
      </c>
      <c r="B4191" s="162" t="s">
        <v>7671</v>
      </c>
      <c r="C4191" s="166" t="s">
        <v>7672</v>
      </c>
      <c r="D4191" s="167">
        <v>6242.91</v>
      </c>
      <c r="E4191" s="167">
        <v>1410.15</v>
      </c>
      <c r="F4191" s="167">
        <v>4020.53</v>
      </c>
      <c r="G4191" s="167">
        <v>812.23</v>
      </c>
      <c r="H4191" s="168">
        <v>40451.25</v>
      </c>
      <c r="I4191" s="168">
        <v>16217.32</v>
      </c>
      <c r="J4191" s="168">
        <v>22016.83</v>
      </c>
      <c r="K4191" s="168">
        <v>2217.1</v>
      </c>
      <c r="L4191" s="43">
        <v>6.4795504019760015</v>
      </c>
      <c r="M4191" s="43">
        <v>11.50042194092827</v>
      </c>
      <c r="N4191" s="43">
        <v>5.4761014095156613</v>
      </c>
      <c r="O4191" s="43">
        <v>2.729645543749923</v>
      </c>
      <c r="P4191" s="169"/>
      <c r="Q4191" s="169"/>
      <c r="R4191" s="169">
        <v>5</v>
      </c>
    </row>
    <row r="4192" spans="1:18" ht="24">
      <c r="A4192" s="165">
        <v>1376</v>
      </c>
      <c r="B4192" s="162" t="s">
        <v>7673</v>
      </c>
      <c r="C4192" s="166" t="s">
        <v>7674</v>
      </c>
      <c r="D4192" s="167">
        <v>6760.9</v>
      </c>
      <c r="E4192" s="167">
        <v>1564.2</v>
      </c>
      <c r="F4192" s="167">
        <v>4382.5200000000004</v>
      </c>
      <c r="G4192" s="167">
        <v>814.18</v>
      </c>
      <c r="H4192" s="168">
        <v>43910.41</v>
      </c>
      <c r="I4192" s="168">
        <v>17988.96</v>
      </c>
      <c r="J4192" s="168">
        <v>23676.82</v>
      </c>
      <c r="K4192" s="168">
        <v>2244.63</v>
      </c>
      <c r="L4192" s="43">
        <v>6.4947580943365537</v>
      </c>
      <c r="M4192" s="43">
        <v>11.50042194092827</v>
      </c>
      <c r="N4192" s="43">
        <v>5.4025583454268311</v>
      </c>
      <c r="O4192" s="43">
        <v>2.7569210739639884</v>
      </c>
      <c r="P4192" s="169"/>
      <c r="Q4192" s="169"/>
      <c r="R4192" s="169">
        <v>5</v>
      </c>
    </row>
    <row r="4193" spans="1:18" ht="12.75" customHeight="1">
      <c r="A4193" s="628" t="s">
        <v>7675</v>
      </c>
      <c r="B4193" s="629"/>
      <c r="C4193" s="629"/>
      <c r="D4193" s="629"/>
      <c r="E4193" s="629"/>
      <c r="F4193" s="629"/>
      <c r="G4193" s="629"/>
      <c r="H4193" s="629"/>
      <c r="I4193" s="629"/>
      <c r="J4193" s="629"/>
      <c r="K4193" s="629"/>
      <c r="L4193" s="629"/>
      <c r="M4193" s="629"/>
      <c r="N4193" s="629"/>
      <c r="O4193" s="629"/>
      <c r="P4193" s="629"/>
      <c r="Q4193" s="629"/>
      <c r="R4193" s="629"/>
    </row>
    <row r="4194" spans="1:18" ht="36">
      <c r="A4194" s="165">
        <v>1377</v>
      </c>
      <c r="B4194" s="162" t="s">
        <v>7676</v>
      </c>
      <c r="C4194" s="166" t="s">
        <v>7677</v>
      </c>
      <c r="D4194" s="167">
        <v>11755.26</v>
      </c>
      <c r="E4194" s="167">
        <v>1267.95</v>
      </c>
      <c r="F4194" s="167">
        <v>3960.97</v>
      </c>
      <c r="G4194" s="167">
        <v>6526.34</v>
      </c>
      <c r="H4194" s="168">
        <v>65567.8</v>
      </c>
      <c r="I4194" s="168">
        <v>14581.96</v>
      </c>
      <c r="J4194" s="168">
        <v>22597.27</v>
      </c>
      <c r="K4194" s="168">
        <v>28388.57</v>
      </c>
      <c r="L4194" s="43">
        <v>5.577741368544805</v>
      </c>
      <c r="M4194" s="43">
        <v>11.50042194092827</v>
      </c>
      <c r="N4194" s="43">
        <v>5.7049838802111612</v>
      </c>
      <c r="O4194" s="43">
        <v>4.349845395734822</v>
      </c>
      <c r="P4194" s="169"/>
      <c r="Q4194" s="169"/>
      <c r="R4194" s="169">
        <v>6</v>
      </c>
    </row>
    <row r="4195" spans="1:18" ht="36">
      <c r="A4195" s="165">
        <v>1378</v>
      </c>
      <c r="B4195" s="162" t="s">
        <v>7678</v>
      </c>
      <c r="C4195" s="166" t="s">
        <v>7679</v>
      </c>
      <c r="D4195" s="167">
        <v>14782.58</v>
      </c>
      <c r="E4195" s="167">
        <v>2974.35</v>
      </c>
      <c r="F4195" s="167">
        <v>5240.1899999999996</v>
      </c>
      <c r="G4195" s="167">
        <v>6568.04</v>
      </c>
      <c r="H4195" s="168">
        <v>93733.86</v>
      </c>
      <c r="I4195" s="168">
        <v>34206.28</v>
      </c>
      <c r="J4195" s="168">
        <v>30740.69</v>
      </c>
      <c r="K4195" s="168">
        <v>28786.89</v>
      </c>
      <c r="L4195" s="43">
        <v>6.3408322498508376</v>
      </c>
      <c r="M4195" s="43">
        <v>11.50042194092827</v>
      </c>
      <c r="N4195" s="43">
        <v>5.8663311826479578</v>
      </c>
      <c r="O4195" s="43">
        <v>4.3828737340211079</v>
      </c>
      <c r="P4195" s="169"/>
      <c r="Q4195" s="169"/>
      <c r="R4195" s="169">
        <v>6</v>
      </c>
    </row>
    <row r="4196" spans="1:18" ht="12.75" customHeight="1">
      <c r="A4196" s="628" t="s">
        <v>7680</v>
      </c>
      <c r="B4196" s="629"/>
      <c r="C4196" s="629"/>
      <c r="D4196" s="629"/>
      <c r="E4196" s="629"/>
      <c r="F4196" s="629"/>
      <c r="G4196" s="629"/>
      <c r="H4196" s="629"/>
      <c r="I4196" s="629"/>
      <c r="J4196" s="629"/>
      <c r="K4196" s="629"/>
      <c r="L4196" s="629"/>
      <c r="M4196" s="629"/>
      <c r="N4196" s="629"/>
      <c r="O4196" s="629"/>
      <c r="P4196" s="629"/>
      <c r="Q4196" s="629"/>
      <c r="R4196" s="629"/>
    </row>
    <row r="4197" spans="1:18" ht="24">
      <c r="A4197" s="165">
        <v>1379</v>
      </c>
      <c r="B4197" s="162" t="s">
        <v>7681</v>
      </c>
      <c r="C4197" s="166" t="s">
        <v>7682</v>
      </c>
      <c r="D4197" s="167">
        <v>458.23</v>
      </c>
      <c r="E4197" s="167">
        <v>41.83</v>
      </c>
      <c r="F4197" s="167">
        <v>138.65</v>
      </c>
      <c r="G4197" s="167">
        <v>277.75</v>
      </c>
      <c r="H4197" s="168">
        <v>2673.58</v>
      </c>
      <c r="I4197" s="168">
        <v>481.07</v>
      </c>
      <c r="J4197" s="168">
        <v>811.28</v>
      </c>
      <c r="K4197" s="168">
        <v>1381.23</v>
      </c>
      <c r="L4197" s="43">
        <v>5.8345808873273244</v>
      </c>
      <c r="M4197" s="43">
        <v>11.500597657183839</v>
      </c>
      <c r="N4197" s="43">
        <v>5.8512802019473487</v>
      </c>
      <c r="O4197" s="43">
        <v>4.9729252925292533</v>
      </c>
      <c r="P4197" s="169"/>
      <c r="Q4197" s="169"/>
      <c r="R4197" s="169">
        <v>7</v>
      </c>
    </row>
    <row r="4198" spans="1:18" ht="24">
      <c r="A4198" s="165">
        <v>1380</v>
      </c>
      <c r="B4198" s="162" t="s">
        <v>7683</v>
      </c>
      <c r="C4198" s="166" t="s">
        <v>7684</v>
      </c>
      <c r="D4198" s="167">
        <v>645.63</v>
      </c>
      <c r="E4198" s="167">
        <v>41.83</v>
      </c>
      <c r="F4198" s="167">
        <v>117.56</v>
      </c>
      <c r="G4198" s="167">
        <v>486.24</v>
      </c>
      <c r="H4198" s="168">
        <v>3553.04</v>
      </c>
      <c r="I4198" s="168">
        <v>481.07</v>
      </c>
      <c r="J4198" s="168">
        <v>699.3</v>
      </c>
      <c r="K4198" s="168">
        <v>2372.67</v>
      </c>
      <c r="L4198" s="43">
        <v>5.5032139150906865</v>
      </c>
      <c r="M4198" s="43">
        <v>11.500597657183839</v>
      </c>
      <c r="N4198" s="43">
        <v>5.9484518543722347</v>
      </c>
      <c r="O4198" s="43">
        <v>4.8796273445212242</v>
      </c>
      <c r="P4198" s="169"/>
      <c r="Q4198" s="169"/>
      <c r="R4198" s="169">
        <v>7</v>
      </c>
    </row>
    <row r="4199" spans="1:18" ht="24">
      <c r="A4199" s="165">
        <v>1381</v>
      </c>
      <c r="B4199" s="162" t="s">
        <v>7685</v>
      </c>
      <c r="C4199" s="166" t="s">
        <v>7686</v>
      </c>
      <c r="D4199" s="167">
        <v>287.74</v>
      </c>
      <c r="E4199" s="167">
        <v>110.8</v>
      </c>
      <c r="F4199" s="167">
        <v>159.44</v>
      </c>
      <c r="G4199" s="167">
        <v>17.5</v>
      </c>
      <c r="H4199" s="168">
        <v>2388.98</v>
      </c>
      <c r="I4199" s="168">
        <v>1274.22</v>
      </c>
      <c r="J4199" s="168">
        <v>1045.04</v>
      </c>
      <c r="K4199" s="168">
        <v>69.72</v>
      </c>
      <c r="L4199" s="43">
        <v>8.3025648154583997</v>
      </c>
      <c r="M4199" s="43">
        <v>11.500180505415162</v>
      </c>
      <c r="N4199" s="43">
        <v>6.5544405418966383</v>
      </c>
      <c r="O4199" s="43">
        <v>3.984</v>
      </c>
      <c r="P4199" s="169"/>
      <c r="Q4199" s="169"/>
      <c r="R4199" s="169">
        <v>7</v>
      </c>
    </row>
    <row r="4200" spans="1:18" ht="12.75" customHeight="1">
      <c r="A4200" s="628" t="s">
        <v>7687</v>
      </c>
      <c r="B4200" s="629"/>
      <c r="C4200" s="629"/>
      <c r="D4200" s="629"/>
      <c r="E4200" s="629"/>
      <c r="F4200" s="629"/>
      <c r="G4200" s="629"/>
      <c r="H4200" s="629"/>
      <c r="I4200" s="629"/>
      <c r="J4200" s="629"/>
      <c r="K4200" s="629"/>
      <c r="L4200" s="629"/>
      <c r="M4200" s="629"/>
      <c r="N4200" s="629"/>
      <c r="O4200" s="629"/>
      <c r="P4200" s="629"/>
      <c r="Q4200" s="629"/>
      <c r="R4200" s="629"/>
    </row>
    <row r="4201" spans="1:18" ht="24">
      <c r="A4201" s="165">
        <v>1382</v>
      </c>
      <c r="B4201" s="162" t="s">
        <v>7688</v>
      </c>
      <c r="C4201" s="166" t="s">
        <v>7689</v>
      </c>
      <c r="D4201" s="167">
        <v>57.58</v>
      </c>
      <c r="E4201" s="167">
        <v>14.22</v>
      </c>
      <c r="F4201" s="167">
        <v>6.75</v>
      </c>
      <c r="G4201" s="167">
        <v>36.61</v>
      </c>
      <c r="H4201" s="168">
        <v>288.10000000000002</v>
      </c>
      <c r="I4201" s="168">
        <v>163.54</v>
      </c>
      <c r="J4201" s="168">
        <v>36.229999999999997</v>
      </c>
      <c r="K4201" s="168">
        <v>88.33</v>
      </c>
      <c r="L4201" s="43">
        <v>5.0034734282737068</v>
      </c>
      <c r="M4201" s="43">
        <v>11.500703234880449</v>
      </c>
      <c r="N4201" s="43">
        <v>5.3674074074074065</v>
      </c>
      <c r="O4201" s="43">
        <v>2.4127287626331602</v>
      </c>
      <c r="P4201" s="169"/>
      <c r="Q4201" s="169"/>
      <c r="R4201" s="169">
        <v>8</v>
      </c>
    </row>
    <row r="4202" spans="1:18" ht="24">
      <c r="A4202" s="165">
        <v>1383</v>
      </c>
      <c r="B4202" s="162" t="s">
        <v>7690</v>
      </c>
      <c r="C4202" s="166" t="s">
        <v>7691</v>
      </c>
      <c r="D4202" s="167">
        <v>60.11</v>
      </c>
      <c r="E4202" s="167">
        <v>14.22</v>
      </c>
      <c r="F4202" s="167">
        <v>7.13</v>
      </c>
      <c r="G4202" s="167">
        <v>38.76</v>
      </c>
      <c r="H4202" s="168">
        <v>295.26</v>
      </c>
      <c r="I4202" s="168">
        <v>163.54</v>
      </c>
      <c r="J4202" s="168">
        <v>38.22</v>
      </c>
      <c r="K4202" s="168">
        <v>93.5</v>
      </c>
      <c r="L4202" s="43">
        <v>4.9119946764265512</v>
      </c>
      <c r="M4202" s="43">
        <v>11.500703234880449</v>
      </c>
      <c r="N4202" s="43">
        <v>5.3604488078541372</v>
      </c>
      <c r="O4202" s="43">
        <v>2.4122807017543861</v>
      </c>
      <c r="P4202" s="169"/>
      <c r="Q4202" s="169"/>
      <c r="R4202" s="169">
        <v>8</v>
      </c>
    </row>
    <row r="4203" spans="1:18" ht="24">
      <c r="A4203" s="165">
        <v>1384</v>
      </c>
      <c r="B4203" s="162" t="s">
        <v>7692</v>
      </c>
      <c r="C4203" s="166" t="s">
        <v>7693</v>
      </c>
      <c r="D4203" s="167">
        <v>123.58</v>
      </c>
      <c r="E4203" s="167">
        <v>28.91</v>
      </c>
      <c r="F4203" s="167">
        <v>14.34</v>
      </c>
      <c r="G4203" s="167">
        <v>80.33</v>
      </c>
      <c r="H4203" s="168">
        <v>602.35</v>
      </c>
      <c r="I4203" s="168">
        <v>332.52</v>
      </c>
      <c r="J4203" s="168">
        <v>76.849999999999994</v>
      </c>
      <c r="K4203" s="168">
        <v>192.98</v>
      </c>
      <c r="L4203" s="43">
        <v>4.8741705777633921</v>
      </c>
      <c r="M4203" s="43">
        <v>11.501902455897612</v>
      </c>
      <c r="N4203" s="43">
        <v>5.3591352859135286</v>
      </c>
      <c r="O4203" s="43">
        <v>2.4023403460724513</v>
      </c>
      <c r="P4203" s="169"/>
      <c r="Q4203" s="169"/>
      <c r="R4203" s="169">
        <v>8</v>
      </c>
    </row>
    <row r="4204" spans="1:18" ht="36">
      <c r="A4204" s="165">
        <v>1385</v>
      </c>
      <c r="B4204" s="162" t="s">
        <v>7694</v>
      </c>
      <c r="C4204" s="166" t="s">
        <v>7695</v>
      </c>
      <c r="D4204" s="167">
        <v>366.11</v>
      </c>
      <c r="E4204" s="167">
        <v>42.66</v>
      </c>
      <c r="F4204" s="167">
        <v>27.49</v>
      </c>
      <c r="G4204" s="167">
        <v>295.95999999999998</v>
      </c>
      <c r="H4204" s="168">
        <v>1370.56</v>
      </c>
      <c r="I4204" s="168">
        <v>490.61</v>
      </c>
      <c r="J4204" s="168">
        <v>142.38999999999999</v>
      </c>
      <c r="K4204" s="168">
        <v>737.56</v>
      </c>
      <c r="L4204" s="43">
        <v>3.7435743355822018</v>
      </c>
      <c r="M4204" s="43">
        <v>11.500468823253634</v>
      </c>
      <c r="N4204" s="43">
        <v>5.1797017097126226</v>
      </c>
      <c r="O4204" s="43">
        <v>2.4920935261521828</v>
      </c>
      <c r="P4204" s="169"/>
      <c r="Q4204" s="169"/>
      <c r="R4204" s="169">
        <v>8</v>
      </c>
    </row>
    <row r="4205" spans="1:18" ht="36">
      <c r="A4205" s="165">
        <v>1386</v>
      </c>
      <c r="B4205" s="162" t="s">
        <v>7696</v>
      </c>
      <c r="C4205" s="166" t="s">
        <v>7697</v>
      </c>
      <c r="D4205" s="167">
        <v>430.35</v>
      </c>
      <c r="E4205" s="167">
        <v>85.2</v>
      </c>
      <c r="F4205" s="167">
        <v>41.75</v>
      </c>
      <c r="G4205" s="167">
        <v>303.39999999999998</v>
      </c>
      <c r="H4205" s="168">
        <v>1962.53</v>
      </c>
      <c r="I4205" s="168">
        <v>979.85</v>
      </c>
      <c r="J4205" s="168">
        <v>216.94</v>
      </c>
      <c r="K4205" s="168">
        <v>765.74</v>
      </c>
      <c r="L4205" s="43">
        <v>4.5603113744626462</v>
      </c>
      <c r="M4205" s="43">
        <v>11.500586854460094</v>
      </c>
      <c r="N4205" s="43">
        <v>5.1961676646706589</v>
      </c>
      <c r="O4205" s="43">
        <v>2.5238628872775215</v>
      </c>
      <c r="P4205" s="169"/>
      <c r="Q4205" s="169"/>
      <c r="R4205" s="169">
        <v>8</v>
      </c>
    </row>
    <row r="4206" spans="1:18" ht="36">
      <c r="A4206" s="165">
        <v>1387</v>
      </c>
      <c r="B4206" s="162" t="s">
        <v>7698</v>
      </c>
      <c r="C4206" s="166" t="s">
        <v>7699</v>
      </c>
      <c r="D4206" s="167">
        <v>674.66</v>
      </c>
      <c r="E4206" s="167">
        <v>71.459999999999994</v>
      </c>
      <c r="F4206" s="167">
        <v>35.86</v>
      </c>
      <c r="G4206" s="167">
        <v>567.34</v>
      </c>
      <c r="H4206" s="168">
        <v>2384.7399999999998</v>
      </c>
      <c r="I4206" s="168">
        <v>821.77</v>
      </c>
      <c r="J4206" s="168">
        <v>183.94</v>
      </c>
      <c r="K4206" s="168">
        <v>1379.03</v>
      </c>
      <c r="L4206" s="43">
        <v>3.5347286040375892</v>
      </c>
      <c r="M4206" s="43">
        <v>11.499720123145817</v>
      </c>
      <c r="N4206" s="43">
        <v>5.1293920803123259</v>
      </c>
      <c r="O4206" s="43">
        <v>2.4306941164028624</v>
      </c>
      <c r="P4206" s="169"/>
      <c r="Q4206" s="169"/>
      <c r="R4206" s="169">
        <v>8</v>
      </c>
    </row>
    <row r="4207" spans="1:18" ht="36">
      <c r="A4207" s="165">
        <v>1388</v>
      </c>
      <c r="B4207" s="162" t="s">
        <v>7700</v>
      </c>
      <c r="C4207" s="166" t="s">
        <v>7701</v>
      </c>
      <c r="D4207" s="167">
        <v>724.96</v>
      </c>
      <c r="E4207" s="167">
        <v>98.95</v>
      </c>
      <c r="F4207" s="167">
        <v>51.86</v>
      </c>
      <c r="G4207" s="167">
        <v>574.15</v>
      </c>
      <c r="H4207" s="168">
        <v>2808.77</v>
      </c>
      <c r="I4207" s="168">
        <v>1137.94</v>
      </c>
      <c r="J4207" s="168">
        <v>270.20999999999998</v>
      </c>
      <c r="K4207" s="168">
        <v>1400.62</v>
      </c>
      <c r="L4207" s="43">
        <v>3.8743792760979914</v>
      </c>
      <c r="M4207" s="43">
        <v>11.500151591712987</v>
      </c>
      <c r="N4207" s="43">
        <v>5.2103740840725026</v>
      </c>
      <c r="O4207" s="43">
        <v>2.4394670382304273</v>
      </c>
      <c r="P4207" s="169"/>
      <c r="Q4207" s="169"/>
      <c r="R4207" s="169">
        <v>8</v>
      </c>
    </row>
    <row r="4208" spans="1:18" ht="36">
      <c r="A4208" s="165">
        <v>1389</v>
      </c>
      <c r="B4208" s="162" t="s">
        <v>7702</v>
      </c>
      <c r="C4208" s="166" t="s">
        <v>7703</v>
      </c>
      <c r="D4208" s="167">
        <v>813.75</v>
      </c>
      <c r="E4208" s="167">
        <v>98.95</v>
      </c>
      <c r="F4208" s="167">
        <v>43.76</v>
      </c>
      <c r="G4208" s="167">
        <v>671.04</v>
      </c>
      <c r="H4208" s="168">
        <v>2996.07</v>
      </c>
      <c r="I4208" s="168">
        <v>1137.94</v>
      </c>
      <c r="J4208" s="168">
        <v>226.55</v>
      </c>
      <c r="K4208" s="168">
        <v>1631.58</v>
      </c>
      <c r="L4208" s="43">
        <v>3.6818064516129034</v>
      </c>
      <c r="M4208" s="43">
        <v>11.500151591712987</v>
      </c>
      <c r="N4208" s="43">
        <v>5.1771023765996347</v>
      </c>
      <c r="O4208" s="43">
        <v>2.4314198855507869</v>
      </c>
      <c r="P4208" s="169"/>
      <c r="Q4208" s="169"/>
      <c r="R4208" s="169">
        <v>8</v>
      </c>
    </row>
    <row r="4209" spans="1:18" ht="36">
      <c r="A4209" s="165">
        <v>1390</v>
      </c>
      <c r="B4209" s="162" t="s">
        <v>7704</v>
      </c>
      <c r="C4209" s="166" t="s">
        <v>7705</v>
      </c>
      <c r="D4209" s="167">
        <v>1055.46</v>
      </c>
      <c r="E4209" s="167">
        <v>112.69</v>
      </c>
      <c r="F4209" s="167">
        <v>56.7</v>
      </c>
      <c r="G4209" s="167">
        <v>886.07</v>
      </c>
      <c r="H4209" s="168">
        <v>3730.27</v>
      </c>
      <c r="I4209" s="168">
        <v>1296.02</v>
      </c>
      <c r="J4209" s="168">
        <v>295.01</v>
      </c>
      <c r="K4209" s="168">
        <v>2139.2399999999998</v>
      </c>
      <c r="L4209" s="43">
        <v>3.5342599435317301</v>
      </c>
      <c r="M4209" s="43">
        <v>11.500754281657645</v>
      </c>
      <c r="N4209" s="43">
        <v>5.2029982363315694</v>
      </c>
      <c r="O4209" s="43">
        <v>2.4143013531662278</v>
      </c>
      <c r="P4209" s="169"/>
      <c r="Q4209" s="169"/>
      <c r="R4209" s="169">
        <v>8</v>
      </c>
    </row>
    <row r="4210" spans="1:18" ht="36">
      <c r="A4210" s="165">
        <v>1391</v>
      </c>
      <c r="B4210" s="162" t="s">
        <v>7706</v>
      </c>
      <c r="C4210" s="166" t="s">
        <v>7707</v>
      </c>
      <c r="D4210" s="167">
        <v>1193.43</v>
      </c>
      <c r="E4210" s="167">
        <v>112.69</v>
      </c>
      <c r="F4210" s="167">
        <v>72.42</v>
      </c>
      <c r="G4210" s="167">
        <v>1008.32</v>
      </c>
      <c r="H4210" s="168">
        <v>4114.13</v>
      </c>
      <c r="I4210" s="168">
        <v>1296.02</v>
      </c>
      <c r="J4210" s="168">
        <v>376.34</v>
      </c>
      <c r="K4210" s="168">
        <v>2441.77</v>
      </c>
      <c r="L4210" s="43">
        <v>3.4473157202349531</v>
      </c>
      <c r="M4210" s="43">
        <v>11.500754281657645</v>
      </c>
      <c r="N4210" s="43">
        <v>5.1966307649820491</v>
      </c>
      <c r="O4210" s="43">
        <v>2.4216221040939381</v>
      </c>
      <c r="P4210" s="169"/>
      <c r="Q4210" s="169"/>
      <c r="R4210" s="169">
        <v>8</v>
      </c>
    </row>
    <row r="4211" spans="1:18" ht="36">
      <c r="A4211" s="165">
        <v>1392</v>
      </c>
      <c r="B4211" s="162" t="s">
        <v>7708</v>
      </c>
      <c r="C4211" s="166" t="s">
        <v>7709</v>
      </c>
      <c r="D4211" s="167">
        <v>34708.47</v>
      </c>
      <c r="E4211" s="167">
        <v>2571.4499999999998</v>
      </c>
      <c r="F4211" s="167">
        <v>4577.46</v>
      </c>
      <c r="G4211" s="167">
        <v>27559.56</v>
      </c>
      <c r="H4211" s="168">
        <v>207527.42</v>
      </c>
      <c r="I4211" s="168">
        <v>29572.76</v>
      </c>
      <c r="J4211" s="168">
        <v>25530.81</v>
      </c>
      <c r="K4211" s="168">
        <v>152423.85</v>
      </c>
      <c r="L4211" s="43">
        <v>5.979157825164866</v>
      </c>
      <c r="M4211" s="43">
        <v>11.50042194092827</v>
      </c>
      <c r="N4211" s="43">
        <v>5.577505865698444</v>
      </c>
      <c r="O4211" s="43">
        <v>5.5307069488772678</v>
      </c>
      <c r="P4211" s="169"/>
      <c r="Q4211" s="169"/>
      <c r="R4211" s="169">
        <v>8</v>
      </c>
    </row>
    <row r="4212" spans="1:18" ht="36">
      <c r="A4212" s="165">
        <v>1393</v>
      </c>
      <c r="B4212" s="162" t="s">
        <v>7710</v>
      </c>
      <c r="C4212" s="166" t="s">
        <v>7711</v>
      </c>
      <c r="D4212" s="167">
        <v>46549.38</v>
      </c>
      <c r="E4212" s="167">
        <v>2986.2</v>
      </c>
      <c r="F4212" s="167">
        <v>5223.59</v>
      </c>
      <c r="G4212" s="167">
        <v>38339.589999999997</v>
      </c>
      <c r="H4212" s="168">
        <v>278644.96999999997</v>
      </c>
      <c r="I4212" s="168">
        <v>34342.559999999998</v>
      </c>
      <c r="J4212" s="168">
        <v>29117.98</v>
      </c>
      <c r="K4212" s="168">
        <v>215184.43</v>
      </c>
      <c r="L4212" s="43">
        <v>5.9860081917310177</v>
      </c>
      <c r="M4212" s="43">
        <v>11.50042194092827</v>
      </c>
      <c r="N4212" s="43">
        <v>5.574323405933467</v>
      </c>
      <c r="O4212" s="43">
        <v>5.6125907971368498</v>
      </c>
      <c r="P4212" s="169"/>
      <c r="Q4212" s="169"/>
      <c r="R4212" s="169">
        <v>8</v>
      </c>
    </row>
    <row r="4213" spans="1:18" ht="24">
      <c r="A4213" s="165">
        <v>1394</v>
      </c>
      <c r="B4213" s="162" t="s">
        <v>7712</v>
      </c>
      <c r="C4213" s="166" t="s">
        <v>7713</v>
      </c>
      <c r="D4213" s="167">
        <v>497.29</v>
      </c>
      <c r="E4213" s="167">
        <v>253.59</v>
      </c>
      <c r="F4213" s="167">
        <v>84.89</v>
      </c>
      <c r="G4213" s="167">
        <v>158.81</v>
      </c>
      <c r="H4213" s="168">
        <v>4326.25</v>
      </c>
      <c r="I4213" s="168">
        <v>2916.39</v>
      </c>
      <c r="J4213" s="168">
        <v>645.94000000000005</v>
      </c>
      <c r="K4213" s="168">
        <v>763.92</v>
      </c>
      <c r="L4213" s="43">
        <v>8.699652114460374</v>
      </c>
      <c r="M4213" s="43">
        <v>11.500414054181947</v>
      </c>
      <c r="N4213" s="43">
        <v>7.6091412416067854</v>
      </c>
      <c r="O4213" s="43">
        <v>4.8102764309552288</v>
      </c>
      <c r="P4213" s="169"/>
      <c r="Q4213" s="169"/>
      <c r="R4213" s="169">
        <v>8</v>
      </c>
    </row>
    <row r="4214" spans="1:18" ht="12.75" customHeight="1">
      <c r="A4214" s="628" t="s">
        <v>7714</v>
      </c>
      <c r="B4214" s="629"/>
      <c r="C4214" s="629"/>
      <c r="D4214" s="629"/>
      <c r="E4214" s="629"/>
      <c r="F4214" s="629"/>
      <c r="G4214" s="629"/>
      <c r="H4214" s="629"/>
      <c r="I4214" s="629"/>
      <c r="J4214" s="629"/>
      <c r="K4214" s="629"/>
      <c r="L4214" s="629"/>
      <c r="M4214" s="629"/>
      <c r="N4214" s="629"/>
      <c r="O4214" s="629"/>
      <c r="P4214" s="629"/>
      <c r="Q4214" s="629"/>
      <c r="R4214" s="629"/>
    </row>
    <row r="4215" spans="1:18" ht="24">
      <c r="A4215" s="165">
        <v>1395</v>
      </c>
      <c r="B4215" s="162" t="s">
        <v>7715</v>
      </c>
      <c r="C4215" s="166" t="s">
        <v>7716</v>
      </c>
      <c r="D4215" s="167">
        <v>215.67</v>
      </c>
      <c r="E4215" s="167">
        <v>54.87</v>
      </c>
      <c r="F4215" s="167">
        <v>11.58</v>
      </c>
      <c r="G4215" s="167">
        <v>149.22</v>
      </c>
      <c r="H4215" s="168">
        <v>1420.41</v>
      </c>
      <c r="I4215" s="168">
        <v>630.98</v>
      </c>
      <c r="J4215" s="168">
        <v>62.02</v>
      </c>
      <c r="K4215" s="168">
        <v>727.41</v>
      </c>
      <c r="L4215" s="43">
        <v>6.5860342189456125</v>
      </c>
      <c r="M4215" s="43">
        <v>11.499544377619829</v>
      </c>
      <c r="N4215" s="43">
        <v>5.3557858376511227</v>
      </c>
      <c r="O4215" s="43">
        <v>4.8747486932046638</v>
      </c>
      <c r="P4215" s="169"/>
      <c r="Q4215" s="169"/>
      <c r="R4215" s="169">
        <v>9</v>
      </c>
    </row>
    <row r="4216" spans="1:18" ht="12.75" customHeight="1">
      <c r="A4216" s="628" t="s">
        <v>7717</v>
      </c>
      <c r="B4216" s="629"/>
      <c r="C4216" s="629"/>
      <c r="D4216" s="629"/>
      <c r="E4216" s="629"/>
      <c r="F4216" s="629"/>
      <c r="G4216" s="629"/>
      <c r="H4216" s="629"/>
      <c r="I4216" s="629"/>
      <c r="J4216" s="629"/>
      <c r="K4216" s="629"/>
      <c r="L4216" s="629"/>
      <c r="M4216" s="629"/>
      <c r="N4216" s="629"/>
      <c r="O4216" s="629"/>
      <c r="P4216" s="629"/>
      <c r="Q4216" s="629"/>
      <c r="R4216" s="629"/>
    </row>
    <row r="4217" spans="1:18" ht="24">
      <c r="A4217" s="165">
        <v>1396</v>
      </c>
      <c r="B4217" s="162" t="s">
        <v>7718</v>
      </c>
      <c r="C4217" s="166" t="s">
        <v>7719</v>
      </c>
      <c r="D4217" s="167">
        <v>377.41</v>
      </c>
      <c r="E4217" s="167">
        <v>27.14</v>
      </c>
      <c r="F4217" s="167">
        <v>286.89999999999998</v>
      </c>
      <c r="G4217" s="167">
        <v>63.37</v>
      </c>
      <c r="H4217" s="168">
        <v>2012.33</v>
      </c>
      <c r="I4217" s="168">
        <v>312.08</v>
      </c>
      <c r="J4217" s="168">
        <v>1543.43</v>
      </c>
      <c r="K4217" s="168">
        <v>156.82</v>
      </c>
      <c r="L4217" s="43">
        <v>5.3319466892769132</v>
      </c>
      <c r="M4217" s="43">
        <v>11.498894620486366</v>
      </c>
      <c r="N4217" s="43">
        <v>5.3796793307772752</v>
      </c>
      <c r="O4217" s="43">
        <v>2.4746725579927409</v>
      </c>
      <c r="P4217" s="169"/>
      <c r="Q4217" s="169"/>
      <c r="R4217" s="169">
        <v>10</v>
      </c>
    </row>
    <row r="4218" spans="1:18" ht="24">
      <c r="A4218" s="165">
        <v>1397</v>
      </c>
      <c r="B4218" s="162" t="s">
        <v>7720</v>
      </c>
      <c r="C4218" s="166" t="s">
        <v>7721</v>
      </c>
      <c r="D4218" s="167">
        <v>865.44</v>
      </c>
      <c r="E4218" s="167">
        <v>52.97</v>
      </c>
      <c r="F4218" s="167">
        <v>748.58</v>
      </c>
      <c r="G4218" s="167">
        <v>63.89</v>
      </c>
      <c r="H4218" s="168">
        <v>4799.43</v>
      </c>
      <c r="I4218" s="168">
        <v>609.16999999999996</v>
      </c>
      <c r="J4218" s="168">
        <v>4027.46</v>
      </c>
      <c r="K4218" s="168">
        <v>162.80000000000001</v>
      </c>
      <c r="L4218" s="43">
        <v>5.5456530782029949</v>
      </c>
      <c r="M4218" s="43">
        <v>11.500283179158014</v>
      </c>
      <c r="N4218" s="43">
        <v>5.3801330519116188</v>
      </c>
      <c r="O4218" s="43">
        <v>2.5481295977461262</v>
      </c>
      <c r="P4218" s="169"/>
      <c r="Q4218" s="169"/>
      <c r="R4218" s="169">
        <v>10</v>
      </c>
    </row>
    <row r="4219" spans="1:18" ht="24">
      <c r="A4219" s="165">
        <v>1398</v>
      </c>
      <c r="B4219" s="162" t="s">
        <v>7722</v>
      </c>
      <c r="C4219" s="166" t="s">
        <v>7723</v>
      </c>
      <c r="D4219" s="167">
        <v>1490.03</v>
      </c>
      <c r="E4219" s="167">
        <v>80.11</v>
      </c>
      <c r="F4219" s="167">
        <v>1344.91</v>
      </c>
      <c r="G4219" s="167">
        <v>65.010000000000005</v>
      </c>
      <c r="H4219" s="168">
        <v>8327.58</v>
      </c>
      <c r="I4219" s="168">
        <v>921.25</v>
      </c>
      <c r="J4219" s="168">
        <v>7236.05</v>
      </c>
      <c r="K4219" s="168">
        <v>170.28</v>
      </c>
      <c r="L4219" s="43">
        <v>5.5888673382415117</v>
      </c>
      <c r="M4219" s="43">
        <v>11.499812757458495</v>
      </c>
      <c r="N4219" s="43">
        <v>5.3803228468819473</v>
      </c>
      <c r="O4219" s="43">
        <v>2.6192893401015227</v>
      </c>
      <c r="P4219" s="169"/>
      <c r="Q4219" s="169"/>
      <c r="R4219" s="169">
        <v>10</v>
      </c>
    </row>
    <row r="4220" spans="1:18" ht="24">
      <c r="A4220" s="165">
        <v>1399</v>
      </c>
      <c r="B4220" s="162" t="s">
        <v>7724</v>
      </c>
      <c r="C4220" s="166" t="s">
        <v>7725</v>
      </c>
      <c r="D4220" s="167">
        <v>1813.85</v>
      </c>
      <c r="E4220" s="167">
        <v>93.02</v>
      </c>
      <c r="F4220" s="167">
        <v>1655.56</v>
      </c>
      <c r="G4220" s="167">
        <v>65.27</v>
      </c>
      <c r="H4220" s="168">
        <v>10150.52</v>
      </c>
      <c r="I4220" s="168">
        <v>1069.8</v>
      </c>
      <c r="J4220" s="168">
        <v>8907.4500000000007</v>
      </c>
      <c r="K4220" s="168">
        <v>173.27</v>
      </c>
      <c r="L4220" s="43">
        <v>5.5961187529288532</v>
      </c>
      <c r="M4220" s="43">
        <v>11.500752526338422</v>
      </c>
      <c r="N4220" s="43">
        <v>5.3803244823503835</v>
      </c>
      <c r="O4220" s="43">
        <v>2.6546652367090551</v>
      </c>
      <c r="P4220" s="169"/>
      <c r="Q4220" s="169"/>
      <c r="R4220" s="169">
        <v>10</v>
      </c>
    </row>
    <row r="4221" spans="1:18" ht="24">
      <c r="A4221" s="165">
        <v>1400</v>
      </c>
      <c r="B4221" s="162" t="s">
        <v>7726</v>
      </c>
      <c r="C4221" s="166" t="s">
        <v>7727</v>
      </c>
      <c r="D4221" s="167">
        <v>288.64</v>
      </c>
      <c r="E4221" s="167">
        <v>67.19</v>
      </c>
      <c r="F4221" s="167">
        <v>143.47</v>
      </c>
      <c r="G4221" s="167">
        <v>77.98</v>
      </c>
      <c r="H4221" s="168">
        <v>1740.09</v>
      </c>
      <c r="I4221" s="168">
        <v>772.71</v>
      </c>
      <c r="J4221" s="168">
        <v>761.53</v>
      </c>
      <c r="K4221" s="168">
        <v>205.85</v>
      </c>
      <c r="L4221" s="43">
        <v>6.0285823170731705</v>
      </c>
      <c r="M4221" s="43">
        <v>11.500372079178451</v>
      </c>
      <c r="N4221" s="43">
        <v>5.3079389419390814</v>
      </c>
      <c r="O4221" s="43">
        <v>2.6397794306232365</v>
      </c>
      <c r="P4221" s="169"/>
      <c r="Q4221" s="169"/>
      <c r="R4221" s="169">
        <v>10</v>
      </c>
    </row>
    <row r="4222" spans="1:18" ht="12.75" customHeight="1">
      <c r="A4222" s="628" t="s">
        <v>7728</v>
      </c>
      <c r="B4222" s="629"/>
      <c r="C4222" s="629"/>
      <c r="D4222" s="629"/>
      <c r="E4222" s="629"/>
      <c r="F4222" s="629"/>
      <c r="G4222" s="629"/>
      <c r="H4222" s="629"/>
      <c r="I4222" s="629"/>
      <c r="J4222" s="629"/>
      <c r="K4222" s="629"/>
      <c r="L4222" s="629"/>
      <c r="M4222" s="629"/>
      <c r="N4222" s="629"/>
      <c r="O4222" s="629"/>
      <c r="P4222" s="629"/>
      <c r="Q4222" s="629"/>
      <c r="R4222" s="629"/>
    </row>
    <row r="4223" spans="1:18" ht="36">
      <c r="A4223" s="165">
        <v>1401</v>
      </c>
      <c r="B4223" s="162" t="s">
        <v>7729</v>
      </c>
      <c r="C4223" s="166" t="s">
        <v>7730</v>
      </c>
      <c r="D4223" s="167">
        <v>4992.16</v>
      </c>
      <c r="E4223" s="167">
        <v>1141.1600000000001</v>
      </c>
      <c r="F4223" s="167">
        <v>1529.21</v>
      </c>
      <c r="G4223" s="167">
        <v>2321.79</v>
      </c>
      <c r="H4223" s="168">
        <v>31686.97</v>
      </c>
      <c r="I4223" s="168">
        <v>13123.76</v>
      </c>
      <c r="J4223" s="168">
        <v>9644.17</v>
      </c>
      <c r="K4223" s="168">
        <v>8919.0400000000009</v>
      </c>
      <c r="L4223" s="43">
        <v>6.3473466395307847</v>
      </c>
      <c r="M4223" s="43">
        <v>11.500368046549125</v>
      </c>
      <c r="N4223" s="43">
        <v>6.30663545229236</v>
      </c>
      <c r="O4223" s="43">
        <v>3.8414499157977255</v>
      </c>
      <c r="P4223" s="169"/>
      <c r="Q4223" s="169"/>
      <c r="R4223" s="169">
        <v>11</v>
      </c>
    </row>
    <row r="4224" spans="1:18" ht="36">
      <c r="A4224" s="165">
        <v>1402</v>
      </c>
      <c r="B4224" s="162" t="s">
        <v>7731</v>
      </c>
      <c r="C4224" s="166" t="s">
        <v>7732</v>
      </c>
      <c r="D4224" s="167">
        <v>5156.45</v>
      </c>
      <c r="E4224" s="167">
        <v>1220.55</v>
      </c>
      <c r="F4224" s="167">
        <v>1756.64</v>
      </c>
      <c r="G4224" s="167">
        <v>2179.2600000000002</v>
      </c>
      <c r="H4224" s="168">
        <v>33532.230000000003</v>
      </c>
      <c r="I4224" s="168">
        <v>14036.84</v>
      </c>
      <c r="J4224" s="168">
        <v>11125.88</v>
      </c>
      <c r="K4224" s="168">
        <v>8369.51</v>
      </c>
      <c r="L4224" s="43">
        <v>6.5029681272968816</v>
      </c>
      <c r="M4224" s="43">
        <v>11.50042194092827</v>
      </c>
      <c r="N4224" s="43">
        <v>6.3336141725111572</v>
      </c>
      <c r="O4224" s="43">
        <v>3.8405284362581793</v>
      </c>
      <c r="P4224" s="169"/>
      <c r="Q4224" s="169"/>
      <c r="R4224" s="169">
        <v>11</v>
      </c>
    </row>
    <row r="4225" spans="1:18" ht="12.75" customHeight="1">
      <c r="A4225" s="628" t="s">
        <v>7733</v>
      </c>
      <c r="B4225" s="629"/>
      <c r="C4225" s="629"/>
      <c r="D4225" s="629"/>
      <c r="E4225" s="629"/>
      <c r="F4225" s="629"/>
      <c r="G4225" s="629"/>
      <c r="H4225" s="629"/>
      <c r="I4225" s="629"/>
      <c r="J4225" s="629"/>
      <c r="K4225" s="629"/>
      <c r="L4225" s="629"/>
      <c r="M4225" s="629"/>
      <c r="N4225" s="629"/>
      <c r="O4225" s="629"/>
      <c r="P4225" s="629"/>
      <c r="Q4225" s="629"/>
      <c r="R4225" s="629"/>
    </row>
    <row r="4226" spans="1:18" ht="12.75" customHeight="1">
      <c r="A4226" s="628" t="s">
        <v>7734</v>
      </c>
      <c r="B4226" s="629"/>
      <c r="C4226" s="629"/>
      <c r="D4226" s="629"/>
      <c r="E4226" s="629"/>
      <c r="F4226" s="629"/>
      <c r="G4226" s="629"/>
      <c r="H4226" s="629"/>
      <c r="I4226" s="629"/>
      <c r="J4226" s="629"/>
      <c r="K4226" s="629"/>
      <c r="L4226" s="629"/>
      <c r="M4226" s="629"/>
      <c r="N4226" s="629"/>
      <c r="O4226" s="629"/>
      <c r="P4226" s="629"/>
      <c r="Q4226" s="629"/>
      <c r="R4226" s="629"/>
    </row>
    <row r="4227" spans="1:18" ht="48">
      <c r="A4227" s="165">
        <v>1403</v>
      </c>
      <c r="B4227" s="162" t="s">
        <v>7735</v>
      </c>
      <c r="C4227" s="166" t="s">
        <v>7736</v>
      </c>
      <c r="D4227" s="167">
        <v>84.79</v>
      </c>
      <c r="E4227" s="167">
        <v>15.01</v>
      </c>
      <c r="F4227" s="167">
        <v>0.26</v>
      </c>
      <c r="G4227" s="167">
        <v>69.52</v>
      </c>
      <c r="H4227" s="168">
        <v>354.45</v>
      </c>
      <c r="I4227" s="168">
        <v>172.61</v>
      </c>
      <c r="J4227" s="168">
        <v>1.34</v>
      </c>
      <c r="K4227" s="168">
        <v>180.5</v>
      </c>
      <c r="L4227" s="43">
        <v>4.1803278688524586</v>
      </c>
      <c r="M4227" s="43">
        <v>11.49966688874084</v>
      </c>
      <c r="N4227" s="43">
        <v>5.1538461538461542</v>
      </c>
      <c r="O4227" s="43">
        <v>2.5963751438434985</v>
      </c>
      <c r="P4227" s="169"/>
      <c r="Q4227" s="169"/>
      <c r="R4227" s="169">
        <v>1</v>
      </c>
    </row>
    <row r="4228" spans="1:18" ht="48">
      <c r="A4228" s="165">
        <v>1404</v>
      </c>
      <c r="B4228" s="162" t="s">
        <v>7737</v>
      </c>
      <c r="C4228" s="166" t="s">
        <v>7738</v>
      </c>
      <c r="D4228" s="167">
        <v>154.22999999999999</v>
      </c>
      <c r="E4228" s="167">
        <v>20.22</v>
      </c>
      <c r="F4228" s="167">
        <v>0.39</v>
      </c>
      <c r="G4228" s="167">
        <v>133.62</v>
      </c>
      <c r="H4228" s="168">
        <v>568.63</v>
      </c>
      <c r="I4228" s="168">
        <v>232.59</v>
      </c>
      <c r="J4228" s="168">
        <v>2</v>
      </c>
      <c r="K4228" s="168">
        <v>334.04</v>
      </c>
      <c r="L4228" s="43">
        <v>3.6868961939959801</v>
      </c>
      <c r="M4228" s="43">
        <v>11.502967359050446</v>
      </c>
      <c r="N4228" s="43">
        <v>5.1282051282051277</v>
      </c>
      <c r="O4228" s="43">
        <v>2.4999251609040565</v>
      </c>
      <c r="P4228" s="169"/>
      <c r="Q4228" s="169"/>
      <c r="R4228" s="169">
        <v>1</v>
      </c>
    </row>
    <row r="4229" spans="1:18" ht="48">
      <c r="A4229" s="165">
        <v>1405</v>
      </c>
      <c r="B4229" s="162" t="s">
        <v>7739</v>
      </c>
      <c r="C4229" s="166" t="s">
        <v>7740</v>
      </c>
      <c r="D4229" s="167">
        <v>160.44</v>
      </c>
      <c r="E4229" s="167">
        <v>24.93</v>
      </c>
      <c r="F4229" s="167">
        <v>0.43</v>
      </c>
      <c r="G4229" s="167">
        <v>135.08000000000001</v>
      </c>
      <c r="H4229" s="168">
        <v>633.58000000000004</v>
      </c>
      <c r="I4229" s="168">
        <v>286.70999999999998</v>
      </c>
      <c r="J4229" s="168">
        <v>2.25</v>
      </c>
      <c r="K4229" s="168">
        <v>344.62</v>
      </c>
      <c r="L4229" s="43">
        <v>3.9490152081775123</v>
      </c>
      <c r="M4229" s="43">
        <v>11.500601684717207</v>
      </c>
      <c r="N4229" s="43">
        <v>5.2325581395348841</v>
      </c>
      <c r="O4229" s="43">
        <v>2.5512289013917675</v>
      </c>
      <c r="P4229" s="169"/>
      <c r="Q4229" s="169"/>
      <c r="R4229" s="169">
        <v>1</v>
      </c>
    </row>
    <row r="4230" spans="1:18" ht="48">
      <c r="A4230" s="165">
        <v>1406</v>
      </c>
      <c r="B4230" s="162" t="s">
        <v>7741</v>
      </c>
      <c r="C4230" s="166" t="s">
        <v>7742</v>
      </c>
      <c r="D4230" s="167">
        <v>241.11</v>
      </c>
      <c r="E4230" s="167">
        <v>45.16</v>
      </c>
      <c r="F4230" s="167">
        <v>3.46</v>
      </c>
      <c r="G4230" s="167">
        <v>192.49</v>
      </c>
      <c r="H4230" s="168">
        <v>1029.32</v>
      </c>
      <c r="I4230" s="168">
        <v>519.29</v>
      </c>
      <c r="J4230" s="168">
        <v>18.489999999999998</v>
      </c>
      <c r="K4230" s="168">
        <v>491.54</v>
      </c>
      <c r="L4230" s="43">
        <v>4.269088797644228</v>
      </c>
      <c r="M4230" s="43">
        <v>11.4988928255093</v>
      </c>
      <c r="N4230" s="43">
        <v>5.3439306358381495</v>
      </c>
      <c r="O4230" s="43">
        <v>2.5535871993350305</v>
      </c>
      <c r="P4230" s="169"/>
      <c r="Q4230" s="169"/>
      <c r="R4230" s="169">
        <v>1</v>
      </c>
    </row>
    <row r="4231" spans="1:18" ht="48">
      <c r="A4231" s="165">
        <v>1407</v>
      </c>
      <c r="B4231" s="162" t="s">
        <v>7743</v>
      </c>
      <c r="C4231" s="166" t="s">
        <v>7744</v>
      </c>
      <c r="D4231" s="167">
        <v>26.18</v>
      </c>
      <c r="E4231" s="167">
        <v>17.3</v>
      </c>
      <c r="F4231" s="167">
        <v>2.99</v>
      </c>
      <c r="G4231" s="167">
        <v>5.89</v>
      </c>
      <c r="H4231" s="168">
        <v>244.97</v>
      </c>
      <c r="I4231" s="168">
        <v>198.94</v>
      </c>
      <c r="J4231" s="168">
        <v>16.079999999999998</v>
      </c>
      <c r="K4231" s="168">
        <v>29.95</v>
      </c>
      <c r="L4231" s="43">
        <v>9.3571428571428577</v>
      </c>
      <c r="M4231" s="43">
        <v>11.499421965317918</v>
      </c>
      <c r="N4231" s="43">
        <v>5.3779264214046814</v>
      </c>
      <c r="O4231" s="43">
        <v>5.084889643463498</v>
      </c>
      <c r="P4231" s="169"/>
      <c r="Q4231" s="169"/>
      <c r="R4231" s="169">
        <v>1</v>
      </c>
    </row>
    <row r="4232" spans="1:18" ht="48">
      <c r="A4232" s="165">
        <v>1408</v>
      </c>
      <c r="B4232" s="162" t="s">
        <v>7745</v>
      </c>
      <c r="C4232" s="166" t="s">
        <v>7746</v>
      </c>
      <c r="D4232" s="167">
        <v>38.6</v>
      </c>
      <c r="E4232" s="167">
        <v>24.04</v>
      </c>
      <c r="F4232" s="167">
        <v>8.5399999999999991</v>
      </c>
      <c r="G4232" s="167">
        <v>6.02</v>
      </c>
      <c r="H4232" s="168">
        <v>353.83</v>
      </c>
      <c r="I4232" s="168">
        <v>276.47000000000003</v>
      </c>
      <c r="J4232" s="168">
        <v>45.92</v>
      </c>
      <c r="K4232" s="168">
        <v>31.44</v>
      </c>
      <c r="L4232" s="43">
        <v>9.1665803108808284</v>
      </c>
      <c r="M4232" s="43">
        <v>11.500415973377706</v>
      </c>
      <c r="N4232" s="43">
        <v>5.3770491803278695</v>
      </c>
      <c r="O4232" s="43">
        <v>5.2225913621262468</v>
      </c>
      <c r="P4232" s="169"/>
      <c r="Q4232" s="169"/>
      <c r="R4232" s="169">
        <v>1</v>
      </c>
    </row>
    <row r="4233" spans="1:18" ht="48">
      <c r="A4233" s="165">
        <v>1409</v>
      </c>
      <c r="B4233" s="162" t="s">
        <v>7747</v>
      </c>
      <c r="C4233" s="166" t="s">
        <v>7748</v>
      </c>
      <c r="D4233" s="167">
        <v>46.53</v>
      </c>
      <c r="E4233" s="167">
        <v>25.69</v>
      </c>
      <c r="F4233" s="167">
        <v>8.59</v>
      </c>
      <c r="G4233" s="167">
        <v>12.25</v>
      </c>
      <c r="H4233" s="168">
        <v>399.67</v>
      </c>
      <c r="I4233" s="168">
        <v>295.49</v>
      </c>
      <c r="J4233" s="168">
        <v>46.15</v>
      </c>
      <c r="K4233" s="168">
        <v>58.03</v>
      </c>
      <c r="L4233" s="43">
        <v>8.5895121427036329</v>
      </c>
      <c r="M4233" s="43">
        <v>11.502140910860257</v>
      </c>
      <c r="N4233" s="43">
        <v>5.3725261932479631</v>
      </c>
      <c r="O4233" s="43">
        <v>4.7371428571428575</v>
      </c>
      <c r="P4233" s="169"/>
      <c r="Q4233" s="169"/>
      <c r="R4233" s="169">
        <v>1</v>
      </c>
    </row>
    <row r="4234" spans="1:18" ht="48">
      <c r="A4234" s="165">
        <v>1410</v>
      </c>
      <c r="B4234" s="162" t="s">
        <v>7749</v>
      </c>
      <c r="C4234" s="166" t="s">
        <v>7750</v>
      </c>
      <c r="D4234" s="167">
        <v>159.24</v>
      </c>
      <c r="E4234" s="167">
        <v>23.28</v>
      </c>
      <c r="F4234" s="167">
        <v>0.41</v>
      </c>
      <c r="G4234" s="167">
        <v>135.55000000000001</v>
      </c>
      <c r="H4234" s="168">
        <v>617.52</v>
      </c>
      <c r="I4234" s="168">
        <v>267.69</v>
      </c>
      <c r="J4234" s="168">
        <v>2.13</v>
      </c>
      <c r="K4234" s="168">
        <v>347.7</v>
      </c>
      <c r="L4234" s="43">
        <v>3.8779201205727203</v>
      </c>
      <c r="M4234" s="43">
        <v>11.498711340206185</v>
      </c>
      <c r="N4234" s="43">
        <v>5.1951219512195124</v>
      </c>
      <c r="O4234" s="43">
        <v>2.5651051272593137</v>
      </c>
      <c r="P4234" s="169"/>
      <c r="Q4234" s="169"/>
      <c r="R4234" s="169">
        <v>1</v>
      </c>
    </row>
    <row r="4235" spans="1:18" ht="48">
      <c r="A4235" s="165">
        <v>1411</v>
      </c>
      <c r="B4235" s="162" t="s">
        <v>7751</v>
      </c>
      <c r="C4235" s="166" t="s">
        <v>7752</v>
      </c>
      <c r="D4235" s="167">
        <v>303.01</v>
      </c>
      <c r="E4235" s="167">
        <v>35.74</v>
      </c>
      <c r="F4235" s="167">
        <v>3.4</v>
      </c>
      <c r="G4235" s="167">
        <v>263.87</v>
      </c>
      <c r="H4235" s="168">
        <v>1087.3900000000001</v>
      </c>
      <c r="I4235" s="168">
        <v>411.05</v>
      </c>
      <c r="J4235" s="168">
        <v>18.170000000000002</v>
      </c>
      <c r="K4235" s="168">
        <v>658.17</v>
      </c>
      <c r="L4235" s="43">
        <v>3.5886274380383489</v>
      </c>
      <c r="M4235" s="43">
        <v>11.501119194180189</v>
      </c>
      <c r="N4235" s="43">
        <v>5.3441176470588241</v>
      </c>
      <c r="O4235" s="43">
        <v>2.4942964338500015</v>
      </c>
      <c r="P4235" s="169"/>
      <c r="Q4235" s="169"/>
      <c r="R4235" s="169">
        <v>1</v>
      </c>
    </row>
    <row r="4236" spans="1:18" ht="48">
      <c r="A4236" s="165">
        <v>1412</v>
      </c>
      <c r="B4236" s="162" t="s">
        <v>7753</v>
      </c>
      <c r="C4236" s="166" t="s">
        <v>7754</v>
      </c>
      <c r="D4236" s="167">
        <v>315.29000000000002</v>
      </c>
      <c r="E4236" s="167">
        <v>45.03</v>
      </c>
      <c r="F4236" s="167">
        <v>3.47</v>
      </c>
      <c r="G4236" s="167">
        <v>266.79000000000002</v>
      </c>
      <c r="H4236" s="168">
        <v>1209.1400000000001</v>
      </c>
      <c r="I4236" s="168">
        <v>517.83000000000004</v>
      </c>
      <c r="J4236" s="168">
        <v>18.55</v>
      </c>
      <c r="K4236" s="168">
        <v>672.76</v>
      </c>
      <c r="L4236" s="43">
        <v>3.8350090392971552</v>
      </c>
      <c r="M4236" s="43">
        <v>11.49966688874084</v>
      </c>
      <c r="N4236" s="43">
        <v>5.3458213256484148</v>
      </c>
      <c r="O4236" s="43">
        <v>2.5216837212789085</v>
      </c>
      <c r="P4236" s="169"/>
      <c r="Q4236" s="169"/>
      <c r="R4236" s="169">
        <v>1</v>
      </c>
    </row>
    <row r="4237" spans="1:18" ht="48">
      <c r="A4237" s="165">
        <v>1413</v>
      </c>
      <c r="B4237" s="162" t="s">
        <v>7755</v>
      </c>
      <c r="C4237" s="166" t="s">
        <v>7756</v>
      </c>
      <c r="D4237" s="167">
        <v>463.7</v>
      </c>
      <c r="E4237" s="167">
        <v>80.900000000000006</v>
      </c>
      <c r="F4237" s="167">
        <v>3.47</v>
      </c>
      <c r="G4237" s="167">
        <v>379.33</v>
      </c>
      <c r="H4237" s="168">
        <v>1907.51</v>
      </c>
      <c r="I4237" s="168">
        <v>930.34</v>
      </c>
      <c r="J4237" s="168">
        <v>18.55</v>
      </c>
      <c r="K4237" s="168">
        <v>958.62</v>
      </c>
      <c r="L4237" s="43">
        <v>4.1136726331679965</v>
      </c>
      <c r="M4237" s="43">
        <v>11.499876390605685</v>
      </c>
      <c r="N4237" s="43">
        <v>5.3458213256484148</v>
      </c>
      <c r="O4237" s="43">
        <v>2.5271399572931221</v>
      </c>
      <c r="P4237" s="169"/>
      <c r="Q4237" s="169"/>
      <c r="R4237" s="169">
        <v>1</v>
      </c>
    </row>
    <row r="4238" spans="1:18" ht="48">
      <c r="A4238" s="165">
        <v>1414</v>
      </c>
      <c r="B4238" s="162" t="s">
        <v>7757</v>
      </c>
      <c r="C4238" s="166" t="s">
        <v>7758</v>
      </c>
      <c r="D4238" s="167">
        <v>40.28</v>
      </c>
      <c r="E4238" s="167">
        <v>25.69</v>
      </c>
      <c r="F4238" s="167">
        <v>8.5399999999999991</v>
      </c>
      <c r="G4238" s="167">
        <v>6.05</v>
      </c>
      <c r="H4238" s="168">
        <v>373.2</v>
      </c>
      <c r="I4238" s="168">
        <v>295.49</v>
      </c>
      <c r="J4238" s="168">
        <v>45.92</v>
      </c>
      <c r="K4238" s="168">
        <v>31.79</v>
      </c>
      <c r="L4238" s="43">
        <v>9.2651439920556093</v>
      </c>
      <c r="M4238" s="43">
        <v>11.502140910860257</v>
      </c>
      <c r="N4238" s="43">
        <v>5.3770491803278695</v>
      </c>
      <c r="O4238" s="43">
        <v>5.2545454545454549</v>
      </c>
      <c r="P4238" s="169"/>
      <c r="Q4238" s="169"/>
      <c r="R4238" s="169">
        <v>1</v>
      </c>
    </row>
    <row r="4239" spans="1:18" ht="48">
      <c r="A4239" s="165">
        <v>1415</v>
      </c>
      <c r="B4239" s="162" t="s">
        <v>7759</v>
      </c>
      <c r="C4239" s="166" t="s">
        <v>7760</v>
      </c>
      <c r="D4239" s="167">
        <v>47.25</v>
      </c>
      <c r="E4239" s="167">
        <v>31.67</v>
      </c>
      <c r="F4239" s="167">
        <v>8.59</v>
      </c>
      <c r="G4239" s="167">
        <v>6.99</v>
      </c>
      <c r="H4239" s="168">
        <v>450.19</v>
      </c>
      <c r="I4239" s="168">
        <v>364.24</v>
      </c>
      <c r="J4239" s="168">
        <v>46.15</v>
      </c>
      <c r="K4239" s="168">
        <v>39.799999999999997</v>
      </c>
      <c r="L4239" s="43">
        <v>9.5278306878306882</v>
      </c>
      <c r="M4239" s="43">
        <v>11.501105146826649</v>
      </c>
      <c r="N4239" s="43">
        <v>5.3725261932479631</v>
      </c>
      <c r="O4239" s="43">
        <v>5.6938483547925598</v>
      </c>
      <c r="P4239" s="169"/>
      <c r="Q4239" s="169"/>
      <c r="R4239" s="169">
        <v>1</v>
      </c>
    </row>
    <row r="4240" spans="1:18" ht="48">
      <c r="A4240" s="165">
        <v>1416</v>
      </c>
      <c r="B4240" s="162" t="s">
        <v>7761</v>
      </c>
      <c r="C4240" s="166" t="s">
        <v>7762</v>
      </c>
      <c r="D4240" s="167">
        <v>73.77</v>
      </c>
      <c r="E4240" s="167">
        <v>36.51</v>
      </c>
      <c r="F4240" s="167">
        <v>8.67</v>
      </c>
      <c r="G4240" s="167">
        <v>28.59</v>
      </c>
      <c r="H4240" s="168">
        <v>579.61</v>
      </c>
      <c r="I4240" s="168">
        <v>419.82</v>
      </c>
      <c r="J4240" s="168">
        <v>46.61</v>
      </c>
      <c r="K4240" s="168">
        <v>113.18</v>
      </c>
      <c r="L4240" s="43">
        <v>7.856987935475126</v>
      </c>
      <c r="M4240" s="43">
        <v>11.498767460969598</v>
      </c>
      <c r="N4240" s="43">
        <v>5.3760092272203002</v>
      </c>
      <c r="O4240" s="43">
        <v>3.958726827562085</v>
      </c>
      <c r="P4240" s="169"/>
      <c r="Q4240" s="169"/>
      <c r="R4240" s="169">
        <v>1</v>
      </c>
    </row>
    <row r="4241" spans="1:18" ht="48">
      <c r="A4241" s="165">
        <v>1417</v>
      </c>
      <c r="B4241" s="162" t="s">
        <v>7763</v>
      </c>
      <c r="C4241" s="166" t="s">
        <v>7764</v>
      </c>
      <c r="D4241" s="167">
        <v>237.52</v>
      </c>
      <c r="E4241" s="167">
        <v>35.74</v>
      </c>
      <c r="F4241" s="167">
        <v>0.62</v>
      </c>
      <c r="G4241" s="167">
        <v>201.16</v>
      </c>
      <c r="H4241" s="168">
        <v>932.27</v>
      </c>
      <c r="I4241" s="168">
        <v>411.05</v>
      </c>
      <c r="J4241" s="168">
        <v>3.18</v>
      </c>
      <c r="K4241" s="168">
        <v>518.04</v>
      </c>
      <c r="L4241" s="43">
        <v>3.9250168406870998</v>
      </c>
      <c r="M4241" s="43">
        <v>11.501119194180189</v>
      </c>
      <c r="N4241" s="43">
        <v>5.129032258064516</v>
      </c>
      <c r="O4241" s="43">
        <v>2.5752634718631935</v>
      </c>
      <c r="P4241" s="169"/>
      <c r="Q4241" s="169"/>
      <c r="R4241" s="169">
        <v>1</v>
      </c>
    </row>
    <row r="4242" spans="1:18" ht="48">
      <c r="A4242" s="165">
        <v>1418</v>
      </c>
      <c r="B4242" s="162" t="s">
        <v>7765</v>
      </c>
      <c r="C4242" s="166" t="s">
        <v>7766</v>
      </c>
      <c r="D4242" s="167">
        <v>444.2</v>
      </c>
      <c r="E4242" s="167">
        <v>54.44</v>
      </c>
      <c r="F4242" s="167">
        <v>0.96</v>
      </c>
      <c r="G4242" s="167">
        <v>388.8</v>
      </c>
      <c r="H4242" s="168">
        <v>1598.39</v>
      </c>
      <c r="I4242" s="168">
        <v>626.08000000000004</v>
      </c>
      <c r="J4242" s="168">
        <v>4.9400000000000004</v>
      </c>
      <c r="K4242" s="168">
        <v>967.37</v>
      </c>
      <c r="L4242" s="43">
        <v>3.5983565961278705</v>
      </c>
      <c r="M4242" s="43">
        <v>11.500367376928731</v>
      </c>
      <c r="N4242" s="43">
        <v>5.1458333333333339</v>
      </c>
      <c r="O4242" s="43">
        <v>2.4880915637860084</v>
      </c>
      <c r="P4242" s="169"/>
      <c r="Q4242" s="169"/>
      <c r="R4242" s="169">
        <v>1</v>
      </c>
    </row>
    <row r="4243" spans="1:18" ht="48">
      <c r="A4243" s="165">
        <v>1419</v>
      </c>
      <c r="B4243" s="162" t="s">
        <v>7767</v>
      </c>
      <c r="C4243" s="166" t="s">
        <v>7768</v>
      </c>
      <c r="D4243" s="167">
        <v>686.15</v>
      </c>
      <c r="E4243" s="167">
        <v>96.42</v>
      </c>
      <c r="F4243" s="167">
        <v>4.3600000000000003</v>
      </c>
      <c r="G4243" s="167">
        <v>585.37</v>
      </c>
      <c r="H4243" s="168">
        <v>2586.92</v>
      </c>
      <c r="I4243" s="168">
        <v>1108.8</v>
      </c>
      <c r="J4243" s="168">
        <v>23.13</v>
      </c>
      <c r="K4243" s="168">
        <v>1454.99</v>
      </c>
      <c r="L4243" s="43">
        <v>3.7701960212781462</v>
      </c>
      <c r="M4243" s="43">
        <v>11.499688861232109</v>
      </c>
      <c r="N4243" s="43">
        <v>5.3050458715596323</v>
      </c>
      <c r="O4243" s="43">
        <v>2.4855903104019679</v>
      </c>
      <c r="P4243" s="169"/>
      <c r="Q4243" s="169"/>
      <c r="R4243" s="169">
        <v>1</v>
      </c>
    </row>
    <row r="4244" spans="1:18" ht="48">
      <c r="A4244" s="165">
        <v>1420</v>
      </c>
      <c r="B4244" s="162" t="s">
        <v>7769</v>
      </c>
      <c r="C4244" s="166" t="s">
        <v>7770</v>
      </c>
      <c r="D4244" s="167">
        <v>720.64</v>
      </c>
      <c r="E4244" s="167">
        <v>118.04</v>
      </c>
      <c r="F4244" s="167">
        <v>4.5199999999999996</v>
      </c>
      <c r="G4244" s="167">
        <v>598.08000000000004</v>
      </c>
      <c r="H4244" s="168">
        <v>2912.08</v>
      </c>
      <c r="I4244" s="168">
        <v>1357.48</v>
      </c>
      <c r="J4244" s="168">
        <v>23.92</v>
      </c>
      <c r="K4244" s="168">
        <v>1530.68</v>
      </c>
      <c r="L4244" s="43">
        <v>4.0409635879218468</v>
      </c>
      <c r="M4244" s="43">
        <v>11.500169434090138</v>
      </c>
      <c r="N4244" s="43">
        <v>5.2920353982300892</v>
      </c>
      <c r="O4244" s="43">
        <v>2.5593231674692349</v>
      </c>
      <c r="P4244" s="169"/>
      <c r="Q4244" s="169"/>
      <c r="R4244" s="169">
        <v>1</v>
      </c>
    </row>
    <row r="4245" spans="1:18" ht="48">
      <c r="A4245" s="165">
        <v>1421</v>
      </c>
      <c r="B4245" s="162" t="s">
        <v>7771</v>
      </c>
      <c r="C4245" s="166" t="s">
        <v>7772</v>
      </c>
      <c r="D4245" s="167">
        <v>52.68</v>
      </c>
      <c r="E4245" s="167">
        <v>34.979999999999997</v>
      </c>
      <c r="F4245" s="167">
        <v>8.7799999999999994</v>
      </c>
      <c r="G4245" s="167">
        <v>8.92</v>
      </c>
      <c r="H4245" s="168">
        <v>504.99</v>
      </c>
      <c r="I4245" s="168">
        <v>402.27</v>
      </c>
      <c r="J4245" s="168">
        <v>47.19</v>
      </c>
      <c r="K4245" s="168">
        <v>55.53</v>
      </c>
      <c r="L4245" s="43">
        <v>9.585990888382689</v>
      </c>
      <c r="M4245" s="43">
        <v>11.5</v>
      </c>
      <c r="N4245" s="43">
        <v>5.3747152619589977</v>
      </c>
      <c r="O4245" s="43">
        <v>6.2253363228699552</v>
      </c>
      <c r="P4245" s="169"/>
      <c r="Q4245" s="169"/>
      <c r="R4245" s="169">
        <v>1</v>
      </c>
    </row>
    <row r="4246" spans="1:18" ht="48">
      <c r="A4246" s="165">
        <v>1422</v>
      </c>
      <c r="B4246" s="162" t="s">
        <v>7773</v>
      </c>
      <c r="C4246" s="166" t="s">
        <v>7774</v>
      </c>
      <c r="D4246" s="167">
        <v>60.82</v>
      </c>
      <c r="E4246" s="167">
        <v>42.61</v>
      </c>
      <c r="F4246" s="167">
        <v>8.7799999999999994</v>
      </c>
      <c r="G4246" s="167">
        <v>9.43</v>
      </c>
      <c r="H4246" s="168">
        <v>595.03</v>
      </c>
      <c r="I4246" s="168">
        <v>490.04</v>
      </c>
      <c r="J4246" s="168">
        <v>47.19</v>
      </c>
      <c r="K4246" s="168">
        <v>57.8</v>
      </c>
      <c r="L4246" s="43">
        <v>9.7834593883590912</v>
      </c>
      <c r="M4246" s="43">
        <v>11.500586716733162</v>
      </c>
      <c r="N4246" s="43">
        <v>5.3747152619589977</v>
      </c>
      <c r="O4246" s="43">
        <v>6.1293743372216332</v>
      </c>
      <c r="P4246" s="169"/>
      <c r="Q4246" s="169"/>
      <c r="R4246" s="169">
        <v>1</v>
      </c>
    </row>
    <row r="4247" spans="1:18" ht="48">
      <c r="A4247" s="165">
        <v>1423</v>
      </c>
      <c r="B4247" s="162" t="s">
        <v>7775</v>
      </c>
      <c r="C4247" s="166" t="s">
        <v>7776</v>
      </c>
      <c r="D4247" s="167">
        <v>69.180000000000007</v>
      </c>
      <c r="E4247" s="167">
        <v>50.5</v>
      </c>
      <c r="F4247" s="167">
        <v>8.7799999999999994</v>
      </c>
      <c r="G4247" s="167">
        <v>9.9</v>
      </c>
      <c r="H4247" s="168">
        <v>690.05</v>
      </c>
      <c r="I4247" s="168">
        <v>580.73</v>
      </c>
      <c r="J4247" s="168">
        <v>47.19</v>
      </c>
      <c r="K4247" s="168">
        <v>62.13</v>
      </c>
      <c r="L4247" s="43">
        <v>9.9747036715813806</v>
      </c>
      <c r="M4247" s="43">
        <v>11.49960396039604</v>
      </c>
      <c r="N4247" s="43">
        <v>5.3747152619589977</v>
      </c>
      <c r="O4247" s="43">
        <v>6.2757575757575754</v>
      </c>
      <c r="P4247" s="169"/>
      <c r="Q4247" s="169"/>
      <c r="R4247" s="169">
        <v>1</v>
      </c>
    </row>
    <row r="4248" spans="1:18" ht="36">
      <c r="A4248" s="165">
        <v>1424</v>
      </c>
      <c r="B4248" s="162" t="s">
        <v>7777</v>
      </c>
      <c r="C4248" s="166" t="s">
        <v>7778</v>
      </c>
      <c r="D4248" s="167">
        <v>180.1</v>
      </c>
      <c r="E4248" s="167">
        <v>38.799999999999997</v>
      </c>
      <c r="F4248" s="167">
        <v>1.1200000000000001</v>
      </c>
      <c r="G4248" s="167">
        <v>140.18</v>
      </c>
      <c r="H4248" s="168">
        <v>833.34</v>
      </c>
      <c r="I4248" s="168">
        <v>446.15</v>
      </c>
      <c r="J4248" s="168">
        <v>5.82</v>
      </c>
      <c r="K4248" s="168">
        <v>381.37</v>
      </c>
      <c r="L4248" s="43">
        <v>4.627096057745697</v>
      </c>
      <c r="M4248" s="43">
        <v>11.498711340206185</v>
      </c>
      <c r="N4248" s="43">
        <v>5.1964285714285712</v>
      </c>
      <c r="O4248" s="43">
        <v>2.7205735482950493</v>
      </c>
      <c r="P4248" s="169"/>
      <c r="Q4248" s="169"/>
      <c r="R4248" s="169">
        <v>1</v>
      </c>
    </row>
    <row r="4249" spans="1:18" ht="36">
      <c r="A4249" s="165">
        <v>1425</v>
      </c>
      <c r="B4249" s="162" t="s">
        <v>7779</v>
      </c>
      <c r="C4249" s="166" t="s">
        <v>7780</v>
      </c>
      <c r="D4249" s="167">
        <v>322.75</v>
      </c>
      <c r="E4249" s="167">
        <v>51.26</v>
      </c>
      <c r="F4249" s="167">
        <v>4.1100000000000003</v>
      </c>
      <c r="G4249" s="167">
        <v>267.38</v>
      </c>
      <c r="H4249" s="168">
        <v>1294.22</v>
      </c>
      <c r="I4249" s="168">
        <v>589.51</v>
      </c>
      <c r="J4249" s="168">
        <v>21.86</v>
      </c>
      <c r="K4249" s="168">
        <v>682.85</v>
      </c>
      <c r="L4249" s="43">
        <v>4.0099767621998454</v>
      </c>
      <c r="M4249" s="43">
        <v>11.500390167772142</v>
      </c>
      <c r="N4249" s="43">
        <v>5.318734793187347</v>
      </c>
      <c r="O4249" s="43">
        <v>2.5538559353728778</v>
      </c>
      <c r="P4249" s="169"/>
      <c r="Q4249" s="169"/>
      <c r="R4249" s="169">
        <v>1</v>
      </c>
    </row>
    <row r="4250" spans="1:18" ht="36">
      <c r="A4250" s="165">
        <v>1426</v>
      </c>
      <c r="B4250" s="162" t="s">
        <v>7781</v>
      </c>
      <c r="C4250" s="166" t="s">
        <v>7782</v>
      </c>
      <c r="D4250" s="167">
        <v>333.38</v>
      </c>
      <c r="E4250" s="167">
        <v>60.55</v>
      </c>
      <c r="F4250" s="167">
        <v>4.16</v>
      </c>
      <c r="G4250" s="167">
        <v>268.67</v>
      </c>
      <c r="H4250" s="168">
        <v>1403.85</v>
      </c>
      <c r="I4250" s="168">
        <v>696.29</v>
      </c>
      <c r="J4250" s="168">
        <v>22.12</v>
      </c>
      <c r="K4250" s="168">
        <v>685.44</v>
      </c>
      <c r="L4250" s="43">
        <v>4.2109604655348249</v>
      </c>
      <c r="M4250" s="43">
        <v>11.49942196531792</v>
      </c>
      <c r="N4250" s="43">
        <v>5.3173076923076925</v>
      </c>
      <c r="O4250" s="43">
        <v>2.5512338556593592</v>
      </c>
      <c r="P4250" s="169"/>
      <c r="Q4250" s="169"/>
      <c r="R4250" s="169">
        <v>1</v>
      </c>
    </row>
    <row r="4251" spans="1:18" ht="36">
      <c r="A4251" s="165">
        <v>1427</v>
      </c>
      <c r="B4251" s="162" t="s">
        <v>7783</v>
      </c>
      <c r="C4251" s="166" t="s">
        <v>7784</v>
      </c>
      <c r="D4251" s="167">
        <v>488.19</v>
      </c>
      <c r="E4251" s="167">
        <v>96.42</v>
      </c>
      <c r="F4251" s="167">
        <v>4.68</v>
      </c>
      <c r="G4251" s="167">
        <v>387.09</v>
      </c>
      <c r="H4251" s="168">
        <v>2128.19</v>
      </c>
      <c r="I4251" s="168">
        <v>1108.8</v>
      </c>
      <c r="J4251" s="168">
        <v>24.8</v>
      </c>
      <c r="K4251" s="168">
        <v>994.59</v>
      </c>
      <c r="L4251" s="43">
        <v>4.3593477949159141</v>
      </c>
      <c r="M4251" s="43">
        <v>11.499688861232109</v>
      </c>
      <c r="N4251" s="43">
        <v>5.2991452991452999</v>
      </c>
      <c r="O4251" s="43">
        <v>2.5694024645431299</v>
      </c>
      <c r="P4251" s="169"/>
      <c r="Q4251" s="169"/>
      <c r="R4251" s="169">
        <v>1</v>
      </c>
    </row>
    <row r="4252" spans="1:18" ht="36">
      <c r="A4252" s="165">
        <v>1428</v>
      </c>
      <c r="B4252" s="162" t="s">
        <v>7785</v>
      </c>
      <c r="C4252" s="166" t="s">
        <v>7786</v>
      </c>
      <c r="D4252" s="167">
        <v>58.35</v>
      </c>
      <c r="E4252" s="167">
        <v>42.74</v>
      </c>
      <c r="F4252" s="167">
        <v>9.25</v>
      </c>
      <c r="G4252" s="167">
        <v>6.36</v>
      </c>
      <c r="H4252" s="168">
        <v>592.91</v>
      </c>
      <c r="I4252" s="168">
        <v>491.5</v>
      </c>
      <c r="J4252" s="168">
        <v>49.61</v>
      </c>
      <c r="K4252" s="168">
        <v>51.8</v>
      </c>
      <c r="L4252" s="43">
        <v>10.161268209083119</v>
      </c>
      <c r="M4252" s="43">
        <v>11.499766027140851</v>
      </c>
      <c r="N4252" s="43">
        <v>5.3632432432432431</v>
      </c>
      <c r="O4252" s="43">
        <v>8.1446540880503129</v>
      </c>
      <c r="P4252" s="169"/>
      <c r="Q4252" s="169"/>
      <c r="R4252" s="169">
        <v>1</v>
      </c>
    </row>
    <row r="4253" spans="1:18" ht="36">
      <c r="A4253" s="165">
        <v>1429</v>
      </c>
      <c r="B4253" s="162" t="s">
        <v>7787</v>
      </c>
      <c r="C4253" s="166" t="s">
        <v>7788</v>
      </c>
      <c r="D4253" s="167">
        <v>82.36</v>
      </c>
      <c r="E4253" s="167">
        <v>47.32</v>
      </c>
      <c r="F4253" s="167">
        <v>9.36</v>
      </c>
      <c r="G4253" s="167">
        <v>25.68</v>
      </c>
      <c r="H4253" s="168">
        <v>707.62</v>
      </c>
      <c r="I4253" s="168">
        <v>544.16</v>
      </c>
      <c r="J4253" s="168">
        <v>50.18</v>
      </c>
      <c r="K4253" s="168">
        <v>113.28</v>
      </c>
      <c r="L4253" s="43">
        <v>8.5917921321029631</v>
      </c>
      <c r="M4253" s="43">
        <v>11.499577345731192</v>
      </c>
      <c r="N4253" s="43">
        <v>5.3611111111111116</v>
      </c>
      <c r="O4253" s="43">
        <v>4.4112149532710285</v>
      </c>
      <c r="P4253" s="169"/>
      <c r="Q4253" s="169"/>
      <c r="R4253" s="169">
        <v>1</v>
      </c>
    </row>
    <row r="4254" spans="1:18" ht="36">
      <c r="A4254" s="165">
        <v>1430</v>
      </c>
      <c r="B4254" s="162" t="s">
        <v>7789</v>
      </c>
      <c r="C4254" s="166" t="s">
        <v>7790</v>
      </c>
      <c r="D4254" s="167">
        <v>259.52999999999997</v>
      </c>
      <c r="E4254" s="167">
        <v>52.79</v>
      </c>
      <c r="F4254" s="167">
        <v>4.0999999999999996</v>
      </c>
      <c r="G4254" s="167">
        <v>202.64</v>
      </c>
      <c r="H4254" s="168">
        <v>1155.6199999999999</v>
      </c>
      <c r="I4254" s="168">
        <v>607.05999999999995</v>
      </c>
      <c r="J4254" s="168">
        <v>21.8</v>
      </c>
      <c r="K4254" s="168">
        <v>526.76</v>
      </c>
      <c r="L4254" s="43">
        <v>4.4527414942395867</v>
      </c>
      <c r="M4254" s="43">
        <v>11.499526425459367</v>
      </c>
      <c r="N4254" s="43">
        <v>5.3170731707317076</v>
      </c>
      <c r="O4254" s="43">
        <v>2.5994867745756021</v>
      </c>
      <c r="P4254" s="169"/>
      <c r="Q4254" s="169"/>
      <c r="R4254" s="169">
        <v>1</v>
      </c>
    </row>
    <row r="4255" spans="1:18" ht="36">
      <c r="A4255" s="165">
        <v>1431</v>
      </c>
      <c r="B4255" s="162" t="s">
        <v>7791</v>
      </c>
      <c r="C4255" s="166" t="s">
        <v>7792</v>
      </c>
      <c r="D4255" s="167">
        <v>467.66</v>
      </c>
      <c r="E4255" s="167">
        <v>71.489999999999995</v>
      </c>
      <c r="F4255" s="167">
        <v>4.4400000000000004</v>
      </c>
      <c r="G4255" s="167">
        <v>391.73</v>
      </c>
      <c r="H4255" s="168">
        <v>1831.38</v>
      </c>
      <c r="I4255" s="168">
        <v>822.09</v>
      </c>
      <c r="J4255" s="168">
        <v>23.56</v>
      </c>
      <c r="K4255" s="168">
        <v>985.73</v>
      </c>
      <c r="L4255" s="43">
        <v>3.9160501218834196</v>
      </c>
      <c r="M4255" s="43">
        <v>11.499370541334454</v>
      </c>
      <c r="N4255" s="43">
        <v>5.3063063063063058</v>
      </c>
      <c r="O4255" s="43">
        <v>2.5163505475710308</v>
      </c>
      <c r="P4255" s="169"/>
      <c r="Q4255" s="169"/>
      <c r="R4255" s="169">
        <v>1</v>
      </c>
    </row>
    <row r="4256" spans="1:18" ht="36">
      <c r="A4256" s="165">
        <v>1432</v>
      </c>
      <c r="B4256" s="162" t="s">
        <v>7793</v>
      </c>
      <c r="C4256" s="166" t="s">
        <v>7794</v>
      </c>
      <c r="D4256" s="167">
        <v>726.22</v>
      </c>
      <c r="E4256" s="167">
        <v>133.56</v>
      </c>
      <c r="F4256" s="167">
        <v>5.05</v>
      </c>
      <c r="G4256" s="167">
        <v>587.61</v>
      </c>
      <c r="H4256" s="168">
        <v>3035.68</v>
      </c>
      <c r="I4256" s="168">
        <v>1535.94</v>
      </c>
      <c r="J4256" s="168">
        <v>26.7</v>
      </c>
      <c r="K4256" s="168">
        <v>1473.04</v>
      </c>
      <c r="L4256" s="43">
        <v>4.180110710253091</v>
      </c>
      <c r="M4256" s="43">
        <v>11.5</v>
      </c>
      <c r="N4256" s="43">
        <v>5.2871287128712874</v>
      </c>
      <c r="O4256" s="43">
        <v>2.5068327632273104</v>
      </c>
      <c r="P4256" s="169"/>
      <c r="Q4256" s="169"/>
      <c r="R4256" s="169">
        <v>1</v>
      </c>
    </row>
    <row r="4257" spans="1:18" ht="36">
      <c r="A4257" s="165">
        <v>1433</v>
      </c>
      <c r="B4257" s="162" t="s">
        <v>7795</v>
      </c>
      <c r="C4257" s="166" t="s">
        <v>7796</v>
      </c>
      <c r="D4257" s="167">
        <v>739.7</v>
      </c>
      <c r="E4257" s="167">
        <v>133.56</v>
      </c>
      <c r="F4257" s="167">
        <v>5.2</v>
      </c>
      <c r="G4257" s="167">
        <v>600.94000000000005</v>
      </c>
      <c r="H4257" s="168">
        <v>3114.75</v>
      </c>
      <c r="I4257" s="168">
        <v>1535.94</v>
      </c>
      <c r="J4257" s="168">
        <v>27.49</v>
      </c>
      <c r="K4257" s="168">
        <v>1551.32</v>
      </c>
      <c r="L4257" s="43">
        <v>4.2108287143436529</v>
      </c>
      <c r="M4257" s="43">
        <v>11.5</v>
      </c>
      <c r="N4257" s="43">
        <v>5.286538461538461</v>
      </c>
      <c r="O4257" s="43">
        <v>2.5814890005657798</v>
      </c>
      <c r="P4257" s="169"/>
      <c r="Q4257" s="169"/>
      <c r="R4257" s="169">
        <v>1</v>
      </c>
    </row>
    <row r="4258" spans="1:18" ht="36">
      <c r="A4258" s="165">
        <v>1434</v>
      </c>
      <c r="B4258" s="162" t="s">
        <v>7797</v>
      </c>
      <c r="C4258" s="166" t="s">
        <v>7798</v>
      </c>
      <c r="D4258" s="167">
        <v>70.22</v>
      </c>
      <c r="E4258" s="167">
        <v>50.5</v>
      </c>
      <c r="F4258" s="167">
        <v>9.4700000000000006</v>
      </c>
      <c r="G4258" s="167">
        <v>10.25</v>
      </c>
      <c r="H4258" s="168">
        <v>682.46</v>
      </c>
      <c r="I4258" s="168">
        <v>580.73</v>
      </c>
      <c r="J4258" s="168">
        <v>50.76</v>
      </c>
      <c r="K4258" s="168">
        <v>50.97</v>
      </c>
      <c r="L4258" s="43">
        <v>9.7188835089718033</v>
      </c>
      <c r="M4258" s="43">
        <v>11.49960396039604</v>
      </c>
      <c r="N4258" s="43">
        <v>5.3600844772967262</v>
      </c>
      <c r="O4258" s="43">
        <v>4.9726829268292683</v>
      </c>
      <c r="P4258" s="169"/>
      <c r="Q4258" s="169"/>
      <c r="R4258" s="169">
        <v>1</v>
      </c>
    </row>
    <row r="4259" spans="1:18" ht="36">
      <c r="A4259" s="165">
        <v>1435</v>
      </c>
      <c r="B4259" s="162" t="s">
        <v>7799</v>
      </c>
      <c r="C4259" s="166" t="s">
        <v>7800</v>
      </c>
      <c r="D4259" s="167">
        <v>82.31</v>
      </c>
      <c r="E4259" s="167">
        <v>59.78</v>
      </c>
      <c r="F4259" s="167">
        <v>9.4700000000000006</v>
      </c>
      <c r="G4259" s="167">
        <v>13.06</v>
      </c>
      <c r="H4259" s="168">
        <v>812.5</v>
      </c>
      <c r="I4259" s="168">
        <v>687.52</v>
      </c>
      <c r="J4259" s="168">
        <v>50.76</v>
      </c>
      <c r="K4259" s="168">
        <v>74.22</v>
      </c>
      <c r="L4259" s="43">
        <v>9.8712185639654955</v>
      </c>
      <c r="M4259" s="43">
        <v>11.500836400133824</v>
      </c>
      <c r="N4259" s="43">
        <v>5.3600844772967262</v>
      </c>
      <c r="O4259" s="43">
        <v>5.6830015313935682</v>
      </c>
      <c r="P4259" s="169"/>
      <c r="Q4259" s="169"/>
      <c r="R4259" s="169">
        <v>1</v>
      </c>
    </row>
    <row r="4260" spans="1:18" ht="12.75" customHeight="1">
      <c r="A4260" s="628" t="s">
        <v>7801</v>
      </c>
      <c r="B4260" s="629"/>
      <c r="C4260" s="629"/>
      <c r="D4260" s="629"/>
      <c r="E4260" s="629"/>
      <c r="F4260" s="629"/>
      <c r="G4260" s="629"/>
      <c r="H4260" s="629"/>
      <c r="I4260" s="629"/>
      <c r="J4260" s="629"/>
      <c r="K4260" s="629"/>
      <c r="L4260" s="629"/>
      <c r="M4260" s="629"/>
      <c r="N4260" s="629"/>
      <c r="O4260" s="629"/>
      <c r="P4260" s="629"/>
      <c r="Q4260" s="629"/>
      <c r="R4260" s="629"/>
    </row>
    <row r="4261" spans="1:18" ht="48">
      <c r="A4261" s="165">
        <v>1436</v>
      </c>
      <c r="B4261" s="162" t="s">
        <v>7802</v>
      </c>
      <c r="C4261" s="166" t="s">
        <v>7803</v>
      </c>
      <c r="D4261" s="167">
        <v>127.46</v>
      </c>
      <c r="E4261" s="167">
        <v>20.61</v>
      </c>
      <c r="F4261" s="167">
        <v>0.32</v>
      </c>
      <c r="G4261" s="167">
        <v>106.53</v>
      </c>
      <c r="H4261" s="168">
        <v>510.31</v>
      </c>
      <c r="I4261" s="168">
        <v>236.97</v>
      </c>
      <c r="J4261" s="168">
        <v>1.67</v>
      </c>
      <c r="K4261" s="168">
        <v>271.67</v>
      </c>
      <c r="L4261" s="43">
        <v>4.003687431351012</v>
      </c>
      <c r="M4261" s="43">
        <v>11.497816593886464</v>
      </c>
      <c r="N4261" s="43">
        <v>5.21875</v>
      </c>
      <c r="O4261" s="43">
        <v>2.5501736600018776</v>
      </c>
      <c r="P4261" s="169"/>
      <c r="Q4261" s="169"/>
      <c r="R4261" s="169">
        <v>2</v>
      </c>
    </row>
    <row r="4262" spans="1:18" ht="48">
      <c r="A4262" s="165">
        <v>1437</v>
      </c>
      <c r="B4262" s="162" t="s">
        <v>7804</v>
      </c>
      <c r="C4262" s="166" t="s">
        <v>7805</v>
      </c>
      <c r="D4262" s="167">
        <v>232.25</v>
      </c>
      <c r="E4262" s="167">
        <v>31.16</v>
      </c>
      <c r="F4262" s="167">
        <v>0.5</v>
      </c>
      <c r="G4262" s="167">
        <v>200.59</v>
      </c>
      <c r="H4262" s="168">
        <v>859.78</v>
      </c>
      <c r="I4262" s="168">
        <v>358.39</v>
      </c>
      <c r="J4262" s="168">
        <v>2.59</v>
      </c>
      <c r="K4262" s="168">
        <v>498.8</v>
      </c>
      <c r="L4262" s="43">
        <v>3.7019590958019375</v>
      </c>
      <c r="M4262" s="43">
        <v>11.501604621309371</v>
      </c>
      <c r="N4262" s="43">
        <v>5.18</v>
      </c>
      <c r="O4262" s="43">
        <v>2.4866643401964206</v>
      </c>
      <c r="P4262" s="169"/>
      <c r="Q4262" s="169"/>
      <c r="R4262" s="169">
        <v>2</v>
      </c>
    </row>
    <row r="4263" spans="1:18" ht="48">
      <c r="A4263" s="165">
        <v>1438</v>
      </c>
      <c r="B4263" s="162" t="s">
        <v>7806</v>
      </c>
      <c r="C4263" s="166" t="s">
        <v>7807</v>
      </c>
      <c r="D4263" s="167">
        <v>247.17</v>
      </c>
      <c r="E4263" s="167">
        <v>37.520000000000003</v>
      </c>
      <c r="F4263" s="167">
        <v>3.33</v>
      </c>
      <c r="G4263" s="167">
        <v>206.32</v>
      </c>
      <c r="H4263" s="168">
        <v>971.72</v>
      </c>
      <c r="I4263" s="168">
        <v>431.53</v>
      </c>
      <c r="J4263" s="168">
        <v>17.829999999999998</v>
      </c>
      <c r="K4263" s="168">
        <v>522.36</v>
      </c>
      <c r="L4263" s="43">
        <v>3.9313832584860626</v>
      </c>
      <c r="M4263" s="43">
        <v>11.501332622601277</v>
      </c>
      <c r="N4263" s="43">
        <v>5.3543543543543537</v>
      </c>
      <c r="O4263" s="43">
        <v>2.5317952694842965</v>
      </c>
      <c r="P4263" s="169"/>
      <c r="Q4263" s="169"/>
      <c r="R4263" s="169">
        <v>2</v>
      </c>
    </row>
    <row r="4264" spans="1:18" ht="48">
      <c r="A4264" s="165">
        <v>1439</v>
      </c>
      <c r="B4264" s="162" t="s">
        <v>7808</v>
      </c>
      <c r="C4264" s="166" t="s">
        <v>7809</v>
      </c>
      <c r="D4264" s="167">
        <v>382.84</v>
      </c>
      <c r="E4264" s="167">
        <v>65.510000000000005</v>
      </c>
      <c r="F4264" s="167">
        <v>3.73</v>
      </c>
      <c r="G4264" s="167">
        <v>313.60000000000002</v>
      </c>
      <c r="H4264" s="168">
        <v>1575.6</v>
      </c>
      <c r="I4264" s="168">
        <v>753.34</v>
      </c>
      <c r="J4264" s="168">
        <v>19.86</v>
      </c>
      <c r="K4264" s="168">
        <v>802.4</v>
      </c>
      <c r="L4264" s="43">
        <v>4.1155574130184931</v>
      </c>
      <c r="M4264" s="43">
        <v>11.499618378873453</v>
      </c>
      <c r="N4264" s="43">
        <v>5.3243967828418226</v>
      </c>
      <c r="O4264" s="43">
        <v>2.5586734693877546</v>
      </c>
      <c r="P4264" s="169"/>
      <c r="Q4264" s="169"/>
      <c r="R4264" s="169">
        <v>2</v>
      </c>
    </row>
    <row r="4265" spans="1:18" ht="48">
      <c r="A4265" s="165">
        <v>1440</v>
      </c>
      <c r="B4265" s="162" t="s">
        <v>7810</v>
      </c>
      <c r="C4265" s="166" t="s">
        <v>7811</v>
      </c>
      <c r="D4265" s="167">
        <v>38.6</v>
      </c>
      <c r="E4265" s="167">
        <v>24.04</v>
      </c>
      <c r="F4265" s="167">
        <v>8.5399999999999991</v>
      </c>
      <c r="G4265" s="167">
        <v>6.02</v>
      </c>
      <c r="H4265" s="168">
        <v>353.83</v>
      </c>
      <c r="I4265" s="168">
        <v>276.47000000000003</v>
      </c>
      <c r="J4265" s="168">
        <v>45.92</v>
      </c>
      <c r="K4265" s="168">
        <v>31.44</v>
      </c>
      <c r="L4265" s="43">
        <v>9.1665803108808284</v>
      </c>
      <c r="M4265" s="43">
        <v>11.500415973377706</v>
      </c>
      <c r="N4265" s="43">
        <v>5.3770491803278695</v>
      </c>
      <c r="O4265" s="43">
        <v>5.2225913621262468</v>
      </c>
      <c r="P4265" s="169"/>
      <c r="Q4265" s="169"/>
      <c r="R4265" s="169">
        <v>2</v>
      </c>
    </row>
    <row r="4266" spans="1:18" ht="48">
      <c r="A4266" s="165">
        <v>1441</v>
      </c>
      <c r="B4266" s="162" t="s">
        <v>7812</v>
      </c>
      <c r="C4266" s="166" t="s">
        <v>7813</v>
      </c>
      <c r="D4266" s="167">
        <v>44.96</v>
      </c>
      <c r="E4266" s="167">
        <v>30.27</v>
      </c>
      <c r="F4266" s="167">
        <v>8.5399999999999991</v>
      </c>
      <c r="G4266" s="167">
        <v>6.15</v>
      </c>
      <c r="H4266" s="168">
        <v>427.01</v>
      </c>
      <c r="I4266" s="168">
        <v>348.15</v>
      </c>
      <c r="J4266" s="168">
        <v>45.92</v>
      </c>
      <c r="K4266" s="168">
        <v>32.94</v>
      </c>
      <c r="L4266" s="43">
        <v>9.497553380782918</v>
      </c>
      <c r="M4266" s="43">
        <v>11.501486620416253</v>
      </c>
      <c r="N4266" s="43">
        <v>5.3770491803278695</v>
      </c>
      <c r="O4266" s="43">
        <v>5.3560975609756092</v>
      </c>
      <c r="P4266" s="169"/>
      <c r="Q4266" s="169"/>
      <c r="R4266" s="169">
        <v>2</v>
      </c>
    </row>
    <row r="4267" spans="1:18" ht="48">
      <c r="A4267" s="165">
        <v>1442</v>
      </c>
      <c r="B4267" s="162" t="s">
        <v>7814</v>
      </c>
      <c r="C4267" s="166" t="s">
        <v>7815</v>
      </c>
      <c r="D4267" s="167">
        <v>48.19</v>
      </c>
      <c r="E4267" s="167">
        <v>31.93</v>
      </c>
      <c r="F4267" s="167">
        <v>8.59</v>
      </c>
      <c r="G4267" s="167">
        <v>7.67</v>
      </c>
      <c r="H4267" s="168">
        <v>456.25</v>
      </c>
      <c r="I4267" s="168">
        <v>367.16</v>
      </c>
      <c r="J4267" s="168">
        <v>46.15</v>
      </c>
      <c r="K4267" s="168">
        <v>42.94</v>
      </c>
      <c r="L4267" s="43">
        <v>9.4677318945839382</v>
      </c>
      <c r="M4267" s="43">
        <v>11.498903852176637</v>
      </c>
      <c r="N4267" s="43">
        <v>5.3725261932479631</v>
      </c>
      <c r="O4267" s="43">
        <v>5.5984354628422421</v>
      </c>
      <c r="P4267" s="169"/>
      <c r="Q4267" s="169"/>
      <c r="R4267" s="169">
        <v>2</v>
      </c>
    </row>
    <row r="4268" spans="1:18" ht="48">
      <c r="A4268" s="165">
        <v>1443</v>
      </c>
      <c r="B4268" s="162" t="s">
        <v>7816</v>
      </c>
      <c r="C4268" s="166" t="s">
        <v>7817</v>
      </c>
      <c r="D4268" s="167">
        <v>237.25</v>
      </c>
      <c r="E4268" s="167">
        <v>35.11</v>
      </c>
      <c r="F4268" s="167">
        <v>0.54</v>
      </c>
      <c r="G4268" s="167">
        <v>201.6</v>
      </c>
      <c r="H4268" s="168">
        <v>922.04</v>
      </c>
      <c r="I4268" s="168">
        <v>403.73</v>
      </c>
      <c r="J4268" s="168">
        <v>2.78</v>
      </c>
      <c r="K4268" s="168">
        <v>515.53</v>
      </c>
      <c r="L4268" s="43">
        <v>3.8863645943097995</v>
      </c>
      <c r="M4268" s="43">
        <v>11.49900313301054</v>
      </c>
      <c r="N4268" s="43">
        <v>5.148148148148147</v>
      </c>
      <c r="O4268" s="43">
        <v>2.5571924603174603</v>
      </c>
      <c r="P4268" s="169"/>
      <c r="Q4268" s="169"/>
      <c r="R4268" s="169">
        <v>2</v>
      </c>
    </row>
    <row r="4269" spans="1:18" ht="48">
      <c r="A4269" s="165">
        <v>1444</v>
      </c>
      <c r="B4269" s="162" t="s">
        <v>7818</v>
      </c>
      <c r="C4269" s="166" t="s">
        <v>7819</v>
      </c>
      <c r="D4269" s="167">
        <v>449.56</v>
      </c>
      <c r="E4269" s="167">
        <v>53.68</v>
      </c>
      <c r="F4269" s="167">
        <v>3.66</v>
      </c>
      <c r="G4269" s="167">
        <v>392.22</v>
      </c>
      <c r="H4269" s="168">
        <v>1612.34</v>
      </c>
      <c r="I4269" s="168">
        <v>617.29999999999995</v>
      </c>
      <c r="J4269" s="168">
        <v>19.48</v>
      </c>
      <c r="K4269" s="168">
        <v>975.56</v>
      </c>
      <c r="L4269" s="43">
        <v>3.5864845626835127</v>
      </c>
      <c r="M4269" s="43">
        <v>11.499627421758568</v>
      </c>
      <c r="N4269" s="43">
        <v>5.3224043715846996</v>
      </c>
      <c r="O4269" s="43">
        <v>2.4872775483147209</v>
      </c>
      <c r="P4269" s="169"/>
      <c r="Q4269" s="169"/>
      <c r="R4269" s="169">
        <v>2</v>
      </c>
    </row>
    <row r="4270" spans="1:18" ht="48">
      <c r="A4270" s="165">
        <v>1445</v>
      </c>
      <c r="B4270" s="162" t="s">
        <v>7820</v>
      </c>
      <c r="C4270" s="166" t="s">
        <v>7821</v>
      </c>
      <c r="D4270" s="167">
        <v>462.43</v>
      </c>
      <c r="E4270" s="167">
        <v>64.739999999999995</v>
      </c>
      <c r="F4270" s="167">
        <v>3.75</v>
      </c>
      <c r="G4270" s="167">
        <v>393.94</v>
      </c>
      <c r="H4270" s="168">
        <v>1751.43</v>
      </c>
      <c r="I4270" s="168">
        <v>744.57</v>
      </c>
      <c r="J4270" s="168">
        <v>19.989999999999998</v>
      </c>
      <c r="K4270" s="168">
        <v>986.87</v>
      </c>
      <c r="L4270" s="43">
        <v>3.7874489111865581</v>
      </c>
      <c r="M4270" s="43">
        <v>11.500926784059315</v>
      </c>
      <c r="N4270" s="43">
        <v>5.3306666666666667</v>
      </c>
      <c r="O4270" s="43">
        <v>2.5051276844189472</v>
      </c>
      <c r="P4270" s="169"/>
      <c r="Q4270" s="169"/>
      <c r="R4270" s="169">
        <v>2</v>
      </c>
    </row>
    <row r="4271" spans="1:18" ht="48">
      <c r="A4271" s="165">
        <v>1446</v>
      </c>
      <c r="B4271" s="162" t="s">
        <v>7822</v>
      </c>
      <c r="C4271" s="166" t="s">
        <v>7823</v>
      </c>
      <c r="D4271" s="167">
        <v>556.38</v>
      </c>
      <c r="E4271" s="167">
        <v>116.9</v>
      </c>
      <c r="F4271" s="167">
        <v>10.06</v>
      </c>
      <c r="G4271" s="167">
        <v>429.42</v>
      </c>
      <c r="H4271" s="168">
        <v>2526.35</v>
      </c>
      <c r="I4271" s="168">
        <v>1344.31</v>
      </c>
      <c r="J4271" s="168">
        <v>53.76</v>
      </c>
      <c r="K4271" s="168">
        <v>1128.28</v>
      </c>
      <c r="L4271" s="43">
        <v>4.5406916136453503</v>
      </c>
      <c r="M4271" s="43">
        <v>11.499657827202736</v>
      </c>
      <c r="N4271" s="43">
        <v>5.3439363817097414</v>
      </c>
      <c r="O4271" s="43">
        <v>2.6274509803921569</v>
      </c>
      <c r="P4271" s="169"/>
      <c r="Q4271" s="169"/>
      <c r="R4271" s="169">
        <v>2</v>
      </c>
    </row>
    <row r="4272" spans="1:18" ht="48">
      <c r="A4272" s="165">
        <v>1447</v>
      </c>
      <c r="B4272" s="162" t="s">
        <v>7824</v>
      </c>
      <c r="C4272" s="166" t="s">
        <v>7825</v>
      </c>
      <c r="D4272" s="167">
        <v>45.86</v>
      </c>
      <c r="E4272" s="167">
        <v>31.16</v>
      </c>
      <c r="F4272" s="167">
        <v>8.5399999999999991</v>
      </c>
      <c r="G4272" s="167">
        <v>6.16</v>
      </c>
      <c r="H4272" s="168">
        <v>437.36</v>
      </c>
      <c r="I4272" s="168">
        <v>358.39</v>
      </c>
      <c r="J4272" s="168">
        <v>45.92</v>
      </c>
      <c r="K4272" s="168">
        <v>33.049999999999997</v>
      </c>
      <c r="L4272" s="43">
        <v>9.5368512865242039</v>
      </c>
      <c r="M4272" s="43">
        <v>11.501604621309371</v>
      </c>
      <c r="N4272" s="43">
        <v>5.3770491803278695</v>
      </c>
      <c r="O4272" s="43">
        <v>5.3652597402597397</v>
      </c>
      <c r="P4272" s="169"/>
      <c r="Q4272" s="169"/>
      <c r="R4272" s="169">
        <v>2</v>
      </c>
    </row>
    <row r="4273" spans="1:18" ht="48">
      <c r="A4273" s="165">
        <v>1448</v>
      </c>
      <c r="B4273" s="162" t="s">
        <v>7826</v>
      </c>
      <c r="C4273" s="166" t="s">
        <v>7827</v>
      </c>
      <c r="D4273" s="167">
        <v>57.25</v>
      </c>
      <c r="E4273" s="167">
        <v>39.56</v>
      </c>
      <c r="F4273" s="167">
        <v>11.36</v>
      </c>
      <c r="G4273" s="167">
        <v>6.33</v>
      </c>
      <c r="H4273" s="168">
        <v>551.01</v>
      </c>
      <c r="I4273" s="168">
        <v>454.93</v>
      </c>
      <c r="J4273" s="168">
        <v>61.07</v>
      </c>
      <c r="K4273" s="168">
        <v>35.01</v>
      </c>
      <c r="L4273" s="43">
        <v>9.6246288209606981</v>
      </c>
      <c r="M4273" s="43">
        <v>11.499747219413548</v>
      </c>
      <c r="N4273" s="43">
        <v>5.375880281690141</v>
      </c>
      <c r="O4273" s="43">
        <v>5.5308056872037907</v>
      </c>
      <c r="P4273" s="169"/>
      <c r="Q4273" s="169"/>
      <c r="R4273" s="169">
        <v>2</v>
      </c>
    </row>
    <row r="4274" spans="1:18" ht="48">
      <c r="A4274" s="165">
        <v>1449</v>
      </c>
      <c r="B4274" s="162" t="s">
        <v>7828</v>
      </c>
      <c r="C4274" s="166" t="s">
        <v>7829</v>
      </c>
      <c r="D4274" s="167">
        <v>68.09</v>
      </c>
      <c r="E4274" s="167">
        <v>45.92</v>
      </c>
      <c r="F4274" s="167">
        <v>14.22</v>
      </c>
      <c r="G4274" s="167">
        <v>7.95</v>
      </c>
      <c r="H4274" s="168">
        <v>650.69000000000005</v>
      </c>
      <c r="I4274" s="168">
        <v>528.07000000000005</v>
      </c>
      <c r="J4274" s="168">
        <v>76.459999999999994</v>
      </c>
      <c r="K4274" s="168">
        <v>46.16</v>
      </c>
      <c r="L4274" s="43">
        <v>9.5563225143192838</v>
      </c>
      <c r="M4274" s="43">
        <v>11.499782229965158</v>
      </c>
      <c r="N4274" s="43">
        <v>5.3769338959212369</v>
      </c>
      <c r="O4274" s="43">
        <v>5.8062893081761002</v>
      </c>
      <c r="P4274" s="169"/>
      <c r="Q4274" s="169"/>
      <c r="R4274" s="169">
        <v>2</v>
      </c>
    </row>
    <row r="4275" spans="1:18" ht="48">
      <c r="A4275" s="165">
        <v>1450</v>
      </c>
      <c r="B4275" s="162" t="s">
        <v>7830</v>
      </c>
      <c r="C4275" s="166" t="s">
        <v>7831</v>
      </c>
      <c r="D4275" s="167">
        <v>364.34</v>
      </c>
      <c r="E4275" s="167">
        <v>57.75</v>
      </c>
      <c r="F4275" s="167">
        <v>3.62</v>
      </c>
      <c r="G4275" s="167">
        <v>302.97000000000003</v>
      </c>
      <c r="H4275" s="168">
        <v>1462.26</v>
      </c>
      <c r="I4275" s="168">
        <v>664.11</v>
      </c>
      <c r="J4275" s="168">
        <v>19.28</v>
      </c>
      <c r="K4275" s="168">
        <v>778.87</v>
      </c>
      <c r="L4275" s="43">
        <v>4.0134489762309933</v>
      </c>
      <c r="M4275" s="43">
        <v>11.49974025974026</v>
      </c>
      <c r="N4275" s="43">
        <v>5.3259668508287294</v>
      </c>
      <c r="O4275" s="43">
        <v>2.5707825857345608</v>
      </c>
      <c r="P4275" s="169"/>
      <c r="Q4275" s="169"/>
      <c r="R4275" s="169">
        <v>2</v>
      </c>
    </row>
    <row r="4276" spans="1:18" ht="48">
      <c r="A4276" s="165">
        <v>1451</v>
      </c>
      <c r="B4276" s="162" t="s">
        <v>7832</v>
      </c>
      <c r="C4276" s="166" t="s">
        <v>7833</v>
      </c>
      <c r="D4276" s="167">
        <v>680.07</v>
      </c>
      <c r="E4276" s="167">
        <v>86.88</v>
      </c>
      <c r="F4276" s="167">
        <v>4.1399999999999997</v>
      </c>
      <c r="G4276" s="167">
        <v>589.04999999999995</v>
      </c>
      <c r="H4276" s="168">
        <v>2490.19</v>
      </c>
      <c r="I4276" s="168">
        <v>999.09</v>
      </c>
      <c r="J4276" s="168">
        <v>21.96</v>
      </c>
      <c r="K4276" s="168">
        <v>1469.14</v>
      </c>
      <c r="L4276" s="43">
        <v>3.66166718131957</v>
      </c>
      <c r="M4276" s="43">
        <v>11.499654696132598</v>
      </c>
      <c r="N4276" s="43">
        <v>5.304347826086957</v>
      </c>
      <c r="O4276" s="43">
        <v>2.4940836940836943</v>
      </c>
      <c r="P4276" s="169"/>
      <c r="Q4276" s="169"/>
      <c r="R4276" s="169">
        <v>2</v>
      </c>
    </row>
    <row r="4277" spans="1:18" ht="48">
      <c r="A4277" s="165">
        <v>1452</v>
      </c>
      <c r="B4277" s="162" t="s">
        <v>7834</v>
      </c>
      <c r="C4277" s="166" t="s">
        <v>7835</v>
      </c>
      <c r="D4277" s="167">
        <v>1030.6099999999999</v>
      </c>
      <c r="E4277" s="167">
        <v>146.28</v>
      </c>
      <c r="F4277" s="167">
        <v>5.07</v>
      </c>
      <c r="G4277" s="167">
        <v>879.26</v>
      </c>
      <c r="H4277" s="168">
        <v>3894.5</v>
      </c>
      <c r="I4277" s="168">
        <v>1682.22</v>
      </c>
      <c r="J4277" s="168">
        <v>26.79</v>
      </c>
      <c r="K4277" s="168">
        <v>2185.4899999999998</v>
      </c>
      <c r="L4277" s="43">
        <v>3.7788300132930988</v>
      </c>
      <c r="M4277" s="43">
        <v>11.5</v>
      </c>
      <c r="N4277" s="43">
        <v>5.2840236686390529</v>
      </c>
      <c r="O4277" s="43">
        <v>2.4856015285581057</v>
      </c>
      <c r="P4277" s="169"/>
      <c r="Q4277" s="169"/>
      <c r="R4277" s="169">
        <v>2</v>
      </c>
    </row>
    <row r="4278" spans="1:18" ht="48">
      <c r="A4278" s="165">
        <v>1453</v>
      </c>
      <c r="B4278" s="162" t="s">
        <v>7836</v>
      </c>
      <c r="C4278" s="166" t="s">
        <v>7837</v>
      </c>
      <c r="D4278" s="167">
        <v>1083.57</v>
      </c>
      <c r="E4278" s="167">
        <v>175.54</v>
      </c>
      <c r="F4278" s="167">
        <v>10.86</v>
      </c>
      <c r="G4278" s="167">
        <v>897.17</v>
      </c>
      <c r="H4278" s="168">
        <v>4364.74</v>
      </c>
      <c r="I4278" s="168">
        <v>2018.66</v>
      </c>
      <c r="J4278" s="168">
        <v>57.88</v>
      </c>
      <c r="K4278" s="168">
        <v>2288.1999999999998</v>
      </c>
      <c r="L4278" s="43">
        <v>4.0281107819522504</v>
      </c>
      <c r="M4278" s="43">
        <v>11.499715164634843</v>
      </c>
      <c r="N4278" s="43">
        <v>5.3296500920810317</v>
      </c>
      <c r="O4278" s="43">
        <v>2.5504642375469531</v>
      </c>
      <c r="P4278" s="169"/>
      <c r="Q4278" s="169"/>
      <c r="R4278" s="169">
        <v>2</v>
      </c>
    </row>
    <row r="4279" spans="1:18" ht="48">
      <c r="A4279" s="165">
        <v>1454</v>
      </c>
      <c r="B4279" s="162" t="s">
        <v>7838</v>
      </c>
      <c r="C4279" s="166" t="s">
        <v>7839</v>
      </c>
      <c r="D4279" s="167">
        <v>70.34</v>
      </c>
      <c r="E4279" s="167">
        <v>49.48</v>
      </c>
      <c r="F4279" s="167">
        <v>14.33</v>
      </c>
      <c r="G4279" s="167">
        <v>6.53</v>
      </c>
      <c r="H4279" s="168">
        <v>683.38</v>
      </c>
      <c r="I4279" s="168">
        <v>569.03</v>
      </c>
      <c r="J4279" s="168">
        <v>77.040000000000006</v>
      </c>
      <c r="K4279" s="168">
        <v>37.31</v>
      </c>
      <c r="L4279" s="43">
        <v>9.7153824282058565</v>
      </c>
      <c r="M4279" s="43">
        <v>11.500202101859337</v>
      </c>
      <c r="N4279" s="43">
        <v>5.3761339846475931</v>
      </c>
      <c r="O4279" s="43">
        <v>5.7136294027565082</v>
      </c>
      <c r="P4279" s="169"/>
      <c r="Q4279" s="169"/>
      <c r="R4279" s="169">
        <v>2</v>
      </c>
    </row>
    <row r="4280" spans="1:18" ht="48">
      <c r="A4280" s="165">
        <v>1455</v>
      </c>
      <c r="B4280" s="162" t="s">
        <v>7840</v>
      </c>
      <c r="C4280" s="166" t="s">
        <v>7841</v>
      </c>
      <c r="D4280" s="167">
        <v>79.510000000000005</v>
      </c>
      <c r="E4280" s="167">
        <v>55.84</v>
      </c>
      <c r="F4280" s="167">
        <v>14.33</v>
      </c>
      <c r="G4280" s="167">
        <v>9.34</v>
      </c>
      <c r="H4280" s="168">
        <v>779.57</v>
      </c>
      <c r="I4280" s="168">
        <v>642.16999999999996</v>
      </c>
      <c r="J4280" s="168">
        <v>77.040000000000006</v>
      </c>
      <c r="K4280" s="168">
        <v>60.36</v>
      </c>
      <c r="L4280" s="43">
        <v>9.8046786567727331</v>
      </c>
      <c r="M4280" s="43">
        <v>11.500179083094554</v>
      </c>
      <c r="N4280" s="43">
        <v>5.3761339846475931</v>
      </c>
      <c r="O4280" s="43">
        <v>6.462526766595289</v>
      </c>
      <c r="P4280" s="169"/>
      <c r="Q4280" s="169"/>
      <c r="R4280" s="169">
        <v>2</v>
      </c>
    </row>
    <row r="4281" spans="1:18" ht="48">
      <c r="A4281" s="165">
        <v>1456</v>
      </c>
      <c r="B4281" s="162" t="s">
        <v>7842</v>
      </c>
      <c r="C4281" s="166" t="s">
        <v>7843</v>
      </c>
      <c r="D4281" s="167">
        <v>89.68</v>
      </c>
      <c r="E4281" s="167">
        <v>66.53</v>
      </c>
      <c r="F4281" s="167">
        <v>14.66</v>
      </c>
      <c r="G4281" s="167">
        <v>8.49</v>
      </c>
      <c r="H4281" s="168">
        <v>896.91</v>
      </c>
      <c r="I4281" s="168">
        <v>765.04</v>
      </c>
      <c r="J4281" s="168">
        <v>78.77</v>
      </c>
      <c r="K4281" s="168">
        <v>53.1</v>
      </c>
      <c r="L4281" s="43">
        <v>10.001226583407671</v>
      </c>
      <c r="M4281" s="43">
        <v>11.499173305275814</v>
      </c>
      <c r="N4281" s="43">
        <v>5.3731241473396993</v>
      </c>
      <c r="O4281" s="43">
        <v>6.2544169611307421</v>
      </c>
      <c r="P4281" s="169"/>
      <c r="Q4281" s="169"/>
      <c r="R4281" s="169">
        <v>2</v>
      </c>
    </row>
    <row r="4282" spans="1:18" ht="36">
      <c r="A4282" s="165">
        <v>1457</v>
      </c>
      <c r="B4282" s="162" t="s">
        <v>7844</v>
      </c>
      <c r="C4282" s="166" t="s">
        <v>7845</v>
      </c>
      <c r="D4282" s="167">
        <v>266.73</v>
      </c>
      <c r="E4282" s="167">
        <v>53.42</v>
      </c>
      <c r="F4282" s="167">
        <v>4.0199999999999996</v>
      </c>
      <c r="G4282" s="167">
        <v>209.29</v>
      </c>
      <c r="H4282" s="168">
        <v>1185.24</v>
      </c>
      <c r="I4282" s="168">
        <v>614.38</v>
      </c>
      <c r="J4282" s="168">
        <v>21.4</v>
      </c>
      <c r="K4282" s="168">
        <v>549.46</v>
      </c>
      <c r="L4282" s="43">
        <v>4.4435946462715101</v>
      </c>
      <c r="M4282" s="43">
        <v>11.50093597903407</v>
      </c>
      <c r="N4282" s="43">
        <v>5.3233830845771148</v>
      </c>
      <c r="O4282" s="43">
        <v>2.6253523818624878</v>
      </c>
      <c r="P4282" s="169"/>
      <c r="Q4282" s="169"/>
      <c r="R4282" s="169">
        <v>2</v>
      </c>
    </row>
    <row r="4283" spans="1:18" ht="36">
      <c r="A4283" s="165">
        <v>1458</v>
      </c>
      <c r="B4283" s="162" t="s">
        <v>7846</v>
      </c>
      <c r="C4283" s="166" t="s">
        <v>7847</v>
      </c>
      <c r="D4283" s="167">
        <v>480.57</v>
      </c>
      <c r="E4283" s="167">
        <v>71.739999999999995</v>
      </c>
      <c r="F4283" s="167">
        <v>4.3600000000000003</v>
      </c>
      <c r="G4283" s="167">
        <v>404.47</v>
      </c>
      <c r="H4283" s="168">
        <v>1878.6</v>
      </c>
      <c r="I4283" s="168">
        <v>825.02</v>
      </c>
      <c r="J4283" s="168">
        <v>23.17</v>
      </c>
      <c r="K4283" s="168">
        <v>1030.4100000000001</v>
      </c>
      <c r="L4283" s="43">
        <v>3.9091079343279853</v>
      </c>
      <c r="M4283" s="43">
        <v>11.500139392249791</v>
      </c>
      <c r="N4283" s="43">
        <v>5.3142201834862384</v>
      </c>
      <c r="O4283" s="43">
        <v>2.5475560610181227</v>
      </c>
      <c r="P4283" s="169"/>
      <c r="Q4283" s="169"/>
      <c r="R4283" s="169">
        <v>2</v>
      </c>
    </row>
    <row r="4284" spans="1:18" ht="36">
      <c r="A4284" s="165">
        <v>1459</v>
      </c>
      <c r="B4284" s="162" t="s">
        <v>7848</v>
      </c>
      <c r="C4284" s="166" t="s">
        <v>7849</v>
      </c>
      <c r="D4284" s="167">
        <v>496.37</v>
      </c>
      <c r="E4284" s="167">
        <v>82.93</v>
      </c>
      <c r="F4284" s="167">
        <v>4.4400000000000004</v>
      </c>
      <c r="G4284" s="167">
        <v>409</v>
      </c>
      <c r="H4284" s="168">
        <v>2029.53</v>
      </c>
      <c r="I4284" s="168">
        <v>953.75</v>
      </c>
      <c r="J4284" s="168">
        <v>23.56</v>
      </c>
      <c r="K4284" s="168">
        <v>1052.22</v>
      </c>
      <c r="L4284" s="43">
        <v>4.0887442834981966</v>
      </c>
      <c r="M4284" s="43">
        <v>11.500663209936089</v>
      </c>
      <c r="N4284" s="43">
        <v>5.3063063063063058</v>
      </c>
      <c r="O4284" s="43">
        <v>2.5726650366748167</v>
      </c>
      <c r="P4284" s="169"/>
      <c r="Q4284" s="169"/>
      <c r="R4284" s="169">
        <v>2</v>
      </c>
    </row>
    <row r="4285" spans="1:18" ht="36">
      <c r="A4285" s="165">
        <v>1460</v>
      </c>
      <c r="B4285" s="162" t="s">
        <v>7850</v>
      </c>
      <c r="C4285" s="166" t="s">
        <v>7851</v>
      </c>
      <c r="D4285" s="167">
        <v>762.87</v>
      </c>
      <c r="E4285" s="167">
        <v>121.6</v>
      </c>
      <c r="F4285" s="167">
        <v>10.75</v>
      </c>
      <c r="G4285" s="167">
        <v>630.52</v>
      </c>
      <c r="H4285" s="168">
        <v>3103.09</v>
      </c>
      <c r="I4285" s="168">
        <v>1398.44</v>
      </c>
      <c r="J4285" s="168">
        <v>57.33</v>
      </c>
      <c r="K4285" s="168">
        <v>1647.32</v>
      </c>
      <c r="L4285" s="43">
        <v>4.0676524178431448</v>
      </c>
      <c r="M4285" s="43">
        <v>11.500328947368422</v>
      </c>
      <c r="N4285" s="43">
        <v>5.333023255813953</v>
      </c>
      <c r="O4285" s="43">
        <v>2.6126371883524708</v>
      </c>
      <c r="P4285" s="169"/>
      <c r="Q4285" s="169"/>
      <c r="R4285" s="169">
        <v>2</v>
      </c>
    </row>
    <row r="4286" spans="1:18" ht="36">
      <c r="A4286" s="165">
        <v>1461</v>
      </c>
      <c r="B4286" s="162" t="s">
        <v>7852</v>
      </c>
      <c r="C4286" s="166" t="s">
        <v>7853</v>
      </c>
      <c r="D4286" s="167">
        <v>71.33</v>
      </c>
      <c r="E4286" s="167">
        <v>51.9</v>
      </c>
      <c r="F4286" s="167">
        <v>9.25</v>
      </c>
      <c r="G4286" s="167">
        <v>10.18</v>
      </c>
      <c r="H4286" s="168">
        <v>696.43</v>
      </c>
      <c r="I4286" s="168">
        <v>596.82000000000005</v>
      </c>
      <c r="J4286" s="168">
        <v>49.61</v>
      </c>
      <c r="K4286" s="168">
        <v>50</v>
      </c>
      <c r="L4286" s="43">
        <v>9.7634936211972523</v>
      </c>
      <c r="M4286" s="43">
        <v>11.49942196531792</v>
      </c>
      <c r="N4286" s="43">
        <v>5.3632432432432431</v>
      </c>
      <c r="O4286" s="43">
        <v>4.9115913555992146</v>
      </c>
      <c r="P4286" s="169"/>
      <c r="Q4286" s="169"/>
      <c r="R4286" s="169">
        <v>2</v>
      </c>
    </row>
    <row r="4287" spans="1:18" ht="36">
      <c r="A4287" s="165">
        <v>1462</v>
      </c>
      <c r="B4287" s="162" t="s">
        <v>7854</v>
      </c>
      <c r="C4287" s="166" t="s">
        <v>7855</v>
      </c>
      <c r="D4287" s="167">
        <v>85.32</v>
      </c>
      <c r="E4287" s="167">
        <v>58.77</v>
      </c>
      <c r="F4287" s="167">
        <v>14.91</v>
      </c>
      <c r="G4287" s="167">
        <v>11.64</v>
      </c>
      <c r="H4287" s="168">
        <v>818.15</v>
      </c>
      <c r="I4287" s="168">
        <v>675.81</v>
      </c>
      <c r="J4287" s="168">
        <v>80.03</v>
      </c>
      <c r="K4287" s="168">
        <v>62.31</v>
      </c>
      <c r="L4287" s="43">
        <v>9.5891936240037516</v>
      </c>
      <c r="M4287" s="43">
        <v>11.499234303215925</v>
      </c>
      <c r="N4287" s="43">
        <v>5.3675385647216629</v>
      </c>
      <c r="O4287" s="43">
        <v>5.3530927835051543</v>
      </c>
      <c r="P4287" s="169"/>
      <c r="Q4287" s="169"/>
      <c r="R4287" s="169">
        <v>2</v>
      </c>
    </row>
    <row r="4288" spans="1:18" ht="36">
      <c r="A4288" s="165">
        <v>1463</v>
      </c>
      <c r="B4288" s="162" t="s">
        <v>7856</v>
      </c>
      <c r="C4288" s="166" t="s">
        <v>7857</v>
      </c>
      <c r="D4288" s="167">
        <v>384.79</v>
      </c>
      <c r="E4288" s="167">
        <v>75.56</v>
      </c>
      <c r="F4288" s="167">
        <v>4.32</v>
      </c>
      <c r="G4288" s="167">
        <v>304.91000000000003</v>
      </c>
      <c r="H4288" s="168">
        <v>1680.57</v>
      </c>
      <c r="I4288" s="168">
        <v>868.9</v>
      </c>
      <c r="J4288" s="168">
        <v>22.97</v>
      </c>
      <c r="K4288" s="168">
        <v>788.7</v>
      </c>
      <c r="L4288" s="43">
        <v>4.3674991553834559</v>
      </c>
      <c r="M4288" s="43">
        <v>11.49947061937533</v>
      </c>
      <c r="N4288" s="43">
        <v>5.3171296296296289</v>
      </c>
      <c r="O4288" s="43">
        <v>2.5866649175166443</v>
      </c>
      <c r="P4288" s="169"/>
      <c r="Q4288" s="169"/>
      <c r="R4288" s="169">
        <v>2</v>
      </c>
    </row>
    <row r="4289" spans="1:18" ht="36">
      <c r="A4289" s="165">
        <v>1464</v>
      </c>
      <c r="B4289" s="162" t="s">
        <v>7858</v>
      </c>
      <c r="C4289" s="166" t="s">
        <v>7859</v>
      </c>
      <c r="D4289" s="167">
        <v>705.86</v>
      </c>
      <c r="E4289" s="167">
        <v>110.28</v>
      </c>
      <c r="F4289" s="167">
        <v>4.8499999999999996</v>
      </c>
      <c r="G4289" s="167">
        <v>590.73</v>
      </c>
      <c r="H4289" s="168">
        <v>2770.62</v>
      </c>
      <c r="I4289" s="168">
        <v>1268.25</v>
      </c>
      <c r="J4289" s="168">
        <v>25.65</v>
      </c>
      <c r="K4289" s="168">
        <v>1476.72</v>
      </c>
      <c r="L4289" s="43">
        <v>3.9251692970277392</v>
      </c>
      <c r="M4289" s="43">
        <v>11.500272034820457</v>
      </c>
      <c r="N4289" s="43">
        <v>5.2886597938144329</v>
      </c>
      <c r="O4289" s="43">
        <v>2.4998222538215429</v>
      </c>
      <c r="P4289" s="169"/>
      <c r="Q4289" s="169"/>
      <c r="R4289" s="169">
        <v>2</v>
      </c>
    </row>
    <row r="4290" spans="1:18" ht="36">
      <c r="A4290" s="165">
        <v>1465</v>
      </c>
      <c r="B4290" s="162" t="s">
        <v>7860</v>
      </c>
      <c r="C4290" s="166" t="s">
        <v>7861</v>
      </c>
      <c r="D4290" s="167">
        <v>1039.29</v>
      </c>
      <c r="E4290" s="167">
        <v>164.09</v>
      </c>
      <c r="F4290" s="167">
        <v>5.76</v>
      </c>
      <c r="G4290" s="167">
        <v>869.44</v>
      </c>
      <c r="H4290" s="168">
        <v>4074.57</v>
      </c>
      <c r="I4290" s="168">
        <v>1887.01</v>
      </c>
      <c r="J4290" s="168">
        <v>30.36</v>
      </c>
      <c r="K4290" s="168">
        <v>2157.1999999999998</v>
      </c>
      <c r="L4290" s="43">
        <v>3.9205322864647982</v>
      </c>
      <c r="M4290" s="43">
        <v>11.499847644585289</v>
      </c>
      <c r="N4290" s="43">
        <v>5.270833333333333</v>
      </c>
      <c r="O4290" s="43">
        <v>2.4811372837688626</v>
      </c>
      <c r="P4290" s="169"/>
      <c r="Q4290" s="169"/>
      <c r="R4290" s="169">
        <v>2</v>
      </c>
    </row>
    <row r="4291" spans="1:18" ht="36">
      <c r="A4291" s="165">
        <v>1466</v>
      </c>
      <c r="B4291" s="162" t="s">
        <v>7862</v>
      </c>
      <c r="C4291" s="166" t="s">
        <v>7863</v>
      </c>
      <c r="D4291" s="167">
        <v>1089.48</v>
      </c>
      <c r="E4291" s="167">
        <v>193.34</v>
      </c>
      <c r="F4291" s="167">
        <v>11.55</v>
      </c>
      <c r="G4291" s="167">
        <v>884.59</v>
      </c>
      <c r="H4291" s="168">
        <v>4535.8</v>
      </c>
      <c r="I4291" s="168">
        <v>2223.46</v>
      </c>
      <c r="J4291" s="168">
        <v>61.45</v>
      </c>
      <c r="K4291" s="168">
        <v>2250.89</v>
      </c>
      <c r="L4291" s="43">
        <v>4.1632705510885932</v>
      </c>
      <c r="M4291" s="43">
        <v>11.500258611772008</v>
      </c>
      <c r="N4291" s="43">
        <v>5.3203463203463199</v>
      </c>
      <c r="O4291" s="43">
        <v>2.5445573655591853</v>
      </c>
      <c r="P4291" s="169"/>
      <c r="Q4291" s="169"/>
      <c r="R4291" s="169">
        <v>2</v>
      </c>
    </row>
    <row r="4292" spans="1:18" ht="36">
      <c r="A4292" s="165">
        <v>1467</v>
      </c>
      <c r="B4292" s="162" t="s">
        <v>7864</v>
      </c>
      <c r="C4292" s="166" t="s">
        <v>7865</v>
      </c>
      <c r="D4292" s="167">
        <v>93.48</v>
      </c>
      <c r="E4292" s="167">
        <v>68.05</v>
      </c>
      <c r="F4292" s="167">
        <v>15.02</v>
      </c>
      <c r="G4292" s="167">
        <v>10.41</v>
      </c>
      <c r="H4292" s="168">
        <v>916.71</v>
      </c>
      <c r="I4292" s="168">
        <v>782.6</v>
      </c>
      <c r="J4292" s="168">
        <v>80.61</v>
      </c>
      <c r="K4292" s="168">
        <v>53.5</v>
      </c>
      <c r="L4292" s="43">
        <v>9.8064826700898582</v>
      </c>
      <c r="M4292" s="43">
        <v>11.500367376928729</v>
      </c>
      <c r="N4292" s="43">
        <v>5.3668442077230365</v>
      </c>
      <c r="O4292" s="43">
        <v>5.1392891450528335</v>
      </c>
      <c r="P4292" s="169"/>
      <c r="Q4292" s="169"/>
      <c r="R4292" s="169">
        <v>2</v>
      </c>
    </row>
    <row r="4293" spans="1:18" ht="36">
      <c r="A4293" s="165">
        <v>1468</v>
      </c>
      <c r="B4293" s="162" t="s">
        <v>7866</v>
      </c>
      <c r="C4293" s="166" t="s">
        <v>7867</v>
      </c>
      <c r="D4293" s="167">
        <v>105.62</v>
      </c>
      <c r="E4293" s="167">
        <v>77.34</v>
      </c>
      <c r="F4293" s="167">
        <v>15.02</v>
      </c>
      <c r="G4293" s="167">
        <v>13.26</v>
      </c>
      <c r="H4293" s="168">
        <v>1047.08</v>
      </c>
      <c r="I4293" s="168">
        <v>889.38</v>
      </c>
      <c r="J4293" s="168">
        <v>80.61</v>
      </c>
      <c r="K4293" s="168">
        <v>77.09</v>
      </c>
      <c r="L4293" s="43">
        <v>9.9136527172883913</v>
      </c>
      <c r="M4293" s="43">
        <v>11.499612102404965</v>
      </c>
      <c r="N4293" s="43">
        <v>5.3668442077230365</v>
      </c>
      <c r="O4293" s="43">
        <v>5.8137254901960791</v>
      </c>
      <c r="P4293" s="169"/>
      <c r="Q4293" s="169"/>
      <c r="R4293" s="169">
        <v>2</v>
      </c>
    </row>
    <row r="4294" spans="1:18" ht="12.75" customHeight="1">
      <c r="A4294" s="628" t="s">
        <v>4958</v>
      </c>
      <c r="B4294" s="629"/>
      <c r="C4294" s="629"/>
      <c r="D4294" s="629"/>
      <c r="E4294" s="629"/>
      <c r="F4294" s="629"/>
      <c r="G4294" s="629"/>
      <c r="H4294" s="629"/>
      <c r="I4294" s="629"/>
      <c r="J4294" s="629"/>
      <c r="K4294" s="629"/>
      <c r="L4294" s="629"/>
      <c r="M4294" s="629"/>
      <c r="N4294" s="629"/>
      <c r="O4294" s="629"/>
      <c r="P4294" s="629"/>
      <c r="Q4294" s="629"/>
      <c r="R4294" s="629"/>
    </row>
    <row r="4295" spans="1:18" ht="24">
      <c r="A4295" s="165">
        <v>1469</v>
      </c>
      <c r="B4295" s="162" t="s">
        <v>7868</v>
      </c>
      <c r="C4295" s="166" t="s">
        <v>7869</v>
      </c>
      <c r="D4295" s="167">
        <v>77.23</v>
      </c>
      <c r="E4295" s="167">
        <v>15.08</v>
      </c>
      <c r="F4295" s="167">
        <v>0.23</v>
      </c>
      <c r="G4295" s="167">
        <v>61.92</v>
      </c>
      <c r="H4295" s="168">
        <v>333.59</v>
      </c>
      <c r="I4295" s="168">
        <v>173.44</v>
      </c>
      <c r="J4295" s="168">
        <v>1.21</v>
      </c>
      <c r="K4295" s="168">
        <v>158.94</v>
      </c>
      <c r="L4295" s="43">
        <v>4.3194354525443472</v>
      </c>
      <c r="M4295" s="43">
        <v>11.50132625994695</v>
      </c>
      <c r="N4295" s="43">
        <v>5.2608695652173907</v>
      </c>
      <c r="O4295" s="43">
        <v>2.566860465116279</v>
      </c>
      <c r="P4295" s="169"/>
      <c r="Q4295" s="169"/>
      <c r="R4295" s="169">
        <v>3</v>
      </c>
    </row>
    <row r="4296" spans="1:18" ht="24">
      <c r="A4296" s="165">
        <v>1470</v>
      </c>
      <c r="B4296" s="162" t="s">
        <v>7870</v>
      </c>
      <c r="C4296" s="166" t="s">
        <v>7871</v>
      </c>
      <c r="D4296" s="167">
        <v>79.48</v>
      </c>
      <c r="E4296" s="167">
        <v>15.85</v>
      </c>
      <c r="F4296" s="167">
        <v>0.26</v>
      </c>
      <c r="G4296" s="167">
        <v>63.37</v>
      </c>
      <c r="H4296" s="168">
        <v>349.83</v>
      </c>
      <c r="I4296" s="168">
        <v>182.34</v>
      </c>
      <c r="J4296" s="168">
        <v>1.34</v>
      </c>
      <c r="K4296" s="168">
        <v>166.15</v>
      </c>
      <c r="L4296" s="43">
        <v>4.4014846502264717</v>
      </c>
      <c r="M4296" s="43">
        <v>11.50410094637224</v>
      </c>
      <c r="N4296" s="43">
        <v>5.1538461538461542</v>
      </c>
      <c r="O4296" s="43">
        <v>2.621903108726527</v>
      </c>
      <c r="P4296" s="169"/>
      <c r="Q4296" s="169"/>
      <c r="R4296" s="169">
        <v>3</v>
      </c>
    </row>
    <row r="4297" spans="1:18" ht="24">
      <c r="A4297" s="165">
        <v>1471</v>
      </c>
      <c r="B4297" s="162" t="s">
        <v>7872</v>
      </c>
      <c r="C4297" s="166" t="s">
        <v>7873</v>
      </c>
      <c r="D4297" s="167">
        <v>151.31</v>
      </c>
      <c r="E4297" s="167">
        <v>23.59</v>
      </c>
      <c r="F4297" s="167">
        <v>0.39</v>
      </c>
      <c r="G4297" s="167">
        <v>127.33</v>
      </c>
      <c r="H4297" s="168">
        <v>593.15</v>
      </c>
      <c r="I4297" s="168">
        <v>271.27999999999997</v>
      </c>
      <c r="J4297" s="168">
        <v>2</v>
      </c>
      <c r="K4297" s="168">
        <v>319.87</v>
      </c>
      <c r="L4297" s="43">
        <v>3.920097812438041</v>
      </c>
      <c r="M4297" s="43">
        <v>11.499788045782109</v>
      </c>
      <c r="N4297" s="43">
        <v>5.1282051282051277</v>
      </c>
      <c r="O4297" s="43">
        <v>2.5121338254928141</v>
      </c>
      <c r="P4297" s="169"/>
      <c r="Q4297" s="169"/>
      <c r="R4297" s="169">
        <v>3</v>
      </c>
    </row>
    <row r="4298" spans="1:18" ht="24">
      <c r="A4298" s="165">
        <v>1472</v>
      </c>
      <c r="B4298" s="162" t="s">
        <v>7874</v>
      </c>
      <c r="C4298" s="166" t="s">
        <v>7875</v>
      </c>
      <c r="D4298" s="167">
        <v>158.58000000000001</v>
      </c>
      <c r="E4298" s="167">
        <v>29.9</v>
      </c>
      <c r="F4298" s="167">
        <v>0.41</v>
      </c>
      <c r="G4298" s="167">
        <v>128.27000000000001</v>
      </c>
      <c r="H4298" s="168">
        <v>670.13</v>
      </c>
      <c r="I4298" s="168">
        <v>343.92</v>
      </c>
      <c r="J4298" s="168">
        <v>2.13</v>
      </c>
      <c r="K4298" s="168">
        <v>324.08</v>
      </c>
      <c r="L4298" s="43">
        <v>4.2258166225249081</v>
      </c>
      <c r="M4298" s="43">
        <v>11.502341137123747</v>
      </c>
      <c r="N4298" s="43">
        <v>5.1951219512195124</v>
      </c>
      <c r="O4298" s="43">
        <v>2.5265455679426205</v>
      </c>
      <c r="P4298" s="169"/>
      <c r="Q4298" s="169"/>
      <c r="R4298" s="169">
        <v>3</v>
      </c>
    </row>
    <row r="4299" spans="1:18" ht="12.75" customHeight="1">
      <c r="A4299" s="628" t="s">
        <v>7876</v>
      </c>
      <c r="B4299" s="629"/>
      <c r="C4299" s="629"/>
      <c r="D4299" s="629"/>
      <c r="E4299" s="629"/>
      <c r="F4299" s="629"/>
      <c r="G4299" s="629"/>
      <c r="H4299" s="629"/>
      <c r="I4299" s="629"/>
      <c r="J4299" s="629"/>
      <c r="K4299" s="629"/>
      <c r="L4299" s="629"/>
      <c r="M4299" s="629"/>
      <c r="N4299" s="629"/>
      <c r="O4299" s="629"/>
      <c r="P4299" s="629"/>
      <c r="Q4299" s="629"/>
      <c r="R4299" s="629"/>
    </row>
    <row r="4300" spans="1:18" ht="72">
      <c r="A4300" s="165">
        <v>1473</v>
      </c>
      <c r="B4300" s="162" t="s">
        <v>7877</v>
      </c>
      <c r="C4300" s="166" t="s">
        <v>7878</v>
      </c>
      <c r="D4300" s="167">
        <v>307.04000000000002</v>
      </c>
      <c r="E4300" s="167">
        <v>33.18</v>
      </c>
      <c r="F4300" s="167">
        <v>4.6900000000000004</v>
      </c>
      <c r="G4300" s="167">
        <v>269.17</v>
      </c>
      <c r="H4300" s="168">
        <v>1328.33</v>
      </c>
      <c r="I4300" s="168">
        <v>381.58</v>
      </c>
      <c r="J4300" s="168">
        <v>25.03</v>
      </c>
      <c r="K4300" s="168">
        <v>921.72</v>
      </c>
      <c r="L4300" s="43">
        <v>4.3262441375716509</v>
      </c>
      <c r="M4300" s="43">
        <v>11.500301386377336</v>
      </c>
      <c r="N4300" s="43">
        <v>5.3368869936034109</v>
      </c>
      <c r="O4300" s="43">
        <v>3.4243043429802724</v>
      </c>
      <c r="P4300" s="169"/>
      <c r="Q4300" s="169"/>
      <c r="R4300" s="169">
        <v>4</v>
      </c>
    </row>
    <row r="4301" spans="1:18" ht="72">
      <c r="A4301" s="165">
        <v>1474</v>
      </c>
      <c r="B4301" s="162" t="s">
        <v>7879</v>
      </c>
      <c r="C4301" s="166" t="s">
        <v>7880</v>
      </c>
      <c r="D4301" s="167">
        <v>322.12</v>
      </c>
      <c r="E4301" s="167">
        <v>42.19</v>
      </c>
      <c r="F4301" s="167">
        <v>4.79</v>
      </c>
      <c r="G4301" s="167">
        <v>275.14</v>
      </c>
      <c r="H4301" s="168">
        <v>1464.87</v>
      </c>
      <c r="I4301" s="168">
        <v>485.16</v>
      </c>
      <c r="J4301" s="168">
        <v>25.55</v>
      </c>
      <c r="K4301" s="168">
        <v>954.16</v>
      </c>
      <c r="L4301" s="43">
        <v>4.5475909598907238</v>
      </c>
      <c r="M4301" s="43">
        <v>11.499407442521926</v>
      </c>
      <c r="N4301" s="43">
        <v>5.3340292275574113</v>
      </c>
      <c r="O4301" s="43">
        <v>3.4679072472195975</v>
      </c>
      <c r="P4301" s="169"/>
      <c r="Q4301" s="169"/>
      <c r="R4301" s="169">
        <v>4</v>
      </c>
    </row>
    <row r="4302" spans="1:18" ht="72">
      <c r="A4302" s="165">
        <v>1475</v>
      </c>
      <c r="B4302" s="162" t="s">
        <v>7881</v>
      </c>
      <c r="C4302" s="166" t="s">
        <v>7882</v>
      </c>
      <c r="D4302" s="167">
        <v>510.23</v>
      </c>
      <c r="E4302" s="167">
        <v>60.32</v>
      </c>
      <c r="F4302" s="167">
        <v>7.92</v>
      </c>
      <c r="G4302" s="167">
        <v>441.99</v>
      </c>
      <c r="H4302" s="168">
        <v>2142.29</v>
      </c>
      <c r="I4302" s="168">
        <v>693.67</v>
      </c>
      <c r="J4302" s="168">
        <v>42.26</v>
      </c>
      <c r="K4302" s="168">
        <v>1406.36</v>
      </c>
      <c r="L4302" s="43">
        <v>4.198675107304549</v>
      </c>
      <c r="M4302" s="43">
        <v>11.499834217506631</v>
      </c>
      <c r="N4302" s="43">
        <v>5.3358585858585856</v>
      </c>
      <c r="O4302" s="43">
        <v>3.1818819430303851</v>
      </c>
      <c r="P4302" s="169"/>
      <c r="Q4302" s="169"/>
      <c r="R4302" s="169">
        <v>4</v>
      </c>
    </row>
    <row r="4303" spans="1:18" ht="84">
      <c r="A4303" s="165">
        <v>1476</v>
      </c>
      <c r="B4303" s="162" t="s">
        <v>7883</v>
      </c>
      <c r="C4303" s="166" t="s">
        <v>7884</v>
      </c>
      <c r="D4303" s="167">
        <v>282.42</v>
      </c>
      <c r="E4303" s="167">
        <v>29.15</v>
      </c>
      <c r="F4303" s="167">
        <v>4.17</v>
      </c>
      <c r="G4303" s="167">
        <v>249.1</v>
      </c>
      <c r="H4303" s="168">
        <v>1284.7</v>
      </c>
      <c r="I4303" s="168">
        <v>335.25</v>
      </c>
      <c r="J4303" s="168">
        <v>22.3</v>
      </c>
      <c r="K4303" s="168">
        <v>927.15</v>
      </c>
      <c r="L4303" s="43">
        <v>4.5488988032009061</v>
      </c>
      <c r="M4303" s="43">
        <v>11.500857632933105</v>
      </c>
      <c r="N4303" s="43">
        <v>5.3477218225419669</v>
      </c>
      <c r="O4303" s="43">
        <v>3.7219991971095947</v>
      </c>
      <c r="P4303" s="169"/>
      <c r="Q4303" s="169"/>
      <c r="R4303" s="169">
        <v>4</v>
      </c>
    </row>
    <row r="4304" spans="1:18" ht="84">
      <c r="A4304" s="165">
        <v>1477</v>
      </c>
      <c r="B4304" s="162" t="s">
        <v>7885</v>
      </c>
      <c r="C4304" s="166" t="s">
        <v>7886</v>
      </c>
      <c r="D4304" s="167">
        <v>297.27999999999997</v>
      </c>
      <c r="E4304" s="167">
        <v>38.04</v>
      </c>
      <c r="F4304" s="167">
        <v>4.29</v>
      </c>
      <c r="G4304" s="167">
        <v>254.95</v>
      </c>
      <c r="H4304" s="168">
        <v>1414.49</v>
      </c>
      <c r="I4304" s="168">
        <v>437.46</v>
      </c>
      <c r="J4304" s="168">
        <v>22.89</v>
      </c>
      <c r="K4304" s="168">
        <v>954.14</v>
      </c>
      <c r="L4304" s="43">
        <v>4.7581068353067817</v>
      </c>
      <c r="M4304" s="43">
        <v>11.5</v>
      </c>
      <c r="N4304" s="43">
        <v>5.3356643356643358</v>
      </c>
      <c r="O4304" s="43">
        <v>3.742459305746225</v>
      </c>
      <c r="P4304" s="169"/>
      <c r="Q4304" s="169"/>
      <c r="R4304" s="169">
        <v>4</v>
      </c>
    </row>
    <row r="4305" spans="1:18" ht="84">
      <c r="A4305" s="165">
        <v>1478</v>
      </c>
      <c r="B4305" s="162" t="s">
        <v>7887</v>
      </c>
      <c r="C4305" s="166" t="s">
        <v>7888</v>
      </c>
      <c r="D4305" s="167">
        <v>445.63</v>
      </c>
      <c r="E4305" s="167">
        <v>54.75</v>
      </c>
      <c r="F4305" s="167">
        <v>7.27</v>
      </c>
      <c r="G4305" s="167">
        <v>383.61</v>
      </c>
      <c r="H4305" s="168">
        <v>1935.96</v>
      </c>
      <c r="I4305" s="168">
        <v>629.61</v>
      </c>
      <c r="J4305" s="168">
        <v>38.909999999999997</v>
      </c>
      <c r="K4305" s="168">
        <v>1267.44</v>
      </c>
      <c r="L4305" s="43">
        <v>4.3443215223391602</v>
      </c>
      <c r="M4305" s="43">
        <v>11.49972602739726</v>
      </c>
      <c r="N4305" s="43">
        <v>5.3521320495185689</v>
      </c>
      <c r="O4305" s="43">
        <v>3.30398060530226</v>
      </c>
      <c r="P4305" s="169"/>
      <c r="Q4305" s="169"/>
      <c r="R4305" s="169">
        <v>4</v>
      </c>
    </row>
    <row r="4306" spans="1:18" ht="72">
      <c r="A4306" s="165">
        <v>1479</v>
      </c>
      <c r="B4306" s="162" t="s">
        <v>7889</v>
      </c>
      <c r="C4306" s="166" t="s">
        <v>7890</v>
      </c>
      <c r="D4306" s="167">
        <v>370.14</v>
      </c>
      <c r="E4306" s="167">
        <v>37.56</v>
      </c>
      <c r="F4306" s="167">
        <v>3.62</v>
      </c>
      <c r="G4306" s="167">
        <v>328.96</v>
      </c>
      <c r="H4306" s="168">
        <v>1515.56</v>
      </c>
      <c r="I4306" s="168">
        <v>432.01</v>
      </c>
      <c r="J4306" s="168">
        <v>19.36</v>
      </c>
      <c r="K4306" s="168">
        <v>1064.19</v>
      </c>
      <c r="L4306" s="43">
        <v>4.0945588155832926</v>
      </c>
      <c r="M4306" s="43">
        <v>11.501863684771033</v>
      </c>
      <c r="N4306" s="43">
        <v>5.3480662983425411</v>
      </c>
      <c r="O4306" s="43">
        <v>3.2350133754863819</v>
      </c>
      <c r="P4306" s="169"/>
      <c r="Q4306" s="169"/>
      <c r="R4306" s="169">
        <v>4</v>
      </c>
    </row>
    <row r="4307" spans="1:18" ht="72">
      <c r="A4307" s="165">
        <v>1480</v>
      </c>
      <c r="B4307" s="162" t="s">
        <v>7891</v>
      </c>
      <c r="C4307" s="166" t="s">
        <v>7892</v>
      </c>
      <c r="D4307" s="167">
        <v>400.1</v>
      </c>
      <c r="E4307" s="167">
        <v>53.73</v>
      </c>
      <c r="F4307" s="167">
        <v>6.63</v>
      </c>
      <c r="G4307" s="167">
        <v>339.74</v>
      </c>
      <c r="H4307" s="168">
        <v>1769.9</v>
      </c>
      <c r="I4307" s="168">
        <v>617.89</v>
      </c>
      <c r="J4307" s="168">
        <v>35.450000000000003</v>
      </c>
      <c r="K4307" s="168">
        <v>1116.56</v>
      </c>
      <c r="L4307" s="43">
        <v>4.4236440889777553</v>
      </c>
      <c r="M4307" s="43">
        <v>11.499906942117997</v>
      </c>
      <c r="N4307" s="43">
        <v>5.346907993966818</v>
      </c>
      <c r="O4307" s="43">
        <v>3.2865132159886969</v>
      </c>
      <c r="P4307" s="169"/>
      <c r="Q4307" s="169"/>
      <c r="R4307" s="169">
        <v>4</v>
      </c>
    </row>
    <row r="4308" spans="1:18" ht="72">
      <c r="A4308" s="165">
        <v>1481</v>
      </c>
      <c r="B4308" s="162" t="s">
        <v>7893</v>
      </c>
      <c r="C4308" s="166" t="s">
        <v>7894</v>
      </c>
      <c r="D4308" s="167">
        <v>650.02</v>
      </c>
      <c r="E4308" s="167">
        <v>76.81</v>
      </c>
      <c r="F4308" s="167">
        <v>7.1</v>
      </c>
      <c r="G4308" s="167">
        <v>566.11</v>
      </c>
      <c r="H4308" s="168">
        <v>2653.86</v>
      </c>
      <c r="I4308" s="168">
        <v>883.29</v>
      </c>
      <c r="J4308" s="168">
        <v>37.9</v>
      </c>
      <c r="K4308" s="168">
        <v>1732.67</v>
      </c>
      <c r="L4308" s="43">
        <v>4.0827359158179748</v>
      </c>
      <c r="M4308" s="43">
        <v>11.499674521546673</v>
      </c>
      <c r="N4308" s="43">
        <v>5.3380281690140849</v>
      </c>
      <c r="O4308" s="43">
        <v>3.0606595891257884</v>
      </c>
      <c r="P4308" s="169"/>
      <c r="Q4308" s="169"/>
      <c r="R4308" s="169">
        <v>4</v>
      </c>
    </row>
    <row r="4309" spans="1:18" ht="84">
      <c r="A4309" s="165">
        <v>1482</v>
      </c>
      <c r="B4309" s="162" t="s">
        <v>7895</v>
      </c>
      <c r="C4309" s="166" t="s">
        <v>7896</v>
      </c>
      <c r="D4309" s="167">
        <v>349.6</v>
      </c>
      <c r="E4309" s="167">
        <v>34.25</v>
      </c>
      <c r="F4309" s="167">
        <v>4.79</v>
      </c>
      <c r="G4309" s="167">
        <v>310.56</v>
      </c>
      <c r="H4309" s="168">
        <v>1499.88</v>
      </c>
      <c r="I4309" s="168">
        <v>393.85</v>
      </c>
      <c r="J4309" s="168">
        <v>25.53</v>
      </c>
      <c r="K4309" s="168">
        <v>1080.5</v>
      </c>
      <c r="L4309" s="43">
        <v>4.2902745995423341</v>
      </c>
      <c r="M4309" s="43">
        <v>11.499270072992701</v>
      </c>
      <c r="N4309" s="43">
        <v>5.3298538622129437</v>
      </c>
      <c r="O4309" s="43">
        <v>3.4791988665636269</v>
      </c>
      <c r="P4309" s="169"/>
      <c r="Q4309" s="169"/>
      <c r="R4309" s="169">
        <v>4</v>
      </c>
    </row>
    <row r="4310" spans="1:18" ht="84">
      <c r="A4310" s="165">
        <v>1483</v>
      </c>
      <c r="B4310" s="162" t="s">
        <v>7897</v>
      </c>
      <c r="C4310" s="166" t="s">
        <v>7898</v>
      </c>
      <c r="D4310" s="167">
        <v>379.19</v>
      </c>
      <c r="E4310" s="167">
        <v>50.12</v>
      </c>
      <c r="F4310" s="167">
        <v>5.0199999999999996</v>
      </c>
      <c r="G4310" s="167">
        <v>324.05</v>
      </c>
      <c r="H4310" s="168">
        <v>1758.29</v>
      </c>
      <c r="I4310" s="168">
        <v>576.41999999999996</v>
      </c>
      <c r="J4310" s="168">
        <v>26.71</v>
      </c>
      <c r="K4310" s="168">
        <v>1155.1600000000001</v>
      </c>
      <c r="L4310" s="43">
        <v>4.636963000079116</v>
      </c>
      <c r="M4310" s="43">
        <v>11.500798084596967</v>
      </c>
      <c r="N4310" s="43">
        <v>5.3207171314741046</v>
      </c>
      <c r="O4310" s="43">
        <v>3.5647585249189939</v>
      </c>
      <c r="P4310" s="169"/>
      <c r="Q4310" s="169"/>
      <c r="R4310" s="169">
        <v>4</v>
      </c>
    </row>
    <row r="4311" spans="1:18" ht="84">
      <c r="A4311" s="165">
        <v>1484</v>
      </c>
      <c r="B4311" s="162" t="s">
        <v>7899</v>
      </c>
      <c r="C4311" s="166" t="s">
        <v>7900</v>
      </c>
      <c r="D4311" s="167">
        <v>616.04999999999995</v>
      </c>
      <c r="E4311" s="167">
        <v>72</v>
      </c>
      <c r="F4311" s="167">
        <v>8.14</v>
      </c>
      <c r="G4311" s="167">
        <v>535.91</v>
      </c>
      <c r="H4311" s="168">
        <v>2566.7600000000002</v>
      </c>
      <c r="I4311" s="168">
        <v>828</v>
      </c>
      <c r="J4311" s="168">
        <v>43.38</v>
      </c>
      <c r="K4311" s="168">
        <v>1695.38</v>
      </c>
      <c r="L4311" s="43">
        <v>4.1664799935070214</v>
      </c>
      <c r="M4311" s="43">
        <v>11.5</v>
      </c>
      <c r="N4311" s="43">
        <v>5.3292383292383292</v>
      </c>
      <c r="O4311" s="43">
        <v>3.1635535817581313</v>
      </c>
      <c r="P4311" s="169"/>
      <c r="Q4311" s="169"/>
      <c r="R4311" s="169">
        <v>4</v>
      </c>
    </row>
    <row r="4312" spans="1:18" ht="72">
      <c r="A4312" s="165">
        <v>1485</v>
      </c>
      <c r="B4312" s="162" t="s">
        <v>7901</v>
      </c>
      <c r="C4312" s="166" t="s">
        <v>7902</v>
      </c>
      <c r="D4312" s="167">
        <v>272.05</v>
      </c>
      <c r="E4312" s="167">
        <v>29.33</v>
      </c>
      <c r="F4312" s="167">
        <v>4.43</v>
      </c>
      <c r="G4312" s="167">
        <v>238.29</v>
      </c>
      <c r="H4312" s="168">
        <v>1237.42</v>
      </c>
      <c r="I4312" s="168">
        <v>337.28</v>
      </c>
      <c r="J4312" s="168">
        <v>23.65</v>
      </c>
      <c r="K4312" s="168">
        <v>876.49</v>
      </c>
      <c r="L4312" s="43">
        <v>4.548502113582062</v>
      </c>
      <c r="M4312" s="43">
        <v>11.499488578247528</v>
      </c>
      <c r="N4312" s="43">
        <v>5.3386004514672685</v>
      </c>
      <c r="O4312" s="43">
        <v>3.6782491921608127</v>
      </c>
      <c r="P4312" s="169"/>
      <c r="Q4312" s="169"/>
      <c r="R4312" s="169">
        <v>4</v>
      </c>
    </row>
    <row r="4313" spans="1:18" ht="72">
      <c r="A4313" s="165">
        <v>1486</v>
      </c>
      <c r="B4313" s="162" t="s">
        <v>7903</v>
      </c>
      <c r="C4313" s="166" t="s">
        <v>7904</v>
      </c>
      <c r="D4313" s="167">
        <v>297.72000000000003</v>
      </c>
      <c r="E4313" s="167">
        <v>34.14</v>
      </c>
      <c r="F4313" s="167">
        <v>7.3</v>
      </c>
      <c r="G4313" s="167">
        <v>256.27999999999997</v>
      </c>
      <c r="H4313" s="168">
        <v>1387.47</v>
      </c>
      <c r="I4313" s="168">
        <v>392.57</v>
      </c>
      <c r="J4313" s="168">
        <v>39.08</v>
      </c>
      <c r="K4313" s="168">
        <v>955.82</v>
      </c>
      <c r="L4313" s="43">
        <v>4.6603184199919383</v>
      </c>
      <c r="M4313" s="43">
        <v>11.498828353837141</v>
      </c>
      <c r="N4313" s="43">
        <v>5.3534246575342461</v>
      </c>
      <c r="O4313" s="43">
        <v>3.7295926330575937</v>
      </c>
      <c r="P4313" s="169"/>
      <c r="Q4313" s="169"/>
      <c r="R4313" s="169">
        <v>4</v>
      </c>
    </row>
    <row r="4314" spans="1:18" ht="72">
      <c r="A4314" s="165">
        <v>1487</v>
      </c>
      <c r="B4314" s="162" t="s">
        <v>7905</v>
      </c>
      <c r="C4314" s="166" t="s">
        <v>7906</v>
      </c>
      <c r="D4314" s="167">
        <v>440.16</v>
      </c>
      <c r="E4314" s="167">
        <v>48.92</v>
      </c>
      <c r="F4314" s="167">
        <v>10.51</v>
      </c>
      <c r="G4314" s="167">
        <v>380.73</v>
      </c>
      <c r="H4314" s="168">
        <v>1875.49</v>
      </c>
      <c r="I4314" s="168">
        <v>562.6</v>
      </c>
      <c r="J4314" s="168">
        <v>56.28</v>
      </c>
      <c r="K4314" s="168">
        <v>1256.6099999999999</v>
      </c>
      <c r="L4314" s="43">
        <v>4.2609278444202108</v>
      </c>
      <c r="M4314" s="43">
        <v>11.500408830744073</v>
      </c>
      <c r="N4314" s="43">
        <v>5.354900095147479</v>
      </c>
      <c r="O4314" s="43">
        <v>3.300527933180994</v>
      </c>
      <c r="P4314" s="169"/>
      <c r="Q4314" s="169"/>
      <c r="R4314" s="169">
        <v>4</v>
      </c>
    </row>
    <row r="4315" spans="1:18" ht="84">
      <c r="A4315" s="165">
        <v>1488</v>
      </c>
      <c r="B4315" s="162" t="s">
        <v>7907</v>
      </c>
      <c r="C4315" s="166" t="s">
        <v>7908</v>
      </c>
      <c r="D4315" s="167">
        <v>361.85</v>
      </c>
      <c r="E4315" s="167">
        <v>35.46</v>
      </c>
      <c r="F4315" s="167">
        <v>13.57</v>
      </c>
      <c r="G4315" s="167">
        <v>312.82</v>
      </c>
      <c r="H4315" s="168">
        <v>1566.12</v>
      </c>
      <c r="I4315" s="168">
        <v>407.78</v>
      </c>
      <c r="J4315" s="168">
        <v>72.739999999999995</v>
      </c>
      <c r="K4315" s="168">
        <v>1085.5999999999999</v>
      </c>
      <c r="L4315" s="43">
        <v>4.3280917507254379</v>
      </c>
      <c r="M4315" s="43">
        <v>11.499717992103777</v>
      </c>
      <c r="N4315" s="43">
        <v>5.360353721444362</v>
      </c>
      <c r="O4315" s="43">
        <v>3.4703663448628603</v>
      </c>
      <c r="P4315" s="169"/>
      <c r="Q4315" s="169"/>
      <c r="R4315" s="169">
        <v>4</v>
      </c>
    </row>
    <row r="4316" spans="1:18" ht="84">
      <c r="A4316" s="165">
        <v>1489</v>
      </c>
      <c r="B4316" s="162" t="s">
        <v>7909</v>
      </c>
      <c r="C4316" s="166" t="s">
        <v>7910</v>
      </c>
      <c r="D4316" s="167">
        <v>383.28</v>
      </c>
      <c r="E4316" s="167">
        <v>47.24</v>
      </c>
      <c r="F4316" s="167">
        <v>13.79</v>
      </c>
      <c r="G4316" s="167">
        <v>322.25</v>
      </c>
      <c r="H4316" s="168">
        <v>1744.73</v>
      </c>
      <c r="I4316" s="168">
        <v>543.24</v>
      </c>
      <c r="J4316" s="168">
        <v>73.92</v>
      </c>
      <c r="K4316" s="168">
        <v>1127.57</v>
      </c>
      <c r="L4316" s="43">
        <v>4.552102901273221</v>
      </c>
      <c r="M4316" s="43">
        <v>11.499576629974598</v>
      </c>
      <c r="N4316" s="43">
        <v>5.3604060913705585</v>
      </c>
      <c r="O4316" s="43">
        <v>3.4990535298681147</v>
      </c>
      <c r="P4316" s="169"/>
      <c r="Q4316" s="169"/>
      <c r="R4316" s="169">
        <v>4</v>
      </c>
    </row>
    <row r="4317" spans="1:18" ht="84">
      <c r="A4317" s="165">
        <v>1490</v>
      </c>
      <c r="B4317" s="162" t="s">
        <v>7911</v>
      </c>
      <c r="C4317" s="166" t="s">
        <v>7912</v>
      </c>
      <c r="D4317" s="167">
        <v>605.9</v>
      </c>
      <c r="E4317" s="167">
        <v>65.39</v>
      </c>
      <c r="F4317" s="167">
        <v>16.91</v>
      </c>
      <c r="G4317" s="167">
        <v>523.6</v>
      </c>
      <c r="H4317" s="168">
        <v>2478.29</v>
      </c>
      <c r="I4317" s="168">
        <v>751.97</v>
      </c>
      <c r="J4317" s="168">
        <v>90.61</v>
      </c>
      <c r="K4317" s="168">
        <v>1635.71</v>
      </c>
      <c r="L4317" s="43">
        <v>4.0902624195411788</v>
      </c>
      <c r="M4317" s="43">
        <v>11.499770607126472</v>
      </c>
      <c r="N4317" s="43">
        <v>5.3583678296865758</v>
      </c>
      <c r="O4317" s="43">
        <v>3.123968678380443</v>
      </c>
      <c r="P4317" s="169"/>
      <c r="Q4317" s="169"/>
      <c r="R4317" s="169">
        <v>4</v>
      </c>
    </row>
    <row r="4318" spans="1:18" ht="36">
      <c r="A4318" s="165">
        <v>1491</v>
      </c>
      <c r="B4318" s="162" t="s">
        <v>7913</v>
      </c>
      <c r="C4318" s="166" t="s">
        <v>7914</v>
      </c>
      <c r="D4318" s="167">
        <v>679.8</v>
      </c>
      <c r="E4318" s="167">
        <v>107.48</v>
      </c>
      <c r="F4318" s="167">
        <v>42.45</v>
      </c>
      <c r="G4318" s="167">
        <v>529.87</v>
      </c>
      <c r="H4318" s="168">
        <v>3264.21</v>
      </c>
      <c r="I4318" s="168">
        <v>1236.06</v>
      </c>
      <c r="J4318" s="168">
        <v>227.88</v>
      </c>
      <c r="K4318" s="168">
        <v>1800.27</v>
      </c>
      <c r="L4318" s="43">
        <v>4.8017210944395412</v>
      </c>
      <c r="M4318" s="43">
        <v>11.500372162262746</v>
      </c>
      <c r="N4318" s="43">
        <v>5.3681978798586565</v>
      </c>
      <c r="O4318" s="43">
        <v>3.3975692150904937</v>
      </c>
      <c r="P4318" s="169"/>
      <c r="Q4318" s="169"/>
      <c r="R4318" s="169">
        <v>4</v>
      </c>
    </row>
    <row r="4319" spans="1:18" ht="36">
      <c r="A4319" s="165">
        <v>1492</v>
      </c>
      <c r="B4319" s="162" t="s">
        <v>7915</v>
      </c>
      <c r="C4319" s="166" t="s">
        <v>7916</v>
      </c>
      <c r="D4319" s="167">
        <v>886.59</v>
      </c>
      <c r="E4319" s="167">
        <v>129.82</v>
      </c>
      <c r="F4319" s="167">
        <v>45.92</v>
      </c>
      <c r="G4319" s="167">
        <v>710.85</v>
      </c>
      <c r="H4319" s="168">
        <v>4083.55</v>
      </c>
      <c r="I4319" s="168">
        <v>1492.88</v>
      </c>
      <c r="J4319" s="168">
        <v>246.41</v>
      </c>
      <c r="K4319" s="168">
        <v>2344.2600000000002</v>
      </c>
      <c r="L4319" s="43">
        <v>4.6059057738075095</v>
      </c>
      <c r="M4319" s="43">
        <v>11.499614851332616</v>
      </c>
      <c r="N4319" s="43">
        <v>5.3660714285714279</v>
      </c>
      <c r="O4319" s="43">
        <v>3.2978265456847438</v>
      </c>
      <c r="P4319" s="169"/>
      <c r="Q4319" s="169"/>
      <c r="R4319" s="169">
        <v>4</v>
      </c>
    </row>
    <row r="4320" spans="1:18" ht="36">
      <c r="A4320" s="165">
        <v>1493</v>
      </c>
      <c r="B4320" s="162" t="s">
        <v>7917</v>
      </c>
      <c r="C4320" s="166" t="s">
        <v>7918</v>
      </c>
      <c r="D4320" s="167">
        <v>833.77</v>
      </c>
      <c r="E4320" s="167">
        <v>125.61</v>
      </c>
      <c r="F4320" s="167">
        <v>44.4</v>
      </c>
      <c r="G4320" s="167">
        <v>663.76</v>
      </c>
      <c r="H4320" s="168">
        <v>3846.71</v>
      </c>
      <c r="I4320" s="168">
        <v>1444.57</v>
      </c>
      <c r="J4320" s="168">
        <v>238.25</v>
      </c>
      <c r="K4320" s="168">
        <v>2163.89</v>
      </c>
      <c r="L4320" s="43">
        <v>4.6136344555452942</v>
      </c>
      <c r="M4320" s="43">
        <v>11.50043786322745</v>
      </c>
      <c r="N4320" s="43">
        <v>5.3659909909909915</v>
      </c>
      <c r="O4320" s="43">
        <v>3.260048812823912</v>
      </c>
      <c r="P4320" s="169"/>
      <c r="Q4320" s="169"/>
      <c r="R4320" s="169">
        <v>4</v>
      </c>
    </row>
    <row r="4321" spans="1:18" ht="36">
      <c r="A4321" s="165">
        <v>1494</v>
      </c>
      <c r="B4321" s="162" t="s">
        <v>7919</v>
      </c>
      <c r="C4321" s="166" t="s">
        <v>7920</v>
      </c>
      <c r="D4321" s="167">
        <v>922.19</v>
      </c>
      <c r="E4321" s="167">
        <v>157.46</v>
      </c>
      <c r="F4321" s="167">
        <v>47.66</v>
      </c>
      <c r="G4321" s="167">
        <v>717.07</v>
      </c>
      <c r="H4321" s="168">
        <v>4476.7700000000004</v>
      </c>
      <c r="I4321" s="168">
        <v>1810.81</v>
      </c>
      <c r="J4321" s="168">
        <v>255.68</v>
      </c>
      <c r="K4321" s="168">
        <v>2410.2800000000002</v>
      </c>
      <c r="L4321" s="43">
        <v>4.8544985306715533</v>
      </c>
      <c r="M4321" s="43">
        <v>11.500127016385113</v>
      </c>
      <c r="N4321" s="43">
        <v>5.3646663869072606</v>
      </c>
      <c r="O4321" s="43">
        <v>3.3612896927775533</v>
      </c>
      <c r="P4321" s="169"/>
      <c r="Q4321" s="169"/>
      <c r="R4321" s="169">
        <v>4</v>
      </c>
    </row>
    <row r="4322" spans="1:18" ht="12.75" customHeight="1">
      <c r="A4322" s="628" t="s">
        <v>7921</v>
      </c>
      <c r="B4322" s="629"/>
      <c r="C4322" s="629"/>
      <c r="D4322" s="629"/>
      <c r="E4322" s="629"/>
      <c r="F4322" s="629"/>
      <c r="G4322" s="629"/>
      <c r="H4322" s="629"/>
      <c r="I4322" s="629"/>
      <c r="J4322" s="629"/>
      <c r="K4322" s="629"/>
      <c r="L4322" s="629"/>
      <c r="M4322" s="629"/>
      <c r="N4322" s="629"/>
      <c r="O4322" s="629"/>
      <c r="P4322" s="629"/>
      <c r="Q4322" s="629"/>
      <c r="R4322" s="629"/>
    </row>
    <row r="4323" spans="1:18" ht="48">
      <c r="A4323" s="165">
        <v>1495</v>
      </c>
      <c r="B4323" s="162" t="s">
        <v>7922</v>
      </c>
      <c r="C4323" s="166" t="s">
        <v>7923</v>
      </c>
      <c r="D4323" s="167">
        <v>191.72</v>
      </c>
      <c r="E4323" s="167">
        <v>24.01</v>
      </c>
      <c r="F4323" s="167">
        <v>1.23</v>
      </c>
      <c r="G4323" s="167">
        <v>166.48</v>
      </c>
      <c r="H4323" s="168">
        <v>864.83</v>
      </c>
      <c r="I4323" s="168">
        <v>276.17</v>
      </c>
      <c r="J4323" s="168">
        <v>6.52</v>
      </c>
      <c r="K4323" s="168">
        <v>582.14</v>
      </c>
      <c r="L4323" s="43">
        <v>4.5109013144168584</v>
      </c>
      <c r="M4323" s="43">
        <v>11.502290712203248</v>
      </c>
      <c r="N4323" s="43">
        <v>5.3008130081300813</v>
      </c>
      <c r="O4323" s="43">
        <v>3.4967563671311872</v>
      </c>
      <c r="P4323" s="169"/>
      <c r="Q4323" s="169"/>
      <c r="R4323" s="169">
        <v>5</v>
      </c>
    </row>
    <row r="4324" spans="1:18" ht="48">
      <c r="A4324" s="165">
        <v>1496</v>
      </c>
      <c r="B4324" s="162" t="s">
        <v>7924</v>
      </c>
      <c r="C4324" s="166" t="s">
        <v>7925</v>
      </c>
      <c r="D4324" s="167">
        <v>261.2</v>
      </c>
      <c r="E4324" s="167">
        <v>32.29</v>
      </c>
      <c r="F4324" s="167">
        <v>4.01</v>
      </c>
      <c r="G4324" s="167">
        <v>224.9</v>
      </c>
      <c r="H4324" s="168">
        <v>1276.43</v>
      </c>
      <c r="I4324" s="168">
        <v>371.31</v>
      </c>
      <c r="J4324" s="168">
        <v>21.45</v>
      </c>
      <c r="K4324" s="168">
        <v>883.67</v>
      </c>
      <c r="L4324" s="43">
        <v>4.8867917304747328</v>
      </c>
      <c r="M4324" s="43">
        <v>11.499225766491174</v>
      </c>
      <c r="N4324" s="43">
        <v>5.3491271820448878</v>
      </c>
      <c r="O4324" s="43">
        <v>3.9291685193419297</v>
      </c>
      <c r="P4324" s="169"/>
      <c r="Q4324" s="169"/>
      <c r="R4324" s="169">
        <v>5</v>
      </c>
    </row>
    <row r="4325" spans="1:18" ht="48">
      <c r="A4325" s="165">
        <v>1497</v>
      </c>
      <c r="B4325" s="162" t="s">
        <v>7926</v>
      </c>
      <c r="C4325" s="166" t="s">
        <v>7927</v>
      </c>
      <c r="D4325" s="167">
        <v>314.43</v>
      </c>
      <c r="E4325" s="167">
        <v>41.08</v>
      </c>
      <c r="F4325" s="167">
        <v>15.99</v>
      </c>
      <c r="G4325" s="167">
        <v>257.36</v>
      </c>
      <c r="H4325" s="168">
        <v>1584.64</v>
      </c>
      <c r="I4325" s="168">
        <v>472.42</v>
      </c>
      <c r="J4325" s="168">
        <v>85.82</v>
      </c>
      <c r="K4325" s="168">
        <v>1026.4000000000001</v>
      </c>
      <c r="L4325" s="43">
        <v>5.039722672772954</v>
      </c>
      <c r="M4325" s="43">
        <v>11.5</v>
      </c>
      <c r="N4325" s="43">
        <v>5.3671044402751713</v>
      </c>
      <c r="O4325" s="43">
        <v>3.9881877525645013</v>
      </c>
      <c r="P4325" s="169"/>
      <c r="Q4325" s="169"/>
      <c r="R4325" s="169">
        <v>5</v>
      </c>
    </row>
    <row r="4326" spans="1:18" ht="48">
      <c r="A4326" s="165">
        <v>1498</v>
      </c>
      <c r="B4326" s="162" t="s">
        <v>7928</v>
      </c>
      <c r="C4326" s="166" t="s">
        <v>7929</v>
      </c>
      <c r="D4326" s="167">
        <v>341.91</v>
      </c>
      <c r="E4326" s="167">
        <v>48.08</v>
      </c>
      <c r="F4326" s="167">
        <v>23.09</v>
      </c>
      <c r="G4326" s="167">
        <v>270.74</v>
      </c>
      <c r="H4326" s="168">
        <v>1756</v>
      </c>
      <c r="I4326" s="168">
        <v>552.95000000000005</v>
      </c>
      <c r="J4326" s="168">
        <v>124.01</v>
      </c>
      <c r="K4326" s="168">
        <v>1079.04</v>
      </c>
      <c r="L4326" s="43">
        <v>5.1358544646251936</v>
      </c>
      <c r="M4326" s="43">
        <v>11.500623960066557</v>
      </c>
      <c r="N4326" s="43">
        <v>5.3707232568211349</v>
      </c>
      <c r="O4326" s="43">
        <v>3.9855211642165913</v>
      </c>
      <c r="P4326" s="169"/>
      <c r="Q4326" s="169"/>
      <c r="R4326" s="169">
        <v>5</v>
      </c>
    </row>
    <row r="4327" spans="1:18" ht="60">
      <c r="A4327" s="165">
        <v>1499</v>
      </c>
      <c r="B4327" s="162" t="s">
        <v>7930</v>
      </c>
      <c r="C4327" s="166" t="s">
        <v>7931</v>
      </c>
      <c r="D4327" s="167">
        <v>232.02</v>
      </c>
      <c r="E4327" s="167">
        <v>21.95</v>
      </c>
      <c r="F4327" s="167">
        <v>0.68</v>
      </c>
      <c r="G4327" s="167">
        <v>209.39</v>
      </c>
      <c r="H4327" s="168">
        <v>911.38</v>
      </c>
      <c r="I4327" s="168">
        <v>252.39</v>
      </c>
      <c r="J4327" s="168">
        <v>3.61</v>
      </c>
      <c r="K4327" s="168">
        <v>655.38</v>
      </c>
      <c r="L4327" s="43">
        <v>3.9280234462546328</v>
      </c>
      <c r="M4327" s="43">
        <v>11.498405466970388</v>
      </c>
      <c r="N4327" s="43">
        <v>5.3088235294117645</v>
      </c>
      <c r="O4327" s="43">
        <v>3.1299488991833422</v>
      </c>
      <c r="P4327" s="169"/>
      <c r="Q4327" s="169"/>
      <c r="R4327" s="169">
        <v>5</v>
      </c>
    </row>
    <row r="4328" spans="1:18" ht="60">
      <c r="A4328" s="165">
        <v>1500</v>
      </c>
      <c r="B4328" s="162" t="s">
        <v>7932</v>
      </c>
      <c r="C4328" s="166" t="s">
        <v>7933</v>
      </c>
      <c r="D4328" s="167">
        <v>255.33</v>
      </c>
      <c r="E4328" s="167">
        <v>38.26</v>
      </c>
      <c r="F4328" s="167">
        <v>0.68</v>
      </c>
      <c r="G4328" s="167">
        <v>216.39</v>
      </c>
      <c r="H4328" s="168">
        <v>1123.82</v>
      </c>
      <c r="I4328" s="168">
        <v>440.03</v>
      </c>
      <c r="J4328" s="168">
        <v>3.61</v>
      </c>
      <c r="K4328" s="168">
        <v>680.18</v>
      </c>
      <c r="L4328" s="43">
        <v>4.4014412720792695</v>
      </c>
      <c r="M4328" s="43">
        <v>11.501045478306326</v>
      </c>
      <c r="N4328" s="43">
        <v>5.3088235294117645</v>
      </c>
      <c r="O4328" s="43">
        <v>3.1433060677480475</v>
      </c>
      <c r="P4328" s="169"/>
      <c r="Q4328" s="169"/>
      <c r="R4328" s="169">
        <v>5</v>
      </c>
    </row>
    <row r="4329" spans="1:18" ht="60">
      <c r="A4329" s="165">
        <v>1501</v>
      </c>
      <c r="B4329" s="162" t="s">
        <v>7934</v>
      </c>
      <c r="C4329" s="166" t="s">
        <v>7935</v>
      </c>
      <c r="D4329" s="167">
        <v>325.51</v>
      </c>
      <c r="E4329" s="167">
        <v>87.67</v>
      </c>
      <c r="F4329" s="167">
        <v>0.68</v>
      </c>
      <c r="G4329" s="167">
        <v>237.16</v>
      </c>
      <c r="H4329" s="168">
        <v>1763.53</v>
      </c>
      <c r="I4329" s="168">
        <v>1008.23</v>
      </c>
      <c r="J4329" s="168">
        <v>3.61</v>
      </c>
      <c r="K4329" s="168">
        <v>751.69</v>
      </c>
      <c r="L4329" s="43">
        <v>5.4177444625357136</v>
      </c>
      <c r="M4329" s="43">
        <v>11.500285160260066</v>
      </c>
      <c r="N4329" s="43">
        <v>5.3088235294117645</v>
      </c>
      <c r="O4329" s="43">
        <v>3.1695479844830499</v>
      </c>
      <c r="P4329" s="169"/>
      <c r="Q4329" s="169"/>
      <c r="R4329" s="169">
        <v>5</v>
      </c>
    </row>
    <row r="4330" spans="1:18" ht="60">
      <c r="A4330" s="165">
        <v>1502</v>
      </c>
      <c r="B4330" s="162" t="s">
        <v>7936</v>
      </c>
      <c r="C4330" s="166" t="s">
        <v>7937</v>
      </c>
      <c r="D4330" s="167">
        <v>611.65</v>
      </c>
      <c r="E4330" s="167">
        <v>144.77000000000001</v>
      </c>
      <c r="F4330" s="167">
        <v>0.68</v>
      </c>
      <c r="G4330" s="167">
        <v>466.2</v>
      </c>
      <c r="H4330" s="168">
        <v>2983.74</v>
      </c>
      <c r="I4330" s="168">
        <v>1664.96</v>
      </c>
      <c r="J4330" s="168">
        <v>3.61</v>
      </c>
      <c r="K4330" s="168">
        <v>1315.17</v>
      </c>
      <c r="L4330" s="43">
        <v>4.8781819668110842</v>
      </c>
      <c r="M4330" s="43">
        <v>11.500725288388479</v>
      </c>
      <c r="N4330" s="43">
        <v>5.3088235294117645</v>
      </c>
      <c r="O4330" s="43">
        <v>2.8210424710424711</v>
      </c>
      <c r="P4330" s="169"/>
      <c r="Q4330" s="169"/>
      <c r="R4330" s="169">
        <v>5</v>
      </c>
    </row>
    <row r="4331" spans="1:18" ht="48">
      <c r="A4331" s="165">
        <v>1503</v>
      </c>
      <c r="B4331" s="162" t="s">
        <v>7938</v>
      </c>
      <c r="C4331" s="166" t="s">
        <v>7939</v>
      </c>
      <c r="D4331" s="167">
        <v>244.62</v>
      </c>
      <c r="E4331" s="167">
        <v>25.85</v>
      </c>
      <c r="F4331" s="167">
        <v>0.71</v>
      </c>
      <c r="G4331" s="167">
        <v>218.06</v>
      </c>
      <c r="H4331" s="168">
        <v>1148.5899999999999</v>
      </c>
      <c r="I4331" s="168">
        <v>297.32</v>
      </c>
      <c r="J4331" s="168">
        <v>3.74</v>
      </c>
      <c r="K4331" s="168">
        <v>847.53</v>
      </c>
      <c r="L4331" s="43">
        <v>4.6954051181424248</v>
      </c>
      <c r="M4331" s="43">
        <v>11.50174081237911</v>
      </c>
      <c r="N4331" s="43">
        <v>5.2676056338028179</v>
      </c>
      <c r="O4331" s="43">
        <v>3.8866825644318075</v>
      </c>
      <c r="P4331" s="169"/>
      <c r="Q4331" s="169"/>
      <c r="R4331" s="169">
        <v>5</v>
      </c>
    </row>
    <row r="4332" spans="1:18" ht="48">
      <c r="A4332" s="165">
        <v>1504</v>
      </c>
      <c r="B4332" s="162" t="s">
        <v>7940</v>
      </c>
      <c r="C4332" s="166" t="s">
        <v>7941</v>
      </c>
      <c r="D4332" s="167">
        <v>250.28</v>
      </c>
      <c r="E4332" s="167">
        <v>27.71</v>
      </c>
      <c r="F4332" s="167">
        <v>0.72</v>
      </c>
      <c r="G4332" s="167">
        <v>221.85</v>
      </c>
      <c r="H4332" s="168">
        <v>1187.78</v>
      </c>
      <c r="I4332" s="168">
        <v>318.66000000000003</v>
      </c>
      <c r="J4332" s="168">
        <v>3.8</v>
      </c>
      <c r="K4332" s="168">
        <v>865.32</v>
      </c>
      <c r="L4332" s="43">
        <v>4.7458046987374143</v>
      </c>
      <c r="M4332" s="43">
        <v>11.499819559725731</v>
      </c>
      <c r="N4332" s="43">
        <v>5.2777777777777777</v>
      </c>
      <c r="O4332" s="43">
        <v>3.9004732927653825</v>
      </c>
      <c r="P4332" s="169"/>
      <c r="Q4332" s="169"/>
      <c r="R4332" s="169">
        <v>5</v>
      </c>
    </row>
    <row r="4333" spans="1:18" ht="48">
      <c r="A4333" s="165">
        <v>1505</v>
      </c>
      <c r="B4333" s="162" t="s">
        <v>7942</v>
      </c>
      <c r="C4333" s="166" t="s">
        <v>7943</v>
      </c>
      <c r="D4333" s="167">
        <v>259.08999999999997</v>
      </c>
      <c r="E4333" s="167">
        <v>32.29</v>
      </c>
      <c r="F4333" s="167">
        <v>0.76</v>
      </c>
      <c r="G4333" s="167">
        <v>226.04</v>
      </c>
      <c r="H4333" s="168">
        <v>1263.28</v>
      </c>
      <c r="I4333" s="168">
        <v>371.3</v>
      </c>
      <c r="J4333" s="168">
        <v>4</v>
      </c>
      <c r="K4333" s="168">
        <v>887.98</v>
      </c>
      <c r="L4333" s="43">
        <v>4.8758346520514113</v>
      </c>
      <c r="M4333" s="43">
        <v>11.498916073087644</v>
      </c>
      <c r="N4333" s="43">
        <v>5.2631578947368425</v>
      </c>
      <c r="O4333" s="43">
        <v>3.9284197487170416</v>
      </c>
      <c r="P4333" s="169"/>
      <c r="Q4333" s="169"/>
      <c r="R4333" s="169">
        <v>5</v>
      </c>
    </row>
    <row r="4334" spans="1:18" ht="48">
      <c r="A4334" s="165">
        <v>1506</v>
      </c>
      <c r="B4334" s="162" t="s">
        <v>7944</v>
      </c>
      <c r="C4334" s="166" t="s">
        <v>7945</v>
      </c>
      <c r="D4334" s="167">
        <v>273.56</v>
      </c>
      <c r="E4334" s="167">
        <v>41.93</v>
      </c>
      <c r="F4334" s="167">
        <v>3.63</v>
      </c>
      <c r="G4334" s="167">
        <v>228</v>
      </c>
      <c r="H4334" s="168">
        <v>1379.69</v>
      </c>
      <c r="I4334" s="168">
        <v>482.26</v>
      </c>
      <c r="J4334" s="168">
        <v>19.43</v>
      </c>
      <c r="K4334" s="168">
        <v>878</v>
      </c>
      <c r="L4334" s="43">
        <v>5.0434639567188189</v>
      </c>
      <c r="M4334" s="43">
        <v>11.501550202718818</v>
      </c>
      <c r="N4334" s="43">
        <v>5.3526170798898072</v>
      </c>
      <c r="O4334" s="43">
        <v>3.8508771929824563</v>
      </c>
      <c r="P4334" s="169"/>
      <c r="Q4334" s="169"/>
      <c r="R4334" s="169">
        <v>5</v>
      </c>
    </row>
    <row r="4335" spans="1:18" ht="24">
      <c r="A4335" s="165">
        <v>1507</v>
      </c>
      <c r="B4335" s="162" t="s">
        <v>7946</v>
      </c>
      <c r="C4335" s="166" t="s">
        <v>7947</v>
      </c>
      <c r="D4335" s="167">
        <v>314.19</v>
      </c>
      <c r="E4335" s="167">
        <v>42.39</v>
      </c>
      <c r="F4335" s="167">
        <v>4.88</v>
      </c>
      <c r="G4335" s="167">
        <v>266.92</v>
      </c>
      <c r="H4335" s="168">
        <v>1453.92</v>
      </c>
      <c r="I4335" s="168">
        <v>487.43</v>
      </c>
      <c r="J4335" s="168">
        <v>26.04</v>
      </c>
      <c r="K4335" s="168">
        <v>940.45</v>
      </c>
      <c r="L4335" s="43">
        <v>4.6275183805977278</v>
      </c>
      <c r="M4335" s="43">
        <v>11.498702524180231</v>
      </c>
      <c r="N4335" s="43">
        <v>5.3360655737704921</v>
      </c>
      <c r="O4335" s="43">
        <v>3.5233403266896448</v>
      </c>
      <c r="P4335" s="169"/>
      <c r="Q4335" s="169"/>
      <c r="R4335" s="169">
        <v>5</v>
      </c>
    </row>
    <row r="4336" spans="1:18" ht="24">
      <c r="A4336" s="165">
        <v>1508</v>
      </c>
      <c r="B4336" s="162" t="s">
        <v>7948</v>
      </c>
      <c r="C4336" s="166" t="s">
        <v>7949</v>
      </c>
      <c r="D4336" s="167">
        <v>372.63</v>
      </c>
      <c r="E4336" s="167">
        <v>59.82</v>
      </c>
      <c r="F4336" s="167">
        <v>4.99</v>
      </c>
      <c r="G4336" s="167">
        <v>307.82</v>
      </c>
      <c r="H4336" s="168">
        <v>1843.72</v>
      </c>
      <c r="I4336" s="168">
        <v>687.88</v>
      </c>
      <c r="J4336" s="168">
        <v>26.63</v>
      </c>
      <c r="K4336" s="168">
        <v>1129.21</v>
      </c>
      <c r="L4336" s="43">
        <v>4.9478571236883777</v>
      </c>
      <c r="M4336" s="43">
        <v>11.499164159144099</v>
      </c>
      <c r="N4336" s="43">
        <v>5.3366733466933862</v>
      </c>
      <c r="O4336" s="43">
        <v>3.6684101098044315</v>
      </c>
      <c r="P4336" s="169"/>
      <c r="Q4336" s="169"/>
      <c r="R4336" s="169">
        <v>5</v>
      </c>
    </row>
    <row r="4337" spans="1:18" ht="24">
      <c r="A4337" s="165">
        <v>1509</v>
      </c>
      <c r="B4337" s="162" t="s">
        <v>7950</v>
      </c>
      <c r="C4337" s="166" t="s">
        <v>7951</v>
      </c>
      <c r="D4337" s="167">
        <v>616.52</v>
      </c>
      <c r="E4337" s="167">
        <v>73.48</v>
      </c>
      <c r="F4337" s="167">
        <v>5.53</v>
      </c>
      <c r="G4337" s="167">
        <v>537.51</v>
      </c>
      <c r="H4337" s="168">
        <v>2610.09</v>
      </c>
      <c r="I4337" s="168">
        <v>845.07</v>
      </c>
      <c r="J4337" s="168">
        <v>29.42</v>
      </c>
      <c r="K4337" s="168">
        <v>1735.6</v>
      </c>
      <c r="L4337" s="43">
        <v>4.2335852851489006</v>
      </c>
      <c r="M4337" s="43">
        <v>11.500680457267284</v>
      </c>
      <c r="N4337" s="43">
        <v>5.320072332730561</v>
      </c>
      <c r="O4337" s="43">
        <v>3.2289631820803333</v>
      </c>
      <c r="P4337" s="169"/>
      <c r="Q4337" s="169"/>
      <c r="R4337" s="169">
        <v>5</v>
      </c>
    </row>
    <row r="4338" spans="1:18" ht="12.75" customHeight="1">
      <c r="A4338" s="628" t="s">
        <v>7952</v>
      </c>
      <c r="B4338" s="629"/>
      <c r="C4338" s="629"/>
      <c r="D4338" s="629"/>
      <c r="E4338" s="629"/>
      <c r="F4338" s="629"/>
      <c r="G4338" s="629"/>
      <c r="H4338" s="629"/>
      <c r="I4338" s="629"/>
      <c r="J4338" s="629"/>
      <c r="K4338" s="629"/>
      <c r="L4338" s="629"/>
      <c r="M4338" s="629"/>
      <c r="N4338" s="629"/>
      <c r="O4338" s="629"/>
      <c r="P4338" s="629"/>
      <c r="Q4338" s="629"/>
      <c r="R4338" s="629"/>
    </row>
    <row r="4339" spans="1:18" ht="36">
      <c r="A4339" s="165">
        <v>1510</v>
      </c>
      <c r="B4339" s="162" t="s">
        <v>7953</v>
      </c>
      <c r="C4339" s="166" t="s">
        <v>7954</v>
      </c>
      <c r="D4339" s="167">
        <v>296.20999999999998</v>
      </c>
      <c r="E4339" s="167">
        <v>17.72</v>
      </c>
      <c r="F4339" s="167">
        <v>1.23</v>
      </c>
      <c r="G4339" s="167">
        <v>277.26</v>
      </c>
      <c r="H4339" s="168">
        <v>1137.8499999999999</v>
      </c>
      <c r="I4339" s="168">
        <v>203.8</v>
      </c>
      <c r="J4339" s="168">
        <v>6.52</v>
      </c>
      <c r="K4339" s="168">
        <v>927.53</v>
      </c>
      <c r="L4339" s="43">
        <v>3.8413625468417676</v>
      </c>
      <c r="M4339" s="43">
        <v>11.501128668171559</v>
      </c>
      <c r="N4339" s="43">
        <v>5.3008130081300813</v>
      </c>
      <c r="O4339" s="43">
        <v>3.345343720695376</v>
      </c>
      <c r="P4339" s="169"/>
      <c r="Q4339" s="169"/>
      <c r="R4339" s="169">
        <v>6</v>
      </c>
    </row>
    <row r="4340" spans="1:18" ht="36">
      <c r="A4340" s="165">
        <v>1511</v>
      </c>
      <c r="B4340" s="162" t="s">
        <v>7955</v>
      </c>
      <c r="C4340" s="166" t="s">
        <v>7956</v>
      </c>
      <c r="D4340" s="167">
        <v>328.36</v>
      </c>
      <c r="E4340" s="167">
        <v>26.36</v>
      </c>
      <c r="F4340" s="167">
        <v>4.26</v>
      </c>
      <c r="G4340" s="167">
        <v>297.74</v>
      </c>
      <c r="H4340" s="168">
        <v>1349.81</v>
      </c>
      <c r="I4340" s="168">
        <v>303.08</v>
      </c>
      <c r="J4340" s="168">
        <v>22.76</v>
      </c>
      <c r="K4340" s="168">
        <v>1023.97</v>
      </c>
      <c r="L4340" s="43">
        <v>4.1107625776586669</v>
      </c>
      <c r="M4340" s="43">
        <v>11.49772382397572</v>
      </c>
      <c r="N4340" s="43">
        <v>5.342723004694836</v>
      </c>
      <c r="O4340" s="43">
        <v>3.4391415328810373</v>
      </c>
      <c r="P4340" s="169"/>
      <c r="Q4340" s="169"/>
      <c r="R4340" s="169">
        <v>6</v>
      </c>
    </row>
    <row r="4341" spans="1:18" ht="36">
      <c r="A4341" s="165">
        <v>1512</v>
      </c>
      <c r="B4341" s="162" t="s">
        <v>7957</v>
      </c>
      <c r="C4341" s="166" t="s">
        <v>7958</v>
      </c>
      <c r="D4341" s="167">
        <v>350.69</v>
      </c>
      <c r="E4341" s="167">
        <v>34.14</v>
      </c>
      <c r="F4341" s="167">
        <v>4.3</v>
      </c>
      <c r="G4341" s="167">
        <v>312.25</v>
      </c>
      <c r="H4341" s="168">
        <v>1503.25</v>
      </c>
      <c r="I4341" s="168">
        <v>392.64</v>
      </c>
      <c r="J4341" s="168">
        <v>22.95</v>
      </c>
      <c r="K4341" s="168">
        <v>1087.6600000000001</v>
      </c>
      <c r="L4341" s="43">
        <v>4.2865493740910781</v>
      </c>
      <c r="M4341" s="43">
        <v>11.500878734622143</v>
      </c>
      <c r="N4341" s="43">
        <v>5.3372093023255811</v>
      </c>
      <c r="O4341" s="43">
        <v>3.4832986389111293</v>
      </c>
      <c r="P4341" s="169"/>
      <c r="Q4341" s="169"/>
      <c r="R4341" s="169">
        <v>6</v>
      </c>
    </row>
    <row r="4342" spans="1:18" ht="36">
      <c r="A4342" s="165">
        <v>1513</v>
      </c>
      <c r="B4342" s="162" t="s">
        <v>7959</v>
      </c>
      <c r="C4342" s="166" t="s">
        <v>7960</v>
      </c>
      <c r="D4342" s="167">
        <v>367.69</v>
      </c>
      <c r="E4342" s="167">
        <v>44.66</v>
      </c>
      <c r="F4342" s="167">
        <v>4.41</v>
      </c>
      <c r="G4342" s="167">
        <v>318.62</v>
      </c>
      <c r="H4342" s="168">
        <v>1653.04</v>
      </c>
      <c r="I4342" s="168">
        <v>513.55999999999995</v>
      </c>
      <c r="J4342" s="168">
        <v>23.54</v>
      </c>
      <c r="K4342" s="168">
        <v>1115.94</v>
      </c>
      <c r="L4342" s="43">
        <v>4.4957436971361746</v>
      </c>
      <c r="M4342" s="43">
        <v>11.499328257948948</v>
      </c>
      <c r="N4342" s="43">
        <v>5.3378684807256231</v>
      </c>
      <c r="O4342" s="43">
        <v>3.5024166718975582</v>
      </c>
      <c r="P4342" s="169"/>
      <c r="Q4342" s="169"/>
      <c r="R4342" s="169">
        <v>6</v>
      </c>
    </row>
    <row r="4343" spans="1:18" ht="36">
      <c r="A4343" s="165">
        <v>1514</v>
      </c>
      <c r="B4343" s="162" t="s">
        <v>7961</v>
      </c>
      <c r="C4343" s="166" t="s">
        <v>7962</v>
      </c>
      <c r="D4343" s="167">
        <v>400.48</v>
      </c>
      <c r="E4343" s="167">
        <v>58.38</v>
      </c>
      <c r="F4343" s="167">
        <v>4.76</v>
      </c>
      <c r="G4343" s="167">
        <v>337.34</v>
      </c>
      <c r="H4343" s="168">
        <v>1939.15</v>
      </c>
      <c r="I4343" s="168">
        <v>671.43</v>
      </c>
      <c r="J4343" s="168">
        <v>25.31</v>
      </c>
      <c r="K4343" s="168">
        <v>1242.4100000000001</v>
      </c>
      <c r="L4343" s="43">
        <v>4.8420645225729126</v>
      </c>
      <c r="M4343" s="43">
        <v>11.501027749229186</v>
      </c>
      <c r="N4343" s="43">
        <v>5.3172268907563023</v>
      </c>
      <c r="O4343" s="43">
        <v>3.6829608110511654</v>
      </c>
      <c r="P4343" s="169"/>
      <c r="Q4343" s="169"/>
      <c r="R4343" s="169">
        <v>6</v>
      </c>
    </row>
    <row r="4344" spans="1:18" ht="36">
      <c r="A4344" s="165">
        <v>1515</v>
      </c>
      <c r="B4344" s="162" t="s">
        <v>7963</v>
      </c>
      <c r="C4344" s="166" t="s">
        <v>7964</v>
      </c>
      <c r="D4344" s="167">
        <v>263.67</v>
      </c>
      <c r="E4344" s="167">
        <v>18.399999999999999</v>
      </c>
      <c r="F4344" s="167">
        <v>1.5</v>
      </c>
      <c r="G4344" s="167">
        <v>243.77</v>
      </c>
      <c r="H4344" s="168">
        <v>916.84</v>
      </c>
      <c r="I4344" s="168">
        <v>211.64</v>
      </c>
      <c r="J4344" s="168">
        <v>7.91</v>
      </c>
      <c r="K4344" s="168">
        <v>697.29</v>
      </c>
      <c r="L4344" s="43">
        <v>3.4772253195281979</v>
      </c>
      <c r="M4344" s="43">
        <v>11.502173913043478</v>
      </c>
      <c r="N4344" s="43">
        <v>5.2733333333333334</v>
      </c>
      <c r="O4344" s="43">
        <v>2.860442220125528</v>
      </c>
      <c r="P4344" s="169"/>
      <c r="Q4344" s="169"/>
      <c r="R4344" s="169">
        <v>6</v>
      </c>
    </row>
    <row r="4345" spans="1:18" ht="36">
      <c r="A4345" s="165">
        <v>1516</v>
      </c>
      <c r="B4345" s="162" t="s">
        <v>7965</v>
      </c>
      <c r="C4345" s="166" t="s">
        <v>7966</v>
      </c>
      <c r="D4345" s="167">
        <v>350.07</v>
      </c>
      <c r="E4345" s="167">
        <v>29.42</v>
      </c>
      <c r="F4345" s="167">
        <v>4.5199999999999996</v>
      </c>
      <c r="G4345" s="167">
        <v>316.13</v>
      </c>
      <c r="H4345" s="168">
        <v>1377.49</v>
      </c>
      <c r="I4345" s="168">
        <v>338.36</v>
      </c>
      <c r="J4345" s="168">
        <v>24.15</v>
      </c>
      <c r="K4345" s="168">
        <v>1014.98</v>
      </c>
      <c r="L4345" s="43">
        <v>3.9348987345388067</v>
      </c>
      <c r="M4345" s="43">
        <v>11.501019714479945</v>
      </c>
      <c r="N4345" s="43">
        <v>5.3429203539823007</v>
      </c>
      <c r="O4345" s="43">
        <v>3.2106411919147186</v>
      </c>
      <c r="P4345" s="169"/>
      <c r="Q4345" s="169"/>
      <c r="R4345" s="169">
        <v>6</v>
      </c>
    </row>
    <row r="4346" spans="1:18" ht="36">
      <c r="A4346" s="165">
        <v>1517</v>
      </c>
      <c r="B4346" s="162" t="s">
        <v>7967</v>
      </c>
      <c r="C4346" s="166" t="s">
        <v>7968</v>
      </c>
      <c r="D4346" s="167">
        <v>376.47</v>
      </c>
      <c r="E4346" s="167">
        <v>48.61</v>
      </c>
      <c r="F4346" s="167">
        <v>4.92</v>
      </c>
      <c r="G4346" s="167">
        <v>322.94</v>
      </c>
      <c r="H4346" s="168">
        <v>1628.81</v>
      </c>
      <c r="I4346" s="168">
        <v>559.08000000000004</v>
      </c>
      <c r="J4346" s="168">
        <v>26.2</v>
      </c>
      <c r="K4346" s="168">
        <v>1043.53</v>
      </c>
      <c r="L4346" s="43">
        <v>4.3265333227083165</v>
      </c>
      <c r="M4346" s="43">
        <v>11.501337173421108</v>
      </c>
      <c r="N4346" s="43">
        <v>5.3252032520325203</v>
      </c>
      <c r="O4346" s="43">
        <v>3.2313432835820897</v>
      </c>
      <c r="P4346" s="169"/>
      <c r="Q4346" s="169"/>
      <c r="R4346" s="169">
        <v>6</v>
      </c>
    </row>
    <row r="4347" spans="1:18" ht="36">
      <c r="A4347" s="165">
        <v>1518</v>
      </c>
      <c r="B4347" s="162" t="s">
        <v>7969</v>
      </c>
      <c r="C4347" s="166" t="s">
        <v>7970</v>
      </c>
      <c r="D4347" s="167">
        <v>408.9</v>
      </c>
      <c r="E4347" s="167">
        <v>60.98</v>
      </c>
      <c r="F4347" s="167">
        <v>5.26</v>
      </c>
      <c r="G4347" s="167">
        <v>342.66</v>
      </c>
      <c r="H4347" s="168">
        <v>1907.26</v>
      </c>
      <c r="I4347" s="168">
        <v>701.34</v>
      </c>
      <c r="J4347" s="168">
        <v>27.97</v>
      </c>
      <c r="K4347" s="168">
        <v>1177.95</v>
      </c>
      <c r="L4347" s="43">
        <v>4.6643678160919544</v>
      </c>
      <c r="M4347" s="43">
        <v>11.501147917349952</v>
      </c>
      <c r="N4347" s="43">
        <v>5.3174904942965782</v>
      </c>
      <c r="O4347" s="43">
        <v>3.4376641568902118</v>
      </c>
      <c r="P4347" s="169"/>
      <c r="Q4347" s="169"/>
      <c r="R4347" s="169">
        <v>6</v>
      </c>
    </row>
    <row r="4348" spans="1:18" ht="12.75" customHeight="1">
      <c r="A4348" s="628" t="s">
        <v>7971</v>
      </c>
      <c r="B4348" s="629"/>
      <c r="C4348" s="629"/>
      <c r="D4348" s="629"/>
      <c r="E4348" s="629"/>
      <c r="F4348" s="629"/>
      <c r="G4348" s="629"/>
      <c r="H4348" s="629"/>
      <c r="I4348" s="629"/>
      <c r="J4348" s="629"/>
      <c r="K4348" s="629"/>
      <c r="L4348" s="629"/>
      <c r="M4348" s="629"/>
      <c r="N4348" s="629"/>
      <c r="O4348" s="629"/>
      <c r="P4348" s="629"/>
      <c r="Q4348" s="629"/>
      <c r="R4348" s="629"/>
    </row>
    <row r="4349" spans="1:18" ht="36">
      <c r="A4349" s="165">
        <v>1519</v>
      </c>
      <c r="B4349" s="162" t="s">
        <v>7972</v>
      </c>
      <c r="C4349" s="166" t="s">
        <v>7973</v>
      </c>
      <c r="D4349" s="167">
        <v>361.48</v>
      </c>
      <c r="E4349" s="167">
        <v>42.91</v>
      </c>
      <c r="F4349" s="167">
        <v>7.03</v>
      </c>
      <c r="G4349" s="167">
        <v>311.54000000000002</v>
      </c>
      <c r="H4349" s="168">
        <v>1622.67</v>
      </c>
      <c r="I4349" s="168">
        <v>493.48</v>
      </c>
      <c r="J4349" s="168">
        <v>37.67</v>
      </c>
      <c r="K4349" s="168">
        <v>1091.52</v>
      </c>
      <c r="L4349" s="43">
        <v>4.4889620449264136</v>
      </c>
      <c r="M4349" s="43">
        <v>11.500349568865067</v>
      </c>
      <c r="N4349" s="43">
        <v>5.3584637268847795</v>
      </c>
      <c r="O4349" s="43">
        <v>3.5036271425820118</v>
      </c>
      <c r="P4349" s="169"/>
      <c r="Q4349" s="169"/>
      <c r="R4349" s="169">
        <v>7</v>
      </c>
    </row>
    <row r="4350" spans="1:18" ht="48">
      <c r="A4350" s="165">
        <v>1520</v>
      </c>
      <c r="B4350" s="162" t="s">
        <v>7974</v>
      </c>
      <c r="C4350" s="166" t="s">
        <v>7975</v>
      </c>
      <c r="D4350" s="167">
        <v>376.54</v>
      </c>
      <c r="E4350" s="167">
        <v>54.09</v>
      </c>
      <c r="F4350" s="167">
        <v>7.1</v>
      </c>
      <c r="G4350" s="167">
        <v>315.35000000000002</v>
      </c>
      <c r="H4350" s="168">
        <v>1766.58</v>
      </c>
      <c r="I4350" s="168">
        <v>622.04</v>
      </c>
      <c r="J4350" s="168">
        <v>38</v>
      </c>
      <c r="K4350" s="168">
        <v>1106.54</v>
      </c>
      <c r="L4350" s="43">
        <v>4.6916131088330584</v>
      </c>
      <c r="M4350" s="43">
        <v>11.500092438528377</v>
      </c>
      <c r="N4350" s="43">
        <v>5.352112676056338</v>
      </c>
      <c r="O4350" s="43">
        <v>3.5089265895037256</v>
      </c>
      <c r="P4350" s="169"/>
      <c r="Q4350" s="169"/>
      <c r="R4350" s="169">
        <v>7</v>
      </c>
    </row>
    <row r="4351" spans="1:18" ht="12.75" customHeight="1">
      <c r="A4351" s="628" t="s">
        <v>7976</v>
      </c>
      <c r="B4351" s="629"/>
      <c r="C4351" s="629"/>
      <c r="D4351" s="629"/>
      <c r="E4351" s="629"/>
      <c r="F4351" s="629"/>
      <c r="G4351" s="629"/>
      <c r="H4351" s="629"/>
      <c r="I4351" s="629"/>
      <c r="J4351" s="629"/>
      <c r="K4351" s="629"/>
      <c r="L4351" s="629"/>
      <c r="M4351" s="629"/>
      <c r="N4351" s="629"/>
      <c r="O4351" s="629"/>
      <c r="P4351" s="629"/>
      <c r="Q4351" s="629"/>
      <c r="R4351" s="629"/>
    </row>
    <row r="4352" spans="1:18" ht="48">
      <c r="A4352" s="165">
        <v>1521</v>
      </c>
      <c r="B4352" s="162" t="s">
        <v>7977</v>
      </c>
      <c r="C4352" s="166" t="s">
        <v>7978</v>
      </c>
      <c r="D4352" s="167">
        <v>2569.5700000000002</v>
      </c>
      <c r="E4352" s="167">
        <v>1072.43</v>
      </c>
      <c r="F4352" s="167">
        <v>430.11</v>
      </c>
      <c r="G4352" s="167">
        <v>1067.03</v>
      </c>
      <c r="H4352" s="168">
        <v>18327.259999999998</v>
      </c>
      <c r="I4352" s="168">
        <v>12333.34</v>
      </c>
      <c r="J4352" s="168">
        <v>2312.08</v>
      </c>
      <c r="K4352" s="168">
        <v>3681.84</v>
      </c>
      <c r="L4352" s="43">
        <v>7.132422934576601</v>
      </c>
      <c r="M4352" s="43">
        <v>11.500368322407988</v>
      </c>
      <c r="N4352" s="43">
        <v>5.3755550905582288</v>
      </c>
      <c r="O4352" s="43">
        <v>3.450549656523247</v>
      </c>
      <c r="P4352" s="169"/>
      <c r="Q4352" s="169"/>
      <c r="R4352" s="169">
        <v>8</v>
      </c>
    </row>
    <row r="4353" spans="1:18" ht="36">
      <c r="A4353" s="165">
        <v>1522</v>
      </c>
      <c r="B4353" s="162" t="s">
        <v>7979</v>
      </c>
      <c r="C4353" s="166" t="s">
        <v>7980</v>
      </c>
      <c r="D4353" s="167">
        <v>1324.27</v>
      </c>
      <c r="E4353" s="167">
        <v>585.39</v>
      </c>
      <c r="F4353" s="167">
        <v>177.93</v>
      </c>
      <c r="G4353" s="167">
        <v>560.95000000000005</v>
      </c>
      <c r="H4353" s="168">
        <v>9433.5499999999993</v>
      </c>
      <c r="I4353" s="168">
        <v>6732.23</v>
      </c>
      <c r="J4353" s="168">
        <v>956.14</v>
      </c>
      <c r="K4353" s="168">
        <v>1745.18</v>
      </c>
      <c r="L4353" s="43">
        <v>7.1235850695099936</v>
      </c>
      <c r="M4353" s="43">
        <v>11.500418524402535</v>
      </c>
      <c r="N4353" s="43">
        <v>5.3736862811217891</v>
      </c>
      <c r="O4353" s="43">
        <v>3.1111150726446204</v>
      </c>
      <c r="P4353" s="169"/>
      <c r="Q4353" s="169"/>
      <c r="R4353" s="169">
        <v>8</v>
      </c>
    </row>
    <row r="4354" spans="1:18" ht="36">
      <c r="A4354" s="165">
        <v>1523</v>
      </c>
      <c r="B4354" s="162" t="s">
        <v>7981</v>
      </c>
      <c r="C4354" s="166" t="s">
        <v>7982</v>
      </c>
      <c r="D4354" s="167">
        <v>1694.4</v>
      </c>
      <c r="E4354" s="167">
        <v>604.35</v>
      </c>
      <c r="F4354" s="167">
        <v>201.19</v>
      </c>
      <c r="G4354" s="167">
        <v>888.86</v>
      </c>
      <c r="H4354" s="168">
        <v>11204.04</v>
      </c>
      <c r="I4354" s="168">
        <v>6950.28</v>
      </c>
      <c r="J4354" s="168">
        <v>1081.21</v>
      </c>
      <c r="K4354" s="168">
        <v>3172.55</v>
      </c>
      <c r="L4354" s="43">
        <v>6.6123937677053828</v>
      </c>
      <c r="M4354" s="43">
        <v>11.50042194092827</v>
      </c>
      <c r="N4354" s="43">
        <v>5.3740742581639251</v>
      </c>
      <c r="O4354" s="43">
        <v>3.5692347501293793</v>
      </c>
      <c r="P4354" s="169"/>
      <c r="Q4354" s="169"/>
      <c r="R4354" s="169">
        <v>8</v>
      </c>
    </row>
    <row r="4355" spans="1:18" ht="12.75" customHeight="1">
      <c r="A4355" s="628" t="s">
        <v>7983</v>
      </c>
      <c r="B4355" s="629"/>
      <c r="C4355" s="629"/>
      <c r="D4355" s="629"/>
      <c r="E4355" s="629"/>
      <c r="F4355" s="629"/>
      <c r="G4355" s="629"/>
      <c r="H4355" s="629"/>
      <c r="I4355" s="629"/>
      <c r="J4355" s="629"/>
      <c r="K4355" s="629"/>
      <c r="L4355" s="629"/>
      <c r="M4355" s="629"/>
      <c r="N4355" s="629"/>
      <c r="O4355" s="629"/>
      <c r="P4355" s="629"/>
      <c r="Q4355" s="629"/>
      <c r="R4355" s="629"/>
    </row>
    <row r="4356" spans="1:18" ht="24">
      <c r="A4356" s="165">
        <v>1524</v>
      </c>
      <c r="B4356" s="162" t="s">
        <v>7984</v>
      </c>
      <c r="C4356" s="166" t="s">
        <v>7985</v>
      </c>
      <c r="D4356" s="167">
        <v>380.46</v>
      </c>
      <c r="E4356" s="167">
        <v>40.53</v>
      </c>
      <c r="F4356" s="167">
        <v>4.5199999999999996</v>
      </c>
      <c r="G4356" s="167">
        <v>335.41</v>
      </c>
      <c r="H4356" s="168">
        <v>1778.26</v>
      </c>
      <c r="I4356" s="168">
        <v>466.08</v>
      </c>
      <c r="J4356" s="168">
        <v>24.15</v>
      </c>
      <c r="K4356" s="168">
        <v>1288.03</v>
      </c>
      <c r="L4356" s="43">
        <v>4.6739736108920784</v>
      </c>
      <c r="M4356" s="43">
        <v>11.499629903774981</v>
      </c>
      <c r="N4356" s="43">
        <v>5.3429203539823007</v>
      </c>
      <c r="O4356" s="43">
        <v>3.8401657672699079</v>
      </c>
      <c r="P4356" s="169"/>
      <c r="Q4356" s="169"/>
      <c r="R4356" s="169">
        <v>9</v>
      </c>
    </row>
    <row r="4357" spans="1:18" ht="24">
      <c r="A4357" s="165">
        <v>1525</v>
      </c>
      <c r="B4357" s="162" t="s">
        <v>7986</v>
      </c>
      <c r="C4357" s="166" t="s">
        <v>7987</v>
      </c>
      <c r="D4357" s="167">
        <v>403.67</v>
      </c>
      <c r="E4357" s="167">
        <v>59.78</v>
      </c>
      <c r="F4357" s="167">
        <v>4.8099999999999996</v>
      </c>
      <c r="G4357" s="167">
        <v>339.08</v>
      </c>
      <c r="H4357" s="168">
        <v>2017.58</v>
      </c>
      <c r="I4357" s="168">
        <v>687.47</v>
      </c>
      <c r="J4357" s="168">
        <v>25.64</v>
      </c>
      <c r="K4357" s="168">
        <v>1304.47</v>
      </c>
      <c r="L4357" s="43">
        <v>4.998092501300567</v>
      </c>
      <c r="M4357" s="43">
        <v>11.5</v>
      </c>
      <c r="N4357" s="43">
        <v>5.3305613305613315</v>
      </c>
      <c r="O4357" s="43">
        <v>3.847086233337266</v>
      </c>
      <c r="P4357" s="169"/>
      <c r="Q4357" s="169"/>
      <c r="R4357" s="169">
        <v>9</v>
      </c>
    </row>
    <row r="4358" spans="1:18" ht="24">
      <c r="A4358" s="165">
        <v>1526</v>
      </c>
      <c r="B4358" s="162" t="s">
        <v>7988</v>
      </c>
      <c r="C4358" s="166" t="s">
        <v>7989</v>
      </c>
      <c r="D4358" s="167">
        <v>451.15</v>
      </c>
      <c r="E4358" s="167">
        <v>46.93</v>
      </c>
      <c r="F4358" s="167">
        <v>4.6399999999999997</v>
      </c>
      <c r="G4358" s="167">
        <v>399.58</v>
      </c>
      <c r="H4358" s="168">
        <v>2017.11</v>
      </c>
      <c r="I4358" s="168">
        <v>539.66999999999996</v>
      </c>
      <c r="J4358" s="168">
        <v>24.74</v>
      </c>
      <c r="K4358" s="168">
        <v>1452.7</v>
      </c>
      <c r="L4358" s="43">
        <v>4.4710406738335369</v>
      </c>
      <c r="M4358" s="43">
        <v>11.499467291711058</v>
      </c>
      <c r="N4358" s="43">
        <v>5.3318965517241379</v>
      </c>
      <c r="O4358" s="43">
        <v>3.6355673457129991</v>
      </c>
      <c r="P4358" s="169"/>
      <c r="Q4358" s="169"/>
      <c r="R4358" s="169">
        <v>9</v>
      </c>
    </row>
    <row r="4359" spans="1:18" ht="24">
      <c r="A4359" s="165">
        <v>1527</v>
      </c>
      <c r="B4359" s="162" t="s">
        <v>7990</v>
      </c>
      <c r="C4359" s="166" t="s">
        <v>7991</v>
      </c>
      <c r="D4359" s="167">
        <v>483.06</v>
      </c>
      <c r="E4359" s="167">
        <v>72.47</v>
      </c>
      <c r="F4359" s="167">
        <v>7.75</v>
      </c>
      <c r="G4359" s="167">
        <v>402.84</v>
      </c>
      <c r="H4359" s="168">
        <v>2343.64</v>
      </c>
      <c r="I4359" s="168">
        <v>833.38</v>
      </c>
      <c r="J4359" s="168">
        <v>41.4</v>
      </c>
      <c r="K4359" s="168">
        <v>1468.86</v>
      </c>
      <c r="L4359" s="43">
        <v>4.851654038835755</v>
      </c>
      <c r="M4359" s="43">
        <v>11.49965502966745</v>
      </c>
      <c r="N4359" s="43">
        <v>5.3419354838709676</v>
      </c>
      <c r="O4359" s="43">
        <v>3.646261543044385</v>
      </c>
      <c r="P4359" s="169"/>
      <c r="Q4359" s="169"/>
      <c r="R4359" s="169">
        <v>9</v>
      </c>
    </row>
    <row r="4360" spans="1:18" ht="36">
      <c r="A4360" s="165">
        <v>1528</v>
      </c>
      <c r="B4360" s="162" t="s">
        <v>7992</v>
      </c>
      <c r="C4360" s="166" t="s">
        <v>7993</v>
      </c>
      <c r="D4360" s="167">
        <v>358.25</v>
      </c>
      <c r="E4360" s="167">
        <v>42.26</v>
      </c>
      <c r="F4360" s="167">
        <v>1.53</v>
      </c>
      <c r="G4360" s="167">
        <v>314.45999999999998</v>
      </c>
      <c r="H4360" s="168">
        <v>1594.85</v>
      </c>
      <c r="I4360" s="168">
        <v>485.98</v>
      </c>
      <c r="J4360" s="168">
        <v>8.06</v>
      </c>
      <c r="K4360" s="168">
        <v>1100.81</v>
      </c>
      <c r="L4360" s="43">
        <v>4.4517794836008369</v>
      </c>
      <c r="M4360" s="43">
        <v>11.499763369616661</v>
      </c>
      <c r="N4360" s="43">
        <v>5.2679738562091503</v>
      </c>
      <c r="O4360" s="43">
        <v>3.5006360109393881</v>
      </c>
      <c r="P4360" s="169"/>
      <c r="Q4360" s="169"/>
      <c r="R4360" s="169">
        <v>9</v>
      </c>
    </row>
    <row r="4361" spans="1:18" ht="36">
      <c r="A4361" s="165">
        <v>1529</v>
      </c>
      <c r="B4361" s="162" t="s">
        <v>7994</v>
      </c>
      <c r="C4361" s="166" t="s">
        <v>7995</v>
      </c>
      <c r="D4361" s="167">
        <v>383.22</v>
      </c>
      <c r="E4361" s="167">
        <v>61</v>
      </c>
      <c r="F4361" s="167">
        <v>4.3</v>
      </c>
      <c r="G4361" s="167">
        <v>317.92</v>
      </c>
      <c r="H4361" s="168">
        <v>1839.5</v>
      </c>
      <c r="I4361" s="168">
        <v>701.54</v>
      </c>
      <c r="J4361" s="168">
        <v>22.99</v>
      </c>
      <c r="K4361" s="168">
        <v>1114.97</v>
      </c>
      <c r="L4361" s="43">
        <v>4.8001148165544594</v>
      </c>
      <c r="M4361" s="43">
        <v>11.500655737704918</v>
      </c>
      <c r="N4361" s="43">
        <v>5.3465116279069766</v>
      </c>
      <c r="O4361" s="43">
        <v>3.5070772521389029</v>
      </c>
      <c r="P4361" s="169"/>
      <c r="Q4361" s="169"/>
      <c r="R4361" s="169">
        <v>9</v>
      </c>
    </row>
    <row r="4362" spans="1:18" ht="12.75" customHeight="1">
      <c r="A4362" s="628" t="s">
        <v>7996</v>
      </c>
      <c r="B4362" s="629"/>
      <c r="C4362" s="629"/>
      <c r="D4362" s="629"/>
      <c r="E4362" s="629"/>
      <c r="F4362" s="629"/>
      <c r="G4362" s="629"/>
      <c r="H4362" s="629"/>
      <c r="I4362" s="629"/>
      <c r="J4362" s="629"/>
      <c r="K4362" s="629"/>
      <c r="L4362" s="629"/>
      <c r="M4362" s="629"/>
      <c r="N4362" s="629"/>
      <c r="O4362" s="629"/>
      <c r="P4362" s="629"/>
      <c r="Q4362" s="629"/>
      <c r="R4362" s="629"/>
    </row>
    <row r="4363" spans="1:18" ht="36">
      <c r="A4363" s="165">
        <v>1530</v>
      </c>
      <c r="B4363" s="162" t="s">
        <v>7997</v>
      </c>
      <c r="C4363" s="166" t="s">
        <v>7998</v>
      </c>
      <c r="D4363" s="167">
        <v>113.71</v>
      </c>
      <c r="E4363" s="167">
        <v>30.41</v>
      </c>
      <c r="F4363" s="167">
        <v>4.09</v>
      </c>
      <c r="G4363" s="167">
        <v>79.209999999999994</v>
      </c>
      <c r="H4363" s="168">
        <v>705.51</v>
      </c>
      <c r="I4363" s="168">
        <v>349.76</v>
      </c>
      <c r="J4363" s="168">
        <v>21.9</v>
      </c>
      <c r="K4363" s="168">
        <v>333.85</v>
      </c>
      <c r="L4363" s="43">
        <v>6.2044675050567237</v>
      </c>
      <c r="M4363" s="43">
        <v>11.501479776389345</v>
      </c>
      <c r="N4363" s="43">
        <v>5.3545232273838632</v>
      </c>
      <c r="O4363" s="43">
        <v>4.2147456129276613</v>
      </c>
      <c r="P4363" s="169"/>
      <c r="Q4363" s="169"/>
      <c r="R4363" s="169">
        <v>10</v>
      </c>
    </row>
    <row r="4364" spans="1:18" ht="36">
      <c r="A4364" s="165">
        <v>1531</v>
      </c>
      <c r="B4364" s="162" t="s">
        <v>7999</v>
      </c>
      <c r="C4364" s="166" t="s">
        <v>8000</v>
      </c>
      <c r="D4364" s="167">
        <v>383.56</v>
      </c>
      <c r="E4364" s="167">
        <v>52.39</v>
      </c>
      <c r="F4364" s="167">
        <v>4.7699999999999996</v>
      </c>
      <c r="G4364" s="167">
        <v>326.39999999999998</v>
      </c>
      <c r="H4364" s="168">
        <v>1680.7</v>
      </c>
      <c r="I4364" s="168">
        <v>602.51</v>
      </c>
      <c r="J4364" s="168">
        <v>25.42</v>
      </c>
      <c r="K4364" s="168">
        <v>1052.77</v>
      </c>
      <c r="L4364" s="43">
        <v>4.3818437793304827</v>
      </c>
      <c r="M4364" s="43">
        <v>11.500477190303492</v>
      </c>
      <c r="N4364" s="43">
        <v>5.3291404612159337</v>
      </c>
      <c r="O4364" s="43">
        <v>3.2253982843137257</v>
      </c>
      <c r="P4364" s="169"/>
      <c r="Q4364" s="169"/>
      <c r="R4364" s="169">
        <v>10</v>
      </c>
    </row>
    <row r="4365" spans="1:18" ht="36">
      <c r="A4365" s="165">
        <v>1532</v>
      </c>
      <c r="B4365" s="162" t="s">
        <v>8001</v>
      </c>
      <c r="C4365" s="166" t="s">
        <v>8002</v>
      </c>
      <c r="D4365" s="167">
        <v>427.29</v>
      </c>
      <c r="E4365" s="167">
        <v>61.74</v>
      </c>
      <c r="F4365" s="167">
        <v>7.66</v>
      </c>
      <c r="G4365" s="167">
        <v>357.89</v>
      </c>
      <c r="H4365" s="168">
        <v>1933.88</v>
      </c>
      <c r="I4365" s="168">
        <v>710.02</v>
      </c>
      <c r="J4365" s="168">
        <v>40.92</v>
      </c>
      <c r="K4365" s="168">
        <v>1182.94</v>
      </c>
      <c r="L4365" s="43">
        <v>4.5259191649699266</v>
      </c>
      <c r="M4365" s="43">
        <v>11.500161969549724</v>
      </c>
      <c r="N4365" s="43">
        <v>5.342036553524804</v>
      </c>
      <c r="O4365" s="43">
        <v>3.3053172762580685</v>
      </c>
      <c r="P4365" s="169"/>
      <c r="Q4365" s="169"/>
      <c r="R4365" s="169">
        <v>10</v>
      </c>
    </row>
    <row r="4366" spans="1:18" ht="36">
      <c r="A4366" s="165">
        <v>1533</v>
      </c>
      <c r="B4366" s="162" t="s">
        <v>8003</v>
      </c>
      <c r="C4366" s="166" t="s">
        <v>8004</v>
      </c>
      <c r="D4366" s="167">
        <v>178.18</v>
      </c>
      <c r="E4366" s="167">
        <v>35.19</v>
      </c>
      <c r="F4366" s="167">
        <v>4.01</v>
      </c>
      <c r="G4366" s="167">
        <v>138.97999999999999</v>
      </c>
      <c r="H4366" s="168">
        <v>1101.78</v>
      </c>
      <c r="I4366" s="168">
        <v>404.65</v>
      </c>
      <c r="J4366" s="168">
        <v>21.45</v>
      </c>
      <c r="K4366" s="168">
        <v>675.68</v>
      </c>
      <c r="L4366" s="43">
        <v>6.1835222808396004</v>
      </c>
      <c r="M4366" s="43">
        <v>11.499005399261154</v>
      </c>
      <c r="N4366" s="43">
        <v>5.3491271820448878</v>
      </c>
      <c r="O4366" s="43">
        <v>4.8617067203914228</v>
      </c>
      <c r="P4366" s="169"/>
      <c r="Q4366" s="169"/>
      <c r="R4366" s="169">
        <v>10</v>
      </c>
    </row>
    <row r="4367" spans="1:18" ht="48">
      <c r="A4367" s="165">
        <v>1534</v>
      </c>
      <c r="B4367" s="162" t="s">
        <v>8005</v>
      </c>
      <c r="C4367" s="166" t="s">
        <v>8006</v>
      </c>
      <c r="D4367" s="167">
        <v>380.8</v>
      </c>
      <c r="E4367" s="167">
        <v>42.85</v>
      </c>
      <c r="F4367" s="167">
        <v>4.26</v>
      </c>
      <c r="G4367" s="167">
        <v>333.69</v>
      </c>
      <c r="H4367" s="168">
        <v>1685.2</v>
      </c>
      <c r="I4367" s="168">
        <v>492.73</v>
      </c>
      <c r="J4367" s="168">
        <v>22.76</v>
      </c>
      <c r="K4367" s="168">
        <v>1169.71</v>
      </c>
      <c r="L4367" s="43">
        <v>4.4254201680672267</v>
      </c>
      <c r="M4367" s="43">
        <v>11.498949824970829</v>
      </c>
      <c r="N4367" s="43">
        <v>5.342723004694836</v>
      </c>
      <c r="O4367" s="43">
        <v>3.5053792442086968</v>
      </c>
      <c r="P4367" s="169"/>
      <c r="Q4367" s="169"/>
      <c r="R4367" s="169">
        <v>10</v>
      </c>
    </row>
    <row r="4368" spans="1:18" ht="48">
      <c r="A4368" s="165">
        <v>1535</v>
      </c>
      <c r="B4368" s="162" t="s">
        <v>8007</v>
      </c>
      <c r="C4368" s="166" t="s">
        <v>8008</v>
      </c>
      <c r="D4368" s="167">
        <v>396.68</v>
      </c>
      <c r="E4368" s="167">
        <v>54.98</v>
      </c>
      <c r="F4368" s="167">
        <v>4.32</v>
      </c>
      <c r="G4368" s="167">
        <v>337.38</v>
      </c>
      <c r="H4368" s="168">
        <v>1837.97</v>
      </c>
      <c r="I4368" s="168">
        <v>632.34</v>
      </c>
      <c r="J4368" s="168">
        <v>23.09</v>
      </c>
      <c r="K4368" s="168">
        <v>1182.54</v>
      </c>
      <c r="L4368" s="43">
        <v>4.6333820711908844</v>
      </c>
      <c r="M4368" s="43">
        <v>11.501273190251002</v>
      </c>
      <c r="N4368" s="43">
        <v>5.3449074074074074</v>
      </c>
      <c r="O4368" s="43">
        <v>3.5050684687889029</v>
      </c>
      <c r="P4368" s="169"/>
      <c r="Q4368" s="169"/>
      <c r="R4368" s="169">
        <v>10</v>
      </c>
    </row>
    <row r="4369" spans="1:18" ht="48">
      <c r="A4369" s="165">
        <v>1536</v>
      </c>
      <c r="B4369" s="162" t="s">
        <v>8009</v>
      </c>
      <c r="C4369" s="166" t="s">
        <v>8010</v>
      </c>
      <c r="D4369" s="167">
        <v>405.69</v>
      </c>
      <c r="E4369" s="167">
        <v>59.37</v>
      </c>
      <c r="F4369" s="167">
        <v>7.15</v>
      </c>
      <c r="G4369" s="167">
        <v>339.17</v>
      </c>
      <c r="H4369" s="168">
        <v>1912.12</v>
      </c>
      <c r="I4369" s="168">
        <v>682.76</v>
      </c>
      <c r="J4369" s="168">
        <v>38.26</v>
      </c>
      <c r="K4369" s="168">
        <v>1191.0999999999999</v>
      </c>
      <c r="L4369" s="43">
        <v>4.713253962385072</v>
      </c>
      <c r="M4369" s="43">
        <v>11.500084217618326</v>
      </c>
      <c r="N4369" s="43">
        <v>5.3510489510489503</v>
      </c>
      <c r="O4369" s="43">
        <v>3.5118082377568767</v>
      </c>
      <c r="P4369" s="169"/>
      <c r="Q4369" s="169"/>
      <c r="R4369" s="169">
        <v>10</v>
      </c>
    </row>
    <row r="4370" spans="1:18" ht="36">
      <c r="A4370" s="165">
        <v>1537</v>
      </c>
      <c r="B4370" s="162" t="s">
        <v>8011</v>
      </c>
      <c r="C4370" s="166" t="s">
        <v>8012</v>
      </c>
      <c r="D4370" s="167">
        <v>189.19</v>
      </c>
      <c r="E4370" s="167">
        <v>25.51</v>
      </c>
      <c r="F4370" s="167">
        <v>4.29</v>
      </c>
      <c r="G4370" s="167">
        <v>159.38999999999999</v>
      </c>
      <c r="H4370" s="168">
        <v>985.14</v>
      </c>
      <c r="I4370" s="168">
        <v>293.35000000000002</v>
      </c>
      <c r="J4370" s="168">
        <v>22.95</v>
      </c>
      <c r="K4370" s="168">
        <v>668.84</v>
      </c>
      <c r="L4370" s="43">
        <v>5.2071462550874781</v>
      </c>
      <c r="M4370" s="43">
        <v>11.499411995295963</v>
      </c>
      <c r="N4370" s="43">
        <v>5.3496503496503491</v>
      </c>
      <c r="O4370" s="43">
        <v>4.196248196248197</v>
      </c>
      <c r="P4370" s="169"/>
      <c r="Q4370" s="169"/>
      <c r="R4370" s="169">
        <v>10</v>
      </c>
    </row>
    <row r="4371" spans="1:18" ht="36">
      <c r="A4371" s="165">
        <v>1538</v>
      </c>
      <c r="B4371" s="162" t="s">
        <v>8013</v>
      </c>
      <c r="C4371" s="166" t="s">
        <v>8014</v>
      </c>
      <c r="D4371" s="167">
        <v>383.65</v>
      </c>
      <c r="E4371" s="167">
        <v>35.270000000000003</v>
      </c>
      <c r="F4371" s="167">
        <v>7.32</v>
      </c>
      <c r="G4371" s="167">
        <v>341.06</v>
      </c>
      <c r="H4371" s="168">
        <v>1553.11</v>
      </c>
      <c r="I4371" s="168">
        <v>405.67</v>
      </c>
      <c r="J4371" s="168">
        <v>39.17</v>
      </c>
      <c r="K4371" s="168">
        <v>1108.27</v>
      </c>
      <c r="L4371" s="43">
        <v>4.0482471002215563</v>
      </c>
      <c r="M4371" s="43">
        <v>11.501842925999432</v>
      </c>
      <c r="N4371" s="43">
        <v>5.3510928961748636</v>
      </c>
      <c r="O4371" s="43">
        <v>3.2494868938016772</v>
      </c>
      <c r="P4371" s="169"/>
      <c r="Q4371" s="169"/>
      <c r="R4371" s="169">
        <v>10</v>
      </c>
    </row>
    <row r="4372" spans="1:18" ht="36">
      <c r="A4372" s="165">
        <v>1539</v>
      </c>
      <c r="B4372" s="162" t="s">
        <v>8015</v>
      </c>
      <c r="C4372" s="166" t="s">
        <v>8016</v>
      </c>
      <c r="D4372" s="167">
        <v>418.08</v>
      </c>
      <c r="E4372" s="167">
        <v>49.17</v>
      </c>
      <c r="F4372" s="167">
        <v>10.23</v>
      </c>
      <c r="G4372" s="167">
        <v>358.68</v>
      </c>
      <c r="H4372" s="168">
        <v>1802.97</v>
      </c>
      <c r="I4372" s="168">
        <v>565.41</v>
      </c>
      <c r="J4372" s="168">
        <v>54.8</v>
      </c>
      <c r="K4372" s="168">
        <v>1182.76</v>
      </c>
      <c r="L4372" s="43">
        <v>4.3125</v>
      </c>
      <c r="M4372" s="43">
        <v>11.499084807809639</v>
      </c>
      <c r="N4372" s="43">
        <v>5.3567937438905178</v>
      </c>
      <c r="O4372" s="43">
        <v>3.2975354076056651</v>
      </c>
      <c r="P4372" s="169"/>
      <c r="Q4372" s="169"/>
      <c r="R4372" s="169">
        <v>10</v>
      </c>
    </row>
    <row r="4373" spans="1:18" ht="36">
      <c r="A4373" s="165">
        <v>1540</v>
      </c>
      <c r="B4373" s="162" t="s">
        <v>8017</v>
      </c>
      <c r="C4373" s="166" t="s">
        <v>8018</v>
      </c>
      <c r="D4373" s="167">
        <v>181.95</v>
      </c>
      <c r="E4373" s="167">
        <v>24.7</v>
      </c>
      <c r="F4373" s="167">
        <v>4.12</v>
      </c>
      <c r="G4373" s="167">
        <v>153.13</v>
      </c>
      <c r="H4373" s="168">
        <v>1036.33</v>
      </c>
      <c r="I4373" s="168">
        <v>284.10000000000002</v>
      </c>
      <c r="J4373" s="168">
        <v>22.04</v>
      </c>
      <c r="K4373" s="168">
        <v>730.19</v>
      </c>
      <c r="L4373" s="43">
        <v>5.6956856279197581</v>
      </c>
      <c r="M4373" s="43">
        <v>11.502024291497976</v>
      </c>
      <c r="N4373" s="43">
        <v>5.349514563106796</v>
      </c>
      <c r="O4373" s="43">
        <v>4.7684320511983289</v>
      </c>
      <c r="P4373" s="169"/>
      <c r="Q4373" s="169"/>
      <c r="R4373" s="169">
        <v>10</v>
      </c>
    </row>
    <row r="4374" spans="1:18" ht="48">
      <c r="A4374" s="165">
        <v>1541</v>
      </c>
      <c r="B4374" s="162" t="s">
        <v>8019</v>
      </c>
      <c r="C4374" s="166" t="s">
        <v>8020</v>
      </c>
      <c r="D4374" s="167">
        <v>374.59</v>
      </c>
      <c r="E4374" s="167">
        <v>35.159999999999997</v>
      </c>
      <c r="F4374" s="167">
        <v>4.4800000000000004</v>
      </c>
      <c r="G4374" s="167">
        <v>334.95</v>
      </c>
      <c r="H4374" s="168">
        <v>1598.22</v>
      </c>
      <c r="I4374" s="168">
        <v>404.35</v>
      </c>
      <c r="J4374" s="168">
        <v>23.92</v>
      </c>
      <c r="K4374" s="168">
        <v>1169.95</v>
      </c>
      <c r="L4374" s="43">
        <v>4.2665847993806567</v>
      </c>
      <c r="M4374" s="43">
        <v>11.500284414106941</v>
      </c>
      <c r="N4374" s="43">
        <v>5.3392857142857144</v>
      </c>
      <c r="O4374" s="43">
        <v>3.4929093894611141</v>
      </c>
      <c r="P4374" s="169"/>
      <c r="Q4374" s="169"/>
      <c r="R4374" s="169">
        <v>10</v>
      </c>
    </row>
    <row r="4375" spans="1:18" ht="48">
      <c r="A4375" s="165">
        <v>1542</v>
      </c>
      <c r="B4375" s="162" t="s">
        <v>8021</v>
      </c>
      <c r="C4375" s="166" t="s">
        <v>8022</v>
      </c>
      <c r="D4375" s="167">
        <v>402.97</v>
      </c>
      <c r="E4375" s="167">
        <v>44.9</v>
      </c>
      <c r="F4375" s="167">
        <v>7.32</v>
      </c>
      <c r="G4375" s="167">
        <v>350.75</v>
      </c>
      <c r="H4375" s="168">
        <v>1791.42</v>
      </c>
      <c r="I4375" s="168">
        <v>516.29999999999995</v>
      </c>
      <c r="J4375" s="168">
        <v>39.159999999999997</v>
      </c>
      <c r="K4375" s="168">
        <v>1235.96</v>
      </c>
      <c r="L4375" s="43">
        <v>4.4455418517507503</v>
      </c>
      <c r="M4375" s="43">
        <v>11.498886414253898</v>
      </c>
      <c r="N4375" s="43">
        <v>5.3497267759562837</v>
      </c>
      <c r="O4375" s="43">
        <v>3.5237633642195298</v>
      </c>
      <c r="P4375" s="169"/>
      <c r="Q4375" s="169"/>
      <c r="R4375" s="169">
        <v>10</v>
      </c>
    </row>
    <row r="4376" spans="1:18" ht="48">
      <c r="A4376" s="165">
        <v>1543</v>
      </c>
      <c r="B4376" s="162" t="s">
        <v>8023</v>
      </c>
      <c r="C4376" s="166" t="s">
        <v>8024</v>
      </c>
      <c r="D4376" s="167">
        <v>408.53</v>
      </c>
      <c r="E4376" s="167">
        <v>48.8</v>
      </c>
      <c r="F4376" s="167">
        <v>7.46</v>
      </c>
      <c r="G4376" s="167">
        <v>352.27</v>
      </c>
      <c r="H4376" s="168">
        <v>1844.54</v>
      </c>
      <c r="I4376" s="168">
        <v>561.20000000000005</v>
      </c>
      <c r="J4376" s="168">
        <v>39.89</v>
      </c>
      <c r="K4376" s="168">
        <v>1243.45</v>
      </c>
      <c r="L4376" s="43">
        <v>4.5150662130076125</v>
      </c>
      <c r="M4376" s="43">
        <v>11.500000000000002</v>
      </c>
      <c r="N4376" s="43">
        <v>5.3471849865951739</v>
      </c>
      <c r="O4376" s="43">
        <v>3.5298208760325891</v>
      </c>
      <c r="P4376" s="169"/>
      <c r="Q4376" s="169"/>
      <c r="R4376" s="169">
        <v>10</v>
      </c>
    </row>
    <row r="4377" spans="1:18" ht="48">
      <c r="A4377" s="165">
        <v>1544</v>
      </c>
      <c r="B4377" s="162" t="s">
        <v>8025</v>
      </c>
      <c r="C4377" s="166" t="s">
        <v>8026</v>
      </c>
      <c r="D4377" s="167">
        <v>418.15</v>
      </c>
      <c r="E4377" s="167">
        <v>50.44</v>
      </c>
      <c r="F4377" s="167">
        <v>12.23</v>
      </c>
      <c r="G4377" s="167">
        <v>355.48</v>
      </c>
      <c r="H4377" s="168">
        <v>1828.09</v>
      </c>
      <c r="I4377" s="168">
        <v>580.04</v>
      </c>
      <c r="J4377" s="168">
        <v>65.5</v>
      </c>
      <c r="K4377" s="168">
        <v>1182.55</v>
      </c>
      <c r="L4377" s="43">
        <v>4.3718522061461202</v>
      </c>
      <c r="M4377" s="43">
        <v>11.499603489294211</v>
      </c>
      <c r="N4377" s="43">
        <v>5.3556827473426001</v>
      </c>
      <c r="O4377" s="43">
        <v>3.3266287836165183</v>
      </c>
      <c r="P4377" s="169"/>
      <c r="Q4377" s="169"/>
      <c r="R4377" s="169">
        <v>10</v>
      </c>
    </row>
    <row r="4378" spans="1:18" ht="48">
      <c r="A4378" s="165">
        <v>1545</v>
      </c>
      <c r="B4378" s="162" t="s">
        <v>8027</v>
      </c>
      <c r="C4378" s="166" t="s">
        <v>8028</v>
      </c>
      <c r="D4378" s="167">
        <v>474.91</v>
      </c>
      <c r="E4378" s="167">
        <v>85.64</v>
      </c>
      <c r="F4378" s="167">
        <v>24.07</v>
      </c>
      <c r="G4378" s="167">
        <v>365.2</v>
      </c>
      <c r="H4378" s="168">
        <v>2342.21</v>
      </c>
      <c r="I4378" s="168">
        <v>984.91</v>
      </c>
      <c r="J4378" s="168">
        <v>129.15</v>
      </c>
      <c r="K4378" s="168">
        <v>1228.1500000000001</v>
      </c>
      <c r="L4378" s="43">
        <v>4.9319028868627734</v>
      </c>
      <c r="M4378" s="43">
        <v>11.500583839327417</v>
      </c>
      <c r="N4378" s="43">
        <v>5.3656003323639387</v>
      </c>
      <c r="O4378" s="43">
        <v>3.362951807228916</v>
      </c>
      <c r="P4378" s="169"/>
      <c r="Q4378" s="169"/>
      <c r="R4378" s="169">
        <v>10</v>
      </c>
    </row>
    <row r="4379" spans="1:18" ht="48">
      <c r="A4379" s="165">
        <v>1546</v>
      </c>
      <c r="B4379" s="162" t="s">
        <v>8029</v>
      </c>
      <c r="C4379" s="166" t="s">
        <v>8030</v>
      </c>
      <c r="D4379" s="167">
        <v>427.52</v>
      </c>
      <c r="E4379" s="167">
        <v>51.8</v>
      </c>
      <c r="F4379" s="167">
        <v>11.7</v>
      </c>
      <c r="G4379" s="167">
        <v>364.02</v>
      </c>
      <c r="H4379" s="168">
        <v>1965.56</v>
      </c>
      <c r="I4379" s="168">
        <v>595.72</v>
      </c>
      <c r="J4379" s="168">
        <v>62.73</v>
      </c>
      <c r="K4379" s="168">
        <v>1307.1099999999999</v>
      </c>
      <c r="L4379" s="43">
        <v>4.5975860778443112</v>
      </c>
      <c r="M4379" s="43">
        <v>11.500386100386102</v>
      </c>
      <c r="N4379" s="43">
        <v>5.361538461538462</v>
      </c>
      <c r="O4379" s="43">
        <v>3.5907642437228722</v>
      </c>
      <c r="P4379" s="169"/>
      <c r="Q4379" s="169"/>
      <c r="R4379" s="169">
        <v>10</v>
      </c>
    </row>
    <row r="4380" spans="1:18" ht="48">
      <c r="A4380" s="165">
        <v>1547</v>
      </c>
      <c r="B4380" s="162" t="s">
        <v>8031</v>
      </c>
      <c r="C4380" s="166" t="s">
        <v>8032</v>
      </c>
      <c r="D4380" s="167">
        <v>498.34</v>
      </c>
      <c r="E4380" s="167">
        <v>84.67</v>
      </c>
      <c r="F4380" s="167">
        <v>26.93</v>
      </c>
      <c r="G4380" s="167">
        <v>386.74</v>
      </c>
      <c r="H4380" s="168">
        <v>2525.7199999999998</v>
      </c>
      <c r="I4380" s="168">
        <v>973.68</v>
      </c>
      <c r="J4380" s="168">
        <v>144.55000000000001</v>
      </c>
      <c r="K4380" s="168">
        <v>1407.49</v>
      </c>
      <c r="L4380" s="43">
        <v>5.0682666452622707</v>
      </c>
      <c r="M4380" s="43">
        <v>11.499704736034014</v>
      </c>
      <c r="N4380" s="43">
        <v>5.3676197549201641</v>
      </c>
      <c r="O4380" s="43">
        <v>3.6393701194601022</v>
      </c>
      <c r="P4380" s="169"/>
      <c r="Q4380" s="169"/>
      <c r="R4380" s="169">
        <v>10</v>
      </c>
    </row>
    <row r="4381" spans="1:18" ht="48">
      <c r="A4381" s="165">
        <v>1548</v>
      </c>
      <c r="B4381" s="162" t="s">
        <v>8033</v>
      </c>
      <c r="C4381" s="166" t="s">
        <v>8034</v>
      </c>
      <c r="D4381" s="167">
        <v>525.67999999999995</v>
      </c>
      <c r="E4381" s="167">
        <v>46.65</v>
      </c>
      <c r="F4381" s="167">
        <v>26.64</v>
      </c>
      <c r="G4381" s="167">
        <v>452.39</v>
      </c>
      <c r="H4381" s="168">
        <v>2486.65</v>
      </c>
      <c r="I4381" s="168">
        <v>536.49</v>
      </c>
      <c r="J4381" s="168">
        <v>143</v>
      </c>
      <c r="K4381" s="168">
        <v>1807.16</v>
      </c>
      <c r="L4381" s="43">
        <v>4.730349261908386</v>
      </c>
      <c r="M4381" s="43">
        <v>11.500321543408361</v>
      </c>
      <c r="N4381" s="43">
        <v>5.3678678678678677</v>
      </c>
      <c r="O4381" s="43">
        <v>3.9946948429452465</v>
      </c>
      <c r="P4381" s="169"/>
      <c r="Q4381" s="169"/>
      <c r="R4381" s="169">
        <v>10</v>
      </c>
    </row>
    <row r="4382" spans="1:18" ht="48">
      <c r="A4382" s="165">
        <v>1549</v>
      </c>
      <c r="B4382" s="162" t="s">
        <v>8035</v>
      </c>
      <c r="C4382" s="166" t="s">
        <v>8036</v>
      </c>
      <c r="D4382" s="167">
        <v>566.27</v>
      </c>
      <c r="E4382" s="167">
        <v>71.489999999999995</v>
      </c>
      <c r="F4382" s="167">
        <v>31.89</v>
      </c>
      <c r="G4382" s="167">
        <v>462.89</v>
      </c>
      <c r="H4382" s="168">
        <v>2851.82</v>
      </c>
      <c r="I4382" s="168">
        <v>822.16</v>
      </c>
      <c r="J4382" s="168">
        <v>171.25</v>
      </c>
      <c r="K4382" s="168">
        <v>1858.41</v>
      </c>
      <c r="L4382" s="43">
        <v>5.0361488335952815</v>
      </c>
      <c r="M4382" s="43">
        <v>11.500349699258638</v>
      </c>
      <c r="N4382" s="43">
        <v>5.3700219504546878</v>
      </c>
      <c r="O4382" s="43">
        <v>4.0147983322171577</v>
      </c>
      <c r="P4382" s="169"/>
      <c r="Q4382" s="169"/>
      <c r="R4382" s="169">
        <v>10</v>
      </c>
    </row>
    <row r="4383" spans="1:18" ht="48">
      <c r="A4383" s="165">
        <v>1550</v>
      </c>
      <c r="B4383" s="162" t="s">
        <v>8037</v>
      </c>
      <c r="C4383" s="166" t="s">
        <v>8038</v>
      </c>
      <c r="D4383" s="167">
        <v>420.96</v>
      </c>
      <c r="E4383" s="167">
        <v>47.11</v>
      </c>
      <c r="F4383" s="167">
        <v>23.93</v>
      </c>
      <c r="G4383" s="167">
        <v>349.92</v>
      </c>
      <c r="H4383" s="168">
        <v>1913.59</v>
      </c>
      <c r="I4383" s="168">
        <v>541.77</v>
      </c>
      <c r="J4383" s="168">
        <v>128.46</v>
      </c>
      <c r="K4383" s="168">
        <v>1243.3599999999999</v>
      </c>
      <c r="L4383" s="43">
        <v>4.5457763207905737</v>
      </c>
      <c r="M4383" s="43">
        <v>11.500106134578646</v>
      </c>
      <c r="N4383" s="43">
        <v>5.3681571249477651</v>
      </c>
      <c r="O4383" s="43">
        <v>3.553269318701417</v>
      </c>
      <c r="P4383" s="169"/>
      <c r="Q4383" s="169"/>
      <c r="R4383" s="169">
        <v>10</v>
      </c>
    </row>
    <row r="4384" spans="1:18" ht="48">
      <c r="A4384" s="165">
        <v>1551</v>
      </c>
      <c r="B4384" s="162" t="s">
        <v>8039</v>
      </c>
      <c r="C4384" s="166" t="s">
        <v>8040</v>
      </c>
      <c r="D4384" s="167">
        <v>478.61</v>
      </c>
      <c r="E4384" s="167">
        <v>72.099999999999994</v>
      </c>
      <c r="F4384" s="167">
        <v>30.81</v>
      </c>
      <c r="G4384" s="167">
        <v>375.7</v>
      </c>
      <c r="H4384" s="168">
        <v>2347.9299999999998</v>
      </c>
      <c r="I4384" s="168">
        <v>829.17</v>
      </c>
      <c r="J4384" s="168">
        <v>165.43</v>
      </c>
      <c r="K4384" s="168">
        <v>1353.33</v>
      </c>
      <c r="L4384" s="43">
        <v>4.9057270011073726</v>
      </c>
      <c r="M4384" s="43">
        <v>11.500277392510403</v>
      </c>
      <c r="N4384" s="43">
        <v>5.3693605972086988</v>
      </c>
      <c r="O4384" s="43">
        <v>3.6021559755123769</v>
      </c>
      <c r="P4384" s="169"/>
      <c r="Q4384" s="169"/>
      <c r="R4384" s="169">
        <v>10</v>
      </c>
    </row>
    <row r="4385" spans="1:18" ht="36">
      <c r="A4385" s="165">
        <v>1552</v>
      </c>
      <c r="B4385" s="162" t="s">
        <v>8041</v>
      </c>
      <c r="C4385" s="166" t="s">
        <v>8042</v>
      </c>
      <c r="D4385" s="167">
        <v>122.74</v>
      </c>
      <c r="E4385" s="167">
        <v>63.99</v>
      </c>
      <c r="F4385" s="167">
        <v>39.880000000000003</v>
      </c>
      <c r="G4385" s="167">
        <v>18.87</v>
      </c>
      <c r="H4385" s="168">
        <v>1026.05</v>
      </c>
      <c r="I4385" s="168">
        <v>735.91</v>
      </c>
      <c r="J4385" s="168">
        <v>214.49</v>
      </c>
      <c r="K4385" s="168">
        <v>75.650000000000006</v>
      </c>
      <c r="L4385" s="43">
        <v>8.3595404920971159</v>
      </c>
      <c r="M4385" s="43">
        <v>11.500390686044694</v>
      </c>
      <c r="N4385" s="43">
        <v>5.3783851554663995</v>
      </c>
      <c r="O4385" s="43">
        <v>4.0090090090090094</v>
      </c>
      <c r="P4385" s="169"/>
      <c r="Q4385" s="169"/>
      <c r="R4385" s="169">
        <v>10</v>
      </c>
    </row>
    <row r="4386" spans="1:18" ht="36">
      <c r="A4386" s="165">
        <v>1553</v>
      </c>
      <c r="B4386" s="162" t="s">
        <v>8043</v>
      </c>
      <c r="C4386" s="166" t="s">
        <v>8044</v>
      </c>
      <c r="D4386" s="167">
        <v>318.49</v>
      </c>
      <c r="E4386" s="167">
        <v>75.37</v>
      </c>
      <c r="F4386" s="167">
        <v>40.130000000000003</v>
      </c>
      <c r="G4386" s="167">
        <v>202.99</v>
      </c>
      <c r="H4386" s="168">
        <v>1614.35</v>
      </c>
      <c r="I4386" s="168">
        <v>866.74</v>
      </c>
      <c r="J4386" s="168">
        <v>215.8</v>
      </c>
      <c r="K4386" s="168">
        <v>531.80999999999995</v>
      </c>
      <c r="L4386" s="43">
        <v>5.0687619705485254</v>
      </c>
      <c r="M4386" s="43">
        <v>11.499800981823006</v>
      </c>
      <c r="N4386" s="43">
        <v>5.3775230500872162</v>
      </c>
      <c r="O4386" s="43">
        <v>2.6198827528449673</v>
      </c>
      <c r="P4386" s="169"/>
      <c r="Q4386" s="169"/>
      <c r="R4386" s="169">
        <v>10</v>
      </c>
    </row>
    <row r="4387" spans="1:18" ht="36">
      <c r="A4387" s="165">
        <v>1554</v>
      </c>
      <c r="B4387" s="162" t="s">
        <v>8045</v>
      </c>
      <c r="C4387" s="166" t="s">
        <v>8046</v>
      </c>
      <c r="D4387" s="167">
        <v>395.77</v>
      </c>
      <c r="E4387" s="167">
        <v>129.32</v>
      </c>
      <c r="F4387" s="167">
        <v>54.23</v>
      </c>
      <c r="G4387" s="167">
        <v>212.22</v>
      </c>
      <c r="H4387" s="168">
        <v>2356.69</v>
      </c>
      <c r="I4387" s="168">
        <v>1487.18</v>
      </c>
      <c r="J4387" s="168">
        <v>291.58999999999997</v>
      </c>
      <c r="K4387" s="168">
        <v>577.91999999999996</v>
      </c>
      <c r="L4387" s="43">
        <v>5.9546959092402156</v>
      </c>
      <c r="M4387" s="43">
        <v>11.500000000000002</v>
      </c>
      <c r="N4387" s="43">
        <v>5.3769131477042222</v>
      </c>
      <c r="O4387" s="43">
        <v>2.7232117613797002</v>
      </c>
      <c r="P4387" s="169"/>
      <c r="Q4387" s="169"/>
      <c r="R4387" s="169">
        <v>10</v>
      </c>
    </row>
    <row r="4388" spans="1:18" ht="12.75" customHeight="1">
      <c r="A4388" s="628" t="s">
        <v>8047</v>
      </c>
      <c r="B4388" s="629"/>
      <c r="C4388" s="629"/>
      <c r="D4388" s="629"/>
      <c r="E4388" s="629"/>
      <c r="F4388" s="629"/>
      <c r="G4388" s="629"/>
      <c r="H4388" s="629"/>
      <c r="I4388" s="629"/>
      <c r="J4388" s="629"/>
      <c r="K4388" s="629"/>
      <c r="L4388" s="629"/>
      <c r="M4388" s="629"/>
      <c r="N4388" s="629"/>
      <c r="O4388" s="629"/>
      <c r="P4388" s="629"/>
      <c r="Q4388" s="629"/>
      <c r="R4388" s="629"/>
    </row>
    <row r="4389" spans="1:18" ht="36">
      <c r="A4389" s="165">
        <v>1555</v>
      </c>
      <c r="B4389" s="162" t="s">
        <v>8048</v>
      </c>
      <c r="C4389" s="166" t="s">
        <v>8049</v>
      </c>
      <c r="D4389" s="167">
        <v>114.15</v>
      </c>
      <c r="E4389" s="167">
        <v>24.89</v>
      </c>
      <c r="F4389" s="167">
        <v>4.09</v>
      </c>
      <c r="G4389" s="167">
        <v>85.17</v>
      </c>
      <c r="H4389" s="168">
        <v>630.03</v>
      </c>
      <c r="I4389" s="168">
        <v>286.19</v>
      </c>
      <c r="J4389" s="168">
        <v>21.9</v>
      </c>
      <c r="K4389" s="168">
        <v>321.94</v>
      </c>
      <c r="L4389" s="43">
        <v>5.5193166885676739</v>
      </c>
      <c r="M4389" s="43">
        <v>11.498192044997991</v>
      </c>
      <c r="N4389" s="43">
        <v>5.3545232273838632</v>
      </c>
      <c r="O4389" s="43">
        <v>3.7799694728190678</v>
      </c>
      <c r="P4389" s="169"/>
      <c r="Q4389" s="169"/>
      <c r="R4389" s="169">
        <v>11</v>
      </c>
    </row>
    <row r="4390" spans="1:18" ht="36">
      <c r="A4390" s="165">
        <v>1556</v>
      </c>
      <c r="B4390" s="162" t="s">
        <v>8050</v>
      </c>
      <c r="C4390" s="166" t="s">
        <v>8051</v>
      </c>
      <c r="D4390" s="167">
        <v>101.95</v>
      </c>
      <c r="E4390" s="167">
        <v>24.06</v>
      </c>
      <c r="F4390" s="167">
        <v>1.23</v>
      </c>
      <c r="G4390" s="167">
        <v>76.66</v>
      </c>
      <c r="H4390" s="168">
        <v>652.41999999999996</v>
      </c>
      <c r="I4390" s="168">
        <v>276.64999999999998</v>
      </c>
      <c r="J4390" s="168">
        <v>6.52</v>
      </c>
      <c r="K4390" s="168">
        <v>369.25</v>
      </c>
      <c r="L4390" s="43">
        <v>6.3994114762138299</v>
      </c>
      <c r="M4390" s="43">
        <v>11.498337489609309</v>
      </c>
      <c r="N4390" s="43">
        <v>5.3008130081300813</v>
      </c>
      <c r="O4390" s="43">
        <v>4.8167231933211587</v>
      </c>
      <c r="P4390" s="169"/>
      <c r="Q4390" s="169"/>
      <c r="R4390" s="169">
        <v>11</v>
      </c>
    </row>
    <row r="4391" spans="1:18" ht="12.75" customHeight="1">
      <c r="A4391" s="628" t="s">
        <v>8052</v>
      </c>
      <c r="B4391" s="629"/>
      <c r="C4391" s="629"/>
      <c r="D4391" s="629"/>
      <c r="E4391" s="629"/>
      <c r="F4391" s="629"/>
      <c r="G4391" s="629"/>
      <c r="H4391" s="629"/>
      <c r="I4391" s="629"/>
      <c r="J4391" s="629"/>
      <c r="K4391" s="629"/>
      <c r="L4391" s="629"/>
      <c r="M4391" s="629"/>
      <c r="N4391" s="629"/>
      <c r="O4391" s="629"/>
      <c r="P4391" s="629"/>
      <c r="Q4391" s="629"/>
      <c r="R4391" s="629"/>
    </row>
    <row r="4392" spans="1:18" ht="36">
      <c r="A4392" s="165">
        <v>1557</v>
      </c>
      <c r="B4392" s="162" t="s">
        <v>8053</v>
      </c>
      <c r="C4392" s="166" t="s">
        <v>8054</v>
      </c>
      <c r="D4392" s="167">
        <v>91.69</v>
      </c>
      <c r="E4392" s="167">
        <v>21.24</v>
      </c>
      <c r="F4392" s="167">
        <v>0.35</v>
      </c>
      <c r="G4392" s="167">
        <v>70.099999999999994</v>
      </c>
      <c r="H4392" s="168">
        <v>535.39</v>
      </c>
      <c r="I4392" s="168">
        <v>244.3</v>
      </c>
      <c r="J4392" s="168">
        <v>1.85</v>
      </c>
      <c r="K4392" s="168">
        <v>289.24</v>
      </c>
      <c r="L4392" s="43">
        <v>5.8391318573454027</v>
      </c>
      <c r="M4392" s="43">
        <v>11.501883239171375</v>
      </c>
      <c r="N4392" s="43">
        <v>5.2857142857142865</v>
      </c>
      <c r="O4392" s="43">
        <v>4.126105563480742</v>
      </c>
      <c r="P4392" s="169"/>
      <c r="Q4392" s="169"/>
      <c r="R4392" s="169">
        <v>12</v>
      </c>
    </row>
    <row r="4393" spans="1:18" ht="36">
      <c r="A4393" s="165">
        <v>1558</v>
      </c>
      <c r="B4393" s="162" t="s">
        <v>8055</v>
      </c>
      <c r="C4393" s="166" t="s">
        <v>8056</v>
      </c>
      <c r="D4393" s="167">
        <v>109.32</v>
      </c>
      <c r="E4393" s="167">
        <v>34.53</v>
      </c>
      <c r="F4393" s="167">
        <v>0.35</v>
      </c>
      <c r="G4393" s="167">
        <v>74.44</v>
      </c>
      <c r="H4393" s="168">
        <v>704.26</v>
      </c>
      <c r="I4393" s="168">
        <v>397.15</v>
      </c>
      <c r="J4393" s="168">
        <v>1.85</v>
      </c>
      <c r="K4393" s="168">
        <v>305.26</v>
      </c>
      <c r="L4393" s="43">
        <v>6.4421880717160631</v>
      </c>
      <c r="M4393" s="43">
        <v>11.501592817839558</v>
      </c>
      <c r="N4393" s="43">
        <v>5.2857142857142865</v>
      </c>
      <c r="O4393" s="43">
        <v>4.1007522837184309</v>
      </c>
      <c r="P4393" s="169"/>
      <c r="Q4393" s="169"/>
      <c r="R4393" s="169">
        <v>12</v>
      </c>
    </row>
    <row r="4394" spans="1:18" ht="36">
      <c r="A4394" s="165">
        <v>1559</v>
      </c>
      <c r="B4394" s="162" t="s">
        <v>8057</v>
      </c>
      <c r="C4394" s="166" t="s">
        <v>8058</v>
      </c>
      <c r="D4394" s="167">
        <v>131.99</v>
      </c>
      <c r="E4394" s="167">
        <v>49.42</v>
      </c>
      <c r="F4394" s="167">
        <v>3.13</v>
      </c>
      <c r="G4394" s="167">
        <v>79.44</v>
      </c>
      <c r="H4394" s="168">
        <v>908.59</v>
      </c>
      <c r="I4394" s="168">
        <v>568.28</v>
      </c>
      <c r="J4394" s="168">
        <v>16.78</v>
      </c>
      <c r="K4394" s="168">
        <v>323.52999999999997</v>
      </c>
      <c r="L4394" s="43">
        <v>6.8837790741722857</v>
      </c>
      <c r="M4394" s="43">
        <v>11.498988263860785</v>
      </c>
      <c r="N4394" s="43">
        <v>5.361022364217253</v>
      </c>
      <c r="O4394" s="43">
        <v>4.0726334340382673</v>
      </c>
      <c r="P4394" s="169"/>
      <c r="Q4394" s="169"/>
      <c r="R4394" s="169">
        <v>12</v>
      </c>
    </row>
    <row r="4395" spans="1:18" ht="36">
      <c r="A4395" s="165">
        <v>1560</v>
      </c>
      <c r="B4395" s="162" t="s">
        <v>8059</v>
      </c>
      <c r="C4395" s="166" t="s">
        <v>8060</v>
      </c>
      <c r="D4395" s="167">
        <v>138.25</v>
      </c>
      <c r="E4395" s="167">
        <v>20.45</v>
      </c>
      <c r="F4395" s="167">
        <v>1.23</v>
      </c>
      <c r="G4395" s="167">
        <v>116.57</v>
      </c>
      <c r="H4395" s="168">
        <v>816.02</v>
      </c>
      <c r="I4395" s="168">
        <v>235.15</v>
      </c>
      <c r="J4395" s="168">
        <v>6.52</v>
      </c>
      <c r="K4395" s="168">
        <v>574.35</v>
      </c>
      <c r="L4395" s="43">
        <v>5.9024954792043403</v>
      </c>
      <c r="M4395" s="43">
        <v>11.49877750611247</v>
      </c>
      <c r="N4395" s="43">
        <v>5.3008130081300813</v>
      </c>
      <c r="O4395" s="43">
        <v>4.9270824397357815</v>
      </c>
      <c r="P4395" s="169"/>
      <c r="Q4395" s="169"/>
      <c r="R4395" s="169">
        <v>12</v>
      </c>
    </row>
    <row r="4396" spans="1:18" ht="36">
      <c r="A4396" s="165">
        <v>1561</v>
      </c>
      <c r="B4396" s="162" t="s">
        <v>8061</v>
      </c>
      <c r="C4396" s="166" t="s">
        <v>8062</v>
      </c>
      <c r="D4396" s="167">
        <v>146.80000000000001</v>
      </c>
      <c r="E4396" s="167">
        <v>26.92</v>
      </c>
      <c r="F4396" s="167">
        <v>1.23</v>
      </c>
      <c r="G4396" s="167">
        <v>118.65</v>
      </c>
      <c r="H4396" s="168">
        <v>898.08</v>
      </c>
      <c r="I4396" s="168">
        <v>309.62</v>
      </c>
      <c r="J4396" s="168">
        <v>6.52</v>
      </c>
      <c r="K4396" s="168">
        <v>581.94000000000005</v>
      </c>
      <c r="L4396" s="43">
        <v>6.1177111716621253</v>
      </c>
      <c r="M4396" s="43">
        <v>11.50148588410104</v>
      </c>
      <c r="N4396" s="43">
        <v>5.3008130081300813</v>
      </c>
      <c r="O4396" s="43">
        <v>4.9046776232616942</v>
      </c>
      <c r="P4396" s="169"/>
      <c r="Q4396" s="169"/>
      <c r="R4396" s="169">
        <v>12</v>
      </c>
    </row>
    <row r="4397" spans="1:18" ht="36">
      <c r="A4397" s="165">
        <v>1562</v>
      </c>
      <c r="B4397" s="162" t="s">
        <v>8063</v>
      </c>
      <c r="C4397" s="166" t="s">
        <v>8064</v>
      </c>
      <c r="D4397" s="167">
        <v>155.83000000000001</v>
      </c>
      <c r="E4397" s="167">
        <v>33.97</v>
      </c>
      <c r="F4397" s="167">
        <v>1.23</v>
      </c>
      <c r="G4397" s="167">
        <v>120.63</v>
      </c>
      <c r="H4397" s="168">
        <v>984.02</v>
      </c>
      <c r="I4397" s="168">
        <v>390.61</v>
      </c>
      <c r="J4397" s="168">
        <v>6.52</v>
      </c>
      <c r="K4397" s="168">
        <v>586.89</v>
      </c>
      <c r="L4397" s="43">
        <v>6.3147019187576197</v>
      </c>
      <c r="M4397" s="43">
        <v>11.498675301736828</v>
      </c>
      <c r="N4397" s="43">
        <v>5.3008130081300813</v>
      </c>
      <c r="O4397" s="43">
        <v>4.8652076597861234</v>
      </c>
      <c r="P4397" s="169"/>
      <c r="Q4397" s="169"/>
      <c r="R4397" s="169">
        <v>12</v>
      </c>
    </row>
    <row r="4398" spans="1:18" ht="36">
      <c r="A4398" s="165">
        <v>1563</v>
      </c>
      <c r="B4398" s="162" t="s">
        <v>8065</v>
      </c>
      <c r="C4398" s="166" t="s">
        <v>8066</v>
      </c>
      <c r="D4398" s="167">
        <v>175.58</v>
      </c>
      <c r="E4398" s="167">
        <v>48.73</v>
      </c>
      <c r="F4398" s="167">
        <v>1.23</v>
      </c>
      <c r="G4398" s="167">
        <v>125.62</v>
      </c>
      <c r="H4398" s="168">
        <v>1172.02</v>
      </c>
      <c r="I4398" s="168">
        <v>560.45000000000005</v>
      </c>
      <c r="J4398" s="168">
        <v>6.52</v>
      </c>
      <c r="K4398" s="168">
        <v>605.04999999999995</v>
      </c>
      <c r="L4398" s="43">
        <v>6.6751338421232482</v>
      </c>
      <c r="M4398" s="43">
        <v>11.501128668171559</v>
      </c>
      <c r="N4398" s="43">
        <v>5.3008130081300813</v>
      </c>
      <c r="O4398" s="43">
        <v>4.816510109855118</v>
      </c>
      <c r="P4398" s="169"/>
      <c r="Q4398" s="169"/>
      <c r="R4398" s="169">
        <v>12</v>
      </c>
    </row>
    <row r="4399" spans="1:18" ht="36">
      <c r="A4399" s="165">
        <v>1564</v>
      </c>
      <c r="B4399" s="162" t="s">
        <v>8067</v>
      </c>
      <c r="C4399" s="166" t="s">
        <v>8068</v>
      </c>
      <c r="D4399" s="167">
        <v>368.62</v>
      </c>
      <c r="E4399" s="167">
        <v>36.119999999999997</v>
      </c>
      <c r="F4399" s="167">
        <v>4.51</v>
      </c>
      <c r="G4399" s="167">
        <v>327.99</v>
      </c>
      <c r="H4399" s="168">
        <v>1911.08</v>
      </c>
      <c r="I4399" s="168">
        <v>415.44</v>
      </c>
      <c r="J4399" s="168">
        <v>24.11</v>
      </c>
      <c r="K4399" s="168">
        <v>1471.53</v>
      </c>
      <c r="L4399" s="43">
        <v>5.1844175573761593</v>
      </c>
      <c r="M4399" s="43">
        <v>11.501661129568108</v>
      </c>
      <c r="N4399" s="43">
        <v>5.3458980044345896</v>
      </c>
      <c r="O4399" s="43">
        <v>4.4865087350224089</v>
      </c>
      <c r="P4399" s="169"/>
      <c r="Q4399" s="169"/>
      <c r="R4399" s="169">
        <v>12</v>
      </c>
    </row>
    <row r="4400" spans="1:18" ht="48">
      <c r="A4400" s="165">
        <v>1565</v>
      </c>
      <c r="B4400" s="162" t="s">
        <v>8069</v>
      </c>
      <c r="C4400" s="166" t="s">
        <v>8070</v>
      </c>
      <c r="D4400" s="167">
        <v>181.26</v>
      </c>
      <c r="E4400" s="167">
        <v>32.94</v>
      </c>
      <c r="F4400" s="167">
        <v>4.01</v>
      </c>
      <c r="G4400" s="167">
        <v>144.31</v>
      </c>
      <c r="H4400" s="168">
        <v>1095.05</v>
      </c>
      <c r="I4400" s="168">
        <v>378.86</v>
      </c>
      <c r="J4400" s="168">
        <v>21.45</v>
      </c>
      <c r="K4400" s="168">
        <v>694.74</v>
      </c>
      <c r="L4400" s="43">
        <v>6.0413218581043804</v>
      </c>
      <c r="M4400" s="43">
        <v>11.501517911353979</v>
      </c>
      <c r="N4400" s="43">
        <v>5.3491271820448878</v>
      </c>
      <c r="O4400" s="43">
        <v>4.8142193888157436</v>
      </c>
      <c r="P4400" s="169"/>
      <c r="Q4400" s="169"/>
      <c r="R4400" s="169">
        <v>12</v>
      </c>
    </row>
    <row r="4401" spans="1:18" ht="48">
      <c r="A4401" s="165">
        <v>1566</v>
      </c>
      <c r="B4401" s="162" t="s">
        <v>8071</v>
      </c>
      <c r="C4401" s="166" t="s">
        <v>8072</v>
      </c>
      <c r="D4401" s="167">
        <v>63.9</v>
      </c>
      <c r="E4401" s="167">
        <v>19.54</v>
      </c>
      <c r="F4401" s="167">
        <v>0.93</v>
      </c>
      <c r="G4401" s="167">
        <v>43.43</v>
      </c>
      <c r="H4401" s="168">
        <v>406.06</v>
      </c>
      <c r="I4401" s="168">
        <v>224.7</v>
      </c>
      <c r="J4401" s="168">
        <v>4.88</v>
      </c>
      <c r="K4401" s="168">
        <v>176.48</v>
      </c>
      <c r="L4401" s="43">
        <v>6.3546165884194057</v>
      </c>
      <c r="M4401" s="43">
        <v>11.499488229273286</v>
      </c>
      <c r="N4401" s="43">
        <v>5.247311827956989</v>
      </c>
      <c r="O4401" s="43">
        <v>4.0635505411006214</v>
      </c>
      <c r="P4401" s="169"/>
      <c r="Q4401" s="169"/>
      <c r="R4401" s="169">
        <v>12</v>
      </c>
    </row>
    <row r="4402" spans="1:18" ht="48">
      <c r="A4402" s="165">
        <v>1567</v>
      </c>
      <c r="B4402" s="162" t="s">
        <v>8073</v>
      </c>
      <c r="C4402" s="166" t="s">
        <v>8074</v>
      </c>
      <c r="D4402" s="167">
        <v>75.819999999999993</v>
      </c>
      <c r="E4402" s="167">
        <v>24.99</v>
      </c>
      <c r="F4402" s="167">
        <v>0.97</v>
      </c>
      <c r="G4402" s="167">
        <v>49.86</v>
      </c>
      <c r="H4402" s="168">
        <v>484.85</v>
      </c>
      <c r="I4402" s="168">
        <v>287.41000000000003</v>
      </c>
      <c r="J4402" s="168">
        <v>5.1100000000000003</v>
      </c>
      <c r="K4402" s="168">
        <v>192.33</v>
      </c>
      <c r="L4402" s="43">
        <v>6.3947507254022691</v>
      </c>
      <c r="M4402" s="43">
        <v>11.501000400160066</v>
      </c>
      <c r="N4402" s="43">
        <v>5.2680412371134029</v>
      </c>
      <c r="O4402" s="43">
        <v>3.8574007220216608</v>
      </c>
      <c r="P4402" s="169"/>
      <c r="Q4402" s="169"/>
      <c r="R4402" s="169">
        <v>12</v>
      </c>
    </row>
    <row r="4403" spans="1:18" ht="48">
      <c r="A4403" s="165">
        <v>1568</v>
      </c>
      <c r="B4403" s="162" t="s">
        <v>8075</v>
      </c>
      <c r="C4403" s="166" t="s">
        <v>8076</v>
      </c>
      <c r="D4403" s="167">
        <v>123.42</v>
      </c>
      <c r="E4403" s="167">
        <v>19.2</v>
      </c>
      <c r="F4403" s="167">
        <v>0.95</v>
      </c>
      <c r="G4403" s="167">
        <v>103.27</v>
      </c>
      <c r="H4403" s="168">
        <v>742.6</v>
      </c>
      <c r="I4403" s="168">
        <v>220.78</v>
      </c>
      <c r="J4403" s="168">
        <v>5</v>
      </c>
      <c r="K4403" s="168">
        <v>516.82000000000005</v>
      </c>
      <c r="L4403" s="43">
        <v>6.0168530222006158</v>
      </c>
      <c r="M4403" s="43">
        <v>11.498958333333334</v>
      </c>
      <c r="N4403" s="43">
        <v>5.2631578947368425</v>
      </c>
      <c r="O4403" s="43">
        <v>5.0045511765275501</v>
      </c>
      <c r="P4403" s="169"/>
      <c r="Q4403" s="169"/>
      <c r="R4403" s="169">
        <v>12</v>
      </c>
    </row>
    <row r="4404" spans="1:18" ht="48">
      <c r="A4404" s="165">
        <v>1569</v>
      </c>
      <c r="B4404" s="162" t="s">
        <v>8077</v>
      </c>
      <c r="C4404" s="166" t="s">
        <v>8078</v>
      </c>
      <c r="D4404" s="167">
        <v>130.69999999999999</v>
      </c>
      <c r="E4404" s="167">
        <v>24.42</v>
      </c>
      <c r="F4404" s="167">
        <v>0.95</v>
      </c>
      <c r="G4404" s="167">
        <v>105.33</v>
      </c>
      <c r="H4404" s="168">
        <v>810.07</v>
      </c>
      <c r="I4404" s="168">
        <v>280.88</v>
      </c>
      <c r="J4404" s="168">
        <v>5</v>
      </c>
      <c r="K4404" s="168">
        <v>524.19000000000005</v>
      </c>
      <c r="L4404" s="43">
        <v>6.1979342004590672</v>
      </c>
      <c r="M4404" s="43">
        <v>11.502047502047501</v>
      </c>
      <c r="N4404" s="43">
        <v>5.2631578947368425</v>
      </c>
      <c r="O4404" s="43">
        <v>4.9766448305326128</v>
      </c>
      <c r="P4404" s="169"/>
      <c r="Q4404" s="169"/>
      <c r="R4404" s="169">
        <v>12</v>
      </c>
    </row>
    <row r="4405" spans="1:18" ht="48">
      <c r="A4405" s="165">
        <v>1570</v>
      </c>
      <c r="B4405" s="162" t="s">
        <v>8079</v>
      </c>
      <c r="C4405" s="166" t="s">
        <v>8080</v>
      </c>
      <c r="D4405" s="167">
        <v>118.87</v>
      </c>
      <c r="E4405" s="167">
        <v>27.83</v>
      </c>
      <c r="F4405" s="167">
        <v>6.71</v>
      </c>
      <c r="G4405" s="167">
        <v>84.33</v>
      </c>
      <c r="H4405" s="168">
        <v>705.49</v>
      </c>
      <c r="I4405" s="168">
        <v>320.07</v>
      </c>
      <c r="J4405" s="168">
        <v>35.99</v>
      </c>
      <c r="K4405" s="168">
        <v>349.43</v>
      </c>
      <c r="L4405" s="43">
        <v>5.9349709766972323</v>
      </c>
      <c r="M4405" s="43">
        <v>11.500898311174991</v>
      </c>
      <c r="N4405" s="43">
        <v>5.3636363636363642</v>
      </c>
      <c r="O4405" s="43">
        <v>4.1436025139333577</v>
      </c>
      <c r="P4405" s="169"/>
      <c r="Q4405" s="169"/>
      <c r="R4405" s="169">
        <v>12</v>
      </c>
    </row>
    <row r="4406" spans="1:18" ht="48">
      <c r="A4406" s="165">
        <v>1571</v>
      </c>
      <c r="B4406" s="162" t="s">
        <v>8081</v>
      </c>
      <c r="C4406" s="166" t="s">
        <v>8082</v>
      </c>
      <c r="D4406" s="167">
        <v>164.19</v>
      </c>
      <c r="E4406" s="167">
        <v>27.6</v>
      </c>
      <c r="F4406" s="167">
        <v>6.38</v>
      </c>
      <c r="G4406" s="167">
        <v>130.21</v>
      </c>
      <c r="H4406" s="168">
        <v>985.83</v>
      </c>
      <c r="I4406" s="168">
        <v>317.45999999999998</v>
      </c>
      <c r="J4406" s="168">
        <v>34.26</v>
      </c>
      <c r="K4406" s="168">
        <v>634.11</v>
      </c>
      <c r="L4406" s="43">
        <v>6.004202448382971</v>
      </c>
      <c r="M4406" s="43">
        <v>11.502173913043476</v>
      </c>
      <c r="N4406" s="43">
        <v>5.3699059561128522</v>
      </c>
      <c r="O4406" s="43">
        <v>4.8699024652484448</v>
      </c>
      <c r="P4406" s="169"/>
      <c r="Q4406" s="169"/>
      <c r="R4406" s="169">
        <v>12</v>
      </c>
    </row>
    <row r="4407" spans="1:18" ht="12.75" customHeight="1">
      <c r="A4407" s="628" t="s">
        <v>8083</v>
      </c>
      <c r="B4407" s="629"/>
      <c r="C4407" s="629"/>
      <c r="D4407" s="629"/>
      <c r="E4407" s="629"/>
      <c r="F4407" s="629"/>
      <c r="G4407" s="629"/>
      <c r="H4407" s="629"/>
      <c r="I4407" s="629"/>
      <c r="J4407" s="629"/>
      <c r="K4407" s="629"/>
      <c r="L4407" s="629"/>
      <c r="M4407" s="629"/>
      <c r="N4407" s="629"/>
      <c r="O4407" s="629"/>
      <c r="P4407" s="629"/>
      <c r="Q4407" s="629"/>
      <c r="R4407" s="629"/>
    </row>
    <row r="4408" spans="1:18" ht="36">
      <c r="A4408" s="165">
        <v>1572</v>
      </c>
      <c r="B4408" s="162" t="s">
        <v>8084</v>
      </c>
      <c r="C4408" s="166" t="s">
        <v>8085</v>
      </c>
      <c r="D4408" s="167">
        <v>34.369999999999997</v>
      </c>
      <c r="E4408" s="167">
        <v>26.3</v>
      </c>
      <c r="F4408" s="167"/>
      <c r="G4408" s="167">
        <v>8.07</v>
      </c>
      <c r="H4408" s="168">
        <v>325.39999999999998</v>
      </c>
      <c r="I4408" s="168">
        <v>302.47000000000003</v>
      </c>
      <c r="J4408" s="168"/>
      <c r="K4408" s="168">
        <v>22.93</v>
      </c>
      <c r="L4408" s="43">
        <v>9.4675589176607513</v>
      </c>
      <c r="M4408" s="43">
        <v>11.500760456273765</v>
      </c>
      <c r="N4408" s="43" t="s">
        <v>1690</v>
      </c>
      <c r="O4408" s="43">
        <v>2.8413878562577448</v>
      </c>
      <c r="P4408" s="169"/>
      <c r="Q4408" s="169"/>
      <c r="R4408" s="169">
        <v>13</v>
      </c>
    </row>
    <row r="4409" spans="1:18" ht="36">
      <c r="A4409" s="165">
        <v>1573</v>
      </c>
      <c r="B4409" s="162" t="s">
        <v>8086</v>
      </c>
      <c r="C4409" s="166" t="s">
        <v>8087</v>
      </c>
      <c r="D4409" s="167">
        <v>40.86</v>
      </c>
      <c r="E4409" s="167">
        <v>30.91</v>
      </c>
      <c r="F4409" s="167"/>
      <c r="G4409" s="167">
        <v>9.9499999999999993</v>
      </c>
      <c r="H4409" s="168">
        <v>388.64</v>
      </c>
      <c r="I4409" s="168">
        <v>355.47</v>
      </c>
      <c r="J4409" s="168"/>
      <c r="K4409" s="168">
        <v>33.17</v>
      </c>
      <c r="L4409" s="43">
        <v>9.5115026921194321</v>
      </c>
      <c r="M4409" s="43">
        <v>11.500161759948238</v>
      </c>
      <c r="N4409" s="43" t="s">
        <v>1690</v>
      </c>
      <c r="O4409" s="43">
        <v>3.3336683417085431</v>
      </c>
      <c r="P4409" s="169"/>
      <c r="Q4409" s="169"/>
      <c r="R4409" s="169">
        <v>13</v>
      </c>
    </row>
    <row r="4410" spans="1:18" ht="36">
      <c r="A4410" s="165">
        <v>1574</v>
      </c>
      <c r="B4410" s="162" t="s">
        <v>8088</v>
      </c>
      <c r="C4410" s="166" t="s">
        <v>8089</v>
      </c>
      <c r="D4410" s="167">
        <v>75.64</v>
      </c>
      <c r="E4410" s="167">
        <v>39.56</v>
      </c>
      <c r="F4410" s="167"/>
      <c r="G4410" s="167">
        <v>36.08</v>
      </c>
      <c r="H4410" s="168">
        <v>545.51</v>
      </c>
      <c r="I4410" s="168">
        <v>455</v>
      </c>
      <c r="J4410" s="168"/>
      <c r="K4410" s="168">
        <v>90.51</v>
      </c>
      <c r="L4410" s="43">
        <v>7.211924907456372</v>
      </c>
      <c r="M4410" s="43">
        <v>11.501516683518705</v>
      </c>
      <c r="N4410" s="43" t="s">
        <v>1690</v>
      </c>
      <c r="O4410" s="43">
        <v>2.5085920177383594</v>
      </c>
      <c r="P4410" s="169"/>
      <c r="Q4410" s="169"/>
      <c r="R4410" s="169">
        <v>13</v>
      </c>
    </row>
    <row r="4411" spans="1:18" ht="12.75" customHeight="1">
      <c r="A4411" s="628" t="s">
        <v>8090</v>
      </c>
      <c r="B4411" s="629"/>
      <c r="C4411" s="629"/>
      <c r="D4411" s="629"/>
      <c r="E4411" s="629"/>
      <c r="F4411" s="629"/>
      <c r="G4411" s="629"/>
      <c r="H4411" s="629"/>
      <c r="I4411" s="629"/>
      <c r="J4411" s="629"/>
      <c r="K4411" s="629"/>
      <c r="L4411" s="629"/>
      <c r="M4411" s="629"/>
      <c r="N4411" s="629"/>
      <c r="O4411" s="629"/>
      <c r="P4411" s="629"/>
      <c r="Q4411" s="629"/>
      <c r="R4411" s="629"/>
    </row>
    <row r="4412" spans="1:18" ht="48">
      <c r="A4412" s="165">
        <v>1575</v>
      </c>
      <c r="B4412" s="162" t="s">
        <v>8091</v>
      </c>
      <c r="C4412" s="166" t="s">
        <v>8092</v>
      </c>
      <c r="D4412" s="167">
        <v>147.09</v>
      </c>
      <c r="E4412" s="167">
        <v>25.74</v>
      </c>
      <c r="F4412" s="167">
        <v>1.23</v>
      </c>
      <c r="G4412" s="167">
        <v>120.12</v>
      </c>
      <c r="H4412" s="168">
        <v>886.14</v>
      </c>
      <c r="I4412" s="168">
        <v>296.01</v>
      </c>
      <c r="J4412" s="168">
        <v>6.52</v>
      </c>
      <c r="K4412" s="168">
        <v>583.61</v>
      </c>
      <c r="L4412" s="43">
        <v>6.0244748113399957</v>
      </c>
      <c r="M4412" s="43">
        <v>11.5</v>
      </c>
      <c r="N4412" s="43">
        <v>5.3008130081300813</v>
      </c>
      <c r="O4412" s="43">
        <v>4.8585581085581087</v>
      </c>
      <c r="P4412" s="169"/>
      <c r="Q4412" s="169"/>
      <c r="R4412" s="169">
        <v>14</v>
      </c>
    </row>
    <row r="4413" spans="1:18" ht="48">
      <c r="A4413" s="165">
        <v>1576</v>
      </c>
      <c r="B4413" s="162" t="s">
        <v>8093</v>
      </c>
      <c r="C4413" s="166" t="s">
        <v>8094</v>
      </c>
      <c r="D4413" s="167">
        <v>175.52</v>
      </c>
      <c r="E4413" s="167">
        <v>38.22</v>
      </c>
      <c r="F4413" s="167">
        <v>1.23</v>
      </c>
      <c r="G4413" s="167">
        <v>136.07</v>
      </c>
      <c r="H4413" s="168">
        <v>1067.8399999999999</v>
      </c>
      <c r="I4413" s="168">
        <v>439.48</v>
      </c>
      <c r="J4413" s="168">
        <v>6.52</v>
      </c>
      <c r="K4413" s="168">
        <v>621.84</v>
      </c>
      <c r="L4413" s="43">
        <v>6.0838650865998165</v>
      </c>
      <c r="M4413" s="43">
        <v>11.498691784406072</v>
      </c>
      <c r="N4413" s="43">
        <v>5.3008130081300813</v>
      </c>
      <c r="O4413" s="43">
        <v>4.5700007349158529</v>
      </c>
      <c r="P4413" s="169"/>
      <c r="Q4413" s="169"/>
      <c r="R4413" s="169">
        <v>14</v>
      </c>
    </row>
    <row r="4414" spans="1:18" ht="48">
      <c r="A4414" s="165">
        <v>1577</v>
      </c>
      <c r="B4414" s="162" t="s">
        <v>8095</v>
      </c>
      <c r="C4414" s="166" t="s">
        <v>8096</v>
      </c>
      <c r="D4414" s="167">
        <v>203.76</v>
      </c>
      <c r="E4414" s="167">
        <v>52.94</v>
      </c>
      <c r="F4414" s="167">
        <v>4.01</v>
      </c>
      <c r="G4414" s="167">
        <v>146.81</v>
      </c>
      <c r="H4414" s="168">
        <v>1281.4100000000001</v>
      </c>
      <c r="I4414" s="168">
        <v>608.80999999999995</v>
      </c>
      <c r="J4414" s="168">
        <v>21.45</v>
      </c>
      <c r="K4414" s="168">
        <v>651.15</v>
      </c>
      <c r="L4414" s="43">
        <v>6.2888201806046338</v>
      </c>
      <c r="M4414" s="43">
        <v>11.5</v>
      </c>
      <c r="N4414" s="43">
        <v>5.3491271820448878</v>
      </c>
      <c r="O4414" s="43">
        <v>4.435324569171037</v>
      </c>
      <c r="P4414" s="169"/>
      <c r="Q4414" s="169"/>
      <c r="R4414" s="169">
        <v>14</v>
      </c>
    </row>
    <row r="4415" spans="1:18" ht="48">
      <c r="A4415" s="165">
        <v>1578</v>
      </c>
      <c r="B4415" s="162" t="s">
        <v>8097</v>
      </c>
      <c r="C4415" s="166" t="s">
        <v>8098</v>
      </c>
      <c r="D4415" s="167">
        <v>253.55</v>
      </c>
      <c r="E4415" s="167">
        <v>84.19</v>
      </c>
      <c r="F4415" s="167">
        <v>4.01</v>
      </c>
      <c r="G4415" s="167">
        <v>165.35</v>
      </c>
      <c r="H4415" s="168">
        <v>1690.32</v>
      </c>
      <c r="I4415" s="168">
        <v>968.16</v>
      </c>
      <c r="J4415" s="168">
        <v>21.45</v>
      </c>
      <c r="K4415" s="168">
        <v>700.71</v>
      </c>
      <c r="L4415" s="43">
        <v>6.6666140800631037</v>
      </c>
      <c r="M4415" s="43">
        <v>11.499703052619076</v>
      </c>
      <c r="N4415" s="43">
        <v>5.3491271820448878</v>
      </c>
      <c r="O4415" s="43">
        <v>4.237738131236771</v>
      </c>
      <c r="P4415" s="169"/>
      <c r="Q4415" s="169"/>
      <c r="R4415" s="169">
        <v>14</v>
      </c>
    </row>
    <row r="4416" spans="1:18" ht="48">
      <c r="A4416" s="165">
        <v>1579</v>
      </c>
      <c r="B4416" s="162" t="s">
        <v>8099</v>
      </c>
      <c r="C4416" s="166" t="s">
        <v>8100</v>
      </c>
      <c r="D4416" s="167">
        <v>161.21</v>
      </c>
      <c r="E4416" s="167">
        <v>36.08</v>
      </c>
      <c r="F4416" s="167">
        <v>4.01</v>
      </c>
      <c r="G4416" s="167">
        <v>121.12</v>
      </c>
      <c r="H4416" s="168">
        <v>1027.97</v>
      </c>
      <c r="I4416" s="168">
        <v>414.92</v>
      </c>
      <c r="J4416" s="168">
        <v>21.45</v>
      </c>
      <c r="K4416" s="168">
        <v>591.6</v>
      </c>
      <c r="L4416" s="43">
        <v>6.3765895415917129</v>
      </c>
      <c r="M4416" s="43">
        <v>11.500000000000002</v>
      </c>
      <c r="N4416" s="43">
        <v>5.3491271820448878</v>
      </c>
      <c r="O4416" s="43">
        <v>4.8844121532364593</v>
      </c>
      <c r="P4416" s="169"/>
      <c r="Q4416" s="169"/>
      <c r="R4416" s="169">
        <v>14</v>
      </c>
    </row>
    <row r="4417" spans="1:18" ht="48">
      <c r="A4417" s="165">
        <v>1580</v>
      </c>
      <c r="B4417" s="162" t="s">
        <v>8101</v>
      </c>
      <c r="C4417" s="166" t="s">
        <v>8102</v>
      </c>
      <c r="D4417" s="167">
        <v>208.95</v>
      </c>
      <c r="E4417" s="167">
        <v>61.6</v>
      </c>
      <c r="F4417" s="167">
        <v>4.01</v>
      </c>
      <c r="G4417" s="167">
        <v>143.34</v>
      </c>
      <c r="H4417" s="168">
        <v>1377.48</v>
      </c>
      <c r="I4417" s="168">
        <v>708.34</v>
      </c>
      <c r="J4417" s="168">
        <v>21.45</v>
      </c>
      <c r="K4417" s="168">
        <v>647.69000000000005</v>
      </c>
      <c r="L4417" s="43">
        <v>6.5923905240488159</v>
      </c>
      <c r="M4417" s="43">
        <v>11.499025974025974</v>
      </c>
      <c r="N4417" s="43">
        <v>5.3491271820448878</v>
      </c>
      <c r="O4417" s="43">
        <v>4.5185572764057484</v>
      </c>
      <c r="P4417" s="169"/>
      <c r="Q4417" s="169"/>
      <c r="R4417" s="169">
        <v>14</v>
      </c>
    </row>
    <row r="4418" spans="1:18" ht="12.75" customHeight="1">
      <c r="A4418" s="628" t="s">
        <v>8103</v>
      </c>
      <c r="B4418" s="629"/>
      <c r="C4418" s="629"/>
      <c r="D4418" s="629"/>
      <c r="E4418" s="629"/>
      <c r="F4418" s="629"/>
      <c r="G4418" s="629"/>
      <c r="H4418" s="629"/>
      <c r="I4418" s="629"/>
      <c r="J4418" s="629"/>
      <c r="K4418" s="629"/>
      <c r="L4418" s="629"/>
      <c r="M4418" s="629"/>
      <c r="N4418" s="629"/>
      <c r="O4418" s="629"/>
      <c r="P4418" s="629"/>
      <c r="Q4418" s="629"/>
      <c r="R4418" s="629"/>
    </row>
    <row r="4419" spans="1:18" ht="36">
      <c r="A4419" s="165">
        <v>1581</v>
      </c>
      <c r="B4419" s="162" t="s">
        <v>8104</v>
      </c>
      <c r="C4419" s="166" t="s">
        <v>8105</v>
      </c>
      <c r="D4419" s="167">
        <v>189.55</v>
      </c>
      <c r="E4419" s="167">
        <v>39.229999999999997</v>
      </c>
      <c r="F4419" s="167">
        <v>4.51</v>
      </c>
      <c r="G4419" s="167">
        <v>145.81</v>
      </c>
      <c r="H4419" s="168">
        <v>1075.6400000000001</v>
      </c>
      <c r="I4419" s="168">
        <v>451.12</v>
      </c>
      <c r="J4419" s="168">
        <v>24.11</v>
      </c>
      <c r="K4419" s="168">
        <v>600.41</v>
      </c>
      <c r="L4419" s="43">
        <v>5.6747032445265102</v>
      </c>
      <c r="M4419" s="43">
        <v>11.4993627326026</v>
      </c>
      <c r="N4419" s="43">
        <v>5.3458980044345896</v>
      </c>
      <c r="O4419" s="43">
        <v>4.1177559838145532</v>
      </c>
      <c r="P4419" s="169"/>
      <c r="Q4419" s="169"/>
      <c r="R4419" s="169">
        <v>15</v>
      </c>
    </row>
    <row r="4420" spans="1:18" ht="36">
      <c r="A4420" s="165">
        <v>1582</v>
      </c>
      <c r="B4420" s="162" t="s">
        <v>8106</v>
      </c>
      <c r="C4420" s="166" t="s">
        <v>8107</v>
      </c>
      <c r="D4420" s="167">
        <v>214.01</v>
      </c>
      <c r="E4420" s="167">
        <v>50.58</v>
      </c>
      <c r="F4420" s="167">
        <v>4.51</v>
      </c>
      <c r="G4420" s="167">
        <v>158.91999999999999</v>
      </c>
      <c r="H4420" s="168">
        <v>1238.8499999999999</v>
      </c>
      <c r="I4420" s="168">
        <v>581.66999999999996</v>
      </c>
      <c r="J4420" s="168">
        <v>24.11</v>
      </c>
      <c r="K4420" s="168">
        <v>633.07000000000005</v>
      </c>
      <c r="L4420" s="43">
        <v>5.788748189336947</v>
      </c>
      <c r="M4420" s="43">
        <v>11.5</v>
      </c>
      <c r="N4420" s="43">
        <v>5.3458980044345896</v>
      </c>
      <c r="O4420" s="43">
        <v>3.983576642335767</v>
      </c>
      <c r="P4420" s="169"/>
      <c r="Q4420" s="169"/>
      <c r="R4420" s="169">
        <v>15</v>
      </c>
    </row>
    <row r="4421" spans="1:18" ht="36">
      <c r="A4421" s="165">
        <v>1583</v>
      </c>
      <c r="B4421" s="162" t="s">
        <v>8108</v>
      </c>
      <c r="C4421" s="166" t="s">
        <v>8109</v>
      </c>
      <c r="D4421" s="167">
        <v>266.60000000000002</v>
      </c>
      <c r="E4421" s="167">
        <v>58.45</v>
      </c>
      <c r="F4421" s="167">
        <v>4.6500000000000004</v>
      </c>
      <c r="G4421" s="167">
        <v>203.5</v>
      </c>
      <c r="H4421" s="168">
        <v>1509.62</v>
      </c>
      <c r="I4421" s="168">
        <v>672.15</v>
      </c>
      <c r="J4421" s="168">
        <v>24.8</v>
      </c>
      <c r="K4421" s="168">
        <v>812.67</v>
      </c>
      <c r="L4421" s="43">
        <v>5.6624906226556631</v>
      </c>
      <c r="M4421" s="43">
        <v>11.49957228400342</v>
      </c>
      <c r="N4421" s="43">
        <v>5.333333333333333</v>
      </c>
      <c r="O4421" s="43">
        <v>3.9934643734643731</v>
      </c>
      <c r="P4421" s="169"/>
      <c r="Q4421" s="169"/>
      <c r="R4421" s="169">
        <v>15</v>
      </c>
    </row>
    <row r="4422" spans="1:18" ht="48">
      <c r="A4422" s="165">
        <v>1584</v>
      </c>
      <c r="B4422" s="162" t="s">
        <v>8110</v>
      </c>
      <c r="C4422" s="166" t="s">
        <v>8111</v>
      </c>
      <c r="D4422" s="167">
        <v>191.08</v>
      </c>
      <c r="E4422" s="167">
        <v>73.510000000000005</v>
      </c>
      <c r="F4422" s="167">
        <v>6.87</v>
      </c>
      <c r="G4422" s="167">
        <v>110.7</v>
      </c>
      <c r="H4422" s="168">
        <v>1283.2</v>
      </c>
      <c r="I4422" s="168">
        <v>845.36</v>
      </c>
      <c r="J4422" s="168">
        <v>36.81</v>
      </c>
      <c r="K4422" s="168">
        <v>401.03</v>
      </c>
      <c r="L4422" s="43">
        <v>6.7155118275068029</v>
      </c>
      <c r="M4422" s="43">
        <v>11.499931982043259</v>
      </c>
      <c r="N4422" s="43">
        <v>5.3580786026200879</v>
      </c>
      <c r="O4422" s="43">
        <v>3.6226738934056004</v>
      </c>
      <c r="P4422" s="169"/>
      <c r="Q4422" s="169"/>
      <c r="R4422" s="169">
        <v>15</v>
      </c>
    </row>
    <row r="4423" spans="1:18" ht="12.75" customHeight="1">
      <c r="A4423" s="628" t="s">
        <v>8112</v>
      </c>
      <c r="B4423" s="629"/>
      <c r="C4423" s="629"/>
      <c r="D4423" s="629"/>
      <c r="E4423" s="629"/>
      <c r="F4423" s="629"/>
      <c r="G4423" s="629"/>
      <c r="H4423" s="629"/>
      <c r="I4423" s="629"/>
      <c r="J4423" s="629"/>
      <c r="K4423" s="629"/>
      <c r="L4423" s="629"/>
      <c r="M4423" s="629"/>
      <c r="N4423" s="629"/>
      <c r="O4423" s="629"/>
      <c r="P4423" s="629"/>
      <c r="Q4423" s="629"/>
      <c r="R4423" s="629"/>
    </row>
    <row r="4424" spans="1:18" ht="36">
      <c r="A4424" s="165">
        <v>1585</v>
      </c>
      <c r="B4424" s="162" t="s">
        <v>8113</v>
      </c>
      <c r="C4424" s="166" t="s">
        <v>8114</v>
      </c>
      <c r="D4424" s="167">
        <v>1562.32</v>
      </c>
      <c r="E4424" s="167">
        <v>52.72</v>
      </c>
      <c r="F4424" s="167">
        <v>4.09</v>
      </c>
      <c r="G4424" s="167">
        <v>1505.51</v>
      </c>
      <c r="H4424" s="168">
        <v>6468.89</v>
      </c>
      <c r="I4424" s="168">
        <v>606.23</v>
      </c>
      <c r="J4424" s="168">
        <v>21.9</v>
      </c>
      <c r="K4424" s="168">
        <v>5840.76</v>
      </c>
      <c r="L4424" s="43">
        <v>4.1405665932715454</v>
      </c>
      <c r="M4424" s="43">
        <v>11.499051593323218</v>
      </c>
      <c r="N4424" s="43">
        <v>5.3545232273838632</v>
      </c>
      <c r="O4424" s="43">
        <v>3.8795889764930158</v>
      </c>
      <c r="P4424" s="169"/>
      <c r="Q4424" s="169"/>
      <c r="R4424" s="169">
        <v>16</v>
      </c>
    </row>
    <row r="4425" spans="1:18" ht="12.75" customHeight="1">
      <c r="A4425" s="628" t="s">
        <v>8115</v>
      </c>
      <c r="B4425" s="629"/>
      <c r="C4425" s="629"/>
      <c r="D4425" s="629"/>
      <c r="E4425" s="629"/>
      <c r="F4425" s="629"/>
      <c r="G4425" s="629"/>
      <c r="H4425" s="629"/>
      <c r="I4425" s="629"/>
      <c r="J4425" s="629"/>
      <c r="K4425" s="629"/>
      <c r="L4425" s="629"/>
      <c r="M4425" s="629"/>
      <c r="N4425" s="629"/>
      <c r="O4425" s="629"/>
      <c r="P4425" s="629"/>
      <c r="Q4425" s="629"/>
      <c r="R4425" s="629"/>
    </row>
    <row r="4426" spans="1:18" ht="36">
      <c r="A4426" s="165">
        <v>1586</v>
      </c>
      <c r="B4426" s="162" t="s">
        <v>8116</v>
      </c>
      <c r="C4426" s="166" t="s">
        <v>8117</v>
      </c>
      <c r="D4426" s="167">
        <v>36.36</v>
      </c>
      <c r="E4426" s="167">
        <v>17.420000000000002</v>
      </c>
      <c r="F4426" s="167">
        <v>3.57</v>
      </c>
      <c r="G4426" s="167">
        <v>15.37</v>
      </c>
      <c r="H4426" s="168">
        <v>296.29000000000002</v>
      </c>
      <c r="I4426" s="168">
        <v>200.35</v>
      </c>
      <c r="J4426" s="168">
        <v>19.12</v>
      </c>
      <c r="K4426" s="168">
        <v>76.819999999999993</v>
      </c>
      <c r="L4426" s="43">
        <v>8.1487898789879001</v>
      </c>
      <c r="M4426" s="43">
        <v>11.501148105625717</v>
      </c>
      <c r="N4426" s="43">
        <v>5.355742296918768</v>
      </c>
      <c r="O4426" s="43">
        <v>4.9980481457384514</v>
      </c>
      <c r="P4426" s="169"/>
      <c r="Q4426" s="169"/>
      <c r="R4426" s="169">
        <v>17</v>
      </c>
    </row>
    <row r="4427" spans="1:18" ht="36">
      <c r="A4427" s="165">
        <v>1587</v>
      </c>
      <c r="B4427" s="162" t="s">
        <v>8118</v>
      </c>
      <c r="C4427" s="166" t="s">
        <v>8119</v>
      </c>
      <c r="D4427" s="167">
        <v>61.49</v>
      </c>
      <c r="E4427" s="167">
        <v>33.83</v>
      </c>
      <c r="F4427" s="167">
        <v>3.57</v>
      </c>
      <c r="G4427" s="167">
        <v>24.09</v>
      </c>
      <c r="H4427" s="168">
        <v>508.17</v>
      </c>
      <c r="I4427" s="168">
        <v>389.07</v>
      </c>
      <c r="J4427" s="168">
        <v>19.12</v>
      </c>
      <c r="K4427" s="168">
        <v>99.98</v>
      </c>
      <c r="L4427" s="43">
        <v>8.2642706131078221</v>
      </c>
      <c r="M4427" s="43">
        <v>11.500738989062961</v>
      </c>
      <c r="N4427" s="43">
        <v>5.355742296918768</v>
      </c>
      <c r="O4427" s="43">
        <v>4.1502698215026985</v>
      </c>
      <c r="P4427" s="169"/>
      <c r="Q4427" s="169"/>
      <c r="R4427" s="169">
        <v>17</v>
      </c>
    </row>
    <row r="4428" spans="1:18" ht="36">
      <c r="A4428" s="165">
        <v>1588</v>
      </c>
      <c r="B4428" s="162" t="s">
        <v>8120</v>
      </c>
      <c r="C4428" s="166" t="s">
        <v>8121</v>
      </c>
      <c r="D4428" s="167">
        <v>271.31</v>
      </c>
      <c r="E4428" s="167">
        <v>26.75</v>
      </c>
      <c r="F4428" s="167">
        <v>4.6500000000000004</v>
      </c>
      <c r="G4428" s="167">
        <v>239.91</v>
      </c>
      <c r="H4428" s="168">
        <v>1361.34</v>
      </c>
      <c r="I4428" s="168">
        <v>307.64</v>
      </c>
      <c r="J4428" s="168">
        <v>24.8</v>
      </c>
      <c r="K4428" s="168">
        <v>1028.9000000000001</v>
      </c>
      <c r="L4428" s="43">
        <v>5.0176550809037632</v>
      </c>
      <c r="M4428" s="43">
        <v>11.500560747663551</v>
      </c>
      <c r="N4428" s="43">
        <v>5.333333333333333</v>
      </c>
      <c r="O4428" s="43">
        <v>4.2886915926805891</v>
      </c>
      <c r="P4428" s="169"/>
      <c r="Q4428" s="169"/>
      <c r="R4428" s="169">
        <v>17</v>
      </c>
    </row>
    <row r="4429" spans="1:18" ht="36">
      <c r="A4429" s="165">
        <v>1589</v>
      </c>
      <c r="B4429" s="162" t="s">
        <v>8122</v>
      </c>
      <c r="C4429" s="166" t="s">
        <v>8123</v>
      </c>
      <c r="D4429" s="167">
        <v>299.67</v>
      </c>
      <c r="E4429" s="167">
        <v>43.61</v>
      </c>
      <c r="F4429" s="167">
        <v>7.42</v>
      </c>
      <c r="G4429" s="167">
        <v>248.64</v>
      </c>
      <c r="H4429" s="168">
        <v>1593.31</v>
      </c>
      <c r="I4429" s="168">
        <v>501.53</v>
      </c>
      <c r="J4429" s="168">
        <v>39.71</v>
      </c>
      <c r="K4429" s="168">
        <v>1052.07</v>
      </c>
      <c r="L4429" s="43">
        <v>5.3168819034271024</v>
      </c>
      <c r="M4429" s="43">
        <v>11.500343957807841</v>
      </c>
      <c r="N4429" s="43">
        <v>5.3517520215633425</v>
      </c>
      <c r="O4429" s="43">
        <v>4.2312982625482629</v>
      </c>
      <c r="P4429" s="169"/>
      <c r="Q4429" s="169"/>
      <c r="R4429" s="169">
        <v>17</v>
      </c>
    </row>
    <row r="4430" spans="1:18" ht="48">
      <c r="A4430" s="165">
        <v>1590</v>
      </c>
      <c r="B4430" s="162" t="s">
        <v>8124</v>
      </c>
      <c r="C4430" s="166" t="s">
        <v>8125</v>
      </c>
      <c r="D4430" s="167">
        <v>48.99</v>
      </c>
      <c r="E4430" s="167">
        <v>29.86</v>
      </c>
      <c r="F4430" s="167">
        <v>3.57</v>
      </c>
      <c r="G4430" s="167">
        <v>15.56</v>
      </c>
      <c r="H4430" s="168">
        <v>441.87</v>
      </c>
      <c r="I4430" s="168">
        <v>343.38</v>
      </c>
      <c r="J4430" s="168">
        <v>19.12</v>
      </c>
      <c r="K4430" s="168">
        <v>79.37</v>
      </c>
      <c r="L4430" s="43">
        <v>9.0195958358848749</v>
      </c>
      <c r="M4430" s="43">
        <v>11.499665103817817</v>
      </c>
      <c r="N4430" s="43">
        <v>5.355742296918768</v>
      </c>
      <c r="O4430" s="43">
        <v>5.1008997429305918</v>
      </c>
      <c r="P4430" s="169"/>
      <c r="Q4430" s="169"/>
      <c r="R4430" s="169">
        <v>17</v>
      </c>
    </row>
    <row r="4431" spans="1:18" ht="48">
      <c r="A4431" s="165">
        <v>1591</v>
      </c>
      <c r="B4431" s="162" t="s">
        <v>8126</v>
      </c>
      <c r="C4431" s="166" t="s">
        <v>8127</v>
      </c>
      <c r="D4431" s="167">
        <v>100.83</v>
      </c>
      <c r="E4431" s="167">
        <v>62.83</v>
      </c>
      <c r="F4431" s="167">
        <v>9.11</v>
      </c>
      <c r="G4431" s="167">
        <v>28.89</v>
      </c>
      <c r="H4431" s="168">
        <v>887.9</v>
      </c>
      <c r="I4431" s="168">
        <v>722.56</v>
      </c>
      <c r="J4431" s="168">
        <v>48.96</v>
      </c>
      <c r="K4431" s="168">
        <v>116.38</v>
      </c>
      <c r="L4431" s="43">
        <v>8.8059109392046011</v>
      </c>
      <c r="M4431" s="43">
        <v>11.500238739455673</v>
      </c>
      <c r="N4431" s="43">
        <v>5.3743139407244787</v>
      </c>
      <c r="O4431" s="43">
        <v>4.0283835237106267</v>
      </c>
      <c r="P4431" s="169"/>
      <c r="Q4431" s="169"/>
      <c r="R4431" s="169">
        <v>17</v>
      </c>
    </row>
    <row r="4432" spans="1:18" ht="48">
      <c r="A4432" s="165">
        <v>1592</v>
      </c>
      <c r="B4432" s="162" t="s">
        <v>8128</v>
      </c>
      <c r="C4432" s="166" t="s">
        <v>8129</v>
      </c>
      <c r="D4432" s="167">
        <v>251.3</v>
      </c>
      <c r="E4432" s="167">
        <v>137.46</v>
      </c>
      <c r="F4432" s="167">
        <v>34.39</v>
      </c>
      <c r="G4432" s="167">
        <v>79.45</v>
      </c>
      <c r="H4432" s="168">
        <v>2070.4699999999998</v>
      </c>
      <c r="I4432" s="168">
        <v>1580.74</v>
      </c>
      <c r="J4432" s="168">
        <v>184.85</v>
      </c>
      <c r="K4432" s="168">
        <v>304.88</v>
      </c>
      <c r="L4432" s="43">
        <v>8.2390370075606825</v>
      </c>
      <c r="M4432" s="43">
        <v>11.499636257820455</v>
      </c>
      <c r="N4432" s="43">
        <v>5.3751090433265478</v>
      </c>
      <c r="O4432" s="43">
        <v>3.837382001258653</v>
      </c>
      <c r="P4432" s="169"/>
      <c r="Q4432" s="169"/>
      <c r="R4432" s="169">
        <v>17</v>
      </c>
    </row>
    <row r="4433" spans="1:18" ht="36">
      <c r="A4433" s="165">
        <v>1593</v>
      </c>
      <c r="B4433" s="162" t="s">
        <v>8130</v>
      </c>
      <c r="C4433" s="166" t="s">
        <v>8131</v>
      </c>
      <c r="D4433" s="167">
        <v>288.32</v>
      </c>
      <c r="E4433" s="167">
        <v>37.630000000000003</v>
      </c>
      <c r="F4433" s="167">
        <v>7.42</v>
      </c>
      <c r="G4433" s="167">
        <v>243.27</v>
      </c>
      <c r="H4433" s="168">
        <v>1508.55</v>
      </c>
      <c r="I4433" s="168">
        <v>432.73</v>
      </c>
      <c r="J4433" s="168">
        <v>39.71</v>
      </c>
      <c r="K4433" s="168">
        <v>1036.1099999999999</v>
      </c>
      <c r="L4433" s="43">
        <v>5.232207269700333</v>
      </c>
      <c r="M4433" s="43">
        <v>11.499601381876163</v>
      </c>
      <c r="N4433" s="43">
        <v>5.3517520215633425</v>
      </c>
      <c r="O4433" s="43">
        <v>4.259094832901714</v>
      </c>
      <c r="P4433" s="169"/>
      <c r="Q4433" s="169"/>
      <c r="R4433" s="169">
        <v>17</v>
      </c>
    </row>
    <row r="4434" spans="1:18" ht="36">
      <c r="A4434" s="165">
        <v>1594</v>
      </c>
      <c r="B4434" s="162" t="s">
        <v>8132</v>
      </c>
      <c r="C4434" s="166" t="s">
        <v>8133</v>
      </c>
      <c r="D4434" s="167">
        <v>357.9</v>
      </c>
      <c r="E4434" s="167">
        <v>70.03</v>
      </c>
      <c r="F4434" s="167">
        <v>29.66</v>
      </c>
      <c r="G4434" s="167">
        <v>258.20999999999998</v>
      </c>
      <c r="H4434" s="168">
        <v>2041.51</v>
      </c>
      <c r="I4434" s="168">
        <v>805.29</v>
      </c>
      <c r="J4434" s="168">
        <v>159.29</v>
      </c>
      <c r="K4434" s="168">
        <v>1076.93</v>
      </c>
      <c r="L4434" s="43">
        <v>5.7041352333053927</v>
      </c>
      <c r="M4434" s="43">
        <v>11.499214622304725</v>
      </c>
      <c r="N4434" s="43">
        <v>5.3705327039784221</v>
      </c>
      <c r="O4434" s="43">
        <v>4.1707524882847302</v>
      </c>
      <c r="P4434" s="169"/>
      <c r="Q4434" s="169"/>
      <c r="R4434" s="169">
        <v>17</v>
      </c>
    </row>
    <row r="4435" spans="1:18" ht="36">
      <c r="A4435" s="165">
        <v>1595</v>
      </c>
      <c r="B4435" s="162" t="s">
        <v>8134</v>
      </c>
      <c r="C4435" s="166" t="s">
        <v>8135</v>
      </c>
      <c r="D4435" s="167">
        <v>481.37</v>
      </c>
      <c r="E4435" s="167">
        <v>146.54</v>
      </c>
      <c r="F4435" s="167">
        <v>38.24</v>
      </c>
      <c r="G4435" s="167">
        <v>296.58999999999997</v>
      </c>
      <c r="H4435" s="168">
        <v>3071.95</v>
      </c>
      <c r="I4435" s="168">
        <v>1685.26</v>
      </c>
      <c r="J4435" s="168">
        <v>205.45</v>
      </c>
      <c r="K4435" s="168">
        <v>1181.24</v>
      </c>
      <c r="L4435" s="43">
        <v>6.3816814508590065</v>
      </c>
      <c r="M4435" s="43">
        <v>11.50034120376689</v>
      </c>
      <c r="N4435" s="43">
        <v>5.3726464435146442</v>
      </c>
      <c r="O4435" s="43">
        <v>3.9827371118378911</v>
      </c>
      <c r="P4435" s="169"/>
      <c r="Q4435" s="169"/>
      <c r="R4435" s="169">
        <v>17</v>
      </c>
    </row>
    <row r="4436" spans="1:18" ht="48">
      <c r="A4436" s="165">
        <v>1596</v>
      </c>
      <c r="B4436" s="162" t="s">
        <v>8136</v>
      </c>
      <c r="C4436" s="166" t="s">
        <v>8137</v>
      </c>
      <c r="D4436" s="167">
        <v>693.09</v>
      </c>
      <c r="E4436" s="167">
        <v>355.04</v>
      </c>
      <c r="F4436" s="167">
        <v>60.22</v>
      </c>
      <c r="G4436" s="167">
        <v>277.83</v>
      </c>
      <c r="H4436" s="168">
        <v>5631.58</v>
      </c>
      <c r="I4436" s="168">
        <v>4083.13</v>
      </c>
      <c r="J4436" s="168">
        <v>323.64</v>
      </c>
      <c r="K4436" s="168">
        <v>1224.81</v>
      </c>
      <c r="L4436" s="43">
        <v>8.1253228296469437</v>
      </c>
      <c r="M4436" s="43">
        <v>11.500478819287967</v>
      </c>
      <c r="N4436" s="43">
        <v>5.3742942544005317</v>
      </c>
      <c r="O4436" s="43">
        <v>4.4084872044055716</v>
      </c>
      <c r="P4436" s="169"/>
      <c r="Q4436" s="169"/>
      <c r="R4436" s="169">
        <v>17</v>
      </c>
    </row>
    <row r="4437" spans="1:18" ht="48">
      <c r="A4437" s="165">
        <v>1597</v>
      </c>
      <c r="B4437" s="162" t="s">
        <v>8138</v>
      </c>
      <c r="C4437" s="166" t="s">
        <v>8139</v>
      </c>
      <c r="D4437" s="167">
        <v>313</v>
      </c>
      <c r="E4437" s="167">
        <v>52.49</v>
      </c>
      <c r="F4437" s="167">
        <v>17.78</v>
      </c>
      <c r="G4437" s="167">
        <v>242.73</v>
      </c>
      <c r="H4437" s="168">
        <v>1738.52</v>
      </c>
      <c r="I4437" s="168">
        <v>603.64</v>
      </c>
      <c r="J4437" s="168">
        <v>95.43</v>
      </c>
      <c r="K4437" s="168">
        <v>1039.45</v>
      </c>
      <c r="L4437" s="43">
        <v>5.5543769968051118</v>
      </c>
      <c r="M4437" s="43">
        <v>11.500095256239282</v>
      </c>
      <c r="N4437" s="43">
        <v>5.3672665916760405</v>
      </c>
      <c r="O4437" s="43">
        <v>4.2823301610843325</v>
      </c>
      <c r="P4437" s="169"/>
      <c r="Q4437" s="169"/>
      <c r="R4437" s="169">
        <v>17</v>
      </c>
    </row>
    <row r="4438" spans="1:18" ht="12.75" customHeight="1">
      <c r="A4438" s="628" t="s">
        <v>8140</v>
      </c>
      <c r="B4438" s="629"/>
      <c r="C4438" s="629"/>
      <c r="D4438" s="629"/>
      <c r="E4438" s="629"/>
      <c r="F4438" s="629"/>
      <c r="G4438" s="629"/>
      <c r="H4438" s="629"/>
      <c r="I4438" s="629"/>
      <c r="J4438" s="629"/>
      <c r="K4438" s="629"/>
      <c r="L4438" s="629"/>
      <c r="M4438" s="629"/>
      <c r="N4438" s="629"/>
      <c r="O4438" s="629"/>
      <c r="P4438" s="629"/>
      <c r="Q4438" s="629"/>
      <c r="R4438" s="629"/>
    </row>
    <row r="4439" spans="1:18" ht="36">
      <c r="A4439" s="165">
        <v>1598</v>
      </c>
      <c r="B4439" s="162" t="s">
        <v>8141</v>
      </c>
      <c r="C4439" s="166" t="s">
        <v>8142</v>
      </c>
      <c r="D4439" s="167">
        <v>36.28</v>
      </c>
      <c r="E4439" s="167">
        <v>19.89</v>
      </c>
      <c r="F4439" s="167">
        <v>3.57</v>
      </c>
      <c r="G4439" s="167">
        <v>12.82</v>
      </c>
      <c r="H4439" s="168">
        <v>310.19</v>
      </c>
      <c r="I4439" s="168">
        <v>228.79</v>
      </c>
      <c r="J4439" s="168">
        <v>19.12</v>
      </c>
      <c r="K4439" s="168">
        <v>62.28</v>
      </c>
      <c r="L4439" s="43">
        <v>8.549889746416758</v>
      </c>
      <c r="M4439" s="43">
        <v>11.502765208647562</v>
      </c>
      <c r="N4439" s="43">
        <v>5.355742296918768</v>
      </c>
      <c r="O4439" s="43">
        <v>4.8580343213728545</v>
      </c>
      <c r="P4439" s="169"/>
      <c r="Q4439" s="169"/>
      <c r="R4439" s="169">
        <v>18</v>
      </c>
    </row>
    <row r="4440" spans="1:18" ht="48">
      <c r="A4440" s="165">
        <v>1599</v>
      </c>
      <c r="B4440" s="162" t="s">
        <v>8143</v>
      </c>
      <c r="C4440" s="166" t="s">
        <v>8144</v>
      </c>
      <c r="D4440" s="167">
        <v>213.28</v>
      </c>
      <c r="E4440" s="167">
        <v>27.54</v>
      </c>
      <c r="F4440" s="167">
        <v>5.33</v>
      </c>
      <c r="G4440" s="167">
        <v>180.41</v>
      </c>
      <c r="H4440" s="168">
        <v>1199.22</v>
      </c>
      <c r="I4440" s="168">
        <v>316.69</v>
      </c>
      <c r="J4440" s="168">
        <v>28.43</v>
      </c>
      <c r="K4440" s="168">
        <v>854.1</v>
      </c>
      <c r="L4440" s="43">
        <v>5.6227494373593396</v>
      </c>
      <c r="M4440" s="43">
        <v>11.49927378358751</v>
      </c>
      <c r="N4440" s="43">
        <v>5.3339587242026267</v>
      </c>
      <c r="O4440" s="43">
        <v>4.7342165068455184</v>
      </c>
      <c r="P4440" s="169"/>
      <c r="Q4440" s="169"/>
      <c r="R4440" s="169">
        <v>18</v>
      </c>
    </row>
    <row r="4441" spans="1:18" ht="48">
      <c r="A4441" s="165">
        <v>1600</v>
      </c>
      <c r="B4441" s="162" t="s">
        <v>8145</v>
      </c>
      <c r="C4441" s="166" t="s">
        <v>8146</v>
      </c>
      <c r="D4441" s="167">
        <v>45.57</v>
      </c>
      <c r="E4441" s="167">
        <v>29</v>
      </c>
      <c r="F4441" s="167">
        <v>3.57</v>
      </c>
      <c r="G4441" s="167">
        <v>13</v>
      </c>
      <c r="H4441" s="168">
        <v>416.96</v>
      </c>
      <c r="I4441" s="168">
        <v>333.49</v>
      </c>
      <c r="J4441" s="168">
        <v>19.12</v>
      </c>
      <c r="K4441" s="168">
        <v>64.349999999999994</v>
      </c>
      <c r="L4441" s="43">
        <v>9.1498793065613331</v>
      </c>
      <c r="M4441" s="43">
        <v>11.499655172413794</v>
      </c>
      <c r="N4441" s="43">
        <v>5.355742296918768</v>
      </c>
      <c r="O4441" s="43">
        <v>4.9499999999999993</v>
      </c>
      <c r="P4441" s="169"/>
      <c r="Q4441" s="169"/>
      <c r="R4441" s="169">
        <v>18</v>
      </c>
    </row>
    <row r="4442" spans="1:18" ht="48">
      <c r="A4442" s="165">
        <v>1601</v>
      </c>
      <c r="B4442" s="162" t="s">
        <v>8147</v>
      </c>
      <c r="C4442" s="166" t="s">
        <v>8148</v>
      </c>
      <c r="D4442" s="167">
        <v>28.9</v>
      </c>
      <c r="E4442" s="167">
        <v>13.94</v>
      </c>
      <c r="F4442" s="167">
        <v>4.07</v>
      </c>
      <c r="G4442" s="167">
        <v>10.89</v>
      </c>
      <c r="H4442" s="168">
        <v>229.55</v>
      </c>
      <c r="I4442" s="168">
        <v>160.28</v>
      </c>
      <c r="J4442" s="168">
        <v>21.77</v>
      </c>
      <c r="K4442" s="168">
        <v>47.5</v>
      </c>
      <c r="L4442" s="43">
        <v>7.9429065743944642</v>
      </c>
      <c r="M4442" s="43">
        <v>11.497847919655667</v>
      </c>
      <c r="N4442" s="43">
        <v>5.3488943488943486</v>
      </c>
      <c r="O4442" s="43">
        <v>4.3617998163452709</v>
      </c>
      <c r="P4442" s="169"/>
      <c r="Q4442" s="169"/>
      <c r="R4442" s="169">
        <v>18</v>
      </c>
    </row>
    <row r="4443" spans="1:18" ht="36">
      <c r="A4443" s="165">
        <v>1602</v>
      </c>
      <c r="B4443" s="162" t="s">
        <v>8149</v>
      </c>
      <c r="C4443" s="166" t="s">
        <v>8150</v>
      </c>
      <c r="D4443" s="167">
        <v>28.78</v>
      </c>
      <c r="E4443" s="167">
        <v>13.83</v>
      </c>
      <c r="F4443" s="167">
        <v>3.57</v>
      </c>
      <c r="G4443" s="167">
        <v>11.38</v>
      </c>
      <c r="H4443" s="168">
        <v>228.39</v>
      </c>
      <c r="I4443" s="168">
        <v>158.99</v>
      </c>
      <c r="J4443" s="168">
        <v>19.12</v>
      </c>
      <c r="K4443" s="168">
        <v>50.28</v>
      </c>
      <c r="L4443" s="43">
        <v>7.9357192494788036</v>
      </c>
      <c r="M4443" s="43">
        <v>11.496023138105569</v>
      </c>
      <c r="N4443" s="43">
        <v>5.355742296918768</v>
      </c>
      <c r="O4443" s="43">
        <v>4.418277680140597</v>
      </c>
      <c r="P4443" s="169"/>
      <c r="Q4443" s="169"/>
      <c r="R4443" s="169">
        <v>18</v>
      </c>
    </row>
    <row r="4444" spans="1:18" ht="12.75" customHeight="1">
      <c r="A4444" s="628" t="s">
        <v>8151</v>
      </c>
      <c r="B4444" s="629"/>
      <c r="C4444" s="629"/>
      <c r="D4444" s="629"/>
      <c r="E4444" s="629"/>
      <c r="F4444" s="629"/>
      <c r="G4444" s="629"/>
      <c r="H4444" s="629"/>
      <c r="I4444" s="629"/>
      <c r="J4444" s="629"/>
      <c r="K4444" s="629"/>
      <c r="L4444" s="629"/>
      <c r="M4444" s="629"/>
      <c r="N4444" s="629"/>
      <c r="O4444" s="629"/>
      <c r="P4444" s="629"/>
      <c r="Q4444" s="629"/>
      <c r="R4444" s="629"/>
    </row>
    <row r="4445" spans="1:18" ht="24">
      <c r="A4445" s="165">
        <v>1603</v>
      </c>
      <c r="B4445" s="162" t="s">
        <v>8152</v>
      </c>
      <c r="C4445" s="166" t="s">
        <v>8153</v>
      </c>
      <c r="D4445" s="167">
        <v>93.48</v>
      </c>
      <c r="E4445" s="167">
        <v>17.32</v>
      </c>
      <c r="F4445" s="167">
        <v>4.8899999999999997</v>
      </c>
      <c r="G4445" s="167">
        <v>71.27</v>
      </c>
      <c r="H4445" s="168">
        <v>531.32000000000005</v>
      </c>
      <c r="I4445" s="168">
        <v>199.13</v>
      </c>
      <c r="J4445" s="168">
        <v>26.12</v>
      </c>
      <c r="K4445" s="168">
        <v>306.07</v>
      </c>
      <c r="L4445" s="43">
        <v>5.6837826272999576</v>
      </c>
      <c r="M4445" s="43">
        <v>11.497113163972285</v>
      </c>
      <c r="N4445" s="43">
        <v>5.3415132924335387</v>
      </c>
      <c r="O4445" s="43">
        <v>4.2945138206819138</v>
      </c>
      <c r="P4445" s="169"/>
      <c r="Q4445" s="169"/>
      <c r="R4445" s="169">
        <v>19</v>
      </c>
    </row>
    <row r="4446" spans="1:18" ht="24">
      <c r="A4446" s="165">
        <v>1604</v>
      </c>
      <c r="B4446" s="162" t="s">
        <v>8154</v>
      </c>
      <c r="C4446" s="166" t="s">
        <v>8155</v>
      </c>
      <c r="D4446" s="167">
        <v>101.44</v>
      </c>
      <c r="E4446" s="167">
        <v>23.75</v>
      </c>
      <c r="F4446" s="167">
        <v>5.33</v>
      </c>
      <c r="G4446" s="167">
        <v>72.36</v>
      </c>
      <c r="H4446" s="168">
        <v>611.54999999999995</v>
      </c>
      <c r="I4446" s="168">
        <v>273.17</v>
      </c>
      <c r="J4446" s="168">
        <v>28.45</v>
      </c>
      <c r="K4446" s="168">
        <v>309.93</v>
      </c>
      <c r="L4446" s="43">
        <v>6.0286869085173498</v>
      </c>
      <c r="M4446" s="43">
        <v>11.501894736842106</v>
      </c>
      <c r="N4446" s="43">
        <v>5.3377110694183862</v>
      </c>
      <c r="O4446" s="43">
        <v>4.2831674958540633</v>
      </c>
      <c r="P4446" s="169"/>
      <c r="Q4446" s="169"/>
      <c r="R4446" s="169">
        <v>19</v>
      </c>
    </row>
    <row r="4447" spans="1:18" ht="24">
      <c r="A4447" s="165">
        <v>1605</v>
      </c>
      <c r="B4447" s="162" t="s">
        <v>8156</v>
      </c>
      <c r="C4447" s="166" t="s">
        <v>8157</v>
      </c>
      <c r="D4447" s="167">
        <v>185.7</v>
      </c>
      <c r="E4447" s="167">
        <v>32.19</v>
      </c>
      <c r="F4447" s="167">
        <v>8.8000000000000007</v>
      </c>
      <c r="G4447" s="167">
        <v>144.71</v>
      </c>
      <c r="H4447" s="168">
        <v>1042.03</v>
      </c>
      <c r="I4447" s="168">
        <v>370.19</v>
      </c>
      <c r="J4447" s="168">
        <v>47.09</v>
      </c>
      <c r="K4447" s="168">
        <v>624.75</v>
      </c>
      <c r="L4447" s="43">
        <v>5.6113624124932686</v>
      </c>
      <c r="M4447" s="43">
        <v>11.500155327741535</v>
      </c>
      <c r="N4447" s="43">
        <v>5.351136363636364</v>
      </c>
      <c r="O4447" s="43">
        <v>4.3172552000552828</v>
      </c>
      <c r="P4447" s="169"/>
      <c r="Q4447" s="169"/>
      <c r="R4447" s="169">
        <v>19</v>
      </c>
    </row>
    <row r="4448" spans="1:18" ht="12.75" customHeight="1">
      <c r="A4448" s="628" t="s">
        <v>8158</v>
      </c>
      <c r="B4448" s="629"/>
      <c r="C4448" s="629"/>
      <c r="D4448" s="629"/>
      <c r="E4448" s="629"/>
      <c r="F4448" s="629"/>
      <c r="G4448" s="629"/>
      <c r="H4448" s="629"/>
      <c r="I4448" s="629"/>
      <c r="J4448" s="629"/>
      <c r="K4448" s="629"/>
      <c r="L4448" s="629"/>
      <c r="M4448" s="629"/>
      <c r="N4448" s="629"/>
      <c r="O4448" s="629"/>
      <c r="P4448" s="629"/>
      <c r="Q4448" s="629"/>
      <c r="R4448" s="629"/>
    </row>
    <row r="4449" spans="1:18" ht="36">
      <c r="A4449" s="165">
        <v>1606</v>
      </c>
      <c r="B4449" s="162" t="s">
        <v>8159</v>
      </c>
      <c r="C4449" s="166" t="s">
        <v>8160</v>
      </c>
      <c r="D4449" s="167">
        <v>545.23</v>
      </c>
      <c r="E4449" s="167">
        <v>124.87</v>
      </c>
      <c r="F4449" s="167">
        <v>102.25</v>
      </c>
      <c r="G4449" s="167">
        <v>318.11</v>
      </c>
      <c r="H4449" s="168">
        <v>3181.52</v>
      </c>
      <c r="I4449" s="168">
        <v>1436.05</v>
      </c>
      <c r="J4449" s="168">
        <v>515.66</v>
      </c>
      <c r="K4449" s="168">
        <v>1229.81</v>
      </c>
      <c r="L4449" s="43">
        <v>5.8351888193973185</v>
      </c>
      <c r="M4449" s="43">
        <v>11.50036037478978</v>
      </c>
      <c r="N4449" s="43">
        <v>5.0431295843520783</v>
      </c>
      <c r="O4449" s="43">
        <v>3.8659897519725877</v>
      </c>
      <c r="P4449" s="169"/>
      <c r="Q4449" s="169"/>
      <c r="R4449" s="169">
        <v>20</v>
      </c>
    </row>
    <row r="4450" spans="1:18" ht="60">
      <c r="A4450" s="165">
        <v>1607</v>
      </c>
      <c r="B4450" s="162" t="s">
        <v>8161</v>
      </c>
      <c r="C4450" s="166" t="s">
        <v>8162</v>
      </c>
      <c r="D4450" s="167">
        <v>210.72</v>
      </c>
      <c r="E4450" s="167">
        <v>19</v>
      </c>
      <c r="F4450" s="167">
        <v>6.86</v>
      </c>
      <c r="G4450" s="167">
        <v>184.86</v>
      </c>
      <c r="H4450" s="168">
        <v>1026.55</v>
      </c>
      <c r="I4450" s="168">
        <v>218.45</v>
      </c>
      <c r="J4450" s="168">
        <v>36.75</v>
      </c>
      <c r="K4450" s="168">
        <v>771.35</v>
      </c>
      <c r="L4450" s="43">
        <v>4.8716305998481397</v>
      </c>
      <c r="M4450" s="43">
        <v>11.497368421052631</v>
      </c>
      <c r="N4450" s="43">
        <v>5.3571428571428568</v>
      </c>
      <c r="O4450" s="43">
        <v>4.1726171156550897</v>
      </c>
      <c r="P4450" s="169"/>
      <c r="Q4450" s="169"/>
      <c r="R4450" s="169">
        <v>20</v>
      </c>
    </row>
    <row r="4451" spans="1:18" ht="60">
      <c r="A4451" s="165">
        <v>1608</v>
      </c>
      <c r="B4451" s="162" t="s">
        <v>8163</v>
      </c>
      <c r="C4451" s="166" t="s">
        <v>8164</v>
      </c>
      <c r="D4451" s="167">
        <v>220.54</v>
      </c>
      <c r="E4451" s="167">
        <v>25.63</v>
      </c>
      <c r="F4451" s="167">
        <v>9.65</v>
      </c>
      <c r="G4451" s="167">
        <v>185.26</v>
      </c>
      <c r="H4451" s="168">
        <v>1116.02</v>
      </c>
      <c r="I4451" s="168">
        <v>294.70999999999998</v>
      </c>
      <c r="J4451" s="168">
        <v>51.81</v>
      </c>
      <c r="K4451" s="168">
        <v>769.5</v>
      </c>
      <c r="L4451" s="43">
        <v>5.0603972068558996</v>
      </c>
      <c r="M4451" s="43">
        <v>11.498634412797502</v>
      </c>
      <c r="N4451" s="43">
        <v>5.3689119170984458</v>
      </c>
      <c r="O4451" s="43">
        <v>4.153621936737558</v>
      </c>
      <c r="P4451" s="169"/>
      <c r="Q4451" s="169"/>
      <c r="R4451" s="169">
        <v>20</v>
      </c>
    </row>
    <row r="4452" spans="1:18" ht="60">
      <c r="A4452" s="165">
        <v>1609</v>
      </c>
      <c r="B4452" s="162" t="s">
        <v>8165</v>
      </c>
      <c r="C4452" s="166" t="s">
        <v>8166</v>
      </c>
      <c r="D4452" s="167">
        <v>267.81</v>
      </c>
      <c r="E4452" s="167">
        <v>37.200000000000003</v>
      </c>
      <c r="F4452" s="167">
        <v>15.2</v>
      </c>
      <c r="G4452" s="167">
        <v>215.41</v>
      </c>
      <c r="H4452" s="168">
        <v>1420.27</v>
      </c>
      <c r="I4452" s="168">
        <v>427.85</v>
      </c>
      <c r="J4452" s="168">
        <v>81.66</v>
      </c>
      <c r="K4452" s="168">
        <v>910.76</v>
      </c>
      <c r="L4452" s="43">
        <v>5.3032747096822375</v>
      </c>
      <c r="M4452" s="43">
        <v>11.501344086021506</v>
      </c>
      <c r="N4452" s="43">
        <v>5.3723684210526317</v>
      </c>
      <c r="O4452" s="43">
        <v>4.2280302678612882</v>
      </c>
      <c r="P4452" s="169"/>
      <c r="Q4452" s="169"/>
      <c r="R4452" s="169">
        <v>20</v>
      </c>
    </row>
    <row r="4453" spans="1:18" ht="60">
      <c r="A4453" s="165">
        <v>1610</v>
      </c>
      <c r="B4453" s="162" t="s">
        <v>8167</v>
      </c>
      <c r="C4453" s="166" t="s">
        <v>8168</v>
      </c>
      <c r="D4453" s="167">
        <v>235.58</v>
      </c>
      <c r="E4453" s="167">
        <v>23.83</v>
      </c>
      <c r="F4453" s="167">
        <v>7.5</v>
      </c>
      <c r="G4453" s="167">
        <v>204.25</v>
      </c>
      <c r="H4453" s="168">
        <v>1078.4100000000001</v>
      </c>
      <c r="I4453" s="168">
        <v>274.02999999999997</v>
      </c>
      <c r="J4453" s="168">
        <v>40.1</v>
      </c>
      <c r="K4453" s="168">
        <v>764.28</v>
      </c>
      <c r="L4453" s="43">
        <v>4.5776806180490706</v>
      </c>
      <c r="M4453" s="43">
        <v>11.499370541334452</v>
      </c>
      <c r="N4453" s="43">
        <v>5.3466666666666667</v>
      </c>
      <c r="O4453" s="43">
        <v>3.7418849449204403</v>
      </c>
      <c r="P4453" s="169"/>
      <c r="Q4453" s="169"/>
      <c r="R4453" s="169">
        <v>20</v>
      </c>
    </row>
    <row r="4454" spans="1:18" ht="60">
      <c r="A4454" s="165">
        <v>1611</v>
      </c>
      <c r="B4454" s="162" t="s">
        <v>8169</v>
      </c>
      <c r="C4454" s="166" t="s">
        <v>8170</v>
      </c>
      <c r="D4454" s="167">
        <v>305.48</v>
      </c>
      <c r="E4454" s="167">
        <v>41.7</v>
      </c>
      <c r="F4454" s="167">
        <v>29.24</v>
      </c>
      <c r="G4454" s="167">
        <v>234.54</v>
      </c>
      <c r="H4454" s="168">
        <v>1539.78</v>
      </c>
      <c r="I4454" s="168">
        <v>479.55</v>
      </c>
      <c r="J4454" s="168">
        <v>157.03</v>
      </c>
      <c r="K4454" s="168">
        <v>903.2</v>
      </c>
      <c r="L4454" s="43">
        <v>5.0405263847060358</v>
      </c>
      <c r="M4454" s="43">
        <v>11.5</v>
      </c>
      <c r="N4454" s="43">
        <v>5.3703830369357046</v>
      </c>
      <c r="O4454" s="43">
        <v>3.8509422699752709</v>
      </c>
      <c r="P4454" s="169"/>
      <c r="Q4454" s="169"/>
      <c r="R4454" s="169">
        <v>20</v>
      </c>
    </row>
    <row r="4455" spans="1:18" ht="60">
      <c r="A4455" s="165">
        <v>1612</v>
      </c>
      <c r="B4455" s="162" t="s">
        <v>8171</v>
      </c>
      <c r="C4455" s="166" t="s">
        <v>8172</v>
      </c>
      <c r="D4455" s="167">
        <v>425</v>
      </c>
      <c r="E4455" s="167">
        <v>61.03</v>
      </c>
      <c r="F4455" s="167">
        <v>46.15</v>
      </c>
      <c r="G4455" s="167">
        <v>317.82</v>
      </c>
      <c r="H4455" s="168">
        <v>2212.75</v>
      </c>
      <c r="I4455" s="168">
        <v>701.88</v>
      </c>
      <c r="J4455" s="168">
        <v>248.03</v>
      </c>
      <c r="K4455" s="168">
        <v>1262.8399999999999</v>
      </c>
      <c r="L4455" s="43">
        <v>5.2064705882352937</v>
      </c>
      <c r="M4455" s="43">
        <v>11.500573488448303</v>
      </c>
      <c r="N4455" s="43">
        <v>5.374431202600217</v>
      </c>
      <c r="O4455" s="43">
        <v>3.9734440878484674</v>
      </c>
      <c r="P4455" s="169"/>
      <c r="Q4455" s="169"/>
      <c r="R4455" s="169">
        <v>20</v>
      </c>
    </row>
    <row r="4456" spans="1:18" ht="60">
      <c r="A4456" s="165">
        <v>1613</v>
      </c>
      <c r="B4456" s="162" t="s">
        <v>8173</v>
      </c>
      <c r="C4456" s="166" t="s">
        <v>8174</v>
      </c>
      <c r="D4456" s="167">
        <v>517.66</v>
      </c>
      <c r="E4456" s="167">
        <v>100.19</v>
      </c>
      <c r="F4456" s="167">
        <v>102.19</v>
      </c>
      <c r="G4456" s="167">
        <v>315.27999999999997</v>
      </c>
      <c r="H4456" s="168">
        <v>2911.04</v>
      </c>
      <c r="I4456" s="168">
        <v>1152.26</v>
      </c>
      <c r="J4456" s="168">
        <v>515.33000000000004</v>
      </c>
      <c r="K4456" s="168">
        <v>1243.45</v>
      </c>
      <c r="L4456" s="43">
        <v>5.6234594135146621</v>
      </c>
      <c r="M4456" s="43">
        <v>11.500748577702366</v>
      </c>
      <c r="N4456" s="43">
        <v>5.0428613367257071</v>
      </c>
      <c r="O4456" s="43">
        <v>3.943954580055824</v>
      </c>
      <c r="P4456" s="169"/>
      <c r="Q4456" s="169"/>
      <c r="R4456" s="169">
        <v>20</v>
      </c>
    </row>
    <row r="4457" spans="1:18" ht="60">
      <c r="A4457" s="165">
        <v>1614</v>
      </c>
      <c r="B4457" s="162" t="s">
        <v>8175</v>
      </c>
      <c r="C4457" s="166" t="s">
        <v>8176</v>
      </c>
      <c r="D4457" s="167">
        <v>590.9</v>
      </c>
      <c r="E4457" s="167">
        <v>117.2</v>
      </c>
      <c r="F4457" s="167">
        <v>130.66999999999999</v>
      </c>
      <c r="G4457" s="167">
        <v>343.03</v>
      </c>
      <c r="H4457" s="168">
        <v>3410.55</v>
      </c>
      <c r="I4457" s="168">
        <v>1347.83</v>
      </c>
      <c r="J4457" s="168">
        <v>662.06</v>
      </c>
      <c r="K4457" s="168">
        <v>1400.66</v>
      </c>
      <c r="L4457" s="43">
        <v>5.7717887967507195</v>
      </c>
      <c r="M4457" s="43">
        <v>11.500255972696245</v>
      </c>
      <c r="N4457" s="43">
        <v>5.0666564628453354</v>
      </c>
      <c r="O4457" s="43">
        <v>4.0831997201410957</v>
      </c>
      <c r="P4457" s="169"/>
      <c r="Q4457" s="169"/>
      <c r="R4457" s="169">
        <v>20</v>
      </c>
    </row>
    <row r="4458" spans="1:18" ht="60">
      <c r="A4458" s="165">
        <v>1615</v>
      </c>
      <c r="B4458" s="162" t="s">
        <v>8177</v>
      </c>
      <c r="C4458" s="166" t="s">
        <v>8178</v>
      </c>
      <c r="D4458" s="167">
        <v>732.85</v>
      </c>
      <c r="E4458" s="167">
        <v>129.84</v>
      </c>
      <c r="F4458" s="167">
        <v>195.13</v>
      </c>
      <c r="G4458" s="167">
        <v>407.88</v>
      </c>
      <c r="H4458" s="168">
        <v>4051.72</v>
      </c>
      <c r="I4458" s="168">
        <v>1493.18</v>
      </c>
      <c r="J4458" s="168">
        <v>992.52</v>
      </c>
      <c r="K4458" s="168">
        <v>1566.02</v>
      </c>
      <c r="L4458" s="43">
        <v>5.5287166541584218</v>
      </c>
      <c r="M4458" s="43">
        <v>11.500154035736291</v>
      </c>
      <c r="N4458" s="43">
        <v>5.0864551837236718</v>
      </c>
      <c r="O4458" s="43">
        <v>3.839413553005786</v>
      </c>
      <c r="P4458" s="169"/>
      <c r="Q4458" s="169"/>
      <c r="R4458" s="169">
        <v>20</v>
      </c>
    </row>
    <row r="4459" spans="1:18" ht="36">
      <c r="A4459" s="165">
        <v>1616</v>
      </c>
      <c r="B4459" s="162" t="s">
        <v>8179</v>
      </c>
      <c r="C4459" s="166" t="s">
        <v>8180</v>
      </c>
      <c r="D4459" s="167">
        <v>303.05</v>
      </c>
      <c r="E4459" s="167">
        <v>55.19</v>
      </c>
      <c r="F4459" s="167">
        <v>18.62</v>
      </c>
      <c r="G4459" s="167">
        <v>229.24</v>
      </c>
      <c r="H4459" s="168">
        <v>1622.07</v>
      </c>
      <c r="I4459" s="168">
        <v>634.66999999999996</v>
      </c>
      <c r="J4459" s="168">
        <v>99.93</v>
      </c>
      <c r="K4459" s="168">
        <v>887.47</v>
      </c>
      <c r="L4459" s="43">
        <v>5.3524830885992403</v>
      </c>
      <c r="M4459" s="43">
        <v>11.499728211632542</v>
      </c>
      <c r="N4459" s="43">
        <v>5.3668098818474759</v>
      </c>
      <c r="O4459" s="43">
        <v>3.8713575292270108</v>
      </c>
      <c r="P4459" s="169"/>
      <c r="Q4459" s="169"/>
      <c r="R4459" s="169">
        <v>20</v>
      </c>
    </row>
    <row r="4460" spans="1:18" ht="36">
      <c r="A4460" s="165">
        <v>1617</v>
      </c>
      <c r="B4460" s="162" t="s">
        <v>8181</v>
      </c>
      <c r="C4460" s="166" t="s">
        <v>8182</v>
      </c>
      <c r="D4460" s="167">
        <v>448.28</v>
      </c>
      <c r="E4460" s="167">
        <v>77.260000000000005</v>
      </c>
      <c r="F4460" s="167">
        <v>46.17</v>
      </c>
      <c r="G4460" s="167">
        <v>324.85000000000002</v>
      </c>
      <c r="H4460" s="168">
        <v>2431.41</v>
      </c>
      <c r="I4460" s="168">
        <v>888.55</v>
      </c>
      <c r="J4460" s="168">
        <v>248.09</v>
      </c>
      <c r="K4460" s="168">
        <v>1294.77</v>
      </c>
      <c r="L4460" s="43">
        <v>5.4238645489426247</v>
      </c>
      <c r="M4460" s="43">
        <v>11.500776598498575</v>
      </c>
      <c r="N4460" s="43">
        <v>5.3734026424084904</v>
      </c>
      <c r="O4460" s="43">
        <v>3.985747267969832</v>
      </c>
      <c r="P4460" s="169"/>
      <c r="Q4460" s="169"/>
      <c r="R4460" s="169">
        <v>20</v>
      </c>
    </row>
    <row r="4461" spans="1:18" ht="36">
      <c r="A4461" s="165">
        <v>1618</v>
      </c>
      <c r="B4461" s="162" t="s">
        <v>8183</v>
      </c>
      <c r="C4461" s="166" t="s">
        <v>8184</v>
      </c>
      <c r="D4461" s="167">
        <v>529.95000000000005</v>
      </c>
      <c r="E4461" s="167">
        <v>119.69</v>
      </c>
      <c r="F4461" s="167">
        <v>84.1</v>
      </c>
      <c r="G4461" s="167">
        <v>326.16000000000003</v>
      </c>
      <c r="H4461" s="168">
        <v>3113.58</v>
      </c>
      <c r="I4461" s="168">
        <v>1376.43</v>
      </c>
      <c r="J4461" s="168">
        <v>431.07</v>
      </c>
      <c r="K4461" s="168">
        <v>1306.08</v>
      </c>
      <c r="L4461" s="43">
        <v>5.8752335125955275</v>
      </c>
      <c r="M4461" s="43">
        <v>11.499958225415657</v>
      </c>
      <c r="N4461" s="43">
        <v>5.1256837098692039</v>
      </c>
      <c r="O4461" s="43">
        <v>4.0044150110375272</v>
      </c>
      <c r="P4461" s="169"/>
      <c r="Q4461" s="169"/>
      <c r="R4461" s="169">
        <v>20</v>
      </c>
    </row>
    <row r="4462" spans="1:18" ht="36">
      <c r="A4462" s="165">
        <v>1619</v>
      </c>
      <c r="B4462" s="162" t="s">
        <v>8185</v>
      </c>
      <c r="C4462" s="166" t="s">
        <v>8186</v>
      </c>
      <c r="D4462" s="167">
        <v>586.83000000000004</v>
      </c>
      <c r="E4462" s="167">
        <v>137.46</v>
      </c>
      <c r="F4462" s="167">
        <v>103.54</v>
      </c>
      <c r="G4462" s="167">
        <v>345.83</v>
      </c>
      <c r="H4462" s="168">
        <v>3529.65</v>
      </c>
      <c r="I4462" s="168">
        <v>1580.85</v>
      </c>
      <c r="J4462" s="168">
        <v>535.66</v>
      </c>
      <c r="K4462" s="168">
        <v>1413.14</v>
      </c>
      <c r="L4462" s="43">
        <v>6.0147742957926482</v>
      </c>
      <c r="M4462" s="43">
        <v>11.500436490615451</v>
      </c>
      <c r="N4462" s="43">
        <v>5.173459532547807</v>
      </c>
      <c r="O4462" s="43">
        <v>4.0862273371309605</v>
      </c>
      <c r="P4462" s="169"/>
      <c r="Q4462" s="169"/>
      <c r="R4462" s="169">
        <v>20</v>
      </c>
    </row>
    <row r="4463" spans="1:18" ht="36">
      <c r="A4463" s="165">
        <v>1620</v>
      </c>
      <c r="B4463" s="162" t="s">
        <v>8187</v>
      </c>
      <c r="C4463" s="166" t="s">
        <v>8188</v>
      </c>
      <c r="D4463" s="167">
        <v>793.88</v>
      </c>
      <c r="E4463" s="167">
        <v>146.94</v>
      </c>
      <c r="F4463" s="167">
        <v>195.13</v>
      </c>
      <c r="G4463" s="167">
        <v>451.81</v>
      </c>
      <c r="H4463" s="168">
        <v>4430.47</v>
      </c>
      <c r="I4463" s="168">
        <v>1689.87</v>
      </c>
      <c r="J4463" s="168">
        <v>992.52</v>
      </c>
      <c r="K4463" s="168">
        <v>1748.08</v>
      </c>
      <c r="L4463" s="43">
        <v>5.5807804706000912</v>
      </c>
      <c r="M4463" s="43">
        <v>11.500408329930583</v>
      </c>
      <c r="N4463" s="43">
        <v>5.0864551837236718</v>
      </c>
      <c r="O4463" s="43">
        <v>3.8690600030986473</v>
      </c>
      <c r="P4463" s="169"/>
      <c r="Q4463" s="169"/>
      <c r="R4463" s="169">
        <v>20</v>
      </c>
    </row>
    <row r="4464" spans="1:18" ht="12.75" customHeight="1">
      <c r="A4464" s="628" t="s">
        <v>8189</v>
      </c>
      <c r="B4464" s="629"/>
      <c r="C4464" s="629"/>
      <c r="D4464" s="629"/>
      <c r="E4464" s="629"/>
      <c r="F4464" s="629"/>
      <c r="G4464" s="629"/>
      <c r="H4464" s="629"/>
      <c r="I4464" s="629"/>
      <c r="J4464" s="629"/>
      <c r="K4464" s="629"/>
      <c r="L4464" s="629"/>
      <c r="M4464" s="629"/>
      <c r="N4464" s="629"/>
      <c r="O4464" s="629"/>
      <c r="P4464" s="629"/>
      <c r="Q4464" s="629"/>
      <c r="R4464" s="629"/>
    </row>
    <row r="4465" spans="1:18" ht="36">
      <c r="A4465" s="165">
        <v>1621</v>
      </c>
      <c r="B4465" s="162" t="s">
        <v>8190</v>
      </c>
      <c r="C4465" s="166" t="s">
        <v>8191</v>
      </c>
      <c r="D4465" s="167">
        <v>307.5</v>
      </c>
      <c r="E4465" s="167">
        <v>30.22</v>
      </c>
      <c r="F4465" s="167">
        <v>14.95</v>
      </c>
      <c r="G4465" s="167">
        <v>262.33</v>
      </c>
      <c r="H4465" s="168">
        <v>1382.27</v>
      </c>
      <c r="I4465" s="168">
        <v>347.51</v>
      </c>
      <c r="J4465" s="168">
        <v>80.16</v>
      </c>
      <c r="K4465" s="168">
        <v>954.6</v>
      </c>
      <c r="L4465" s="43">
        <v>4.495186991869919</v>
      </c>
      <c r="M4465" s="43">
        <v>11.49933818663137</v>
      </c>
      <c r="N4465" s="43">
        <v>5.361872909698997</v>
      </c>
      <c r="O4465" s="43">
        <v>3.6389280677009874</v>
      </c>
      <c r="P4465" s="169"/>
      <c r="Q4465" s="169"/>
      <c r="R4465" s="169">
        <v>21</v>
      </c>
    </row>
    <row r="4466" spans="1:18" ht="36">
      <c r="A4466" s="165">
        <v>1622</v>
      </c>
      <c r="B4466" s="162" t="s">
        <v>8192</v>
      </c>
      <c r="C4466" s="166" t="s">
        <v>8193</v>
      </c>
      <c r="D4466" s="167">
        <v>795.25</v>
      </c>
      <c r="E4466" s="167">
        <v>52.73</v>
      </c>
      <c r="F4466" s="167">
        <v>56.6</v>
      </c>
      <c r="G4466" s="167">
        <v>685.92</v>
      </c>
      <c r="H4466" s="168">
        <v>2950.54</v>
      </c>
      <c r="I4466" s="168">
        <v>606.45000000000005</v>
      </c>
      <c r="J4466" s="168">
        <v>292.5</v>
      </c>
      <c r="K4466" s="168">
        <v>2051.59</v>
      </c>
      <c r="L4466" s="43">
        <v>3.7102043382584093</v>
      </c>
      <c r="M4466" s="43">
        <v>11.501043049497442</v>
      </c>
      <c r="N4466" s="43">
        <v>5.1678445229681982</v>
      </c>
      <c r="O4466" s="43">
        <v>2.9910047818987642</v>
      </c>
      <c r="P4466" s="169"/>
      <c r="Q4466" s="169"/>
      <c r="R4466" s="169">
        <v>21</v>
      </c>
    </row>
    <row r="4467" spans="1:18" ht="48">
      <c r="A4467" s="165">
        <v>1623</v>
      </c>
      <c r="B4467" s="162" t="s">
        <v>8194</v>
      </c>
      <c r="C4467" s="166" t="s">
        <v>8195</v>
      </c>
      <c r="D4467" s="167">
        <v>217.35</v>
      </c>
      <c r="E4467" s="167">
        <v>22.04</v>
      </c>
      <c r="F4467" s="167">
        <v>15.12</v>
      </c>
      <c r="G4467" s="167">
        <v>180.19</v>
      </c>
      <c r="H4467" s="168">
        <v>938.17</v>
      </c>
      <c r="I4467" s="168">
        <v>253.44</v>
      </c>
      <c r="J4467" s="168">
        <v>81.09</v>
      </c>
      <c r="K4467" s="168">
        <v>603.64</v>
      </c>
      <c r="L4467" s="43">
        <v>4.3164021164021165</v>
      </c>
      <c r="M4467" s="43">
        <v>11.499092558983666</v>
      </c>
      <c r="N4467" s="43">
        <v>5.363095238095239</v>
      </c>
      <c r="O4467" s="43">
        <v>3.350019423941395</v>
      </c>
      <c r="P4467" s="169"/>
      <c r="Q4467" s="169"/>
      <c r="R4467" s="169">
        <v>21</v>
      </c>
    </row>
    <row r="4468" spans="1:18" ht="36">
      <c r="A4468" s="165">
        <v>1624</v>
      </c>
      <c r="B4468" s="162" t="s">
        <v>8196</v>
      </c>
      <c r="C4468" s="166" t="s">
        <v>8197</v>
      </c>
      <c r="D4468" s="167">
        <v>228.64</v>
      </c>
      <c r="E4468" s="167">
        <v>15.28</v>
      </c>
      <c r="F4468" s="167">
        <v>7.72</v>
      </c>
      <c r="G4468" s="167">
        <v>205.64</v>
      </c>
      <c r="H4468" s="168">
        <v>931.87</v>
      </c>
      <c r="I4468" s="168">
        <v>175.75</v>
      </c>
      <c r="J4468" s="168">
        <v>41.43</v>
      </c>
      <c r="K4468" s="168">
        <v>714.69</v>
      </c>
      <c r="L4468" s="43">
        <v>4.0757085374387687</v>
      </c>
      <c r="M4468" s="43">
        <v>11.50196335078534</v>
      </c>
      <c r="N4468" s="43">
        <v>5.3665803108808294</v>
      </c>
      <c r="O4468" s="43">
        <v>3.4754425209103292</v>
      </c>
      <c r="P4468" s="169"/>
      <c r="Q4468" s="169"/>
      <c r="R4468" s="169">
        <v>21</v>
      </c>
    </row>
    <row r="4469" spans="1:18" ht="36">
      <c r="A4469" s="165">
        <v>1625</v>
      </c>
      <c r="B4469" s="162" t="s">
        <v>8198</v>
      </c>
      <c r="C4469" s="166" t="s">
        <v>8199</v>
      </c>
      <c r="D4469" s="167">
        <v>254.1</v>
      </c>
      <c r="E4469" s="167">
        <v>18.04</v>
      </c>
      <c r="F4469" s="167">
        <v>13.54</v>
      </c>
      <c r="G4469" s="167">
        <v>222.52</v>
      </c>
      <c r="H4469" s="168">
        <v>1079.7</v>
      </c>
      <c r="I4469" s="168">
        <v>207.46</v>
      </c>
      <c r="J4469" s="168">
        <v>72.739999999999995</v>
      </c>
      <c r="K4469" s="168">
        <v>799.5</v>
      </c>
      <c r="L4469" s="43">
        <v>4.2491145218417952</v>
      </c>
      <c r="M4469" s="43">
        <v>11.500000000000002</v>
      </c>
      <c r="N4469" s="43">
        <v>5.3722304283604139</v>
      </c>
      <c r="O4469" s="43">
        <v>3.5929354664749233</v>
      </c>
      <c r="P4469" s="169"/>
      <c r="Q4469" s="169"/>
      <c r="R4469" s="169">
        <v>21</v>
      </c>
    </row>
    <row r="4470" spans="1:18" ht="36">
      <c r="A4470" s="165">
        <v>1626</v>
      </c>
      <c r="B4470" s="162" t="s">
        <v>8200</v>
      </c>
      <c r="C4470" s="166" t="s">
        <v>8201</v>
      </c>
      <c r="D4470" s="167">
        <v>255.78</v>
      </c>
      <c r="E4470" s="167">
        <v>20.9</v>
      </c>
      <c r="F4470" s="167">
        <v>8.49</v>
      </c>
      <c r="G4470" s="167">
        <v>226.39</v>
      </c>
      <c r="H4470" s="168">
        <v>1174.8599999999999</v>
      </c>
      <c r="I4470" s="168">
        <v>240.38</v>
      </c>
      <c r="J4470" s="168">
        <v>45.5</v>
      </c>
      <c r="K4470" s="168">
        <v>888.98</v>
      </c>
      <c r="L4470" s="43">
        <v>4.5932441942294151</v>
      </c>
      <c r="M4470" s="43">
        <v>11.501435406698565</v>
      </c>
      <c r="N4470" s="43">
        <v>5.3592461719670199</v>
      </c>
      <c r="O4470" s="43">
        <v>3.9267635496267506</v>
      </c>
      <c r="P4470" s="169"/>
      <c r="Q4470" s="169"/>
      <c r="R4470" s="169">
        <v>21</v>
      </c>
    </row>
    <row r="4471" spans="1:18" ht="36">
      <c r="A4471" s="165">
        <v>1627</v>
      </c>
      <c r="B4471" s="162" t="s">
        <v>8202</v>
      </c>
      <c r="C4471" s="166" t="s">
        <v>8203</v>
      </c>
      <c r="D4471" s="167">
        <v>265.44</v>
      </c>
      <c r="E4471" s="167">
        <v>25.67</v>
      </c>
      <c r="F4471" s="167">
        <v>12.79</v>
      </c>
      <c r="G4471" s="167">
        <v>226.98</v>
      </c>
      <c r="H4471" s="168">
        <v>1255.55</v>
      </c>
      <c r="I4471" s="168">
        <v>295.25</v>
      </c>
      <c r="J4471" s="168">
        <v>68.66</v>
      </c>
      <c r="K4471" s="168">
        <v>891.64</v>
      </c>
      <c r="L4471" s="43">
        <v>4.7300708257986734</v>
      </c>
      <c r="M4471" s="43">
        <v>11.501753019088429</v>
      </c>
      <c r="N4471" s="43">
        <v>5.3682564503518373</v>
      </c>
      <c r="O4471" s="43">
        <v>3.9282756189972687</v>
      </c>
      <c r="P4471" s="169"/>
      <c r="Q4471" s="169"/>
      <c r="R4471" s="169">
        <v>21</v>
      </c>
    </row>
    <row r="4472" spans="1:18" ht="36">
      <c r="A4472" s="165">
        <v>1628</v>
      </c>
      <c r="B4472" s="162" t="s">
        <v>8204</v>
      </c>
      <c r="C4472" s="166" t="s">
        <v>8205</v>
      </c>
      <c r="D4472" s="167">
        <v>688.25</v>
      </c>
      <c r="E4472" s="167">
        <v>63.95</v>
      </c>
      <c r="F4472" s="167">
        <v>35.18</v>
      </c>
      <c r="G4472" s="167">
        <v>589.12</v>
      </c>
      <c r="H4472" s="168">
        <v>3275.45</v>
      </c>
      <c r="I4472" s="168">
        <v>735.38</v>
      </c>
      <c r="J4472" s="168">
        <v>188.77</v>
      </c>
      <c r="K4472" s="168">
        <v>2351.3000000000002</v>
      </c>
      <c r="L4472" s="43">
        <v>4.7590991645477656</v>
      </c>
      <c r="M4472" s="43">
        <v>11.499296325254104</v>
      </c>
      <c r="N4472" s="43">
        <v>5.3658328595793066</v>
      </c>
      <c r="O4472" s="43">
        <v>3.9912072243346008</v>
      </c>
      <c r="P4472" s="169"/>
      <c r="Q4472" s="169"/>
      <c r="R4472" s="169">
        <v>21</v>
      </c>
    </row>
    <row r="4473" spans="1:18" ht="36">
      <c r="A4473" s="165">
        <v>1629</v>
      </c>
      <c r="B4473" s="162" t="s">
        <v>8206</v>
      </c>
      <c r="C4473" s="166" t="s">
        <v>8207</v>
      </c>
      <c r="D4473" s="167">
        <v>1212.05</v>
      </c>
      <c r="E4473" s="167">
        <v>85.22</v>
      </c>
      <c r="F4473" s="167">
        <v>201.44</v>
      </c>
      <c r="G4473" s="167">
        <v>925.39</v>
      </c>
      <c r="H4473" s="168">
        <v>5379.23</v>
      </c>
      <c r="I4473" s="168">
        <v>980.05</v>
      </c>
      <c r="J4473" s="168">
        <v>969.15</v>
      </c>
      <c r="K4473" s="168">
        <v>3430.03</v>
      </c>
      <c r="L4473" s="43">
        <v>4.4381254898725295</v>
      </c>
      <c r="M4473" s="43">
        <v>11.500234686693265</v>
      </c>
      <c r="N4473" s="43">
        <v>4.811110007942812</v>
      </c>
      <c r="O4473" s="43">
        <v>3.7065777672116624</v>
      </c>
      <c r="P4473" s="169"/>
      <c r="Q4473" s="169"/>
      <c r="R4473" s="169">
        <v>21</v>
      </c>
    </row>
    <row r="4474" spans="1:18" ht="12.75" customHeight="1">
      <c r="A4474" s="628" t="s">
        <v>8208</v>
      </c>
      <c r="B4474" s="629"/>
      <c r="C4474" s="629"/>
      <c r="D4474" s="629"/>
      <c r="E4474" s="629"/>
      <c r="F4474" s="629"/>
      <c r="G4474" s="629"/>
      <c r="H4474" s="629"/>
      <c r="I4474" s="629"/>
      <c r="J4474" s="629"/>
      <c r="K4474" s="629"/>
      <c r="L4474" s="629"/>
      <c r="M4474" s="629"/>
      <c r="N4474" s="629"/>
      <c r="O4474" s="629"/>
      <c r="P4474" s="629"/>
      <c r="Q4474" s="629"/>
      <c r="R4474" s="629"/>
    </row>
    <row r="4475" spans="1:18" ht="24">
      <c r="A4475" s="165">
        <v>1630</v>
      </c>
      <c r="B4475" s="162" t="s">
        <v>8209</v>
      </c>
      <c r="C4475" s="166" t="s">
        <v>8210</v>
      </c>
      <c r="D4475" s="167">
        <v>113.17</v>
      </c>
      <c r="E4475" s="167">
        <v>35.869999999999997</v>
      </c>
      <c r="F4475" s="167">
        <v>3.65</v>
      </c>
      <c r="G4475" s="167">
        <v>73.650000000000006</v>
      </c>
      <c r="H4475" s="168">
        <v>665.28</v>
      </c>
      <c r="I4475" s="168">
        <v>412.54</v>
      </c>
      <c r="J4475" s="168">
        <v>19.579999999999998</v>
      </c>
      <c r="K4475" s="168">
        <v>233.16</v>
      </c>
      <c r="L4475" s="43">
        <v>5.8785897322612</v>
      </c>
      <c r="M4475" s="43">
        <v>11.500975745748537</v>
      </c>
      <c r="N4475" s="43">
        <v>5.3643835616438356</v>
      </c>
      <c r="O4475" s="43">
        <v>3.1657841140529528</v>
      </c>
      <c r="P4475" s="169"/>
      <c r="Q4475" s="169"/>
      <c r="R4475" s="169">
        <v>22</v>
      </c>
    </row>
    <row r="4476" spans="1:18" ht="24">
      <c r="A4476" s="165">
        <v>1631</v>
      </c>
      <c r="B4476" s="162" t="s">
        <v>8211</v>
      </c>
      <c r="C4476" s="166" t="s">
        <v>8212</v>
      </c>
      <c r="D4476" s="167">
        <v>130.57</v>
      </c>
      <c r="E4476" s="167">
        <v>46.95</v>
      </c>
      <c r="F4476" s="167">
        <v>9.2100000000000009</v>
      </c>
      <c r="G4476" s="167">
        <v>74.41</v>
      </c>
      <c r="H4476" s="168">
        <v>826.53</v>
      </c>
      <c r="I4476" s="168">
        <v>539.96</v>
      </c>
      <c r="J4476" s="168">
        <v>49.48</v>
      </c>
      <c r="K4476" s="168">
        <v>237.09</v>
      </c>
      <c r="L4476" s="43">
        <v>6.3301677261239186</v>
      </c>
      <c r="M4476" s="43">
        <v>11.500745473908413</v>
      </c>
      <c r="N4476" s="43">
        <v>5.3724212812160683</v>
      </c>
      <c r="O4476" s="43">
        <v>3.1862652869238008</v>
      </c>
      <c r="P4476" s="169"/>
      <c r="Q4476" s="169"/>
      <c r="R4476" s="169">
        <v>22</v>
      </c>
    </row>
    <row r="4477" spans="1:18" ht="24">
      <c r="A4477" s="165">
        <v>1632</v>
      </c>
      <c r="B4477" s="162" t="s">
        <v>8213</v>
      </c>
      <c r="C4477" s="166" t="s">
        <v>8214</v>
      </c>
      <c r="D4477" s="167">
        <v>155.93</v>
      </c>
      <c r="E4477" s="167">
        <v>54.29</v>
      </c>
      <c r="F4477" s="167">
        <v>23.87</v>
      </c>
      <c r="G4477" s="167">
        <v>77.77</v>
      </c>
      <c r="H4477" s="168">
        <v>1014.46</v>
      </c>
      <c r="I4477" s="168">
        <v>624.33000000000004</v>
      </c>
      <c r="J4477" s="168">
        <v>128.27000000000001</v>
      </c>
      <c r="K4477" s="168">
        <v>261.86</v>
      </c>
      <c r="L4477" s="43">
        <v>6.5058680177002497</v>
      </c>
      <c r="M4477" s="43">
        <v>11.499907902007736</v>
      </c>
      <c r="N4477" s="43">
        <v>5.3736908253037283</v>
      </c>
      <c r="O4477" s="43">
        <v>3.3671081393853672</v>
      </c>
      <c r="P4477" s="169"/>
      <c r="Q4477" s="169"/>
      <c r="R4477" s="169">
        <v>22</v>
      </c>
    </row>
    <row r="4478" spans="1:18" ht="12.75" customHeight="1">
      <c r="A4478" s="628" t="s">
        <v>8215</v>
      </c>
      <c r="B4478" s="629"/>
      <c r="C4478" s="629"/>
      <c r="D4478" s="629"/>
      <c r="E4478" s="629"/>
      <c r="F4478" s="629"/>
      <c r="G4478" s="629"/>
      <c r="H4478" s="629"/>
      <c r="I4478" s="629"/>
      <c r="J4478" s="629"/>
      <c r="K4478" s="629"/>
      <c r="L4478" s="629"/>
      <c r="M4478" s="629"/>
      <c r="N4478" s="629"/>
      <c r="O4478" s="629"/>
      <c r="P4478" s="629"/>
      <c r="Q4478" s="629"/>
      <c r="R4478" s="629"/>
    </row>
    <row r="4479" spans="1:18" ht="24">
      <c r="A4479" s="165">
        <v>1633</v>
      </c>
      <c r="B4479" s="162" t="s">
        <v>8216</v>
      </c>
      <c r="C4479" s="166" t="s">
        <v>8217</v>
      </c>
      <c r="D4479" s="167">
        <v>78.209999999999994</v>
      </c>
      <c r="E4479" s="167">
        <v>27.88</v>
      </c>
      <c r="F4479" s="167">
        <v>6.47</v>
      </c>
      <c r="G4479" s="167">
        <v>43.86</v>
      </c>
      <c r="H4479" s="168">
        <v>516.05999999999995</v>
      </c>
      <c r="I4479" s="168">
        <v>320.56</v>
      </c>
      <c r="J4479" s="168">
        <v>34.51</v>
      </c>
      <c r="K4479" s="168">
        <v>160.99</v>
      </c>
      <c r="L4479" s="43">
        <v>6.5983889528193327</v>
      </c>
      <c r="M4479" s="43">
        <v>11.497847919655667</v>
      </c>
      <c r="N4479" s="43">
        <v>5.3338485316846986</v>
      </c>
      <c r="O4479" s="43">
        <v>3.670542635658915</v>
      </c>
      <c r="P4479" s="169"/>
      <c r="Q4479" s="169"/>
      <c r="R4479" s="169">
        <v>23</v>
      </c>
    </row>
    <row r="4480" spans="1:18" ht="36">
      <c r="A4480" s="165">
        <v>1634</v>
      </c>
      <c r="B4480" s="162" t="s">
        <v>8218</v>
      </c>
      <c r="C4480" s="166" t="s">
        <v>8219</v>
      </c>
      <c r="D4480" s="167">
        <v>86.09</v>
      </c>
      <c r="E4480" s="167">
        <v>27.09</v>
      </c>
      <c r="F4480" s="167">
        <v>3.7</v>
      </c>
      <c r="G4480" s="167">
        <v>55.3</v>
      </c>
      <c r="H4480" s="168">
        <v>542.48</v>
      </c>
      <c r="I4480" s="168">
        <v>311.52</v>
      </c>
      <c r="J4480" s="168">
        <v>19.579999999999998</v>
      </c>
      <c r="K4480" s="168">
        <v>211.38</v>
      </c>
      <c r="L4480" s="43">
        <v>6.3013125798582879</v>
      </c>
      <c r="M4480" s="43">
        <v>11.499446290143965</v>
      </c>
      <c r="N4480" s="43">
        <v>5.2918918918918916</v>
      </c>
      <c r="O4480" s="43">
        <v>3.8224231464737795</v>
      </c>
      <c r="P4480" s="169"/>
      <c r="Q4480" s="169"/>
      <c r="R4480" s="169">
        <v>23</v>
      </c>
    </row>
    <row r="4481" spans="1:18" ht="12.75" customHeight="1">
      <c r="A4481" s="628" t="s">
        <v>8220</v>
      </c>
      <c r="B4481" s="629"/>
      <c r="C4481" s="629"/>
      <c r="D4481" s="629"/>
      <c r="E4481" s="629"/>
      <c r="F4481" s="629"/>
      <c r="G4481" s="629"/>
      <c r="H4481" s="629"/>
      <c r="I4481" s="629"/>
      <c r="J4481" s="629"/>
      <c r="K4481" s="629"/>
      <c r="L4481" s="629"/>
      <c r="M4481" s="629"/>
      <c r="N4481" s="629"/>
      <c r="O4481" s="629"/>
      <c r="P4481" s="629"/>
      <c r="Q4481" s="629"/>
      <c r="R4481" s="629"/>
    </row>
    <row r="4482" spans="1:18" ht="72">
      <c r="A4482" s="165">
        <v>1635</v>
      </c>
      <c r="B4482" s="162" t="s">
        <v>8221</v>
      </c>
      <c r="C4482" s="166" t="s">
        <v>8222</v>
      </c>
      <c r="D4482" s="167">
        <v>48.37</v>
      </c>
      <c r="E4482" s="167">
        <v>25.96</v>
      </c>
      <c r="F4482" s="167">
        <v>5.55</v>
      </c>
      <c r="G4482" s="167">
        <v>16.86</v>
      </c>
      <c r="H4482" s="168">
        <v>373.95</v>
      </c>
      <c r="I4482" s="168">
        <v>298.58999999999997</v>
      </c>
      <c r="J4482" s="168">
        <v>29.84</v>
      </c>
      <c r="K4482" s="168">
        <v>45.52</v>
      </c>
      <c r="L4482" s="43">
        <v>7.7310316311763492</v>
      </c>
      <c r="M4482" s="43">
        <v>11.501926040061631</v>
      </c>
      <c r="N4482" s="43">
        <v>5.3765765765765767</v>
      </c>
      <c r="O4482" s="43">
        <v>2.6998813760379599</v>
      </c>
      <c r="P4482" s="169"/>
      <c r="Q4482" s="169"/>
      <c r="R4482" s="169">
        <v>24</v>
      </c>
    </row>
    <row r="4483" spans="1:18" ht="72">
      <c r="A4483" s="165">
        <v>1636</v>
      </c>
      <c r="B4483" s="162" t="s">
        <v>8223</v>
      </c>
      <c r="C4483" s="166" t="s">
        <v>8224</v>
      </c>
      <c r="D4483" s="167">
        <v>63.46</v>
      </c>
      <c r="E4483" s="167">
        <v>28.85</v>
      </c>
      <c r="F4483" s="167">
        <v>17.690000000000001</v>
      </c>
      <c r="G4483" s="167">
        <v>16.920000000000002</v>
      </c>
      <c r="H4483" s="168">
        <v>473.14</v>
      </c>
      <c r="I4483" s="168">
        <v>331.83</v>
      </c>
      <c r="J4483" s="168">
        <v>95.1</v>
      </c>
      <c r="K4483" s="168">
        <v>46.21</v>
      </c>
      <c r="L4483" s="43">
        <v>7.4557201386700278</v>
      </c>
      <c r="M4483" s="43">
        <v>11.501906412478336</v>
      </c>
      <c r="N4483" s="43">
        <v>5.3759185980780098</v>
      </c>
      <c r="O4483" s="43">
        <v>2.7310874704491725</v>
      </c>
      <c r="P4483" s="169"/>
      <c r="Q4483" s="169"/>
      <c r="R4483" s="169">
        <v>24</v>
      </c>
    </row>
    <row r="4484" spans="1:18" ht="60">
      <c r="A4484" s="165">
        <v>1637</v>
      </c>
      <c r="B4484" s="162" t="s">
        <v>8225</v>
      </c>
      <c r="C4484" s="166" t="s">
        <v>8226</v>
      </c>
      <c r="D4484" s="167">
        <v>38.270000000000003</v>
      </c>
      <c r="E4484" s="167">
        <v>21.47</v>
      </c>
      <c r="F4484" s="167"/>
      <c r="G4484" s="167">
        <v>16.8</v>
      </c>
      <c r="H4484" s="168">
        <v>291.43</v>
      </c>
      <c r="I4484" s="168">
        <v>246.89</v>
      </c>
      <c r="J4484" s="168"/>
      <c r="K4484" s="168">
        <v>44.54</v>
      </c>
      <c r="L4484" s="43">
        <v>7.6151032140057477</v>
      </c>
      <c r="M4484" s="43">
        <v>11.499301350721938</v>
      </c>
      <c r="N4484" s="43" t="s">
        <v>1690</v>
      </c>
      <c r="O4484" s="43">
        <v>2.6511904761904761</v>
      </c>
      <c r="P4484" s="169"/>
      <c r="Q4484" s="169"/>
      <c r="R4484" s="169">
        <v>24</v>
      </c>
    </row>
    <row r="4485" spans="1:18" ht="60">
      <c r="A4485" s="165">
        <v>1638</v>
      </c>
      <c r="B4485" s="162" t="s">
        <v>8227</v>
      </c>
      <c r="C4485" s="166" t="s">
        <v>8228</v>
      </c>
      <c r="D4485" s="167">
        <v>46.07</v>
      </c>
      <c r="E4485" s="167">
        <v>26.36</v>
      </c>
      <c r="F4485" s="167">
        <v>2.77</v>
      </c>
      <c r="G4485" s="167">
        <v>16.940000000000001</v>
      </c>
      <c r="H4485" s="168">
        <v>363.76</v>
      </c>
      <c r="I4485" s="168">
        <v>303.08</v>
      </c>
      <c r="J4485" s="168">
        <v>14.93</v>
      </c>
      <c r="K4485" s="168">
        <v>45.75</v>
      </c>
      <c r="L4485" s="43">
        <v>7.8958107228131098</v>
      </c>
      <c r="M4485" s="43">
        <v>11.49772382397572</v>
      </c>
      <c r="N4485" s="43">
        <v>5.3898916967509027</v>
      </c>
      <c r="O4485" s="43">
        <v>2.7007083825265643</v>
      </c>
      <c r="P4485" s="169"/>
      <c r="Q4485" s="169"/>
      <c r="R4485" s="169">
        <v>24</v>
      </c>
    </row>
    <row r="4486" spans="1:18" ht="12.75" customHeight="1">
      <c r="A4486" s="628" t="s">
        <v>8229</v>
      </c>
      <c r="B4486" s="629"/>
      <c r="C4486" s="629"/>
      <c r="D4486" s="629"/>
      <c r="E4486" s="629"/>
      <c r="F4486" s="629"/>
      <c r="G4486" s="629"/>
      <c r="H4486" s="629"/>
      <c r="I4486" s="629"/>
      <c r="J4486" s="629"/>
      <c r="K4486" s="629"/>
      <c r="L4486" s="629"/>
      <c r="M4486" s="629"/>
      <c r="N4486" s="629"/>
      <c r="O4486" s="629"/>
      <c r="P4486" s="629"/>
      <c r="Q4486" s="629"/>
      <c r="R4486" s="629"/>
    </row>
    <row r="4487" spans="1:18" ht="48">
      <c r="A4487" s="165">
        <v>1639</v>
      </c>
      <c r="B4487" s="162" t="s">
        <v>8230</v>
      </c>
      <c r="C4487" s="166" t="s">
        <v>8231</v>
      </c>
      <c r="D4487" s="167">
        <v>174.39</v>
      </c>
      <c r="E4487" s="167">
        <v>37.200000000000003</v>
      </c>
      <c r="F4487" s="167">
        <v>2.29</v>
      </c>
      <c r="G4487" s="167">
        <v>134.9</v>
      </c>
      <c r="H4487" s="168">
        <v>1060.8900000000001</v>
      </c>
      <c r="I4487" s="168">
        <v>427.85</v>
      </c>
      <c r="J4487" s="168">
        <v>12.11</v>
      </c>
      <c r="K4487" s="168">
        <v>620.92999999999995</v>
      </c>
      <c r="L4487" s="43">
        <v>6.0834336831240332</v>
      </c>
      <c r="M4487" s="43">
        <v>11.501344086021506</v>
      </c>
      <c r="N4487" s="43">
        <v>5.2882096069868991</v>
      </c>
      <c r="O4487" s="43">
        <v>4.6028910303928834</v>
      </c>
      <c r="P4487" s="169"/>
      <c r="Q4487" s="169"/>
      <c r="R4487" s="169">
        <v>25</v>
      </c>
    </row>
    <row r="4488" spans="1:18" ht="48">
      <c r="A4488" s="165">
        <v>1640</v>
      </c>
      <c r="B4488" s="162" t="s">
        <v>8232</v>
      </c>
      <c r="C4488" s="166" t="s">
        <v>8233</v>
      </c>
      <c r="D4488" s="167">
        <v>258.93</v>
      </c>
      <c r="E4488" s="167">
        <v>58.73</v>
      </c>
      <c r="F4488" s="167">
        <v>2.99</v>
      </c>
      <c r="G4488" s="167">
        <v>197.21</v>
      </c>
      <c r="H4488" s="168">
        <v>1535.32</v>
      </c>
      <c r="I4488" s="168">
        <v>675.41</v>
      </c>
      <c r="J4488" s="168">
        <v>15.84</v>
      </c>
      <c r="K4488" s="168">
        <v>844.07</v>
      </c>
      <c r="L4488" s="43">
        <v>5.9294790097709802</v>
      </c>
      <c r="M4488" s="43">
        <v>11.500255406095691</v>
      </c>
      <c r="N4488" s="43">
        <v>5.2976588628762533</v>
      </c>
      <c r="O4488" s="43">
        <v>4.2800567922519139</v>
      </c>
      <c r="P4488" s="169"/>
      <c r="Q4488" s="169"/>
      <c r="R4488" s="169">
        <v>25</v>
      </c>
    </row>
    <row r="4489" spans="1:18" ht="48">
      <c r="A4489" s="165">
        <v>1641</v>
      </c>
      <c r="B4489" s="162" t="s">
        <v>8234</v>
      </c>
      <c r="C4489" s="166" t="s">
        <v>8235</v>
      </c>
      <c r="D4489" s="167">
        <v>291.62</v>
      </c>
      <c r="E4489" s="167">
        <v>79.52</v>
      </c>
      <c r="F4489" s="167">
        <v>5.0599999999999996</v>
      </c>
      <c r="G4489" s="167">
        <v>207.04</v>
      </c>
      <c r="H4489" s="168">
        <v>1820.97</v>
      </c>
      <c r="I4489" s="168">
        <v>914.48</v>
      </c>
      <c r="J4489" s="168">
        <v>27.04</v>
      </c>
      <c r="K4489" s="168">
        <v>879.45</v>
      </c>
      <c r="L4489" s="43">
        <v>6.2443248062547152</v>
      </c>
      <c r="M4489" s="43">
        <v>11.5</v>
      </c>
      <c r="N4489" s="43">
        <v>5.3438735177865615</v>
      </c>
      <c r="O4489" s="43">
        <v>4.2477299072642971</v>
      </c>
      <c r="P4489" s="169"/>
      <c r="Q4489" s="169"/>
      <c r="R4489" s="169">
        <v>25</v>
      </c>
    </row>
    <row r="4490" spans="1:18" ht="24">
      <c r="A4490" s="165">
        <v>1642</v>
      </c>
      <c r="B4490" s="162" t="s">
        <v>8236</v>
      </c>
      <c r="C4490" s="166" t="s">
        <v>8237</v>
      </c>
      <c r="D4490" s="167">
        <v>3.28</v>
      </c>
      <c r="E4490" s="167">
        <v>1.02</v>
      </c>
      <c r="F4490" s="167"/>
      <c r="G4490" s="167">
        <v>2.2599999999999998</v>
      </c>
      <c r="H4490" s="168">
        <v>17.48</v>
      </c>
      <c r="I4490" s="168">
        <v>11.76</v>
      </c>
      <c r="J4490" s="168"/>
      <c r="K4490" s="168">
        <v>5.72</v>
      </c>
      <c r="L4490" s="43">
        <v>5.3292682926829276</v>
      </c>
      <c r="M4490" s="43">
        <v>11.5</v>
      </c>
      <c r="N4490" s="43" t="s">
        <v>1690</v>
      </c>
      <c r="O4490" s="43">
        <v>2.5309734513274336</v>
      </c>
      <c r="P4490" s="169"/>
      <c r="Q4490" s="169"/>
      <c r="R4490" s="169">
        <v>25</v>
      </c>
    </row>
    <row r="4491" spans="1:18" ht="48">
      <c r="A4491" s="165">
        <v>1643</v>
      </c>
      <c r="B4491" s="162" t="s">
        <v>8238</v>
      </c>
      <c r="C4491" s="166" t="s">
        <v>8239</v>
      </c>
      <c r="D4491" s="167">
        <v>149.36000000000001</v>
      </c>
      <c r="E4491" s="167">
        <v>26.98</v>
      </c>
      <c r="F4491" s="167">
        <v>2.29</v>
      </c>
      <c r="G4491" s="167">
        <v>120.09</v>
      </c>
      <c r="H4491" s="168">
        <v>935.7</v>
      </c>
      <c r="I4491" s="168">
        <v>310.22000000000003</v>
      </c>
      <c r="J4491" s="168">
        <v>12.11</v>
      </c>
      <c r="K4491" s="168">
        <v>613.37</v>
      </c>
      <c r="L4491" s="43">
        <v>6.2647295125870377</v>
      </c>
      <c r="M4491" s="43">
        <v>11.498146775389179</v>
      </c>
      <c r="N4491" s="43">
        <v>5.2882096069868991</v>
      </c>
      <c r="O4491" s="43">
        <v>5.1075859771837786</v>
      </c>
      <c r="P4491" s="169"/>
      <c r="Q4491" s="169"/>
      <c r="R4491" s="169">
        <v>25</v>
      </c>
    </row>
    <row r="4492" spans="1:18" ht="48">
      <c r="A4492" s="165">
        <v>1644</v>
      </c>
      <c r="B4492" s="162" t="s">
        <v>8240</v>
      </c>
      <c r="C4492" s="166" t="s">
        <v>8241</v>
      </c>
      <c r="D4492" s="167">
        <v>166.43</v>
      </c>
      <c r="E4492" s="167">
        <v>35.630000000000003</v>
      </c>
      <c r="F4492" s="167">
        <v>5.0599999999999996</v>
      </c>
      <c r="G4492" s="167">
        <v>125.74</v>
      </c>
      <c r="H4492" s="168">
        <v>1066.0999999999999</v>
      </c>
      <c r="I4492" s="168">
        <v>409.75</v>
      </c>
      <c r="J4492" s="168">
        <v>27.04</v>
      </c>
      <c r="K4492" s="168">
        <v>629.30999999999995</v>
      </c>
      <c r="L4492" s="43">
        <v>6.405696088445592</v>
      </c>
      <c r="M4492" s="43">
        <v>11.500140331181587</v>
      </c>
      <c r="N4492" s="43">
        <v>5.3438735177865615</v>
      </c>
      <c r="O4492" s="43">
        <v>5.0048512804199135</v>
      </c>
      <c r="P4492" s="169"/>
      <c r="Q4492" s="169"/>
      <c r="R4492" s="169">
        <v>25</v>
      </c>
    </row>
    <row r="4493" spans="1:18" ht="48">
      <c r="A4493" s="165">
        <v>1645</v>
      </c>
      <c r="B4493" s="162" t="s">
        <v>8242</v>
      </c>
      <c r="C4493" s="166" t="s">
        <v>8243</v>
      </c>
      <c r="D4493" s="167">
        <v>415.71</v>
      </c>
      <c r="E4493" s="167">
        <v>39.340000000000003</v>
      </c>
      <c r="F4493" s="167">
        <v>6.06</v>
      </c>
      <c r="G4493" s="167">
        <v>370.31</v>
      </c>
      <c r="H4493" s="168">
        <v>1700.04</v>
      </c>
      <c r="I4493" s="168">
        <v>452.41</v>
      </c>
      <c r="J4493" s="168">
        <v>32.270000000000003</v>
      </c>
      <c r="K4493" s="168">
        <v>1215.3599999999999</v>
      </c>
      <c r="L4493" s="43">
        <v>4.0894854586129759</v>
      </c>
      <c r="M4493" s="43">
        <v>11.5</v>
      </c>
      <c r="N4493" s="43">
        <v>5.3250825082508255</v>
      </c>
      <c r="O4493" s="43">
        <v>3.2820069671356427</v>
      </c>
      <c r="P4493" s="169"/>
      <c r="Q4493" s="169"/>
      <c r="R4493" s="169">
        <v>25</v>
      </c>
    </row>
    <row r="4494" spans="1:18" ht="48">
      <c r="A4494" s="165">
        <v>1646</v>
      </c>
      <c r="B4494" s="162" t="s">
        <v>8244</v>
      </c>
      <c r="C4494" s="166" t="s">
        <v>8245</v>
      </c>
      <c r="D4494" s="167">
        <v>575.86</v>
      </c>
      <c r="E4494" s="167">
        <v>50.24</v>
      </c>
      <c r="F4494" s="167">
        <v>6.21</v>
      </c>
      <c r="G4494" s="167">
        <v>519.41</v>
      </c>
      <c r="H4494" s="168">
        <v>2235.69</v>
      </c>
      <c r="I4494" s="168">
        <v>577.79</v>
      </c>
      <c r="J4494" s="168">
        <v>33.06</v>
      </c>
      <c r="K4494" s="168">
        <v>1624.84</v>
      </c>
      <c r="L4494" s="43">
        <v>3.8823498767061437</v>
      </c>
      <c r="M4494" s="43">
        <v>11.50059713375796</v>
      </c>
      <c r="N4494" s="43">
        <v>5.3236714975845416</v>
      </c>
      <c r="O4494" s="43">
        <v>3.1282416588051829</v>
      </c>
      <c r="P4494" s="169"/>
      <c r="Q4494" s="169"/>
      <c r="R4494" s="169">
        <v>25</v>
      </c>
    </row>
    <row r="4495" spans="1:18" ht="48">
      <c r="A4495" s="165">
        <v>1647</v>
      </c>
      <c r="B4495" s="162" t="s">
        <v>8246</v>
      </c>
      <c r="C4495" s="166" t="s">
        <v>8247</v>
      </c>
      <c r="D4495" s="167">
        <v>455.12</v>
      </c>
      <c r="E4495" s="167">
        <v>47.43</v>
      </c>
      <c r="F4495" s="167">
        <v>6.11</v>
      </c>
      <c r="G4495" s="167">
        <v>401.58</v>
      </c>
      <c r="H4495" s="168">
        <v>1933.99</v>
      </c>
      <c r="I4495" s="168">
        <v>545.48</v>
      </c>
      <c r="J4495" s="168">
        <v>32.54</v>
      </c>
      <c r="K4495" s="168">
        <v>1355.97</v>
      </c>
      <c r="L4495" s="43">
        <v>4.2494067498681662</v>
      </c>
      <c r="M4495" s="43">
        <v>11.500737929580435</v>
      </c>
      <c r="N4495" s="43">
        <v>5.3256955810147293</v>
      </c>
      <c r="O4495" s="43">
        <v>3.3765874794561483</v>
      </c>
      <c r="P4495" s="169"/>
      <c r="Q4495" s="169"/>
      <c r="R4495" s="169">
        <v>25</v>
      </c>
    </row>
    <row r="4496" spans="1:18" ht="48">
      <c r="A4496" s="165">
        <v>1648</v>
      </c>
      <c r="B4496" s="162" t="s">
        <v>8248</v>
      </c>
      <c r="C4496" s="166" t="s">
        <v>8249</v>
      </c>
      <c r="D4496" s="167">
        <v>595.39</v>
      </c>
      <c r="E4496" s="167">
        <v>59.12</v>
      </c>
      <c r="F4496" s="167">
        <v>9.06</v>
      </c>
      <c r="G4496" s="167">
        <v>527.21</v>
      </c>
      <c r="H4496" s="168">
        <v>2397.73</v>
      </c>
      <c r="I4496" s="168">
        <v>679.91</v>
      </c>
      <c r="J4496" s="168">
        <v>48.36</v>
      </c>
      <c r="K4496" s="168">
        <v>1669.46</v>
      </c>
      <c r="L4496" s="43">
        <v>4.027158669107644</v>
      </c>
      <c r="M4496" s="43">
        <v>11.500507442489852</v>
      </c>
      <c r="N4496" s="43">
        <v>5.3377483443708602</v>
      </c>
      <c r="O4496" s="43">
        <v>3.1665939568672825</v>
      </c>
      <c r="P4496" s="169"/>
      <c r="Q4496" s="169"/>
      <c r="R4496" s="169">
        <v>25</v>
      </c>
    </row>
    <row r="4497" spans="1:18" ht="48">
      <c r="A4497" s="165">
        <v>1649</v>
      </c>
      <c r="B4497" s="162" t="s">
        <v>8250</v>
      </c>
      <c r="C4497" s="166" t="s">
        <v>8251</v>
      </c>
      <c r="D4497" s="167">
        <v>464.17</v>
      </c>
      <c r="E4497" s="167">
        <v>52.49</v>
      </c>
      <c r="F4497" s="167">
        <v>6.19</v>
      </c>
      <c r="G4497" s="167">
        <v>405.49</v>
      </c>
      <c r="H4497" s="168">
        <v>2005.84</v>
      </c>
      <c r="I4497" s="168">
        <v>603.64</v>
      </c>
      <c r="J4497" s="168">
        <v>32.93</v>
      </c>
      <c r="K4497" s="168">
        <v>1369.27</v>
      </c>
      <c r="L4497" s="43">
        <v>4.3213477820626061</v>
      </c>
      <c r="M4497" s="43">
        <v>11.500095256239282</v>
      </c>
      <c r="N4497" s="43">
        <v>5.3198707592891754</v>
      </c>
      <c r="O4497" s="43">
        <v>3.3768280352166515</v>
      </c>
      <c r="P4497" s="169"/>
      <c r="Q4497" s="169"/>
      <c r="R4497" s="169">
        <v>25</v>
      </c>
    </row>
    <row r="4498" spans="1:18" ht="48">
      <c r="A4498" s="165">
        <v>1650</v>
      </c>
      <c r="B4498" s="162" t="s">
        <v>8252</v>
      </c>
      <c r="C4498" s="166" t="s">
        <v>8253</v>
      </c>
      <c r="D4498" s="167">
        <v>607.82000000000005</v>
      </c>
      <c r="E4498" s="167">
        <v>66.650000000000006</v>
      </c>
      <c r="F4498" s="167">
        <v>9.17</v>
      </c>
      <c r="G4498" s="167">
        <v>532</v>
      </c>
      <c r="H4498" s="168">
        <v>2501.27</v>
      </c>
      <c r="I4498" s="168">
        <v>766.51</v>
      </c>
      <c r="J4498" s="168">
        <v>48.95</v>
      </c>
      <c r="K4498" s="168">
        <v>1685.81</v>
      </c>
      <c r="L4498" s="43">
        <v>4.1151492218090882</v>
      </c>
      <c r="M4498" s="43">
        <v>11.500525131282819</v>
      </c>
      <c r="N4498" s="43">
        <v>5.3380588876772084</v>
      </c>
      <c r="O4498" s="43">
        <v>3.1688157894736841</v>
      </c>
      <c r="P4498" s="169"/>
      <c r="Q4498" s="169"/>
      <c r="R4498" s="169">
        <v>25</v>
      </c>
    </row>
    <row r="4499" spans="1:18" ht="48">
      <c r="A4499" s="165">
        <v>1651</v>
      </c>
      <c r="B4499" s="162" t="s">
        <v>8254</v>
      </c>
      <c r="C4499" s="166" t="s">
        <v>8255</v>
      </c>
      <c r="D4499" s="167">
        <v>478.16</v>
      </c>
      <c r="E4499" s="167">
        <v>58.56</v>
      </c>
      <c r="F4499" s="167">
        <v>9.09</v>
      </c>
      <c r="G4499" s="167">
        <v>410.51</v>
      </c>
      <c r="H4499" s="168">
        <v>2118.0300000000002</v>
      </c>
      <c r="I4499" s="168">
        <v>673.44</v>
      </c>
      <c r="J4499" s="168">
        <v>48.49</v>
      </c>
      <c r="K4499" s="168">
        <v>1396.1</v>
      </c>
      <c r="L4499" s="43">
        <v>4.4295424125815632</v>
      </c>
      <c r="M4499" s="43">
        <v>11.5</v>
      </c>
      <c r="N4499" s="43">
        <v>5.3344334433443343</v>
      </c>
      <c r="O4499" s="43">
        <v>3.4008915738958856</v>
      </c>
      <c r="P4499" s="169"/>
      <c r="Q4499" s="169"/>
      <c r="R4499" s="169">
        <v>25</v>
      </c>
    </row>
    <row r="4500" spans="1:18" ht="48">
      <c r="A4500" s="165">
        <v>1652</v>
      </c>
      <c r="B4500" s="162" t="s">
        <v>8256</v>
      </c>
      <c r="C4500" s="166" t="s">
        <v>8257</v>
      </c>
      <c r="D4500" s="167">
        <v>650.58000000000004</v>
      </c>
      <c r="E4500" s="167">
        <v>77.89</v>
      </c>
      <c r="F4500" s="167">
        <v>18.47</v>
      </c>
      <c r="G4500" s="167">
        <v>554.22</v>
      </c>
      <c r="H4500" s="168">
        <v>2785.21</v>
      </c>
      <c r="I4500" s="168">
        <v>895.77</v>
      </c>
      <c r="J4500" s="168">
        <v>98.88</v>
      </c>
      <c r="K4500" s="168">
        <v>1790.56</v>
      </c>
      <c r="L4500" s="43">
        <v>4.2811183866703555</v>
      </c>
      <c r="M4500" s="43">
        <v>11.500449351649761</v>
      </c>
      <c r="N4500" s="43">
        <v>5.3535462912831617</v>
      </c>
      <c r="O4500" s="43">
        <v>3.2307747825773157</v>
      </c>
      <c r="P4500" s="169"/>
      <c r="Q4500" s="169"/>
      <c r="R4500" s="169">
        <v>25</v>
      </c>
    </row>
    <row r="4501" spans="1:18" ht="48">
      <c r="A4501" s="165">
        <v>1653</v>
      </c>
      <c r="B4501" s="162" t="s">
        <v>8258</v>
      </c>
      <c r="C4501" s="166" t="s">
        <v>8259</v>
      </c>
      <c r="D4501" s="167">
        <v>624.9</v>
      </c>
      <c r="E4501" s="167">
        <v>69.8</v>
      </c>
      <c r="F4501" s="167">
        <v>18.36</v>
      </c>
      <c r="G4501" s="167">
        <v>536.74</v>
      </c>
      <c r="H4501" s="168">
        <v>2622.32</v>
      </c>
      <c r="I4501" s="168">
        <v>802.7</v>
      </c>
      <c r="J4501" s="168">
        <v>98.29</v>
      </c>
      <c r="K4501" s="168">
        <v>1721.33</v>
      </c>
      <c r="L4501" s="43">
        <v>4.1963834213474156</v>
      </c>
      <c r="M4501" s="43">
        <v>11.500000000000002</v>
      </c>
      <c r="N4501" s="43">
        <v>5.3534858387799567</v>
      </c>
      <c r="O4501" s="43">
        <v>3.2070089801393595</v>
      </c>
      <c r="P4501" s="169"/>
      <c r="Q4501" s="169"/>
      <c r="R4501" s="169">
        <v>25</v>
      </c>
    </row>
    <row r="4502" spans="1:18" ht="48">
      <c r="A4502" s="165">
        <v>1654</v>
      </c>
      <c r="B4502" s="162" t="s">
        <v>8260</v>
      </c>
      <c r="C4502" s="166" t="s">
        <v>8261</v>
      </c>
      <c r="D4502" s="167">
        <v>890.05</v>
      </c>
      <c r="E4502" s="167">
        <v>93.63</v>
      </c>
      <c r="F4502" s="167">
        <v>19.23</v>
      </c>
      <c r="G4502" s="167">
        <v>777.19</v>
      </c>
      <c r="H4502" s="168">
        <v>3505.15</v>
      </c>
      <c r="I4502" s="168">
        <v>1076.74</v>
      </c>
      <c r="J4502" s="168">
        <v>102.9</v>
      </c>
      <c r="K4502" s="168">
        <v>2325.5100000000002</v>
      </c>
      <c r="L4502" s="43">
        <v>3.938149542160553</v>
      </c>
      <c r="M4502" s="43">
        <v>11.499946598312507</v>
      </c>
      <c r="N4502" s="43">
        <v>5.3510140405616227</v>
      </c>
      <c r="O4502" s="43">
        <v>2.9922026788816121</v>
      </c>
      <c r="P4502" s="169"/>
      <c r="Q4502" s="169"/>
      <c r="R4502" s="169">
        <v>25</v>
      </c>
    </row>
    <row r="4503" spans="1:18" ht="24">
      <c r="A4503" s="165">
        <v>1655</v>
      </c>
      <c r="B4503" s="162" t="s">
        <v>8262</v>
      </c>
      <c r="C4503" s="166" t="s">
        <v>8263</v>
      </c>
      <c r="D4503" s="167">
        <v>9.27</v>
      </c>
      <c r="E4503" s="167">
        <v>1.86</v>
      </c>
      <c r="F4503" s="167">
        <v>0.15</v>
      </c>
      <c r="G4503" s="167">
        <v>7.26</v>
      </c>
      <c r="H4503" s="168">
        <v>63.4</v>
      </c>
      <c r="I4503" s="168">
        <v>21.45</v>
      </c>
      <c r="J4503" s="168">
        <v>0.82</v>
      </c>
      <c r="K4503" s="168">
        <v>41.13</v>
      </c>
      <c r="L4503" s="43">
        <v>6.8392664509169361</v>
      </c>
      <c r="M4503" s="43">
        <v>11.5</v>
      </c>
      <c r="N4503" s="43">
        <v>5.4666666666666668</v>
      </c>
      <c r="O4503" s="43">
        <v>5.6652892561983474</v>
      </c>
      <c r="P4503" s="169"/>
      <c r="Q4503" s="169"/>
      <c r="R4503" s="169">
        <v>25</v>
      </c>
    </row>
    <row r="4504" spans="1:18" ht="12.75" customHeight="1">
      <c r="A4504" s="628" t="s">
        <v>8264</v>
      </c>
      <c r="B4504" s="629"/>
      <c r="C4504" s="629"/>
      <c r="D4504" s="629"/>
      <c r="E4504" s="629"/>
      <c r="F4504" s="629"/>
      <c r="G4504" s="629"/>
      <c r="H4504" s="629"/>
      <c r="I4504" s="629"/>
      <c r="J4504" s="629"/>
      <c r="K4504" s="629"/>
      <c r="L4504" s="629"/>
      <c r="M4504" s="629"/>
      <c r="N4504" s="629"/>
      <c r="O4504" s="629"/>
      <c r="P4504" s="629"/>
      <c r="Q4504" s="629"/>
      <c r="R4504" s="629"/>
    </row>
    <row r="4505" spans="1:18" ht="12.75" customHeight="1">
      <c r="A4505" s="628" t="s">
        <v>8265</v>
      </c>
      <c r="B4505" s="629"/>
      <c r="C4505" s="629"/>
      <c r="D4505" s="629"/>
      <c r="E4505" s="629"/>
      <c r="F4505" s="629"/>
      <c r="G4505" s="629"/>
      <c r="H4505" s="629"/>
      <c r="I4505" s="629"/>
      <c r="J4505" s="629"/>
      <c r="K4505" s="629"/>
      <c r="L4505" s="629"/>
      <c r="M4505" s="629"/>
      <c r="N4505" s="629"/>
      <c r="O4505" s="629"/>
      <c r="P4505" s="629"/>
      <c r="Q4505" s="629"/>
      <c r="R4505" s="629"/>
    </row>
    <row r="4506" spans="1:18" ht="48">
      <c r="A4506" s="165">
        <v>1656</v>
      </c>
      <c r="B4506" s="162" t="s">
        <v>8266</v>
      </c>
      <c r="C4506" s="166" t="s">
        <v>8267</v>
      </c>
      <c r="D4506" s="167">
        <v>2075.17</v>
      </c>
      <c r="E4506" s="167">
        <v>266.63</v>
      </c>
      <c r="F4506" s="167">
        <v>431.86</v>
      </c>
      <c r="G4506" s="167">
        <v>1376.68</v>
      </c>
      <c r="H4506" s="168">
        <v>10359.209999999999</v>
      </c>
      <c r="I4506" s="168">
        <v>3066.3</v>
      </c>
      <c r="J4506" s="168">
        <v>2150.7399999999998</v>
      </c>
      <c r="K4506" s="168">
        <v>5142.17</v>
      </c>
      <c r="L4506" s="43">
        <v>4.9919813798387596</v>
      </c>
      <c r="M4506" s="43">
        <v>11.500206278363276</v>
      </c>
      <c r="N4506" s="43">
        <v>4.9801787616357149</v>
      </c>
      <c r="O4506" s="43">
        <v>3.7351962692855274</v>
      </c>
      <c r="P4506" s="169"/>
      <c r="Q4506" s="169"/>
      <c r="R4506" s="169">
        <v>1</v>
      </c>
    </row>
    <row r="4507" spans="1:18" ht="48">
      <c r="A4507" s="165">
        <v>1657</v>
      </c>
      <c r="B4507" s="162" t="s">
        <v>8268</v>
      </c>
      <c r="C4507" s="166" t="s">
        <v>8269</v>
      </c>
      <c r="D4507" s="167">
        <v>2237.8200000000002</v>
      </c>
      <c r="E4507" s="167">
        <v>280.85000000000002</v>
      </c>
      <c r="F4507" s="167">
        <v>579.4</v>
      </c>
      <c r="G4507" s="167">
        <v>1377.57</v>
      </c>
      <c r="H4507" s="168">
        <v>11302.96</v>
      </c>
      <c r="I4507" s="168">
        <v>3229.84</v>
      </c>
      <c r="J4507" s="168">
        <v>2924.42</v>
      </c>
      <c r="K4507" s="168">
        <v>5148.7</v>
      </c>
      <c r="L4507" s="43">
        <v>5.0508798741632477</v>
      </c>
      <c r="M4507" s="43">
        <v>11.500231440270607</v>
      </c>
      <c r="N4507" s="43">
        <v>5.0473248187780468</v>
      </c>
      <c r="O4507" s="43">
        <v>3.7375233200490721</v>
      </c>
      <c r="P4507" s="169"/>
      <c r="Q4507" s="169"/>
      <c r="R4507" s="169">
        <v>1</v>
      </c>
    </row>
    <row r="4508" spans="1:18" ht="36">
      <c r="A4508" s="165">
        <v>1658</v>
      </c>
      <c r="B4508" s="162" t="s">
        <v>8270</v>
      </c>
      <c r="C4508" s="166" t="s">
        <v>8271</v>
      </c>
      <c r="D4508" s="167">
        <v>285.08</v>
      </c>
      <c r="E4508" s="167">
        <v>83.54</v>
      </c>
      <c r="F4508" s="167">
        <v>180.71</v>
      </c>
      <c r="G4508" s="167">
        <v>20.83</v>
      </c>
      <c r="H4508" s="168">
        <v>2051.23</v>
      </c>
      <c r="I4508" s="168">
        <v>960.77</v>
      </c>
      <c r="J4508" s="168">
        <v>970.9</v>
      </c>
      <c r="K4508" s="168">
        <v>119.56</v>
      </c>
      <c r="L4508" s="43">
        <v>7.1952785183106505</v>
      </c>
      <c r="M4508" s="43">
        <v>11.500718218817331</v>
      </c>
      <c r="N4508" s="43">
        <v>5.3726965856897788</v>
      </c>
      <c r="O4508" s="43">
        <v>5.7397983677388389</v>
      </c>
      <c r="P4508" s="169"/>
      <c r="Q4508" s="169"/>
      <c r="R4508" s="169">
        <v>1</v>
      </c>
    </row>
    <row r="4509" spans="1:18" ht="36">
      <c r="A4509" s="165">
        <v>1659</v>
      </c>
      <c r="B4509" s="162" t="s">
        <v>8272</v>
      </c>
      <c r="C4509" s="166" t="s">
        <v>8273</v>
      </c>
      <c r="D4509" s="167">
        <v>342.45</v>
      </c>
      <c r="E4509" s="167">
        <v>69.56</v>
      </c>
      <c r="F4509" s="167">
        <v>252.34</v>
      </c>
      <c r="G4509" s="167">
        <v>20.55</v>
      </c>
      <c r="H4509" s="168">
        <v>2272.4</v>
      </c>
      <c r="I4509" s="168">
        <v>799.96</v>
      </c>
      <c r="J4509" s="168">
        <v>1356.1</v>
      </c>
      <c r="K4509" s="168">
        <v>116.34</v>
      </c>
      <c r="L4509" s="43">
        <v>6.6357132428091701</v>
      </c>
      <c r="M4509" s="43">
        <v>11.500287521564118</v>
      </c>
      <c r="N4509" s="43">
        <v>5.3740984386145669</v>
      </c>
      <c r="O4509" s="43">
        <v>5.6613138686131386</v>
      </c>
      <c r="P4509" s="169"/>
      <c r="Q4509" s="169"/>
      <c r="R4509" s="169">
        <v>1</v>
      </c>
    </row>
    <row r="4510" spans="1:18" ht="36">
      <c r="A4510" s="165">
        <v>1660</v>
      </c>
      <c r="B4510" s="162" t="s">
        <v>8274</v>
      </c>
      <c r="C4510" s="166" t="s">
        <v>8275</v>
      </c>
      <c r="D4510" s="167">
        <v>406</v>
      </c>
      <c r="E4510" s="167">
        <v>83.54</v>
      </c>
      <c r="F4510" s="167">
        <v>301.02999999999997</v>
      </c>
      <c r="G4510" s="167">
        <v>21.43</v>
      </c>
      <c r="H4510" s="168">
        <v>2701.24</v>
      </c>
      <c r="I4510" s="168">
        <v>960.77</v>
      </c>
      <c r="J4510" s="168">
        <v>1617.71</v>
      </c>
      <c r="K4510" s="168">
        <v>122.76</v>
      </c>
      <c r="L4510" s="43">
        <v>6.6533004926108372</v>
      </c>
      <c r="M4510" s="43">
        <v>11.500718218817331</v>
      </c>
      <c r="N4510" s="43">
        <v>5.373916220974654</v>
      </c>
      <c r="O4510" s="43">
        <v>5.7284181054596361</v>
      </c>
      <c r="P4510" s="169"/>
      <c r="Q4510" s="169"/>
      <c r="R4510" s="169">
        <v>1</v>
      </c>
    </row>
    <row r="4511" spans="1:18" ht="36">
      <c r="A4511" s="165">
        <v>1661</v>
      </c>
      <c r="B4511" s="162" t="s">
        <v>8276</v>
      </c>
      <c r="C4511" s="166" t="s">
        <v>8277</v>
      </c>
      <c r="D4511" s="167">
        <v>259.06</v>
      </c>
      <c r="E4511" s="167">
        <v>69.56</v>
      </c>
      <c r="F4511" s="167">
        <v>177.76</v>
      </c>
      <c r="G4511" s="167">
        <v>11.74</v>
      </c>
      <c r="H4511" s="168">
        <v>1823.45</v>
      </c>
      <c r="I4511" s="168">
        <v>799.96</v>
      </c>
      <c r="J4511" s="168">
        <v>954.57</v>
      </c>
      <c r="K4511" s="168">
        <v>68.92</v>
      </c>
      <c r="L4511" s="43">
        <v>7.0387168995599474</v>
      </c>
      <c r="M4511" s="43">
        <v>11.500287521564118</v>
      </c>
      <c r="N4511" s="43">
        <v>5.3699932493249332</v>
      </c>
      <c r="O4511" s="43">
        <v>5.8705281090289612</v>
      </c>
      <c r="P4511" s="169"/>
      <c r="Q4511" s="169"/>
      <c r="R4511" s="169">
        <v>1</v>
      </c>
    </row>
    <row r="4512" spans="1:18" ht="36">
      <c r="A4512" s="165">
        <v>1662</v>
      </c>
      <c r="B4512" s="162" t="s">
        <v>8278</v>
      </c>
      <c r="C4512" s="166" t="s">
        <v>8279</v>
      </c>
      <c r="D4512" s="167">
        <v>435.19</v>
      </c>
      <c r="E4512" s="167">
        <v>97.41</v>
      </c>
      <c r="F4512" s="167">
        <v>322.51</v>
      </c>
      <c r="G4512" s="167">
        <v>15.27</v>
      </c>
      <c r="H4512" s="168">
        <v>2937.27</v>
      </c>
      <c r="I4512" s="168">
        <v>1120.22</v>
      </c>
      <c r="J4512" s="168">
        <v>1732.89</v>
      </c>
      <c r="K4512" s="168">
        <v>84.16</v>
      </c>
      <c r="L4512" s="43">
        <v>6.7493968151841726</v>
      </c>
      <c r="M4512" s="43">
        <v>11.500051329432297</v>
      </c>
      <c r="N4512" s="43">
        <v>5.3731357167219622</v>
      </c>
      <c r="O4512" s="43">
        <v>5.5114603798297317</v>
      </c>
      <c r="P4512" s="169"/>
      <c r="Q4512" s="169"/>
      <c r="R4512" s="169">
        <v>1</v>
      </c>
    </row>
    <row r="4513" spans="1:18" ht="36">
      <c r="A4513" s="165">
        <v>1663</v>
      </c>
      <c r="B4513" s="162" t="s">
        <v>8280</v>
      </c>
      <c r="C4513" s="166" t="s">
        <v>8281</v>
      </c>
      <c r="D4513" s="167">
        <v>626.35</v>
      </c>
      <c r="E4513" s="167">
        <v>125.61</v>
      </c>
      <c r="F4513" s="167">
        <v>479.68</v>
      </c>
      <c r="G4513" s="167">
        <v>21.06</v>
      </c>
      <c r="H4513" s="168">
        <v>4127.13</v>
      </c>
      <c r="I4513" s="168">
        <v>1444.57</v>
      </c>
      <c r="J4513" s="168">
        <v>2577.9</v>
      </c>
      <c r="K4513" s="168">
        <v>104.66</v>
      </c>
      <c r="L4513" s="43">
        <v>6.5891753811766582</v>
      </c>
      <c r="M4513" s="43">
        <v>11.50043786322745</v>
      </c>
      <c r="N4513" s="43">
        <v>5.3742078052034694</v>
      </c>
      <c r="O4513" s="43">
        <v>4.9696106362773032</v>
      </c>
      <c r="P4513" s="169"/>
      <c r="Q4513" s="169"/>
      <c r="R4513" s="169">
        <v>1</v>
      </c>
    </row>
    <row r="4514" spans="1:18" ht="36">
      <c r="A4514" s="165">
        <v>1664</v>
      </c>
      <c r="B4514" s="162" t="s">
        <v>8282</v>
      </c>
      <c r="C4514" s="166" t="s">
        <v>8283</v>
      </c>
      <c r="D4514" s="167">
        <v>818.5</v>
      </c>
      <c r="E4514" s="167">
        <v>152.87</v>
      </c>
      <c r="F4514" s="167">
        <v>642.48</v>
      </c>
      <c r="G4514" s="167">
        <v>23.15</v>
      </c>
      <c r="H4514" s="168">
        <v>5330.2</v>
      </c>
      <c r="I4514" s="168">
        <v>1758.01</v>
      </c>
      <c r="J4514" s="168">
        <v>3453.22</v>
      </c>
      <c r="K4514" s="168">
        <v>118.97</v>
      </c>
      <c r="L4514" s="43">
        <v>6.5121563836285885</v>
      </c>
      <c r="M4514" s="43">
        <v>11.500032707529273</v>
      </c>
      <c r="N4514" s="43">
        <v>5.3748287884447761</v>
      </c>
      <c r="O4514" s="43">
        <v>5.1390928725701945</v>
      </c>
      <c r="P4514" s="169"/>
      <c r="Q4514" s="169"/>
      <c r="R4514" s="169">
        <v>1</v>
      </c>
    </row>
    <row r="4515" spans="1:18" ht="36">
      <c r="A4515" s="165">
        <v>1665</v>
      </c>
      <c r="B4515" s="162" t="s">
        <v>8284</v>
      </c>
      <c r="C4515" s="166" t="s">
        <v>8285</v>
      </c>
      <c r="D4515" s="167">
        <v>336.23</v>
      </c>
      <c r="E4515" s="167">
        <v>83.54</v>
      </c>
      <c r="F4515" s="167">
        <v>238.3</v>
      </c>
      <c r="G4515" s="167">
        <v>14.39</v>
      </c>
      <c r="H4515" s="168">
        <v>2318.58</v>
      </c>
      <c r="I4515" s="168">
        <v>960.77</v>
      </c>
      <c r="J4515" s="168">
        <v>1280.07</v>
      </c>
      <c r="K4515" s="168">
        <v>77.739999999999995</v>
      </c>
      <c r="L4515" s="43">
        <v>6.8958153644826456</v>
      </c>
      <c r="M4515" s="43">
        <v>11.500718218817331</v>
      </c>
      <c r="N4515" s="43">
        <v>5.3716743600503563</v>
      </c>
      <c r="O4515" s="43">
        <v>5.4023627519110491</v>
      </c>
      <c r="P4515" s="169"/>
      <c r="Q4515" s="169"/>
      <c r="R4515" s="169">
        <v>1</v>
      </c>
    </row>
    <row r="4516" spans="1:18" ht="36">
      <c r="A4516" s="165">
        <v>1666</v>
      </c>
      <c r="B4516" s="162" t="s">
        <v>8286</v>
      </c>
      <c r="C4516" s="166" t="s">
        <v>8287</v>
      </c>
      <c r="D4516" s="167">
        <v>573.42999999999995</v>
      </c>
      <c r="E4516" s="167">
        <v>111.27</v>
      </c>
      <c r="F4516" s="167">
        <v>441.86</v>
      </c>
      <c r="G4516" s="167">
        <v>20.3</v>
      </c>
      <c r="H4516" s="168">
        <v>3753.12</v>
      </c>
      <c r="I4516" s="168">
        <v>1279.67</v>
      </c>
      <c r="J4516" s="168">
        <v>2374.5700000000002</v>
      </c>
      <c r="K4516" s="168">
        <v>98.88</v>
      </c>
      <c r="L4516" s="43">
        <v>6.5450360113701764</v>
      </c>
      <c r="M4516" s="43">
        <v>11.500584164644559</v>
      </c>
      <c r="N4516" s="43">
        <v>5.3740324989815784</v>
      </c>
      <c r="O4516" s="43">
        <v>4.8709359605911322</v>
      </c>
      <c r="P4516" s="169"/>
      <c r="Q4516" s="169"/>
      <c r="R4516" s="169">
        <v>1</v>
      </c>
    </row>
    <row r="4517" spans="1:18" ht="36">
      <c r="A4517" s="165">
        <v>1667</v>
      </c>
      <c r="B4517" s="162" t="s">
        <v>8288</v>
      </c>
      <c r="C4517" s="166" t="s">
        <v>8289</v>
      </c>
      <c r="D4517" s="167">
        <v>844.95</v>
      </c>
      <c r="E4517" s="167">
        <v>152.87</v>
      </c>
      <c r="F4517" s="167">
        <v>668.59</v>
      </c>
      <c r="G4517" s="167">
        <v>23.49</v>
      </c>
      <c r="H4517" s="168">
        <v>5472.19</v>
      </c>
      <c r="I4517" s="168">
        <v>1758.01</v>
      </c>
      <c r="J4517" s="168">
        <v>3593.6</v>
      </c>
      <c r="K4517" s="168">
        <v>120.58</v>
      </c>
      <c r="L4517" s="43">
        <v>6.4763477128824185</v>
      </c>
      <c r="M4517" s="43">
        <v>11.500032707529273</v>
      </c>
      <c r="N4517" s="43">
        <v>5.3748934324473892</v>
      </c>
      <c r="O4517" s="43">
        <v>5.1332481907194554</v>
      </c>
      <c r="P4517" s="169"/>
      <c r="Q4517" s="169"/>
      <c r="R4517" s="169">
        <v>1</v>
      </c>
    </row>
    <row r="4518" spans="1:18" ht="36">
      <c r="A4518" s="165">
        <v>1668</v>
      </c>
      <c r="B4518" s="162" t="s">
        <v>8290</v>
      </c>
      <c r="C4518" s="166" t="s">
        <v>8291</v>
      </c>
      <c r="D4518" s="167">
        <v>1113.69</v>
      </c>
      <c r="E4518" s="167">
        <v>194.34</v>
      </c>
      <c r="F4518" s="167">
        <v>889.68</v>
      </c>
      <c r="G4518" s="167">
        <v>29.67</v>
      </c>
      <c r="H4518" s="168">
        <v>7162.13</v>
      </c>
      <c r="I4518" s="168">
        <v>2234.9899999999998</v>
      </c>
      <c r="J4518" s="168">
        <v>4782.3</v>
      </c>
      <c r="K4518" s="168">
        <v>144.84</v>
      </c>
      <c r="L4518" s="43">
        <v>6.4309906706534132</v>
      </c>
      <c r="M4518" s="43">
        <v>11.500411649686116</v>
      </c>
      <c r="N4518" s="43">
        <v>5.3753034799028869</v>
      </c>
      <c r="O4518" s="43">
        <v>4.8816986855409503</v>
      </c>
      <c r="P4518" s="169"/>
      <c r="Q4518" s="169"/>
      <c r="R4518" s="169">
        <v>1</v>
      </c>
    </row>
    <row r="4519" spans="1:18" ht="12.75" customHeight="1">
      <c r="A4519" s="628" t="s">
        <v>8292</v>
      </c>
      <c r="B4519" s="629"/>
      <c r="C4519" s="629"/>
      <c r="D4519" s="629"/>
      <c r="E4519" s="629"/>
      <c r="F4519" s="629"/>
      <c r="G4519" s="629"/>
      <c r="H4519" s="629"/>
      <c r="I4519" s="629"/>
      <c r="J4519" s="629"/>
      <c r="K4519" s="629"/>
      <c r="L4519" s="629"/>
      <c r="M4519" s="629"/>
      <c r="N4519" s="629"/>
      <c r="O4519" s="629"/>
      <c r="P4519" s="629"/>
      <c r="Q4519" s="629"/>
      <c r="R4519" s="629"/>
    </row>
    <row r="4520" spans="1:18" ht="36">
      <c r="A4520" s="165">
        <v>1669</v>
      </c>
      <c r="B4520" s="162" t="s">
        <v>8293</v>
      </c>
      <c r="C4520" s="166" t="s">
        <v>8294</v>
      </c>
      <c r="D4520" s="167">
        <v>273.97000000000003</v>
      </c>
      <c r="E4520" s="167">
        <v>27.49</v>
      </c>
      <c r="F4520" s="167">
        <v>46.05</v>
      </c>
      <c r="G4520" s="167">
        <v>200.43</v>
      </c>
      <c r="H4520" s="168">
        <v>1421.97</v>
      </c>
      <c r="I4520" s="168">
        <v>316.17</v>
      </c>
      <c r="J4520" s="168">
        <v>247.15</v>
      </c>
      <c r="K4520" s="168">
        <v>858.65</v>
      </c>
      <c r="L4520" s="43">
        <v>5.1902398072781688</v>
      </c>
      <c r="M4520" s="43">
        <v>11.501273190251002</v>
      </c>
      <c r="N4520" s="43">
        <v>5.3669923995656896</v>
      </c>
      <c r="O4520" s="43">
        <v>4.2840393154717358</v>
      </c>
      <c r="P4520" s="169"/>
      <c r="Q4520" s="169"/>
      <c r="R4520" s="169">
        <v>2</v>
      </c>
    </row>
    <row r="4521" spans="1:18" ht="36">
      <c r="A4521" s="165">
        <v>1670</v>
      </c>
      <c r="B4521" s="162" t="s">
        <v>8295</v>
      </c>
      <c r="C4521" s="166" t="s">
        <v>8296</v>
      </c>
      <c r="D4521" s="167">
        <v>64.14</v>
      </c>
      <c r="E4521" s="167">
        <v>27.49</v>
      </c>
      <c r="F4521" s="167">
        <v>33.28</v>
      </c>
      <c r="G4521" s="167">
        <v>3.37</v>
      </c>
      <c r="H4521" s="168">
        <v>517.30999999999995</v>
      </c>
      <c r="I4521" s="168">
        <v>316.17</v>
      </c>
      <c r="J4521" s="168">
        <v>179.08</v>
      </c>
      <c r="K4521" s="168">
        <v>22.06</v>
      </c>
      <c r="L4521" s="43">
        <v>8.0653258497037719</v>
      </c>
      <c r="M4521" s="43">
        <v>11.501273190251002</v>
      </c>
      <c r="N4521" s="43">
        <v>5.3810096153846159</v>
      </c>
      <c r="O4521" s="43">
        <v>6.5459940652818984</v>
      </c>
      <c r="P4521" s="169"/>
      <c r="Q4521" s="169"/>
      <c r="R4521" s="169">
        <v>2</v>
      </c>
    </row>
    <row r="4522" spans="1:18" ht="48">
      <c r="A4522" s="165">
        <v>1671</v>
      </c>
      <c r="B4522" s="162" t="s">
        <v>8297</v>
      </c>
      <c r="C4522" s="166" t="s">
        <v>8298</v>
      </c>
      <c r="D4522" s="167">
        <v>263.02999999999997</v>
      </c>
      <c r="E4522" s="167">
        <v>27.49</v>
      </c>
      <c r="F4522" s="167">
        <v>34.51</v>
      </c>
      <c r="G4522" s="167">
        <v>201.03</v>
      </c>
      <c r="H4522" s="168">
        <v>1363.14</v>
      </c>
      <c r="I4522" s="168">
        <v>316.17</v>
      </c>
      <c r="J4522" s="168">
        <v>185.12</v>
      </c>
      <c r="K4522" s="168">
        <v>861.85</v>
      </c>
      <c r="L4522" s="43">
        <v>5.1824506710261193</v>
      </c>
      <c r="M4522" s="43">
        <v>11.501273190251002</v>
      </c>
      <c r="N4522" s="43">
        <v>5.3642422486235875</v>
      </c>
      <c r="O4522" s="43">
        <v>4.2871710689946774</v>
      </c>
      <c r="P4522" s="169"/>
      <c r="Q4522" s="169"/>
      <c r="R4522" s="169">
        <v>2</v>
      </c>
    </row>
    <row r="4523" spans="1:18" ht="48">
      <c r="A4523" s="165">
        <v>1672</v>
      </c>
      <c r="B4523" s="162" t="s">
        <v>8299</v>
      </c>
      <c r="C4523" s="166" t="s">
        <v>8300</v>
      </c>
      <c r="D4523" s="167">
        <v>464.98</v>
      </c>
      <c r="E4523" s="167">
        <v>41.36</v>
      </c>
      <c r="F4523" s="167">
        <v>90.55</v>
      </c>
      <c r="G4523" s="167">
        <v>333.07</v>
      </c>
      <c r="H4523" s="168">
        <v>2386.94</v>
      </c>
      <c r="I4523" s="168">
        <v>475.62</v>
      </c>
      <c r="J4523" s="168">
        <v>486.38</v>
      </c>
      <c r="K4523" s="168">
        <v>1424.94</v>
      </c>
      <c r="L4523" s="43">
        <v>5.1334250935524111</v>
      </c>
      <c r="M4523" s="43">
        <v>11.499516441005802</v>
      </c>
      <c r="N4523" s="43">
        <v>5.3713970182219768</v>
      </c>
      <c r="O4523" s="43">
        <v>4.278199777824482</v>
      </c>
      <c r="P4523" s="169"/>
      <c r="Q4523" s="169"/>
      <c r="R4523" s="169">
        <v>2</v>
      </c>
    </row>
    <row r="4524" spans="1:18" ht="48">
      <c r="A4524" s="165">
        <v>1673</v>
      </c>
      <c r="B4524" s="162" t="s">
        <v>8301</v>
      </c>
      <c r="C4524" s="166" t="s">
        <v>8302</v>
      </c>
      <c r="D4524" s="167">
        <v>544.24</v>
      </c>
      <c r="E4524" s="167">
        <v>41.36</v>
      </c>
      <c r="F4524" s="167">
        <v>102.88</v>
      </c>
      <c r="G4524" s="167">
        <v>400</v>
      </c>
      <c r="H4524" s="168">
        <v>2738.44</v>
      </c>
      <c r="I4524" s="168">
        <v>475.62</v>
      </c>
      <c r="J4524" s="168">
        <v>552.59</v>
      </c>
      <c r="K4524" s="168">
        <v>1710.23</v>
      </c>
      <c r="L4524" s="43">
        <v>5.031677201234749</v>
      </c>
      <c r="M4524" s="43">
        <v>11.499516441005802</v>
      </c>
      <c r="N4524" s="43">
        <v>5.3712091757387252</v>
      </c>
      <c r="O4524" s="43">
        <v>4.2755749999999999</v>
      </c>
      <c r="P4524" s="169"/>
      <c r="Q4524" s="169"/>
      <c r="R4524" s="169">
        <v>2</v>
      </c>
    </row>
    <row r="4525" spans="1:18" ht="48">
      <c r="A4525" s="165">
        <v>1674</v>
      </c>
      <c r="B4525" s="162" t="s">
        <v>8303</v>
      </c>
      <c r="C4525" s="166" t="s">
        <v>8304</v>
      </c>
      <c r="D4525" s="167">
        <v>463.46</v>
      </c>
      <c r="E4525" s="167">
        <v>41.36</v>
      </c>
      <c r="F4525" s="167">
        <v>90.16</v>
      </c>
      <c r="G4525" s="167">
        <v>331.94</v>
      </c>
      <c r="H4525" s="168">
        <v>2375.96</v>
      </c>
      <c r="I4525" s="168">
        <v>475.62</v>
      </c>
      <c r="J4525" s="168">
        <v>484.52</v>
      </c>
      <c r="K4525" s="168">
        <v>1415.82</v>
      </c>
      <c r="L4525" s="43">
        <v>5.1265697147542397</v>
      </c>
      <c r="M4525" s="43">
        <v>11.499516441005802</v>
      </c>
      <c r="N4525" s="43">
        <v>5.3740017746228927</v>
      </c>
      <c r="O4525" s="43">
        <v>4.2652889076339093</v>
      </c>
      <c r="P4525" s="169"/>
      <c r="Q4525" s="169"/>
      <c r="R4525" s="169">
        <v>2</v>
      </c>
    </row>
    <row r="4526" spans="1:18" ht="48">
      <c r="A4526" s="165">
        <v>1675</v>
      </c>
      <c r="B4526" s="162" t="s">
        <v>8305</v>
      </c>
      <c r="C4526" s="166" t="s">
        <v>8306</v>
      </c>
      <c r="D4526" s="167">
        <v>576.9</v>
      </c>
      <c r="E4526" s="167">
        <v>55.22</v>
      </c>
      <c r="F4526" s="167">
        <v>122.87</v>
      </c>
      <c r="G4526" s="167">
        <v>398.81</v>
      </c>
      <c r="H4526" s="168">
        <v>2995.31</v>
      </c>
      <c r="I4526" s="168">
        <v>635.05999999999995</v>
      </c>
      <c r="J4526" s="168">
        <v>660.32</v>
      </c>
      <c r="K4526" s="168">
        <v>1699.93</v>
      </c>
      <c r="L4526" s="43">
        <v>5.1920783498006591</v>
      </c>
      <c r="M4526" s="43">
        <v>11.500543281419775</v>
      </c>
      <c r="N4526" s="43">
        <v>5.3741352649141367</v>
      </c>
      <c r="O4526" s="43">
        <v>4.2625059552167697</v>
      </c>
      <c r="P4526" s="169"/>
      <c r="Q4526" s="169"/>
      <c r="R4526" s="169">
        <v>2</v>
      </c>
    </row>
    <row r="4527" spans="1:18" ht="48">
      <c r="A4527" s="165">
        <v>1676</v>
      </c>
      <c r="B4527" s="162" t="s">
        <v>8307</v>
      </c>
      <c r="C4527" s="166" t="s">
        <v>8308</v>
      </c>
      <c r="D4527" s="167">
        <v>197.61</v>
      </c>
      <c r="E4527" s="167">
        <v>27.49</v>
      </c>
      <c r="F4527" s="167">
        <v>32.58</v>
      </c>
      <c r="G4527" s="167">
        <v>137.54</v>
      </c>
      <c r="H4527" s="168">
        <v>1085.75</v>
      </c>
      <c r="I4527" s="168">
        <v>316.17</v>
      </c>
      <c r="J4527" s="168">
        <v>174.87</v>
      </c>
      <c r="K4527" s="168">
        <v>594.71</v>
      </c>
      <c r="L4527" s="43">
        <v>5.4944081777237992</v>
      </c>
      <c r="M4527" s="43">
        <v>11.501273190251002</v>
      </c>
      <c r="N4527" s="43">
        <v>5.3674033149171274</v>
      </c>
      <c r="O4527" s="43">
        <v>4.3239057728660759</v>
      </c>
      <c r="P4527" s="169"/>
      <c r="Q4527" s="169"/>
      <c r="R4527" s="169">
        <v>2</v>
      </c>
    </row>
    <row r="4528" spans="1:18" ht="48">
      <c r="A4528" s="165">
        <v>1677</v>
      </c>
      <c r="B4528" s="162" t="s">
        <v>8309</v>
      </c>
      <c r="C4528" s="166" t="s">
        <v>8310</v>
      </c>
      <c r="D4528" s="167">
        <v>359.17</v>
      </c>
      <c r="E4528" s="167">
        <v>27.49</v>
      </c>
      <c r="F4528" s="167">
        <v>64.05</v>
      </c>
      <c r="G4528" s="167">
        <v>267.63</v>
      </c>
      <c r="H4528" s="168">
        <v>1803.19</v>
      </c>
      <c r="I4528" s="168">
        <v>316.17</v>
      </c>
      <c r="J4528" s="168">
        <v>344.15</v>
      </c>
      <c r="K4528" s="168">
        <v>1142.8699999999999</v>
      </c>
      <c r="L4528" s="43">
        <v>5.0204360052342905</v>
      </c>
      <c r="M4528" s="43">
        <v>11.501273190251002</v>
      </c>
      <c r="N4528" s="43">
        <v>5.3731459797033567</v>
      </c>
      <c r="O4528" s="43">
        <v>4.2703359115196351</v>
      </c>
      <c r="P4528" s="169"/>
      <c r="Q4528" s="169"/>
      <c r="R4528" s="169">
        <v>2</v>
      </c>
    </row>
    <row r="4529" spans="1:18" ht="12.75" customHeight="1">
      <c r="A4529" s="628" t="s">
        <v>8311</v>
      </c>
      <c r="B4529" s="629"/>
      <c r="C4529" s="629"/>
      <c r="D4529" s="629"/>
      <c r="E4529" s="629"/>
      <c r="F4529" s="629"/>
      <c r="G4529" s="629"/>
      <c r="H4529" s="629"/>
      <c r="I4529" s="629"/>
      <c r="J4529" s="629"/>
      <c r="K4529" s="629"/>
      <c r="L4529" s="629"/>
      <c r="M4529" s="629"/>
      <c r="N4529" s="629"/>
      <c r="O4529" s="629"/>
      <c r="P4529" s="629"/>
      <c r="Q4529" s="629"/>
      <c r="R4529" s="629"/>
    </row>
    <row r="4530" spans="1:18" ht="24">
      <c r="A4530" s="165">
        <v>1678</v>
      </c>
      <c r="B4530" s="162" t="s">
        <v>8312</v>
      </c>
      <c r="C4530" s="166" t="s">
        <v>8313</v>
      </c>
      <c r="D4530" s="167">
        <v>149</v>
      </c>
      <c r="E4530" s="167">
        <v>28.08</v>
      </c>
      <c r="F4530" s="167">
        <v>114.01</v>
      </c>
      <c r="G4530" s="167">
        <v>6.91</v>
      </c>
      <c r="H4530" s="168">
        <v>960.41</v>
      </c>
      <c r="I4530" s="168">
        <v>322.98</v>
      </c>
      <c r="J4530" s="168">
        <v>601.74</v>
      </c>
      <c r="K4530" s="168">
        <v>35.69</v>
      </c>
      <c r="L4530" s="43">
        <v>6.4457046979865771</v>
      </c>
      <c r="M4530" s="43">
        <v>11.502136752136753</v>
      </c>
      <c r="N4530" s="43">
        <v>5.2779580738531706</v>
      </c>
      <c r="O4530" s="43">
        <v>5.1649782923299563</v>
      </c>
      <c r="P4530" s="169"/>
      <c r="Q4530" s="169"/>
      <c r="R4530" s="169">
        <v>3</v>
      </c>
    </row>
    <row r="4531" spans="1:18" ht="24">
      <c r="A4531" s="165">
        <v>1679</v>
      </c>
      <c r="B4531" s="162" t="s">
        <v>8314</v>
      </c>
      <c r="C4531" s="166" t="s">
        <v>8315</v>
      </c>
      <c r="D4531" s="167">
        <v>202.73</v>
      </c>
      <c r="E4531" s="167">
        <v>28.08</v>
      </c>
      <c r="F4531" s="167">
        <v>166.18</v>
      </c>
      <c r="G4531" s="167">
        <v>8.4700000000000006</v>
      </c>
      <c r="H4531" s="168">
        <v>1242.03</v>
      </c>
      <c r="I4531" s="168">
        <v>322.98</v>
      </c>
      <c r="J4531" s="168">
        <v>876.42</v>
      </c>
      <c r="K4531" s="168">
        <v>42.63</v>
      </c>
      <c r="L4531" s="43">
        <v>6.1265229615745085</v>
      </c>
      <c r="M4531" s="43">
        <v>11.502136752136753</v>
      </c>
      <c r="N4531" s="43">
        <v>5.2739198459501742</v>
      </c>
      <c r="O4531" s="43">
        <v>5.0330578512396693</v>
      </c>
      <c r="P4531" s="169"/>
      <c r="Q4531" s="169"/>
      <c r="R4531" s="169">
        <v>3</v>
      </c>
    </row>
    <row r="4532" spans="1:18" ht="24">
      <c r="A4532" s="165">
        <v>1680</v>
      </c>
      <c r="B4532" s="162" t="s">
        <v>8316</v>
      </c>
      <c r="C4532" s="166" t="s">
        <v>8317</v>
      </c>
      <c r="D4532" s="167">
        <v>133.43</v>
      </c>
      <c r="E4532" s="167">
        <v>14.1</v>
      </c>
      <c r="F4532" s="167">
        <v>114.01</v>
      </c>
      <c r="G4532" s="167">
        <v>5.32</v>
      </c>
      <c r="H4532" s="168">
        <v>792.09</v>
      </c>
      <c r="I4532" s="168">
        <v>162.16999999999999</v>
      </c>
      <c r="J4532" s="168">
        <v>601.74</v>
      </c>
      <c r="K4532" s="168">
        <v>28.18</v>
      </c>
      <c r="L4532" s="43">
        <v>5.936371130930076</v>
      </c>
      <c r="M4532" s="43">
        <v>11.501418439716311</v>
      </c>
      <c r="N4532" s="43">
        <v>5.2779580738531706</v>
      </c>
      <c r="O4532" s="43">
        <v>5.2969924812030076</v>
      </c>
      <c r="P4532" s="169"/>
      <c r="Q4532" s="169"/>
      <c r="R4532" s="169">
        <v>3</v>
      </c>
    </row>
    <row r="4533" spans="1:18" ht="24">
      <c r="A4533" s="165">
        <v>1681</v>
      </c>
      <c r="B4533" s="162" t="s">
        <v>8318</v>
      </c>
      <c r="C4533" s="166" t="s">
        <v>8319</v>
      </c>
      <c r="D4533" s="167">
        <v>82.7</v>
      </c>
      <c r="E4533" s="167">
        <v>28.08</v>
      </c>
      <c r="F4533" s="167">
        <v>51.12</v>
      </c>
      <c r="G4533" s="167">
        <v>3.5</v>
      </c>
      <c r="H4533" s="168">
        <v>612.71</v>
      </c>
      <c r="I4533" s="168">
        <v>322.98</v>
      </c>
      <c r="J4533" s="168">
        <v>267.51</v>
      </c>
      <c r="K4533" s="168">
        <v>22.22</v>
      </c>
      <c r="L4533" s="43">
        <v>7.4088270858524794</v>
      </c>
      <c r="M4533" s="43">
        <v>11.502136752136753</v>
      </c>
      <c r="N4533" s="43">
        <v>5.232981220657277</v>
      </c>
      <c r="O4533" s="43">
        <v>6.3485714285714279</v>
      </c>
      <c r="P4533" s="169"/>
      <c r="Q4533" s="169"/>
      <c r="R4533" s="169">
        <v>3</v>
      </c>
    </row>
    <row r="4534" spans="1:18" ht="24">
      <c r="A4534" s="165">
        <v>1682</v>
      </c>
      <c r="B4534" s="162" t="s">
        <v>8320</v>
      </c>
      <c r="C4534" s="166" t="s">
        <v>8321</v>
      </c>
      <c r="D4534" s="167">
        <v>106.41</v>
      </c>
      <c r="E4534" s="167">
        <v>28.08</v>
      </c>
      <c r="F4534" s="167">
        <v>74.23</v>
      </c>
      <c r="G4534" s="167">
        <v>4.0999999999999996</v>
      </c>
      <c r="H4534" s="168">
        <v>737.95</v>
      </c>
      <c r="I4534" s="168">
        <v>322.98</v>
      </c>
      <c r="J4534" s="168">
        <v>389.55</v>
      </c>
      <c r="K4534" s="168">
        <v>25.42</v>
      </c>
      <c r="L4534" s="43">
        <v>6.9349685179964293</v>
      </c>
      <c r="M4534" s="43">
        <v>11.502136752136753</v>
      </c>
      <c r="N4534" s="43">
        <v>5.2478782163545734</v>
      </c>
      <c r="O4534" s="43">
        <v>6.2000000000000011</v>
      </c>
      <c r="P4534" s="169"/>
      <c r="Q4534" s="169"/>
      <c r="R4534" s="169">
        <v>3</v>
      </c>
    </row>
    <row r="4535" spans="1:18" ht="24">
      <c r="A4535" s="165">
        <v>1683</v>
      </c>
      <c r="B4535" s="162" t="s">
        <v>8322</v>
      </c>
      <c r="C4535" s="166" t="s">
        <v>8323</v>
      </c>
      <c r="D4535" s="167">
        <v>124.61</v>
      </c>
      <c r="E4535" s="167">
        <v>28.08</v>
      </c>
      <c r="F4535" s="167">
        <v>91.11</v>
      </c>
      <c r="G4535" s="167">
        <v>5.42</v>
      </c>
      <c r="H4535" s="168">
        <v>832.39</v>
      </c>
      <c r="I4535" s="168">
        <v>322.98</v>
      </c>
      <c r="J4535" s="168">
        <v>479.71</v>
      </c>
      <c r="K4535" s="168">
        <v>29.7</v>
      </c>
      <c r="L4535" s="43">
        <v>6.6799614798170293</v>
      </c>
      <c r="M4535" s="43">
        <v>11.502136752136753</v>
      </c>
      <c r="N4535" s="43">
        <v>5.2651739655361647</v>
      </c>
      <c r="O4535" s="43">
        <v>5.4797047970479706</v>
      </c>
      <c r="P4535" s="169"/>
      <c r="Q4535" s="169"/>
      <c r="R4535" s="169">
        <v>3</v>
      </c>
    </row>
    <row r="4536" spans="1:18" ht="12.75" customHeight="1">
      <c r="A4536" s="628" t="s">
        <v>8324</v>
      </c>
      <c r="B4536" s="629"/>
      <c r="C4536" s="629"/>
      <c r="D4536" s="629"/>
      <c r="E4536" s="629"/>
      <c r="F4536" s="629"/>
      <c r="G4536" s="629"/>
      <c r="H4536" s="629"/>
      <c r="I4536" s="629"/>
      <c r="J4536" s="629"/>
      <c r="K4536" s="629"/>
      <c r="L4536" s="629"/>
      <c r="M4536" s="629"/>
      <c r="N4536" s="629"/>
      <c r="O4536" s="629"/>
      <c r="P4536" s="629"/>
      <c r="Q4536" s="629"/>
      <c r="R4536" s="629"/>
    </row>
    <row r="4537" spans="1:18" ht="24">
      <c r="A4537" s="165">
        <v>1684</v>
      </c>
      <c r="B4537" s="162" t="s">
        <v>8325</v>
      </c>
      <c r="C4537" s="166" t="s">
        <v>8326</v>
      </c>
      <c r="D4537" s="167">
        <v>3290.34</v>
      </c>
      <c r="E4537" s="167">
        <v>199.08</v>
      </c>
      <c r="F4537" s="167">
        <v>2.77</v>
      </c>
      <c r="G4537" s="167">
        <v>3088.49</v>
      </c>
      <c r="H4537" s="168">
        <v>9642.86</v>
      </c>
      <c r="I4537" s="168">
        <v>2289.5</v>
      </c>
      <c r="J4537" s="168">
        <v>14.93</v>
      </c>
      <c r="K4537" s="168">
        <v>7338.43</v>
      </c>
      <c r="L4537" s="43">
        <v>2.9306576220086678</v>
      </c>
      <c r="M4537" s="43">
        <v>11.500401848503113</v>
      </c>
      <c r="N4537" s="43">
        <v>5.3898916967509027</v>
      </c>
      <c r="O4537" s="43">
        <v>2.3760575556339831</v>
      </c>
      <c r="P4537" s="169"/>
      <c r="Q4537" s="169"/>
      <c r="R4537" s="169">
        <v>4</v>
      </c>
    </row>
    <row r="4538" spans="1:18" ht="24">
      <c r="A4538" s="165">
        <v>1685</v>
      </c>
      <c r="B4538" s="162" t="s">
        <v>8327</v>
      </c>
      <c r="C4538" s="166" t="s">
        <v>8328</v>
      </c>
      <c r="D4538" s="167">
        <v>3562.39</v>
      </c>
      <c r="E4538" s="167">
        <v>411.2</v>
      </c>
      <c r="F4538" s="167">
        <v>18.27</v>
      </c>
      <c r="G4538" s="167">
        <v>3132.92</v>
      </c>
      <c r="H4538" s="168">
        <v>12401.79</v>
      </c>
      <c r="I4538" s="168">
        <v>4728.92</v>
      </c>
      <c r="J4538" s="168">
        <v>94.72</v>
      </c>
      <c r="K4538" s="168">
        <v>7578.15</v>
      </c>
      <c r="L4538" s="43">
        <v>3.4813117036596219</v>
      </c>
      <c r="M4538" s="43">
        <v>11.500291828793776</v>
      </c>
      <c r="N4538" s="43">
        <v>5.1844553913519436</v>
      </c>
      <c r="O4538" s="43">
        <v>2.4188775966191285</v>
      </c>
      <c r="P4538" s="169"/>
      <c r="Q4538" s="169"/>
      <c r="R4538" s="169">
        <v>4</v>
      </c>
    </row>
    <row r="4539" spans="1:18" ht="24">
      <c r="A4539" s="165">
        <v>1686</v>
      </c>
      <c r="B4539" s="162" t="s">
        <v>8329</v>
      </c>
      <c r="C4539" s="166" t="s">
        <v>8330</v>
      </c>
      <c r="D4539" s="167">
        <v>3706.02</v>
      </c>
      <c r="E4539" s="167">
        <v>459.78</v>
      </c>
      <c r="F4539" s="167">
        <v>23.71</v>
      </c>
      <c r="G4539" s="167">
        <v>3222.53</v>
      </c>
      <c r="H4539" s="168">
        <v>13521.07</v>
      </c>
      <c r="I4539" s="168">
        <v>5287.66</v>
      </c>
      <c r="J4539" s="168">
        <v>123.36</v>
      </c>
      <c r="K4539" s="168">
        <v>8110.05</v>
      </c>
      <c r="L4539" s="43">
        <v>3.6484071861457843</v>
      </c>
      <c r="M4539" s="43">
        <v>11.500413241115316</v>
      </c>
      <c r="N4539" s="43">
        <v>5.2028679881906363</v>
      </c>
      <c r="O4539" s="43">
        <v>2.5166716834288585</v>
      </c>
      <c r="P4539" s="169"/>
      <c r="Q4539" s="169"/>
      <c r="R4539" s="169">
        <v>4</v>
      </c>
    </row>
    <row r="4540" spans="1:18" ht="24">
      <c r="A4540" s="165">
        <v>1687</v>
      </c>
      <c r="B4540" s="162" t="s">
        <v>8331</v>
      </c>
      <c r="C4540" s="166" t="s">
        <v>8332</v>
      </c>
      <c r="D4540" s="167">
        <v>3849.52</v>
      </c>
      <c r="E4540" s="167">
        <v>552.21</v>
      </c>
      <c r="F4540" s="167">
        <v>32.700000000000003</v>
      </c>
      <c r="G4540" s="167">
        <v>3264.61</v>
      </c>
      <c r="H4540" s="168">
        <v>14783.13</v>
      </c>
      <c r="I4540" s="168">
        <v>6350.65</v>
      </c>
      <c r="J4540" s="168">
        <v>170.34</v>
      </c>
      <c r="K4540" s="168">
        <v>8262.14</v>
      </c>
      <c r="L4540" s="43">
        <v>3.84025281074004</v>
      </c>
      <c r="M4540" s="43">
        <v>11.500425562738812</v>
      </c>
      <c r="N4540" s="43">
        <v>5.2091743119266054</v>
      </c>
      <c r="O4540" s="43">
        <v>2.5308199141704519</v>
      </c>
      <c r="P4540" s="169"/>
      <c r="Q4540" s="169"/>
      <c r="R4540" s="169">
        <v>4</v>
      </c>
    </row>
    <row r="4541" spans="1:18" ht="24">
      <c r="A4541" s="165">
        <v>1688</v>
      </c>
      <c r="B4541" s="162" t="s">
        <v>8333</v>
      </c>
      <c r="C4541" s="166" t="s">
        <v>8334</v>
      </c>
      <c r="D4541" s="167">
        <v>4075.26</v>
      </c>
      <c r="E4541" s="167">
        <v>721.67</v>
      </c>
      <c r="F4541" s="167">
        <v>34.1</v>
      </c>
      <c r="G4541" s="167">
        <v>3319.49</v>
      </c>
      <c r="H4541" s="168">
        <v>17076.43</v>
      </c>
      <c r="I4541" s="168">
        <v>8299.4500000000007</v>
      </c>
      <c r="J4541" s="168">
        <v>177.53</v>
      </c>
      <c r="K4541" s="168">
        <v>8599.4500000000007</v>
      </c>
      <c r="L4541" s="43">
        <v>4.1902676148270297</v>
      </c>
      <c r="M4541" s="43">
        <v>11.500339490348775</v>
      </c>
      <c r="N4541" s="43">
        <v>5.2061583577712609</v>
      </c>
      <c r="O4541" s="43">
        <v>2.5905937357847142</v>
      </c>
      <c r="P4541" s="169"/>
      <c r="Q4541" s="169"/>
      <c r="R4541" s="169">
        <v>4</v>
      </c>
    </row>
    <row r="4542" spans="1:18" ht="24">
      <c r="A4542" s="165">
        <v>1689</v>
      </c>
      <c r="B4542" s="162" t="s">
        <v>8335</v>
      </c>
      <c r="C4542" s="166" t="s">
        <v>8336</v>
      </c>
      <c r="D4542" s="167">
        <v>4246.6499999999996</v>
      </c>
      <c r="E4542" s="167">
        <v>863.87</v>
      </c>
      <c r="F4542" s="167">
        <v>38.53</v>
      </c>
      <c r="G4542" s="167">
        <v>3344.25</v>
      </c>
      <c r="H4542" s="168">
        <v>18851.88</v>
      </c>
      <c r="I4542" s="168">
        <v>9934.81</v>
      </c>
      <c r="J4542" s="168">
        <v>200.95</v>
      </c>
      <c r="K4542" s="168">
        <v>8716.1200000000008</v>
      </c>
      <c r="L4542" s="43">
        <v>4.4392356327929079</v>
      </c>
      <c r="M4542" s="43">
        <v>11.500353062382072</v>
      </c>
      <c r="N4542" s="43">
        <v>5.2154165585258232</v>
      </c>
      <c r="O4542" s="43">
        <v>2.6063003663003665</v>
      </c>
      <c r="P4542" s="169"/>
      <c r="Q4542" s="169"/>
      <c r="R4542" s="169">
        <v>4</v>
      </c>
    </row>
    <row r="4543" spans="1:18" ht="24">
      <c r="A4543" s="165">
        <v>1690</v>
      </c>
      <c r="B4543" s="162" t="s">
        <v>8337</v>
      </c>
      <c r="C4543" s="166" t="s">
        <v>8338</v>
      </c>
      <c r="D4543" s="167">
        <v>4348.16</v>
      </c>
      <c r="E4543" s="167">
        <v>934.97</v>
      </c>
      <c r="F4543" s="167">
        <v>40.69</v>
      </c>
      <c r="G4543" s="167">
        <v>3372.5</v>
      </c>
      <c r="H4543" s="168">
        <v>19793.98</v>
      </c>
      <c r="I4543" s="168">
        <v>10752.49</v>
      </c>
      <c r="J4543" s="168">
        <v>212.07</v>
      </c>
      <c r="K4543" s="168">
        <v>8829.42</v>
      </c>
      <c r="L4543" s="43">
        <v>4.5522657859876361</v>
      </c>
      <c r="M4543" s="43">
        <v>11.500358300266319</v>
      </c>
      <c r="N4543" s="43">
        <v>5.2118456623248957</v>
      </c>
      <c r="O4543" s="43">
        <v>2.6180637509266123</v>
      </c>
      <c r="P4543" s="169"/>
      <c r="Q4543" s="169"/>
      <c r="R4543" s="169">
        <v>4</v>
      </c>
    </row>
    <row r="4544" spans="1:18" ht="24">
      <c r="A4544" s="165">
        <v>1691</v>
      </c>
      <c r="B4544" s="162" t="s">
        <v>8339</v>
      </c>
      <c r="C4544" s="166" t="s">
        <v>8340</v>
      </c>
      <c r="D4544" s="167">
        <v>4616.8500000000004</v>
      </c>
      <c r="E4544" s="167">
        <v>1047.54</v>
      </c>
      <c r="F4544" s="167">
        <v>52.94</v>
      </c>
      <c r="G4544" s="167">
        <v>3516.37</v>
      </c>
      <c r="H4544" s="168">
        <v>22147.52</v>
      </c>
      <c r="I4544" s="168">
        <v>12047.15</v>
      </c>
      <c r="J4544" s="168">
        <v>277.12</v>
      </c>
      <c r="K4544" s="168">
        <v>9823.25</v>
      </c>
      <c r="L4544" s="43">
        <v>4.7971062520982919</v>
      </c>
      <c r="M4544" s="43">
        <v>11.500420031693301</v>
      </c>
      <c r="N4544" s="43">
        <v>5.2346052134491883</v>
      </c>
      <c r="O4544" s="43">
        <v>2.7935768989042677</v>
      </c>
      <c r="P4544" s="169"/>
      <c r="Q4544" s="169"/>
      <c r="R4544" s="169">
        <v>4</v>
      </c>
    </row>
    <row r="4545" spans="1:18" ht="24">
      <c r="A4545" s="165">
        <v>1692</v>
      </c>
      <c r="B4545" s="162" t="s">
        <v>8341</v>
      </c>
      <c r="C4545" s="166" t="s">
        <v>8342</v>
      </c>
      <c r="D4545" s="167">
        <v>4890.3500000000004</v>
      </c>
      <c r="E4545" s="167">
        <v>1185</v>
      </c>
      <c r="F4545" s="167">
        <v>63.95</v>
      </c>
      <c r="G4545" s="167">
        <v>3641.4</v>
      </c>
      <c r="H4545" s="168">
        <v>24659.69</v>
      </c>
      <c r="I4545" s="168">
        <v>13628</v>
      </c>
      <c r="J4545" s="168">
        <v>335.09</v>
      </c>
      <c r="K4545" s="168">
        <v>10696.6</v>
      </c>
      <c r="L4545" s="43">
        <v>5.0425204739947036</v>
      </c>
      <c r="M4545" s="43">
        <v>11.50042194092827</v>
      </c>
      <c r="N4545" s="43">
        <v>5.2398749022673954</v>
      </c>
      <c r="O4545" s="43">
        <v>2.9374965672543527</v>
      </c>
      <c r="P4545" s="169"/>
      <c r="Q4545" s="169"/>
      <c r="R4545" s="169">
        <v>4</v>
      </c>
    </row>
    <row r="4546" spans="1:18" ht="12.75" customHeight="1">
      <c r="A4546" s="628" t="s">
        <v>8343</v>
      </c>
      <c r="B4546" s="629"/>
      <c r="C4546" s="629"/>
      <c r="D4546" s="629"/>
      <c r="E4546" s="629"/>
      <c r="F4546" s="629"/>
      <c r="G4546" s="629"/>
      <c r="H4546" s="629"/>
      <c r="I4546" s="629"/>
      <c r="J4546" s="629"/>
      <c r="K4546" s="629"/>
      <c r="L4546" s="629"/>
      <c r="M4546" s="629"/>
      <c r="N4546" s="629"/>
      <c r="O4546" s="629"/>
      <c r="P4546" s="629"/>
      <c r="Q4546" s="629"/>
      <c r="R4546" s="629"/>
    </row>
    <row r="4547" spans="1:18" ht="24">
      <c r="A4547" s="165">
        <v>1693</v>
      </c>
      <c r="B4547" s="162" t="s">
        <v>8344</v>
      </c>
      <c r="C4547" s="166" t="s">
        <v>8345</v>
      </c>
      <c r="D4547" s="167">
        <v>13.75</v>
      </c>
      <c r="E4547" s="167">
        <v>13.27</v>
      </c>
      <c r="F4547" s="167"/>
      <c r="G4547" s="167">
        <v>0.48</v>
      </c>
      <c r="H4547" s="168">
        <v>157.4</v>
      </c>
      <c r="I4547" s="168">
        <v>152.63</v>
      </c>
      <c r="J4547" s="168"/>
      <c r="K4547" s="168">
        <v>4.7699999999999996</v>
      </c>
      <c r="L4547" s="43">
        <v>11.447272727272727</v>
      </c>
      <c r="M4547" s="43">
        <v>11.501883948756594</v>
      </c>
      <c r="N4547" s="43" t="s">
        <v>1690</v>
      </c>
      <c r="O4547" s="43">
        <v>9.9375</v>
      </c>
      <c r="P4547" s="169"/>
      <c r="Q4547" s="169"/>
      <c r="R4547" s="169">
        <v>5</v>
      </c>
    </row>
    <row r="4548" spans="1:18" ht="24">
      <c r="A4548" s="165">
        <v>1694</v>
      </c>
      <c r="B4548" s="162" t="s">
        <v>8346</v>
      </c>
      <c r="C4548" s="166" t="s">
        <v>8347</v>
      </c>
      <c r="D4548" s="167">
        <v>25.86</v>
      </c>
      <c r="E4548" s="167">
        <v>13.27</v>
      </c>
      <c r="F4548" s="167">
        <v>8.32</v>
      </c>
      <c r="G4548" s="167">
        <v>4.2699999999999996</v>
      </c>
      <c r="H4548" s="168">
        <v>217.22</v>
      </c>
      <c r="I4548" s="168">
        <v>152.63</v>
      </c>
      <c r="J4548" s="168">
        <v>44.77</v>
      </c>
      <c r="K4548" s="168">
        <v>19.82</v>
      </c>
      <c r="L4548" s="43">
        <v>8.3998453209590096</v>
      </c>
      <c r="M4548" s="43">
        <v>11.501883948756594</v>
      </c>
      <c r="N4548" s="43">
        <v>5.3810096153846159</v>
      </c>
      <c r="O4548" s="43">
        <v>4.6416861826697895</v>
      </c>
      <c r="P4548" s="169"/>
      <c r="Q4548" s="169"/>
      <c r="R4548" s="169">
        <v>5</v>
      </c>
    </row>
    <row r="4549" spans="1:18" ht="24">
      <c r="A4549" s="165">
        <v>1695</v>
      </c>
      <c r="B4549" s="162" t="s">
        <v>8348</v>
      </c>
      <c r="C4549" s="166" t="s">
        <v>8349</v>
      </c>
      <c r="D4549" s="167">
        <v>38.67</v>
      </c>
      <c r="E4549" s="167">
        <v>13.27</v>
      </c>
      <c r="F4549" s="167">
        <v>19.420000000000002</v>
      </c>
      <c r="G4549" s="167">
        <v>5.98</v>
      </c>
      <c r="H4549" s="168">
        <v>280.31</v>
      </c>
      <c r="I4549" s="168">
        <v>152.63</v>
      </c>
      <c r="J4549" s="168">
        <v>104.46</v>
      </c>
      <c r="K4549" s="168">
        <v>23.22</v>
      </c>
      <c r="L4549" s="43">
        <v>7.2487716576157224</v>
      </c>
      <c r="M4549" s="43">
        <v>11.501883948756594</v>
      </c>
      <c r="N4549" s="43">
        <v>5.3789907312049428</v>
      </c>
      <c r="O4549" s="43">
        <v>3.8829431438127084</v>
      </c>
      <c r="P4549" s="169"/>
      <c r="Q4549" s="169"/>
      <c r="R4549" s="169">
        <v>5</v>
      </c>
    </row>
    <row r="4550" spans="1:18" ht="24">
      <c r="A4550" s="165">
        <v>1696</v>
      </c>
      <c r="B4550" s="162" t="s">
        <v>8350</v>
      </c>
      <c r="C4550" s="166" t="s">
        <v>8351</v>
      </c>
      <c r="D4550" s="167">
        <v>43.71</v>
      </c>
      <c r="E4550" s="167">
        <v>13.27</v>
      </c>
      <c r="F4550" s="167">
        <v>22.19</v>
      </c>
      <c r="G4550" s="167">
        <v>8.25</v>
      </c>
      <c r="H4550" s="168">
        <v>313.49</v>
      </c>
      <c r="I4550" s="168">
        <v>152.63</v>
      </c>
      <c r="J4550" s="168">
        <v>119.39</v>
      </c>
      <c r="K4550" s="168">
        <v>41.47</v>
      </c>
      <c r="L4550" s="43">
        <v>7.172043010752688</v>
      </c>
      <c r="M4550" s="43">
        <v>11.501883948756594</v>
      </c>
      <c r="N4550" s="43">
        <v>5.3803515096890484</v>
      </c>
      <c r="O4550" s="43">
        <v>5.0266666666666664</v>
      </c>
      <c r="P4550" s="169"/>
      <c r="Q4550" s="169"/>
      <c r="R4550" s="169">
        <v>5</v>
      </c>
    </row>
    <row r="4551" spans="1:18" ht="24">
      <c r="A4551" s="165">
        <v>1697</v>
      </c>
      <c r="B4551" s="162" t="s">
        <v>8352</v>
      </c>
      <c r="C4551" s="166" t="s">
        <v>8353</v>
      </c>
      <c r="D4551" s="167">
        <v>49.26</v>
      </c>
      <c r="E4551" s="167">
        <v>13.27</v>
      </c>
      <c r="F4551" s="167">
        <v>27.74</v>
      </c>
      <c r="G4551" s="167">
        <v>8.25</v>
      </c>
      <c r="H4551" s="168">
        <v>343.33</v>
      </c>
      <c r="I4551" s="168">
        <v>152.63</v>
      </c>
      <c r="J4551" s="168">
        <v>149.22999999999999</v>
      </c>
      <c r="K4551" s="168">
        <v>41.47</v>
      </c>
      <c r="L4551" s="43">
        <v>6.9697523345513597</v>
      </c>
      <c r="M4551" s="43">
        <v>11.501883948756594</v>
      </c>
      <c r="N4551" s="43">
        <v>5.3795962509012254</v>
      </c>
      <c r="O4551" s="43">
        <v>5.0266666666666664</v>
      </c>
      <c r="P4551" s="169"/>
      <c r="Q4551" s="169"/>
      <c r="R4551" s="169">
        <v>5</v>
      </c>
    </row>
    <row r="4552" spans="1:18" ht="12.75" customHeight="1">
      <c r="A4552" s="628" t="s">
        <v>8354</v>
      </c>
      <c r="B4552" s="629"/>
      <c r="C4552" s="629"/>
      <c r="D4552" s="629"/>
      <c r="E4552" s="629"/>
      <c r="F4552" s="629"/>
      <c r="G4552" s="629"/>
      <c r="H4552" s="629"/>
      <c r="I4552" s="629"/>
      <c r="J4552" s="629"/>
      <c r="K4552" s="629"/>
      <c r="L4552" s="629"/>
      <c r="M4552" s="629"/>
      <c r="N4552" s="629"/>
      <c r="O4552" s="629"/>
      <c r="P4552" s="629"/>
      <c r="Q4552" s="629"/>
      <c r="R4552" s="629"/>
    </row>
    <row r="4553" spans="1:18" ht="12.75" customHeight="1">
      <c r="A4553" s="628" t="s">
        <v>8355</v>
      </c>
      <c r="B4553" s="629"/>
      <c r="C4553" s="629"/>
      <c r="D4553" s="629"/>
      <c r="E4553" s="629"/>
      <c r="F4553" s="629"/>
      <c r="G4553" s="629"/>
      <c r="H4553" s="629"/>
      <c r="I4553" s="629"/>
      <c r="J4553" s="629"/>
      <c r="K4553" s="629"/>
      <c r="L4553" s="629"/>
      <c r="M4553" s="629"/>
      <c r="N4553" s="629"/>
      <c r="O4553" s="629"/>
      <c r="P4553" s="629"/>
      <c r="Q4553" s="629"/>
      <c r="R4553" s="629"/>
    </row>
    <row r="4554" spans="1:18" ht="24">
      <c r="A4554" s="165">
        <v>1698</v>
      </c>
      <c r="B4554" s="162" t="s">
        <v>8356</v>
      </c>
      <c r="C4554" s="166" t="s">
        <v>8357</v>
      </c>
      <c r="D4554" s="167">
        <v>874.72</v>
      </c>
      <c r="E4554" s="167">
        <v>468.08</v>
      </c>
      <c r="F4554" s="167">
        <v>22.46</v>
      </c>
      <c r="G4554" s="167">
        <v>384.18</v>
      </c>
      <c r="H4554" s="168">
        <v>6432.62</v>
      </c>
      <c r="I4554" s="168">
        <v>5383.06</v>
      </c>
      <c r="J4554" s="168">
        <v>118.5</v>
      </c>
      <c r="K4554" s="168">
        <v>931.06</v>
      </c>
      <c r="L4554" s="43">
        <v>7.3539189683555879</v>
      </c>
      <c r="M4554" s="43">
        <v>11.500299094171938</v>
      </c>
      <c r="N4554" s="43">
        <v>5.2760463045414063</v>
      </c>
      <c r="O4554" s="43">
        <v>2.4234994013222968</v>
      </c>
      <c r="P4554" s="169"/>
      <c r="Q4554" s="169"/>
      <c r="R4554" s="169">
        <v>1</v>
      </c>
    </row>
    <row r="4555" spans="1:18" ht="24">
      <c r="A4555" s="165">
        <v>1699</v>
      </c>
      <c r="B4555" s="162" t="s">
        <v>8358</v>
      </c>
      <c r="C4555" s="166" t="s">
        <v>8359</v>
      </c>
      <c r="D4555" s="167">
        <v>433.41</v>
      </c>
      <c r="E4555" s="167">
        <v>381.57</v>
      </c>
      <c r="F4555" s="167">
        <v>11.09</v>
      </c>
      <c r="G4555" s="167">
        <v>40.75</v>
      </c>
      <c r="H4555" s="168">
        <v>4757.01</v>
      </c>
      <c r="I4555" s="168">
        <v>4388.22</v>
      </c>
      <c r="J4555" s="168">
        <v>59.69</v>
      </c>
      <c r="K4555" s="168">
        <v>309.10000000000002</v>
      </c>
      <c r="L4555" s="43">
        <v>10.975773516993147</v>
      </c>
      <c r="M4555" s="43">
        <v>11.5004324239327</v>
      </c>
      <c r="N4555" s="43">
        <v>5.3823264201983765</v>
      </c>
      <c r="O4555" s="43">
        <v>7.5852760736196325</v>
      </c>
      <c r="P4555" s="169"/>
      <c r="Q4555" s="169"/>
      <c r="R4555" s="169">
        <v>1</v>
      </c>
    </row>
    <row r="4556" spans="1:18" ht="24">
      <c r="A4556" s="165">
        <v>1700</v>
      </c>
      <c r="B4556" s="162" t="s">
        <v>8360</v>
      </c>
      <c r="C4556" s="166" t="s">
        <v>8361</v>
      </c>
      <c r="D4556" s="167">
        <v>1718.05</v>
      </c>
      <c r="E4556" s="167">
        <v>900.6</v>
      </c>
      <c r="F4556" s="167">
        <v>68.569999999999993</v>
      </c>
      <c r="G4556" s="167">
        <v>748.88</v>
      </c>
      <c r="H4556" s="168">
        <v>14909.36</v>
      </c>
      <c r="I4556" s="168">
        <v>10357.280000000001</v>
      </c>
      <c r="J4556" s="168">
        <v>365.5</v>
      </c>
      <c r="K4556" s="168">
        <v>4186.58</v>
      </c>
      <c r="L4556" s="43">
        <v>8.678071068944444</v>
      </c>
      <c r="M4556" s="43">
        <v>11.50042194092827</v>
      </c>
      <c r="N4556" s="43">
        <v>5.3303193816537853</v>
      </c>
      <c r="O4556" s="43">
        <v>5.5904550795855146</v>
      </c>
      <c r="P4556" s="169"/>
      <c r="Q4556" s="169"/>
      <c r="R4556" s="169">
        <v>1</v>
      </c>
    </row>
    <row r="4557" spans="1:18" ht="24">
      <c r="A4557" s="165">
        <v>1701</v>
      </c>
      <c r="B4557" s="162" t="s">
        <v>8362</v>
      </c>
      <c r="C4557" s="166" t="s">
        <v>8363</v>
      </c>
      <c r="D4557" s="167">
        <v>918.09</v>
      </c>
      <c r="E4557" s="167">
        <v>520.22</v>
      </c>
      <c r="F4557" s="167">
        <v>25.24</v>
      </c>
      <c r="G4557" s="167">
        <v>372.63</v>
      </c>
      <c r="H4557" s="168">
        <v>7019.63</v>
      </c>
      <c r="I4557" s="168">
        <v>5982.69</v>
      </c>
      <c r="J4557" s="168">
        <v>133.41999999999999</v>
      </c>
      <c r="K4557" s="168">
        <v>903.52</v>
      </c>
      <c r="L4557" s="43">
        <v>7.6459061747758934</v>
      </c>
      <c r="M4557" s="43">
        <v>11.500307562185228</v>
      </c>
      <c r="N4557" s="43">
        <v>5.2860538827258319</v>
      </c>
      <c r="O4557" s="43">
        <v>2.4247108391702223</v>
      </c>
      <c r="P4557" s="169"/>
      <c r="Q4557" s="169"/>
      <c r="R4557" s="169">
        <v>1</v>
      </c>
    </row>
    <row r="4558" spans="1:18" ht="24">
      <c r="A4558" s="165">
        <v>1702</v>
      </c>
      <c r="B4558" s="162" t="s">
        <v>8364</v>
      </c>
      <c r="C4558" s="166" t="s">
        <v>8365</v>
      </c>
      <c r="D4558" s="167">
        <v>440.66</v>
      </c>
      <c r="E4558" s="167">
        <v>388.68</v>
      </c>
      <c r="F4558" s="167">
        <v>11.09</v>
      </c>
      <c r="G4558" s="167">
        <v>40.89</v>
      </c>
      <c r="H4558" s="168">
        <v>4840.38</v>
      </c>
      <c r="I4558" s="168">
        <v>4469.9799999999996</v>
      </c>
      <c r="J4558" s="168">
        <v>59.69</v>
      </c>
      <c r="K4558" s="168">
        <v>310.70999999999998</v>
      </c>
      <c r="L4558" s="43">
        <v>10.984387055779965</v>
      </c>
      <c r="M4558" s="43">
        <v>11.500411649686116</v>
      </c>
      <c r="N4558" s="43">
        <v>5.3823264201983765</v>
      </c>
      <c r="O4558" s="43">
        <v>7.5986793837123985</v>
      </c>
      <c r="P4558" s="169"/>
      <c r="Q4558" s="169"/>
      <c r="R4558" s="169">
        <v>1</v>
      </c>
    </row>
    <row r="4559" spans="1:18" ht="24">
      <c r="A4559" s="165">
        <v>1703</v>
      </c>
      <c r="B4559" s="162" t="s">
        <v>8366</v>
      </c>
      <c r="C4559" s="166" t="s">
        <v>8367</v>
      </c>
      <c r="D4559" s="167">
        <v>970.37</v>
      </c>
      <c r="E4559" s="167">
        <v>460.97</v>
      </c>
      <c r="F4559" s="167">
        <v>25.24</v>
      </c>
      <c r="G4559" s="167">
        <v>484.16</v>
      </c>
      <c r="H4559" s="168">
        <v>6569.43</v>
      </c>
      <c r="I4559" s="168">
        <v>5301.29</v>
      </c>
      <c r="J4559" s="168">
        <v>133.41999999999999</v>
      </c>
      <c r="K4559" s="168">
        <v>1134.72</v>
      </c>
      <c r="L4559" s="43">
        <v>6.7700258664220865</v>
      </c>
      <c r="M4559" s="43">
        <v>11.50029286070677</v>
      </c>
      <c r="N4559" s="43">
        <v>5.2860538827258319</v>
      </c>
      <c r="O4559" s="43">
        <v>2.3436880370125577</v>
      </c>
      <c r="P4559" s="169"/>
      <c r="Q4559" s="169"/>
      <c r="R4559" s="169">
        <v>1</v>
      </c>
    </row>
    <row r="4560" spans="1:18" ht="24">
      <c r="A4560" s="165">
        <v>1704</v>
      </c>
      <c r="B4560" s="162" t="s">
        <v>8368</v>
      </c>
      <c r="C4560" s="166" t="s">
        <v>8369</v>
      </c>
      <c r="D4560" s="167">
        <v>441.88</v>
      </c>
      <c r="E4560" s="167">
        <v>389.87</v>
      </c>
      <c r="F4560" s="167">
        <v>11.09</v>
      </c>
      <c r="G4560" s="167">
        <v>40.92</v>
      </c>
      <c r="H4560" s="168">
        <v>4854.3500000000004</v>
      </c>
      <c r="I4560" s="168">
        <v>4483.6099999999997</v>
      </c>
      <c r="J4560" s="168">
        <v>59.69</v>
      </c>
      <c r="K4560" s="168">
        <v>311.05</v>
      </c>
      <c r="L4560" s="43">
        <v>10.98567484384901</v>
      </c>
      <c r="M4560" s="43">
        <v>11.500269320542744</v>
      </c>
      <c r="N4560" s="43">
        <v>5.3823264201983765</v>
      </c>
      <c r="O4560" s="43">
        <v>7.6014173998044967</v>
      </c>
      <c r="P4560" s="169"/>
      <c r="Q4560" s="169"/>
      <c r="R4560" s="169">
        <v>1</v>
      </c>
    </row>
    <row r="4561" spans="1:18" ht="24">
      <c r="A4561" s="165">
        <v>1705</v>
      </c>
      <c r="B4561" s="162" t="s">
        <v>8370</v>
      </c>
      <c r="C4561" s="166" t="s">
        <v>8371</v>
      </c>
      <c r="D4561" s="167">
        <v>922.22</v>
      </c>
      <c r="E4561" s="167">
        <v>511.92</v>
      </c>
      <c r="F4561" s="167">
        <v>25.24</v>
      </c>
      <c r="G4561" s="167">
        <v>385.06</v>
      </c>
      <c r="H4561" s="168">
        <v>6961.9</v>
      </c>
      <c r="I4561" s="168">
        <v>5887.3</v>
      </c>
      <c r="J4561" s="168">
        <v>133.41999999999999</v>
      </c>
      <c r="K4561" s="168">
        <v>941.18</v>
      </c>
      <c r="L4561" s="43">
        <v>7.5490663832924891</v>
      </c>
      <c r="M4561" s="43">
        <v>11.500429754649163</v>
      </c>
      <c r="N4561" s="43">
        <v>5.2860538827258319</v>
      </c>
      <c r="O4561" s="43">
        <v>2.4442424557211861</v>
      </c>
      <c r="P4561" s="169"/>
      <c r="Q4561" s="169"/>
      <c r="R4561" s="169">
        <v>1</v>
      </c>
    </row>
    <row r="4562" spans="1:18" ht="24">
      <c r="A4562" s="165">
        <v>1706</v>
      </c>
      <c r="B4562" s="162" t="s">
        <v>8372</v>
      </c>
      <c r="C4562" s="166" t="s">
        <v>8373</v>
      </c>
      <c r="D4562" s="167">
        <v>568.24</v>
      </c>
      <c r="E4562" s="167">
        <v>451.49</v>
      </c>
      <c r="F4562" s="167">
        <v>11.09</v>
      </c>
      <c r="G4562" s="167">
        <v>105.66</v>
      </c>
      <c r="H4562" s="168">
        <v>5852.4</v>
      </c>
      <c r="I4562" s="168">
        <v>5192.2700000000004</v>
      </c>
      <c r="J4562" s="168">
        <v>59.69</v>
      </c>
      <c r="K4562" s="168">
        <v>600.44000000000005</v>
      </c>
      <c r="L4562" s="43">
        <v>10.299169365057017</v>
      </c>
      <c r="M4562" s="43">
        <v>11.50029900994485</v>
      </c>
      <c r="N4562" s="43">
        <v>5.3823264201983765</v>
      </c>
      <c r="O4562" s="43">
        <v>5.6827560098428931</v>
      </c>
      <c r="P4562" s="169"/>
      <c r="Q4562" s="169"/>
      <c r="R4562" s="169">
        <v>1</v>
      </c>
    </row>
    <row r="4563" spans="1:18" ht="24">
      <c r="A4563" s="165">
        <v>1707</v>
      </c>
      <c r="B4563" s="162" t="s">
        <v>8374</v>
      </c>
      <c r="C4563" s="166" t="s">
        <v>8375</v>
      </c>
      <c r="D4563" s="167">
        <v>1716.48</v>
      </c>
      <c r="E4563" s="167">
        <v>901.79</v>
      </c>
      <c r="F4563" s="167">
        <v>74.12</v>
      </c>
      <c r="G4563" s="167">
        <v>740.57</v>
      </c>
      <c r="H4563" s="168">
        <v>14885.99</v>
      </c>
      <c r="I4563" s="168">
        <v>10370.91</v>
      </c>
      <c r="J4563" s="168">
        <v>395.35</v>
      </c>
      <c r="K4563" s="168">
        <v>4119.7299999999996</v>
      </c>
      <c r="L4563" s="43">
        <v>8.6723935029828478</v>
      </c>
      <c r="M4563" s="43">
        <v>11.500360394326838</v>
      </c>
      <c r="N4563" s="43">
        <v>5.3339179708580682</v>
      </c>
      <c r="O4563" s="43">
        <v>5.56291775254196</v>
      </c>
      <c r="P4563" s="169"/>
      <c r="Q4563" s="169"/>
      <c r="R4563" s="169">
        <v>1</v>
      </c>
    </row>
    <row r="4564" spans="1:18" ht="24">
      <c r="A4564" s="165">
        <v>1708</v>
      </c>
      <c r="B4564" s="162" t="s">
        <v>8376</v>
      </c>
      <c r="C4564" s="166" t="s">
        <v>8377</v>
      </c>
      <c r="D4564" s="167">
        <v>2207.71</v>
      </c>
      <c r="E4564" s="167">
        <v>869.79</v>
      </c>
      <c r="F4564" s="167">
        <v>33.28</v>
      </c>
      <c r="G4564" s="167">
        <v>1304.6400000000001</v>
      </c>
      <c r="H4564" s="168">
        <v>17318.990000000002</v>
      </c>
      <c r="I4564" s="168">
        <v>10002.950000000001</v>
      </c>
      <c r="J4564" s="168">
        <v>179.08</v>
      </c>
      <c r="K4564" s="168">
        <v>7136.96</v>
      </c>
      <c r="L4564" s="43">
        <v>7.8447758084168671</v>
      </c>
      <c r="M4564" s="43">
        <v>11.500419641522667</v>
      </c>
      <c r="N4564" s="43">
        <v>5.3810096153846159</v>
      </c>
      <c r="O4564" s="43">
        <v>5.4704439538876617</v>
      </c>
      <c r="P4564" s="169"/>
      <c r="Q4564" s="169"/>
      <c r="R4564" s="169">
        <v>1</v>
      </c>
    </row>
    <row r="4565" spans="1:18" ht="36">
      <c r="A4565" s="165">
        <v>1709</v>
      </c>
      <c r="B4565" s="162" t="s">
        <v>8378</v>
      </c>
      <c r="C4565" s="166" t="s">
        <v>8379</v>
      </c>
      <c r="D4565" s="167">
        <v>954.89</v>
      </c>
      <c r="E4565" s="167">
        <v>822.39</v>
      </c>
      <c r="F4565" s="167">
        <v>19.420000000000002</v>
      </c>
      <c r="G4565" s="167">
        <v>113.08</v>
      </c>
      <c r="H4565" s="168">
        <v>10248.06</v>
      </c>
      <c r="I4565" s="168">
        <v>9457.83</v>
      </c>
      <c r="J4565" s="168">
        <v>104.46</v>
      </c>
      <c r="K4565" s="168">
        <v>685.77</v>
      </c>
      <c r="L4565" s="43">
        <v>10.732189047953167</v>
      </c>
      <c r="M4565" s="43">
        <v>11.500419508992085</v>
      </c>
      <c r="N4565" s="43">
        <v>5.3789907312049428</v>
      </c>
      <c r="O4565" s="43">
        <v>6.0644676335337815</v>
      </c>
      <c r="P4565" s="169"/>
      <c r="Q4565" s="169"/>
      <c r="R4565" s="169">
        <v>1</v>
      </c>
    </row>
    <row r="4566" spans="1:18" ht="12.75" customHeight="1">
      <c r="A4566" s="628" t="s">
        <v>8380</v>
      </c>
      <c r="B4566" s="629"/>
      <c r="C4566" s="629"/>
      <c r="D4566" s="629"/>
      <c r="E4566" s="629"/>
      <c r="F4566" s="629"/>
      <c r="G4566" s="629"/>
      <c r="H4566" s="629"/>
      <c r="I4566" s="629"/>
      <c r="J4566" s="629"/>
      <c r="K4566" s="629"/>
      <c r="L4566" s="629"/>
      <c r="M4566" s="629"/>
      <c r="N4566" s="629"/>
      <c r="O4566" s="629"/>
      <c r="P4566" s="629"/>
      <c r="Q4566" s="629"/>
      <c r="R4566" s="629"/>
    </row>
    <row r="4567" spans="1:18" ht="24">
      <c r="A4567" s="165">
        <v>1710</v>
      </c>
      <c r="B4567" s="162" t="s">
        <v>8381</v>
      </c>
      <c r="C4567" s="166" t="s">
        <v>8382</v>
      </c>
      <c r="D4567" s="167">
        <v>1165.3800000000001</v>
      </c>
      <c r="E4567" s="167">
        <v>687.3</v>
      </c>
      <c r="F4567" s="167">
        <v>54.37</v>
      </c>
      <c r="G4567" s="167">
        <v>423.71</v>
      </c>
      <c r="H4567" s="168">
        <v>9560.84</v>
      </c>
      <c r="I4567" s="168">
        <v>7904.24</v>
      </c>
      <c r="J4567" s="168">
        <v>288.98</v>
      </c>
      <c r="K4567" s="168">
        <v>1367.62</v>
      </c>
      <c r="L4567" s="43">
        <v>8.2040536134136506</v>
      </c>
      <c r="M4567" s="43">
        <v>11.50042194092827</v>
      </c>
      <c r="N4567" s="43">
        <v>5.3150634541107236</v>
      </c>
      <c r="O4567" s="43">
        <v>3.227726511057091</v>
      </c>
      <c r="P4567" s="169"/>
      <c r="Q4567" s="169"/>
      <c r="R4567" s="169">
        <v>2</v>
      </c>
    </row>
    <row r="4568" spans="1:18" ht="24">
      <c r="A4568" s="165">
        <v>1711</v>
      </c>
      <c r="B4568" s="162" t="s">
        <v>8383</v>
      </c>
      <c r="C4568" s="166" t="s">
        <v>8384</v>
      </c>
      <c r="D4568" s="167">
        <v>2685.09</v>
      </c>
      <c r="E4568" s="167">
        <v>686.12</v>
      </c>
      <c r="F4568" s="167">
        <v>51.44</v>
      </c>
      <c r="G4568" s="167">
        <v>1947.53</v>
      </c>
      <c r="H4568" s="168">
        <v>23115.09</v>
      </c>
      <c r="I4568" s="168">
        <v>7890.61</v>
      </c>
      <c r="J4568" s="168">
        <v>274.18</v>
      </c>
      <c r="K4568" s="168">
        <v>14950.3</v>
      </c>
      <c r="L4568" s="43">
        <v>8.6086835078153801</v>
      </c>
      <c r="M4568" s="43">
        <v>11.500335218329155</v>
      </c>
      <c r="N4568" s="43">
        <v>5.3300933125972012</v>
      </c>
      <c r="O4568" s="43">
        <v>7.6765441353920094</v>
      </c>
      <c r="P4568" s="169"/>
      <c r="Q4568" s="169"/>
      <c r="R4568" s="169">
        <v>2</v>
      </c>
    </row>
    <row r="4569" spans="1:18" ht="12.75" customHeight="1">
      <c r="A4569" s="628" t="s">
        <v>8385</v>
      </c>
      <c r="B4569" s="629"/>
      <c r="C4569" s="629"/>
      <c r="D4569" s="629"/>
      <c r="E4569" s="629"/>
      <c r="F4569" s="629"/>
      <c r="G4569" s="629"/>
      <c r="H4569" s="629"/>
      <c r="I4569" s="629"/>
      <c r="J4569" s="629"/>
      <c r="K4569" s="629"/>
      <c r="L4569" s="629"/>
      <c r="M4569" s="629"/>
      <c r="N4569" s="629"/>
      <c r="O4569" s="629"/>
      <c r="P4569" s="629"/>
      <c r="Q4569" s="629"/>
      <c r="R4569" s="629"/>
    </row>
    <row r="4570" spans="1:18" ht="24">
      <c r="A4570" s="165">
        <v>1712</v>
      </c>
      <c r="B4570" s="162" t="s">
        <v>8386</v>
      </c>
      <c r="C4570" s="166" t="s">
        <v>8387</v>
      </c>
      <c r="D4570" s="167">
        <v>4097.75</v>
      </c>
      <c r="E4570" s="167">
        <v>571.16999999999996</v>
      </c>
      <c r="F4570" s="167">
        <v>1574.03</v>
      </c>
      <c r="G4570" s="167">
        <v>1952.55</v>
      </c>
      <c r="H4570" s="168">
        <v>31331.13</v>
      </c>
      <c r="I4570" s="168">
        <v>6568.7</v>
      </c>
      <c r="J4570" s="168">
        <v>10585.41</v>
      </c>
      <c r="K4570" s="168">
        <v>14177.02</v>
      </c>
      <c r="L4570" s="43">
        <v>7.6459349643096823</v>
      </c>
      <c r="M4570" s="43">
        <v>11.500428944097205</v>
      </c>
      <c r="N4570" s="43">
        <v>6.725037006918547</v>
      </c>
      <c r="O4570" s="43">
        <v>7.2607718112212236</v>
      </c>
      <c r="P4570" s="169"/>
      <c r="Q4570" s="169"/>
      <c r="R4570" s="169">
        <v>3</v>
      </c>
    </row>
    <row r="4571" spans="1:18" ht="24">
      <c r="A4571" s="165">
        <v>1713</v>
      </c>
      <c r="B4571" s="162" t="s">
        <v>8388</v>
      </c>
      <c r="C4571" s="166" t="s">
        <v>8389</v>
      </c>
      <c r="D4571" s="167">
        <v>4786.1000000000004</v>
      </c>
      <c r="E4571" s="167">
        <v>741.81</v>
      </c>
      <c r="F4571" s="167">
        <v>2088.3200000000002</v>
      </c>
      <c r="G4571" s="167">
        <v>1955.97</v>
      </c>
      <c r="H4571" s="168">
        <v>36793.800000000003</v>
      </c>
      <c r="I4571" s="168">
        <v>8531.1299999999992</v>
      </c>
      <c r="J4571" s="168">
        <v>14046.32</v>
      </c>
      <c r="K4571" s="168">
        <v>14216.35</v>
      </c>
      <c r="L4571" s="43">
        <v>7.687637115814546</v>
      </c>
      <c r="M4571" s="43">
        <v>11.500424637036438</v>
      </c>
      <c r="N4571" s="43">
        <v>6.7261339258351205</v>
      </c>
      <c r="O4571" s="43">
        <v>7.2681840723528479</v>
      </c>
      <c r="P4571" s="169"/>
      <c r="Q4571" s="169"/>
      <c r="R4571" s="169">
        <v>3</v>
      </c>
    </row>
    <row r="4572" spans="1:18" ht="24">
      <c r="A4572" s="165">
        <v>1714</v>
      </c>
      <c r="B4572" s="162" t="s">
        <v>8390</v>
      </c>
      <c r="C4572" s="166" t="s">
        <v>8391</v>
      </c>
      <c r="D4572" s="167">
        <v>6083.95</v>
      </c>
      <c r="E4572" s="167">
        <v>1067.69</v>
      </c>
      <c r="F4572" s="167">
        <v>3053.78</v>
      </c>
      <c r="G4572" s="167">
        <v>1962.48</v>
      </c>
      <c r="H4572" s="168">
        <v>47108.83</v>
      </c>
      <c r="I4572" s="168">
        <v>12278.83</v>
      </c>
      <c r="J4572" s="168">
        <v>20538.78</v>
      </c>
      <c r="K4572" s="168">
        <v>14291.22</v>
      </c>
      <c r="L4572" s="43">
        <v>7.7431323400093692</v>
      </c>
      <c r="M4572" s="43">
        <v>11.500369957571953</v>
      </c>
      <c r="N4572" s="43">
        <v>6.7256907832260335</v>
      </c>
      <c r="O4572" s="43">
        <v>7.2822245322245323</v>
      </c>
      <c r="P4572" s="169"/>
      <c r="Q4572" s="169"/>
      <c r="R4572" s="169">
        <v>3</v>
      </c>
    </row>
    <row r="4573" spans="1:18" ht="24">
      <c r="A4573" s="165">
        <v>1715</v>
      </c>
      <c r="B4573" s="162" t="s">
        <v>8392</v>
      </c>
      <c r="C4573" s="166" t="s">
        <v>8393</v>
      </c>
      <c r="D4573" s="167">
        <v>8045.57</v>
      </c>
      <c r="E4573" s="167">
        <v>1208.7</v>
      </c>
      <c r="F4573" s="167">
        <v>3173.68</v>
      </c>
      <c r="G4573" s="167">
        <v>3663.19</v>
      </c>
      <c r="H4573" s="168">
        <v>44372.89</v>
      </c>
      <c r="I4573" s="168">
        <v>13900.56</v>
      </c>
      <c r="J4573" s="168">
        <v>21343.59</v>
      </c>
      <c r="K4573" s="168">
        <v>9128.74</v>
      </c>
      <c r="L4573" s="43">
        <v>5.5151953186660485</v>
      </c>
      <c r="M4573" s="43">
        <v>11.50042194092827</v>
      </c>
      <c r="N4573" s="43">
        <v>6.725186534244159</v>
      </c>
      <c r="O4573" s="43">
        <v>2.4920192509807024</v>
      </c>
      <c r="P4573" s="169"/>
      <c r="Q4573" s="169"/>
      <c r="R4573" s="169">
        <v>3</v>
      </c>
    </row>
    <row r="4574" spans="1:18" ht="48">
      <c r="A4574" s="165">
        <v>1716</v>
      </c>
      <c r="B4574" s="162" t="s">
        <v>8394</v>
      </c>
      <c r="C4574" s="166" t="s">
        <v>8395</v>
      </c>
      <c r="D4574" s="167">
        <v>4972.62</v>
      </c>
      <c r="E4574" s="167">
        <v>1106.79</v>
      </c>
      <c r="F4574" s="167">
        <v>1742.46</v>
      </c>
      <c r="G4574" s="167">
        <v>2123.37</v>
      </c>
      <c r="H4574" s="168">
        <v>33232.230000000003</v>
      </c>
      <c r="I4574" s="168">
        <v>12728.55</v>
      </c>
      <c r="J4574" s="168">
        <v>11362.38</v>
      </c>
      <c r="K4574" s="168">
        <v>9141.2999999999993</v>
      </c>
      <c r="L4574" s="43">
        <v>6.6830423398530359</v>
      </c>
      <c r="M4574" s="43">
        <v>11.500420133900739</v>
      </c>
      <c r="N4574" s="43">
        <v>6.5208842670706924</v>
      </c>
      <c r="O4574" s="43">
        <v>4.3050904929428215</v>
      </c>
      <c r="P4574" s="169"/>
      <c r="Q4574" s="169"/>
      <c r="R4574" s="169">
        <v>3</v>
      </c>
    </row>
    <row r="4575" spans="1:18" ht="48">
      <c r="A4575" s="165">
        <v>1717</v>
      </c>
      <c r="B4575" s="162" t="s">
        <v>8396</v>
      </c>
      <c r="C4575" s="166" t="s">
        <v>8397</v>
      </c>
      <c r="D4575" s="167">
        <v>5154.1499999999996</v>
      </c>
      <c r="E4575" s="167">
        <v>1046.3599999999999</v>
      </c>
      <c r="F4575" s="167">
        <v>1985.63</v>
      </c>
      <c r="G4575" s="167">
        <v>2122.16</v>
      </c>
      <c r="H4575" s="168">
        <v>33951.410000000003</v>
      </c>
      <c r="I4575" s="168">
        <v>12033.52</v>
      </c>
      <c r="J4575" s="168">
        <v>12790.5</v>
      </c>
      <c r="K4575" s="168">
        <v>9127.39</v>
      </c>
      <c r="L4575" s="43">
        <v>6.5871986651533243</v>
      </c>
      <c r="M4575" s="43">
        <v>11.500363163729501</v>
      </c>
      <c r="N4575" s="43">
        <v>6.441532410368497</v>
      </c>
      <c r="O4575" s="43">
        <v>4.3009905002450335</v>
      </c>
      <c r="P4575" s="169"/>
      <c r="Q4575" s="169"/>
      <c r="R4575" s="169">
        <v>3</v>
      </c>
    </row>
    <row r="4576" spans="1:18" ht="48">
      <c r="A4576" s="165">
        <v>1718</v>
      </c>
      <c r="B4576" s="162" t="s">
        <v>8398</v>
      </c>
      <c r="C4576" s="166" t="s">
        <v>8399</v>
      </c>
      <c r="D4576" s="167">
        <v>5775.31</v>
      </c>
      <c r="E4576" s="167">
        <v>1156.56</v>
      </c>
      <c r="F4576" s="167">
        <v>2494.39</v>
      </c>
      <c r="G4576" s="167">
        <v>2124.36</v>
      </c>
      <c r="H4576" s="168">
        <v>38550.559999999998</v>
      </c>
      <c r="I4576" s="168">
        <v>13300.93</v>
      </c>
      <c r="J4576" s="168">
        <v>16096.94</v>
      </c>
      <c r="K4576" s="168">
        <v>9152.69</v>
      </c>
      <c r="L4576" s="43">
        <v>6.6750633299338036</v>
      </c>
      <c r="M4576" s="43">
        <v>11.500423670194371</v>
      </c>
      <c r="N4576" s="43">
        <v>6.4532571089524895</v>
      </c>
      <c r="O4576" s="43">
        <v>4.3084458378052686</v>
      </c>
      <c r="P4576" s="169"/>
      <c r="Q4576" s="169"/>
      <c r="R4576" s="169">
        <v>3</v>
      </c>
    </row>
    <row r="4577" spans="1:18" ht="24">
      <c r="A4577" s="165">
        <v>1719</v>
      </c>
      <c r="B4577" s="162" t="s">
        <v>8400</v>
      </c>
      <c r="C4577" s="166" t="s">
        <v>8401</v>
      </c>
      <c r="D4577" s="167">
        <v>2339.84</v>
      </c>
      <c r="E4577" s="167">
        <v>517.85</v>
      </c>
      <c r="F4577" s="167">
        <v>1199.3900000000001</v>
      </c>
      <c r="G4577" s="167">
        <v>622.6</v>
      </c>
      <c r="H4577" s="168">
        <v>15681.91</v>
      </c>
      <c r="I4577" s="168">
        <v>5955.44</v>
      </c>
      <c r="J4577" s="168">
        <v>7990.67</v>
      </c>
      <c r="K4577" s="168">
        <v>1735.8</v>
      </c>
      <c r="L4577" s="43">
        <v>6.7021292054157549</v>
      </c>
      <c r="M4577" s="43">
        <v>11.500318625084482</v>
      </c>
      <c r="N4577" s="43">
        <v>6.6622783248151141</v>
      </c>
      <c r="O4577" s="43">
        <v>2.7879858657243815</v>
      </c>
      <c r="P4577" s="169"/>
      <c r="Q4577" s="169"/>
      <c r="R4577" s="169">
        <v>3</v>
      </c>
    </row>
    <row r="4578" spans="1:18" ht="24">
      <c r="A4578" s="165">
        <v>1720</v>
      </c>
      <c r="B4578" s="162" t="s">
        <v>8402</v>
      </c>
      <c r="C4578" s="166" t="s">
        <v>8403</v>
      </c>
      <c r="D4578" s="167">
        <v>1910.14</v>
      </c>
      <c r="E4578" s="167">
        <v>1010.81</v>
      </c>
      <c r="F4578" s="167">
        <v>269.66000000000003</v>
      </c>
      <c r="G4578" s="167">
        <v>629.66999999999996</v>
      </c>
      <c r="H4578" s="168">
        <v>14725.87</v>
      </c>
      <c r="I4578" s="168">
        <v>11624.68</v>
      </c>
      <c r="J4578" s="168">
        <v>1431.99</v>
      </c>
      <c r="K4578" s="168">
        <v>1669.2</v>
      </c>
      <c r="L4578" s="43">
        <v>7.7093145005078165</v>
      </c>
      <c r="M4578" s="43">
        <v>11.500361096546335</v>
      </c>
      <c r="N4578" s="43">
        <v>5.3103537788326038</v>
      </c>
      <c r="O4578" s="43">
        <v>2.6509123826766405</v>
      </c>
      <c r="P4578" s="169"/>
      <c r="Q4578" s="169"/>
      <c r="R4578" s="169">
        <v>3</v>
      </c>
    </row>
    <row r="4579" spans="1:18" ht="24">
      <c r="A4579" s="165">
        <v>1721</v>
      </c>
      <c r="B4579" s="162" t="s">
        <v>8404</v>
      </c>
      <c r="C4579" s="166" t="s">
        <v>8405</v>
      </c>
      <c r="D4579" s="167">
        <v>2315.5300000000002</v>
      </c>
      <c r="E4579" s="167">
        <v>1163.67</v>
      </c>
      <c r="F4579" s="167">
        <v>535.91999999999996</v>
      </c>
      <c r="G4579" s="167">
        <v>615.94000000000005</v>
      </c>
      <c r="H4579" s="168">
        <v>18000.150000000001</v>
      </c>
      <c r="I4579" s="168">
        <v>13382.7</v>
      </c>
      <c r="J4579" s="168">
        <v>2864.63</v>
      </c>
      <c r="K4579" s="168">
        <v>1752.82</v>
      </c>
      <c r="L4579" s="43">
        <v>7.7736630490643615</v>
      </c>
      <c r="M4579" s="43">
        <v>11.500425378328908</v>
      </c>
      <c r="N4579" s="43">
        <v>5.3452567547395136</v>
      </c>
      <c r="O4579" s="43">
        <v>2.8457641978114747</v>
      </c>
      <c r="P4579" s="169"/>
      <c r="Q4579" s="169"/>
      <c r="R4579" s="169">
        <v>3</v>
      </c>
    </row>
    <row r="4580" spans="1:18" ht="24">
      <c r="A4580" s="165">
        <v>1722</v>
      </c>
      <c r="B4580" s="162" t="s">
        <v>8406</v>
      </c>
      <c r="C4580" s="166" t="s">
        <v>8407</v>
      </c>
      <c r="D4580" s="167">
        <v>122.98</v>
      </c>
      <c r="E4580" s="167">
        <v>14.34</v>
      </c>
      <c r="F4580" s="167">
        <v>39.18</v>
      </c>
      <c r="G4580" s="167">
        <v>69.459999999999994</v>
      </c>
      <c r="H4580" s="168">
        <v>764.88</v>
      </c>
      <c r="I4580" s="168">
        <v>164.9</v>
      </c>
      <c r="J4580" s="168">
        <v>260.23</v>
      </c>
      <c r="K4580" s="168">
        <v>339.75</v>
      </c>
      <c r="L4580" s="43">
        <v>6.2195478939664985</v>
      </c>
      <c r="M4580" s="43">
        <v>11.499302649930266</v>
      </c>
      <c r="N4580" s="43">
        <v>6.6419091373149568</v>
      </c>
      <c r="O4580" s="43">
        <v>4.8913043478260878</v>
      </c>
      <c r="P4580" s="169"/>
      <c r="Q4580" s="169"/>
      <c r="R4580" s="169">
        <v>3</v>
      </c>
    </row>
    <row r="4581" spans="1:18" ht="24">
      <c r="A4581" s="165">
        <v>1723</v>
      </c>
      <c r="B4581" s="162" t="s">
        <v>8408</v>
      </c>
      <c r="C4581" s="166" t="s">
        <v>8409</v>
      </c>
      <c r="D4581" s="167">
        <v>213.22</v>
      </c>
      <c r="E4581" s="167">
        <v>27.61</v>
      </c>
      <c r="F4581" s="167">
        <v>93.16</v>
      </c>
      <c r="G4581" s="167">
        <v>92.45</v>
      </c>
      <c r="H4581" s="168">
        <v>1399.66</v>
      </c>
      <c r="I4581" s="168">
        <v>317.52999999999997</v>
      </c>
      <c r="J4581" s="168">
        <v>601.54</v>
      </c>
      <c r="K4581" s="168">
        <v>480.59</v>
      </c>
      <c r="L4581" s="43">
        <v>6.5643935840915493</v>
      </c>
      <c r="M4581" s="43">
        <v>11.500543281419775</v>
      </c>
      <c r="N4581" s="43">
        <v>6.4570631172176896</v>
      </c>
      <c r="O4581" s="43">
        <v>5.1983775013520814</v>
      </c>
      <c r="P4581" s="169"/>
      <c r="Q4581" s="169"/>
      <c r="R4581" s="169">
        <v>3</v>
      </c>
    </row>
    <row r="4582" spans="1:18" ht="24">
      <c r="A4582" s="165">
        <v>1724</v>
      </c>
      <c r="B4582" s="162" t="s">
        <v>8410</v>
      </c>
      <c r="C4582" s="166" t="s">
        <v>8411</v>
      </c>
      <c r="D4582" s="167">
        <v>496.95</v>
      </c>
      <c r="E4582" s="167">
        <v>58.07</v>
      </c>
      <c r="F4582" s="167">
        <v>277.39999999999998</v>
      </c>
      <c r="G4582" s="167">
        <v>161.47999999999999</v>
      </c>
      <c r="H4582" s="168">
        <v>3238.01</v>
      </c>
      <c r="I4582" s="168">
        <v>667.77</v>
      </c>
      <c r="J4582" s="168">
        <v>1704.15</v>
      </c>
      <c r="K4582" s="168">
        <v>866.09</v>
      </c>
      <c r="L4582" s="43">
        <v>6.5157661736593226</v>
      </c>
      <c r="M4582" s="43">
        <v>11.499397279145859</v>
      </c>
      <c r="N4582" s="43">
        <v>6.1432948810382131</v>
      </c>
      <c r="O4582" s="43">
        <v>5.3634505821154326</v>
      </c>
      <c r="P4582" s="169"/>
      <c r="Q4582" s="169"/>
      <c r="R4582" s="169">
        <v>3</v>
      </c>
    </row>
    <row r="4583" spans="1:18" ht="24">
      <c r="A4583" s="165">
        <v>1725</v>
      </c>
      <c r="B4583" s="162" t="s">
        <v>8412</v>
      </c>
      <c r="C4583" s="166" t="s">
        <v>8413</v>
      </c>
      <c r="D4583" s="167">
        <v>952.91</v>
      </c>
      <c r="E4583" s="167">
        <v>108.9</v>
      </c>
      <c r="F4583" s="167">
        <v>599.96</v>
      </c>
      <c r="G4583" s="167">
        <v>244.05</v>
      </c>
      <c r="H4583" s="168">
        <v>6207.19</v>
      </c>
      <c r="I4583" s="168">
        <v>1252.4100000000001</v>
      </c>
      <c r="J4583" s="168">
        <v>3622.38</v>
      </c>
      <c r="K4583" s="168">
        <v>1332.4</v>
      </c>
      <c r="L4583" s="43">
        <v>6.5139310113232094</v>
      </c>
      <c r="M4583" s="43">
        <v>11.500550964187328</v>
      </c>
      <c r="N4583" s="43">
        <v>6.0377025135008999</v>
      </c>
      <c r="O4583" s="43">
        <v>5.459536980127023</v>
      </c>
      <c r="P4583" s="169"/>
      <c r="Q4583" s="169"/>
      <c r="R4583" s="169">
        <v>3</v>
      </c>
    </row>
    <row r="4584" spans="1:18" ht="24">
      <c r="A4584" s="165">
        <v>1726</v>
      </c>
      <c r="B4584" s="162" t="s">
        <v>8414</v>
      </c>
      <c r="C4584" s="166" t="s">
        <v>8415</v>
      </c>
      <c r="D4584" s="167">
        <v>1590.18</v>
      </c>
      <c r="E4584" s="167">
        <v>177.75</v>
      </c>
      <c r="F4584" s="167">
        <v>1070.53</v>
      </c>
      <c r="G4584" s="167">
        <v>341.9</v>
      </c>
      <c r="H4584" s="168">
        <v>10326.700000000001</v>
      </c>
      <c r="I4584" s="168">
        <v>2044.2</v>
      </c>
      <c r="J4584" s="168">
        <v>6398.84</v>
      </c>
      <c r="K4584" s="168">
        <v>1883.66</v>
      </c>
      <c r="L4584" s="43">
        <v>6.4940446993422132</v>
      </c>
      <c r="M4584" s="43">
        <v>11.50042194092827</v>
      </c>
      <c r="N4584" s="43">
        <v>5.9772635984045293</v>
      </c>
      <c r="O4584" s="43">
        <v>5.5093887101491674</v>
      </c>
      <c r="P4584" s="169"/>
      <c r="Q4584" s="169"/>
      <c r="R4584" s="169">
        <v>3</v>
      </c>
    </row>
    <row r="4585" spans="1:18" ht="24">
      <c r="A4585" s="165">
        <v>1727</v>
      </c>
      <c r="B4585" s="162" t="s">
        <v>8416</v>
      </c>
      <c r="C4585" s="166" t="s">
        <v>8417</v>
      </c>
      <c r="D4585" s="167">
        <v>2684.32</v>
      </c>
      <c r="E4585" s="167">
        <v>290.33</v>
      </c>
      <c r="F4585" s="167">
        <v>1954.22</v>
      </c>
      <c r="G4585" s="167">
        <v>439.77</v>
      </c>
      <c r="H4585" s="168">
        <v>17317.84</v>
      </c>
      <c r="I4585" s="168">
        <v>3338.86</v>
      </c>
      <c r="J4585" s="168">
        <v>11537.86</v>
      </c>
      <c r="K4585" s="168">
        <v>2441.12</v>
      </c>
      <c r="L4585" s="43">
        <v>6.4514811944924597</v>
      </c>
      <c r="M4585" s="43">
        <v>11.500223883167431</v>
      </c>
      <c r="N4585" s="43">
        <v>5.9040742598069818</v>
      </c>
      <c r="O4585" s="43">
        <v>5.5509016076585489</v>
      </c>
      <c r="P4585" s="169"/>
      <c r="Q4585" s="169"/>
      <c r="R4585" s="169">
        <v>3</v>
      </c>
    </row>
    <row r="4586" spans="1:18" ht="24">
      <c r="A4586" s="165">
        <v>1728</v>
      </c>
      <c r="B4586" s="162" t="s">
        <v>8418</v>
      </c>
      <c r="C4586" s="166" t="s">
        <v>8419</v>
      </c>
      <c r="D4586" s="167">
        <v>13345.76</v>
      </c>
      <c r="E4586" s="167">
        <v>1350.9</v>
      </c>
      <c r="F4586" s="167">
        <v>1433.85</v>
      </c>
      <c r="G4586" s="167">
        <v>10561.01</v>
      </c>
      <c r="H4586" s="168">
        <v>56413.21</v>
      </c>
      <c r="I4586" s="168">
        <v>15535.92</v>
      </c>
      <c r="J4586" s="168">
        <v>9367.35</v>
      </c>
      <c r="K4586" s="168">
        <v>31509.94</v>
      </c>
      <c r="L4586" s="43">
        <v>4.2270511383390676</v>
      </c>
      <c r="M4586" s="43">
        <v>11.50042194092827</v>
      </c>
      <c r="N4586" s="43">
        <v>6.5330055445130251</v>
      </c>
      <c r="O4586" s="43">
        <v>2.983610469074454</v>
      </c>
      <c r="P4586" s="169"/>
      <c r="Q4586" s="169"/>
      <c r="R4586" s="169">
        <v>3</v>
      </c>
    </row>
    <row r="4587" spans="1:18" ht="24">
      <c r="A4587" s="165">
        <v>1729</v>
      </c>
      <c r="B4587" s="162" t="s">
        <v>8420</v>
      </c>
      <c r="C4587" s="166" t="s">
        <v>8421</v>
      </c>
      <c r="D4587" s="167">
        <v>13601.9</v>
      </c>
      <c r="E4587" s="167">
        <v>1884.15</v>
      </c>
      <c r="F4587" s="167">
        <v>2389.44</v>
      </c>
      <c r="G4587" s="167">
        <v>9328.31</v>
      </c>
      <c r="H4587" s="168">
        <v>62596.61</v>
      </c>
      <c r="I4587" s="168">
        <v>21668.52</v>
      </c>
      <c r="J4587" s="168">
        <v>15581.64</v>
      </c>
      <c r="K4587" s="168">
        <v>25346.45</v>
      </c>
      <c r="L4587" s="43">
        <v>4.6020489784515402</v>
      </c>
      <c r="M4587" s="43">
        <v>11.50042194092827</v>
      </c>
      <c r="N4587" s="43">
        <v>6.5210425873844917</v>
      </c>
      <c r="O4587" s="43">
        <v>2.7171534822491963</v>
      </c>
      <c r="P4587" s="169"/>
      <c r="Q4587" s="169"/>
      <c r="R4587" s="169">
        <v>3</v>
      </c>
    </row>
    <row r="4588" spans="1:18" ht="24">
      <c r="A4588" s="165">
        <v>1730</v>
      </c>
      <c r="B4588" s="162" t="s">
        <v>8422</v>
      </c>
      <c r="C4588" s="166" t="s">
        <v>8423</v>
      </c>
      <c r="D4588" s="167">
        <v>9547.32</v>
      </c>
      <c r="E4588" s="167">
        <v>1398.3</v>
      </c>
      <c r="F4588" s="167">
        <v>1271.05</v>
      </c>
      <c r="G4588" s="167">
        <v>6877.97</v>
      </c>
      <c r="H4588" s="168">
        <v>53089.85</v>
      </c>
      <c r="I4588" s="168">
        <v>16081.04</v>
      </c>
      <c r="J4588" s="168">
        <v>8436.1200000000008</v>
      </c>
      <c r="K4588" s="168">
        <v>28572.69</v>
      </c>
      <c r="L4588" s="43">
        <v>5.560707088481375</v>
      </c>
      <c r="M4588" s="43">
        <v>11.500421940928272</v>
      </c>
      <c r="N4588" s="43">
        <v>6.6371267849415849</v>
      </c>
      <c r="O4588" s="43">
        <v>4.1542330077043079</v>
      </c>
      <c r="P4588" s="169"/>
      <c r="Q4588" s="169"/>
      <c r="R4588" s="169">
        <v>3</v>
      </c>
    </row>
    <row r="4589" spans="1:18" ht="12.75" customHeight="1">
      <c r="A4589" s="628" t="s">
        <v>8424</v>
      </c>
      <c r="B4589" s="629"/>
      <c r="C4589" s="629"/>
      <c r="D4589" s="629"/>
      <c r="E4589" s="629"/>
      <c r="F4589" s="629"/>
      <c r="G4589" s="629"/>
      <c r="H4589" s="629"/>
      <c r="I4589" s="629"/>
      <c r="J4589" s="629"/>
      <c r="K4589" s="629"/>
      <c r="L4589" s="629"/>
      <c r="M4589" s="629"/>
      <c r="N4589" s="629"/>
      <c r="O4589" s="629"/>
      <c r="P4589" s="629"/>
      <c r="Q4589" s="629"/>
      <c r="R4589" s="629"/>
    </row>
    <row r="4590" spans="1:18" ht="24">
      <c r="A4590" s="165">
        <v>1731</v>
      </c>
      <c r="B4590" s="162" t="s">
        <v>8425</v>
      </c>
      <c r="C4590" s="166" t="s">
        <v>8426</v>
      </c>
      <c r="D4590" s="167">
        <v>5587.49</v>
      </c>
      <c r="E4590" s="167">
        <v>1042.8</v>
      </c>
      <c r="F4590" s="167">
        <v>1582.81</v>
      </c>
      <c r="G4590" s="167">
        <v>2961.88</v>
      </c>
      <c r="H4590" s="168">
        <v>38895.33</v>
      </c>
      <c r="I4590" s="168">
        <v>11992.64</v>
      </c>
      <c r="J4590" s="168">
        <v>10088.57</v>
      </c>
      <c r="K4590" s="168">
        <v>16814.12</v>
      </c>
      <c r="L4590" s="43">
        <v>6.9611453443317126</v>
      </c>
      <c r="M4590" s="43">
        <v>11.50042194092827</v>
      </c>
      <c r="N4590" s="43">
        <v>6.3738351412993346</v>
      </c>
      <c r="O4590" s="43">
        <v>5.6768403851607756</v>
      </c>
      <c r="P4590" s="169"/>
      <c r="Q4590" s="169"/>
      <c r="R4590" s="169">
        <v>4</v>
      </c>
    </row>
    <row r="4591" spans="1:18" ht="24">
      <c r="A4591" s="165">
        <v>1732</v>
      </c>
      <c r="B4591" s="162" t="s">
        <v>8427</v>
      </c>
      <c r="C4591" s="166" t="s">
        <v>8428</v>
      </c>
      <c r="D4591" s="167">
        <v>6638.27</v>
      </c>
      <c r="E4591" s="167">
        <v>1374.6</v>
      </c>
      <c r="F4591" s="167">
        <v>2295.16</v>
      </c>
      <c r="G4591" s="167">
        <v>2968.51</v>
      </c>
      <c r="H4591" s="168">
        <v>47164.31</v>
      </c>
      <c r="I4591" s="168">
        <v>15808.48</v>
      </c>
      <c r="J4591" s="168">
        <v>14465.46</v>
      </c>
      <c r="K4591" s="168">
        <v>16890.37</v>
      </c>
      <c r="L4591" s="43">
        <v>7.104909863563849</v>
      </c>
      <c r="M4591" s="43">
        <v>11.50042194092827</v>
      </c>
      <c r="N4591" s="43">
        <v>6.3025932832569405</v>
      </c>
      <c r="O4591" s="43">
        <v>5.6898477687459357</v>
      </c>
      <c r="P4591" s="169"/>
      <c r="Q4591" s="169"/>
      <c r="R4591" s="169">
        <v>4</v>
      </c>
    </row>
    <row r="4592" spans="1:18" ht="24">
      <c r="A4592" s="165">
        <v>1733</v>
      </c>
      <c r="B4592" s="162" t="s">
        <v>8429</v>
      </c>
      <c r="C4592" s="166" t="s">
        <v>8430</v>
      </c>
      <c r="D4592" s="167">
        <v>8190.45</v>
      </c>
      <c r="E4592" s="167">
        <v>2002.65</v>
      </c>
      <c r="F4592" s="167">
        <v>3206.73</v>
      </c>
      <c r="G4592" s="167">
        <v>2981.07</v>
      </c>
      <c r="H4592" s="168">
        <v>60165.02</v>
      </c>
      <c r="I4592" s="168">
        <v>23031.32</v>
      </c>
      <c r="J4592" s="168">
        <v>20098.89</v>
      </c>
      <c r="K4592" s="168">
        <v>17034.810000000001</v>
      </c>
      <c r="L4592" s="43">
        <v>7.3457526753719264</v>
      </c>
      <c r="M4592" s="43">
        <v>11.50042194092827</v>
      </c>
      <c r="N4592" s="43">
        <v>6.2677213235913216</v>
      </c>
      <c r="O4592" s="43">
        <v>5.7143274059314271</v>
      </c>
      <c r="P4592" s="169"/>
      <c r="Q4592" s="169"/>
      <c r="R4592" s="169">
        <v>4</v>
      </c>
    </row>
    <row r="4593" spans="1:18" ht="24">
      <c r="A4593" s="165">
        <v>1734</v>
      </c>
      <c r="B4593" s="162" t="s">
        <v>8431</v>
      </c>
      <c r="C4593" s="166" t="s">
        <v>8432</v>
      </c>
      <c r="D4593" s="167">
        <v>11966.75</v>
      </c>
      <c r="E4593" s="167">
        <v>2915.1</v>
      </c>
      <c r="F4593" s="167">
        <v>6052.33</v>
      </c>
      <c r="G4593" s="167">
        <v>2999.32</v>
      </c>
      <c r="H4593" s="168">
        <v>88130.78</v>
      </c>
      <c r="I4593" s="168">
        <v>33524.879999999997</v>
      </c>
      <c r="J4593" s="168">
        <v>37361.22</v>
      </c>
      <c r="K4593" s="168">
        <v>17244.68</v>
      </c>
      <c r="L4593" s="43">
        <v>7.3646378507113459</v>
      </c>
      <c r="M4593" s="43">
        <v>11.50042194092827</v>
      </c>
      <c r="N4593" s="43">
        <v>6.1730308823213544</v>
      </c>
      <c r="O4593" s="43">
        <v>5.7495298934425136</v>
      </c>
      <c r="P4593" s="169"/>
      <c r="Q4593" s="169"/>
      <c r="R4593" s="169">
        <v>4</v>
      </c>
    </row>
    <row r="4594" spans="1:18" ht="24">
      <c r="A4594" s="165">
        <v>1735</v>
      </c>
      <c r="B4594" s="162" t="s">
        <v>8433</v>
      </c>
      <c r="C4594" s="166" t="s">
        <v>8434</v>
      </c>
      <c r="D4594" s="167">
        <v>16468</v>
      </c>
      <c r="E4594" s="167">
        <v>4384.5</v>
      </c>
      <c r="F4594" s="167">
        <v>9054.7900000000009</v>
      </c>
      <c r="G4594" s="167">
        <v>3028.71</v>
      </c>
      <c r="H4594" s="168">
        <v>123513.76</v>
      </c>
      <c r="I4594" s="168">
        <v>50423.6</v>
      </c>
      <c r="J4594" s="168">
        <v>55507.49</v>
      </c>
      <c r="K4594" s="168">
        <v>17582.669999999998</v>
      </c>
      <c r="L4594" s="43">
        <v>7.5002283215933927</v>
      </c>
      <c r="M4594" s="43">
        <v>11.50042194092827</v>
      </c>
      <c r="N4594" s="43">
        <v>6.1301797170337462</v>
      </c>
      <c r="O4594" s="43">
        <v>5.8053329635389321</v>
      </c>
      <c r="P4594" s="169"/>
      <c r="Q4594" s="169"/>
      <c r="R4594" s="169">
        <v>4</v>
      </c>
    </row>
    <row r="4595" spans="1:18" ht="36">
      <c r="A4595" s="165">
        <v>1736</v>
      </c>
      <c r="B4595" s="162" t="s">
        <v>8435</v>
      </c>
      <c r="C4595" s="166" t="s">
        <v>8436</v>
      </c>
      <c r="D4595" s="167">
        <v>6586.07</v>
      </c>
      <c r="E4595" s="167">
        <v>1315.35</v>
      </c>
      <c r="F4595" s="167">
        <v>1948.92</v>
      </c>
      <c r="G4595" s="167">
        <v>3321.8</v>
      </c>
      <c r="H4595" s="168">
        <v>53646.06</v>
      </c>
      <c r="I4595" s="168">
        <v>15127.08</v>
      </c>
      <c r="J4595" s="168">
        <v>12542.62</v>
      </c>
      <c r="K4595" s="168">
        <v>25976.36</v>
      </c>
      <c r="L4595" s="43">
        <v>8.145382602978712</v>
      </c>
      <c r="M4595" s="43">
        <v>11.500421940928272</v>
      </c>
      <c r="N4595" s="43">
        <v>6.4356771955749856</v>
      </c>
      <c r="O4595" s="43">
        <v>7.8199650791739419</v>
      </c>
      <c r="P4595" s="169"/>
      <c r="Q4595" s="169"/>
      <c r="R4595" s="169">
        <v>4</v>
      </c>
    </row>
    <row r="4596" spans="1:18" ht="36">
      <c r="A4596" s="165">
        <v>1737</v>
      </c>
      <c r="B4596" s="162" t="s">
        <v>8437</v>
      </c>
      <c r="C4596" s="166" t="s">
        <v>8438</v>
      </c>
      <c r="D4596" s="167">
        <v>7978.12</v>
      </c>
      <c r="E4596" s="167">
        <v>1753.8</v>
      </c>
      <c r="F4596" s="167">
        <v>2893.75</v>
      </c>
      <c r="G4596" s="167">
        <v>3330.57</v>
      </c>
      <c r="H4596" s="168">
        <v>64726.41</v>
      </c>
      <c r="I4596" s="168">
        <v>20169.439999999999</v>
      </c>
      <c r="J4596" s="168">
        <v>18479.759999999998</v>
      </c>
      <c r="K4596" s="168">
        <v>26077.21</v>
      </c>
      <c r="L4596" s="43">
        <v>8.1129902784114556</v>
      </c>
      <c r="M4596" s="43">
        <v>11.50042194092827</v>
      </c>
      <c r="N4596" s="43">
        <v>6.3860941684665224</v>
      </c>
      <c r="O4596" s="43">
        <v>7.829653782986095</v>
      </c>
      <c r="P4596" s="169"/>
      <c r="Q4596" s="169"/>
      <c r="R4596" s="169">
        <v>4</v>
      </c>
    </row>
    <row r="4597" spans="1:18" ht="36">
      <c r="A4597" s="165">
        <v>1738</v>
      </c>
      <c r="B4597" s="162" t="s">
        <v>8439</v>
      </c>
      <c r="C4597" s="166" t="s">
        <v>8440</v>
      </c>
      <c r="D4597" s="167">
        <v>9080.2800000000007</v>
      </c>
      <c r="E4597" s="167">
        <v>2192.25</v>
      </c>
      <c r="F4597" s="167">
        <v>3548.69</v>
      </c>
      <c r="G4597" s="167">
        <v>3339.34</v>
      </c>
      <c r="H4597" s="168">
        <v>73707.98</v>
      </c>
      <c r="I4597" s="168">
        <v>25211.8</v>
      </c>
      <c r="J4597" s="168">
        <v>22318.11</v>
      </c>
      <c r="K4597" s="168">
        <v>26178.07</v>
      </c>
      <c r="L4597" s="43">
        <v>8.1173686273991539</v>
      </c>
      <c r="M4597" s="43">
        <v>11.50042194092827</v>
      </c>
      <c r="N4597" s="43">
        <v>6.2891123203210197</v>
      </c>
      <c r="O4597" s="43">
        <v>7.8392945911467535</v>
      </c>
      <c r="P4597" s="169"/>
      <c r="Q4597" s="169"/>
      <c r="R4597" s="169">
        <v>4</v>
      </c>
    </row>
    <row r="4598" spans="1:18" ht="24">
      <c r="A4598" s="165">
        <v>1739</v>
      </c>
      <c r="B4598" s="162" t="s">
        <v>8441</v>
      </c>
      <c r="C4598" s="166" t="s">
        <v>8442</v>
      </c>
      <c r="D4598" s="167">
        <v>7871.39</v>
      </c>
      <c r="E4598" s="167">
        <v>2097.4499999999998</v>
      </c>
      <c r="F4598" s="167">
        <v>2436.5</v>
      </c>
      <c r="G4598" s="167">
        <v>3337.44</v>
      </c>
      <c r="H4598" s="168">
        <v>66002.86</v>
      </c>
      <c r="I4598" s="168">
        <v>24121.56</v>
      </c>
      <c r="J4598" s="168">
        <v>15725.08</v>
      </c>
      <c r="K4598" s="168">
        <v>26156.22</v>
      </c>
      <c r="L4598" s="43">
        <v>8.3851594191114902</v>
      </c>
      <c r="M4598" s="43">
        <v>11.500421940928272</v>
      </c>
      <c r="N4598" s="43">
        <v>6.453962651344141</v>
      </c>
      <c r="O4598" s="43">
        <v>7.8372105565942762</v>
      </c>
      <c r="P4598" s="169"/>
      <c r="Q4598" s="169"/>
      <c r="R4598" s="169">
        <v>4</v>
      </c>
    </row>
    <row r="4599" spans="1:18" ht="36">
      <c r="A4599" s="165">
        <v>1740</v>
      </c>
      <c r="B4599" s="162" t="s">
        <v>8443</v>
      </c>
      <c r="C4599" s="166" t="s">
        <v>8444</v>
      </c>
      <c r="D4599" s="167">
        <v>20844.02</v>
      </c>
      <c r="E4599" s="167">
        <v>3211.35</v>
      </c>
      <c r="F4599" s="167">
        <v>2524.58</v>
      </c>
      <c r="G4599" s="167">
        <v>15108.09</v>
      </c>
      <c r="H4599" s="168">
        <v>116776.08</v>
      </c>
      <c r="I4599" s="168">
        <v>36931.879999999997</v>
      </c>
      <c r="J4599" s="168">
        <v>16541.43</v>
      </c>
      <c r="K4599" s="168">
        <v>63302.77</v>
      </c>
      <c r="L4599" s="43">
        <v>5.6023780441584687</v>
      </c>
      <c r="M4599" s="43">
        <v>11.50042194092827</v>
      </c>
      <c r="N4599" s="43">
        <v>6.5521512489206124</v>
      </c>
      <c r="O4599" s="43">
        <v>4.1899915872886639</v>
      </c>
      <c r="P4599" s="169"/>
      <c r="Q4599" s="169"/>
      <c r="R4599" s="169">
        <v>4</v>
      </c>
    </row>
    <row r="4600" spans="1:18" ht="36">
      <c r="A4600" s="165">
        <v>1741</v>
      </c>
      <c r="B4600" s="162" t="s">
        <v>8445</v>
      </c>
      <c r="C4600" s="166" t="s">
        <v>8446</v>
      </c>
      <c r="D4600" s="167">
        <v>22036</v>
      </c>
      <c r="E4600" s="167">
        <v>3756.45</v>
      </c>
      <c r="F4600" s="167">
        <v>3160.56</v>
      </c>
      <c r="G4600" s="167">
        <v>15118.99</v>
      </c>
      <c r="H4600" s="168">
        <v>127330.93</v>
      </c>
      <c r="I4600" s="168">
        <v>43200.76</v>
      </c>
      <c r="J4600" s="168">
        <v>20702.05</v>
      </c>
      <c r="K4600" s="168">
        <v>63428.12</v>
      </c>
      <c r="L4600" s="43">
        <v>5.778314122345253</v>
      </c>
      <c r="M4600" s="43">
        <v>11.500421940928272</v>
      </c>
      <c r="N4600" s="43">
        <v>6.550120864656896</v>
      </c>
      <c r="O4600" s="43">
        <v>4.1952617205249823</v>
      </c>
      <c r="P4600" s="169"/>
      <c r="Q4600" s="169"/>
      <c r="R4600" s="169">
        <v>4</v>
      </c>
    </row>
    <row r="4601" spans="1:18" ht="36">
      <c r="A4601" s="165">
        <v>1742</v>
      </c>
      <c r="B4601" s="162" t="s">
        <v>8447</v>
      </c>
      <c r="C4601" s="166" t="s">
        <v>8448</v>
      </c>
      <c r="D4601" s="167">
        <v>24323.14</v>
      </c>
      <c r="E4601" s="167">
        <v>4692.6000000000004</v>
      </c>
      <c r="F4601" s="167">
        <v>4492.83</v>
      </c>
      <c r="G4601" s="167">
        <v>15137.71</v>
      </c>
      <c r="H4601" s="168">
        <v>147172.68</v>
      </c>
      <c r="I4601" s="168">
        <v>53966.879999999997</v>
      </c>
      <c r="J4601" s="168">
        <v>29562.400000000001</v>
      </c>
      <c r="K4601" s="168">
        <v>63643.4</v>
      </c>
      <c r="L4601" s="43">
        <v>6.0507270031747549</v>
      </c>
      <c r="M4601" s="43">
        <v>11.500421940928268</v>
      </c>
      <c r="N4601" s="43">
        <v>6.5799062061106257</v>
      </c>
      <c r="O4601" s="43">
        <v>4.2042951014387251</v>
      </c>
      <c r="P4601" s="169"/>
      <c r="Q4601" s="169"/>
      <c r="R4601" s="169">
        <v>4</v>
      </c>
    </row>
    <row r="4602" spans="1:18" ht="36">
      <c r="A4602" s="165">
        <v>1743</v>
      </c>
      <c r="B4602" s="162" t="s">
        <v>8449</v>
      </c>
      <c r="C4602" s="166" t="s">
        <v>8450</v>
      </c>
      <c r="D4602" s="167">
        <v>17344.63</v>
      </c>
      <c r="E4602" s="167">
        <v>2618.85</v>
      </c>
      <c r="F4602" s="167">
        <v>3085.29</v>
      </c>
      <c r="G4602" s="167">
        <v>11640.49</v>
      </c>
      <c r="H4602" s="168">
        <v>98591.14</v>
      </c>
      <c r="I4602" s="168">
        <v>30117.88</v>
      </c>
      <c r="J4602" s="168">
        <v>20327.64</v>
      </c>
      <c r="K4602" s="168">
        <v>48145.62</v>
      </c>
      <c r="L4602" s="43">
        <v>5.6842457867362981</v>
      </c>
      <c r="M4602" s="43">
        <v>11.500421940928272</v>
      </c>
      <c r="N4602" s="43">
        <v>6.5885670390789848</v>
      </c>
      <c r="O4602" s="43">
        <v>4.1360475375177508</v>
      </c>
      <c r="P4602" s="169"/>
      <c r="Q4602" s="169"/>
      <c r="R4602" s="169">
        <v>4</v>
      </c>
    </row>
    <row r="4603" spans="1:18" ht="36">
      <c r="A4603" s="165">
        <v>1744</v>
      </c>
      <c r="B4603" s="162" t="s">
        <v>8451</v>
      </c>
      <c r="C4603" s="166" t="s">
        <v>8452</v>
      </c>
      <c r="D4603" s="167">
        <v>18536.61</v>
      </c>
      <c r="E4603" s="167">
        <v>3163.95</v>
      </c>
      <c r="F4603" s="167">
        <v>3721.27</v>
      </c>
      <c r="G4603" s="167">
        <v>11651.39</v>
      </c>
      <c r="H4603" s="168">
        <v>109145.99</v>
      </c>
      <c r="I4603" s="168">
        <v>36386.76</v>
      </c>
      <c r="J4603" s="168">
        <v>24488.26</v>
      </c>
      <c r="K4603" s="168">
        <v>48270.97</v>
      </c>
      <c r="L4603" s="43">
        <v>5.8881311091941839</v>
      </c>
      <c r="M4603" s="43">
        <v>11.500421940928272</v>
      </c>
      <c r="N4603" s="43">
        <v>6.5806189822291845</v>
      </c>
      <c r="O4603" s="43">
        <v>4.1429365938312941</v>
      </c>
      <c r="P4603" s="169"/>
      <c r="Q4603" s="169"/>
      <c r="R4603" s="169">
        <v>4</v>
      </c>
    </row>
    <row r="4604" spans="1:18" ht="36">
      <c r="A4604" s="165">
        <v>1745</v>
      </c>
      <c r="B4604" s="162" t="s">
        <v>8453</v>
      </c>
      <c r="C4604" s="166" t="s">
        <v>8454</v>
      </c>
      <c r="D4604" s="167">
        <v>20809.11</v>
      </c>
      <c r="E4604" s="167">
        <v>4100.1000000000004</v>
      </c>
      <c r="F4604" s="167">
        <v>5038.8999999999996</v>
      </c>
      <c r="G4604" s="167">
        <v>11670.11</v>
      </c>
      <c r="H4604" s="168">
        <v>128889</v>
      </c>
      <c r="I4604" s="168">
        <v>47152.88</v>
      </c>
      <c r="J4604" s="168">
        <v>33249.870000000003</v>
      </c>
      <c r="K4604" s="168">
        <v>48486.25</v>
      </c>
      <c r="L4604" s="43">
        <v>6.1938737408759907</v>
      </c>
      <c r="M4604" s="43">
        <v>11.500421940928268</v>
      </c>
      <c r="N4604" s="43">
        <v>6.5986366071960161</v>
      </c>
      <c r="O4604" s="43">
        <v>4.1547380444571642</v>
      </c>
      <c r="P4604" s="169"/>
      <c r="Q4604" s="169"/>
      <c r="R4604" s="169">
        <v>4</v>
      </c>
    </row>
    <row r="4605" spans="1:18" ht="36">
      <c r="A4605" s="165">
        <v>1746</v>
      </c>
      <c r="B4605" s="162" t="s">
        <v>8455</v>
      </c>
      <c r="C4605" s="166" t="s">
        <v>8456</v>
      </c>
      <c r="D4605" s="167">
        <v>3382.75</v>
      </c>
      <c r="E4605" s="167">
        <v>1410.15</v>
      </c>
      <c r="F4605" s="167">
        <v>1880.13</v>
      </c>
      <c r="G4605" s="167">
        <v>92.47</v>
      </c>
      <c r="H4605" s="168">
        <v>28983.49</v>
      </c>
      <c r="I4605" s="168">
        <v>16217.32</v>
      </c>
      <c r="J4605" s="168">
        <v>12222.37</v>
      </c>
      <c r="K4605" s="168">
        <v>543.79999999999995</v>
      </c>
      <c r="L4605" s="43">
        <v>8.5680260143374483</v>
      </c>
      <c r="M4605" s="43">
        <v>11.50042194092827</v>
      </c>
      <c r="N4605" s="43">
        <v>6.5008111141250868</v>
      </c>
      <c r="O4605" s="43">
        <v>5.8808262139072127</v>
      </c>
      <c r="P4605" s="169"/>
      <c r="Q4605" s="169"/>
      <c r="R4605" s="169">
        <v>4</v>
      </c>
    </row>
    <row r="4606" spans="1:18" ht="36">
      <c r="A4606" s="165">
        <v>1747</v>
      </c>
      <c r="B4606" s="162" t="s">
        <v>8457</v>
      </c>
      <c r="C4606" s="166" t="s">
        <v>8458</v>
      </c>
      <c r="D4606" s="167">
        <v>4562.6499999999996</v>
      </c>
      <c r="E4606" s="167">
        <v>1943.4</v>
      </c>
      <c r="F4606" s="167">
        <v>2516.11</v>
      </c>
      <c r="G4606" s="167">
        <v>103.14</v>
      </c>
      <c r="H4606" s="168">
        <v>39399.42</v>
      </c>
      <c r="I4606" s="168">
        <v>22349.919999999998</v>
      </c>
      <c r="J4606" s="168">
        <v>16382.99</v>
      </c>
      <c r="K4606" s="168">
        <v>666.51</v>
      </c>
      <c r="L4606" s="43">
        <v>8.6352054179040696</v>
      </c>
      <c r="M4606" s="43">
        <v>11.500421940928268</v>
      </c>
      <c r="N4606" s="43">
        <v>6.5112375850022453</v>
      </c>
      <c r="O4606" s="43">
        <v>6.4621873182082608</v>
      </c>
      <c r="P4606" s="169"/>
      <c r="Q4606" s="169"/>
      <c r="R4606" s="169">
        <v>4</v>
      </c>
    </row>
    <row r="4607" spans="1:18" ht="36">
      <c r="A4607" s="165">
        <v>1748</v>
      </c>
      <c r="B4607" s="162" t="s">
        <v>8459</v>
      </c>
      <c r="C4607" s="166" t="s">
        <v>8460</v>
      </c>
      <c r="D4607" s="167">
        <v>6872.86</v>
      </c>
      <c r="E4607" s="167">
        <v>2891.4</v>
      </c>
      <c r="F4607" s="167">
        <v>3859.36</v>
      </c>
      <c r="G4607" s="167">
        <v>122.1</v>
      </c>
      <c r="H4607" s="168">
        <v>59454.26</v>
      </c>
      <c r="I4607" s="168">
        <v>33252.32</v>
      </c>
      <c r="J4607" s="168">
        <v>25317.39</v>
      </c>
      <c r="K4607" s="168">
        <v>884.55</v>
      </c>
      <c r="L4607" s="43">
        <v>8.6505850548388885</v>
      </c>
      <c r="M4607" s="43">
        <v>11.50042194092827</v>
      </c>
      <c r="N4607" s="43">
        <v>6.5599969943203016</v>
      </c>
      <c r="O4607" s="43">
        <v>7.2444717444717446</v>
      </c>
      <c r="P4607" s="169"/>
      <c r="Q4607" s="169"/>
      <c r="R4607" s="169">
        <v>4</v>
      </c>
    </row>
    <row r="4608" spans="1:18" ht="12.75" customHeight="1">
      <c r="A4608" s="628" t="s">
        <v>8461</v>
      </c>
      <c r="B4608" s="629"/>
      <c r="C4608" s="629"/>
      <c r="D4608" s="629"/>
      <c r="E4608" s="629"/>
      <c r="F4608" s="629"/>
      <c r="G4608" s="629"/>
      <c r="H4608" s="629"/>
      <c r="I4608" s="629"/>
      <c r="J4608" s="629"/>
      <c r="K4608" s="629"/>
      <c r="L4608" s="629"/>
      <c r="M4608" s="629"/>
      <c r="N4608" s="629"/>
      <c r="O4608" s="629"/>
      <c r="P4608" s="629"/>
      <c r="Q4608" s="629"/>
      <c r="R4608" s="629"/>
    </row>
    <row r="4609" spans="1:18" ht="24">
      <c r="A4609" s="165">
        <v>1749</v>
      </c>
      <c r="B4609" s="162" t="s">
        <v>8462</v>
      </c>
      <c r="C4609" s="166" t="s">
        <v>8463</v>
      </c>
      <c r="D4609" s="167">
        <v>26810.66</v>
      </c>
      <c r="E4609" s="167">
        <v>3163.95</v>
      </c>
      <c r="F4609" s="167">
        <v>3990.32</v>
      </c>
      <c r="G4609" s="167">
        <v>19656.39</v>
      </c>
      <c r="H4609" s="168">
        <v>112184.23</v>
      </c>
      <c r="I4609" s="168">
        <v>36386.76</v>
      </c>
      <c r="J4609" s="168">
        <v>26306.53</v>
      </c>
      <c r="K4609" s="168">
        <v>49490.94</v>
      </c>
      <c r="L4609" s="43">
        <v>4.1843143734618993</v>
      </c>
      <c r="M4609" s="43">
        <v>11.500421940928272</v>
      </c>
      <c r="N4609" s="43">
        <v>6.5925865594739266</v>
      </c>
      <c r="O4609" s="43">
        <v>2.5178041339228621</v>
      </c>
      <c r="P4609" s="169"/>
      <c r="Q4609" s="169"/>
      <c r="R4609" s="169">
        <v>5</v>
      </c>
    </row>
    <row r="4610" spans="1:18" ht="36">
      <c r="A4610" s="165">
        <v>1750</v>
      </c>
      <c r="B4610" s="162" t="s">
        <v>8464</v>
      </c>
      <c r="C4610" s="166" t="s">
        <v>8465</v>
      </c>
      <c r="D4610" s="167">
        <v>27016.9</v>
      </c>
      <c r="E4610" s="167">
        <v>3448.35</v>
      </c>
      <c r="F4610" s="167">
        <v>4026.37</v>
      </c>
      <c r="G4610" s="167">
        <v>19542.18</v>
      </c>
      <c r="H4610" s="168">
        <v>115528.29</v>
      </c>
      <c r="I4610" s="168">
        <v>39657.480000000003</v>
      </c>
      <c r="J4610" s="168">
        <v>26500.53</v>
      </c>
      <c r="K4610" s="168">
        <v>49370.28</v>
      </c>
      <c r="L4610" s="43">
        <v>4.2761490030314357</v>
      </c>
      <c r="M4610" s="43">
        <v>11.500421940928272</v>
      </c>
      <c r="N4610" s="43">
        <v>6.5817423634688312</v>
      </c>
      <c r="O4610" s="43">
        <v>2.5263445531665352</v>
      </c>
      <c r="P4610" s="169"/>
      <c r="Q4610" s="169"/>
      <c r="R4610" s="169">
        <v>5</v>
      </c>
    </row>
    <row r="4611" spans="1:18" ht="36">
      <c r="A4611" s="165">
        <v>1751</v>
      </c>
      <c r="B4611" s="162" t="s">
        <v>8466</v>
      </c>
      <c r="C4611" s="166" t="s">
        <v>8467</v>
      </c>
      <c r="D4611" s="167">
        <v>25815.94</v>
      </c>
      <c r="E4611" s="167">
        <v>2867.7</v>
      </c>
      <c r="F4611" s="167">
        <v>4714.2299999999996</v>
      </c>
      <c r="G4611" s="167">
        <v>18234.009999999998</v>
      </c>
      <c r="H4611" s="168">
        <v>110712.7</v>
      </c>
      <c r="I4611" s="168">
        <v>32979.760000000002</v>
      </c>
      <c r="J4611" s="168">
        <v>30201.51</v>
      </c>
      <c r="K4611" s="168">
        <v>47531.43</v>
      </c>
      <c r="L4611" s="43">
        <v>4.2885403359319865</v>
      </c>
      <c r="M4611" s="43">
        <v>11.500421940928272</v>
      </c>
      <c r="N4611" s="43">
        <v>6.4064566217600758</v>
      </c>
      <c r="O4611" s="43">
        <v>2.6067458556839664</v>
      </c>
      <c r="P4611" s="169"/>
      <c r="Q4611" s="169"/>
      <c r="R4611" s="169">
        <v>5</v>
      </c>
    </row>
    <row r="4612" spans="1:18" ht="12.75" customHeight="1">
      <c r="A4612" s="628" t="s">
        <v>8468</v>
      </c>
      <c r="B4612" s="629"/>
      <c r="C4612" s="629"/>
      <c r="D4612" s="629"/>
      <c r="E4612" s="629"/>
      <c r="F4612" s="629"/>
      <c r="G4612" s="629"/>
      <c r="H4612" s="629"/>
      <c r="I4612" s="629"/>
      <c r="J4612" s="629"/>
      <c r="K4612" s="629"/>
      <c r="L4612" s="629"/>
      <c r="M4612" s="629"/>
      <c r="N4612" s="629"/>
      <c r="O4612" s="629"/>
      <c r="P4612" s="629"/>
      <c r="Q4612" s="629"/>
      <c r="R4612" s="629"/>
    </row>
    <row r="4613" spans="1:18" ht="36">
      <c r="A4613" s="165">
        <v>1752</v>
      </c>
      <c r="B4613" s="162" t="s">
        <v>8469</v>
      </c>
      <c r="C4613" s="166" t="s">
        <v>8470</v>
      </c>
      <c r="D4613" s="167">
        <v>17099.93</v>
      </c>
      <c r="E4613" s="167">
        <v>2227.8000000000002</v>
      </c>
      <c r="F4613" s="167">
        <v>901.97</v>
      </c>
      <c r="G4613" s="167">
        <v>13970.16</v>
      </c>
      <c r="H4613" s="168">
        <v>104273.14</v>
      </c>
      <c r="I4613" s="168">
        <v>25620.639999999999</v>
      </c>
      <c r="J4613" s="168">
        <v>4843.2</v>
      </c>
      <c r="K4613" s="168">
        <v>73809.3</v>
      </c>
      <c r="L4613" s="43">
        <v>6.0978694064829506</v>
      </c>
      <c r="M4613" s="43">
        <v>11.500421940928268</v>
      </c>
      <c r="N4613" s="43">
        <v>5.3695799195095173</v>
      </c>
      <c r="O4613" s="43">
        <v>5.2833539487020911</v>
      </c>
      <c r="P4613" s="169"/>
      <c r="Q4613" s="169"/>
      <c r="R4613" s="169">
        <v>6</v>
      </c>
    </row>
    <row r="4614" spans="1:18" ht="36">
      <c r="A4614" s="165">
        <v>1753</v>
      </c>
      <c r="B4614" s="162" t="s">
        <v>8471</v>
      </c>
      <c r="C4614" s="166" t="s">
        <v>8472</v>
      </c>
      <c r="D4614" s="167">
        <v>17390.009999999998</v>
      </c>
      <c r="E4614" s="167">
        <v>2512.1999999999998</v>
      </c>
      <c r="F4614" s="167">
        <v>901.97</v>
      </c>
      <c r="G4614" s="167">
        <v>13975.84</v>
      </c>
      <c r="H4614" s="168">
        <v>107609.18</v>
      </c>
      <c r="I4614" s="168">
        <v>28891.360000000001</v>
      </c>
      <c r="J4614" s="168">
        <v>4843.2</v>
      </c>
      <c r="K4614" s="168">
        <v>73874.62</v>
      </c>
      <c r="L4614" s="43">
        <v>6.1879883910360034</v>
      </c>
      <c r="M4614" s="43">
        <v>11.500421940928272</v>
      </c>
      <c r="N4614" s="43">
        <v>5.3695799195095173</v>
      </c>
      <c r="O4614" s="43">
        <v>5.2858804909043027</v>
      </c>
      <c r="P4614" s="169"/>
      <c r="Q4614" s="169"/>
      <c r="R4614" s="169">
        <v>6</v>
      </c>
    </row>
    <row r="4615" spans="1:18" ht="36">
      <c r="A4615" s="165">
        <v>1754</v>
      </c>
      <c r="B4615" s="162" t="s">
        <v>8473</v>
      </c>
      <c r="C4615" s="166" t="s">
        <v>8474</v>
      </c>
      <c r="D4615" s="167">
        <v>24461.72</v>
      </c>
      <c r="E4615" s="167">
        <v>4242.3</v>
      </c>
      <c r="F4615" s="167">
        <v>6208.97</v>
      </c>
      <c r="G4615" s="167">
        <v>14010.45</v>
      </c>
      <c r="H4615" s="168">
        <v>163695.88</v>
      </c>
      <c r="I4615" s="168">
        <v>48788.24</v>
      </c>
      <c r="J4615" s="168">
        <v>40635</v>
      </c>
      <c r="K4615" s="168">
        <v>74272.639999999999</v>
      </c>
      <c r="L4615" s="43">
        <v>6.6919202737992256</v>
      </c>
      <c r="M4615" s="43">
        <v>11.50042194092827</v>
      </c>
      <c r="N4615" s="43">
        <v>6.5445637521199167</v>
      </c>
      <c r="O4615" s="43">
        <v>5.3012315807129671</v>
      </c>
      <c r="P4615" s="169"/>
      <c r="Q4615" s="169"/>
      <c r="R4615" s="169">
        <v>6</v>
      </c>
    </row>
    <row r="4616" spans="1:18" ht="36">
      <c r="A4616" s="165">
        <v>1755</v>
      </c>
      <c r="B4616" s="162" t="s">
        <v>8475</v>
      </c>
      <c r="C4616" s="166" t="s">
        <v>8476</v>
      </c>
      <c r="D4616" s="167">
        <v>26260.42</v>
      </c>
      <c r="E4616" s="167">
        <v>4965.1499999999996</v>
      </c>
      <c r="F4616" s="167">
        <v>7270.37</v>
      </c>
      <c r="G4616" s="167">
        <v>14024.9</v>
      </c>
      <c r="H4616" s="168">
        <v>179333.49</v>
      </c>
      <c r="I4616" s="168">
        <v>57101.32</v>
      </c>
      <c r="J4616" s="168">
        <v>47793.36</v>
      </c>
      <c r="K4616" s="168">
        <v>74438.81</v>
      </c>
      <c r="L4616" s="43">
        <v>6.8290411958376902</v>
      </c>
      <c r="M4616" s="43">
        <v>11.500421940928272</v>
      </c>
      <c r="N4616" s="43">
        <v>6.5737177062515393</v>
      </c>
      <c r="O4616" s="43">
        <v>5.3076178796283751</v>
      </c>
      <c r="P4616" s="169"/>
      <c r="Q4616" s="169"/>
      <c r="R4616" s="169">
        <v>6</v>
      </c>
    </row>
    <row r="4617" spans="1:18" ht="36">
      <c r="A4617" s="165">
        <v>1756</v>
      </c>
      <c r="B4617" s="162" t="s">
        <v>8477</v>
      </c>
      <c r="C4617" s="166" t="s">
        <v>8478</v>
      </c>
      <c r="D4617" s="167">
        <v>42673.03</v>
      </c>
      <c r="E4617" s="167">
        <v>4100.1000000000004</v>
      </c>
      <c r="F4617" s="167">
        <v>24565.33</v>
      </c>
      <c r="G4617" s="167">
        <v>14007.6</v>
      </c>
      <c r="H4617" s="168">
        <v>246754.5</v>
      </c>
      <c r="I4617" s="168">
        <v>47152.88</v>
      </c>
      <c r="J4617" s="168">
        <v>125361.76</v>
      </c>
      <c r="K4617" s="168">
        <v>74239.86</v>
      </c>
      <c r="L4617" s="43">
        <v>5.7824461961102838</v>
      </c>
      <c r="M4617" s="43">
        <v>11.500421940928268</v>
      </c>
      <c r="N4617" s="43">
        <v>5.1031986950714678</v>
      </c>
      <c r="O4617" s="43">
        <v>5.2999700162768786</v>
      </c>
      <c r="P4617" s="169"/>
      <c r="Q4617" s="169"/>
      <c r="R4617" s="169">
        <v>6</v>
      </c>
    </row>
    <row r="4618" spans="1:18" ht="36">
      <c r="A4618" s="165">
        <v>1757</v>
      </c>
      <c r="B4618" s="162" t="s">
        <v>8479</v>
      </c>
      <c r="C4618" s="166" t="s">
        <v>8480</v>
      </c>
      <c r="D4618" s="167">
        <v>48347.3</v>
      </c>
      <c r="E4618" s="167">
        <v>4822.95</v>
      </c>
      <c r="F4618" s="167">
        <v>29502.29</v>
      </c>
      <c r="G4618" s="167">
        <v>14022.06</v>
      </c>
      <c r="H4618" s="168">
        <v>280378.03000000003</v>
      </c>
      <c r="I4618" s="168">
        <v>55465.96</v>
      </c>
      <c r="J4618" s="168">
        <v>150505.92000000001</v>
      </c>
      <c r="K4618" s="168">
        <v>74406.149999999994</v>
      </c>
      <c r="L4618" s="43">
        <v>5.7992489756408325</v>
      </c>
      <c r="M4618" s="43">
        <v>11.50042194092827</v>
      </c>
      <c r="N4618" s="43">
        <v>5.1014995785072959</v>
      </c>
      <c r="O4618" s="43">
        <v>5.3063636869333033</v>
      </c>
      <c r="P4618" s="169"/>
      <c r="Q4618" s="169"/>
      <c r="R4618" s="169">
        <v>6</v>
      </c>
    </row>
    <row r="4619" spans="1:18" ht="24">
      <c r="A4619" s="165">
        <v>1758</v>
      </c>
      <c r="B4619" s="162" t="s">
        <v>8481</v>
      </c>
      <c r="C4619" s="166" t="s">
        <v>8482</v>
      </c>
      <c r="D4619" s="167">
        <v>46184.57</v>
      </c>
      <c r="E4619" s="167">
        <v>4538.55</v>
      </c>
      <c r="F4619" s="167">
        <v>27629.65</v>
      </c>
      <c r="G4619" s="167">
        <v>14016.37</v>
      </c>
      <c r="H4619" s="168">
        <v>267504.44</v>
      </c>
      <c r="I4619" s="168">
        <v>52195.24</v>
      </c>
      <c r="J4619" s="168">
        <v>140968.48000000001</v>
      </c>
      <c r="K4619" s="168">
        <v>74340.72</v>
      </c>
      <c r="L4619" s="43">
        <v>5.7920738463084103</v>
      </c>
      <c r="M4619" s="43">
        <v>11.50042194092827</v>
      </c>
      <c r="N4619" s="43">
        <v>5.1020725923057295</v>
      </c>
      <c r="O4619" s="43">
        <v>5.3038497128714495</v>
      </c>
      <c r="P4619" s="169"/>
      <c r="Q4619" s="169"/>
      <c r="R4619" s="169">
        <v>6</v>
      </c>
    </row>
    <row r="4620" spans="1:18" ht="24">
      <c r="A4620" s="165">
        <v>1759</v>
      </c>
      <c r="B4620" s="162" t="s">
        <v>8483</v>
      </c>
      <c r="C4620" s="166" t="s">
        <v>8484</v>
      </c>
      <c r="D4620" s="167">
        <v>51858.84</v>
      </c>
      <c r="E4620" s="167">
        <v>5261.4</v>
      </c>
      <c r="F4620" s="167">
        <v>32566.61</v>
      </c>
      <c r="G4620" s="167">
        <v>14030.83</v>
      </c>
      <c r="H4620" s="168">
        <v>301127.96999999997</v>
      </c>
      <c r="I4620" s="168">
        <v>60508.32</v>
      </c>
      <c r="J4620" s="168">
        <v>166112.64000000001</v>
      </c>
      <c r="K4620" s="168">
        <v>74507.009999999995</v>
      </c>
      <c r="L4620" s="43">
        <v>5.8066854175681524</v>
      </c>
      <c r="M4620" s="43">
        <v>11.500421940928272</v>
      </c>
      <c r="N4620" s="43">
        <v>5.1007040646846571</v>
      </c>
      <c r="O4620" s="43">
        <v>5.3102353887831297</v>
      </c>
      <c r="P4620" s="169"/>
      <c r="Q4620" s="169"/>
      <c r="R4620" s="169">
        <v>6</v>
      </c>
    </row>
    <row r="4621" spans="1:18" ht="48">
      <c r="A4621" s="165">
        <v>1760</v>
      </c>
      <c r="B4621" s="162" t="s">
        <v>8485</v>
      </c>
      <c r="C4621" s="166" t="s">
        <v>8486</v>
      </c>
      <c r="D4621" s="167">
        <v>60552.36</v>
      </c>
      <c r="E4621" s="167">
        <v>6493.8</v>
      </c>
      <c r="F4621" s="167">
        <v>26134.69</v>
      </c>
      <c r="G4621" s="167">
        <v>27923.87</v>
      </c>
      <c r="H4621" s="168">
        <v>345775.79</v>
      </c>
      <c r="I4621" s="168">
        <v>74681.440000000002</v>
      </c>
      <c r="J4621" s="168">
        <v>123186.56</v>
      </c>
      <c r="K4621" s="168">
        <v>147907.79</v>
      </c>
      <c r="L4621" s="43">
        <v>5.7103602568091478</v>
      </c>
      <c r="M4621" s="43">
        <v>11.50042194092827</v>
      </c>
      <c r="N4621" s="43">
        <v>4.7135267340075586</v>
      </c>
      <c r="O4621" s="43">
        <v>5.2968227541526307</v>
      </c>
      <c r="P4621" s="169"/>
      <c r="Q4621" s="169"/>
      <c r="R4621" s="169">
        <v>6</v>
      </c>
    </row>
    <row r="4622" spans="1:18" ht="48">
      <c r="A4622" s="165">
        <v>1761</v>
      </c>
      <c r="B4622" s="162" t="s">
        <v>8487</v>
      </c>
      <c r="C4622" s="166" t="s">
        <v>8488</v>
      </c>
      <c r="D4622" s="167">
        <v>80791.78</v>
      </c>
      <c r="E4622" s="167">
        <v>7903.95</v>
      </c>
      <c r="F4622" s="167">
        <v>31067.37</v>
      </c>
      <c r="G4622" s="167">
        <v>41820.46</v>
      </c>
      <c r="H4622" s="168">
        <v>458838.62</v>
      </c>
      <c r="I4622" s="168">
        <v>90898.76</v>
      </c>
      <c r="J4622" s="168">
        <v>146590.47</v>
      </c>
      <c r="K4622" s="168">
        <v>221349.39</v>
      </c>
      <c r="L4622" s="43">
        <v>5.6792735597606585</v>
      </c>
      <c r="M4622" s="43">
        <v>11.50042194092827</v>
      </c>
      <c r="N4622" s="43">
        <v>4.7184705367721831</v>
      </c>
      <c r="O4622" s="43">
        <v>5.2928492417347881</v>
      </c>
      <c r="P4622" s="169"/>
      <c r="Q4622" s="169"/>
      <c r="R4622" s="169">
        <v>6</v>
      </c>
    </row>
    <row r="4623" spans="1:18" ht="48">
      <c r="A4623" s="165">
        <v>1762</v>
      </c>
      <c r="B4623" s="162" t="s">
        <v>8489</v>
      </c>
      <c r="C4623" s="166" t="s">
        <v>8490</v>
      </c>
      <c r="D4623" s="167">
        <v>101109.5</v>
      </c>
      <c r="E4623" s="167">
        <v>9586.65</v>
      </c>
      <c r="F4623" s="167">
        <v>35800.35</v>
      </c>
      <c r="G4623" s="167">
        <v>55722.5</v>
      </c>
      <c r="H4623" s="168">
        <v>574024.07999999996</v>
      </c>
      <c r="I4623" s="168">
        <v>110250.52</v>
      </c>
      <c r="J4623" s="168">
        <v>168919.88</v>
      </c>
      <c r="K4623" s="168">
        <v>294853.68</v>
      </c>
      <c r="L4623" s="43">
        <v>5.6772516924720229</v>
      </c>
      <c r="M4623" s="43">
        <v>11.500421940928272</v>
      </c>
      <c r="N4623" s="43">
        <v>4.7183862727599033</v>
      </c>
      <c r="O4623" s="43">
        <v>5.2914653865135266</v>
      </c>
      <c r="P4623" s="169"/>
      <c r="Q4623" s="169"/>
      <c r="R4623" s="169">
        <v>6</v>
      </c>
    </row>
    <row r="4624" spans="1:18" ht="36">
      <c r="A4624" s="165">
        <v>1763</v>
      </c>
      <c r="B4624" s="162" t="s">
        <v>8491</v>
      </c>
      <c r="C4624" s="166" t="s">
        <v>8492</v>
      </c>
      <c r="D4624" s="167">
        <v>71243.09</v>
      </c>
      <c r="E4624" s="167">
        <v>7512.9</v>
      </c>
      <c r="F4624" s="167">
        <v>35785.94</v>
      </c>
      <c r="G4624" s="167">
        <v>27944.25</v>
      </c>
      <c r="H4624" s="168">
        <v>417234.82</v>
      </c>
      <c r="I4624" s="168">
        <v>86401.52</v>
      </c>
      <c r="J4624" s="168">
        <v>182691.14</v>
      </c>
      <c r="K4624" s="168">
        <v>148142.16</v>
      </c>
      <c r="L4624" s="43">
        <v>5.8564952755418105</v>
      </c>
      <c r="M4624" s="43">
        <v>11.500421940928272</v>
      </c>
      <c r="N4624" s="43">
        <v>5.1051094368346899</v>
      </c>
      <c r="O4624" s="43">
        <v>5.3013467886953487</v>
      </c>
      <c r="P4624" s="169"/>
      <c r="Q4624" s="169"/>
      <c r="R4624" s="169">
        <v>6</v>
      </c>
    </row>
    <row r="4625" spans="1:18" ht="36">
      <c r="A4625" s="165">
        <v>1764</v>
      </c>
      <c r="B4625" s="162" t="s">
        <v>8493</v>
      </c>
      <c r="C4625" s="166" t="s">
        <v>8494</v>
      </c>
      <c r="D4625" s="167">
        <v>90815.79</v>
      </c>
      <c r="E4625" s="167">
        <v>8769</v>
      </c>
      <c r="F4625" s="167">
        <v>40209.03</v>
      </c>
      <c r="G4625" s="167">
        <v>41837.760000000002</v>
      </c>
      <c r="H4625" s="168">
        <v>527759.56999999995</v>
      </c>
      <c r="I4625" s="168">
        <v>100847.2</v>
      </c>
      <c r="J4625" s="168">
        <v>205364.03</v>
      </c>
      <c r="K4625" s="168">
        <v>221548.34</v>
      </c>
      <c r="L4625" s="43">
        <v>5.8113194853009587</v>
      </c>
      <c r="M4625" s="43">
        <v>11.50042194092827</v>
      </c>
      <c r="N4625" s="43">
        <v>5.1074106985420942</v>
      </c>
      <c r="O4625" s="43">
        <v>5.2954159113681039</v>
      </c>
      <c r="P4625" s="169"/>
      <c r="Q4625" s="169"/>
      <c r="R4625" s="169">
        <v>6</v>
      </c>
    </row>
    <row r="4626" spans="1:18" ht="36">
      <c r="A4626" s="165">
        <v>1765</v>
      </c>
      <c r="B4626" s="162" t="s">
        <v>8495</v>
      </c>
      <c r="C4626" s="166" t="s">
        <v>8496</v>
      </c>
      <c r="D4626" s="167">
        <v>108304.07</v>
      </c>
      <c r="E4626" s="167">
        <v>10013.25</v>
      </c>
      <c r="F4626" s="167">
        <v>42559.78</v>
      </c>
      <c r="G4626" s="167">
        <v>55731.040000000001</v>
      </c>
      <c r="H4626" s="168">
        <v>627533.47</v>
      </c>
      <c r="I4626" s="168">
        <v>115156.6</v>
      </c>
      <c r="J4626" s="168">
        <v>217424.98</v>
      </c>
      <c r="K4626" s="168">
        <v>294951.89</v>
      </c>
      <c r="L4626" s="43">
        <v>5.794181788366771</v>
      </c>
      <c r="M4626" s="43">
        <v>11.50042194092827</v>
      </c>
      <c r="N4626" s="43">
        <v>5.1086960505904875</v>
      </c>
      <c r="O4626" s="43">
        <v>5.2924167573402547</v>
      </c>
      <c r="P4626" s="169"/>
      <c r="Q4626" s="169"/>
      <c r="R4626" s="169">
        <v>6</v>
      </c>
    </row>
    <row r="4627" spans="1:18" ht="12.75" customHeight="1">
      <c r="A4627" s="628" t="s">
        <v>8497</v>
      </c>
      <c r="B4627" s="629"/>
      <c r="C4627" s="629"/>
      <c r="D4627" s="629"/>
      <c r="E4627" s="629"/>
      <c r="F4627" s="629"/>
      <c r="G4627" s="629"/>
      <c r="H4627" s="629"/>
      <c r="I4627" s="629"/>
      <c r="J4627" s="629"/>
      <c r="K4627" s="629"/>
      <c r="L4627" s="629"/>
      <c r="M4627" s="629"/>
      <c r="N4627" s="629"/>
      <c r="O4627" s="629"/>
      <c r="P4627" s="629"/>
      <c r="Q4627" s="629"/>
      <c r="R4627" s="629"/>
    </row>
    <row r="4628" spans="1:18" ht="24">
      <c r="A4628" s="165">
        <v>1766</v>
      </c>
      <c r="B4628" s="162" t="s">
        <v>8498</v>
      </c>
      <c r="C4628" s="166" t="s">
        <v>8499</v>
      </c>
      <c r="D4628" s="167">
        <v>666.18</v>
      </c>
      <c r="E4628" s="167">
        <v>117.55</v>
      </c>
      <c r="F4628" s="167">
        <v>233.39</v>
      </c>
      <c r="G4628" s="167">
        <v>315.24</v>
      </c>
      <c r="H4628" s="168">
        <v>4040.65</v>
      </c>
      <c r="I4628" s="168">
        <v>1351.9</v>
      </c>
      <c r="J4628" s="168">
        <v>1237.8</v>
      </c>
      <c r="K4628" s="168">
        <v>1450.95</v>
      </c>
      <c r="L4628" s="43">
        <v>6.0654027440031228</v>
      </c>
      <c r="M4628" s="43">
        <v>11.500638026371758</v>
      </c>
      <c r="N4628" s="43">
        <v>5.3035691332105062</v>
      </c>
      <c r="O4628" s="43">
        <v>4.6026836695850779</v>
      </c>
      <c r="P4628" s="169"/>
      <c r="Q4628" s="169"/>
      <c r="R4628" s="169">
        <v>7</v>
      </c>
    </row>
    <row r="4629" spans="1:18" ht="12.75" customHeight="1">
      <c r="A4629" s="628" t="s">
        <v>8500</v>
      </c>
      <c r="B4629" s="629"/>
      <c r="C4629" s="629"/>
      <c r="D4629" s="629"/>
      <c r="E4629" s="629"/>
      <c r="F4629" s="629"/>
      <c r="G4629" s="629"/>
      <c r="H4629" s="629"/>
      <c r="I4629" s="629"/>
      <c r="J4629" s="629"/>
      <c r="K4629" s="629"/>
      <c r="L4629" s="629"/>
      <c r="M4629" s="629"/>
      <c r="N4629" s="629"/>
      <c r="O4629" s="629"/>
      <c r="P4629" s="629"/>
      <c r="Q4629" s="629"/>
      <c r="R4629" s="629"/>
    </row>
    <row r="4630" spans="1:18" ht="24">
      <c r="A4630" s="165">
        <v>1767</v>
      </c>
      <c r="B4630" s="162" t="s">
        <v>8501</v>
      </c>
      <c r="C4630" s="166" t="s">
        <v>8502</v>
      </c>
      <c r="D4630" s="167">
        <v>7649.43</v>
      </c>
      <c r="E4630" s="167">
        <v>2133</v>
      </c>
      <c r="F4630" s="167">
        <v>5143.74</v>
      </c>
      <c r="G4630" s="167">
        <v>372.69</v>
      </c>
      <c r="H4630" s="168">
        <v>60692.32</v>
      </c>
      <c r="I4630" s="168">
        <v>24530.400000000001</v>
      </c>
      <c r="J4630" s="168">
        <v>33953.46</v>
      </c>
      <c r="K4630" s="168">
        <v>2208.46</v>
      </c>
      <c r="L4630" s="43">
        <v>7.934227779063276</v>
      </c>
      <c r="M4630" s="43">
        <v>11.500421940928272</v>
      </c>
      <c r="N4630" s="43">
        <v>6.6009285072729185</v>
      </c>
      <c r="O4630" s="43">
        <v>5.9257291582816816</v>
      </c>
      <c r="P4630" s="169"/>
      <c r="Q4630" s="169"/>
      <c r="R4630" s="169">
        <v>8</v>
      </c>
    </row>
    <row r="4631" spans="1:18" ht="24">
      <c r="A4631" s="165">
        <v>1768</v>
      </c>
      <c r="B4631" s="162" t="s">
        <v>8503</v>
      </c>
      <c r="C4631" s="166" t="s">
        <v>8504</v>
      </c>
      <c r="D4631" s="167">
        <v>5973.53</v>
      </c>
      <c r="E4631" s="167">
        <v>1611.6</v>
      </c>
      <c r="F4631" s="167">
        <v>3999.67</v>
      </c>
      <c r="G4631" s="167">
        <v>362.26</v>
      </c>
      <c r="H4631" s="168">
        <v>46885.84</v>
      </c>
      <c r="I4631" s="168">
        <v>18534.080000000002</v>
      </c>
      <c r="J4631" s="168">
        <v>26263.24</v>
      </c>
      <c r="K4631" s="168">
        <v>2088.52</v>
      </c>
      <c r="L4631" s="43">
        <v>7.8489335451567159</v>
      </c>
      <c r="M4631" s="43">
        <v>11.500421940928272</v>
      </c>
      <c r="N4631" s="43">
        <v>6.566351724017232</v>
      </c>
      <c r="O4631" s="43">
        <v>5.7652514768398389</v>
      </c>
      <c r="P4631" s="169"/>
      <c r="Q4631" s="169"/>
      <c r="R4631" s="169">
        <v>8</v>
      </c>
    </row>
    <row r="4632" spans="1:18" ht="12.75" customHeight="1">
      <c r="A4632" s="628" t="s">
        <v>8505</v>
      </c>
      <c r="B4632" s="629"/>
      <c r="C4632" s="629"/>
      <c r="D4632" s="629"/>
      <c r="E4632" s="629"/>
      <c r="F4632" s="629"/>
      <c r="G4632" s="629"/>
      <c r="H4632" s="629"/>
      <c r="I4632" s="629"/>
      <c r="J4632" s="629"/>
      <c r="K4632" s="629"/>
      <c r="L4632" s="629"/>
      <c r="M4632" s="629"/>
      <c r="N4632" s="629"/>
      <c r="O4632" s="629"/>
      <c r="P4632" s="629"/>
      <c r="Q4632" s="629"/>
      <c r="R4632" s="629"/>
    </row>
    <row r="4633" spans="1:18" ht="24">
      <c r="A4633" s="165">
        <v>1769</v>
      </c>
      <c r="B4633" s="162" t="s">
        <v>8506</v>
      </c>
      <c r="C4633" s="166" t="s">
        <v>8507</v>
      </c>
      <c r="D4633" s="167">
        <v>86.38</v>
      </c>
      <c r="E4633" s="167">
        <v>32.82</v>
      </c>
      <c r="F4633" s="167">
        <v>3.33</v>
      </c>
      <c r="G4633" s="167">
        <v>50.23</v>
      </c>
      <c r="H4633" s="168">
        <v>606.95000000000005</v>
      </c>
      <c r="I4633" s="168">
        <v>377.5</v>
      </c>
      <c r="J4633" s="168">
        <v>17.75</v>
      </c>
      <c r="K4633" s="168">
        <v>211.7</v>
      </c>
      <c r="L4633" s="43">
        <v>7.0265107663811079</v>
      </c>
      <c r="M4633" s="43">
        <v>11.502132845825717</v>
      </c>
      <c r="N4633" s="43">
        <v>5.3303303303303302</v>
      </c>
      <c r="O4633" s="43">
        <v>4.2146127812064504</v>
      </c>
      <c r="P4633" s="169"/>
      <c r="Q4633" s="169"/>
      <c r="R4633" s="169">
        <v>9</v>
      </c>
    </row>
    <row r="4634" spans="1:18" ht="24">
      <c r="A4634" s="165">
        <v>1770</v>
      </c>
      <c r="B4634" s="162" t="s">
        <v>8508</v>
      </c>
      <c r="C4634" s="166" t="s">
        <v>8509</v>
      </c>
      <c r="D4634" s="167">
        <v>99.98</v>
      </c>
      <c r="E4634" s="167">
        <v>44.56</v>
      </c>
      <c r="F4634" s="167">
        <v>3.69</v>
      </c>
      <c r="G4634" s="167">
        <v>51.73</v>
      </c>
      <c r="H4634" s="168">
        <v>749.69</v>
      </c>
      <c r="I4634" s="168">
        <v>512.41</v>
      </c>
      <c r="J4634" s="168">
        <v>19.59</v>
      </c>
      <c r="K4634" s="168">
        <v>217.69</v>
      </c>
      <c r="L4634" s="43">
        <v>7.4983996799359875</v>
      </c>
      <c r="M4634" s="43">
        <v>11.499326750448832</v>
      </c>
      <c r="N4634" s="43">
        <v>5.308943089430894</v>
      </c>
      <c r="O4634" s="43">
        <v>4.2081964044075004</v>
      </c>
      <c r="P4634" s="169"/>
      <c r="Q4634" s="169"/>
      <c r="R4634" s="169">
        <v>9</v>
      </c>
    </row>
    <row r="4635" spans="1:18" ht="24">
      <c r="A4635" s="165">
        <v>1771</v>
      </c>
      <c r="B4635" s="162" t="s">
        <v>8510</v>
      </c>
      <c r="C4635" s="166" t="s">
        <v>8511</v>
      </c>
      <c r="D4635" s="167">
        <v>125.82</v>
      </c>
      <c r="E4635" s="167">
        <v>57.24</v>
      </c>
      <c r="F4635" s="167">
        <v>12.32</v>
      </c>
      <c r="G4635" s="167">
        <v>56.26</v>
      </c>
      <c r="H4635" s="168">
        <v>956.51</v>
      </c>
      <c r="I4635" s="168">
        <v>658.23</v>
      </c>
      <c r="J4635" s="168">
        <v>65.94</v>
      </c>
      <c r="K4635" s="168">
        <v>232.34</v>
      </c>
      <c r="L4635" s="43">
        <v>7.6022095056429828</v>
      </c>
      <c r="M4635" s="43">
        <v>11.499475890985325</v>
      </c>
      <c r="N4635" s="43">
        <v>5.3522727272727266</v>
      </c>
      <c r="O4635" s="43">
        <v>4.1297547102737298</v>
      </c>
      <c r="P4635" s="169"/>
      <c r="Q4635" s="169"/>
      <c r="R4635" s="169">
        <v>9</v>
      </c>
    </row>
    <row r="4636" spans="1:18" ht="24">
      <c r="A4636" s="165">
        <v>1772</v>
      </c>
      <c r="B4636" s="162" t="s">
        <v>8512</v>
      </c>
      <c r="C4636" s="166" t="s">
        <v>8513</v>
      </c>
      <c r="D4636" s="167">
        <v>159.75</v>
      </c>
      <c r="E4636" s="167">
        <v>74.89</v>
      </c>
      <c r="F4636" s="167">
        <v>24</v>
      </c>
      <c r="G4636" s="167">
        <v>60.86</v>
      </c>
      <c r="H4636" s="168">
        <v>1238.06</v>
      </c>
      <c r="I4636" s="168">
        <v>861.29</v>
      </c>
      <c r="J4636" s="168">
        <v>128.59</v>
      </c>
      <c r="K4636" s="168">
        <v>248.18</v>
      </c>
      <c r="L4636" s="43">
        <v>7.7499843505477308</v>
      </c>
      <c r="M4636" s="43">
        <v>11.500734410468686</v>
      </c>
      <c r="N4636" s="43">
        <v>5.3579166666666671</v>
      </c>
      <c r="O4636" s="43">
        <v>4.0778836674334542</v>
      </c>
      <c r="P4636" s="169"/>
      <c r="Q4636" s="169"/>
      <c r="R4636" s="169">
        <v>9</v>
      </c>
    </row>
    <row r="4637" spans="1:18" ht="24">
      <c r="A4637" s="165">
        <v>1773</v>
      </c>
      <c r="B4637" s="162" t="s">
        <v>8514</v>
      </c>
      <c r="C4637" s="166" t="s">
        <v>8515</v>
      </c>
      <c r="D4637" s="167">
        <v>130.75</v>
      </c>
      <c r="E4637" s="167">
        <v>41.12</v>
      </c>
      <c r="F4637" s="167">
        <v>6.08</v>
      </c>
      <c r="G4637" s="167">
        <v>83.55</v>
      </c>
      <c r="H4637" s="168">
        <v>897.39</v>
      </c>
      <c r="I4637" s="168">
        <v>472.89</v>
      </c>
      <c r="J4637" s="168">
        <v>32.64</v>
      </c>
      <c r="K4637" s="168">
        <v>391.86</v>
      </c>
      <c r="L4637" s="43">
        <v>6.8634034416826006</v>
      </c>
      <c r="M4637" s="43">
        <v>11.500243190661479</v>
      </c>
      <c r="N4637" s="43">
        <v>5.3684210526315788</v>
      </c>
      <c r="O4637" s="43">
        <v>4.6901256732495513</v>
      </c>
      <c r="P4637" s="169"/>
      <c r="Q4637" s="169"/>
      <c r="R4637" s="169">
        <v>9</v>
      </c>
    </row>
    <row r="4638" spans="1:18" ht="24">
      <c r="A4638" s="165">
        <v>1774</v>
      </c>
      <c r="B4638" s="162" t="s">
        <v>8516</v>
      </c>
      <c r="C4638" s="166" t="s">
        <v>8517</v>
      </c>
      <c r="D4638" s="167">
        <v>147.11000000000001</v>
      </c>
      <c r="E4638" s="167">
        <v>52.85</v>
      </c>
      <c r="F4638" s="167">
        <v>8.85</v>
      </c>
      <c r="G4638" s="167">
        <v>85.41</v>
      </c>
      <c r="H4638" s="168">
        <v>1054.42</v>
      </c>
      <c r="I4638" s="168">
        <v>607.80999999999995</v>
      </c>
      <c r="J4638" s="168">
        <v>47.57</v>
      </c>
      <c r="K4638" s="168">
        <v>399.04</v>
      </c>
      <c r="L4638" s="43">
        <v>7.1675616885323903</v>
      </c>
      <c r="M4638" s="43">
        <v>11.500662251655628</v>
      </c>
      <c r="N4638" s="43">
        <v>5.3751412429378531</v>
      </c>
      <c r="O4638" s="43">
        <v>4.6720524528743708</v>
      </c>
      <c r="P4638" s="169"/>
      <c r="Q4638" s="169"/>
      <c r="R4638" s="169">
        <v>9</v>
      </c>
    </row>
    <row r="4639" spans="1:18" ht="24">
      <c r="A4639" s="165">
        <v>1775</v>
      </c>
      <c r="B4639" s="162" t="s">
        <v>8518</v>
      </c>
      <c r="C4639" s="166" t="s">
        <v>8519</v>
      </c>
      <c r="D4639" s="167">
        <v>169.77</v>
      </c>
      <c r="E4639" s="167">
        <v>65.06</v>
      </c>
      <c r="F4639" s="167">
        <v>14.4</v>
      </c>
      <c r="G4639" s="167">
        <v>90.31</v>
      </c>
      <c r="H4639" s="168">
        <v>1243.9000000000001</v>
      </c>
      <c r="I4639" s="168">
        <v>748.18</v>
      </c>
      <c r="J4639" s="168">
        <v>77.42</v>
      </c>
      <c r="K4639" s="168">
        <v>418.3</v>
      </c>
      <c r="L4639" s="43">
        <v>7.3269717853566592</v>
      </c>
      <c r="M4639" s="43">
        <v>11.49984629572702</v>
      </c>
      <c r="N4639" s="43">
        <v>5.3763888888888891</v>
      </c>
      <c r="O4639" s="43">
        <v>4.6318237183036208</v>
      </c>
      <c r="P4639" s="169"/>
      <c r="Q4639" s="169"/>
      <c r="R4639" s="169">
        <v>9</v>
      </c>
    </row>
    <row r="4640" spans="1:18" ht="24">
      <c r="A4640" s="165">
        <v>1776</v>
      </c>
      <c r="B4640" s="162" t="s">
        <v>8520</v>
      </c>
      <c r="C4640" s="166" t="s">
        <v>8521</v>
      </c>
      <c r="D4640" s="167">
        <v>203.42</v>
      </c>
      <c r="E4640" s="167">
        <v>82.12</v>
      </c>
      <c r="F4640" s="167">
        <v>25.49</v>
      </c>
      <c r="G4640" s="167">
        <v>95.81</v>
      </c>
      <c r="H4640" s="168">
        <v>1522.91</v>
      </c>
      <c r="I4640" s="168">
        <v>944.42</v>
      </c>
      <c r="J4640" s="168">
        <v>137.11000000000001</v>
      </c>
      <c r="K4640" s="168">
        <v>441.38</v>
      </c>
      <c r="L4640" s="43">
        <v>7.486530331334186</v>
      </c>
      <c r="M4640" s="43">
        <v>11.500487092060398</v>
      </c>
      <c r="N4640" s="43">
        <v>5.3789721459395849</v>
      </c>
      <c r="O4640" s="43">
        <v>4.6068260098110843</v>
      </c>
      <c r="P4640" s="169"/>
      <c r="Q4640" s="169"/>
      <c r="R4640" s="169">
        <v>9</v>
      </c>
    </row>
    <row r="4641" spans="1:18" ht="24">
      <c r="A4641" s="165">
        <v>1777</v>
      </c>
      <c r="B4641" s="162" t="s">
        <v>8522</v>
      </c>
      <c r="C4641" s="166" t="s">
        <v>8523</v>
      </c>
      <c r="D4641" s="167">
        <v>101.19</v>
      </c>
      <c r="E4641" s="167">
        <v>39.82</v>
      </c>
      <c r="F4641" s="167">
        <v>4</v>
      </c>
      <c r="G4641" s="167">
        <v>57.37</v>
      </c>
      <c r="H4641" s="168">
        <v>738.28</v>
      </c>
      <c r="I4641" s="168">
        <v>457.9</v>
      </c>
      <c r="J4641" s="168">
        <v>21.18</v>
      </c>
      <c r="K4641" s="168">
        <v>259.2</v>
      </c>
      <c r="L4641" s="43">
        <v>7.2959778634252395</v>
      </c>
      <c r="M4641" s="43">
        <v>11.499246609743846</v>
      </c>
      <c r="N4641" s="43">
        <v>5.2949999999999999</v>
      </c>
      <c r="O4641" s="43">
        <v>4.5180407878682241</v>
      </c>
      <c r="P4641" s="169"/>
      <c r="Q4641" s="169"/>
      <c r="R4641" s="169">
        <v>9</v>
      </c>
    </row>
    <row r="4642" spans="1:18" ht="24">
      <c r="A4642" s="165">
        <v>1778</v>
      </c>
      <c r="B4642" s="162" t="s">
        <v>8524</v>
      </c>
      <c r="C4642" s="166" t="s">
        <v>8525</v>
      </c>
      <c r="D4642" s="167">
        <v>115.53</v>
      </c>
      <c r="E4642" s="167">
        <v>49.41</v>
      </c>
      <c r="F4642" s="167">
        <v>6.95</v>
      </c>
      <c r="G4642" s="167">
        <v>59.17</v>
      </c>
      <c r="H4642" s="168">
        <v>871.05</v>
      </c>
      <c r="I4642" s="168">
        <v>568.29</v>
      </c>
      <c r="J4642" s="168">
        <v>36.950000000000003</v>
      </c>
      <c r="K4642" s="168">
        <v>265.81</v>
      </c>
      <c r="L4642" s="43">
        <v>7.539600103869124</v>
      </c>
      <c r="M4642" s="43">
        <v>11.501517911353977</v>
      </c>
      <c r="N4642" s="43">
        <v>5.3165467625899288</v>
      </c>
      <c r="O4642" s="43">
        <v>4.4923102923778941</v>
      </c>
      <c r="P4642" s="169"/>
      <c r="Q4642" s="169"/>
      <c r="R4642" s="169">
        <v>9</v>
      </c>
    </row>
    <row r="4643" spans="1:18" ht="24">
      <c r="A4643" s="165">
        <v>1779</v>
      </c>
      <c r="B4643" s="162" t="s">
        <v>8526</v>
      </c>
      <c r="C4643" s="166" t="s">
        <v>8527</v>
      </c>
      <c r="D4643" s="167">
        <v>158.65</v>
      </c>
      <c r="E4643" s="167">
        <v>69.44</v>
      </c>
      <c r="F4643" s="167">
        <v>21.46</v>
      </c>
      <c r="G4643" s="167">
        <v>67.75</v>
      </c>
      <c r="H4643" s="168">
        <v>1206.29</v>
      </c>
      <c r="I4643" s="168">
        <v>798.6</v>
      </c>
      <c r="J4643" s="168">
        <v>114.88</v>
      </c>
      <c r="K4643" s="168">
        <v>292.81</v>
      </c>
      <c r="L4643" s="43">
        <v>7.6034667507091074</v>
      </c>
      <c r="M4643" s="43">
        <v>11.500576036866359</v>
      </c>
      <c r="N4643" s="43">
        <v>5.3532152842497664</v>
      </c>
      <c r="O4643" s="43">
        <v>4.3219188191881921</v>
      </c>
      <c r="P4643" s="169"/>
      <c r="Q4643" s="169"/>
      <c r="R4643" s="169">
        <v>9</v>
      </c>
    </row>
    <row r="4644" spans="1:18" ht="24">
      <c r="A4644" s="165">
        <v>1780</v>
      </c>
      <c r="B4644" s="162" t="s">
        <v>8528</v>
      </c>
      <c r="C4644" s="166" t="s">
        <v>8529</v>
      </c>
      <c r="D4644" s="167">
        <v>130.18</v>
      </c>
      <c r="E4644" s="167">
        <v>40.409999999999997</v>
      </c>
      <c r="F4644" s="167">
        <v>6.08</v>
      </c>
      <c r="G4644" s="167">
        <v>83.69</v>
      </c>
      <c r="H4644" s="168">
        <v>894.67</v>
      </c>
      <c r="I4644" s="168">
        <v>464.71</v>
      </c>
      <c r="J4644" s="168">
        <v>32.64</v>
      </c>
      <c r="K4644" s="168">
        <v>397.32</v>
      </c>
      <c r="L4644" s="43">
        <v>6.8725610692886763</v>
      </c>
      <c r="M4644" s="43">
        <v>11.499876268250434</v>
      </c>
      <c r="N4644" s="43">
        <v>5.3684210526315788</v>
      </c>
      <c r="O4644" s="43">
        <v>4.7475206117815745</v>
      </c>
      <c r="P4644" s="169"/>
      <c r="Q4644" s="169"/>
      <c r="R4644" s="169">
        <v>9</v>
      </c>
    </row>
    <row r="4645" spans="1:18" ht="24">
      <c r="A4645" s="165">
        <v>1781</v>
      </c>
      <c r="B4645" s="162" t="s">
        <v>8530</v>
      </c>
      <c r="C4645" s="166" t="s">
        <v>8531</v>
      </c>
      <c r="D4645" s="167">
        <v>157.38999999999999</v>
      </c>
      <c r="E4645" s="167">
        <v>51.67</v>
      </c>
      <c r="F4645" s="167">
        <v>8.85</v>
      </c>
      <c r="G4645" s="167">
        <v>96.87</v>
      </c>
      <c r="H4645" s="168">
        <v>1102.3599999999999</v>
      </c>
      <c r="I4645" s="168">
        <v>594.17999999999995</v>
      </c>
      <c r="J4645" s="168">
        <v>47.57</v>
      </c>
      <c r="K4645" s="168">
        <v>460.61</v>
      </c>
      <c r="L4645" s="43">
        <v>7.0040027956032782</v>
      </c>
      <c r="M4645" s="43">
        <v>11.499516160247724</v>
      </c>
      <c r="N4645" s="43">
        <v>5.3751412429378531</v>
      </c>
      <c r="O4645" s="43">
        <v>4.7549292866728603</v>
      </c>
      <c r="P4645" s="169"/>
      <c r="Q4645" s="169"/>
      <c r="R4645" s="169">
        <v>9</v>
      </c>
    </row>
    <row r="4646" spans="1:18" ht="24">
      <c r="A4646" s="165">
        <v>1782</v>
      </c>
      <c r="B4646" s="162" t="s">
        <v>8532</v>
      </c>
      <c r="C4646" s="166" t="s">
        <v>8533</v>
      </c>
      <c r="D4646" s="167">
        <v>191.3</v>
      </c>
      <c r="E4646" s="167">
        <v>68.97</v>
      </c>
      <c r="F4646" s="167">
        <v>19.940000000000001</v>
      </c>
      <c r="G4646" s="167">
        <v>102.39</v>
      </c>
      <c r="H4646" s="168">
        <v>1384.21</v>
      </c>
      <c r="I4646" s="168">
        <v>793.15</v>
      </c>
      <c r="J4646" s="168">
        <v>107.26</v>
      </c>
      <c r="K4646" s="168">
        <v>483.8</v>
      </c>
      <c r="L4646" s="43">
        <v>7.2358076319916362</v>
      </c>
      <c r="M4646" s="43">
        <v>11.499927504712193</v>
      </c>
      <c r="N4646" s="43">
        <v>5.3791374122367097</v>
      </c>
      <c r="O4646" s="43">
        <v>4.7250708076960644</v>
      </c>
      <c r="P4646" s="169"/>
      <c r="Q4646" s="169"/>
      <c r="R4646" s="169">
        <v>9</v>
      </c>
    </row>
    <row r="4647" spans="1:18" ht="12.75" customHeight="1">
      <c r="A4647" s="628" t="s">
        <v>8534</v>
      </c>
      <c r="B4647" s="629"/>
      <c r="C4647" s="629"/>
      <c r="D4647" s="629"/>
      <c r="E4647" s="629"/>
      <c r="F4647" s="629"/>
      <c r="G4647" s="629"/>
      <c r="H4647" s="629"/>
      <c r="I4647" s="629"/>
      <c r="J4647" s="629"/>
      <c r="K4647" s="629"/>
      <c r="L4647" s="629"/>
      <c r="M4647" s="629"/>
      <c r="N4647" s="629"/>
      <c r="O4647" s="629"/>
      <c r="P4647" s="629"/>
      <c r="Q4647" s="629"/>
      <c r="R4647" s="629"/>
    </row>
    <row r="4648" spans="1:18" ht="24">
      <c r="A4648" s="165">
        <v>1783</v>
      </c>
      <c r="B4648" s="162" t="s">
        <v>8535</v>
      </c>
      <c r="C4648" s="166" t="s">
        <v>8536</v>
      </c>
      <c r="D4648" s="167">
        <v>7.31</v>
      </c>
      <c r="E4648" s="167">
        <v>4.03</v>
      </c>
      <c r="F4648" s="167">
        <v>2.77</v>
      </c>
      <c r="G4648" s="167">
        <v>0.51</v>
      </c>
      <c r="H4648" s="168">
        <v>64.040000000000006</v>
      </c>
      <c r="I4648" s="168">
        <v>46.34</v>
      </c>
      <c r="J4648" s="168">
        <v>14.93</v>
      </c>
      <c r="K4648" s="168">
        <v>2.77</v>
      </c>
      <c r="L4648" s="43">
        <v>8.7606019151846795</v>
      </c>
      <c r="M4648" s="43">
        <v>11.498759305210918</v>
      </c>
      <c r="N4648" s="43">
        <v>5.3898916967509027</v>
      </c>
      <c r="O4648" s="43">
        <v>5.4313725490196081</v>
      </c>
      <c r="P4648" s="169"/>
      <c r="Q4648" s="169"/>
      <c r="R4648" s="169">
        <v>10</v>
      </c>
    </row>
    <row r="4649" spans="1:18" ht="24">
      <c r="A4649" s="165">
        <v>1784</v>
      </c>
      <c r="B4649" s="162" t="s">
        <v>8537</v>
      </c>
      <c r="C4649" s="166" t="s">
        <v>8538</v>
      </c>
      <c r="D4649" s="167">
        <v>13.72</v>
      </c>
      <c r="E4649" s="167">
        <v>10.31</v>
      </c>
      <c r="F4649" s="167">
        <v>2.77</v>
      </c>
      <c r="G4649" s="167">
        <v>0.64</v>
      </c>
      <c r="H4649" s="168">
        <v>137.76</v>
      </c>
      <c r="I4649" s="168">
        <v>118.56</v>
      </c>
      <c r="J4649" s="168">
        <v>14.93</v>
      </c>
      <c r="K4649" s="168">
        <v>4.2699999999999996</v>
      </c>
      <c r="L4649" s="43">
        <v>10.040816326530612</v>
      </c>
      <c r="M4649" s="43">
        <v>11.499515033947624</v>
      </c>
      <c r="N4649" s="43">
        <v>5.3898916967509027</v>
      </c>
      <c r="O4649" s="43">
        <v>6.6718749999999991</v>
      </c>
      <c r="P4649" s="169"/>
      <c r="Q4649" s="169"/>
      <c r="R4649" s="169">
        <v>10</v>
      </c>
    </row>
    <row r="4650" spans="1:18" ht="12.75" customHeight="1">
      <c r="A4650" s="628" t="s">
        <v>8539</v>
      </c>
      <c r="B4650" s="629"/>
      <c r="C4650" s="629"/>
      <c r="D4650" s="629"/>
      <c r="E4650" s="629"/>
      <c r="F4650" s="629"/>
      <c r="G4650" s="629"/>
      <c r="H4650" s="629"/>
      <c r="I4650" s="629"/>
      <c r="J4650" s="629"/>
      <c r="K4650" s="629"/>
      <c r="L4650" s="629"/>
      <c r="M4650" s="629"/>
      <c r="N4650" s="629"/>
      <c r="O4650" s="629"/>
      <c r="P4650" s="629"/>
      <c r="Q4650" s="629"/>
      <c r="R4650" s="629"/>
    </row>
    <row r="4651" spans="1:18" ht="24">
      <c r="A4651" s="165">
        <v>1785</v>
      </c>
      <c r="B4651" s="162" t="s">
        <v>8540</v>
      </c>
      <c r="C4651" s="166" t="s">
        <v>8541</v>
      </c>
      <c r="D4651" s="167">
        <v>106.31</v>
      </c>
      <c r="E4651" s="167">
        <v>53.09</v>
      </c>
      <c r="F4651" s="167">
        <v>6.17</v>
      </c>
      <c r="G4651" s="167">
        <v>47.05</v>
      </c>
      <c r="H4651" s="168">
        <v>842.36</v>
      </c>
      <c r="I4651" s="168">
        <v>610.53</v>
      </c>
      <c r="J4651" s="168">
        <v>33.07</v>
      </c>
      <c r="K4651" s="168">
        <v>198.76</v>
      </c>
      <c r="L4651" s="43">
        <v>7.9236196030476904</v>
      </c>
      <c r="M4651" s="43">
        <v>11.499905820305141</v>
      </c>
      <c r="N4651" s="43">
        <v>5.3598055105348461</v>
      </c>
      <c r="O4651" s="43">
        <v>4.2244420828905422</v>
      </c>
      <c r="P4651" s="169"/>
      <c r="Q4651" s="169"/>
      <c r="R4651" s="169">
        <v>11</v>
      </c>
    </row>
    <row r="4652" spans="1:18" ht="12.75" customHeight="1">
      <c r="A4652" s="628" t="s">
        <v>8542</v>
      </c>
      <c r="B4652" s="629"/>
      <c r="C4652" s="629"/>
      <c r="D4652" s="629"/>
      <c r="E4652" s="629"/>
      <c r="F4652" s="629"/>
      <c r="G4652" s="629"/>
      <c r="H4652" s="629"/>
      <c r="I4652" s="629"/>
      <c r="J4652" s="629"/>
      <c r="K4652" s="629"/>
      <c r="L4652" s="629"/>
      <c r="M4652" s="629"/>
      <c r="N4652" s="629"/>
      <c r="O4652" s="629"/>
      <c r="P4652" s="629"/>
      <c r="Q4652" s="629"/>
      <c r="R4652" s="629"/>
    </row>
    <row r="4653" spans="1:18" ht="24">
      <c r="A4653" s="165">
        <v>1786</v>
      </c>
      <c r="B4653" s="162" t="s">
        <v>8543</v>
      </c>
      <c r="C4653" s="166" t="s">
        <v>8544</v>
      </c>
      <c r="D4653" s="167">
        <v>21.87</v>
      </c>
      <c r="E4653" s="167">
        <v>14.22</v>
      </c>
      <c r="F4653" s="167">
        <v>3.35</v>
      </c>
      <c r="G4653" s="167">
        <v>4.3</v>
      </c>
      <c r="H4653" s="168">
        <v>192.94</v>
      </c>
      <c r="I4653" s="168">
        <v>163.54</v>
      </c>
      <c r="J4653" s="168">
        <v>17.93</v>
      </c>
      <c r="K4653" s="168">
        <v>11.47</v>
      </c>
      <c r="L4653" s="43">
        <v>8.8221307727480553</v>
      </c>
      <c r="M4653" s="43">
        <v>11.500703234880449</v>
      </c>
      <c r="N4653" s="43">
        <v>5.3522388059701491</v>
      </c>
      <c r="O4653" s="43">
        <v>2.6674418604651167</v>
      </c>
      <c r="P4653" s="169"/>
      <c r="Q4653" s="169"/>
      <c r="R4653" s="169">
        <v>12</v>
      </c>
    </row>
    <row r="4654" spans="1:18" ht="24">
      <c r="A4654" s="165">
        <v>1787</v>
      </c>
      <c r="B4654" s="162" t="s">
        <v>8545</v>
      </c>
      <c r="C4654" s="166" t="s">
        <v>8546</v>
      </c>
      <c r="D4654" s="167">
        <v>32.24</v>
      </c>
      <c r="E4654" s="167">
        <v>28.32</v>
      </c>
      <c r="F4654" s="167">
        <v>3.35</v>
      </c>
      <c r="G4654" s="167">
        <v>0.56999999999999995</v>
      </c>
      <c r="H4654" s="168">
        <v>350.2</v>
      </c>
      <c r="I4654" s="168">
        <v>325.70999999999998</v>
      </c>
      <c r="J4654" s="168">
        <v>17.93</v>
      </c>
      <c r="K4654" s="168">
        <v>6.56</v>
      </c>
      <c r="L4654" s="43">
        <v>10.862282878411909</v>
      </c>
      <c r="M4654" s="43">
        <v>11.501059322033898</v>
      </c>
      <c r="N4654" s="43">
        <v>5.3522388059701491</v>
      </c>
      <c r="O4654" s="43">
        <v>11.508771929824562</v>
      </c>
      <c r="P4654" s="169"/>
      <c r="Q4654" s="169"/>
      <c r="R4654" s="169">
        <v>12</v>
      </c>
    </row>
    <row r="4655" spans="1:18" ht="12.75" customHeight="1">
      <c r="A4655" s="628" t="s">
        <v>8547</v>
      </c>
      <c r="B4655" s="629"/>
      <c r="C4655" s="629"/>
      <c r="D4655" s="629"/>
      <c r="E4655" s="629"/>
      <c r="F4655" s="629"/>
      <c r="G4655" s="629"/>
      <c r="H4655" s="629"/>
      <c r="I4655" s="629"/>
      <c r="J4655" s="629"/>
      <c r="K4655" s="629"/>
      <c r="L4655" s="629"/>
      <c r="M4655" s="629"/>
      <c r="N4655" s="629"/>
      <c r="O4655" s="629"/>
      <c r="P4655" s="629"/>
      <c r="Q4655" s="629"/>
      <c r="R4655" s="629"/>
    </row>
    <row r="4656" spans="1:18" ht="24">
      <c r="A4656" s="165">
        <v>1788</v>
      </c>
      <c r="B4656" s="162" t="s">
        <v>8548</v>
      </c>
      <c r="C4656" s="166" t="s">
        <v>8549</v>
      </c>
      <c r="D4656" s="167">
        <v>27.34</v>
      </c>
      <c r="E4656" s="167">
        <v>16.95</v>
      </c>
      <c r="F4656" s="167">
        <v>6.12</v>
      </c>
      <c r="G4656" s="167">
        <v>4.2699999999999996</v>
      </c>
      <c r="H4656" s="168">
        <v>239.68</v>
      </c>
      <c r="I4656" s="168">
        <v>194.88</v>
      </c>
      <c r="J4656" s="168">
        <v>32.840000000000003</v>
      </c>
      <c r="K4656" s="168">
        <v>11.96</v>
      </c>
      <c r="L4656" s="43">
        <v>8.7666422823701531</v>
      </c>
      <c r="M4656" s="43">
        <v>11.497345132743362</v>
      </c>
      <c r="N4656" s="43">
        <v>5.3660130718954253</v>
      </c>
      <c r="O4656" s="43">
        <v>2.8009367681498833</v>
      </c>
      <c r="P4656" s="169"/>
      <c r="Q4656" s="169"/>
      <c r="R4656" s="169">
        <v>13</v>
      </c>
    </row>
    <row r="4657" spans="1:18" ht="12.75" customHeight="1">
      <c r="A4657" s="628" t="s">
        <v>8550</v>
      </c>
      <c r="B4657" s="629"/>
      <c r="C4657" s="629"/>
      <c r="D4657" s="629"/>
      <c r="E4657" s="629"/>
      <c r="F4657" s="629"/>
      <c r="G4657" s="629"/>
      <c r="H4657" s="629"/>
      <c r="I4657" s="629"/>
      <c r="J4657" s="629"/>
      <c r="K4657" s="629"/>
      <c r="L4657" s="629"/>
      <c r="M4657" s="629"/>
      <c r="N4657" s="629"/>
      <c r="O4657" s="629"/>
      <c r="P4657" s="629"/>
      <c r="Q4657" s="629"/>
      <c r="R4657" s="629"/>
    </row>
    <row r="4658" spans="1:18" ht="24">
      <c r="A4658" s="165">
        <v>1789</v>
      </c>
      <c r="B4658" s="162" t="s">
        <v>8551</v>
      </c>
      <c r="C4658" s="166" t="s">
        <v>8552</v>
      </c>
      <c r="D4658" s="167">
        <v>2018.66</v>
      </c>
      <c r="E4658" s="167">
        <v>906.53</v>
      </c>
      <c r="F4658" s="167">
        <v>70.17</v>
      </c>
      <c r="G4658" s="167">
        <v>1041.96</v>
      </c>
      <c r="H4658" s="168">
        <v>13895.25</v>
      </c>
      <c r="I4658" s="168">
        <v>10425.42</v>
      </c>
      <c r="J4658" s="168">
        <v>370.41</v>
      </c>
      <c r="K4658" s="168">
        <v>3099.42</v>
      </c>
      <c r="L4658" s="43">
        <v>6.8834028513964709</v>
      </c>
      <c r="M4658" s="43">
        <v>11.500358509922451</v>
      </c>
      <c r="N4658" s="43">
        <v>5.2787516032492521</v>
      </c>
      <c r="O4658" s="43">
        <v>2.9746055510768166</v>
      </c>
      <c r="P4658" s="169"/>
      <c r="Q4658" s="169"/>
      <c r="R4658" s="169">
        <v>14</v>
      </c>
    </row>
    <row r="4659" spans="1:18" ht="12.75" customHeight="1">
      <c r="A4659" s="628" t="s">
        <v>8553</v>
      </c>
      <c r="B4659" s="629"/>
      <c r="C4659" s="629"/>
      <c r="D4659" s="629"/>
      <c r="E4659" s="629"/>
      <c r="F4659" s="629"/>
      <c r="G4659" s="629"/>
      <c r="H4659" s="629"/>
      <c r="I4659" s="629"/>
      <c r="J4659" s="629"/>
      <c r="K4659" s="629"/>
      <c r="L4659" s="629"/>
      <c r="M4659" s="629"/>
      <c r="N4659" s="629"/>
      <c r="O4659" s="629"/>
      <c r="P4659" s="629"/>
      <c r="Q4659" s="629"/>
      <c r="R4659" s="629"/>
    </row>
    <row r="4660" spans="1:18" ht="24">
      <c r="A4660" s="165">
        <v>1790</v>
      </c>
      <c r="B4660" s="162" t="s">
        <v>8554</v>
      </c>
      <c r="C4660" s="166" t="s">
        <v>8555</v>
      </c>
      <c r="D4660" s="167">
        <v>40.03</v>
      </c>
      <c r="E4660" s="167">
        <v>14.69</v>
      </c>
      <c r="F4660" s="167">
        <v>22.76</v>
      </c>
      <c r="G4660" s="167">
        <v>2.58</v>
      </c>
      <c r="H4660" s="168">
        <v>301.89999999999998</v>
      </c>
      <c r="I4660" s="168">
        <v>168.99</v>
      </c>
      <c r="J4660" s="168">
        <v>122.39</v>
      </c>
      <c r="K4660" s="168">
        <v>10.52</v>
      </c>
      <c r="L4660" s="43">
        <v>7.541843617287034</v>
      </c>
      <c r="M4660" s="43">
        <v>11.503744043567053</v>
      </c>
      <c r="N4660" s="43">
        <v>5.3774165202108959</v>
      </c>
      <c r="O4660" s="43">
        <v>4.0775193798449614</v>
      </c>
      <c r="P4660" s="169"/>
      <c r="Q4660" s="169"/>
      <c r="R4660" s="169">
        <v>15</v>
      </c>
    </row>
    <row r="4661" spans="1:18" ht="12.75" customHeight="1">
      <c r="A4661" s="628" t="s">
        <v>8556</v>
      </c>
      <c r="B4661" s="629"/>
      <c r="C4661" s="629"/>
      <c r="D4661" s="629"/>
      <c r="E4661" s="629"/>
      <c r="F4661" s="629"/>
      <c r="G4661" s="629"/>
      <c r="H4661" s="629"/>
      <c r="I4661" s="629"/>
      <c r="J4661" s="629"/>
      <c r="K4661" s="629"/>
      <c r="L4661" s="629"/>
      <c r="M4661" s="629"/>
      <c r="N4661" s="629"/>
      <c r="O4661" s="629"/>
      <c r="P4661" s="629"/>
      <c r="Q4661" s="629"/>
      <c r="R4661" s="629"/>
    </row>
    <row r="4662" spans="1:18" ht="12.75" customHeight="1">
      <c r="A4662" s="628" t="s">
        <v>8557</v>
      </c>
      <c r="B4662" s="629"/>
      <c r="C4662" s="629"/>
      <c r="D4662" s="629"/>
      <c r="E4662" s="629"/>
      <c r="F4662" s="629"/>
      <c r="G4662" s="629"/>
      <c r="H4662" s="629"/>
      <c r="I4662" s="629"/>
      <c r="J4662" s="629"/>
      <c r="K4662" s="629"/>
      <c r="L4662" s="629"/>
      <c r="M4662" s="629"/>
      <c r="N4662" s="629"/>
      <c r="O4662" s="629"/>
      <c r="P4662" s="629"/>
      <c r="Q4662" s="629"/>
      <c r="R4662" s="629"/>
    </row>
    <row r="4663" spans="1:18" ht="24">
      <c r="A4663" s="165">
        <v>1791</v>
      </c>
      <c r="B4663" s="162" t="s">
        <v>8558</v>
      </c>
      <c r="C4663" s="166" t="s">
        <v>8559</v>
      </c>
      <c r="D4663" s="167">
        <v>823.14</v>
      </c>
      <c r="E4663" s="167">
        <v>269.89</v>
      </c>
      <c r="F4663" s="167">
        <v>4.4000000000000004</v>
      </c>
      <c r="G4663" s="167">
        <v>548.85</v>
      </c>
      <c r="H4663" s="168">
        <v>5681.94</v>
      </c>
      <c r="I4663" s="168">
        <v>3103.88</v>
      </c>
      <c r="J4663" s="168">
        <v>23.31</v>
      </c>
      <c r="K4663" s="168">
        <v>2554.75</v>
      </c>
      <c r="L4663" s="43">
        <v>6.9027625920256579</v>
      </c>
      <c r="M4663" s="43">
        <v>11.500537255919079</v>
      </c>
      <c r="N4663" s="43">
        <v>5.297727272727272</v>
      </c>
      <c r="O4663" s="43">
        <v>4.654732622756673</v>
      </c>
      <c r="P4663" s="169"/>
      <c r="Q4663" s="169"/>
      <c r="R4663" s="169">
        <v>1</v>
      </c>
    </row>
    <row r="4664" spans="1:18" ht="12.75" customHeight="1">
      <c r="A4664" s="628" t="s">
        <v>8560</v>
      </c>
      <c r="B4664" s="629"/>
      <c r="C4664" s="629"/>
      <c r="D4664" s="629"/>
      <c r="E4664" s="629"/>
      <c r="F4664" s="629"/>
      <c r="G4664" s="629"/>
      <c r="H4664" s="629"/>
      <c r="I4664" s="629"/>
      <c r="J4664" s="629"/>
      <c r="K4664" s="629"/>
      <c r="L4664" s="629"/>
      <c r="M4664" s="629"/>
      <c r="N4664" s="629"/>
      <c r="O4664" s="629"/>
      <c r="P4664" s="629"/>
      <c r="Q4664" s="629"/>
      <c r="R4664" s="629"/>
    </row>
    <row r="4665" spans="1:18" ht="24">
      <c r="A4665" s="165">
        <v>1792</v>
      </c>
      <c r="B4665" s="162" t="s">
        <v>8561</v>
      </c>
      <c r="C4665" s="166" t="s">
        <v>8562</v>
      </c>
      <c r="D4665" s="167">
        <v>928.73</v>
      </c>
      <c r="E4665" s="167">
        <v>355.57</v>
      </c>
      <c r="F4665" s="167">
        <v>4.4000000000000004</v>
      </c>
      <c r="G4665" s="167">
        <v>568.76</v>
      </c>
      <c r="H4665" s="168">
        <v>6774.05</v>
      </c>
      <c r="I4665" s="168">
        <v>4089.03</v>
      </c>
      <c r="J4665" s="168">
        <v>23.31</v>
      </c>
      <c r="K4665" s="168">
        <v>2661.71</v>
      </c>
      <c r="L4665" s="43">
        <v>7.2938851980661763</v>
      </c>
      <c r="M4665" s="43">
        <v>11.49992969035633</v>
      </c>
      <c r="N4665" s="43">
        <v>5.297727272727272</v>
      </c>
      <c r="O4665" s="43">
        <v>4.6798473872986852</v>
      </c>
      <c r="P4665" s="169"/>
      <c r="Q4665" s="169"/>
      <c r="R4665" s="169">
        <v>2</v>
      </c>
    </row>
    <row r="4666" spans="1:18" ht="24">
      <c r="A4666" s="165">
        <v>1793</v>
      </c>
      <c r="B4666" s="162" t="s">
        <v>8563</v>
      </c>
      <c r="C4666" s="166" t="s">
        <v>8564</v>
      </c>
      <c r="D4666" s="167">
        <v>1591.31</v>
      </c>
      <c r="E4666" s="167">
        <v>471.44</v>
      </c>
      <c r="F4666" s="167">
        <v>4.4000000000000004</v>
      </c>
      <c r="G4666" s="167">
        <v>1115.47</v>
      </c>
      <c r="H4666" s="168">
        <v>10621.14</v>
      </c>
      <c r="I4666" s="168">
        <v>5421.56</v>
      </c>
      <c r="J4666" s="168">
        <v>23.31</v>
      </c>
      <c r="K4666" s="168">
        <v>5176.2700000000004</v>
      </c>
      <c r="L4666" s="43">
        <v>6.6744631781362527</v>
      </c>
      <c r="M4666" s="43">
        <v>11.500000000000002</v>
      </c>
      <c r="N4666" s="43">
        <v>5.297727272727272</v>
      </c>
      <c r="O4666" s="43">
        <v>4.6404385595309607</v>
      </c>
      <c r="P4666" s="169"/>
      <c r="Q4666" s="169"/>
      <c r="R4666" s="169">
        <v>2</v>
      </c>
    </row>
    <row r="4667" spans="1:18" ht="24">
      <c r="A4667" s="165">
        <v>1794</v>
      </c>
      <c r="B4667" s="162" t="s">
        <v>8565</v>
      </c>
      <c r="C4667" s="166" t="s">
        <v>8566</v>
      </c>
      <c r="D4667" s="167">
        <v>1742.93</v>
      </c>
      <c r="E4667" s="167">
        <v>569.14</v>
      </c>
      <c r="F4667" s="167">
        <v>4.4000000000000004</v>
      </c>
      <c r="G4667" s="167">
        <v>1169.3900000000001</v>
      </c>
      <c r="H4667" s="168">
        <v>11998.2</v>
      </c>
      <c r="I4667" s="168">
        <v>6545.06</v>
      </c>
      <c r="J4667" s="168">
        <v>23.31</v>
      </c>
      <c r="K4667" s="168">
        <v>5429.83</v>
      </c>
      <c r="L4667" s="43">
        <v>6.8839253441044681</v>
      </c>
      <c r="M4667" s="43">
        <v>11.499912148153355</v>
      </c>
      <c r="N4667" s="43">
        <v>5.297727272727272</v>
      </c>
      <c r="O4667" s="43">
        <v>4.6433012083222875</v>
      </c>
      <c r="P4667" s="169"/>
      <c r="Q4667" s="169"/>
      <c r="R4667" s="169">
        <v>2</v>
      </c>
    </row>
    <row r="4668" spans="1:18" ht="24">
      <c r="A4668" s="165">
        <v>1795</v>
      </c>
      <c r="B4668" s="162" t="s">
        <v>8567</v>
      </c>
      <c r="C4668" s="166" t="s">
        <v>8568</v>
      </c>
      <c r="D4668" s="167">
        <v>2714.04</v>
      </c>
      <c r="E4668" s="167">
        <v>2090.2399999999998</v>
      </c>
      <c r="F4668" s="167">
        <v>4.4000000000000004</v>
      </c>
      <c r="G4668" s="167">
        <v>619.4</v>
      </c>
      <c r="H4668" s="168">
        <v>27185.85</v>
      </c>
      <c r="I4668" s="168">
        <v>24037.759999999998</v>
      </c>
      <c r="J4668" s="168">
        <v>23.31</v>
      </c>
      <c r="K4668" s="168">
        <v>3124.78</v>
      </c>
      <c r="L4668" s="43">
        <v>10.016746252818676</v>
      </c>
      <c r="M4668" s="43">
        <v>11.5</v>
      </c>
      <c r="N4668" s="43">
        <v>5.297727272727272</v>
      </c>
      <c r="O4668" s="43">
        <v>5.0448498546980955</v>
      </c>
      <c r="P4668" s="169"/>
      <c r="Q4668" s="169"/>
      <c r="R4668" s="169">
        <v>2</v>
      </c>
    </row>
    <row r="4669" spans="1:18" ht="24">
      <c r="A4669" s="165">
        <v>1796</v>
      </c>
      <c r="B4669" s="162" t="s">
        <v>8569</v>
      </c>
      <c r="C4669" s="166" t="s">
        <v>8570</v>
      </c>
      <c r="D4669" s="167">
        <v>3723.33</v>
      </c>
      <c r="E4669" s="167">
        <v>2556</v>
      </c>
      <c r="F4669" s="167">
        <v>8.8000000000000007</v>
      </c>
      <c r="G4669" s="167">
        <v>1158.53</v>
      </c>
      <c r="H4669" s="168">
        <v>35109.22</v>
      </c>
      <c r="I4669" s="168">
        <v>29394</v>
      </c>
      <c r="J4669" s="168">
        <v>46.61</v>
      </c>
      <c r="K4669" s="168">
        <v>5668.61</v>
      </c>
      <c r="L4669" s="43">
        <v>9.4295214230272375</v>
      </c>
      <c r="M4669" s="43">
        <v>11.5</v>
      </c>
      <c r="N4669" s="43">
        <v>5.2965909090909085</v>
      </c>
      <c r="O4669" s="43">
        <v>4.8929332861471</v>
      </c>
      <c r="P4669" s="169"/>
      <c r="Q4669" s="169"/>
      <c r="R4669" s="169">
        <v>2</v>
      </c>
    </row>
    <row r="4670" spans="1:18" ht="12.75" customHeight="1">
      <c r="A4670" s="628" t="s">
        <v>8571</v>
      </c>
      <c r="B4670" s="629"/>
      <c r="C4670" s="629"/>
      <c r="D4670" s="629"/>
      <c r="E4670" s="629"/>
      <c r="F4670" s="629"/>
      <c r="G4670" s="629"/>
      <c r="H4670" s="629"/>
      <c r="I4670" s="629"/>
      <c r="J4670" s="629"/>
      <c r="K4670" s="629"/>
      <c r="L4670" s="629"/>
      <c r="M4670" s="629"/>
      <c r="N4670" s="629"/>
      <c r="O4670" s="629"/>
      <c r="P4670" s="629"/>
      <c r="Q4670" s="629"/>
      <c r="R4670" s="629"/>
    </row>
    <row r="4671" spans="1:18" ht="24">
      <c r="A4671" s="165">
        <v>1797</v>
      </c>
      <c r="B4671" s="162" t="s">
        <v>8572</v>
      </c>
      <c r="C4671" s="166" t="s">
        <v>8573</v>
      </c>
      <c r="D4671" s="167">
        <v>1072.68</v>
      </c>
      <c r="E4671" s="167">
        <v>629.34</v>
      </c>
      <c r="F4671" s="167">
        <v>1.1399999999999999</v>
      </c>
      <c r="G4671" s="167">
        <v>442.2</v>
      </c>
      <c r="H4671" s="168">
        <v>8745.34</v>
      </c>
      <c r="I4671" s="168">
        <v>7237.46</v>
      </c>
      <c r="J4671" s="168">
        <v>6.06</v>
      </c>
      <c r="K4671" s="168">
        <v>1501.82</v>
      </c>
      <c r="L4671" s="43">
        <v>8.1527948689264278</v>
      </c>
      <c r="M4671" s="43">
        <v>11.500079448310929</v>
      </c>
      <c r="N4671" s="43">
        <v>5.3157894736842106</v>
      </c>
      <c r="O4671" s="43">
        <v>3.396246042514699</v>
      </c>
      <c r="P4671" s="169"/>
      <c r="Q4671" s="169"/>
      <c r="R4671" s="169">
        <v>3</v>
      </c>
    </row>
    <row r="4672" spans="1:18" ht="24">
      <c r="A4672" s="165">
        <v>1798</v>
      </c>
      <c r="B4672" s="162" t="s">
        <v>8574</v>
      </c>
      <c r="C4672" s="166" t="s">
        <v>8575</v>
      </c>
      <c r="D4672" s="167">
        <v>2444.6799999999998</v>
      </c>
      <c r="E4672" s="167">
        <v>1510.88</v>
      </c>
      <c r="F4672" s="167">
        <v>1.1399999999999999</v>
      </c>
      <c r="G4672" s="167">
        <v>932.66</v>
      </c>
      <c r="H4672" s="168">
        <v>20100.23</v>
      </c>
      <c r="I4672" s="168">
        <v>17375.12</v>
      </c>
      <c r="J4672" s="168">
        <v>6.06</v>
      </c>
      <c r="K4672" s="168">
        <v>2719.05</v>
      </c>
      <c r="L4672" s="43">
        <v>8.2220290590179488</v>
      </c>
      <c r="M4672" s="43">
        <v>11.499999999999998</v>
      </c>
      <c r="N4672" s="43">
        <v>5.3157894736842106</v>
      </c>
      <c r="O4672" s="43">
        <v>2.9153710891428819</v>
      </c>
      <c r="P4672" s="169"/>
      <c r="Q4672" s="169"/>
      <c r="R4672" s="169">
        <v>3</v>
      </c>
    </row>
    <row r="4673" spans="1:18" ht="24">
      <c r="A4673" s="165">
        <v>1799</v>
      </c>
      <c r="B4673" s="162" t="s">
        <v>8576</v>
      </c>
      <c r="C4673" s="166" t="s">
        <v>8577</v>
      </c>
      <c r="D4673" s="167">
        <v>4336.75</v>
      </c>
      <c r="E4673" s="167">
        <v>2692.32</v>
      </c>
      <c r="F4673" s="167">
        <v>1.1399999999999999</v>
      </c>
      <c r="G4673" s="167">
        <v>1643.29</v>
      </c>
      <c r="H4673" s="168">
        <v>35473.25</v>
      </c>
      <c r="I4673" s="168">
        <v>30961.68</v>
      </c>
      <c r="J4673" s="168">
        <v>6.06</v>
      </c>
      <c r="K4673" s="168">
        <v>4505.51</v>
      </c>
      <c r="L4673" s="43">
        <v>8.1796852481697115</v>
      </c>
      <c r="M4673" s="43">
        <v>11.5</v>
      </c>
      <c r="N4673" s="43">
        <v>5.3157894736842106</v>
      </c>
      <c r="O4673" s="43">
        <v>2.7417619531549517</v>
      </c>
      <c r="P4673" s="169"/>
      <c r="Q4673" s="169"/>
      <c r="R4673" s="169">
        <v>3</v>
      </c>
    </row>
    <row r="4674" spans="1:18" ht="24">
      <c r="A4674" s="165">
        <v>1800</v>
      </c>
      <c r="B4674" s="162" t="s">
        <v>8578</v>
      </c>
      <c r="C4674" s="166" t="s">
        <v>8579</v>
      </c>
      <c r="D4674" s="167">
        <v>6525.02</v>
      </c>
      <c r="E4674" s="167">
        <v>4260</v>
      </c>
      <c r="F4674" s="167">
        <v>4.4000000000000004</v>
      </c>
      <c r="G4674" s="167">
        <v>2260.62</v>
      </c>
      <c r="H4674" s="168">
        <v>56150.04</v>
      </c>
      <c r="I4674" s="168">
        <v>48990</v>
      </c>
      <c r="J4674" s="168">
        <v>23.31</v>
      </c>
      <c r="K4674" s="168">
        <v>7136.73</v>
      </c>
      <c r="L4674" s="43">
        <v>8.6053437384099976</v>
      </c>
      <c r="M4674" s="43">
        <v>11.5</v>
      </c>
      <c r="N4674" s="43">
        <v>5.297727272727272</v>
      </c>
      <c r="O4674" s="43">
        <v>3.1569790588422646</v>
      </c>
      <c r="P4674" s="169"/>
      <c r="Q4674" s="169"/>
      <c r="R4674" s="169">
        <v>3</v>
      </c>
    </row>
    <row r="4675" spans="1:18" ht="24">
      <c r="A4675" s="165">
        <v>1801</v>
      </c>
      <c r="B4675" s="162" t="s">
        <v>8580</v>
      </c>
      <c r="C4675" s="166" t="s">
        <v>8581</v>
      </c>
      <c r="D4675" s="167">
        <v>7224.92</v>
      </c>
      <c r="E4675" s="167">
        <v>4759.84</v>
      </c>
      <c r="F4675" s="167">
        <v>4.4000000000000004</v>
      </c>
      <c r="G4675" s="167">
        <v>2460.6799999999998</v>
      </c>
      <c r="H4675" s="168">
        <v>62458.57</v>
      </c>
      <c r="I4675" s="168">
        <v>54738.16</v>
      </c>
      <c r="J4675" s="168">
        <v>23.31</v>
      </c>
      <c r="K4675" s="168">
        <v>7697.1</v>
      </c>
      <c r="L4675" s="43">
        <v>8.6448804969466782</v>
      </c>
      <c r="M4675" s="43">
        <v>11.5</v>
      </c>
      <c r="N4675" s="43">
        <v>5.297727272727272</v>
      </c>
      <c r="O4675" s="43">
        <v>3.1280377781751389</v>
      </c>
      <c r="P4675" s="169"/>
      <c r="Q4675" s="169"/>
      <c r="R4675" s="169">
        <v>3</v>
      </c>
    </row>
    <row r="4676" spans="1:18" ht="24">
      <c r="A4676" s="165">
        <v>1802</v>
      </c>
      <c r="B4676" s="162" t="s">
        <v>8582</v>
      </c>
      <c r="C4676" s="166" t="s">
        <v>8583</v>
      </c>
      <c r="D4676" s="167">
        <v>4364.41</v>
      </c>
      <c r="E4676" s="167">
        <v>2385.6</v>
      </c>
      <c r="F4676" s="167">
        <v>5.54</v>
      </c>
      <c r="G4676" s="167">
        <v>1973.27</v>
      </c>
      <c r="H4676" s="168">
        <v>32493.29</v>
      </c>
      <c r="I4676" s="168">
        <v>27434.400000000001</v>
      </c>
      <c r="J4676" s="168">
        <v>29.36</v>
      </c>
      <c r="K4676" s="168">
        <v>5029.53</v>
      </c>
      <c r="L4676" s="43">
        <v>7.445059011412769</v>
      </c>
      <c r="M4676" s="43">
        <v>11.500000000000002</v>
      </c>
      <c r="N4676" s="43">
        <v>5.2996389891696749</v>
      </c>
      <c r="O4676" s="43">
        <v>2.5488301144800256</v>
      </c>
      <c r="P4676" s="169"/>
      <c r="Q4676" s="169"/>
      <c r="R4676" s="169">
        <v>3</v>
      </c>
    </row>
    <row r="4677" spans="1:18" ht="24">
      <c r="A4677" s="165">
        <v>1803</v>
      </c>
      <c r="B4677" s="162" t="s">
        <v>8584</v>
      </c>
      <c r="C4677" s="166" t="s">
        <v>8585</v>
      </c>
      <c r="D4677" s="167">
        <v>496.99</v>
      </c>
      <c r="E4677" s="167">
        <v>114.71</v>
      </c>
      <c r="F4677" s="167"/>
      <c r="G4677" s="167">
        <v>382.28</v>
      </c>
      <c r="H4677" s="168">
        <v>2383.4499999999998</v>
      </c>
      <c r="I4677" s="168">
        <v>1319.19</v>
      </c>
      <c r="J4677" s="168"/>
      <c r="K4677" s="168">
        <v>1064.26</v>
      </c>
      <c r="L4677" s="43">
        <v>4.7957705386426284</v>
      </c>
      <c r="M4677" s="43">
        <v>11.50021794089443</v>
      </c>
      <c r="N4677" s="43" t="s">
        <v>1690</v>
      </c>
      <c r="O4677" s="43">
        <v>2.783980328554986</v>
      </c>
      <c r="P4677" s="169"/>
      <c r="Q4677" s="169"/>
      <c r="R4677" s="169">
        <v>3</v>
      </c>
    </row>
    <row r="4678" spans="1:18" ht="24">
      <c r="A4678" s="165">
        <v>1804</v>
      </c>
      <c r="B4678" s="162" t="s">
        <v>8586</v>
      </c>
      <c r="C4678" s="166" t="s">
        <v>8587</v>
      </c>
      <c r="D4678" s="167">
        <v>1843.94</v>
      </c>
      <c r="E4678" s="167">
        <v>517.85</v>
      </c>
      <c r="F4678" s="167">
        <v>5.54</v>
      </c>
      <c r="G4678" s="167">
        <v>1320.55</v>
      </c>
      <c r="H4678" s="168">
        <v>10954.93</v>
      </c>
      <c r="I4678" s="168">
        <v>5955.44</v>
      </c>
      <c r="J4678" s="168">
        <v>29.36</v>
      </c>
      <c r="K4678" s="168">
        <v>4970.13</v>
      </c>
      <c r="L4678" s="43">
        <v>5.941044719459418</v>
      </c>
      <c r="M4678" s="43">
        <v>11.500318625084482</v>
      </c>
      <c r="N4678" s="43">
        <v>5.2996389891696749</v>
      </c>
      <c r="O4678" s="43">
        <v>3.7636817992503127</v>
      </c>
      <c r="P4678" s="169"/>
      <c r="Q4678" s="169"/>
      <c r="R4678" s="169">
        <v>3</v>
      </c>
    </row>
    <row r="4679" spans="1:18" ht="24">
      <c r="A4679" s="165">
        <v>1805</v>
      </c>
      <c r="B4679" s="162" t="s">
        <v>8588</v>
      </c>
      <c r="C4679" s="166" t="s">
        <v>8589</v>
      </c>
      <c r="D4679" s="167">
        <v>3877.53</v>
      </c>
      <c r="E4679" s="167">
        <v>2429.25</v>
      </c>
      <c r="F4679" s="167">
        <v>5.54</v>
      </c>
      <c r="G4679" s="167">
        <v>1442.74</v>
      </c>
      <c r="H4679" s="168">
        <v>33490.199999999997</v>
      </c>
      <c r="I4679" s="168">
        <v>27937.4</v>
      </c>
      <c r="J4679" s="168">
        <v>29.36</v>
      </c>
      <c r="K4679" s="168">
        <v>5523.44</v>
      </c>
      <c r="L4679" s="43">
        <v>8.6369931373838487</v>
      </c>
      <c r="M4679" s="43">
        <v>11.500421940928272</v>
      </c>
      <c r="N4679" s="43">
        <v>5.2996389891696749</v>
      </c>
      <c r="O4679" s="43">
        <v>3.828437556316453</v>
      </c>
      <c r="P4679" s="169"/>
      <c r="Q4679" s="169"/>
      <c r="R4679" s="169">
        <v>3</v>
      </c>
    </row>
    <row r="4680" spans="1:18" ht="24">
      <c r="A4680" s="165">
        <v>1806</v>
      </c>
      <c r="B4680" s="162" t="s">
        <v>8590</v>
      </c>
      <c r="C4680" s="166" t="s">
        <v>8591</v>
      </c>
      <c r="D4680" s="167">
        <v>1071.75</v>
      </c>
      <c r="E4680" s="167">
        <v>315.20999999999998</v>
      </c>
      <c r="F4680" s="167">
        <v>4.4000000000000004</v>
      </c>
      <c r="G4680" s="167">
        <v>752.14</v>
      </c>
      <c r="H4680" s="168">
        <v>6691.71</v>
      </c>
      <c r="I4680" s="168">
        <v>3625.05</v>
      </c>
      <c r="J4680" s="168">
        <v>23.31</v>
      </c>
      <c r="K4680" s="168">
        <v>3043.35</v>
      </c>
      <c r="L4680" s="43">
        <v>6.2437228831350593</v>
      </c>
      <c r="M4680" s="43">
        <v>11.500428285904636</v>
      </c>
      <c r="N4680" s="43">
        <v>5.297727272727272</v>
      </c>
      <c r="O4680" s="43">
        <v>4.0462546866274893</v>
      </c>
      <c r="P4680" s="169"/>
      <c r="Q4680" s="169"/>
      <c r="R4680" s="169">
        <v>3</v>
      </c>
    </row>
    <row r="4681" spans="1:18" ht="24">
      <c r="A4681" s="165">
        <v>1807</v>
      </c>
      <c r="B4681" s="162" t="s">
        <v>8592</v>
      </c>
      <c r="C4681" s="166" t="s">
        <v>8593</v>
      </c>
      <c r="D4681" s="167">
        <v>2178.37</v>
      </c>
      <c r="E4681" s="167">
        <v>979.02</v>
      </c>
      <c r="F4681" s="167">
        <v>4.4000000000000004</v>
      </c>
      <c r="G4681" s="167">
        <v>1194.95</v>
      </c>
      <c r="H4681" s="168">
        <v>15316.5</v>
      </c>
      <c r="I4681" s="168">
        <v>11258.73</v>
      </c>
      <c r="J4681" s="168">
        <v>23.31</v>
      </c>
      <c r="K4681" s="168">
        <v>4034.46</v>
      </c>
      <c r="L4681" s="43">
        <v>7.0311746856594617</v>
      </c>
      <c r="M4681" s="43">
        <v>11.5</v>
      </c>
      <c r="N4681" s="43">
        <v>5.297727272727272</v>
      </c>
      <c r="O4681" s="43">
        <v>3.3762584208544291</v>
      </c>
      <c r="P4681" s="169"/>
      <c r="Q4681" s="169"/>
      <c r="R4681" s="169">
        <v>3</v>
      </c>
    </row>
    <row r="4682" spans="1:18" ht="24">
      <c r="A4682" s="165">
        <v>1808</v>
      </c>
      <c r="B4682" s="162" t="s">
        <v>8594</v>
      </c>
      <c r="C4682" s="166" t="s">
        <v>8595</v>
      </c>
      <c r="D4682" s="167">
        <v>3450.67</v>
      </c>
      <c r="E4682" s="167">
        <v>1665</v>
      </c>
      <c r="F4682" s="167">
        <v>4.4000000000000004</v>
      </c>
      <c r="G4682" s="167">
        <v>1781.27</v>
      </c>
      <c r="H4682" s="168">
        <v>24703.4</v>
      </c>
      <c r="I4682" s="168">
        <v>19147.5</v>
      </c>
      <c r="J4682" s="168">
        <v>23.31</v>
      </c>
      <c r="K4682" s="168">
        <v>5532.59</v>
      </c>
      <c r="L4682" s="43">
        <v>7.1590154955414462</v>
      </c>
      <c r="M4682" s="43">
        <v>11.5</v>
      </c>
      <c r="N4682" s="43">
        <v>5.297727272727272</v>
      </c>
      <c r="O4682" s="43">
        <v>3.1059805644287506</v>
      </c>
      <c r="P4682" s="169"/>
      <c r="Q4682" s="169"/>
      <c r="R4682" s="169">
        <v>3</v>
      </c>
    </row>
    <row r="4683" spans="1:18" ht="24">
      <c r="A4683" s="165">
        <v>1809</v>
      </c>
      <c r="B4683" s="162" t="s">
        <v>8596</v>
      </c>
      <c r="C4683" s="166" t="s">
        <v>8597</v>
      </c>
      <c r="D4683" s="167">
        <v>4745.8999999999996</v>
      </c>
      <c r="E4683" s="167">
        <v>2430.9</v>
      </c>
      <c r="F4683" s="167">
        <v>4.4000000000000004</v>
      </c>
      <c r="G4683" s="167">
        <v>2310.6</v>
      </c>
      <c r="H4683" s="168">
        <v>34941.06</v>
      </c>
      <c r="I4683" s="168">
        <v>27955.35</v>
      </c>
      <c r="J4683" s="168">
        <v>23.31</v>
      </c>
      <c r="K4683" s="168">
        <v>6962.4</v>
      </c>
      <c r="L4683" s="43">
        <v>7.3623675172253948</v>
      </c>
      <c r="M4683" s="43">
        <v>11.499999999999998</v>
      </c>
      <c r="N4683" s="43">
        <v>5.297727272727272</v>
      </c>
      <c r="O4683" s="43">
        <v>3.0132433134250842</v>
      </c>
      <c r="P4683" s="169"/>
      <c r="Q4683" s="169"/>
      <c r="R4683" s="169">
        <v>3</v>
      </c>
    </row>
    <row r="4684" spans="1:18" ht="12.75" customHeight="1">
      <c r="A4684" s="628" t="s">
        <v>8598</v>
      </c>
      <c r="B4684" s="629"/>
      <c r="C4684" s="629"/>
      <c r="D4684" s="629"/>
      <c r="E4684" s="629"/>
      <c r="F4684" s="629"/>
      <c r="G4684" s="629"/>
      <c r="H4684" s="629"/>
      <c r="I4684" s="629"/>
      <c r="J4684" s="629"/>
      <c r="K4684" s="629"/>
      <c r="L4684" s="629"/>
      <c r="M4684" s="629"/>
      <c r="N4684" s="629"/>
      <c r="O4684" s="629"/>
      <c r="P4684" s="629"/>
      <c r="Q4684" s="629"/>
      <c r="R4684" s="629"/>
    </row>
    <row r="4685" spans="1:18" ht="24">
      <c r="A4685" s="165">
        <v>1810</v>
      </c>
      <c r="B4685" s="162" t="s">
        <v>8599</v>
      </c>
      <c r="C4685" s="166" t="s">
        <v>8600</v>
      </c>
      <c r="D4685" s="167">
        <v>911.5</v>
      </c>
      <c r="E4685" s="167">
        <v>173.1</v>
      </c>
      <c r="F4685" s="167">
        <v>4.4000000000000004</v>
      </c>
      <c r="G4685" s="167">
        <v>734</v>
      </c>
      <c r="H4685" s="168">
        <v>4339.47</v>
      </c>
      <c r="I4685" s="168">
        <v>1990.6</v>
      </c>
      <c r="J4685" s="168">
        <v>23.31</v>
      </c>
      <c r="K4685" s="168">
        <v>2325.56</v>
      </c>
      <c r="L4685" s="43">
        <v>4.7608008776741642</v>
      </c>
      <c r="M4685" s="43">
        <v>11.499711149624494</v>
      </c>
      <c r="N4685" s="43">
        <v>5.297727272727272</v>
      </c>
      <c r="O4685" s="43">
        <v>3.1683378746594006</v>
      </c>
      <c r="P4685" s="169"/>
      <c r="Q4685" s="169"/>
      <c r="R4685" s="169">
        <v>4</v>
      </c>
    </row>
    <row r="4686" spans="1:18" ht="24">
      <c r="A4686" s="165">
        <v>1811</v>
      </c>
      <c r="B4686" s="162" t="s">
        <v>8601</v>
      </c>
      <c r="C4686" s="166" t="s">
        <v>8602</v>
      </c>
      <c r="D4686" s="167">
        <v>928.7</v>
      </c>
      <c r="E4686" s="167">
        <v>189.96</v>
      </c>
      <c r="F4686" s="167">
        <v>4.4000000000000004</v>
      </c>
      <c r="G4686" s="167">
        <v>734.34</v>
      </c>
      <c r="H4686" s="168">
        <v>4537.2700000000004</v>
      </c>
      <c r="I4686" s="168">
        <v>2184.4899999999998</v>
      </c>
      <c r="J4686" s="168">
        <v>23.31</v>
      </c>
      <c r="K4686" s="168">
        <v>2329.4699999999998</v>
      </c>
      <c r="L4686" s="43">
        <v>4.8856142995585232</v>
      </c>
      <c r="M4686" s="43">
        <v>11.499736786691933</v>
      </c>
      <c r="N4686" s="43">
        <v>5.297727272727272</v>
      </c>
      <c r="O4686" s="43">
        <v>3.172195440803987</v>
      </c>
      <c r="P4686" s="169"/>
      <c r="Q4686" s="169"/>
      <c r="R4686" s="169">
        <v>4</v>
      </c>
    </row>
    <row r="4687" spans="1:18" ht="24">
      <c r="A4687" s="165">
        <v>1812</v>
      </c>
      <c r="B4687" s="162" t="s">
        <v>8603</v>
      </c>
      <c r="C4687" s="166" t="s">
        <v>8604</v>
      </c>
      <c r="D4687" s="167">
        <v>998.51</v>
      </c>
      <c r="E4687" s="167">
        <v>247.28</v>
      </c>
      <c r="F4687" s="167">
        <v>4.4000000000000004</v>
      </c>
      <c r="G4687" s="167">
        <v>746.83</v>
      </c>
      <c r="H4687" s="168">
        <v>5256.33</v>
      </c>
      <c r="I4687" s="168">
        <v>2843.72</v>
      </c>
      <c r="J4687" s="168">
        <v>23.31</v>
      </c>
      <c r="K4687" s="168">
        <v>2389.3000000000002</v>
      </c>
      <c r="L4687" s="43">
        <v>5.2641736186918511</v>
      </c>
      <c r="M4687" s="43">
        <v>11.5</v>
      </c>
      <c r="N4687" s="43">
        <v>5.297727272727272</v>
      </c>
      <c r="O4687" s="43">
        <v>3.1992555199978576</v>
      </c>
      <c r="P4687" s="169"/>
      <c r="Q4687" s="169"/>
      <c r="R4687" s="169">
        <v>4</v>
      </c>
    </row>
    <row r="4688" spans="1:18" ht="12.75" customHeight="1">
      <c r="A4688" s="628" t="s">
        <v>8605</v>
      </c>
      <c r="B4688" s="629"/>
      <c r="C4688" s="629"/>
      <c r="D4688" s="629"/>
      <c r="E4688" s="629"/>
      <c r="F4688" s="629"/>
      <c r="G4688" s="629"/>
      <c r="H4688" s="629"/>
      <c r="I4688" s="629"/>
      <c r="J4688" s="629"/>
      <c r="K4688" s="629"/>
      <c r="L4688" s="629"/>
      <c r="M4688" s="629"/>
      <c r="N4688" s="629"/>
      <c r="O4688" s="629"/>
      <c r="P4688" s="629"/>
      <c r="Q4688" s="629"/>
      <c r="R4688" s="629"/>
    </row>
    <row r="4689" spans="1:18" ht="24">
      <c r="A4689" s="165">
        <v>1813</v>
      </c>
      <c r="B4689" s="162" t="s">
        <v>8606</v>
      </c>
      <c r="C4689" s="166" t="s">
        <v>8607</v>
      </c>
      <c r="D4689" s="167">
        <v>747.67</v>
      </c>
      <c r="E4689" s="167">
        <v>193.33</v>
      </c>
      <c r="F4689" s="167">
        <v>4.4000000000000004</v>
      </c>
      <c r="G4689" s="167">
        <v>549.94000000000005</v>
      </c>
      <c r="H4689" s="168">
        <v>4080.49</v>
      </c>
      <c r="I4689" s="168">
        <v>2223.27</v>
      </c>
      <c r="J4689" s="168">
        <v>23.31</v>
      </c>
      <c r="K4689" s="168">
        <v>1833.91</v>
      </c>
      <c r="L4689" s="43">
        <v>5.457608303128386</v>
      </c>
      <c r="M4689" s="43">
        <v>11.499870687425645</v>
      </c>
      <c r="N4689" s="43">
        <v>5.297727272727272</v>
      </c>
      <c r="O4689" s="43">
        <v>3.3347456086118483</v>
      </c>
      <c r="P4689" s="169"/>
      <c r="Q4689" s="169"/>
      <c r="R4689" s="169">
        <v>5</v>
      </c>
    </row>
    <row r="4690" spans="1:18" ht="24">
      <c r="A4690" s="165">
        <v>1814</v>
      </c>
      <c r="B4690" s="162" t="s">
        <v>8608</v>
      </c>
      <c r="C4690" s="166" t="s">
        <v>8609</v>
      </c>
      <c r="D4690" s="167">
        <v>804.8</v>
      </c>
      <c r="E4690" s="167">
        <v>228.17</v>
      </c>
      <c r="F4690" s="167">
        <v>4.4000000000000004</v>
      </c>
      <c r="G4690" s="167">
        <v>572.23</v>
      </c>
      <c r="H4690" s="168">
        <v>4565.8500000000004</v>
      </c>
      <c r="I4690" s="168">
        <v>2623.98</v>
      </c>
      <c r="J4690" s="168">
        <v>23.31</v>
      </c>
      <c r="K4690" s="168">
        <v>1918.56</v>
      </c>
      <c r="L4690" s="43">
        <v>5.6732728628230626</v>
      </c>
      <c r="M4690" s="43">
        <v>11.500109567427796</v>
      </c>
      <c r="N4690" s="43">
        <v>5.297727272727272</v>
      </c>
      <c r="O4690" s="43">
        <v>3.3527777292347483</v>
      </c>
      <c r="P4690" s="169"/>
      <c r="Q4690" s="169"/>
      <c r="R4690" s="169">
        <v>5</v>
      </c>
    </row>
    <row r="4691" spans="1:18" ht="12.75" customHeight="1">
      <c r="A4691" s="628" t="s">
        <v>8610</v>
      </c>
      <c r="B4691" s="629"/>
      <c r="C4691" s="629"/>
      <c r="D4691" s="629"/>
      <c r="E4691" s="629"/>
      <c r="F4691" s="629"/>
      <c r="G4691" s="629"/>
      <c r="H4691" s="629"/>
      <c r="I4691" s="629"/>
      <c r="J4691" s="629"/>
      <c r="K4691" s="629"/>
      <c r="L4691" s="629"/>
      <c r="M4691" s="629"/>
      <c r="N4691" s="629"/>
      <c r="O4691" s="629"/>
      <c r="P4691" s="629"/>
      <c r="Q4691" s="629"/>
      <c r="R4691" s="629"/>
    </row>
    <row r="4692" spans="1:18" ht="24">
      <c r="A4692" s="165">
        <v>1815</v>
      </c>
      <c r="B4692" s="162" t="s">
        <v>8611</v>
      </c>
      <c r="C4692" s="166" t="s">
        <v>8612</v>
      </c>
      <c r="D4692" s="167">
        <v>414.49</v>
      </c>
      <c r="E4692" s="167">
        <v>91.38</v>
      </c>
      <c r="F4692" s="167"/>
      <c r="G4692" s="167">
        <v>323.11</v>
      </c>
      <c r="H4692" s="168">
        <v>2246.19</v>
      </c>
      <c r="I4692" s="168">
        <v>1050.9100000000001</v>
      </c>
      <c r="J4692" s="168"/>
      <c r="K4692" s="168">
        <v>1195.28</v>
      </c>
      <c r="L4692" s="43">
        <v>5.4191657217303195</v>
      </c>
      <c r="M4692" s="43">
        <v>11.500437732545416</v>
      </c>
      <c r="N4692" s="43" t="s">
        <v>1690</v>
      </c>
      <c r="O4692" s="43">
        <v>3.6992974528798239</v>
      </c>
      <c r="P4692" s="169"/>
      <c r="Q4692" s="169"/>
      <c r="R4692" s="169">
        <v>6</v>
      </c>
    </row>
    <row r="4693" spans="1:18" ht="36">
      <c r="A4693" s="165">
        <v>1816</v>
      </c>
      <c r="B4693" s="162" t="s">
        <v>8613</v>
      </c>
      <c r="C4693" s="166" t="s">
        <v>8614</v>
      </c>
      <c r="D4693" s="167">
        <v>582.54</v>
      </c>
      <c r="E4693" s="167">
        <v>216.11</v>
      </c>
      <c r="F4693" s="167"/>
      <c r="G4693" s="167">
        <v>366.43</v>
      </c>
      <c r="H4693" s="168">
        <v>3889.2</v>
      </c>
      <c r="I4693" s="168">
        <v>2485.35</v>
      </c>
      <c r="J4693" s="168"/>
      <c r="K4693" s="168">
        <v>1403.85</v>
      </c>
      <c r="L4693" s="43">
        <v>6.6762797404470078</v>
      </c>
      <c r="M4693" s="43">
        <v>11.500393318217574</v>
      </c>
      <c r="N4693" s="43" t="s">
        <v>1690</v>
      </c>
      <c r="O4693" s="43">
        <v>3.8311546543678188</v>
      </c>
      <c r="P4693" s="169"/>
      <c r="Q4693" s="169"/>
      <c r="R4693" s="169">
        <v>6</v>
      </c>
    </row>
    <row r="4694" spans="1:18" ht="24">
      <c r="A4694" s="165">
        <v>1817</v>
      </c>
      <c r="B4694" s="162" t="s">
        <v>8615</v>
      </c>
      <c r="C4694" s="166" t="s">
        <v>8616</v>
      </c>
      <c r="D4694" s="167">
        <v>387.82</v>
      </c>
      <c r="E4694" s="167">
        <v>71.31</v>
      </c>
      <c r="F4694" s="167"/>
      <c r="G4694" s="167">
        <v>316.51</v>
      </c>
      <c r="H4694" s="168">
        <v>1991.87</v>
      </c>
      <c r="I4694" s="168">
        <v>820.04</v>
      </c>
      <c r="J4694" s="168"/>
      <c r="K4694" s="168">
        <v>1171.83</v>
      </c>
      <c r="L4694" s="43">
        <v>5.1360682790985503</v>
      </c>
      <c r="M4694" s="43">
        <v>11.499649418033936</v>
      </c>
      <c r="N4694" s="43" t="s">
        <v>1690</v>
      </c>
      <c r="O4694" s="43">
        <v>3.7023474771729168</v>
      </c>
      <c r="P4694" s="169"/>
      <c r="Q4694" s="169"/>
      <c r="R4694" s="169">
        <v>6</v>
      </c>
    </row>
    <row r="4695" spans="1:18" ht="24">
      <c r="A4695" s="165">
        <v>1818</v>
      </c>
      <c r="B4695" s="162" t="s">
        <v>8617</v>
      </c>
      <c r="C4695" s="166" t="s">
        <v>8618</v>
      </c>
      <c r="D4695" s="167">
        <v>655.02</v>
      </c>
      <c r="E4695" s="167">
        <v>287.41000000000003</v>
      </c>
      <c r="F4695" s="167"/>
      <c r="G4695" s="167">
        <v>367.61</v>
      </c>
      <c r="H4695" s="168">
        <v>4705.8100000000004</v>
      </c>
      <c r="I4695" s="168">
        <v>3305.39</v>
      </c>
      <c r="J4695" s="168"/>
      <c r="K4695" s="168">
        <v>1400.42</v>
      </c>
      <c r="L4695" s="43">
        <v>7.1842233824921387</v>
      </c>
      <c r="M4695" s="43">
        <v>11.500608886260045</v>
      </c>
      <c r="N4695" s="43" t="s">
        <v>1690</v>
      </c>
      <c r="O4695" s="43">
        <v>3.8095264002611464</v>
      </c>
      <c r="P4695" s="169"/>
      <c r="Q4695" s="169"/>
      <c r="R4695" s="169">
        <v>6</v>
      </c>
    </row>
    <row r="4696" spans="1:18" ht="36">
      <c r="A4696" s="165">
        <v>1819</v>
      </c>
      <c r="B4696" s="162" t="s">
        <v>8619</v>
      </c>
      <c r="C4696" s="166" t="s">
        <v>8620</v>
      </c>
      <c r="D4696" s="167">
        <v>416.88</v>
      </c>
      <c r="E4696" s="167">
        <v>100.05</v>
      </c>
      <c r="F4696" s="167"/>
      <c r="G4696" s="167">
        <v>316.83</v>
      </c>
      <c r="H4696" s="168">
        <v>2328.5300000000002</v>
      </c>
      <c r="I4696" s="168">
        <v>1150.58</v>
      </c>
      <c r="J4696" s="168"/>
      <c r="K4696" s="168">
        <v>1177.95</v>
      </c>
      <c r="L4696" s="43">
        <v>5.5856121665707166</v>
      </c>
      <c r="M4696" s="43">
        <v>11.500049975012493</v>
      </c>
      <c r="N4696" s="43" t="s">
        <v>1690</v>
      </c>
      <c r="O4696" s="43">
        <v>3.7179244389735824</v>
      </c>
      <c r="P4696" s="169"/>
      <c r="Q4696" s="169"/>
      <c r="R4696" s="169">
        <v>6</v>
      </c>
    </row>
    <row r="4697" spans="1:18" ht="24">
      <c r="A4697" s="165">
        <v>1820</v>
      </c>
      <c r="B4697" s="162" t="s">
        <v>8621</v>
      </c>
      <c r="C4697" s="166" t="s">
        <v>8622</v>
      </c>
      <c r="D4697" s="167">
        <v>155.16</v>
      </c>
      <c r="E4697" s="167">
        <v>91.16</v>
      </c>
      <c r="F4697" s="167"/>
      <c r="G4697" s="167">
        <v>64</v>
      </c>
      <c r="H4697" s="168">
        <v>1271.3800000000001</v>
      </c>
      <c r="I4697" s="168">
        <v>1048.3900000000001</v>
      </c>
      <c r="J4697" s="168"/>
      <c r="K4697" s="168">
        <v>222.99</v>
      </c>
      <c r="L4697" s="43">
        <v>8.1939932972415583</v>
      </c>
      <c r="M4697" s="43">
        <v>11.50054848617815</v>
      </c>
      <c r="N4697" s="43" t="s">
        <v>1690</v>
      </c>
      <c r="O4697" s="43">
        <v>3.4842187500000001</v>
      </c>
      <c r="P4697" s="169"/>
      <c r="Q4697" s="169"/>
      <c r="R4697" s="169">
        <v>6</v>
      </c>
    </row>
    <row r="4698" spans="1:18" ht="12.75" customHeight="1">
      <c r="A4698" s="628" t="s">
        <v>8623</v>
      </c>
      <c r="B4698" s="629"/>
      <c r="C4698" s="629"/>
      <c r="D4698" s="629"/>
      <c r="E4698" s="629"/>
      <c r="F4698" s="629"/>
      <c r="G4698" s="629"/>
      <c r="H4698" s="629"/>
      <c r="I4698" s="629"/>
      <c r="J4698" s="629"/>
      <c r="K4698" s="629"/>
      <c r="L4698" s="629"/>
      <c r="M4698" s="629"/>
      <c r="N4698" s="629"/>
      <c r="O4698" s="629"/>
      <c r="P4698" s="629"/>
      <c r="Q4698" s="629"/>
      <c r="R4698" s="629"/>
    </row>
    <row r="4699" spans="1:18" ht="24">
      <c r="A4699" s="165">
        <v>1821</v>
      </c>
      <c r="B4699" s="162" t="s">
        <v>8624</v>
      </c>
      <c r="C4699" s="166" t="s">
        <v>8625</v>
      </c>
      <c r="D4699" s="167">
        <v>289.56</v>
      </c>
      <c r="E4699" s="167">
        <v>174.41</v>
      </c>
      <c r="F4699" s="167"/>
      <c r="G4699" s="167">
        <v>115.15</v>
      </c>
      <c r="H4699" s="168">
        <v>2353.35</v>
      </c>
      <c r="I4699" s="168">
        <v>2005.69</v>
      </c>
      <c r="J4699" s="168"/>
      <c r="K4699" s="168">
        <v>347.66</v>
      </c>
      <c r="L4699" s="43">
        <v>8.1273311230832981</v>
      </c>
      <c r="M4699" s="43">
        <v>11.499856659595208</v>
      </c>
      <c r="N4699" s="43" t="s">
        <v>1690</v>
      </c>
      <c r="O4699" s="43">
        <v>3.0191923577941817</v>
      </c>
      <c r="P4699" s="169"/>
      <c r="Q4699" s="169"/>
      <c r="R4699" s="169">
        <v>7</v>
      </c>
    </row>
    <row r="4700" spans="1:18" ht="24">
      <c r="A4700" s="165">
        <v>1822</v>
      </c>
      <c r="B4700" s="162" t="s">
        <v>8626</v>
      </c>
      <c r="C4700" s="166" t="s">
        <v>8627</v>
      </c>
      <c r="D4700" s="167">
        <v>174.94</v>
      </c>
      <c r="E4700" s="167">
        <v>70.099999999999994</v>
      </c>
      <c r="F4700" s="167"/>
      <c r="G4700" s="167">
        <v>104.84</v>
      </c>
      <c r="H4700" s="168">
        <v>1107.05</v>
      </c>
      <c r="I4700" s="168">
        <v>806.16</v>
      </c>
      <c r="J4700" s="168"/>
      <c r="K4700" s="168">
        <v>300.89</v>
      </c>
      <c r="L4700" s="43">
        <v>6.3281696581685152</v>
      </c>
      <c r="M4700" s="43">
        <v>11.500142653352354</v>
      </c>
      <c r="N4700" s="43" t="s">
        <v>1690</v>
      </c>
      <c r="O4700" s="43">
        <v>2.8699923693246849</v>
      </c>
      <c r="P4700" s="169"/>
      <c r="Q4700" s="169"/>
      <c r="R4700" s="169">
        <v>7</v>
      </c>
    </row>
    <row r="4701" spans="1:18" ht="24">
      <c r="A4701" s="165">
        <v>1823</v>
      </c>
      <c r="B4701" s="162" t="s">
        <v>8628</v>
      </c>
      <c r="C4701" s="166" t="s">
        <v>8629</v>
      </c>
      <c r="D4701" s="167">
        <v>642.97</v>
      </c>
      <c r="E4701" s="167">
        <v>357.1</v>
      </c>
      <c r="F4701" s="167">
        <v>1.1399999999999999</v>
      </c>
      <c r="G4701" s="167">
        <v>284.73</v>
      </c>
      <c r="H4701" s="168">
        <v>5239.97</v>
      </c>
      <c r="I4701" s="168">
        <v>4106.83</v>
      </c>
      <c r="J4701" s="168">
        <v>6.06</v>
      </c>
      <c r="K4701" s="168">
        <v>1127.08</v>
      </c>
      <c r="L4701" s="43">
        <v>8.1496337309672295</v>
      </c>
      <c r="M4701" s="43">
        <v>11.500504060487257</v>
      </c>
      <c r="N4701" s="43">
        <v>5.3157894736842106</v>
      </c>
      <c r="O4701" s="43">
        <v>3.9584167456888979</v>
      </c>
      <c r="P4701" s="169"/>
      <c r="Q4701" s="169"/>
      <c r="R4701" s="169">
        <v>7</v>
      </c>
    </row>
    <row r="4702" spans="1:18" ht="12.75" customHeight="1">
      <c r="A4702" s="628" t="s">
        <v>8630</v>
      </c>
      <c r="B4702" s="629"/>
      <c r="C4702" s="629"/>
      <c r="D4702" s="629"/>
      <c r="E4702" s="629"/>
      <c r="F4702" s="629"/>
      <c r="G4702" s="629"/>
      <c r="H4702" s="629"/>
      <c r="I4702" s="629"/>
      <c r="J4702" s="629"/>
      <c r="K4702" s="629"/>
      <c r="L4702" s="629"/>
      <c r="M4702" s="629"/>
      <c r="N4702" s="629"/>
      <c r="O4702" s="629"/>
      <c r="P4702" s="629"/>
      <c r="Q4702" s="629"/>
      <c r="R4702" s="629"/>
    </row>
    <row r="4703" spans="1:18" ht="24">
      <c r="A4703" s="165">
        <v>1824</v>
      </c>
      <c r="B4703" s="162" t="s">
        <v>8631</v>
      </c>
      <c r="C4703" s="166" t="s">
        <v>8632</v>
      </c>
      <c r="D4703" s="167">
        <v>4260.8599999999997</v>
      </c>
      <c r="E4703" s="167">
        <v>2380.4899999999998</v>
      </c>
      <c r="F4703" s="167"/>
      <c r="G4703" s="167">
        <v>1880.37</v>
      </c>
      <c r="H4703" s="168">
        <v>31937.48</v>
      </c>
      <c r="I4703" s="168">
        <v>27376.720000000001</v>
      </c>
      <c r="J4703" s="168"/>
      <c r="K4703" s="168">
        <v>4560.76</v>
      </c>
      <c r="L4703" s="43">
        <v>7.4955478471482291</v>
      </c>
      <c r="M4703" s="43">
        <v>11.500455788514131</v>
      </c>
      <c r="N4703" s="43" t="s">
        <v>1690</v>
      </c>
      <c r="O4703" s="43">
        <v>2.42545881927493</v>
      </c>
      <c r="P4703" s="169"/>
      <c r="Q4703" s="169"/>
      <c r="R4703" s="169">
        <v>8</v>
      </c>
    </row>
    <row r="4704" spans="1:18" ht="12.75" customHeight="1">
      <c r="A4704" s="628" t="s">
        <v>8633</v>
      </c>
      <c r="B4704" s="629"/>
      <c r="C4704" s="629"/>
      <c r="D4704" s="629"/>
      <c r="E4704" s="629"/>
      <c r="F4704" s="629"/>
      <c r="G4704" s="629"/>
      <c r="H4704" s="629"/>
      <c r="I4704" s="629"/>
      <c r="J4704" s="629"/>
      <c r="K4704" s="629"/>
      <c r="L4704" s="629"/>
      <c r="M4704" s="629"/>
      <c r="N4704" s="629"/>
      <c r="O4704" s="629"/>
      <c r="P4704" s="629"/>
      <c r="Q4704" s="629"/>
      <c r="R4704" s="629"/>
    </row>
    <row r="4705" spans="1:18" ht="24">
      <c r="A4705" s="165">
        <v>1825</v>
      </c>
      <c r="B4705" s="162" t="s">
        <v>8634</v>
      </c>
      <c r="C4705" s="166" t="s">
        <v>8635</v>
      </c>
      <c r="D4705" s="167">
        <v>8367</v>
      </c>
      <c r="E4705" s="167">
        <v>1050.94</v>
      </c>
      <c r="F4705" s="167">
        <v>21.91</v>
      </c>
      <c r="G4705" s="167">
        <v>7294.15</v>
      </c>
      <c r="H4705" s="168">
        <v>36088.33</v>
      </c>
      <c r="I4705" s="168">
        <v>12085.81</v>
      </c>
      <c r="J4705" s="168">
        <v>116.06</v>
      </c>
      <c r="K4705" s="168">
        <v>23886.46</v>
      </c>
      <c r="L4705" s="43">
        <v>4.3131743755228875</v>
      </c>
      <c r="M4705" s="43">
        <v>11.499999999999998</v>
      </c>
      <c r="N4705" s="43">
        <v>5.2971246006389778</v>
      </c>
      <c r="O4705" s="43">
        <v>3.2747420878375135</v>
      </c>
      <c r="P4705" s="169"/>
      <c r="Q4705" s="169"/>
      <c r="R4705" s="169">
        <v>9</v>
      </c>
    </row>
    <row r="4706" spans="1:18" ht="24">
      <c r="A4706" s="165">
        <v>1826</v>
      </c>
      <c r="B4706" s="162" t="s">
        <v>8636</v>
      </c>
      <c r="C4706" s="166" t="s">
        <v>8637</v>
      </c>
      <c r="D4706" s="167">
        <v>14163.71</v>
      </c>
      <c r="E4706" s="167">
        <v>2101.88</v>
      </c>
      <c r="F4706" s="167">
        <v>21.91</v>
      </c>
      <c r="G4706" s="167">
        <v>12039.92</v>
      </c>
      <c r="H4706" s="168">
        <v>60316.51</v>
      </c>
      <c r="I4706" s="168">
        <v>24171.62</v>
      </c>
      <c r="J4706" s="168">
        <v>116.06</v>
      </c>
      <c r="K4706" s="168">
        <v>36028.83</v>
      </c>
      <c r="L4706" s="43">
        <v>4.2585247791715597</v>
      </c>
      <c r="M4706" s="43">
        <v>11.499999999999998</v>
      </c>
      <c r="N4706" s="43">
        <v>5.2971246006389778</v>
      </c>
      <c r="O4706" s="43">
        <v>2.9924476242367062</v>
      </c>
      <c r="P4706" s="169"/>
      <c r="Q4706" s="169"/>
      <c r="R4706" s="169">
        <v>9</v>
      </c>
    </row>
    <row r="4707" spans="1:18" ht="24">
      <c r="A4707" s="165">
        <v>1827</v>
      </c>
      <c r="B4707" s="162" t="s">
        <v>8638</v>
      </c>
      <c r="C4707" s="166" t="s">
        <v>8639</v>
      </c>
      <c r="D4707" s="167">
        <v>19966.150000000001</v>
      </c>
      <c r="E4707" s="167">
        <v>3158.44</v>
      </c>
      <c r="F4707" s="167">
        <v>21.91</v>
      </c>
      <c r="G4707" s="167">
        <v>16785.8</v>
      </c>
      <c r="H4707" s="168">
        <v>84610.6</v>
      </c>
      <c r="I4707" s="168">
        <v>36322.06</v>
      </c>
      <c r="J4707" s="168">
        <v>116.06</v>
      </c>
      <c r="K4707" s="168">
        <v>48172.480000000003</v>
      </c>
      <c r="L4707" s="43">
        <v>4.237702311161641</v>
      </c>
      <c r="M4707" s="43">
        <v>11.499999999999998</v>
      </c>
      <c r="N4707" s="43">
        <v>5.2971246006389778</v>
      </c>
      <c r="O4707" s="43">
        <v>2.8698352178627178</v>
      </c>
      <c r="P4707" s="169"/>
      <c r="Q4707" s="169"/>
      <c r="R4707" s="169">
        <v>9</v>
      </c>
    </row>
    <row r="4708" spans="1:18" ht="24">
      <c r="A4708" s="165">
        <v>1828</v>
      </c>
      <c r="B4708" s="162" t="s">
        <v>8640</v>
      </c>
      <c r="C4708" s="166" t="s">
        <v>8641</v>
      </c>
      <c r="D4708" s="167">
        <v>25768.59</v>
      </c>
      <c r="E4708" s="167">
        <v>4215</v>
      </c>
      <c r="F4708" s="167">
        <v>21.91</v>
      </c>
      <c r="G4708" s="167">
        <v>21531.68</v>
      </c>
      <c r="H4708" s="168">
        <v>108904.67</v>
      </c>
      <c r="I4708" s="168">
        <v>48472.5</v>
      </c>
      <c r="J4708" s="168">
        <v>116.06</v>
      </c>
      <c r="K4708" s="168">
        <v>60316.11</v>
      </c>
      <c r="L4708" s="43">
        <v>4.2262564618397827</v>
      </c>
      <c r="M4708" s="43">
        <v>11.5</v>
      </c>
      <c r="N4708" s="43">
        <v>5.2971246006389778</v>
      </c>
      <c r="O4708" s="43">
        <v>2.8012728221857284</v>
      </c>
      <c r="P4708" s="169"/>
      <c r="Q4708" s="169"/>
      <c r="R4708" s="169">
        <v>9</v>
      </c>
    </row>
    <row r="4709" spans="1:18" ht="12.75" customHeight="1">
      <c r="A4709" s="628" t="s">
        <v>8642</v>
      </c>
      <c r="B4709" s="629"/>
      <c r="C4709" s="629"/>
      <c r="D4709" s="629"/>
      <c r="E4709" s="629"/>
      <c r="F4709" s="629"/>
      <c r="G4709" s="629"/>
      <c r="H4709" s="629"/>
      <c r="I4709" s="629"/>
      <c r="J4709" s="629"/>
      <c r="K4709" s="629"/>
      <c r="L4709" s="629"/>
      <c r="M4709" s="629"/>
      <c r="N4709" s="629"/>
      <c r="O4709" s="629"/>
      <c r="P4709" s="629"/>
      <c r="Q4709" s="629"/>
      <c r="R4709" s="629"/>
    </row>
    <row r="4710" spans="1:18" ht="24">
      <c r="A4710" s="165">
        <v>1829</v>
      </c>
      <c r="B4710" s="162" t="s">
        <v>8643</v>
      </c>
      <c r="C4710" s="166" t="s">
        <v>8644</v>
      </c>
      <c r="D4710" s="167">
        <v>2294.02</v>
      </c>
      <c r="E4710" s="167">
        <v>644.16</v>
      </c>
      <c r="F4710" s="167">
        <v>4.4000000000000004</v>
      </c>
      <c r="G4710" s="167">
        <v>1645.46</v>
      </c>
      <c r="H4710" s="168">
        <v>12966.67</v>
      </c>
      <c r="I4710" s="168">
        <v>7407.84</v>
      </c>
      <c r="J4710" s="168">
        <v>23.31</v>
      </c>
      <c r="K4710" s="168">
        <v>5535.52</v>
      </c>
      <c r="L4710" s="43">
        <v>5.6523787935589054</v>
      </c>
      <c r="M4710" s="43">
        <v>11.5</v>
      </c>
      <c r="N4710" s="43">
        <v>5.297727272727272</v>
      </c>
      <c r="O4710" s="43">
        <v>3.3641170250264367</v>
      </c>
      <c r="P4710" s="169"/>
      <c r="Q4710" s="169"/>
      <c r="R4710" s="169">
        <v>10</v>
      </c>
    </row>
    <row r="4711" spans="1:18" ht="12.75" customHeight="1">
      <c r="A4711" s="628" t="s">
        <v>8645</v>
      </c>
      <c r="B4711" s="629"/>
      <c r="C4711" s="629"/>
      <c r="D4711" s="629"/>
      <c r="E4711" s="629"/>
      <c r="F4711" s="629"/>
      <c r="G4711" s="629"/>
      <c r="H4711" s="629"/>
      <c r="I4711" s="629"/>
      <c r="J4711" s="629"/>
      <c r="K4711" s="629"/>
      <c r="L4711" s="629"/>
      <c r="M4711" s="629"/>
      <c r="N4711" s="629"/>
      <c r="O4711" s="629"/>
      <c r="P4711" s="629"/>
      <c r="Q4711" s="629"/>
      <c r="R4711" s="629"/>
    </row>
    <row r="4712" spans="1:18" ht="24">
      <c r="A4712" s="165">
        <v>1830</v>
      </c>
      <c r="B4712" s="162" t="s">
        <v>8646</v>
      </c>
      <c r="C4712" s="166" t="s">
        <v>8647</v>
      </c>
      <c r="D4712" s="167">
        <v>2658.4</v>
      </c>
      <c r="E4712" s="167">
        <v>221.12</v>
      </c>
      <c r="F4712" s="167">
        <v>1.1399999999999999</v>
      </c>
      <c r="G4712" s="167">
        <v>2436.14</v>
      </c>
      <c r="H4712" s="168">
        <v>9500.67</v>
      </c>
      <c r="I4712" s="168">
        <v>2542.9</v>
      </c>
      <c r="J4712" s="168">
        <v>6.06</v>
      </c>
      <c r="K4712" s="168">
        <v>6951.71</v>
      </c>
      <c r="L4712" s="43">
        <v>3.5738301233824856</v>
      </c>
      <c r="M4712" s="43">
        <v>11.500090448625182</v>
      </c>
      <c r="N4712" s="43">
        <v>5.3157894736842106</v>
      </c>
      <c r="O4712" s="43">
        <v>2.8535757386685496</v>
      </c>
      <c r="P4712" s="169"/>
      <c r="Q4712" s="169"/>
      <c r="R4712" s="169">
        <v>11</v>
      </c>
    </row>
    <row r="4713" spans="1:18" ht="24">
      <c r="A4713" s="165">
        <v>1831</v>
      </c>
      <c r="B4713" s="162" t="s">
        <v>8648</v>
      </c>
      <c r="C4713" s="166" t="s">
        <v>8649</v>
      </c>
      <c r="D4713" s="167">
        <v>3807.23</v>
      </c>
      <c r="E4713" s="167">
        <v>247.57</v>
      </c>
      <c r="F4713" s="167">
        <v>1.1399999999999999</v>
      </c>
      <c r="G4713" s="167">
        <v>3558.52</v>
      </c>
      <c r="H4713" s="168">
        <v>12845.69</v>
      </c>
      <c r="I4713" s="168">
        <v>2847.08</v>
      </c>
      <c r="J4713" s="168">
        <v>6.06</v>
      </c>
      <c r="K4713" s="168">
        <v>9992.5499999999993</v>
      </c>
      <c r="L4713" s="43">
        <v>3.3740252099295289</v>
      </c>
      <c r="M4713" s="43">
        <v>11.500100981540575</v>
      </c>
      <c r="N4713" s="43">
        <v>5.3157894736842106</v>
      </c>
      <c r="O4713" s="43">
        <v>2.8080634645864011</v>
      </c>
      <c r="P4713" s="169"/>
      <c r="Q4713" s="169"/>
      <c r="R4713" s="169">
        <v>11</v>
      </c>
    </row>
    <row r="4714" spans="1:18" ht="24">
      <c r="A4714" s="165">
        <v>1832</v>
      </c>
      <c r="B4714" s="162" t="s">
        <v>8650</v>
      </c>
      <c r="C4714" s="166" t="s">
        <v>8651</v>
      </c>
      <c r="D4714" s="167">
        <v>5008.24</v>
      </c>
      <c r="E4714" s="167">
        <v>324.81</v>
      </c>
      <c r="F4714" s="167">
        <v>1.1399999999999999</v>
      </c>
      <c r="G4714" s="167">
        <v>4682.29</v>
      </c>
      <c r="H4714" s="168">
        <v>16787.38</v>
      </c>
      <c r="I4714" s="168">
        <v>3735.27</v>
      </c>
      <c r="J4714" s="168">
        <v>6.06</v>
      </c>
      <c r="K4714" s="168">
        <v>13046.05</v>
      </c>
      <c r="L4714" s="43">
        <v>3.3519519831317992</v>
      </c>
      <c r="M4714" s="43">
        <v>11.499861457467443</v>
      </c>
      <c r="N4714" s="43">
        <v>5.3157894736842106</v>
      </c>
      <c r="O4714" s="43">
        <v>2.7862541619592123</v>
      </c>
      <c r="P4714" s="169"/>
      <c r="Q4714" s="169"/>
      <c r="R4714" s="169">
        <v>11</v>
      </c>
    </row>
    <row r="4715" spans="1:18" ht="24">
      <c r="A4715" s="165">
        <v>1833</v>
      </c>
      <c r="B4715" s="162" t="s">
        <v>8652</v>
      </c>
      <c r="C4715" s="166" t="s">
        <v>8653</v>
      </c>
      <c r="D4715" s="167">
        <v>6195.91</v>
      </c>
      <c r="E4715" s="167">
        <v>390.4</v>
      </c>
      <c r="F4715" s="167">
        <v>1.1399999999999999</v>
      </c>
      <c r="G4715" s="167">
        <v>5804.37</v>
      </c>
      <c r="H4715" s="168">
        <v>20586.18</v>
      </c>
      <c r="I4715" s="168">
        <v>4489.62</v>
      </c>
      <c r="J4715" s="168">
        <v>6.06</v>
      </c>
      <c r="K4715" s="168">
        <v>16090.5</v>
      </c>
      <c r="L4715" s="43">
        <v>3.3225434197720758</v>
      </c>
      <c r="M4715" s="43">
        <v>11.500051229508196</v>
      </c>
      <c r="N4715" s="43">
        <v>5.3157894736842106</v>
      </c>
      <c r="O4715" s="43">
        <v>2.7721354772352558</v>
      </c>
      <c r="P4715" s="169"/>
      <c r="Q4715" s="169"/>
      <c r="R4715" s="169">
        <v>11</v>
      </c>
    </row>
    <row r="4716" spans="1:18" ht="24">
      <c r="A4716" s="165">
        <v>1834</v>
      </c>
      <c r="B4716" s="162" t="s">
        <v>8654</v>
      </c>
      <c r="C4716" s="166" t="s">
        <v>8655</v>
      </c>
      <c r="D4716" s="167">
        <v>9363.9500000000007</v>
      </c>
      <c r="E4716" s="167">
        <v>487.74</v>
      </c>
      <c r="F4716" s="167">
        <v>1.1399999999999999</v>
      </c>
      <c r="G4716" s="167">
        <v>8875.07</v>
      </c>
      <c r="H4716" s="168">
        <v>32477.41</v>
      </c>
      <c r="I4716" s="168">
        <v>5608.99</v>
      </c>
      <c r="J4716" s="168">
        <v>6.06</v>
      </c>
      <c r="K4716" s="168">
        <v>26862.36</v>
      </c>
      <c r="L4716" s="43">
        <v>3.4683450894120536</v>
      </c>
      <c r="M4716" s="43">
        <v>11.499958994546274</v>
      </c>
      <c r="N4716" s="43">
        <v>5.3157894736842106</v>
      </c>
      <c r="O4716" s="43">
        <v>3.0267209160040429</v>
      </c>
      <c r="P4716" s="169"/>
      <c r="Q4716" s="169"/>
      <c r="R4716" s="169">
        <v>11</v>
      </c>
    </row>
    <row r="4717" spans="1:18" ht="24">
      <c r="A4717" s="165">
        <v>1835</v>
      </c>
      <c r="B4717" s="162" t="s">
        <v>8656</v>
      </c>
      <c r="C4717" s="166" t="s">
        <v>8657</v>
      </c>
      <c r="D4717" s="167">
        <v>13434.11</v>
      </c>
      <c r="E4717" s="167">
        <v>813.6</v>
      </c>
      <c r="F4717" s="167">
        <v>1.1399999999999999</v>
      </c>
      <c r="G4717" s="167">
        <v>12619.37</v>
      </c>
      <c r="H4717" s="168">
        <v>46407.33</v>
      </c>
      <c r="I4717" s="168">
        <v>9356.42</v>
      </c>
      <c r="J4717" s="168">
        <v>6.06</v>
      </c>
      <c r="K4717" s="168">
        <v>37044.85</v>
      </c>
      <c r="L4717" s="43">
        <v>3.4544402271531198</v>
      </c>
      <c r="M4717" s="43">
        <v>11.500024582104228</v>
      </c>
      <c r="N4717" s="43">
        <v>5.3157894736842106</v>
      </c>
      <c r="O4717" s="43">
        <v>2.935554627528949</v>
      </c>
      <c r="P4717" s="169"/>
      <c r="Q4717" s="169"/>
      <c r="R4717" s="169">
        <v>11</v>
      </c>
    </row>
    <row r="4718" spans="1:18" ht="24">
      <c r="A4718" s="165">
        <v>1836</v>
      </c>
      <c r="B4718" s="162" t="s">
        <v>8658</v>
      </c>
      <c r="C4718" s="166" t="s">
        <v>8659</v>
      </c>
      <c r="D4718" s="167">
        <v>1332.54</v>
      </c>
      <c r="E4718" s="167">
        <v>164.72</v>
      </c>
      <c r="F4718" s="167">
        <v>1.1399999999999999</v>
      </c>
      <c r="G4718" s="167">
        <v>1166.68</v>
      </c>
      <c r="H4718" s="168">
        <v>5121.99</v>
      </c>
      <c r="I4718" s="168">
        <v>1894.28</v>
      </c>
      <c r="J4718" s="168">
        <v>6.06</v>
      </c>
      <c r="K4718" s="168">
        <v>3221.65</v>
      </c>
      <c r="L4718" s="43">
        <v>3.8437795488315549</v>
      </c>
      <c r="M4718" s="43">
        <v>11.5</v>
      </c>
      <c r="N4718" s="43">
        <v>5.3157894736842106</v>
      </c>
      <c r="O4718" s="43">
        <v>2.7613827270545479</v>
      </c>
      <c r="P4718" s="169"/>
      <c r="Q4718" s="169"/>
      <c r="R4718" s="169">
        <v>11</v>
      </c>
    </row>
    <row r="4719" spans="1:18" ht="24">
      <c r="A4719" s="165">
        <v>1837</v>
      </c>
      <c r="B4719" s="162" t="s">
        <v>8660</v>
      </c>
      <c r="C4719" s="166" t="s">
        <v>8661</v>
      </c>
      <c r="D4719" s="167">
        <v>1099.95</v>
      </c>
      <c r="E4719" s="167">
        <v>329.44</v>
      </c>
      <c r="F4719" s="167">
        <v>1.1399999999999999</v>
      </c>
      <c r="G4719" s="167">
        <v>769.37</v>
      </c>
      <c r="H4719" s="168">
        <v>5949.42</v>
      </c>
      <c r="I4719" s="168">
        <v>3788.56</v>
      </c>
      <c r="J4719" s="168">
        <v>6.06</v>
      </c>
      <c r="K4719" s="168">
        <v>2154.8000000000002</v>
      </c>
      <c r="L4719" s="43">
        <v>5.4088094913405156</v>
      </c>
      <c r="M4719" s="43">
        <v>11.5</v>
      </c>
      <c r="N4719" s="43">
        <v>5.3157894736842106</v>
      </c>
      <c r="O4719" s="43">
        <v>2.8007330673148161</v>
      </c>
      <c r="P4719" s="169"/>
      <c r="Q4719" s="169"/>
      <c r="R4719" s="169">
        <v>11</v>
      </c>
    </row>
    <row r="4720" spans="1:18" ht="24">
      <c r="A4720" s="165">
        <v>1838</v>
      </c>
      <c r="B4720" s="162" t="s">
        <v>8662</v>
      </c>
      <c r="C4720" s="166" t="s">
        <v>8663</v>
      </c>
      <c r="D4720" s="167">
        <v>189.58</v>
      </c>
      <c r="E4720" s="167">
        <v>12.95</v>
      </c>
      <c r="F4720" s="167">
        <v>1.1399999999999999</v>
      </c>
      <c r="G4720" s="167">
        <v>175.49</v>
      </c>
      <c r="H4720" s="168">
        <v>940.67</v>
      </c>
      <c r="I4720" s="168">
        <v>148.93</v>
      </c>
      <c r="J4720" s="168">
        <v>6.06</v>
      </c>
      <c r="K4720" s="168">
        <v>785.68</v>
      </c>
      <c r="L4720" s="43">
        <v>4.9618630657242324</v>
      </c>
      <c r="M4720" s="43">
        <v>11.500386100386102</v>
      </c>
      <c r="N4720" s="43">
        <v>5.3157894736842106</v>
      </c>
      <c r="O4720" s="43">
        <v>4.477064220183486</v>
      </c>
      <c r="P4720" s="169"/>
      <c r="Q4720" s="169"/>
      <c r="R4720" s="169">
        <v>11</v>
      </c>
    </row>
    <row r="4721" spans="1:18" ht="12.75" customHeight="1">
      <c r="A4721" s="628" t="s">
        <v>8664</v>
      </c>
      <c r="B4721" s="629"/>
      <c r="C4721" s="629"/>
      <c r="D4721" s="629"/>
      <c r="E4721" s="629"/>
      <c r="F4721" s="629"/>
      <c r="G4721" s="629"/>
      <c r="H4721" s="629"/>
      <c r="I4721" s="629"/>
      <c r="J4721" s="629"/>
      <c r="K4721" s="629"/>
      <c r="L4721" s="629"/>
      <c r="M4721" s="629"/>
      <c r="N4721" s="629"/>
      <c r="O4721" s="629"/>
      <c r="P4721" s="629"/>
      <c r="Q4721" s="629"/>
      <c r="R4721" s="629"/>
    </row>
    <row r="4722" spans="1:18" ht="24">
      <c r="A4722" s="165">
        <v>1839</v>
      </c>
      <c r="B4722" s="162" t="s">
        <v>8665</v>
      </c>
      <c r="C4722" s="166" t="s">
        <v>8666</v>
      </c>
      <c r="D4722" s="167">
        <v>1109.3599999999999</v>
      </c>
      <c r="E4722" s="167">
        <v>224.89</v>
      </c>
      <c r="F4722" s="167">
        <v>4.4000000000000004</v>
      </c>
      <c r="G4722" s="167">
        <v>880.07</v>
      </c>
      <c r="H4722" s="168">
        <v>6058.49</v>
      </c>
      <c r="I4722" s="168">
        <v>2586.2800000000002</v>
      </c>
      <c r="J4722" s="168">
        <v>23.31</v>
      </c>
      <c r="K4722" s="168">
        <v>3448.9</v>
      </c>
      <c r="L4722" s="43">
        <v>5.4612479267325309</v>
      </c>
      <c r="M4722" s="43">
        <v>11.500200097825605</v>
      </c>
      <c r="N4722" s="43">
        <v>5.297727272727272</v>
      </c>
      <c r="O4722" s="43">
        <v>3.9188928153442339</v>
      </c>
      <c r="P4722" s="169"/>
      <c r="Q4722" s="169"/>
      <c r="R4722" s="169">
        <v>12</v>
      </c>
    </row>
    <row r="4723" spans="1:18" ht="24">
      <c r="A4723" s="165">
        <v>1840</v>
      </c>
      <c r="B4723" s="162" t="s">
        <v>8667</v>
      </c>
      <c r="C4723" s="166" t="s">
        <v>8668</v>
      </c>
      <c r="D4723" s="167">
        <v>1298.98</v>
      </c>
      <c r="E4723" s="167">
        <v>288.51</v>
      </c>
      <c r="F4723" s="167">
        <v>4.4000000000000004</v>
      </c>
      <c r="G4723" s="167">
        <v>1006.07</v>
      </c>
      <c r="H4723" s="168">
        <v>7139.99</v>
      </c>
      <c r="I4723" s="168">
        <v>3318.01</v>
      </c>
      <c r="J4723" s="168">
        <v>23.31</v>
      </c>
      <c r="K4723" s="168">
        <v>3798.67</v>
      </c>
      <c r="L4723" s="43">
        <v>5.496612726908805</v>
      </c>
      <c r="M4723" s="43">
        <v>11.500502582232853</v>
      </c>
      <c r="N4723" s="43">
        <v>5.297727272727272</v>
      </c>
      <c r="O4723" s="43">
        <v>3.7757511902750305</v>
      </c>
      <c r="P4723" s="169"/>
      <c r="Q4723" s="169"/>
      <c r="R4723" s="169">
        <v>12</v>
      </c>
    </row>
    <row r="4724" spans="1:18" ht="24">
      <c r="A4724" s="165">
        <v>1841</v>
      </c>
      <c r="B4724" s="162" t="s">
        <v>8669</v>
      </c>
      <c r="C4724" s="166" t="s">
        <v>8670</v>
      </c>
      <c r="D4724" s="167">
        <v>1542.12</v>
      </c>
      <c r="E4724" s="167">
        <v>347.75</v>
      </c>
      <c r="F4724" s="167">
        <v>4.4000000000000004</v>
      </c>
      <c r="G4724" s="167">
        <v>1189.97</v>
      </c>
      <c r="H4724" s="168">
        <v>8301.42</v>
      </c>
      <c r="I4724" s="168">
        <v>3999.27</v>
      </c>
      <c r="J4724" s="168">
        <v>23.31</v>
      </c>
      <c r="K4724" s="168">
        <v>4278.84</v>
      </c>
      <c r="L4724" s="43">
        <v>5.3831219360361064</v>
      </c>
      <c r="M4724" s="43">
        <v>11.500416966211359</v>
      </c>
      <c r="N4724" s="43">
        <v>5.297727272727272</v>
      </c>
      <c r="O4724" s="43">
        <v>3.5957545148197014</v>
      </c>
      <c r="P4724" s="169"/>
      <c r="Q4724" s="169"/>
      <c r="R4724" s="169">
        <v>12</v>
      </c>
    </row>
    <row r="4725" spans="1:18" ht="24">
      <c r="A4725" s="165">
        <v>1842</v>
      </c>
      <c r="B4725" s="162" t="s">
        <v>8671</v>
      </c>
      <c r="C4725" s="166" t="s">
        <v>8672</v>
      </c>
      <c r="D4725" s="167">
        <v>1771.79</v>
      </c>
      <c r="E4725" s="167">
        <v>411.38</v>
      </c>
      <c r="F4725" s="167">
        <v>4.4000000000000004</v>
      </c>
      <c r="G4725" s="167">
        <v>1356.01</v>
      </c>
      <c r="H4725" s="168">
        <v>9464.36</v>
      </c>
      <c r="I4725" s="168">
        <v>4731</v>
      </c>
      <c r="J4725" s="168">
        <v>23.31</v>
      </c>
      <c r="K4725" s="168">
        <v>4710.05</v>
      </c>
      <c r="L4725" s="43">
        <v>5.3416939930804448</v>
      </c>
      <c r="M4725" s="43">
        <v>11.500316009528904</v>
      </c>
      <c r="N4725" s="43">
        <v>5.297727272727272</v>
      </c>
      <c r="O4725" s="43">
        <v>3.4734625850841812</v>
      </c>
      <c r="P4725" s="169"/>
      <c r="Q4725" s="169"/>
      <c r="R4725" s="169">
        <v>12</v>
      </c>
    </row>
    <row r="4726" spans="1:18" ht="24">
      <c r="A4726" s="165">
        <v>1843</v>
      </c>
      <c r="B4726" s="162" t="s">
        <v>8673</v>
      </c>
      <c r="C4726" s="166" t="s">
        <v>8674</v>
      </c>
      <c r="D4726" s="167">
        <v>2135.83</v>
      </c>
      <c r="E4726" s="167">
        <v>502.43</v>
      </c>
      <c r="F4726" s="167">
        <v>4.4000000000000004</v>
      </c>
      <c r="G4726" s="167">
        <v>1629</v>
      </c>
      <c r="H4726" s="168">
        <v>11198.51</v>
      </c>
      <c r="I4726" s="168">
        <v>5778.13</v>
      </c>
      <c r="J4726" s="168">
        <v>23.31</v>
      </c>
      <c r="K4726" s="168">
        <v>5397.07</v>
      </c>
      <c r="L4726" s="43">
        <v>5.2431654204688583</v>
      </c>
      <c r="M4726" s="43">
        <v>11.500368210496985</v>
      </c>
      <c r="N4726" s="43">
        <v>5.297727272727272</v>
      </c>
      <c r="O4726" s="43">
        <v>3.3131184775936156</v>
      </c>
      <c r="P4726" s="169"/>
      <c r="Q4726" s="169"/>
      <c r="R4726" s="169">
        <v>12</v>
      </c>
    </row>
    <row r="4727" spans="1:18" ht="36">
      <c r="A4727" s="165">
        <v>1844</v>
      </c>
      <c r="B4727" s="162" t="s">
        <v>8675</v>
      </c>
      <c r="C4727" s="166" t="s">
        <v>8676</v>
      </c>
      <c r="D4727" s="167">
        <v>1421.43</v>
      </c>
      <c r="E4727" s="167">
        <v>281.11</v>
      </c>
      <c r="F4727" s="167">
        <v>8.8000000000000007</v>
      </c>
      <c r="G4727" s="167">
        <v>1131.52</v>
      </c>
      <c r="H4727" s="168">
        <v>8382.0400000000009</v>
      </c>
      <c r="I4727" s="168">
        <v>3232.84</v>
      </c>
      <c r="J4727" s="168">
        <v>46.61</v>
      </c>
      <c r="K4727" s="168">
        <v>5102.59</v>
      </c>
      <c r="L4727" s="43">
        <v>5.8969066362747373</v>
      </c>
      <c r="M4727" s="43">
        <v>11.500266799473515</v>
      </c>
      <c r="N4727" s="43">
        <v>5.2965909090909085</v>
      </c>
      <c r="O4727" s="43">
        <v>4.5095004949095028</v>
      </c>
      <c r="P4727" s="169"/>
      <c r="Q4727" s="169"/>
      <c r="R4727" s="169">
        <v>12</v>
      </c>
    </row>
    <row r="4728" spans="1:18" ht="36">
      <c r="A4728" s="165">
        <v>1845</v>
      </c>
      <c r="B4728" s="162" t="s">
        <v>8677</v>
      </c>
      <c r="C4728" s="166" t="s">
        <v>8678</v>
      </c>
      <c r="D4728" s="167">
        <v>1589.47</v>
      </c>
      <c r="E4728" s="167">
        <v>341.72</v>
      </c>
      <c r="F4728" s="167">
        <v>8.8000000000000007</v>
      </c>
      <c r="G4728" s="167">
        <v>1238.95</v>
      </c>
      <c r="H4728" s="168">
        <v>9433.1</v>
      </c>
      <c r="I4728" s="168">
        <v>3929.89</v>
      </c>
      <c r="J4728" s="168">
        <v>46.61</v>
      </c>
      <c r="K4728" s="168">
        <v>5456.6</v>
      </c>
      <c r="L4728" s="43">
        <v>5.9347455441121886</v>
      </c>
      <c r="M4728" s="43">
        <v>11.500321900971555</v>
      </c>
      <c r="N4728" s="43">
        <v>5.2965909090909085</v>
      </c>
      <c r="O4728" s="43">
        <v>4.4042132450865656</v>
      </c>
      <c r="P4728" s="169"/>
      <c r="Q4728" s="169"/>
      <c r="R4728" s="169">
        <v>12</v>
      </c>
    </row>
    <row r="4729" spans="1:18" ht="36">
      <c r="A4729" s="165">
        <v>1846</v>
      </c>
      <c r="B4729" s="162" t="s">
        <v>8679</v>
      </c>
      <c r="C4729" s="166" t="s">
        <v>8680</v>
      </c>
      <c r="D4729" s="167">
        <v>2089.56</v>
      </c>
      <c r="E4729" s="167">
        <v>600.94000000000005</v>
      </c>
      <c r="F4729" s="167">
        <v>8.8000000000000007</v>
      </c>
      <c r="G4729" s="167">
        <v>1479.82</v>
      </c>
      <c r="H4729" s="168">
        <v>13226.29</v>
      </c>
      <c r="I4729" s="168">
        <v>6910.86</v>
      </c>
      <c r="J4729" s="168">
        <v>46.61</v>
      </c>
      <c r="K4729" s="168">
        <v>6268.82</v>
      </c>
      <c r="L4729" s="43">
        <v>6.3297009896820393</v>
      </c>
      <c r="M4729" s="43">
        <v>11.500083202981994</v>
      </c>
      <c r="N4729" s="43">
        <v>5.2965909090909085</v>
      </c>
      <c r="O4729" s="43">
        <v>4.236204403238232</v>
      </c>
      <c r="P4729" s="169"/>
      <c r="Q4729" s="169"/>
      <c r="R4729" s="169">
        <v>12</v>
      </c>
    </row>
    <row r="4730" spans="1:18" ht="36">
      <c r="A4730" s="165">
        <v>1847</v>
      </c>
      <c r="B4730" s="162" t="s">
        <v>8681</v>
      </c>
      <c r="C4730" s="166" t="s">
        <v>8682</v>
      </c>
      <c r="D4730" s="167">
        <v>2551.73</v>
      </c>
      <c r="E4730" s="167">
        <v>867.51</v>
      </c>
      <c r="F4730" s="167">
        <v>8.8000000000000007</v>
      </c>
      <c r="G4730" s="167">
        <v>1675.42</v>
      </c>
      <c r="H4730" s="168">
        <v>16962.93</v>
      </c>
      <c r="I4730" s="168">
        <v>9976.77</v>
      </c>
      <c r="J4730" s="168">
        <v>46.61</v>
      </c>
      <c r="K4730" s="168">
        <v>6939.55</v>
      </c>
      <c r="L4730" s="43">
        <v>6.6476194581715147</v>
      </c>
      <c r="M4730" s="43">
        <v>11.50046685340803</v>
      </c>
      <c r="N4730" s="43">
        <v>5.2965909090909085</v>
      </c>
      <c r="O4730" s="43">
        <v>4.1419763402609497</v>
      </c>
      <c r="P4730" s="169"/>
      <c r="Q4730" s="169"/>
      <c r="R4730" s="169">
        <v>12</v>
      </c>
    </row>
    <row r="4731" spans="1:18" ht="36">
      <c r="A4731" s="170">
        <v>1848</v>
      </c>
      <c r="B4731" s="171" t="s">
        <v>8683</v>
      </c>
      <c r="C4731" s="172" t="s">
        <v>8684</v>
      </c>
      <c r="D4731" s="173">
        <v>3220.32</v>
      </c>
      <c r="E4731" s="173">
        <v>1210.23</v>
      </c>
      <c r="F4731" s="173">
        <v>8.8000000000000007</v>
      </c>
      <c r="G4731" s="173">
        <v>2001.29</v>
      </c>
      <c r="H4731" s="174">
        <v>22003.95</v>
      </c>
      <c r="I4731" s="174">
        <v>13918.21</v>
      </c>
      <c r="J4731" s="174">
        <v>46.61</v>
      </c>
      <c r="K4731" s="174">
        <v>8039.13</v>
      </c>
      <c r="L4731" s="611">
        <v>6.8328458041436875</v>
      </c>
      <c r="M4731" s="611">
        <v>11.500466853408028</v>
      </c>
      <c r="N4731" s="611">
        <v>5.2965909090909085</v>
      </c>
      <c r="O4731" s="611">
        <v>4.0169740517366304</v>
      </c>
      <c r="P4731" s="175"/>
      <c r="Q4731" s="175"/>
      <c r="R4731" s="175">
        <v>12</v>
      </c>
    </row>
    <row r="4732" spans="1:18" ht="25.5" customHeight="1">
      <c r="A4732" s="630" t="s">
        <v>8685</v>
      </c>
      <c r="B4732" s="631"/>
      <c r="C4732" s="631"/>
      <c r="D4732" s="631"/>
      <c r="E4732" s="631"/>
      <c r="F4732" s="631"/>
      <c r="G4732" s="631"/>
      <c r="H4732" s="631"/>
      <c r="I4732" s="631"/>
      <c r="J4732" s="631"/>
      <c r="K4732" s="631"/>
      <c r="L4732" s="631"/>
      <c r="M4732" s="631"/>
      <c r="N4732" s="631"/>
      <c r="O4732" s="631"/>
      <c r="P4732" s="631"/>
      <c r="Q4732" s="631"/>
      <c r="R4732" s="631"/>
    </row>
    <row r="4733" spans="1:18" ht="23.25" customHeight="1">
      <c r="A4733" s="628" t="s">
        <v>8686</v>
      </c>
      <c r="B4733" s="629"/>
      <c r="C4733" s="629"/>
      <c r="D4733" s="629"/>
      <c r="E4733" s="629"/>
      <c r="F4733" s="629"/>
      <c r="G4733" s="629"/>
      <c r="H4733" s="629"/>
      <c r="I4733" s="629"/>
      <c r="J4733" s="629"/>
      <c r="K4733" s="629"/>
      <c r="L4733" s="629"/>
      <c r="M4733" s="629"/>
      <c r="N4733" s="629"/>
      <c r="O4733" s="629"/>
      <c r="P4733" s="629"/>
      <c r="Q4733" s="629"/>
      <c r="R4733" s="629"/>
    </row>
    <row r="4734" spans="1:18" ht="12.75" customHeight="1">
      <c r="A4734" s="628" t="s">
        <v>8687</v>
      </c>
      <c r="B4734" s="629"/>
      <c r="C4734" s="629"/>
      <c r="D4734" s="629"/>
      <c r="E4734" s="629"/>
      <c r="F4734" s="629"/>
      <c r="G4734" s="629"/>
      <c r="H4734" s="629"/>
      <c r="I4734" s="629"/>
      <c r="J4734" s="629"/>
      <c r="K4734" s="629"/>
      <c r="L4734" s="629"/>
      <c r="M4734" s="629"/>
      <c r="N4734" s="629"/>
      <c r="O4734" s="629"/>
      <c r="P4734" s="629"/>
      <c r="Q4734" s="629"/>
      <c r="R4734" s="629"/>
    </row>
    <row r="4735" spans="1:18" ht="48">
      <c r="A4735" s="165">
        <v>1849</v>
      </c>
      <c r="B4735" s="162" t="s">
        <v>8688</v>
      </c>
      <c r="C4735" s="166" t="s">
        <v>8689</v>
      </c>
      <c r="D4735" s="167">
        <v>297.45999999999998</v>
      </c>
      <c r="E4735" s="167">
        <v>94.68</v>
      </c>
      <c r="F4735" s="167"/>
      <c r="G4735" s="167">
        <v>202.78</v>
      </c>
      <c r="H4735" s="168">
        <v>2173.86</v>
      </c>
      <c r="I4735" s="168">
        <v>1088.83</v>
      </c>
      <c r="J4735" s="168"/>
      <c r="K4735" s="168">
        <v>1085.03</v>
      </c>
      <c r="L4735" s="43">
        <v>7.3080750352988648</v>
      </c>
      <c r="M4735" s="43">
        <v>11.500105618926909</v>
      </c>
      <c r="N4735" s="43" t="s">
        <v>1690</v>
      </c>
      <c r="O4735" s="43">
        <v>5.3507742380905414</v>
      </c>
      <c r="P4735" s="169"/>
      <c r="Q4735" s="169"/>
      <c r="R4735" s="169">
        <v>1</v>
      </c>
    </row>
    <row r="4736" spans="1:18" ht="48">
      <c r="A4736" s="165">
        <v>1850</v>
      </c>
      <c r="B4736" s="162" t="s">
        <v>8690</v>
      </c>
      <c r="C4736" s="166" t="s">
        <v>8691</v>
      </c>
      <c r="D4736" s="167">
        <v>333.33</v>
      </c>
      <c r="E4736" s="167">
        <v>129.84</v>
      </c>
      <c r="F4736" s="167"/>
      <c r="G4736" s="167">
        <v>203.49</v>
      </c>
      <c r="H4736" s="168">
        <v>2586.37</v>
      </c>
      <c r="I4736" s="168">
        <v>1493.18</v>
      </c>
      <c r="J4736" s="168"/>
      <c r="K4736" s="168">
        <v>1093.19</v>
      </c>
      <c r="L4736" s="43">
        <v>7.7591875918759188</v>
      </c>
      <c r="M4736" s="43">
        <v>11.500154035736291</v>
      </c>
      <c r="N4736" s="43" t="s">
        <v>1690</v>
      </c>
      <c r="O4736" s="43">
        <v>5.3722050223598208</v>
      </c>
      <c r="P4736" s="169"/>
      <c r="Q4736" s="169"/>
      <c r="R4736" s="169">
        <v>1</v>
      </c>
    </row>
    <row r="4737" spans="1:18" ht="48">
      <c r="A4737" s="165">
        <v>1851</v>
      </c>
      <c r="B4737" s="162" t="s">
        <v>8692</v>
      </c>
      <c r="C4737" s="166" t="s">
        <v>8693</v>
      </c>
      <c r="D4737" s="167">
        <v>361.82</v>
      </c>
      <c r="E4737" s="167">
        <v>153.97</v>
      </c>
      <c r="F4737" s="167"/>
      <c r="G4737" s="167">
        <v>207.85</v>
      </c>
      <c r="H4737" s="168">
        <v>2899.71</v>
      </c>
      <c r="I4737" s="168">
        <v>1770.68</v>
      </c>
      <c r="J4737" s="168"/>
      <c r="K4737" s="168">
        <v>1129.03</v>
      </c>
      <c r="L4737" s="43">
        <v>8.014233596816096</v>
      </c>
      <c r="M4737" s="43">
        <v>11.50016236929272</v>
      </c>
      <c r="N4737" s="43" t="s">
        <v>1690</v>
      </c>
      <c r="O4737" s="43">
        <v>5.4319461149867694</v>
      </c>
      <c r="P4737" s="169"/>
      <c r="Q4737" s="169"/>
      <c r="R4737" s="169">
        <v>1</v>
      </c>
    </row>
    <row r="4738" spans="1:18" ht="12.75" customHeight="1">
      <c r="A4738" s="628" t="s">
        <v>8694</v>
      </c>
      <c r="B4738" s="629"/>
      <c r="C4738" s="629"/>
      <c r="D4738" s="629"/>
      <c r="E4738" s="629"/>
      <c r="F4738" s="629"/>
      <c r="G4738" s="629"/>
      <c r="H4738" s="629"/>
      <c r="I4738" s="629"/>
      <c r="J4738" s="629"/>
      <c r="K4738" s="629"/>
      <c r="L4738" s="629"/>
      <c r="M4738" s="629"/>
      <c r="N4738" s="629"/>
      <c r="O4738" s="629"/>
      <c r="P4738" s="629"/>
      <c r="Q4738" s="629"/>
      <c r="R4738" s="629"/>
    </row>
    <row r="4739" spans="1:18" ht="48">
      <c r="A4739" s="165">
        <v>1852</v>
      </c>
      <c r="B4739" s="162" t="s">
        <v>8695</v>
      </c>
      <c r="C4739" s="166" t="s">
        <v>8696</v>
      </c>
      <c r="D4739" s="167">
        <v>275.2</v>
      </c>
      <c r="E4739" s="167">
        <v>23.78</v>
      </c>
      <c r="F4739" s="167"/>
      <c r="G4739" s="167">
        <v>251.42</v>
      </c>
      <c r="H4739" s="168">
        <v>950.27</v>
      </c>
      <c r="I4739" s="168">
        <v>273.52999999999997</v>
      </c>
      <c r="J4739" s="168"/>
      <c r="K4739" s="168">
        <v>676.74</v>
      </c>
      <c r="L4739" s="43">
        <v>3.4530159883720932</v>
      </c>
      <c r="M4739" s="43">
        <v>11.502523128679561</v>
      </c>
      <c r="N4739" s="43" t="s">
        <v>1690</v>
      </c>
      <c r="O4739" s="43">
        <v>2.6916713069763745</v>
      </c>
      <c r="P4739" s="169"/>
      <c r="Q4739" s="169"/>
      <c r="R4739" s="169">
        <v>2</v>
      </c>
    </row>
    <row r="4740" spans="1:18" ht="48">
      <c r="A4740" s="165">
        <v>1853</v>
      </c>
      <c r="B4740" s="162" t="s">
        <v>8697</v>
      </c>
      <c r="C4740" s="166" t="s">
        <v>8698</v>
      </c>
      <c r="D4740" s="167">
        <v>366.12</v>
      </c>
      <c r="E4740" s="167">
        <v>35.729999999999997</v>
      </c>
      <c r="F4740" s="167"/>
      <c r="G4740" s="167">
        <v>330.39</v>
      </c>
      <c r="H4740" s="168">
        <v>1288.7</v>
      </c>
      <c r="I4740" s="168">
        <v>410.96</v>
      </c>
      <c r="J4740" s="168"/>
      <c r="K4740" s="168">
        <v>877.74</v>
      </c>
      <c r="L4740" s="43">
        <v>3.5198841909756364</v>
      </c>
      <c r="M4740" s="43">
        <v>11.501819199552198</v>
      </c>
      <c r="N4740" s="43" t="s">
        <v>1690</v>
      </c>
      <c r="O4740" s="43">
        <v>2.6566784708980298</v>
      </c>
      <c r="P4740" s="169"/>
      <c r="Q4740" s="169"/>
      <c r="R4740" s="169">
        <v>2</v>
      </c>
    </row>
    <row r="4741" spans="1:18" ht="48">
      <c r="A4741" s="165">
        <v>1854</v>
      </c>
      <c r="B4741" s="162" t="s">
        <v>8699</v>
      </c>
      <c r="C4741" s="166" t="s">
        <v>8700</v>
      </c>
      <c r="D4741" s="167">
        <v>295.41000000000003</v>
      </c>
      <c r="E4741" s="167">
        <v>39.869999999999997</v>
      </c>
      <c r="F4741" s="167"/>
      <c r="G4741" s="167">
        <v>255.54</v>
      </c>
      <c r="H4741" s="168">
        <v>1154.27</v>
      </c>
      <c r="I4741" s="168">
        <v>458.53</v>
      </c>
      <c r="J4741" s="168"/>
      <c r="K4741" s="168">
        <v>695.74</v>
      </c>
      <c r="L4741" s="43">
        <v>3.9073491080193623</v>
      </c>
      <c r="M4741" s="43">
        <v>11.500627037873087</v>
      </c>
      <c r="N4741" s="43" t="s">
        <v>1690</v>
      </c>
      <c r="O4741" s="43">
        <v>2.7226265946622838</v>
      </c>
      <c r="P4741" s="169"/>
      <c r="Q4741" s="169"/>
      <c r="R4741" s="169">
        <v>2</v>
      </c>
    </row>
    <row r="4742" spans="1:18" ht="24">
      <c r="A4742" s="165">
        <v>1855</v>
      </c>
      <c r="B4742" s="162" t="s">
        <v>8701</v>
      </c>
      <c r="C4742" s="166" t="s">
        <v>8702</v>
      </c>
      <c r="D4742" s="167">
        <v>423.27</v>
      </c>
      <c r="E4742" s="167">
        <v>24.7</v>
      </c>
      <c r="F4742" s="167"/>
      <c r="G4742" s="167">
        <v>398.57</v>
      </c>
      <c r="H4742" s="168">
        <v>1410.27</v>
      </c>
      <c r="I4742" s="168">
        <v>284.10000000000002</v>
      </c>
      <c r="J4742" s="168"/>
      <c r="K4742" s="168">
        <v>1126.17</v>
      </c>
      <c r="L4742" s="43">
        <v>3.3318449216811965</v>
      </c>
      <c r="M4742" s="43">
        <v>11.502024291497976</v>
      </c>
      <c r="N4742" s="43" t="s">
        <v>1690</v>
      </c>
      <c r="O4742" s="43">
        <v>2.8255262563665107</v>
      </c>
      <c r="P4742" s="169"/>
      <c r="Q4742" s="169"/>
      <c r="R4742" s="169">
        <v>2</v>
      </c>
    </row>
    <row r="4743" spans="1:18" ht="36">
      <c r="A4743" s="165">
        <v>1856</v>
      </c>
      <c r="B4743" s="162" t="s">
        <v>8703</v>
      </c>
      <c r="C4743" s="166" t="s">
        <v>8704</v>
      </c>
      <c r="D4743" s="167">
        <v>1523.13</v>
      </c>
      <c r="E4743" s="167">
        <v>8.27</v>
      </c>
      <c r="F4743" s="167"/>
      <c r="G4743" s="167">
        <v>1514.86</v>
      </c>
      <c r="H4743" s="168">
        <v>3933.93</v>
      </c>
      <c r="I4743" s="168">
        <v>95.14</v>
      </c>
      <c r="J4743" s="168"/>
      <c r="K4743" s="168">
        <v>3838.79</v>
      </c>
      <c r="L4743" s="43">
        <v>2.582793326899214</v>
      </c>
      <c r="M4743" s="43">
        <v>11.504232164449819</v>
      </c>
      <c r="N4743" s="43" t="s">
        <v>1690</v>
      </c>
      <c r="O4743" s="43">
        <v>2.5340889587156572</v>
      </c>
      <c r="P4743" s="169"/>
      <c r="Q4743" s="169"/>
      <c r="R4743" s="169">
        <v>2</v>
      </c>
    </row>
    <row r="4744" spans="1:18" ht="36">
      <c r="A4744" s="165">
        <v>1857</v>
      </c>
      <c r="B4744" s="162" t="s">
        <v>8705</v>
      </c>
      <c r="C4744" s="166" t="s">
        <v>8706</v>
      </c>
      <c r="D4744" s="167">
        <v>2162.5100000000002</v>
      </c>
      <c r="E4744" s="167">
        <v>11.95</v>
      </c>
      <c r="F4744" s="167"/>
      <c r="G4744" s="167">
        <v>2150.56</v>
      </c>
      <c r="H4744" s="168">
        <v>5587.56</v>
      </c>
      <c r="I4744" s="168">
        <v>137.43</v>
      </c>
      <c r="J4744" s="168"/>
      <c r="K4744" s="168">
        <v>5450.13</v>
      </c>
      <c r="L4744" s="43">
        <v>2.5838308262158325</v>
      </c>
      <c r="M4744" s="43">
        <v>11.500418410041842</v>
      </c>
      <c r="N4744" s="43" t="s">
        <v>1690</v>
      </c>
      <c r="O4744" s="43">
        <v>2.5342840934454283</v>
      </c>
      <c r="P4744" s="169"/>
      <c r="Q4744" s="169"/>
      <c r="R4744" s="169">
        <v>2</v>
      </c>
    </row>
    <row r="4745" spans="1:18" ht="36">
      <c r="A4745" s="165">
        <v>1858</v>
      </c>
      <c r="B4745" s="162" t="s">
        <v>8707</v>
      </c>
      <c r="C4745" s="166" t="s">
        <v>8708</v>
      </c>
      <c r="D4745" s="167">
        <v>2958</v>
      </c>
      <c r="E4745" s="167">
        <v>13.44</v>
      </c>
      <c r="F4745" s="167"/>
      <c r="G4745" s="167">
        <v>2944.56</v>
      </c>
      <c r="H4745" s="168">
        <v>7613.4</v>
      </c>
      <c r="I4745" s="168">
        <v>154.6</v>
      </c>
      <c r="J4745" s="168"/>
      <c r="K4745" s="168">
        <v>7458.8</v>
      </c>
      <c r="L4745" s="43">
        <v>2.5738336713995942</v>
      </c>
      <c r="M4745" s="43">
        <v>11.50297619047619</v>
      </c>
      <c r="N4745" s="43" t="s">
        <v>1690</v>
      </c>
      <c r="O4745" s="43">
        <v>2.5330779471296223</v>
      </c>
      <c r="P4745" s="169"/>
      <c r="Q4745" s="169"/>
      <c r="R4745" s="169">
        <v>2</v>
      </c>
    </row>
    <row r="4746" spans="1:18" ht="12.75" customHeight="1">
      <c r="A4746" s="628" t="s">
        <v>8709</v>
      </c>
      <c r="B4746" s="629"/>
      <c r="C4746" s="629"/>
      <c r="D4746" s="629"/>
      <c r="E4746" s="629"/>
      <c r="F4746" s="629"/>
      <c r="G4746" s="629"/>
      <c r="H4746" s="629"/>
      <c r="I4746" s="629"/>
      <c r="J4746" s="629"/>
      <c r="K4746" s="629"/>
      <c r="L4746" s="629"/>
      <c r="M4746" s="629"/>
      <c r="N4746" s="629"/>
      <c r="O4746" s="629"/>
      <c r="P4746" s="629"/>
      <c r="Q4746" s="629"/>
      <c r="R4746" s="629"/>
    </row>
    <row r="4747" spans="1:18" ht="24">
      <c r="A4747" s="165">
        <v>1859</v>
      </c>
      <c r="B4747" s="162" t="s">
        <v>8710</v>
      </c>
      <c r="C4747" s="166" t="s">
        <v>8711</v>
      </c>
      <c r="D4747" s="167">
        <v>5508.57</v>
      </c>
      <c r="E4747" s="167">
        <v>942.18</v>
      </c>
      <c r="F4747" s="167">
        <v>277.36</v>
      </c>
      <c r="G4747" s="167">
        <v>4289.03</v>
      </c>
      <c r="H4747" s="168">
        <v>28764.14</v>
      </c>
      <c r="I4747" s="168">
        <v>10835.48</v>
      </c>
      <c r="J4747" s="168">
        <v>1492.33</v>
      </c>
      <c r="K4747" s="168">
        <v>16436.330000000002</v>
      </c>
      <c r="L4747" s="43">
        <v>5.2217072670402667</v>
      </c>
      <c r="M4747" s="43">
        <v>11.500435161009573</v>
      </c>
      <c r="N4747" s="43">
        <v>5.3804802422843956</v>
      </c>
      <c r="O4747" s="43">
        <v>3.8321788376392805</v>
      </c>
      <c r="P4747" s="169"/>
      <c r="Q4747" s="169"/>
      <c r="R4747" s="169">
        <v>3</v>
      </c>
    </row>
    <row r="4748" spans="1:18" ht="24">
      <c r="A4748" s="165">
        <v>1860</v>
      </c>
      <c r="B4748" s="162" t="s">
        <v>8712</v>
      </c>
      <c r="C4748" s="166" t="s">
        <v>8713</v>
      </c>
      <c r="D4748" s="167">
        <v>6526.9</v>
      </c>
      <c r="E4748" s="167">
        <v>1390.29</v>
      </c>
      <c r="F4748" s="167">
        <v>277.36</v>
      </c>
      <c r="G4748" s="167">
        <v>4859.25</v>
      </c>
      <c r="H4748" s="168">
        <v>35809.08</v>
      </c>
      <c r="I4748" s="168">
        <v>15988.94</v>
      </c>
      <c r="J4748" s="168">
        <v>1492.33</v>
      </c>
      <c r="K4748" s="168">
        <v>18327.810000000001</v>
      </c>
      <c r="L4748" s="43">
        <v>5.4863840414285505</v>
      </c>
      <c r="M4748" s="43">
        <v>11.500435161009575</v>
      </c>
      <c r="N4748" s="43">
        <v>5.3804802422843956</v>
      </c>
      <c r="O4748" s="43">
        <v>3.7717363790708447</v>
      </c>
      <c r="P4748" s="169"/>
      <c r="Q4748" s="169"/>
      <c r="R4748" s="169">
        <v>3</v>
      </c>
    </row>
    <row r="4749" spans="1:18" ht="24">
      <c r="A4749" s="165">
        <v>1861</v>
      </c>
      <c r="B4749" s="162" t="s">
        <v>8714</v>
      </c>
      <c r="C4749" s="166" t="s">
        <v>8715</v>
      </c>
      <c r="D4749" s="167">
        <v>8850</v>
      </c>
      <c r="E4749" s="167">
        <v>2780.58</v>
      </c>
      <c r="F4749" s="167">
        <v>277.36</v>
      </c>
      <c r="G4749" s="167">
        <v>5792.06</v>
      </c>
      <c r="H4749" s="168">
        <v>56005.38</v>
      </c>
      <c r="I4749" s="168">
        <v>31977.88</v>
      </c>
      <c r="J4749" s="168">
        <v>1492.33</v>
      </c>
      <c r="K4749" s="168">
        <v>22535.17</v>
      </c>
      <c r="L4749" s="43">
        <v>6.3282915254237286</v>
      </c>
      <c r="M4749" s="43">
        <v>11.500435161009575</v>
      </c>
      <c r="N4749" s="43">
        <v>5.3804802422843956</v>
      </c>
      <c r="O4749" s="43">
        <v>3.8907003725790128</v>
      </c>
      <c r="P4749" s="169"/>
      <c r="Q4749" s="169"/>
      <c r="R4749" s="169">
        <v>3</v>
      </c>
    </row>
    <row r="4750" spans="1:18" ht="24">
      <c r="A4750" s="165">
        <v>1862</v>
      </c>
      <c r="B4750" s="162" t="s">
        <v>8716</v>
      </c>
      <c r="C4750" s="166" t="s">
        <v>8717</v>
      </c>
      <c r="D4750" s="167">
        <v>11128.74</v>
      </c>
      <c r="E4750" s="167">
        <v>3998.52</v>
      </c>
      <c r="F4750" s="167">
        <v>277.36</v>
      </c>
      <c r="G4750" s="167">
        <v>6852.86</v>
      </c>
      <c r="H4750" s="168">
        <v>74724.539999999994</v>
      </c>
      <c r="I4750" s="168">
        <v>45984.72</v>
      </c>
      <c r="J4750" s="168">
        <v>1492.33</v>
      </c>
      <c r="K4750" s="168">
        <v>27247.49</v>
      </c>
      <c r="L4750" s="43">
        <v>6.7145552865823079</v>
      </c>
      <c r="M4750" s="43">
        <v>11.500435161009573</v>
      </c>
      <c r="N4750" s="43">
        <v>5.3804802422843956</v>
      </c>
      <c r="O4750" s="43">
        <v>3.9760756822698848</v>
      </c>
      <c r="P4750" s="169"/>
      <c r="Q4750" s="169"/>
      <c r="R4750" s="169">
        <v>3</v>
      </c>
    </row>
    <row r="4751" spans="1:18" ht="24">
      <c r="A4751" s="165">
        <v>1863</v>
      </c>
      <c r="B4751" s="162" t="s">
        <v>8718</v>
      </c>
      <c r="C4751" s="166" t="s">
        <v>8719</v>
      </c>
      <c r="D4751" s="167">
        <v>13135.41</v>
      </c>
      <c r="E4751" s="167">
        <v>4906.2299999999996</v>
      </c>
      <c r="F4751" s="167">
        <v>277.36</v>
      </c>
      <c r="G4751" s="167">
        <v>7951.82</v>
      </c>
      <c r="H4751" s="168">
        <v>88857.53</v>
      </c>
      <c r="I4751" s="168">
        <v>56423.78</v>
      </c>
      <c r="J4751" s="168">
        <v>1492.33</v>
      </c>
      <c r="K4751" s="168">
        <v>30941.42</v>
      </c>
      <c r="L4751" s="43">
        <v>6.7647321248442189</v>
      </c>
      <c r="M4751" s="43">
        <v>11.500435161009575</v>
      </c>
      <c r="N4751" s="43">
        <v>5.3804802422843956</v>
      </c>
      <c r="O4751" s="43">
        <v>3.8911117203357217</v>
      </c>
      <c r="P4751" s="169"/>
      <c r="Q4751" s="169"/>
      <c r="R4751" s="169">
        <v>3</v>
      </c>
    </row>
    <row r="4752" spans="1:18" ht="24">
      <c r="A4752" s="165">
        <v>1864</v>
      </c>
      <c r="B4752" s="162" t="s">
        <v>8720</v>
      </c>
      <c r="C4752" s="166" t="s">
        <v>8721</v>
      </c>
      <c r="D4752" s="167">
        <v>5034.1899999999996</v>
      </c>
      <c r="E4752" s="167">
        <v>827.28</v>
      </c>
      <c r="F4752" s="167">
        <v>282.91000000000003</v>
      </c>
      <c r="G4752" s="167">
        <v>3924</v>
      </c>
      <c r="H4752" s="168">
        <v>26341.26</v>
      </c>
      <c r="I4752" s="168">
        <v>9514.08</v>
      </c>
      <c r="J4752" s="168">
        <v>1522.17</v>
      </c>
      <c r="K4752" s="168">
        <v>15305.01</v>
      </c>
      <c r="L4752" s="43">
        <v>5.232472354043054</v>
      </c>
      <c r="M4752" s="43">
        <v>11.500435161009573</v>
      </c>
      <c r="N4752" s="43">
        <v>5.3804036619419602</v>
      </c>
      <c r="O4752" s="43">
        <v>3.9003593272171253</v>
      </c>
      <c r="P4752" s="169"/>
      <c r="Q4752" s="169"/>
      <c r="R4752" s="169">
        <v>3</v>
      </c>
    </row>
    <row r="4753" spans="1:18" ht="24">
      <c r="A4753" s="165">
        <v>1865</v>
      </c>
      <c r="B4753" s="162" t="s">
        <v>8722</v>
      </c>
      <c r="C4753" s="166" t="s">
        <v>8723</v>
      </c>
      <c r="D4753" s="167">
        <v>6610.95</v>
      </c>
      <c r="E4753" s="167">
        <v>965.16</v>
      </c>
      <c r="F4753" s="167">
        <v>282.91000000000003</v>
      </c>
      <c r="G4753" s="167">
        <v>5362.88</v>
      </c>
      <c r="H4753" s="168">
        <v>35227.9</v>
      </c>
      <c r="I4753" s="168">
        <v>11099.76</v>
      </c>
      <c r="J4753" s="168">
        <v>1522.17</v>
      </c>
      <c r="K4753" s="168">
        <v>22605.97</v>
      </c>
      <c r="L4753" s="43">
        <v>5.3287197755239415</v>
      </c>
      <c r="M4753" s="43">
        <v>11.500435161009575</v>
      </c>
      <c r="N4753" s="43">
        <v>5.3804036619419602</v>
      </c>
      <c r="O4753" s="43">
        <v>4.2152667969449249</v>
      </c>
      <c r="P4753" s="169"/>
      <c r="Q4753" s="169"/>
      <c r="R4753" s="169">
        <v>3</v>
      </c>
    </row>
    <row r="4754" spans="1:18" ht="24">
      <c r="A4754" s="165">
        <v>1866</v>
      </c>
      <c r="B4754" s="162" t="s">
        <v>8724</v>
      </c>
      <c r="C4754" s="166" t="s">
        <v>8725</v>
      </c>
      <c r="D4754" s="167">
        <v>7469.64</v>
      </c>
      <c r="E4754" s="167">
        <v>1252.4100000000001</v>
      </c>
      <c r="F4754" s="167">
        <v>282.91000000000003</v>
      </c>
      <c r="G4754" s="167">
        <v>5934.32</v>
      </c>
      <c r="H4754" s="168">
        <v>41067.74</v>
      </c>
      <c r="I4754" s="168">
        <v>14403.26</v>
      </c>
      <c r="J4754" s="168">
        <v>1522.17</v>
      </c>
      <c r="K4754" s="168">
        <v>25142.31</v>
      </c>
      <c r="L4754" s="43">
        <v>5.4979543860212807</v>
      </c>
      <c r="M4754" s="43">
        <v>11.500435161009573</v>
      </c>
      <c r="N4754" s="43">
        <v>5.3804036619419602</v>
      </c>
      <c r="O4754" s="43">
        <v>4.2367634370913603</v>
      </c>
      <c r="P4754" s="169"/>
      <c r="Q4754" s="169"/>
      <c r="R4754" s="169">
        <v>3</v>
      </c>
    </row>
    <row r="4755" spans="1:18" ht="24">
      <c r="A4755" s="165">
        <v>1867</v>
      </c>
      <c r="B4755" s="162" t="s">
        <v>8726</v>
      </c>
      <c r="C4755" s="166" t="s">
        <v>8727</v>
      </c>
      <c r="D4755" s="167">
        <v>8528.19</v>
      </c>
      <c r="E4755" s="167">
        <v>1631.58</v>
      </c>
      <c r="F4755" s="167">
        <v>282.91000000000003</v>
      </c>
      <c r="G4755" s="167">
        <v>6613.7</v>
      </c>
      <c r="H4755" s="168">
        <v>48691.79</v>
      </c>
      <c r="I4755" s="168">
        <v>18763.88</v>
      </c>
      <c r="J4755" s="168">
        <v>1522.17</v>
      </c>
      <c r="K4755" s="168">
        <v>28405.74</v>
      </c>
      <c r="L4755" s="43">
        <v>5.7095104588429662</v>
      </c>
      <c r="M4755" s="43">
        <v>11.500435161009575</v>
      </c>
      <c r="N4755" s="43">
        <v>5.3804036619419602</v>
      </c>
      <c r="O4755" s="43">
        <v>4.2949846530686306</v>
      </c>
      <c r="P4755" s="169"/>
      <c r="Q4755" s="169"/>
      <c r="R4755" s="169">
        <v>3</v>
      </c>
    </row>
    <row r="4756" spans="1:18" ht="24">
      <c r="A4756" s="165">
        <v>1868</v>
      </c>
      <c r="B4756" s="162" t="s">
        <v>8728</v>
      </c>
      <c r="C4756" s="166" t="s">
        <v>8729</v>
      </c>
      <c r="D4756" s="167">
        <v>10020.200000000001</v>
      </c>
      <c r="E4756" s="167">
        <v>2631.21</v>
      </c>
      <c r="F4756" s="167">
        <v>282.91000000000003</v>
      </c>
      <c r="G4756" s="167">
        <v>7106.08</v>
      </c>
      <c r="H4756" s="168">
        <v>62670.02</v>
      </c>
      <c r="I4756" s="168">
        <v>30260.06</v>
      </c>
      <c r="J4756" s="168">
        <v>1522.17</v>
      </c>
      <c r="K4756" s="168">
        <v>30887.79</v>
      </c>
      <c r="L4756" s="43">
        <v>6.2543681762839061</v>
      </c>
      <c r="M4756" s="43">
        <v>11.500435161009573</v>
      </c>
      <c r="N4756" s="43">
        <v>5.3804036619419602</v>
      </c>
      <c r="O4756" s="43">
        <v>4.3466707382973455</v>
      </c>
      <c r="P4756" s="169"/>
      <c r="Q4756" s="169"/>
      <c r="R4756" s="169">
        <v>3</v>
      </c>
    </row>
    <row r="4757" spans="1:18" ht="36">
      <c r="A4757" s="165">
        <v>1869</v>
      </c>
      <c r="B4757" s="162" t="s">
        <v>8730</v>
      </c>
      <c r="C4757" s="166" t="s">
        <v>8731</v>
      </c>
      <c r="D4757" s="167">
        <v>4410.2</v>
      </c>
      <c r="E4757" s="167">
        <v>2493.33</v>
      </c>
      <c r="F4757" s="167">
        <v>282.91000000000003</v>
      </c>
      <c r="G4757" s="167">
        <v>1633.96</v>
      </c>
      <c r="H4757" s="168">
        <v>41032.25</v>
      </c>
      <c r="I4757" s="168">
        <v>28674.38</v>
      </c>
      <c r="J4757" s="168">
        <v>1522.17</v>
      </c>
      <c r="K4757" s="168">
        <v>10835.7</v>
      </c>
      <c r="L4757" s="43">
        <v>9.3039431318307564</v>
      </c>
      <c r="M4757" s="43">
        <v>11.500435161009575</v>
      </c>
      <c r="N4757" s="43">
        <v>5.3804036619419602</v>
      </c>
      <c r="O4757" s="43">
        <v>6.6315576880706999</v>
      </c>
      <c r="P4757" s="169"/>
      <c r="Q4757" s="169"/>
      <c r="R4757" s="169">
        <v>3</v>
      </c>
    </row>
    <row r="4758" spans="1:18" ht="36">
      <c r="A4758" s="165">
        <v>1870</v>
      </c>
      <c r="B4758" s="162" t="s">
        <v>8732</v>
      </c>
      <c r="C4758" s="166" t="s">
        <v>8733</v>
      </c>
      <c r="D4758" s="167">
        <v>5130.62</v>
      </c>
      <c r="E4758" s="167">
        <v>2849.52</v>
      </c>
      <c r="F4758" s="167">
        <v>282.91000000000003</v>
      </c>
      <c r="G4758" s="167">
        <v>1998.19</v>
      </c>
      <c r="H4758" s="168">
        <v>46311.72</v>
      </c>
      <c r="I4758" s="168">
        <v>32770.720000000001</v>
      </c>
      <c r="J4758" s="168">
        <v>1522.17</v>
      </c>
      <c r="K4758" s="168">
        <v>12018.83</v>
      </c>
      <c r="L4758" s="43">
        <v>9.0265348047604395</v>
      </c>
      <c r="M4758" s="43">
        <v>11.500435161009573</v>
      </c>
      <c r="N4758" s="43">
        <v>5.3804036619419602</v>
      </c>
      <c r="O4758" s="43">
        <v>6.014858446894439</v>
      </c>
      <c r="P4758" s="169"/>
      <c r="Q4758" s="169"/>
      <c r="R4758" s="169">
        <v>3</v>
      </c>
    </row>
    <row r="4759" spans="1:18" ht="36">
      <c r="A4759" s="165">
        <v>1871</v>
      </c>
      <c r="B4759" s="162" t="s">
        <v>8734</v>
      </c>
      <c r="C4759" s="166" t="s">
        <v>8735</v>
      </c>
      <c r="D4759" s="167">
        <v>6526.38</v>
      </c>
      <c r="E4759" s="167">
        <v>3849.15</v>
      </c>
      <c r="F4759" s="167">
        <v>282.91000000000003</v>
      </c>
      <c r="G4759" s="167">
        <v>2394.3200000000002</v>
      </c>
      <c r="H4759" s="168">
        <v>59209.09</v>
      </c>
      <c r="I4759" s="168">
        <v>44266.9</v>
      </c>
      <c r="J4759" s="168">
        <v>1522.17</v>
      </c>
      <c r="K4759" s="168">
        <v>13420.02</v>
      </c>
      <c r="L4759" s="43">
        <v>9.0722713050726433</v>
      </c>
      <c r="M4759" s="43">
        <v>11.500435161009573</v>
      </c>
      <c r="N4759" s="43">
        <v>5.3804036619419602</v>
      </c>
      <c r="O4759" s="43">
        <v>5.6049400247251828</v>
      </c>
      <c r="P4759" s="169"/>
      <c r="Q4759" s="169"/>
      <c r="R4759" s="169">
        <v>3</v>
      </c>
    </row>
    <row r="4760" spans="1:18" ht="36">
      <c r="A4760" s="165">
        <v>1872</v>
      </c>
      <c r="B4760" s="162" t="s">
        <v>8736</v>
      </c>
      <c r="C4760" s="166" t="s">
        <v>8737</v>
      </c>
      <c r="D4760" s="167">
        <v>7300.03</v>
      </c>
      <c r="E4760" s="167">
        <v>4262.79</v>
      </c>
      <c r="F4760" s="167">
        <v>282.91000000000003</v>
      </c>
      <c r="G4760" s="167">
        <v>2754.33</v>
      </c>
      <c r="H4760" s="168">
        <v>65136.26</v>
      </c>
      <c r="I4760" s="168">
        <v>49023.94</v>
      </c>
      <c r="J4760" s="168">
        <v>1522.17</v>
      </c>
      <c r="K4760" s="168">
        <v>14590.15</v>
      </c>
      <c r="L4760" s="43">
        <v>8.9227386736766849</v>
      </c>
      <c r="M4760" s="43">
        <v>11.500435161009575</v>
      </c>
      <c r="N4760" s="43">
        <v>5.3804036619419602</v>
      </c>
      <c r="O4760" s="43">
        <v>5.2971684583909697</v>
      </c>
      <c r="P4760" s="169"/>
      <c r="Q4760" s="169"/>
      <c r="R4760" s="169">
        <v>3</v>
      </c>
    </row>
    <row r="4761" spans="1:18" ht="36">
      <c r="A4761" s="165">
        <v>1873</v>
      </c>
      <c r="B4761" s="162" t="s">
        <v>8738</v>
      </c>
      <c r="C4761" s="166" t="s">
        <v>8739</v>
      </c>
      <c r="D4761" s="167">
        <v>8578.5400000000009</v>
      </c>
      <c r="E4761" s="167">
        <v>4779.84</v>
      </c>
      <c r="F4761" s="167">
        <v>282.91000000000003</v>
      </c>
      <c r="G4761" s="167">
        <v>3515.79</v>
      </c>
      <c r="H4761" s="168">
        <v>73539.97</v>
      </c>
      <c r="I4761" s="168">
        <v>54970.239999999998</v>
      </c>
      <c r="J4761" s="168">
        <v>1522.17</v>
      </c>
      <c r="K4761" s="168">
        <v>17047.560000000001</v>
      </c>
      <c r="L4761" s="43">
        <v>8.5725508070137799</v>
      </c>
      <c r="M4761" s="43">
        <v>11.500435161009573</v>
      </c>
      <c r="N4761" s="43">
        <v>5.3804036619419602</v>
      </c>
      <c r="O4761" s="43">
        <v>4.8488561603508744</v>
      </c>
      <c r="P4761" s="169"/>
      <c r="Q4761" s="169"/>
      <c r="R4761" s="169">
        <v>3</v>
      </c>
    </row>
    <row r="4762" spans="1:18" ht="36">
      <c r="A4762" s="165">
        <v>1874</v>
      </c>
      <c r="B4762" s="162" t="s">
        <v>8740</v>
      </c>
      <c r="C4762" s="166" t="s">
        <v>8741</v>
      </c>
      <c r="D4762" s="167">
        <v>228804.61</v>
      </c>
      <c r="E4762" s="167">
        <v>4837.29</v>
      </c>
      <c r="F4762" s="167">
        <v>282.91000000000003</v>
      </c>
      <c r="G4762" s="167">
        <v>223684.41</v>
      </c>
      <c r="H4762" s="168">
        <v>652183.97</v>
      </c>
      <c r="I4762" s="168">
        <v>55630.94</v>
      </c>
      <c r="J4762" s="168">
        <v>1522.17</v>
      </c>
      <c r="K4762" s="168">
        <v>595030.86</v>
      </c>
      <c r="L4762" s="43">
        <v>2.8503969828230296</v>
      </c>
      <c r="M4762" s="43">
        <v>11.500435161009575</v>
      </c>
      <c r="N4762" s="43">
        <v>5.3804036619419602</v>
      </c>
      <c r="O4762" s="43">
        <v>2.6601355901379091</v>
      </c>
      <c r="P4762" s="169"/>
      <c r="Q4762" s="169"/>
      <c r="R4762" s="169">
        <v>3</v>
      </c>
    </row>
    <row r="4763" spans="1:18" ht="36">
      <c r="A4763" s="165">
        <v>1875</v>
      </c>
      <c r="B4763" s="162" t="s">
        <v>8742</v>
      </c>
      <c r="C4763" s="166" t="s">
        <v>8743</v>
      </c>
      <c r="D4763" s="167">
        <v>124056.12</v>
      </c>
      <c r="E4763" s="167">
        <v>3642.33</v>
      </c>
      <c r="F4763" s="167">
        <v>282.91000000000003</v>
      </c>
      <c r="G4763" s="167">
        <v>120130.88</v>
      </c>
      <c r="H4763" s="168">
        <v>370917.06</v>
      </c>
      <c r="I4763" s="168">
        <v>41888.379999999997</v>
      </c>
      <c r="J4763" s="168">
        <v>1522.17</v>
      </c>
      <c r="K4763" s="168">
        <v>327506.51</v>
      </c>
      <c r="L4763" s="43">
        <v>2.9899134359514066</v>
      </c>
      <c r="M4763" s="43">
        <v>11.500435161009573</v>
      </c>
      <c r="N4763" s="43">
        <v>5.3804036619419602</v>
      </c>
      <c r="O4763" s="43">
        <v>2.7262474894048889</v>
      </c>
      <c r="P4763" s="169"/>
      <c r="Q4763" s="169"/>
      <c r="R4763" s="169">
        <v>3</v>
      </c>
    </row>
    <row r="4764" spans="1:18" ht="36">
      <c r="A4764" s="165">
        <v>1876</v>
      </c>
      <c r="B4764" s="162" t="s">
        <v>8744</v>
      </c>
      <c r="C4764" s="166" t="s">
        <v>8745</v>
      </c>
      <c r="D4764" s="167">
        <v>309272.34000000003</v>
      </c>
      <c r="E4764" s="167">
        <v>4837.29</v>
      </c>
      <c r="F4764" s="167">
        <v>282.91000000000003</v>
      </c>
      <c r="G4764" s="167">
        <v>304152.14</v>
      </c>
      <c r="H4764" s="168">
        <v>866775.27</v>
      </c>
      <c r="I4764" s="168">
        <v>55630.94</v>
      </c>
      <c r="J4764" s="168">
        <v>1522.17</v>
      </c>
      <c r="K4764" s="168">
        <v>809622.16</v>
      </c>
      <c r="L4764" s="43">
        <v>2.8026278392694284</v>
      </c>
      <c r="M4764" s="43">
        <v>11.500435161009575</v>
      </c>
      <c r="N4764" s="43">
        <v>5.3804036619419602</v>
      </c>
      <c r="O4764" s="43">
        <v>2.6618986142921761</v>
      </c>
      <c r="P4764" s="169"/>
      <c r="Q4764" s="169"/>
      <c r="R4764" s="169">
        <v>3</v>
      </c>
    </row>
    <row r="4765" spans="1:18" ht="48">
      <c r="A4765" s="165">
        <v>1877</v>
      </c>
      <c r="B4765" s="162" t="s">
        <v>8746</v>
      </c>
      <c r="C4765" s="166" t="s">
        <v>8747</v>
      </c>
      <c r="D4765" s="167">
        <v>77702.22</v>
      </c>
      <c r="E4765" s="167">
        <v>11834.7</v>
      </c>
      <c r="F4765" s="167">
        <v>282.91000000000003</v>
      </c>
      <c r="G4765" s="167">
        <v>65584.61</v>
      </c>
      <c r="H4765" s="168">
        <v>329468.86</v>
      </c>
      <c r="I4765" s="168">
        <v>136104.20000000001</v>
      </c>
      <c r="J4765" s="168">
        <v>1522.17</v>
      </c>
      <c r="K4765" s="168">
        <v>191842.49</v>
      </c>
      <c r="L4765" s="43">
        <v>4.2401473214021426</v>
      </c>
      <c r="M4765" s="43">
        <v>11.500435161009573</v>
      </c>
      <c r="N4765" s="43">
        <v>5.3804036619419602</v>
      </c>
      <c r="O4765" s="43">
        <v>2.9251144437696586</v>
      </c>
      <c r="P4765" s="169"/>
      <c r="Q4765" s="169"/>
      <c r="R4765" s="169">
        <v>3</v>
      </c>
    </row>
    <row r="4766" spans="1:18" ht="48">
      <c r="A4766" s="165">
        <v>1878</v>
      </c>
      <c r="B4766" s="162" t="s">
        <v>8748</v>
      </c>
      <c r="C4766" s="166" t="s">
        <v>8749</v>
      </c>
      <c r="D4766" s="167">
        <v>200541.4</v>
      </c>
      <c r="E4766" s="167">
        <v>16545.599999999999</v>
      </c>
      <c r="F4766" s="167">
        <v>282.91000000000003</v>
      </c>
      <c r="G4766" s="167">
        <v>183712.89</v>
      </c>
      <c r="H4766" s="168">
        <v>723864.9</v>
      </c>
      <c r="I4766" s="168">
        <v>190281.60000000001</v>
      </c>
      <c r="J4766" s="168">
        <v>1522.17</v>
      </c>
      <c r="K4766" s="168">
        <v>532061.13</v>
      </c>
      <c r="L4766" s="43">
        <v>3.6095534388410573</v>
      </c>
      <c r="M4766" s="43">
        <v>11.500435161009575</v>
      </c>
      <c r="N4766" s="43">
        <v>5.3804036619419602</v>
      </c>
      <c r="O4766" s="43">
        <v>2.8961556807472788</v>
      </c>
      <c r="P4766" s="169"/>
      <c r="Q4766" s="169"/>
      <c r="R4766" s="169">
        <v>3</v>
      </c>
    </row>
    <row r="4767" spans="1:18" ht="12.75" customHeight="1">
      <c r="A4767" s="628" t="s">
        <v>8750</v>
      </c>
      <c r="B4767" s="629"/>
      <c r="C4767" s="629"/>
      <c r="D4767" s="629"/>
      <c r="E4767" s="629"/>
      <c r="F4767" s="629"/>
      <c r="G4767" s="629"/>
      <c r="H4767" s="629"/>
      <c r="I4767" s="629"/>
      <c r="J4767" s="629"/>
      <c r="K4767" s="629"/>
      <c r="L4767" s="629"/>
      <c r="M4767" s="629"/>
      <c r="N4767" s="629"/>
      <c r="O4767" s="629"/>
      <c r="P4767" s="629"/>
      <c r="Q4767" s="629"/>
      <c r="R4767" s="629"/>
    </row>
    <row r="4768" spans="1:18" ht="24">
      <c r="A4768" s="165">
        <v>1879</v>
      </c>
      <c r="B4768" s="162" t="s">
        <v>8751</v>
      </c>
      <c r="C4768" s="166" t="s">
        <v>8752</v>
      </c>
      <c r="D4768" s="167">
        <v>666.78</v>
      </c>
      <c r="E4768" s="167">
        <v>490.62</v>
      </c>
      <c r="F4768" s="167">
        <v>28.85</v>
      </c>
      <c r="G4768" s="167">
        <v>147.31</v>
      </c>
      <c r="H4768" s="168">
        <v>6385.63</v>
      </c>
      <c r="I4768" s="168">
        <v>5642.38</v>
      </c>
      <c r="J4768" s="168">
        <v>146.57</v>
      </c>
      <c r="K4768" s="168">
        <v>596.67999999999995</v>
      </c>
      <c r="L4768" s="43">
        <v>9.5768169411200095</v>
      </c>
      <c r="M4768" s="43">
        <v>11.500509559333089</v>
      </c>
      <c r="N4768" s="43">
        <v>5.0804159445407278</v>
      </c>
      <c r="O4768" s="43">
        <v>4.0505057362025658</v>
      </c>
      <c r="P4768" s="169"/>
      <c r="Q4768" s="169"/>
      <c r="R4768" s="169">
        <v>4</v>
      </c>
    </row>
    <row r="4769" spans="1:18" ht="24">
      <c r="A4769" s="165">
        <v>1880</v>
      </c>
      <c r="B4769" s="162" t="s">
        <v>8753</v>
      </c>
      <c r="C4769" s="166" t="s">
        <v>8754</v>
      </c>
      <c r="D4769" s="167">
        <v>754.74</v>
      </c>
      <c r="E4769" s="167">
        <v>557.27</v>
      </c>
      <c r="F4769" s="167">
        <v>48.82</v>
      </c>
      <c r="G4769" s="167">
        <v>148.65</v>
      </c>
      <c r="H4769" s="168">
        <v>7270.58</v>
      </c>
      <c r="I4769" s="168">
        <v>6408.79</v>
      </c>
      <c r="J4769" s="168">
        <v>249.7</v>
      </c>
      <c r="K4769" s="168">
        <v>612.09</v>
      </c>
      <c r="L4769" s="43">
        <v>9.6332246866470577</v>
      </c>
      <c r="M4769" s="43">
        <v>11.500331975523535</v>
      </c>
      <c r="N4769" s="43">
        <v>5.1147070872593199</v>
      </c>
      <c r="O4769" s="43">
        <v>4.1176589303733602</v>
      </c>
      <c r="P4769" s="169"/>
      <c r="Q4769" s="169"/>
      <c r="R4769" s="169">
        <v>4</v>
      </c>
    </row>
    <row r="4770" spans="1:18" ht="24">
      <c r="A4770" s="165">
        <v>1881</v>
      </c>
      <c r="B4770" s="162" t="s">
        <v>8755</v>
      </c>
      <c r="C4770" s="166" t="s">
        <v>8756</v>
      </c>
      <c r="D4770" s="167">
        <v>852.19</v>
      </c>
      <c r="E4770" s="167">
        <v>639.99</v>
      </c>
      <c r="F4770" s="167">
        <v>58.67</v>
      </c>
      <c r="G4770" s="167">
        <v>153.53</v>
      </c>
      <c r="H4770" s="168">
        <v>8322.08</v>
      </c>
      <c r="I4770" s="168">
        <v>7360.2</v>
      </c>
      <c r="J4770" s="168">
        <v>301.60000000000002</v>
      </c>
      <c r="K4770" s="168">
        <v>660.28</v>
      </c>
      <c r="L4770" s="43">
        <v>9.7655217733134627</v>
      </c>
      <c r="M4770" s="43">
        <v>11.500492195190549</v>
      </c>
      <c r="N4770" s="43">
        <v>5.1406170103971371</v>
      </c>
      <c r="O4770" s="43">
        <v>4.3006578518856244</v>
      </c>
      <c r="P4770" s="169"/>
      <c r="Q4770" s="169"/>
      <c r="R4770" s="169">
        <v>4</v>
      </c>
    </row>
    <row r="4771" spans="1:18" ht="24">
      <c r="A4771" s="165">
        <v>1882</v>
      </c>
      <c r="B4771" s="162" t="s">
        <v>8757</v>
      </c>
      <c r="C4771" s="166" t="s">
        <v>8758</v>
      </c>
      <c r="D4771" s="167">
        <v>1054.1199999999999</v>
      </c>
      <c r="E4771" s="167">
        <v>775.58</v>
      </c>
      <c r="F4771" s="167">
        <v>95.84</v>
      </c>
      <c r="G4771" s="167">
        <v>182.7</v>
      </c>
      <c r="H4771" s="168">
        <v>10302.469999999999</v>
      </c>
      <c r="I4771" s="168">
        <v>8919.4500000000007</v>
      </c>
      <c r="J4771" s="168">
        <v>492.93</v>
      </c>
      <c r="K4771" s="168">
        <v>890.09</v>
      </c>
      <c r="L4771" s="43">
        <v>9.7735267331992564</v>
      </c>
      <c r="M4771" s="43">
        <v>11.500361020139767</v>
      </c>
      <c r="N4771" s="43">
        <v>5.1432595993322199</v>
      </c>
      <c r="O4771" s="43">
        <v>4.8718664477285172</v>
      </c>
      <c r="P4771" s="169"/>
      <c r="Q4771" s="169"/>
      <c r="R4771" s="169">
        <v>4</v>
      </c>
    </row>
    <row r="4772" spans="1:18" ht="24">
      <c r="A4772" s="165">
        <v>1883</v>
      </c>
      <c r="B4772" s="162" t="s">
        <v>8759</v>
      </c>
      <c r="C4772" s="166" t="s">
        <v>8760</v>
      </c>
      <c r="D4772" s="167">
        <v>1335.07</v>
      </c>
      <c r="E4772" s="167">
        <v>980.1</v>
      </c>
      <c r="F4772" s="167">
        <v>144.94</v>
      </c>
      <c r="G4772" s="167">
        <v>210.03</v>
      </c>
      <c r="H4772" s="168">
        <v>13117.06</v>
      </c>
      <c r="I4772" s="168">
        <v>11271.54</v>
      </c>
      <c r="J4772" s="168">
        <v>741.96</v>
      </c>
      <c r="K4772" s="168">
        <v>1103.56</v>
      </c>
      <c r="L4772" s="43">
        <v>9.8249979401829126</v>
      </c>
      <c r="M4772" s="43">
        <v>11.500397918579738</v>
      </c>
      <c r="N4772" s="43">
        <v>5.1190837587967435</v>
      </c>
      <c r="O4772" s="43">
        <v>5.2542970051897342</v>
      </c>
      <c r="P4772" s="169"/>
      <c r="Q4772" s="169"/>
      <c r="R4772" s="169">
        <v>4</v>
      </c>
    </row>
    <row r="4773" spans="1:18" ht="24">
      <c r="A4773" s="165">
        <v>1884</v>
      </c>
      <c r="B4773" s="162" t="s">
        <v>8761</v>
      </c>
      <c r="C4773" s="166" t="s">
        <v>8762</v>
      </c>
      <c r="D4773" s="167">
        <v>1539.94</v>
      </c>
      <c r="E4773" s="167">
        <v>1149</v>
      </c>
      <c r="F4773" s="167">
        <v>177.53</v>
      </c>
      <c r="G4773" s="167">
        <v>213.41</v>
      </c>
      <c r="H4773" s="168">
        <v>15268.35</v>
      </c>
      <c r="I4773" s="168">
        <v>13214</v>
      </c>
      <c r="J4773" s="168">
        <v>911.92</v>
      </c>
      <c r="K4773" s="168">
        <v>1142.43</v>
      </c>
      <c r="L4773" s="43">
        <v>9.9148992817902002</v>
      </c>
      <c r="M4773" s="43">
        <v>11.500435161009573</v>
      </c>
      <c r="N4773" s="43">
        <v>5.1367092885709456</v>
      </c>
      <c r="O4773" s="43">
        <v>5.3532168127079336</v>
      </c>
      <c r="P4773" s="169"/>
      <c r="Q4773" s="169"/>
      <c r="R4773" s="169">
        <v>4</v>
      </c>
    </row>
    <row r="4774" spans="1:18" ht="24">
      <c r="A4774" s="165">
        <v>1885</v>
      </c>
      <c r="B4774" s="162" t="s">
        <v>8763</v>
      </c>
      <c r="C4774" s="166" t="s">
        <v>8764</v>
      </c>
      <c r="D4774" s="167">
        <v>1770.68</v>
      </c>
      <c r="E4774" s="167">
        <v>1332.84</v>
      </c>
      <c r="F4774" s="167">
        <v>223.99</v>
      </c>
      <c r="G4774" s="167">
        <v>213.85</v>
      </c>
      <c r="H4774" s="168">
        <v>17661.63</v>
      </c>
      <c r="I4774" s="168">
        <v>15328.24</v>
      </c>
      <c r="J4774" s="168">
        <v>1156.5</v>
      </c>
      <c r="K4774" s="168">
        <v>1176.8900000000001</v>
      </c>
      <c r="L4774" s="43">
        <v>9.9744900264305247</v>
      </c>
      <c r="M4774" s="43">
        <v>11.500435161009575</v>
      </c>
      <c r="N4774" s="43">
        <v>5.1631769275414081</v>
      </c>
      <c r="O4774" s="43">
        <v>5.5033434650455932</v>
      </c>
      <c r="P4774" s="169"/>
      <c r="Q4774" s="169"/>
      <c r="R4774" s="169">
        <v>4</v>
      </c>
    </row>
    <row r="4775" spans="1:18" ht="24">
      <c r="A4775" s="165">
        <v>1886</v>
      </c>
      <c r="B4775" s="162" t="s">
        <v>8765</v>
      </c>
      <c r="C4775" s="166" t="s">
        <v>8766</v>
      </c>
      <c r="D4775" s="167">
        <v>558.54999999999995</v>
      </c>
      <c r="E4775" s="167">
        <v>407.9</v>
      </c>
      <c r="F4775" s="167">
        <v>27.32</v>
      </c>
      <c r="G4775" s="167">
        <v>123.33</v>
      </c>
      <c r="H4775" s="168">
        <v>5297.36</v>
      </c>
      <c r="I4775" s="168">
        <v>4690.97</v>
      </c>
      <c r="J4775" s="168">
        <v>139.44</v>
      </c>
      <c r="K4775" s="168">
        <v>466.95</v>
      </c>
      <c r="L4775" s="43">
        <v>9.4841285471309646</v>
      </c>
      <c r="M4775" s="43">
        <v>11.500294189752392</v>
      </c>
      <c r="N4775" s="43">
        <v>5.1039531478770126</v>
      </c>
      <c r="O4775" s="43">
        <v>3.7861834103624421</v>
      </c>
      <c r="P4775" s="169"/>
      <c r="Q4775" s="169"/>
      <c r="R4775" s="169">
        <v>4</v>
      </c>
    </row>
    <row r="4776" spans="1:18" ht="24">
      <c r="A4776" s="165">
        <v>1887</v>
      </c>
      <c r="B4776" s="162" t="s">
        <v>8767</v>
      </c>
      <c r="C4776" s="166" t="s">
        <v>8768</v>
      </c>
      <c r="D4776" s="167">
        <v>622.23</v>
      </c>
      <c r="E4776" s="167">
        <v>461.9</v>
      </c>
      <c r="F4776" s="167">
        <v>35.92</v>
      </c>
      <c r="G4776" s="167">
        <v>124.41</v>
      </c>
      <c r="H4776" s="168">
        <v>5974.95</v>
      </c>
      <c r="I4776" s="168">
        <v>5312.03</v>
      </c>
      <c r="J4776" s="168">
        <v>183.55</v>
      </c>
      <c r="K4776" s="168">
        <v>479.37</v>
      </c>
      <c r="L4776" s="43">
        <v>9.6024781833084223</v>
      </c>
      <c r="M4776" s="43">
        <v>11.500389694739122</v>
      </c>
      <c r="N4776" s="43">
        <v>5.1099665924276172</v>
      </c>
      <c r="O4776" s="43">
        <v>3.8531468531468533</v>
      </c>
      <c r="P4776" s="169"/>
      <c r="Q4776" s="169"/>
      <c r="R4776" s="169">
        <v>4</v>
      </c>
    </row>
    <row r="4777" spans="1:18" ht="24">
      <c r="A4777" s="165">
        <v>1888</v>
      </c>
      <c r="B4777" s="162" t="s">
        <v>8769</v>
      </c>
      <c r="C4777" s="166" t="s">
        <v>8770</v>
      </c>
      <c r="D4777" s="167">
        <v>1276.05</v>
      </c>
      <c r="E4777" s="167">
        <v>582.54</v>
      </c>
      <c r="F4777" s="167">
        <v>27.32</v>
      </c>
      <c r="G4777" s="167">
        <v>666.19</v>
      </c>
      <c r="H4777" s="168">
        <v>8990.39</v>
      </c>
      <c r="I4777" s="168">
        <v>6699.5</v>
      </c>
      <c r="J4777" s="168">
        <v>139.44</v>
      </c>
      <c r="K4777" s="168">
        <v>2151.4499999999998</v>
      </c>
      <c r="L4777" s="43">
        <v>7.0454841111241722</v>
      </c>
      <c r="M4777" s="43">
        <v>11.500497819892196</v>
      </c>
      <c r="N4777" s="43">
        <v>5.1039531478770126</v>
      </c>
      <c r="O4777" s="43">
        <v>3.2294840811179988</v>
      </c>
      <c r="P4777" s="169"/>
      <c r="Q4777" s="169"/>
      <c r="R4777" s="169">
        <v>4</v>
      </c>
    </row>
    <row r="4778" spans="1:18" ht="24">
      <c r="A4778" s="165">
        <v>1889</v>
      </c>
      <c r="B4778" s="162" t="s">
        <v>8771</v>
      </c>
      <c r="C4778" s="166" t="s">
        <v>8772</v>
      </c>
      <c r="D4778" s="167">
        <v>1374.91</v>
      </c>
      <c r="E4778" s="167">
        <v>658.38</v>
      </c>
      <c r="F4778" s="167">
        <v>48.82</v>
      </c>
      <c r="G4778" s="167">
        <v>667.71</v>
      </c>
      <c r="H4778" s="168">
        <v>9990.25</v>
      </c>
      <c r="I4778" s="168">
        <v>7571.62</v>
      </c>
      <c r="J4778" s="168">
        <v>249.7</v>
      </c>
      <c r="K4778" s="168">
        <v>2168.9299999999998</v>
      </c>
      <c r="L4778" s="43">
        <v>7.2661119636921683</v>
      </c>
      <c r="M4778" s="43">
        <v>11.500379719918588</v>
      </c>
      <c r="N4778" s="43">
        <v>5.1147070872593199</v>
      </c>
      <c r="O4778" s="43">
        <v>3.2483113926704701</v>
      </c>
      <c r="P4778" s="169"/>
      <c r="Q4778" s="169"/>
      <c r="R4778" s="169">
        <v>4</v>
      </c>
    </row>
    <row r="4779" spans="1:18" ht="24">
      <c r="A4779" s="165">
        <v>1890</v>
      </c>
      <c r="B4779" s="162" t="s">
        <v>8773</v>
      </c>
      <c r="C4779" s="166" t="s">
        <v>8774</v>
      </c>
      <c r="D4779" s="167">
        <v>1486.43</v>
      </c>
      <c r="E4779" s="167">
        <v>754.89</v>
      </c>
      <c r="F4779" s="167">
        <v>58.67</v>
      </c>
      <c r="G4779" s="167">
        <v>672.87</v>
      </c>
      <c r="H4779" s="168">
        <v>11203.54</v>
      </c>
      <c r="I4779" s="168">
        <v>8681.6</v>
      </c>
      <c r="J4779" s="168">
        <v>301.60000000000002</v>
      </c>
      <c r="K4779" s="168">
        <v>2220.34</v>
      </c>
      <c r="L4779" s="43">
        <v>7.5372133231971912</v>
      </c>
      <c r="M4779" s="43">
        <v>11.50048351415438</v>
      </c>
      <c r="N4779" s="43">
        <v>5.1406170103971371</v>
      </c>
      <c r="O4779" s="43">
        <v>3.2998053115757875</v>
      </c>
      <c r="P4779" s="169"/>
      <c r="Q4779" s="169"/>
      <c r="R4779" s="169">
        <v>4</v>
      </c>
    </row>
    <row r="4780" spans="1:18" ht="24">
      <c r="A4780" s="165">
        <v>1891</v>
      </c>
      <c r="B4780" s="162" t="s">
        <v>8775</v>
      </c>
      <c r="C4780" s="166" t="s">
        <v>8776</v>
      </c>
      <c r="D4780" s="167">
        <v>1814.96</v>
      </c>
      <c r="E4780" s="167">
        <v>900.82</v>
      </c>
      <c r="F4780" s="167">
        <v>95.84</v>
      </c>
      <c r="G4780" s="167">
        <v>818.3</v>
      </c>
      <c r="H4780" s="168">
        <v>14219.08</v>
      </c>
      <c r="I4780" s="168">
        <v>10359.780000000001</v>
      </c>
      <c r="J4780" s="168">
        <v>492.93</v>
      </c>
      <c r="K4780" s="168">
        <v>3366.37</v>
      </c>
      <c r="L4780" s="43">
        <v>7.8343765151849079</v>
      </c>
      <c r="M4780" s="43">
        <v>11.500388534890433</v>
      </c>
      <c r="N4780" s="43">
        <v>5.1432595993322199</v>
      </c>
      <c r="O4780" s="43">
        <v>4.1138579982891361</v>
      </c>
      <c r="P4780" s="169"/>
      <c r="Q4780" s="169"/>
      <c r="R4780" s="169">
        <v>4</v>
      </c>
    </row>
    <row r="4781" spans="1:18" ht="24">
      <c r="A4781" s="165">
        <v>1892</v>
      </c>
      <c r="B4781" s="162" t="s">
        <v>8777</v>
      </c>
      <c r="C4781" s="166" t="s">
        <v>8778</v>
      </c>
      <c r="D4781" s="167">
        <v>2094.9299999999998</v>
      </c>
      <c r="E4781" s="167">
        <v>1127.17</v>
      </c>
      <c r="F4781" s="167">
        <v>144.94</v>
      </c>
      <c r="G4781" s="167">
        <v>822.82</v>
      </c>
      <c r="H4781" s="168">
        <v>17123.240000000002</v>
      </c>
      <c r="I4781" s="168">
        <v>12962.93</v>
      </c>
      <c r="J4781" s="168">
        <v>741.96</v>
      </c>
      <c r="K4781" s="168">
        <v>3418.35</v>
      </c>
      <c r="L4781" s="43">
        <v>8.1736573537063304</v>
      </c>
      <c r="M4781" s="43">
        <v>11.50042140937037</v>
      </c>
      <c r="N4781" s="43">
        <v>5.1190837587967435</v>
      </c>
      <c r="O4781" s="43">
        <v>4.1544323181254708</v>
      </c>
      <c r="P4781" s="169"/>
      <c r="Q4781" s="169"/>
      <c r="R4781" s="169">
        <v>4</v>
      </c>
    </row>
    <row r="4782" spans="1:18" ht="24">
      <c r="A4782" s="165">
        <v>1893</v>
      </c>
      <c r="B4782" s="162" t="s">
        <v>8779</v>
      </c>
      <c r="C4782" s="166" t="s">
        <v>8780</v>
      </c>
      <c r="D4782" s="167">
        <v>2321.0100000000002</v>
      </c>
      <c r="E4782" s="167">
        <v>1321.35</v>
      </c>
      <c r="F4782" s="167">
        <v>172.95</v>
      </c>
      <c r="G4782" s="167">
        <v>826.71</v>
      </c>
      <c r="H4782" s="168">
        <v>19549.73</v>
      </c>
      <c r="I4782" s="168">
        <v>15196.1</v>
      </c>
      <c r="J4782" s="168">
        <v>890.54</v>
      </c>
      <c r="K4782" s="168">
        <v>3463.09</v>
      </c>
      <c r="L4782" s="43">
        <v>8.4229408748777459</v>
      </c>
      <c r="M4782" s="43">
        <v>11.500435161009575</v>
      </c>
      <c r="N4782" s="43">
        <v>5.1491182422665513</v>
      </c>
      <c r="O4782" s="43">
        <v>4.1890021894013616</v>
      </c>
      <c r="P4782" s="169"/>
      <c r="Q4782" s="169"/>
      <c r="R4782" s="169">
        <v>4</v>
      </c>
    </row>
    <row r="4783" spans="1:18" ht="24">
      <c r="A4783" s="165">
        <v>1894</v>
      </c>
      <c r="B4783" s="162" t="s">
        <v>8781</v>
      </c>
      <c r="C4783" s="166" t="s">
        <v>8782</v>
      </c>
      <c r="D4783" s="167">
        <v>2559.56</v>
      </c>
      <c r="E4783" s="167">
        <v>1505.19</v>
      </c>
      <c r="F4783" s="167">
        <v>223.99</v>
      </c>
      <c r="G4783" s="167">
        <v>830.38</v>
      </c>
      <c r="H4783" s="168">
        <v>21972.13</v>
      </c>
      <c r="I4783" s="168">
        <v>17310.34</v>
      </c>
      <c r="J4783" s="168">
        <v>1156.5</v>
      </c>
      <c r="K4783" s="168">
        <v>3505.29</v>
      </c>
      <c r="L4783" s="43">
        <v>8.5843387144665488</v>
      </c>
      <c r="M4783" s="43">
        <v>11.500435161009573</v>
      </c>
      <c r="N4783" s="43">
        <v>5.1631769275414081</v>
      </c>
      <c r="O4783" s="43">
        <v>4.2213083166742935</v>
      </c>
      <c r="P4783" s="169"/>
      <c r="Q4783" s="169"/>
      <c r="R4783" s="169">
        <v>4</v>
      </c>
    </row>
    <row r="4784" spans="1:18" ht="24">
      <c r="A4784" s="165">
        <v>1895</v>
      </c>
      <c r="B4784" s="162" t="s">
        <v>8783</v>
      </c>
      <c r="C4784" s="166" t="s">
        <v>8784</v>
      </c>
      <c r="D4784" s="167">
        <v>1131.33</v>
      </c>
      <c r="E4784" s="167">
        <v>445.81</v>
      </c>
      <c r="F4784" s="167">
        <v>25.8</v>
      </c>
      <c r="G4784" s="167">
        <v>659.72</v>
      </c>
      <c r="H4784" s="168">
        <v>7358.68</v>
      </c>
      <c r="I4784" s="168">
        <v>5127.03</v>
      </c>
      <c r="J4784" s="168">
        <v>132.31</v>
      </c>
      <c r="K4784" s="168">
        <v>2099.34</v>
      </c>
      <c r="L4784" s="43">
        <v>6.504450513996801</v>
      </c>
      <c r="M4784" s="43">
        <v>11.50048226823086</v>
      </c>
      <c r="N4784" s="43">
        <v>5.1282945736434105</v>
      </c>
      <c r="O4784" s="43">
        <v>3.1821681925665435</v>
      </c>
      <c r="P4784" s="169"/>
      <c r="Q4784" s="169"/>
      <c r="R4784" s="169">
        <v>4</v>
      </c>
    </row>
    <row r="4785" spans="1:18" ht="24">
      <c r="A4785" s="165">
        <v>1896</v>
      </c>
      <c r="B4785" s="162" t="s">
        <v>8785</v>
      </c>
      <c r="C4785" s="166" t="s">
        <v>8786</v>
      </c>
      <c r="D4785" s="167">
        <v>1200.05</v>
      </c>
      <c r="E4785" s="167">
        <v>503.26</v>
      </c>
      <c r="F4785" s="167">
        <v>35.92</v>
      </c>
      <c r="G4785" s="167">
        <v>660.87</v>
      </c>
      <c r="H4785" s="168">
        <v>8083.85</v>
      </c>
      <c r="I4785" s="168">
        <v>5787.73</v>
      </c>
      <c r="J4785" s="168">
        <v>183.55</v>
      </c>
      <c r="K4785" s="168">
        <v>2112.5700000000002</v>
      </c>
      <c r="L4785" s="43">
        <v>6.7362609891254532</v>
      </c>
      <c r="M4785" s="43">
        <v>11.500476890672813</v>
      </c>
      <c r="N4785" s="43">
        <v>5.1099665924276172</v>
      </c>
      <c r="O4785" s="43">
        <v>3.1966498706250852</v>
      </c>
      <c r="P4785" s="169"/>
      <c r="Q4785" s="169"/>
      <c r="R4785" s="169">
        <v>4</v>
      </c>
    </row>
    <row r="4786" spans="1:18" ht="12.75" customHeight="1">
      <c r="A4786" s="628" t="s">
        <v>8787</v>
      </c>
      <c r="B4786" s="629"/>
      <c r="C4786" s="629"/>
      <c r="D4786" s="629"/>
      <c r="E4786" s="629"/>
      <c r="F4786" s="629"/>
      <c r="G4786" s="629"/>
      <c r="H4786" s="629"/>
      <c r="I4786" s="629"/>
      <c r="J4786" s="629"/>
      <c r="K4786" s="629"/>
      <c r="L4786" s="629"/>
      <c r="M4786" s="629"/>
      <c r="N4786" s="629"/>
      <c r="O4786" s="629"/>
      <c r="P4786" s="629"/>
      <c r="Q4786" s="629"/>
      <c r="R4786" s="629"/>
    </row>
    <row r="4787" spans="1:18" ht="24">
      <c r="A4787" s="165">
        <v>1897</v>
      </c>
      <c r="B4787" s="162" t="s">
        <v>8788</v>
      </c>
      <c r="C4787" s="166" t="s">
        <v>8789</v>
      </c>
      <c r="D4787" s="167">
        <v>1131.22</v>
      </c>
      <c r="E4787" s="167">
        <v>247.04</v>
      </c>
      <c r="F4787" s="167">
        <v>634.41999999999996</v>
      </c>
      <c r="G4787" s="167">
        <v>249.76</v>
      </c>
      <c r="H4787" s="168">
        <v>7131.3</v>
      </c>
      <c r="I4787" s="168">
        <v>2841.01</v>
      </c>
      <c r="J4787" s="168">
        <v>3016.45</v>
      </c>
      <c r="K4787" s="168">
        <v>1273.8399999999999</v>
      </c>
      <c r="L4787" s="43">
        <v>6.304078782199749</v>
      </c>
      <c r="M4787" s="43">
        <v>11.500202396373059</v>
      </c>
      <c r="N4787" s="43">
        <v>4.7546577976734659</v>
      </c>
      <c r="O4787" s="43">
        <v>5.1002562459961558</v>
      </c>
      <c r="P4787" s="169"/>
      <c r="Q4787" s="169"/>
      <c r="R4787" s="169">
        <v>5</v>
      </c>
    </row>
    <row r="4788" spans="1:18" ht="24">
      <c r="A4788" s="165">
        <v>1898</v>
      </c>
      <c r="B4788" s="162" t="s">
        <v>8790</v>
      </c>
      <c r="C4788" s="166" t="s">
        <v>8791</v>
      </c>
      <c r="D4788" s="167">
        <v>1316.45</v>
      </c>
      <c r="E4788" s="167">
        <v>275.76</v>
      </c>
      <c r="F4788" s="167">
        <v>711.61</v>
      </c>
      <c r="G4788" s="167">
        <v>329.08</v>
      </c>
      <c r="H4788" s="168">
        <v>8171.32</v>
      </c>
      <c r="I4788" s="168">
        <v>3171.36</v>
      </c>
      <c r="J4788" s="168">
        <v>3365.95</v>
      </c>
      <c r="K4788" s="168">
        <v>1634.01</v>
      </c>
      <c r="L4788" s="43">
        <v>6.2070872422044125</v>
      </c>
      <c r="M4788" s="43">
        <v>11.500435161009575</v>
      </c>
      <c r="N4788" s="43">
        <v>4.7300487626649428</v>
      </c>
      <c r="O4788" s="43">
        <v>4.9653883554150973</v>
      </c>
      <c r="P4788" s="169"/>
      <c r="Q4788" s="169"/>
      <c r="R4788" s="169">
        <v>5</v>
      </c>
    </row>
    <row r="4789" spans="1:18" ht="24">
      <c r="A4789" s="170">
        <v>1899</v>
      </c>
      <c r="B4789" s="171" t="s">
        <v>8792</v>
      </c>
      <c r="C4789" s="172" t="s">
        <v>8793</v>
      </c>
      <c r="D4789" s="173">
        <v>1412.32</v>
      </c>
      <c r="E4789" s="173">
        <v>302.19</v>
      </c>
      <c r="F4789" s="173">
        <v>772.14</v>
      </c>
      <c r="G4789" s="173">
        <v>337.99</v>
      </c>
      <c r="H4789" s="174">
        <v>8813.23</v>
      </c>
      <c r="I4789" s="174">
        <v>3475.28</v>
      </c>
      <c r="J4789" s="174">
        <v>3653.2</v>
      </c>
      <c r="K4789" s="174">
        <v>1684.75</v>
      </c>
      <c r="L4789" s="611">
        <v>6.2402500849665801</v>
      </c>
      <c r="M4789" s="611">
        <v>11.500314371752872</v>
      </c>
      <c r="N4789" s="611">
        <v>4.7312663506617971</v>
      </c>
      <c r="O4789" s="611">
        <v>4.9846149294357822</v>
      </c>
      <c r="P4789" s="175"/>
      <c r="Q4789" s="175"/>
      <c r="R4789" s="175">
        <v>5</v>
      </c>
    </row>
    <row r="4790" spans="1:18" ht="30.75" customHeight="1">
      <c r="A4790" s="630" t="s">
        <v>8794</v>
      </c>
      <c r="B4790" s="631"/>
      <c r="C4790" s="631"/>
      <c r="D4790" s="631"/>
      <c r="E4790" s="631"/>
      <c r="F4790" s="631"/>
      <c r="G4790" s="631"/>
      <c r="H4790" s="631"/>
      <c r="I4790" s="631"/>
      <c r="J4790" s="631"/>
      <c r="K4790" s="631"/>
      <c r="L4790" s="631"/>
      <c r="M4790" s="631"/>
      <c r="N4790" s="631"/>
      <c r="O4790" s="631"/>
      <c r="P4790" s="631"/>
      <c r="Q4790" s="631"/>
      <c r="R4790" s="631"/>
    </row>
    <row r="4791" spans="1:18" ht="12.75" customHeight="1">
      <c r="A4791" s="628" t="s">
        <v>8795</v>
      </c>
      <c r="B4791" s="629"/>
      <c r="C4791" s="629"/>
      <c r="D4791" s="629"/>
      <c r="E4791" s="629"/>
      <c r="F4791" s="629"/>
      <c r="G4791" s="629"/>
      <c r="H4791" s="629"/>
      <c r="I4791" s="629"/>
      <c r="J4791" s="629"/>
      <c r="K4791" s="629"/>
      <c r="L4791" s="629"/>
      <c r="M4791" s="629"/>
      <c r="N4791" s="629"/>
      <c r="O4791" s="629"/>
      <c r="P4791" s="629"/>
      <c r="Q4791" s="629"/>
      <c r="R4791" s="629"/>
    </row>
    <row r="4792" spans="1:18" ht="12.75" customHeight="1">
      <c r="A4792" s="628" t="s">
        <v>8796</v>
      </c>
      <c r="B4792" s="629"/>
      <c r="C4792" s="629"/>
      <c r="D4792" s="629"/>
      <c r="E4792" s="629"/>
      <c r="F4792" s="629"/>
      <c r="G4792" s="629"/>
      <c r="H4792" s="629"/>
      <c r="I4792" s="629"/>
      <c r="J4792" s="629"/>
      <c r="K4792" s="629"/>
      <c r="L4792" s="629"/>
      <c r="M4792" s="629"/>
      <c r="N4792" s="629"/>
      <c r="O4792" s="629"/>
      <c r="P4792" s="629"/>
      <c r="Q4792" s="629"/>
      <c r="R4792" s="629"/>
    </row>
    <row r="4793" spans="1:18" ht="36">
      <c r="A4793" s="165">
        <v>1900</v>
      </c>
      <c r="B4793" s="162" t="s">
        <v>8797</v>
      </c>
      <c r="C4793" s="166" t="s">
        <v>8798</v>
      </c>
      <c r="D4793" s="167">
        <v>3253.16</v>
      </c>
      <c r="E4793" s="167">
        <v>347.11</v>
      </c>
      <c r="F4793" s="167">
        <v>1601.32</v>
      </c>
      <c r="G4793" s="167">
        <v>1304.73</v>
      </c>
      <c r="H4793" s="168">
        <v>17464.68</v>
      </c>
      <c r="I4793" s="168">
        <v>3991.94</v>
      </c>
      <c r="J4793" s="168">
        <v>8064.62</v>
      </c>
      <c r="K4793" s="168">
        <v>5408.12</v>
      </c>
      <c r="L4793" s="43">
        <v>5.3685278314008533</v>
      </c>
      <c r="M4793" s="43">
        <v>11.500504162945465</v>
      </c>
      <c r="N4793" s="43">
        <v>5.0362326080983193</v>
      </c>
      <c r="O4793" s="43">
        <v>4.1450108451557028</v>
      </c>
      <c r="P4793" s="169"/>
      <c r="Q4793" s="169"/>
      <c r="R4793" s="169">
        <v>1</v>
      </c>
    </row>
    <row r="4794" spans="1:18" ht="36">
      <c r="A4794" s="165">
        <v>1901</v>
      </c>
      <c r="B4794" s="162" t="s">
        <v>8799</v>
      </c>
      <c r="C4794" s="166" t="s">
        <v>8800</v>
      </c>
      <c r="D4794" s="167">
        <v>4010.36</v>
      </c>
      <c r="E4794" s="167">
        <v>436.11</v>
      </c>
      <c r="F4794" s="167">
        <v>2267.7399999999998</v>
      </c>
      <c r="G4794" s="167">
        <v>1306.51</v>
      </c>
      <c r="H4794" s="168">
        <v>21940.63</v>
      </c>
      <c r="I4794" s="168">
        <v>5015.4799999999996</v>
      </c>
      <c r="J4794" s="168">
        <v>11496.56</v>
      </c>
      <c r="K4794" s="168">
        <v>5428.59</v>
      </c>
      <c r="L4794" s="43">
        <v>5.4709876420072012</v>
      </c>
      <c r="M4794" s="43">
        <v>11.50049299488661</v>
      </c>
      <c r="N4794" s="43">
        <v>5.0696111547179132</v>
      </c>
      <c r="O4794" s="43">
        <v>4.1550313430436816</v>
      </c>
      <c r="P4794" s="169"/>
      <c r="Q4794" s="169"/>
      <c r="R4794" s="169">
        <v>1</v>
      </c>
    </row>
    <row r="4795" spans="1:18" ht="36">
      <c r="A4795" s="165">
        <v>1902</v>
      </c>
      <c r="B4795" s="162" t="s">
        <v>8801</v>
      </c>
      <c r="C4795" s="166" t="s">
        <v>8802</v>
      </c>
      <c r="D4795" s="167">
        <v>4686.66</v>
      </c>
      <c r="E4795" s="167">
        <v>514.51</v>
      </c>
      <c r="F4795" s="167">
        <v>2864.07</v>
      </c>
      <c r="G4795" s="167">
        <v>1308.08</v>
      </c>
      <c r="H4795" s="168">
        <v>25928.16</v>
      </c>
      <c r="I4795" s="168">
        <v>5917.09</v>
      </c>
      <c r="J4795" s="168">
        <v>14564.42</v>
      </c>
      <c r="K4795" s="168">
        <v>5446.65</v>
      </c>
      <c r="L4795" s="43">
        <v>5.5323321939291521</v>
      </c>
      <c r="M4795" s="43">
        <v>11.500437309284562</v>
      </c>
      <c r="N4795" s="43">
        <v>5.0852178892275672</v>
      </c>
      <c r="O4795" s="43">
        <v>4.1638508348113268</v>
      </c>
      <c r="P4795" s="169"/>
      <c r="Q4795" s="169"/>
      <c r="R4795" s="169">
        <v>1</v>
      </c>
    </row>
    <row r="4796" spans="1:18" ht="36">
      <c r="A4796" s="165">
        <v>1903</v>
      </c>
      <c r="B4796" s="162" t="s">
        <v>8803</v>
      </c>
      <c r="C4796" s="166" t="s">
        <v>8804</v>
      </c>
      <c r="D4796" s="167">
        <v>5501.85</v>
      </c>
      <c r="E4796" s="167">
        <v>605.86</v>
      </c>
      <c r="F4796" s="167">
        <v>3536.33</v>
      </c>
      <c r="G4796" s="167">
        <v>1359.66</v>
      </c>
      <c r="H4796" s="168">
        <v>30759.77</v>
      </c>
      <c r="I4796" s="168">
        <v>6967.73</v>
      </c>
      <c r="J4796" s="168">
        <v>18035.18</v>
      </c>
      <c r="K4796" s="168">
        <v>5756.86</v>
      </c>
      <c r="L4796" s="43">
        <v>5.5908049110753657</v>
      </c>
      <c r="M4796" s="43">
        <v>11.500561185752483</v>
      </c>
      <c r="N4796" s="43">
        <v>5.099970873758954</v>
      </c>
      <c r="O4796" s="43">
        <v>4.2340438050689135</v>
      </c>
      <c r="P4796" s="169"/>
      <c r="Q4796" s="169"/>
      <c r="R4796" s="169">
        <v>1</v>
      </c>
    </row>
    <row r="4797" spans="1:18" ht="36">
      <c r="A4797" s="165">
        <v>1904</v>
      </c>
      <c r="B4797" s="162" t="s">
        <v>8805</v>
      </c>
      <c r="C4797" s="166" t="s">
        <v>8806</v>
      </c>
      <c r="D4797" s="167">
        <v>6694.63</v>
      </c>
      <c r="E4797" s="167">
        <v>752.38</v>
      </c>
      <c r="F4797" s="167">
        <v>4558.34</v>
      </c>
      <c r="G4797" s="167">
        <v>1383.91</v>
      </c>
      <c r="H4797" s="168">
        <v>37843.07</v>
      </c>
      <c r="I4797" s="168">
        <v>8652.69</v>
      </c>
      <c r="J4797" s="168">
        <v>23275.9</v>
      </c>
      <c r="K4797" s="168">
        <v>5914.48</v>
      </c>
      <c r="L4797" s="43">
        <v>5.6527500399573984</v>
      </c>
      <c r="M4797" s="43">
        <v>11.500425316994074</v>
      </c>
      <c r="N4797" s="43">
        <v>5.1062228793815292</v>
      </c>
      <c r="O4797" s="43">
        <v>4.273746125109291</v>
      </c>
      <c r="P4797" s="169"/>
      <c r="Q4797" s="169"/>
      <c r="R4797" s="169">
        <v>1</v>
      </c>
    </row>
    <row r="4798" spans="1:18" ht="36">
      <c r="A4798" s="165">
        <v>1905</v>
      </c>
      <c r="B4798" s="162" t="s">
        <v>8807</v>
      </c>
      <c r="C4798" s="166" t="s">
        <v>8808</v>
      </c>
      <c r="D4798" s="167">
        <v>7763.99</v>
      </c>
      <c r="E4798" s="167">
        <v>886.9</v>
      </c>
      <c r="F4798" s="167">
        <v>5490.49</v>
      </c>
      <c r="G4798" s="167">
        <v>1386.6</v>
      </c>
      <c r="H4798" s="168">
        <v>44195.74</v>
      </c>
      <c r="I4798" s="168">
        <v>10199.709999999999</v>
      </c>
      <c r="J4798" s="168">
        <v>28050.62</v>
      </c>
      <c r="K4798" s="168">
        <v>5945.41</v>
      </c>
      <c r="L4798" s="43">
        <v>5.6924004281303811</v>
      </c>
      <c r="M4798" s="43">
        <v>11.500405908219641</v>
      </c>
      <c r="N4798" s="43">
        <v>5.1089465603252169</v>
      </c>
      <c r="O4798" s="43">
        <v>4.287761430838021</v>
      </c>
      <c r="P4798" s="169"/>
      <c r="Q4798" s="169"/>
      <c r="R4798" s="169">
        <v>1</v>
      </c>
    </row>
    <row r="4799" spans="1:18" ht="36">
      <c r="A4799" s="165">
        <v>1906</v>
      </c>
      <c r="B4799" s="162" t="s">
        <v>8809</v>
      </c>
      <c r="C4799" s="166" t="s">
        <v>8810</v>
      </c>
      <c r="D4799" s="167">
        <v>8688.24</v>
      </c>
      <c r="E4799" s="167">
        <v>1032.3399999999999</v>
      </c>
      <c r="F4799" s="167">
        <v>6266.39</v>
      </c>
      <c r="G4799" s="167">
        <v>1389.51</v>
      </c>
      <c r="H4799" s="168">
        <v>49781.52</v>
      </c>
      <c r="I4799" s="168">
        <v>11872.36</v>
      </c>
      <c r="J4799" s="168">
        <v>31930.28</v>
      </c>
      <c r="K4799" s="168">
        <v>5978.88</v>
      </c>
      <c r="L4799" s="43">
        <v>5.7297588464407054</v>
      </c>
      <c r="M4799" s="43">
        <v>11.500435902900209</v>
      </c>
      <c r="N4799" s="43">
        <v>5.0954824069360507</v>
      </c>
      <c r="O4799" s="43">
        <v>4.3028693568236287</v>
      </c>
      <c r="P4799" s="169"/>
      <c r="Q4799" s="169"/>
      <c r="R4799" s="169">
        <v>1</v>
      </c>
    </row>
    <row r="4800" spans="1:18" ht="12.75" customHeight="1">
      <c r="A4800" s="628" t="s">
        <v>8811</v>
      </c>
      <c r="B4800" s="629"/>
      <c r="C4800" s="629"/>
      <c r="D4800" s="629"/>
      <c r="E4800" s="629"/>
      <c r="F4800" s="629"/>
      <c r="G4800" s="629"/>
      <c r="H4800" s="629"/>
      <c r="I4800" s="629"/>
      <c r="J4800" s="629"/>
      <c r="K4800" s="629"/>
      <c r="L4800" s="629"/>
      <c r="M4800" s="629"/>
      <c r="N4800" s="629"/>
      <c r="O4800" s="629"/>
      <c r="P4800" s="629"/>
      <c r="Q4800" s="629"/>
      <c r="R4800" s="629"/>
    </row>
    <row r="4801" spans="1:18" ht="48">
      <c r="A4801" s="165">
        <v>1907</v>
      </c>
      <c r="B4801" s="162" t="s">
        <v>8812</v>
      </c>
      <c r="C4801" s="166" t="s">
        <v>8813</v>
      </c>
      <c r="D4801" s="167">
        <v>3269.34</v>
      </c>
      <c r="E4801" s="167">
        <v>563.01</v>
      </c>
      <c r="F4801" s="167">
        <v>1133.22</v>
      </c>
      <c r="G4801" s="167">
        <v>1573.11</v>
      </c>
      <c r="H4801" s="168">
        <v>18336.27</v>
      </c>
      <c r="I4801" s="168">
        <v>6474.86</v>
      </c>
      <c r="J4801" s="168">
        <v>5446.01</v>
      </c>
      <c r="K4801" s="168">
        <v>6415.4</v>
      </c>
      <c r="L4801" s="43">
        <v>5.6085540200774471</v>
      </c>
      <c r="M4801" s="43">
        <v>11.500435161009573</v>
      </c>
      <c r="N4801" s="43">
        <v>4.8057835195284238</v>
      </c>
      <c r="O4801" s="43">
        <v>4.0781636376350034</v>
      </c>
      <c r="P4801" s="169"/>
      <c r="Q4801" s="169"/>
      <c r="R4801" s="169">
        <v>2</v>
      </c>
    </row>
    <row r="4802" spans="1:18" ht="48">
      <c r="A4802" s="165">
        <v>1908</v>
      </c>
      <c r="B4802" s="162" t="s">
        <v>8814</v>
      </c>
      <c r="C4802" s="166" t="s">
        <v>8815</v>
      </c>
      <c r="D4802" s="167">
        <v>3804.66</v>
      </c>
      <c r="E4802" s="167">
        <v>735.36</v>
      </c>
      <c r="F4802" s="167">
        <v>2263.16</v>
      </c>
      <c r="G4802" s="167">
        <v>806.14</v>
      </c>
      <c r="H4802" s="168">
        <v>22232.07</v>
      </c>
      <c r="I4802" s="168">
        <v>8456.9599999999991</v>
      </c>
      <c r="J4802" s="168">
        <v>10992.95</v>
      </c>
      <c r="K4802" s="168">
        <v>2782.16</v>
      </c>
      <c r="L4802" s="43">
        <v>5.8433789090220944</v>
      </c>
      <c r="M4802" s="43">
        <v>11.500435161009571</v>
      </c>
      <c r="N4802" s="43">
        <v>4.8573454815390873</v>
      </c>
      <c r="O4802" s="43">
        <v>3.4512119482968218</v>
      </c>
      <c r="P4802" s="169"/>
      <c r="Q4802" s="169"/>
      <c r="R4802" s="169">
        <v>2</v>
      </c>
    </row>
    <row r="4803" spans="1:18" ht="48">
      <c r="A4803" s="165">
        <v>1909</v>
      </c>
      <c r="B4803" s="162" t="s">
        <v>8816</v>
      </c>
      <c r="C4803" s="166" t="s">
        <v>8817</v>
      </c>
      <c r="D4803" s="167">
        <v>4998.41</v>
      </c>
      <c r="E4803" s="167">
        <v>930.69</v>
      </c>
      <c r="F4803" s="167">
        <v>3257.68</v>
      </c>
      <c r="G4803" s="167">
        <v>810.04</v>
      </c>
      <c r="H4803" s="168">
        <v>29582.240000000002</v>
      </c>
      <c r="I4803" s="168">
        <v>10703.34</v>
      </c>
      <c r="J4803" s="168">
        <v>16051.89</v>
      </c>
      <c r="K4803" s="168">
        <v>2827.01</v>
      </c>
      <c r="L4803" s="43">
        <v>5.9183300289492067</v>
      </c>
      <c r="M4803" s="43">
        <v>11.500435161009573</v>
      </c>
      <c r="N4803" s="43">
        <v>4.9273992534564472</v>
      </c>
      <c r="O4803" s="43">
        <v>3.4899634585946377</v>
      </c>
      <c r="P4803" s="169"/>
      <c r="Q4803" s="169"/>
      <c r="R4803" s="169">
        <v>2</v>
      </c>
    </row>
    <row r="4804" spans="1:18" ht="48">
      <c r="A4804" s="165">
        <v>1910</v>
      </c>
      <c r="B4804" s="162" t="s">
        <v>8818</v>
      </c>
      <c r="C4804" s="166" t="s">
        <v>8819</v>
      </c>
      <c r="D4804" s="167">
        <v>5513.31</v>
      </c>
      <c r="E4804" s="167">
        <v>993.89</v>
      </c>
      <c r="F4804" s="167">
        <v>3708.11</v>
      </c>
      <c r="G4804" s="167">
        <v>811.31</v>
      </c>
      <c r="H4804" s="168">
        <v>32640.69</v>
      </c>
      <c r="I4804" s="168">
        <v>11430.11</v>
      </c>
      <c r="J4804" s="168">
        <v>18368.97</v>
      </c>
      <c r="K4804" s="168">
        <v>2841.61</v>
      </c>
      <c r="L4804" s="43">
        <v>5.9203436773916209</v>
      </c>
      <c r="M4804" s="43">
        <v>11.500377305335601</v>
      </c>
      <c r="N4804" s="43">
        <v>4.9537284492639104</v>
      </c>
      <c r="O4804" s="43">
        <v>3.5024959633185837</v>
      </c>
      <c r="P4804" s="169"/>
      <c r="Q4804" s="169"/>
      <c r="R4804" s="169">
        <v>2</v>
      </c>
    </row>
    <row r="4805" spans="1:18" ht="28.5" customHeight="1">
      <c r="A4805" s="628" t="s">
        <v>8820</v>
      </c>
      <c r="B4805" s="629"/>
      <c r="C4805" s="629"/>
      <c r="D4805" s="629"/>
      <c r="E4805" s="629"/>
      <c r="F4805" s="629"/>
      <c r="G4805" s="629"/>
      <c r="H4805" s="629"/>
      <c r="I4805" s="629"/>
      <c r="J4805" s="629"/>
      <c r="K4805" s="629"/>
      <c r="L4805" s="629"/>
      <c r="M4805" s="629"/>
      <c r="N4805" s="629"/>
      <c r="O4805" s="629"/>
      <c r="P4805" s="629"/>
      <c r="Q4805" s="629"/>
      <c r="R4805" s="629"/>
    </row>
    <row r="4806" spans="1:18" ht="48">
      <c r="A4806" s="165">
        <v>1911</v>
      </c>
      <c r="B4806" s="162" t="s">
        <v>8821</v>
      </c>
      <c r="C4806" s="166" t="s">
        <v>8822</v>
      </c>
      <c r="D4806" s="167">
        <v>3683.59</v>
      </c>
      <c r="E4806" s="167">
        <v>563.01</v>
      </c>
      <c r="F4806" s="167">
        <v>1637.87</v>
      </c>
      <c r="G4806" s="167">
        <v>1482.71</v>
      </c>
      <c r="H4806" s="168">
        <v>21089.360000000001</v>
      </c>
      <c r="I4806" s="168">
        <v>6474.86</v>
      </c>
      <c r="J4806" s="168">
        <v>8438.52</v>
      </c>
      <c r="K4806" s="168">
        <v>6175.98</v>
      </c>
      <c r="L4806" s="43">
        <v>5.7252191476250074</v>
      </c>
      <c r="M4806" s="43">
        <v>11.500435161009573</v>
      </c>
      <c r="N4806" s="43">
        <v>5.1521305109685143</v>
      </c>
      <c r="O4806" s="43">
        <v>4.1653323981088679</v>
      </c>
      <c r="P4806" s="169"/>
      <c r="Q4806" s="169"/>
      <c r="R4806" s="169">
        <v>3</v>
      </c>
    </row>
    <row r="4807" spans="1:18" ht="48">
      <c r="A4807" s="165">
        <v>1912</v>
      </c>
      <c r="B4807" s="162" t="s">
        <v>8823</v>
      </c>
      <c r="C4807" s="166" t="s">
        <v>8824</v>
      </c>
      <c r="D4807" s="167">
        <v>5411.12</v>
      </c>
      <c r="E4807" s="167">
        <v>723.87</v>
      </c>
      <c r="F4807" s="167">
        <v>3110.92</v>
      </c>
      <c r="G4807" s="167">
        <v>1576.33</v>
      </c>
      <c r="H4807" s="168">
        <v>30788.05</v>
      </c>
      <c r="I4807" s="168">
        <v>8324.82</v>
      </c>
      <c r="J4807" s="168">
        <v>16010.8</v>
      </c>
      <c r="K4807" s="168">
        <v>6452.43</v>
      </c>
      <c r="L4807" s="43">
        <v>5.6897740209050989</v>
      </c>
      <c r="M4807" s="43">
        <v>11.500435161009573</v>
      </c>
      <c r="N4807" s="43">
        <v>5.1466447224615219</v>
      </c>
      <c r="O4807" s="43">
        <v>4.0933243673596271</v>
      </c>
      <c r="P4807" s="169"/>
      <c r="Q4807" s="169"/>
      <c r="R4807" s="169">
        <v>3</v>
      </c>
    </row>
    <row r="4808" spans="1:18" ht="48">
      <c r="A4808" s="165">
        <v>1913</v>
      </c>
      <c r="B4808" s="162" t="s">
        <v>8825</v>
      </c>
      <c r="C4808" s="166" t="s">
        <v>8826</v>
      </c>
      <c r="D4808" s="167">
        <v>6891.76</v>
      </c>
      <c r="E4808" s="167">
        <v>919.2</v>
      </c>
      <c r="F4808" s="167">
        <v>4392.33</v>
      </c>
      <c r="G4808" s="167">
        <v>1580.23</v>
      </c>
      <c r="H4808" s="168">
        <v>39827.5</v>
      </c>
      <c r="I4808" s="168">
        <v>10571.2</v>
      </c>
      <c r="J4808" s="168">
        <v>22759.02</v>
      </c>
      <c r="K4808" s="168">
        <v>6497.28</v>
      </c>
      <c r="L4808" s="43">
        <v>5.7790027511114719</v>
      </c>
      <c r="M4808" s="43">
        <v>11.500435161009573</v>
      </c>
      <c r="N4808" s="43">
        <v>5.1815369063799857</v>
      </c>
      <c r="O4808" s="43">
        <v>4.1116040070116373</v>
      </c>
      <c r="P4808" s="169"/>
      <c r="Q4808" s="169"/>
      <c r="R4808" s="169">
        <v>3</v>
      </c>
    </row>
    <row r="4809" spans="1:18" ht="48">
      <c r="A4809" s="165">
        <v>1914</v>
      </c>
      <c r="B4809" s="162" t="s">
        <v>8827</v>
      </c>
      <c r="C4809" s="166" t="s">
        <v>8828</v>
      </c>
      <c r="D4809" s="167">
        <v>7549.32</v>
      </c>
      <c r="E4809" s="167">
        <v>985.84</v>
      </c>
      <c r="F4809" s="167">
        <v>4981.91</v>
      </c>
      <c r="G4809" s="167">
        <v>1581.57</v>
      </c>
      <c r="H4809" s="168">
        <v>43747.08</v>
      </c>
      <c r="I4809" s="168">
        <v>11337.61</v>
      </c>
      <c r="J4809" s="168">
        <v>25896.78</v>
      </c>
      <c r="K4809" s="168">
        <v>6512.69</v>
      </c>
      <c r="L4809" s="43">
        <v>5.7948371508957104</v>
      </c>
      <c r="M4809" s="43">
        <v>11.500456463523493</v>
      </c>
      <c r="N4809" s="43">
        <v>5.1981629535660021</v>
      </c>
      <c r="O4809" s="43">
        <v>4.1178638947375079</v>
      </c>
      <c r="P4809" s="169"/>
      <c r="Q4809" s="169"/>
      <c r="R4809" s="169">
        <v>3</v>
      </c>
    </row>
    <row r="4810" spans="1:18" ht="26.25" customHeight="1">
      <c r="A4810" s="628" t="s">
        <v>8829</v>
      </c>
      <c r="B4810" s="629"/>
      <c r="C4810" s="629"/>
      <c r="D4810" s="629"/>
      <c r="E4810" s="629"/>
      <c r="F4810" s="629"/>
      <c r="G4810" s="629"/>
      <c r="H4810" s="629"/>
      <c r="I4810" s="629"/>
      <c r="J4810" s="629"/>
      <c r="K4810" s="629"/>
      <c r="L4810" s="629"/>
      <c r="M4810" s="629"/>
      <c r="N4810" s="629"/>
      <c r="O4810" s="629"/>
      <c r="P4810" s="629"/>
      <c r="Q4810" s="629"/>
      <c r="R4810" s="629"/>
    </row>
    <row r="4811" spans="1:18" ht="48">
      <c r="A4811" s="165">
        <v>1915</v>
      </c>
      <c r="B4811" s="162" t="s">
        <v>8830</v>
      </c>
      <c r="C4811" s="166" t="s">
        <v>8831</v>
      </c>
      <c r="D4811" s="167">
        <v>1469.39</v>
      </c>
      <c r="E4811" s="167">
        <v>413.64</v>
      </c>
      <c r="F4811" s="167">
        <v>844.89</v>
      </c>
      <c r="G4811" s="167">
        <v>210.86</v>
      </c>
      <c r="H4811" s="168">
        <v>9639.23</v>
      </c>
      <c r="I4811" s="168">
        <v>4757.04</v>
      </c>
      <c r="J4811" s="168">
        <v>4089.65</v>
      </c>
      <c r="K4811" s="168">
        <v>792.54</v>
      </c>
      <c r="L4811" s="43">
        <v>6.5600215055226991</v>
      </c>
      <c r="M4811" s="43">
        <v>11.500435161009573</v>
      </c>
      <c r="N4811" s="43">
        <v>4.8404526032974706</v>
      </c>
      <c r="O4811" s="43">
        <v>3.758607606942995</v>
      </c>
      <c r="P4811" s="169"/>
      <c r="Q4811" s="169"/>
      <c r="R4811" s="169">
        <v>4</v>
      </c>
    </row>
    <row r="4812" spans="1:18" ht="48">
      <c r="A4812" s="165">
        <v>1916</v>
      </c>
      <c r="B4812" s="162" t="s">
        <v>8832</v>
      </c>
      <c r="C4812" s="166" t="s">
        <v>8833</v>
      </c>
      <c r="D4812" s="167">
        <v>2335.63</v>
      </c>
      <c r="E4812" s="167">
        <v>551.52</v>
      </c>
      <c r="F4812" s="167">
        <v>1570.49</v>
      </c>
      <c r="G4812" s="167">
        <v>213.62</v>
      </c>
      <c r="H4812" s="168">
        <v>14905.2</v>
      </c>
      <c r="I4812" s="168">
        <v>6342.72</v>
      </c>
      <c r="J4812" s="168">
        <v>7738.2</v>
      </c>
      <c r="K4812" s="168">
        <v>824.28</v>
      </c>
      <c r="L4812" s="43">
        <v>6.3816614789157526</v>
      </c>
      <c r="M4812" s="43">
        <v>11.500435161009575</v>
      </c>
      <c r="N4812" s="43">
        <v>4.9272520041515699</v>
      </c>
      <c r="O4812" s="43">
        <v>3.8586274693380767</v>
      </c>
      <c r="P4812" s="169"/>
      <c r="Q4812" s="169"/>
      <c r="R4812" s="169">
        <v>4</v>
      </c>
    </row>
    <row r="4813" spans="1:18" ht="48">
      <c r="A4813" s="165">
        <v>1917</v>
      </c>
      <c r="B4813" s="162" t="s">
        <v>8834</v>
      </c>
      <c r="C4813" s="166" t="s">
        <v>8835</v>
      </c>
      <c r="D4813" s="167">
        <v>3243.41</v>
      </c>
      <c r="E4813" s="167">
        <v>723.87</v>
      </c>
      <c r="F4813" s="167">
        <v>2302.4699999999998</v>
      </c>
      <c r="G4813" s="167">
        <v>217.07</v>
      </c>
      <c r="H4813" s="168">
        <v>20734.45</v>
      </c>
      <c r="I4813" s="168">
        <v>8324.82</v>
      </c>
      <c r="J4813" s="168">
        <v>11545.68</v>
      </c>
      <c r="K4813" s="168">
        <v>863.95</v>
      </c>
      <c r="L4813" s="43">
        <v>6.3927933872066749</v>
      </c>
      <c r="M4813" s="43">
        <v>11.500435161009573</v>
      </c>
      <c r="N4813" s="43">
        <v>5.0144757586418072</v>
      </c>
      <c r="O4813" s="43">
        <v>3.9800525176210444</v>
      </c>
      <c r="P4813" s="169"/>
      <c r="Q4813" s="169"/>
      <c r="R4813" s="169">
        <v>4</v>
      </c>
    </row>
    <row r="4814" spans="1:18" ht="48">
      <c r="A4814" s="165">
        <v>1918</v>
      </c>
      <c r="B4814" s="162" t="s">
        <v>8836</v>
      </c>
      <c r="C4814" s="166" t="s">
        <v>8837</v>
      </c>
      <c r="D4814" s="167">
        <v>3566.35</v>
      </c>
      <c r="E4814" s="167">
        <v>769.83</v>
      </c>
      <c r="F4814" s="167">
        <v>2578.5300000000002</v>
      </c>
      <c r="G4814" s="167">
        <v>217.99</v>
      </c>
      <c r="H4814" s="168">
        <v>22657.49</v>
      </c>
      <c r="I4814" s="168">
        <v>8853.3799999999992</v>
      </c>
      <c r="J4814" s="168">
        <v>12929.58</v>
      </c>
      <c r="K4814" s="168">
        <v>874.53</v>
      </c>
      <c r="L4814" s="43">
        <v>6.3531313527836586</v>
      </c>
      <c r="M4814" s="43">
        <v>11.500435161009571</v>
      </c>
      <c r="N4814" s="43">
        <v>5.0143221137624918</v>
      </c>
      <c r="O4814" s="43">
        <v>4.0117895316298906</v>
      </c>
      <c r="P4814" s="169"/>
      <c r="Q4814" s="169"/>
      <c r="R4814" s="169">
        <v>4</v>
      </c>
    </row>
    <row r="4815" spans="1:18" ht="27.75" customHeight="1">
      <c r="A4815" s="628" t="s">
        <v>8838</v>
      </c>
      <c r="B4815" s="629"/>
      <c r="C4815" s="629"/>
      <c r="D4815" s="629"/>
      <c r="E4815" s="629"/>
      <c r="F4815" s="629"/>
      <c r="G4815" s="629"/>
      <c r="H4815" s="629"/>
      <c r="I4815" s="629"/>
      <c r="J4815" s="629"/>
      <c r="K4815" s="629"/>
      <c r="L4815" s="629"/>
      <c r="M4815" s="629"/>
      <c r="N4815" s="629"/>
      <c r="O4815" s="629"/>
      <c r="P4815" s="629"/>
      <c r="Q4815" s="629"/>
      <c r="R4815" s="629"/>
    </row>
    <row r="4816" spans="1:18" ht="48">
      <c r="A4816" s="165">
        <v>1919</v>
      </c>
      <c r="B4816" s="162" t="s">
        <v>8839</v>
      </c>
      <c r="C4816" s="166" t="s">
        <v>8840</v>
      </c>
      <c r="D4816" s="167">
        <v>1476.48</v>
      </c>
      <c r="E4816" s="167">
        <v>413.64</v>
      </c>
      <c r="F4816" s="167">
        <v>851.98</v>
      </c>
      <c r="G4816" s="167">
        <v>210.86</v>
      </c>
      <c r="H4816" s="168">
        <v>9674.83</v>
      </c>
      <c r="I4816" s="168">
        <v>4757.04</v>
      </c>
      <c r="J4816" s="168">
        <v>4125.25</v>
      </c>
      <c r="K4816" s="168">
        <v>792.54</v>
      </c>
      <c r="L4816" s="43">
        <v>6.5526319354139577</v>
      </c>
      <c r="M4816" s="43">
        <v>11.500435161009573</v>
      </c>
      <c r="N4816" s="43">
        <v>4.8419563839526747</v>
      </c>
      <c r="O4816" s="43">
        <v>3.758607606942995</v>
      </c>
      <c r="P4816" s="169"/>
      <c r="Q4816" s="169"/>
      <c r="R4816" s="169">
        <v>5</v>
      </c>
    </row>
    <row r="4817" spans="1:18" ht="48">
      <c r="A4817" s="165">
        <v>1920</v>
      </c>
      <c r="B4817" s="162" t="s">
        <v>8841</v>
      </c>
      <c r="C4817" s="166" t="s">
        <v>8842</v>
      </c>
      <c r="D4817" s="167">
        <v>2346.5500000000002</v>
      </c>
      <c r="E4817" s="167">
        <v>551.52</v>
      </c>
      <c r="F4817" s="167">
        <v>1581.41</v>
      </c>
      <c r="G4817" s="167">
        <v>213.62</v>
      </c>
      <c r="H4817" s="168">
        <v>14960.03</v>
      </c>
      <c r="I4817" s="168">
        <v>6342.72</v>
      </c>
      <c r="J4817" s="168">
        <v>7793.03</v>
      </c>
      <c r="K4817" s="168">
        <v>824.28</v>
      </c>
      <c r="L4817" s="43">
        <v>6.3753297394046573</v>
      </c>
      <c r="M4817" s="43">
        <v>11.500435161009575</v>
      </c>
      <c r="N4817" s="43">
        <v>4.9278997856343389</v>
      </c>
      <c r="O4817" s="43">
        <v>3.8586274693380767</v>
      </c>
      <c r="P4817" s="169"/>
      <c r="Q4817" s="169"/>
      <c r="R4817" s="169">
        <v>5</v>
      </c>
    </row>
    <row r="4818" spans="1:18" ht="48">
      <c r="A4818" s="165">
        <v>1921</v>
      </c>
      <c r="B4818" s="162" t="s">
        <v>8843</v>
      </c>
      <c r="C4818" s="166" t="s">
        <v>8844</v>
      </c>
      <c r="D4818" s="167">
        <v>3270.77</v>
      </c>
      <c r="E4818" s="167">
        <v>723.87</v>
      </c>
      <c r="F4818" s="167">
        <v>2329.83</v>
      </c>
      <c r="G4818" s="167">
        <v>217.07</v>
      </c>
      <c r="H4818" s="168">
        <v>20871.79</v>
      </c>
      <c r="I4818" s="168">
        <v>8324.82</v>
      </c>
      <c r="J4818" s="168">
        <v>11683.02</v>
      </c>
      <c r="K4818" s="168">
        <v>863.95</v>
      </c>
      <c r="L4818" s="43">
        <v>6.3813077654497263</v>
      </c>
      <c r="M4818" s="43">
        <v>11.500435161009573</v>
      </c>
      <c r="N4818" s="43">
        <v>5.0145375413656792</v>
      </c>
      <c r="O4818" s="43">
        <v>3.9800525176210444</v>
      </c>
      <c r="P4818" s="169"/>
      <c r="Q4818" s="169"/>
      <c r="R4818" s="169">
        <v>5</v>
      </c>
    </row>
    <row r="4819" spans="1:18" ht="48">
      <c r="A4819" s="165">
        <v>1922</v>
      </c>
      <c r="B4819" s="162" t="s">
        <v>8845</v>
      </c>
      <c r="C4819" s="166" t="s">
        <v>8846</v>
      </c>
      <c r="D4819" s="167">
        <v>3596.98</v>
      </c>
      <c r="E4819" s="167">
        <v>769.83</v>
      </c>
      <c r="F4819" s="167">
        <v>2609.16</v>
      </c>
      <c r="G4819" s="167">
        <v>217.99</v>
      </c>
      <c r="H4819" s="168">
        <v>22811.23</v>
      </c>
      <c r="I4819" s="168">
        <v>8853.3799999999992</v>
      </c>
      <c r="J4819" s="168">
        <v>13083.32</v>
      </c>
      <c r="K4819" s="168">
        <v>874.53</v>
      </c>
      <c r="L4819" s="43">
        <v>6.3417728205327801</v>
      </c>
      <c r="M4819" s="43">
        <v>11.500435161009571</v>
      </c>
      <c r="N4819" s="43">
        <v>5.0143801070076197</v>
      </c>
      <c r="O4819" s="43">
        <v>4.0117895316298906</v>
      </c>
      <c r="P4819" s="169"/>
      <c r="Q4819" s="169"/>
      <c r="R4819" s="169">
        <v>5</v>
      </c>
    </row>
    <row r="4820" spans="1:18" ht="17.25" customHeight="1">
      <c r="A4820" s="628" t="s">
        <v>8847</v>
      </c>
      <c r="B4820" s="629"/>
      <c r="C4820" s="629"/>
      <c r="D4820" s="629"/>
      <c r="E4820" s="629"/>
      <c r="F4820" s="629"/>
      <c r="G4820" s="629"/>
      <c r="H4820" s="629"/>
      <c r="I4820" s="629"/>
      <c r="J4820" s="629"/>
      <c r="K4820" s="629"/>
      <c r="L4820" s="629"/>
      <c r="M4820" s="629"/>
      <c r="N4820" s="629"/>
      <c r="O4820" s="629"/>
      <c r="P4820" s="629"/>
      <c r="Q4820" s="629"/>
      <c r="R4820" s="629"/>
    </row>
    <row r="4821" spans="1:18" ht="36">
      <c r="A4821" s="165">
        <v>1923</v>
      </c>
      <c r="B4821" s="162" t="s">
        <v>8848</v>
      </c>
      <c r="C4821" s="166" t="s">
        <v>8849</v>
      </c>
      <c r="D4821" s="167">
        <v>2227.84</v>
      </c>
      <c r="E4821" s="167">
        <v>252.97</v>
      </c>
      <c r="F4821" s="167">
        <v>572.28</v>
      </c>
      <c r="G4821" s="167">
        <v>1402.59</v>
      </c>
      <c r="H4821" s="168">
        <v>11698.77</v>
      </c>
      <c r="I4821" s="168">
        <v>2909.14</v>
      </c>
      <c r="J4821" s="168">
        <v>3248.87</v>
      </c>
      <c r="K4821" s="168">
        <v>5540.76</v>
      </c>
      <c r="L4821" s="43">
        <v>5.2511715383510484</v>
      </c>
      <c r="M4821" s="43">
        <v>11.499940704431355</v>
      </c>
      <c r="N4821" s="43">
        <v>5.6770636751240655</v>
      </c>
      <c r="O4821" s="43">
        <v>3.9503775158813341</v>
      </c>
      <c r="P4821" s="169"/>
      <c r="Q4821" s="169"/>
      <c r="R4821" s="169">
        <v>6</v>
      </c>
    </row>
    <row r="4822" spans="1:18" ht="36">
      <c r="A4822" s="165">
        <v>1924</v>
      </c>
      <c r="B4822" s="162" t="s">
        <v>8850</v>
      </c>
      <c r="C4822" s="166" t="s">
        <v>8851</v>
      </c>
      <c r="D4822" s="167">
        <v>2419.16</v>
      </c>
      <c r="E4822" s="167">
        <v>309.69</v>
      </c>
      <c r="F4822" s="167">
        <v>705.75</v>
      </c>
      <c r="G4822" s="167">
        <v>1403.72</v>
      </c>
      <c r="H4822" s="168">
        <v>13146.81</v>
      </c>
      <c r="I4822" s="168">
        <v>3561.44</v>
      </c>
      <c r="J4822" s="168">
        <v>4031.61</v>
      </c>
      <c r="K4822" s="168">
        <v>5553.76</v>
      </c>
      <c r="L4822" s="43">
        <v>5.4344524545710087</v>
      </c>
      <c r="M4822" s="43">
        <v>11.500016145177435</v>
      </c>
      <c r="N4822" s="43">
        <v>5.7125185972369819</v>
      </c>
      <c r="O4822" s="43">
        <v>3.9564585529877756</v>
      </c>
      <c r="P4822" s="169"/>
      <c r="Q4822" s="169"/>
      <c r="R4822" s="169">
        <v>6</v>
      </c>
    </row>
    <row r="4823" spans="1:18" ht="36">
      <c r="A4823" s="165">
        <v>1925</v>
      </c>
      <c r="B4823" s="162" t="s">
        <v>8852</v>
      </c>
      <c r="C4823" s="166" t="s">
        <v>8853</v>
      </c>
      <c r="D4823" s="167">
        <v>3283.54</v>
      </c>
      <c r="E4823" s="167">
        <v>478.3</v>
      </c>
      <c r="F4823" s="167">
        <v>1244.6300000000001</v>
      </c>
      <c r="G4823" s="167">
        <v>1560.61</v>
      </c>
      <c r="H4823" s="168">
        <v>18957.43</v>
      </c>
      <c r="I4823" s="168">
        <v>5500.44</v>
      </c>
      <c r="J4823" s="168">
        <v>7051.78</v>
      </c>
      <c r="K4823" s="168">
        <v>6405.21</v>
      </c>
      <c r="L4823" s="43">
        <v>5.7734731417920901</v>
      </c>
      <c r="M4823" s="43">
        <v>11.499979092619693</v>
      </c>
      <c r="N4823" s="43">
        <v>5.6657641226709936</v>
      </c>
      <c r="O4823" s="43">
        <v>4.1042989600220432</v>
      </c>
      <c r="P4823" s="169"/>
      <c r="Q4823" s="169"/>
      <c r="R4823" s="169">
        <v>6</v>
      </c>
    </row>
    <row r="4824" spans="1:18" ht="36">
      <c r="A4824" s="165">
        <v>1926</v>
      </c>
      <c r="B4824" s="162" t="s">
        <v>8854</v>
      </c>
      <c r="C4824" s="166" t="s">
        <v>8855</v>
      </c>
      <c r="D4824" s="167">
        <v>3874.23</v>
      </c>
      <c r="E4824" s="167">
        <v>640.91</v>
      </c>
      <c r="F4824" s="167">
        <v>1669.46</v>
      </c>
      <c r="G4824" s="167">
        <v>1563.86</v>
      </c>
      <c r="H4824" s="168">
        <v>23256.57</v>
      </c>
      <c r="I4824" s="168">
        <v>7370.51</v>
      </c>
      <c r="J4824" s="168">
        <v>9443.48</v>
      </c>
      <c r="K4824" s="168">
        <v>6442.58</v>
      </c>
      <c r="L4824" s="43">
        <v>6.0028883158717985</v>
      </c>
      <c r="M4824" s="43">
        <v>11.500070212666365</v>
      </c>
      <c r="N4824" s="43">
        <v>5.6566075257867814</v>
      </c>
      <c r="O4824" s="43">
        <v>4.1196654431982402</v>
      </c>
      <c r="P4824" s="169"/>
      <c r="Q4824" s="169"/>
      <c r="R4824" s="169">
        <v>6</v>
      </c>
    </row>
    <row r="4825" spans="1:18" ht="36">
      <c r="A4825" s="165">
        <v>1927</v>
      </c>
      <c r="B4825" s="162" t="s">
        <v>8856</v>
      </c>
      <c r="C4825" s="166" t="s">
        <v>8857</v>
      </c>
      <c r="D4825" s="167">
        <v>4106.8900000000003</v>
      </c>
      <c r="E4825" s="167">
        <v>686.42</v>
      </c>
      <c r="F4825" s="167">
        <v>1855.7</v>
      </c>
      <c r="G4825" s="167">
        <v>1564.77</v>
      </c>
      <c r="H4825" s="168">
        <v>24843.74</v>
      </c>
      <c r="I4825" s="168">
        <v>7893.88</v>
      </c>
      <c r="J4825" s="168">
        <v>10496.81</v>
      </c>
      <c r="K4825" s="168">
        <v>6453.05</v>
      </c>
      <c r="L4825" s="43">
        <v>6.0492830341207089</v>
      </c>
      <c r="M4825" s="43">
        <v>11.500072841700417</v>
      </c>
      <c r="N4825" s="43">
        <v>5.6565231449048872</v>
      </c>
      <c r="O4825" s="43">
        <v>4.1239607098806852</v>
      </c>
      <c r="P4825" s="169"/>
      <c r="Q4825" s="169"/>
      <c r="R4825" s="169">
        <v>6</v>
      </c>
    </row>
    <row r="4826" spans="1:18" ht="12.75" customHeight="1">
      <c r="A4826" s="628" t="s">
        <v>8858</v>
      </c>
      <c r="B4826" s="629"/>
      <c r="C4826" s="629"/>
      <c r="D4826" s="629"/>
      <c r="E4826" s="629"/>
      <c r="F4826" s="629"/>
      <c r="G4826" s="629"/>
      <c r="H4826" s="629"/>
      <c r="I4826" s="629"/>
      <c r="J4826" s="629"/>
      <c r="K4826" s="629"/>
      <c r="L4826" s="629"/>
      <c r="M4826" s="629"/>
      <c r="N4826" s="629"/>
      <c r="O4826" s="629"/>
      <c r="P4826" s="629"/>
      <c r="Q4826" s="629"/>
      <c r="R4826" s="629"/>
    </row>
    <row r="4827" spans="1:18" ht="36">
      <c r="A4827" s="165">
        <v>1928</v>
      </c>
      <c r="B4827" s="162" t="s">
        <v>8859</v>
      </c>
      <c r="C4827" s="166" t="s">
        <v>8860</v>
      </c>
      <c r="D4827" s="167">
        <v>2506.77</v>
      </c>
      <c r="E4827" s="167">
        <v>247.75</v>
      </c>
      <c r="F4827" s="167">
        <v>1598.66</v>
      </c>
      <c r="G4827" s="167">
        <v>660.36</v>
      </c>
      <c r="H4827" s="168">
        <v>12910.44</v>
      </c>
      <c r="I4827" s="168">
        <v>2849.15</v>
      </c>
      <c r="J4827" s="168">
        <v>8015.56</v>
      </c>
      <c r="K4827" s="168">
        <v>2045.73</v>
      </c>
      <c r="L4827" s="43">
        <v>5.150229179382233</v>
      </c>
      <c r="M4827" s="43">
        <v>11.500100908173563</v>
      </c>
      <c r="N4827" s="43">
        <v>5.0139241614852441</v>
      </c>
      <c r="O4827" s="43">
        <v>3.0979011448300926</v>
      </c>
      <c r="P4827" s="169"/>
      <c r="Q4827" s="169"/>
      <c r="R4827" s="169">
        <v>7</v>
      </c>
    </row>
    <row r="4828" spans="1:18" ht="36">
      <c r="A4828" s="165">
        <v>1929</v>
      </c>
      <c r="B4828" s="162" t="s">
        <v>8861</v>
      </c>
      <c r="C4828" s="166" t="s">
        <v>8862</v>
      </c>
      <c r="D4828" s="167">
        <v>2788.53</v>
      </c>
      <c r="E4828" s="167">
        <v>348.98</v>
      </c>
      <c r="F4828" s="167">
        <v>1777.17</v>
      </c>
      <c r="G4828" s="167">
        <v>662.38</v>
      </c>
      <c r="H4828" s="168">
        <v>15088.81</v>
      </c>
      <c r="I4828" s="168">
        <v>4013.32</v>
      </c>
      <c r="J4828" s="168">
        <v>9006.5300000000007</v>
      </c>
      <c r="K4828" s="168">
        <v>2068.96</v>
      </c>
      <c r="L4828" s="43">
        <v>5.4110265982435184</v>
      </c>
      <c r="M4828" s="43">
        <v>11.500143274686229</v>
      </c>
      <c r="N4828" s="43">
        <v>5.0679057152664067</v>
      </c>
      <c r="O4828" s="43">
        <v>3.1235242609982188</v>
      </c>
      <c r="P4828" s="169"/>
      <c r="Q4828" s="169"/>
      <c r="R4828" s="169">
        <v>7</v>
      </c>
    </row>
    <row r="4829" spans="1:18" ht="36">
      <c r="A4829" s="165">
        <v>1930</v>
      </c>
      <c r="B4829" s="162" t="s">
        <v>8863</v>
      </c>
      <c r="C4829" s="166" t="s">
        <v>8864</v>
      </c>
      <c r="D4829" s="167">
        <v>5061.01</v>
      </c>
      <c r="E4829" s="167">
        <v>517.48</v>
      </c>
      <c r="F4829" s="167">
        <v>3724.28</v>
      </c>
      <c r="G4829" s="167">
        <v>819.25</v>
      </c>
      <c r="H4829" s="168">
        <v>27406.86</v>
      </c>
      <c r="I4829" s="168">
        <v>5951.04</v>
      </c>
      <c r="J4829" s="168">
        <v>18535.52</v>
      </c>
      <c r="K4829" s="168">
        <v>2920.3</v>
      </c>
      <c r="L4829" s="43">
        <v>5.4152945755886668</v>
      </c>
      <c r="M4829" s="43">
        <v>11.50003864883667</v>
      </c>
      <c r="N4829" s="43">
        <v>4.9769405093064965</v>
      </c>
      <c r="O4829" s="43">
        <v>3.5646017699115045</v>
      </c>
      <c r="P4829" s="169"/>
      <c r="Q4829" s="169"/>
      <c r="R4829" s="169">
        <v>7</v>
      </c>
    </row>
    <row r="4830" spans="1:18" ht="36">
      <c r="A4830" s="165">
        <v>1931</v>
      </c>
      <c r="B4830" s="162" t="s">
        <v>8865</v>
      </c>
      <c r="C4830" s="166" t="s">
        <v>8866</v>
      </c>
      <c r="D4830" s="167">
        <v>6711.54</v>
      </c>
      <c r="E4830" s="167">
        <v>706.96</v>
      </c>
      <c r="F4830" s="167">
        <v>5181.54</v>
      </c>
      <c r="G4830" s="167">
        <v>823.04</v>
      </c>
      <c r="H4830" s="168">
        <v>36821.019999999997</v>
      </c>
      <c r="I4830" s="168">
        <v>8130.03</v>
      </c>
      <c r="J4830" s="168">
        <v>25727.11</v>
      </c>
      <c r="K4830" s="168">
        <v>2963.88</v>
      </c>
      <c r="L4830" s="43">
        <v>5.4862252180572559</v>
      </c>
      <c r="M4830" s="43">
        <v>11.499985854928141</v>
      </c>
      <c r="N4830" s="43">
        <v>4.9651474272127594</v>
      </c>
      <c r="O4830" s="43">
        <v>3.6011372472783827</v>
      </c>
      <c r="P4830" s="169"/>
      <c r="Q4830" s="169"/>
      <c r="R4830" s="169">
        <v>7</v>
      </c>
    </row>
    <row r="4831" spans="1:18" ht="36">
      <c r="A4831" s="165">
        <v>1932</v>
      </c>
      <c r="B4831" s="162" t="s">
        <v>8867</v>
      </c>
      <c r="C4831" s="166" t="s">
        <v>8868</v>
      </c>
      <c r="D4831" s="167">
        <v>7344.54</v>
      </c>
      <c r="E4831" s="167">
        <v>760.35</v>
      </c>
      <c r="F4831" s="167">
        <v>5760.08</v>
      </c>
      <c r="G4831" s="167">
        <v>824.11</v>
      </c>
      <c r="H4831" s="168">
        <v>40319.019999999997</v>
      </c>
      <c r="I4831" s="168">
        <v>8744.0300000000007</v>
      </c>
      <c r="J4831" s="168">
        <v>28598.799999999999</v>
      </c>
      <c r="K4831" s="168">
        <v>2976.19</v>
      </c>
      <c r="L4831" s="43">
        <v>5.4896589847696378</v>
      </c>
      <c r="M4831" s="43">
        <v>11.500006575918984</v>
      </c>
      <c r="N4831" s="43">
        <v>4.9650004861043593</v>
      </c>
      <c r="O4831" s="43">
        <v>3.6113989637305699</v>
      </c>
      <c r="P4831" s="169"/>
      <c r="Q4831" s="169"/>
      <c r="R4831" s="169">
        <v>7</v>
      </c>
    </row>
    <row r="4832" spans="1:18" ht="12.75" customHeight="1">
      <c r="A4832" s="628" t="s">
        <v>8869</v>
      </c>
      <c r="B4832" s="629"/>
      <c r="C4832" s="629"/>
      <c r="D4832" s="629"/>
      <c r="E4832" s="629"/>
      <c r="F4832" s="629"/>
      <c r="G4832" s="629"/>
      <c r="H4832" s="629"/>
      <c r="I4832" s="629"/>
      <c r="J4832" s="629"/>
      <c r="K4832" s="629"/>
      <c r="L4832" s="629"/>
      <c r="M4832" s="629"/>
      <c r="N4832" s="629"/>
      <c r="O4832" s="629"/>
      <c r="P4832" s="629"/>
      <c r="Q4832" s="629"/>
      <c r="R4832" s="629"/>
    </row>
    <row r="4833" spans="1:18" ht="36">
      <c r="A4833" s="165">
        <v>1933</v>
      </c>
      <c r="B4833" s="162" t="s">
        <v>8870</v>
      </c>
      <c r="C4833" s="166" t="s">
        <v>8871</v>
      </c>
      <c r="D4833" s="167">
        <v>4818.79</v>
      </c>
      <c r="E4833" s="167">
        <v>882.72</v>
      </c>
      <c r="F4833" s="167">
        <v>684.01</v>
      </c>
      <c r="G4833" s="167">
        <v>3252.06</v>
      </c>
      <c r="H4833" s="168">
        <v>32154.41</v>
      </c>
      <c r="I4833" s="168">
        <v>10151.67</v>
      </c>
      <c r="J4833" s="168">
        <v>3753.98</v>
      </c>
      <c r="K4833" s="168">
        <v>18248.759999999998</v>
      </c>
      <c r="L4833" s="43">
        <v>6.6727145196200706</v>
      </c>
      <c r="M4833" s="43">
        <v>11.500441816204459</v>
      </c>
      <c r="N4833" s="43">
        <v>5.4881946170377631</v>
      </c>
      <c r="O4833" s="43">
        <v>5.611446283278906</v>
      </c>
      <c r="P4833" s="169"/>
      <c r="Q4833" s="169"/>
      <c r="R4833" s="169">
        <v>8</v>
      </c>
    </row>
    <row r="4834" spans="1:18" ht="36">
      <c r="A4834" s="165">
        <v>1934</v>
      </c>
      <c r="B4834" s="162" t="s">
        <v>8872</v>
      </c>
      <c r="C4834" s="166" t="s">
        <v>8873</v>
      </c>
      <c r="D4834" s="167">
        <v>4519.59</v>
      </c>
      <c r="E4834" s="167">
        <v>390.49</v>
      </c>
      <c r="F4834" s="167">
        <v>711.47</v>
      </c>
      <c r="G4834" s="167">
        <v>3417.63</v>
      </c>
      <c r="H4834" s="168">
        <v>27028.880000000001</v>
      </c>
      <c r="I4834" s="168">
        <v>4490.78</v>
      </c>
      <c r="J4834" s="168">
        <v>3899.4</v>
      </c>
      <c r="K4834" s="168">
        <v>18638.7</v>
      </c>
      <c r="L4834" s="43">
        <v>5.9803831763500668</v>
      </c>
      <c r="M4834" s="43">
        <v>11.50037132833107</v>
      </c>
      <c r="N4834" s="43">
        <v>5.4807651763250735</v>
      </c>
      <c r="O4834" s="43">
        <v>5.4536915932971093</v>
      </c>
      <c r="P4834" s="169"/>
      <c r="Q4834" s="169"/>
      <c r="R4834" s="169">
        <v>8</v>
      </c>
    </row>
    <row r="4835" spans="1:18" ht="12.75" customHeight="1">
      <c r="A4835" s="628" t="s">
        <v>8874</v>
      </c>
      <c r="B4835" s="629"/>
      <c r="C4835" s="629"/>
      <c r="D4835" s="629"/>
      <c r="E4835" s="629"/>
      <c r="F4835" s="629"/>
      <c r="G4835" s="629"/>
      <c r="H4835" s="629"/>
      <c r="I4835" s="629"/>
      <c r="J4835" s="629"/>
      <c r="K4835" s="629"/>
      <c r="L4835" s="629"/>
      <c r="M4835" s="629"/>
      <c r="N4835" s="629"/>
      <c r="O4835" s="629"/>
      <c r="P4835" s="629"/>
      <c r="Q4835" s="629"/>
      <c r="R4835" s="629"/>
    </row>
    <row r="4836" spans="1:18" ht="36">
      <c r="A4836" s="165">
        <v>1935</v>
      </c>
      <c r="B4836" s="162" t="s">
        <v>8875</v>
      </c>
      <c r="C4836" s="166" t="s">
        <v>8876</v>
      </c>
      <c r="D4836" s="167">
        <v>11918.31</v>
      </c>
      <c r="E4836" s="167">
        <v>6929.37</v>
      </c>
      <c r="F4836" s="167">
        <v>681.4</v>
      </c>
      <c r="G4836" s="167">
        <v>4307.54</v>
      </c>
      <c r="H4836" s="168">
        <v>104998.15</v>
      </c>
      <c r="I4836" s="168">
        <v>79690.990000000005</v>
      </c>
      <c r="J4836" s="168">
        <v>3739.97</v>
      </c>
      <c r="K4836" s="168">
        <v>21567.19</v>
      </c>
      <c r="L4836" s="43">
        <v>8.8098186739562898</v>
      </c>
      <c r="M4836" s="43">
        <v>11.500466853408032</v>
      </c>
      <c r="N4836" s="43">
        <v>5.4886557088347523</v>
      </c>
      <c r="O4836" s="43">
        <v>5.0068461349169127</v>
      </c>
      <c r="P4836" s="169"/>
      <c r="Q4836" s="169"/>
      <c r="R4836" s="169">
        <v>9</v>
      </c>
    </row>
    <row r="4837" spans="1:18" ht="36">
      <c r="A4837" s="165">
        <v>1936</v>
      </c>
      <c r="B4837" s="162" t="s">
        <v>8877</v>
      </c>
      <c r="C4837" s="166" t="s">
        <v>8878</v>
      </c>
      <c r="D4837" s="167">
        <v>6286.83</v>
      </c>
      <c r="E4837" s="167">
        <v>2474.0100000000002</v>
      </c>
      <c r="F4837" s="167">
        <v>711.98</v>
      </c>
      <c r="G4837" s="167">
        <v>3100.84</v>
      </c>
      <c r="H4837" s="168">
        <v>47867.47</v>
      </c>
      <c r="I4837" s="168">
        <v>28452.27</v>
      </c>
      <c r="J4837" s="168">
        <v>3901.66</v>
      </c>
      <c r="K4837" s="168">
        <v>15513.54</v>
      </c>
      <c r="L4837" s="43">
        <v>7.6139278459891555</v>
      </c>
      <c r="M4837" s="43">
        <v>11.50046685340803</v>
      </c>
      <c r="N4837" s="43">
        <v>5.480013483524818</v>
      </c>
      <c r="O4837" s="43">
        <v>5.0030120870473809</v>
      </c>
      <c r="P4837" s="169"/>
      <c r="Q4837" s="169"/>
      <c r="R4837" s="169">
        <v>9</v>
      </c>
    </row>
    <row r="4838" spans="1:18" ht="29.25" customHeight="1">
      <c r="A4838" s="628" t="s">
        <v>8879</v>
      </c>
      <c r="B4838" s="629"/>
      <c r="C4838" s="629"/>
      <c r="D4838" s="629"/>
      <c r="E4838" s="629"/>
      <c r="F4838" s="629"/>
      <c r="G4838" s="629"/>
      <c r="H4838" s="629"/>
      <c r="I4838" s="629"/>
      <c r="J4838" s="629"/>
      <c r="K4838" s="629"/>
      <c r="L4838" s="629"/>
      <c r="M4838" s="629"/>
      <c r="N4838" s="629"/>
      <c r="O4838" s="629"/>
      <c r="P4838" s="629"/>
      <c r="Q4838" s="629"/>
      <c r="R4838" s="629"/>
    </row>
    <row r="4839" spans="1:18" ht="60">
      <c r="A4839" s="165">
        <v>1937</v>
      </c>
      <c r="B4839" s="162" t="s">
        <v>8880</v>
      </c>
      <c r="C4839" s="166" t="s">
        <v>8881</v>
      </c>
      <c r="D4839" s="167">
        <v>3070.92</v>
      </c>
      <c r="E4839" s="167">
        <v>2056.71</v>
      </c>
      <c r="F4839" s="167">
        <v>666.05</v>
      </c>
      <c r="G4839" s="167">
        <v>348.16</v>
      </c>
      <c r="H4839" s="168">
        <v>29535.17</v>
      </c>
      <c r="I4839" s="168">
        <v>23653.06</v>
      </c>
      <c r="J4839" s="168">
        <v>3652.53</v>
      </c>
      <c r="K4839" s="168">
        <v>2229.58</v>
      </c>
      <c r="L4839" s="43">
        <v>9.6176943717192227</v>
      </c>
      <c r="M4839" s="43">
        <v>11.500435161009573</v>
      </c>
      <c r="N4839" s="43">
        <v>5.483867577509197</v>
      </c>
      <c r="O4839" s="43">
        <v>6.4038947610294112</v>
      </c>
      <c r="P4839" s="169"/>
      <c r="Q4839" s="169"/>
      <c r="R4839" s="169">
        <v>10</v>
      </c>
    </row>
    <row r="4840" spans="1:18" ht="60">
      <c r="A4840" s="165">
        <v>1938</v>
      </c>
      <c r="B4840" s="162" t="s">
        <v>8882</v>
      </c>
      <c r="C4840" s="166" t="s">
        <v>8883</v>
      </c>
      <c r="D4840" s="167">
        <v>2356.02</v>
      </c>
      <c r="E4840" s="167">
        <v>1355.82</v>
      </c>
      <c r="F4840" s="167">
        <v>666.05</v>
      </c>
      <c r="G4840" s="167">
        <v>334.15</v>
      </c>
      <c r="H4840" s="168">
        <v>21313.51</v>
      </c>
      <c r="I4840" s="168">
        <v>15592.52</v>
      </c>
      <c r="J4840" s="168">
        <v>3652.53</v>
      </c>
      <c r="K4840" s="168">
        <v>2068.46</v>
      </c>
      <c r="L4840" s="43">
        <v>9.0464045296729232</v>
      </c>
      <c r="M4840" s="43">
        <v>11.500435161009575</v>
      </c>
      <c r="N4840" s="43">
        <v>5.483867577509197</v>
      </c>
      <c r="O4840" s="43">
        <v>6.1902139757593897</v>
      </c>
      <c r="P4840" s="169"/>
      <c r="Q4840" s="169"/>
      <c r="R4840" s="169">
        <v>10</v>
      </c>
    </row>
    <row r="4841" spans="1:18" ht="26.25" customHeight="1">
      <c r="A4841" s="628" t="s">
        <v>8884</v>
      </c>
      <c r="B4841" s="629"/>
      <c r="C4841" s="629"/>
      <c r="D4841" s="629"/>
      <c r="E4841" s="629"/>
      <c r="F4841" s="629"/>
      <c r="G4841" s="629"/>
      <c r="H4841" s="629"/>
      <c r="I4841" s="629"/>
      <c r="J4841" s="629"/>
      <c r="K4841" s="629"/>
      <c r="L4841" s="629"/>
      <c r="M4841" s="629"/>
      <c r="N4841" s="629"/>
      <c r="O4841" s="629"/>
      <c r="P4841" s="629"/>
      <c r="Q4841" s="629"/>
      <c r="R4841" s="629"/>
    </row>
    <row r="4842" spans="1:18" ht="48">
      <c r="A4842" s="165">
        <v>1939</v>
      </c>
      <c r="B4842" s="162" t="s">
        <v>8885</v>
      </c>
      <c r="C4842" s="166" t="s">
        <v>8886</v>
      </c>
      <c r="D4842" s="167">
        <v>13219.94</v>
      </c>
      <c r="E4842" s="167">
        <v>11650.86</v>
      </c>
      <c r="F4842" s="167">
        <v>920.68</v>
      </c>
      <c r="G4842" s="167">
        <v>648.4</v>
      </c>
      <c r="H4842" s="168">
        <v>144081.41</v>
      </c>
      <c r="I4842" s="168">
        <v>133989.96</v>
      </c>
      <c r="J4842" s="168">
        <v>5063.95</v>
      </c>
      <c r="K4842" s="168">
        <v>5027.5</v>
      </c>
      <c r="L4842" s="43">
        <v>10.898794548235468</v>
      </c>
      <c r="M4842" s="43">
        <v>11.500435161009571</v>
      </c>
      <c r="N4842" s="43">
        <v>5.5002280922796194</v>
      </c>
      <c r="O4842" s="43">
        <v>7.7537014188772364</v>
      </c>
      <c r="P4842" s="169"/>
      <c r="Q4842" s="169"/>
      <c r="R4842" s="169">
        <v>11</v>
      </c>
    </row>
    <row r="4843" spans="1:18" ht="48">
      <c r="A4843" s="165">
        <v>1940</v>
      </c>
      <c r="B4843" s="162" t="s">
        <v>8887</v>
      </c>
      <c r="C4843" s="166" t="s">
        <v>8888</v>
      </c>
      <c r="D4843" s="167">
        <v>10762.52</v>
      </c>
      <c r="E4843" s="167">
        <v>9640.11</v>
      </c>
      <c r="F4843" s="167">
        <v>659.47</v>
      </c>
      <c r="G4843" s="167">
        <v>462.94</v>
      </c>
      <c r="H4843" s="168">
        <v>118263.76</v>
      </c>
      <c r="I4843" s="168">
        <v>110865.46</v>
      </c>
      <c r="J4843" s="168">
        <v>3629.27</v>
      </c>
      <c r="K4843" s="168">
        <v>3769.03</v>
      </c>
      <c r="L4843" s="43">
        <v>10.988482251368637</v>
      </c>
      <c r="M4843" s="43">
        <v>11.500435161009573</v>
      </c>
      <c r="N4843" s="43">
        <v>5.5033132667141791</v>
      </c>
      <c r="O4843" s="43">
        <v>8.1415086188274941</v>
      </c>
      <c r="P4843" s="169"/>
      <c r="Q4843" s="169"/>
      <c r="R4843" s="169">
        <v>11</v>
      </c>
    </row>
    <row r="4844" spans="1:18" ht="25.5" customHeight="1">
      <c r="A4844" s="628" t="s">
        <v>8889</v>
      </c>
      <c r="B4844" s="629"/>
      <c r="C4844" s="629"/>
      <c r="D4844" s="629"/>
      <c r="E4844" s="629"/>
      <c r="F4844" s="629"/>
      <c r="G4844" s="629"/>
      <c r="H4844" s="629"/>
      <c r="I4844" s="629"/>
      <c r="J4844" s="629"/>
      <c r="K4844" s="629"/>
      <c r="L4844" s="629"/>
      <c r="M4844" s="629"/>
      <c r="N4844" s="629"/>
      <c r="O4844" s="629"/>
      <c r="P4844" s="629"/>
      <c r="Q4844" s="629"/>
      <c r="R4844" s="629"/>
    </row>
    <row r="4845" spans="1:18" ht="48">
      <c r="A4845" s="165">
        <v>1941</v>
      </c>
      <c r="B4845" s="162" t="s">
        <v>8890</v>
      </c>
      <c r="C4845" s="166" t="s">
        <v>8891</v>
      </c>
      <c r="D4845" s="167">
        <v>5616.56</v>
      </c>
      <c r="E4845" s="167">
        <v>4733.88</v>
      </c>
      <c r="F4845" s="167">
        <v>575.05999999999995</v>
      </c>
      <c r="G4845" s="167">
        <v>307.62</v>
      </c>
      <c r="H4845" s="168">
        <v>59736.58</v>
      </c>
      <c r="I4845" s="168">
        <v>54441.68</v>
      </c>
      <c r="J4845" s="168">
        <v>3169.3</v>
      </c>
      <c r="K4845" s="168">
        <v>2125.6</v>
      </c>
      <c r="L4845" s="43">
        <v>10.635794863760024</v>
      </c>
      <c r="M4845" s="43">
        <v>11.500435161009573</v>
      </c>
      <c r="N4845" s="43">
        <v>5.5112509998956636</v>
      </c>
      <c r="O4845" s="43">
        <v>6.9098238085950197</v>
      </c>
      <c r="P4845" s="169"/>
      <c r="Q4845" s="169"/>
      <c r="R4845" s="169">
        <v>12</v>
      </c>
    </row>
    <row r="4846" spans="1:18" ht="48">
      <c r="A4846" s="165">
        <v>1942</v>
      </c>
      <c r="B4846" s="162" t="s">
        <v>8892</v>
      </c>
      <c r="C4846" s="166" t="s">
        <v>8893</v>
      </c>
      <c r="D4846" s="167">
        <v>10226.67</v>
      </c>
      <c r="E4846" s="167">
        <v>9329.8799999999992</v>
      </c>
      <c r="F4846" s="167">
        <v>581.73</v>
      </c>
      <c r="G4846" s="167">
        <v>315.06</v>
      </c>
      <c r="H4846" s="168">
        <v>113349.58</v>
      </c>
      <c r="I4846" s="168">
        <v>107297.68</v>
      </c>
      <c r="J4846" s="168">
        <v>3201.47</v>
      </c>
      <c r="K4846" s="168">
        <v>2850.43</v>
      </c>
      <c r="L4846" s="43">
        <v>11.083723245201028</v>
      </c>
      <c r="M4846" s="43">
        <v>11.500435161009573</v>
      </c>
      <c r="N4846" s="43">
        <v>5.50336066560088</v>
      </c>
      <c r="O4846" s="43">
        <v>9.0472608392052294</v>
      </c>
      <c r="P4846" s="169"/>
      <c r="Q4846" s="169"/>
      <c r="R4846" s="169">
        <v>12</v>
      </c>
    </row>
    <row r="4847" spans="1:18" ht="48">
      <c r="A4847" s="165">
        <v>1943</v>
      </c>
      <c r="B4847" s="162" t="s">
        <v>8894</v>
      </c>
      <c r="C4847" s="166" t="s">
        <v>8895</v>
      </c>
      <c r="D4847" s="167">
        <v>6997.63</v>
      </c>
      <c r="E4847" s="167">
        <v>6216.09</v>
      </c>
      <c r="F4847" s="167">
        <v>575.23</v>
      </c>
      <c r="G4847" s="167">
        <v>206.31</v>
      </c>
      <c r="H4847" s="168">
        <v>76535.75</v>
      </c>
      <c r="I4847" s="168">
        <v>71487.740000000005</v>
      </c>
      <c r="J4847" s="168">
        <v>3168.5</v>
      </c>
      <c r="K4847" s="168">
        <v>1879.51</v>
      </c>
      <c r="L4847" s="43">
        <v>10.937381656360797</v>
      </c>
      <c r="M4847" s="43">
        <v>11.500435161009575</v>
      </c>
      <c r="N4847" s="43">
        <v>5.5082314900126903</v>
      </c>
      <c r="O4847" s="43">
        <v>9.110125539237071</v>
      </c>
      <c r="P4847" s="169"/>
      <c r="Q4847" s="169"/>
      <c r="R4847" s="169">
        <v>12</v>
      </c>
    </row>
    <row r="4848" spans="1:18" ht="12.75" customHeight="1">
      <c r="A4848" s="628" t="s">
        <v>8896</v>
      </c>
      <c r="B4848" s="629"/>
      <c r="C4848" s="629"/>
      <c r="D4848" s="629"/>
      <c r="E4848" s="629"/>
      <c r="F4848" s="629"/>
      <c r="G4848" s="629"/>
      <c r="H4848" s="629"/>
      <c r="I4848" s="629"/>
      <c r="J4848" s="629"/>
      <c r="K4848" s="629"/>
      <c r="L4848" s="629"/>
      <c r="M4848" s="629"/>
      <c r="N4848" s="629"/>
      <c r="O4848" s="629"/>
      <c r="P4848" s="629"/>
      <c r="Q4848" s="629"/>
      <c r="R4848" s="629"/>
    </row>
    <row r="4849" spans="1:18" ht="24">
      <c r="A4849" s="165">
        <v>1944</v>
      </c>
      <c r="B4849" s="162" t="s">
        <v>8897</v>
      </c>
      <c r="C4849" s="166" t="s">
        <v>8898</v>
      </c>
      <c r="D4849" s="167">
        <v>2311.83</v>
      </c>
      <c r="E4849" s="167">
        <v>1631.58</v>
      </c>
      <c r="F4849" s="167">
        <v>563.39</v>
      </c>
      <c r="G4849" s="167">
        <v>116.86</v>
      </c>
      <c r="H4849" s="168">
        <v>22780.62</v>
      </c>
      <c r="I4849" s="168">
        <v>18763.88</v>
      </c>
      <c r="J4849" s="168">
        <v>3108.47</v>
      </c>
      <c r="K4849" s="168">
        <v>908.27</v>
      </c>
      <c r="L4849" s="43">
        <v>9.8539338965235324</v>
      </c>
      <c r="M4849" s="43">
        <v>11.500435161009575</v>
      </c>
      <c r="N4849" s="43">
        <v>5.5174390741759707</v>
      </c>
      <c r="O4849" s="43">
        <v>7.7722916310114663</v>
      </c>
      <c r="P4849" s="169"/>
      <c r="Q4849" s="169"/>
      <c r="R4849" s="169">
        <v>13</v>
      </c>
    </row>
    <row r="4850" spans="1:18" ht="24">
      <c r="A4850" s="165">
        <v>1945</v>
      </c>
      <c r="B4850" s="162" t="s">
        <v>8899</v>
      </c>
      <c r="C4850" s="166" t="s">
        <v>8900</v>
      </c>
      <c r="D4850" s="167">
        <v>1333.79</v>
      </c>
      <c r="E4850" s="167">
        <v>755.81</v>
      </c>
      <c r="F4850" s="167">
        <v>562.21</v>
      </c>
      <c r="G4850" s="167">
        <v>15.77</v>
      </c>
      <c r="H4850" s="168">
        <v>11972.68</v>
      </c>
      <c r="I4850" s="168">
        <v>8692.17</v>
      </c>
      <c r="J4850" s="168">
        <v>3102.53</v>
      </c>
      <c r="K4850" s="168">
        <v>177.98</v>
      </c>
      <c r="L4850" s="43">
        <v>8.9764355708169958</v>
      </c>
      <c r="M4850" s="43">
        <v>11.500469694764558</v>
      </c>
      <c r="N4850" s="43">
        <v>5.5184539584852637</v>
      </c>
      <c r="O4850" s="43">
        <v>11.285986049461002</v>
      </c>
      <c r="P4850" s="169"/>
      <c r="Q4850" s="169"/>
      <c r="R4850" s="169">
        <v>13</v>
      </c>
    </row>
    <row r="4851" spans="1:18" ht="12.75" customHeight="1">
      <c r="A4851" s="628" t="s">
        <v>8901</v>
      </c>
      <c r="B4851" s="629"/>
      <c r="C4851" s="629"/>
      <c r="D4851" s="629"/>
      <c r="E4851" s="629"/>
      <c r="F4851" s="629"/>
      <c r="G4851" s="629"/>
      <c r="H4851" s="629"/>
      <c r="I4851" s="629"/>
      <c r="J4851" s="629"/>
      <c r="K4851" s="629"/>
      <c r="L4851" s="629"/>
      <c r="M4851" s="629"/>
      <c r="N4851" s="629"/>
      <c r="O4851" s="629"/>
      <c r="P4851" s="629"/>
      <c r="Q4851" s="629"/>
      <c r="R4851" s="629"/>
    </row>
    <row r="4852" spans="1:18" ht="24">
      <c r="A4852" s="165">
        <v>1946</v>
      </c>
      <c r="B4852" s="162" t="s">
        <v>8902</v>
      </c>
      <c r="C4852" s="166" t="s">
        <v>8903</v>
      </c>
      <c r="D4852" s="167">
        <v>48259.79</v>
      </c>
      <c r="E4852" s="167">
        <v>42002.400000000001</v>
      </c>
      <c r="F4852" s="167">
        <v>1181.94</v>
      </c>
      <c r="G4852" s="167">
        <v>5075.45</v>
      </c>
      <c r="H4852" s="168">
        <v>526638.04</v>
      </c>
      <c r="I4852" s="168">
        <v>483027.6</v>
      </c>
      <c r="J4852" s="168">
        <v>5561.69</v>
      </c>
      <c r="K4852" s="168">
        <v>38048.75</v>
      </c>
      <c r="L4852" s="43">
        <v>10.912563854919386</v>
      </c>
      <c r="M4852" s="43">
        <v>11.499999999999998</v>
      </c>
      <c r="N4852" s="43">
        <v>4.70556034993316</v>
      </c>
      <c r="O4852" s="43">
        <v>7.4966259149435031</v>
      </c>
      <c r="P4852" s="169"/>
      <c r="Q4852" s="169"/>
      <c r="R4852" s="169">
        <v>14</v>
      </c>
    </row>
    <row r="4853" spans="1:18" ht="24">
      <c r="A4853" s="165">
        <v>1947</v>
      </c>
      <c r="B4853" s="162" t="s">
        <v>8904</v>
      </c>
      <c r="C4853" s="166" t="s">
        <v>8905</v>
      </c>
      <c r="D4853" s="167">
        <v>13790.93</v>
      </c>
      <c r="E4853" s="167">
        <v>11310.9</v>
      </c>
      <c r="F4853" s="167">
        <v>1233.21</v>
      </c>
      <c r="G4853" s="167">
        <v>1246.82</v>
      </c>
      <c r="H4853" s="168">
        <v>145317.54</v>
      </c>
      <c r="I4853" s="168">
        <v>130075.35</v>
      </c>
      <c r="J4853" s="168">
        <v>5801.53</v>
      </c>
      <c r="K4853" s="168">
        <v>9440.66</v>
      </c>
      <c r="L4853" s="43">
        <v>10.537182046460972</v>
      </c>
      <c r="M4853" s="43">
        <v>11.5</v>
      </c>
      <c r="N4853" s="43">
        <v>4.7044136846117039</v>
      </c>
      <c r="O4853" s="43">
        <v>7.5717906353763977</v>
      </c>
      <c r="P4853" s="169"/>
      <c r="Q4853" s="169"/>
      <c r="R4853" s="169">
        <v>14</v>
      </c>
    </row>
    <row r="4854" spans="1:18" ht="12.75" customHeight="1">
      <c r="A4854" s="628" t="s">
        <v>8906</v>
      </c>
      <c r="B4854" s="629"/>
      <c r="C4854" s="629"/>
      <c r="D4854" s="629"/>
      <c r="E4854" s="629"/>
      <c r="F4854" s="629"/>
      <c r="G4854" s="629"/>
      <c r="H4854" s="629"/>
      <c r="I4854" s="629"/>
      <c r="J4854" s="629"/>
      <c r="K4854" s="629"/>
      <c r="L4854" s="629"/>
      <c r="M4854" s="629"/>
      <c r="N4854" s="629"/>
      <c r="O4854" s="629"/>
      <c r="P4854" s="629"/>
      <c r="Q4854" s="629"/>
      <c r="R4854" s="629"/>
    </row>
    <row r="4855" spans="1:18" ht="24">
      <c r="A4855" s="165">
        <v>1948</v>
      </c>
      <c r="B4855" s="162" t="s">
        <v>8907</v>
      </c>
      <c r="C4855" s="166" t="s">
        <v>8908</v>
      </c>
      <c r="D4855" s="167">
        <v>603.1</v>
      </c>
      <c r="E4855" s="167">
        <v>23.28</v>
      </c>
      <c r="F4855" s="167">
        <v>2.14</v>
      </c>
      <c r="G4855" s="167">
        <v>577.67999999999995</v>
      </c>
      <c r="H4855" s="168">
        <v>1967.55</v>
      </c>
      <c r="I4855" s="168">
        <v>267.67</v>
      </c>
      <c r="J4855" s="168">
        <v>10.74</v>
      </c>
      <c r="K4855" s="168">
        <v>1689.14</v>
      </c>
      <c r="L4855" s="43">
        <v>3.2623942961366272</v>
      </c>
      <c r="M4855" s="43">
        <v>11.497852233676976</v>
      </c>
      <c r="N4855" s="43">
        <v>5.018691588785047</v>
      </c>
      <c r="O4855" s="43">
        <v>2.9240063703088217</v>
      </c>
      <c r="P4855" s="169"/>
      <c r="Q4855" s="169"/>
      <c r="R4855" s="169">
        <v>15</v>
      </c>
    </row>
    <row r="4856" spans="1:18" ht="24">
      <c r="A4856" s="165">
        <v>1949</v>
      </c>
      <c r="B4856" s="162" t="s">
        <v>8909</v>
      </c>
      <c r="C4856" s="166" t="s">
        <v>8910</v>
      </c>
      <c r="D4856" s="167">
        <v>735.07</v>
      </c>
      <c r="E4856" s="167">
        <v>32.85</v>
      </c>
      <c r="F4856" s="167">
        <v>2.2000000000000002</v>
      </c>
      <c r="G4856" s="167">
        <v>700.02</v>
      </c>
      <c r="H4856" s="168">
        <v>2366.71</v>
      </c>
      <c r="I4856" s="168">
        <v>377.72</v>
      </c>
      <c r="J4856" s="168">
        <v>11.02</v>
      </c>
      <c r="K4856" s="168">
        <v>1977.97</v>
      </c>
      <c r="L4856" s="43">
        <v>3.2197069666834448</v>
      </c>
      <c r="M4856" s="43">
        <v>11.498325722983257</v>
      </c>
      <c r="N4856" s="43">
        <v>5.0090909090909088</v>
      </c>
      <c r="O4856" s="43">
        <v>2.8255906974086455</v>
      </c>
      <c r="P4856" s="169"/>
      <c r="Q4856" s="169"/>
      <c r="R4856" s="169">
        <v>15</v>
      </c>
    </row>
    <row r="4857" spans="1:18" ht="17.25" customHeight="1">
      <c r="A4857" s="628" t="s">
        <v>8911</v>
      </c>
      <c r="B4857" s="629"/>
      <c r="C4857" s="629"/>
      <c r="D4857" s="629"/>
      <c r="E4857" s="629"/>
      <c r="F4857" s="629"/>
      <c r="G4857" s="629"/>
      <c r="H4857" s="629"/>
      <c r="I4857" s="629"/>
      <c r="J4857" s="629"/>
      <c r="K4857" s="629"/>
      <c r="L4857" s="629"/>
      <c r="M4857" s="629"/>
      <c r="N4857" s="629"/>
      <c r="O4857" s="629"/>
      <c r="P4857" s="629"/>
      <c r="Q4857" s="629"/>
      <c r="R4857" s="629"/>
    </row>
    <row r="4858" spans="1:18" ht="12.75" customHeight="1">
      <c r="A4858" s="628" t="s">
        <v>8912</v>
      </c>
      <c r="B4858" s="629"/>
      <c r="C4858" s="629"/>
      <c r="D4858" s="629"/>
      <c r="E4858" s="629"/>
      <c r="F4858" s="629"/>
      <c r="G4858" s="629"/>
      <c r="H4858" s="629"/>
      <c r="I4858" s="629"/>
      <c r="J4858" s="629"/>
      <c r="K4858" s="629"/>
      <c r="L4858" s="629"/>
      <c r="M4858" s="629"/>
      <c r="N4858" s="629"/>
      <c r="O4858" s="629"/>
      <c r="P4858" s="629"/>
      <c r="Q4858" s="629"/>
      <c r="R4858" s="629"/>
    </row>
    <row r="4859" spans="1:18" ht="24">
      <c r="A4859" s="165">
        <v>1950</v>
      </c>
      <c r="B4859" s="162" t="s">
        <v>8913</v>
      </c>
      <c r="C4859" s="166" t="s">
        <v>8914</v>
      </c>
      <c r="D4859" s="167">
        <v>2296.79</v>
      </c>
      <c r="E4859" s="167">
        <v>1035.25</v>
      </c>
      <c r="F4859" s="167">
        <v>750.81</v>
      </c>
      <c r="G4859" s="167">
        <v>510.73</v>
      </c>
      <c r="H4859" s="168">
        <v>17676.98</v>
      </c>
      <c r="I4859" s="168">
        <v>11905.81</v>
      </c>
      <c r="J4859" s="168">
        <v>4042.24</v>
      </c>
      <c r="K4859" s="168">
        <v>1728.93</v>
      </c>
      <c r="L4859" s="43">
        <v>7.6963849546541043</v>
      </c>
      <c r="M4859" s="43">
        <v>11.500420188360298</v>
      </c>
      <c r="N4859" s="43">
        <v>5.3838387874428948</v>
      </c>
      <c r="O4859" s="43">
        <v>3.3852133221075715</v>
      </c>
      <c r="P4859" s="169"/>
      <c r="Q4859" s="169"/>
      <c r="R4859" s="169">
        <v>1</v>
      </c>
    </row>
    <row r="4860" spans="1:18" ht="24">
      <c r="A4860" s="165">
        <v>1951</v>
      </c>
      <c r="B4860" s="162" t="s">
        <v>8915</v>
      </c>
      <c r="C4860" s="166" t="s">
        <v>8916</v>
      </c>
      <c r="D4860" s="167">
        <v>2626.92</v>
      </c>
      <c r="E4860" s="167">
        <v>1160.49</v>
      </c>
      <c r="F4860" s="167">
        <v>896.86</v>
      </c>
      <c r="G4860" s="167">
        <v>569.57000000000005</v>
      </c>
      <c r="H4860" s="168">
        <v>20113.169999999998</v>
      </c>
      <c r="I4860" s="168">
        <v>13346.14</v>
      </c>
      <c r="J4860" s="168">
        <v>4836.7299999999996</v>
      </c>
      <c r="K4860" s="168">
        <v>1930.3</v>
      </c>
      <c r="L4860" s="43">
        <v>7.6565597734228668</v>
      </c>
      <c r="M4860" s="43">
        <v>11.500435161009573</v>
      </c>
      <c r="N4860" s="43">
        <v>5.3929598822558695</v>
      </c>
      <c r="O4860" s="43">
        <v>3.3890478782239231</v>
      </c>
      <c r="P4860" s="169"/>
      <c r="Q4860" s="169"/>
      <c r="R4860" s="169">
        <v>1</v>
      </c>
    </row>
    <row r="4861" spans="1:18" ht="24">
      <c r="A4861" s="165">
        <v>1952</v>
      </c>
      <c r="B4861" s="162" t="s">
        <v>8917</v>
      </c>
      <c r="C4861" s="166" t="s">
        <v>8918</v>
      </c>
      <c r="D4861" s="167">
        <v>3265.54</v>
      </c>
      <c r="E4861" s="167">
        <v>1424.76</v>
      </c>
      <c r="F4861" s="167">
        <v>1225.94</v>
      </c>
      <c r="G4861" s="167">
        <v>614.84</v>
      </c>
      <c r="H4861" s="168">
        <v>25134.94</v>
      </c>
      <c r="I4861" s="168">
        <v>16385.36</v>
      </c>
      <c r="J4861" s="168">
        <v>6629.57</v>
      </c>
      <c r="K4861" s="168">
        <v>2120.0100000000002</v>
      </c>
      <c r="L4861" s="43">
        <v>7.6970240756505808</v>
      </c>
      <c r="M4861" s="43">
        <v>11.500435161009573</v>
      </c>
      <c r="N4861" s="43">
        <v>5.4077442615462417</v>
      </c>
      <c r="O4861" s="43">
        <v>3.4480677899941452</v>
      </c>
      <c r="P4861" s="169"/>
      <c r="Q4861" s="169"/>
      <c r="R4861" s="169">
        <v>1</v>
      </c>
    </row>
    <row r="4862" spans="1:18" ht="12.75" customHeight="1">
      <c r="A4862" s="628" t="s">
        <v>8919</v>
      </c>
      <c r="B4862" s="629"/>
      <c r="C4862" s="629"/>
      <c r="D4862" s="629"/>
      <c r="E4862" s="629"/>
      <c r="F4862" s="629"/>
      <c r="G4862" s="629"/>
      <c r="H4862" s="629"/>
      <c r="I4862" s="629"/>
      <c r="J4862" s="629"/>
      <c r="K4862" s="629"/>
      <c r="L4862" s="629"/>
      <c r="M4862" s="629"/>
      <c r="N4862" s="629"/>
      <c r="O4862" s="629"/>
      <c r="P4862" s="629"/>
      <c r="Q4862" s="629"/>
      <c r="R4862" s="629"/>
    </row>
    <row r="4863" spans="1:18" ht="24">
      <c r="A4863" s="165">
        <v>1953</v>
      </c>
      <c r="B4863" s="162" t="s">
        <v>8920</v>
      </c>
      <c r="C4863" s="166" t="s">
        <v>8921</v>
      </c>
      <c r="D4863" s="167">
        <v>2200.5</v>
      </c>
      <c r="E4863" s="167">
        <v>864.39</v>
      </c>
      <c r="F4863" s="167">
        <v>422.66</v>
      </c>
      <c r="G4863" s="167">
        <v>913.45</v>
      </c>
      <c r="H4863" s="168">
        <v>15603.46</v>
      </c>
      <c r="I4863" s="168">
        <v>9940.44</v>
      </c>
      <c r="J4863" s="168">
        <v>2243.91</v>
      </c>
      <c r="K4863" s="168">
        <v>3419.11</v>
      </c>
      <c r="L4863" s="43">
        <v>7.0908702567598265</v>
      </c>
      <c r="M4863" s="43">
        <v>11.499947940165898</v>
      </c>
      <c r="N4863" s="43">
        <v>5.3090190697014146</v>
      </c>
      <c r="O4863" s="43">
        <v>3.7430729651321912</v>
      </c>
      <c r="P4863" s="169"/>
      <c r="Q4863" s="169"/>
      <c r="R4863" s="169">
        <v>2</v>
      </c>
    </row>
    <row r="4864" spans="1:18" ht="24">
      <c r="A4864" s="165">
        <v>1954</v>
      </c>
      <c r="B4864" s="162" t="s">
        <v>8922</v>
      </c>
      <c r="C4864" s="166" t="s">
        <v>8923</v>
      </c>
      <c r="D4864" s="167">
        <v>2535.8000000000002</v>
      </c>
      <c r="E4864" s="167">
        <v>1027.32</v>
      </c>
      <c r="F4864" s="167">
        <v>555.11</v>
      </c>
      <c r="G4864" s="167">
        <v>953.37</v>
      </c>
      <c r="H4864" s="168">
        <v>18365.68</v>
      </c>
      <c r="I4864" s="168">
        <v>11814.16</v>
      </c>
      <c r="J4864" s="168">
        <v>2963.22</v>
      </c>
      <c r="K4864" s="168">
        <v>3588.3</v>
      </c>
      <c r="L4864" s="43">
        <v>7.2425585614007408</v>
      </c>
      <c r="M4864" s="43">
        <v>11.49998053186933</v>
      </c>
      <c r="N4864" s="43">
        <v>5.3380771378645671</v>
      </c>
      <c r="O4864" s="43">
        <v>3.7638062871707731</v>
      </c>
      <c r="P4864" s="169"/>
      <c r="Q4864" s="169"/>
      <c r="R4864" s="169">
        <v>2</v>
      </c>
    </row>
    <row r="4865" spans="1:18" ht="24">
      <c r="A4865" s="165">
        <v>1955</v>
      </c>
      <c r="B4865" s="162" t="s">
        <v>8924</v>
      </c>
      <c r="C4865" s="166" t="s">
        <v>8925</v>
      </c>
      <c r="D4865" s="167">
        <v>2836.09</v>
      </c>
      <c r="E4865" s="167">
        <v>1153.22</v>
      </c>
      <c r="F4865" s="167">
        <v>690.33</v>
      </c>
      <c r="G4865" s="167">
        <v>992.54</v>
      </c>
      <c r="H4865" s="168">
        <v>20708.71</v>
      </c>
      <c r="I4865" s="168">
        <v>13262.03</v>
      </c>
      <c r="J4865" s="168">
        <v>3697.83</v>
      </c>
      <c r="K4865" s="168">
        <v>3748.85</v>
      </c>
      <c r="L4865" s="43">
        <v>7.3018521979203754</v>
      </c>
      <c r="M4865" s="43">
        <v>11.5</v>
      </c>
      <c r="N4865" s="43">
        <v>5.3566120551040806</v>
      </c>
      <c r="O4865" s="43">
        <v>3.7770266185745665</v>
      </c>
      <c r="P4865" s="169"/>
      <c r="Q4865" s="169"/>
      <c r="R4865" s="169">
        <v>2</v>
      </c>
    </row>
    <row r="4866" spans="1:18" ht="24">
      <c r="A4866" s="165">
        <v>1956</v>
      </c>
      <c r="B4866" s="162" t="s">
        <v>8926</v>
      </c>
      <c r="C4866" s="166" t="s">
        <v>8927</v>
      </c>
      <c r="D4866" s="167">
        <v>3178.03</v>
      </c>
      <c r="E4866" s="167">
        <v>1280.18</v>
      </c>
      <c r="F4866" s="167">
        <v>827.13</v>
      </c>
      <c r="G4866" s="167">
        <v>1070.72</v>
      </c>
      <c r="H4866" s="168">
        <v>23228.400000000001</v>
      </c>
      <c r="I4866" s="168">
        <v>14722.07</v>
      </c>
      <c r="J4866" s="168">
        <v>4440.8900000000003</v>
      </c>
      <c r="K4866" s="168">
        <v>4065.44</v>
      </c>
      <c r="L4866" s="43">
        <v>7.3090562392425493</v>
      </c>
      <c r="M4866" s="43">
        <v>11.5</v>
      </c>
      <c r="N4866" s="43">
        <v>5.3690350972640335</v>
      </c>
      <c r="O4866" s="43">
        <v>3.7969216975493127</v>
      </c>
      <c r="P4866" s="169"/>
      <c r="Q4866" s="169"/>
      <c r="R4866" s="169">
        <v>2</v>
      </c>
    </row>
    <row r="4867" spans="1:18" ht="24">
      <c r="A4867" s="165">
        <v>1957</v>
      </c>
      <c r="B4867" s="162" t="s">
        <v>8928</v>
      </c>
      <c r="C4867" s="166" t="s">
        <v>8929</v>
      </c>
      <c r="D4867" s="167">
        <v>3540.56</v>
      </c>
      <c r="E4867" s="167">
        <v>1428.3</v>
      </c>
      <c r="F4867" s="167">
        <v>962.92</v>
      </c>
      <c r="G4867" s="167">
        <v>1149.3399999999999</v>
      </c>
      <c r="H4867" s="168">
        <v>25990.76</v>
      </c>
      <c r="I4867" s="168">
        <v>16425.45</v>
      </c>
      <c r="J4867" s="168">
        <v>5178.34</v>
      </c>
      <c r="K4867" s="168">
        <v>4386.97</v>
      </c>
      <c r="L4867" s="43">
        <v>7.3408613326705376</v>
      </c>
      <c r="M4867" s="43">
        <v>11.5</v>
      </c>
      <c r="N4867" s="43">
        <v>5.377746853321149</v>
      </c>
      <c r="O4867" s="43">
        <v>3.8169471174761171</v>
      </c>
      <c r="P4867" s="169"/>
      <c r="Q4867" s="169"/>
      <c r="R4867" s="169">
        <v>2</v>
      </c>
    </row>
    <row r="4868" spans="1:18" ht="12.75" customHeight="1">
      <c r="A4868" s="628" t="s">
        <v>8930</v>
      </c>
      <c r="B4868" s="629"/>
      <c r="C4868" s="629"/>
      <c r="D4868" s="629"/>
      <c r="E4868" s="629"/>
      <c r="F4868" s="629"/>
      <c r="G4868" s="629"/>
      <c r="H4868" s="629"/>
      <c r="I4868" s="629"/>
      <c r="J4868" s="629"/>
      <c r="K4868" s="629"/>
      <c r="L4868" s="629"/>
      <c r="M4868" s="629"/>
      <c r="N4868" s="629"/>
      <c r="O4868" s="629"/>
      <c r="P4868" s="629"/>
      <c r="Q4868" s="629"/>
      <c r="R4868" s="629"/>
    </row>
    <row r="4869" spans="1:18" ht="24">
      <c r="A4869" s="165">
        <v>1958</v>
      </c>
      <c r="B4869" s="162" t="s">
        <v>8931</v>
      </c>
      <c r="C4869" s="166" t="s">
        <v>8932</v>
      </c>
      <c r="D4869" s="167">
        <v>1875.94</v>
      </c>
      <c r="E4869" s="167">
        <v>444.36</v>
      </c>
      <c r="F4869" s="167">
        <v>453.31</v>
      </c>
      <c r="G4869" s="167">
        <v>978.27</v>
      </c>
      <c r="H4869" s="168">
        <v>11220.36</v>
      </c>
      <c r="I4869" s="168">
        <v>5110.1400000000003</v>
      </c>
      <c r="J4869" s="168">
        <v>2446.31</v>
      </c>
      <c r="K4869" s="168">
        <v>3663.91</v>
      </c>
      <c r="L4869" s="43">
        <v>5.981193428361248</v>
      </c>
      <c r="M4869" s="43">
        <v>11.5</v>
      </c>
      <c r="N4869" s="43">
        <v>5.3965498224173301</v>
      </c>
      <c r="O4869" s="43">
        <v>3.7452952661330716</v>
      </c>
      <c r="P4869" s="169"/>
      <c r="Q4869" s="169"/>
      <c r="R4869" s="169">
        <v>3</v>
      </c>
    </row>
    <row r="4870" spans="1:18" ht="24">
      <c r="A4870" s="165">
        <v>1959</v>
      </c>
      <c r="B4870" s="162" t="s">
        <v>8933</v>
      </c>
      <c r="C4870" s="166" t="s">
        <v>8934</v>
      </c>
      <c r="D4870" s="167">
        <v>2295.59</v>
      </c>
      <c r="E4870" s="167">
        <v>760.7</v>
      </c>
      <c r="F4870" s="167">
        <v>478.93</v>
      </c>
      <c r="G4870" s="167">
        <v>1055.96</v>
      </c>
      <c r="H4870" s="168">
        <v>15346.29</v>
      </c>
      <c r="I4870" s="168">
        <v>8748.07</v>
      </c>
      <c r="J4870" s="168">
        <v>2545.41</v>
      </c>
      <c r="K4870" s="168">
        <v>4052.81</v>
      </c>
      <c r="L4870" s="43">
        <v>6.6851179870969988</v>
      </c>
      <c r="M4870" s="43">
        <v>11.500026291573549</v>
      </c>
      <c r="N4870" s="43">
        <v>5.3147850416553561</v>
      </c>
      <c r="O4870" s="43">
        <v>3.838033637637789</v>
      </c>
      <c r="P4870" s="169"/>
      <c r="Q4870" s="169"/>
      <c r="R4870" s="169">
        <v>3</v>
      </c>
    </row>
    <row r="4871" spans="1:18" ht="12.75" customHeight="1">
      <c r="A4871" s="628" t="s">
        <v>8935</v>
      </c>
      <c r="B4871" s="629"/>
      <c r="C4871" s="629"/>
      <c r="D4871" s="629"/>
      <c r="E4871" s="629"/>
      <c r="F4871" s="629"/>
      <c r="G4871" s="629"/>
      <c r="H4871" s="629"/>
      <c r="I4871" s="629"/>
      <c r="J4871" s="629"/>
      <c r="K4871" s="629"/>
      <c r="L4871" s="629"/>
      <c r="M4871" s="629"/>
      <c r="N4871" s="629"/>
      <c r="O4871" s="629"/>
      <c r="P4871" s="629"/>
      <c r="Q4871" s="629"/>
      <c r="R4871" s="629"/>
    </row>
    <row r="4872" spans="1:18" ht="24">
      <c r="A4872" s="165">
        <v>1960</v>
      </c>
      <c r="B4872" s="162" t="s">
        <v>8936</v>
      </c>
      <c r="C4872" s="166" t="s">
        <v>8937</v>
      </c>
      <c r="D4872" s="167">
        <v>642.84</v>
      </c>
      <c r="E4872" s="167">
        <v>149.37</v>
      </c>
      <c r="F4872" s="167">
        <v>112.46</v>
      </c>
      <c r="G4872" s="167">
        <v>381.01</v>
      </c>
      <c r="H4872" s="168">
        <v>3448.24</v>
      </c>
      <c r="I4872" s="168">
        <v>1717.82</v>
      </c>
      <c r="J4872" s="168">
        <v>617.80999999999995</v>
      </c>
      <c r="K4872" s="168">
        <v>1112.6099999999999</v>
      </c>
      <c r="L4872" s="43">
        <v>5.364071930807043</v>
      </c>
      <c r="M4872" s="43">
        <v>11.500435161009573</v>
      </c>
      <c r="N4872" s="43">
        <v>5.4935977236350704</v>
      </c>
      <c r="O4872" s="43">
        <v>2.9201595758641505</v>
      </c>
      <c r="P4872" s="169"/>
      <c r="Q4872" s="169"/>
      <c r="R4872" s="169">
        <v>4</v>
      </c>
    </row>
    <row r="4873" spans="1:18" ht="24">
      <c r="A4873" s="165">
        <v>1961</v>
      </c>
      <c r="B4873" s="162" t="s">
        <v>8938</v>
      </c>
      <c r="C4873" s="166" t="s">
        <v>8939</v>
      </c>
      <c r="D4873" s="167">
        <v>680.64</v>
      </c>
      <c r="E4873" s="167">
        <v>172.35</v>
      </c>
      <c r="F4873" s="167">
        <v>127.32</v>
      </c>
      <c r="G4873" s="167">
        <v>380.97</v>
      </c>
      <c r="H4873" s="168">
        <v>3775.07</v>
      </c>
      <c r="I4873" s="168">
        <v>1982.1</v>
      </c>
      <c r="J4873" s="168">
        <v>698.11</v>
      </c>
      <c r="K4873" s="168">
        <v>1094.8599999999999</v>
      </c>
      <c r="L4873" s="43">
        <v>5.54635343206394</v>
      </c>
      <c r="M4873" s="43">
        <v>11.500435161009573</v>
      </c>
      <c r="N4873" s="43">
        <v>5.4831134150172796</v>
      </c>
      <c r="O4873" s="43">
        <v>2.8738745833005219</v>
      </c>
      <c r="P4873" s="169"/>
      <c r="Q4873" s="169"/>
      <c r="R4873" s="169">
        <v>4</v>
      </c>
    </row>
    <row r="4874" spans="1:18" ht="24">
      <c r="A4874" s="165">
        <v>1962</v>
      </c>
      <c r="B4874" s="162" t="s">
        <v>8940</v>
      </c>
      <c r="C4874" s="166" t="s">
        <v>8941</v>
      </c>
      <c r="D4874" s="167">
        <v>714.57</v>
      </c>
      <c r="E4874" s="167">
        <v>183.84</v>
      </c>
      <c r="F4874" s="167">
        <v>144.01</v>
      </c>
      <c r="G4874" s="167">
        <v>386.72</v>
      </c>
      <c r="H4874" s="168">
        <v>4016.31</v>
      </c>
      <c r="I4874" s="168">
        <v>2114.2399999999998</v>
      </c>
      <c r="J4874" s="168">
        <v>787.83</v>
      </c>
      <c r="K4874" s="168">
        <v>1114.24</v>
      </c>
      <c r="L4874" s="43">
        <v>5.6205970023930467</v>
      </c>
      <c r="M4874" s="43">
        <v>11.500435161009571</v>
      </c>
      <c r="N4874" s="43">
        <v>5.470661759600028</v>
      </c>
      <c r="O4874" s="43">
        <v>2.8812577575506824</v>
      </c>
      <c r="P4874" s="169"/>
      <c r="Q4874" s="169"/>
      <c r="R4874" s="169">
        <v>4</v>
      </c>
    </row>
    <row r="4875" spans="1:18" ht="24">
      <c r="A4875" s="165">
        <v>1963</v>
      </c>
      <c r="B4875" s="162" t="s">
        <v>8942</v>
      </c>
      <c r="C4875" s="166" t="s">
        <v>8943</v>
      </c>
      <c r="D4875" s="167">
        <v>564.19000000000005</v>
      </c>
      <c r="E4875" s="167">
        <v>160.86000000000001</v>
      </c>
      <c r="F4875" s="167">
        <v>105.12</v>
      </c>
      <c r="G4875" s="167">
        <v>298.20999999999998</v>
      </c>
      <c r="H4875" s="168">
        <v>3352.2</v>
      </c>
      <c r="I4875" s="168">
        <v>1849.96</v>
      </c>
      <c r="J4875" s="168">
        <v>576.30999999999995</v>
      </c>
      <c r="K4875" s="168">
        <v>925.93</v>
      </c>
      <c r="L4875" s="43">
        <v>5.9416154132473098</v>
      </c>
      <c r="M4875" s="43">
        <v>11.500435161009573</v>
      </c>
      <c r="N4875" s="43">
        <v>5.4824010654490101</v>
      </c>
      <c r="O4875" s="43">
        <v>3.1049595922336608</v>
      </c>
      <c r="P4875" s="169"/>
      <c r="Q4875" s="169"/>
      <c r="R4875" s="169">
        <v>4</v>
      </c>
    </row>
    <row r="4876" spans="1:18" ht="24">
      <c r="A4876" s="165">
        <v>1964</v>
      </c>
      <c r="B4876" s="162" t="s">
        <v>8944</v>
      </c>
      <c r="C4876" s="166" t="s">
        <v>8945</v>
      </c>
      <c r="D4876" s="167">
        <v>610.95000000000005</v>
      </c>
      <c r="E4876" s="167">
        <v>183.84</v>
      </c>
      <c r="F4876" s="167">
        <v>123.28</v>
      </c>
      <c r="G4876" s="167">
        <v>303.83</v>
      </c>
      <c r="H4876" s="168">
        <v>3747.95</v>
      </c>
      <c r="I4876" s="168">
        <v>2114.2399999999998</v>
      </c>
      <c r="J4876" s="168">
        <v>675.96</v>
      </c>
      <c r="K4876" s="168">
        <v>957.75</v>
      </c>
      <c r="L4876" s="43">
        <v>6.1346264015058507</v>
      </c>
      <c r="M4876" s="43">
        <v>11.500435161009571</v>
      </c>
      <c r="N4876" s="43">
        <v>5.483127839065542</v>
      </c>
      <c r="O4876" s="43">
        <v>3.1522561958990227</v>
      </c>
      <c r="P4876" s="169"/>
      <c r="Q4876" s="169"/>
      <c r="R4876" s="169">
        <v>4</v>
      </c>
    </row>
    <row r="4877" spans="1:18" ht="24">
      <c r="A4877" s="165">
        <v>1965</v>
      </c>
      <c r="B4877" s="162" t="s">
        <v>8946</v>
      </c>
      <c r="C4877" s="166" t="s">
        <v>8947</v>
      </c>
      <c r="D4877" s="167">
        <v>620.37</v>
      </c>
      <c r="E4877" s="167">
        <v>203.37</v>
      </c>
      <c r="F4877" s="167">
        <v>117.21</v>
      </c>
      <c r="G4877" s="167">
        <v>299.79000000000002</v>
      </c>
      <c r="H4877" s="168">
        <v>3921.74</v>
      </c>
      <c r="I4877" s="168">
        <v>2338.88</v>
      </c>
      <c r="J4877" s="168">
        <v>643.33000000000004</v>
      </c>
      <c r="K4877" s="168">
        <v>939.53</v>
      </c>
      <c r="L4877" s="43">
        <v>6.3216145203668779</v>
      </c>
      <c r="M4877" s="43">
        <v>11.500614643261052</v>
      </c>
      <c r="N4877" s="43">
        <v>5.4886955037966052</v>
      </c>
      <c r="O4877" s="43">
        <v>3.1339604389739479</v>
      </c>
      <c r="P4877" s="169"/>
      <c r="Q4877" s="169"/>
      <c r="R4877" s="169">
        <v>4</v>
      </c>
    </row>
    <row r="4878" spans="1:18" ht="24">
      <c r="A4878" s="165">
        <v>1966</v>
      </c>
      <c r="B4878" s="162" t="s">
        <v>8948</v>
      </c>
      <c r="C4878" s="166" t="s">
        <v>8949</v>
      </c>
      <c r="D4878" s="167">
        <v>712.56</v>
      </c>
      <c r="E4878" s="167">
        <v>258.52999999999997</v>
      </c>
      <c r="F4878" s="167">
        <v>148.71</v>
      </c>
      <c r="G4878" s="167">
        <v>305.32</v>
      </c>
      <c r="H4878" s="168">
        <v>4763.16</v>
      </c>
      <c r="I4878" s="168">
        <v>2973.15</v>
      </c>
      <c r="J4878" s="168">
        <v>815.12</v>
      </c>
      <c r="K4878" s="168">
        <v>974.89</v>
      </c>
      <c r="L4878" s="43">
        <v>6.6845739306163692</v>
      </c>
      <c r="M4878" s="43">
        <v>11.500212741267939</v>
      </c>
      <c r="N4878" s="43">
        <v>5.4812722748974512</v>
      </c>
      <c r="O4878" s="43">
        <v>3.19301061181711</v>
      </c>
      <c r="P4878" s="169"/>
      <c r="Q4878" s="169"/>
      <c r="R4878" s="169">
        <v>4</v>
      </c>
    </row>
    <row r="4879" spans="1:18" ht="36">
      <c r="A4879" s="165">
        <v>1967</v>
      </c>
      <c r="B4879" s="162" t="s">
        <v>8950</v>
      </c>
      <c r="C4879" s="166" t="s">
        <v>8951</v>
      </c>
      <c r="D4879" s="167">
        <v>480.73</v>
      </c>
      <c r="E4879" s="167">
        <v>183.84</v>
      </c>
      <c r="F4879" s="167">
        <v>2.5099999999999998</v>
      </c>
      <c r="G4879" s="167">
        <v>294.38</v>
      </c>
      <c r="H4879" s="168">
        <v>3023.9</v>
      </c>
      <c r="I4879" s="168">
        <v>2114.2399999999998</v>
      </c>
      <c r="J4879" s="168">
        <v>12.63</v>
      </c>
      <c r="K4879" s="168">
        <v>897.03</v>
      </c>
      <c r="L4879" s="43">
        <v>6.2902252823830427</v>
      </c>
      <c r="M4879" s="43">
        <v>11.500435161009571</v>
      </c>
      <c r="N4879" s="43">
        <v>5.0318725099601602</v>
      </c>
      <c r="O4879" s="43">
        <v>3.0471839119505399</v>
      </c>
      <c r="P4879" s="169"/>
      <c r="Q4879" s="169"/>
      <c r="R4879" s="169">
        <v>4</v>
      </c>
    </row>
    <row r="4880" spans="1:18" ht="36">
      <c r="A4880" s="165">
        <v>1968</v>
      </c>
      <c r="B4880" s="162" t="s">
        <v>8952</v>
      </c>
      <c r="C4880" s="166" t="s">
        <v>8953</v>
      </c>
      <c r="D4880" s="167">
        <v>498.31</v>
      </c>
      <c r="E4880" s="167">
        <v>201.08</v>
      </c>
      <c r="F4880" s="167">
        <v>2.5099999999999998</v>
      </c>
      <c r="G4880" s="167">
        <v>294.72000000000003</v>
      </c>
      <c r="H4880" s="168">
        <v>3226.02</v>
      </c>
      <c r="I4880" s="168">
        <v>2312.4499999999998</v>
      </c>
      <c r="J4880" s="168">
        <v>12.63</v>
      </c>
      <c r="K4880" s="168">
        <v>900.94</v>
      </c>
      <c r="L4880" s="43">
        <v>6.4739218558728497</v>
      </c>
      <c r="M4880" s="43">
        <v>11.500149194350506</v>
      </c>
      <c r="N4880" s="43">
        <v>5.0318725099601602</v>
      </c>
      <c r="O4880" s="43">
        <v>3.0569353963083605</v>
      </c>
      <c r="P4880" s="169"/>
      <c r="Q4880" s="169"/>
      <c r="R4880" s="169">
        <v>4</v>
      </c>
    </row>
    <row r="4881" spans="1:18" ht="12.75" customHeight="1">
      <c r="A4881" s="628" t="s">
        <v>8954</v>
      </c>
      <c r="B4881" s="629"/>
      <c r="C4881" s="629"/>
      <c r="D4881" s="629"/>
      <c r="E4881" s="629"/>
      <c r="F4881" s="629"/>
      <c r="G4881" s="629"/>
      <c r="H4881" s="629"/>
      <c r="I4881" s="629"/>
      <c r="J4881" s="629"/>
      <c r="K4881" s="629"/>
      <c r="L4881" s="629"/>
      <c r="M4881" s="629"/>
      <c r="N4881" s="629"/>
      <c r="O4881" s="629"/>
      <c r="P4881" s="629"/>
      <c r="Q4881" s="629"/>
      <c r="R4881" s="629"/>
    </row>
    <row r="4882" spans="1:18" ht="24">
      <c r="A4882" s="165">
        <v>1969</v>
      </c>
      <c r="B4882" s="162" t="s">
        <v>8955</v>
      </c>
      <c r="C4882" s="166" t="s">
        <v>8956</v>
      </c>
      <c r="D4882" s="167">
        <v>282.18</v>
      </c>
      <c r="E4882" s="167">
        <v>58.25</v>
      </c>
      <c r="F4882" s="167">
        <v>24.54</v>
      </c>
      <c r="G4882" s="167">
        <v>199.39</v>
      </c>
      <c r="H4882" s="168">
        <v>1415.2</v>
      </c>
      <c r="I4882" s="168">
        <v>669.95</v>
      </c>
      <c r="J4882" s="168">
        <v>134.5</v>
      </c>
      <c r="K4882" s="168">
        <v>610.75</v>
      </c>
      <c r="L4882" s="43">
        <v>5.0152385002480688</v>
      </c>
      <c r="M4882" s="43">
        <v>11.501287553648069</v>
      </c>
      <c r="N4882" s="43">
        <v>5.4808475957620217</v>
      </c>
      <c r="O4882" s="43">
        <v>3.0630924319173483</v>
      </c>
      <c r="P4882" s="169"/>
      <c r="Q4882" s="169"/>
      <c r="R4882" s="169">
        <v>5</v>
      </c>
    </row>
    <row r="4883" spans="1:18" ht="24">
      <c r="A4883" s="165">
        <v>1970</v>
      </c>
      <c r="B4883" s="162" t="s">
        <v>8957</v>
      </c>
      <c r="C4883" s="166" t="s">
        <v>8958</v>
      </c>
      <c r="D4883" s="167">
        <v>272.02999999999997</v>
      </c>
      <c r="E4883" s="167">
        <v>63.2</v>
      </c>
      <c r="F4883" s="167">
        <v>14.55</v>
      </c>
      <c r="G4883" s="167">
        <v>194.28</v>
      </c>
      <c r="H4883" s="168">
        <v>1406.62</v>
      </c>
      <c r="I4883" s="168">
        <v>726.77</v>
      </c>
      <c r="J4883" s="168">
        <v>79.959999999999994</v>
      </c>
      <c r="K4883" s="168">
        <v>599.89</v>
      </c>
      <c r="L4883" s="43">
        <v>5.1708267470499578</v>
      </c>
      <c r="M4883" s="43">
        <v>11.499525316455696</v>
      </c>
      <c r="N4883" s="43">
        <v>5.4955326460481091</v>
      </c>
      <c r="O4883" s="43">
        <v>3.0877599341157094</v>
      </c>
      <c r="P4883" s="169"/>
      <c r="Q4883" s="169"/>
      <c r="R4883" s="169">
        <v>5</v>
      </c>
    </row>
    <row r="4884" spans="1:18" ht="12.75" customHeight="1">
      <c r="A4884" s="628" t="s">
        <v>8959</v>
      </c>
      <c r="B4884" s="629"/>
      <c r="C4884" s="629"/>
      <c r="D4884" s="629"/>
      <c r="E4884" s="629"/>
      <c r="F4884" s="629"/>
      <c r="G4884" s="629"/>
      <c r="H4884" s="629"/>
      <c r="I4884" s="629"/>
      <c r="J4884" s="629"/>
      <c r="K4884" s="629"/>
      <c r="L4884" s="629"/>
      <c r="M4884" s="629"/>
      <c r="N4884" s="629"/>
      <c r="O4884" s="629"/>
      <c r="P4884" s="629"/>
      <c r="Q4884" s="629"/>
      <c r="R4884" s="629"/>
    </row>
    <row r="4885" spans="1:18" ht="24">
      <c r="A4885" s="165">
        <v>1971</v>
      </c>
      <c r="B4885" s="162" t="s">
        <v>8960</v>
      </c>
      <c r="C4885" s="166" t="s">
        <v>8961</v>
      </c>
      <c r="D4885" s="167">
        <v>132.25</v>
      </c>
      <c r="E4885" s="167">
        <v>57.45</v>
      </c>
      <c r="F4885" s="167">
        <v>14.61</v>
      </c>
      <c r="G4885" s="167">
        <v>60.19</v>
      </c>
      <c r="H4885" s="168">
        <v>973.63</v>
      </c>
      <c r="I4885" s="168">
        <v>660.7</v>
      </c>
      <c r="J4885" s="168">
        <v>80.239999999999995</v>
      </c>
      <c r="K4885" s="168">
        <v>232.69</v>
      </c>
      <c r="L4885" s="43">
        <v>7.3620415879017012</v>
      </c>
      <c r="M4885" s="43">
        <v>11.500435161009573</v>
      </c>
      <c r="N4885" s="43">
        <v>5.4921286789869947</v>
      </c>
      <c r="O4885" s="43">
        <v>3.8659245721880713</v>
      </c>
      <c r="P4885" s="169"/>
      <c r="Q4885" s="169"/>
      <c r="R4885" s="169">
        <v>6</v>
      </c>
    </row>
    <row r="4886" spans="1:18" ht="24">
      <c r="A4886" s="165">
        <v>1972</v>
      </c>
      <c r="B4886" s="162" t="s">
        <v>8962</v>
      </c>
      <c r="C4886" s="166" t="s">
        <v>8963</v>
      </c>
      <c r="D4886" s="167">
        <v>132.19</v>
      </c>
      <c r="E4886" s="167">
        <v>57.45</v>
      </c>
      <c r="F4886" s="167">
        <v>14.55</v>
      </c>
      <c r="G4886" s="167">
        <v>60.19</v>
      </c>
      <c r="H4886" s="168">
        <v>973.35</v>
      </c>
      <c r="I4886" s="168">
        <v>660.7</v>
      </c>
      <c r="J4886" s="168">
        <v>79.959999999999994</v>
      </c>
      <c r="K4886" s="168">
        <v>232.69</v>
      </c>
      <c r="L4886" s="43">
        <v>7.3632649973522959</v>
      </c>
      <c r="M4886" s="43">
        <v>11.500435161009573</v>
      </c>
      <c r="N4886" s="43">
        <v>5.4955326460481091</v>
      </c>
      <c r="O4886" s="43">
        <v>3.8659245721880713</v>
      </c>
      <c r="P4886" s="169"/>
      <c r="Q4886" s="169"/>
      <c r="R4886" s="169">
        <v>6</v>
      </c>
    </row>
    <row r="4887" spans="1:18" ht="12.75" customHeight="1">
      <c r="A4887" s="628" t="s">
        <v>8964</v>
      </c>
      <c r="B4887" s="629"/>
      <c r="C4887" s="629"/>
      <c r="D4887" s="629"/>
      <c r="E4887" s="629"/>
      <c r="F4887" s="629"/>
      <c r="G4887" s="629"/>
      <c r="H4887" s="629"/>
      <c r="I4887" s="629"/>
      <c r="J4887" s="629"/>
      <c r="K4887" s="629"/>
      <c r="L4887" s="629"/>
      <c r="M4887" s="629"/>
      <c r="N4887" s="629"/>
      <c r="O4887" s="629"/>
      <c r="P4887" s="629"/>
      <c r="Q4887" s="629"/>
      <c r="R4887" s="629"/>
    </row>
    <row r="4888" spans="1:18" ht="24">
      <c r="A4888" s="165">
        <v>1973</v>
      </c>
      <c r="B4888" s="162" t="s">
        <v>8965</v>
      </c>
      <c r="C4888" s="166" t="s">
        <v>8966</v>
      </c>
      <c r="D4888" s="167">
        <v>688.79</v>
      </c>
      <c r="E4888" s="167">
        <v>100.79</v>
      </c>
      <c r="F4888" s="167">
        <v>486.13</v>
      </c>
      <c r="G4888" s="167">
        <v>101.87</v>
      </c>
      <c r="H4888" s="168">
        <v>3841.37</v>
      </c>
      <c r="I4888" s="168">
        <v>1159.06</v>
      </c>
      <c r="J4888" s="168">
        <v>2336.96</v>
      </c>
      <c r="K4888" s="168">
        <v>345.35</v>
      </c>
      <c r="L4888" s="43">
        <v>5.5769828249539044</v>
      </c>
      <c r="M4888" s="43">
        <v>11.499751959519793</v>
      </c>
      <c r="N4888" s="43">
        <v>4.807273774504762</v>
      </c>
      <c r="O4888" s="43">
        <v>3.3901050358299796</v>
      </c>
      <c r="P4888" s="169"/>
      <c r="Q4888" s="169"/>
      <c r="R4888" s="169">
        <v>7</v>
      </c>
    </row>
    <row r="4889" spans="1:18" ht="24">
      <c r="A4889" s="165">
        <v>1974</v>
      </c>
      <c r="B4889" s="162" t="s">
        <v>8967</v>
      </c>
      <c r="C4889" s="166" t="s">
        <v>8968</v>
      </c>
      <c r="D4889" s="167">
        <v>700.5</v>
      </c>
      <c r="E4889" s="167">
        <v>100.79</v>
      </c>
      <c r="F4889" s="167">
        <v>493.4</v>
      </c>
      <c r="G4889" s="167">
        <v>106.31</v>
      </c>
      <c r="H4889" s="168">
        <v>3883.4</v>
      </c>
      <c r="I4889" s="168">
        <v>1159.06</v>
      </c>
      <c r="J4889" s="168">
        <v>2376.4699999999998</v>
      </c>
      <c r="K4889" s="168">
        <v>347.87</v>
      </c>
      <c r="L4889" s="43">
        <v>5.5437544610992147</v>
      </c>
      <c r="M4889" s="43">
        <v>11.499751959519793</v>
      </c>
      <c r="N4889" s="43">
        <v>4.8165180381029593</v>
      </c>
      <c r="O4889" s="43">
        <v>3.2722227448029346</v>
      </c>
      <c r="P4889" s="169"/>
      <c r="Q4889" s="169"/>
      <c r="R4889" s="169">
        <v>7</v>
      </c>
    </row>
    <row r="4890" spans="1:18" ht="12.75" customHeight="1">
      <c r="A4890" s="628" t="s">
        <v>8969</v>
      </c>
      <c r="B4890" s="629"/>
      <c r="C4890" s="629"/>
      <c r="D4890" s="629"/>
      <c r="E4890" s="629"/>
      <c r="F4890" s="629"/>
      <c r="G4890" s="629"/>
      <c r="H4890" s="629"/>
      <c r="I4890" s="629"/>
      <c r="J4890" s="629"/>
      <c r="K4890" s="629"/>
      <c r="L4890" s="629"/>
      <c r="M4890" s="629"/>
      <c r="N4890" s="629"/>
      <c r="O4890" s="629"/>
      <c r="P4890" s="629"/>
      <c r="Q4890" s="629"/>
      <c r="R4890" s="629"/>
    </row>
    <row r="4891" spans="1:18" ht="24">
      <c r="A4891" s="165">
        <v>1975</v>
      </c>
      <c r="B4891" s="162" t="s">
        <v>8970</v>
      </c>
      <c r="C4891" s="166" t="s">
        <v>8971</v>
      </c>
      <c r="D4891" s="167">
        <v>200.61</v>
      </c>
      <c r="E4891" s="167">
        <v>62.83</v>
      </c>
      <c r="F4891" s="167">
        <v>17.149999999999999</v>
      </c>
      <c r="G4891" s="167">
        <v>120.63</v>
      </c>
      <c r="H4891" s="168">
        <v>1321.55</v>
      </c>
      <c r="I4891" s="168">
        <v>722.56</v>
      </c>
      <c r="J4891" s="168">
        <v>94.35</v>
      </c>
      <c r="K4891" s="168">
        <v>504.64</v>
      </c>
      <c r="L4891" s="43">
        <v>6.5876576441852341</v>
      </c>
      <c r="M4891" s="43">
        <v>11.500238739455673</v>
      </c>
      <c r="N4891" s="43">
        <v>5.5014577259475219</v>
      </c>
      <c r="O4891" s="43">
        <v>4.1833706374865294</v>
      </c>
      <c r="P4891" s="169"/>
      <c r="Q4891" s="169"/>
      <c r="R4891" s="169">
        <v>8</v>
      </c>
    </row>
    <row r="4892" spans="1:18" ht="24">
      <c r="A4892" s="165">
        <v>1976</v>
      </c>
      <c r="B4892" s="162" t="s">
        <v>8972</v>
      </c>
      <c r="C4892" s="166" t="s">
        <v>8973</v>
      </c>
      <c r="D4892" s="167">
        <v>227.23</v>
      </c>
      <c r="E4892" s="167">
        <v>81.040000000000006</v>
      </c>
      <c r="F4892" s="167">
        <v>17.149999999999999</v>
      </c>
      <c r="G4892" s="167">
        <v>129.04</v>
      </c>
      <c r="H4892" s="168">
        <v>1551.43</v>
      </c>
      <c r="I4892" s="168">
        <v>931.96</v>
      </c>
      <c r="J4892" s="168">
        <v>94.35</v>
      </c>
      <c r="K4892" s="168">
        <v>525.12</v>
      </c>
      <c r="L4892" s="43">
        <v>6.827575584209832</v>
      </c>
      <c r="M4892" s="43">
        <v>11.5</v>
      </c>
      <c r="N4892" s="43">
        <v>5.5014577259475219</v>
      </c>
      <c r="O4892" s="43">
        <v>4.069435833849969</v>
      </c>
      <c r="P4892" s="169"/>
      <c r="Q4892" s="169"/>
      <c r="R4892" s="169">
        <v>8</v>
      </c>
    </row>
    <row r="4893" spans="1:18" ht="24">
      <c r="A4893" s="165">
        <v>1977</v>
      </c>
      <c r="B4893" s="162" t="s">
        <v>8974</v>
      </c>
      <c r="C4893" s="166" t="s">
        <v>8975</v>
      </c>
      <c r="D4893" s="167">
        <v>263.52999999999997</v>
      </c>
      <c r="E4893" s="167">
        <v>106.33</v>
      </c>
      <c r="F4893" s="167">
        <v>17.149999999999999</v>
      </c>
      <c r="G4893" s="167">
        <v>140.05000000000001</v>
      </c>
      <c r="H4893" s="168">
        <v>1872.17</v>
      </c>
      <c r="I4893" s="168">
        <v>1222.8</v>
      </c>
      <c r="J4893" s="168">
        <v>94.35</v>
      </c>
      <c r="K4893" s="168">
        <v>555.02</v>
      </c>
      <c r="L4893" s="43">
        <v>7.1042006602663843</v>
      </c>
      <c r="M4893" s="43">
        <v>11.500047023417661</v>
      </c>
      <c r="N4893" s="43">
        <v>5.5014577259475219</v>
      </c>
      <c r="O4893" s="43">
        <v>3.9630132095680111</v>
      </c>
      <c r="P4893" s="169"/>
      <c r="Q4893" s="169"/>
      <c r="R4893" s="169">
        <v>8</v>
      </c>
    </row>
    <row r="4894" spans="1:18" ht="24">
      <c r="A4894" s="165">
        <v>1978</v>
      </c>
      <c r="B4894" s="162" t="s">
        <v>8976</v>
      </c>
      <c r="C4894" s="166" t="s">
        <v>8977</v>
      </c>
      <c r="D4894" s="167">
        <v>103.72</v>
      </c>
      <c r="E4894" s="167">
        <v>37.200000000000003</v>
      </c>
      <c r="F4894" s="167">
        <v>18.45</v>
      </c>
      <c r="G4894" s="167">
        <v>48.07</v>
      </c>
      <c r="H4894" s="168">
        <v>766.27</v>
      </c>
      <c r="I4894" s="168">
        <v>427.85</v>
      </c>
      <c r="J4894" s="168">
        <v>100.85</v>
      </c>
      <c r="K4894" s="168">
        <v>237.57</v>
      </c>
      <c r="L4894" s="43">
        <v>7.3878711916698805</v>
      </c>
      <c r="M4894" s="43">
        <v>11.501344086021506</v>
      </c>
      <c r="N4894" s="43">
        <v>5.4661246612466128</v>
      </c>
      <c r="O4894" s="43">
        <v>4.9421676721447882</v>
      </c>
      <c r="P4894" s="169"/>
      <c r="Q4894" s="169"/>
      <c r="R4894" s="169">
        <v>8</v>
      </c>
    </row>
    <row r="4895" spans="1:18" ht="24">
      <c r="A4895" s="165">
        <v>1979</v>
      </c>
      <c r="B4895" s="162" t="s">
        <v>8978</v>
      </c>
      <c r="C4895" s="166" t="s">
        <v>8979</v>
      </c>
      <c r="D4895" s="167">
        <v>109.88</v>
      </c>
      <c r="E4895" s="167">
        <v>37.770000000000003</v>
      </c>
      <c r="F4895" s="167">
        <v>21.17</v>
      </c>
      <c r="G4895" s="167">
        <v>50.94</v>
      </c>
      <c r="H4895" s="168">
        <v>810.89</v>
      </c>
      <c r="I4895" s="168">
        <v>434.31</v>
      </c>
      <c r="J4895" s="168">
        <v>115.89</v>
      </c>
      <c r="K4895" s="168">
        <v>260.69</v>
      </c>
      <c r="L4895" s="43">
        <v>7.3797779395704408</v>
      </c>
      <c r="M4895" s="43">
        <v>11.498808578236694</v>
      </c>
      <c r="N4895" s="43">
        <v>5.4742560226735941</v>
      </c>
      <c r="O4895" s="43">
        <v>5.1175893207695333</v>
      </c>
      <c r="P4895" s="169"/>
      <c r="Q4895" s="169"/>
      <c r="R4895" s="169">
        <v>8</v>
      </c>
    </row>
    <row r="4896" spans="1:18" ht="24">
      <c r="A4896" s="165">
        <v>1980</v>
      </c>
      <c r="B4896" s="162" t="s">
        <v>8980</v>
      </c>
      <c r="C4896" s="166" t="s">
        <v>8981</v>
      </c>
      <c r="D4896" s="167">
        <v>108.73</v>
      </c>
      <c r="E4896" s="167">
        <v>35.97</v>
      </c>
      <c r="F4896" s="167"/>
      <c r="G4896" s="167">
        <v>72.760000000000005</v>
      </c>
      <c r="H4896" s="168">
        <v>683</v>
      </c>
      <c r="I4896" s="168">
        <v>413.63</v>
      </c>
      <c r="J4896" s="168"/>
      <c r="K4896" s="168">
        <v>269.37</v>
      </c>
      <c r="L4896" s="43">
        <v>6.2816150096569485</v>
      </c>
      <c r="M4896" s="43">
        <v>11.499304976369197</v>
      </c>
      <c r="N4896" s="43" t="s">
        <v>1690</v>
      </c>
      <c r="O4896" s="43">
        <v>3.7021715228147332</v>
      </c>
      <c r="P4896" s="169"/>
      <c r="Q4896" s="169"/>
      <c r="R4896" s="169">
        <v>8</v>
      </c>
    </row>
    <row r="4897" spans="1:18" ht="24">
      <c r="A4897" s="165">
        <v>1981</v>
      </c>
      <c r="B4897" s="162" t="s">
        <v>8982</v>
      </c>
      <c r="C4897" s="166" t="s">
        <v>8983</v>
      </c>
      <c r="D4897" s="167">
        <v>136.12</v>
      </c>
      <c r="E4897" s="167">
        <v>53.95</v>
      </c>
      <c r="F4897" s="167"/>
      <c r="G4897" s="167">
        <v>82.17</v>
      </c>
      <c r="H4897" s="168">
        <v>913.53</v>
      </c>
      <c r="I4897" s="168">
        <v>620.45000000000005</v>
      </c>
      <c r="J4897" s="168"/>
      <c r="K4897" s="168">
        <v>293.08</v>
      </c>
      <c r="L4897" s="43">
        <v>6.7112106964443132</v>
      </c>
      <c r="M4897" s="43">
        <v>11.500463392029657</v>
      </c>
      <c r="N4897" s="43" t="s">
        <v>1690</v>
      </c>
      <c r="O4897" s="43">
        <v>3.5667518559084823</v>
      </c>
      <c r="P4897" s="169"/>
      <c r="Q4897" s="169"/>
      <c r="R4897" s="169">
        <v>8</v>
      </c>
    </row>
    <row r="4898" spans="1:18" ht="24">
      <c r="A4898" s="165">
        <v>1982</v>
      </c>
      <c r="B4898" s="162" t="s">
        <v>8984</v>
      </c>
      <c r="C4898" s="166" t="s">
        <v>8985</v>
      </c>
      <c r="D4898" s="167">
        <v>170.83</v>
      </c>
      <c r="E4898" s="167">
        <v>78.680000000000007</v>
      </c>
      <c r="F4898" s="167"/>
      <c r="G4898" s="167">
        <v>92.15</v>
      </c>
      <c r="H4898" s="168">
        <v>1224.3399999999999</v>
      </c>
      <c r="I4898" s="168">
        <v>904.82</v>
      </c>
      <c r="J4898" s="168"/>
      <c r="K4898" s="168">
        <v>319.52</v>
      </c>
      <c r="L4898" s="43">
        <v>7.1670081367441307</v>
      </c>
      <c r="M4898" s="43">
        <v>11.5</v>
      </c>
      <c r="N4898" s="43" t="s">
        <v>1690</v>
      </c>
      <c r="O4898" s="43">
        <v>3.4673901247965269</v>
      </c>
      <c r="P4898" s="169"/>
      <c r="Q4898" s="169"/>
      <c r="R4898" s="169">
        <v>8</v>
      </c>
    </row>
    <row r="4899" spans="1:18" ht="24">
      <c r="A4899" s="165">
        <v>1983</v>
      </c>
      <c r="B4899" s="162" t="s">
        <v>8986</v>
      </c>
      <c r="C4899" s="166" t="s">
        <v>8987</v>
      </c>
      <c r="D4899" s="167">
        <v>198.12</v>
      </c>
      <c r="E4899" s="167">
        <v>89.92</v>
      </c>
      <c r="F4899" s="167"/>
      <c r="G4899" s="167">
        <v>108.2</v>
      </c>
      <c r="H4899" s="168">
        <v>1388.91</v>
      </c>
      <c r="I4899" s="168">
        <v>1034.08</v>
      </c>
      <c r="J4899" s="168"/>
      <c r="K4899" s="168">
        <v>354.83</v>
      </c>
      <c r="L4899" s="43">
        <v>7.0104482132041186</v>
      </c>
      <c r="M4899" s="43">
        <v>11.499999999999998</v>
      </c>
      <c r="N4899" s="43" t="s">
        <v>1690</v>
      </c>
      <c r="O4899" s="43">
        <v>3.2793900184842881</v>
      </c>
      <c r="P4899" s="169"/>
      <c r="Q4899" s="169"/>
      <c r="R4899" s="169">
        <v>8</v>
      </c>
    </row>
    <row r="4900" spans="1:18" ht="12.75" customHeight="1">
      <c r="A4900" s="628" t="s">
        <v>8988</v>
      </c>
      <c r="B4900" s="629"/>
      <c r="C4900" s="629"/>
      <c r="D4900" s="629"/>
      <c r="E4900" s="629"/>
      <c r="F4900" s="629"/>
      <c r="G4900" s="629"/>
      <c r="H4900" s="629"/>
      <c r="I4900" s="629"/>
      <c r="J4900" s="629"/>
      <c r="K4900" s="629"/>
      <c r="L4900" s="629"/>
      <c r="M4900" s="629"/>
      <c r="N4900" s="629"/>
      <c r="O4900" s="629"/>
      <c r="P4900" s="629"/>
      <c r="Q4900" s="629"/>
      <c r="R4900" s="629"/>
    </row>
    <row r="4901" spans="1:18" ht="24">
      <c r="A4901" s="165">
        <v>1984</v>
      </c>
      <c r="B4901" s="162" t="s">
        <v>8989</v>
      </c>
      <c r="C4901" s="166" t="s">
        <v>8990</v>
      </c>
      <c r="D4901" s="167">
        <v>568.28</v>
      </c>
      <c r="E4901" s="167">
        <v>129.54</v>
      </c>
      <c r="F4901" s="167">
        <v>250.02</v>
      </c>
      <c r="G4901" s="167">
        <v>188.72</v>
      </c>
      <c r="H4901" s="168">
        <v>3534.63</v>
      </c>
      <c r="I4901" s="168">
        <v>1489.69</v>
      </c>
      <c r="J4901" s="168">
        <v>1317.3</v>
      </c>
      <c r="K4901" s="168">
        <v>727.64</v>
      </c>
      <c r="L4901" s="43">
        <v>6.2198740057718034</v>
      </c>
      <c r="M4901" s="43">
        <v>11.499845607534354</v>
      </c>
      <c r="N4901" s="43">
        <v>5.2687784977201817</v>
      </c>
      <c r="O4901" s="43">
        <v>3.8556591776176345</v>
      </c>
      <c r="P4901" s="169"/>
      <c r="Q4901" s="169"/>
      <c r="R4901" s="169">
        <v>9</v>
      </c>
    </row>
    <row r="4902" spans="1:18" ht="24">
      <c r="A4902" s="165">
        <v>1985</v>
      </c>
      <c r="B4902" s="162" t="s">
        <v>8991</v>
      </c>
      <c r="C4902" s="166" t="s">
        <v>8992</v>
      </c>
      <c r="D4902" s="167">
        <v>666.01</v>
      </c>
      <c r="E4902" s="167">
        <v>152.30000000000001</v>
      </c>
      <c r="F4902" s="167">
        <v>324.52999999999997</v>
      </c>
      <c r="G4902" s="167">
        <v>189.18</v>
      </c>
      <c r="H4902" s="168">
        <v>4200.83</v>
      </c>
      <c r="I4902" s="168">
        <v>1751.47</v>
      </c>
      <c r="J4902" s="168">
        <v>1716.43</v>
      </c>
      <c r="K4902" s="168">
        <v>732.93</v>
      </c>
      <c r="L4902" s="43">
        <v>6.3074578459782886</v>
      </c>
      <c r="M4902" s="43">
        <v>11.500131319763623</v>
      </c>
      <c r="N4902" s="43">
        <v>5.2889717437525041</v>
      </c>
      <c r="O4902" s="43">
        <v>3.8742467491278143</v>
      </c>
      <c r="P4902" s="169"/>
      <c r="Q4902" s="169"/>
      <c r="R4902" s="169">
        <v>9</v>
      </c>
    </row>
    <row r="4903" spans="1:18" ht="24">
      <c r="A4903" s="165">
        <v>1986</v>
      </c>
      <c r="B4903" s="162" t="s">
        <v>8993</v>
      </c>
      <c r="C4903" s="166" t="s">
        <v>8994</v>
      </c>
      <c r="D4903" s="167">
        <v>907.71</v>
      </c>
      <c r="E4903" s="167">
        <v>187.1</v>
      </c>
      <c r="F4903" s="167">
        <v>530.74</v>
      </c>
      <c r="G4903" s="167">
        <v>189.87</v>
      </c>
      <c r="H4903" s="168">
        <v>5729.21</v>
      </c>
      <c r="I4903" s="168">
        <v>2151.63</v>
      </c>
      <c r="J4903" s="168">
        <v>2836.72</v>
      </c>
      <c r="K4903" s="168">
        <v>740.86</v>
      </c>
      <c r="L4903" s="43">
        <v>6.3117185004021108</v>
      </c>
      <c r="M4903" s="43">
        <v>11.499893105291289</v>
      </c>
      <c r="N4903" s="43">
        <v>5.3448392810038809</v>
      </c>
      <c r="O4903" s="43">
        <v>3.9019329014588928</v>
      </c>
      <c r="P4903" s="169"/>
      <c r="Q4903" s="169"/>
      <c r="R4903" s="169">
        <v>9</v>
      </c>
    </row>
    <row r="4904" spans="1:18" ht="12.75" customHeight="1">
      <c r="A4904" s="628" t="s">
        <v>8995</v>
      </c>
      <c r="B4904" s="629"/>
      <c r="C4904" s="629"/>
      <c r="D4904" s="629"/>
      <c r="E4904" s="629"/>
      <c r="F4904" s="629"/>
      <c r="G4904" s="629"/>
      <c r="H4904" s="629"/>
      <c r="I4904" s="629"/>
      <c r="J4904" s="629"/>
      <c r="K4904" s="629"/>
      <c r="L4904" s="629"/>
      <c r="M4904" s="629"/>
      <c r="N4904" s="629"/>
      <c r="O4904" s="629"/>
      <c r="P4904" s="629"/>
      <c r="Q4904" s="629"/>
      <c r="R4904" s="629"/>
    </row>
    <row r="4905" spans="1:18" ht="36">
      <c r="A4905" s="165">
        <v>1987</v>
      </c>
      <c r="B4905" s="162" t="s">
        <v>8996</v>
      </c>
      <c r="C4905" s="166" t="s">
        <v>8997</v>
      </c>
      <c r="D4905" s="167">
        <v>1047.19</v>
      </c>
      <c r="E4905" s="167">
        <v>206.02</v>
      </c>
      <c r="F4905" s="167">
        <v>300.70999999999998</v>
      </c>
      <c r="G4905" s="167">
        <v>540.46</v>
      </c>
      <c r="H4905" s="168">
        <v>6327.87</v>
      </c>
      <c r="I4905" s="168">
        <v>2369.1799999999998</v>
      </c>
      <c r="J4905" s="168">
        <v>1556.19</v>
      </c>
      <c r="K4905" s="168">
        <v>2402.5</v>
      </c>
      <c r="L4905" s="43">
        <v>6.0427143116339916</v>
      </c>
      <c r="M4905" s="43">
        <v>11.499757305116006</v>
      </c>
      <c r="N4905" s="43">
        <v>5.1750523760433644</v>
      </c>
      <c r="O4905" s="43">
        <v>4.4452873478148245</v>
      </c>
      <c r="P4905" s="169"/>
      <c r="Q4905" s="169"/>
      <c r="R4905" s="169">
        <v>10</v>
      </c>
    </row>
    <row r="4906" spans="1:18" ht="36">
      <c r="A4906" s="165">
        <v>1988</v>
      </c>
      <c r="B4906" s="162" t="s">
        <v>8998</v>
      </c>
      <c r="C4906" s="166" t="s">
        <v>8999</v>
      </c>
      <c r="D4906" s="167">
        <v>1133.26</v>
      </c>
      <c r="E4906" s="167">
        <v>240.32</v>
      </c>
      <c r="F4906" s="167">
        <v>351.66</v>
      </c>
      <c r="G4906" s="167">
        <v>541.28</v>
      </c>
      <c r="H4906" s="168">
        <v>6995.53</v>
      </c>
      <c r="I4906" s="168">
        <v>2763.62</v>
      </c>
      <c r="J4906" s="168">
        <v>1820.83</v>
      </c>
      <c r="K4906" s="168">
        <v>2411.08</v>
      </c>
      <c r="L4906" s="43">
        <v>6.1729258952049832</v>
      </c>
      <c r="M4906" s="43">
        <v>11.49975033288948</v>
      </c>
      <c r="N4906" s="43">
        <v>5.1778137974179597</v>
      </c>
      <c r="O4906" s="43">
        <v>4.4544043748152529</v>
      </c>
      <c r="P4906" s="169"/>
      <c r="Q4906" s="169"/>
      <c r="R4906" s="169">
        <v>10</v>
      </c>
    </row>
    <row r="4907" spans="1:18" ht="36">
      <c r="A4907" s="165">
        <v>1989</v>
      </c>
      <c r="B4907" s="162" t="s">
        <v>9000</v>
      </c>
      <c r="C4907" s="166" t="s">
        <v>9001</v>
      </c>
      <c r="D4907" s="167">
        <v>1129.1400000000001</v>
      </c>
      <c r="E4907" s="167">
        <v>221.67</v>
      </c>
      <c r="F4907" s="167">
        <v>366.38</v>
      </c>
      <c r="G4907" s="167">
        <v>541.09</v>
      </c>
      <c r="H4907" s="168">
        <v>6868.12</v>
      </c>
      <c r="I4907" s="168">
        <v>2549.17</v>
      </c>
      <c r="J4907" s="168">
        <v>1911.29</v>
      </c>
      <c r="K4907" s="168">
        <v>2407.66</v>
      </c>
      <c r="L4907" s="43">
        <v>6.0826115450696987</v>
      </c>
      <c r="M4907" s="43">
        <v>11.49984210763748</v>
      </c>
      <c r="N4907" s="43">
        <v>5.2166875921174736</v>
      </c>
      <c r="O4907" s="43">
        <v>4.4496479328762311</v>
      </c>
      <c r="P4907" s="169"/>
      <c r="Q4907" s="169"/>
      <c r="R4907" s="169">
        <v>10</v>
      </c>
    </row>
    <row r="4908" spans="1:18" ht="24">
      <c r="A4908" s="165">
        <v>1990</v>
      </c>
      <c r="B4908" s="162" t="s">
        <v>9002</v>
      </c>
      <c r="C4908" s="166" t="s">
        <v>9003</v>
      </c>
      <c r="D4908" s="167">
        <v>928.72</v>
      </c>
      <c r="E4908" s="167">
        <v>154.51</v>
      </c>
      <c r="F4908" s="167">
        <v>231.77</v>
      </c>
      <c r="G4908" s="167">
        <v>542.44000000000005</v>
      </c>
      <c r="H4908" s="168">
        <v>5384.53</v>
      </c>
      <c r="I4908" s="168">
        <v>1776.89</v>
      </c>
      <c r="J4908" s="168">
        <v>1202</v>
      </c>
      <c r="K4908" s="168">
        <v>2405.64</v>
      </c>
      <c r="L4908" s="43">
        <v>5.7977969678697558</v>
      </c>
      <c r="M4908" s="43">
        <v>11.500161801825126</v>
      </c>
      <c r="N4908" s="43">
        <v>5.1861759502955511</v>
      </c>
      <c r="O4908" s="43">
        <v>4.4348499373202559</v>
      </c>
      <c r="P4908" s="169"/>
      <c r="Q4908" s="169"/>
      <c r="R4908" s="169">
        <v>10</v>
      </c>
    </row>
    <row r="4909" spans="1:18" ht="12.75" customHeight="1">
      <c r="A4909" s="628" t="s">
        <v>9004</v>
      </c>
      <c r="B4909" s="629"/>
      <c r="C4909" s="629"/>
      <c r="D4909" s="629"/>
      <c r="E4909" s="629"/>
      <c r="F4909" s="629"/>
      <c r="G4909" s="629"/>
      <c r="H4909" s="629"/>
      <c r="I4909" s="629"/>
      <c r="J4909" s="629"/>
      <c r="K4909" s="629"/>
      <c r="L4909" s="629"/>
      <c r="M4909" s="629"/>
      <c r="N4909" s="629"/>
      <c r="O4909" s="629"/>
      <c r="P4909" s="629"/>
      <c r="Q4909" s="629"/>
      <c r="R4909" s="629"/>
    </row>
    <row r="4910" spans="1:18" ht="24">
      <c r="A4910" s="165">
        <v>1991</v>
      </c>
      <c r="B4910" s="162" t="s">
        <v>9005</v>
      </c>
      <c r="C4910" s="166" t="s">
        <v>9006</v>
      </c>
      <c r="D4910" s="167">
        <v>257.7</v>
      </c>
      <c r="E4910" s="167">
        <v>82.96</v>
      </c>
      <c r="F4910" s="167">
        <v>69.900000000000006</v>
      </c>
      <c r="G4910" s="167">
        <v>104.84</v>
      </c>
      <c r="H4910" s="168">
        <v>1657.52</v>
      </c>
      <c r="I4910" s="168">
        <v>954.05</v>
      </c>
      <c r="J4910" s="168">
        <v>385.25</v>
      </c>
      <c r="K4910" s="168">
        <v>318.22000000000003</v>
      </c>
      <c r="L4910" s="43">
        <v>6.4319751649204502</v>
      </c>
      <c r="M4910" s="43">
        <v>11.500120540019287</v>
      </c>
      <c r="N4910" s="43">
        <v>5.5114449213161656</v>
      </c>
      <c r="O4910" s="43">
        <v>3.0352918733307899</v>
      </c>
      <c r="P4910" s="169"/>
      <c r="Q4910" s="169"/>
      <c r="R4910" s="169">
        <v>11</v>
      </c>
    </row>
    <row r="4911" spans="1:18" ht="24">
      <c r="A4911" s="165">
        <v>1992</v>
      </c>
      <c r="B4911" s="162" t="s">
        <v>9007</v>
      </c>
      <c r="C4911" s="166" t="s">
        <v>9008</v>
      </c>
      <c r="D4911" s="167">
        <v>329.53</v>
      </c>
      <c r="E4911" s="167">
        <v>105.25</v>
      </c>
      <c r="F4911" s="167">
        <v>119</v>
      </c>
      <c r="G4911" s="167">
        <v>105.28</v>
      </c>
      <c r="H4911" s="168">
        <v>2190.15</v>
      </c>
      <c r="I4911" s="168">
        <v>1210.4000000000001</v>
      </c>
      <c r="J4911" s="168">
        <v>656.47</v>
      </c>
      <c r="K4911" s="168">
        <v>323.27999999999997</v>
      </c>
      <c r="L4911" s="43">
        <v>6.6462841015992487</v>
      </c>
      <c r="M4911" s="43">
        <v>11.500237529691212</v>
      </c>
      <c r="N4911" s="43">
        <v>5.5165546218487398</v>
      </c>
      <c r="O4911" s="43">
        <v>3.070668693009118</v>
      </c>
      <c r="P4911" s="169"/>
      <c r="Q4911" s="169"/>
      <c r="R4911" s="169">
        <v>11</v>
      </c>
    </row>
    <row r="4912" spans="1:18" ht="36">
      <c r="A4912" s="165">
        <v>1993</v>
      </c>
      <c r="B4912" s="162" t="s">
        <v>9009</v>
      </c>
      <c r="C4912" s="166" t="s">
        <v>9010</v>
      </c>
      <c r="D4912" s="167">
        <v>572.48</v>
      </c>
      <c r="E4912" s="167">
        <v>126.85</v>
      </c>
      <c r="F4912" s="167">
        <v>339.91</v>
      </c>
      <c r="G4912" s="167">
        <v>105.72</v>
      </c>
      <c r="H4912" s="168">
        <v>3663.87</v>
      </c>
      <c r="I4912" s="168">
        <v>1458.83</v>
      </c>
      <c r="J4912" s="168">
        <v>1876.7</v>
      </c>
      <c r="K4912" s="168">
        <v>328.34</v>
      </c>
      <c r="L4912" s="43">
        <v>6.3999965064281721</v>
      </c>
      <c r="M4912" s="43">
        <v>11.500433582972015</v>
      </c>
      <c r="N4912" s="43">
        <v>5.5211673678326614</v>
      </c>
      <c r="O4912" s="43">
        <v>3.1057510404842978</v>
      </c>
      <c r="P4912" s="169"/>
      <c r="Q4912" s="169"/>
      <c r="R4912" s="169">
        <v>11</v>
      </c>
    </row>
    <row r="4913" spans="1:18" ht="24">
      <c r="A4913" s="165">
        <v>1994</v>
      </c>
      <c r="B4913" s="162" t="s">
        <v>9011</v>
      </c>
      <c r="C4913" s="166" t="s">
        <v>9012</v>
      </c>
      <c r="D4913" s="167">
        <v>90.65</v>
      </c>
      <c r="E4913" s="167">
        <v>45.73</v>
      </c>
      <c r="F4913" s="167">
        <v>31.23</v>
      </c>
      <c r="G4913" s="167">
        <v>13.69</v>
      </c>
      <c r="H4913" s="168">
        <v>773.74</v>
      </c>
      <c r="I4913" s="168">
        <v>525.91999999999996</v>
      </c>
      <c r="J4913" s="168">
        <v>177.64</v>
      </c>
      <c r="K4913" s="168">
        <v>70.180000000000007</v>
      </c>
      <c r="L4913" s="43">
        <v>8.5354660783232212</v>
      </c>
      <c r="M4913" s="43">
        <v>11.500546687076318</v>
      </c>
      <c r="N4913" s="43">
        <v>5.6881203970541145</v>
      </c>
      <c r="O4913" s="43">
        <v>5.1263696128560996</v>
      </c>
      <c r="P4913" s="169"/>
      <c r="Q4913" s="169"/>
      <c r="R4913" s="169">
        <v>11</v>
      </c>
    </row>
    <row r="4914" spans="1:18" ht="12.75" customHeight="1">
      <c r="A4914" s="628" t="s">
        <v>9013</v>
      </c>
      <c r="B4914" s="629"/>
      <c r="C4914" s="629"/>
      <c r="D4914" s="629"/>
      <c r="E4914" s="629"/>
      <c r="F4914" s="629"/>
      <c r="G4914" s="629"/>
      <c r="H4914" s="629"/>
      <c r="I4914" s="629"/>
      <c r="J4914" s="629"/>
      <c r="K4914" s="629"/>
      <c r="L4914" s="629"/>
      <c r="M4914" s="629"/>
      <c r="N4914" s="629"/>
      <c r="O4914" s="629"/>
      <c r="P4914" s="629"/>
      <c r="Q4914" s="629"/>
      <c r="R4914" s="629"/>
    </row>
    <row r="4915" spans="1:18" ht="24">
      <c r="A4915" s="165">
        <v>1995</v>
      </c>
      <c r="B4915" s="162" t="s">
        <v>9014</v>
      </c>
      <c r="C4915" s="166" t="s">
        <v>9015</v>
      </c>
      <c r="D4915" s="167">
        <v>448.84</v>
      </c>
      <c r="E4915" s="167">
        <v>161.55000000000001</v>
      </c>
      <c r="F4915" s="167">
        <v>73.88</v>
      </c>
      <c r="G4915" s="167">
        <v>213.41</v>
      </c>
      <c r="H4915" s="168">
        <v>2850.61</v>
      </c>
      <c r="I4915" s="168">
        <v>1857.89</v>
      </c>
      <c r="J4915" s="168">
        <v>405.99</v>
      </c>
      <c r="K4915" s="168">
        <v>586.73</v>
      </c>
      <c r="L4915" s="43">
        <v>6.3510605115408616</v>
      </c>
      <c r="M4915" s="43">
        <v>11.500402352212937</v>
      </c>
      <c r="N4915" s="43">
        <v>5.495262587980509</v>
      </c>
      <c r="O4915" s="43">
        <v>2.7493088421348579</v>
      </c>
      <c r="P4915" s="169"/>
      <c r="Q4915" s="169"/>
      <c r="R4915" s="169">
        <v>12</v>
      </c>
    </row>
    <row r="4916" spans="1:18" ht="24">
      <c r="A4916" s="165">
        <v>1996</v>
      </c>
      <c r="B4916" s="162" t="s">
        <v>9016</v>
      </c>
      <c r="C4916" s="166" t="s">
        <v>9017</v>
      </c>
      <c r="D4916" s="167">
        <v>595.96</v>
      </c>
      <c r="E4916" s="167">
        <v>354.35</v>
      </c>
      <c r="F4916" s="167">
        <v>25.35</v>
      </c>
      <c r="G4916" s="167">
        <v>216.26</v>
      </c>
      <c r="H4916" s="168">
        <v>5247.86</v>
      </c>
      <c r="I4916" s="168">
        <v>4075.2</v>
      </c>
      <c r="J4916" s="168">
        <v>140.88</v>
      </c>
      <c r="K4916" s="168">
        <v>1031.78</v>
      </c>
      <c r="L4916" s="43">
        <v>8.8057252164574784</v>
      </c>
      <c r="M4916" s="43">
        <v>11.500493862000845</v>
      </c>
      <c r="N4916" s="43">
        <v>5.5573964497041413</v>
      </c>
      <c r="O4916" s="43">
        <v>4.7710163691852401</v>
      </c>
      <c r="P4916" s="169"/>
      <c r="Q4916" s="169"/>
      <c r="R4916" s="169">
        <v>12</v>
      </c>
    </row>
    <row r="4917" spans="1:18" ht="12.75" customHeight="1">
      <c r="A4917" s="628" t="s">
        <v>9018</v>
      </c>
      <c r="B4917" s="629"/>
      <c r="C4917" s="629"/>
      <c r="D4917" s="629"/>
      <c r="E4917" s="629"/>
      <c r="F4917" s="629"/>
      <c r="G4917" s="629"/>
      <c r="H4917" s="629"/>
      <c r="I4917" s="629"/>
      <c r="J4917" s="629"/>
      <c r="K4917" s="629"/>
      <c r="L4917" s="629"/>
      <c r="M4917" s="629"/>
      <c r="N4917" s="629"/>
      <c r="O4917" s="629"/>
      <c r="P4917" s="629"/>
      <c r="Q4917" s="629"/>
      <c r="R4917" s="629"/>
    </row>
    <row r="4918" spans="1:18" ht="36">
      <c r="A4918" s="165">
        <v>1997</v>
      </c>
      <c r="B4918" s="162" t="s">
        <v>9019</v>
      </c>
      <c r="C4918" s="166" t="s">
        <v>9020</v>
      </c>
      <c r="D4918" s="167">
        <v>1564.28</v>
      </c>
      <c r="E4918" s="167">
        <v>314.02</v>
      </c>
      <c r="F4918" s="167">
        <v>176.65</v>
      </c>
      <c r="G4918" s="167">
        <v>1073.6099999999999</v>
      </c>
      <c r="H4918" s="168">
        <v>6968.39</v>
      </c>
      <c r="I4918" s="168">
        <v>3611.39</v>
      </c>
      <c r="J4918" s="168">
        <v>919.96</v>
      </c>
      <c r="K4918" s="168">
        <v>2437.04</v>
      </c>
      <c r="L4918" s="43">
        <v>4.4546948116705449</v>
      </c>
      <c r="M4918" s="43">
        <v>11.500509521686517</v>
      </c>
      <c r="N4918" s="43">
        <v>5.2078120577412967</v>
      </c>
      <c r="O4918" s="43">
        <v>2.2699490504000521</v>
      </c>
      <c r="P4918" s="169"/>
      <c r="Q4918" s="169"/>
      <c r="R4918" s="169">
        <v>13</v>
      </c>
    </row>
    <row r="4919" spans="1:18" ht="36">
      <c r="A4919" s="165">
        <v>1998</v>
      </c>
      <c r="B4919" s="162" t="s">
        <v>9021</v>
      </c>
      <c r="C4919" s="166" t="s">
        <v>9022</v>
      </c>
      <c r="D4919" s="167">
        <v>105.63</v>
      </c>
      <c r="E4919" s="167">
        <v>54.81</v>
      </c>
      <c r="F4919" s="167">
        <v>30.56</v>
      </c>
      <c r="G4919" s="167">
        <v>20.260000000000002</v>
      </c>
      <c r="H4919" s="168">
        <v>922.68</v>
      </c>
      <c r="I4919" s="168">
        <v>630.30999999999995</v>
      </c>
      <c r="J4919" s="168">
        <v>174.25</v>
      </c>
      <c r="K4919" s="168">
        <v>118.12</v>
      </c>
      <c r="L4919" s="43">
        <v>8.735018460664584</v>
      </c>
      <c r="M4919" s="43">
        <v>11.499908775770843</v>
      </c>
      <c r="N4919" s="43">
        <v>5.7018979057591626</v>
      </c>
      <c r="O4919" s="43">
        <v>5.8302073050345502</v>
      </c>
      <c r="P4919" s="169"/>
      <c r="Q4919" s="169"/>
      <c r="R4919" s="169">
        <v>13</v>
      </c>
    </row>
    <row r="4920" spans="1:18" ht="24">
      <c r="A4920" s="165">
        <v>1999</v>
      </c>
      <c r="B4920" s="162" t="s">
        <v>9023</v>
      </c>
      <c r="C4920" s="166" t="s">
        <v>9024</v>
      </c>
      <c r="D4920" s="167">
        <v>96.14</v>
      </c>
      <c r="E4920" s="167">
        <v>50.9</v>
      </c>
      <c r="F4920" s="167">
        <v>30.61</v>
      </c>
      <c r="G4920" s="167">
        <v>14.63</v>
      </c>
      <c r="H4920" s="168">
        <v>834.81</v>
      </c>
      <c r="I4920" s="168">
        <v>585.38</v>
      </c>
      <c r="J4920" s="168">
        <v>174.53</v>
      </c>
      <c r="K4920" s="168">
        <v>74.900000000000006</v>
      </c>
      <c r="L4920" s="43">
        <v>8.6832743915123771</v>
      </c>
      <c r="M4920" s="43">
        <v>11.500589390962672</v>
      </c>
      <c r="N4920" s="43">
        <v>5.701731460307089</v>
      </c>
      <c r="O4920" s="43">
        <v>5.1196172248803826</v>
      </c>
      <c r="P4920" s="169"/>
      <c r="Q4920" s="169"/>
      <c r="R4920" s="169">
        <v>13</v>
      </c>
    </row>
    <row r="4921" spans="1:18" ht="36">
      <c r="A4921" s="165">
        <v>2000</v>
      </c>
      <c r="B4921" s="162" t="s">
        <v>9025</v>
      </c>
      <c r="C4921" s="166" t="s">
        <v>9026</v>
      </c>
      <c r="D4921" s="167">
        <v>1526.4</v>
      </c>
      <c r="E4921" s="167">
        <v>241.29</v>
      </c>
      <c r="F4921" s="167">
        <v>224.45</v>
      </c>
      <c r="G4921" s="167">
        <v>1060.6600000000001</v>
      </c>
      <c r="H4921" s="168">
        <v>9152.91</v>
      </c>
      <c r="I4921" s="168">
        <v>2774.94</v>
      </c>
      <c r="J4921" s="168">
        <v>1176.21</v>
      </c>
      <c r="K4921" s="168">
        <v>5201.76</v>
      </c>
      <c r="L4921" s="43">
        <v>5.9964033018867919</v>
      </c>
      <c r="M4921" s="43">
        <v>11.500435161009575</v>
      </c>
      <c r="N4921" s="43">
        <v>5.2404098908442869</v>
      </c>
      <c r="O4921" s="43">
        <v>4.9042671544132901</v>
      </c>
      <c r="P4921" s="169"/>
      <c r="Q4921" s="169"/>
      <c r="R4921" s="169">
        <v>13</v>
      </c>
    </row>
    <row r="4922" spans="1:18" ht="12.75" customHeight="1">
      <c r="A4922" s="628" t="s">
        <v>5777</v>
      </c>
      <c r="B4922" s="629"/>
      <c r="C4922" s="629"/>
      <c r="D4922" s="629"/>
      <c r="E4922" s="629"/>
      <c r="F4922" s="629"/>
      <c r="G4922" s="629"/>
      <c r="H4922" s="629"/>
      <c r="I4922" s="629"/>
      <c r="J4922" s="629"/>
      <c r="K4922" s="629"/>
      <c r="L4922" s="629"/>
      <c r="M4922" s="629"/>
      <c r="N4922" s="629"/>
      <c r="O4922" s="629"/>
      <c r="P4922" s="629"/>
      <c r="Q4922" s="629"/>
      <c r="R4922" s="629"/>
    </row>
    <row r="4923" spans="1:18" ht="24">
      <c r="A4923" s="165">
        <v>2001</v>
      </c>
      <c r="B4923" s="162" t="s">
        <v>9027</v>
      </c>
      <c r="C4923" s="166" t="s">
        <v>9028</v>
      </c>
      <c r="D4923" s="167">
        <v>2717.48</v>
      </c>
      <c r="E4923" s="167">
        <v>1689.03</v>
      </c>
      <c r="F4923" s="167">
        <v>829.11</v>
      </c>
      <c r="G4923" s="167">
        <v>199.34</v>
      </c>
      <c r="H4923" s="168">
        <v>25234.17</v>
      </c>
      <c r="I4923" s="168">
        <v>19424.580000000002</v>
      </c>
      <c r="J4923" s="168">
        <v>4442.37</v>
      </c>
      <c r="K4923" s="168">
        <v>1367.22</v>
      </c>
      <c r="L4923" s="43">
        <v>9.2858714691552464</v>
      </c>
      <c r="M4923" s="43">
        <v>11.500435161009575</v>
      </c>
      <c r="N4923" s="43">
        <v>5.3579983355646412</v>
      </c>
      <c r="O4923" s="43">
        <v>6.8587338216113176</v>
      </c>
      <c r="P4923" s="169"/>
      <c r="Q4923" s="169"/>
      <c r="R4923" s="169">
        <v>14</v>
      </c>
    </row>
    <row r="4924" spans="1:18" ht="36">
      <c r="A4924" s="165">
        <v>2002</v>
      </c>
      <c r="B4924" s="162" t="s">
        <v>9029</v>
      </c>
      <c r="C4924" s="166" t="s">
        <v>9030</v>
      </c>
      <c r="D4924" s="167">
        <v>4244.21</v>
      </c>
      <c r="E4924" s="167">
        <v>2585.25</v>
      </c>
      <c r="F4924" s="167">
        <v>1162.82</v>
      </c>
      <c r="G4924" s="167">
        <v>496.14</v>
      </c>
      <c r="H4924" s="168">
        <v>39041.730000000003</v>
      </c>
      <c r="I4924" s="168">
        <v>29731.5</v>
      </c>
      <c r="J4924" s="168">
        <v>6141.76</v>
      </c>
      <c r="K4924" s="168">
        <v>3168.47</v>
      </c>
      <c r="L4924" s="43">
        <v>9.1988214532268682</v>
      </c>
      <c r="M4924" s="43">
        <v>11.500435161009573</v>
      </c>
      <c r="N4924" s="43">
        <v>5.2817804991314228</v>
      </c>
      <c r="O4924" s="43">
        <v>6.3862417865924934</v>
      </c>
      <c r="P4924" s="169"/>
      <c r="Q4924" s="169"/>
      <c r="R4924" s="169">
        <v>14</v>
      </c>
    </row>
    <row r="4925" spans="1:18" ht="24">
      <c r="A4925" s="165">
        <v>2003</v>
      </c>
      <c r="B4925" s="162" t="s">
        <v>9031</v>
      </c>
      <c r="C4925" s="166" t="s">
        <v>9032</v>
      </c>
      <c r="D4925" s="167">
        <v>2432.3000000000002</v>
      </c>
      <c r="E4925" s="167">
        <v>1355.82</v>
      </c>
      <c r="F4925" s="167">
        <v>658.75</v>
      </c>
      <c r="G4925" s="167">
        <v>417.73</v>
      </c>
      <c r="H4925" s="168">
        <v>21803.59</v>
      </c>
      <c r="I4925" s="168">
        <v>15592.52</v>
      </c>
      <c r="J4925" s="168">
        <v>3613.69</v>
      </c>
      <c r="K4925" s="168">
        <v>2597.38</v>
      </c>
      <c r="L4925" s="43">
        <v>8.9641861612465554</v>
      </c>
      <c r="M4925" s="43">
        <v>11.500435161009575</v>
      </c>
      <c r="N4925" s="43">
        <v>5.4856774193548388</v>
      </c>
      <c r="O4925" s="43">
        <v>6.2178440619538939</v>
      </c>
      <c r="P4925" s="169"/>
      <c r="Q4925" s="169"/>
      <c r="R4925" s="169">
        <v>14</v>
      </c>
    </row>
    <row r="4926" spans="1:18" ht="24">
      <c r="A4926" s="165">
        <v>2004</v>
      </c>
      <c r="B4926" s="162" t="s">
        <v>9033</v>
      </c>
      <c r="C4926" s="166" t="s">
        <v>9034</v>
      </c>
      <c r="D4926" s="167">
        <v>61.67</v>
      </c>
      <c r="E4926" s="167">
        <v>34.47</v>
      </c>
      <c r="F4926" s="167">
        <v>22.1</v>
      </c>
      <c r="G4926" s="167">
        <v>5.0999999999999996</v>
      </c>
      <c r="H4926" s="168">
        <v>550.87</v>
      </c>
      <c r="I4926" s="168">
        <v>396.42</v>
      </c>
      <c r="J4926" s="168">
        <v>119.97</v>
      </c>
      <c r="K4926" s="168">
        <v>34.479999999999997</v>
      </c>
      <c r="L4926" s="43">
        <v>8.9325441868007136</v>
      </c>
      <c r="M4926" s="43">
        <v>11.500435161009575</v>
      </c>
      <c r="N4926" s="43">
        <v>5.4285067873303161</v>
      </c>
      <c r="O4926" s="43">
        <v>6.7607843137254902</v>
      </c>
      <c r="P4926" s="169"/>
      <c r="Q4926" s="169"/>
      <c r="R4926" s="169">
        <v>14</v>
      </c>
    </row>
    <row r="4927" spans="1:18" ht="24">
      <c r="A4927" s="165">
        <v>2005</v>
      </c>
      <c r="B4927" s="162" t="s">
        <v>9035</v>
      </c>
      <c r="C4927" s="166" t="s">
        <v>9036</v>
      </c>
      <c r="D4927" s="167">
        <v>120.34</v>
      </c>
      <c r="E4927" s="167">
        <v>103.41</v>
      </c>
      <c r="F4927" s="167">
        <v>8.59</v>
      </c>
      <c r="G4927" s="167">
        <v>8.34</v>
      </c>
      <c r="H4927" s="168">
        <v>1294.08</v>
      </c>
      <c r="I4927" s="168">
        <v>1189.26</v>
      </c>
      <c r="J4927" s="168">
        <v>44.48</v>
      </c>
      <c r="K4927" s="168">
        <v>60.34</v>
      </c>
      <c r="L4927" s="43">
        <v>10.753531660295828</v>
      </c>
      <c r="M4927" s="43">
        <v>11.500435161009573</v>
      </c>
      <c r="N4927" s="43">
        <v>5.1781140861466817</v>
      </c>
      <c r="O4927" s="43">
        <v>7.2350119904076742</v>
      </c>
      <c r="P4927" s="169"/>
      <c r="Q4927" s="169"/>
      <c r="R4927" s="169">
        <v>14</v>
      </c>
    </row>
    <row r="4928" spans="1:18" ht="12.75" customHeight="1">
      <c r="A4928" s="628" t="s">
        <v>9037</v>
      </c>
      <c r="B4928" s="629"/>
      <c r="C4928" s="629"/>
      <c r="D4928" s="629"/>
      <c r="E4928" s="629"/>
      <c r="F4928" s="629"/>
      <c r="G4928" s="629"/>
      <c r="H4928" s="629"/>
      <c r="I4928" s="629"/>
      <c r="J4928" s="629"/>
      <c r="K4928" s="629"/>
      <c r="L4928" s="629"/>
      <c r="M4928" s="629"/>
      <c r="N4928" s="629"/>
      <c r="O4928" s="629"/>
      <c r="P4928" s="629"/>
      <c r="Q4928" s="629"/>
      <c r="R4928" s="629"/>
    </row>
    <row r="4929" spans="1:18" ht="36">
      <c r="A4929" s="165">
        <v>2006</v>
      </c>
      <c r="B4929" s="162" t="s">
        <v>9038</v>
      </c>
      <c r="C4929" s="166" t="s">
        <v>9039</v>
      </c>
      <c r="D4929" s="167">
        <v>2017.73</v>
      </c>
      <c r="E4929" s="167">
        <v>355.53</v>
      </c>
      <c r="F4929" s="167">
        <v>115.61</v>
      </c>
      <c r="G4929" s="167">
        <v>1546.59</v>
      </c>
      <c r="H4929" s="168">
        <v>10294.73</v>
      </c>
      <c r="I4929" s="168">
        <v>4088.63</v>
      </c>
      <c r="J4929" s="168">
        <v>647.62</v>
      </c>
      <c r="K4929" s="168">
        <v>5558.48</v>
      </c>
      <c r="L4929" s="43">
        <v>5.1021345769751152</v>
      </c>
      <c r="M4929" s="43">
        <v>11.500098444575706</v>
      </c>
      <c r="N4929" s="43">
        <v>5.601764553239339</v>
      </c>
      <c r="O4929" s="43">
        <v>3.5940229795873502</v>
      </c>
      <c r="P4929" s="169"/>
      <c r="Q4929" s="169"/>
      <c r="R4929" s="169">
        <v>15</v>
      </c>
    </row>
    <row r="4930" spans="1:18" ht="36">
      <c r="A4930" s="165">
        <v>2007</v>
      </c>
      <c r="B4930" s="162" t="s">
        <v>9040</v>
      </c>
      <c r="C4930" s="166" t="s">
        <v>9041</v>
      </c>
      <c r="D4930" s="167">
        <v>1355.85</v>
      </c>
      <c r="E4930" s="167">
        <v>171.27</v>
      </c>
      <c r="F4930" s="167">
        <v>92.16</v>
      </c>
      <c r="G4930" s="167">
        <v>1092.42</v>
      </c>
      <c r="H4930" s="168">
        <v>5710.75</v>
      </c>
      <c r="I4930" s="168">
        <v>1969.64</v>
      </c>
      <c r="J4930" s="168">
        <v>520.77</v>
      </c>
      <c r="K4930" s="168">
        <v>3220.34</v>
      </c>
      <c r="L4930" s="43">
        <v>4.2119334734668294</v>
      </c>
      <c r="M4930" s="43">
        <v>11.500204355695685</v>
      </c>
      <c r="N4930" s="43">
        <v>5.650716145833333</v>
      </c>
      <c r="O4930" s="43">
        <v>2.9478954980685086</v>
      </c>
      <c r="P4930" s="169"/>
      <c r="Q4930" s="169"/>
      <c r="R4930" s="169">
        <v>15</v>
      </c>
    </row>
    <row r="4931" spans="1:18" ht="24">
      <c r="A4931" s="165">
        <v>2008</v>
      </c>
      <c r="B4931" s="162" t="s">
        <v>9042</v>
      </c>
      <c r="C4931" s="166" t="s">
        <v>9043</v>
      </c>
      <c r="D4931" s="167">
        <v>1163.3800000000001</v>
      </c>
      <c r="E4931" s="167">
        <v>86.47</v>
      </c>
      <c r="F4931" s="167">
        <v>66.87</v>
      </c>
      <c r="G4931" s="167">
        <v>1010.04</v>
      </c>
      <c r="H4931" s="168">
        <v>4326.8</v>
      </c>
      <c r="I4931" s="168">
        <v>994.39</v>
      </c>
      <c r="J4931" s="168">
        <v>376.3</v>
      </c>
      <c r="K4931" s="168">
        <v>2956.11</v>
      </c>
      <c r="L4931" s="43">
        <v>3.7191631281266653</v>
      </c>
      <c r="M4931" s="43">
        <v>11.499826529432173</v>
      </c>
      <c r="N4931" s="43">
        <v>5.6273366232989384</v>
      </c>
      <c r="O4931" s="43">
        <v>2.9267256742307239</v>
      </c>
      <c r="P4931" s="169"/>
      <c r="Q4931" s="169"/>
      <c r="R4931" s="169">
        <v>15</v>
      </c>
    </row>
    <row r="4932" spans="1:18" ht="12.75" customHeight="1">
      <c r="A4932" s="628" t="s">
        <v>9044</v>
      </c>
      <c r="B4932" s="629"/>
      <c r="C4932" s="629"/>
      <c r="D4932" s="629"/>
      <c r="E4932" s="629"/>
      <c r="F4932" s="629"/>
      <c r="G4932" s="629"/>
      <c r="H4932" s="629"/>
      <c r="I4932" s="629"/>
      <c r="J4932" s="629"/>
      <c r="K4932" s="629"/>
      <c r="L4932" s="629"/>
      <c r="M4932" s="629"/>
      <c r="N4932" s="629"/>
      <c r="O4932" s="629"/>
      <c r="P4932" s="629"/>
      <c r="Q4932" s="629"/>
      <c r="R4932" s="629"/>
    </row>
    <row r="4933" spans="1:18" ht="24">
      <c r="A4933" s="165">
        <v>2009</v>
      </c>
      <c r="B4933" s="162" t="s">
        <v>9045</v>
      </c>
      <c r="C4933" s="166" t="s">
        <v>9046</v>
      </c>
      <c r="D4933" s="167">
        <v>448.91</v>
      </c>
      <c r="E4933" s="167">
        <v>317.57</v>
      </c>
      <c r="F4933" s="167">
        <v>71.11</v>
      </c>
      <c r="G4933" s="167">
        <v>60.23</v>
      </c>
      <c r="H4933" s="168">
        <v>4330.32</v>
      </c>
      <c r="I4933" s="168">
        <v>3652.07</v>
      </c>
      <c r="J4933" s="168">
        <v>401.54</v>
      </c>
      <c r="K4933" s="168">
        <v>276.70999999999998</v>
      </c>
      <c r="L4933" s="43">
        <v>9.6462988126795999</v>
      </c>
      <c r="M4933" s="43">
        <v>11.500047233680764</v>
      </c>
      <c r="N4933" s="43">
        <v>5.6467444803825062</v>
      </c>
      <c r="O4933" s="43">
        <v>4.5942221484310144</v>
      </c>
      <c r="P4933" s="169"/>
      <c r="Q4933" s="169"/>
      <c r="R4933" s="169">
        <v>16</v>
      </c>
    </row>
    <row r="4934" spans="1:18" ht="24">
      <c r="A4934" s="165">
        <v>2010</v>
      </c>
      <c r="B4934" s="162" t="s">
        <v>9047</v>
      </c>
      <c r="C4934" s="166" t="s">
        <v>9048</v>
      </c>
      <c r="D4934" s="167">
        <v>283.44</v>
      </c>
      <c r="E4934" s="167">
        <v>122.1</v>
      </c>
      <c r="F4934" s="167">
        <v>74.599999999999994</v>
      </c>
      <c r="G4934" s="167">
        <v>86.74</v>
      </c>
      <c r="H4934" s="168">
        <v>2233.48</v>
      </c>
      <c r="I4934" s="168">
        <v>1404.15</v>
      </c>
      <c r="J4934" s="168">
        <v>422.86</v>
      </c>
      <c r="K4934" s="168">
        <v>406.47</v>
      </c>
      <c r="L4934" s="43">
        <v>7.8799040361275754</v>
      </c>
      <c r="M4934" s="43">
        <v>11.500000000000002</v>
      </c>
      <c r="N4934" s="43">
        <v>5.6683646112600545</v>
      </c>
      <c r="O4934" s="43">
        <v>4.6860733225732076</v>
      </c>
      <c r="P4934" s="169"/>
      <c r="Q4934" s="169"/>
      <c r="R4934" s="169">
        <v>16</v>
      </c>
    </row>
    <row r="4935" spans="1:18" ht="24">
      <c r="A4935" s="165">
        <v>2011</v>
      </c>
      <c r="B4935" s="162" t="s">
        <v>9049</v>
      </c>
      <c r="C4935" s="166" t="s">
        <v>9050</v>
      </c>
      <c r="D4935" s="167">
        <v>399.63</v>
      </c>
      <c r="E4935" s="167">
        <v>66.599999999999994</v>
      </c>
      <c r="F4935" s="167">
        <v>58.36</v>
      </c>
      <c r="G4935" s="167">
        <v>274.67</v>
      </c>
      <c r="H4935" s="168">
        <v>2665.65</v>
      </c>
      <c r="I4935" s="168">
        <v>765.9</v>
      </c>
      <c r="J4935" s="168">
        <v>330.99</v>
      </c>
      <c r="K4935" s="168">
        <v>1568.76</v>
      </c>
      <c r="L4935" s="43">
        <v>6.6702950228961795</v>
      </c>
      <c r="M4935" s="43">
        <v>11.5</v>
      </c>
      <c r="N4935" s="43">
        <v>5.6715215901302267</v>
      </c>
      <c r="O4935" s="43">
        <v>5.7114355408308146</v>
      </c>
      <c r="P4935" s="169"/>
      <c r="Q4935" s="169"/>
      <c r="R4935" s="169">
        <v>16</v>
      </c>
    </row>
    <row r="4936" spans="1:18" ht="24">
      <c r="A4936" s="165">
        <v>2012</v>
      </c>
      <c r="B4936" s="162" t="s">
        <v>9051</v>
      </c>
      <c r="C4936" s="166" t="s">
        <v>9052</v>
      </c>
      <c r="D4936" s="167">
        <v>137.44</v>
      </c>
      <c r="E4936" s="167">
        <v>48.06</v>
      </c>
      <c r="F4936" s="167">
        <v>58.67</v>
      </c>
      <c r="G4936" s="167">
        <v>30.71</v>
      </c>
      <c r="H4936" s="168">
        <v>1032.79</v>
      </c>
      <c r="I4936" s="168">
        <v>552.72</v>
      </c>
      <c r="J4936" s="168">
        <v>333.17</v>
      </c>
      <c r="K4936" s="168">
        <v>146.9</v>
      </c>
      <c r="L4936" s="43">
        <v>7.5144790454016297</v>
      </c>
      <c r="M4936" s="43">
        <v>11.500624219725344</v>
      </c>
      <c r="N4936" s="43">
        <v>5.678711436850179</v>
      </c>
      <c r="O4936" s="43">
        <v>4.7834581569521326</v>
      </c>
      <c r="P4936" s="169"/>
      <c r="Q4936" s="169"/>
      <c r="R4936" s="169">
        <v>16</v>
      </c>
    </row>
    <row r="4937" spans="1:18" ht="24">
      <c r="A4937" s="165">
        <v>2013</v>
      </c>
      <c r="B4937" s="162" t="s">
        <v>9053</v>
      </c>
      <c r="C4937" s="166" t="s">
        <v>9054</v>
      </c>
      <c r="D4937" s="167">
        <v>35.01</v>
      </c>
      <c r="E4937" s="167">
        <v>4.1100000000000003</v>
      </c>
      <c r="F4937" s="167"/>
      <c r="G4937" s="167">
        <v>30.9</v>
      </c>
      <c r="H4937" s="168">
        <v>126.35</v>
      </c>
      <c r="I4937" s="168">
        <v>47.23</v>
      </c>
      <c r="J4937" s="168"/>
      <c r="K4937" s="168">
        <v>79.12</v>
      </c>
      <c r="L4937" s="43">
        <v>3.6089688660382748</v>
      </c>
      <c r="M4937" s="43">
        <v>11.5</v>
      </c>
      <c r="N4937" s="43" t="s">
        <v>1690</v>
      </c>
      <c r="O4937" s="43">
        <v>2.560517799352751</v>
      </c>
      <c r="P4937" s="169"/>
      <c r="Q4937" s="169"/>
      <c r="R4937" s="169">
        <v>16</v>
      </c>
    </row>
    <row r="4938" spans="1:18" ht="12.75">
      <c r="A4938" s="632" t="s">
        <v>18</v>
      </c>
      <c r="B4938" s="632"/>
      <c r="C4938" s="632"/>
      <c r="D4938" s="163">
        <v>18217206.050000001</v>
      </c>
      <c r="E4938" s="163">
        <v>3693999.09</v>
      </c>
      <c r="F4938" s="163">
        <v>10077896.08</v>
      </c>
      <c r="G4938" s="163">
        <v>4445310.88</v>
      </c>
      <c r="H4938" s="164">
        <v>112980937.81999999</v>
      </c>
      <c r="I4938" s="164">
        <v>42482457.859999999</v>
      </c>
      <c r="J4938" s="164">
        <v>52321495.759999998</v>
      </c>
      <c r="K4938" s="164">
        <v>18176984.199999999</v>
      </c>
      <c r="L4938" s="612">
        <v>6.2018806566663383</v>
      </c>
      <c r="M4938" s="612">
        <v>11.500397489269549</v>
      </c>
      <c r="N4938" s="612">
        <v>5.1917082042385969</v>
      </c>
      <c r="O4938" s="612">
        <v>4.0890242978911751</v>
      </c>
      <c r="P4938" s="161"/>
      <c r="Q4938" s="161"/>
      <c r="R4938" s="161"/>
    </row>
    <row r="4939" spans="1:18" ht="18">
      <c r="A4939" s="616" t="s">
        <v>4704</v>
      </c>
      <c r="B4939" s="626"/>
      <c r="C4939" s="626"/>
      <c r="D4939" s="626"/>
      <c r="E4939" s="626"/>
      <c r="F4939" s="626"/>
      <c r="G4939" s="626"/>
      <c r="H4939" s="626"/>
      <c r="I4939" s="626"/>
      <c r="J4939" s="626"/>
      <c r="K4939" s="626"/>
      <c r="L4939" s="626"/>
      <c r="M4939" s="626"/>
      <c r="N4939" s="626"/>
      <c r="O4939" s="626"/>
      <c r="P4939" s="626"/>
      <c r="Q4939" s="626"/>
      <c r="R4939" s="627"/>
    </row>
    <row r="4940" spans="1:18" ht="12.75" customHeight="1">
      <c r="A4940" s="630" t="s">
        <v>9056</v>
      </c>
      <c r="B4940" s="631"/>
      <c r="C4940" s="631"/>
      <c r="D4940" s="631"/>
      <c r="E4940" s="631"/>
      <c r="F4940" s="631"/>
      <c r="G4940" s="631"/>
      <c r="H4940" s="631"/>
      <c r="I4940" s="631"/>
      <c r="J4940" s="631"/>
      <c r="K4940" s="631"/>
      <c r="L4940" s="631"/>
      <c r="M4940" s="631"/>
      <c r="N4940" s="631"/>
      <c r="O4940" s="631"/>
      <c r="P4940" s="631"/>
      <c r="Q4940" s="631"/>
      <c r="R4940" s="631"/>
    </row>
    <row r="4941" spans="1:18" ht="27" customHeight="1">
      <c r="A4941" s="628" t="s">
        <v>9057</v>
      </c>
      <c r="B4941" s="629"/>
      <c r="C4941" s="629"/>
      <c r="D4941" s="629"/>
      <c r="E4941" s="629"/>
      <c r="F4941" s="629"/>
      <c r="G4941" s="629"/>
      <c r="H4941" s="629"/>
      <c r="I4941" s="629"/>
      <c r="J4941" s="629"/>
      <c r="K4941" s="629"/>
      <c r="L4941" s="629"/>
      <c r="M4941" s="629"/>
      <c r="N4941" s="629"/>
      <c r="O4941" s="629"/>
      <c r="P4941" s="629"/>
      <c r="Q4941" s="629"/>
      <c r="R4941" s="629"/>
    </row>
    <row r="4942" spans="1:18" ht="12.75" customHeight="1">
      <c r="A4942" s="628" t="s">
        <v>9058</v>
      </c>
      <c r="B4942" s="629"/>
      <c r="C4942" s="629"/>
      <c r="D4942" s="629"/>
      <c r="E4942" s="629"/>
      <c r="F4942" s="629"/>
      <c r="G4942" s="629"/>
      <c r="H4942" s="629"/>
      <c r="I4942" s="629"/>
      <c r="J4942" s="629"/>
      <c r="K4942" s="629"/>
      <c r="L4942" s="629"/>
      <c r="M4942" s="629"/>
      <c r="N4942" s="629"/>
      <c r="O4942" s="629"/>
      <c r="P4942" s="629"/>
      <c r="Q4942" s="629"/>
      <c r="R4942" s="629"/>
    </row>
    <row r="4943" spans="1:18" ht="36">
      <c r="A4943" s="180">
        <v>1</v>
      </c>
      <c r="B4943" s="177" t="s">
        <v>9059</v>
      </c>
      <c r="C4943" s="181" t="s">
        <v>9060</v>
      </c>
      <c r="D4943" s="182">
        <v>598.55999999999995</v>
      </c>
      <c r="E4943" s="182">
        <v>287.49</v>
      </c>
      <c r="F4943" s="182">
        <v>219.28</v>
      </c>
      <c r="G4943" s="182">
        <v>91.79</v>
      </c>
      <c r="H4943" s="183">
        <v>4846.46</v>
      </c>
      <c r="I4943" s="183">
        <v>3306.14</v>
      </c>
      <c r="J4943" s="183">
        <v>1156.31</v>
      </c>
      <c r="K4943" s="183">
        <v>384.01</v>
      </c>
      <c r="L4943" s="43">
        <v>8.0968658112804075</v>
      </c>
      <c r="M4943" s="43">
        <v>11.500017391909283</v>
      </c>
      <c r="N4943" s="43">
        <v>5.2732123312659613</v>
      </c>
      <c r="O4943" s="43">
        <v>4.1835711951192938</v>
      </c>
      <c r="P4943" s="184"/>
      <c r="Q4943" s="184"/>
      <c r="R4943" s="184">
        <v>1</v>
      </c>
    </row>
    <row r="4944" spans="1:18" ht="36">
      <c r="A4944" s="180">
        <v>2</v>
      </c>
      <c r="B4944" s="177" t="s">
        <v>9061</v>
      </c>
      <c r="C4944" s="181" t="s">
        <v>9062</v>
      </c>
      <c r="D4944" s="182">
        <v>2383.0100000000002</v>
      </c>
      <c r="E4944" s="182">
        <v>695.97</v>
      </c>
      <c r="F4944" s="182">
        <v>1314.62</v>
      </c>
      <c r="G4944" s="182">
        <v>372.42</v>
      </c>
      <c r="H4944" s="183">
        <v>16933.580000000002</v>
      </c>
      <c r="I4944" s="183">
        <v>8003.66</v>
      </c>
      <c r="J4944" s="183">
        <v>7445.34</v>
      </c>
      <c r="K4944" s="183">
        <v>1484.58</v>
      </c>
      <c r="L4944" s="43">
        <v>7.1059626270976626</v>
      </c>
      <c r="M4944" s="43">
        <v>11.50000718421771</v>
      </c>
      <c r="N4944" s="43">
        <v>5.6634921117889583</v>
      </c>
      <c r="O4944" s="43">
        <v>3.986305783792492</v>
      </c>
      <c r="P4944" s="184"/>
      <c r="Q4944" s="184"/>
      <c r="R4944" s="184">
        <v>1</v>
      </c>
    </row>
    <row r="4945" spans="1:18" ht="36">
      <c r="A4945" s="180">
        <v>3</v>
      </c>
      <c r="B4945" s="177" t="s">
        <v>9063</v>
      </c>
      <c r="C4945" s="181" t="s">
        <v>9064</v>
      </c>
      <c r="D4945" s="182">
        <v>4813.4799999999996</v>
      </c>
      <c r="E4945" s="182">
        <v>1831.5</v>
      </c>
      <c r="F4945" s="182">
        <v>2559.7600000000002</v>
      </c>
      <c r="G4945" s="182">
        <v>422.22</v>
      </c>
      <c r="H4945" s="183">
        <v>37582.31</v>
      </c>
      <c r="I4945" s="183">
        <v>21062.25</v>
      </c>
      <c r="J4945" s="183">
        <v>14609.51</v>
      </c>
      <c r="K4945" s="183">
        <v>1910.55</v>
      </c>
      <c r="L4945" s="43">
        <v>7.807721232871021</v>
      </c>
      <c r="M4945" s="43">
        <v>11.5</v>
      </c>
      <c r="N4945" s="43">
        <v>5.7073749101478262</v>
      </c>
      <c r="O4945" s="43">
        <v>4.5250106579508307</v>
      </c>
      <c r="P4945" s="184"/>
      <c r="Q4945" s="184"/>
      <c r="R4945" s="184">
        <v>1</v>
      </c>
    </row>
    <row r="4946" spans="1:18" ht="48">
      <c r="A4946" s="180">
        <v>4</v>
      </c>
      <c r="B4946" s="177" t="s">
        <v>9065</v>
      </c>
      <c r="C4946" s="181" t="s">
        <v>9066</v>
      </c>
      <c r="D4946" s="182">
        <v>13237.38</v>
      </c>
      <c r="E4946" s="182">
        <v>4964.26</v>
      </c>
      <c r="F4946" s="182">
        <v>4718.58</v>
      </c>
      <c r="G4946" s="182">
        <v>3554.54</v>
      </c>
      <c r="H4946" s="183">
        <v>101583.09</v>
      </c>
      <c r="I4946" s="183">
        <v>57088.99</v>
      </c>
      <c r="J4946" s="183">
        <v>26538.94</v>
      </c>
      <c r="K4946" s="183">
        <v>17955.16</v>
      </c>
      <c r="L4946" s="43">
        <v>7.6739573843162319</v>
      </c>
      <c r="M4946" s="43">
        <v>11.499999999999998</v>
      </c>
      <c r="N4946" s="43">
        <v>5.6243488507135622</v>
      </c>
      <c r="O4946" s="43">
        <v>5.0513315365701326</v>
      </c>
      <c r="P4946" s="184"/>
      <c r="Q4946" s="184"/>
      <c r="R4946" s="184">
        <v>1</v>
      </c>
    </row>
    <row r="4947" spans="1:18" ht="48">
      <c r="A4947" s="180">
        <v>5</v>
      </c>
      <c r="B4947" s="177" t="s">
        <v>9067</v>
      </c>
      <c r="C4947" s="181" t="s">
        <v>9068</v>
      </c>
      <c r="D4947" s="182">
        <v>29457.71</v>
      </c>
      <c r="E4947" s="182">
        <v>8834.7000000000007</v>
      </c>
      <c r="F4947" s="182">
        <v>14482.49</v>
      </c>
      <c r="G4947" s="182">
        <v>6140.52</v>
      </c>
      <c r="H4947" s="183">
        <v>210125.18</v>
      </c>
      <c r="I4947" s="183">
        <v>101599.05</v>
      </c>
      <c r="J4947" s="183">
        <v>76304.350000000006</v>
      </c>
      <c r="K4947" s="183">
        <v>32221.78</v>
      </c>
      <c r="L4947" s="43">
        <v>7.1331131985480205</v>
      </c>
      <c r="M4947" s="43">
        <v>11.5</v>
      </c>
      <c r="N4947" s="43">
        <v>5.2687314128993012</v>
      </c>
      <c r="O4947" s="43">
        <v>5.2474025001139966</v>
      </c>
      <c r="P4947" s="184"/>
      <c r="Q4947" s="184"/>
      <c r="R4947" s="184">
        <v>1</v>
      </c>
    </row>
    <row r="4948" spans="1:18" ht="48">
      <c r="A4948" s="180">
        <v>6</v>
      </c>
      <c r="B4948" s="177" t="s">
        <v>9069</v>
      </c>
      <c r="C4948" s="181" t="s">
        <v>9070</v>
      </c>
      <c r="D4948" s="182">
        <v>55998.79</v>
      </c>
      <c r="E4948" s="182">
        <v>13690.78</v>
      </c>
      <c r="F4948" s="182">
        <v>33817.18</v>
      </c>
      <c r="G4948" s="182">
        <v>8490.83</v>
      </c>
      <c r="H4948" s="183">
        <v>372433.08</v>
      </c>
      <c r="I4948" s="183">
        <v>157443.97</v>
      </c>
      <c r="J4948" s="183">
        <v>170899.49</v>
      </c>
      <c r="K4948" s="183">
        <v>44089.62</v>
      </c>
      <c r="L4948" s="43">
        <v>6.6507344176543812</v>
      </c>
      <c r="M4948" s="43">
        <v>11.5</v>
      </c>
      <c r="N4948" s="43">
        <v>5.0536292499847706</v>
      </c>
      <c r="O4948" s="43">
        <v>5.1926160340037431</v>
      </c>
      <c r="P4948" s="184"/>
      <c r="Q4948" s="184"/>
      <c r="R4948" s="184">
        <v>1</v>
      </c>
    </row>
    <row r="4949" spans="1:18" ht="48">
      <c r="A4949" s="180">
        <v>7</v>
      </c>
      <c r="B4949" s="177" t="s">
        <v>9071</v>
      </c>
      <c r="C4949" s="181" t="s">
        <v>9072</v>
      </c>
      <c r="D4949" s="182">
        <v>59513.73</v>
      </c>
      <c r="E4949" s="182">
        <v>14808.64</v>
      </c>
      <c r="F4949" s="182">
        <v>35732.550000000003</v>
      </c>
      <c r="G4949" s="182">
        <v>8972.5400000000009</v>
      </c>
      <c r="H4949" s="183">
        <v>397799.44</v>
      </c>
      <c r="I4949" s="183">
        <v>170299.36</v>
      </c>
      <c r="J4949" s="183">
        <v>180705.51</v>
      </c>
      <c r="K4949" s="183">
        <v>46794.57</v>
      </c>
      <c r="L4949" s="43">
        <v>6.6841624613345525</v>
      </c>
      <c r="M4949" s="43">
        <v>11.5</v>
      </c>
      <c r="N4949" s="43">
        <v>5.0571680442621645</v>
      </c>
      <c r="O4949" s="43">
        <v>5.2153091543754604</v>
      </c>
      <c r="P4949" s="184"/>
      <c r="Q4949" s="184"/>
      <c r="R4949" s="184">
        <v>1</v>
      </c>
    </row>
    <row r="4950" spans="1:18" ht="48">
      <c r="A4950" s="180">
        <v>8</v>
      </c>
      <c r="B4950" s="177" t="s">
        <v>9073</v>
      </c>
      <c r="C4950" s="181" t="s">
        <v>9074</v>
      </c>
      <c r="D4950" s="182">
        <v>169690.39</v>
      </c>
      <c r="E4950" s="182">
        <v>42911.4</v>
      </c>
      <c r="F4950" s="182">
        <v>113841.64</v>
      </c>
      <c r="G4950" s="182">
        <v>12937.35</v>
      </c>
      <c r="H4950" s="183">
        <v>1143204.78</v>
      </c>
      <c r="I4950" s="183">
        <v>493481.1</v>
      </c>
      <c r="J4950" s="183">
        <v>577433.64</v>
      </c>
      <c r="K4950" s="183">
        <v>72290.039999999994</v>
      </c>
      <c r="L4950" s="43">
        <v>6.7370036688583248</v>
      </c>
      <c r="M4950" s="43">
        <v>11.499999999999998</v>
      </c>
      <c r="N4950" s="43">
        <v>5.0722533512342238</v>
      </c>
      <c r="O4950" s="43">
        <v>5.5877007269649495</v>
      </c>
      <c r="P4950" s="184"/>
      <c r="Q4950" s="184"/>
      <c r="R4950" s="184">
        <v>1</v>
      </c>
    </row>
    <row r="4951" spans="1:18" ht="12.75" customHeight="1">
      <c r="A4951" s="628" t="s">
        <v>9075</v>
      </c>
      <c r="B4951" s="629"/>
      <c r="C4951" s="629"/>
      <c r="D4951" s="629"/>
      <c r="E4951" s="629"/>
      <c r="F4951" s="629"/>
      <c r="G4951" s="629"/>
      <c r="H4951" s="629"/>
      <c r="I4951" s="629"/>
      <c r="J4951" s="629"/>
      <c r="K4951" s="629"/>
      <c r="L4951" s="629"/>
      <c r="M4951" s="629"/>
      <c r="N4951" s="629"/>
      <c r="O4951" s="629"/>
      <c r="P4951" s="629"/>
      <c r="Q4951" s="629"/>
      <c r="R4951" s="629"/>
    </row>
    <row r="4952" spans="1:18" ht="36">
      <c r="A4952" s="180">
        <v>9</v>
      </c>
      <c r="B4952" s="177" t="s">
        <v>9076</v>
      </c>
      <c r="C4952" s="181" t="s">
        <v>9077</v>
      </c>
      <c r="D4952" s="182">
        <v>1203.01</v>
      </c>
      <c r="E4952" s="182">
        <v>419.25</v>
      </c>
      <c r="F4952" s="182">
        <v>689.33</v>
      </c>
      <c r="G4952" s="182">
        <v>94.43</v>
      </c>
      <c r="H4952" s="183">
        <v>9143.59</v>
      </c>
      <c r="I4952" s="183">
        <v>4821.3999999999996</v>
      </c>
      <c r="J4952" s="183">
        <v>3907.82</v>
      </c>
      <c r="K4952" s="183">
        <v>414.37</v>
      </c>
      <c r="L4952" s="43">
        <v>7.6005935112758829</v>
      </c>
      <c r="M4952" s="43">
        <v>11.500059630292187</v>
      </c>
      <c r="N4952" s="43">
        <v>5.669011939129299</v>
      </c>
      <c r="O4952" s="43">
        <v>4.3881181827808957</v>
      </c>
      <c r="P4952" s="184"/>
      <c r="Q4952" s="184"/>
      <c r="R4952" s="184">
        <v>2</v>
      </c>
    </row>
    <row r="4953" spans="1:18" ht="36">
      <c r="A4953" s="180">
        <v>10</v>
      </c>
      <c r="B4953" s="177" t="s">
        <v>9078</v>
      </c>
      <c r="C4953" s="181" t="s">
        <v>9079</v>
      </c>
      <c r="D4953" s="182">
        <v>10510.88</v>
      </c>
      <c r="E4953" s="182">
        <v>3990.2</v>
      </c>
      <c r="F4953" s="182">
        <v>6017.36</v>
      </c>
      <c r="G4953" s="182">
        <v>503.32</v>
      </c>
      <c r="H4953" s="183">
        <v>82876.179999999993</v>
      </c>
      <c r="I4953" s="183">
        <v>45887.3</v>
      </c>
      <c r="J4953" s="183">
        <v>34351.160000000003</v>
      </c>
      <c r="K4953" s="183">
        <v>2637.72</v>
      </c>
      <c r="L4953" s="43">
        <v>7.8847993697958687</v>
      </c>
      <c r="M4953" s="43">
        <v>11.500000000000002</v>
      </c>
      <c r="N4953" s="43">
        <v>5.7086762301075566</v>
      </c>
      <c r="O4953" s="43">
        <v>5.2406421362155289</v>
      </c>
      <c r="P4953" s="184"/>
      <c r="Q4953" s="184"/>
      <c r="R4953" s="184">
        <v>2</v>
      </c>
    </row>
    <row r="4954" spans="1:18" ht="12.75" customHeight="1">
      <c r="A4954" s="628" t="s">
        <v>9080</v>
      </c>
      <c r="B4954" s="629"/>
      <c r="C4954" s="629"/>
      <c r="D4954" s="629"/>
      <c r="E4954" s="629"/>
      <c r="F4954" s="629"/>
      <c r="G4954" s="629"/>
      <c r="H4954" s="629"/>
      <c r="I4954" s="629"/>
      <c r="J4954" s="629"/>
      <c r="K4954" s="629"/>
      <c r="L4954" s="629"/>
      <c r="M4954" s="629"/>
      <c r="N4954" s="629"/>
      <c r="O4954" s="629"/>
      <c r="P4954" s="629"/>
      <c r="Q4954" s="629"/>
      <c r="R4954" s="629"/>
    </row>
    <row r="4955" spans="1:18" ht="36">
      <c r="A4955" s="180">
        <v>11</v>
      </c>
      <c r="B4955" s="177" t="s">
        <v>9081</v>
      </c>
      <c r="C4955" s="181" t="s">
        <v>9082</v>
      </c>
      <c r="D4955" s="182">
        <v>7039.98</v>
      </c>
      <c r="E4955" s="182">
        <v>2275.02</v>
      </c>
      <c r="F4955" s="182">
        <v>4333.87</v>
      </c>
      <c r="G4955" s="182">
        <v>431.09</v>
      </c>
      <c r="H4955" s="183">
        <v>53068.85</v>
      </c>
      <c r="I4955" s="183">
        <v>26163.72</v>
      </c>
      <c r="J4955" s="183">
        <v>24892.58</v>
      </c>
      <c r="K4955" s="183">
        <v>2012.55</v>
      </c>
      <c r="L4955" s="43">
        <v>7.538210335824818</v>
      </c>
      <c r="M4955" s="43">
        <v>11.500435161009575</v>
      </c>
      <c r="N4955" s="43">
        <v>5.7437301995675929</v>
      </c>
      <c r="O4955" s="43">
        <v>4.6685146953072447</v>
      </c>
      <c r="P4955" s="184"/>
      <c r="Q4955" s="184"/>
      <c r="R4955" s="184">
        <v>3</v>
      </c>
    </row>
    <row r="4956" spans="1:18" ht="36">
      <c r="A4956" s="180">
        <v>12</v>
      </c>
      <c r="B4956" s="177" t="s">
        <v>9083</v>
      </c>
      <c r="C4956" s="181" t="s">
        <v>9084</v>
      </c>
      <c r="D4956" s="182">
        <v>30442.98</v>
      </c>
      <c r="E4956" s="182">
        <v>8065.98</v>
      </c>
      <c r="F4956" s="182">
        <v>20276.88</v>
      </c>
      <c r="G4956" s="182">
        <v>2100.12</v>
      </c>
      <c r="H4956" s="183">
        <v>209586.53</v>
      </c>
      <c r="I4956" s="183">
        <v>92762.28</v>
      </c>
      <c r="J4956" s="183">
        <v>107456.66</v>
      </c>
      <c r="K4956" s="183">
        <v>9367.59</v>
      </c>
      <c r="L4956" s="43">
        <v>6.8845602500149461</v>
      </c>
      <c r="M4956" s="43">
        <v>11.500435161009573</v>
      </c>
      <c r="N4956" s="43">
        <v>5.2994671764097827</v>
      </c>
      <c r="O4956" s="43">
        <v>4.4605022570138848</v>
      </c>
      <c r="P4956" s="184"/>
      <c r="Q4956" s="184"/>
      <c r="R4956" s="184">
        <v>3</v>
      </c>
    </row>
    <row r="4957" spans="1:18" ht="36">
      <c r="A4957" s="180">
        <v>13</v>
      </c>
      <c r="B4957" s="177" t="s">
        <v>9085</v>
      </c>
      <c r="C4957" s="181" t="s">
        <v>9086</v>
      </c>
      <c r="D4957" s="182">
        <v>11206.75</v>
      </c>
      <c r="E4957" s="182">
        <v>4055.97</v>
      </c>
      <c r="F4957" s="182">
        <v>4736.3900000000003</v>
      </c>
      <c r="G4957" s="182">
        <v>2414.39</v>
      </c>
      <c r="H4957" s="183">
        <v>85197.99</v>
      </c>
      <c r="I4957" s="183">
        <v>46645.42</v>
      </c>
      <c r="J4957" s="183">
        <v>26998.06</v>
      </c>
      <c r="K4957" s="183">
        <v>11554.51</v>
      </c>
      <c r="L4957" s="43">
        <v>7.6023816003747742</v>
      </c>
      <c r="M4957" s="43">
        <v>11.500435161009573</v>
      </c>
      <c r="N4957" s="43">
        <v>5.7001344906141593</v>
      </c>
      <c r="O4957" s="43">
        <v>4.7856849970385902</v>
      </c>
      <c r="P4957" s="184"/>
      <c r="Q4957" s="184"/>
      <c r="R4957" s="184">
        <v>3</v>
      </c>
    </row>
    <row r="4958" spans="1:18" ht="12.75" customHeight="1">
      <c r="A4958" s="628" t="s">
        <v>9087</v>
      </c>
      <c r="B4958" s="629"/>
      <c r="C4958" s="629"/>
      <c r="D4958" s="629"/>
      <c r="E4958" s="629"/>
      <c r="F4958" s="629"/>
      <c r="G4958" s="629"/>
      <c r="H4958" s="629"/>
      <c r="I4958" s="629"/>
      <c r="J4958" s="629"/>
      <c r="K4958" s="629"/>
      <c r="L4958" s="629"/>
      <c r="M4958" s="629"/>
      <c r="N4958" s="629"/>
      <c r="O4958" s="629"/>
      <c r="P4958" s="629"/>
      <c r="Q4958" s="629"/>
      <c r="R4958" s="629"/>
    </row>
    <row r="4959" spans="1:18" ht="36">
      <c r="A4959" s="180">
        <v>14</v>
      </c>
      <c r="B4959" s="177" t="s">
        <v>9088</v>
      </c>
      <c r="C4959" s="181" t="s">
        <v>9089</v>
      </c>
      <c r="D4959" s="182">
        <v>8018.83</v>
      </c>
      <c r="E4959" s="182">
        <v>2985.9</v>
      </c>
      <c r="F4959" s="182">
        <v>4565.9399999999996</v>
      </c>
      <c r="G4959" s="182">
        <v>466.99</v>
      </c>
      <c r="H4959" s="183">
        <v>62653.63</v>
      </c>
      <c r="I4959" s="183">
        <v>34337.85</v>
      </c>
      <c r="J4959" s="183">
        <v>26007.86</v>
      </c>
      <c r="K4959" s="183">
        <v>2307.92</v>
      </c>
      <c r="L4959" s="43">
        <v>7.8133131641399052</v>
      </c>
      <c r="M4959" s="43">
        <v>11.5</v>
      </c>
      <c r="N4959" s="43">
        <v>5.6960582048822372</v>
      </c>
      <c r="O4959" s="43">
        <v>4.9421186749180928</v>
      </c>
      <c r="P4959" s="184"/>
      <c r="Q4959" s="184"/>
      <c r="R4959" s="184">
        <v>4</v>
      </c>
    </row>
    <row r="4960" spans="1:18" ht="12.75" customHeight="1">
      <c r="A4960" s="628" t="s">
        <v>9090</v>
      </c>
      <c r="B4960" s="629"/>
      <c r="C4960" s="629"/>
      <c r="D4960" s="629"/>
      <c r="E4960" s="629"/>
      <c r="F4960" s="629"/>
      <c r="G4960" s="629"/>
      <c r="H4960" s="629"/>
      <c r="I4960" s="629"/>
      <c r="J4960" s="629"/>
      <c r="K4960" s="629"/>
      <c r="L4960" s="629"/>
      <c r="M4960" s="629"/>
      <c r="N4960" s="629"/>
      <c r="O4960" s="629"/>
      <c r="P4960" s="629"/>
      <c r="Q4960" s="629"/>
      <c r="R4960" s="629"/>
    </row>
    <row r="4961" spans="1:18" ht="24">
      <c r="A4961" s="180">
        <v>15</v>
      </c>
      <c r="B4961" s="177" t="s">
        <v>9091</v>
      </c>
      <c r="C4961" s="181" t="s">
        <v>9092</v>
      </c>
      <c r="D4961" s="182">
        <v>1459.14</v>
      </c>
      <c r="E4961" s="182">
        <v>394.52</v>
      </c>
      <c r="F4961" s="182">
        <v>698.23</v>
      </c>
      <c r="G4961" s="182">
        <v>366.39</v>
      </c>
      <c r="H4961" s="183">
        <v>9912.69</v>
      </c>
      <c r="I4961" s="183">
        <v>4537.03</v>
      </c>
      <c r="J4961" s="183">
        <v>3960.42</v>
      </c>
      <c r="K4961" s="183">
        <v>1415.24</v>
      </c>
      <c r="L4961" s="43">
        <v>6.7935153583617742</v>
      </c>
      <c r="M4961" s="43">
        <v>11.500126736287134</v>
      </c>
      <c r="N4961" s="43">
        <v>5.6720851295418413</v>
      </c>
      <c r="O4961" s="43">
        <v>3.8626600070962636</v>
      </c>
      <c r="P4961" s="184"/>
      <c r="Q4961" s="184"/>
      <c r="R4961" s="184">
        <v>5</v>
      </c>
    </row>
    <row r="4962" spans="1:18" ht="23.25" customHeight="1">
      <c r="A4962" s="628" t="s">
        <v>9093</v>
      </c>
      <c r="B4962" s="629"/>
      <c r="C4962" s="629"/>
      <c r="D4962" s="629"/>
      <c r="E4962" s="629"/>
      <c r="F4962" s="629"/>
      <c r="G4962" s="629"/>
      <c r="H4962" s="629"/>
      <c r="I4962" s="629"/>
      <c r="J4962" s="629"/>
      <c r="K4962" s="629"/>
      <c r="L4962" s="629"/>
      <c r="M4962" s="629"/>
      <c r="N4962" s="629"/>
      <c r="O4962" s="629"/>
      <c r="P4962" s="629"/>
      <c r="Q4962" s="629"/>
      <c r="R4962" s="629"/>
    </row>
    <row r="4963" spans="1:18" ht="12.75" customHeight="1">
      <c r="A4963" s="628" t="s">
        <v>9094</v>
      </c>
      <c r="B4963" s="629"/>
      <c r="C4963" s="629"/>
      <c r="D4963" s="629"/>
      <c r="E4963" s="629"/>
      <c r="F4963" s="629"/>
      <c r="G4963" s="629"/>
      <c r="H4963" s="629"/>
      <c r="I4963" s="629"/>
      <c r="J4963" s="629"/>
      <c r="K4963" s="629"/>
      <c r="L4963" s="629"/>
      <c r="M4963" s="629"/>
      <c r="N4963" s="629"/>
      <c r="O4963" s="629"/>
      <c r="P4963" s="629"/>
      <c r="Q4963" s="629"/>
      <c r="R4963" s="629"/>
    </row>
    <row r="4964" spans="1:18" ht="36">
      <c r="A4964" s="180">
        <v>16</v>
      </c>
      <c r="B4964" s="177" t="s">
        <v>9095</v>
      </c>
      <c r="C4964" s="181" t="s">
        <v>9096</v>
      </c>
      <c r="D4964" s="182">
        <v>19042.46</v>
      </c>
      <c r="E4964" s="182">
        <v>5285.4</v>
      </c>
      <c r="F4964" s="182">
        <v>7876.41</v>
      </c>
      <c r="G4964" s="182">
        <v>5880.65</v>
      </c>
      <c r="H4964" s="183">
        <v>138352.34</v>
      </c>
      <c r="I4964" s="183">
        <v>60784.4</v>
      </c>
      <c r="J4964" s="183">
        <v>44736.95</v>
      </c>
      <c r="K4964" s="183">
        <v>32830.99</v>
      </c>
      <c r="L4964" s="43">
        <v>7.26546570138522</v>
      </c>
      <c r="M4964" s="43">
        <v>11.500435161009575</v>
      </c>
      <c r="N4964" s="43">
        <v>5.6798655732751335</v>
      </c>
      <c r="O4964" s="43">
        <v>5.5828845450757996</v>
      </c>
      <c r="P4964" s="184"/>
      <c r="Q4964" s="184"/>
      <c r="R4964" s="184">
        <v>1</v>
      </c>
    </row>
    <row r="4965" spans="1:18" ht="36">
      <c r="A4965" s="180">
        <v>17</v>
      </c>
      <c r="B4965" s="177" t="s">
        <v>9097</v>
      </c>
      <c r="C4965" s="181" t="s">
        <v>9096</v>
      </c>
      <c r="D4965" s="182">
        <v>37734.07</v>
      </c>
      <c r="E4965" s="182">
        <v>10812.09</v>
      </c>
      <c r="F4965" s="182">
        <v>17232.57</v>
      </c>
      <c r="G4965" s="182">
        <v>9689.41</v>
      </c>
      <c r="H4965" s="183">
        <v>274617.71000000002</v>
      </c>
      <c r="I4965" s="183">
        <v>124343.74</v>
      </c>
      <c r="J4965" s="183">
        <v>96512.46</v>
      </c>
      <c r="K4965" s="183">
        <v>53761.51</v>
      </c>
      <c r="L4965" s="43">
        <v>7.2777124227521712</v>
      </c>
      <c r="M4965" s="43">
        <v>11.500435161009573</v>
      </c>
      <c r="N4965" s="43">
        <v>5.6005842425128698</v>
      </c>
      <c r="O4965" s="43">
        <v>5.5484812800779411</v>
      </c>
      <c r="P4965" s="184"/>
      <c r="Q4965" s="184"/>
      <c r="R4965" s="184">
        <v>1</v>
      </c>
    </row>
    <row r="4966" spans="1:18" ht="36">
      <c r="A4966" s="180">
        <v>18</v>
      </c>
      <c r="B4966" s="177" t="s">
        <v>9098</v>
      </c>
      <c r="C4966" s="181" t="s">
        <v>9099</v>
      </c>
      <c r="D4966" s="182">
        <v>53507.18</v>
      </c>
      <c r="E4966" s="182">
        <v>13052.64</v>
      </c>
      <c r="F4966" s="182">
        <v>26337.87</v>
      </c>
      <c r="G4966" s="182">
        <v>14116.67</v>
      </c>
      <c r="H4966" s="183">
        <v>361000.61</v>
      </c>
      <c r="I4966" s="183">
        <v>150111.04000000001</v>
      </c>
      <c r="J4966" s="183">
        <v>139873.53</v>
      </c>
      <c r="K4966" s="183">
        <v>71016.039999999994</v>
      </c>
      <c r="L4966" s="43">
        <v>6.7467694989719131</v>
      </c>
      <c r="M4966" s="43">
        <v>11.500435161009575</v>
      </c>
      <c r="N4966" s="43">
        <v>5.3107381120796786</v>
      </c>
      <c r="O4966" s="43">
        <v>5.0306509963043684</v>
      </c>
      <c r="P4966" s="184"/>
      <c r="Q4966" s="184"/>
      <c r="R4966" s="184">
        <v>1</v>
      </c>
    </row>
    <row r="4967" spans="1:18" ht="12.75" customHeight="1">
      <c r="A4967" s="628" t="s">
        <v>9100</v>
      </c>
      <c r="B4967" s="629"/>
      <c r="C4967" s="629"/>
      <c r="D4967" s="629"/>
      <c r="E4967" s="629"/>
      <c r="F4967" s="629"/>
      <c r="G4967" s="629"/>
      <c r="H4967" s="629"/>
      <c r="I4967" s="629"/>
      <c r="J4967" s="629"/>
      <c r="K4967" s="629"/>
      <c r="L4967" s="629"/>
      <c r="M4967" s="629"/>
      <c r="N4967" s="629"/>
      <c r="O4967" s="629"/>
      <c r="P4967" s="629"/>
      <c r="Q4967" s="629"/>
      <c r="R4967" s="629"/>
    </row>
    <row r="4968" spans="1:18" ht="36">
      <c r="A4968" s="180">
        <v>19</v>
      </c>
      <c r="B4968" s="177" t="s">
        <v>9101</v>
      </c>
      <c r="C4968" s="181" t="s">
        <v>9102</v>
      </c>
      <c r="D4968" s="182">
        <v>4756.63</v>
      </c>
      <c r="E4968" s="182">
        <v>1454.1</v>
      </c>
      <c r="F4968" s="182">
        <v>1722.16</v>
      </c>
      <c r="G4968" s="182">
        <v>1580.37</v>
      </c>
      <c r="H4968" s="183">
        <v>35085.68</v>
      </c>
      <c r="I4968" s="183">
        <v>16722.150000000001</v>
      </c>
      <c r="J4968" s="183">
        <v>9727.93</v>
      </c>
      <c r="K4968" s="183">
        <v>8635.6</v>
      </c>
      <c r="L4968" s="43">
        <v>7.3761633761717853</v>
      </c>
      <c r="M4968" s="43">
        <v>11.500000000000002</v>
      </c>
      <c r="N4968" s="43">
        <v>5.6486795651971944</v>
      </c>
      <c r="O4968" s="43">
        <v>5.4642900080360937</v>
      </c>
      <c r="P4968" s="184"/>
      <c r="Q4968" s="184"/>
      <c r="R4968" s="184">
        <v>2</v>
      </c>
    </row>
    <row r="4969" spans="1:18" ht="36">
      <c r="A4969" s="180">
        <v>20</v>
      </c>
      <c r="B4969" s="177" t="s">
        <v>9103</v>
      </c>
      <c r="C4969" s="181" t="s">
        <v>9104</v>
      </c>
      <c r="D4969" s="182">
        <v>18523.63</v>
      </c>
      <c r="E4969" s="182">
        <v>6315.9</v>
      </c>
      <c r="F4969" s="182">
        <v>8619.93</v>
      </c>
      <c r="G4969" s="182">
        <v>3587.8</v>
      </c>
      <c r="H4969" s="183">
        <v>141243.51999999999</v>
      </c>
      <c r="I4969" s="183">
        <v>72632.850000000006</v>
      </c>
      <c r="J4969" s="183">
        <v>49084.22</v>
      </c>
      <c r="K4969" s="183">
        <v>19526.45</v>
      </c>
      <c r="L4969" s="43">
        <v>7.6250454149645606</v>
      </c>
      <c r="M4969" s="43">
        <v>11.500000000000002</v>
      </c>
      <c r="N4969" s="43">
        <v>5.6942712991868847</v>
      </c>
      <c r="O4969" s="43">
        <v>5.4424577735659732</v>
      </c>
      <c r="P4969" s="184"/>
      <c r="Q4969" s="184"/>
      <c r="R4969" s="184">
        <v>2</v>
      </c>
    </row>
    <row r="4970" spans="1:18" ht="36">
      <c r="A4970" s="180">
        <v>21</v>
      </c>
      <c r="B4970" s="177" t="s">
        <v>9105</v>
      </c>
      <c r="C4970" s="181" t="s">
        <v>9106</v>
      </c>
      <c r="D4970" s="182">
        <v>22405.89</v>
      </c>
      <c r="E4970" s="182">
        <v>7403.7</v>
      </c>
      <c r="F4970" s="182">
        <v>11548.69</v>
      </c>
      <c r="G4970" s="182">
        <v>3453.5</v>
      </c>
      <c r="H4970" s="183">
        <v>169992.49</v>
      </c>
      <c r="I4970" s="183">
        <v>85142.55</v>
      </c>
      <c r="J4970" s="183">
        <v>65973.070000000007</v>
      </c>
      <c r="K4970" s="183">
        <v>18876.87</v>
      </c>
      <c r="L4970" s="43">
        <v>7.5869554835804331</v>
      </c>
      <c r="M4970" s="43">
        <v>11.5</v>
      </c>
      <c r="N4970" s="43">
        <v>5.7126020353823685</v>
      </c>
      <c r="O4970" s="43">
        <v>5.4660112928912694</v>
      </c>
      <c r="P4970" s="184"/>
      <c r="Q4970" s="184"/>
      <c r="R4970" s="184">
        <v>2</v>
      </c>
    </row>
    <row r="4971" spans="1:18" ht="12.75" customHeight="1">
      <c r="A4971" s="628" t="s">
        <v>9107</v>
      </c>
      <c r="B4971" s="629"/>
      <c r="C4971" s="629"/>
      <c r="D4971" s="629"/>
      <c r="E4971" s="629"/>
      <c r="F4971" s="629"/>
      <c r="G4971" s="629"/>
      <c r="H4971" s="629"/>
      <c r="I4971" s="629"/>
      <c r="J4971" s="629"/>
      <c r="K4971" s="629"/>
      <c r="L4971" s="629"/>
      <c r="M4971" s="629"/>
      <c r="N4971" s="629"/>
      <c r="O4971" s="629"/>
      <c r="P4971" s="629"/>
      <c r="Q4971" s="629"/>
      <c r="R4971" s="629"/>
    </row>
    <row r="4972" spans="1:18" ht="36">
      <c r="A4972" s="180">
        <v>22</v>
      </c>
      <c r="B4972" s="177" t="s">
        <v>9108</v>
      </c>
      <c r="C4972" s="181" t="s">
        <v>9109</v>
      </c>
      <c r="D4972" s="182">
        <v>5617.56</v>
      </c>
      <c r="E4972" s="182">
        <v>2040.42</v>
      </c>
      <c r="F4972" s="182">
        <v>2073.19</v>
      </c>
      <c r="G4972" s="182">
        <v>1503.95</v>
      </c>
      <c r="H4972" s="183">
        <v>43391.63</v>
      </c>
      <c r="I4972" s="183">
        <v>23465.759999999998</v>
      </c>
      <c r="J4972" s="183">
        <v>11675.01</v>
      </c>
      <c r="K4972" s="183">
        <v>8250.86</v>
      </c>
      <c r="L4972" s="43">
        <v>7.7242842088023975</v>
      </c>
      <c r="M4972" s="43">
        <v>11.500455788514127</v>
      </c>
      <c r="N4972" s="43">
        <v>5.6314230726561485</v>
      </c>
      <c r="O4972" s="43">
        <v>5.4861265334618841</v>
      </c>
      <c r="P4972" s="184"/>
      <c r="Q4972" s="184"/>
      <c r="R4972" s="184">
        <v>3</v>
      </c>
    </row>
    <row r="4973" spans="1:18" ht="12.75" customHeight="1">
      <c r="A4973" s="628" t="s">
        <v>9110</v>
      </c>
      <c r="B4973" s="629"/>
      <c r="C4973" s="629"/>
      <c r="D4973" s="629"/>
      <c r="E4973" s="629"/>
      <c r="F4973" s="629"/>
      <c r="G4973" s="629"/>
      <c r="H4973" s="629"/>
      <c r="I4973" s="629"/>
      <c r="J4973" s="629"/>
      <c r="K4973" s="629"/>
      <c r="L4973" s="629"/>
      <c r="M4973" s="629"/>
      <c r="N4973" s="629"/>
      <c r="O4973" s="629"/>
      <c r="P4973" s="629"/>
      <c r="Q4973" s="629"/>
      <c r="R4973" s="629"/>
    </row>
    <row r="4974" spans="1:18" ht="36">
      <c r="A4974" s="180">
        <v>23</v>
      </c>
      <c r="B4974" s="177" t="s">
        <v>9111</v>
      </c>
      <c r="C4974" s="181" t="s">
        <v>9112</v>
      </c>
      <c r="D4974" s="182">
        <v>12045.41</v>
      </c>
      <c r="E4974" s="182">
        <v>4289.2700000000004</v>
      </c>
      <c r="F4974" s="182">
        <v>6368.52</v>
      </c>
      <c r="G4974" s="182">
        <v>1387.62</v>
      </c>
      <c r="H4974" s="183">
        <v>92090.81</v>
      </c>
      <c r="I4974" s="183">
        <v>49328.56</v>
      </c>
      <c r="J4974" s="183">
        <v>36254.28</v>
      </c>
      <c r="K4974" s="183">
        <v>6507.97</v>
      </c>
      <c r="L4974" s="43">
        <v>7.645303065649073</v>
      </c>
      <c r="M4974" s="43">
        <v>11.500455788514127</v>
      </c>
      <c r="N4974" s="43">
        <v>5.692732377381243</v>
      </c>
      <c r="O4974" s="43">
        <v>4.6900232052002719</v>
      </c>
      <c r="P4974" s="184"/>
      <c r="Q4974" s="184"/>
      <c r="R4974" s="184">
        <v>4</v>
      </c>
    </row>
    <row r="4975" spans="1:18" ht="12.75" customHeight="1">
      <c r="A4975" s="628" t="s">
        <v>9113</v>
      </c>
      <c r="B4975" s="629"/>
      <c r="C4975" s="629"/>
      <c r="D4975" s="629"/>
      <c r="E4975" s="629"/>
      <c r="F4975" s="629"/>
      <c r="G4975" s="629"/>
      <c r="H4975" s="629"/>
      <c r="I4975" s="629"/>
      <c r="J4975" s="629"/>
      <c r="K4975" s="629"/>
      <c r="L4975" s="629"/>
      <c r="M4975" s="629"/>
      <c r="N4975" s="629"/>
      <c r="O4975" s="629"/>
      <c r="P4975" s="629"/>
      <c r="Q4975" s="629"/>
      <c r="R4975" s="629"/>
    </row>
    <row r="4976" spans="1:18" ht="24">
      <c r="A4976" s="180">
        <v>24</v>
      </c>
      <c r="B4976" s="177" t="s">
        <v>9114</v>
      </c>
      <c r="C4976" s="181" t="s">
        <v>9115</v>
      </c>
      <c r="D4976" s="182">
        <v>5526.07</v>
      </c>
      <c r="E4976" s="182">
        <v>1551.12</v>
      </c>
      <c r="F4976" s="182">
        <v>2301.0700000000002</v>
      </c>
      <c r="G4976" s="182">
        <v>1673.88</v>
      </c>
      <c r="H4976" s="183">
        <v>40117.32</v>
      </c>
      <c r="I4976" s="183">
        <v>17837.88</v>
      </c>
      <c r="J4976" s="183">
        <v>13089.27</v>
      </c>
      <c r="K4976" s="183">
        <v>9190.17</v>
      </c>
      <c r="L4976" s="43">
        <v>7.2596474528914765</v>
      </c>
      <c r="M4976" s="43">
        <v>11.500000000000002</v>
      </c>
      <c r="N4976" s="43">
        <v>5.6883406415276365</v>
      </c>
      <c r="O4976" s="43">
        <v>5.4903398093053264</v>
      </c>
      <c r="P4976" s="184"/>
      <c r="Q4976" s="184"/>
      <c r="R4976" s="184">
        <v>5</v>
      </c>
    </row>
    <row r="4977" spans="1:18" ht="12.75" customHeight="1">
      <c r="A4977" s="628" t="s">
        <v>9116</v>
      </c>
      <c r="B4977" s="629"/>
      <c r="C4977" s="629"/>
      <c r="D4977" s="629"/>
      <c r="E4977" s="629"/>
      <c r="F4977" s="629"/>
      <c r="G4977" s="629"/>
      <c r="H4977" s="629"/>
      <c r="I4977" s="629"/>
      <c r="J4977" s="629"/>
      <c r="K4977" s="629"/>
      <c r="L4977" s="629"/>
      <c r="M4977" s="629"/>
      <c r="N4977" s="629"/>
      <c r="O4977" s="629"/>
      <c r="P4977" s="629"/>
      <c r="Q4977" s="629"/>
      <c r="R4977" s="629"/>
    </row>
    <row r="4978" spans="1:18" ht="36">
      <c r="A4978" s="180">
        <v>25</v>
      </c>
      <c r="B4978" s="177" t="s">
        <v>9117</v>
      </c>
      <c r="C4978" s="181" t="s">
        <v>9118</v>
      </c>
      <c r="D4978" s="182">
        <v>39505.08</v>
      </c>
      <c r="E4978" s="182">
        <v>8205.2000000000007</v>
      </c>
      <c r="F4978" s="182">
        <v>23953.23</v>
      </c>
      <c r="G4978" s="182">
        <v>7346.65</v>
      </c>
      <c r="H4978" s="183">
        <v>255833.28</v>
      </c>
      <c r="I4978" s="183">
        <v>94359.8</v>
      </c>
      <c r="J4978" s="183">
        <v>121445.26</v>
      </c>
      <c r="K4978" s="183">
        <v>40028.22</v>
      </c>
      <c r="L4978" s="43">
        <v>6.475959041216977</v>
      </c>
      <c r="M4978" s="43">
        <v>11.5</v>
      </c>
      <c r="N4978" s="43">
        <v>5.070099523112332</v>
      </c>
      <c r="O4978" s="43">
        <v>5.4484996563059358</v>
      </c>
      <c r="P4978" s="184"/>
      <c r="Q4978" s="184"/>
      <c r="R4978" s="184">
        <v>6</v>
      </c>
    </row>
    <row r="4979" spans="1:18" ht="12.75" customHeight="1">
      <c r="A4979" s="628" t="s">
        <v>9119</v>
      </c>
      <c r="B4979" s="629"/>
      <c r="C4979" s="629"/>
      <c r="D4979" s="629"/>
      <c r="E4979" s="629"/>
      <c r="F4979" s="629"/>
      <c r="G4979" s="629"/>
      <c r="H4979" s="629"/>
      <c r="I4979" s="629"/>
      <c r="J4979" s="629"/>
      <c r="K4979" s="629"/>
      <c r="L4979" s="629"/>
      <c r="M4979" s="629"/>
      <c r="N4979" s="629"/>
      <c r="O4979" s="629"/>
      <c r="P4979" s="629"/>
      <c r="Q4979" s="629"/>
      <c r="R4979" s="629"/>
    </row>
    <row r="4980" spans="1:18" ht="36">
      <c r="A4980" s="180">
        <v>26</v>
      </c>
      <c r="B4980" s="177" t="s">
        <v>9120</v>
      </c>
      <c r="C4980" s="181" t="s">
        <v>9121</v>
      </c>
      <c r="D4980" s="182">
        <v>16710.22</v>
      </c>
      <c r="E4980" s="182">
        <v>5957.2</v>
      </c>
      <c r="F4980" s="182">
        <v>9630.08</v>
      </c>
      <c r="G4980" s="182">
        <v>1122.94</v>
      </c>
      <c r="H4980" s="183">
        <v>127829.7</v>
      </c>
      <c r="I4980" s="183">
        <v>68507.8</v>
      </c>
      <c r="J4980" s="183">
        <v>54243.19</v>
      </c>
      <c r="K4980" s="183">
        <v>5078.71</v>
      </c>
      <c r="L4980" s="43">
        <v>7.6497915646831691</v>
      </c>
      <c r="M4980" s="43">
        <v>11.5</v>
      </c>
      <c r="N4980" s="43">
        <v>5.6326832175849013</v>
      </c>
      <c r="O4980" s="43">
        <v>4.5226904376012964</v>
      </c>
      <c r="P4980" s="184"/>
      <c r="Q4980" s="184"/>
      <c r="R4980" s="184">
        <v>7</v>
      </c>
    </row>
    <row r="4981" spans="1:18" ht="12.75" customHeight="1">
      <c r="A4981" s="628" t="s">
        <v>9122</v>
      </c>
      <c r="B4981" s="629"/>
      <c r="C4981" s="629"/>
      <c r="D4981" s="629"/>
      <c r="E4981" s="629"/>
      <c r="F4981" s="629"/>
      <c r="G4981" s="629"/>
      <c r="H4981" s="629"/>
      <c r="I4981" s="629"/>
      <c r="J4981" s="629"/>
      <c r="K4981" s="629"/>
      <c r="L4981" s="629"/>
      <c r="M4981" s="629"/>
      <c r="N4981" s="629"/>
      <c r="O4981" s="629"/>
      <c r="P4981" s="629"/>
      <c r="Q4981" s="629"/>
      <c r="R4981" s="629"/>
    </row>
    <row r="4982" spans="1:18" ht="12.75" customHeight="1">
      <c r="A4982" s="628" t="s">
        <v>9058</v>
      </c>
      <c r="B4982" s="629"/>
      <c r="C4982" s="629"/>
      <c r="D4982" s="629"/>
      <c r="E4982" s="629"/>
      <c r="F4982" s="629"/>
      <c r="G4982" s="629"/>
      <c r="H4982" s="629"/>
      <c r="I4982" s="629"/>
      <c r="J4982" s="629"/>
      <c r="K4982" s="629"/>
      <c r="L4982" s="629"/>
      <c r="M4982" s="629"/>
      <c r="N4982" s="629"/>
      <c r="O4982" s="629"/>
      <c r="P4982" s="629"/>
      <c r="Q4982" s="629"/>
      <c r="R4982" s="629"/>
    </row>
    <row r="4983" spans="1:18" ht="36">
      <c r="A4983" s="180">
        <v>27</v>
      </c>
      <c r="B4983" s="177" t="s">
        <v>9123</v>
      </c>
      <c r="C4983" s="181" t="s">
        <v>9124</v>
      </c>
      <c r="D4983" s="182">
        <v>10432.58</v>
      </c>
      <c r="E4983" s="182">
        <v>4306.8</v>
      </c>
      <c r="F4983" s="182">
        <v>5654.05</v>
      </c>
      <c r="G4983" s="182">
        <v>471.73</v>
      </c>
      <c r="H4983" s="183">
        <v>84402.559999999998</v>
      </c>
      <c r="I4983" s="183">
        <v>49528.2</v>
      </c>
      <c r="J4983" s="183">
        <v>32394.45</v>
      </c>
      <c r="K4983" s="183">
        <v>2479.91</v>
      </c>
      <c r="L4983" s="43">
        <v>8.0902863912857601</v>
      </c>
      <c r="M4983" s="43">
        <v>11.499999999999998</v>
      </c>
      <c r="N4983" s="43">
        <v>5.7294240411740258</v>
      </c>
      <c r="O4983" s="43">
        <v>5.257053823161554</v>
      </c>
      <c r="P4983" s="184"/>
      <c r="Q4983" s="184"/>
      <c r="R4983" s="184">
        <v>1</v>
      </c>
    </row>
    <row r="4984" spans="1:18" ht="12.75" customHeight="1">
      <c r="A4984" s="628" t="s">
        <v>9110</v>
      </c>
      <c r="B4984" s="629"/>
      <c r="C4984" s="629"/>
      <c r="D4984" s="629"/>
      <c r="E4984" s="629"/>
      <c r="F4984" s="629"/>
      <c r="G4984" s="629"/>
      <c r="H4984" s="629"/>
      <c r="I4984" s="629"/>
      <c r="J4984" s="629"/>
      <c r="K4984" s="629"/>
      <c r="L4984" s="629"/>
      <c r="M4984" s="629"/>
      <c r="N4984" s="629"/>
      <c r="O4984" s="629"/>
      <c r="P4984" s="629"/>
      <c r="Q4984" s="629"/>
      <c r="R4984" s="629"/>
    </row>
    <row r="4985" spans="1:18" ht="36">
      <c r="A4985" s="180">
        <v>28</v>
      </c>
      <c r="B4985" s="177" t="s">
        <v>9125</v>
      </c>
      <c r="C4985" s="181" t="s">
        <v>9126</v>
      </c>
      <c r="D4985" s="182">
        <v>3814.22</v>
      </c>
      <c r="E4985" s="182">
        <v>1437.07</v>
      </c>
      <c r="F4985" s="182">
        <v>1984.49</v>
      </c>
      <c r="G4985" s="182">
        <v>392.66</v>
      </c>
      <c r="H4985" s="183">
        <v>29571.59</v>
      </c>
      <c r="I4985" s="183">
        <v>16526.96</v>
      </c>
      <c r="J4985" s="183">
        <v>11356.66</v>
      </c>
      <c r="K4985" s="183">
        <v>1687.97</v>
      </c>
      <c r="L4985" s="43">
        <v>7.7529848828856229</v>
      </c>
      <c r="M4985" s="43">
        <v>11.500455788514129</v>
      </c>
      <c r="N4985" s="43">
        <v>5.7227096130491963</v>
      </c>
      <c r="O4985" s="43">
        <v>4.2988081291702747</v>
      </c>
      <c r="P4985" s="184"/>
      <c r="Q4985" s="184"/>
      <c r="R4985" s="184">
        <v>2</v>
      </c>
    </row>
    <row r="4986" spans="1:18" ht="12.75" customHeight="1">
      <c r="A4986" s="628" t="s">
        <v>9127</v>
      </c>
      <c r="B4986" s="629"/>
      <c r="C4986" s="629"/>
      <c r="D4986" s="629"/>
      <c r="E4986" s="629"/>
      <c r="F4986" s="629"/>
      <c r="G4986" s="629"/>
      <c r="H4986" s="629"/>
      <c r="I4986" s="629"/>
      <c r="J4986" s="629"/>
      <c r="K4986" s="629"/>
      <c r="L4986" s="629"/>
      <c r="M4986" s="629"/>
      <c r="N4986" s="629"/>
      <c r="O4986" s="629"/>
      <c r="P4986" s="629"/>
      <c r="Q4986" s="629"/>
      <c r="R4986" s="629"/>
    </row>
    <row r="4987" spans="1:18" ht="36">
      <c r="A4987" s="180">
        <v>29</v>
      </c>
      <c r="B4987" s="177" t="s">
        <v>9128</v>
      </c>
      <c r="C4987" s="181" t="s">
        <v>9129</v>
      </c>
      <c r="D4987" s="182">
        <v>14327.07</v>
      </c>
      <c r="E4987" s="182">
        <v>5372.4</v>
      </c>
      <c r="F4987" s="182">
        <v>7778.4</v>
      </c>
      <c r="G4987" s="182">
        <v>1176.27</v>
      </c>
      <c r="H4987" s="183">
        <v>111503.43</v>
      </c>
      <c r="I4987" s="183">
        <v>61782.6</v>
      </c>
      <c r="J4987" s="183">
        <v>44381.03</v>
      </c>
      <c r="K4987" s="183">
        <v>5339.8</v>
      </c>
      <c r="L4987" s="43">
        <v>7.7827099330149148</v>
      </c>
      <c r="M4987" s="43">
        <v>11.5</v>
      </c>
      <c r="N4987" s="43">
        <v>5.7056759744934693</v>
      </c>
      <c r="O4987" s="43">
        <v>4.5396040024824238</v>
      </c>
      <c r="P4987" s="184"/>
      <c r="Q4987" s="184"/>
      <c r="R4987" s="184">
        <v>3</v>
      </c>
    </row>
    <row r="4988" spans="1:18" ht="12.75" customHeight="1">
      <c r="A4988" s="628" t="s">
        <v>9130</v>
      </c>
      <c r="B4988" s="629"/>
      <c r="C4988" s="629"/>
      <c r="D4988" s="629"/>
      <c r="E4988" s="629"/>
      <c r="F4988" s="629"/>
      <c r="G4988" s="629"/>
      <c r="H4988" s="629"/>
      <c r="I4988" s="629"/>
      <c r="J4988" s="629"/>
      <c r="K4988" s="629"/>
      <c r="L4988" s="629"/>
      <c r="M4988" s="629"/>
      <c r="N4988" s="629"/>
      <c r="O4988" s="629"/>
      <c r="P4988" s="629"/>
      <c r="Q4988" s="629"/>
      <c r="R4988" s="629"/>
    </row>
    <row r="4989" spans="1:18" ht="12.75" customHeight="1">
      <c r="A4989" s="628" t="s">
        <v>9131</v>
      </c>
      <c r="B4989" s="629"/>
      <c r="C4989" s="629"/>
      <c r="D4989" s="629"/>
      <c r="E4989" s="629"/>
      <c r="F4989" s="629"/>
      <c r="G4989" s="629"/>
      <c r="H4989" s="629"/>
      <c r="I4989" s="629"/>
      <c r="J4989" s="629"/>
      <c r="K4989" s="629"/>
      <c r="L4989" s="629"/>
      <c r="M4989" s="629"/>
      <c r="N4989" s="629"/>
      <c r="O4989" s="629"/>
      <c r="P4989" s="629"/>
      <c r="Q4989" s="629"/>
      <c r="R4989" s="629"/>
    </row>
    <row r="4990" spans="1:18" ht="24">
      <c r="A4990" s="180">
        <v>30</v>
      </c>
      <c r="B4990" s="177" t="s">
        <v>9132</v>
      </c>
      <c r="C4990" s="181" t="s">
        <v>9133</v>
      </c>
      <c r="D4990" s="182">
        <v>9981.4</v>
      </c>
      <c r="E4990" s="182">
        <v>4987.04</v>
      </c>
      <c r="F4990" s="182">
        <v>4753.9399999999996</v>
      </c>
      <c r="G4990" s="182">
        <v>240.42</v>
      </c>
      <c r="H4990" s="183">
        <v>86834.76</v>
      </c>
      <c r="I4990" s="183">
        <v>57350.96</v>
      </c>
      <c r="J4990" s="183">
        <v>27587.11</v>
      </c>
      <c r="K4990" s="183">
        <v>1896.69</v>
      </c>
      <c r="L4990" s="43">
        <v>8.6996573626946123</v>
      </c>
      <c r="M4990" s="43">
        <v>11.5</v>
      </c>
      <c r="N4990" s="43">
        <v>5.8029991964559926</v>
      </c>
      <c r="O4990" s="43">
        <v>7.8890691290242083</v>
      </c>
      <c r="P4990" s="184"/>
      <c r="Q4990" s="184"/>
      <c r="R4990" s="184">
        <v>1</v>
      </c>
    </row>
    <row r="4991" spans="1:18" ht="24">
      <c r="A4991" s="180">
        <v>31</v>
      </c>
      <c r="B4991" s="177" t="s">
        <v>9134</v>
      </c>
      <c r="C4991" s="181" t="s">
        <v>9135</v>
      </c>
      <c r="D4991" s="182">
        <v>37759.279999999999</v>
      </c>
      <c r="E4991" s="182">
        <v>11768.96</v>
      </c>
      <c r="F4991" s="182">
        <v>24667.35</v>
      </c>
      <c r="G4991" s="182">
        <v>1322.97</v>
      </c>
      <c r="H4991" s="183">
        <v>266267.84000000003</v>
      </c>
      <c r="I4991" s="183">
        <v>135343.04000000001</v>
      </c>
      <c r="J4991" s="183">
        <v>124188.62</v>
      </c>
      <c r="K4991" s="183">
        <v>6736.18</v>
      </c>
      <c r="L4991" s="43">
        <v>7.0517192065102945</v>
      </c>
      <c r="M4991" s="43">
        <v>11.500000000000002</v>
      </c>
      <c r="N4991" s="43">
        <v>5.0345343135764482</v>
      </c>
      <c r="O4991" s="43">
        <v>5.0917103184501542</v>
      </c>
      <c r="P4991" s="184"/>
      <c r="Q4991" s="184"/>
      <c r="R4991" s="184">
        <v>1</v>
      </c>
    </row>
    <row r="4992" spans="1:18" ht="24">
      <c r="A4992" s="180">
        <v>32</v>
      </c>
      <c r="B4992" s="177" t="s">
        <v>9136</v>
      </c>
      <c r="C4992" s="181" t="s">
        <v>9137</v>
      </c>
      <c r="D4992" s="182">
        <v>108143.51</v>
      </c>
      <c r="E4992" s="182">
        <v>21822.560000000001</v>
      </c>
      <c r="F4992" s="182">
        <v>84477.03</v>
      </c>
      <c r="G4992" s="182">
        <v>1843.92</v>
      </c>
      <c r="H4992" s="183">
        <v>661199.68999999994</v>
      </c>
      <c r="I4992" s="183">
        <v>250959.44</v>
      </c>
      <c r="J4992" s="183">
        <v>400006.67</v>
      </c>
      <c r="K4992" s="183">
        <v>10233.58</v>
      </c>
      <c r="L4992" s="43">
        <v>6.1140949651070136</v>
      </c>
      <c r="M4992" s="43">
        <v>11.5</v>
      </c>
      <c r="N4992" s="43">
        <v>4.7350939065921231</v>
      </c>
      <c r="O4992" s="43">
        <v>5.5499045511735865</v>
      </c>
      <c r="P4992" s="184"/>
      <c r="Q4992" s="184"/>
      <c r="R4992" s="184">
        <v>1</v>
      </c>
    </row>
    <row r="4993" spans="1:18" ht="24">
      <c r="A4993" s="180">
        <v>33</v>
      </c>
      <c r="B4993" s="177" t="s">
        <v>9138</v>
      </c>
      <c r="C4993" s="181" t="s">
        <v>9139</v>
      </c>
      <c r="D4993" s="182">
        <v>264149.82</v>
      </c>
      <c r="E4993" s="182">
        <v>44292.639999999999</v>
      </c>
      <c r="F4993" s="182">
        <v>212490.58</v>
      </c>
      <c r="G4993" s="182">
        <v>7366.6</v>
      </c>
      <c r="H4993" s="183">
        <v>1613888.35</v>
      </c>
      <c r="I4993" s="183">
        <v>509365.36</v>
      </c>
      <c r="J4993" s="183">
        <v>1064683.4099999999</v>
      </c>
      <c r="K4993" s="183">
        <v>39839.58</v>
      </c>
      <c r="L4993" s="43">
        <v>6.1097461660204804</v>
      </c>
      <c r="M4993" s="43">
        <v>11.5</v>
      </c>
      <c r="N4993" s="43">
        <v>5.0104969829721391</v>
      </c>
      <c r="O4993" s="43">
        <v>5.4081367252192329</v>
      </c>
      <c r="P4993" s="184"/>
      <c r="Q4993" s="184"/>
      <c r="R4993" s="184">
        <v>1</v>
      </c>
    </row>
    <row r="4994" spans="1:18" ht="12.75" customHeight="1">
      <c r="A4994" s="628" t="s">
        <v>9140</v>
      </c>
      <c r="B4994" s="629"/>
      <c r="C4994" s="629"/>
      <c r="D4994" s="629"/>
      <c r="E4994" s="629"/>
      <c r="F4994" s="629"/>
      <c r="G4994" s="629"/>
      <c r="H4994" s="629"/>
      <c r="I4994" s="629"/>
      <c r="J4994" s="629"/>
      <c r="K4994" s="629"/>
      <c r="L4994" s="629"/>
      <c r="M4994" s="629"/>
      <c r="N4994" s="629"/>
      <c r="O4994" s="629"/>
      <c r="P4994" s="629"/>
      <c r="Q4994" s="629"/>
      <c r="R4994" s="629"/>
    </row>
    <row r="4995" spans="1:18" ht="24">
      <c r="A4995" s="180">
        <v>34</v>
      </c>
      <c r="B4995" s="177" t="s">
        <v>9141</v>
      </c>
      <c r="C4995" s="181" t="s">
        <v>9142</v>
      </c>
      <c r="D4995" s="182">
        <v>440140.37</v>
      </c>
      <c r="E4995" s="182">
        <v>67285.279999999999</v>
      </c>
      <c r="F4995" s="182">
        <v>356730.48</v>
      </c>
      <c r="G4995" s="182">
        <v>16124.61</v>
      </c>
      <c r="H4995" s="183">
        <v>2554998.59</v>
      </c>
      <c r="I4995" s="183">
        <v>773780.72</v>
      </c>
      <c r="J4995" s="183">
        <v>1695297.79</v>
      </c>
      <c r="K4995" s="183">
        <v>85920.08</v>
      </c>
      <c r="L4995" s="43">
        <v>5.8049630621249309</v>
      </c>
      <c r="M4995" s="43">
        <v>11.5</v>
      </c>
      <c r="N4995" s="43">
        <v>4.7523211080813734</v>
      </c>
      <c r="O4995" s="43">
        <v>5.3285059297558206</v>
      </c>
      <c r="P4995" s="184"/>
      <c r="Q4995" s="184"/>
      <c r="R4995" s="184">
        <v>2</v>
      </c>
    </row>
    <row r="4996" spans="1:18" ht="24">
      <c r="A4996" s="180">
        <v>35</v>
      </c>
      <c r="B4996" s="177" t="s">
        <v>9143</v>
      </c>
      <c r="C4996" s="181" t="s">
        <v>9144</v>
      </c>
      <c r="D4996" s="182">
        <v>699780.7</v>
      </c>
      <c r="E4996" s="182">
        <v>101785.60000000001</v>
      </c>
      <c r="F4996" s="182">
        <v>577267.13</v>
      </c>
      <c r="G4996" s="182">
        <v>20727.97</v>
      </c>
      <c r="H4996" s="183">
        <v>4009365.37</v>
      </c>
      <c r="I4996" s="183">
        <v>1170534.3999999999</v>
      </c>
      <c r="J4996" s="183">
        <v>2727446.61</v>
      </c>
      <c r="K4996" s="183">
        <v>111384.36</v>
      </c>
      <c r="L4996" s="43">
        <v>5.7294597721829144</v>
      </c>
      <c r="M4996" s="43">
        <v>11.499999999999998</v>
      </c>
      <c r="N4996" s="43">
        <v>4.7247564745285251</v>
      </c>
      <c r="O4996" s="43">
        <v>5.3736260714387365</v>
      </c>
      <c r="P4996" s="184"/>
      <c r="Q4996" s="184"/>
      <c r="R4996" s="184">
        <v>2</v>
      </c>
    </row>
    <row r="4997" spans="1:18" ht="12.75" customHeight="1">
      <c r="A4997" s="628" t="s">
        <v>9145</v>
      </c>
      <c r="B4997" s="629"/>
      <c r="C4997" s="629"/>
      <c r="D4997" s="629"/>
      <c r="E4997" s="629"/>
      <c r="F4997" s="629"/>
      <c r="G4997" s="629"/>
      <c r="H4997" s="629"/>
      <c r="I4997" s="629"/>
      <c r="J4997" s="629"/>
      <c r="K4997" s="629"/>
      <c r="L4997" s="629"/>
      <c r="M4997" s="629"/>
      <c r="N4997" s="629"/>
      <c r="O4997" s="629"/>
      <c r="P4997" s="629"/>
      <c r="Q4997" s="629"/>
      <c r="R4997" s="629"/>
    </row>
    <row r="4998" spans="1:18" ht="24">
      <c r="A4998" s="180">
        <v>36</v>
      </c>
      <c r="B4998" s="177" t="s">
        <v>9146</v>
      </c>
      <c r="C4998" s="181" t="s">
        <v>9147</v>
      </c>
      <c r="D4998" s="182">
        <v>1349067.68</v>
      </c>
      <c r="E4998" s="182">
        <v>201741.42</v>
      </c>
      <c r="F4998" s="182">
        <v>1102120.74</v>
      </c>
      <c r="G4998" s="182">
        <v>45205.52</v>
      </c>
      <c r="H4998" s="183">
        <v>7982908.6699999999</v>
      </c>
      <c r="I4998" s="183">
        <v>2320114.12</v>
      </c>
      <c r="J4998" s="183">
        <v>5417256.5499999998</v>
      </c>
      <c r="K4998" s="183">
        <v>245538</v>
      </c>
      <c r="L4998" s="43">
        <v>5.9173522487767256</v>
      </c>
      <c r="M4998" s="43">
        <v>11.500435161009573</v>
      </c>
      <c r="N4998" s="43">
        <v>4.9153022471929892</v>
      </c>
      <c r="O4998" s="43">
        <v>5.4315933098435769</v>
      </c>
      <c r="P4998" s="184"/>
      <c r="Q4998" s="184"/>
      <c r="R4998" s="184">
        <v>3</v>
      </c>
    </row>
    <row r="4999" spans="1:18" ht="12.75" customHeight="1">
      <c r="A4999" s="628" t="s">
        <v>9148</v>
      </c>
      <c r="B4999" s="629"/>
      <c r="C4999" s="629"/>
      <c r="D4999" s="629"/>
      <c r="E4999" s="629"/>
      <c r="F4999" s="629"/>
      <c r="G4999" s="629"/>
      <c r="H4999" s="629"/>
      <c r="I4999" s="629"/>
      <c r="J4999" s="629"/>
      <c r="K4999" s="629"/>
      <c r="L4999" s="629"/>
      <c r="M4999" s="629"/>
      <c r="N4999" s="629"/>
      <c r="O4999" s="629"/>
      <c r="P4999" s="629"/>
      <c r="Q4999" s="629"/>
      <c r="R4999" s="629"/>
    </row>
    <row r="5000" spans="1:18" ht="12.75" customHeight="1">
      <c r="A5000" s="628" t="s">
        <v>9149</v>
      </c>
      <c r="B5000" s="629"/>
      <c r="C5000" s="629"/>
      <c r="D5000" s="629"/>
      <c r="E5000" s="629"/>
      <c r="F5000" s="629"/>
      <c r="G5000" s="629"/>
      <c r="H5000" s="629"/>
      <c r="I5000" s="629"/>
      <c r="J5000" s="629"/>
      <c r="K5000" s="629"/>
      <c r="L5000" s="629"/>
      <c r="M5000" s="629"/>
      <c r="N5000" s="629"/>
      <c r="O5000" s="629"/>
      <c r="P5000" s="629"/>
      <c r="Q5000" s="629"/>
      <c r="R5000" s="629"/>
    </row>
    <row r="5001" spans="1:18" ht="24">
      <c r="A5001" s="180">
        <v>37</v>
      </c>
      <c r="B5001" s="177" t="s">
        <v>9150</v>
      </c>
      <c r="C5001" s="181" t="s">
        <v>9151</v>
      </c>
      <c r="D5001" s="182">
        <v>3865.88</v>
      </c>
      <c r="E5001" s="182">
        <v>1265.4000000000001</v>
      </c>
      <c r="F5001" s="182">
        <v>1890.17</v>
      </c>
      <c r="G5001" s="182">
        <v>710.31</v>
      </c>
      <c r="H5001" s="183">
        <v>28967.15</v>
      </c>
      <c r="I5001" s="183">
        <v>14552.1</v>
      </c>
      <c r="J5001" s="183">
        <v>10754.05</v>
      </c>
      <c r="K5001" s="183">
        <v>3661</v>
      </c>
      <c r="L5001" s="43">
        <v>7.4930287541258398</v>
      </c>
      <c r="M5001" s="43">
        <v>11.5</v>
      </c>
      <c r="N5001" s="43">
        <v>5.6894617944417689</v>
      </c>
      <c r="O5001" s="43">
        <v>5.1540876518703103</v>
      </c>
      <c r="P5001" s="184"/>
      <c r="Q5001" s="184"/>
      <c r="R5001" s="184">
        <v>1</v>
      </c>
    </row>
    <row r="5002" spans="1:18" ht="24">
      <c r="A5002" s="180">
        <v>38</v>
      </c>
      <c r="B5002" s="177" t="s">
        <v>9152</v>
      </c>
      <c r="C5002" s="181" t="s">
        <v>9153</v>
      </c>
      <c r="D5002" s="182">
        <v>11770.91</v>
      </c>
      <c r="E5002" s="182">
        <v>4839.6000000000004</v>
      </c>
      <c r="F5002" s="182">
        <v>3852.29</v>
      </c>
      <c r="G5002" s="182">
        <v>3079.02</v>
      </c>
      <c r="H5002" s="183">
        <v>93319.89</v>
      </c>
      <c r="I5002" s="183">
        <v>55655.4</v>
      </c>
      <c r="J5002" s="183">
        <v>21398.9</v>
      </c>
      <c r="K5002" s="183">
        <v>16265.59</v>
      </c>
      <c r="L5002" s="43">
        <v>7.9280098140245743</v>
      </c>
      <c r="M5002" s="43">
        <v>11.5</v>
      </c>
      <c r="N5002" s="43">
        <v>5.5548517894551042</v>
      </c>
      <c r="O5002" s="43">
        <v>5.282716578651649</v>
      </c>
      <c r="P5002" s="184"/>
      <c r="Q5002" s="184"/>
      <c r="R5002" s="184">
        <v>1</v>
      </c>
    </row>
    <row r="5003" spans="1:18" ht="12.75" customHeight="1">
      <c r="A5003" s="628" t="s">
        <v>9154</v>
      </c>
      <c r="B5003" s="629"/>
      <c r="C5003" s="629"/>
      <c r="D5003" s="629"/>
      <c r="E5003" s="629"/>
      <c r="F5003" s="629"/>
      <c r="G5003" s="629"/>
      <c r="H5003" s="629"/>
      <c r="I5003" s="629"/>
      <c r="J5003" s="629"/>
      <c r="K5003" s="629"/>
      <c r="L5003" s="629"/>
      <c r="M5003" s="629"/>
      <c r="N5003" s="629"/>
      <c r="O5003" s="629"/>
      <c r="P5003" s="629"/>
      <c r="Q5003" s="629"/>
      <c r="R5003" s="629"/>
    </row>
    <row r="5004" spans="1:18" ht="36">
      <c r="A5004" s="180">
        <v>39</v>
      </c>
      <c r="B5004" s="177" t="s">
        <v>9155</v>
      </c>
      <c r="C5004" s="181" t="s">
        <v>9156</v>
      </c>
      <c r="D5004" s="182">
        <v>21339.03</v>
      </c>
      <c r="E5004" s="182">
        <v>7247.68</v>
      </c>
      <c r="F5004" s="182">
        <v>11686.56</v>
      </c>
      <c r="G5004" s="182">
        <v>2404.79</v>
      </c>
      <c r="H5004" s="183">
        <v>159306</v>
      </c>
      <c r="I5004" s="183">
        <v>83348.320000000007</v>
      </c>
      <c r="J5004" s="183">
        <v>62197.81</v>
      </c>
      <c r="K5004" s="183">
        <v>13759.87</v>
      </c>
      <c r="L5004" s="43">
        <v>7.4654752348162035</v>
      </c>
      <c r="M5004" s="43">
        <v>11.5</v>
      </c>
      <c r="N5004" s="43">
        <v>5.322165804137402</v>
      </c>
      <c r="O5004" s="43">
        <v>5.7218592891687008</v>
      </c>
      <c r="P5004" s="184"/>
      <c r="Q5004" s="184"/>
      <c r="R5004" s="184">
        <v>2</v>
      </c>
    </row>
    <row r="5005" spans="1:18" ht="36">
      <c r="A5005" s="180">
        <v>40</v>
      </c>
      <c r="B5005" s="177" t="s">
        <v>9157</v>
      </c>
      <c r="C5005" s="181" t="s">
        <v>9158</v>
      </c>
      <c r="D5005" s="182">
        <v>53040.639999999999</v>
      </c>
      <c r="E5005" s="182">
        <v>15086.08</v>
      </c>
      <c r="F5005" s="182">
        <v>30908.74</v>
      </c>
      <c r="G5005" s="182">
        <v>7045.82</v>
      </c>
      <c r="H5005" s="183">
        <v>372088.48</v>
      </c>
      <c r="I5005" s="183">
        <v>173489.92000000001</v>
      </c>
      <c r="J5005" s="183">
        <v>159906.51</v>
      </c>
      <c r="K5005" s="183">
        <v>38692.050000000003</v>
      </c>
      <c r="L5005" s="43">
        <v>7.0151581881364926</v>
      </c>
      <c r="M5005" s="43">
        <v>11.500000000000002</v>
      </c>
      <c r="N5005" s="43">
        <v>5.1735046462586309</v>
      </c>
      <c r="O5005" s="43">
        <v>5.491489989809561</v>
      </c>
      <c r="P5005" s="184"/>
      <c r="Q5005" s="184"/>
      <c r="R5005" s="184">
        <v>2</v>
      </c>
    </row>
    <row r="5006" spans="1:18" ht="12.75" customHeight="1">
      <c r="A5006" s="628" t="s">
        <v>9159</v>
      </c>
      <c r="B5006" s="629"/>
      <c r="C5006" s="629"/>
      <c r="D5006" s="629"/>
      <c r="E5006" s="629"/>
      <c r="F5006" s="629"/>
      <c r="G5006" s="629"/>
      <c r="H5006" s="629"/>
      <c r="I5006" s="629"/>
      <c r="J5006" s="629"/>
      <c r="K5006" s="629"/>
      <c r="L5006" s="629"/>
      <c r="M5006" s="629"/>
      <c r="N5006" s="629"/>
      <c r="O5006" s="629"/>
      <c r="P5006" s="629"/>
      <c r="Q5006" s="629"/>
      <c r="R5006" s="629"/>
    </row>
    <row r="5007" spans="1:18" ht="12.75" customHeight="1">
      <c r="A5007" s="628" t="s">
        <v>9160</v>
      </c>
      <c r="B5007" s="629"/>
      <c r="C5007" s="629"/>
      <c r="D5007" s="629"/>
      <c r="E5007" s="629"/>
      <c r="F5007" s="629"/>
      <c r="G5007" s="629"/>
      <c r="H5007" s="629"/>
      <c r="I5007" s="629"/>
      <c r="J5007" s="629"/>
      <c r="K5007" s="629"/>
      <c r="L5007" s="629"/>
      <c r="M5007" s="629"/>
      <c r="N5007" s="629"/>
      <c r="O5007" s="629"/>
      <c r="P5007" s="629"/>
      <c r="Q5007" s="629"/>
      <c r="R5007" s="629"/>
    </row>
    <row r="5008" spans="1:18" ht="24">
      <c r="A5008" s="180">
        <v>41</v>
      </c>
      <c r="B5008" s="177" t="s">
        <v>9161</v>
      </c>
      <c r="C5008" s="181" t="s">
        <v>9162</v>
      </c>
      <c r="D5008" s="182">
        <v>67123.100000000006</v>
      </c>
      <c r="E5008" s="182">
        <v>14061.24</v>
      </c>
      <c r="F5008" s="182">
        <v>50645.51</v>
      </c>
      <c r="G5008" s="182">
        <v>2416.35</v>
      </c>
      <c r="H5008" s="183">
        <v>429827.06</v>
      </c>
      <c r="I5008" s="183">
        <v>161704.26</v>
      </c>
      <c r="J5008" s="183">
        <v>256353.39</v>
      </c>
      <c r="K5008" s="183">
        <v>11769.41</v>
      </c>
      <c r="L5008" s="43">
        <v>6.4035638997602904</v>
      </c>
      <c r="M5008" s="43">
        <v>11.5</v>
      </c>
      <c r="N5008" s="43">
        <v>5.0617199826796098</v>
      </c>
      <c r="O5008" s="43">
        <v>4.8707389244107846</v>
      </c>
      <c r="P5008" s="184"/>
      <c r="Q5008" s="184"/>
      <c r="R5008" s="184">
        <v>1</v>
      </c>
    </row>
    <row r="5009" spans="1:18" ht="12.75" customHeight="1">
      <c r="A5009" s="628" t="s">
        <v>9163</v>
      </c>
      <c r="B5009" s="629"/>
      <c r="C5009" s="629"/>
      <c r="D5009" s="629"/>
      <c r="E5009" s="629"/>
      <c r="F5009" s="629"/>
      <c r="G5009" s="629"/>
      <c r="H5009" s="629"/>
      <c r="I5009" s="629"/>
      <c r="J5009" s="629"/>
      <c r="K5009" s="629"/>
      <c r="L5009" s="629"/>
      <c r="M5009" s="629"/>
      <c r="N5009" s="629"/>
      <c r="O5009" s="629"/>
      <c r="P5009" s="629"/>
      <c r="Q5009" s="629"/>
      <c r="R5009" s="629"/>
    </row>
    <row r="5010" spans="1:18" ht="12.75" customHeight="1">
      <c r="A5010" s="628" t="s">
        <v>9164</v>
      </c>
      <c r="B5010" s="629"/>
      <c r="C5010" s="629"/>
      <c r="D5010" s="629"/>
      <c r="E5010" s="629"/>
      <c r="F5010" s="629"/>
      <c r="G5010" s="629"/>
      <c r="H5010" s="629"/>
      <c r="I5010" s="629"/>
      <c r="J5010" s="629"/>
      <c r="K5010" s="629"/>
      <c r="L5010" s="629"/>
      <c r="M5010" s="629"/>
      <c r="N5010" s="629"/>
      <c r="O5010" s="629"/>
      <c r="P5010" s="629"/>
      <c r="Q5010" s="629"/>
      <c r="R5010" s="629"/>
    </row>
    <row r="5011" spans="1:18" ht="24">
      <c r="A5011" s="180">
        <v>42</v>
      </c>
      <c r="B5011" s="177" t="s">
        <v>9165</v>
      </c>
      <c r="C5011" s="181" t="s">
        <v>9166</v>
      </c>
      <c r="D5011" s="182">
        <v>4320.99</v>
      </c>
      <c r="E5011" s="182">
        <v>1887</v>
      </c>
      <c r="F5011" s="182">
        <v>1911.86</v>
      </c>
      <c r="G5011" s="182">
        <v>522.13</v>
      </c>
      <c r="H5011" s="183">
        <v>34825.99</v>
      </c>
      <c r="I5011" s="183">
        <v>21700.5</v>
      </c>
      <c r="J5011" s="183">
        <v>10772.48</v>
      </c>
      <c r="K5011" s="183">
        <v>2353.0100000000002</v>
      </c>
      <c r="L5011" s="43">
        <v>8.0597247390065707</v>
      </c>
      <c r="M5011" s="43">
        <v>11.5</v>
      </c>
      <c r="N5011" s="43">
        <v>5.6345548314207106</v>
      </c>
      <c r="O5011" s="43">
        <v>4.506559669047939</v>
      </c>
      <c r="P5011" s="184"/>
      <c r="Q5011" s="184"/>
      <c r="R5011" s="184">
        <v>1</v>
      </c>
    </row>
    <row r="5012" spans="1:18" ht="12.75" customHeight="1">
      <c r="A5012" s="628" t="s">
        <v>9167</v>
      </c>
      <c r="B5012" s="629"/>
      <c r="C5012" s="629"/>
      <c r="D5012" s="629"/>
      <c r="E5012" s="629"/>
      <c r="F5012" s="629"/>
      <c r="G5012" s="629"/>
      <c r="H5012" s="629"/>
      <c r="I5012" s="629"/>
      <c r="J5012" s="629"/>
      <c r="K5012" s="629"/>
      <c r="L5012" s="629"/>
      <c r="M5012" s="629"/>
      <c r="N5012" s="629"/>
      <c r="O5012" s="629"/>
      <c r="P5012" s="629"/>
      <c r="Q5012" s="629"/>
      <c r="R5012" s="629"/>
    </row>
    <row r="5013" spans="1:18" ht="12.75" customHeight="1">
      <c r="A5013" s="628" t="s">
        <v>9168</v>
      </c>
      <c r="B5013" s="629"/>
      <c r="C5013" s="629"/>
      <c r="D5013" s="629"/>
      <c r="E5013" s="629"/>
      <c r="F5013" s="629"/>
      <c r="G5013" s="629"/>
      <c r="H5013" s="629"/>
      <c r="I5013" s="629"/>
      <c r="J5013" s="629"/>
      <c r="K5013" s="629"/>
      <c r="L5013" s="629"/>
      <c r="M5013" s="629"/>
      <c r="N5013" s="629"/>
      <c r="O5013" s="629"/>
      <c r="P5013" s="629"/>
      <c r="Q5013" s="629"/>
      <c r="R5013" s="629"/>
    </row>
    <row r="5014" spans="1:18" ht="24">
      <c r="A5014" s="180">
        <v>43</v>
      </c>
      <c r="B5014" s="177" t="s">
        <v>9169</v>
      </c>
      <c r="C5014" s="181" t="s">
        <v>9170</v>
      </c>
      <c r="D5014" s="182">
        <v>6932.31</v>
      </c>
      <c r="E5014" s="182">
        <v>2665.71</v>
      </c>
      <c r="F5014" s="182">
        <v>3084.6</v>
      </c>
      <c r="G5014" s="182">
        <v>1182</v>
      </c>
      <c r="H5014" s="183">
        <v>52987.17</v>
      </c>
      <c r="I5014" s="183">
        <v>30656.880000000001</v>
      </c>
      <c r="J5014" s="183">
        <v>17343.09</v>
      </c>
      <c r="K5014" s="183">
        <v>4987.2</v>
      </c>
      <c r="L5014" s="43">
        <v>7.643508440909307</v>
      </c>
      <c r="M5014" s="43">
        <v>11.500455788514129</v>
      </c>
      <c r="N5014" s="43">
        <v>5.6224761719509821</v>
      </c>
      <c r="O5014" s="43">
        <v>4.2192893401015228</v>
      </c>
      <c r="P5014" s="184"/>
      <c r="Q5014" s="184"/>
      <c r="R5014" s="184">
        <v>1</v>
      </c>
    </row>
    <row r="5015" spans="1:18" ht="12.75" customHeight="1">
      <c r="A5015" s="628" t="s">
        <v>9171</v>
      </c>
      <c r="B5015" s="629"/>
      <c r="C5015" s="629"/>
      <c r="D5015" s="629"/>
      <c r="E5015" s="629"/>
      <c r="F5015" s="629"/>
      <c r="G5015" s="629"/>
      <c r="H5015" s="629"/>
      <c r="I5015" s="629"/>
      <c r="J5015" s="629"/>
      <c r="K5015" s="629"/>
      <c r="L5015" s="629"/>
      <c r="M5015" s="629"/>
      <c r="N5015" s="629"/>
      <c r="O5015" s="629"/>
      <c r="P5015" s="629"/>
      <c r="Q5015" s="629"/>
      <c r="R5015" s="629"/>
    </row>
    <row r="5016" spans="1:18" ht="24">
      <c r="A5016" s="180">
        <v>44</v>
      </c>
      <c r="B5016" s="177" t="s">
        <v>9172</v>
      </c>
      <c r="C5016" s="181" t="s">
        <v>9173</v>
      </c>
      <c r="D5016" s="182">
        <v>1532.24</v>
      </c>
      <c r="E5016" s="182">
        <v>366.4</v>
      </c>
      <c r="F5016" s="182">
        <v>728.31</v>
      </c>
      <c r="G5016" s="182">
        <v>437.53</v>
      </c>
      <c r="H5016" s="183">
        <v>9975.09</v>
      </c>
      <c r="I5016" s="183">
        <v>4213.74</v>
      </c>
      <c r="J5016" s="183">
        <v>4087.65</v>
      </c>
      <c r="K5016" s="183">
        <v>1673.7</v>
      </c>
      <c r="L5016" s="43">
        <v>6.5101354879131206</v>
      </c>
      <c r="M5016" s="43">
        <v>11.500382096069869</v>
      </c>
      <c r="N5016" s="43">
        <v>5.6125139020472057</v>
      </c>
      <c r="O5016" s="43">
        <v>3.8253376911297514</v>
      </c>
      <c r="P5016" s="184"/>
      <c r="Q5016" s="184"/>
      <c r="R5016" s="184">
        <v>2</v>
      </c>
    </row>
    <row r="5017" spans="1:18" ht="12.75" customHeight="1">
      <c r="A5017" s="628" t="s">
        <v>9174</v>
      </c>
      <c r="B5017" s="629"/>
      <c r="C5017" s="629"/>
      <c r="D5017" s="629"/>
      <c r="E5017" s="629"/>
      <c r="F5017" s="629"/>
      <c r="G5017" s="629"/>
      <c r="H5017" s="629"/>
      <c r="I5017" s="629"/>
      <c r="J5017" s="629"/>
      <c r="K5017" s="629"/>
      <c r="L5017" s="629"/>
      <c r="M5017" s="629"/>
      <c r="N5017" s="629"/>
      <c r="O5017" s="629"/>
      <c r="P5017" s="629"/>
      <c r="Q5017" s="629"/>
      <c r="R5017" s="629"/>
    </row>
    <row r="5018" spans="1:18" ht="12.75" customHeight="1">
      <c r="A5018" s="628" t="s">
        <v>9175</v>
      </c>
      <c r="B5018" s="629"/>
      <c r="C5018" s="629"/>
      <c r="D5018" s="629"/>
      <c r="E5018" s="629"/>
      <c r="F5018" s="629"/>
      <c r="G5018" s="629"/>
      <c r="H5018" s="629"/>
      <c r="I5018" s="629"/>
      <c r="J5018" s="629"/>
      <c r="K5018" s="629"/>
      <c r="L5018" s="629"/>
      <c r="M5018" s="629"/>
      <c r="N5018" s="629"/>
      <c r="O5018" s="629"/>
      <c r="P5018" s="629"/>
      <c r="Q5018" s="629"/>
      <c r="R5018" s="629"/>
    </row>
    <row r="5019" spans="1:18" ht="24">
      <c r="A5019" s="180">
        <v>45</v>
      </c>
      <c r="B5019" s="177" t="s">
        <v>9176</v>
      </c>
      <c r="C5019" s="181" t="s">
        <v>9177</v>
      </c>
      <c r="D5019" s="182">
        <v>240690.81</v>
      </c>
      <c r="E5019" s="182">
        <v>56841.03</v>
      </c>
      <c r="F5019" s="182">
        <v>176343.49</v>
      </c>
      <c r="G5019" s="182">
        <v>7506.29</v>
      </c>
      <c r="H5019" s="183">
        <v>1587231.74</v>
      </c>
      <c r="I5019" s="183">
        <v>653696.57999999996</v>
      </c>
      <c r="J5019" s="183">
        <v>891696.71</v>
      </c>
      <c r="K5019" s="183">
        <v>41838.449999999997</v>
      </c>
      <c r="L5019" s="43">
        <v>6.5944841849175715</v>
      </c>
      <c r="M5019" s="43">
        <v>11.500435161009573</v>
      </c>
      <c r="N5019" s="43">
        <v>5.0565898973645131</v>
      </c>
      <c r="O5019" s="43">
        <v>5.5737854519343104</v>
      </c>
      <c r="P5019" s="184"/>
      <c r="Q5019" s="184"/>
      <c r="R5019" s="184">
        <v>1</v>
      </c>
    </row>
    <row r="5020" spans="1:18" ht="24">
      <c r="A5020" s="180">
        <v>46</v>
      </c>
      <c r="B5020" s="177" t="s">
        <v>9178</v>
      </c>
      <c r="C5020" s="181" t="s">
        <v>9179</v>
      </c>
      <c r="D5020" s="182">
        <v>349700.6</v>
      </c>
      <c r="E5020" s="182">
        <v>80004.87</v>
      </c>
      <c r="F5020" s="182">
        <v>251289.60000000001</v>
      </c>
      <c r="G5020" s="182">
        <v>18406.13</v>
      </c>
      <c r="H5020" s="183">
        <v>2272536.64</v>
      </c>
      <c r="I5020" s="183">
        <v>920090.82</v>
      </c>
      <c r="J5020" s="183">
        <v>1249626.1399999999</v>
      </c>
      <c r="K5020" s="183">
        <v>102819.68</v>
      </c>
      <c r="L5020" s="43">
        <v>6.4985208489776696</v>
      </c>
      <c r="M5020" s="43">
        <v>11.500435161009573</v>
      </c>
      <c r="N5020" s="43">
        <v>4.9728525971627953</v>
      </c>
      <c r="O5020" s="43">
        <v>5.5861650439282995</v>
      </c>
      <c r="P5020" s="184"/>
      <c r="Q5020" s="184"/>
      <c r="R5020" s="184">
        <v>1</v>
      </c>
    </row>
    <row r="5021" spans="1:18" ht="12.75" customHeight="1">
      <c r="A5021" s="628" t="s">
        <v>9180</v>
      </c>
      <c r="B5021" s="629"/>
      <c r="C5021" s="629"/>
      <c r="D5021" s="629"/>
      <c r="E5021" s="629"/>
      <c r="F5021" s="629"/>
      <c r="G5021" s="629"/>
      <c r="H5021" s="629"/>
      <c r="I5021" s="629"/>
      <c r="J5021" s="629"/>
      <c r="K5021" s="629"/>
      <c r="L5021" s="629"/>
      <c r="M5021" s="629"/>
      <c r="N5021" s="629"/>
      <c r="O5021" s="629"/>
      <c r="P5021" s="629"/>
      <c r="Q5021" s="629"/>
      <c r="R5021" s="629"/>
    </row>
    <row r="5022" spans="1:18" ht="24">
      <c r="A5022" s="180">
        <v>47</v>
      </c>
      <c r="B5022" s="177" t="s">
        <v>9181</v>
      </c>
      <c r="C5022" s="181" t="s">
        <v>9182</v>
      </c>
      <c r="D5022" s="182">
        <v>28310.61</v>
      </c>
      <c r="E5022" s="182">
        <v>10053.6</v>
      </c>
      <c r="F5022" s="182">
        <v>16650.5</v>
      </c>
      <c r="G5022" s="182">
        <v>1606.51</v>
      </c>
      <c r="H5022" s="183">
        <v>209686.23</v>
      </c>
      <c r="I5022" s="183">
        <v>115616.4</v>
      </c>
      <c r="J5022" s="183">
        <v>86377.34</v>
      </c>
      <c r="K5022" s="183">
        <v>7692.49</v>
      </c>
      <c r="L5022" s="43">
        <v>7.406630588320068</v>
      </c>
      <c r="M5022" s="43">
        <v>11.499999999999998</v>
      </c>
      <c r="N5022" s="43">
        <v>5.187672442269001</v>
      </c>
      <c r="O5022" s="43">
        <v>4.7883237577108142</v>
      </c>
      <c r="P5022" s="184"/>
      <c r="Q5022" s="184"/>
      <c r="R5022" s="184">
        <v>2</v>
      </c>
    </row>
    <row r="5023" spans="1:18" ht="24">
      <c r="A5023" s="180">
        <v>48</v>
      </c>
      <c r="B5023" s="177" t="s">
        <v>9183</v>
      </c>
      <c r="C5023" s="181" t="s">
        <v>9184</v>
      </c>
      <c r="D5023" s="182">
        <v>68836.14</v>
      </c>
      <c r="E5023" s="182">
        <v>23219.84</v>
      </c>
      <c r="F5023" s="182">
        <v>43258.84</v>
      </c>
      <c r="G5023" s="182">
        <v>2357.46</v>
      </c>
      <c r="H5023" s="183">
        <v>500971.48</v>
      </c>
      <c r="I5023" s="183">
        <v>267028.15999999997</v>
      </c>
      <c r="J5023" s="183">
        <v>221327.15</v>
      </c>
      <c r="K5023" s="183">
        <v>12616.17</v>
      </c>
      <c r="L5023" s="43">
        <v>7.2777392805581487</v>
      </c>
      <c r="M5023" s="43">
        <v>11.499999999999998</v>
      </c>
      <c r="N5023" s="43">
        <v>5.1163450060149556</v>
      </c>
      <c r="O5023" s="43">
        <v>5.351594512738286</v>
      </c>
      <c r="P5023" s="184"/>
      <c r="Q5023" s="184"/>
      <c r="R5023" s="184">
        <v>2</v>
      </c>
    </row>
    <row r="5024" spans="1:18" ht="12.75">
      <c r="A5024" s="632" t="s">
        <v>18</v>
      </c>
      <c r="B5024" s="632"/>
      <c r="C5024" s="632"/>
      <c r="D5024" s="178">
        <v>4436008.71</v>
      </c>
      <c r="E5024" s="178">
        <v>858916.84</v>
      </c>
      <c r="F5024" s="178">
        <v>3335842.48</v>
      </c>
      <c r="G5024" s="178">
        <v>241249.39</v>
      </c>
      <c r="H5024" s="179">
        <v>27629166.239999998</v>
      </c>
      <c r="I5024" s="179">
        <v>9877714.9299999997</v>
      </c>
      <c r="J5024" s="179">
        <v>16461722.939999999</v>
      </c>
      <c r="K5024" s="179">
        <v>1289728.3700000001</v>
      </c>
      <c r="L5024" s="612">
        <v>6.2283841277669625</v>
      </c>
      <c r="M5024" s="612">
        <v>11.500199402307679</v>
      </c>
      <c r="N5024" s="612">
        <v>4.934802239223238</v>
      </c>
      <c r="O5024" s="612">
        <v>5.3460378490490692</v>
      </c>
      <c r="P5024" s="176"/>
      <c r="Q5024" s="176"/>
      <c r="R5024" s="176"/>
    </row>
    <row r="5025" spans="1:18" ht="18">
      <c r="A5025" s="616" t="s">
        <v>9185</v>
      </c>
      <c r="B5025" s="626"/>
      <c r="C5025" s="626"/>
      <c r="D5025" s="626"/>
      <c r="E5025" s="626"/>
      <c r="F5025" s="626"/>
      <c r="G5025" s="626"/>
      <c r="H5025" s="626"/>
      <c r="I5025" s="626"/>
      <c r="J5025" s="626"/>
      <c r="K5025" s="626"/>
      <c r="L5025" s="626"/>
      <c r="M5025" s="626"/>
      <c r="N5025" s="626"/>
      <c r="O5025" s="626"/>
      <c r="P5025" s="626"/>
      <c r="Q5025" s="626"/>
      <c r="R5025" s="627"/>
    </row>
    <row r="5026" spans="1:18" ht="12.75" customHeight="1">
      <c r="A5026" s="630" t="s">
        <v>9186</v>
      </c>
      <c r="B5026" s="631"/>
      <c r="C5026" s="631"/>
      <c r="D5026" s="631"/>
      <c r="E5026" s="631"/>
      <c r="F5026" s="631"/>
      <c r="G5026" s="631"/>
      <c r="H5026" s="631"/>
      <c r="I5026" s="631"/>
      <c r="J5026" s="631"/>
      <c r="K5026" s="631"/>
      <c r="L5026" s="631"/>
      <c r="M5026" s="631"/>
      <c r="N5026" s="631"/>
      <c r="O5026" s="631"/>
      <c r="P5026" s="631"/>
      <c r="Q5026" s="631"/>
      <c r="R5026" s="631"/>
    </row>
    <row r="5027" spans="1:18" ht="12.75" customHeight="1">
      <c r="A5027" s="628" t="s">
        <v>9187</v>
      </c>
      <c r="B5027" s="629"/>
      <c r="C5027" s="629"/>
      <c r="D5027" s="629"/>
      <c r="E5027" s="629"/>
      <c r="F5027" s="629"/>
      <c r="G5027" s="629"/>
      <c r="H5027" s="629"/>
      <c r="I5027" s="629"/>
      <c r="J5027" s="629"/>
      <c r="K5027" s="629"/>
      <c r="L5027" s="629"/>
      <c r="M5027" s="629"/>
      <c r="N5027" s="629"/>
      <c r="O5027" s="629"/>
      <c r="P5027" s="629"/>
      <c r="Q5027" s="629"/>
      <c r="R5027" s="629"/>
    </row>
    <row r="5028" spans="1:18" ht="12.75" customHeight="1">
      <c r="A5028" s="628" t="s">
        <v>9188</v>
      </c>
      <c r="B5028" s="629"/>
      <c r="C5028" s="629"/>
      <c r="D5028" s="629"/>
      <c r="E5028" s="629"/>
      <c r="F5028" s="629"/>
      <c r="G5028" s="629"/>
      <c r="H5028" s="629"/>
      <c r="I5028" s="629"/>
      <c r="J5028" s="629"/>
      <c r="K5028" s="629"/>
      <c r="L5028" s="629"/>
      <c r="M5028" s="629"/>
      <c r="N5028" s="629"/>
      <c r="O5028" s="629"/>
      <c r="P5028" s="629"/>
      <c r="Q5028" s="629"/>
      <c r="R5028" s="629"/>
    </row>
    <row r="5029" spans="1:18" ht="36">
      <c r="A5029" s="189">
        <v>1</v>
      </c>
      <c r="B5029" s="186" t="s">
        <v>9189</v>
      </c>
      <c r="C5029" s="190" t="s">
        <v>9190</v>
      </c>
      <c r="D5029" s="191">
        <v>1779.08</v>
      </c>
      <c r="E5029" s="191">
        <v>337.81</v>
      </c>
      <c r="F5029" s="191">
        <v>130.66999999999999</v>
      </c>
      <c r="G5029" s="191">
        <v>1310.5999999999999</v>
      </c>
      <c r="H5029" s="192">
        <v>9445.7800000000007</v>
      </c>
      <c r="I5029" s="192">
        <v>3884.92</v>
      </c>
      <c r="J5029" s="192">
        <v>675.4</v>
      </c>
      <c r="K5029" s="192">
        <v>4885.46</v>
      </c>
      <c r="L5029" s="43">
        <v>5.3093621422308166</v>
      </c>
      <c r="M5029" s="43">
        <v>11.500310825612031</v>
      </c>
      <c r="N5029" s="43">
        <v>5.1687456952628761</v>
      </c>
      <c r="O5029" s="43">
        <v>3.7276514573477799</v>
      </c>
      <c r="P5029" s="193"/>
      <c r="Q5029" s="193"/>
      <c r="R5029" s="193">
        <v>1</v>
      </c>
    </row>
    <row r="5030" spans="1:18" ht="36">
      <c r="A5030" s="189">
        <v>2</v>
      </c>
      <c r="B5030" s="186" t="s">
        <v>9191</v>
      </c>
      <c r="C5030" s="190" t="s">
        <v>9192</v>
      </c>
      <c r="D5030" s="191">
        <v>338.51</v>
      </c>
      <c r="E5030" s="191">
        <v>188.44</v>
      </c>
      <c r="F5030" s="191">
        <v>73.08</v>
      </c>
      <c r="G5030" s="191">
        <v>76.989999999999995</v>
      </c>
      <c r="H5030" s="192">
        <v>2865.56</v>
      </c>
      <c r="I5030" s="192">
        <v>2167.1</v>
      </c>
      <c r="J5030" s="192">
        <v>376.71</v>
      </c>
      <c r="K5030" s="192">
        <v>321.75</v>
      </c>
      <c r="L5030" s="43">
        <v>8.4652152078225171</v>
      </c>
      <c r="M5030" s="43">
        <v>11.500212269157291</v>
      </c>
      <c r="N5030" s="43">
        <v>5.1547619047619042</v>
      </c>
      <c r="O5030" s="43">
        <v>4.1791141706715162</v>
      </c>
      <c r="P5030" s="193"/>
      <c r="Q5030" s="193"/>
      <c r="R5030" s="193">
        <v>1</v>
      </c>
    </row>
    <row r="5031" spans="1:18" ht="36">
      <c r="A5031" s="189">
        <v>3</v>
      </c>
      <c r="B5031" s="186" t="s">
        <v>9193</v>
      </c>
      <c r="C5031" s="190" t="s">
        <v>9194</v>
      </c>
      <c r="D5031" s="191">
        <v>1832.41</v>
      </c>
      <c r="E5031" s="191">
        <v>375.72</v>
      </c>
      <c r="F5031" s="191">
        <v>145.34</v>
      </c>
      <c r="G5031" s="191">
        <v>1311.35</v>
      </c>
      <c r="H5031" s="192">
        <v>9966.06</v>
      </c>
      <c r="I5031" s="192">
        <v>4320.9799999999996</v>
      </c>
      <c r="J5031" s="192">
        <v>750.99</v>
      </c>
      <c r="K5031" s="192">
        <v>4894.09</v>
      </c>
      <c r="L5031" s="43">
        <v>5.438771890570341</v>
      </c>
      <c r="M5031" s="43">
        <v>11.500532311295643</v>
      </c>
      <c r="N5031" s="43">
        <v>5.1671253612219621</v>
      </c>
      <c r="O5031" s="43">
        <v>3.7321005071109927</v>
      </c>
      <c r="P5031" s="193"/>
      <c r="Q5031" s="193"/>
      <c r="R5031" s="193">
        <v>1</v>
      </c>
    </row>
    <row r="5032" spans="1:18" ht="36">
      <c r="A5032" s="189">
        <v>4</v>
      </c>
      <c r="B5032" s="186" t="s">
        <v>9195</v>
      </c>
      <c r="C5032" s="190" t="s">
        <v>9196</v>
      </c>
      <c r="D5032" s="191">
        <v>396.5</v>
      </c>
      <c r="E5032" s="191">
        <v>225.2</v>
      </c>
      <c r="F5032" s="191">
        <v>88.84</v>
      </c>
      <c r="G5032" s="191">
        <v>82.46</v>
      </c>
      <c r="H5032" s="192">
        <v>3403.03</v>
      </c>
      <c r="I5032" s="192">
        <v>2589.94</v>
      </c>
      <c r="J5032" s="192">
        <v>457.93</v>
      </c>
      <c r="K5032" s="192">
        <v>355.16</v>
      </c>
      <c r="L5032" s="43">
        <v>8.5826733921815901</v>
      </c>
      <c r="M5032" s="43">
        <v>11.500621669627</v>
      </c>
      <c r="N5032" s="43">
        <v>5.1545475011256192</v>
      </c>
      <c r="O5032" s="43">
        <v>4.3070579674993938</v>
      </c>
      <c r="P5032" s="193"/>
      <c r="Q5032" s="193"/>
      <c r="R5032" s="193">
        <v>1</v>
      </c>
    </row>
    <row r="5033" spans="1:18" ht="24">
      <c r="A5033" s="189">
        <v>5</v>
      </c>
      <c r="B5033" s="186" t="s">
        <v>9197</v>
      </c>
      <c r="C5033" s="190" t="s">
        <v>9198</v>
      </c>
      <c r="D5033" s="191">
        <v>152.85</v>
      </c>
      <c r="E5033" s="191">
        <v>79.989999999999995</v>
      </c>
      <c r="F5033" s="191">
        <v>35.86</v>
      </c>
      <c r="G5033" s="191">
        <v>37</v>
      </c>
      <c r="H5033" s="192">
        <v>1260.42</v>
      </c>
      <c r="I5033" s="192">
        <v>919.94</v>
      </c>
      <c r="J5033" s="192">
        <v>185.98</v>
      </c>
      <c r="K5033" s="192">
        <v>154.5</v>
      </c>
      <c r="L5033" s="43">
        <v>8.2461236506378803</v>
      </c>
      <c r="M5033" s="43">
        <v>11.500687585948246</v>
      </c>
      <c r="N5033" s="43">
        <v>5.1862799776910204</v>
      </c>
      <c r="O5033" s="43">
        <v>4.1756756756756754</v>
      </c>
      <c r="P5033" s="193"/>
      <c r="Q5033" s="193"/>
      <c r="R5033" s="193">
        <v>1</v>
      </c>
    </row>
    <row r="5034" spans="1:18" ht="24">
      <c r="A5034" s="189">
        <v>6</v>
      </c>
      <c r="B5034" s="186" t="s">
        <v>9199</v>
      </c>
      <c r="C5034" s="190" t="s">
        <v>9200</v>
      </c>
      <c r="D5034" s="191">
        <v>152.85</v>
      </c>
      <c r="E5034" s="191">
        <v>79.989999999999995</v>
      </c>
      <c r="F5034" s="191">
        <v>35.86</v>
      </c>
      <c r="G5034" s="191">
        <v>37</v>
      </c>
      <c r="H5034" s="192">
        <v>1260.42</v>
      </c>
      <c r="I5034" s="192">
        <v>919.94</v>
      </c>
      <c r="J5034" s="192">
        <v>185.98</v>
      </c>
      <c r="K5034" s="192">
        <v>154.5</v>
      </c>
      <c r="L5034" s="43">
        <v>8.2461236506378803</v>
      </c>
      <c r="M5034" s="43">
        <v>11.500687585948246</v>
      </c>
      <c r="N5034" s="43">
        <v>5.1862799776910204</v>
      </c>
      <c r="O5034" s="43">
        <v>4.1756756756756754</v>
      </c>
      <c r="P5034" s="193"/>
      <c r="Q5034" s="193"/>
      <c r="R5034" s="193">
        <v>1</v>
      </c>
    </row>
    <row r="5035" spans="1:18" ht="24">
      <c r="A5035" s="189">
        <v>7</v>
      </c>
      <c r="B5035" s="186" t="s">
        <v>9201</v>
      </c>
      <c r="C5035" s="190" t="s">
        <v>9202</v>
      </c>
      <c r="D5035" s="191">
        <v>100.33</v>
      </c>
      <c r="E5035" s="191">
        <v>45.55</v>
      </c>
      <c r="F5035" s="191">
        <v>18.47</v>
      </c>
      <c r="G5035" s="191">
        <v>36.31</v>
      </c>
      <c r="H5035" s="192">
        <v>766.22</v>
      </c>
      <c r="I5035" s="192">
        <v>523.84</v>
      </c>
      <c r="J5035" s="192">
        <v>95.81</v>
      </c>
      <c r="K5035" s="192">
        <v>146.57</v>
      </c>
      <c r="L5035" s="43">
        <v>7.6369979069072063</v>
      </c>
      <c r="M5035" s="43">
        <v>11.500329308452251</v>
      </c>
      <c r="N5035" s="43">
        <v>5.1873308067135904</v>
      </c>
      <c r="O5035" s="43">
        <v>4.0366290278160282</v>
      </c>
      <c r="P5035" s="193"/>
      <c r="Q5035" s="193"/>
      <c r="R5035" s="193">
        <v>1</v>
      </c>
    </row>
    <row r="5036" spans="1:18" ht="24">
      <c r="A5036" s="189">
        <v>8</v>
      </c>
      <c r="B5036" s="186" t="s">
        <v>9203</v>
      </c>
      <c r="C5036" s="190" t="s">
        <v>9204</v>
      </c>
      <c r="D5036" s="191">
        <v>4.62</v>
      </c>
      <c r="E5036" s="191">
        <v>3.46</v>
      </c>
      <c r="F5036" s="191">
        <v>1.0900000000000001</v>
      </c>
      <c r="G5036" s="191">
        <v>7.0000000000000007E-2</v>
      </c>
      <c r="H5036" s="192">
        <v>46.29</v>
      </c>
      <c r="I5036" s="192">
        <v>39.840000000000003</v>
      </c>
      <c r="J5036" s="192">
        <v>5.64</v>
      </c>
      <c r="K5036" s="192">
        <v>0.81</v>
      </c>
      <c r="L5036" s="43">
        <v>10.019480519480519</v>
      </c>
      <c r="M5036" s="43">
        <v>11.504450867052</v>
      </c>
      <c r="N5036" s="43">
        <v>5.1743119266055038</v>
      </c>
      <c r="O5036" s="43">
        <v>11.5</v>
      </c>
      <c r="P5036" s="193"/>
      <c r="Q5036" s="193"/>
      <c r="R5036" s="193">
        <v>1</v>
      </c>
    </row>
    <row r="5037" spans="1:18" ht="24">
      <c r="A5037" s="189">
        <v>9</v>
      </c>
      <c r="B5037" s="186" t="s">
        <v>9205</v>
      </c>
      <c r="C5037" s="190" t="s">
        <v>9206</v>
      </c>
      <c r="D5037" s="191">
        <v>6.85</v>
      </c>
      <c r="E5037" s="191">
        <v>4.59</v>
      </c>
      <c r="F5037" s="191">
        <v>2.17</v>
      </c>
      <c r="G5037" s="191">
        <v>0.09</v>
      </c>
      <c r="H5037" s="192">
        <v>65.05</v>
      </c>
      <c r="I5037" s="192">
        <v>52.74</v>
      </c>
      <c r="J5037" s="192">
        <v>11.27</v>
      </c>
      <c r="K5037" s="192">
        <v>1.04</v>
      </c>
      <c r="L5037" s="43">
        <v>9.4963503649635044</v>
      </c>
      <c r="M5037" s="43">
        <v>11.5</v>
      </c>
      <c r="N5037" s="43">
        <v>5.193548387096774</v>
      </c>
      <c r="O5037" s="43">
        <v>11.5</v>
      </c>
      <c r="P5037" s="193"/>
      <c r="Q5037" s="193"/>
      <c r="R5037" s="193">
        <v>1</v>
      </c>
    </row>
    <row r="5038" spans="1:18" ht="24">
      <c r="A5038" s="189">
        <v>10</v>
      </c>
      <c r="B5038" s="186" t="s">
        <v>9207</v>
      </c>
      <c r="C5038" s="190" t="s">
        <v>9208</v>
      </c>
      <c r="D5038" s="191">
        <v>94.54</v>
      </c>
      <c r="E5038" s="191">
        <v>65.150000000000006</v>
      </c>
      <c r="F5038" s="191">
        <v>23.91</v>
      </c>
      <c r="G5038" s="191">
        <v>5.48</v>
      </c>
      <c r="H5038" s="192">
        <v>903.92</v>
      </c>
      <c r="I5038" s="192">
        <v>749.23</v>
      </c>
      <c r="J5038" s="192">
        <v>123.99</v>
      </c>
      <c r="K5038" s="192">
        <v>30.7</v>
      </c>
      <c r="L5038" s="43">
        <v>9.5612439179183397</v>
      </c>
      <c r="M5038" s="43">
        <v>11.500076745970835</v>
      </c>
      <c r="N5038" s="43">
        <v>5.1856963613550811</v>
      </c>
      <c r="O5038" s="43">
        <v>5.602189781021897</v>
      </c>
      <c r="P5038" s="193"/>
      <c r="Q5038" s="193"/>
      <c r="R5038" s="193">
        <v>1</v>
      </c>
    </row>
    <row r="5039" spans="1:18" ht="24">
      <c r="A5039" s="189">
        <v>11</v>
      </c>
      <c r="B5039" s="186" t="s">
        <v>9209</v>
      </c>
      <c r="C5039" s="190" t="s">
        <v>9210</v>
      </c>
      <c r="D5039" s="191">
        <v>201.89</v>
      </c>
      <c r="E5039" s="191">
        <v>114.13</v>
      </c>
      <c r="F5039" s="191">
        <v>50.38</v>
      </c>
      <c r="G5039" s="191">
        <v>37.380000000000003</v>
      </c>
      <c r="H5039" s="192">
        <v>1704.81</v>
      </c>
      <c r="I5039" s="192">
        <v>1312.53</v>
      </c>
      <c r="J5039" s="192">
        <v>258.85000000000002</v>
      </c>
      <c r="K5039" s="192">
        <v>133.43</v>
      </c>
      <c r="L5039" s="43">
        <v>8.4442518202981827</v>
      </c>
      <c r="M5039" s="43">
        <v>11.500306667834925</v>
      </c>
      <c r="N5039" s="43">
        <v>5.1379515680825723</v>
      </c>
      <c r="O5039" s="43">
        <v>3.5695559122525413</v>
      </c>
      <c r="P5039" s="193"/>
      <c r="Q5039" s="193"/>
      <c r="R5039" s="193">
        <v>1</v>
      </c>
    </row>
    <row r="5040" spans="1:18" ht="24">
      <c r="A5040" s="189">
        <v>12</v>
      </c>
      <c r="B5040" s="186" t="s">
        <v>9211</v>
      </c>
      <c r="C5040" s="190" t="s">
        <v>9212</v>
      </c>
      <c r="D5040" s="191">
        <v>0.72</v>
      </c>
      <c r="E5040" s="191">
        <v>0.71</v>
      </c>
      <c r="F5040" s="191"/>
      <c r="G5040" s="191">
        <v>0.01</v>
      </c>
      <c r="H5040" s="192">
        <v>8.32</v>
      </c>
      <c r="I5040" s="192">
        <v>8.1999999999999993</v>
      </c>
      <c r="J5040" s="192"/>
      <c r="K5040" s="192">
        <v>0.12</v>
      </c>
      <c r="L5040" s="43">
        <v>11.555555555555557</v>
      </c>
      <c r="M5040" s="43">
        <v>11.5</v>
      </c>
      <c r="N5040" s="43" t="s">
        <v>1690</v>
      </c>
      <c r="O5040" s="43">
        <v>11.5</v>
      </c>
      <c r="P5040" s="193"/>
      <c r="Q5040" s="193"/>
      <c r="R5040" s="193">
        <v>1</v>
      </c>
    </row>
    <row r="5041" spans="1:18" ht="24">
      <c r="A5041" s="189">
        <v>13</v>
      </c>
      <c r="B5041" s="186" t="s">
        <v>9213</v>
      </c>
      <c r="C5041" s="190" t="s">
        <v>9214</v>
      </c>
      <c r="D5041" s="191">
        <v>1.35</v>
      </c>
      <c r="E5041" s="191">
        <v>1.32</v>
      </c>
      <c r="F5041" s="191"/>
      <c r="G5041" s="191">
        <v>0.03</v>
      </c>
      <c r="H5041" s="192">
        <v>15.58</v>
      </c>
      <c r="I5041" s="192">
        <v>15.23</v>
      </c>
      <c r="J5041" s="192"/>
      <c r="K5041" s="192">
        <v>0.35</v>
      </c>
      <c r="L5041" s="43">
        <v>11.5</v>
      </c>
      <c r="M5041" s="43">
        <v>11.5</v>
      </c>
      <c r="N5041" s="43" t="s">
        <v>1690</v>
      </c>
      <c r="O5041" s="43">
        <v>11.5</v>
      </c>
      <c r="P5041" s="193"/>
      <c r="Q5041" s="193"/>
      <c r="R5041" s="193">
        <v>1</v>
      </c>
    </row>
    <row r="5042" spans="1:18" ht="24">
      <c r="A5042" s="189">
        <v>14</v>
      </c>
      <c r="B5042" s="186" t="s">
        <v>9215</v>
      </c>
      <c r="C5042" s="190" t="s">
        <v>9216</v>
      </c>
      <c r="D5042" s="191">
        <v>53.44</v>
      </c>
      <c r="E5042" s="191">
        <v>34.44</v>
      </c>
      <c r="F5042" s="191">
        <v>14.13</v>
      </c>
      <c r="G5042" s="191">
        <v>4.87</v>
      </c>
      <c r="H5042" s="192">
        <v>493.06</v>
      </c>
      <c r="I5042" s="192">
        <v>396.1</v>
      </c>
      <c r="J5042" s="192">
        <v>73.27</v>
      </c>
      <c r="K5042" s="192">
        <v>23.69</v>
      </c>
      <c r="L5042" s="43">
        <v>9.2264221556886223</v>
      </c>
      <c r="M5042" s="43">
        <v>11.501161440185832</v>
      </c>
      <c r="N5042" s="43">
        <v>5.1854210898796884</v>
      </c>
      <c r="O5042" s="43">
        <v>4.8644763860369613</v>
      </c>
      <c r="P5042" s="193"/>
      <c r="Q5042" s="193"/>
      <c r="R5042" s="193">
        <v>1</v>
      </c>
    </row>
    <row r="5043" spans="1:18" ht="24">
      <c r="A5043" s="189">
        <v>15</v>
      </c>
      <c r="B5043" s="186" t="s">
        <v>9217</v>
      </c>
      <c r="C5043" s="190" t="s">
        <v>9218</v>
      </c>
      <c r="D5043" s="191">
        <v>71.41</v>
      </c>
      <c r="E5043" s="191">
        <v>17.73</v>
      </c>
      <c r="F5043" s="191">
        <v>7.61</v>
      </c>
      <c r="G5043" s="191">
        <v>46.07</v>
      </c>
      <c r="H5043" s="192">
        <v>388.91</v>
      </c>
      <c r="I5043" s="192">
        <v>203.91</v>
      </c>
      <c r="J5043" s="192">
        <v>39.450000000000003</v>
      </c>
      <c r="K5043" s="192">
        <v>145.55000000000001</v>
      </c>
      <c r="L5043" s="43">
        <v>5.4461560005601459</v>
      </c>
      <c r="M5043" s="43">
        <v>11.500846023688663</v>
      </c>
      <c r="N5043" s="43">
        <v>5.1839684625492772</v>
      </c>
      <c r="O5043" s="43">
        <v>3.1593227696982855</v>
      </c>
      <c r="P5043" s="193"/>
      <c r="Q5043" s="193"/>
      <c r="R5043" s="193">
        <v>1</v>
      </c>
    </row>
    <row r="5044" spans="1:18" ht="12.75" customHeight="1">
      <c r="A5044" s="628" t="s">
        <v>9219</v>
      </c>
      <c r="B5044" s="629"/>
      <c r="C5044" s="629"/>
      <c r="D5044" s="629"/>
      <c r="E5044" s="629"/>
      <c r="F5044" s="629"/>
      <c r="G5044" s="629"/>
      <c r="H5044" s="629"/>
      <c r="I5044" s="629"/>
      <c r="J5044" s="629"/>
      <c r="K5044" s="629"/>
      <c r="L5044" s="629"/>
      <c r="M5044" s="629"/>
      <c r="N5044" s="629"/>
      <c r="O5044" s="629"/>
      <c r="P5044" s="629"/>
      <c r="Q5044" s="629"/>
      <c r="R5044" s="629"/>
    </row>
    <row r="5045" spans="1:18" ht="24">
      <c r="A5045" s="189">
        <v>16</v>
      </c>
      <c r="B5045" s="186" t="s">
        <v>9220</v>
      </c>
      <c r="C5045" s="190" t="s">
        <v>9221</v>
      </c>
      <c r="D5045" s="191">
        <v>581.15</v>
      </c>
      <c r="E5045" s="191">
        <v>569.75</v>
      </c>
      <c r="F5045" s="191"/>
      <c r="G5045" s="191">
        <v>11.4</v>
      </c>
      <c r="H5045" s="192">
        <v>6683.44</v>
      </c>
      <c r="I5045" s="192">
        <v>6552.34</v>
      </c>
      <c r="J5045" s="192"/>
      <c r="K5045" s="192">
        <v>131.1</v>
      </c>
      <c r="L5045" s="43">
        <v>11.500369956121483</v>
      </c>
      <c r="M5045" s="43">
        <v>11.500377358490566</v>
      </c>
      <c r="N5045" s="43" t="s">
        <v>1690</v>
      </c>
      <c r="O5045" s="43">
        <v>11.5</v>
      </c>
      <c r="P5045" s="193"/>
      <c r="Q5045" s="193"/>
      <c r="R5045" s="193">
        <v>2</v>
      </c>
    </row>
    <row r="5046" spans="1:18" ht="24">
      <c r="A5046" s="189">
        <v>17</v>
      </c>
      <c r="B5046" s="186" t="s">
        <v>9222</v>
      </c>
      <c r="C5046" s="190" t="s">
        <v>9223</v>
      </c>
      <c r="D5046" s="191">
        <v>1554.23</v>
      </c>
      <c r="E5046" s="191">
        <v>1523.75</v>
      </c>
      <c r="F5046" s="191"/>
      <c r="G5046" s="191">
        <v>30.48</v>
      </c>
      <c r="H5046" s="192">
        <v>17874.22</v>
      </c>
      <c r="I5046" s="192">
        <v>17523.7</v>
      </c>
      <c r="J5046" s="192"/>
      <c r="K5046" s="192">
        <v>350.52</v>
      </c>
      <c r="L5046" s="43">
        <v>11.500369958114309</v>
      </c>
      <c r="M5046" s="43">
        <v>11.500377358490567</v>
      </c>
      <c r="N5046" s="43" t="s">
        <v>1690</v>
      </c>
      <c r="O5046" s="43">
        <v>11.5</v>
      </c>
      <c r="P5046" s="193"/>
      <c r="Q5046" s="193"/>
      <c r="R5046" s="193">
        <v>2</v>
      </c>
    </row>
    <row r="5047" spans="1:18" ht="24">
      <c r="A5047" s="189">
        <v>18</v>
      </c>
      <c r="B5047" s="186" t="s">
        <v>9224</v>
      </c>
      <c r="C5047" s="190" t="s">
        <v>9225</v>
      </c>
      <c r="D5047" s="191">
        <v>1108.23</v>
      </c>
      <c r="E5047" s="191">
        <v>1086.5</v>
      </c>
      <c r="F5047" s="191"/>
      <c r="G5047" s="191">
        <v>21.73</v>
      </c>
      <c r="H5047" s="192">
        <v>12745.06</v>
      </c>
      <c r="I5047" s="192">
        <v>12495.16</v>
      </c>
      <c r="J5047" s="192"/>
      <c r="K5047" s="192">
        <v>249.9</v>
      </c>
      <c r="L5047" s="43">
        <v>11.500374471003312</v>
      </c>
      <c r="M5047" s="43">
        <v>11.500377358490566</v>
      </c>
      <c r="N5047" s="43" t="s">
        <v>1690</v>
      </c>
      <c r="O5047" s="43">
        <v>11.500230096640589</v>
      </c>
      <c r="P5047" s="193"/>
      <c r="Q5047" s="193"/>
      <c r="R5047" s="193">
        <v>2</v>
      </c>
    </row>
    <row r="5048" spans="1:18" ht="24">
      <c r="A5048" s="189">
        <v>19</v>
      </c>
      <c r="B5048" s="186" t="s">
        <v>9226</v>
      </c>
      <c r="C5048" s="190" t="s">
        <v>9227</v>
      </c>
      <c r="D5048" s="191">
        <v>391.94</v>
      </c>
      <c r="E5048" s="191">
        <v>384.25</v>
      </c>
      <c r="F5048" s="191"/>
      <c r="G5048" s="191">
        <v>7.69</v>
      </c>
      <c r="H5048" s="192">
        <v>4507.46</v>
      </c>
      <c r="I5048" s="192">
        <v>4419.0200000000004</v>
      </c>
      <c r="J5048" s="192"/>
      <c r="K5048" s="192">
        <v>88.44</v>
      </c>
      <c r="L5048" s="43">
        <v>11.500382711639537</v>
      </c>
      <c r="M5048" s="43">
        <v>11.500377358490567</v>
      </c>
      <c r="N5048" s="43" t="s">
        <v>1690</v>
      </c>
      <c r="O5048" s="43">
        <v>11.500650195058517</v>
      </c>
      <c r="P5048" s="193"/>
      <c r="Q5048" s="193"/>
      <c r="R5048" s="193">
        <v>2</v>
      </c>
    </row>
    <row r="5049" spans="1:18" ht="36">
      <c r="A5049" s="189">
        <v>20</v>
      </c>
      <c r="B5049" s="186" t="s">
        <v>9228</v>
      </c>
      <c r="C5049" s="190" t="s">
        <v>9229</v>
      </c>
      <c r="D5049" s="191">
        <v>500.06</v>
      </c>
      <c r="E5049" s="191">
        <v>490.25</v>
      </c>
      <c r="F5049" s="191"/>
      <c r="G5049" s="191">
        <v>9.81</v>
      </c>
      <c r="H5049" s="192">
        <v>5750.88</v>
      </c>
      <c r="I5049" s="192">
        <v>5638.06</v>
      </c>
      <c r="J5049" s="192"/>
      <c r="K5049" s="192">
        <v>112.82</v>
      </c>
      <c r="L5049" s="43">
        <v>11.500379954405471</v>
      </c>
      <c r="M5049" s="43">
        <v>11.500377358490567</v>
      </c>
      <c r="N5049" s="43" t="s">
        <v>1690</v>
      </c>
      <c r="O5049" s="43">
        <v>11.50050968399592</v>
      </c>
      <c r="P5049" s="193"/>
      <c r="Q5049" s="193"/>
      <c r="R5049" s="193">
        <v>2</v>
      </c>
    </row>
    <row r="5050" spans="1:18" ht="36">
      <c r="A5050" s="189">
        <v>21</v>
      </c>
      <c r="B5050" s="186" t="s">
        <v>9230</v>
      </c>
      <c r="C5050" s="190" t="s">
        <v>9231</v>
      </c>
      <c r="D5050" s="191">
        <v>770.36</v>
      </c>
      <c r="E5050" s="191">
        <v>755.25</v>
      </c>
      <c r="F5050" s="191"/>
      <c r="G5050" s="191">
        <v>15.11</v>
      </c>
      <c r="H5050" s="192">
        <v>8859.43</v>
      </c>
      <c r="I5050" s="192">
        <v>8685.66</v>
      </c>
      <c r="J5050" s="192"/>
      <c r="K5050" s="192">
        <v>173.77</v>
      </c>
      <c r="L5050" s="43">
        <v>11.500376447375253</v>
      </c>
      <c r="M5050" s="43">
        <v>11.500377358490566</v>
      </c>
      <c r="N5050" s="43" t="s">
        <v>1690</v>
      </c>
      <c r="O5050" s="43">
        <v>11.500330906684317</v>
      </c>
      <c r="P5050" s="193"/>
      <c r="Q5050" s="193"/>
      <c r="R5050" s="193">
        <v>2</v>
      </c>
    </row>
    <row r="5051" spans="1:18" ht="24">
      <c r="A5051" s="189">
        <v>22</v>
      </c>
      <c r="B5051" s="186" t="s">
        <v>9232</v>
      </c>
      <c r="C5051" s="190" t="s">
        <v>9233</v>
      </c>
      <c r="D5051" s="191">
        <v>891.99</v>
      </c>
      <c r="E5051" s="191">
        <v>874.5</v>
      </c>
      <c r="F5051" s="191"/>
      <c r="G5051" s="191">
        <v>17.489999999999998</v>
      </c>
      <c r="H5051" s="192">
        <v>10258.219999999999</v>
      </c>
      <c r="I5051" s="192">
        <v>10057.08</v>
      </c>
      <c r="J5051" s="192"/>
      <c r="K5051" s="192">
        <v>201.14</v>
      </c>
      <c r="L5051" s="43">
        <v>11.500375564748483</v>
      </c>
      <c r="M5051" s="43">
        <v>11.500377358490566</v>
      </c>
      <c r="N5051" s="43" t="s">
        <v>1690</v>
      </c>
      <c r="O5051" s="43">
        <v>11.500285877644368</v>
      </c>
      <c r="P5051" s="193"/>
      <c r="Q5051" s="193"/>
      <c r="R5051" s="193">
        <v>2</v>
      </c>
    </row>
    <row r="5052" spans="1:18" ht="24">
      <c r="A5052" s="189">
        <v>23</v>
      </c>
      <c r="B5052" s="186" t="s">
        <v>9234</v>
      </c>
      <c r="C5052" s="190" t="s">
        <v>9235</v>
      </c>
      <c r="D5052" s="191">
        <v>473.03</v>
      </c>
      <c r="E5052" s="191">
        <v>463.75</v>
      </c>
      <c r="F5052" s="191"/>
      <c r="G5052" s="191">
        <v>9.2799999999999994</v>
      </c>
      <c r="H5052" s="192">
        <v>5440.02</v>
      </c>
      <c r="I5052" s="192">
        <v>5333.3</v>
      </c>
      <c r="J5052" s="192"/>
      <c r="K5052" s="192">
        <v>106.72</v>
      </c>
      <c r="L5052" s="43">
        <v>11.500369955393952</v>
      </c>
      <c r="M5052" s="43">
        <v>11.500377358490567</v>
      </c>
      <c r="N5052" s="43" t="s">
        <v>1690</v>
      </c>
      <c r="O5052" s="43">
        <v>11.5</v>
      </c>
      <c r="P5052" s="193"/>
      <c r="Q5052" s="193"/>
      <c r="R5052" s="193">
        <v>2</v>
      </c>
    </row>
    <row r="5053" spans="1:18" ht="31.5" customHeight="1">
      <c r="A5053" s="189">
        <v>24</v>
      </c>
      <c r="B5053" s="186" t="s">
        <v>9236</v>
      </c>
      <c r="C5053" s="190" t="s">
        <v>9237</v>
      </c>
      <c r="D5053" s="191">
        <v>648.72</v>
      </c>
      <c r="E5053" s="191">
        <v>636</v>
      </c>
      <c r="F5053" s="191"/>
      <c r="G5053" s="191">
        <v>12.72</v>
      </c>
      <c r="H5053" s="192">
        <v>7460.52</v>
      </c>
      <c r="I5053" s="192">
        <v>7314.24</v>
      </c>
      <c r="J5053" s="192"/>
      <c r="K5053" s="192">
        <v>146.28</v>
      </c>
      <c r="L5053" s="43">
        <v>11.500369959304477</v>
      </c>
      <c r="M5053" s="43">
        <v>11.500377358490566</v>
      </c>
      <c r="N5053" s="43" t="s">
        <v>1690</v>
      </c>
      <c r="O5053" s="43">
        <v>11.5</v>
      </c>
      <c r="P5053" s="193"/>
      <c r="Q5053" s="193"/>
      <c r="R5053" s="193">
        <v>2</v>
      </c>
    </row>
    <row r="5054" spans="1:18" ht="24">
      <c r="A5054" s="189">
        <v>25</v>
      </c>
      <c r="B5054" s="186" t="s">
        <v>9238</v>
      </c>
      <c r="C5054" s="190" t="s">
        <v>9239</v>
      </c>
      <c r="D5054" s="191">
        <v>270.3</v>
      </c>
      <c r="E5054" s="191">
        <v>265</v>
      </c>
      <c r="F5054" s="191"/>
      <c r="G5054" s="191">
        <v>5.3</v>
      </c>
      <c r="H5054" s="192">
        <v>3108.55</v>
      </c>
      <c r="I5054" s="192">
        <v>3047.6</v>
      </c>
      <c r="J5054" s="192"/>
      <c r="K5054" s="192">
        <v>60.95</v>
      </c>
      <c r="L5054" s="43">
        <v>11.500369959304477</v>
      </c>
      <c r="M5054" s="43">
        <v>11.500377358490566</v>
      </c>
      <c r="N5054" s="43" t="s">
        <v>1690</v>
      </c>
      <c r="O5054" s="43">
        <v>11.500000000000002</v>
      </c>
      <c r="P5054" s="193"/>
      <c r="Q5054" s="193"/>
      <c r="R5054" s="193">
        <v>2</v>
      </c>
    </row>
    <row r="5055" spans="1:18" ht="24">
      <c r="A5055" s="189">
        <v>26</v>
      </c>
      <c r="B5055" s="186" t="s">
        <v>9240</v>
      </c>
      <c r="C5055" s="190" t="s">
        <v>9241</v>
      </c>
      <c r="D5055" s="191">
        <v>152.72</v>
      </c>
      <c r="E5055" s="191">
        <v>149.72999999999999</v>
      </c>
      <c r="F5055" s="191"/>
      <c r="G5055" s="191">
        <v>2.99</v>
      </c>
      <c r="H5055" s="192">
        <v>1756.28</v>
      </c>
      <c r="I5055" s="192">
        <v>1721.89</v>
      </c>
      <c r="J5055" s="192"/>
      <c r="K5055" s="192">
        <v>34.39</v>
      </c>
      <c r="L5055" s="43">
        <v>11.5</v>
      </c>
      <c r="M5055" s="43">
        <v>11.499966606558473</v>
      </c>
      <c r="N5055" s="43" t="s">
        <v>1690</v>
      </c>
      <c r="O5055" s="43">
        <v>11.501672240802675</v>
      </c>
      <c r="P5055" s="193"/>
      <c r="Q5055" s="193"/>
      <c r="R5055" s="193">
        <v>2</v>
      </c>
    </row>
    <row r="5056" spans="1:18" ht="36">
      <c r="A5056" s="189">
        <v>27</v>
      </c>
      <c r="B5056" s="186" t="s">
        <v>9242</v>
      </c>
      <c r="C5056" s="190" t="s">
        <v>9243</v>
      </c>
      <c r="D5056" s="191">
        <v>2040.77</v>
      </c>
      <c r="E5056" s="191">
        <v>2000.75</v>
      </c>
      <c r="F5056" s="191"/>
      <c r="G5056" s="191">
        <v>40.020000000000003</v>
      </c>
      <c r="H5056" s="192">
        <v>23469.61</v>
      </c>
      <c r="I5056" s="192">
        <v>23009.38</v>
      </c>
      <c r="J5056" s="192"/>
      <c r="K5056" s="192">
        <v>460.23</v>
      </c>
      <c r="L5056" s="43">
        <v>11.500369958398055</v>
      </c>
      <c r="M5056" s="43">
        <v>11.500377358490567</v>
      </c>
      <c r="N5056" s="43" t="s">
        <v>1690</v>
      </c>
      <c r="O5056" s="43">
        <v>11.5</v>
      </c>
      <c r="P5056" s="193"/>
      <c r="Q5056" s="193"/>
      <c r="R5056" s="193">
        <v>2</v>
      </c>
    </row>
    <row r="5057" spans="1:18" ht="24">
      <c r="A5057" s="189">
        <v>28</v>
      </c>
      <c r="B5057" s="186" t="s">
        <v>9244</v>
      </c>
      <c r="C5057" s="190" t="s">
        <v>9245</v>
      </c>
      <c r="D5057" s="191">
        <v>510.87</v>
      </c>
      <c r="E5057" s="191">
        <v>500.85</v>
      </c>
      <c r="F5057" s="191"/>
      <c r="G5057" s="191">
        <v>10.02</v>
      </c>
      <c r="H5057" s="192">
        <v>5875.19</v>
      </c>
      <c r="I5057" s="192">
        <v>5759.96</v>
      </c>
      <c r="J5057" s="192"/>
      <c r="K5057" s="192">
        <v>115.23</v>
      </c>
      <c r="L5057" s="43">
        <v>11.50036212735138</v>
      </c>
      <c r="M5057" s="43">
        <v>11.500369372067485</v>
      </c>
      <c r="N5057" s="43" t="s">
        <v>1690</v>
      </c>
      <c r="O5057" s="43">
        <v>11.5</v>
      </c>
      <c r="P5057" s="193"/>
      <c r="Q5057" s="193"/>
      <c r="R5057" s="193">
        <v>2</v>
      </c>
    </row>
    <row r="5058" spans="1:18" ht="24">
      <c r="A5058" s="189">
        <v>29</v>
      </c>
      <c r="B5058" s="186" t="s">
        <v>9246</v>
      </c>
      <c r="C5058" s="190" t="s">
        <v>9247</v>
      </c>
      <c r="D5058" s="191">
        <v>306.8</v>
      </c>
      <c r="E5058" s="191">
        <v>300.77999999999997</v>
      </c>
      <c r="F5058" s="191"/>
      <c r="G5058" s="191">
        <v>6.02</v>
      </c>
      <c r="H5058" s="192">
        <v>3528.26</v>
      </c>
      <c r="I5058" s="192">
        <v>3459.03</v>
      </c>
      <c r="J5058" s="192"/>
      <c r="K5058" s="192">
        <v>69.23</v>
      </c>
      <c r="L5058" s="43">
        <v>11.50019556714472</v>
      </c>
      <c r="M5058" s="43">
        <v>11.500199481348496</v>
      </c>
      <c r="N5058" s="43" t="s">
        <v>1690</v>
      </c>
      <c r="O5058" s="43">
        <v>11.500000000000002</v>
      </c>
      <c r="P5058" s="193"/>
      <c r="Q5058" s="193"/>
      <c r="R5058" s="193">
        <v>2</v>
      </c>
    </row>
    <row r="5059" spans="1:18" ht="24">
      <c r="A5059" s="189">
        <v>30</v>
      </c>
      <c r="B5059" s="186" t="s">
        <v>9248</v>
      </c>
      <c r="C5059" s="190" t="s">
        <v>9249</v>
      </c>
      <c r="D5059" s="191">
        <v>54.06</v>
      </c>
      <c r="E5059" s="191">
        <v>53</v>
      </c>
      <c r="F5059" s="191"/>
      <c r="G5059" s="191">
        <v>1.06</v>
      </c>
      <c r="H5059" s="192">
        <v>621.71</v>
      </c>
      <c r="I5059" s="192">
        <v>609.52</v>
      </c>
      <c r="J5059" s="192"/>
      <c r="K5059" s="192">
        <v>12.19</v>
      </c>
      <c r="L5059" s="43">
        <v>11.500369959304477</v>
      </c>
      <c r="M5059" s="43">
        <v>11.500377358490566</v>
      </c>
      <c r="N5059" s="43" t="s">
        <v>1690</v>
      </c>
      <c r="O5059" s="43">
        <v>11.499999999999998</v>
      </c>
      <c r="P5059" s="193"/>
      <c r="Q5059" s="193"/>
      <c r="R5059" s="193">
        <v>2</v>
      </c>
    </row>
    <row r="5060" spans="1:18" ht="24">
      <c r="A5060" s="189">
        <v>31</v>
      </c>
      <c r="B5060" s="186" t="s">
        <v>9250</v>
      </c>
      <c r="C5060" s="190" t="s">
        <v>9251</v>
      </c>
      <c r="D5060" s="191">
        <v>244.63</v>
      </c>
      <c r="E5060" s="191">
        <v>239.83</v>
      </c>
      <c r="F5060" s="191"/>
      <c r="G5060" s="191">
        <v>4.8</v>
      </c>
      <c r="H5060" s="192">
        <v>2813.28</v>
      </c>
      <c r="I5060" s="192">
        <v>2758.08</v>
      </c>
      <c r="J5060" s="192"/>
      <c r="K5060" s="192">
        <v>55.2</v>
      </c>
      <c r="L5060" s="43">
        <v>11.500143073212607</v>
      </c>
      <c r="M5060" s="43">
        <v>11.500145936705165</v>
      </c>
      <c r="N5060" s="43" t="s">
        <v>1690</v>
      </c>
      <c r="O5060" s="43">
        <v>11.500000000000002</v>
      </c>
      <c r="P5060" s="193"/>
      <c r="Q5060" s="193"/>
      <c r="R5060" s="193">
        <v>2</v>
      </c>
    </row>
    <row r="5061" spans="1:18" ht="12.75" customHeight="1">
      <c r="A5061" s="628" t="s">
        <v>9252</v>
      </c>
      <c r="B5061" s="629"/>
      <c r="C5061" s="629"/>
      <c r="D5061" s="629"/>
      <c r="E5061" s="629"/>
      <c r="F5061" s="629"/>
      <c r="G5061" s="629"/>
      <c r="H5061" s="629"/>
      <c r="I5061" s="629"/>
      <c r="J5061" s="629"/>
      <c r="K5061" s="629"/>
      <c r="L5061" s="629"/>
      <c r="M5061" s="629"/>
      <c r="N5061" s="629"/>
      <c r="O5061" s="629"/>
      <c r="P5061" s="629"/>
      <c r="Q5061" s="629"/>
      <c r="R5061" s="629"/>
    </row>
    <row r="5062" spans="1:18" ht="24">
      <c r="A5062" s="189">
        <v>32</v>
      </c>
      <c r="B5062" s="186" t="s">
        <v>9253</v>
      </c>
      <c r="C5062" s="190" t="s">
        <v>9254</v>
      </c>
      <c r="D5062" s="191">
        <v>1075.1300000000001</v>
      </c>
      <c r="E5062" s="191">
        <v>764.09</v>
      </c>
      <c r="F5062" s="191">
        <v>295.76</v>
      </c>
      <c r="G5062" s="191">
        <v>15.28</v>
      </c>
      <c r="H5062" s="192">
        <v>10490.62</v>
      </c>
      <c r="I5062" s="192">
        <v>8787.31</v>
      </c>
      <c r="J5062" s="192">
        <v>1527.59</v>
      </c>
      <c r="K5062" s="192">
        <v>175.72</v>
      </c>
      <c r="L5062" s="43">
        <v>9.7575362979360634</v>
      </c>
      <c r="M5062" s="43">
        <v>11.500359905246762</v>
      </c>
      <c r="N5062" s="43">
        <v>5.1649648363537999</v>
      </c>
      <c r="O5062" s="43">
        <v>11.5</v>
      </c>
      <c r="P5062" s="193"/>
      <c r="Q5062" s="193"/>
      <c r="R5062" s="193">
        <v>3</v>
      </c>
    </row>
    <row r="5063" spans="1:18" ht="24">
      <c r="A5063" s="189">
        <v>33</v>
      </c>
      <c r="B5063" s="186" t="s">
        <v>9255</v>
      </c>
      <c r="C5063" s="190" t="s">
        <v>9256</v>
      </c>
      <c r="D5063" s="191">
        <v>114.82</v>
      </c>
      <c r="E5063" s="191">
        <v>77.67</v>
      </c>
      <c r="F5063" s="191">
        <v>31.47</v>
      </c>
      <c r="G5063" s="191">
        <v>5.68</v>
      </c>
      <c r="H5063" s="192">
        <v>1084.77</v>
      </c>
      <c r="I5063" s="192">
        <v>893.27</v>
      </c>
      <c r="J5063" s="192">
        <v>161.22</v>
      </c>
      <c r="K5063" s="192">
        <v>30.28</v>
      </c>
      <c r="L5063" s="43">
        <v>9.4475701097369793</v>
      </c>
      <c r="M5063" s="43">
        <v>11.500836873953906</v>
      </c>
      <c r="N5063" s="43">
        <v>5.1229742612011444</v>
      </c>
      <c r="O5063" s="43">
        <v>5.330985915492958</v>
      </c>
      <c r="P5063" s="193"/>
      <c r="Q5063" s="193"/>
      <c r="R5063" s="193">
        <v>3</v>
      </c>
    </row>
    <row r="5064" spans="1:18" ht="24">
      <c r="A5064" s="189">
        <v>34</v>
      </c>
      <c r="B5064" s="186" t="s">
        <v>9257</v>
      </c>
      <c r="C5064" s="190" t="s">
        <v>9258</v>
      </c>
      <c r="D5064" s="191">
        <v>590.23</v>
      </c>
      <c r="E5064" s="191">
        <v>414.09</v>
      </c>
      <c r="F5064" s="191">
        <v>167.86</v>
      </c>
      <c r="G5064" s="191">
        <v>8.2799999999999994</v>
      </c>
      <c r="H5064" s="192">
        <v>5726.32</v>
      </c>
      <c r="I5064" s="192">
        <v>4762.01</v>
      </c>
      <c r="J5064" s="192">
        <v>869.09</v>
      </c>
      <c r="K5064" s="192">
        <v>95.22</v>
      </c>
      <c r="L5064" s="43">
        <v>9.7018450434576344</v>
      </c>
      <c r="M5064" s="43">
        <v>11.499939626651212</v>
      </c>
      <c r="N5064" s="43">
        <v>5.1774693196711539</v>
      </c>
      <c r="O5064" s="43">
        <v>11.5</v>
      </c>
      <c r="P5064" s="193"/>
      <c r="Q5064" s="193"/>
      <c r="R5064" s="193">
        <v>3</v>
      </c>
    </row>
    <row r="5065" spans="1:18" ht="24">
      <c r="A5065" s="189">
        <v>35</v>
      </c>
      <c r="B5065" s="186" t="s">
        <v>9259</v>
      </c>
      <c r="C5065" s="190" t="s">
        <v>9260</v>
      </c>
      <c r="D5065" s="191">
        <v>713.61</v>
      </c>
      <c r="E5065" s="191">
        <v>496.47</v>
      </c>
      <c r="F5065" s="191">
        <v>207.21</v>
      </c>
      <c r="G5065" s="191">
        <v>9.93</v>
      </c>
      <c r="H5065" s="192">
        <v>6892.48</v>
      </c>
      <c r="I5065" s="192">
        <v>5709.43</v>
      </c>
      <c r="J5065" s="192">
        <v>1068.8499999999999</v>
      </c>
      <c r="K5065" s="192">
        <v>114.2</v>
      </c>
      <c r="L5065" s="43">
        <v>9.6586090441557708</v>
      </c>
      <c r="M5065" s="43">
        <v>11.500050355509901</v>
      </c>
      <c r="N5065" s="43">
        <v>5.1582935186525738</v>
      </c>
      <c r="O5065" s="43">
        <v>11.500503524672709</v>
      </c>
      <c r="P5065" s="193"/>
      <c r="Q5065" s="193"/>
      <c r="R5065" s="193">
        <v>3</v>
      </c>
    </row>
    <row r="5066" spans="1:18" ht="24">
      <c r="A5066" s="189">
        <v>36</v>
      </c>
      <c r="B5066" s="186" t="s">
        <v>9261</v>
      </c>
      <c r="C5066" s="190" t="s">
        <v>9262</v>
      </c>
      <c r="D5066" s="191">
        <v>55.02</v>
      </c>
      <c r="E5066" s="191">
        <v>38.840000000000003</v>
      </c>
      <c r="F5066" s="191">
        <v>15.4</v>
      </c>
      <c r="G5066" s="191">
        <v>0.78</v>
      </c>
      <c r="H5066" s="192">
        <v>534.27</v>
      </c>
      <c r="I5066" s="192">
        <v>446.63</v>
      </c>
      <c r="J5066" s="192">
        <v>78.67</v>
      </c>
      <c r="K5066" s="192">
        <v>8.9700000000000006</v>
      </c>
      <c r="L5066" s="43">
        <v>9.710468920392584</v>
      </c>
      <c r="M5066" s="43">
        <v>11.499227600411945</v>
      </c>
      <c r="N5066" s="43">
        <v>5.1084415584415588</v>
      </c>
      <c r="O5066" s="43">
        <v>11.5</v>
      </c>
      <c r="P5066" s="193"/>
      <c r="Q5066" s="193"/>
      <c r="R5066" s="193">
        <v>3</v>
      </c>
    </row>
    <row r="5067" spans="1:18" ht="24">
      <c r="A5067" s="189">
        <v>37</v>
      </c>
      <c r="B5067" s="186" t="s">
        <v>9263</v>
      </c>
      <c r="C5067" s="190" t="s">
        <v>9264</v>
      </c>
      <c r="D5067" s="191">
        <v>28.31</v>
      </c>
      <c r="E5067" s="191">
        <v>20.29</v>
      </c>
      <c r="F5067" s="191">
        <v>7.61</v>
      </c>
      <c r="G5067" s="191">
        <v>0.41</v>
      </c>
      <c r="H5067" s="192">
        <v>277.48</v>
      </c>
      <c r="I5067" s="192">
        <v>233.31</v>
      </c>
      <c r="J5067" s="192">
        <v>39.450000000000003</v>
      </c>
      <c r="K5067" s="192">
        <v>4.72</v>
      </c>
      <c r="L5067" s="43">
        <v>9.801483574708584</v>
      </c>
      <c r="M5067" s="43">
        <v>11.498767865943815</v>
      </c>
      <c r="N5067" s="43">
        <v>5.1839684625492772</v>
      </c>
      <c r="O5067" s="43">
        <v>11.5</v>
      </c>
      <c r="P5067" s="193"/>
      <c r="Q5067" s="193"/>
      <c r="R5067" s="193">
        <v>3</v>
      </c>
    </row>
    <row r="5068" spans="1:18" ht="24">
      <c r="A5068" s="189">
        <v>38</v>
      </c>
      <c r="B5068" s="186" t="s">
        <v>9265</v>
      </c>
      <c r="C5068" s="190" t="s">
        <v>9266</v>
      </c>
      <c r="D5068" s="191">
        <v>11.72</v>
      </c>
      <c r="E5068" s="191">
        <v>11.49</v>
      </c>
      <c r="F5068" s="191"/>
      <c r="G5068" s="191">
        <v>0.23</v>
      </c>
      <c r="H5068" s="192">
        <v>134.79</v>
      </c>
      <c r="I5068" s="192">
        <v>132.13999999999999</v>
      </c>
      <c r="J5068" s="192"/>
      <c r="K5068" s="192">
        <v>2.65</v>
      </c>
      <c r="L5068" s="43">
        <v>11.500853242320817</v>
      </c>
      <c r="M5068" s="43">
        <v>11.500435161009571</v>
      </c>
      <c r="N5068" s="43" t="s">
        <v>1690</v>
      </c>
      <c r="O5068" s="43">
        <v>11.5</v>
      </c>
      <c r="P5068" s="193"/>
      <c r="Q5068" s="193"/>
      <c r="R5068" s="193">
        <v>3</v>
      </c>
    </row>
    <row r="5069" spans="1:18" ht="24">
      <c r="A5069" s="189">
        <v>39</v>
      </c>
      <c r="B5069" s="186" t="s">
        <v>9267</v>
      </c>
      <c r="C5069" s="190" t="s">
        <v>9268</v>
      </c>
      <c r="D5069" s="191">
        <v>44.05</v>
      </c>
      <c r="E5069" s="191">
        <v>33.6</v>
      </c>
      <c r="F5069" s="191"/>
      <c r="G5069" s="191">
        <v>10.45</v>
      </c>
      <c r="H5069" s="192">
        <v>421.27</v>
      </c>
      <c r="I5069" s="192">
        <v>386.45</v>
      </c>
      <c r="J5069" s="192"/>
      <c r="K5069" s="192">
        <v>34.82</v>
      </c>
      <c r="L5069" s="43">
        <v>9.5634506242905797</v>
      </c>
      <c r="M5069" s="43">
        <v>11.501488095238095</v>
      </c>
      <c r="N5069" s="43" t="s">
        <v>1690</v>
      </c>
      <c r="O5069" s="43">
        <v>3.3320574162679431</v>
      </c>
      <c r="P5069" s="193"/>
      <c r="Q5069" s="193"/>
      <c r="R5069" s="193">
        <v>3</v>
      </c>
    </row>
    <row r="5070" spans="1:18" ht="24">
      <c r="A5070" s="189">
        <v>40</v>
      </c>
      <c r="B5070" s="186" t="s">
        <v>9269</v>
      </c>
      <c r="C5070" s="190" t="s">
        <v>9270</v>
      </c>
      <c r="D5070" s="191">
        <v>2.35</v>
      </c>
      <c r="E5070" s="191">
        <v>2.2999999999999998</v>
      </c>
      <c r="F5070" s="191"/>
      <c r="G5070" s="191">
        <v>0.05</v>
      </c>
      <c r="H5070" s="192">
        <v>27.01</v>
      </c>
      <c r="I5070" s="192">
        <v>26.43</v>
      </c>
      <c r="J5070" s="192"/>
      <c r="K5070" s="192">
        <v>0.57999999999999996</v>
      </c>
      <c r="L5070" s="43">
        <v>11.5</v>
      </c>
      <c r="M5070" s="43">
        <v>11.5</v>
      </c>
      <c r="N5070" s="43" t="s">
        <v>1690</v>
      </c>
      <c r="O5070" s="43">
        <v>11.5</v>
      </c>
      <c r="P5070" s="193"/>
      <c r="Q5070" s="193"/>
      <c r="R5070" s="193">
        <v>3</v>
      </c>
    </row>
    <row r="5071" spans="1:18" ht="12.75" customHeight="1">
      <c r="A5071" s="628" t="s">
        <v>9271</v>
      </c>
      <c r="B5071" s="629"/>
      <c r="C5071" s="629"/>
      <c r="D5071" s="629"/>
      <c r="E5071" s="629"/>
      <c r="F5071" s="629"/>
      <c r="G5071" s="629"/>
      <c r="H5071" s="629"/>
      <c r="I5071" s="629"/>
      <c r="J5071" s="629"/>
      <c r="K5071" s="629"/>
      <c r="L5071" s="629"/>
      <c r="M5071" s="629"/>
      <c r="N5071" s="629"/>
      <c r="O5071" s="629"/>
      <c r="P5071" s="629"/>
      <c r="Q5071" s="629"/>
      <c r="R5071" s="629"/>
    </row>
    <row r="5072" spans="1:18" ht="12.75" customHeight="1">
      <c r="A5072" s="628" t="s">
        <v>9272</v>
      </c>
      <c r="B5072" s="629"/>
      <c r="C5072" s="629"/>
      <c r="D5072" s="629"/>
      <c r="E5072" s="629"/>
      <c r="F5072" s="629"/>
      <c r="G5072" s="629"/>
      <c r="H5072" s="629"/>
      <c r="I5072" s="629"/>
      <c r="J5072" s="629"/>
      <c r="K5072" s="629"/>
      <c r="L5072" s="629"/>
      <c r="M5072" s="629"/>
      <c r="N5072" s="629"/>
      <c r="O5072" s="629"/>
      <c r="P5072" s="629"/>
      <c r="Q5072" s="629"/>
      <c r="R5072" s="629"/>
    </row>
    <row r="5073" spans="1:18" ht="24">
      <c r="A5073" s="189">
        <v>41</v>
      </c>
      <c r="B5073" s="186" t="s">
        <v>9273</v>
      </c>
      <c r="C5073" s="190" t="s">
        <v>9274</v>
      </c>
      <c r="D5073" s="191">
        <v>494.72</v>
      </c>
      <c r="E5073" s="191">
        <v>90.2</v>
      </c>
      <c r="F5073" s="191">
        <v>355.32</v>
      </c>
      <c r="G5073" s="191">
        <v>49.2</v>
      </c>
      <c r="H5073" s="192">
        <v>3087.75</v>
      </c>
      <c r="I5073" s="192">
        <v>1037.3</v>
      </c>
      <c r="J5073" s="192">
        <v>1842.91</v>
      </c>
      <c r="K5073" s="192">
        <v>207.54</v>
      </c>
      <c r="L5073" s="43">
        <v>6.2414092820181111</v>
      </c>
      <c r="M5073" s="43">
        <v>11.5</v>
      </c>
      <c r="N5073" s="43">
        <v>5.1866205110885968</v>
      </c>
      <c r="O5073" s="43">
        <v>4.2182926829268288</v>
      </c>
      <c r="P5073" s="193"/>
      <c r="Q5073" s="193"/>
      <c r="R5073" s="193">
        <v>1</v>
      </c>
    </row>
    <row r="5074" spans="1:18" ht="24">
      <c r="A5074" s="189">
        <v>42</v>
      </c>
      <c r="B5074" s="186" t="s">
        <v>9275</v>
      </c>
      <c r="C5074" s="190" t="s">
        <v>9276</v>
      </c>
      <c r="D5074" s="191">
        <v>330.77</v>
      </c>
      <c r="E5074" s="191">
        <v>63.88</v>
      </c>
      <c r="F5074" s="191">
        <v>236.88</v>
      </c>
      <c r="G5074" s="191">
        <v>30.01</v>
      </c>
      <c r="H5074" s="192">
        <v>2074.67</v>
      </c>
      <c r="I5074" s="192">
        <v>734.7</v>
      </c>
      <c r="J5074" s="192">
        <v>1228.5999999999999</v>
      </c>
      <c r="K5074" s="192">
        <v>111.37</v>
      </c>
      <c r="L5074" s="43">
        <v>6.2722435529219709</v>
      </c>
      <c r="M5074" s="43">
        <v>11.501252348152788</v>
      </c>
      <c r="N5074" s="43">
        <v>5.1865923674434313</v>
      </c>
      <c r="O5074" s="43">
        <v>3.7110963012329221</v>
      </c>
      <c r="P5074" s="193"/>
      <c r="Q5074" s="193"/>
      <c r="R5074" s="193">
        <v>1</v>
      </c>
    </row>
    <row r="5075" spans="1:18" ht="12.75" customHeight="1">
      <c r="A5075" s="628" t="s">
        <v>9277</v>
      </c>
      <c r="B5075" s="629"/>
      <c r="C5075" s="629"/>
      <c r="D5075" s="629"/>
      <c r="E5075" s="629"/>
      <c r="F5075" s="629"/>
      <c r="G5075" s="629"/>
      <c r="H5075" s="629"/>
      <c r="I5075" s="629"/>
      <c r="J5075" s="629"/>
      <c r="K5075" s="629"/>
      <c r="L5075" s="629"/>
      <c r="M5075" s="629"/>
      <c r="N5075" s="629"/>
      <c r="O5075" s="629"/>
      <c r="P5075" s="629"/>
      <c r="Q5075" s="629"/>
      <c r="R5075" s="629"/>
    </row>
    <row r="5076" spans="1:18" ht="12.75" customHeight="1">
      <c r="A5076" s="628" t="s">
        <v>9278</v>
      </c>
      <c r="B5076" s="629"/>
      <c r="C5076" s="629"/>
      <c r="D5076" s="629"/>
      <c r="E5076" s="629"/>
      <c r="F5076" s="629"/>
      <c r="G5076" s="629"/>
      <c r="H5076" s="629"/>
      <c r="I5076" s="629"/>
      <c r="J5076" s="629"/>
      <c r="K5076" s="629"/>
      <c r="L5076" s="629"/>
      <c r="M5076" s="629"/>
      <c r="N5076" s="629"/>
      <c r="O5076" s="629"/>
      <c r="P5076" s="629"/>
      <c r="Q5076" s="629"/>
      <c r="R5076" s="629"/>
    </row>
    <row r="5077" spans="1:18" ht="24">
      <c r="A5077" s="189">
        <v>43</v>
      </c>
      <c r="B5077" s="186" t="s">
        <v>9279</v>
      </c>
      <c r="C5077" s="190" t="s">
        <v>9280</v>
      </c>
      <c r="D5077" s="191">
        <v>374.67</v>
      </c>
      <c r="E5077" s="191">
        <v>263.12</v>
      </c>
      <c r="F5077" s="191">
        <v>106.29</v>
      </c>
      <c r="G5077" s="191">
        <v>5.26</v>
      </c>
      <c r="H5077" s="192">
        <v>3626.61</v>
      </c>
      <c r="I5077" s="192">
        <v>3026.01</v>
      </c>
      <c r="J5077" s="192">
        <v>540.11</v>
      </c>
      <c r="K5077" s="192">
        <v>60.49</v>
      </c>
      <c r="L5077" s="43">
        <v>9.6794779405877165</v>
      </c>
      <c r="M5077" s="43">
        <v>11.500494071146246</v>
      </c>
      <c r="N5077" s="43">
        <v>5.0814752093329565</v>
      </c>
      <c r="O5077" s="43">
        <v>11.5</v>
      </c>
      <c r="P5077" s="193"/>
      <c r="Q5077" s="193"/>
      <c r="R5077" s="193">
        <v>1</v>
      </c>
    </row>
    <row r="5078" spans="1:18" ht="24">
      <c r="A5078" s="189">
        <v>44</v>
      </c>
      <c r="B5078" s="186" t="s">
        <v>9281</v>
      </c>
      <c r="C5078" s="190" t="s">
        <v>9282</v>
      </c>
      <c r="D5078" s="191">
        <v>596.51</v>
      </c>
      <c r="E5078" s="191">
        <v>413.64</v>
      </c>
      <c r="F5078" s="191">
        <v>174.6</v>
      </c>
      <c r="G5078" s="191">
        <v>8.27</v>
      </c>
      <c r="H5078" s="192">
        <v>5738.42</v>
      </c>
      <c r="I5078" s="192">
        <v>4757.04</v>
      </c>
      <c r="J5078" s="192">
        <v>886.27</v>
      </c>
      <c r="K5078" s="192">
        <v>95.11</v>
      </c>
      <c r="L5078" s="43">
        <v>9.6199896062094528</v>
      </c>
      <c r="M5078" s="43">
        <v>11.500435161009573</v>
      </c>
      <c r="N5078" s="43">
        <v>5.0760022909507443</v>
      </c>
      <c r="O5078" s="43">
        <v>11.500604594921404</v>
      </c>
      <c r="P5078" s="193"/>
      <c r="Q5078" s="193"/>
      <c r="R5078" s="193">
        <v>1</v>
      </c>
    </row>
    <row r="5079" spans="1:18" ht="24">
      <c r="A5079" s="189">
        <v>45</v>
      </c>
      <c r="B5079" s="186" t="s">
        <v>9283</v>
      </c>
      <c r="C5079" s="190" t="s">
        <v>9284</v>
      </c>
      <c r="D5079" s="191">
        <v>513.91999999999996</v>
      </c>
      <c r="E5079" s="191">
        <v>350.45</v>
      </c>
      <c r="F5079" s="191">
        <v>156.46</v>
      </c>
      <c r="G5079" s="191">
        <v>7.01</v>
      </c>
      <c r="H5079" s="192">
        <v>4897.58</v>
      </c>
      <c r="I5079" s="192">
        <v>4030.27</v>
      </c>
      <c r="J5079" s="192">
        <v>786.69</v>
      </c>
      <c r="K5079" s="192">
        <v>80.62</v>
      </c>
      <c r="L5079" s="43">
        <v>9.5298490037359915</v>
      </c>
      <c r="M5079" s="43">
        <v>11.500271080039949</v>
      </c>
      <c r="N5079" s="43">
        <v>5.0280582896586985</v>
      </c>
      <c r="O5079" s="43">
        <v>11.500713266761769</v>
      </c>
      <c r="P5079" s="193"/>
      <c r="Q5079" s="193"/>
      <c r="R5079" s="193">
        <v>1</v>
      </c>
    </row>
    <row r="5080" spans="1:18" ht="24">
      <c r="A5080" s="189">
        <v>46</v>
      </c>
      <c r="B5080" s="186" t="s">
        <v>9285</v>
      </c>
      <c r="C5080" s="190" t="s">
        <v>9286</v>
      </c>
      <c r="D5080" s="191">
        <v>699.72</v>
      </c>
      <c r="E5080" s="191">
        <v>475.69</v>
      </c>
      <c r="F5080" s="191">
        <v>214.52</v>
      </c>
      <c r="G5080" s="191">
        <v>9.51</v>
      </c>
      <c r="H5080" s="192">
        <v>6658.04</v>
      </c>
      <c r="I5080" s="192">
        <v>5470.6</v>
      </c>
      <c r="J5080" s="192">
        <v>1078.07</v>
      </c>
      <c r="K5080" s="192">
        <v>109.37</v>
      </c>
      <c r="L5080" s="43">
        <v>9.5152918310181214</v>
      </c>
      <c r="M5080" s="43">
        <v>11.500346864554647</v>
      </c>
      <c r="N5080" s="43">
        <v>5.0254987879917952</v>
      </c>
      <c r="O5080" s="43">
        <v>11.500525762355416</v>
      </c>
      <c r="P5080" s="193"/>
      <c r="Q5080" s="193"/>
      <c r="R5080" s="193">
        <v>1</v>
      </c>
    </row>
    <row r="5081" spans="1:18" ht="36">
      <c r="A5081" s="189">
        <v>47</v>
      </c>
      <c r="B5081" s="186" t="s">
        <v>9287</v>
      </c>
      <c r="C5081" s="190" t="s">
        <v>9288</v>
      </c>
      <c r="D5081" s="191">
        <v>152.33000000000001</v>
      </c>
      <c r="E5081" s="191">
        <v>64.34</v>
      </c>
      <c r="F5081" s="191">
        <v>86.7</v>
      </c>
      <c r="G5081" s="191">
        <v>1.29</v>
      </c>
      <c r="H5081" s="192">
        <v>1224.94</v>
      </c>
      <c r="I5081" s="192">
        <v>739.98</v>
      </c>
      <c r="J5081" s="192">
        <v>470.12</v>
      </c>
      <c r="K5081" s="192">
        <v>14.84</v>
      </c>
      <c r="L5081" s="43">
        <v>8.0413575789404579</v>
      </c>
      <c r="M5081" s="43">
        <v>11.501087970158533</v>
      </c>
      <c r="N5081" s="43">
        <v>5.4223760092272197</v>
      </c>
      <c r="O5081" s="43">
        <v>11.503875968992247</v>
      </c>
      <c r="P5081" s="193"/>
      <c r="Q5081" s="193"/>
      <c r="R5081" s="193">
        <v>1</v>
      </c>
    </row>
    <row r="5082" spans="1:18" ht="36">
      <c r="A5082" s="189">
        <v>48</v>
      </c>
      <c r="B5082" s="186" t="s">
        <v>9289</v>
      </c>
      <c r="C5082" s="190" t="s">
        <v>9290</v>
      </c>
      <c r="D5082" s="191">
        <v>69</v>
      </c>
      <c r="E5082" s="191">
        <v>29.87</v>
      </c>
      <c r="F5082" s="191">
        <v>38.53</v>
      </c>
      <c r="G5082" s="191">
        <v>0.6</v>
      </c>
      <c r="H5082" s="192">
        <v>559.4</v>
      </c>
      <c r="I5082" s="192">
        <v>343.56</v>
      </c>
      <c r="J5082" s="192">
        <v>208.94</v>
      </c>
      <c r="K5082" s="192">
        <v>6.9</v>
      </c>
      <c r="L5082" s="43">
        <v>8.1072463768115934</v>
      </c>
      <c r="M5082" s="43">
        <v>11.501841312353532</v>
      </c>
      <c r="N5082" s="43">
        <v>5.4227874383597197</v>
      </c>
      <c r="O5082" s="43">
        <v>11.500000000000002</v>
      </c>
      <c r="P5082" s="193"/>
      <c r="Q5082" s="193"/>
      <c r="R5082" s="193">
        <v>1</v>
      </c>
    </row>
    <row r="5083" spans="1:18" ht="12.75" customHeight="1">
      <c r="A5083" s="628" t="s">
        <v>9291</v>
      </c>
      <c r="B5083" s="629"/>
      <c r="C5083" s="629"/>
      <c r="D5083" s="629"/>
      <c r="E5083" s="629"/>
      <c r="F5083" s="629"/>
      <c r="G5083" s="629"/>
      <c r="H5083" s="629"/>
      <c r="I5083" s="629"/>
      <c r="J5083" s="629"/>
      <c r="K5083" s="629"/>
      <c r="L5083" s="629"/>
      <c r="M5083" s="629"/>
      <c r="N5083" s="629"/>
      <c r="O5083" s="629"/>
      <c r="P5083" s="629"/>
      <c r="Q5083" s="629"/>
      <c r="R5083" s="629"/>
    </row>
    <row r="5084" spans="1:18" ht="24">
      <c r="A5084" s="189">
        <v>49</v>
      </c>
      <c r="B5084" s="186" t="s">
        <v>9292</v>
      </c>
      <c r="C5084" s="190" t="s">
        <v>9293</v>
      </c>
      <c r="D5084" s="191">
        <v>594.66</v>
      </c>
      <c r="E5084" s="191">
        <v>583</v>
      </c>
      <c r="F5084" s="191"/>
      <c r="G5084" s="191">
        <v>11.66</v>
      </c>
      <c r="H5084" s="192">
        <v>6838.81</v>
      </c>
      <c r="I5084" s="192">
        <v>6704.72</v>
      </c>
      <c r="J5084" s="192"/>
      <c r="K5084" s="192">
        <v>134.09</v>
      </c>
      <c r="L5084" s="43">
        <v>11.500369959304479</v>
      </c>
      <c r="M5084" s="43">
        <v>11.500377358490567</v>
      </c>
      <c r="N5084" s="43" t="s">
        <v>1690</v>
      </c>
      <c r="O5084" s="43">
        <v>11.5</v>
      </c>
      <c r="P5084" s="193"/>
      <c r="Q5084" s="193"/>
      <c r="R5084" s="193">
        <v>2</v>
      </c>
    </row>
    <row r="5085" spans="1:18" ht="24">
      <c r="A5085" s="189">
        <v>50</v>
      </c>
      <c r="B5085" s="186" t="s">
        <v>9294</v>
      </c>
      <c r="C5085" s="190" t="s">
        <v>9295</v>
      </c>
      <c r="D5085" s="191">
        <v>1135.26</v>
      </c>
      <c r="E5085" s="191">
        <v>1113</v>
      </c>
      <c r="F5085" s="191"/>
      <c r="G5085" s="191">
        <v>22.26</v>
      </c>
      <c r="H5085" s="192">
        <v>13055.91</v>
      </c>
      <c r="I5085" s="192">
        <v>12799.92</v>
      </c>
      <c r="J5085" s="192"/>
      <c r="K5085" s="192">
        <v>255.99</v>
      </c>
      <c r="L5085" s="43">
        <v>11.500369959304477</v>
      </c>
      <c r="M5085" s="43">
        <v>11.500377358490566</v>
      </c>
      <c r="N5085" s="43" t="s">
        <v>1690</v>
      </c>
      <c r="O5085" s="43">
        <v>11.5</v>
      </c>
      <c r="P5085" s="193"/>
      <c r="Q5085" s="193"/>
      <c r="R5085" s="193">
        <v>2</v>
      </c>
    </row>
    <row r="5086" spans="1:18" ht="24">
      <c r="A5086" s="189">
        <v>51</v>
      </c>
      <c r="B5086" s="186" t="s">
        <v>9296</v>
      </c>
      <c r="C5086" s="190" t="s">
        <v>9297</v>
      </c>
      <c r="D5086" s="191">
        <v>221.05</v>
      </c>
      <c r="E5086" s="191">
        <v>27.83</v>
      </c>
      <c r="F5086" s="191">
        <v>192.66</v>
      </c>
      <c r="G5086" s="191">
        <v>0.56000000000000005</v>
      </c>
      <c r="H5086" s="192">
        <v>1371.15</v>
      </c>
      <c r="I5086" s="192">
        <v>320</v>
      </c>
      <c r="J5086" s="192">
        <v>1044.71</v>
      </c>
      <c r="K5086" s="192">
        <v>6.44</v>
      </c>
      <c r="L5086" s="43">
        <v>6.2028952725627686</v>
      </c>
      <c r="M5086" s="43">
        <v>11.498383039885017</v>
      </c>
      <c r="N5086" s="43">
        <v>5.4225578739748785</v>
      </c>
      <c r="O5086" s="43">
        <v>11.5</v>
      </c>
      <c r="P5086" s="193"/>
      <c r="Q5086" s="193"/>
      <c r="R5086" s="193">
        <v>2</v>
      </c>
    </row>
    <row r="5087" spans="1:18" ht="24">
      <c r="A5087" s="189">
        <v>52</v>
      </c>
      <c r="B5087" s="186" t="s">
        <v>9298</v>
      </c>
      <c r="C5087" s="190" t="s">
        <v>9299</v>
      </c>
      <c r="D5087" s="191">
        <v>440.74</v>
      </c>
      <c r="E5087" s="191">
        <v>54.33</v>
      </c>
      <c r="F5087" s="191">
        <v>385.32</v>
      </c>
      <c r="G5087" s="191">
        <v>1.0900000000000001</v>
      </c>
      <c r="H5087" s="192">
        <v>2726.72</v>
      </c>
      <c r="I5087" s="192">
        <v>624.76</v>
      </c>
      <c r="J5087" s="192">
        <v>2089.42</v>
      </c>
      <c r="K5087" s="192">
        <v>12.54</v>
      </c>
      <c r="L5087" s="43">
        <v>6.1866860280437441</v>
      </c>
      <c r="M5087" s="43">
        <v>11.499355788698693</v>
      </c>
      <c r="N5087" s="43">
        <v>5.4225578739748785</v>
      </c>
      <c r="O5087" s="43">
        <v>11.504587155963302</v>
      </c>
      <c r="P5087" s="193"/>
      <c r="Q5087" s="193"/>
      <c r="R5087" s="193">
        <v>2</v>
      </c>
    </row>
    <row r="5088" spans="1:18" ht="12.75" customHeight="1">
      <c r="A5088" s="628" t="s">
        <v>9300</v>
      </c>
      <c r="B5088" s="629"/>
      <c r="C5088" s="629"/>
      <c r="D5088" s="629"/>
      <c r="E5088" s="629"/>
      <c r="F5088" s="629"/>
      <c r="G5088" s="629"/>
      <c r="H5088" s="629"/>
      <c r="I5088" s="629"/>
      <c r="J5088" s="629"/>
      <c r="K5088" s="629"/>
      <c r="L5088" s="629"/>
      <c r="M5088" s="629"/>
      <c r="N5088" s="629"/>
      <c r="O5088" s="629"/>
      <c r="P5088" s="629"/>
      <c r="Q5088" s="629"/>
      <c r="R5088" s="629"/>
    </row>
    <row r="5089" spans="1:18" ht="24">
      <c r="A5089" s="189">
        <v>53</v>
      </c>
      <c r="B5089" s="186" t="s">
        <v>9301</v>
      </c>
      <c r="C5089" s="190" t="s">
        <v>9302</v>
      </c>
      <c r="D5089" s="191">
        <v>299.23</v>
      </c>
      <c r="E5089" s="191">
        <v>293.36</v>
      </c>
      <c r="F5089" s="191"/>
      <c r="G5089" s="191">
        <v>5.87</v>
      </c>
      <c r="H5089" s="192">
        <v>3441.15</v>
      </c>
      <c r="I5089" s="192">
        <v>3373.64</v>
      </c>
      <c r="J5089" s="192"/>
      <c r="K5089" s="192">
        <v>67.510000000000005</v>
      </c>
      <c r="L5089" s="43">
        <v>11.500016709554522</v>
      </c>
      <c r="M5089" s="43">
        <v>11.499999999999998</v>
      </c>
      <c r="N5089" s="43" t="s">
        <v>1690</v>
      </c>
      <c r="O5089" s="43">
        <v>11.500851788756389</v>
      </c>
      <c r="P5089" s="193"/>
      <c r="Q5089" s="193"/>
      <c r="R5089" s="193">
        <v>3</v>
      </c>
    </row>
    <row r="5090" spans="1:18" ht="24">
      <c r="A5090" s="189">
        <v>54</v>
      </c>
      <c r="B5090" s="186" t="s">
        <v>9303</v>
      </c>
      <c r="C5090" s="190" t="s">
        <v>9304</v>
      </c>
      <c r="D5090" s="191">
        <v>440.97</v>
      </c>
      <c r="E5090" s="191">
        <v>432.32</v>
      </c>
      <c r="F5090" s="191"/>
      <c r="G5090" s="191">
        <v>8.65</v>
      </c>
      <c r="H5090" s="192">
        <v>5071.16</v>
      </c>
      <c r="I5090" s="192">
        <v>4971.68</v>
      </c>
      <c r="J5090" s="192"/>
      <c r="K5090" s="192">
        <v>99.48</v>
      </c>
      <c r="L5090" s="43">
        <v>11.500011338639816</v>
      </c>
      <c r="M5090" s="43">
        <v>11.5</v>
      </c>
      <c r="N5090" s="43" t="s">
        <v>1690</v>
      </c>
      <c r="O5090" s="43">
        <v>11.50057803468208</v>
      </c>
      <c r="P5090" s="193"/>
      <c r="Q5090" s="193"/>
      <c r="R5090" s="193">
        <v>3</v>
      </c>
    </row>
    <row r="5091" spans="1:18" ht="12.75" customHeight="1">
      <c r="A5091" s="628" t="s">
        <v>9305</v>
      </c>
      <c r="B5091" s="629"/>
      <c r="C5091" s="629"/>
      <c r="D5091" s="629"/>
      <c r="E5091" s="629"/>
      <c r="F5091" s="629"/>
      <c r="G5091" s="629"/>
      <c r="H5091" s="629"/>
      <c r="I5091" s="629"/>
      <c r="J5091" s="629"/>
      <c r="K5091" s="629"/>
      <c r="L5091" s="629"/>
      <c r="M5091" s="629"/>
      <c r="N5091" s="629"/>
      <c r="O5091" s="629"/>
      <c r="P5091" s="629"/>
      <c r="Q5091" s="629"/>
      <c r="R5091" s="629"/>
    </row>
    <row r="5092" spans="1:18" ht="12.75" customHeight="1">
      <c r="A5092" s="628" t="s">
        <v>9306</v>
      </c>
      <c r="B5092" s="629"/>
      <c r="C5092" s="629"/>
      <c r="D5092" s="629"/>
      <c r="E5092" s="629"/>
      <c r="F5092" s="629"/>
      <c r="G5092" s="629"/>
      <c r="H5092" s="629"/>
      <c r="I5092" s="629"/>
      <c r="J5092" s="629"/>
      <c r="K5092" s="629"/>
      <c r="L5092" s="629"/>
      <c r="M5092" s="629"/>
      <c r="N5092" s="629"/>
      <c r="O5092" s="629"/>
      <c r="P5092" s="629"/>
      <c r="Q5092" s="629"/>
      <c r="R5092" s="629"/>
    </row>
    <row r="5093" spans="1:18" ht="24">
      <c r="A5093" s="189">
        <v>55</v>
      </c>
      <c r="B5093" s="186" t="s">
        <v>9307</v>
      </c>
      <c r="C5093" s="190" t="s">
        <v>9308</v>
      </c>
      <c r="D5093" s="191">
        <v>62.72</v>
      </c>
      <c r="E5093" s="191">
        <v>26.31</v>
      </c>
      <c r="F5093" s="191">
        <v>13.82</v>
      </c>
      <c r="G5093" s="191">
        <v>22.59</v>
      </c>
      <c r="H5093" s="192">
        <v>460.96</v>
      </c>
      <c r="I5093" s="192">
        <v>302.60000000000002</v>
      </c>
      <c r="J5093" s="192">
        <v>74.430000000000007</v>
      </c>
      <c r="K5093" s="192">
        <v>83.93</v>
      </c>
      <c r="L5093" s="43">
        <v>7.3494897959183669</v>
      </c>
      <c r="M5093" s="43">
        <v>11.501330292664388</v>
      </c>
      <c r="N5093" s="43">
        <v>5.3856729377713464</v>
      </c>
      <c r="O5093" s="43">
        <v>3.7153607791057994</v>
      </c>
      <c r="P5093" s="193"/>
      <c r="Q5093" s="193"/>
      <c r="R5093" s="193">
        <v>1</v>
      </c>
    </row>
    <row r="5094" spans="1:18" ht="24">
      <c r="A5094" s="189">
        <v>56</v>
      </c>
      <c r="B5094" s="186" t="s">
        <v>9309</v>
      </c>
      <c r="C5094" s="190" t="s">
        <v>9310</v>
      </c>
      <c r="D5094" s="191">
        <v>964.38</v>
      </c>
      <c r="E5094" s="191">
        <v>275.76</v>
      </c>
      <c r="F5094" s="191">
        <v>106.49</v>
      </c>
      <c r="G5094" s="191">
        <v>582.13</v>
      </c>
      <c r="H5094" s="192">
        <v>5985.93</v>
      </c>
      <c r="I5094" s="192">
        <v>3171.36</v>
      </c>
      <c r="J5094" s="192">
        <v>552.30999999999995</v>
      </c>
      <c r="K5094" s="192">
        <v>2262.2600000000002</v>
      </c>
      <c r="L5094" s="43">
        <v>6.2070242020780197</v>
      </c>
      <c r="M5094" s="43">
        <v>11.500435161009575</v>
      </c>
      <c r="N5094" s="43">
        <v>5.1864963846370546</v>
      </c>
      <c r="O5094" s="43">
        <v>3.8861766272138532</v>
      </c>
      <c r="P5094" s="193"/>
      <c r="Q5094" s="193"/>
      <c r="R5094" s="193">
        <v>1</v>
      </c>
    </row>
    <row r="5095" spans="1:18" ht="24">
      <c r="A5095" s="189">
        <v>57</v>
      </c>
      <c r="B5095" s="186" t="s">
        <v>9311</v>
      </c>
      <c r="C5095" s="190" t="s">
        <v>9312</v>
      </c>
      <c r="D5095" s="191">
        <v>23.9</v>
      </c>
      <c r="E5095" s="191">
        <v>19.53</v>
      </c>
      <c r="F5095" s="191"/>
      <c r="G5095" s="191">
        <v>4.37</v>
      </c>
      <c r="H5095" s="192">
        <v>241.38</v>
      </c>
      <c r="I5095" s="192">
        <v>224.64</v>
      </c>
      <c r="J5095" s="192"/>
      <c r="K5095" s="192">
        <v>16.739999999999998</v>
      </c>
      <c r="L5095" s="43">
        <v>10.099581589958159</v>
      </c>
      <c r="M5095" s="43">
        <v>11.502304147465436</v>
      </c>
      <c r="N5095" s="43" t="s">
        <v>1690</v>
      </c>
      <c r="O5095" s="43">
        <v>3.8306636155606402</v>
      </c>
      <c r="P5095" s="193"/>
      <c r="Q5095" s="193"/>
      <c r="R5095" s="193">
        <v>1</v>
      </c>
    </row>
    <row r="5096" spans="1:18" ht="24">
      <c r="A5096" s="189">
        <v>58</v>
      </c>
      <c r="B5096" s="186" t="s">
        <v>9313</v>
      </c>
      <c r="C5096" s="190" t="s">
        <v>9314</v>
      </c>
      <c r="D5096" s="191">
        <v>149.24</v>
      </c>
      <c r="E5096" s="191">
        <v>90.2</v>
      </c>
      <c r="F5096" s="191">
        <v>35.86</v>
      </c>
      <c r="G5096" s="191">
        <v>23.18</v>
      </c>
      <c r="H5096" s="192">
        <v>1317.06</v>
      </c>
      <c r="I5096" s="192">
        <v>1037.3</v>
      </c>
      <c r="J5096" s="192">
        <v>185.98</v>
      </c>
      <c r="K5096" s="192">
        <v>93.78</v>
      </c>
      <c r="L5096" s="43">
        <v>8.8251139104797627</v>
      </c>
      <c r="M5096" s="43">
        <v>11.5</v>
      </c>
      <c r="N5096" s="43">
        <v>5.1862799776910204</v>
      </c>
      <c r="O5096" s="43">
        <v>4.0457290767903364</v>
      </c>
      <c r="P5096" s="193"/>
      <c r="Q5096" s="193"/>
      <c r="R5096" s="193">
        <v>1</v>
      </c>
    </row>
    <row r="5097" spans="1:18" ht="24">
      <c r="A5097" s="189">
        <v>59</v>
      </c>
      <c r="B5097" s="186" t="s">
        <v>9315</v>
      </c>
      <c r="C5097" s="190" t="s">
        <v>9316</v>
      </c>
      <c r="D5097" s="191">
        <v>51.35</v>
      </c>
      <c r="E5097" s="191">
        <v>34.44</v>
      </c>
      <c r="F5097" s="191">
        <v>14.13</v>
      </c>
      <c r="G5097" s="191">
        <v>2.78</v>
      </c>
      <c r="H5097" s="192">
        <v>483.68</v>
      </c>
      <c r="I5097" s="192">
        <v>396.1</v>
      </c>
      <c r="J5097" s="192">
        <v>73.27</v>
      </c>
      <c r="K5097" s="192">
        <v>14.31</v>
      </c>
      <c r="L5097" s="43">
        <v>9.4192794547224921</v>
      </c>
      <c r="M5097" s="43">
        <v>11.501161440185832</v>
      </c>
      <c r="N5097" s="43">
        <v>5.1854210898796884</v>
      </c>
      <c r="O5097" s="43">
        <v>5.1474820143884896</v>
      </c>
      <c r="P5097" s="193"/>
      <c r="Q5097" s="193"/>
      <c r="R5097" s="193">
        <v>1</v>
      </c>
    </row>
    <row r="5098" spans="1:18" ht="24">
      <c r="A5098" s="189">
        <v>60</v>
      </c>
      <c r="B5098" s="186" t="s">
        <v>9317</v>
      </c>
      <c r="C5098" s="190" t="s">
        <v>9318</v>
      </c>
      <c r="D5098" s="191">
        <v>6.45</v>
      </c>
      <c r="E5098" s="191">
        <v>6.32</v>
      </c>
      <c r="F5098" s="191"/>
      <c r="G5098" s="191">
        <v>0.13</v>
      </c>
      <c r="H5098" s="192">
        <v>74.16</v>
      </c>
      <c r="I5098" s="192">
        <v>72.66</v>
      </c>
      <c r="J5098" s="192"/>
      <c r="K5098" s="192">
        <v>1.5</v>
      </c>
      <c r="L5098" s="43">
        <v>11.49767441860465</v>
      </c>
      <c r="M5098" s="43">
        <v>11.496835443037973</v>
      </c>
      <c r="N5098" s="43" t="s">
        <v>1690</v>
      </c>
      <c r="O5098" s="43">
        <v>11.5</v>
      </c>
      <c r="P5098" s="193"/>
      <c r="Q5098" s="193"/>
      <c r="R5098" s="193">
        <v>1</v>
      </c>
    </row>
    <row r="5099" spans="1:18" ht="24">
      <c r="A5099" s="189">
        <v>61</v>
      </c>
      <c r="B5099" s="186" t="s">
        <v>9319</v>
      </c>
      <c r="C5099" s="190" t="s">
        <v>9320</v>
      </c>
      <c r="D5099" s="191">
        <v>1.04</v>
      </c>
      <c r="E5099" s="191">
        <v>1.02</v>
      </c>
      <c r="F5099" s="191"/>
      <c r="G5099" s="191">
        <v>0.02</v>
      </c>
      <c r="H5099" s="192">
        <v>11.95</v>
      </c>
      <c r="I5099" s="192">
        <v>11.72</v>
      </c>
      <c r="J5099" s="192"/>
      <c r="K5099" s="192">
        <v>0.23</v>
      </c>
      <c r="L5099" s="43">
        <v>11.5</v>
      </c>
      <c r="M5099" s="43">
        <v>11.5</v>
      </c>
      <c r="N5099" s="43" t="s">
        <v>1690</v>
      </c>
      <c r="O5099" s="43">
        <v>11.5</v>
      </c>
      <c r="P5099" s="193"/>
      <c r="Q5099" s="193"/>
      <c r="R5099" s="193">
        <v>1</v>
      </c>
    </row>
    <row r="5100" spans="1:18" ht="24">
      <c r="A5100" s="189">
        <v>62</v>
      </c>
      <c r="B5100" s="186" t="s">
        <v>9321</v>
      </c>
      <c r="C5100" s="190" t="s">
        <v>9322</v>
      </c>
      <c r="D5100" s="191">
        <v>11.37</v>
      </c>
      <c r="E5100" s="191">
        <v>7.95</v>
      </c>
      <c r="F5100" s="191">
        <v>3.26</v>
      </c>
      <c r="G5100" s="191">
        <v>0.16</v>
      </c>
      <c r="H5100" s="192">
        <v>110.16</v>
      </c>
      <c r="I5100" s="192">
        <v>91.41</v>
      </c>
      <c r="J5100" s="192">
        <v>16.91</v>
      </c>
      <c r="K5100" s="192">
        <v>1.84</v>
      </c>
      <c r="L5100" s="43">
        <v>9.688654353562006</v>
      </c>
      <c r="M5100" s="43">
        <v>11.498113207547169</v>
      </c>
      <c r="N5100" s="43">
        <v>5.1871165644171784</v>
      </c>
      <c r="O5100" s="43">
        <v>11.5</v>
      </c>
      <c r="P5100" s="193"/>
      <c r="Q5100" s="193"/>
      <c r="R5100" s="193">
        <v>1</v>
      </c>
    </row>
    <row r="5101" spans="1:18" ht="24">
      <c r="A5101" s="189">
        <v>63</v>
      </c>
      <c r="B5101" s="186" t="s">
        <v>9323</v>
      </c>
      <c r="C5101" s="190" t="s">
        <v>9324</v>
      </c>
      <c r="D5101" s="191">
        <v>10.39</v>
      </c>
      <c r="E5101" s="191">
        <v>10.19</v>
      </c>
      <c r="F5101" s="191"/>
      <c r="G5101" s="191">
        <v>0.2</v>
      </c>
      <c r="H5101" s="192">
        <v>119.49</v>
      </c>
      <c r="I5101" s="192">
        <v>117.19</v>
      </c>
      <c r="J5101" s="192"/>
      <c r="K5101" s="192">
        <v>2.2999999999999998</v>
      </c>
      <c r="L5101" s="43">
        <v>11.500481231953801</v>
      </c>
      <c r="M5101" s="43">
        <v>11.500490677134446</v>
      </c>
      <c r="N5101" s="43" t="s">
        <v>1690</v>
      </c>
      <c r="O5101" s="43">
        <v>11.499999999999998</v>
      </c>
      <c r="P5101" s="193"/>
      <c r="Q5101" s="193"/>
      <c r="R5101" s="193">
        <v>1</v>
      </c>
    </row>
    <row r="5102" spans="1:18" ht="12.75" customHeight="1">
      <c r="A5102" s="628" t="s">
        <v>9325</v>
      </c>
      <c r="B5102" s="629"/>
      <c r="C5102" s="629"/>
      <c r="D5102" s="629"/>
      <c r="E5102" s="629"/>
      <c r="F5102" s="629"/>
      <c r="G5102" s="629"/>
      <c r="H5102" s="629"/>
      <c r="I5102" s="629"/>
      <c r="J5102" s="629"/>
      <c r="K5102" s="629"/>
      <c r="L5102" s="629"/>
      <c r="M5102" s="629"/>
      <c r="N5102" s="629"/>
      <c r="O5102" s="629"/>
      <c r="P5102" s="629"/>
      <c r="Q5102" s="629"/>
      <c r="R5102" s="629"/>
    </row>
    <row r="5103" spans="1:18" ht="24">
      <c r="A5103" s="189">
        <v>64</v>
      </c>
      <c r="B5103" s="186" t="s">
        <v>9326</v>
      </c>
      <c r="C5103" s="190" t="s">
        <v>9327</v>
      </c>
      <c r="D5103" s="191">
        <v>80.56</v>
      </c>
      <c r="E5103" s="191">
        <v>34.44</v>
      </c>
      <c r="F5103" s="191">
        <v>14.13</v>
      </c>
      <c r="G5103" s="191">
        <v>31.99</v>
      </c>
      <c r="H5103" s="192">
        <v>600.07000000000005</v>
      </c>
      <c r="I5103" s="192">
        <v>396.1</v>
      </c>
      <c r="J5103" s="192">
        <v>73.27</v>
      </c>
      <c r="K5103" s="192">
        <v>130.69999999999999</v>
      </c>
      <c r="L5103" s="43">
        <v>7.4487338629592852</v>
      </c>
      <c r="M5103" s="43">
        <v>11.501161440185832</v>
      </c>
      <c r="N5103" s="43">
        <v>5.1854210898796884</v>
      </c>
      <c r="O5103" s="43">
        <v>4.0856517661769303</v>
      </c>
      <c r="P5103" s="193"/>
      <c r="Q5103" s="193"/>
      <c r="R5103" s="193">
        <v>2</v>
      </c>
    </row>
    <row r="5104" spans="1:18" ht="24">
      <c r="A5104" s="189">
        <v>65</v>
      </c>
      <c r="B5104" s="186" t="s">
        <v>9328</v>
      </c>
      <c r="C5104" s="190" t="s">
        <v>9329</v>
      </c>
      <c r="D5104" s="191">
        <v>18.82</v>
      </c>
      <c r="E5104" s="191">
        <v>11.11</v>
      </c>
      <c r="F5104" s="191">
        <v>4.3499999999999996</v>
      </c>
      <c r="G5104" s="191">
        <v>3.36</v>
      </c>
      <c r="H5104" s="192">
        <v>181.51</v>
      </c>
      <c r="I5104" s="192">
        <v>127.74</v>
      </c>
      <c r="J5104" s="192">
        <v>22.54</v>
      </c>
      <c r="K5104" s="192">
        <v>31.23</v>
      </c>
      <c r="L5104" s="43">
        <v>9.6445270988310305</v>
      </c>
      <c r="M5104" s="43">
        <v>11.497749774977498</v>
      </c>
      <c r="N5104" s="43">
        <v>5.1816091954022987</v>
      </c>
      <c r="O5104" s="43">
        <v>9.2946428571428577</v>
      </c>
      <c r="P5104" s="193"/>
      <c r="Q5104" s="193"/>
      <c r="R5104" s="193">
        <v>2</v>
      </c>
    </row>
    <row r="5105" spans="1:18" ht="24">
      <c r="A5105" s="189">
        <v>66</v>
      </c>
      <c r="B5105" s="186" t="s">
        <v>9330</v>
      </c>
      <c r="C5105" s="190" t="s">
        <v>9331</v>
      </c>
      <c r="D5105" s="191">
        <v>20.190000000000001</v>
      </c>
      <c r="E5105" s="191">
        <v>14.47</v>
      </c>
      <c r="F5105" s="191">
        <v>5.43</v>
      </c>
      <c r="G5105" s="191">
        <v>0.28999999999999998</v>
      </c>
      <c r="H5105" s="192">
        <v>197.93</v>
      </c>
      <c r="I5105" s="192">
        <v>166.41</v>
      </c>
      <c r="J5105" s="192">
        <v>28.18</v>
      </c>
      <c r="K5105" s="192">
        <v>3.34</v>
      </c>
      <c r="L5105" s="43">
        <v>9.8033680039623565</v>
      </c>
      <c r="M5105" s="43">
        <v>11.500345542501726</v>
      </c>
      <c r="N5105" s="43">
        <v>5.1896869244935546</v>
      </c>
      <c r="O5105" s="43">
        <v>11.5</v>
      </c>
      <c r="P5105" s="193"/>
      <c r="Q5105" s="193"/>
      <c r="R5105" s="193">
        <v>2</v>
      </c>
    </row>
    <row r="5106" spans="1:18" ht="24">
      <c r="A5106" s="189">
        <v>67</v>
      </c>
      <c r="B5106" s="186" t="s">
        <v>9332</v>
      </c>
      <c r="C5106" s="190" t="s">
        <v>9333</v>
      </c>
      <c r="D5106" s="191">
        <v>15.68</v>
      </c>
      <c r="E5106" s="191">
        <v>11.11</v>
      </c>
      <c r="F5106" s="191">
        <v>4.3499999999999996</v>
      </c>
      <c r="G5106" s="191">
        <v>0.22</v>
      </c>
      <c r="H5106" s="192">
        <v>152.81</v>
      </c>
      <c r="I5106" s="192">
        <v>127.74</v>
      </c>
      <c r="J5106" s="192">
        <v>22.54</v>
      </c>
      <c r="K5106" s="192">
        <v>2.5299999999999998</v>
      </c>
      <c r="L5106" s="43">
        <v>9.7455357142857153</v>
      </c>
      <c r="M5106" s="43">
        <v>11.497749774977498</v>
      </c>
      <c r="N5106" s="43">
        <v>5.1816091954022987</v>
      </c>
      <c r="O5106" s="43">
        <v>11.499999999999998</v>
      </c>
      <c r="P5106" s="193"/>
      <c r="Q5106" s="193"/>
      <c r="R5106" s="193">
        <v>2</v>
      </c>
    </row>
    <row r="5107" spans="1:18" ht="24">
      <c r="A5107" s="189">
        <v>68</v>
      </c>
      <c r="B5107" s="186" t="s">
        <v>9334</v>
      </c>
      <c r="C5107" s="190" t="s">
        <v>9335</v>
      </c>
      <c r="D5107" s="191">
        <v>4.68</v>
      </c>
      <c r="E5107" s="191">
        <v>3.56</v>
      </c>
      <c r="F5107" s="191"/>
      <c r="G5107" s="191">
        <v>1.1200000000000001</v>
      </c>
      <c r="H5107" s="192">
        <v>45.11</v>
      </c>
      <c r="I5107" s="192">
        <v>40.96</v>
      </c>
      <c r="J5107" s="192"/>
      <c r="K5107" s="192">
        <v>4.1500000000000004</v>
      </c>
      <c r="L5107" s="43">
        <v>9.6388888888888893</v>
      </c>
      <c r="M5107" s="43">
        <v>11.5021951219512</v>
      </c>
      <c r="N5107" s="43" t="s">
        <v>1690</v>
      </c>
      <c r="O5107" s="43">
        <v>3.7053571428571428</v>
      </c>
      <c r="P5107" s="193"/>
      <c r="Q5107" s="193"/>
      <c r="R5107" s="193">
        <v>2</v>
      </c>
    </row>
    <row r="5108" spans="1:18" ht="24">
      <c r="A5108" s="189">
        <v>69</v>
      </c>
      <c r="B5108" s="186" t="s">
        <v>9336</v>
      </c>
      <c r="C5108" s="190" t="s">
        <v>9337</v>
      </c>
      <c r="D5108" s="191">
        <v>20.79</v>
      </c>
      <c r="E5108" s="191">
        <v>20.38</v>
      </c>
      <c r="F5108" s="191"/>
      <c r="G5108" s="191">
        <v>0.41</v>
      </c>
      <c r="H5108" s="192">
        <v>239.1</v>
      </c>
      <c r="I5108" s="192">
        <v>234.38</v>
      </c>
      <c r="J5108" s="192"/>
      <c r="K5108" s="192">
        <v>4.72</v>
      </c>
      <c r="L5108" s="43">
        <v>11.5007215007215</v>
      </c>
      <c r="M5108" s="43">
        <v>11.500490677134446</v>
      </c>
      <c r="N5108" s="43" t="s">
        <v>1690</v>
      </c>
      <c r="O5108" s="43">
        <v>11.5</v>
      </c>
      <c r="P5108" s="193"/>
      <c r="Q5108" s="193"/>
      <c r="R5108" s="193">
        <v>2</v>
      </c>
    </row>
    <row r="5109" spans="1:18" ht="12.75" customHeight="1">
      <c r="A5109" s="628" t="s">
        <v>9338</v>
      </c>
      <c r="B5109" s="629"/>
      <c r="C5109" s="629"/>
      <c r="D5109" s="629"/>
      <c r="E5109" s="629"/>
      <c r="F5109" s="629"/>
      <c r="G5109" s="629"/>
      <c r="H5109" s="629"/>
      <c r="I5109" s="629"/>
      <c r="J5109" s="629"/>
      <c r="K5109" s="629"/>
      <c r="L5109" s="629"/>
      <c r="M5109" s="629"/>
      <c r="N5109" s="629"/>
      <c r="O5109" s="629"/>
      <c r="P5109" s="629"/>
      <c r="Q5109" s="629"/>
      <c r="R5109" s="629"/>
    </row>
    <row r="5110" spans="1:18" ht="24">
      <c r="A5110" s="189">
        <v>70</v>
      </c>
      <c r="B5110" s="186" t="s">
        <v>9339</v>
      </c>
      <c r="C5110" s="190" t="s">
        <v>9340</v>
      </c>
      <c r="D5110" s="191">
        <v>3.22</v>
      </c>
      <c r="E5110" s="191">
        <v>3.16</v>
      </c>
      <c r="F5110" s="191"/>
      <c r="G5110" s="191">
        <v>0.06</v>
      </c>
      <c r="H5110" s="192">
        <v>37.020000000000003</v>
      </c>
      <c r="I5110" s="192">
        <v>36.33</v>
      </c>
      <c r="J5110" s="192"/>
      <c r="K5110" s="192">
        <v>0.69</v>
      </c>
      <c r="L5110" s="43">
        <v>11.496894409937889</v>
      </c>
      <c r="M5110" s="43">
        <v>11.496835443037973</v>
      </c>
      <c r="N5110" s="43" t="s">
        <v>1690</v>
      </c>
      <c r="O5110" s="43">
        <v>11.5</v>
      </c>
      <c r="P5110" s="193"/>
      <c r="Q5110" s="193"/>
      <c r="R5110" s="193">
        <v>3</v>
      </c>
    </row>
    <row r="5111" spans="1:18" ht="24">
      <c r="A5111" s="189">
        <v>71</v>
      </c>
      <c r="B5111" s="186" t="s">
        <v>9341</v>
      </c>
      <c r="C5111" s="190" t="s">
        <v>9342</v>
      </c>
      <c r="D5111" s="191">
        <v>3.22</v>
      </c>
      <c r="E5111" s="191">
        <v>3.16</v>
      </c>
      <c r="F5111" s="191"/>
      <c r="G5111" s="191">
        <v>0.06</v>
      </c>
      <c r="H5111" s="192">
        <v>37.020000000000003</v>
      </c>
      <c r="I5111" s="192">
        <v>36.33</v>
      </c>
      <c r="J5111" s="192"/>
      <c r="K5111" s="192">
        <v>0.69</v>
      </c>
      <c r="L5111" s="43">
        <v>11.496894409937889</v>
      </c>
      <c r="M5111" s="43">
        <v>11.496835443037973</v>
      </c>
      <c r="N5111" s="43" t="s">
        <v>1690</v>
      </c>
      <c r="O5111" s="43">
        <v>11.5</v>
      </c>
      <c r="P5111" s="193"/>
      <c r="Q5111" s="193"/>
      <c r="R5111" s="193">
        <v>3</v>
      </c>
    </row>
    <row r="5112" spans="1:18" ht="24">
      <c r="A5112" s="189">
        <v>72</v>
      </c>
      <c r="B5112" s="186" t="s">
        <v>9343</v>
      </c>
      <c r="C5112" s="190" t="s">
        <v>9344</v>
      </c>
      <c r="D5112" s="191">
        <v>2.1800000000000002</v>
      </c>
      <c r="E5112" s="191">
        <v>2.14</v>
      </c>
      <c r="F5112" s="191"/>
      <c r="G5112" s="191">
        <v>0.04</v>
      </c>
      <c r="H5112" s="192">
        <v>25.07</v>
      </c>
      <c r="I5112" s="192">
        <v>24.61</v>
      </c>
      <c r="J5112" s="192"/>
      <c r="K5112" s="192">
        <v>0.46</v>
      </c>
      <c r="L5112" s="43">
        <v>11.5</v>
      </c>
      <c r="M5112" s="43">
        <v>11.499999999999998</v>
      </c>
      <c r="N5112" s="43" t="s">
        <v>1690</v>
      </c>
      <c r="O5112" s="43">
        <v>11.5</v>
      </c>
      <c r="P5112" s="193"/>
      <c r="Q5112" s="193"/>
      <c r="R5112" s="193">
        <v>3</v>
      </c>
    </row>
    <row r="5113" spans="1:18" ht="24">
      <c r="A5113" s="189">
        <v>73</v>
      </c>
      <c r="B5113" s="186" t="s">
        <v>9345</v>
      </c>
      <c r="C5113" s="190" t="s">
        <v>9346</v>
      </c>
      <c r="D5113" s="191">
        <v>3.63</v>
      </c>
      <c r="E5113" s="191">
        <v>3.56</v>
      </c>
      <c r="F5113" s="191"/>
      <c r="G5113" s="191">
        <v>7.0000000000000007E-2</v>
      </c>
      <c r="H5113" s="192">
        <v>41.77</v>
      </c>
      <c r="I5113" s="192">
        <v>40.96</v>
      </c>
      <c r="J5113" s="192"/>
      <c r="K5113" s="192">
        <v>0.81</v>
      </c>
      <c r="L5113" s="43">
        <v>11.5</v>
      </c>
      <c r="M5113" s="43">
        <v>11.5021951219512</v>
      </c>
      <c r="N5113" s="43" t="s">
        <v>1690</v>
      </c>
      <c r="O5113" s="43">
        <v>11.5</v>
      </c>
      <c r="P5113" s="193"/>
      <c r="Q5113" s="193"/>
      <c r="R5113" s="193">
        <v>3</v>
      </c>
    </row>
    <row r="5114" spans="1:18" ht="12.75" customHeight="1">
      <c r="A5114" s="628" t="s">
        <v>9347</v>
      </c>
      <c r="B5114" s="629"/>
      <c r="C5114" s="629"/>
      <c r="D5114" s="629"/>
      <c r="E5114" s="629"/>
      <c r="F5114" s="629"/>
      <c r="G5114" s="629"/>
      <c r="H5114" s="629"/>
      <c r="I5114" s="629"/>
      <c r="J5114" s="629"/>
      <c r="K5114" s="629"/>
      <c r="L5114" s="629"/>
      <c r="M5114" s="629"/>
      <c r="N5114" s="629"/>
      <c r="O5114" s="629"/>
      <c r="P5114" s="629"/>
      <c r="Q5114" s="629"/>
      <c r="R5114" s="629"/>
    </row>
    <row r="5115" spans="1:18" ht="12.75" customHeight="1">
      <c r="A5115" s="628" t="s">
        <v>9348</v>
      </c>
      <c r="B5115" s="629"/>
      <c r="C5115" s="629"/>
      <c r="D5115" s="629"/>
      <c r="E5115" s="629"/>
      <c r="F5115" s="629"/>
      <c r="G5115" s="629"/>
      <c r="H5115" s="629"/>
      <c r="I5115" s="629"/>
      <c r="J5115" s="629"/>
      <c r="K5115" s="629"/>
      <c r="L5115" s="629"/>
      <c r="M5115" s="629"/>
      <c r="N5115" s="629"/>
      <c r="O5115" s="629"/>
      <c r="P5115" s="629"/>
      <c r="Q5115" s="629"/>
      <c r="R5115" s="629"/>
    </row>
    <row r="5116" spans="1:18" ht="24">
      <c r="A5116" s="189">
        <v>74</v>
      </c>
      <c r="B5116" s="186" t="s">
        <v>9349</v>
      </c>
      <c r="C5116" s="190" t="s">
        <v>9350</v>
      </c>
      <c r="D5116" s="191">
        <v>307.24</v>
      </c>
      <c r="E5116" s="191">
        <v>287.25</v>
      </c>
      <c r="F5116" s="191"/>
      <c r="G5116" s="191">
        <v>19.989999999999998</v>
      </c>
      <c r="H5116" s="192">
        <v>3432.91</v>
      </c>
      <c r="I5116" s="192">
        <v>3303.5</v>
      </c>
      <c r="J5116" s="192"/>
      <c r="K5116" s="192">
        <v>129.41</v>
      </c>
      <c r="L5116" s="43">
        <v>11.173382372086968</v>
      </c>
      <c r="M5116" s="43">
        <v>11.500435161009573</v>
      </c>
      <c r="N5116" s="43" t="s">
        <v>1690</v>
      </c>
      <c r="O5116" s="43">
        <v>6.4737368684342176</v>
      </c>
      <c r="P5116" s="193"/>
      <c r="Q5116" s="193"/>
      <c r="R5116" s="193">
        <v>1</v>
      </c>
    </row>
    <row r="5117" spans="1:18" ht="24">
      <c r="A5117" s="189">
        <v>75</v>
      </c>
      <c r="B5117" s="186" t="s">
        <v>9351</v>
      </c>
      <c r="C5117" s="190" t="s">
        <v>9352</v>
      </c>
      <c r="D5117" s="191">
        <v>248.64</v>
      </c>
      <c r="E5117" s="191">
        <v>229.8</v>
      </c>
      <c r="F5117" s="191"/>
      <c r="G5117" s="191">
        <v>18.84</v>
      </c>
      <c r="H5117" s="192">
        <v>2758.98</v>
      </c>
      <c r="I5117" s="192">
        <v>2642.8</v>
      </c>
      <c r="J5117" s="192"/>
      <c r="K5117" s="192">
        <v>116.18</v>
      </c>
      <c r="L5117" s="43">
        <v>11.096283783783784</v>
      </c>
      <c r="M5117" s="43">
        <v>11.500435161009573</v>
      </c>
      <c r="N5117" s="43" t="s">
        <v>1690</v>
      </c>
      <c r="O5117" s="43">
        <v>6.166666666666667</v>
      </c>
      <c r="P5117" s="193"/>
      <c r="Q5117" s="193"/>
      <c r="R5117" s="193">
        <v>1</v>
      </c>
    </row>
    <row r="5118" spans="1:18" ht="24">
      <c r="A5118" s="189">
        <v>76</v>
      </c>
      <c r="B5118" s="186" t="s">
        <v>9353</v>
      </c>
      <c r="C5118" s="190" t="s">
        <v>9354</v>
      </c>
      <c r="D5118" s="191">
        <v>283.8</v>
      </c>
      <c r="E5118" s="191">
        <v>264.27</v>
      </c>
      <c r="F5118" s="191"/>
      <c r="G5118" s="191">
        <v>19.53</v>
      </c>
      <c r="H5118" s="192">
        <v>3163.34</v>
      </c>
      <c r="I5118" s="192">
        <v>3039.22</v>
      </c>
      <c r="J5118" s="192"/>
      <c r="K5118" s="192">
        <v>124.12</v>
      </c>
      <c r="L5118" s="43">
        <v>11.146370683579987</v>
      </c>
      <c r="M5118" s="43">
        <v>11.500435161009573</v>
      </c>
      <c r="N5118" s="43" t="s">
        <v>1690</v>
      </c>
      <c r="O5118" s="43">
        <v>6.3553507424475164</v>
      </c>
      <c r="P5118" s="193"/>
      <c r="Q5118" s="193"/>
      <c r="R5118" s="193">
        <v>1</v>
      </c>
    </row>
    <row r="5119" spans="1:18" ht="24">
      <c r="A5119" s="189">
        <v>77</v>
      </c>
      <c r="B5119" s="186" t="s">
        <v>9355</v>
      </c>
      <c r="C5119" s="190" t="s">
        <v>9356</v>
      </c>
      <c r="D5119" s="191">
        <v>225.2</v>
      </c>
      <c r="E5119" s="191">
        <v>206.82</v>
      </c>
      <c r="F5119" s="191"/>
      <c r="G5119" s="191">
        <v>18.38</v>
      </c>
      <c r="H5119" s="192">
        <v>2489.41</v>
      </c>
      <c r="I5119" s="192">
        <v>2378.52</v>
      </c>
      <c r="J5119" s="192"/>
      <c r="K5119" s="192">
        <v>110.89</v>
      </c>
      <c r="L5119" s="43">
        <v>11.054218472468916</v>
      </c>
      <c r="M5119" s="43">
        <v>11.500435161009573</v>
      </c>
      <c r="N5119" s="43" t="s">
        <v>1690</v>
      </c>
      <c r="O5119" s="43">
        <v>6.0331882480957564</v>
      </c>
      <c r="P5119" s="193"/>
      <c r="Q5119" s="193"/>
      <c r="R5119" s="193">
        <v>1</v>
      </c>
    </row>
    <row r="5120" spans="1:18" ht="24">
      <c r="A5120" s="189">
        <v>78</v>
      </c>
      <c r="B5120" s="186" t="s">
        <v>9357</v>
      </c>
      <c r="C5120" s="190" t="s">
        <v>9358</v>
      </c>
      <c r="D5120" s="191">
        <v>180.37</v>
      </c>
      <c r="E5120" s="191">
        <v>165.46</v>
      </c>
      <c r="F5120" s="191"/>
      <c r="G5120" s="191">
        <v>14.91</v>
      </c>
      <c r="H5120" s="192">
        <v>1991.1</v>
      </c>
      <c r="I5120" s="192">
        <v>1902.82</v>
      </c>
      <c r="J5120" s="192"/>
      <c r="K5120" s="192">
        <v>88.28</v>
      </c>
      <c r="L5120" s="43">
        <v>11.038975439374617</v>
      </c>
      <c r="M5120" s="43">
        <v>11.500181312703976</v>
      </c>
      <c r="N5120" s="43" t="s">
        <v>1690</v>
      </c>
      <c r="O5120" s="43">
        <v>5.9208584842387664</v>
      </c>
      <c r="P5120" s="193"/>
      <c r="Q5120" s="193"/>
      <c r="R5120" s="193">
        <v>1</v>
      </c>
    </row>
    <row r="5121" spans="1:18" ht="24">
      <c r="A5121" s="189">
        <v>79</v>
      </c>
      <c r="B5121" s="186" t="s">
        <v>9359</v>
      </c>
      <c r="C5121" s="190" t="s">
        <v>9360</v>
      </c>
      <c r="D5121" s="191">
        <v>140.74</v>
      </c>
      <c r="E5121" s="191">
        <v>129.84</v>
      </c>
      <c r="F5121" s="191"/>
      <c r="G5121" s="191">
        <v>10.9</v>
      </c>
      <c r="H5121" s="192">
        <v>1558.18</v>
      </c>
      <c r="I5121" s="192">
        <v>1493.18</v>
      </c>
      <c r="J5121" s="192"/>
      <c r="K5121" s="192">
        <v>65</v>
      </c>
      <c r="L5121" s="43">
        <v>11.071337217564302</v>
      </c>
      <c r="M5121" s="43">
        <v>11.500154035736291</v>
      </c>
      <c r="N5121" s="43" t="s">
        <v>1690</v>
      </c>
      <c r="O5121" s="43">
        <v>5.9633027522935782</v>
      </c>
      <c r="P5121" s="193"/>
      <c r="Q5121" s="193"/>
      <c r="R5121" s="193">
        <v>1</v>
      </c>
    </row>
    <row r="5122" spans="1:18" ht="24">
      <c r="A5122" s="189">
        <v>80</v>
      </c>
      <c r="B5122" s="186" t="s">
        <v>9361</v>
      </c>
      <c r="C5122" s="190" t="s">
        <v>9362</v>
      </c>
      <c r="D5122" s="191">
        <v>116.93</v>
      </c>
      <c r="E5122" s="191">
        <v>106.86</v>
      </c>
      <c r="F5122" s="191"/>
      <c r="G5122" s="191">
        <v>10.07</v>
      </c>
      <c r="H5122" s="192">
        <v>1286.2</v>
      </c>
      <c r="I5122" s="192">
        <v>1228.9000000000001</v>
      </c>
      <c r="J5122" s="192"/>
      <c r="K5122" s="192">
        <v>57.3</v>
      </c>
      <c r="L5122" s="43">
        <v>10.999743436243905</v>
      </c>
      <c r="M5122" s="43">
        <v>11.500093580385553</v>
      </c>
      <c r="N5122" s="43" t="s">
        <v>1690</v>
      </c>
      <c r="O5122" s="43">
        <v>5.6901688182720953</v>
      </c>
      <c r="P5122" s="193"/>
      <c r="Q5122" s="193"/>
      <c r="R5122" s="193">
        <v>1</v>
      </c>
    </row>
    <row r="5123" spans="1:18" ht="24">
      <c r="A5123" s="189">
        <v>81</v>
      </c>
      <c r="B5123" s="186" t="s">
        <v>9363</v>
      </c>
      <c r="C5123" s="190" t="s">
        <v>9364</v>
      </c>
      <c r="D5123" s="191">
        <v>90.77</v>
      </c>
      <c r="E5123" s="191">
        <v>82.73</v>
      </c>
      <c r="F5123" s="191"/>
      <c r="G5123" s="191">
        <v>8.0399999999999991</v>
      </c>
      <c r="H5123" s="192">
        <v>997.22</v>
      </c>
      <c r="I5123" s="192">
        <v>951.41</v>
      </c>
      <c r="J5123" s="192"/>
      <c r="K5123" s="192">
        <v>45.81</v>
      </c>
      <c r="L5123" s="43">
        <v>10.986228930263303</v>
      </c>
      <c r="M5123" s="43">
        <v>11.500181312703976</v>
      </c>
      <c r="N5123" s="43" t="s">
        <v>1690</v>
      </c>
      <c r="O5123" s="43">
        <v>5.6977611940298516</v>
      </c>
      <c r="P5123" s="193"/>
      <c r="Q5123" s="193"/>
      <c r="R5123" s="193">
        <v>1</v>
      </c>
    </row>
    <row r="5124" spans="1:18" ht="24">
      <c r="A5124" s="189">
        <v>82</v>
      </c>
      <c r="B5124" s="186" t="s">
        <v>9365</v>
      </c>
      <c r="C5124" s="190" t="s">
        <v>9366</v>
      </c>
      <c r="D5124" s="191">
        <v>79.05</v>
      </c>
      <c r="E5124" s="191">
        <v>71.239999999999995</v>
      </c>
      <c r="F5124" s="191"/>
      <c r="G5124" s="191">
        <v>7.81</v>
      </c>
      <c r="H5124" s="192">
        <v>862.43</v>
      </c>
      <c r="I5124" s="192">
        <v>819.27</v>
      </c>
      <c r="J5124" s="192"/>
      <c r="K5124" s="192">
        <v>43.16</v>
      </c>
      <c r="L5124" s="43">
        <v>10.909930423782416</v>
      </c>
      <c r="M5124" s="43">
        <v>11.500140370578327</v>
      </c>
      <c r="N5124" s="43" t="s">
        <v>1690</v>
      </c>
      <c r="O5124" s="43">
        <v>5.5262483994878355</v>
      </c>
      <c r="P5124" s="193"/>
      <c r="Q5124" s="193"/>
      <c r="R5124" s="193">
        <v>1</v>
      </c>
    </row>
    <row r="5125" spans="1:18" ht="24">
      <c r="A5125" s="189">
        <v>83</v>
      </c>
      <c r="B5125" s="186" t="s">
        <v>9367</v>
      </c>
      <c r="C5125" s="190" t="s">
        <v>9368</v>
      </c>
      <c r="D5125" s="191">
        <v>131.30000000000001</v>
      </c>
      <c r="E5125" s="191">
        <v>118.35</v>
      </c>
      <c r="F5125" s="191"/>
      <c r="G5125" s="191">
        <v>12.95</v>
      </c>
      <c r="H5125" s="192">
        <v>1427.51</v>
      </c>
      <c r="I5125" s="192">
        <v>1361.04</v>
      </c>
      <c r="J5125" s="192"/>
      <c r="K5125" s="192">
        <v>66.47</v>
      </c>
      <c r="L5125" s="43">
        <v>10.872124904798172</v>
      </c>
      <c r="M5125" s="43">
        <v>11.500126742712295</v>
      </c>
      <c r="N5125" s="43" t="s">
        <v>1690</v>
      </c>
      <c r="O5125" s="43">
        <v>5.1328185328185327</v>
      </c>
      <c r="P5125" s="193"/>
      <c r="Q5125" s="193"/>
      <c r="R5125" s="193">
        <v>1</v>
      </c>
    </row>
    <row r="5126" spans="1:18" ht="24">
      <c r="A5126" s="189">
        <v>84</v>
      </c>
      <c r="B5126" s="186" t="s">
        <v>9369</v>
      </c>
      <c r="C5126" s="190" t="s">
        <v>9370</v>
      </c>
      <c r="D5126" s="191">
        <v>118.4</v>
      </c>
      <c r="E5126" s="191">
        <v>106.86</v>
      </c>
      <c r="F5126" s="191"/>
      <c r="G5126" s="191">
        <v>11.54</v>
      </c>
      <c r="H5126" s="192">
        <v>1289.28</v>
      </c>
      <c r="I5126" s="192">
        <v>1228.9000000000001</v>
      </c>
      <c r="J5126" s="192"/>
      <c r="K5126" s="192">
        <v>60.38</v>
      </c>
      <c r="L5126" s="43">
        <v>10.889189189189189</v>
      </c>
      <c r="M5126" s="43">
        <v>11.500093580385553</v>
      </c>
      <c r="N5126" s="43" t="s">
        <v>1690</v>
      </c>
      <c r="O5126" s="43">
        <v>5.2322357019064132</v>
      </c>
      <c r="P5126" s="193"/>
      <c r="Q5126" s="193"/>
      <c r="R5126" s="193">
        <v>1</v>
      </c>
    </row>
    <row r="5127" spans="1:18" ht="24">
      <c r="A5127" s="189">
        <v>85</v>
      </c>
      <c r="B5127" s="186" t="s">
        <v>9371</v>
      </c>
      <c r="C5127" s="190" t="s">
        <v>9372</v>
      </c>
      <c r="D5127" s="191">
        <v>92.6</v>
      </c>
      <c r="E5127" s="191">
        <v>82.73</v>
      </c>
      <c r="F5127" s="191"/>
      <c r="G5127" s="191">
        <v>9.8699999999999992</v>
      </c>
      <c r="H5127" s="192">
        <v>1002.71</v>
      </c>
      <c r="I5127" s="192">
        <v>951.41</v>
      </c>
      <c r="J5127" s="192"/>
      <c r="K5127" s="192">
        <v>51.3</v>
      </c>
      <c r="L5127" s="43">
        <v>10.828401727861772</v>
      </c>
      <c r="M5127" s="43">
        <v>11.500181312703976</v>
      </c>
      <c r="N5127" s="43" t="s">
        <v>1690</v>
      </c>
      <c r="O5127" s="43">
        <v>5.1975683890577509</v>
      </c>
      <c r="P5127" s="193"/>
      <c r="Q5127" s="193"/>
      <c r="R5127" s="193">
        <v>1</v>
      </c>
    </row>
    <row r="5128" spans="1:18" ht="24">
      <c r="A5128" s="189">
        <v>86</v>
      </c>
      <c r="B5128" s="186" t="s">
        <v>9373</v>
      </c>
      <c r="C5128" s="190" t="s">
        <v>9374</v>
      </c>
      <c r="D5128" s="191">
        <v>80.3</v>
      </c>
      <c r="E5128" s="191">
        <v>71.239999999999995</v>
      </c>
      <c r="F5128" s="191"/>
      <c r="G5128" s="191">
        <v>9.06</v>
      </c>
      <c r="H5128" s="192">
        <v>862.11</v>
      </c>
      <c r="I5128" s="192">
        <v>819.27</v>
      </c>
      <c r="J5128" s="192"/>
      <c r="K5128" s="192">
        <v>42.84</v>
      </c>
      <c r="L5128" s="43">
        <v>10.736114570361146</v>
      </c>
      <c r="M5128" s="43">
        <v>11.500140370578327</v>
      </c>
      <c r="N5128" s="43" t="s">
        <v>1690</v>
      </c>
      <c r="O5128" s="43">
        <v>4.7284768211920527</v>
      </c>
      <c r="P5128" s="193"/>
      <c r="Q5128" s="193"/>
      <c r="R5128" s="193">
        <v>1</v>
      </c>
    </row>
    <row r="5129" spans="1:18" ht="24">
      <c r="A5129" s="189">
        <v>87</v>
      </c>
      <c r="B5129" s="186" t="s">
        <v>9375</v>
      </c>
      <c r="C5129" s="190" t="s">
        <v>9376</v>
      </c>
      <c r="D5129" s="191">
        <v>65.06</v>
      </c>
      <c r="E5129" s="191">
        <v>58.6</v>
      </c>
      <c r="F5129" s="191"/>
      <c r="G5129" s="191">
        <v>6.46</v>
      </c>
      <c r="H5129" s="192">
        <v>706.98</v>
      </c>
      <c r="I5129" s="192">
        <v>673.91</v>
      </c>
      <c r="J5129" s="192"/>
      <c r="K5129" s="192">
        <v>33.07</v>
      </c>
      <c r="L5129" s="43">
        <v>10.866584691054411</v>
      </c>
      <c r="M5129" s="43">
        <v>11.500170648464163</v>
      </c>
      <c r="N5129" s="43" t="s">
        <v>1690</v>
      </c>
      <c r="O5129" s="43">
        <v>5.1191950464396285</v>
      </c>
      <c r="P5129" s="193"/>
      <c r="Q5129" s="193"/>
      <c r="R5129" s="193">
        <v>1</v>
      </c>
    </row>
    <row r="5130" spans="1:18" ht="24">
      <c r="A5130" s="189">
        <v>88</v>
      </c>
      <c r="B5130" s="186" t="s">
        <v>9377</v>
      </c>
      <c r="C5130" s="190" t="s">
        <v>9378</v>
      </c>
      <c r="D5130" s="191">
        <v>65.06</v>
      </c>
      <c r="E5130" s="191">
        <v>58.6</v>
      </c>
      <c r="F5130" s="191"/>
      <c r="G5130" s="191">
        <v>6.46</v>
      </c>
      <c r="H5130" s="192">
        <v>706.98</v>
      </c>
      <c r="I5130" s="192">
        <v>673.91</v>
      </c>
      <c r="J5130" s="192"/>
      <c r="K5130" s="192">
        <v>33.07</v>
      </c>
      <c r="L5130" s="43">
        <v>10.866584691054411</v>
      </c>
      <c r="M5130" s="43">
        <v>11.500170648464163</v>
      </c>
      <c r="N5130" s="43" t="s">
        <v>1690</v>
      </c>
      <c r="O5130" s="43">
        <v>5.1191950464396285</v>
      </c>
      <c r="P5130" s="193"/>
      <c r="Q5130" s="193"/>
      <c r="R5130" s="193">
        <v>1</v>
      </c>
    </row>
    <row r="5131" spans="1:18" ht="24">
      <c r="A5131" s="189">
        <v>89</v>
      </c>
      <c r="B5131" s="186" t="s">
        <v>9379</v>
      </c>
      <c r="C5131" s="190" t="s">
        <v>9380</v>
      </c>
      <c r="D5131" s="191">
        <v>133.27000000000001</v>
      </c>
      <c r="E5131" s="191">
        <v>114.9</v>
      </c>
      <c r="F5131" s="191"/>
      <c r="G5131" s="191">
        <v>18.37</v>
      </c>
      <c r="H5131" s="192">
        <v>1425.44</v>
      </c>
      <c r="I5131" s="192">
        <v>1321.4</v>
      </c>
      <c r="J5131" s="192"/>
      <c r="K5131" s="192">
        <v>104.04</v>
      </c>
      <c r="L5131" s="43">
        <v>10.695880543258047</v>
      </c>
      <c r="M5131" s="43">
        <v>11.500435161009573</v>
      </c>
      <c r="N5131" s="43" t="s">
        <v>1690</v>
      </c>
      <c r="O5131" s="43">
        <v>5.663581927054981</v>
      </c>
      <c r="P5131" s="193"/>
      <c r="Q5131" s="193"/>
      <c r="R5131" s="193">
        <v>1</v>
      </c>
    </row>
    <row r="5132" spans="1:18" ht="24">
      <c r="A5132" s="189">
        <v>90</v>
      </c>
      <c r="B5132" s="186" t="s">
        <v>9381</v>
      </c>
      <c r="C5132" s="190" t="s">
        <v>9382</v>
      </c>
      <c r="D5132" s="191">
        <v>90.27</v>
      </c>
      <c r="E5132" s="191">
        <v>82.73</v>
      </c>
      <c r="F5132" s="191"/>
      <c r="G5132" s="191">
        <v>7.54</v>
      </c>
      <c r="H5132" s="192">
        <v>987.63</v>
      </c>
      <c r="I5132" s="192">
        <v>951.41</v>
      </c>
      <c r="J5132" s="192"/>
      <c r="K5132" s="192">
        <v>36.22</v>
      </c>
      <c r="L5132" s="43">
        <v>10.940844134263875</v>
      </c>
      <c r="M5132" s="43">
        <v>11.500181312703976</v>
      </c>
      <c r="N5132" s="43" t="s">
        <v>1690</v>
      </c>
      <c r="O5132" s="43">
        <v>4.8037135278514587</v>
      </c>
      <c r="P5132" s="193"/>
      <c r="Q5132" s="193"/>
      <c r="R5132" s="193">
        <v>1</v>
      </c>
    </row>
    <row r="5133" spans="1:18" ht="24">
      <c r="A5133" s="189">
        <v>91</v>
      </c>
      <c r="B5133" s="186" t="s">
        <v>9383</v>
      </c>
      <c r="C5133" s="190" t="s">
        <v>9384</v>
      </c>
      <c r="D5133" s="191">
        <v>121.55</v>
      </c>
      <c r="E5133" s="191">
        <v>103.41</v>
      </c>
      <c r="F5133" s="191"/>
      <c r="G5133" s="191">
        <v>18.14</v>
      </c>
      <c r="H5133" s="192">
        <v>1290.6600000000001</v>
      </c>
      <c r="I5133" s="192">
        <v>1189.26</v>
      </c>
      <c r="J5133" s="192"/>
      <c r="K5133" s="192">
        <v>101.4</v>
      </c>
      <c r="L5133" s="43">
        <v>10.618346359522832</v>
      </c>
      <c r="M5133" s="43">
        <v>11.500435161009573</v>
      </c>
      <c r="N5133" s="43" t="s">
        <v>1690</v>
      </c>
      <c r="O5133" s="43">
        <v>5.5898566703417867</v>
      </c>
      <c r="P5133" s="193"/>
      <c r="Q5133" s="193"/>
      <c r="R5133" s="193">
        <v>1</v>
      </c>
    </row>
    <row r="5134" spans="1:18" ht="24">
      <c r="A5134" s="189">
        <v>92</v>
      </c>
      <c r="B5134" s="186" t="s">
        <v>9385</v>
      </c>
      <c r="C5134" s="190" t="s">
        <v>9386</v>
      </c>
      <c r="D5134" s="191">
        <v>109.83</v>
      </c>
      <c r="E5134" s="191">
        <v>91.92</v>
      </c>
      <c r="F5134" s="191"/>
      <c r="G5134" s="191">
        <v>17.91</v>
      </c>
      <c r="H5134" s="192">
        <v>1155.8699999999999</v>
      </c>
      <c r="I5134" s="192">
        <v>1057.1199999999999</v>
      </c>
      <c r="J5134" s="192"/>
      <c r="K5134" s="192">
        <v>98.75</v>
      </c>
      <c r="L5134" s="43">
        <v>10.524173723026495</v>
      </c>
      <c r="M5134" s="43">
        <v>11.500435161009571</v>
      </c>
      <c r="N5134" s="43" t="s">
        <v>1690</v>
      </c>
      <c r="O5134" s="43">
        <v>5.5136795086543833</v>
      </c>
      <c r="P5134" s="193"/>
      <c r="Q5134" s="193"/>
      <c r="R5134" s="193">
        <v>1</v>
      </c>
    </row>
    <row r="5135" spans="1:18" ht="24">
      <c r="A5135" s="189">
        <v>93</v>
      </c>
      <c r="B5135" s="186" t="s">
        <v>9387</v>
      </c>
      <c r="C5135" s="190" t="s">
        <v>9388</v>
      </c>
      <c r="D5135" s="191">
        <v>81.73</v>
      </c>
      <c r="E5135" s="191">
        <v>71.239999999999995</v>
      </c>
      <c r="F5135" s="191"/>
      <c r="G5135" s="191">
        <v>10.49</v>
      </c>
      <c r="H5135" s="192">
        <v>871.7</v>
      </c>
      <c r="I5135" s="192">
        <v>819.27</v>
      </c>
      <c r="J5135" s="192"/>
      <c r="K5135" s="192">
        <v>52.43</v>
      </c>
      <c r="L5135" s="43">
        <v>10.665606264529549</v>
      </c>
      <c r="M5135" s="43">
        <v>11.500140370578327</v>
      </c>
      <c r="N5135" s="43" t="s">
        <v>1690</v>
      </c>
      <c r="O5135" s="43">
        <v>4.9980934223069591</v>
      </c>
      <c r="P5135" s="193"/>
      <c r="Q5135" s="193"/>
      <c r="R5135" s="193">
        <v>1</v>
      </c>
    </row>
    <row r="5136" spans="1:18" ht="24">
      <c r="A5136" s="189">
        <v>94</v>
      </c>
      <c r="B5136" s="186" t="s">
        <v>9389</v>
      </c>
      <c r="C5136" s="190" t="s">
        <v>9390</v>
      </c>
      <c r="D5136" s="191">
        <v>100.45</v>
      </c>
      <c r="E5136" s="191">
        <v>82.73</v>
      </c>
      <c r="F5136" s="191"/>
      <c r="G5136" s="191">
        <v>17.72</v>
      </c>
      <c r="H5136" s="192">
        <v>1047.98</v>
      </c>
      <c r="I5136" s="192">
        <v>951.41</v>
      </c>
      <c r="J5136" s="192"/>
      <c r="K5136" s="192">
        <v>96.57</v>
      </c>
      <c r="L5136" s="43">
        <v>10.432852165256346</v>
      </c>
      <c r="M5136" s="43">
        <v>11.500181312703976</v>
      </c>
      <c r="N5136" s="43" t="s">
        <v>1690</v>
      </c>
      <c r="O5136" s="43">
        <v>5.4497742663656883</v>
      </c>
      <c r="P5136" s="193"/>
      <c r="Q5136" s="193"/>
      <c r="R5136" s="193">
        <v>1</v>
      </c>
    </row>
    <row r="5137" spans="1:18" ht="24">
      <c r="A5137" s="189">
        <v>95</v>
      </c>
      <c r="B5137" s="186" t="s">
        <v>9391</v>
      </c>
      <c r="C5137" s="190" t="s">
        <v>9392</v>
      </c>
      <c r="D5137" s="191">
        <v>81.73</v>
      </c>
      <c r="E5137" s="191">
        <v>71.239999999999995</v>
      </c>
      <c r="F5137" s="191"/>
      <c r="G5137" s="191">
        <v>10.49</v>
      </c>
      <c r="H5137" s="192">
        <v>871.7</v>
      </c>
      <c r="I5137" s="192">
        <v>819.27</v>
      </c>
      <c r="J5137" s="192"/>
      <c r="K5137" s="192">
        <v>52.43</v>
      </c>
      <c r="L5137" s="43">
        <v>10.665606264529549</v>
      </c>
      <c r="M5137" s="43">
        <v>11.500140370578327</v>
      </c>
      <c r="N5137" s="43" t="s">
        <v>1690</v>
      </c>
      <c r="O5137" s="43">
        <v>4.9980934223069591</v>
      </c>
      <c r="P5137" s="193"/>
      <c r="Q5137" s="193"/>
      <c r="R5137" s="193">
        <v>1</v>
      </c>
    </row>
    <row r="5138" spans="1:18" ht="24">
      <c r="A5138" s="189">
        <v>96</v>
      </c>
      <c r="B5138" s="186" t="s">
        <v>9393</v>
      </c>
      <c r="C5138" s="190" t="s">
        <v>9394</v>
      </c>
      <c r="D5138" s="191">
        <v>65.66</v>
      </c>
      <c r="E5138" s="191">
        <v>58.6</v>
      </c>
      <c r="F5138" s="191"/>
      <c r="G5138" s="191">
        <v>7.06</v>
      </c>
      <c r="H5138" s="192">
        <v>704.61</v>
      </c>
      <c r="I5138" s="192">
        <v>673.91</v>
      </c>
      <c r="J5138" s="192"/>
      <c r="K5138" s="192">
        <v>30.7</v>
      </c>
      <c r="L5138" s="43">
        <v>10.73119098385623</v>
      </c>
      <c r="M5138" s="43">
        <v>11.500170648464163</v>
      </c>
      <c r="N5138" s="43" t="s">
        <v>1690</v>
      </c>
      <c r="O5138" s="43">
        <v>4.3484419263456093</v>
      </c>
      <c r="P5138" s="193"/>
      <c r="Q5138" s="193"/>
      <c r="R5138" s="193">
        <v>1</v>
      </c>
    </row>
    <row r="5139" spans="1:18" ht="24">
      <c r="A5139" s="189">
        <v>97</v>
      </c>
      <c r="B5139" s="186" t="s">
        <v>9395</v>
      </c>
      <c r="C5139" s="190" t="s">
        <v>9396</v>
      </c>
      <c r="D5139" s="191">
        <v>81.73</v>
      </c>
      <c r="E5139" s="191">
        <v>71.239999999999995</v>
      </c>
      <c r="F5139" s="191"/>
      <c r="G5139" s="191">
        <v>10.49</v>
      </c>
      <c r="H5139" s="192">
        <v>871.7</v>
      </c>
      <c r="I5139" s="192">
        <v>819.27</v>
      </c>
      <c r="J5139" s="192"/>
      <c r="K5139" s="192">
        <v>52.43</v>
      </c>
      <c r="L5139" s="43">
        <v>10.665606264529549</v>
      </c>
      <c r="M5139" s="43">
        <v>11.500140370578327</v>
      </c>
      <c r="N5139" s="43" t="s">
        <v>1690</v>
      </c>
      <c r="O5139" s="43">
        <v>4.9980934223069591</v>
      </c>
      <c r="P5139" s="193"/>
      <c r="Q5139" s="193"/>
      <c r="R5139" s="193">
        <v>1</v>
      </c>
    </row>
    <row r="5140" spans="1:18" ht="24">
      <c r="A5140" s="189">
        <v>98</v>
      </c>
      <c r="B5140" s="186" t="s">
        <v>9397</v>
      </c>
      <c r="C5140" s="190" t="s">
        <v>9398</v>
      </c>
      <c r="D5140" s="191">
        <v>65.849999999999994</v>
      </c>
      <c r="E5140" s="191">
        <v>58.6</v>
      </c>
      <c r="F5140" s="191"/>
      <c r="G5140" s="191">
        <v>7.25</v>
      </c>
      <c r="H5140" s="192">
        <v>712.8</v>
      </c>
      <c r="I5140" s="192">
        <v>673.91</v>
      </c>
      <c r="J5140" s="192"/>
      <c r="K5140" s="192">
        <v>38.89</v>
      </c>
      <c r="L5140" s="43">
        <v>10.824601366742597</v>
      </c>
      <c r="M5140" s="43">
        <v>11.500170648464163</v>
      </c>
      <c r="N5140" s="43" t="s">
        <v>1690</v>
      </c>
      <c r="O5140" s="43">
        <v>5.3641379310344828</v>
      </c>
      <c r="P5140" s="193"/>
      <c r="Q5140" s="193"/>
      <c r="R5140" s="193">
        <v>1</v>
      </c>
    </row>
    <row r="5141" spans="1:18" ht="24">
      <c r="A5141" s="189">
        <v>99</v>
      </c>
      <c r="B5141" s="186" t="s">
        <v>9399</v>
      </c>
      <c r="C5141" s="190" t="s">
        <v>9400</v>
      </c>
      <c r="D5141" s="191">
        <v>51.58</v>
      </c>
      <c r="E5141" s="191">
        <v>47.11</v>
      </c>
      <c r="F5141" s="191"/>
      <c r="G5141" s="191">
        <v>4.47</v>
      </c>
      <c r="H5141" s="192">
        <v>562.91999999999996</v>
      </c>
      <c r="I5141" s="192">
        <v>541.77</v>
      </c>
      <c r="J5141" s="192"/>
      <c r="K5141" s="192">
        <v>21.15</v>
      </c>
      <c r="L5141" s="43">
        <v>10.913532376890267</v>
      </c>
      <c r="M5141" s="43">
        <v>11.500106134578646</v>
      </c>
      <c r="N5141" s="43" t="s">
        <v>1690</v>
      </c>
      <c r="O5141" s="43">
        <v>4.7315436241610742</v>
      </c>
      <c r="P5141" s="193"/>
      <c r="Q5141" s="193"/>
      <c r="R5141" s="193">
        <v>1</v>
      </c>
    </row>
    <row r="5142" spans="1:18" ht="24">
      <c r="A5142" s="189">
        <v>100</v>
      </c>
      <c r="B5142" s="186" t="s">
        <v>9401</v>
      </c>
      <c r="C5142" s="190" t="s">
        <v>9402</v>
      </c>
      <c r="D5142" s="191">
        <v>54.13</v>
      </c>
      <c r="E5142" s="191">
        <v>47.11</v>
      </c>
      <c r="F5142" s="191"/>
      <c r="G5142" s="191">
        <v>7.02</v>
      </c>
      <c r="H5142" s="192">
        <v>578.01</v>
      </c>
      <c r="I5142" s="192">
        <v>541.77</v>
      </c>
      <c r="J5142" s="192"/>
      <c r="K5142" s="192">
        <v>36.24</v>
      </c>
      <c r="L5142" s="43">
        <v>10.678182154073527</v>
      </c>
      <c r="M5142" s="43">
        <v>11.500106134578646</v>
      </c>
      <c r="N5142" s="43" t="s">
        <v>1690</v>
      </c>
      <c r="O5142" s="43">
        <v>5.1623931623931627</v>
      </c>
      <c r="P5142" s="193"/>
      <c r="Q5142" s="193"/>
      <c r="R5142" s="193">
        <v>1</v>
      </c>
    </row>
    <row r="5143" spans="1:18" ht="24">
      <c r="A5143" s="189">
        <v>101</v>
      </c>
      <c r="B5143" s="186" t="s">
        <v>9403</v>
      </c>
      <c r="C5143" s="190" t="s">
        <v>9404</v>
      </c>
      <c r="D5143" s="191">
        <v>65.209999999999994</v>
      </c>
      <c r="E5143" s="191">
        <v>58.6</v>
      </c>
      <c r="F5143" s="191"/>
      <c r="G5143" s="191">
        <v>6.61</v>
      </c>
      <c r="H5143" s="192">
        <v>709.03</v>
      </c>
      <c r="I5143" s="192">
        <v>673.91</v>
      </c>
      <c r="J5143" s="192"/>
      <c r="K5143" s="192">
        <v>35.119999999999997</v>
      </c>
      <c r="L5143" s="43">
        <v>10.873025609569085</v>
      </c>
      <c r="M5143" s="43">
        <v>11.500170648464163</v>
      </c>
      <c r="N5143" s="43" t="s">
        <v>1690</v>
      </c>
      <c r="O5143" s="43">
        <v>5.3131618759455366</v>
      </c>
      <c r="P5143" s="193"/>
      <c r="Q5143" s="193"/>
      <c r="R5143" s="193">
        <v>1</v>
      </c>
    </row>
    <row r="5144" spans="1:18" ht="24">
      <c r="A5144" s="189">
        <v>102</v>
      </c>
      <c r="B5144" s="186" t="s">
        <v>9405</v>
      </c>
      <c r="C5144" s="190" t="s">
        <v>9406</v>
      </c>
      <c r="D5144" s="191">
        <v>51.58</v>
      </c>
      <c r="E5144" s="191">
        <v>47.11</v>
      </c>
      <c r="F5144" s="191"/>
      <c r="G5144" s="191">
        <v>4.47</v>
      </c>
      <c r="H5144" s="192">
        <v>562.91999999999996</v>
      </c>
      <c r="I5144" s="192">
        <v>541.77</v>
      </c>
      <c r="J5144" s="192"/>
      <c r="K5144" s="192">
        <v>21.15</v>
      </c>
      <c r="L5144" s="43">
        <v>10.913532376890267</v>
      </c>
      <c r="M5144" s="43">
        <v>11.500106134578646</v>
      </c>
      <c r="N5144" s="43" t="s">
        <v>1690</v>
      </c>
      <c r="O5144" s="43">
        <v>4.7315436241610742</v>
      </c>
      <c r="P5144" s="193"/>
      <c r="Q5144" s="193"/>
      <c r="R5144" s="193">
        <v>1</v>
      </c>
    </row>
    <row r="5145" spans="1:18" ht="24">
      <c r="A5145" s="189">
        <v>103</v>
      </c>
      <c r="B5145" s="186" t="s">
        <v>9407</v>
      </c>
      <c r="C5145" s="190" t="s">
        <v>9408</v>
      </c>
      <c r="D5145" s="191">
        <v>53.49</v>
      </c>
      <c r="E5145" s="191">
        <v>47.11</v>
      </c>
      <c r="F5145" s="191"/>
      <c r="G5145" s="191">
        <v>6.38</v>
      </c>
      <c r="H5145" s="192">
        <v>574.24</v>
      </c>
      <c r="I5145" s="192">
        <v>541.77</v>
      </c>
      <c r="J5145" s="192"/>
      <c r="K5145" s="192">
        <v>32.47</v>
      </c>
      <c r="L5145" s="43">
        <v>10.735464572817349</v>
      </c>
      <c r="M5145" s="43">
        <v>11.500106134578646</v>
      </c>
      <c r="N5145" s="43" t="s">
        <v>1690</v>
      </c>
      <c r="O5145" s="43">
        <v>5.0893416927899686</v>
      </c>
      <c r="P5145" s="193"/>
      <c r="Q5145" s="193"/>
      <c r="R5145" s="193">
        <v>1</v>
      </c>
    </row>
    <row r="5146" spans="1:18" ht="36">
      <c r="A5146" s="189">
        <v>104</v>
      </c>
      <c r="B5146" s="186" t="s">
        <v>9409</v>
      </c>
      <c r="C5146" s="190" t="s">
        <v>9410</v>
      </c>
      <c r="D5146" s="191">
        <v>105.58</v>
      </c>
      <c r="E5146" s="191">
        <v>94.22</v>
      </c>
      <c r="F5146" s="191"/>
      <c r="G5146" s="191">
        <v>11.36</v>
      </c>
      <c r="H5146" s="192">
        <v>1148.1400000000001</v>
      </c>
      <c r="I5146" s="192">
        <v>1083.55</v>
      </c>
      <c r="J5146" s="192"/>
      <c r="K5146" s="192">
        <v>64.59</v>
      </c>
      <c r="L5146" s="43">
        <v>10.874597461640464</v>
      </c>
      <c r="M5146" s="43">
        <v>11.500212269157291</v>
      </c>
      <c r="N5146" s="43" t="s">
        <v>1690</v>
      </c>
      <c r="O5146" s="43">
        <v>5.6857394366197189</v>
      </c>
      <c r="P5146" s="193"/>
      <c r="Q5146" s="193"/>
      <c r="R5146" s="193">
        <v>1</v>
      </c>
    </row>
    <row r="5147" spans="1:18" ht="24">
      <c r="A5147" s="189">
        <v>105</v>
      </c>
      <c r="B5147" s="186" t="s">
        <v>9411</v>
      </c>
      <c r="C5147" s="190" t="s">
        <v>9412</v>
      </c>
      <c r="D5147" s="191">
        <v>58.6</v>
      </c>
      <c r="E5147" s="191">
        <v>57.45</v>
      </c>
      <c r="F5147" s="191"/>
      <c r="G5147" s="191">
        <v>1.1499999999999999</v>
      </c>
      <c r="H5147" s="192">
        <v>673.93</v>
      </c>
      <c r="I5147" s="192">
        <v>660.7</v>
      </c>
      <c r="J5147" s="192"/>
      <c r="K5147" s="192">
        <v>13.23</v>
      </c>
      <c r="L5147" s="43">
        <v>11.500511945392491</v>
      </c>
      <c r="M5147" s="43">
        <v>11.500435161009573</v>
      </c>
      <c r="N5147" s="43" t="s">
        <v>1690</v>
      </c>
      <c r="O5147" s="43">
        <v>11.504347826086958</v>
      </c>
      <c r="P5147" s="193"/>
      <c r="Q5147" s="193"/>
      <c r="R5147" s="193">
        <v>1</v>
      </c>
    </row>
    <row r="5148" spans="1:18" ht="36">
      <c r="A5148" s="189">
        <v>106</v>
      </c>
      <c r="B5148" s="186" t="s">
        <v>9413</v>
      </c>
      <c r="C5148" s="190" t="s">
        <v>9414</v>
      </c>
      <c r="D5148" s="191">
        <v>59.77</v>
      </c>
      <c r="E5148" s="191">
        <v>58.6</v>
      </c>
      <c r="F5148" s="191"/>
      <c r="G5148" s="191">
        <v>1.17</v>
      </c>
      <c r="H5148" s="192">
        <v>687.37</v>
      </c>
      <c r="I5148" s="192">
        <v>673.91</v>
      </c>
      <c r="J5148" s="192"/>
      <c r="K5148" s="192">
        <v>13.46</v>
      </c>
      <c r="L5148" s="43">
        <v>11.500250962021081</v>
      </c>
      <c r="M5148" s="43">
        <v>11.500170648464163</v>
      </c>
      <c r="N5148" s="43" t="s">
        <v>1690</v>
      </c>
      <c r="O5148" s="43">
        <v>11.504273504273506</v>
      </c>
      <c r="P5148" s="193"/>
      <c r="Q5148" s="193"/>
      <c r="R5148" s="193">
        <v>1</v>
      </c>
    </row>
    <row r="5149" spans="1:18" ht="24">
      <c r="A5149" s="189">
        <v>107</v>
      </c>
      <c r="B5149" s="186" t="s">
        <v>9415</v>
      </c>
      <c r="C5149" s="190" t="s">
        <v>9416</v>
      </c>
      <c r="D5149" s="191">
        <v>38.880000000000003</v>
      </c>
      <c r="E5149" s="191">
        <v>35.619999999999997</v>
      </c>
      <c r="F5149" s="191"/>
      <c r="G5149" s="191">
        <v>3.26</v>
      </c>
      <c r="H5149" s="192">
        <v>432.89</v>
      </c>
      <c r="I5149" s="192">
        <v>409.63</v>
      </c>
      <c r="J5149" s="192"/>
      <c r="K5149" s="192">
        <v>23.26</v>
      </c>
      <c r="L5149" s="43">
        <v>11.134002057613168</v>
      </c>
      <c r="M5149" s="43">
        <v>11.5</v>
      </c>
      <c r="N5149" s="43" t="s">
        <v>1690</v>
      </c>
      <c r="O5149" s="43">
        <v>7.1349693251533752</v>
      </c>
      <c r="P5149" s="193"/>
      <c r="Q5149" s="193"/>
      <c r="R5149" s="193">
        <v>1</v>
      </c>
    </row>
    <row r="5150" spans="1:18" ht="36">
      <c r="A5150" s="189">
        <v>108</v>
      </c>
      <c r="B5150" s="186" t="s">
        <v>9417</v>
      </c>
      <c r="C5150" s="190" t="s">
        <v>9418</v>
      </c>
      <c r="D5150" s="191">
        <v>3.63</v>
      </c>
      <c r="E5150" s="191">
        <v>3.56</v>
      </c>
      <c r="F5150" s="191"/>
      <c r="G5150" s="191">
        <v>7.0000000000000007E-2</v>
      </c>
      <c r="H5150" s="192">
        <v>41.77</v>
      </c>
      <c r="I5150" s="192">
        <v>40.96</v>
      </c>
      <c r="J5150" s="192"/>
      <c r="K5150" s="192">
        <v>0.81</v>
      </c>
      <c r="L5150" s="43">
        <v>11.5</v>
      </c>
      <c r="M5150" s="43">
        <v>11.5021951219512</v>
      </c>
      <c r="N5150" s="43" t="s">
        <v>1690</v>
      </c>
      <c r="O5150" s="43">
        <v>11.5</v>
      </c>
      <c r="P5150" s="193"/>
      <c r="Q5150" s="193"/>
      <c r="R5150" s="193">
        <v>1</v>
      </c>
    </row>
    <row r="5151" spans="1:18" ht="36">
      <c r="A5151" s="189">
        <v>109</v>
      </c>
      <c r="B5151" s="186" t="s">
        <v>9419</v>
      </c>
      <c r="C5151" s="190" t="s">
        <v>9420</v>
      </c>
      <c r="D5151" s="191">
        <v>2.93</v>
      </c>
      <c r="E5151" s="191">
        <v>2.87</v>
      </c>
      <c r="F5151" s="191"/>
      <c r="G5151" s="191">
        <v>0.06</v>
      </c>
      <c r="H5151" s="192">
        <v>33.729999999999997</v>
      </c>
      <c r="I5151" s="192">
        <v>33.04</v>
      </c>
      <c r="J5151" s="192"/>
      <c r="K5151" s="192">
        <v>0.69</v>
      </c>
      <c r="L5151" s="43">
        <v>11.5021951219512</v>
      </c>
      <c r="M5151" s="43">
        <v>11.5021951219512</v>
      </c>
      <c r="N5151" s="43" t="s">
        <v>1690</v>
      </c>
      <c r="O5151" s="43">
        <v>11.5</v>
      </c>
      <c r="P5151" s="193"/>
      <c r="Q5151" s="193"/>
      <c r="R5151" s="193">
        <v>1</v>
      </c>
    </row>
    <row r="5152" spans="1:18" ht="24">
      <c r="A5152" s="189">
        <v>110</v>
      </c>
      <c r="B5152" s="186" t="s">
        <v>9421</v>
      </c>
      <c r="C5152" s="190" t="s">
        <v>9422</v>
      </c>
      <c r="D5152" s="191">
        <v>2.35</v>
      </c>
      <c r="E5152" s="191">
        <v>2.2999999999999998</v>
      </c>
      <c r="F5152" s="191"/>
      <c r="G5152" s="191">
        <v>0.05</v>
      </c>
      <c r="H5152" s="192">
        <v>27.01</v>
      </c>
      <c r="I5152" s="192">
        <v>26.43</v>
      </c>
      <c r="J5152" s="192"/>
      <c r="K5152" s="192">
        <v>0.57999999999999996</v>
      </c>
      <c r="L5152" s="43">
        <v>11.5</v>
      </c>
      <c r="M5152" s="43">
        <v>11.5</v>
      </c>
      <c r="N5152" s="43" t="s">
        <v>1690</v>
      </c>
      <c r="O5152" s="43">
        <v>11.5</v>
      </c>
      <c r="P5152" s="193"/>
      <c r="Q5152" s="193"/>
      <c r="R5152" s="193">
        <v>1</v>
      </c>
    </row>
    <row r="5153" spans="1:18" ht="12.75" customHeight="1">
      <c r="A5153" s="628" t="s">
        <v>9423</v>
      </c>
      <c r="B5153" s="629"/>
      <c r="C5153" s="629"/>
      <c r="D5153" s="629"/>
      <c r="E5153" s="629"/>
      <c r="F5153" s="629"/>
      <c r="G5153" s="629"/>
      <c r="H5153" s="629"/>
      <c r="I5153" s="629"/>
      <c r="J5153" s="629"/>
      <c r="K5153" s="629"/>
      <c r="L5153" s="629"/>
      <c r="M5153" s="629"/>
      <c r="N5153" s="629"/>
      <c r="O5153" s="629"/>
      <c r="P5153" s="629"/>
      <c r="Q5153" s="629"/>
      <c r="R5153" s="629"/>
    </row>
    <row r="5154" spans="1:18" ht="24">
      <c r="A5154" s="189">
        <v>111</v>
      </c>
      <c r="B5154" s="186" t="s">
        <v>9424</v>
      </c>
      <c r="C5154" s="190" t="s">
        <v>9425</v>
      </c>
      <c r="D5154" s="191">
        <v>12.23</v>
      </c>
      <c r="E5154" s="191">
        <v>11.49</v>
      </c>
      <c r="F5154" s="191"/>
      <c r="G5154" s="191">
        <v>0.74</v>
      </c>
      <c r="H5154" s="192">
        <v>137.81</v>
      </c>
      <c r="I5154" s="192">
        <v>132.13999999999999</v>
      </c>
      <c r="J5154" s="192"/>
      <c r="K5154" s="192">
        <v>5.67</v>
      </c>
      <c r="L5154" s="43">
        <v>11.268192968111201</v>
      </c>
      <c r="M5154" s="43">
        <v>11.500435161009571</v>
      </c>
      <c r="N5154" s="43" t="s">
        <v>1690</v>
      </c>
      <c r="O5154" s="43">
        <v>7.6621621621621623</v>
      </c>
      <c r="P5154" s="193"/>
      <c r="Q5154" s="193"/>
      <c r="R5154" s="193">
        <v>2</v>
      </c>
    </row>
    <row r="5155" spans="1:18" ht="24">
      <c r="A5155" s="189">
        <v>112</v>
      </c>
      <c r="B5155" s="186" t="s">
        <v>9426</v>
      </c>
      <c r="C5155" s="190" t="s">
        <v>9427</v>
      </c>
      <c r="D5155" s="191">
        <v>12.48</v>
      </c>
      <c r="E5155" s="191">
        <v>11.49</v>
      </c>
      <c r="F5155" s="191"/>
      <c r="G5155" s="191">
        <v>0.99</v>
      </c>
      <c r="H5155" s="192">
        <v>139.32</v>
      </c>
      <c r="I5155" s="192">
        <v>132.13999999999999</v>
      </c>
      <c r="J5155" s="192"/>
      <c r="K5155" s="192">
        <v>7.18</v>
      </c>
      <c r="L5155" s="43">
        <v>11.163461538461538</v>
      </c>
      <c r="M5155" s="43">
        <v>11.500435161009571</v>
      </c>
      <c r="N5155" s="43" t="s">
        <v>1690</v>
      </c>
      <c r="O5155" s="43">
        <v>7.2525252525252526</v>
      </c>
      <c r="P5155" s="193"/>
      <c r="Q5155" s="193"/>
      <c r="R5155" s="193">
        <v>2</v>
      </c>
    </row>
    <row r="5156" spans="1:18" ht="24">
      <c r="A5156" s="189">
        <v>113</v>
      </c>
      <c r="B5156" s="186" t="s">
        <v>9428</v>
      </c>
      <c r="C5156" s="190" t="s">
        <v>9429</v>
      </c>
      <c r="D5156" s="191">
        <v>25.63</v>
      </c>
      <c r="E5156" s="191">
        <v>24.13</v>
      </c>
      <c r="F5156" s="191"/>
      <c r="G5156" s="191">
        <v>1.5</v>
      </c>
      <c r="H5156" s="192">
        <v>289.05</v>
      </c>
      <c r="I5156" s="192">
        <v>277.49</v>
      </c>
      <c r="J5156" s="192"/>
      <c r="K5156" s="192">
        <v>11.56</v>
      </c>
      <c r="L5156" s="43">
        <v>11.27779945376512</v>
      </c>
      <c r="M5156" s="43">
        <v>11.499792789059263</v>
      </c>
      <c r="N5156" s="43" t="s">
        <v>1690</v>
      </c>
      <c r="O5156" s="43">
        <v>7.706666666666667</v>
      </c>
      <c r="P5156" s="193"/>
      <c r="Q5156" s="193"/>
      <c r="R5156" s="193">
        <v>2</v>
      </c>
    </row>
    <row r="5157" spans="1:18" ht="24">
      <c r="A5157" s="189">
        <v>114</v>
      </c>
      <c r="B5157" s="186" t="s">
        <v>9430</v>
      </c>
      <c r="C5157" s="190" t="s">
        <v>9431</v>
      </c>
      <c r="D5157" s="191">
        <v>12.23</v>
      </c>
      <c r="E5157" s="191">
        <v>11.49</v>
      </c>
      <c r="F5157" s="191"/>
      <c r="G5157" s="191">
        <v>0.74</v>
      </c>
      <c r="H5157" s="192">
        <v>137.81</v>
      </c>
      <c r="I5157" s="192">
        <v>132.13999999999999</v>
      </c>
      <c r="J5157" s="192"/>
      <c r="K5157" s="192">
        <v>5.67</v>
      </c>
      <c r="L5157" s="43">
        <v>11.268192968111201</v>
      </c>
      <c r="M5157" s="43">
        <v>11.500435161009571</v>
      </c>
      <c r="N5157" s="43" t="s">
        <v>1690</v>
      </c>
      <c r="O5157" s="43">
        <v>7.6621621621621623</v>
      </c>
      <c r="P5157" s="193"/>
      <c r="Q5157" s="193"/>
      <c r="R5157" s="193">
        <v>2</v>
      </c>
    </row>
    <row r="5158" spans="1:18" ht="24">
      <c r="A5158" s="189">
        <v>115</v>
      </c>
      <c r="B5158" s="186" t="s">
        <v>9432</v>
      </c>
      <c r="C5158" s="190" t="s">
        <v>9433</v>
      </c>
      <c r="D5158" s="191">
        <v>12.48</v>
      </c>
      <c r="E5158" s="191">
        <v>11.49</v>
      </c>
      <c r="F5158" s="191"/>
      <c r="G5158" s="191">
        <v>0.99</v>
      </c>
      <c r="H5158" s="192">
        <v>139.32</v>
      </c>
      <c r="I5158" s="192">
        <v>132.13999999999999</v>
      </c>
      <c r="J5158" s="192"/>
      <c r="K5158" s="192">
        <v>7.18</v>
      </c>
      <c r="L5158" s="43">
        <v>11.163461538461538</v>
      </c>
      <c r="M5158" s="43">
        <v>11.500435161009571</v>
      </c>
      <c r="N5158" s="43" t="s">
        <v>1690</v>
      </c>
      <c r="O5158" s="43">
        <v>7.2525252525252526</v>
      </c>
      <c r="P5158" s="193"/>
      <c r="Q5158" s="193"/>
      <c r="R5158" s="193">
        <v>2</v>
      </c>
    </row>
    <row r="5159" spans="1:18" ht="24">
      <c r="A5159" s="189">
        <v>116</v>
      </c>
      <c r="B5159" s="186" t="s">
        <v>9434</v>
      </c>
      <c r="C5159" s="190" t="s">
        <v>9435</v>
      </c>
      <c r="D5159" s="191">
        <v>25.63</v>
      </c>
      <c r="E5159" s="191">
        <v>24.13</v>
      </c>
      <c r="F5159" s="191"/>
      <c r="G5159" s="191">
        <v>1.5</v>
      </c>
      <c r="H5159" s="192">
        <v>289.05</v>
      </c>
      <c r="I5159" s="192">
        <v>277.49</v>
      </c>
      <c r="J5159" s="192"/>
      <c r="K5159" s="192">
        <v>11.56</v>
      </c>
      <c r="L5159" s="43">
        <v>11.27779945376512</v>
      </c>
      <c r="M5159" s="43">
        <v>11.499792789059263</v>
      </c>
      <c r="N5159" s="43" t="s">
        <v>1690</v>
      </c>
      <c r="O5159" s="43">
        <v>7.706666666666667</v>
      </c>
      <c r="P5159" s="193"/>
      <c r="Q5159" s="193"/>
      <c r="R5159" s="193">
        <v>2</v>
      </c>
    </row>
    <row r="5160" spans="1:18" ht="24">
      <c r="A5160" s="189">
        <v>117</v>
      </c>
      <c r="B5160" s="186" t="s">
        <v>9436</v>
      </c>
      <c r="C5160" s="190" t="s">
        <v>9437</v>
      </c>
      <c r="D5160" s="191">
        <v>14.16</v>
      </c>
      <c r="E5160" s="191">
        <v>13.25</v>
      </c>
      <c r="F5160" s="191"/>
      <c r="G5160" s="191">
        <v>0.91</v>
      </c>
      <c r="H5160" s="192">
        <v>159.26</v>
      </c>
      <c r="I5160" s="192">
        <v>152.38</v>
      </c>
      <c r="J5160" s="192"/>
      <c r="K5160" s="192">
        <v>6.88</v>
      </c>
      <c r="L5160" s="43">
        <v>11.247175141242938</v>
      </c>
      <c r="M5160" s="43">
        <v>11.500377358490566</v>
      </c>
      <c r="N5160" s="43" t="s">
        <v>1690</v>
      </c>
      <c r="O5160" s="43">
        <v>7.5604395604395602</v>
      </c>
      <c r="P5160" s="193"/>
      <c r="Q5160" s="193"/>
      <c r="R5160" s="193">
        <v>2</v>
      </c>
    </row>
    <row r="5161" spans="1:18" ht="24">
      <c r="A5161" s="189">
        <v>118</v>
      </c>
      <c r="B5161" s="186" t="s">
        <v>9438</v>
      </c>
      <c r="C5161" s="190" t="s">
        <v>9439</v>
      </c>
      <c r="D5161" s="191">
        <v>28.9</v>
      </c>
      <c r="E5161" s="191">
        <v>27.83</v>
      </c>
      <c r="F5161" s="191"/>
      <c r="G5161" s="191">
        <v>1.07</v>
      </c>
      <c r="H5161" s="192">
        <v>329.46</v>
      </c>
      <c r="I5161" s="192">
        <v>320</v>
      </c>
      <c r="J5161" s="192"/>
      <c r="K5161" s="192">
        <v>9.4600000000000009</v>
      </c>
      <c r="L5161" s="43">
        <v>11.4</v>
      </c>
      <c r="M5161" s="43">
        <v>11.498383039885017</v>
      </c>
      <c r="N5161" s="43" t="s">
        <v>1690</v>
      </c>
      <c r="O5161" s="43">
        <v>8.8411214953271031</v>
      </c>
      <c r="P5161" s="193"/>
      <c r="Q5161" s="193"/>
      <c r="R5161" s="193">
        <v>2</v>
      </c>
    </row>
    <row r="5162" spans="1:18" ht="24">
      <c r="A5162" s="189">
        <v>119</v>
      </c>
      <c r="B5162" s="186" t="s">
        <v>9440</v>
      </c>
      <c r="C5162" s="190" t="s">
        <v>9441</v>
      </c>
      <c r="D5162" s="191">
        <v>29.15</v>
      </c>
      <c r="E5162" s="191">
        <v>27.83</v>
      </c>
      <c r="F5162" s="191"/>
      <c r="G5162" s="191">
        <v>1.32</v>
      </c>
      <c r="H5162" s="192">
        <v>330.97</v>
      </c>
      <c r="I5162" s="192">
        <v>320</v>
      </c>
      <c r="J5162" s="192"/>
      <c r="K5162" s="192">
        <v>10.97</v>
      </c>
      <c r="L5162" s="43">
        <v>11.354030874785593</v>
      </c>
      <c r="M5162" s="43">
        <v>11.498383039885017</v>
      </c>
      <c r="N5162" s="43" t="s">
        <v>1690</v>
      </c>
      <c r="O5162" s="43">
        <v>8.3106060606060606</v>
      </c>
      <c r="P5162" s="193"/>
      <c r="Q5162" s="193"/>
      <c r="R5162" s="193">
        <v>2</v>
      </c>
    </row>
    <row r="5163" spans="1:18" ht="24">
      <c r="A5163" s="189">
        <v>120</v>
      </c>
      <c r="B5163" s="186" t="s">
        <v>9442</v>
      </c>
      <c r="C5163" s="190" t="s">
        <v>9443</v>
      </c>
      <c r="D5163" s="191">
        <v>29.41</v>
      </c>
      <c r="E5163" s="191">
        <v>27.83</v>
      </c>
      <c r="F5163" s="191"/>
      <c r="G5163" s="191">
        <v>1.58</v>
      </c>
      <c r="H5163" s="192">
        <v>332.48</v>
      </c>
      <c r="I5163" s="192">
        <v>320</v>
      </c>
      <c r="J5163" s="192"/>
      <c r="K5163" s="192">
        <v>12.48</v>
      </c>
      <c r="L5163" s="43">
        <v>11.304998299897994</v>
      </c>
      <c r="M5163" s="43">
        <v>11.498383039885017</v>
      </c>
      <c r="N5163" s="43" t="s">
        <v>1690</v>
      </c>
      <c r="O5163" s="43">
        <v>7.8987341772151902</v>
      </c>
      <c r="P5163" s="193"/>
      <c r="Q5163" s="193"/>
      <c r="R5163" s="193">
        <v>2</v>
      </c>
    </row>
    <row r="5164" spans="1:18" ht="24">
      <c r="A5164" s="189">
        <v>121</v>
      </c>
      <c r="B5164" s="186" t="s">
        <v>9444</v>
      </c>
      <c r="C5164" s="190" t="s">
        <v>9445</v>
      </c>
      <c r="D5164" s="191">
        <v>56.06</v>
      </c>
      <c r="E5164" s="191">
        <v>54.33</v>
      </c>
      <c r="F5164" s="191"/>
      <c r="G5164" s="191">
        <v>1.73</v>
      </c>
      <c r="H5164" s="192">
        <v>641.07000000000005</v>
      </c>
      <c r="I5164" s="192">
        <v>624.76</v>
      </c>
      <c r="J5164" s="192"/>
      <c r="K5164" s="192">
        <v>16.309999999999999</v>
      </c>
      <c r="L5164" s="43">
        <v>11.435426328933286</v>
      </c>
      <c r="M5164" s="43">
        <v>11.499355788698693</v>
      </c>
      <c r="N5164" s="43" t="s">
        <v>1690</v>
      </c>
      <c r="O5164" s="43">
        <v>9.4277456647398843</v>
      </c>
      <c r="P5164" s="193"/>
      <c r="Q5164" s="193"/>
      <c r="R5164" s="193">
        <v>2</v>
      </c>
    </row>
    <row r="5165" spans="1:18" ht="24">
      <c r="A5165" s="189">
        <v>122</v>
      </c>
      <c r="B5165" s="186" t="s">
        <v>9446</v>
      </c>
      <c r="C5165" s="190" t="s">
        <v>9447</v>
      </c>
      <c r="D5165" s="191">
        <v>114.64</v>
      </c>
      <c r="E5165" s="191">
        <v>108.65</v>
      </c>
      <c r="F5165" s="191"/>
      <c r="G5165" s="191">
        <v>5.99</v>
      </c>
      <c r="H5165" s="192">
        <v>1297.1099999999999</v>
      </c>
      <c r="I5165" s="192">
        <v>1249.52</v>
      </c>
      <c r="J5165" s="192"/>
      <c r="K5165" s="192">
        <v>47.59</v>
      </c>
      <c r="L5165" s="43">
        <v>11.314637124912769</v>
      </c>
      <c r="M5165" s="43">
        <v>11.500414173953059</v>
      </c>
      <c r="N5165" s="43" t="s">
        <v>1690</v>
      </c>
      <c r="O5165" s="43">
        <v>7.9449081803005015</v>
      </c>
      <c r="P5165" s="193"/>
      <c r="Q5165" s="193"/>
      <c r="R5165" s="193">
        <v>2</v>
      </c>
    </row>
    <row r="5166" spans="1:18" ht="24">
      <c r="A5166" s="189">
        <v>123</v>
      </c>
      <c r="B5166" s="186" t="s">
        <v>9448</v>
      </c>
      <c r="C5166" s="190" t="s">
        <v>9449</v>
      </c>
      <c r="D5166" s="191">
        <v>14.16</v>
      </c>
      <c r="E5166" s="191">
        <v>13.25</v>
      </c>
      <c r="F5166" s="191"/>
      <c r="G5166" s="191">
        <v>0.91</v>
      </c>
      <c r="H5166" s="192">
        <v>159.26</v>
      </c>
      <c r="I5166" s="192">
        <v>152.38</v>
      </c>
      <c r="J5166" s="192"/>
      <c r="K5166" s="192">
        <v>6.88</v>
      </c>
      <c r="L5166" s="43">
        <v>11.247175141242938</v>
      </c>
      <c r="M5166" s="43">
        <v>11.500377358490566</v>
      </c>
      <c r="N5166" s="43" t="s">
        <v>1690</v>
      </c>
      <c r="O5166" s="43">
        <v>7.5604395604395602</v>
      </c>
      <c r="P5166" s="193"/>
      <c r="Q5166" s="193"/>
      <c r="R5166" s="193">
        <v>2</v>
      </c>
    </row>
    <row r="5167" spans="1:18" ht="12.75" customHeight="1">
      <c r="A5167" s="628" t="s">
        <v>9450</v>
      </c>
      <c r="B5167" s="629"/>
      <c r="C5167" s="629"/>
      <c r="D5167" s="629"/>
      <c r="E5167" s="629"/>
      <c r="F5167" s="629"/>
      <c r="G5167" s="629"/>
      <c r="H5167" s="629"/>
      <c r="I5167" s="629"/>
      <c r="J5167" s="629"/>
      <c r="K5167" s="629"/>
      <c r="L5167" s="629"/>
      <c r="M5167" s="629"/>
      <c r="N5167" s="629"/>
      <c r="O5167" s="629"/>
      <c r="P5167" s="629"/>
      <c r="Q5167" s="629"/>
      <c r="R5167" s="629"/>
    </row>
    <row r="5168" spans="1:18" ht="24">
      <c r="A5168" s="189">
        <v>124</v>
      </c>
      <c r="B5168" s="186" t="s">
        <v>9451</v>
      </c>
      <c r="C5168" s="190" t="s">
        <v>9452</v>
      </c>
      <c r="D5168" s="191">
        <v>198.86</v>
      </c>
      <c r="E5168" s="191">
        <v>141.33000000000001</v>
      </c>
      <c r="F5168" s="191">
        <v>53.24</v>
      </c>
      <c r="G5168" s="191">
        <v>4.29</v>
      </c>
      <c r="H5168" s="192">
        <v>1938.31</v>
      </c>
      <c r="I5168" s="192">
        <v>1625.32</v>
      </c>
      <c r="J5168" s="192">
        <v>276.14999999999998</v>
      </c>
      <c r="K5168" s="192">
        <v>36.840000000000003</v>
      </c>
      <c r="L5168" s="43">
        <v>9.7471085185557662</v>
      </c>
      <c r="M5168" s="43">
        <v>11.500176890964408</v>
      </c>
      <c r="N5168" s="43">
        <v>5.1868895567242665</v>
      </c>
      <c r="O5168" s="43">
        <v>8.5874125874125884</v>
      </c>
      <c r="P5168" s="193"/>
      <c r="Q5168" s="193"/>
      <c r="R5168" s="193">
        <v>3</v>
      </c>
    </row>
    <row r="5169" spans="1:18" ht="24">
      <c r="A5169" s="189">
        <v>125</v>
      </c>
      <c r="B5169" s="186" t="s">
        <v>9453</v>
      </c>
      <c r="C5169" s="190" t="s">
        <v>9454</v>
      </c>
      <c r="D5169" s="191">
        <v>253.92</v>
      </c>
      <c r="E5169" s="191">
        <v>180.39</v>
      </c>
      <c r="F5169" s="191">
        <v>68.459999999999994</v>
      </c>
      <c r="G5169" s="191">
        <v>5.07</v>
      </c>
      <c r="H5169" s="192">
        <v>2475.4699999999998</v>
      </c>
      <c r="I5169" s="192">
        <v>2074.6</v>
      </c>
      <c r="J5169" s="192">
        <v>355.06</v>
      </c>
      <c r="K5169" s="192">
        <v>45.81</v>
      </c>
      <c r="L5169" s="43">
        <v>9.7490154379332061</v>
      </c>
      <c r="M5169" s="43">
        <v>11.500637507622374</v>
      </c>
      <c r="N5169" s="43">
        <v>5.1863862109260888</v>
      </c>
      <c r="O5169" s="43">
        <v>9.0355029585798814</v>
      </c>
      <c r="P5169" s="193"/>
      <c r="Q5169" s="193"/>
      <c r="R5169" s="193">
        <v>3</v>
      </c>
    </row>
    <row r="5170" spans="1:18" ht="24">
      <c r="A5170" s="189">
        <v>126</v>
      </c>
      <c r="B5170" s="186" t="s">
        <v>9455</v>
      </c>
      <c r="C5170" s="190" t="s">
        <v>9456</v>
      </c>
      <c r="D5170" s="191">
        <v>272.24</v>
      </c>
      <c r="E5170" s="191">
        <v>193.03</v>
      </c>
      <c r="F5170" s="191">
        <v>73.89</v>
      </c>
      <c r="G5170" s="191">
        <v>5.32</v>
      </c>
      <c r="H5170" s="192">
        <v>2651.86</v>
      </c>
      <c r="I5170" s="192">
        <v>2219.9499999999998</v>
      </c>
      <c r="J5170" s="192">
        <v>383.23</v>
      </c>
      <c r="K5170" s="192">
        <v>48.68</v>
      </c>
      <c r="L5170" s="43">
        <v>9.7408903908316198</v>
      </c>
      <c r="M5170" s="43">
        <v>11.500543956897891</v>
      </c>
      <c r="N5170" s="43">
        <v>5.1864934361889299</v>
      </c>
      <c r="O5170" s="43">
        <v>9.1503759398496243</v>
      </c>
      <c r="P5170" s="193"/>
      <c r="Q5170" s="193"/>
      <c r="R5170" s="193">
        <v>3</v>
      </c>
    </row>
    <row r="5171" spans="1:18" ht="24">
      <c r="A5171" s="189">
        <v>127</v>
      </c>
      <c r="B5171" s="186" t="s">
        <v>9457</v>
      </c>
      <c r="C5171" s="190" t="s">
        <v>9458</v>
      </c>
      <c r="D5171" s="191">
        <v>426.96</v>
      </c>
      <c r="E5171" s="191">
        <v>301.04000000000002</v>
      </c>
      <c r="F5171" s="191">
        <v>118.44</v>
      </c>
      <c r="G5171" s="191">
        <v>7.48</v>
      </c>
      <c r="H5171" s="192">
        <v>4149.8900000000003</v>
      </c>
      <c r="I5171" s="192">
        <v>3462.07</v>
      </c>
      <c r="J5171" s="192">
        <v>614.29999999999995</v>
      </c>
      <c r="K5171" s="192">
        <v>73.52</v>
      </c>
      <c r="L5171" s="43">
        <v>9.7196224470676427</v>
      </c>
      <c r="M5171" s="43">
        <v>11.500365399946851</v>
      </c>
      <c r="N5171" s="43">
        <v>5.1865923674434313</v>
      </c>
      <c r="O5171" s="43">
        <v>9.8288770053475929</v>
      </c>
      <c r="P5171" s="193"/>
      <c r="Q5171" s="193"/>
      <c r="R5171" s="193">
        <v>3</v>
      </c>
    </row>
    <row r="5172" spans="1:18" ht="24">
      <c r="A5172" s="189">
        <v>128</v>
      </c>
      <c r="B5172" s="186" t="s">
        <v>9459</v>
      </c>
      <c r="C5172" s="190" t="s">
        <v>9460</v>
      </c>
      <c r="D5172" s="191">
        <v>491.49</v>
      </c>
      <c r="E5172" s="191">
        <v>350.45</v>
      </c>
      <c r="F5172" s="191">
        <v>132.57</v>
      </c>
      <c r="G5172" s="191">
        <v>8.4700000000000006</v>
      </c>
      <c r="H5172" s="192">
        <v>4802.75</v>
      </c>
      <c r="I5172" s="192">
        <v>4030.27</v>
      </c>
      <c r="J5172" s="192">
        <v>687.57</v>
      </c>
      <c r="K5172" s="192">
        <v>84.91</v>
      </c>
      <c r="L5172" s="43">
        <v>9.7718163136584675</v>
      </c>
      <c r="M5172" s="43">
        <v>11.500271080039949</v>
      </c>
      <c r="N5172" s="43">
        <v>5.1864675265897269</v>
      </c>
      <c r="O5172" s="43">
        <v>10.024793388429751</v>
      </c>
      <c r="P5172" s="193"/>
      <c r="Q5172" s="193"/>
      <c r="R5172" s="193">
        <v>3</v>
      </c>
    </row>
    <row r="5173" spans="1:18" ht="19.5" customHeight="1">
      <c r="A5173" s="628" t="s">
        <v>9461</v>
      </c>
      <c r="B5173" s="629"/>
      <c r="C5173" s="629"/>
      <c r="D5173" s="629"/>
      <c r="E5173" s="629"/>
      <c r="F5173" s="629"/>
      <c r="G5173" s="629"/>
      <c r="H5173" s="629"/>
      <c r="I5173" s="629"/>
      <c r="J5173" s="629"/>
      <c r="K5173" s="629"/>
      <c r="L5173" s="629"/>
      <c r="M5173" s="629"/>
      <c r="N5173" s="629"/>
      <c r="O5173" s="629"/>
      <c r="P5173" s="629"/>
      <c r="Q5173" s="629"/>
      <c r="R5173" s="629"/>
    </row>
    <row r="5174" spans="1:18" ht="36">
      <c r="A5174" s="189">
        <v>129</v>
      </c>
      <c r="B5174" s="186" t="s">
        <v>9462</v>
      </c>
      <c r="C5174" s="190" t="s">
        <v>9463</v>
      </c>
      <c r="D5174" s="191">
        <v>124.08</v>
      </c>
      <c r="E5174" s="191">
        <v>79.48</v>
      </c>
      <c r="F5174" s="191">
        <v>35.86</v>
      </c>
      <c r="G5174" s="191">
        <v>8.74</v>
      </c>
      <c r="H5174" s="192">
        <v>1140.25</v>
      </c>
      <c r="I5174" s="192">
        <v>914.08</v>
      </c>
      <c r="J5174" s="192">
        <v>185.98</v>
      </c>
      <c r="K5174" s="192">
        <v>40.19</v>
      </c>
      <c r="L5174" s="43">
        <v>9.1896357188910383</v>
      </c>
      <c r="M5174" s="43">
        <v>11.500754906894816</v>
      </c>
      <c r="N5174" s="43">
        <v>5.1862799776910204</v>
      </c>
      <c r="O5174" s="43">
        <v>4.5983981693363845</v>
      </c>
      <c r="P5174" s="193"/>
      <c r="Q5174" s="193"/>
      <c r="R5174" s="193">
        <v>4</v>
      </c>
    </row>
    <row r="5175" spans="1:18" ht="36">
      <c r="A5175" s="189">
        <v>130</v>
      </c>
      <c r="B5175" s="186" t="s">
        <v>9464</v>
      </c>
      <c r="C5175" s="190" t="s">
        <v>9465</v>
      </c>
      <c r="D5175" s="191">
        <v>77.52</v>
      </c>
      <c r="E5175" s="191">
        <v>45.55</v>
      </c>
      <c r="F5175" s="191">
        <v>23.91</v>
      </c>
      <c r="G5175" s="191">
        <v>8.06</v>
      </c>
      <c r="H5175" s="192">
        <v>680.2</v>
      </c>
      <c r="I5175" s="192">
        <v>523.84</v>
      </c>
      <c r="J5175" s="192">
        <v>123.99</v>
      </c>
      <c r="K5175" s="192">
        <v>32.369999999999997</v>
      </c>
      <c r="L5175" s="43">
        <v>8.7745098039215694</v>
      </c>
      <c r="M5175" s="43">
        <v>11.500329308452251</v>
      </c>
      <c r="N5175" s="43">
        <v>5.1856963613550811</v>
      </c>
      <c r="O5175" s="43">
        <v>4.0161290322580641</v>
      </c>
      <c r="P5175" s="193"/>
      <c r="Q5175" s="193"/>
      <c r="R5175" s="193">
        <v>4</v>
      </c>
    </row>
    <row r="5176" spans="1:18" ht="24">
      <c r="A5176" s="189">
        <v>131</v>
      </c>
      <c r="B5176" s="186" t="s">
        <v>9466</v>
      </c>
      <c r="C5176" s="190" t="s">
        <v>9467</v>
      </c>
      <c r="D5176" s="191">
        <v>69.28</v>
      </c>
      <c r="E5176" s="191">
        <v>38.840000000000003</v>
      </c>
      <c r="F5176" s="191">
        <v>14.13</v>
      </c>
      <c r="G5176" s="191">
        <v>16.309999999999999</v>
      </c>
      <c r="H5176" s="192">
        <v>617.53</v>
      </c>
      <c r="I5176" s="192">
        <v>446.63</v>
      </c>
      <c r="J5176" s="192">
        <v>73.27</v>
      </c>
      <c r="K5176" s="192">
        <v>97.63</v>
      </c>
      <c r="L5176" s="43">
        <v>8.9135392609699764</v>
      </c>
      <c r="M5176" s="43">
        <v>11.499227600411945</v>
      </c>
      <c r="N5176" s="43">
        <v>5.1854210898796884</v>
      </c>
      <c r="O5176" s="43">
        <v>5.9858982219497241</v>
      </c>
      <c r="P5176" s="193"/>
      <c r="Q5176" s="193"/>
      <c r="R5176" s="193">
        <v>4</v>
      </c>
    </row>
    <row r="5177" spans="1:18" ht="12.75" customHeight="1">
      <c r="A5177" s="628" t="s">
        <v>9468</v>
      </c>
      <c r="B5177" s="629"/>
      <c r="C5177" s="629"/>
      <c r="D5177" s="629"/>
      <c r="E5177" s="629"/>
      <c r="F5177" s="629"/>
      <c r="G5177" s="629"/>
      <c r="H5177" s="629"/>
      <c r="I5177" s="629"/>
      <c r="J5177" s="629"/>
      <c r="K5177" s="629"/>
      <c r="L5177" s="629"/>
      <c r="M5177" s="629"/>
      <c r="N5177" s="629"/>
      <c r="O5177" s="629"/>
      <c r="P5177" s="629"/>
      <c r="Q5177" s="629"/>
      <c r="R5177" s="629"/>
    </row>
    <row r="5178" spans="1:18" ht="24">
      <c r="A5178" s="189">
        <v>132</v>
      </c>
      <c r="B5178" s="186" t="s">
        <v>9469</v>
      </c>
      <c r="C5178" s="190" t="s">
        <v>9470</v>
      </c>
      <c r="D5178" s="191">
        <v>1009.19</v>
      </c>
      <c r="E5178" s="191">
        <v>306.77</v>
      </c>
      <c r="F5178" s="191">
        <v>118.44</v>
      </c>
      <c r="G5178" s="191">
        <v>583.98</v>
      </c>
      <c r="H5178" s="192">
        <v>5430.94</v>
      </c>
      <c r="I5178" s="192">
        <v>3527.88</v>
      </c>
      <c r="J5178" s="192">
        <v>614.29999999999995</v>
      </c>
      <c r="K5178" s="192">
        <v>1288.76</v>
      </c>
      <c r="L5178" s="43">
        <v>5.3814841605644119</v>
      </c>
      <c r="M5178" s="43">
        <v>11.500081494279103</v>
      </c>
      <c r="N5178" s="43">
        <v>5.1865923674434313</v>
      </c>
      <c r="O5178" s="43">
        <v>2.2068563991917531</v>
      </c>
      <c r="P5178" s="193"/>
      <c r="Q5178" s="193"/>
      <c r="R5178" s="193">
        <v>5</v>
      </c>
    </row>
    <row r="5179" spans="1:18" ht="24">
      <c r="A5179" s="189">
        <v>133</v>
      </c>
      <c r="B5179" s="186" t="s">
        <v>9471</v>
      </c>
      <c r="C5179" s="190" t="s">
        <v>9472</v>
      </c>
      <c r="D5179" s="191">
        <v>1508.27</v>
      </c>
      <c r="E5179" s="191">
        <v>402.16</v>
      </c>
      <c r="F5179" s="191">
        <v>175.64</v>
      </c>
      <c r="G5179" s="191">
        <v>930.47</v>
      </c>
      <c r="H5179" s="192">
        <v>7832.32</v>
      </c>
      <c r="I5179" s="192">
        <v>4624.8900000000003</v>
      </c>
      <c r="J5179" s="192">
        <v>911.24</v>
      </c>
      <c r="K5179" s="192">
        <v>2296.19</v>
      </c>
      <c r="L5179" s="43">
        <v>5.1929163876494258</v>
      </c>
      <c r="M5179" s="43">
        <v>11.500124328625423</v>
      </c>
      <c r="N5179" s="43">
        <v>5.1881120473696205</v>
      </c>
      <c r="O5179" s="43">
        <v>2.46777435059701</v>
      </c>
      <c r="P5179" s="193"/>
      <c r="Q5179" s="193"/>
      <c r="R5179" s="193">
        <v>5</v>
      </c>
    </row>
    <row r="5180" spans="1:18" ht="24">
      <c r="A5180" s="189">
        <v>134</v>
      </c>
      <c r="B5180" s="186" t="s">
        <v>9473</v>
      </c>
      <c r="C5180" s="190" t="s">
        <v>9474</v>
      </c>
      <c r="D5180" s="191">
        <v>1237.98</v>
      </c>
      <c r="E5180" s="191">
        <v>460.7</v>
      </c>
      <c r="F5180" s="191">
        <v>189.07</v>
      </c>
      <c r="G5180" s="191">
        <v>588.21</v>
      </c>
      <c r="H5180" s="192">
        <v>7609.45</v>
      </c>
      <c r="I5180" s="192">
        <v>5298.05</v>
      </c>
      <c r="J5180" s="192">
        <v>980.63</v>
      </c>
      <c r="K5180" s="192">
        <v>1330.77</v>
      </c>
      <c r="L5180" s="43">
        <v>6.1466663435596693</v>
      </c>
      <c r="M5180" s="43">
        <v>11.5</v>
      </c>
      <c r="N5180" s="43">
        <v>5.18659755646057</v>
      </c>
      <c r="O5180" s="43">
        <v>2.262406283470189</v>
      </c>
      <c r="P5180" s="193"/>
      <c r="Q5180" s="193"/>
      <c r="R5180" s="193">
        <v>5</v>
      </c>
    </row>
    <row r="5181" spans="1:18" ht="24">
      <c r="A5181" s="189">
        <v>135</v>
      </c>
      <c r="B5181" s="186" t="s">
        <v>9475</v>
      </c>
      <c r="C5181" s="190" t="s">
        <v>9476</v>
      </c>
      <c r="D5181" s="191">
        <v>1183.3800000000001</v>
      </c>
      <c r="E5181" s="191">
        <v>424.93</v>
      </c>
      <c r="F5181" s="191">
        <v>166.25</v>
      </c>
      <c r="G5181" s="191">
        <v>592.20000000000005</v>
      </c>
      <c r="H5181" s="192">
        <v>7089.61</v>
      </c>
      <c r="I5181" s="192">
        <v>4886.67</v>
      </c>
      <c r="J5181" s="192">
        <v>862.28</v>
      </c>
      <c r="K5181" s="192">
        <v>1340.66</v>
      </c>
      <c r="L5181" s="43">
        <v>5.9909834541736373</v>
      </c>
      <c r="M5181" s="43">
        <v>11.499941166780411</v>
      </c>
      <c r="N5181" s="43">
        <v>5.1866466165413536</v>
      </c>
      <c r="O5181" s="43">
        <v>2.2638635596082404</v>
      </c>
      <c r="P5181" s="193"/>
      <c r="Q5181" s="193"/>
      <c r="R5181" s="193">
        <v>5</v>
      </c>
    </row>
    <row r="5182" spans="1:18" ht="24">
      <c r="A5182" s="189">
        <v>136</v>
      </c>
      <c r="B5182" s="186" t="s">
        <v>9477</v>
      </c>
      <c r="C5182" s="190" t="s">
        <v>9478</v>
      </c>
      <c r="D5182" s="191">
        <v>1821.33</v>
      </c>
      <c r="E5182" s="191">
        <v>520.32000000000005</v>
      </c>
      <c r="F5182" s="191">
        <v>226.01</v>
      </c>
      <c r="G5182" s="191">
        <v>1075</v>
      </c>
      <c r="H5182" s="192">
        <v>9895.24</v>
      </c>
      <c r="I5182" s="192">
        <v>5983.68</v>
      </c>
      <c r="J5182" s="192">
        <v>1172.5899999999999</v>
      </c>
      <c r="K5182" s="192">
        <v>2738.97</v>
      </c>
      <c r="L5182" s="43">
        <v>5.4329748041266548</v>
      </c>
      <c r="M5182" s="43">
        <v>11.5</v>
      </c>
      <c r="N5182" s="43">
        <v>5.1882217600991103</v>
      </c>
      <c r="O5182" s="43">
        <v>2.5478790697674416</v>
      </c>
      <c r="P5182" s="193"/>
      <c r="Q5182" s="193"/>
      <c r="R5182" s="193">
        <v>5</v>
      </c>
    </row>
    <row r="5183" spans="1:18" ht="24">
      <c r="A5183" s="189">
        <v>137</v>
      </c>
      <c r="B5183" s="186" t="s">
        <v>9479</v>
      </c>
      <c r="C5183" s="190" t="s">
        <v>9480</v>
      </c>
      <c r="D5183" s="191">
        <v>1409.81</v>
      </c>
      <c r="E5183" s="191">
        <v>578.86</v>
      </c>
      <c r="F5183" s="191">
        <v>236.88</v>
      </c>
      <c r="G5183" s="191">
        <v>594.07000000000005</v>
      </c>
      <c r="H5183" s="192">
        <v>9253.1299999999992</v>
      </c>
      <c r="I5183" s="192">
        <v>6656.84</v>
      </c>
      <c r="J5183" s="192">
        <v>1228.5999999999999</v>
      </c>
      <c r="K5183" s="192">
        <v>1367.69</v>
      </c>
      <c r="L5183" s="43">
        <v>6.5633879742660355</v>
      </c>
      <c r="M5183" s="43">
        <v>11.499913623328611</v>
      </c>
      <c r="N5183" s="43">
        <v>5.1865923674434313</v>
      </c>
      <c r="O5183" s="43">
        <v>2.3022371101048695</v>
      </c>
      <c r="P5183" s="193"/>
      <c r="Q5183" s="193"/>
      <c r="R5183" s="193">
        <v>5</v>
      </c>
    </row>
    <row r="5184" spans="1:18" ht="36">
      <c r="A5184" s="189">
        <v>138</v>
      </c>
      <c r="B5184" s="186" t="s">
        <v>9481</v>
      </c>
      <c r="C5184" s="190" t="s">
        <v>9482</v>
      </c>
      <c r="D5184" s="191">
        <v>99.3</v>
      </c>
      <c r="E5184" s="191">
        <v>67.760000000000005</v>
      </c>
      <c r="F5184" s="191">
        <v>28.25</v>
      </c>
      <c r="G5184" s="191">
        <v>3.29</v>
      </c>
      <c r="H5184" s="192">
        <v>953.16</v>
      </c>
      <c r="I5184" s="192">
        <v>779.31</v>
      </c>
      <c r="J5184" s="192">
        <v>146.53</v>
      </c>
      <c r="K5184" s="192">
        <v>27.32</v>
      </c>
      <c r="L5184" s="43">
        <v>9.5987915407854985</v>
      </c>
      <c r="M5184" s="43">
        <v>11.501033057851238</v>
      </c>
      <c r="N5184" s="43">
        <v>5.1869026548672563</v>
      </c>
      <c r="O5184" s="43">
        <v>8.3039513677811545</v>
      </c>
      <c r="P5184" s="193"/>
      <c r="Q5184" s="193"/>
      <c r="R5184" s="193">
        <v>5</v>
      </c>
    </row>
    <row r="5185" spans="1:18" ht="24">
      <c r="A5185" s="189">
        <v>139</v>
      </c>
      <c r="B5185" s="186" t="s">
        <v>9483</v>
      </c>
      <c r="C5185" s="190" t="s">
        <v>9484</v>
      </c>
      <c r="D5185" s="191">
        <v>1180.32</v>
      </c>
      <c r="E5185" s="191">
        <v>171.19</v>
      </c>
      <c r="F5185" s="191">
        <v>83.28</v>
      </c>
      <c r="G5185" s="191">
        <v>925.85</v>
      </c>
      <c r="H5185" s="192">
        <v>4644.04</v>
      </c>
      <c r="I5185" s="192">
        <v>1968.79</v>
      </c>
      <c r="J5185" s="192">
        <v>432.19</v>
      </c>
      <c r="K5185" s="192">
        <v>2243.06</v>
      </c>
      <c r="L5185" s="43">
        <v>3.9345601192896842</v>
      </c>
      <c r="M5185" s="43">
        <v>11.500613353583738</v>
      </c>
      <c r="N5185" s="43">
        <v>5.1896013448607103</v>
      </c>
      <c r="O5185" s="43">
        <v>2.4227034616838581</v>
      </c>
      <c r="P5185" s="193"/>
      <c r="Q5185" s="193"/>
      <c r="R5185" s="193">
        <v>5</v>
      </c>
    </row>
    <row r="5186" spans="1:18" ht="24">
      <c r="A5186" s="189">
        <v>140</v>
      </c>
      <c r="B5186" s="186" t="s">
        <v>9485</v>
      </c>
      <c r="C5186" s="190" t="s">
        <v>9486</v>
      </c>
      <c r="D5186" s="191">
        <v>876.97</v>
      </c>
      <c r="E5186" s="191">
        <v>205.84</v>
      </c>
      <c r="F5186" s="191">
        <v>88.01</v>
      </c>
      <c r="G5186" s="191">
        <v>583.12</v>
      </c>
      <c r="H5186" s="192">
        <v>4095.97</v>
      </c>
      <c r="I5186" s="192">
        <v>2367.2399999999998</v>
      </c>
      <c r="J5186" s="192">
        <v>456.5</v>
      </c>
      <c r="K5186" s="192">
        <v>1272.23</v>
      </c>
      <c r="L5186" s="43">
        <v>4.6705930647570613</v>
      </c>
      <c r="M5186" s="43">
        <v>11.500388651379712</v>
      </c>
      <c r="N5186" s="43">
        <v>5.1869105783433698</v>
      </c>
      <c r="O5186" s="43">
        <v>2.1817636164082863</v>
      </c>
      <c r="P5186" s="193"/>
      <c r="Q5186" s="193"/>
      <c r="R5186" s="193">
        <v>5</v>
      </c>
    </row>
    <row r="5187" spans="1:18" ht="18" customHeight="1">
      <c r="A5187" s="628" t="s">
        <v>9487</v>
      </c>
      <c r="B5187" s="629"/>
      <c r="C5187" s="629"/>
      <c r="D5187" s="629"/>
      <c r="E5187" s="629"/>
      <c r="F5187" s="629"/>
      <c r="G5187" s="629"/>
      <c r="H5187" s="629"/>
      <c r="I5187" s="629"/>
      <c r="J5187" s="629"/>
      <c r="K5187" s="629"/>
      <c r="L5187" s="629"/>
      <c r="M5187" s="629"/>
      <c r="N5187" s="629"/>
      <c r="O5187" s="629"/>
      <c r="P5187" s="629"/>
      <c r="Q5187" s="629"/>
      <c r="R5187" s="629"/>
    </row>
    <row r="5188" spans="1:18" ht="36">
      <c r="A5188" s="189">
        <v>141</v>
      </c>
      <c r="B5188" s="186" t="s">
        <v>9488</v>
      </c>
      <c r="C5188" s="190" t="s">
        <v>9489</v>
      </c>
      <c r="D5188" s="191">
        <v>83.52</v>
      </c>
      <c r="E5188" s="191">
        <v>48.45</v>
      </c>
      <c r="F5188" s="191">
        <v>21.36</v>
      </c>
      <c r="G5188" s="191">
        <v>13.71</v>
      </c>
      <c r="H5188" s="192">
        <v>762.44</v>
      </c>
      <c r="I5188" s="192">
        <v>557.23</v>
      </c>
      <c r="J5188" s="192">
        <v>115.03</v>
      </c>
      <c r="K5188" s="192">
        <v>90.18</v>
      </c>
      <c r="L5188" s="43">
        <v>9.1288314176245215</v>
      </c>
      <c r="M5188" s="43">
        <v>11.501135190918472</v>
      </c>
      <c r="N5188" s="43">
        <v>5.3852996254681651</v>
      </c>
      <c r="O5188" s="43">
        <v>6.5776805251641139</v>
      </c>
      <c r="P5188" s="193"/>
      <c r="Q5188" s="193"/>
      <c r="R5188" s="193">
        <v>6</v>
      </c>
    </row>
    <row r="5189" spans="1:18" ht="24">
      <c r="A5189" s="189">
        <v>142</v>
      </c>
      <c r="B5189" s="186" t="s">
        <v>9490</v>
      </c>
      <c r="C5189" s="190" t="s">
        <v>9491</v>
      </c>
      <c r="D5189" s="191">
        <v>38.94</v>
      </c>
      <c r="E5189" s="191">
        <v>24.13</v>
      </c>
      <c r="F5189" s="191"/>
      <c r="G5189" s="191">
        <v>14.81</v>
      </c>
      <c r="H5189" s="192">
        <v>366.95</v>
      </c>
      <c r="I5189" s="192">
        <v>277.49</v>
      </c>
      <c r="J5189" s="192"/>
      <c r="K5189" s="192">
        <v>89.46</v>
      </c>
      <c r="L5189" s="43">
        <v>9.4234720082177716</v>
      </c>
      <c r="M5189" s="43">
        <v>11.499792789059263</v>
      </c>
      <c r="N5189" s="43" t="s">
        <v>1690</v>
      </c>
      <c r="O5189" s="43">
        <v>6.0405131667792027</v>
      </c>
      <c r="P5189" s="193"/>
      <c r="Q5189" s="193"/>
      <c r="R5189" s="193">
        <v>6</v>
      </c>
    </row>
    <row r="5190" spans="1:18" ht="36">
      <c r="A5190" s="194">
        <v>143</v>
      </c>
      <c r="B5190" s="195" t="s">
        <v>9492</v>
      </c>
      <c r="C5190" s="196" t="s">
        <v>9493</v>
      </c>
      <c r="D5190" s="197">
        <v>109</v>
      </c>
      <c r="E5190" s="197">
        <v>106.86</v>
      </c>
      <c r="F5190" s="197"/>
      <c r="G5190" s="197">
        <v>2.14</v>
      </c>
      <c r="H5190" s="198">
        <v>1253.51</v>
      </c>
      <c r="I5190" s="198">
        <v>1228.9000000000001</v>
      </c>
      <c r="J5190" s="198"/>
      <c r="K5190" s="198">
        <v>24.61</v>
      </c>
      <c r="L5190" s="611">
        <v>11.500091743119267</v>
      </c>
      <c r="M5190" s="611">
        <v>11.500093580385553</v>
      </c>
      <c r="N5190" s="611" t="s">
        <v>1690</v>
      </c>
      <c r="O5190" s="611">
        <v>11.499999999999998</v>
      </c>
      <c r="P5190" s="199"/>
      <c r="Q5190" s="199"/>
      <c r="R5190" s="199">
        <v>6</v>
      </c>
    </row>
    <row r="5191" spans="1:18" ht="12.75" customHeight="1">
      <c r="A5191" s="630" t="s">
        <v>9494</v>
      </c>
      <c r="B5191" s="631"/>
      <c r="C5191" s="631"/>
      <c r="D5191" s="631"/>
      <c r="E5191" s="631"/>
      <c r="F5191" s="631"/>
      <c r="G5191" s="631"/>
      <c r="H5191" s="631"/>
      <c r="I5191" s="631"/>
      <c r="J5191" s="631"/>
      <c r="K5191" s="631"/>
      <c r="L5191" s="631"/>
      <c r="M5191" s="631"/>
      <c r="N5191" s="631"/>
      <c r="O5191" s="631"/>
      <c r="P5191" s="631"/>
      <c r="Q5191" s="631"/>
      <c r="R5191" s="631"/>
    </row>
    <row r="5192" spans="1:18" ht="12.75" customHeight="1">
      <c r="A5192" s="628" t="s">
        <v>9495</v>
      </c>
      <c r="B5192" s="629"/>
      <c r="C5192" s="629"/>
      <c r="D5192" s="629"/>
      <c r="E5192" s="629"/>
      <c r="F5192" s="629"/>
      <c r="G5192" s="629"/>
      <c r="H5192" s="629"/>
      <c r="I5192" s="629"/>
      <c r="J5192" s="629"/>
      <c r="K5192" s="629"/>
      <c r="L5192" s="629"/>
      <c r="M5192" s="629"/>
      <c r="N5192" s="629"/>
      <c r="O5192" s="629"/>
      <c r="P5192" s="629"/>
      <c r="Q5192" s="629"/>
      <c r="R5192" s="629"/>
    </row>
    <row r="5193" spans="1:18" ht="12.75" customHeight="1">
      <c r="A5193" s="628" t="s">
        <v>9496</v>
      </c>
      <c r="B5193" s="629"/>
      <c r="C5193" s="629"/>
      <c r="D5193" s="629"/>
      <c r="E5193" s="629"/>
      <c r="F5193" s="629"/>
      <c r="G5193" s="629"/>
      <c r="H5193" s="629"/>
      <c r="I5193" s="629"/>
      <c r="J5193" s="629"/>
      <c r="K5193" s="629"/>
      <c r="L5193" s="629"/>
      <c r="M5193" s="629"/>
      <c r="N5193" s="629"/>
      <c r="O5193" s="629"/>
      <c r="P5193" s="629"/>
      <c r="Q5193" s="629"/>
      <c r="R5193" s="629"/>
    </row>
    <row r="5194" spans="1:18" ht="24">
      <c r="A5194" s="189">
        <v>144</v>
      </c>
      <c r="B5194" s="186" t="s">
        <v>9497</v>
      </c>
      <c r="C5194" s="190" t="s">
        <v>9498</v>
      </c>
      <c r="D5194" s="191">
        <v>2487.3200000000002</v>
      </c>
      <c r="E5194" s="191">
        <v>1551.15</v>
      </c>
      <c r="F5194" s="191">
        <v>600.53</v>
      </c>
      <c r="G5194" s="191">
        <v>335.64</v>
      </c>
      <c r="H5194" s="192">
        <v>23366.39</v>
      </c>
      <c r="I5194" s="192">
        <v>17838.900000000001</v>
      </c>
      <c r="J5194" s="192">
        <v>3106.79</v>
      </c>
      <c r="K5194" s="192">
        <v>2420.6999999999998</v>
      </c>
      <c r="L5194" s="43">
        <v>9.3942033996429881</v>
      </c>
      <c r="M5194" s="43">
        <v>11.500435161009573</v>
      </c>
      <c r="N5194" s="43">
        <v>5.173413484755133</v>
      </c>
      <c r="O5194" s="43">
        <v>7.2121916338934566</v>
      </c>
      <c r="P5194" s="193"/>
      <c r="Q5194" s="193"/>
      <c r="R5194" s="193">
        <v>1</v>
      </c>
    </row>
    <row r="5195" spans="1:18" ht="24">
      <c r="A5195" s="189">
        <v>145</v>
      </c>
      <c r="B5195" s="186" t="s">
        <v>9499</v>
      </c>
      <c r="C5195" s="190" t="s">
        <v>9500</v>
      </c>
      <c r="D5195" s="191">
        <v>2365.91</v>
      </c>
      <c r="E5195" s="191">
        <v>551.52</v>
      </c>
      <c r="F5195" s="191">
        <v>232.85</v>
      </c>
      <c r="G5195" s="191">
        <v>1581.54</v>
      </c>
      <c r="H5195" s="192">
        <v>14031.88</v>
      </c>
      <c r="I5195" s="192">
        <v>6342.72</v>
      </c>
      <c r="J5195" s="192">
        <v>1188.78</v>
      </c>
      <c r="K5195" s="192">
        <v>6500.38</v>
      </c>
      <c r="L5195" s="43">
        <v>5.930859584684117</v>
      </c>
      <c r="M5195" s="43">
        <v>11.500435161009575</v>
      </c>
      <c r="N5195" s="43">
        <v>5.1053467897788272</v>
      </c>
      <c r="O5195" s="43">
        <v>4.1101584531532556</v>
      </c>
      <c r="P5195" s="193"/>
      <c r="Q5195" s="193"/>
      <c r="R5195" s="193">
        <v>1</v>
      </c>
    </row>
    <row r="5196" spans="1:18" ht="36">
      <c r="A5196" s="189">
        <v>146</v>
      </c>
      <c r="B5196" s="186" t="s">
        <v>9501</v>
      </c>
      <c r="C5196" s="190" t="s">
        <v>9502</v>
      </c>
      <c r="D5196" s="191">
        <v>1040.6600000000001</v>
      </c>
      <c r="E5196" s="191">
        <v>1020.25</v>
      </c>
      <c r="F5196" s="191"/>
      <c r="G5196" s="191">
        <v>20.41</v>
      </c>
      <c r="H5196" s="192">
        <v>11967.98</v>
      </c>
      <c r="I5196" s="192">
        <v>11733.26</v>
      </c>
      <c r="J5196" s="192"/>
      <c r="K5196" s="192">
        <v>234.72</v>
      </c>
      <c r="L5196" s="43">
        <v>11.500374762170161</v>
      </c>
      <c r="M5196" s="43">
        <v>11.500377358490566</v>
      </c>
      <c r="N5196" s="43" t="s">
        <v>1690</v>
      </c>
      <c r="O5196" s="43">
        <v>11.500244977951985</v>
      </c>
      <c r="P5196" s="193"/>
      <c r="Q5196" s="193"/>
      <c r="R5196" s="193">
        <v>1</v>
      </c>
    </row>
    <row r="5197" spans="1:18" ht="12.75" customHeight="1">
      <c r="A5197" s="628" t="s">
        <v>9503</v>
      </c>
      <c r="B5197" s="629"/>
      <c r="C5197" s="629"/>
      <c r="D5197" s="629"/>
      <c r="E5197" s="629"/>
      <c r="F5197" s="629"/>
      <c r="G5197" s="629"/>
      <c r="H5197" s="629"/>
      <c r="I5197" s="629"/>
      <c r="J5197" s="629"/>
      <c r="K5197" s="629"/>
      <c r="L5197" s="629"/>
      <c r="M5197" s="629"/>
      <c r="N5197" s="629"/>
      <c r="O5197" s="629"/>
      <c r="P5197" s="629"/>
      <c r="Q5197" s="629"/>
      <c r="R5197" s="629"/>
    </row>
    <row r="5198" spans="1:18" ht="12.75" customHeight="1">
      <c r="A5198" s="628" t="s">
        <v>9504</v>
      </c>
      <c r="B5198" s="629"/>
      <c r="C5198" s="629"/>
      <c r="D5198" s="629"/>
      <c r="E5198" s="629"/>
      <c r="F5198" s="629"/>
      <c r="G5198" s="629"/>
      <c r="H5198" s="629"/>
      <c r="I5198" s="629"/>
      <c r="J5198" s="629"/>
      <c r="K5198" s="629"/>
      <c r="L5198" s="629"/>
      <c r="M5198" s="629"/>
      <c r="N5198" s="629"/>
      <c r="O5198" s="629"/>
      <c r="P5198" s="629"/>
      <c r="Q5198" s="629"/>
      <c r="R5198" s="629"/>
    </row>
    <row r="5199" spans="1:18" ht="36">
      <c r="A5199" s="189">
        <v>147</v>
      </c>
      <c r="B5199" s="186" t="s">
        <v>9505</v>
      </c>
      <c r="C5199" s="190" t="s">
        <v>9506</v>
      </c>
      <c r="D5199" s="191">
        <v>110.36</v>
      </c>
      <c r="E5199" s="191">
        <v>73.67</v>
      </c>
      <c r="F5199" s="191">
        <v>23.91</v>
      </c>
      <c r="G5199" s="191">
        <v>12.78</v>
      </c>
      <c r="H5199" s="192">
        <v>1027.21</v>
      </c>
      <c r="I5199" s="192">
        <v>847.23</v>
      </c>
      <c r="J5199" s="192">
        <v>123.99</v>
      </c>
      <c r="K5199" s="192">
        <v>55.99</v>
      </c>
      <c r="L5199" s="43">
        <v>9.3078108010148615</v>
      </c>
      <c r="M5199" s="43">
        <v>11.500339351160582</v>
      </c>
      <c r="N5199" s="43">
        <v>5.1856963613550811</v>
      </c>
      <c r="O5199" s="43">
        <v>4.3810641627543037</v>
      </c>
      <c r="P5199" s="193"/>
      <c r="Q5199" s="193"/>
      <c r="R5199" s="193">
        <v>1</v>
      </c>
    </row>
    <row r="5200" spans="1:18" ht="36">
      <c r="A5200" s="189">
        <v>148</v>
      </c>
      <c r="B5200" s="186" t="s">
        <v>9507</v>
      </c>
      <c r="C5200" s="190" t="s">
        <v>9508</v>
      </c>
      <c r="D5200" s="191">
        <v>238.45</v>
      </c>
      <c r="E5200" s="191">
        <v>73.67</v>
      </c>
      <c r="F5200" s="191">
        <v>23.91</v>
      </c>
      <c r="G5200" s="191">
        <v>140.87</v>
      </c>
      <c r="H5200" s="192">
        <v>1517.84</v>
      </c>
      <c r="I5200" s="192">
        <v>847.23</v>
      </c>
      <c r="J5200" s="192">
        <v>123.99</v>
      </c>
      <c r="K5200" s="192">
        <v>546.62</v>
      </c>
      <c r="L5200" s="43">
        <v>6.3654434892010903</v>
      </c>
      <c r="M5200" s="43">
        <v>11.500339351160582</v>
      </c>
      <c r="N5200" s="43">
        <v>5.1856963613550811</v>
      </c>
      <c r="O5200" s="43">
        <v>3.8803151842123942</v>
      </c>
      <c r="P5200" s="193"/>
      <c r="Q5200" s="193"/>
      <c r="R5200" s="193">
        <v>1</v>
      </c>
    </row>
    <row r="5201" spans="1:18" ht="36">
      <c r="A5201" s="189">
        <v>149</v>
      </c>
      <c r="B5201" s="186" t="s">
        <v>9509</v>
      </c>
      <c r="C5201" s="190" t="s">
        <v>9510</v>
      </c>
      <c r="D5201" s="191">
        <v>430.59</v>
      </c>
      <c r="E5201" s="191">
        <v>73.67</v>
      </c>
      <c r="F5201" s="191">
        <v>23.91</v>
      </c>
      <c r="G5201" s="191">
        <v>333.01</v>
      </c>
      <c r="H5201" s="192">
        <v>2240.44</v>
      </c>
      <c r="I5201" s="192">
        <v>847.23</v>
      </c>
      <c r="J5201" s="192">
        <v>123.99</v>
      </c>
      <c r="K5201" s="192">
        <v>1269.22</v>
      </c>
      <c r="L5201" s="43">
        <v>5.2031863257391029</v>
      </c>
      <c r="M5201" s="43">
        <v>11.500339351160582</v>
      </c>
      <c r="N5201" s="43">
        <v>5.1856963613550811</v>
      </c>
      <c r="O5201" s="43">
        <v>3.8113570163058168</v>
      </c>
      <c r="P5201" s="193"/>
      <c r="Q5201" s="193"/>
      <c r="R5201" s="193">
        <v>1</v>
      </c>
    </row>
    <row r="5202" spans="1:18" ht="36">
      <c r="A5202" s="189">
        <v>150</v>
      </c>
      <c r="B5202" s="186" t="s">
        <v>9511</v>
      </c>
      <c r="C5202" s="190" t="s">
        <v>9512</v>
      </c>
      <c r="D5202" s="191">
        <v>517.08000000000004</v>
      </c>
      <c r="E5202" s="191">
        <v>73.67</v>
      </c>
      <c r="F5202" s="191">
        <v>23.91</v>
      </c>
      <c r="G5202" s="191">
        <v>419.5</v>
      </c>
      <c r="H5202" s="192">
        <v>2592.06</v>
      </c>
      <c r="I5202" s="192">
        <v>847.23</v>
      </c>
      <c r="J5202" s="192">
        <v>123.99</v>
      </c>
      <c r="K5202" s="192">
        <v>1620.84</v>
      </c>
      <c r="L5202" s="43">
        <v>5.0128800185657925</v>
      </c>
      <c r="M5202" s="43">
        <v>11.500339351160582</v>
      </c>
      <c r="N5202" s="43">
        <v>5.1856963613550811</v>
      </c>
      <c r="O5202" s="43">
        <v>3.8637425506555423</v>
      </c>
      <c r="P5202" s="193"/>
      <c r="Q5202" s="193"/>
      <c r="R5202" s="193">
        <v>1</v>
      </c>
    </row>
    <row r="5203" spans="1:18" ht="36">
      <c r="A5203" s="189">
        <v>151</v>
      </c>
      <c r="B5203" s="186" t="s">
        <v>9513</v>
      </c>
      <c r="C5203" s="190" t="s">
        <v>9514</v>
      </c>
      <c r="D5203" s="191">
        <v>539.35</v>
      </c>
      <c r="E5203" s="191">
        <v>73.67</v>
      </c>
      <c r="F5203" s="191">
        <v>23.91</v>
      </c>
      <c r="G5203" s="191">
        <v>441.77</v>
      </c>
      <c r="H5203" s="192">
        <v>2778.01</v>
      </c>
      <c r="I5203" s="192">
        <v>847.23</v>
      </c>
      <c r="J5203" s="192">
        <v>123.99</v>
      </c>
      <c r="K5203" s="192">
        <v>1806.79</v>
      </c>
      <c r="L5203" s="43">
        <v>5.1506628348938541</v>
      </c>
      <c r="M5203" s="43">
        <v>11.500339351160582</v>
      </c>
      <c r="N5203" s="43">
        <v>5.1856963613550811</v>
      </c>
      <c r="O5203" s="43">
        <v>4.0898884034678682</v>
      </c>
      <c r="P5203" s="193"/>
      <c r="Q5203" s="193"/>
      <c r="R5203" s="193">
        <v>1</v>
      </c>
    </row>
    <row r="5204" spans="1:18" ht="36">
      <c r="A5204" s="189">
        <v>152</v>
      </c>
      <c r="B5204" s="186" t="s">
        <v>9515</v>
      </c>
      <c r="C5204" s="190" t="s">
        <v>9516</v>
      </c>
      <c r="D5204" s="191">
        <v>1047.6400000000001</v>
      </c>
      <c r="E5204" s="191">
        <v>73.67</v>
      </c>
      <c r="F5204" s="191">
        <v>23.91</v>
      </c>
      <c r="G5204" s="191">
        <v>950.06</v>
      </c>
      <c r="H5204" s="192">
        <v>5163.6499999999996</v>
      </c>
      <c r="I5204" s="192">
        <v>847.23</v>
      </c>
      <c r="J5204" s="192">
        <v>123.99</v>
      </c>
      <c r="K5204" s="192">
        <v>4192.43</v>
      </c>
      <c r="L5204" s="43">
        <v>4.928840059562444</v>
      </c>
      <c r="M5204" s="43">
        <v>11.500339351160582</v>
      </c>
      <c r="N5204" s="43">
        <v>5.1856963613550811</v>
      </c>
      <c r="O5204" s="43">
        <v>4.41280550702061</v>
      </c>
      <c r="P5204" s="193"/>
      <c r="Q5204" s="193"/>
      <c r="R5204" s="193">
        <v>1</v>
      </c>
    </row>
    <row r="5205" spans="1:18" ht="24">
      <c r="A5205" s="189">
        <v>153</v>
      </c>
      <c r="B5205" s="186" t="s">
        <v>9517</v>
      </c>
      <c r="C5205" s="190" t="s">
        <v>9518</v>
      </c>
      <c r="D5205" s="191">
        <v>1185.01</v>
      </c>
      <c r="E5205" s="191">
        <v>802.95</v>
      </c>
      <c r="F5205" s="191">
        <v>254.26</v>
      </c>
      <c r="G5205" s="191">
        <v>127.8</v>
      </c>
      <c r="H5205" s="192">
        <v>11366.68</v>
      </c>
      <c r="I5205" s="192">
        <v>9234.23</v>
      </c>
      <c r="J5205" s="192">
        <v>1318.78</v>
      </c>
      <c r="K5205" s="192">
        <v>813.67</v>
      </c>
      <c r="L5205" s="43">
        <v>9.592054075493035</v>
      </c>
      <c r="M5205" s="43">
        <v>11.500379849305684</v>
      </c>
      <c r="N5205" s="43">
        <v>5.1867379847400299</v>
      </c>
      <c r="O5205" s="43">
        <v>6.3667449139280121</v>
      </c>
      <c r="P5205" s="193"/>
      <c r="Q5205" s="193"/>
      <c r="R5205" s="193">
        <v>1</v>
      </c>
    </row>
    <row r="5206" spans="1:18" ht="24">
      <c r="A5206" s="189">
        <v>154</v>
      </c>
      <c r="B5206" s="186" t="s">
        <v>9519</v>
      </c>
      <c r="C5206" s="190" t="s">
        <v>9520</v>
      </c>
      <c r="D5206" s="191">
        <v>1871.43</v>
      </c>
      <c r="E5206" s="191">
        <v>1220.33</v>
      </c>
      <c r="F5206" s="191">
        <v>403.13</v>
      </c>
      <c r="G5206" s="191">
        <v>247.97</v>
      </c>
      <c r="H5206" s="192">
        <v>17298.71</v>
      </c>
      <c r="I5206" s="192">
        <v>14034.2</v>
      </c>
      <c r="J5206" s="192">
        <v>2090.88</v>
      </c>
      <c r="K5206" s="192">
        <v>1173.6300000000001</v>
      </c>
      <c r="L5206" s="43">
        <v>9.2435784400164565</v>
      </c>
      <c r="M5206" s="43">
        <v>11.500331877442989</v>
      </c>
      <c r="N5206" s="43">
        <v>5.1866147396621445</v>
      </c>
      <c r="O5206" s="43">
        <v>4.7329515667217814</v>
      </c>
      <c r="P5206" s="193"/>
      <c r="Q5206" s="193"/>
      <c r="R5206" s="193">
        <v>1</v>
      </c>
    </row>
    <row r="5207" spans="1:18" ht="12.75" customHeight="1">
      <c r="A5207" s="628" t="s">
        <v>9521</v>
      </c>
      <c r="B5207" s="629"/>
      <c r="C5207" s="629"/>
      <c r="D5207" s="629"/>
      <c r="E5207" s="629"/>
      <c r="F5207" s="629"/>
      <c r="G5207" s="629"/>
      <c r="H5207" s="629"/>
      <c r="I5207" s="629"/>
      <c r="J5207" s="629"/>
      <c r="K5207" s="629"/>
      <c r="L5207" s="629"/>
      <c r="M5207" s="629"/>
      <c r="N5207" s="629"/>
      <c r="O5207" s="629"/>
      <c r="P5207" s="629"/>
      <c r="Q5207" s="629"/>
      <c r="R5207" s="629"/>
    </row>
    <row r="5208" spans="1:18" ht="36">
      <c r="A5208" s="189">
        <v>155</v>
      </c>
      <c r="B5208" s="186" t="s">
        <v>9522</v>
      </c>
      <c r="C5208" s="190" t="s">
        <v>9523</v>
      </c>
      <c r="D5208" s="191">
        <v>96.34</v>
      </c>
      <c r="E5208" s="191">
        <v>30.34</v>
      </c>
      <c r="F5208" s="191">
        <v>9.7799999999999994</v>
      </c>
      <c r="G5208" s="191">
        <v>56.22</v>
      </c>
      <c r="H5208" s="192">
        <v>624.54</v>
      </c>
      <c r="I5208" s="192">
        <v>348.95</v>
      </c>
      <c r="J5208" s="192">
        <v>50.72</v>
      </c>
      <c r="K5208" s="192">
        <v>224.87</v>
      </c>
      <c r="L5208" s="43">
        <v>6.4826655594768523</v>
      </c>
      <c r="M5208" s="43">
        <v>11.501318391562293</v>
      </c>
      <c r="N5208" s="43">
        <v>5.1860940695296529</v>
      </c>
      <c r="O5208" s="43">
        <v>3.9998221273568126</v>
      </c>
      <c r="P5208" s="193"/>
      <c r="Q5208" s="193"/>
      <c r="R5208" s="193">
        <v>2</v>
      </c>
    </row>
    <row r="5209" spans="1:18" ht="36">
      <c r="A5209" s="189">
        <v>156</v>
      </c>
      <c r="B5209" s="186" t="s">
        <v>9524</v>
      </c>
      <c r="C5209" s="190" t="s">
        <v>9525</v>
      </c>
      <c r="D5209" s="191">
        <v>121.36</v>
      </c>
      <c r="E5209" s="191">
        <v>44.79</v>
      </c>
      <c r="F5209" s="191">
        <v>14.13</v>
      </c>
      <c r="G5209" s="191">
        <v>62.44</v>
      </c>
      <c r="H5209" s="192">
        <v>838.88</v>
      </c>
      <c r="I5209" s="192">
        <v>515.04</v>
      </c>
      <c r="J5209" s="192">
        <v>73.27</v>
      </c>
      <c r="K5209" s="192">
        <v>250.57</v>
      </c>
      <c r="L5209" s="43">
        <v>6.9123269611074489</v>
      </c>
      <c r="M5209" s="43">
        <v>11.498995311453449</v>
      </c>
      <c r="N5209" s="43">
        <v>5.1854210898796884</v>
      </c>
      <c r="O5209" s="43">
        <v>4.0129724535554132</v>
      </c>
      <c r="P5209" s="193"/>
      <c r="Q5209" s="193"/>
      <c r="R5209" s="193">
        <v>2</v>
      </c>
    </row>
    <row r="5210" spans="1:18" ht="36">
      <c r="A5210" s="189">
        <v>157</v>
      </c>
      <c r="B5210" s="186" t="s">
        <v>9526</v>
      </c>
      <c r="C5210" s="190" t="s">
        <v>9527</v>
      </c>
      <c r="D5210" s="191">
        <v>139.49</v>
      </c>
      <c r="E5210" s="191">
        <v>44.79</v>
      </c>
      <c r="F5210" s="191">
        <v>14.13</v>
      </c>
      <c r="G5210" s="191">
        <v>80.569999999999993</v>
      </c>
      <c r="H5210" s="192">
        <v>908.16</v>
      </c>
      <c r="I5210" s="192">
        <v>515.04</v>
      </c>
      <c r="J5210" s="192">
        <v>73.27</v>
      </c>
      <c r="K5210" s="192">
        <v>319.85000000000002</v>
      </c>
      <c r="L5210" s="43">
        <v>6.5105742347121653</v>
      </c>
      <c r="M5210" s="43">
        <v>11.498995311453449</v>
      </c>
      <c r="N5210" s="43">
        <v>5.1854210898796884</v>
      </c>
      <c r="O5210" s="43">
        <v>3.9698398907782058</v>
      </c>
      <c r="P5210" s="193"/>
      <c r="Q5210" s="193"/>
      <c r="R5210" s="193">
        <v>2</v>
      </c>
    </row>
    <row r="5211" spans="1:18" ht="36">
      <c r="A5211" s="189">
        <v>158</v>
      </c>
      <c r="B5211" s="186" t="s">
        <v>9528</v>
      </c>
      <c r="C5211" s="190" t="s">
        <v>9529</v>
      </c>
      <c r="D5211" s="191">
        <v>169.43</v>
      </c>
      <c r="E5211" s="191">
        <v>59.23</v>
      </c>
      <c r="F5211" s="191">
        <v>18.47</v>
      </c>
      <c r="G5211" s="191">
        <v>91.73</v>
      </c>
      <c r="H5211" s="192">
        <v>1171.8</v>
      </c>
      <c r="I5211" s="192">
        <v>681.14</v>
      </c>
      <c r="J5211" s="192">
        <v>95.81</v>
      </c>
      <c r="K5211" s="192">
        <v>394.85</v>
      </c>
      <c r="L5211" s="43">
        <v>6.9161305553916064</v>
      </c>
      <c r="M5211" s="43">
        <v>11.499915583319265</v>
      </c>
      <c r="N5211" s="43">
        <v>5.1873308067135904</v>
      </c>
      <c r="O5211" s="43">
        <v>4.3044805407173223</v>
      </c>
      <c r="P5211" s="193"/>
      <c r="Q5211" s="193"/>
      <c r="R5211" s="193">
        <v>2</v>
      </c>
    </row>
    <row r="5212" spans="1:18" ht="36">
      <c r="A5212" s="189">
        <v>159</v>
      </c>
      <c r="B5212" s="186" t="s">
        <v>9530</v>
      </c>
      <c r="C5212" s="190" t="s">
        <v>9531</v>
      </c>
      <c r="D5212" s="191">
        <v>191.54</v>
      </c>
      <c r="E5212" s="191">
        <v>59.23</v>
      </c>
      <c r="F5212" s="191">
        <v>18.47</v>
      </c>
      <c r="G5212" s="191">
        <v>113.84</v>
      </c>
      <c r="H5212" s="192">
        <v>1297.83</v>
      </c>
      <c r="I5212" s="192">
        <v>681.14</v>
      </c>
      <c r="J5212" s="192">
        <v>95.81</v>
      </c>
      <c r="K5212" s="192">
        <v>520.88</v>
      </c>
      <c r="L5212" s="43">
        <v>6.7757648532943513</v>
      </c>
      <c r="M5212" s="43">
        <v>11.499915583319265</v>
      </c>
      <c r="N5212" s="43">
        <v>5.1873308067135904</v>
      </c>
      <c r="O5212" s="43">
        <v>4.5755446240337312</v>
      </c>
      <c r="P5212" s="193"/>
      <c r="Q5212" s="193"/>
      <c r="R5212" s="193">
        <v>2</v>
      </c>
    </row>
    <row r="5213" spans="1:18" ht="24">
      <c r="A5213" s="189">
        <v>160</v>
      </c>
      <c r="B5213" s="186" t="s">
        <v>9532</v>
      </c>
      <c r="C5213" s="190" t="s">
        <v>9533</v>
      </c>
      <c r="D5213" s="191">
        <v>236.96</v>
      </c>
      <c r="E5213" s="191">
        <v>133.83000000000001</v>
      </c>
      <c r="F5213" s="191">
        <v>47.81</v>
      </c>
      <c r="G5213" s="191">
        <v>55.32</v>
      </c>
      <c r="H5213" s="192">
        <v>2009.97</v>
      </c>
      <c r="I5213" s="192">
        <v>1539.04</v>
      </c>
      <c r="J5213" s="192">
        <v>247.98</v>
      </c>
      <c r="K5213" s="192">
        <v>222.95</v>
      </c>
      <c r="L5213" s="43">
        <v>8.4823176907494933</v>
      </c>
      <c r="M5213" s="43">
        <v>11.499962639169095</v>
      </c>
      <c r="N5213" s="43">
        <v>5.1867810081572889</v>
      </c>
      <c r="O5213" s="43">
        <v>4.0301879971077366</v>
      </c>
      <c r="P5213" s="193"/>
      <c r="Q5213" s="193"/>
      <c r="R5213" s="193">
        <v>2</v>
      </c>
    </row>
    <row r="5214" spans="1:18" ht="24">
      <c r="A5214" s="189">
        <v>161</v>
      </c>
      <c r="B5214" s="186" t="s">
        <v>9534</v>
      </c>
      <c r="C5214" s="190" t="s">
        <v>9535</v>
      </c>
      <c r="D5214" s="191">
        <v>251.37</v>
      </c>
      <c r="E5214" s="191">
        <v>178.88</v>
      </c>
      <c r="F5214" s="191">
        <v>59.76</v>
      </c>
      <c r="G5214" s="191">
        <v>12.73</v>
      </c>
      <c r="H5214" s="192">
        <v>2441.3000000000002</v>
      </c>
      <c r="I5214" s="192">
        <v>2057.13</v>
      </c>
      <c r="J5214" s="192">
        <v>309.97000000000003</v>
      </c>
      <c r="K5214" s="192">
        <v>74.2</v>
      </c>
      <c r="L5214" s="43">
        <v>9.7119783585948998</v>
      </c>
      <c r="M5214" s="43">
        <v>11.500055903398927</v>
      </c>
      <c r="N5214" s="43">
        <v>5.1869143239625171</v>
      </c>
      <c r="O5214" s="43">
        <v>5.8287509819324432</v>
      </c>
      <c r="P5214" s="193"/>
      <c r="Q5214" s="193"/>
      <c r="R5214" s="193">
        <v>2</v>
      </c>
    </row>
    <row r="5215" spans="1:18" ht="12.75" customHeight="1">
      <c r="A5215" s="628" t="s">
        <v>9536</v>
      </c>
      <c r="B5215" s="629"/>
      <c r="C5215" s="629"/>
      <c r="D5215" s="629"/>
      <c r="E5215" s="629"/>
      <c r="F5215" s="629"/>
      <c r="G5215" s="629"/>
      <c r="H5215" s="629"/>
      <c r="I5215" s="629"/>
      <c r="J5215" s="629"/>
      <c r="K5215" s="629"/>
      <c r="L5215" s="629"/>
      <c r="M5215" s="629"/>
      <c r="N5215" s="629"/>
      <c r="O5215" s="629"/>
      <c r="P5215" s="629"/>
      <c r="Q5215" s="629"/>
      <c r="R5215" s="629"/>
    </row>
    <row r="5216" spans="1:18" ht="24">
      <c r="A5216" s="189">
        <v>162</v>
      </c>
      <c r="B5216" s="186" t="s">
        <v>9537</v>
      </c>
      <c r="C5216" s="190" t="s">
        <v>9538</v>
      </c>
      <c r="D5216" s="191">
        <v>391.81</v>
      </c>
      <c r="E5216" s="191">
        <v>367.68</v>
      </c>
      <c r="F5216" s="191"/>
      <c r="G5216" s="191">
        <v>24.13</v>
      </c>
      <c r="H5216" s="192">
        <v>4375.22</v>
      </c>
      <c r="I5216" s="192">
        <v>4228.4799999999996</v>
      </c>
      <c r="J5216" s="192"/>
      <c r="K5216" s="192">
        <v>146.74</v>
      </c>
      <c r="L5216" s="43">
        <v>11.166687935478931</v>
      </c>
      <c r="M5216" s="43">
        <v>11.500435161009571</v>
      </c>
      <c r="N5216" s="43" t="s">
        <v>1690</v>
      </c>
      <c r="O5216" s="43">
        <v>6.0812266887691679</v>
      </c>
      <c r="P5216" s="193"/>
      <c r="Q5216" s="193"/>
      <c r="R5216" s="193">
        <v>3</v>
      </c>
    </row>
    <row r="5217" spans="1:18" ht="24">
      <c r="A5217" s="189">
        <v>163</v>
      </c>
      <c r="B5217" s="186" t="s">
        <v>9539</v>
      </c>
      <c r="C5217" s="190" t="s">
        <v>9540</v>
      </c>
      <c r="D5217" s="191">
        <v>353.01</v>
      </c>
      <c r="E5217" s="191">
        <v>333.21</v>
      </c>
      <c r="F5217" s="191"/>
      <c r="G5217" s="191">
        <v>19.8</v>
      </c>
      <c r="H5217" s="192">
        <v>3959.81</v>
      </c>
      <c r="I5217" s="192">
        <v>3832.06</v>
      </c>
      <c r="J5217" s="192"/>
      <c r="K5217" s="192">
        <v>127.75</v>
      </c>
      <c r="L5217" s="43">
        <v>11.217274298178522</v>
      </c>
      <c r="M5217" s="43">
        <v>11.500435161009575</v>
      </c>
      <c r="N5217" s="43" t="s">
        <v>1690</v>
      </c>
      <c r="O5217" s="43">
        <v>6.4520202020202015</v>
      </c>
      <c r="P5217" s="193"/>
      <c r="Q5217" s="193"/>
      <c r="R5217" s="193">
        <v>3</v>
      </c>
    </row>
    <row r="5218" spans="1:18" ht="12.75" customHeight="1">
      <c r="A5218" s="628" t="s">
        <v>9541</v>
      </c>
      <c r="B5218" s="629"/>
      <c r="C5218" s="629"/>
      <c r="D5218" s="629"/>
      <c r="E5218" s="629"/>
      <c r="F5218" s="629"/>
      <c r="G5218" s="629"/>
      <c r="H5218" s="629"/>
      <c r="I5218" s="629"/>
      <c r="J5218" s="629"/>
      <c r="K5218" s="629"/>
      <c r="L5218" s="629"/>
      <c r="M5218" s="629"/>
      <c r="N5218" s="629"/>
      <c r="O5218" s="629"/>
      <c r="P5218" s="629"/>
      <c r="Q5218" s="629"/>
      <c r="R5218" s="629"/>
    </row>
    <row r="5219" spans="1:18" ht="12.75" customHeight="1">
      <c r="A5219" s="628" t="s">
        <v>9542</v>
      </c>
      <c r="B5219" s="629"/>
      <c r="C5219" s="629"/>
      <c r="D5219" s="629"/>
      <c r="E5219" s="629"/>
      <c r="F5219" s="629"/>
      <c r="G5219" s="629"/>
      <c r="H5219" s="629"/>
      <c r="I5219" s="629"/>
      <c r="J5219" s="629"/>
      <c r="K5219" s="629"/>
      <c r="L5219" s="629"/>
      <c r="M5219" s="629"/>
      <c r="N5219" s="629"/>
      <c r="O5219" s="629"/>
      <c r="P5219" s="629"/>
      <c r="Q5219" s="629"/>
      <c r="R5219" s="629"/>
    </row>
    <row r="5220" spans="1:18" ht="24">
      <c r="A5220" s="189">
        <v>164</v>
      </c>
      <c r="B5220" s="186" t="s">
        <v>9543</v>
      </c>
      <c r="C5220" s="190" t="s">
        <v>9544</v>
      </c>
      <c r="D5220" s="191">
        <v>20.27</v>
      </c>
      <c r="E5220" s="191">
        <v>8.27</v>
      </c>
      <c r="F5220" s="191"/>
      <c r="G5220" s="191">
        <v>12</v>
      </c>
      <c r="H5220" s="192">
        <v>136.35</v>
      </c>
      <c r="I5220" s="192">
        <v>95.14</v>
      </c>
      <c r="J5220" s="192"/>
      <c r="K5220" s="192">
        <v>41.21</v>
      </c>
      <c r="L5220" s="43">
        <v>6.7266896891958554</v>
      </c>
      <c r="M5220" s="43">
        <v>11.504232164449819</v>
      </c>
      <c r="N5220" s="43" t="s">
        <v>1690</v>
      </c>
      <c r="O5220" s="43">
        <v>3.4341666666666666</v>
      </c>
      <c r="P5220" s="193"/>
      <c r="Q5220" s="193"/>
      <c r="R5220" s="193">
        <v>1</v>
      </c>
    </row>
    <row r="5221" spans="1:18" ht="24">
      <c r="A5221" s="189">
        <v>165</v>
      </c>
      <c r="B5221" s="186" t="s">
        <v>9545</v>
      </c>
      <c r="C5221" s="190" t="s">
        <v>9546</v>
      </c>
      <c r="D5221" s="191">
        <v>20.27</v>
      </c>
      <c r="E5221" s="191">
        <v>8.27</v>
      </c>
      <c r="F5221" s="191"/>
      <c r="G5221" s="191">
        <v>12</v>
      </c>
      <c r="H5221" s="192">
        <v>136.35</v>
      </c>
      <c r="I5221" s="192">
        <v>95.14</v>
      </c>
      <c r="J5221" s="192"/>
      <c r="K5221" s="192">
        <v>41.21</v>
      </c>
      <c r="L5221" s="43">
        <v>6.7266896891958554</v>
      </c>
      <c r="M5221" s="43">
        <v>11.504232164449819</v>
      </c>
      <c r="N5221" s="43" t="s">
        <v>1690</v>
      </c>
      <c r="O5221" s="43">
        <v>3.4341666666666666</v>
      </c>
      <c r="P5221" s="193"/>
      <c r="Q5221" s="193"/>
      <c r="R5221" s="193">
        <v>1</v>
      </c>
    </row>
    <row r="5222" spans="1:18" ht="24">
      <c r="A5222" s="189">
        <v>166</v>
      </c>
      <c r="B5222" s="186" t="s">
        <v>9547</v>
      </c>
      <c r="C5222" s="190" t="s">
        <v>9548</v>
      </c>
      <c r="D5222" s="191">
        <v>32.950000000000003</v>
      </c>
      <c r="E5222" s="191">
        <v>9.42</v>
      </c>
      <c r="F5222" s="191"/>
      <c r="G5222" s="191">
        <v>23.53</v>
      </c>
      <c r="H5222" s="192">
        <v>187.61</v>
      </c>
      <c r="I5222" s="192">
        <v>108.35</v>
      </c>
      <c r="J5222" s="192"/>
      <c r="K5222" s="192">
        <v>79.260000000000005</v>
      </c>
      <c r="L5222" s="43">
        <v>5.693778452200303</v>
      </c>
      <c r="M5222" s="43">
        <v>11.502123142250531</v>
      </c>
      <c r="N5222" s="43" t="s">
        <v>1690</v>
      </c>
      <c r="O5222" s="43">
        <v>3.3684657883552913</v>
      </c>
      <c r="P5222" s="193"/>
      <c r="Q5222" s="193"/>
      <c r="R5222" s="193">
        <v>1</v>
      </c>
    </row>
    <row r="5223" spans="1:18" ht="36">
      <c r="A5223" s="189">
        <v>167</v>
      </c>
      <c r="B5223" s="186" t="s">
        <v>9549</v>
      </c>
      <c r="C5223" s="190" t="s">
        <v>9550</v>
      </c>
      <c r="D5223" s="191">
        <v>77.77</v>
      </c>
      <c r="E5223" s="191">
        <v>24.13</v>
      </c>
      <c r="F5223" s="191"/>
      <c r="G5223" s="191">
        <v>53.64</v>
      </c>
      <c r="H5223" s="192">
        <v>472.67</v>
      </c>
      <c r="I5223" s="192">
        <v>277.49</v>
      </c>
      <c r="J5223" s="192"/>
      <c r="K5223" s="192">
        <v>195.18</v>
      </c>
      <c r="L5223" s="43">
        <v>6.0777934936350784</v>
      </c>
      <c r="M5223" s="43">
        <v>11.499792789059263</v>
      </c>
      <c r="N5223" s="43" t="s">
        <v>1690</v>
      </c>
      <c r="O5223" s="43">
        <v>3.6387024608501117</v>
      </c>
      <c r="P5223" s="193"/>
      <c r="Q5223" s="193"/>
      <c r="R5223" s="193">
        <v>1</v>
      </c>
    </row>
    <row r="5224" spans="1:18" ht="24">
      <c r="A5224" s="189">
        <v>168</v>
      </c>
      <c r="B5224" s="186" t="s">
        <v>9551</v>
      </c>
      <c r="C5224" s="190" t="s">
        <v>9552</v>
      </c>
      <c r="D5224" s="191">
        <v>246.3</v>
      </c>
      <c r="E5224" s="191">
        <v>34.47</v>
      </c>
      <c r="F5224" s="191"/>
      <c r="G5224" s="191">
        <v>211.83</v>
      </c>
      <c r="H5224" s="192">
        <v>1009.21</v>
      </c>
      <c r="I5224" s="192">
        <v>396.42</v>
      </c>
      <c r="J5224" s="192"/>
      <c r="K5224" s="192">
        <v>612.79</v>
      </c>
      <c r="L5224" s="43">
        <v>4.0974827446203816</v>
      </c>
      <c r="M5224" s="43">
        <v>11.500435161009575</v>
      </c>
      <c r="N5224" s="43" t="s">
        <v>1690</v>
      </c>
      <c r="O5224" s="43">
        <v>2.8928385969881507</v>
      </c>
      <c r="P5224" s="193"/>
      <c r="Q5224" s="193"/>
      <c r="R5224" s="193">
        <v>1</v>
      </c>
    </row>
    <row r="5225" spans="1:18" ht="12.75" customHeight="1">
      <c r="A5225" s="628" t="s">
        <v>9553</v>
      </c>
      <c r="B5225" s="629"/>
      <c r="C5225" s="629"/>
      <c r="D5225" s="629"/>
      <c r="E5225" s="629"/>
      <c r="F5225" s="629"/>
      <c r="G5225" s="629"/>
      <c r="H5225" s="629"/>
      <c r="I5225" s="629"/>
      <c r="J5225" s="629"/>
      <c r="K5225" s="629"/>
      <c r="L5225" s="629"/>
      <c r="M5225" s="629"/>
      <c r="N5225" s="629"/>
      <c r="O5225" s="629"/>
      <c r="P5225" s="629"/>
      <c r="Q5225" s="629"/>
      <c r="R5225" s="629"/>
    </row>
    <row r="5226" spans="1:18" ht="12.75" customHeight="1">
      <c r="A5226" s="628" t="s">
        <v>9554</v>
      </c>
      <c r="B5226" s="629"/>
      <c r="C5226" s="629"/>
      <c r="D5226" s="629"/>
      <c r="E5226" s="629"/>
      <c r="F5226" s="629"/>
      <c r="G5226" s="629"/>
      <c r="H5226" s="629"/>
      <c r="I5226" s="629"/>
      <c r="J5226" s="629"/>
      <c r="K5226" s="629"/>
      <c r="L5226" s="629"/>
      <c r="M5226" s="629"/>
      <c r="N5226" s="629"/>
      <c r="O5226" s="629"/>
      <c r="P5226" s="629"/>
      <c r="Q5226" s="629"/>
      <c r="R5226" s="629"/>
    </row>
    <row r="5227" spans="1:18" ht="24">
      <c r="A5227" s="189">
        <v>169</v>
      </c>
      <c r="B5227" s="186" t="s">
        <v>9555</v>
      </c>
      <c r="C5227" s="190" t="s">
        <v>9556</v>
      </c>
      <c r="D5227" s="191">
        <v>1423.9</v>
      </c>
      <c r="E5227" s="191">
        <v>1014.57</v>
      </c>
      <c r="F5227" s="191">
        <v>379.22</v>
      </c>
      <c r="G5227" s="191">
        <v>30.11</v>
      </c>
      <c r="H5227" s="192">
        <v>13888.32</v>
      </c>
      <c r="I5227" s="192">
        <v>11667.96</v>
      </c>
      <c r="J5227" s="192">
        <v>1966.89</v>
      </c>
      <c r="K5227" s="192">
        <v>253.47</v>
      </c>
      <c r="L5227" s="43">
        <v>9.7537186600182597</v>
      </c>
      <c r="M5227" s="43">
        <v>11.50039918389071</v>
      </c>
      <c r="N5227" s="43">
        <v>5.1866726438478983</v>
      </c>
      <c r="O5227" s="43">
        <v>8.4181335104616402</v>
      </c>
      <c r="P5227" s="193"/>
      <c r="Q5227" s="193"/>
      <c r="R5227" s="193">
        <v>1</v>
      </c>
    </row>
    <row r="5228" spans="1:18" ht="24">
      <c r="A5228" s="189">
        <v>170</v>
      </c>
      <c r="B5228" s="186" t="s">
        <v>9557</v>
      </c>
      <c r="C5228" s="190" t="s">
        <v>9558</v>
      </c>
      <c r="D5228" s="191">
        <v>580.14</v>
      </c>
      <c r="E5228" s="191">
        <v>413.64</v>
      </c>
      <c r="F5228" s="191">
        <v>154.30000000000001</v>
      </c>
      <c r="G5228" s="191">
        <v>12.2</v>
      </c>
      <c r="H5228" s="192">
        <v>5660.48</v>
      </c>
      <c r="I5228" s="192">
        <v>4757.04</v>
      </c>
      <c r="J5228" s="192">
        <v>800.28</v>
      </c>
      <c r="K5228" s="192">
        <v>103.16</v>
      </c>
      <c r="L5228" s="43">
        <v>9.7570931154548894</v>
      </c>
      <c r="M5228" s="43">
        <v>11.500435161009573</v>
      </c>
      <c r="N5228" s="43">
        <v>5.186519766688269</v>
      </c>
      <c r="O5228" s="43">
        <v>8.4557377049180324</v>
      </c>
      <c r="P5228" s="193"/>
      <c r="Q5228" s="193"/>
      <c r="R5228" s="193">
        <v>1</v>
      </c>
    </row>
    <row r="5229" spans="1:18" ht="24">
      <c r="A5229" s="189">
        <v>171</v>
      </c>
      <c r="B5229" s="186" t="s">
        <v>9559</v>
      </c>
      <c r="C5229" s="190" t="s">
        <v>9560</v>
      </c>
      <c r="D5229" s="191">
        <v>6351.28</v>
      </c>
      <c r="E5229" s="191">
        <v>5250.93</v>
      </c>
      <c r="F5229" s="191">
        <v>995.33</v>
      </c>
      <c r="G5229" s="191">
        <v>105.02</v>
      </c>
      <c r="H5229" s="192">
        <v>66758.100000000006</v>
      </c>
      <c r="I5229" s="192">
        <v>60387.98</v>
      </c>
      <c r="J5229" s="192">
        <v>5162.3900000000003</v>
      </c>
      <c r="K5229" s="192">
        <v>1207.73</v>
      </c>
      <c r="L5229" s="43">
        <v>10.510967867894347</v>
      </c>
      <c r="M5229" s="43">
        <v>11.500435161009573</v>
      </c>
      <c r="N5229" s="43">
        <v>5.1866114755910102</v>
      </c>
      <c r="O5229" s="43">
        <v>11.5</v>
      </c>
      <c r="P5229" s="193"/>
      <c r="Q5229" s="193"/>
      <c r="R5229" s="193">
        <v>1</v>
      </c>
    </row>
    <row r="5230" spans="1:18" ht="24">
      <c r="A5230" s="189">
        <v>172</v>
      </c>
      <c r="B5230" s="186" t="s">
        <v>9561</v>
      </c>
      <c r="C5230" s="190" t="s">
        <v>9562</v>
      </c>
      <c r="D5230" s="191">
        <v>10812.01</v>
      </c>
      <c r="E5230" s="191">
        <v>8939.2199999999993</v>
      </c>
      <c r="F5230" s="191">
        <v>1694.01</v>
      </c>
      <c r="G5230" s="191">
        <v>178.78</v>
      </c>
      <c r="H5230" s="192">
        <v>113647.1</v>
      </c>
      <c r="I5230" s="192">
        <v>102804.92</v>
      </c>
      <c r="J5230" s="192">
        <v>8786.2099999999991</v>
      </c>
      <c r="K5230" s="192">
        <v>2055.9699999999998</v>
      </c>
      <c r="L5230" s="43">
        <v>10.511190796160935</v>
      </c>
      <c r="M5230" s="43">
        <v>11.500435161009575</v>
      </c>
      <c r="N5230" s="43">
        <v>5.1866340812628016</v>
      </c>
      <c r="O5230" s="43">
        <v>11.499999999999998</v>
      </c>
      <c r="P5230" s="193"/>
      <c r="Q5230" s="193"/>
      <c r="R5230" s="193">
        <v>1</v>
      </c>
    </row>
    <row r="5231" spans="1:18" ht="24">
      <c r="A5231" s="189">
        <v>173</v>
      </c>
      <c r="B5231" s="186" t="s">
        <v>9563</v>
      </c>
      <c r="C5231" s="190" t="s">
        <v>9564</v>
      </c>
      <c r="D5231" s="191">
        <v>18542.43</v>
      </c>
      <c r="E5231" s="191">
        <v>18039.3</v>
      </c>
      <c r="F5231" s="191">
        <v>142.34</v>
      </c>
      <c r="G5231" s="191">
        <v>360.79</v>
      </c>
      <c r="H5231" s="192">
        <v>212347.18</v>
      </c>
      <c r="I5231" s="192">
        <v>207459.8</v>
      </c>
      <c r="J5231" s="192">
        <v>738.29</v>
      </c>
      <c r="K5231" s="192">
        <v>4149.09</v>
      </c>
      <c r="L5231" s="43">
        <v>11.45196071928005</v>
      </c>
      <c r="M5231" s="43">
        <v>11.500435161009573</v>
      </c>
      <c r="N5231" s="43">
        <v>5.1868062385836726</v>
      </c>
      <c r="O5231" s="43">
        <v>11.50001385847723</v>
      </c>
      <c r="P5231" s="193"/>
      <c r="Q5231" s="193"/>
      <c r="R5231" s="193">
        <v>1</v>
      </c>
    </row>
    <row r="5232" spans="1:18" ht="24">
      <c r="A5232" s="189">
        <v>174</v>
      </c>
      <c r="B5232" s="186" t="s">
        <v>9565</v>
      </c>
      <c r="C5232" s="190" t="s">
        <v>9566</v>
      </c>
      <c r="D5232" s="191">
        <v>41955.78</v>
      </c>
      <c r="E5232" s="191">
        <v>34699.800000000003</v>
      </c>
      <c r="F5232" s="191">
        <v>6561.98</v>
      </c>
      <c r="G5232" s="191">
        <v>694</v>
      </c>
      <c r="H5232" s="192">
        <v>441078.4</v>
      </c>
      <c r="I5232" s="192">
        <v>399062.8</v>
      </c>
      <c r="J5232" s="192">
        <v>34034.6</v>
      </c>
      <c r="K5232" s="192">
        <v>7981</v>
      </c>
      <c r="L5232" s="43">
        <v>10.512935285674585</v>
      </c>
      <c r="M5232" s="43">
        <v>11.500435161009571</v>
      </c>
      <c r="N5232" s="43">
        <v>5.1866357410415764</v>
      </c>
      <c r="O5232" s="43">
        <v>11.5</v>
      </c>
      <c r="P5232" s="193"/>
      <c r="Q5232" s="193"/>
      <c r="R5232" s="193">
        <v>1</v>
      </c>
    </row>
    <row r="5233" spans="1:18" ht="36">
      <c r="A5233" s="189">
        <v>175</v>
      </c>
      <c r="B5233" s="186" t="s">
        <v>9567</v>
      </c>
      <c r="C5233" s="190" t="s">
        <v>9568</v>
      </c>
      <c r="D5233" s="191">
        <v>1249.1500000000001</v>
      </c>
      <c r="E5233" s="191">
        <v>814.64</v>
      </c>
      <c r="F5233" s="191">
        <v>307.51</v>
      </c>
      <c r="G5233" s="191">
        <v>127</v>
      </c>
      <c r="H5233" s="192">
        <v>11451.51</v>
      </c>
      <c r="I5233" s="192">
        <v>9368.73</v>
      </c>
      <c r="J5233" s="192">
        <v>1594.93</v>
      </c>
      <c r="K5233" s="192">
        <v>487.85</v>
      </c>
      <c r="L5233" s="43">
        <v>9.1674418604651162</v>
      </c>
      <c r="M5233" s="43">
        <v>11.500454188353137</v>
      </c>
      <c r="N5233" s="43">
        <v>5.1865955578680376</v>
      </c>
      <c r="O5233" s="43">
        <v>3.8413385826771655</v>
      </c>
      <c r="P5233" s="193"/>
      <c r="Q5233" s="193"/>
      <c r="R5233" s="193">
        <v>1</v>
      </c>
    </row>
    <row r="5234" spans="1:18" ht="36">
      <c r="A5234" s="189">
        <v>176</v>
      </c>
      <c r="B5234" s="186" t="s">
        <v>9569</v>
      </c>
      <c r="C5234" s="190" t="s">
        <v>9570</v>
      </c>
      <c r="D5234" s="191">
        <v>2203.1999999999998</v>
      </c>
      <c r="E5234" s="191">
        <v>1447.74</v>
      </c>
      <c r="F5234" s="191">
        <v>544.39</v>
      </c>
      <c r="G5234" s="191">
        <v>211.07</v>
      </c>
      <c r="H5234" s="192">
        <v>20292.599999999999</v>
      </c>
      <c r="I5234" s="192">
        <v>16649.64</v>
      </c>
      <c r="J5234" s="192">
        <v>2823.54</v>
      </c>
      <c r="K5234" s="192">
        <v>819.42</v>
      </c>
      <c r="L5234" s="43">
        <v>9.2105119825708055</v>
      </c>
      <c r="M5234" s="43">
        <v>11.500435161009573</v>
      </c>
      <c r="N5234" s="43">
        <v>5.1866125388049014</v>
      </c>
      <c r="O5234" s="43">
        <v>3.8822191689960674</v>
      </c>
      <c r="P5234" s="193"/>
      <c r="Q5234" s="193"/>
      <c r="R5234" s="193">
        <v>1</v>
      </c>
    </row>
    <row r="5235" spans="1:18" ht="36">
      <c r="A5235" s="189">
        <v>177</v>
      </c>
      <c r="B5235" s="186" t="s">
        <v>9571</v>
      </c>
      <c r="C5235" s="190" t="s">
        <v>9572</v>
      </c>
      <c r="D5235" s="191">
        <v>4393.09</v>
      </c>
      <c r="E5235" s="191">
        <v>2952.93</v>
      </c>
      <c r="F5235" s="191">
        <v>1113.77</v>
      </c>
      <c r="G5235" s="191">
        <v>326.39</v>
      </c>
      <c r="H5235" s="192">
        <v>41126.050000000003</v>
      </c>
      <c r="I5235" s="192">
        <v>33959.980000000003</v>
      </c>
      <c r="J5235" s="192">
        <v>5776.7</v>
      </c>
      <c r="K5235" s="192">
        <v>1389.37</v>
      </c>
      <c r="L5235" s="43">
        <v>9.361531405001946</v>
      </c>
      <c r="M5235" s="43">
        <v>11.500435161009575</v>
      </c>
      <c r="N5235" s="43">
        <v>5.1866184221158766</v>
      </c>
      <c r="O5235" s="43">
        <v>4.2567787003278283</v>
      </c>
      <c r="P5235" s="193"/>
      <c r="Q5235" s="193"/>
      <c r="R5235" s="193">
        <v>1</v>
      </c>
    </row>
    <row r="5236" spans="1:18" ht="36">
      <c r="A5236" s="189">
        <v>178</v>
      </c>
      <c r="B5236" s="186" t="s">
        <v>9573</v>
      </c>
      <c r="C5236" s="190" t="s">
        <v>9574</v>
      </c>
      <c r="D5236" s="191">
        <v>8216.2099999999991</v>
      </c>
      <c r="E5236" s="191">
        <v>5607.12</v>
      </c>
      <c r="F5236" s="191">
        <v>2119.96</v>
      </c>
      <c r="G5236" s="191">
        <v>489.13</v>
      </c>
      <c r="H5236" s="192">
        <v>77766.850000000006</v>
      </c>
      <c r="I5236" s="192">
        <v>64484.32</v>
      </c>
      <c r="J5236" s="192">
        <v>10995.45</v>
      </c>
      <c r="K5236" s="192">
        <v>2287.08</v>
      </c>
      <c r="L5236" s="43">
        <v>9.4650514044796825</v>
      </c>
      <c r="M5236" s="43">
        <v>11.500435161009573</v>
      </c>
      <c r="N5236" s="43">
        <v>5.1866308798279217</v>
      </c>
      <c r="O5236" s="43">
        <v>4.6758121562774724</v>
      </c>
      <c r="P5236" s="193"/>
      <c r="Q5236" s="193"/>
      <c r="R5236" s="193">
        <v>1</v>
      </c>
    </row>
    <row r="5237" spans="1:18" ht="36">
      <c r="A5237" s="189">
        <v>179</v>
      </c>
      <c r="B5237" s="186" t="s">
        <v>9575</v>
      </c>
      <c r="C5237" s="190" t="s">
        <v>9576</v>
      </c>
      <c r="D5237" s="191">
        <v>8846.56</v>
      </c>
      <c r="E5237" s="191">
        <v>7158.27</v>
      </c>
      <c r="F5237" s="191">
        <v>1351.73</v>
      </c>
      <c r="G5237" s="191">
        <v>336.56</v>
      </c>
      <c r="H5237" s="192">
        <v>91465.47</v>
      </c>
      <c r="I5237" s="192">
        <v>82323.22</v>
      </c>
      <c r="J5237" s="192">
        <v>7010.94</v>
      </c>
      <c r="K5237" s="192">
        <v>2131.31</v>
      </c>
      <c r="L5237" s="43">
        <v>10.339100170009587</v>
      </c>
      <c r="M5237" s="43">
        <v>11.500435161009573</v>
      </c>
      <c r="N5237" s="43">
        <v>5.1866423028267477</v>
      </c>
      <c r="O5237" s="43">
        <v>6.3326301402424532</v>
      </c>
      <c r="P5237" s="193"/>
      <c r="Q5237" s="193"/>
      <c r="R5237" s="193">
        <v>1</v>
      </c>
    </row>
    <row r="5238" spans="1:18" ht="36">
      <c r="A5238" s="189">
        <v>180</v>
      </c>
      <c r="B5238" s="186" t="s">
        <v>9577</v>
      </c>
      <c r="C5238" s="190" t="s">
        <v>9578</v>
      </c>
      <c r="D5238" s="191">
        <v>19324.32</v>
      </c>
      <c r="E5238" s="191">
        <v>15752.79</v>
      </c>
      <c r="F5238" s="191">
        <v>2985.98</v>
      </c>
      <c r="G5238" s="191">
        <v>585.54999999999995</v>
      </c>
      <c r="H5238" s="192">
        <v>200970.93</v>
      </c>
      <c r="I5238" s="192">
        <v>181163.94</v>
      </c>
      <c r="J5238" s="192">
        <v>15487.18</v>
      </c>
      <c r="K5238" s="192">
        <v>4319.8100000000004</v>
      </c>
      <c r="L5238" s="43">
        <v>10.39989660696987</v>
      </c>
      <c r="M5238" s="43">
        <v>11.500435161009573</v>
      </c>
      <c r="N5238" s="43">
        <v>5.1866321944554219</v>
      </c>
      <c r="O5238" s="43">
        <v>7.3773546238579124</v>
      </c>
      <c r="P5238" s="193"/>
      <c r="Q5238" s="193"/>
      <c r="R5238" s="193">
        <v>1</v>
      </c>
    </row>
    <row r="5239" spans="1:18" ht="36">
      <c r="A5239" s="189">
        <v>181</v>
      </c>
      <c r="B5239" s="186" t="s">
        <v>9579</v>
      </c>
      <c r="C5239" s="190" t="s">
        <v>9580</v>
      </c>
      <c r="D5239" s="191">
        <v>35261</v>
      </c>
      <c r="E5239" s="191">
        <v>28816.92</v>
      </c>
      <c r="F5239" s="191">
        <v>5448.21</v>
      </c>
      <c r="G5239" s="191">
        <v>995.87</v>
      </c>
      <c r="H5239" s="192">
        <v>367424.8</v>
      </c>
      <c r="I5239" s="192">
        <v>331407.12</v>
      </c>
      <c r="J5239" s="192">
        <v>28257.9</v>
      </c>
      <c r="K5239" s="192">
        <v>7759.78</v>
      </c>
      <c r="L5239" s="43">
        <v>10.420146904512066</v>
      </c>
      <c r="M5239" s="43">
        <v>11.500435161009573</v>
      </c>
      <c r="N5239" s="43">
        <v>5.1866392815254923</v>
      </c>
      <c r="O5239" s="43">
        <v>7.7919607980961372</v>
      </c>
      <c r="P5239" s="193"/>
      <c r="Q5239" s="193"/>
      <c r="R5239" s="193">
        <v>1</v>
      </c>
    </row>
    <row r="5240" spans="1:18" ht="19.5" customHeight="1">
      <c r="A5240" s="628" t="s">
        <v>9581</v>
      </c>
      <c r="B5240" s="629"/>
      <c r="C5240" s="629"/>
      <c r="D5240" s="629"/>
      <c r="E5240" s="629"/>
      <c r="F5240" s="629"/>
      <c r="G5240" s="629"/>
      <c r="H5240" s="629"/>
      <c r="I5240" s="629"/>
      <c r="J5240" s="629"/>
      <c r="K5240" s="629"/>
      <c r="L5240" s="629"/>
      <c r="M5240" s="629"/>
      <c r="N5240" s="629"/>
      <c r="O5240" s="629"/>
      <c r="P5240" s="629"/>
      <c r="Q5240" s="629"/>
      <c r="R5240" s="629"/>
    </row>
    <row r="5241" spans="1:18" ht="24">
      <c r="A5241" s="189">
        <v>182</v>
      </c>
      <c r="B5241" s="186" t="s">
        <v>9582</v>
      </c>
      <c r="C5241" s="190" t="s">
        <v>9583</v>
      </c>
      <c r="D5241" s="191">
        <v>3826.96</v>
      </c>
      <c r="E5241" s="191">
        <v>3751.92</v>
      </c>
      <c r="F5241" s="191"/>
      <c r="G5241" s="191">
        <v>75.040000000000006</v>
      </c>
      <c r="H5241" s="192">
        <v>44010.04</v>
      </c>
      <c r="I5241" s="192">
        <v>43147.08</v>
      </c>
      <c r="J5241" s="192"/>
      <c r="K5241" s="192">
        <v>862.96</v>
      </c>
      <c r="L5241" s="43">
        <v>11.5</v>
      </c>
      <c r="M5241" s="43">
        <v>11.5</v>
      </c>
      <c r="N5241" s="43" t="s">
        <v>1690</v>
      </c>
      <c r="O5241" s="43">
        <v>11.5</v>
      </c>
      <c r="P5241" s="193"/>
      <c r="Q5241" s="193"/>
      <c r="R5241" s="193">
        <v>2</v>
      </c>
    </row>
    <row r="5242" spans="1:18" ht="24">
      <c r="A5242" s="189">
        <v>183</v>
      </c>
      <c r="B5242" s="186" t="s">
        <v>9584</v>
      </c>
      <c r="C5242" s="190" t="s">
        <v>9585</v>
      </c>
      <c r="D5242" s="191">
        <v>1952.85</v>
      </c>
      <c r="E5242" s="191">
        <v>1914.56</v>
      </c>
      <c r="F5242" s="191"/>
      <c r="G5242" s="191">
        <v>38.29</v>
      </c>
      <c r="H5242" s="192">
        <v>22457.78</v>
      </c>
      <c r="I5242" s="192">
        <v>22017.439999999999</v>
      </c>
      <c r="J5242" s="192"/>
      <c r="K5242" s="192">
        <v>440.34</v>
      </c>
      <c r="L5242" s="43">
        <v>11.500002560360498</v>
      </c>
      <c r="M5242" s="43">
        <v>11.5</v>
      </c>
      <c r="N5242" s="43" t="s">
        <v>1690</v>
      </c>
      <c r="O5242" s="43">
        <v>11.500130582397492</v>
      </c>
      <c r="P5242" s="193"/>
      <c r="Q5242" s="193"/>
      <c r="R5242" s="193">
        <v>2</v>
      </c>
    </row>
    <row r="5243" spans="1:18" ht="24">
      <c r="A5243" s="189">
        <v>184</v>
      </c>
      <c r="B5243" s="186" t="s">
        <v>9586</v>
      </c>
      <c r="C5243" s="190" t="s">
        <v>9587</v>
      </c>
      <c r="D5243" s="191">
        <v>244.11</v>
      </c>
      <c r="E5243" s="191">
        <v>239.32</v>
      </c>
      <c r="F5243" s="191"/>
      <c r="G5243" s="191">
        <v>4.79</v>
      </c>
      <c r="H5243" s="192">
        <v>2807.27</v>
      </c>
      <c r="I5243" s="192">
        <v>2752.18</v>
      </c>
      <c r="J5243" s="192"/>
      <c r="K5243" s="192">
        <v>55.09</v>
      </c>
      <c r="L5243" s="43">
        <v>11.500020482569333</v>
      </c>
      <c r="M5243" s="43">
        <v>11.5</v>
      </c>
      <c r="N5243" s="43" t="s">
        <v>1690</v>
      </c>
      <c r="O5243" s="43">
        <v>11.501043841336118</v>
      </c>
      <c r="P5243" s="193"/>
      <c r="Q5243" s="193"/>
      <c r="R5243" s="193">
        <v>2</v>
      </c>
    </row>
    <row r="5244" spans="1:18" ht="12.75" customHeight="1">
      <c r="A5244" s="628" t="s">
        <v>9588</v>
      </c>
      <c r="B5244" s="629"/>
      <c r="C5244" s="629"/>
      <c r="D5244" s="629"/>
      <c r="E5244" s="629"/>
      <c r="F5244" s="629"/>
      <c r="G5244" s="629"/>
      <c r="H5244" s="629"/>
      <c r="I5244" s="629"/>
      <c r="J5244" s="629"/>
      <c r="K5244" s="629"/>
      <c r="L5244" s="629"/>
      <c r="M5244" s="629"/>
      <c r="N5244" s="629"/>
      <c r="O5244" s="629"/>
      <c r="P5244" s="629"/>
      <c r="Q5244" s="629"/>
      <c r="R5244" s="629"/>
    </row>
    <row r="5245" spans="1:18" ht="24">
      <c r="A5245" s="189">
        <v>185</v>
      </c>
      <c r="B5245" s="186" t="s">
        <v>9589</v>
      </c>
      <c r="C5245" s="190" t="s">
        <v>9590</v>
      </c>
      <c r="D5245" s="191">
        <v>2645.8</v>
      </c>
      <c r="E5245" s="191">
        <v>2593.92</v>
      </c>
      <c r="F5245" s="191"/>
      <c r="G5245" s="191">
        <v>51.88</v>
      </c>
      <c r="H5245" s="192">
        <v>30426.7</v>
      </c>
      <c r="I5245" s="192">
        <v>29830.080000000002</v>
      </c>
      <c r="J5245" s="192"/>
      <c r="K5245" s="192">
        <v>596.62</v>
      </c>
      <c r="L5245" s="43">
        <v>11.5</v>
      </c>
      <c r="M5245" s="43">
        <v>11.5</v>
      </c>
      <c r="N5245" s="43" t="s">
        <v>1690</v>
      </c>
      <c r="O5245" s="43">
        <v>11.5</v>
      </c>
      <c r="P5245" s="193"/>
      <c r="Q5245" s="193"/>
      <c r="R5245" s="193">
        <v>3</v>
      </c>
    </row>
    <row r="5246" spans="1:18" ht="24">
      <c r="A5246" s="189">
        <v>186</v>
      </c>
      <c r="B5246" s="186" t="s">
        <v>9591</v>
      </c>
      <c r="C5246" s="190" t="s">
        <v>9592</v>
      </c>
      <c r="D5246" s="191">
        <v>3984.45</v>
      </c>
      <c r="E5246" s="191">
        <v>3906.32</v>
      </c>
      <c r="F5246" s="191"/>
      <c r="G5246" s="191">
        <v>78.13</v>
      </c>
      <c r="H5246" s="192">
        <v>45821.18</v>
      </c>
      <c r="I5246" s="192">
        <v>44922.68</v>
      </c>
      <c r="J5246" s="192"/>
      <c r="K5246" s="192">
        <v>898.5</v>
      </c>
      <c r="L5246" s="43">
        <v>11.50000125487834</v>
      </c>
      <c r="M5246" s="43">
        <v>11.5</v>
      </c>
      <c r="N5246" s="43" t="s">
        <v>1690</v>
      </c>
      <c r="O5246" s="43">
        <v>11.500063995904263</v>
      </c>
      <c r="P5246" s="193"/>
      <c r="Q5246" s="193"/>
      <c r="R5246" s="193">
        <v>3</v>
      </c>
    </row>
    <row r="5247" spans="1:18" ht="24">
      <c r="A5247" s="189">
        <v>187</v>
      </c>
      <c r="B5247" s="186" t="s">
        <v>9593</v>
      </c>
      <c r="C5247" s="190" t="s">
        <v>9594</v>
      </c>
      <c r="D5247" s="191">
        <v>7606.67</v>
      </c>
      <c r="E5247" s="191">
        <v>7457.52</v>
      </c>
      <c r="F5247" s="191"/>
      <c r="G5247" s="191">
        <v>149.15</v>
      </c>
      <c r="H5247" s="192">
        <v>87476.71</v>
      </c>
      <c r="I5247" s="192">
        <v>85761.48</v>
      </c>
      <c r="J5247" s="192"/>
      <c r="K5247" s="192">
        <v>1715.23</v>
      </c>
      <c r="L5247" s="43">
        <v>11.500000657317855</v>
      </c>
      <c r="M5247" s="43">
        <v>11.499999999999998</v>
      </c>
      <c r="N5247" s="43" t="s">
        <v>1690</v>
      </c>
      <c r="O5247" s="43">
        <v>11.500033523298692</v>
      </c>
      <c r="P5247" s="193"/>
      <c r="Q5247" s="193"/>
      <c r="R5247" s="193">
        <v>3</v>
      </c>
    </row>
    <row r="5248" spans="1:18" ht="24">
      <c r="A5248" s="189">
        <v>188</v>
      </c>
      <c r="B5248" s="186" t="s">
        <v>9595</v>
      </c>
      <c r="C5248" s="190" t="s">
        <v>9596</v>
      </c>
      <c r="D5248" s="191">
        <v>14252.66</v>
      </c>
      <c r="E5248" s="191">
        <v>13973.2</v>
      </c>
      <c r="F5248" s="191"/>
      <c r="G5248" s="191">
        <v>279.45999999999998</v>
      </c>
      <c r="H5248" s="192">
        <v>163905.59</v>
      </c>
      <c r="I5248" s="192">
        <v>160691.79999999999</v>
      </c>
      <c r="J5248" s="192"/>
      <c r="K5248" s="192">
        <v>3213.79</v>
      </c>
      <c r="L5248" s="43">
        <v>11.5</v>
      </c>
      <c r="M5248" s="43">
        <v>11.499999999999998</v>
      </c>
      <c r="N5248" s="43" t="s">
        <v>1690</v>
      </c>
      <c r="O5248" s="43">
        <v>11.5</v>
      </c>
      <c r="P5248" s="193"/>
      <c r="Q5248" s="193"/>
      <c r="R5248" s="193">
        <v>3</v>
      </c>
    </row>
    <row r="5249" spans="1:18" ht="36">
      <c r="A5249" s="189">
        <v>189</v>
      </c>
      <c r="B5249" s="186" t="s">
        <v>9597</v>
      </c>
      <c r="C5249" s="190" t="s">
        <v>9598</v>
      </c>
      <c r="D5249" s="191">
        <v>519.71</v>
      </c>
      <c r="E5249" s="191">
        <v>509.52</v>
      </c>
      <c r="F5249" s="191"/>
      <c r="G5249" s="191">
        <v>10.19</v>
      </c>
      <c r="H5249" s="192">
        <v>5976.67</v>
      </c>
      <c r="I5249" s="192">
        <v>5859.48</v>
      </c>
      <c r="J5249" s="192"/>
      <c r="K5249" s="192">
        <v>117.19</v>
      </c>
      <c r="L5249" s="43">
        <v>11.500009620750033</v>
      </c>
      <c r="M5249" s="43">
        <v>11.5</v>
      </c>
      <c r="N5249" s="43" t="s">
        <v>1690</v>
      </c>
      <c r="O5249" s="43">
        <v>11.500490677134446</v>
      </c>
      <c r="P5249" s="193"/>
      <c r="Q5249" s="193"/>
      <c r="R5249" s="193">
        <v>3</v>
      </c>
    </row>
    <row r="5250" spans="1:18" ht="36">
      <c r="A5250" s="189">
        <v>190</v>
      </c>
      <c r="B5250" s="186" t="s">
        <v>9599</v>
      </c>
      <c r="C5250" s="190" t="s">
        <v>9600</v>
      </c>
      <c r="D5250" s="191">
        <v>859.88</v>
      </c>
      <c r="E5250" s="191">
        <v>843.02</v>
      </c>
      <c r="F5250" s="191"/>
      <c r="G5250" s="191">
        <v>16.86</v>
      </c>
      <c r="H5250" s="192">
        <v>9888.67</v>
      </c>
      <c r="I5250" s="192">
        <v>9694.7800000000007</v>
      </c>
      <c r="J5250" s="192"/>
      <c r="K5250" s="192">
        <v>193.89</v>
      </c>
      <c r="L5250" s="43">
        <v>11.50005814764851</v>
      </c>
      <c r="M5250" s="43">
        <v>11.50005931057389</v>
      </c>
      <c r="N5250" s="43" t="s">
        <v>1690</v>
      </c>
      <c r="O5250" s="43">
        <v>11.5</v>
      </c>
      <c r="P5250" s="193"/>
      <c r="Q5250" s="193"/>
      <c r="R5250" s="193">
        <v>3</v>
      </c>
    </row>
    <row r="5251" spans="1:18" ht="36">
      <c r="A5251" s="189">
        <v>191</v>
      </c>
      <c r="B5251" s="186" t="s">
        <v>9601</v>
      </c>
      <c r="C5251" s="190" t="s">
        <v>9602</v>
      </c>
      <c r="D5251" s="191">
        <v>1716.62</v>
      </c>
      <c r="E5251" s="191">
        <v>1682.96</v>
      </c>
      <c r="F5251" s="191"/>
      <c r="G5251" s="191">
        <v>33.659999999999997</v>
      </c>
      <c r="H5251" s="192">
        <v>19741.13</v>
      </c>
      <c r="I5251" s="192">
        <v>19354.04</v>
      </c>
      <c r="J5251" s="192"/>
      <c r="K5251" s="192">
        <v>387.09</v>
      </c>
      <c r="L5251" s="43">
        <v>11.500000000000002</v>
      </c>
      <c r="M5251" s="43">
        <v>11.5</v>
      </c>
      <c r="N5251" s="43" t="s">
        <v>1690</v>
      </c>
      <c r="O5251" s="43">
        <v>11.5</v>
      </c>
      <c r="P5251" s="193"/>
      <c r="Q5251" s="193"/>
      <c r="R5251" s="193">
        <v>3</v>
      </c>
    </row>
    <row r="5252" spans="1:18" ht="36">
      <c r="A5252" s="189">
        <v>192</v>
      </c>
      <c r="B5252" s="186" t="s">
        <v>9603</v>
      </c>
      <c r="C5252" s="190" t="s">
        <v>9604</v>
      </c>
      <c r="D5252" s="191">
        <v>3165.51</v>
      </c>
      <c r="E5252" s="191">
        <v>3103.44</v>
      </c>
      <c r="F5252" s="191"/>
      <c r="G5252" s="191">
        <v>62.07</v>
      </c>
      <c r="H5252" s="192">
        <v>36403.370000000003</v>
      </c>
      <c r="I5252" s="192">
        <v>35689.56</v>
      </c>
      <c r="J5252" s="192"/>
      <c r="K5252" s="192">
        <v>713.81</v>
      </c>
      <c r="L5252" s="43">
        <v>11.50000157952431</v>
      </c>
      <c r="M5252" s="43">
        <v>11.499999999999998</v>
      </c>
      <c r="N5252" s="43" t="s">
        <v>1690</v>
      </c>
      <c r="O5252" s="43">
        <v>11.500080554212984</v>
      </c>
      <c r="P5252" s="193"/>
      <c r="Q5252" s="193"/>
      <c r="R5252" s="193">
        <v>3</v>
      </c>
    </row>
    <row r="5253" spans="1:18" ht="48">
      <c r="A5253" s="189">
        <v>193</v>
      </c>
      <c r="B5253" s="186" t="s">
        <v>9605</v>
      </c>
      <c r="C5253" s="190" t="s">
        <v>9606</v>
      </c>
      <c r="D5253" s="191">
        <v>3354.49</v>
      </c>
      <c r="E5253" s="191">
        <v>3288.72</v>
      </c>
      <c r="F5253" s="191"/>
      <c r="G5253" s="191">
        <v>65.77</v>
      </c>
      <c r="H5253" s="192">
        <v>38576.639999999999</v>
      </c>
      <c r="I5253" s="192">
        <v>37820.28</v>
      </c>
      <c r="J5253" s="192"/>
      <c r="K5253" s="192">
        <v>756.36</v>
      </c>
      <c r="L5253" s="43">
        <v>11.500001490539546</v>
      </c>
      <c r="M5253" s="43">
        <v>11.5</v>
      </c>
      <c r="N5253" s="43" t="s">
        <v>1690</v>
      </c>
      <c r="O5253" s="43">
        <v>11.500076022502661</v>
      </c>
      <c r="P5253" s="193"/>
      <c r="Q5253" s="193"/>
      <c r="R5253" s="193">
        <v>3</v>
      </c>
    </row>
    <row r="5254" spans="1:18" ht="48">
      <c r="A5254" s="189">
        <v>194</v>
      </c>
      <c r="B5254" s="186" t="s">
        <v>9607</v>
      </c>
      <c r="C5254" s="190" t="s">
        <v>9608</v>
      </c>
      <c r="D5254" s="191">
        <v>5716.81</v>
      </c>
      <c r="E5254" s="191">
        <v>5604.72</v>
      </c>
      <c r="F5254" s="191"/>
      <c r="G5254" s="191">
        <v>112.09</v>
      </c>
      <c r="H5254" s="192">
        <v>65743.320000000007</v>
      </c>
      <c r="I5254" s="192">
        <v>64454.28</v>
      </c>
      <c r="J5254" s="192"/>
      <c r="K5254" s="192">
        <v>1289.04</v>
      </c>
      <c r="L5254" s="43">
        <v>11.50000087461364</v>
      </c>
      <c r="M5254" s="43">
        <v>11.5</v>
      </c>
      <c r="N5254" s="43" t="s">
        <v>1690</v>
      </c>
      <c r="O5254" s="43">
        <v>11.500044607012221</v>
      </c>
      <c r="P5254" s="193"/>
      <c r="Q5254" s="193"/>
      <c r="R5254" s="193">
        <v>3</v>
      </c>
    </row>
    <row r="5255" spans="1:18" ht="48">
      <c r="A5255" s="189">
        <v>195</v>
      </c>
      <c r="B5255" s="186" t="s">
        <v>9609</v>
      </c>
      <c r="C5255" s="190" t="s">
        <v>9610</v>
      </c>
      <c r="D5255" s="191">
        <v>9984.74</v>
      </c>
      <c r="E5255" s="191">
        <v>9788.9599999999991</v>
      </c>
      <c r="F5255" s="191"/>
      <c r="G5255" s="191">
        <v>195.78</v>
      </c>
      <c r="H5255" s="192">
        <v>114824.51</v>
      </c>
      <c r="I5255" s="192">
        <v>112573.04</v>
      </c>
      <c r="J5255" s="192"/>
      <c r="K5255" s="192">
        <v>2251.4699999999998</v>
      </c>
      <c r="L5255" s="43">
        <v>11.5</v>
      </c>
      <c r="M5255" s="43">
        <v>11.5</v>
      </c>
      <c r="N5255" s="43" t="s">
        <v>1690</v>
      </c>
      <c r="O5255" s="43">
        <v>11.499999999999998</v>
      </c>
      <c r="P5255" s="193"/>
      <c r="Q5255" s="193"/>
      <c r="R5255" s="193">
        <v>3</v>
      </c>
    </row>
    <row r="5256" spans="1:18" ht="12.75" customHeight="1">
      <c r="A5256" s="628" t="s">
        <v>9611</v>
      </c>
      <c r="B5256" s="629"/>
      <c r="C5256" s="629"/>
      <c r="D5256" s="629"/>
      <c r="E5256" s="629"/>
      <c r="F5256" s="629"/>
      <c r="G5256" s="629"/>
      <c r="H5256" s="629"/>
      <c r="I5256" s="629"/>
      <c r="J5256" s="629"/>
      <c r="K5256" s="629"/>
      <c r="L5256" s="629"/>
      <c r="M5256" s="629"/>
      <c r="N5256" s="629"/>
      <c r="O5256" s="629"/>
      <c r="P5256" s="629"/>
      <c r="Q5256" s="629"/>
      <c r="R5256" s="629"/>
    </row>
    <row r="5257" spans="1:18" ht="24">
      <c r="A5257" s="189">
        <v>196</v>
      </c>
      <c r="B5257" s="186" t="s">
        <v>9612</v>
      </c>
      <c r="C5257" s="190" t="s">
        <v>9613</v>
      </c>
      <c r="D5257" s="191">
        <v>9291.7900000000009</v>
      </c>
      <c r="E5257" s="191">
        <v>9109.6</v>
      </c>
      <c r="F5257" s="191"/>
      <c r="G5257" s="191">
        <v>182.19</v>
      </c>
      <c r="H5257" s="192">
        <v>106855.59</v>
      </c>
      <c r="I5257" s="192">
        <v>104760.4</v>
      </c>
      <c r="J5257" s="192"/>
      <c r="K5257" s="192">
        <v>2095.19</v>
      </c>
      <c r="L5257" s="43">
        <v>11.500000538109449</v>
      </c>
      <c r="M5257" s="43">
        <v>11.499999999999998</v>
      </c>
      <c r="N5257" s="43" t="s">
        <v>1690</v>
      </c>
      <c r="O5257" s="43">
        <v>11.500027443877272</v>
      </c>
      <c r="P5257" s="193"/>
      <c r="Q5257" s="193"/>
      <c r="R5257" s="193">
        <v>4</v>
      </c>
    </row>
    <row r="5258" spans="1:18" ht="24">
      <c r="A5258" s="189">
        <v>197</v>
      </c>
      <c r="B5258" s="186" t="s">
        <v>9614</v>
      </c>
      <c r="C5258" s="190" t="s">
        <v>9615</v>
      </c>
      <c r="D5258" s="191">
        <v>14772.37</v>
      </c>
      <c r="E5258" s="191">
        <v>14482.72</v>
      </c>
      <c r="F5258" s="191"/>
      <c r="G5258" s="191">
        <v>289.64999999999998</v>
      </c>
      <c r="H5258" s="192">
        <v>169882.26</v>
      </c>
      <c r="I5258" s="192">
        <v>166551.28</v>
      </c>
      <c r="J5258" s="192"/>
      <c r="K5258" s="192">
        <v>3330.98</v>
      </c>
      <c r="L5258" s="43">
        <v>11.500000338469723</v>
      </c>
      <c r="M5258" s="43">
        <v>11.5</v>
      </c>
      <c r="N5258" s="43" t="s">
        <v>1690</v>
      </c>
      <c r="O5258" s="43">
        <v>11.500017262213017</v>
      </c>
      <c r="P5258" s="193"/>
      <c r="Q5258" s="193"/>
      <c r="R5258" s="193">
        <v>4</v>
      </c>
    </row>
    <row r="5259" spans="1:18" ht="24">
      <c r="A5259" s="189">
        <v>198</v>
      </c>
      <c r="B5259" s="186" t="s">
        <v>9616</v>
      </c>
      <c r="C5259" s="190" t="s">
        <v>9617</v>
      </c>
      <c r="D5259" s="191">
        <v>25639.05</v>
      </c>
      <c r="E5259" s="191">
        <v>25136.32</v>
      </c>
      <c r="F5259" s="191"/>
      <c r="G5259" s="191">
        <v>502.73</v>
      </c>
      <c r="H5259" s="192">
        <v>294849.08</v>
      </c>
      <c r="I5259" s="192">
        <v>289067.68</v>
      </c>
      <c r="J5259" s="192"/>
      <c r="K5259" s="192">
        <v>5781.4</v>
      </c>
      <c r="L5259" s="43">
        <v>11.500000195015026</v>
      </c>
      <c r="M5259" s="43">
        <v>11.5</v>
      </c>
      <c r="N5259" s="43" t="s">
        <v>1690</v>
      </c>
      <c r="O5259" s="43">
        <v>11.500009945696496</v>
      </c>
      <c r="P5259" s="193"/>
      <c r="Q5259" s="193"/>
      <c r="R5259" s="193">
        <v>4</v>
      </c>
    </row>
    <row r="5260" spans="1:18" ht="24">
      <c r="A5260" s="189">
        <v>199</v>
      </c>
      <c r="B5260" s="186" t="s">
        <v>9618</v>
      </c>
      <c r="C5260" s="190" t="s">
        <v>9619</v>
      </c>
      <c r="D5260" s="191">
        <v>45955</v>
      </c>
      <c r="E5260" s="191">
        <v>45053.919999999998</v>
      </c>
      <c r="F5260" s="191"/>
      <c r="G5260" s="191">
        <v>901.08</v>
      </c>
      <c r="H5260" s="192">
        <v>528482.5</v>
      </c>
      <c r="I5260" s="192">
        <v>518120.08</v>
      </c>
      <c r="J5260" s="192"/>
      <c r="K5260" s="192">
        <v>10362.42</v>
      </c>
      <c r="L5260" s="43">
        <v>11.5</v>
      </c>
      <c r="M5260" s="43">
        <v>11.5</v>
      </c>
      <c r="N5260" s="43" t="s">
        <v>1690</v>
      </c>
      <c r="O5260" s="43">
        <v>11.5</v>
      </c>
      <c r="P5260" s="193"/>
      <c r="Q5260" s="193"/>
      <c r="R5260" s="193">
        <v>4</v>
      </c>
    </row>
    <row r="5261" spans="1:18" ht="36">
      <c r="A5261" s="189">
        <v>200</v>
      </c>
      <c r="B5261" s="186" t="s">
        <v>9620</v>
      </c>
      <c r="C5261" s="190" t="s">
        <v>9568</v>
      </c>
      <c r="D5261" s="191">
        <v>1196.9100000000001</v>
      </c>
      <c r="E5261" s="191">
        <v>1173.44</v>
      </c>
      <c r="F5261" s="191"/>
      <c r="G5261" s="191">
        <v>23.47</v>
      </c>
      <c r="H5261" s="192">
        <v>13764.47</v>
      </c>
      <c r="I5261" s="192">
        <v>13494.56</v>
      </c>
      <c r="J5261" s="192"/>
      <c r="K5261" s="192">
        <v>269.91000000000003</v>
      </c>
      <c r="L5261" s="43">
        <v>11.500004177423531</v>
      </c>
      <c r="M5261" s="43">
        <v>11.499999999999998</v>
      </c>
      <c r="N5261" s="43" t="s">
        <v>1690</v>
      </c>
      <c r="O5261" s="43">
        <v>11.500213037920751</v>
      </c>
      <c r="P5261" s="193"/>
      <c r="Q5261" s="193"/>
      <c r="R5261" s="193">
        <v>4</v>
      </c>
    </row>
    <row r="5262" spans="1:18" ht="36">
      <c r="A5262" s="189">
        <v>201</v>
      </c>
      <c r="B5262" s="186" t="s">
        <v>9621</v>
      </c>
      <c r="C5262" s="190" t="s">
        <v>9570</v>
      </c>
      <c r="D5262" s="191">
        <v>2173.33</v>
      </c>
      <c r="E5262" s="191">
        <v>2130.7199999999998</v>
      </c>
      <c r="F5262" s="191"/>
      <c r="G5262" s="191">
        <v>42.61</v>
      </c>
      <c r="H5262" s="192">
        <v>24993.3</v>
      </c>
      <c r="I5262" s="192">
        <v>24503.279999999999</v>
      </c>
      <c r="J5262" s="192"/>
      <c r="K5262" s="192">
        <v>490.02</v>
      </c>
      <c r="L5262" s="43">
        <v>11.500002300617025</v>
      </c>
      <c r="M5262" s="43">
        <v>11.5</v>
      </c>
      <c r="N5262" s="43" t="s">
        <v>1690</v>
      </c>
      <c r="O5262" s="43">
        <v>11.500117343346632</v>
      </c>
      <c r="P5262" s="193"/>
      <c r="Q5262" s="193"/>
      <c r="R5262" s="193">
        <v>4</v>
      </c>
    </row>
    <row r="5263" spans="1:18" ht="36">
      <c r="A5263" s="189">
        <v>202</v>
      </c>
      <c r="B5263" s="186" t="s">
        <v>9622</v>
      </c>
      <c r="C5263" s="190" t="s">
        <v>9572</v>
      </c>
      <c r="D5263" s="191">
        <v>4346.67</v>
      </c>
      <c r="E5263" s="191">
        <v>4261.4399999999996</v>
      </c>
      <c r="F5263" s="191"/>
      <c r="G5263" s="191">
        <v>85.23</v>
      </c>
      <c r="H5263" s="192">
        <v>49986.71</v>
      </c>
      <c r="I5263" s="192">
        <v>49006.559999999998</v>
      </c>
      <c r="J5263" s="192"/>
      <c r="K5263" s="192">
        <v>980.15</v>
      </c>
      <c r="L5263" s="43">
        <v>11.500001150305867</v>
      </c>
      <c r="M5263" s="43">
        <v>11.5</v>
      </c>
      <c r="N5263" s="43" t="s">
        <v>1690</v>
      </c>
      <c r="O5263" s="43">
        <v>11.500058664789393</v>
      </c>
      <c r="P5263" s="193"/>
      <c r="Q5263" s="193"/>
      <c r="R5263" s="193">
        <v>4</v>
      </c>
    </row>
    <row r="5264" spans="1:18" ht="36">
      <c r="A5264" s="189">
        <v>203</v>
      </c>
      <c r="B5264" s="186" t="s">
        <v>9623</v>
      </c>
      <c r="C5264" s="190" t="s">
        <v>9574</v>
      </c>
      <c r="D5264" s="191">
        <v>8472.85</v>
      </c>
      <c r="E5264" s="191">
        <v>8306.7199999999993</v>
      </c>
      <c r="F5264" s="191"/>
      <c r="G5264" s="191">
        <v>166.13</v>
      </c>
      <c r="H5264" s="192">
        <v>97437.78</v>
      </c>
      <c r="I5264" s="192">
        <v>95527.28</v>
      </c>
      <c r="J5264" s="192"/>
      <c r="K5264" s="192">
        <v>1910.5</v>
      </c>
      <c r="L5264" s="43">
        <v>11.500000590120207</v>
      </c>
      <c r="M5264" s="43">
        <v>11.5</v>
      </c>
      <c r="N5264" s="43" t="s">
        <v>1690</v>
      </c>
      <c r="O5264" s="43">
        <v>11.500030096912058</v>
      </c>
      <c r="P5264" s="193"/>
      <c r="Q5264" s="193"/>
      <c r="R5264" s="193">
        <v>4</v>
      </c>
    </row>
    <row r="5265" spans="1:18" ht="36">
      <c r="A5265" s="189">
        <v>204</v>
      </c>
      <c r="B5265" s="186" t="s">
        <v>9624</v>
      </c>
      <c r="C5265" s="190" t="s">
        <v>9625</v>
      </c>
      <c r="D5265" s="191">
        <v>9606.77</v>
      </c>
      <c r="E5265" s="191">
        <v>9418.4</v>
      </c>
      <c r="F5265" s="191"/>
      <c r="G5265" s="191">
        <v>188.37</v>
      </c>
      <c r="H5265" s="192">
        <v>110477.86</v>
      </c>
      <c r="I5265" s="192">
        <v>108311.6</v>
      </c>
      <c r="J5265" s="192"/>
      <c r="K5265" s="192">
        <v>2166.2600000000002</v>
      </c>
      <c r="L5265" s="43">
        <v>11.500000520466296</v>
      </c>
      <c r="M5265" s="43">
        <v>11.500000000000002</v>
      </c>
      <c r="N5265" s="43" t="s">
        <v>1690</v>
      </c>
      <c r="O5265" s="43">
        <v>11.500026543504806</v>
      </c>
      <c r="P5265" s="193"/>
      <c r="Q5265" s="193"/>
      <c r="R5265" s="193">
        <v>4</v>
      </c>
    </row>
    <row r="5266" spans="1:18" ht="36">
      <c r="A5266" s="189">
        <v>205</v>
      </c>
      <c r="B5266" s="186" t="s">
        <v>9626</v>
      </c>
      <c r="C5266" s="190" t="s">
        <v>9627</v>
      </c>
      <c r="D5266" s="191">
        <v>15575.56</v>
      </c>
      <c r="E5266" s="191">
        <v>15270.16</v>
      </c>
      <c r="F5266" s="191"/>
      <c r="G5266" s="191">
        <v>305.39999999999998</v>
      </c>
      <c r="H5266" s="192">
        <v>179118.94</v>
      </c>
      <c r="I5266" s="192">
        <v>175606.84</v>
      </c>
      <c r="J5266" s="192"/>
      <c r="K5266" s="192">
        <v>3512.1</v>
      </c>
      <c r="L5266" s="43">
        <v>11.5</v>
      </c>
      <c r="M5266" s="43">
        <v>11.5</v>
      </c>
      <c r="N5266" s="43" t="s">
        <v>1690</v>
      </c>
      <c r="O5266" s="43">
        <v>11.5</v>
      </c>
      <c r="P5266" s="193"/>
      <c r="Q5266" s="193"/>
      <c r="R5266" s="193">
        <v>4</v>
      </c>
    </row>
    <row r="5267" spans="1:18" ht="36">
      <c r="A5267" s="189">
        <v>206</v>
      </c>
      <c r="B5267" s="186" t="s">
        <v>9628</v>
      </c>
      <c r="C5267" s="190" t="s">
        <v>9629</v>
      </c>
      <c r="D5267" s="191">
        <v>27135.18</v>
      </c>
      <c r="E5267" s="191">
        <v>26603.119999999999</v>
      </c>
      <c r="F5267" s="191"/>
      <c r="G5267" s="191">
        <v>532.05999999999995</v>
      </c>
      <c r="H5267" s="192">
        <v>312054.57</v>
      </c>
      <c r="I5267" s="192">
        <v>305935.88</v>
      </c>
      <c r="J5267" s="192"/>
      <c r="K5267" s="192">
        <v>6118.69</v>
      </c>
      <c r="L5267" s="43">
        <v>11.5</v>
      </c>
      <c r="M5267" s="43">
        <v>11.5</v>
      </c>
      <c r="N5267" s="43" t="s">
        <v>1690</v>
      </c>
      <c r="O5267" s="43">
        <v>11.5</v>
      </c>
      <c r="P5267" s="193"/>
      <c r="Q5267" s="193"/>
      <c r="R5267" s="193">
        <v>4</v>
      </c>
    </row>
    <row r="5268" spans="1:18" ht="12.75" customHeight="1">
      <c r="A5268" s="628" t="s">
        <v>9630</v>
      </c>
      <c r="B5268" s="629"/>
      <c r="C5268" s="629"/>
      <c r="D5268" s="629"/>
      <c r="E5268" s="629"/>
      <c r="F5268" s="629"/>
      <c r="G5268" s="629"/>
      <c r="H5268" s="629"/>
      <c r="I5268" s="629"/>
      <c r="J5268" s="629"/>
      <c r="K5268" s="629"/>
      <c r="L5268" s="629"/>
      <c r="M5268" s="629"/>
      <c r="N5268" s="629"/>
      <c r="O5268" s="629"/>
      <c r="P5268" s="629"/>
      <c r="Q5268" s="629"/>
      <c r="R5268" s="629"/>
    </row>
    <row r="5269" spans="1:18" ht="12.75" customHeight="1">
      <c r="A5269" s="628" t="s">
        <v>9554</v>
      </c>
      <c r="B5269" s="629"/>
      <c r="C5269" s="629"/>
      <c r="D5269" s="629"/>
      <c r="E5269" s="629"/>
      <c r="F5269" s="629"/>
      <c r="G5269" s="629"/>
      <c r="H5269" s="629"/>
      <c r="I5269" s="629"/>
      <c r="J5269" s="629"/>
      <c r="K5269" s="629"/>
      <c r="L5269" s="629"/>
      <c r="M5269" s="629"/>
      <c r="N5269" s="629"/>
      <c r="O5269" s="629"/>
      <c r="P5269" s="629"/>
      <c r="Q5269" s="629"/>
      <c r="R5269" s="629"/>
    </row>
    <row r="5270" spans="1:18" ht="24">
      <c r="A5270" s="189">
        <v>207</v>
      </c>
      <c r="B5270" s="186" t="s">
        <v>9631</v>
      </c>
      <c r="C5270" s="190" t="s">
        <v>9632</v>
      </c>
      <c r="D5270" s="191">
        <v>203.92</v>
      </c>
      <c r="E5270" s="191">
        <v>141.33000000000001</v>
      </c>
      <c r="F5270" s="191">
        <v>59.76</v>
      </c>
      <c r="G5270" s="191">
        <v>2.83</v>
      </c>
      <c r="H5270" s="192">
        <v>1967.84</v>
      </c>
      <c r="I5270" s="192">
        <v>1625.32</v>
      </c>
      <c r="J5270" s="192">
        <v>309.97000000000003</v>
      </c>
      <c r="K5270" s="192">
        <v>32.549999999999997</v>
      </c>
      <c r="L5270" s="43">
        <v>9.6500588466065125</v>
      </c>
      <c r="M5270" s="43">
        <v>11.500176890964408</v>
      </c>
      <c r="N5270" s="43">
        <v>5.1869143239625171</v>
      </c>
      <c r="O5270" s="43">
        <v>11.501766784452295</v>
      </c>
      <c r="P5270" s="193"/>
      <c r="Q5270" s="193"/>
      <c r="R5270" s="193">
        <v>1</v>
      </c>
    </row>
    <row r="5271" spans="1:18" ht="24">
      <c r="A5271" s="189">
        <v>208</v>
      </c>
      <c r="B5271" s="186" t="s">
        <v>9633</v>
      </c>
      <c r="C5271" s="190" t="s">
        <v>9634</v>
      </c>
      <c r="D5271" s="191">
        <v>785.23</v>
      </c>
      <c r="E5271" s="191">
        <v>769.83</v>
      </c>
      <c r="F5271" s="191"/>
      <c r="G5271" s="191">
        <v>15.4</v>
      </c>
      <c r="H5271" s="192">
        <v>9030.48</v>
      </c>
      <c r="I5271" s="192">
        <v>8853.3799999999992</v>
      </c>
      <c r="J5271" s="192"/>
      <c r="K5271" s="192">
        <v>177.1</v>
      </c>
      <c r="L5271" s="43">
        <v>11.500426626593482</v>
      </c>
      <c r="M5271" s="43">
        <v>11.500435161009571</v>
      </c>
      <c r="N5271" s="43" t="s">
        <v>1690</v>
      </c>
      <c r="O5271" s="43">
        <v>11.5</v>
      </c>
      <c r="P5271" s="193"/>
      <c r="Q5271" s="193"/>
      <c r="R5271" s="193">
        <v>1</v>
      </c>
    </row>
    <row r="5272" spans="1:18" ht="24">
      <c r="A5272" s="189">
        <v>209</v>
      </c>
      <c r="B5272" s="186" t="s">
        <v>9635</v>
      </c>
      <c r="C5272" s="190" t="s">
        <v>9636</v>
      </c>
      <c r="D5272" s="191">
        <v>84.38</v>
      </c>
      <c r="E5272" s="191">
        <v>82.73</v>
      </c>
      <c r="F5272" s="191"/>
      <c r="G5272" s="191">
        <v>1.65</v>
      </c>
      <c r="H5272" s="192">
        <v>970.39</v>
      </c>
      <c r="I5272" s="192">
        <v>951.41</v>
      </c>
      <c r="J5272" s="192"/>
      <c r="K5272" s="192">
        <v>18.98</v>
      </c>
      <c r="L5272" s="43">
        <v>11.500237022991231</v>
      </c>
      <c r="M5272" s="43">
        <v>11.500181312703976</v>
      </c>
      <c r="N5272" s="43" t="s">
        <v>1690</v>
      </c>
      <c r="O5272" s="43">
        <v>11.503030303030304</v>
      </c>
      <c r="P5272" s="193"/>
      <c r="Q5272" s="193"/>
      <c r="R5272" s="193">
        <v>1</v>
      </c>
    </row>
    <row r="5273" spans="1:18" ht="24">
      <c r="A5273" s="189">
        <v>210</v>
      </c>
      <c r="B5273" s="186" t="s">
        <v>9637</v>
      </c>
      <c r="C5273" s="190" t="s">
        <v>9638</v>
      </c>
      <c r="D5273" s="191">
        <v>1.17</v>
      </c>
      <c r="E5273" s="191">
        <v>1.1499999999999999</v>
      </c>
      <c r="F5273" s="191"/>
      <c r="G5273" s="191">
        <v>0.02</v>
      </c>
      <c r="H5273" s="192">
        <v>13.44</v>
      </c>
      <c r="I5273" s="192">
        <v>13.21</v>
      </c>
      <c r="J5273" s="192"/>
      <c r="K5273" s="192">
        <v>0.23</v>
      </c>
      <c r="L5273" s="43">
        <v>11.5</v>
      </c>
      <c r="M5273" s="43">
        <v>11.5</v>
      </c>
      <c r="N5273" s="43" t="s">
        <v>1690</v>
      </c>
      <c r="O5273" s="43">
        <v>11.5</v>
      </c>
      <c r="P5273" s="193"/>
      <c r="Q5273" s="193"/>
      <c r="R5273" s="193">
        <v>1</v>
      </c>
    </row>
    <row r="5274" spans="1:18" ht="12.75" customHeight="1">
      <c r="A5274" s="628" t="s">
        <v>9639</v>
      </c>
      <c r="B5274" s="629"/>
      <c r="C5274" s="629"/>
      <c r="D5274" s="629"/>
      <c r="E5274" s="629"/>
      <c r="F5274" s="629"/>
      <c r="G5274" s="629"/>
      <c r="H5274" s="629"/>
      <c r="I5274" s="629"/>
      <c r="J5274" s="629"/>
      <c r="K5274" s="629"/>
      <c r="L5274" s="629"/>
      <c r="M5274" s="629"/>
      <c r="N5274" s="629"/>
      <c r="O5274" s="629"/>
      <c r="P5274" s="629"/>
      <c r="Q5274" s="629"/>
      <c r="R5274" s="629"/>
    </row>
    <row r="5275" spans="1:18" ht="24">
      <c r="A5275" s="189">
        <v>211</v>
      </c>
      <c r="B5275" s="186" t="s">
        <v>9640</v>
      </c>
      <c r="C5275" s="190" t="s">
        <v>9641</v>
      </c>
      <c r="D5275" s="191">
        <v>281.27999999999997</v>
      </c>
      <c r="E5275" s="191">
        <v>275.76</v>
      </c>
      <c r="F5275" s="191"/>
      <c r="G5275" s="191">
        <v>5.52</v>
      </c>
      <c r="H5275" s="192">
        <v>3234.84</v>
      </c>
      <c r="I5275" s="192">
        <v>3171.36</v>
      </c>
      <c r="J5275" s="192"/>
      <c r="K5275" s="192">
        <v>63.48</v>
      </c>
      <c r="L5275" s="43">
        <v>11.500426621160411</v>
      </c>
      <c r="M5275" s="43">
        <v>11.500435161009575</v>
      </c>
      <c r="N5275" s="43" t="s">
        <v>1690</v>
      </c>
      <c r="O5275" s="43">
        <v>11.5</v>
      </c>
      <c r="P5275" s="193"/>
      <c r="Q5275" s="193"/>
      <c r="R5275" s="193">
        <v>2</v>
      </c>
    </row>
    <row r="5276" spans="1:18" ht="24">
      <c r="A5276" s="189">
        <v>212</v>
      </c>
      <c r="B5276" s="186" t="s">
        <v>9642</v>
      </c>
      <c r="C5276" s="190" t="s">
        <v>9643</v>
      </c>
      <c r="D5276" s="191">
        <v>24.61</v>
      </c>
      <c r="E5276" s="191">
        <v>24.13</v>
      </c>
      <c r="F5276" s="191"/>
      <c r="G5276" s="191">
        <v>0.48</v>
      </c>
      <c r="H5276" s="192">
        <v>283.01</v>
      </c>
      <c r="I5276" s="192">
        <v>277.49</v>
      </c>
      <c r="J5276" s="192"/>
      <c r="K5276" s="192">
        <v>5.52</v>
      </c>
      <c r="L5276" s="43">
        <v>11.499796830556685</v>
      </c>
      <c r="M5276" s="43">
        <v>11.499792789059263</v>
      </c>
      <c r="N5276" s="43" t="s">
        <v>1690</v>
      </c>
      <c r="O5276" s="43">
        <v>11.5</v>
      </c>
      <c r="P5276" s="193"/>
      <c r="Q5276" s="193"/>
      <c r="R5276" s="193">
        <v>2</v>
      </c>
    </row>
    <row r="5277" spans="1:18" ht="24">
      <c r="A5277" s="189">
        <v>213</v>
      </c>
      <c r="B5277" s="186" t="s">
        <v>9644</v>
      </c>
      <c r="C5277" s="190" t="s">
        <v>9645</v>
      </c>
      <c r="D5277" s="191">
        <v>48.05</v>
      </c>
      <c r="E5277" s="191">
        <v>47.11</v>
      </c>
      <c r="F5277" s="191"/>
      <c r="G5277" s="191">
        <v>0.94</v>
      </c>
      <c r="H5277" s="192">
        <v>552.58000000000004</v>
      </c>
      <c r="I5277" s="192">
        <v>541.77</v>
      </c>
      <c r="J5277" s="192"/>
      <c r="K5277" s="192">
        <v>10.81</v>
      </c>
      <c r="L5277" s="43">
        <v>11.500104058272635</v>
      </c>
      <c r="M5277" s="43">
        <v>11.500106134578646</v>
      </c>
      <c r="N5277" s="43" t="s">
        <v>1690</v>
      </c>
      <c r="O5277" s="43">
        <v>11.500000000000002</v>
      </c>
      <c r="P5277" s="193"/>
      <c r="Q5277" s="193"/>
      <c r="R5277" s="193">
        <v>2</v>
      </c>
    </row>
    <row r="5278" spans="1:18" ht="24">
      <c r="A5278" s="189">
        <v>214</v>
      </c>
      <c r="B5278" s="186" t="s">
        <v>9646</v>
      </c>
      <c r="C5278" s="190" t="s">
        <v>9647</v>
      </c>
      <c r="D5278" s="191">
        <v>36.33</v>
      </c>
      <c r="E5278" s="191">
        <v>35.619999999999997</v>
      </c>
      <c r="F5278" s="191"/>
      <c r="G5278" s="191">
        <v>0.71</v>
      </c>
      <c r="H5278" s="192">
        <v>417.8</v>
      </c>
      <c r="I5278" s="192">
        <v>409.63</v>
      </c>
      <c r="J5278" s="192"/>
      <c r="K5278" s="192">
        <v>8.17</v>
      </c>
      <c r="L5278" s="43">
        <v>11.500137627305259</v>
      </c>
      <c r="M5278" s="43">
        <v>11.5</v>
      </c>
      <c r="N5278" s="43" t="s">
        <v>1690</v>
      </c>
      <c r="O5278" s="43">
        <v>11.5</v>
      </c>
      <c r="P5278" s="193"/>
      <c r="Q5278" s="193"/>
      <c r="R5278" s="193">
        <v>2</v>
      </c>
    </row>
    <row r="5279" spans="1:18" ht="24">
      <c r="A5279" s="189">
        <v>215</v>
      </c>
      <c r="B5279" s="186" t="s">
        <v>9648</v>
      </c>
      <c r="C5279" s="190" t="s">
        <v>9649</v>
      </c>
      <c r="D5279" s="191">
        <v>4.6900000000000004</v>
      </c>
      <c r="E5279" s="191">
        <v>4.5999999999999996</v>
      </c>
      <c r="F5279" s="191"/>
      <c r="G5279" s="191">
        <v>0.09</v>
      </c>
      <c r="H5279" s="192">
        <v>53.9</v>
      </c>
      <c r="I5279" s="192">
        <v>52.86</v>
      </c>
      <c r="J5279" s="192"/>
      <c r="K5279" s="192">
        <v>1.04</v>
      </c>
      <c r="L5279" s="43">
        <v>11.5</v>
      </c>
      <c r="M5279" s="43">
        <v>11.5</v>
      </c>
      <c r="N5279" s="43" t="s">
        <v>1690</v>
      </c>
      <c r="O5279" s="43">
        <v>11.5</v>
      </c>
      <c r="P5279" s="193"/>
      <c r="Q5279" s="193"/>
      <c r="R5279" s="193">
        <v>2</v>
      </c>
    </row>
    <row r="5280" spans="1:18" ht="24">
      <c r="A5280" s="189">
        <v>216</v>
      </c>
      <c r="B5280" s="186" t="s">
        <v>9650</v>
      </c>
      <c r="C5280" s="190" t="s">
        <v>9651</v>
      </c>
      <c r="D5280" s="191">
        <v>23.22</v>
      </c>
      <c r="E5280" s="191">
        <v>22.76</v>
      </c>
      <c r="F5280" s="191"/>
      <c r="G5280" s="191">
        <v>0.46</v>
      </c>
      <c r="H5280" s="192">
        <v>267.08</v>
      </c>
      <c r="I5280" s="192">
        <v>261.79000000000002</v>
      </c>
      <c r="J5280" s="192"/>
      <c r="K5280" s="192">
        <v>5.29</v>
      </c>
      <c r="L5280" s="43">
        <v>11.502153316106805</v>
      </c>
      <c r="M5280" s="43">
        <v>11.50219683655536</v>
      </c>
      <c r="N5280" s="43" t="s">
        <v>1690</v>
      </c>
      <c r="O5280" s="43">
        <v>11.5</v>
      </c>
      <c r="P5280" s="193"/>
      <c r="Q5280" s="193"/>
      <c r="R5280" s="193">
        <v>2</v>
      </c>
    </row>
    <row r="5281" spans="1:18" ht="24">
      <c r="A5281" s="189">
        <v>217</v>
      </c>
      <c r="B5281" s="186" t="s">
        <v>9652</v>
      </c>
      <c r="C5281" s="190" t="s">
        <v>9653</v>
      </c>
      <c r="D5281" s="191">
        <v>4.6900000000000004</v>
      </c>
      <c r="E5281" s="191">
        <v>4.5999999999999996</v>
      </c>
      <c r="F5281" s="191"/>
      <c r="G5281" s="191">
        <v>0.09</v>
      </c>
      <c r="H5281" s="192">
        <v>53.9</v>
      </c>
      <c r="I5281" s="192">
        <v>52.86</v>
      </c>
      <c r="J5281" s="192"/>
      <c r="K5281" s="192">
        <v>1.04</v>
      </c>
      <c r="L5281" s="43">
        <v>11.5</v>
      </c>
      <c r="M5281" s="43">
        <v>11.5</v>
      </c>
      <c r="N5281" s="43" t="s">
        <v>1690</v>
      </c>
      <c r="O5281" s="43">
        <v>11.5</v>
      </c>
      <c r="P5281" s="193"/>
      <c r="Q5281" s="193"/>
      <c r="R5281" s="193">
        <v>2</v>
      </c>
    </row>
    <row r="5282" spans="1:18" ht="12.75" customHeight="1">
      <c r="A5282" s="628" t="s">
        <v>9654</v>
      </c>
      <c r="B5282" s="629"/>
      <c r="C5282" s="629"/>
      <c r="D5282" s="629"/>
      <c r="E5282" s="629"/>
      <c r="F5282" s="629"/>
      <c r="G5282" s="629"/>
      <c r="H5282" s="629"/>
      <c r="I5282" s="629"/>
      <c r="J5282" s="629"/>
      <c r="K5282" s="629"/>
      <c r="L5282" s="629"/>
      <c r="M5282" s="629"/>
      <c r="N5282" s="629"/>
      <c r="O5282" s="629"/>
      <c r="P5282" s="629"/>
      <c r="Q5282" s="629"/>
      <c r="R5282" s="629"/>
    </row>
    <row r="5283" spans="1:18" ht="24">
      <c r="A5283" s="189">
        <v>218</v>
      </c>
      <c r="B5283" s="186" t="s">
        <v>9655</v>
      </c>
      <c r="C5283" s="190" t="s">
        <v>9656</v>
      </c>
      <c r="D5283" s="191">
        <v>9339.0400000000009</v>
      </c>
      <c r="E5283" s="191">
        <v>9155.92</v>
      </c>
      <c r="F5283" s="191"/>
      <c r="G5283" s="191">
        <v>183.12</v>
      </c>
      <c r="H5283" s="192">
        <v>107398.96</v>
      </c>
      <c r="I5283" s="192">
        <v>105293.08</v>
      </c>
      <c r="J5283" s="192"/>
      <c r="K5283" s="192">
        <v>2105.88</v>
      </c>
      <c r="L5283" s="43">
        <v>11.5</v>
      </c>
      <c r="M5283" s="43">
        <v>11.5</v>
      </c>
      <c r="N5283" s="43" t="s">
        <v>1690</v>
      </c>
      <c r="O5283" s="43">
        <v>11.5</v>
      </c>
      <c r="P5283" s="193"/>
      <c r="Q5283" s="193"/>
      <c r="R5283" s="193">
        <v>3</v>
      </c>
    </row>
    <row r="5284" spans="1:18" ht="24">
      <c r="A5284" s="189">
        <v>219</v>
      </c>
      <c r="B5284" s="186" t="s">
        <v>9657</v>
      </c>
      <c r="C5284" s="190" t="s">
        <v>9658</v>
      </c>
      <c r="D5284" s="191">
        <v>535.46</v>
      </c>
      <c r="E5284" s="191">
        <v>524.96</v>
      </c>
      <c r="F5284" s="191"/>
      <c r="G5284" s="191">
        <v>10.5</v>
      </c>
      <c r="H5284" s="192">
        <v>6157.79</v>
      </c>
      <c r="I5284" s="192">
        <v>6037.04</v>
      </c>
      <c r="J5284" s="192"/>
      <c r="K5284" s="192">
        <v>120.75</v>
      </c>
      <c r="L5284" s="43">
        <v>11.5</v>
      </c>
      <c r="M5284" s="43">
        <v>11.5</v>
      </c>
      <c r="N5284" s="43" t="s">
        <v>1690</v>
      </c>
      <c r="O5284" s="43">
        <v>11.5</v>
      </c>
      <c r="P5284" s="193"/>
      <c r="Q5284" s="193"/>
      <c r="R5284" s="193">
        <v>3</v>
      </c>
    </row>
    <row r="5285" spans="1:18" ht="12.75" customHeight="1">
      <c r="A5285" s="628" t="s">
        <v>9659</v>
      </c>
      <c r="B5285" s="629"/>
      <c r="C5285" s="629"/>
      <c r="D5285" s="629"/>
      <c r="E5285" s="629"/>
      <c r="F5285" s="629"/>
      <c r="G5285" s="629"/>
      <c r="H5285" s="629"/>
      <c r="I5285" s="629"/>
      <c r="J5285" s="629"/>
      <c r="K5285" s="629"/>
      <c r="L5285" s="629"/>
      <c r="M5285" s="629"/>
      <c r="N5285" s="629"/>
      <c r="O5285" s="629"/>
      <c r="P5285" s="629"/>
      <c r="Q5285" s="629"/>
      <c r="R5285" s="629"/>
    </row>
    <row r="5286" spans="1:18" ht="24">
      <c r="A5286" s="189">
        <v>220</v>
      </c>
      <c r="B5286" s="186" t="s">
        <v>9660</v>
      </c>
      <c r="C5286" s="190" t="s">
        <v>9661</v>
      </c>
      <c r="D5286" s="191">
        <v>82.45</v>
      </c>
      <c r="E5286" s="191">
        <v>80.83</v>
      </c>
      <c r="F5286" s="191"/>
      <c r="G5286" s="191">
        <v>1.62</v>
      </c>
      <c r="H5286" s="192">
        <v>948.15</v>
      </c>
      <c r="I5286" s="192">
        <v>929.52</v>
      </c>
      <c r="J5286" s="192"/>
      <c r="K5286" s="192">
        <v>18.63</v>
      </c>
      <c r="L5286" s="43">
        <v>11.499696785930867</v>
      </c>
      <c r="M5286" s="43">
        <v>11.499690708895212</v>
      </c>
      <c r="N5286" s="43" t="s">
        <v>1690</v>
      </c>
      <c r="O5286" s="43">
        <v>11.499999999999998</v>
      </c>
      <c r="P5286" s="193"/>
      <c r="Q5286" s="193"/>
      <c r="R5286" s="193">
        <v>4</v>
      </c>
    </row>
    <row r="5287" spans="1:18" ht="24">
      <c r="A5287" s="189">
        <v>221</v>
      </c>
      <c r="B5287" s="186" t="s">
        <v>9662</v>
      </c>
      <c r="C5287" s="190" t="s">
        <v>9663</v>
      </c>
      <c r="D5287" s="191">
        <v>7275.95</v>
      </c>
      <c r="E5287" s="191">
        <v>7133.28</v>
      </c>
      <c r="F5287" s="191"/>
      <c r="G5287" s="191">
        <v>142.66999999999999</v>
      </c>
      <c r="H5287" s="192">
        <v>83673.429999999993</v>
      </c>
      <c r="I5287" s="192">
        <v>82032.72</v>
      </c>
      <c r="J5287" s="192"/>
      <c r="K5287" s="192">
        <v>1640.71</v>
      </c>
      <c r="L5287" s="43">
        <v>11.500000687195486</v>
      </c>
      <c r="M5287" s="43">
        <v>11.5</v>
      </c>
      <c r="N5287" s="43" t="s">
        <v>1690</v>
      </c>
      <c r="O5287" s="43">
        <v>11.500035045910144</v>
      </c>
      <c r="P5287" s="193"/>
      <c r="Q5287" s="193"/>
      <c r="R5287" s="193">
        <v>4</v>
      </c>
    </row>
    <row r="5288" spans="1:18" ht="24">
      <c r="A5288" s="189">
        <v>222</v>
      </c>
      <c r="B5288" s="186" t="s">
        <v>9664</v>
      </c>
      <c r="C5288" s="190" t="s">
        <v>9665</v>
      </c>
      <c r="D5288" s="191">
        <v>96.06</v>
      </c>
      <c r="E5288" s="191">
        <v>94.18</v>
      </c>
      <c r="F5288" s="191"/>
      <c r="G5288" s="191">
        <v>1.88</v>
      </c>
      <c r="H5288" s="192">
        <v>1104.74</v>
      </c>
      <c r="I5288" s="192">
        <v>1083.1199999999999</v>
      </c>
      <c r="J5288" s="192"/>
      <c r="K5288" s="192">
        <v>21.62</v>
      </c>
      <c r="L5288" s="43">
        <v>11.500520508015823</v>
      </c>
      <c r="M5288" s="43">
        <v>11.500530898279887</v>
      </c>
      <c r="N5288" s="43" t="s">
        <v>1690</v>
      </c>
      <c r="O5288" s="43">
        <v>11.500000000000002</v>
      </c>
      <c r="P5288" s="193"/>
      <c r="Q5288" s="193"/>
      <c r="R5288" s="193">
        <v>4</v>
      </c>
    </row>
    <row r="5289" spans="1:18" ht="24">
      <c r="A5289" s="189">
        <v>223</v>
      </c>
      <c r="B5289" s="186" t="s">
        <v>9666</v>
      </c>
      <c r="C5289" s="190" t="s">
        <v>9667</v>
      </c>
      <c r="D5289" s="191">
        <v>259.86</v>
      </c>
      <c r="E5289" s="191">
        <v>254.76</v>
      </c>
      <c r="F5289" s="191"/>
      <c r="G5289" s="191">
        <v>5.0999999999999996</v>
      </c>
      <c r="H5289" s="192">
        <v>2988.39</v>
      </c>
      <c r="I5289" s="192">
        <v>2929.74</v>
      </c>
      <c r="J5289" s="192"/>
      <c r="K5289" s="192">
        <v>58.65</v>
      </c>
      <c r="L5289" s="43">
        <v>11.499999999999998</v>
      </c>
      <c r="M5289" s="43">
        <v>11.5</v>
      </c>
      <c r="N5289" s="43" t="s">
        <v>1690</v>
      </c>
      <c r="O5289" s="43">
        <v>11.5</v>
      </c>
      <c r="P5289" s="193"/>
      <c r="Q5289" s="193"/>
      <c r="R5289" s="193">
        <v>4</v>
      </c>
    </row>
    <row r="5290" spans="1:18" ht="24">
      <c r="A5290" s="189">
        <v>224</v>
      </c>
      <c r="B5290" s="186" t="s">
        <v>9668</v>
      </c>
      <c r="C5290" s="190" t="s">
        <v>9669</v>
      </c>
      <c r="D5290" s="191">
        <v>5.41</v>
      </c>
      <c r="E5290" s="191">
        <v>5.3</v>
      </c>
      <c r="F5290" s="191"/>
      <c r="G5290" s="191">
        <v>0.11</v>
      </c>
      <c r="H5290" s="192">
        <v>62.22</v>
      </c>
      <c r="I5290" s="192">
        <v>60.95</v>
      </c>
      <c r="J5290" s="192"/>
      <c r="K5290" s="192">
        <v>1.27</v>
      </c>
      <c r="L5290" s="43">
        <v>11.500924214417745</v>
      </c>
      <c r="M5290" s="43">
        <v>11.500000000000002</v>
      </c>
      <c r="N5290" s="43" t="s">
        <v>1690</v>
      </c>
      <c r="O5290" s="43">
        <v>11.5</v>
      </c>
      <c r="P5290" s="193"/>
      <c r="Q5290" s="193"/>
      <c r="R5290" s="193">
        <v>4</v>
      </c>
    </row>
    <row r="5291" spans="1:18" ht="24">
      <c r="A5291" s="189">
        <v>225</v>
      </c>
      <c r="B5291" s="186" t="s">
        <v>9670</v>
      </c>
      <c r="C5291" s="190" t="s">
        <v>9671</v>
      </c>
      <c r="D5291" s="191">
        <v>41.9</v>
      </c>
      <c r="E5291" s="191">
        <v>41.08</v>
      </c>
      <c r="F5291" s="191"/>
      <c r="G5291" s="191">
        <v>0.82</v>
      </c>
      <c r="H5291" s="192">
        <v>481.81</v>
      </c>
      <c r="I5291" s="192">
        <v>472.38</v>
      </c>
      <c r="J5291" s="192"/>
      <c r="K5291" s="192">
        <v>9.43</v>
      </c>
      <c r="L5291" s="43">
        <v>11.499045346062053</v>
      </c>
      <c r="M5291" s="43">
        <v>11.499026290165531</v>
      </c>
      <c r="N5291" s="43" t="s">
        <v>1690</v>
      </c>
      <c r="O5291" s="43">
        <v>11.5</v>
      </c>
      <c r="P5291" s="193"/>
      <c r="Q5291" s="193"/>
      <c r="R5291" s="193">
        <v>4</v>
      </c>
    </row>
    <row r="5292" spans="1:18" ht="24">
      <c r="A5292" s="189">
        <v>226</v>
      </c>
      <c r="B5292" s="186" t="s">
        <v>9672</v>
      </c>
      <c r="C5292" s="190" t="s">
        <v>9673</v>
      </c>
      <c r="D5292" s="191">
        <v>55.42</v>
      </c>
      <c r="E5292" s="191">
        <v>54.33</v>
      </c>
      <c r="F5292" s="191"/>
      <c r="G5292" s="191">
        <v>1.0900000000000001</v>
      </c>
      <c r="H5292" s="192">
        <v>637.29999999999995</v>
      </c>
      <c r="I5292" s="192">
        <v>624.76</v>
      </c>
      <c r="J5292" s="192"/>
      <c r="K5292" s="192">
        <v>12.54</v>
      </c>
      <c r="L5292" s="43">
        <v>11.499458679177192</v>
      </c>
      <c r="M5292" s="43">
        <v>11.499355788698693</v>
      </c>
      <c r="N5292" s="43" t="s">
        <v>1690</v>
      </c>
      <c r="O5292" s="43">
        <v>11.504587155963302</v>
      </c>
      <c r="P5292" s="193"/>
      <c r="Q5292" s="193"/>
      <c r="R5292" s="193">
        <v>4</v>
      </c>
    </row>
    <row r="5293" spans="1:18" ht="36">
      <c r="A5293" s="189">
        <v>227</v>
      </c>
      <c r="B5293" s="186" t="s">
        <v>9674</v>
      </c>
      <c r="C5293" s="190" t="s">
        <v>9675</v>
      </c>
      <c r="D5293" s="191">
        <v>28.39</v>
      </c>
      <c r="E5293" s="191">
        <v>27.83</v>
      </c>
      <c r="F5293" s="191"/>
      <c r="G5293" s="191">
        <v>0.56000000000000005</v>
      </c>
      <c r="H5293" s="192">
        <v>326.44</v>
      </c>
      <c r="I5293" s="192">
        <v>320</v>
      </c>
      <c r="J5293" s="192"/>
      <c r="K5293" s="192">
        <v>6.44</v>
      </c>
      <c r="L5293" s="43">
        <v>11.498414934836209</v>
      </c>
      <c r="M5293" s="43">
        <v>11.498383039885017</v>
      </c>
      <c r="N5293" s="43" t="s">
        <v>1690</v>
      </c>
      <c r="O5293" s="43">
        <v>11.5</v>
      </c>
      <c r="P5293" s="193"/>
      <c r="Q5293" s="193"/>
      <c r="R5293" s="193">
        <v>4</v>
      </c>
    </row>
    <row r="5294" spans="1:18" ht="24">
      <c r="A5294" s="189">
        <v>228</v>
      </c>
      <c r="B5294" s="186" t="s">
        <v>9676</v>
      </c>
      <c r="C5294" s="190" t="s">
        <v>9677</v>
      </c>
      <c r="D5294" s="191">
        <v>41.9</v>
      </c>
      <c r="E5294" s="191">
        <v>41.08</v>
      </c>
      <c r="F5294" s="191"/>
      <c r="G5294" s="191">
        <v>0.82</v>
      </c>
      <c r="H5294" s="192">
        <v>481.81</v>
      </c>
      <c r="I5294" s="192">
        <v>472.38</v>
      </c>
      <c r="J5294" s="192"/>
      <c r="K5294" s="192">
        <v>9.43</v>
      </c>
      <c r="L5294" s="43">
        <v>11.499045346062053</v>
      </c>
      <c r="M5294" s="43">
        <v>11.499026290165531</v>
      </c>
      <c r="N5294" s="43" t="s">
        <v>1690</v>
      </c>
      <c r="O5294" s="43">
        <v>11.5</v>
      </c>
      <c r="P5294" s="193"/>
      <c r="Q5294" s="193"/>
      <c r="R5294" s="193">
        <v>4</v>
      </c>
    </row>
    <row r="5295" spans="1:18" ht="24">
      <c r="A5295" s="189">
        <v>229</v>
      </c>
      <c r="B5295" s="186" t="s">
        <v>9678</v>
      </c>
      <c r="C5295" s="190" t="s">
        <v>9679</v>
      </c>
      <c r="D5295" s="191">
        <v>13.52</v>
      </c>
      <c r="E5295" s="191">
        <v>13.25</v>
      </c>
      <c r="F5295" s="191"/>
      <c r="G5295" s="191">
        <v>0.27</v>
      </c>
      <c r="H5295" s="192">
        <v>155.49</v>
      </c>
      <c r="I5295" s="192">
        <v>152.38</v>
      </c>
      <c r="J5295" s="192"/>
      <c r="K5295" s="192">
        <v>3.11</v>
      </c>
      <c r="L5295" s="43">
        <v>11.500739644970416</v>
      </c>
      <c r="M5295" s="43">
        <v>11.500377358490566</v>
      </c>
      <c r="N5295" s="43" t="s">
        <v>1690</v>
      </c>
      <c r="O5295" s="43">
        <v>11.518518518518517</v>
      </c>
      <c r="P5295" s="193"/>
      <c r="Q5295" s="193"/>
      <c r="R5295" s="193">
        <v>4</v>
      </c>
    </row>
    <row r="5296" spans="1:18" ht="24">
      <c r="A5296" s="189">
        <v>230</v>
      </c>
      <c r="B5296" s="186" t="s">
        <v>9680</v>
      </c>
      <c r="C5296" s="190" t="s">
        <v>9681</v>
      </c>
      <c r="D5296" s="191">
        <v>82.45</v>
      </c>
      <c r="E5296" s="191">
        <v>80.83</v>
      </c>
      <c r="F5296" s="191"/>
      <c r="G5296" s="191">
        <v>1.62</v>
      </c>
      <c r="H5296" s="192">
        <v>948.15</v>
      </c>
      <c r="I5296" s="192">
        <v>929.52</v>
      </c>
      <c r="J5296" s="192"/>
      <c r="K5296" s="192">
        <v>18.63</v>
      </c>
      <c r="L5296" s="43">
        <v>11.499696785930867</v>
      </c>
      <c r="M5296" s="43">
        <v>11.499690708895212</v>
      </c>
      <c r="N5296" s="43" t="s">
        <v>1690</v>
      </c>
      <c r="O5296" s="43">
        <v>11.499999999999998</v>
      </c>
      <c r="P5296" s="193"/>
      <c r="Q5296" s="193"/>
      <c r="R5296" s="193">
        <v>4</v>
      </c>
    </row>
    <row r="5297" spans="1:18" ht="24">
      <c r="A5297" s="189">
        <v>231</v>
      </c>
      <c r="B5297" s="186" t="s">
        <v>9682</v>
      </c>
      <c r="C5297" s="190" t="s">
        <v>9683</v>
      </c>
      <c r="D5297" s="191">
        <v>97.31</v>
      </c>
      <c r="E5297" s="191">
        <v>95.4</v>
      </c>
      <c r="F5297" s="191"/>
      <c r="G5297" s="191">
        <v>1.91</v>
      </c>
      <c r="H5297" s="192">
        <v>1119.1099999999999</v>
      </c>
      <c r="I5297" s="192">
        <v>1097.1400000000001</v>
      </c>
      <c r="J5297" s="192"/>
      <c r="K5297" s="192">
        <v>21.97</v>
      </c>
      <c r="L5297" s="43">
        <v>11.500462439625936</v>
      </c>
      <c r="M5297" s="43">
        <v>11.50041928721174</v>
      </c>
      <c r="N5297" s="43" t="s">
        <v>1690</v>
      </c>
      <c r="O5297" s="43">
        <v>11.502617801047121</v>
      </c>
      <c r="P5297" s="193"/>
      <c r="Q5297" s="193"/>
      <c r="R5297" s="193">
        <v>4</v>
      </c>
    </row>
    <row r="5298" spans="1:18" ht="24">
      <c r="A5298" s="189">
        <v>232</v>
      </c>
      <c r="B5298" s="186" t="s">
        <v>9684</v>
      </c>
      <c r="C5298" s="190" t="s">
        <v>9685</v>
      </c>
      <c r="D5298" s="191">
        <v>152.72</v>
      </c>
      <c r="E5298" s="191">
        <v>149.72999999999999</v>
      </c>
      <c r="F5298" s="191"/>
      <c r="G5298" s="191">
        <v>2.99</v>
      </c>
      <c r="H5298" s="192">
        <v>1756.28</v>
      </c>
      <c r="I5298" s="192">
        <v>1721.89</v>
      </c>
      <c r="J5298" s="192"/>
      <c r="K5298" s="192">
        <v>34.39</v>
      </c>
      <c r="L5298" s="43">
        <v>11.5</v>
      </c>
      <c r="M5298" s="43">
        <v>11.499966606558473</v>
      </c>
      <c r="N5298" s="43" t="s">
        <v>1690</v>
      </c>
      <c r="O5298" s="43">
        <v>11.501672240802675</v>
      </c>
      <c r="P5298" s="193"/>
      <c r="Q5298" s="193"/>
      <c r="R5298" s="193">
        <v>4</v>
      </c>
    </row>
    <row r="5299" spans="1:18" ht="24">
      <c r="A5299" s="189">
        <v>233</v>
      </c>
      <c r="B5299" s="186" t="s">
        <v>9686</v>
      </c>
      <c r="C5299" s="190" t="s">
        <v>9687</v>
      </c>
      <c r="D5299" s="191">
        <v>3946.38</v>
      </c>
      <c r="E5299" s="191">
        <v>3869</v>
      </c>
      <c r="F5299" s="191"/>
      <c r="G5299" s="191">
        <v>77.38</v>
      </c>
      <c r="H5299" s="192">
        <v>45384.83</v>
      </c>
      <c r="I5299" s="192">
        <v>44494.96</v>
      </c>
      <c r="J5299" s="192"/>
      <c r="K5299" s="192">
        <v>889.87</v>
      </c>
      <c r="L5299" s="43">
        <v>11.500369959304477</v>
      </c>
      <c r="M5299" s="43">
        <v>11.500377358490566</v>
      </c>
      <c r="N5299" s="43" t="s">
        <v>1690</v>
      </c>
      <c r="O5299" s="43">
        <v>11.5</v>
      </c>
      <c r="P5299" s="193"/>
      <c r="Q5299" s="193"/>
      <c r="R5299" s="193">
        <v>4</v>
      </c>
    </row>
    <row r="5300" spans="1:18" ht="36">
      <c r="A5300" s="189">
        <v>234</v>
      </c>
      <c r="B5300" s="186" t="s">
        <v>9688</v>
      </c>
      <c r="C5300" s="190" t="s">
        <v>9689</v>
      </c>
      <c r="D5300" s="191">
        <v>1135.26</v>
      </c>
      <c r="E5300" s="191">
        <v>1113</v>
      </c>
      <c r="F5300" s="191"/>
      <c r="G5300" s="191">
        <v>22.26</v>
      </c>
      <c r="H5300" s="192">
        <v>13055.91</v>
      </c>
      <c r="I5300" s="192">
        <v>12799.92</v>
      </c>
      <c r="J5300" s="192"/>
      <c r="K5300" s="192">
        <v>255.99</v>
      </c>
      <c r="L5300" s="43">
        <v>11.500369959304477</v>
      </c>
      <c r="M5300" s="43">
        <v>11.500377358490566</v>
      </c>
      <c r="N5300" s="43" t="s">
        <v>1690</v>
      </c>
      <c r="O5300" s="43">
        <v>11.5</v>
      </c>
      <c r="P5300" s="193"/>
      <c r="Q5300" s="193"/>
      <c r="R5300" s="193">
        <v>4</v>
      </c>
    </row>
    <row r="5301" spans="1:18" ht="24">
      <c r="A5301" s="189">
        <v>235</v>
      </c>
      <c r="B5301" s="186" t="s">
        <v>9690</v>
      </c>
      <c r="C5301" s="190" t="s">
        <v>9691</v>
      </c>
      <c r="D5301" s="191">
        <v>13.52</v>
      </c>
      <c r="E5301" s="191">
        <v>13.25</v>
      </c>
      <c r="F5301" s="191"/>
      <c r="G5301" s="191">
        <v>0.27</v>
      </c>
      <c r="H5301" s="192">
        <v>155.49</v>
      </c>
      <c r="I5301" s="192">
        <v>152.38</v>
      </c>
      <c r="J5301" s="192"/>
      <c r="K5301" s="192">
        <v>3.11</v>
      </c>
      <c r="L5301" s="43">
        <v>11.500739644970416</v>
      </c>
      <c r="M5301" s="43">
        <v>11.500377358490566</v>
      </c>
      <c r="N5301" s="43" t="s">
        <v>1690</v>
      </c>
      <c r="O5301" s="43">
        <v>11.5</v>
      </c>
      <c r="P5301" s="193"/>
      <c r="Q5301" s="193"/>
      <c r="R5301" s="193">
        <v>4</v>
      </c>
    </row>
    <row r="5302" spans="1:18" ht="12.75" customHeight="1">
      <c r="A5302" s="628" t="s">
        <v>9692</v>
      </c>
      <c r="B5302" s="629"/>
      <c r="C5302" s="629"/>
      <c r="D5302" s="629"/>
      <c r="E5302" s="629"/>
      <c r="F5302" s="629"/>
      <c r="G5302" s="629"/>
      <c r="H5302" s="629"/>
      <c r="I5302" s="629"/>
      <c r="J5302" s="629"/>
      <c r="K5302" s="629"/>
      <c r="L5302" s="629"/>
      <c r="M5302" s="629"/>
      <c r="N5302" s="629"/>
      <c r="O5302" s="629"/>
      <c r="P5302" s="629"/>
      <c r="Q5302" s="629"/>
      <c r="R5302" s="629"/>
    </row>
    <row r="5303" spans="1:18" ht="24">
      <c r="A5303" s="189">
        <v>236</v>
      </c>
      <c r="B5303" s="186" t="s">
        <v>9693</v>
      </c>
      <c r="C5303" s="190" t="s">
        <v>9694</v>
      </c>
      <c r="D5303" s="191">
        <v>2040.77</v>
      </c>
      <c r="E5303" s="191">
        <v>2000.75</v>
      </c>
      <c r="F5303" s="191"/>
      <c r="G5303" s="191">
        <v>40.020000000000003</v>
      </c>
      <c r="H5303" s="192">
        <v>23469.61</v>
      </c>
      <c r="I5303" s="192">
        <v>23009.38</v>
      </c>
      <c r="J5303" s="192"/>
      <c r="K5303" s="192">
        <v>460.23</v>
      </c>
      <c r="L5303" s="43">
        <v>11.500369958398055</v>
      </c>
      <c r="M5303" s="43">
        <v>11.500377358490567</v>
      </c>
      <c r="N5303" s="43" t="s">
        <v>1690</v>
      </c>
      <c r="O5303" s="43">
        <v>11.5</v>
      </c>
      <c r="P5303" s="193"/>
      <c r="Q5303" s="193"/>
      <c r="R5303" s="193">
        <v>5</v>
      </c>
    </row>
    <row r="5304" spans="1:18" ht="24">
      <c r="A5304" s="189">
        <v>237</v>
      </c>
      <c r="B5304" s="186" t="s">
        <v>9695</v>
      </c>
      <c r="C5304" s="190" t="s">
        <v>9696</v>
      </c>
      <c r="D5304" s="191">
        <v>55.42</v>
      </c>
      <c r="E5304" s="191">
        <v>54.33</v>
      </c>
      <c r="F5304" s="191"/>
      <c r="G5304" s="191">
        <v>1.0900000000000001</v>
      </c>
      <c r="H5304" s="192">
        <v>637.29999999999995</v>
      </c>
      <c r="I5304" s="192">
        <v>624.76</v>
      </c>
      <c r="J5304" s="192"/>
      <c r="K5304" s="192">
        <v>12.54</v>
      </c>
      <c r="L5304" s="43">
        <v>11.499458679177192</v>
      </c>
      <c r="M5304" s="43">
        <v>11.499355788698693</v>
      </c>
      <c r="N5304" s="43" t="s">
        <v>1690</v>
      </c>
      <c r="O5304" s="43">
        <v>11.504587155963302</v>
      </c>
      <c r="P5304" s="193"/>
      <c r="Q5304" s="193"/>
      <c r="R5304" s="193">
        <v>5</v>
      </c>
    </row>
    <row r="5305" spans="1:18" ht="24">
      <c r="A5305" s="189">
        <v>238</v>
      </c>
      <c r="B5305" s="186" t="s">
        <v>9697</v>
      </c>
      <c r="C5305" s="190" t="s">
        <v>9698</v>
      </c>
      <c r="D5305" s="191">
        <v>527.09</v>
      </c>
      <c r="E5305" s="191">
        <v>516.75</v>
      </c>
      <c r="F5305" s="191"/>
      <c r="G5305" s="191">
        <v>10.34</v>
      </c>
      <c r="H5305" s="192">
        <v>6061.73</v>
      </c>
      <c r="I5305" s="192">
        <v>5942.82</v>
      </c>
      <c r="J5305" s="192"/>
      <c r="K5305" s="192">
        <v>118.91</v>
      </c>
      <c r="L5305" s="43">
        <v>11.500369955795025</v>
      </c>
      <c r="M5305" s="43">
        <v>11.500377358490566</v>
      </c>
      <c r="N5305" s="43" t="s">
        <v>1690</v>
      </c>
      <c r="O5305" s="43">
        <v>11.5</v>
      </c>
      <c r="P5305" s="193"/>
      <c r="Q5305" s="193"/>
      <c r="R5305" s="193">
        <v>5</v>
      </c>
    </row>
    <row r="5306" spans="1:18" ht="24">
      <c r="A5306" s="189">
        <v>239</v>
      </c>
      <c r="B5306" s="186" t="s">
        <v>9699</v>
      </c>
      <c r="C5306" s="190" t="s">
        <v>9700</v>
      </c>
      <c r="D5306" s="191">
        <v>432.48</v>
      </c>
      <c r="E5306" s="191">
        <v>424</v>
      </c>
      <c r="F5306" s="191"/>
      <c r="G5306" s="191">
        <v>8.48</v>
      </c>
      <c r="H5306" s="192">
        <v>4973.68</v>
      </c>
      <c r="I5306" s="192">
        <v>4876.16</v>
      </c>
      <c r="J5306" s="192"/>
      <c r="K5306" s="192">
        <v>97.52</v>
      </c>
      <c r="L5306" s="43">
        <v>11.500369959304477</v>
      </c>
      <c r="M5306" s="43">
        <v>11.500377358490566</v>
      </c>
      <c r="N5306" s="43" t="s">
        <v>1690</v>
      </c>
      <c r="O5306" s="43">
        <v>11.499999999999998</v>
      </c>
      <c r="P5306" s="193"/>
      <c r="Q5306" s="193"/>
      <c r="R5306" s="193">
        <v>5</v>
      </c>
    </row>
    <row r="5307" spans="1:18" ht="24">
      <c r="A5307" s="189">
        <v>240</v>
      </c>
      <c r="B5307" s="186" t="s">
        <v>9701</v>
      </c>
      <c r="C5307" s="190" t="s">
        <v>9702</v>
      </c>
      <c r="D5307" s="191">
        <v>40.549999999999997</v>
      </c>
      <c r="E5307" s="191">
        <v>39.75</v>
      </c>
      <c r="F5307" s="191"/>
      <c r="G5307" s="191">
        <v>0.8</v>
      </c>
      <c r="H5307" s="192">
        <v>466.34</v>
      </c>
      <c r="I5307" s="192">
        <v>457.14</v>
      </c>
      <c r="J5307" s="192"/>
      <c r="K5307" s="192">
        <v>9.1999999999999993</v>
      </c>
      <c r="L5307" s="43">
        <v>11.500369913686807</v>
      </c>
      <c r="M5307" s="43">
        <v>11.500377358490566</v>
      </c>
      <c r="N5307" s="43" t="s">
        <v>1690</v>
      </c>
      <c r="O5307" s="43">
        <v>11.499999999999998</v>
      </c>
      <c r="P5307" s="193"/>
      <c r="Q5307" s="193"/>
      <c r="R5307" s="193">
        <v>5</v>
      </c>
    </row>
    <row r="5308" spans="1:18" ht="24">
      <c r="A5308" s="189">
        <v>241</v>
      </c>
      <c r="B5308" s="186" t="s">
        <v>9703</v>
      </c>
      <c r="C5308" s="190" t="s">
        <v>9704</v>
      </c>
      <c r="D5308" s="191">
        <v>5.41</v>
      </c>
      <c r="E5308" s="191">
        <v>5.3</v>
      </c>
      <c r="F5308" s="191"/>
      <c r="G5308" s="191">
        <v>0.11</v>
      </c>
      <c r="H5308" s="192">
        <v>62.22</v>
      </c>
      <c r="I5308" s="192">
        <v>60.95</v>
      </c>
      <c r="J5308" s="192"/>
      <c r="K5308" s="192">
        <v>1.27</v>
      </c>
      <c r="L5308" s="43">
        <v>11.500924214417745</v>
      </c>
      <c r="M5308" s="43">
        <v>11.500000000000002</v>
      </c>
      <c r="N5308" s="43" t="s">
        <v>1690</v>
      </c>
      <c r="O5308" s="43">
        <v>11.5</v>
      </c>
      <c r="P5308" s="193"/>
      <c r="Q5308" s="193"/>
      <c r="R5308" s="193">
        <v>5</v>
      </c>
    </row>
    <row r="5309" spans="1:18" ht="24">
      <c r="A5309" s="189">
        <v>242</v>
      </c>
      <c r="B5309" s="186" t="s">
        <v>9705</v>
      </c>
      <c r="C5309" s="190" t="s">
        <v>9706</v>
      </c>
      <c r="D5309" s="191">
        <v>181.1</v>
      </c>
      <c r="E5309" s="191">
        <v>177.55</v>
      </c>
      <c r="F5309" s="191"/>
      <c r="G5309" s="191">
        <v>3.55</v>
      </c>
      <c r="H5309" s="192">
        <v>2082.7199999999998</v>
      </c>
      <c r="I5309" s="192">
        <v>2041.89</v>
      </c>
      <c r="J5309" s="192"/>
      <c r="K5309" s="192">
        <v>40.83</v>
      </c>
      <c r="L5309" s="43">
        <v>11.500386526780783</v>
      </c>
      <c r="M5309" s="43">
        <v>11.500366094058011</v>
      </c>
      <c r="N5309" s="43" t="s">
        <v>1690</v>
      </c>
      <c r="O5309" s="43">
        <v>11.501408450704226</v>
      </c>
      <c r="P5309" s="193"/>
      <c r="Q5309" s="193"/>
      <c r="R5309" s="193">
        <v>5</v>
      </c>
    </row>
    <row r="5310" spans="1:18" ht="24">
      <c r="A5310" s="189">
        <v>243</v>
      </c>
      <c r="B5310" s="186" t="s">
        <v>9707</v>
      </c>
      <c r="C5310" s="190" t="s">
        <v>9708</v>
      </c>
      <c r="D5310" s="191">
        <v>824.42</v>
      </c>
      <c r="E5310" s="191">
        <v>808.25</v>
      </c>
      <c r="F5310" s="191"/>
      <c r="G5310" s="191">
        <v>16.170000000000002</v>
      </c>
      <c r="H5310" s="192">
        <v>9481.14</v>
      </c>
      <c r="I5310" s="192">
        <v>9295.18</v>
      </c>
      <c r="J5310" s="192"/>
      <c r="K5310" s="192">
        <v>185.96</v>
      </c>
      <c r="L5310" s="43">
        <v>11.500376021930569</v>
      </c>
      <c r="M5310" s="43">
        <v>11.500377358490566</v>
      </c>
      <c r="N5310" s="43" t="s">
        <v>1690</v>
      </c>
      <c r="O5310" s="43">
        <v>11.500309214594928</v>
      </c>
      <c r="P5310" s="193"/>
      <c r="Q5310" s="193"/>
      <c r="R5310" s="193">
        <v>5</v>
      </c>
    </row>
    <row r="5311" spans="1:18" ht="24">
      <c r="A5311" s="189">
        <v>244</v>
      </c>
      <c r="B5311" s="186" t="s">
        <v>9709</v>
      </c>
      <c r="C5311" s="190" t="s">
        <v>9710</v>
      </c>
      <c r="D5311" s="191">
        <v>635.21</v>
      </c>
      <c r="E5311" s="191">
        <v>622.75</v>
      </c>
      <c r="F5311" s="191"/>
      <c r="G5311" s="191">
        <v>12.46</v>
      </c>
      <c r="H5311" s="192">
        <v>7305.15</v>
      </c>
      <c r="I5311" s="192">
        <v>7161.86</v>
      </c>
      <c r="J5311" s="192"/>
      <c r="K5311" s="192">
        <v>143.29</v>
      </c>
      <c r="L5311" s="43">
        <v>11.500369956392372</v>
      </c>
      <c r="M5311" s="43">
        <v>11.500377358490566</v>
      </c>
      <c r="N5311" s="43" t="s">
        <v>1690</v>
      </c>
      <c r="O5311" s="43">
        <v>11.499999999999998</v>
      </c>
      <c r="P5311" s="193"/>
      <c r="Q5311" s="193"/>
      <c r="R5311" s="193">
        <v>5</v>
      </c>
    </row>
    <row r="5312" spans="1:18" ht="24">
      <c r="A5312" s="189">
        <v>245</v>
      </c>
      <c r="B5312" s="186" t="s">
        <v>9711</v>
      </c>
      <c r="C5312" s="190" t="s">
        <v>9712</v>
      </c>
      <c r="D5312" s="191">
        <v>2.7</v>
      </c>
      <c r="E5312" s="191">
        <v>2.65</v>
      </c>
      <c r="F5312" s="191"/>
      <c r="G5312" s="191">
        <v>0.05</v>
      </c>
      <c r="H5312" s="192">
        <v>31.06</v>
      </c>
      <c r="I5312" s="192">
        <v>30.48</v>
      </c>
      <c r="J5312" s="192"/>
      <c r="K5312" s="192">
        <v>0.57999999999999996</v>
      </c>
      <c r="L5312" s="43">
        <v>11.503703703703703</v>
      </c>
      <c r="M5312" s="43">
        <v>11.501886792452831</v>
      </c>
      <c r="N5312" s="43" t="s">
        <v>1690</v>
      </c>
      <c r="O5312" s="43">
        <v>11.599999999999998</v>
      </c>
      <c r="P5312" s="193"/>
      <c r="Q5312" s="193"/>
      <c r="R5312" s="193">
        <v>5</v>
      </c>
    </row>
    <row r="5313" spans="1:18" ht="24">
      <c r="A5313" s="189">
        <v>246</v>
      </c>
      <c r="B5313" s="186" t="s">
        <v>9713</v>
      </c>
      <c r="C5313" s="190" t="s">
        <v>9714</v>
      </c>
      <c r="D5313" s="191">
        <v>28.39</v>
      </c>
      <c r="E5313" s="191">
        <v>27.83</v>
      </c>
      <c r="F5313" s="191"/>
      <c r="G5313" s="191">
        <v>0.56000000000000005</v>
      </c>
      <c r="H5313" s="192">
        <v>326.44</v>
      </c>
      <c r="I5313" s="192">
        <v>320</v>
      </c>
      <c r="J5313" s="192"/>
      <c r="K5313" s="192">
        <v>6.44</v>
      </c>
      <c r="L5313" s="43">
        <v>11.498414934836209</v>
      </c>
      <c r="M5313" s="43">
        <v>11.498383039885017</v>
      </c>
      <c r="N5313" s="43" t="s">
        <v>1690</v>
      </c>
      <c r="O5313" s="43">
        <v>11.5</v>
      </c>
      <c r="P5313" s="193"/>
      <c r="Q5313" s="193"/>
      <c r="R5313" s="193">
        <v>5</v>
      </c>
    </row>
    <row r="5314" spans="1:18" ht="24">
      <c r="A5314" s="189">
        <v>247</v>
      </c>
      <c r="B5314" s="186" t="s">
        <v>9715</v>
      </c>
      <c r="C5314" s="190" t="s">
        <v>9716</v>
      </c>
      <c r="D5314" s="191">
        <v>95.96</v>
      </c>
      <c r="E5314" s="191">
        <v>94.08</v>
      </c>
      <c r="F5314" s="191"/>
      <c r="G5314" s="191">
        <v>1.88</v>
      </c>
      <c r="H5314" s="192">
        <v>1103.52</v>
      </c>
      <c r="I5314" s="192">
        <v>1081.9000000000001</v>
      </c>
      <c r="J5314" s="192"/>
      <c r="K5314" s="192">
        <v>21.62</v>
      </c>
      <c r="L5314" s="43">
        <v>11.499791579824928</v>
      </c>
      <c r="M5314" s="43">
        <v>11.499787414965988</v>
      </c>
      <c r="N5314" s="43" t="s">
        <v>1690</v>
      </c>
      <c r="O5314" s="43">
        <v>11.500000000000002</v>
      </c>
      <c r="P5314" s="193"/>
      <c r="Q5314" s="193"/>
      <c r="R5314" s="193">
        <v>5</v>
      </c>
    </row>
    <row r="5315" spans="1:18" ht="12.75" customHeight="1">
      <c r="A5315" s="628" t="s">
        <v>9717</v>
      </c>
      <c r="B5315" s="629"/>
      <c r="C5315" s="629"/>
      <c r="D5315" s="629"/>
      <c r="E5315" s="629"/>
      <c r="F5315" s="629"/>
      <c r="G5315" s="629"/>
      <c r="H5315" s="629"/>
      <c r="I5315" s="629"/>
      <c r="J5315" s="629"/>
      <c r="K5315" s="629"/>
      <c r="L5315" s="629"/>
      <c r="M5315" s="629"/>
      <c r="N5315" s="629"/>
      <c r="O5315" s="629"/>
      <c r="P5315" s="629"/>
      <c r="Q5315" s="629"/>
      <c r="R5315" s="629"/>
    </row>
    <row r="5316" spans="1:18" ht="24">
      <c r="A5316" s="189">
        <v>248</v>
      </c>
      <c r="B5316" s="186" t="s">
        <v>9718</v>
      </c>
      <c r="C5316" s="190" t="s">
        <v>9719</v>
      </c>
      <c r="D5316" s="191">
        <v>12646.29</v>
      </c>
      <c r="E5316" s="191">
        <v>12398.32</v>
      </c>
      <c r="F5316" s="191"/>
      <c r="G5316" s="191">
        <v>247.97</v>
      </c>
      <c r="H5316" s="192">
        <v>145432.34</v>
      </c>
      <c r="I5316" s="192">
        <v>142580.68</v>
      </c>
      <c r="J5316" s="192"/>
      <c r="K5316" s="192">
        <v>2851.66</v>
      </c>
      <c r="L5316" s="43">
        <v>11.50000039537287</v>
      </c>
      <c r="M5316" s="43">
        <v>11.5</v>
      </c>
      <c r="N5316" s="43" t="s">
        <v>1690</v>
      </c>
      <c r="O5316" s="43">
        <v>11.500020163729483</v>
      </c>
      <c r="P5316" s="193"/>
      <c r="Q5316" s="193"/>
      <c r="R5316" s="193">
        <v>6</v>
      </c>
    </row>
    <row r="5317" spans="1:18" ht="24">
      <c r="A5317" s="189">
        <v>249</v>
      </c>
      <c r="B5317" s="186" t="s">
        <v>9720</v>
      </c>
      <c r="C5317" s="190" t="s">
        <v>9721</v>
      </c>
      <c r="D5317" s="191">
        <v>740.19</v>
      </c>
      <c r="E5317" s="191">
        <v>725.68</v>
      </c>
      <c r="F5317" s="191"/>
      <c r="G5317" s="191">
        <v>14.51</v>
      </c>
      <c r="H5317" s="192">
        <v>8512.19</v>
      </c>
      <c r="I5317" s="192">
        <v>8345.32</v>
      </c>
      <c r="J5317" s="192"/>
      <c r="K5317" s="192">
        <v>166.87</v>
      </c>
      <c r="L5317" s="43">
        <v>11.500006755022358</v>
      </c>
      <c r="M5317" s="43">
        <v>11.5</v>
      </c>
      <c r="N5317" s="43" t="s">
        <v>1690</v>
      </c>
      <c r="O5317" s="43">
        <v>11.500344589937974</v>
      </c>
      <c r="P5317" s="193"/>
      <c r="Q5317" s="193"/>
      <c r="R5317" s="193">
        <v>6</v>
      </c>
    </row>
    <row r="5318" spans="1:18" ht="24">
      <c r="A5318" s="189">
        <v>250</v>
      </c>
      <c r="B5318" s="186" t="s">
        <v>9722</v>
      </c>
      <c r="C5318" s="190" t="s">
        <v>9723</v>
      </c>
      <c r="D5318" s="191">
        <v>1322.9</v>
      </c>
      <c r="E5318" s="191">
        <v>1296.96</v>
      </c>
      <c r="F5318" s="191"/>
      <c r="G5318" s="191">
        <v>25.94</v>
      </c>
      <c r="H5318" s="192">
        <v>15213.35</v>
      </c>
      <c r="I5318" s="192">
        <v>14915.04</v>
      </c>
      <c r="J5318" s="192"/>
      <c r="K5318" s="192">
        <v>298.31</v>
      </c>
      <c r="L5318" s="43">
        <v>11.5</v>
      </c>
      <c r="M5318" s="43">
        <v>11.5</v>
      </c>
      <c r="N5318" s="43" t="s">
        <v>1690</v>
      </c>
      <c r="O5318" s="43">
        <v>11.5</v>
      </c>
      <c r="P5318" s="193"/>
      <c r="Q5318" s="193"/>
      <c r="R5318" s="193">
        <v>6</v>
      </c>
    </row>
    <row r="5319" spans="1:18" ht="24">
      <c r="A5319" s="189">
        <v>251</v>
      </c>
      <c r="B5319" s="186" t="s">
        <v>9724</v>
      </c>
      <c r="C5319" s="190" t="s">
        <v>9725</v>
      </c>
      <c r="D5319" s="191">
        <v>1181.1600000000001</v>
      </c>
      <c r="E5319" s="191">
        <v>1158</v>
      </c>
      <c r="F5319" s="191"/>
      <c r="G5319" s="191">
        <v>23.16</v>
      </c>
      <c r="H5319" s="192">
        <v>13583.34</v>
      </c>
      <c r="I5319" s="192">
        <v>13317</v>
      </c>
      <c r="J5319" s="192"/>
      <c r="K5319" s="192">
        <v>266.33999999999997</v>
      </c>
      <c r="L5319" s="43">
        <v>11.5</v>
      </c>
      <c r="M5319" s="43">
        <v>11.5</v>
      </c>
      <c r="N5319" s="43" t="s">
        <v>1690</v>
      </c>
      <c r="O5319" s="43">
        <v>11.499999999999998</v>
      </c>
      <c r="P5319" s="193"/>
      <c r="Q5319" s="193"/>
      <c r="R5319" s="193">
        <v>6</v>
      </c>
    </row>
    <row r="5320" spans="1:18" ht="24">
      <c r="A5320" s="189">
        <v>252</v>
      </c>
      <c r="B5320" s="186" t="s">
        <v>9726</v>
      </c>
      <c r="C5320" s="190" t="s">
        <v>9727</v>
      </c>
      <c r="D5320" s="191">
        <v>1055.17</v>
      </c>
      <c r="E5320" s="191">
        <v>1034.48</v>
      </c>
      <c r="F5320" s="191"/>
      <c r="G5320" s="191">
        <v>20.69</v>
      </c>
      <c r="H5320" s="192">
        <v>12134.46</v>
      </c>
      <c r="I5320" s="192">
        <v>11896.52</v>
      </c>
      <c r="J5320" s="192"/>
      <c r="K5320" s="192">
        <v>237.94</v>
      </c>
      <c r="L5320" s="43">
        <v>11.50000473857293</v>
      </c>
      <c r="M5320" s="43">
        <v>11.5</v>
      </c>
      <c r="N5320" s="43" t="s">
        <v>1690</v>
      </c>
      <c r="O5320" s="43">
        <v>11.500241662638954</v>
      </c>
      <c r="P5320" s="193"/>
      <c r="Q5320" s="193"/>
      <c r="R5320" s="193">
        <v>6</v>
      </c>
    </row>
    <row r="5321" spans="1:18" ht="24">
      <c r="A5321" s="189">
        <v>253</v>
      </c>
      <c r="B5321" s="186" t="s">
        <v>9728</v>
      </c>
      <c r="C5321" s="190" t="s">
        <v>9729</v>
      </c>
      <c r="D5321" s="191">
        <v>1653.62</v>
      </c>
      <c r="E5321" s="191">
        <v>1621.2</v>
      </c>
      <c r="F5321" s="191"/>
      <c r="G5321" s="191">
        <v>32.42</v>
      </c>
      <c r="H5321" s="192">
        <v>19016.63</v>
      </c>
      <c r="I5321" s="192">
        <v>18643.8</v>
      </c>
      <c r="J5321" s="192"/>
      <c r="K5321" s="192">
        <v>372.83</v>
      </c>
      <c r="L5321" s="43">
        <v>11.500000000000002</v>
      </c>
      <c r="M5321" s="43">
        <v>11.5</v>
      </c>
      <c r="N5321" s="43" t="s">
        <v>1690</v>
      </c>
      <c r="O5321" s="43">
        <v>11.499999999999998</v>
      </c>
      <c r="P5321" s="193"/>
      <c r="Q5321" s="193"/>
      <c r="R5321" s="193">
        <v>6</v>
      </c>
    </row>
    <row r="5322" spans="1:18" ht="24">
      <c r="A5322" s="189">
        <v>254</v>
      </c>
      <c r="B5322" s="186" t="s">
        <v>9730</v>
      </c>
      <c r="C5322" s="190" t="s">
        <v>9731</v>
      </c>
      <c r="D5322" s="191">
        <v>5354.59</v>
      </c>
      <c r="E5322" s="191">
        <v>5249.6</v>
      </c>
      <c r="F5322" s="191"/>
      <c r="G5322" s="191">
        <v>104.99</v>
      </c>
      <c r="H5322" s="192">
        <v>61577.79</v>
      </c>
      <c r="I5322" s="192">
        <v>60370.400000000001</v>
      </c>
      <c r="J5322" s="192"/>
      <c r="K5322" s="192">
        <v>1207.3900000000001</v>
      </c>
      <c r="L5322" s="43">
        <v>11.50000093377831</v>
      </c>
      <c r="M5322" s="43">
        <v>11.5</v>
      </c>
      <c r="N5322" s="43" t="s">
        <v>1690</v>
      </c>
      <c r="O5322" s="43">
        <v>11.5000476235832</v>
      </c>
      <c r="P5322" s="193"/>
      <c r="Q5322" s="193"/>
      <c r="R5322" s="193">
        <v>6</v>
      </c>
    </row>
    <row r="5323" spans="1:18" ht="24">
      <c r="A5323" s="194">
        <v>255</v>
      </c>
      <c r="B5323" s="195" t="s">
        <v>9732</v>
      </c>
      <c r="C5323" s="196" t="s">
        <v>9733</v>
      </c>
      <c r="D5323" s="197">
        <v>5622.32</v>
      </c>
      <c r="E5323" s="197">
        <v>5512.08</v>
      </c>
      <c r="F5323" s="197"/>
      <c r="G5323" s="197">
        <v>110.24</v>
      </c>
      <c r="H5323" s="198">
        <v>64656.68</v>
      </c>
      <c r="I5323" s="198">
        <v>63388.92</v>
      </c>
      <c r="J5323" s="198"/>
      <c r="K5323" s="198">
        <v>1267.76</v>
      </c>
      <c r="L5323" s="611">
        <v>11.5</v>
      </c>
      <c r="M5323" s="611">
        <v>11.5</v>
      </c>
      <c r="N5323" s="611" t="s">
        <v>1690</v>
      </c>
      <c r="O5323" s="611">
        <v>11.5</v>
      </c>
      <c r="P5323" s="199"/>
      <c r="Q5323" s="199"/>
      <c r="R5323" s="199">
        <v>6</v>
      </c>
    </row>
    <row r="5324" spans="1:18" ht="12.75" customHeight="1">
      <c r="A5324" s="630" t="s">
        <v>9734</v>
      </c>
      <c r="B5324" s="631"/>
      <c r="C5324" s="631"/>
      <c r="D5324" s="631"/>
      <c r="E5324" s="631"/>
      <c r="F5324" s="631"/>
      <c r="G5324" s="631"/>
      <c r="H5324" s="631"/>
      <c r="I5324" s="631"/>
      <c r="J5324" s="631"/>
      <c r="K5324" s="631"/>
      <c r="L5324" s="631"/>
      <c r="M5324" s="631"/>
      <c r="N5324" s="631"/>
      <c r="O5324" s="631"/>
      <c r="P5324" s="631"/>
      <c r="Q5324" s="631"/>
      <c r="R5324" s="631"/>
    </row>
    <row r="5325" spans="1:18" ht="12.75" customHeight="1">
      <c r="A5325" s="628" t="s">
        <v>9735</v>
      </c>
      <c r="B5325" s="629"/>
      <c r="C5325" s="629"/>
      <c r="D5325" s="629"/>
      <c r="E5325" s="629"/>
      <c r="F5325" s="629"/>
      <c r="G5325" s="629"/>
      <c r="H5325" s="629"/>
      <c r="I5325" s="629"/>
      <c r="J5325" s="629"/>
      <c r="K5325" s="629"/>
      <c r="L5325" s="629"/>
      <c r="M5325" s="629"/>
      <c r="N5325" s="629"/>
      <c r="O5325" s="629"/>
      <c r="P5325" s="629"/>
      <c r="Q5325" s="629"/>
      <c r="R5325" s="629"/>
    </row>
    <row r="5326" spans="1:18" ht="12.75" customHeight="1">
      <c r="A5326" s="628" t="s">
        <v>1909</v>
      </c>
      <c r="B5326" s="629"/>
      <c r="C5326" s="629"/>
      <c r="D5326" s="629"/>
      <c r="E5326" s="629"/>
      <c r="F5326" s="629"/>
      <c r="G5326" s="629"/>
      <c r="H5326" s="629"/>
      <c r="I5326" s="629"/>
      <c r="J5326" s="629"/>
      <c r="K5326" s="629"/>
      <c r="L5326" s="629"/>
      <c r="M5326" s="629"/>
      <c r="N5326" s="629"/>
      <c r="O5326" s="629"/>
      <c r="P5326" s="629"/>
      <c r="Q5326" s="629"/>
      <c r="R5326" s="629"/>
    </row>
    <row r="5327" spans="1:18" ht="24">
      <c r="A5327" s="189">
        <v>256</v>
      </c>
      <c r="B5327" s="186" t="s">
        <v>9736</v>
      </c>
      <c r="C5327" s="190" t="s">
        <v>9737</v>
      </c>
      <c r="D5327" s="191">
        <v>185.02</v>
      </c>
      <c r="E5327" s="191">
        <v>91.1</v>
      </c>
      <c r="F5327" s="191">
        <v>41.96</v>
      </c>
      <c r="G5327" s="191">
        <v>51.96</v>
      </c>
      <c r="H5327" s="192">
        <v>1477.52</v>
      </c>
      <c r="I5327" s="192">
        <v>1047.68</v>
      </c>
      <c r="J5327" s="192">
        <v>214.93</v>
      </c>
      <c r="K5327" s="192">
        <v>214.91</v>
      </c>
      <c r="L5327" s="43">
        <v>7.9857312722948866</v>
      </c>
      <c r="M5327" s="43">
        <v>11.500329308452251</v>
      </c>
      <c r="N5327" s="43">
        <v>5.1222592945662537</v>
      </c>
      <c r="O5327" s="43">
        <v>4.1360662047729022</v>
      </c>
      <c r="P5327" s="193"/>
      <c r="Q5327" s="193"/>
      <c r="R5327" s="193">
        <v>1</v>
      </c>
    </row>
    <row r="5328" spans="1:18" ht="24">
      <c r="A5328" s="189">
        <v>257</v>
      </c>
      <c r="B5328" s="186" t="s">
        <v>9738</v>
      </c>
      <c r="C5328" s="190" t="s">
        <v>9739</v>
      </c>
      <c r="D5328" s="191">
        <v>269.41000000000003</v>
      </c>
      <c r="E5328" s="191">
        <v>148.77000000000001</v>
      </c>
      <c r="F5328" s="191">
        <v>67.52</v>
      </c>
      <c r="G5328" s="191">
        <v>53.12</v>
      </c>
      <c r="H5328" s="192">
        <v>2286.17</v>
      </c>
      <c r="I5328" s="192">
        <v>1710.97</v>
      </c>
      <c r="J5328" s="192">
        <v>346.95</v>
      </c>
      <c r="K5328" s="192">
        <v>228.25</v>
      </c>
      <c r="L5328" s="43">
        <v>8.4858394268958097</v>
      </c>
      <c r="M5328" s="43">
        <v>11.50077300531021</v>
      </c>
      <c r="N5328" s="43">
        <v>5.1384774881516586</v>
      </c>
      <c r="O5328" s="43">
        <v>4.296875</v>
      </c>
      <c r="P5328" s="193"/>
      <c r="Q5328" s="193"/>
      <c r="R5328" s="193">
        <v>1</v>
      </c>
    </row>
    <row r="5329" spans="1:18" ht="24">
      <c r="A5329" s="189">
        <v>258</v>
      </c>
      <c r="B5329" s="186" t="s">
        <v>9740</v>
      </c>
      <c r="C5329" s="190" t="s">
        <v>9741</v>
      </c>
      <c r="D5329" s="191">
        <v>319.64</v>
      </c>
      <c r="E5329" s="191">
        <v>183.42</v>
      </c>
      <c r="F5329" s="191">
        <v>82.41</v>
      </c>
      <c r="G5329" s="191">
        <v>53.81</v>
      </c>
      <c r="H5329" s="192">
        <v>2769.07</v>
      </c>
      <c r="I5329" s="192">
        <v>2109.42</v>
      </c>
      <c r="J5329" s="192">
        <v>423.46</v>
      </c>
      <c r="K5329" s="192">
        <v>236.19</v>
      </c>
      <c r="L5329" s="43">
        <v>8.6630897259416848</v>
      </c>
      <c r="M5329" s="43">
        <v>11.500490677134447</v>
      </c>
      <c r="N5329" s="43">
        <v>5.1384540711078754</v>
      </c>
      <c r="O5329" s="43">
        <v>4.3893328377624972</v>
      </c>
      <c r="P5329" s="193"/>
      <c r="Q5329" s="193"/>
      <c r="R5329" s="193">
        <v>1</v>
      </c>
    </row>
    <row r="5330" spans="1:18" ht="24">
      <c r="A5330" s="189">
        <v>259</v>
      </c>
      <c r="B5330" s="186" t="s">
        <v>9742</v>
      </c>
      <c r="C5330" s="190" t="s">
        <v>9743</v>
      </c>
      <c r="D5330" s="191">
        <v>33.590000000000003</v>
      </c>
      <c r="E5330" s="191">
        <v>23.34</v>
      </c>
      <c r="F5330" s="191">
        <v>9.7799999999999994</v>
      </c>
      <c r="G5330" s="191">
        <v>0.47</v>
      </c>
      <c r="H5330" s="192">
        <v>324.5</v>
      </c>
      <c r="I5330" s="192">
        <v>268.37</v>
      </c>
      <c r="J5330" s="192">
        <v>50.72</v>
      </c>
      <c r="K5330" s="192">
        <v>5.41</v>
      </c>
      <c r="L5330" s="43">
        <v>9.6606132777612377</v>
      </c>
      <c r="M5330" s="43">
        <v>11.498286203941731</v>
      </c>
      <c r="N5330" s="43">
        <v>5.1860940695296529</v>
      </c>
      <c r="O5330" s="43">
        <v>11.5</v>
      </c>
      <c r="P5330" s="193"/>
      <c r="Q5330" s="193"/>
      <c r="R5330" s="193">
        <v>1</v>
      </c>
    </row>
    <row r="5331" spans="1:18" ht="12.75" customHeight="1">
      <c r="A5331" s="628" t="s">
        <v>9744</v>
      </c>
      <c r="B5331" s="629"/>
      <c r="C5331" s="629"/>
      <c r="D5331" s="629"/>
      <c r="E5331" s="629"/>
      <c r="F5331" s="629"/>
      <c r="G5331" s="629"/>
      <c r="H5331" s="629"/>
      <c r="I5331" s="629"/>
      <c r="J5331" s="629"/>
      <c r="K5331" s="629"/>
      <c r="L5331" s="629"/>
      <c r="M5331" s="629"/>
      <c r="N5331" s="629"/>
      <c r="O5331" s="629"/>
      <c r="P5331" s="629"/>
      <c r="Q5331" s="629"/>
      <c r="R5331" s="629"/>
    </row>
    <row r="5332" spans="1:18" ht="24">
      <c r="A5332" s="189">
        <v>260</v>
      </c>
      <c r="B5332" s="186" t="s">
        <v>9745</v>
      </c>
      <c r="C5332" s="190" t="s">
        <v>9746</v>
      </c>
      <c r="D5332" s="191">
        <v>139.21</v>
      </c>
      <c r="E5332" s="191">
        <v>136.47999999999999</v>
      </c>
      <c r="F5332" s="191"/>
      <c r="G5332" s="191">
        <v>2.73</v>
      </c>
      <c r="H5332" s="192">
        <v>1600.91</v>
      </c>
      <c r="I5332" s="192">
        <v>1569.51</v>
      </c>
      <c r="J5332" s="192"/>
      <c r="K5332" s="192">
        <v>31.4</v>
      </c>
      <c r="L5332" s="43">
        <v>11.499964083040011</v>
      </c>
      <c r="M5332" s="43">
        <v>11.499926729191092</v>
      </c>
      <c r="N5332" s="43" t="s">
        <v>1690</v>
      </c>
      <c r="O5332" s="43">
        <v>11.501831501831502</v>
      </c>
      <c r="P5332" s="193"/>
      <c r="Q5332" s="193"/>
      <c r="R5332" s="193">
        <v>2</v>
      </c>
    </row>
    <row r="5333" spans="1:18" ht="24">
      <c r="A5333" s="189">
        <v>261</v>
      </c>
      <c r="B5333" s="186" t="s">
        <v>9747</v>
      </c>
      <c r="C5333" s="190" t="s">
        <v>9748</v>
      </c>
      <c r="D5333" s="191">
        <v>223</v>
      </c>
      <c r="E5333" s="191">
        <v>218.63</v>
      </c>
      <c r="F5333" s="191"/>
      <c r="G5333" s="191">
        <v>4.37</v>
      </c>
      <c r="H5333" s="192">
        <v>2564.5300000000002</v>
      </c>
      <c r="I5333" s="192">
        <v>2514.27</v>
      </c>
      <c r="J5333" s="192"/>
      <c r="K5333" s="192">
        <v>50.26</v>
      </c>
      <c r="L5333" s="43">
        <v>11.500134529147983</v>
      </c>
      <c r="M5333" s="43">
        <v>11.500114348442574</v>
      </c>
      <c r="N5333" s="43" t="s">
        <v>1690</v>
      </c>
      <c r="O5333" s="43">
        <v>11.501144164759724</v>
      </c>
      <c r="P5333" s="193"/>
      <c r="Q5333" s="193"/>
      <c r="R5333" s="193">
        <v>2</v>
      </c>
    </row>
    <row r="5334" spans="1:18" ht="24">
      <c r="A5334" s="189">
        <v>262</v>
      </c>
      <c r="B5334" s="186" t="s">
        <v>9749</v>
      </c>
      <c r="C5334" s="190" t="s">
        <v>9750</v>
      </c>
      <c r="D5334" s="191">
        <v>594.66</v>
      </c>
      <c r="E5334" s="191">
        <v>583</v>
      </c>
      <c r="F5334" s="191"/>
      <c r="G5334" s="191">
        <v>11.66</v>
      </c>
      <c r="H5334" s="192">
        <v>6838.81</v>
      </c>
      <c r="I5334" s="192">
        <v>6704.72</v>
      </c>
      <c r="J5334" s="192"/>
      <c r="K5334" s="192">
        <v>134.09</v>
      </c>
      <c r="L5334" s="43">
        <v>11.500369959304479</v>
      </c>
      <c r="M5334" s="43">
        <v>11.500377358490567</v>
      </c>
      <c r="N5334" s="43" t="s">
        <v>1690</v>
      </c>
      <c r="O5334" s="43">
        <v>11.5</v>
      </c>
      <c r="P5334" s="193"/>
      <c r="Q5334" s="193"/>
      <c r="R5334" s="193">
        <v>2</v>
      </c>
    </row>
    <row r="5335" spans="1:18" ht="24">
      <c r="A5335" s="189">
        <v>263</v>
      </c>
      <c r="B5335" s="186" t="s">
        <v>9751</v>
      </c>
      <c r="C5335" s="190" t="s">
        <v>9752</v>
      </c>
      <c r="D5335" s="191">
        <v>783.87</v>
      </c>
      <c r="E5335" s="191">
        <v>768.5</v>
      </c>
      <c r="F5335" s="191"/>
      <c r="G5335" s="191">
        <v>15.37</v>
      </c>
      <c r="H5335" s="192">
        <v>9014.7999999999993</v>
      </c>
      <c r="I5335" s="192">
        <v>8838.0400000000009</v>
      </c>
      <c r="J5335" s="192"/>
      <c r="K5335" s="192">
        <v>176.76</v>
      </c>
      <c r="L5335" s="43">
        <v>11.500376337913174</v>
      </c>
      <c r="M5335" s="43">
        <v>11.500377358490567</v>
      </c>
      <c r="N5335" s="43" t="s">
        <v>1690</v>
      </c>
      <c r="O5335" s="43">
        <v>11.500325309043591</v>
      </c>
      <c r="P5335" s="193"/>
      <c r="Q5335" s="193"/>
      <c r="R5335" s="193">
        <v>2</v>
      </c>
    </row>
    <row r="5336" spans="1:18" ht="36">
      <c r="A5336" s="189">
        <v>264</v>
      </c>
      <c r="B5336" s="186" t="s">
        <v>9753</v>
      </c>
      <c r="C5336" s="190" t="s">
        <v>9754</v>
      </c>
      <c r="D5336" s="191">
        <v>1175.81</v>
      </c>
      <c r="E5336" s="191">
        <v>1152.75</v>
      </c>
      <c r="F5336" s="191"/>
      <c r="G5336" s="191">
        <v>23.06</v>
      </c>
      <c r="H5336" s="192">
        <v>13522.25</v>
      </c>
      <c r="I5336" s="192">
        <v>13257.06</v>
      </c>
      <c r="J5336" s="192"/>
      <c r="K5336" s="192">
        <v>265.19</v>
      </c>
      <c r="L5336" s="43">
        <v>11.500369957731266</v>
      </c>
      <c r="M5336" s="43">
        <v>11.500377358490566</v>
      </c>
      <c r="N5336" s="43" t="s">
        <v>1690</v>
      </c>
      <c r="O5336" s="43">
        <v>11.5</v>
      </c>
      <c r="P5336" s="193"/>
      <c r="Q5336" s="193"/>
      <c r="R5336" s="193">
        <v>2</v>
      </c>
    </row>
    <row r="5337" spans="1:18" ht="36">
      <c r="A5337" s="189">
        <v>265</v>
      </c>
      <c r="B5337" s="186" t="s">
        <v>9755</v>
      </c>
      <c r="C5337" s="190" t="s">
        <v>9756</v>
      </c>
      <c r="D5337" s="191">
        <v>540.6</v>
      </c>
      <c r="E5337" s="191">
        <v>530</v>
      </c>
      <c r="F5337" s="191"/>
      <c r="G5337" s="191">
        <v>10.6</v>
      </c>
      <c r="H5337" s="192">
        <v>6217.1</v>
      </c>
      <c r="I5337" s="192">
        <v>6095.2</v>
      </c>
      <c r="J5337" s="192"/>
      <c r="K5337" s="192">
        <v>121.9</v>
      </c>
      <c r="L5337" s="43">
        <v>11.500369959304477</v>
      </c>
      <c r="M5337" s="43">
        <v>11.500377358490566</v>
      </c>
      <c r="N5337" s="43" t="s">
        <v>1690</v>
      </c>
      <c r="O5337" s="43">
        <v>11.500000000000002</v>
      </c>
      <c r="P5337" s="193"/>
      <c r="Q5337" s="193"/>
      <c r="R5337" s="193">
        <v>2</v>
      </c>
    </row>
    <row r="5338" spans="1:18" ht="36">
      <c r="A5338" s="189">
        <v>266</v>
      </c>
      <c r="B5338" s="186" t="s">
        <v>9757</v>
      </c>
      <c r="C5338" s="190" t="s">
        <v>9758</v>
      </c>
      <c r="D5338" s="191">
        <v>351.39</v>
      </c>
      <c r="E5338" s="191">
        <v>344.5</v>
      </c>
      <c r="F5338" s="191"/>
      <c r="G5338" s="191">
        <v>6.89</v>
      </c>
      <c r="H5338" s="192">
        <v>4041.12</v>
      </c>
      <c r="I5338" s="192">
        <v>3961.88</v>
      </c>
      <c r="J5338" s="192"/>
      <c r="K5338" s="192">
        <v>79.239999999999995</v>
      </c>
      <c r="L5338" s="43">
        <v>11.500384188508495</v>
      </c>
      <c r="M5338" s="43">
        <v>11.500377358490566</v>
      </c>
      <c r="N5338" s="43" t="s">
        <v>1690</v>
      </c>
      <c r="O5338" s="43">
        <v>11.500725689404934</v>
      </c>
      <c r="P5338" s="193"/>
      <c r="Q5338" s="193"/>
      <c r="R5338" s="193">
        <v>2</v>
      </c>
    </row>
    <row r="5339" spans="1:18" ht="36">
      <c r="A5339" s="189">
        <v>267</v>
      </c>
      <c r="B5339" s="186" t="s">
        <v>9759</v>
      </c>
      <c r="C5339" s="190" t="s">
        <v>9760</v>
      </c>
      <c r="D5339" s="191">
        <v>283.82</v>
      </c>
      <c r="E5339" s="191">
        <v>278.25</v>
      </c>
      <c r="F5339" s="191"/>
      <c r="G5339" s="191">
        <v>5.57</v>
      </c>
      <c r="H5339" s="192">
        <v>3264.04</v>
      </c>
      <c r="I5339" s="192">
        <v>3199.98</v>
      </c>
      <c r="J5339" s="192"/>
      <c r="K5339" s="192">
        <v>64.06</v>
      </c>
      <c r="L5339" s="43">
        <v>11.500387569586358</v>
      </c>
      <c r="M5339" s="43">
        <v>11.500377358490566</v>
      </c>
      <c r="N5339" s="43" t="s">
        <v>1690</v>
      </c>
      <c r="O5339" s="43">
        <v>11.500897666068223</v>
      </c>
      <c r="P5339" s="193"/>
      <c r="Q5339" s="193"/>
      <c r="R5339" s="193">
        <v>2</v>
      </c>
    </row>
    <row r="5340" spans="1:18" ht="36">
      <c r="A5340" s="189">
        <v>268</v>
      </c>
      <c r="B5340" s="186" t="s">
        <v>9761</v>
      </c>
      <c r="C5340" s="190" t="s">
        <v>9762</v>
      </c>
      <c r="D5340" s="191">
        <v>223</v>
      </c>
      <c r="E5340" s="191">
        <v>218.63</v>
      </c>
      <c r="F5340" s="191"/>
      <c r="G5340" s="191">
        <v>4.37</v>
      </c>
      <c r="H5340" s="192">
        <v>2564.5300000000002</v>
      </c>
      <c r="I5340" s="192">
        <v>2514.27</v>
      </c>
      <c r="J5340" s="192"/>
      <c r="K5340" s="192">
        <v>50.26</v>
      </c>
      <c r="L5340" s="43">
        <v>11.500134529147983</v>
      </c>
      <c r="M5340" s="43">
        <v>11.500114348442574</v>
      </c>
      <c r="N5340" s="43" t="s">
        <v>1690</v>
      </c>
      <c r="O5340" s="43">
        <v>11.501144164759724</v>
      </c>
      <c r="P5340" s="193"/>
      <c r="Q5340" s="193"/>
      <c r="R5340" s="193">
        <v>2</v>
      </c>
    </row>
    <row r="5341" spans="1:18" ht="36">
      <c r="A5341" s="189">
        <v>269</v>
      </c>
      <c r="B5341" s="186" t="s">
        <v>9763</v>
      </c>
      <c r="C5341" s="190" t="s">
        <v>9764</v>
      </c>
      <c r="D5341" s="191">
        <v>68.930000000000007</v>
      </c>
      <c r="E5341" s="191">
        <v>67.58</v>
      </c>
      <c r="F5341" s="191"/>
      <c r="G5341" s="191">
        <v>1.35</v>
      </c>
      <c r="H5341" s="192">
        <v>792.67</v>
      </c>
      <c r="I5341" s="192">
        <v>777.14</v>
      </c>
      <c r="J5341" s="192"/>
      <c r="K5341" s="192">
        <v>15.53</v>
      </c>
      <c r="L5341" s="43">
        <v>11.499637313216304</v>
      </c>
      <c r="M5341" s="43">
        <v>11.499556081680971</v>
      </c>
      <c r="N5341" s="43" t="s">
        <v>1690</v>
      </c>
      <c r="O5341" s="43">
        <v>11.503703703703703</v>
      </c>
      <c r="P5341" s="193"/>
      <c r="Q5341" s="193"/>
      <c r="R5341" s="193">
        <v>2</v>
      </c>
    </row>
    <row r="5342" spans="1:18" ht="24">
      <c r="A5342" s="189">
        <v>270</v>
      </c>
      <c r="B5342" s="186" t="s">
        <v>9765</v>
      </c>
      <c r="C5342" s="190" t="s">
        <v>9766</v>
      </c>
      <c r="D5342" s="191">
        <v>27.03</v>
      </c>
      <c r="E5342" s="191">
        <v>26.5</v>
      </c>
      <c r="F5342" s="191"/>
      <c r="G5342" s="191">
        <v>0.53</v>
      </c>
      <c r="H5342" s="192">
        <v>310.86</v>
      </c>
      <c r="I5342" s="192">
        <v>304.76</v>
      </c>
      <c r="J5342" s="192"/>
      <c r="K5342" s="192">
        <v>6.1</v>
      </c>
      <c r="L5342" s="43">
        <v>11.500554938956714</v>
      </c>
      <c r="M5342" s="43">
        <v>11.500377358490566</v>
      </c>
      <c r="N5342" s="43" t="s">
        <v>1690</v>
      </c>
      <c r="O5342" s="43">
        <v>11.5</v>
      </c>
      <c r="P5342" s="193"/>
      <c r="Q5342" s="193"/>
      <c r="R5342" s="193">
        <v>2</v>
      </c>
    </row>
    <row r="5343" spans="1:18" ht="36">
      <c r="A5343" s="189">
        <v>271</v>
      </c>
      <c r="B5343" s="186" t="s">
        <v>9767</v>
      </c>
      <c r="C5343" s="190" t="s">
        <v>9768</v>
      </c>
      <c r="D5343" s="191">
        <v>139.21</v>
      </c>
      <c r="E5343" s="191">
        <v>136.47999999999999</v>
      </c>
      <c r="F5343" s="191"/>
      <c r="G5343" s="191">
        <v>2.73</v>
      </c>
      <c r="H5343" s="192">
        <v>1600.91</v>
      </c>
      <c r="I5343" s="192">
        <v>1569.51</v>
      </c>
      <c r="J5343" s="192"/>
      <c r="K5343" s="192">
        <v>31.4</v>
      </c>
      <c r="L5343" s="43">
        <v>11.499964083040011</v>
      </c>
      <c r="M5343" s="43">
        <v>11.499926729191092</v>
      </c>
      <c r="N5343" s="43" t="s">
        <v>1690</v>
      </c>
      <c r="O5343" s="43">
        <v>11.501831501831502</v>
      </c>
      <c r="P5343" s="193"/>
      <c r="Q5343" s="193"/>
      <c r="R5343" s="193">
        <v>2</v>
      </c>
    </row>
    <row r="5344" spans="1:18" ht="24">
      <c r="A5344" s="189">
        <v>272</v>
      </c>
      <c r="B5344" s="186" t="s">
        <v>9769</v>
      </c>
      <c r="C5344" s="190" t="s">
        <v>9770</v>
      </c>
      <c r="D5344" s="191">
        <v>13.52</v>
      </c>
      <c r="E5344" s="191">
        <v>13.25</v>
      </c>
      <c r="F5344" s="191"/>
      <c r="G5344" s="191">
        <v>0.27</v>
      </c>
      <c r="H5344" s="192">
        <v>155.49</v>
      </c>
      <c r="I5344" s="192">
        <v>152.38</v>
      </c>
      <c r="J5344" s="192"/>
      <c r="K5344" s="192">
        <v>3.11</v>
      </c>
      <c r="L5344" s="43">
        <v>11.500739644970416</v>
      </c>
      <c r="M5344" s="43">
        <v>11.500377358490566</v>
      </c>
      <c r="N5344" s="43" t="s">
        <v>1690</v>
      </c>
      <c r="O5344" s="43">
        <v>11.5</v>
      </c>
      <c r="P5344" s="193"/>
      <c r="Q5344" s="193"/>
      <c r="R5344" s="193">
        <v>2</v>
      </c>
    </row>
    <row r="5345" spans="1:18" ht="24">
      <c r="A5345" s="189">
        <v>273</v>
      </c>
      <c r="B5345" s="186" t="s">
        <v>9771</v>
      </c>
      <c r="C5345" s="190" t="s">
        <v>9772</v>
      </c>
      <c r="D5345" s="191">
        <v>4.0599999999999996</v>
      </c>
      <c r="E5345" s="191">
        <v>3.98</v>
      </c>
      <c r="F5345" s="191"/>
      <c r="G5345" s="191">
        <v>0.08</v>
      </c>
      <c r="H5345" s="192">
        <v>46.63</v>
      </c>
      <c r="I5345" s="192">
        <v>45.71</v>
      </c>
      <c r="J5345" s="192"/>
      <c r="K5345" s="192">
        <v>0.92</v>
      </c>
      <c r="L5345" s="43">
        <v>11.5</v>
      </c>
      <c r="M5345" s="43">
        <v>11.5</v>
      </c>
      <c r="N5345" s="43" t="s">
        <v>1690</v>
      </c>
      <c r="O5345" s="43">
        <v>11.5</v>
      </c>
      <c r="P5345" s="193"/>
      <c r="Q5345" s="193"/>
      <c r="R5345" s="193">
        <v>2</v>
      </c>
    </row>
    <row r="5346" spans="1:18" ht="12.75" customHeight="1">
      <c r="A5346" s="628" t="s">
        <v>9773</v>
      </c>
      <c r="B5346" s="629"/>
      <c r="C5346" s="629"/>
      <c r="D5346" s="629"/>
      <c r="E5346" s="629"/>
      <c r="F5346" s="629"/>
      <c r="G5346" s="629"/>
      <c r="H5346" s="629"/>
      <c r="I5346" s="629"/>
      <c r="J5346" s="629"/>
      <c r="K5346" s="629"/>
      <c r="L5346" s="629"/>
      <c r="M5346" s="629"/>
      <c r="N5346" s="629"/>
      <c r="O5346" s="629"/>
      <c r="P5346" s="629"/>
      <c r="Q5346" s="629"/>
      <c r="R5346" s="629"/>
    </row>
    <row r="5347" spans="1:18" ht="12.75" customHeight="1">
      <c r="A5347" s="628" t="s">
        <v>1909</v>
      </c>
      <c r="B5347" s="629"/>
      <c r="C5347" s="629"/>
      <c r="D5347" s="629"/>
      <c r="E5347" s="629"/>
      <c r="F5347" s="629"/>
      <c r="G5347" s="629"/>
      <c r="H5347" s="629"/>
      <c r="I5347" s="629"/>
      <c r="J5347" s="629"/>
      <c r="K5347" s="629"/>
      <c r="L5347" s="629"/>
      <c r="M5347" s="629"/>
      <c r="N5347" s="629"/>
      <c r="O5347" s="629"/>
      <c r="P5347" s="629"/>
      <c r="Q5347" s="629"/>
      <c r="R5347" s="629"/>
    </row>
    <row r="5348" spans="1:18" ht="24">
      <c r="A5348" s="189">
        <v>274</v>
      </c>
      <c r="B5348" s="186" t="s">
        <v>9774</v>
      </c>
      <c r="C5348" s="190" t="s">
        <v>9775</v>
      </c>
      <c r="D5348" s="191">
        <v>536.13</v>
      </c>
      <c r="E5348" s="191">
        <v>355.63</v>
      </c>
      <c r="F5348" s="191">
        <v>156.22</v>
      </c>
      <c r="G5348" s="191">
        <v>24.28</v>
      </c>
      <c r="H5348" s="192">
        <v>5043.78</v>
      </c>
      <c r="I5348" s="192">
        <v>4089.93</v>
      </c>
      <c r="J5348" s="192">
        <v>808.41</v>
      </c>
      <c r="K5348" s="192">
        <v>145.44</v>
      </c>
      <c r="L5348" s="43">
        <v>9.4077555816686242</v>
      </c>
      <c r="M5348" s="43">
        <v>11.500520203582374</v>
      </c>
      <c r="N5348" s="43">
        <v>5.1748175649724741</v>
      </c>
      <c r="O5348" s="43">
        <v>5.990115321252059</v>
      </c>
      <c r="P5348" s="193"/>
      <c r="Q5348" s="193"/>
      <c r="R5348" s="193">
        <v>1</v>
      </c>
    </row>
    <row r="5349" spans="1:18" ht="24">
      <c r="A5349" s="189">
        <v>275</v>
      </c>
      <c r="B5349" s="186" t="s">
        <v>9776</v>
      </c>
      <c r="C5349" s="190" t="s">
        <v>9777</v>
      </c>
      <c r="D5349" s="191">
        <v>291.20999999999998</v>
      </c>
      <c r="E5349" s="191">
        <v>194.63</v>
      </c>
      <c r="F5349" s="191">
        <v>84.07</v>
      </c>
      <c r="G5349" s="191">
        <v>12.51</v>
      </c>
      <c r="H5349" s="192">
        <v>2758.82</v>
      </c>
      <c r="I5349" s="192">
        <v>2238.33</v>
      </c>
      <c r="J5349" s="192">
        <v>434.63</v>
      </c>
      <c r="K5349" s="192">
        <v>85.86</v>
      </c>
      <c r="L5349" s="43">
        <v>9.4736444490230429</v>
      </c>
      <c r="M5349" s="43">
        <v>11.500436726095669</v>
      </c>
      <c r="N5349" s="43">
        <v>5.1698584512905912</v>
      </c>
      <c r="O5349" s="43">
        <v>6.8633093525179856</v>
      </c>
      <c r="P5349" s="193"/>
      <c r="Q5349" s="193"/>
      <c r="R5349" s="193">
        <v>1</v>
      </c>
    </row>
    <row r="5350" spans="1:18" ht="24">
      <c r="A5350" s="189">
        <v>276</v>
      </c>
      <c r="B5350" s="186" t="s">
        <v>9778</v>
      </c>
      <c r="C5350" s="190" t="s">
        <v>9779</v>
      </c>
      <c r="D5350" s="191">
        <v>366.05</v>
      </c>
      <c r="E5350" s="191">
        <v>244.56</v>
      </c>
      <c r="F5350" s="191">
        <v>107.98</v>
      </c>
      <c r="G5350" s="191">
        <v>13.51</v>
      </c>
      <c r="H5350" s="192">
        <v>3468.54</v>
      </c>
      <c r="I5350" s="192">
        <v>2812.56</v>
      </c>
      <c r="J5350" s="192">
        <v>558.62</v>
      </c>
      <c r="K5350" s="192">
        <v>97.36</v>
      </c>
      <c r="L5350" s="43">
        <v>9.4755907662887573</v>
      </c>
      <c r="M5350" s="43">
        <v>11.500490677134446</v>
      </c>
      <c r="N5350" s="43">
        <v>5.1733654380440823</v>
      </c>
      <c r="O5350" s="43">
        <v>7.2065136935603258</v>
      </c>
      <c r="P5350" s="193"/>
      <c r="Q5350" s="193"/>
      <c r="R5350" s="193">
        <v>1</v>
      </c>
    </row>
    <row r="5351" spans="1:18" ht="24">
      <c r="A5351" s="189">
        <v>277</v>
      </c>
      <c r="B5351" s="186" t="s">
        <v>9780</v>
      </c>
      <c r="C5351" s="190" t="s">
        <v>9781</v>
      </c>
      <c r="D5351" s="191">
        <v>430.45</v>
      </c>
      <c r="E5351" s="191">
        <v>288.38</v>
      </c>
      <c r="F5351" s="191">
        <v>120.36</v>
      </c>
      <c r="G5351" s="191">
        <v>21.71</v>
      </c>
      <c r="H5351" s="192">
        <v>4064.55</v>
      </c>
      <c r="I5351" s="192">
        <v>3316.48</v>
      </c>
      <c r="J5351" s="192">
        <v>622.42999999999995</v>
      </c>
      <c r="K5351" s="192">
        <v>125.64</v>
      </c>
      <c r="L5351" s="43">
        <v>9.4425601115112094</v>
      </c>
      <c r="M5351" s="43">
        <v>11.500381441154033</v>
      </c>
      <c r="N5351" s="43">
        <v>5.1714024592887995</v>
      </c>
      <c r="O5351" s="43">
        <v>5.7871948410870564</v>
      </c>
      <c r="P5351" s="193"/>
      <c r="Q5351" s="193"/>
      <c r="R5351" s="193">
        <v>1</v>
      </c>
    </row>
    <row r="5352" spans="1:18" ht="24">
      <c r="A5352" s="189">
        <v>278</v>
      </c>
      <c r="B5352" s="186" t="s">
        <v>9782</v>
      </c>
      <c r="C5352" s="190" t="s">
        <v>9783</v>
      </c>
      <c r="D5352" s="191">
        <v>132.76</v>
      </c>
      <c r="E5352" s="191">
        <v>77.67</v>
      </c>
      <c r="F5352" s="191">
        <v>29.34</v>
      </c>
      <c r="G5352" s="191">
        <v>25.75</v>
      </c>
      <c r="H5352" s="192">
        <v>1167.58</v>
      </c>
      <c r="I5352" s="192">
        <v>893.27</v>
      </c>
      <c r="J5352" s="192">
        <v>152.16999999999999</v>
      </c>
      <c r="K5352" s="192">
        <v>122.14</v>
      </c>
      <c r="L5352" s="43">
        <v>8.7946670683940944</v>
      </c>
      <c r="M5352" s="43">
        <v>11.500836873953906</v>
      </c>
      <c r="N5352" s="43">
        <v>5.1864349011588269</v>
      </c>
      <c r="O5352" s="43">
        <v>4.7433009708737863</v>
      </c>
      <c r="P5352" s="193"/>
      <c r="Q5352" s="193"/>
      <c r="R5352" s="193">
        <v>1</v>
      </c>
    </row>
    <row r="5353" spans="1:18" ht="24">
      <c r="A5353" s="189">
        <v>279</v>
      </c>
      <c r="B5353" s="186" t="s">
        <v>9784</v>
      </c>
      <c r="C5353" s="190" t="s">
        <v>9785</v>
      </c>
      <c r="D5353" s="191">
        <v>157.13</v>
      </c>
      <c r="E5353" s="191">
        <v>102.72</v>
      </c>
      <c r="F5353" s="191">
        <v>39.94</v>
      </c>
      <c r="G5353" s="191">
        <v>14.47</v>
      </c>
      <c r="H5353" s="192">
        <v>1462.06</v>
      </c>
      <c r="I5353" s="192">
        <v>1181.33</v>
      </c>
      <c r="J5353" s="192">
        <v>206.38</v>
      </c>
      <c r="K5353" s="192">
        <v>74.349999999999994</v>
      </c>
      <c r="L5353" s="43">
        <v>9.3047794819576151</v>
      </c>
      <c r="M5353" s="43">
        <v>11.500486760124611</v>
      </c>
      <c r="N5353" s="43">
        <v>5.1672508763144718</v>
      </c>
      <c r="O5353" s="43">
        <v>5.1382170006910846</v>
      </c>
      <c r="P5353" s="193"/>
      <c r="Q5353" s="193"/>
      <c r="R5353" s="193">
        <v>1</v>
      </c>
    </row>
    <row r="5354" spans="1:18" ht="24">
      <c r="A5354" s="189">
        <v>280</v>
      </c>
      <c r="B5354" s="186" t="s">
        <v>9786</v>
      </c>
      <c r="C5354" s="190" t="s">
        <v>9787</v>
      </c>
      <c r="D5354" s="191">
        <v>192.35</v>
      </c>
      <c r="E5354" s="191">
        <v>128.69</v>
      </c>
      <c r="F5354" s="191">
        <v>48.67</v>
      </c>
      <c r="G5354" s="191">
        <v>14.99</v>
      </c>
      <c r="H5354" s="192">
        <v>1811.93</v>
      </c>
      <c r="I5354" s="192">
        <v>1479.97</v>
      </c>
      <c r="J5354" s="192">
        <v>251.63</v>
      </c>
      <c r="K5354" s="192">
        <v>80.33</v>
      </c>
      <c r="L5354" s="43">
        <v>9.4199636080062401</v>
      </c>
      <c r="M5354" s="43">
        <v>11.50027197140415</v>
      </c>
      <c r="N5354" s="43">
        <v>5.1701253338812405</v>
      </c>
      <c r="O5354" s="43">
        <v>5.3589059372915271</v>
      </c>
      <c r="P5354" s="193"/>
      <c r="Q5354" s="193"/>
      <c r="R5354" s="193">
        <v>1</v>
      </c>
    </row>
    <row r="5355" spans="1:18" ht="24">
      <c r="A5355" s="189">
        <v>281</v>
      </c>
      <c r="B5355" s="186" t="s">
        <v>9788</v>
      </c>
      <c r="C5355" s="190" t="s">
        <v>9789</v>
      </c>
      <c r="D5355" s="191">
        <v>152.75</v>
      </c>
      <c r="E5355" s="191">
        <v>102.72</v>
      </c>
      <c r="F5355" s="191">
        <v>37.56</v>
      </c>
      <c r="G5355" s="191">
        <v>12.47</v>
      </c>
      <c r="H5355" s="192">
        <v>1445.92</v>
      </c>
      <c r="I5355" s="192">
        <v>1181.33</v>
      </c>
      <c r="J5355" s="192">
        <v>193.2</v>
      </c>
      <c r="K5355" s="192">
        <v>71.39</v>
      </c>
      <c r="L5355" s="43">
        <v>9.4659247135842879</v>
      </c>
      <c r="M5355" s="43">
        <v>11.500486760124611</v>
      </c>
      <c r="N5355" s="43">
        <v>5.1437699680511173</v>
      </c>
      <c r="O5355" s="43">
        <v>5.7249398556535684</v>
      </c>
      <c r="P5355" s="193"/>
      <c r="Q5355" s="193"/>
      <c r="R5355" s="193">
        <v>1</v>
      </c>
    </row>
    <row r="5356" spans="1:18" ht="24">
      <c r="A5356" s="189">
        <v>282</v>
      </c>
      <c r="B5356" s="186" t="s">
        <v>9790</v>
      </c>
      <c r="C5356" s="190" t="s">
        <v>9791</v>
      </c>
      <c r="D5356" s="191">
        <v>216.82</v>
      </c>
      <c r="E5356" s="191">
        <v>212.57</v>
      </c>
      <c r="F5356" s="191"/>
      <c r="G5356" s="191">
        <v>4.25</v>
      </c>
      <c r="H5356" s="192">
        <v>2493.4699999999998</v>
      </c>
      <c r="I5356" s="192">
        <v>2444.59</v>
      </c>
      <c r="J5356" s="192"/>
      <c r="K5356" s="192">
        <v>48.88</v>
      </c>
      <c r="L5356" s="43">
        <v>11.500184484826123</v>
      </c>
      <c r="M5356" s="43">
        <v>11.500164651644166</v>
      </c>
      <c r="N5356" s="43" t="s">
        <v>1690</v>
      </c>
      <c r="O5356" s="43">
        <v>11.501176470588236</v>
      </c>
      <c r="P5356" s="193"/>
      <c r="Q5356" s="193"/>
      <c r="R5356" s="193">
        <v>1</v>
      </c>
    </row>
    <row r="5357" spans="1:18" ht="24">
      <c r="A5357" s="189">
        <v>283</v>
      </c>
      <c r="B5357" s="186" t="s">
        <v>9792</v>
      </c>
      <c r="C5357" s="190" t="s">
        <v>9793</v>
      </c>
      <c r="D5357" s="191">
        <v>275.05</v>
      </c>
      <c r="E5357" s="191">
        <v>141.33000000000001</v>
      </c>
      <c r="F5357" s="191">
        <v>61.47</v>
      </c>
      <c r="G5357" s="191">
        <v>72.25</v>
      </c>
      <c r="H5357" s="192">
        <v>2158.94</v>
      </c>
      <c r="I5357" s="192">
        <v>1625.32</v>
      </c>
      <c r="J5357" s="192">
        <v>317.19</v>
      </c>
      <c r="K5357" s="192">
        <v>216.43</v>
      </c>
      <c r="L5357" s="43">
        <v>7.8492637702235957</v>
      </c>
      <c r="M5357" s="43">
        <v>11.500176890964408</v>
      </c>
      <c r="N5357" s="43">
        <v>5.1600780868716445</v>
      </c>
      <c r="O5357" s="43">
        <v>2.9955709342560555</v>
      </c>
      <c r="P5357" s="193"/>
      <c r="Q5357" s="193"/>
      <c r="R5357" s="193">
        <v>1</v>
      </c>
    </row>
    <row r="5358" spans="1:18" ht="12.75" customHeight="1">
      <c r="A5358" s="628" t="s">
        <v>9794</v>
      </c>
      <c r="B5358" s="629"/>
      <c r="C5358" s="629"/>
      <c r="D5358" s="629"/>
      <c r="E5358" s="629"/>
      <c r="F5358" s="629"/>
      <c r="G5358" s="629"/>
      <c r="H5358" s="629"/>
      <c r="I5358" s="629"/>
      <c r="J5358" s="629"/>
      <c r="K5358" s="629"/>
      <c r="L5358" s="629"/>
      <c r="M5358" s="629"/>
      <c r="N5358" s="629"/>
      <c r="O5358" s="629"/>
      <c r="P5358" s="629"/>
      <c r="Q5358" s="629"/>
      <c r="R5358" s="629"/>
    </row>
    <row r="5359" spans="1:18" ht="24">
      <c r="A5359" s="189">
        <v>284</v>
      </c>
      <c r="B5359" s="186" t="s">
        <v>9795</v>
      </c>
      <c r="C5359" s="190" t="s">
        <v>9796</v>
      </c>
      <c r="D5359" s="191">
        <v>594.66</v>
      </c>
      <c r="E5359" s="191">
        <v>583</v>
      </c>
      <c r="F5359" s="191"/>
      <c r="G5359" s="191">
        <v>11.66</v>
      </c>
      <c r="H5359" s="192">
        <v>6838.81</v>
      </c>
      <c r="I5359" s="192">
        <v>6704.72</v>
      </c>
      <c r="J5359" s="192"/>
      <c r="K5359" s="192">
        <v>134.09</v>
      </c>
      <c r="L5359" s="43">
        <v>11.500369959304479</v>
      </c>
      <c r="M5359" s="43">
        <v>11.500377358490567</v>
      </c>
      <c r="N5359" s="43" t="s">
        <v>1690</v>
      </c>
      <c r="O5359" s="43">
        <v>11.5</v>
      </c>
      <c r="P5359" s="193"/>
      <c r="Q5359" s="193"/>
      <c r="R5359" s="193">
        <v>2</v>
      </c>
    </row>
    <row r="5360" spans="1:18" ht="36">
      <c r="A5360" s="189">
        <v>285</v>
      </c>
      <c r="B5360" s="186" t="s">
        <v>9797</v>
      </c>
      <c r="C5360" s="190" t="s">
        <v>9798</v>
      </c>
      <c r="D5360" s="191">
        <v>310.85000000000002</v>
      </c>
      <c r="E5360" s="191">
        <v>304.75</v>
      </c>
      <c r="F5360" s="191"/>
      <c r="G5360" s="191">
        <v>6.1</v>
      </c>
      <c r="H5360" s="192">
        <v>3574.89</v>
      </c>
      <c r="I5360" s="192">
        <v>3504.74</v>
      </c>
      <c r="J5360" s="192"/>
      <c r="K5360" s="192">
        <v>70.150000000000006</v>
      </c>
      <c r="L5360" s="43">
        <v>11.500369953353706</v>
      </c>
      <c r="M5360" s="43">
        <v>11.500377358490566</v>
      </c>
      <c r="N5360" s="43" t="s">
        <v>1690</v>
      </c>
      <c r="O5360" s="43">
        <v>11.500000000000002</v>
      </c>
      <c r="P5360" s="193"/>
      <c r="Q5360" s="193"/>
      <c r="R5360" s="193">
        <v>2</v>
      </c>
    </row>
    <row r="5361" spans="1:18" ht="24">
      <c r="A5361" s="189">
        <v>286</v>
      </c>
      <c r="B5361" s="186" t="s">
        <v>9799</v>
      </c>
      <c r="C5361" s="190" t="s">
        <v>9800</v>
      </c>
      <c r="D5361" s="191">
        <v>97.31</v>
      </c>
      <c r="E5361" s="191">
        <v>95.4</v>
      </c>
      <c r="F5361" s="191"/>
      <c r="G5361" s="191">
        <v>1.91</v>
      </c>
      <c r="H5361" s="192">
        <v>1119.1099999999999</v>
      </c>
      <c r="I5361" s="192">
        <v>1097.1400000000001</v>
      </c>
      <c r="J5361" s="192"/>
      <c r="K5361" s="192">
        <v>21.97</v>
      </c>
      <c r="L5361" s="43">
        <v>11.500462439625936</v>
      </c>
      <c r="M5361" s="43">
        <v>11.50041928721174</v>
      </c>
      <c r="N5361" s="43" t="s">
        <v>1690</v>
      </c>
      <c r="O5361" s="43">
        <v>11.502617801047121</v>
      </c>
      <c r="P5361" s="193"/>
      <c r="Q5361" s="193"/>
      <c r="R5361" s="193">
        <v>2</v>
      </c>
    </row>
    <row r="5362" spans="1:18" ht="24">
      <c r="A5362" s="189">
        <v>287</v>
      </c>
      <c r="B5362" s="186" t="s">
        <v>9801</v>
      </c>
      <c r="C5362" s="190" t="s">
        <v>9802</v>
      </c>
      <c r="D5362" s="191">
        <v>1540.71</v>
      </c>
      <c r="E5362" s="191">
        <v>1510.5</v>
      </c>
      <c r="F5362" s="191"/>
      <c r="G5362" s="191">
        <v>30.21</v>
      </c>
      <c r="H5362" s="192">
        <v>17718.740000000002</v>
      </c>
      <c r="I5362" s="192">
        <v>17371.32</v>
      </c>
      <c r="J5362" s="192"/>
      <c r="K5362" s="192">
        <v>347.42</v>
      </c>
      <c r="L5362" s="43">
        <v>11.500373204561534</v>
      </c>
      <c r="M5362" s="43">
        <v>11.500377358490566</v>
      </c>
      <c r="N5362" s="43" t="s">
        <v>1690</v>
      </c>
      <c r="O5362" s="43">
        <v>11.500165508109898</v>
      </c>
      <c r="P5362" s="193"/>
      <c r="Q5362" s="193"/>
      <c r="R5362" s="193">
        <v>2</v>
      </c>
    </row>
    <row r="5363" spans="1:18" ht="36">
      <c r="A5363" s="189">
        <v>288</v>
      </c>
      <c r="B5363" s="186" t="s">
        <v>9803</v>
      </c>
      <c r="C5363" s="190" t="s">
        <v>9804</v>
      </c>
      <c r="D5363" s="191">
        <v>1108.23</v>
      </c>
      <c r="E5363" s="191">
        <v>1086.5</v>
      </c>
      <c r="F5363" s="191"/>
      <c r="G5363" s="191">
        <v>21.73</v>
      </c>
      <c r="H5363" s="192">
        <v>12745.06</v>
      </c>
      <c r="I5363" s="192">
        <v>12495.16</v>
      </c>
      <c r="J5363" s="192"/>
      <c r="K5363" s="192">
        <v>249.9</v>
      </c>
      <c r="L5363" s="43">
        <v>11.500374471003312</v>
      </c>
      <c r="M5363" s="43">
        <v>11.500377358490566</v>
      </c>
      <c r="N5363" s="43" t="s">
        <v>1690</v>
      </c>
      <c r="O5363" s="43">
        <v>11.500230096640589</v>
      </c>
      <c r="P5363" s="193"/>
      <c r="Q5363" s="193"/>
      <c r="R5363" s="193">
        <v>2</v>
      </c>
    </row>
    <row r="5364" spans="1:18" ht="24">
      <c r="A5364" s="189">
        <v>289</v>
      </c>
      <c r="B5364" s="186" t="s">
        <v>9805</v>
      </c>
      <c r="C5364" s="190" t="s">
        <v>9806</v>
      </c>
      <c r="D5364" s="191">
        <v>110.82</v>
      </c>
      <c r="E5364" s="191">
        <v>108.65</v>
      </c>
      <c r="F5364" s="191"/>
      <c r="G5364" s="191">
        <v>2.17</v>
      </c>
      <c r="H5364" s="192">
        <v>1274.48</v>
      </c>
      <c r="I5364" s="192">
        <v>1249.52</v>
      </c>
      <c r="J5364" s="192"/>
      <c r="K5364" s="192">
        <v>24.96</v>
      </c>
      <c r="L5364" s="43">
        <v>11.500451182097095</v>
      </c>
      <c r="M5364" s="43">
        <v>11.500414173953059</v>
      </c>
      <c r="N5364" s="43" t="s">
        <v>1690</v>
      </c>
      <c r="O5364" s="43">
        <v>11.502304147465438</v>
      </c>
      <c r="P5364" s="193"/>
      <c r="Q5364" s="193"/>
      <c r="R5364" s="193">
        <v>2</v>
      </c>
    </row>
    <row r="5365" spans="1:18" ht="24">
      <c r="A5365" s="189">
        <v>290</v>
      </c>
      <c r="B5365" s="186" t="s">
        <v>9807</v>
      </c>
      <c r="C5365" s="190" t="s">
        <v>9808</v>
      </c>
      <c r="D5365" s="191">
        <v>68.930000000000007</v>
      </c>
      <c r="E5365" s="191">
        <v>67.58</v>
      </c>
      <c r="F5365" s="191"/>
      <c r="G5365" s="191">
        <v>1.35</v>
      </c>
      <c r="H5365" s="192">
        <v>792.67</v>
      </c>
      <c r="I5365" s="192">
        <v>777.14</v>
      </c>
      <c r="J5365" s="192"/>
      <c r="K5365" s="192">
        <v>15.53</v>
      </c>
      <c r="L5365" s="43">
        <v>11.499637313216304</v>
      </c>
      <c r="M5365" s="43">
        <v>11.499556081680971</v>
      </c>
      <c r="N5365" s="43" t="s">
        <v>1690</v>
      </c>
      <c r="O5365" s="43">
        <v>11.503703703703703</v>
      </c>
      <c r="P5365" s="193"/>
      <c r="Q5365" s="193"/>
      <c r="R5365" s="193">
        <v>2</v>
      </c>
    </row>
    <row r="5366" spans="1:18" ht="24">
      <c r="A5366" s="189">
        <v>291</v>
      </c>
      <c r="B5366" s="186" t="s">
        <v>9809</v>
      </c>
      <c r="C5366" s="190" t="s">
        <v>9810</v>
      </c>
      <c r="D5366" s="191">
        <v>264.89</v>
      </c>
      <c r="E5366" s="191">
        <v>259.7</v>
      </c>
      <c r="F5366" s="191"/>
      <c r="G5366" s="191">
        <v>5.19</v>
      </c>
      <c r="H5366" s="192">
        <v>3046.34</v>
      </c>
      <c r="I5366" s="192">
        <v>2986.65</v>
      </c>
      <c r="J5366" s="192"/>
      <c r="K5366" s="192">
        <v>59.69</v>
      </c>
      <c r="L5366" s="43">
        <v>11.500396390954737</v>
      </c>
      <c r="M5366" s="43">
        <v>11.500385059684252</v>
      </c>
      <c r="N5366" s="43" t="s">
        <v>1690</v>
      </c>
      <c r="O5366" s="43">
        <v>11.5009633911368</v>
      </c>
      <c r="P5366" s="193"/>
      <c r="Q5366" s="193"/>
      <c r="R5366" s="193">
        <v>2</v>
      </c>
    </row>
    <row r="5367" spans="1:18" ht="24">
      <c r="A5367" s="189">
        <v>292</v>
      </c>
      <c r="B5367" s="186" t="s">
        <v>9811</v>
      </c>
      <c r="C5367" s="190" t="s">
        <v>9812</v>
      </c>
      <c r="D5367" s="191">
        <v>783.87</v>
      </c>
      <c r="E5367" s="191">
        <v>768.5</v>
      </c>
      <c r="F5367" s="191"/>
      <c r="G5367" s="191">
        <v>15.37</v>
      </c>
      <c r="H5367" s="192">
        <v>9014.7999999999993</v>
      </c>
      <c r="I5367" s="192">
        <v>8838.0400000000009</v>
      </c>
      <c r="J5367" s="192"/>
      <c r="K5367" s="192">
        <v>176.76</v>
      </c>
      <c r="L5367" s="43">
        <v>11.500376337913174</v>
      </c>
      <c r="M5367" s="43">
        <v>11.500377358490567</v>
      </c>
      <c r="N5367" s="43" t="s">
        <v>1690</v>
      </c>
      <c r="O5367" s="43">
        <v>11.500325309043591</v>
      </c>
      <c r="P5367" s="193"/>
      <c r="Q5367" s="193"/>
      <c r="R5367" s="193">
        <v>2</v>
      </c>
    </row>
    <row r="5368" spans="1:18" ht="12.75" customHeight="1">
      <c r="A5368" s="628" t="s">
        <v>9611</v>
      </c>
      <c r="B5368" s="629"/>
      <c r="C5368" s="629"/>
      <c r="D5368" s="629"/>
      <c r="E5368" s="629"/>
      <c r="F5368" s="629"/>
      <c r="G5368" s="629"/>
      <c r="H5368" s="629"/>
      <c r="I5368" s="629"/>
      <c r="J5368" s="629"/>
      <c r="K5368" s="629"/>
      <c r="L5368" s="629"/>
      <c r="M5368" s="629"/>
      <c r="N5368" s="629"/>
      <c r="O5368" s="629"/>
      <c r="P5368" s="629"/>
      <c r="Q5368" s="629"/>
      <c r="R5368" s="629"/>
    </row>
    <row r="5369" spans="1:18" ht="24">
      <c r="A5369" s="189">
        <v>293</v>
      </c>
      <c r="B5369" s="186" t="s">
        <v>9813</v>
      </c>
      <c r="C5369" s="190" t="s">
        <v>9814</v>
      </c>
      <c r="D5369" s="191">
        <v>1554.23</v>
      </c>
      <c r="E5369" s="191">
        <v>1523.75</v>
      </c>
      <c r="F5369" s="191"/>
      <c r="G5369" s="191">
        <v>30.48</v>
      </c>
      <c r="H5369" s="192">
        <v>17874.22</v>
      </c>
      <c r="I5369" s="192">
        <v>17523.7</v>
      </c>
      <c r="J5369" s="192"/>
      <c r="K5369" s="192">
        <v>350.52</v>
      </c>
      <c r="L5369" s="43">
        <v>11.500369958114309</v>
      </c>
      <c r="M5369" s="43">
        <v>11.500377358490567</v>
      </c>
      <c r="N5369" s="43" t="s">
        <v>1690</v>
      </c>
      <c r="O5369" s="43">
        <v>11.5</v>
      </c>
      <c r="P5369" s="193"/>
      <c r="Q5369" s="193"/>
      <c r="R5369" s="193">
        <v>3</v>
      </c>
    </row>
    <row r="5370" spans="1:18" ht="24">
      <c r="A5370" s="189">
        <v>294</v>
      </c>
      <c r="B5370" s="186" t="s">
        <v>9815</v>
      </c>
      <c r="C5370" s="190" t="s">
        <v>9816</v>
      </c>
      <c r="D5370" s="191">
        <v>878.48</v>
      </c>
      <c r="E5370" s="191">
        <v>861.25</v>
      </c>
      <c r="F5370" s="191"/>
      <c r="G5370" s="191">
        <v>17.23</v>
      </c>
      <c r="H5370" s="192">
        <v>10102.85</v>
      </c>
      <c r="I5370" s="192">
        <v>9904.7000000000007</v>
      </c>
      <c r="J5370" s="192"/>
      <c r="K5370" s="192">
        <v>198.15</v>
      </c>
      <c r="L5370" s="43">
        <v>11.50037564884801</v>
      </c>
      <c r="M5370" s="43">
        <v>11.500377358490567</v>
      </c>
      <c r="N5370" s="43" t="s">
        <v>1690</v>
      </c>
      <c r="O5370" s="43">
        <v>11.500290191526407</v>
      </c>
      <c r="P5370" s="193"/>
      <c r="Q5370" s="193"/>
      <c r="R5370" s="193">
        <v>3</v>
      </c>
    </row>
    <row r="5371" spans="1:18" ht="24">
      <c r="A5371" s="189">
        <v>295</v>
      </c>
      <c r="B5371" s="186" t="s">
        <v>9817</v>
      </c>
      <c r="C5371" s="190" t="s">
        <v>9818</v>
      </c>
      <c r="D5371" s="191">
        <v>608.17999999999995</v>
      </c>
      <c r="E5371" s="191">
        <v>596.25</v>
      </c>
      <c r="F5371" s="191"/>
      <c r="G5371" s="191">
        <v>11.93</v>
      </c>
      <c r="H5371" s="192">
        <v>6994.3</v>
      </c>
      <c r="I5371" s="192">
        <v>6857.1</v>
      </c>
      <c r="J5371" s="192"/>
      <c r="K5371" s="192">
        <v>137.19999999999999</v>
      </c>
      <c r="L5371" s="43">
        <v>11.500378177513237</v>
      </c>
      <c r="M5371" s="43">
        <v>11.500377358490567</v>
      </c>
      <c r="N5371" s="43" t="s">
        <v>1690</v>
      </c>
      <c r="O5371" s="43">
        <v>11.500419111483653</v>
      </c>
      <c r="P5371" s="193"/>
      <c r="Q5371" s="193"/>
      <c r="R5371" s="193">
        <v>3</v>
      </c>
    </row>
    <row r="5372" spans="1:18" ht="36">
      <c r="A5372" s="189">
        <v>296</v>
      </c>
      <c r="B5372" s="186" t="s">
        <v>9819</v>
      </c>
      <c r="C5372" s="190" t="s">
        <v>9820</v>
      </c>
      <c r="D5372" s="191">
        <v>297.33</v>
      </c>
      <c r="E5372" s="191">
        <v>291.5</v>
      </c>
      <c r="F5372" s="191"/>
      <c r="G5372" s="191">
        <v>5.83</v>
      </c>
      <c r="H5372" s="192">
        <v>3419.41</v>
      </c>
      <c r="I5372" s="192">
        <v>3352.36</v>
      </c>
      <c r="J5372" s="192"/>
      <c r="K5372" s="192">
        <v>67.05</v>
      </c>
      <c r="L5372" s="43">
        <v>11.500386775636498</v>
      </c>
      <c r="M5372" s="43">
        <v>11.500377358490567</v>
      </c>
      <c r="N5372" s="43" t="s">
        <v>1690</v>
      </c>
      <c r="O5372" s="43">
        <v>11.500857632933103</v>
      </c>
      <c r="P5372" s="193"/>
      <c r="Q5372" s="193"/>
      <c r="R5372" s="193">
        <v>3</v>
      </c>
    </row>
    <row r="5373" spans="1:18" ht="24">
      <c r="A5373" s="189">
        <v>297</v>
      </c>
      <c r="B5373" s="186" t="s">
        <v>9821</v>
      </c>
      <c r="C5373" s="190" t="s">
        <v>9822</v>
      </c>
      <c r="D5373" s="191">
        <v>28.39</v>
      </c>
      <c r="E5373" s="191">
        <v>27.83</v>
      </c>
      <c r="F5373" s="191"/>
      <c r="G5373" s="191">
        <v>0.56000000000000005</v>
      </c>
      <c r="H5373" s="192">
        <v>326.44</v>
      </c>
      <c r="I5373" s="192">
        <v>320</v>
      </c>
      <c r="J5373" s="192"/>
      <c r="K5373" s="192">
        <v>6.44</v>
      </c>
      <c r="L5373" s="43">
        <v>11.498414934836209</v>
      </c>
      <c r="M5373" s="43">
        <v>11.498383039885017</v>
      </c>
      <c r="N5373" s="43" t="s">
        <v>1690</v>
      </c>
      <c r="O5373" s="43">
        <v>11.5</v>
      </c>
      <c r="P5373" s="193"/>
      <c r="Q5373" s="193"/>
      <c r="R5373" s="193">
        <v>3</v>
      </c>
    </row>
    <row r="5374" spans="1:18" ht="24">
      <c r="A5374" s="189">
        <v>298</v>
      </c>
      <c r="B5374" s="186" t="s">
        <v>9823</v>
      </c>
      <c r="C5374" s="190" t="s">
        <v>9824</v>
      </c>
      <c r="D5374" s="191">
        <v>167.59</v>
      </c>
      <c r="E5374" s="191">
        <v>164.3</v>
      </c>
      <c r="F5374" s="191"/>
      <c r="G5374" s="191">
        <v>3.29</v>
      </c>
      <c r="H5374" s="192">
        <v>1927.35</v>
      </c>
      <c r="I5374" s="192">
        <v>1889.51</v>
      </c>
      <c r="J5374" s="192"/>
      <c r="K5374" s="192">
        <v>37.840000000000003</v>
      </c>
      <c r="L5374" s="43">
        <v>11.500387851303776</v>
      </c>
      <c r="M5374" s="43">
        <v>11.500365185636031</v>
      </c>
      <c r="N5374" s="43" t="s">
        <v>1690</v>
      </c>
      <c r="O5374" s="43">
        <v>11.501519756838906</v>
      </c>
      <c r="P5374" s="193"/>
      <c r="Q5374" s="193"/>
      <c r="R5374" s="193">
        <v>3</v>
      </c>
    </row>
    <row r="5375" spans="1:18" ht="24">
      <c r="A5375" s="189">
        <v>299</v>
      </c>
      <c r="B5375" s="186" t="s">
        <v>9825</v>
      </c>
      <c r="C5375" s="190" t="s">
        <v>9826</v>
      </c>
      <c r="D5375" s="191">
        <v>194.62</v>
      </c>
      <c r="E5375" s="191">
        <v>190.8</v>
      </c>
      <c r="F5375" s="191"/>
      <c r="G5375" s="191">
        <v>3.82</v>
      </c>
      <c r="H5375" s="192">
        <v>2238.1999999999998</v>
      </c>
      <c r="I5375" s="192">
        <v>2194.27</v>
      </c>
      <c r="J5375" s="192"/>
      <c r="K5375" s="192">
        <v>43.93</v>
      </c>
      <c r="L5375" s="43">
        <v>11.500359675264617</v>
      </c>
      <c r="M5375" s="43">
        <v>11.500366876310272</v>
      </c>
      <c r="N5375" s="43" t="s">
        <v>1690</v>
      </c>
      <c r="O5375" s="43">
        <v>11.5</v>
      </c>
      <c r="P5375" s="193"/>
      <c r="Q5375" s="193"/>
      <c r="R5375" s="193">
        <v>3</v>
      </c>
    </row>
    <row r="5376" spans="1:18" ht="24">
      <c r="A5376" s="189">
        <v>300</v>
      </c>
      <c r="B5376" s="186" t="s">
        <v>9827</v>
      </c>
      <c r="C5376" s="190" t="s">
        <v>9828</v>
      </c>
      <c r="D5376" s="191">
        <v>28.39</v>
      </c>
      <c r="E5376" s="191">
        <v>27.83</v>
      </c>
      <c r="F5376" s="191"/>
      <c r="G5376" s="191">
        <v>0.56000000000000005</v>
      </c>
      <c r="H5376" s="192">
        <v>326.44</v>
      </c>
      <c r="I5376" s="192">
        <v>320</v>
      </c>
      <c r="J5376" s="192"/>
      <c r="K5376" s="192">
        <v>6.44</v>
      </c>
      <c r="L5376" s="43">
        <v>11.498414934836209</v>
      </c>
      <c r="M5376" s="43">
        <v>11.498383039885017</v>
      </c>
      <c r="N5376" s="43" t="s">
        <v>1690</v>
      </c>
      <c r="O5376" s="43">
        <v>11.5</v>
      </c>
      <c r="P5376" s="193"/>
      <c r="Q5376" s="193"/>
      <c r="R5376" s="193">
        <v>3</v>
      </c>
    </row>
    <row r="5377" spans="1:18" ht="36">
      <c r="A5377" s="189">
        <v>301</v>
      </c>
      <c r="B5377" s="186" t="s">
        <v>9829</v>
      </c>
      <c r="C5377" s="190" t="s">
        <v>9830</v>
      </c>
      <c r="D5377" s="191">
        <v>13.52</v>
      </c>
      <c r="E5377" s="191">
        <v>13.25</v>
      </c>
      <c r="F5377" s="191"/>
      <c r="G5377" s="191">
        <v>0.27</v>
      </c>
      <c r="H5377" s="192">
        <v>155.49</v>
      </c>
      <c r="I5377" s="192">
        <v>152.38</v>
      </c>
      <c r="J5377" s="192"/>
      <c r="K5377" s="192">
        <v>3.11</v>
      </c>
      <c r="L5377" s="43">
        <v>11.500739644970416</v>
      </c>
      <c r="M5377" s="43">
        <v>11.500377358490566</v>
      </c>
      <c r="N5377" s="43" t="s">
        <v>1690</v>
      </c>
      <c r="O5377" s="43">
        <v>11.518518518518517</v>
      </c>
      <c r="P5377" s="193"/>
      <c r="Q5377" s="193"/>
      <c r="R5377" s="193">
        <v>3</v>
      </c>
    </row>
    <row r="5378" spans="1:18" ht="12.75" customHeight="1">
      <c r="A5378" s="628" t="s">
        <v>9831</v>
      </c>
      <c r="B5378" s="629"/>
      <c r="C5378" s="629"/>
      <c r="D5378" s="629"/>
      <c r="E5378" s="629"/>
      <c r="F5378" s="629"/>
      <c r="G5378" s="629"/>
      <c r="H5378" s="629"/>
      <c r="I5378" s="629"/>
      <c r="J5378" s="629"/>
      <c r="K5378" s="629"/>
      <c r="L5378" s="629"/>
      <c r="M5378" s="629"/>
      <c r="N5378" s="629"/>
      <c r="O5378" s="629"/>
      <c r="P5378" s="629"/>
      <c r="Q5378" s="629"/>
      <c r="R5378" s="629"/>
    </row>
    <row r="5379" spans="1:18" ht="12.75" customHeight="1">
      <c r="A5379" s="628" t="s">
        <v>9832</v>
      </c>
      <c r="B5379" s="629"/>
      <c r="C5379" s="629"/>
      <c r="D5379" s="629"/>
      <c r="E5379" s="629"/>
      <c r="F5379" s="629"/>
      <c r="G5379" s="629"/>
      <c r="H5379" s="629"/>
      <c r="I5379" s="629"/>
      <c r="J5379" s="629"/>
      <c r="K5379" s="629"/>
      <c r="L5379" s="629"/>
      <c r="M5379" s="629"/>
      <c r="N5379" s="629"/>
      <c r="O5379" s="629"/>
      <c r="P5379" s="629"/>
      <c r="Q5379" s="629"/>
      <c r="R5379" s="629"/>
    </row>
    <row r="5380" spans="1:18" ht="24">
      <c r="A5380" s="189">
        <v>302</v>
      </c>
      <c r="B5380" s="186" t="s">
        <v>9833</v>
      </c>
      <c r="C5380" s="190" t="s">
        <v>9834</v>
      </c>
      <c r="D5380" s="191">
        <v>211.61</v>
      </c>
      <c r="E5380" s="191">
        <v>141.33000000000001</v>
      </c>
      <c r="F5380" s="191">
        <v>54.64</v>
      </c>
      <c r="G5380" s="191">
        <v>15.64</v>
      </c>
      <c r="H5380" s="192">
        <v>1989.17</v>
      </c>
      <c r="I5380" s="192">
        <v>1625.32</v>
      </c>
      <c r="J5380" s="192">
        <v>282.04000000000002</v>
      </c>
      <c r="K5380" s="192">
        <v>81.81</v>
      </c>
      <c r="L5380" s="43">
        <v>9.4001701242852409</v>
      </c>
      <c r="M5380" s="43">
        <v>11.500176890964408</v>
      </c>
      <c r="N5380" s="43">
        <v>5.1617862371888732</v>
      </c>
      <c r="O5380" s="43">
        <v>5.2308184143222505</v>
      </c>
      <c r="P5380" s="193"/>
      <c r="Q5380" s="193"/>
      <c r="R5380" s="193">
        <v>1</v>
      </c>
    </row>
    <row r="5381" spans="1:18" ht="24">
      <c r="A5381" s="189">
        <v>303</v>
      </c>
      <c r="B5381" s="186" t="s">
        <v>9835</v>
      </c>
      <c r="C5381" s="190" t="s">
        <v>9836</v>
      </c>
      <c r="D5381" s="191">
        <v>266.49</v>
      </c>
      <c r="E5381" s="191">
        <v>153.97</v>
      </c>
      <c r="F5381" s="191">
        <v>59.3</v>
      </c>
      <c r="G5381" s="191">
        <v>53.22</v>
      </c>
      <c r="H5381" s="192">
        <v>2306</v>
      </c>
      <c r="I5381" s="192">
        <v>1770.68</v>
      </c>
      <c r="J5381" s="192">
        <v>305.92</v>
      </c>
      <c r="K5381" s="192">
        <v>229.4</v>
      </c>
      <c r="L5381" s="43">
        <v>8.6532327667079443</v>
      </c>
      <c r="M5381" s="43">
        <v>11.50016236929272</v>
      </c>
      <c r="N5381" s="43">
        <v>5.1588532883642504</v>
      </c>
      <c r="O5381" s="43">
        <v>4.3104096204434423</v>
      </c>
      <c r="P5381" s="193"/>
      <c r="Q5381" s="193"/>
      <c r="R5381" s="193">
        <v>1</v>
      </c>
    </row>
    <row r="5382" spans="1:18" ht="24">
      <c r="A5382" s="189">
        <v>304</v>
      </c>
      <c r="B5382" s="186" t="s">
        <v>9837</v>
      </c>
      <c r="C5382" s="190" t="s">
        <v>9838</v>
      </c>
      <c r="D5382" s="191">
        <v>322.62</v>
      </c>
      <c r="E5382" s="191">
        <v>193.03</v>
      </c>
      <c r="F5382" s="191">
        <v>75.59</v>
      </c>
      <c r="G5382" s="191">
        <v>54</v>
      </c>
      <c r="H5382" s="192">
        <v>2848.77</v>
      </c>
      <c r="I5382" s="192">
        <v>2219.9499999999998</v>
      </c>
      <c r="J5382" s="192">
        <v>390.45</v>
      </c>
      <c r="K5382" s="192">
        <v>238.37</v>
      </c>
      <c r="L5382" s="43">
        <v>8.8301097266133528</v>
      </c>
      <c r="M5382" s="43">
        <v>11.500543956897891</v>
      </c>
      <c r="N5382" s="43">
        <v>5.1653657891255449</v>
      </c>
      <c r="O5382" s="43">
        <v>4.4142592592592598</v>
      </c>
      <c r="P5382" s="193"/>
      <c r="Q5382" s="193"/>
      <c r="R5382" s="193">
        <v>1</v>
      </c>
    </row>
    <row r="5383" spans="1:18" ht="24">
      <c r="A5383" s="189">
        <v>305</v>
      </c>
      <c r="B5383" s="186" t="s">
        <v>9839</v>
      </c>
      <c r="C5383" s="190" t="s">
        <v>9840</v>
      </c>
      <c r="D5383" s="191">
        <v>325.92</v>
      </c>
      <c r="E5383" s="191">
        <v>206.82</v>
      </c>
      <c r="F5383" s="191">
        <v>81.760000000000005</v>
      </c>
      <c r="G5383" s="191">
        <v>37.340000000000003</v>
      </c>
      <c r="H5383" s="192">
        <v>2973.19</v>
      </c>
      <c r="I5383" s="192">
        <v>2378.52</v>
      </c>
      <c r="J5383" s="192">
        <v>420.72</v>
      </c>
      <c r="K5383" s="192">
        <v>173.95</v>
      </c>
      <c r="L5383" s="43">
        <v>9.1224533627884146</v>
      </c>
      <c r="M5383" s="43">
        <v>11.500435161009573</v>
      </c>
      <c r="N5383" s="43">
        <v>5.1457925636007831</v>
      </c>
      <c r="O5383" s="43">
        <v>4.6585431173004812</v>
      </c>
      <c r="P5383" s="193"/>
      <c r="Q5383" s="193"/>
      <c r="R5383" s="193">
        <v>1</v>
      </c>
    </row>
    <row r="5384" spans="1:18" ht="24">
      <c r="A5384" s="189">
        <v>306</v>
      </c>
      <c r="B5384" s="186" t="s">
        <v>9841</v>
      </c>
      <c r="C5384" s="190" t="s">
        <v>9842</v>
      </c>
      <c r="D5384" s="191">
        <v>40.659999999999997</v>
      </c>
      <c r="E5384" s="191">
        <v>26.31</v>
      </c>
      <c r="F5384" s="191">
        <v>13.82</v>
      </c>
      <c r="G5384" s="191">
        <v>0.53</v>
      </c>
      <c r="H5384" s="192">
        <v>383.13</v>
      </c>
      <c r="I5384" s="192">
        <v>302.60000000000002</v>
      </c>
      <c r="J5384" s="192">
        <v>74.430000000000007</v>
      </c>
      <c r="K5384" s="192">
        <v>6.1</v>
      </c>
      <c r="L5384" s="43">
        <v>9.4227742252828346</v>
      </c>
      <c r="M5384" s="43">
        <v>11.501330292664388</v>
      </c>
      <c r="N5384" s="43">
        <v>5.3856729377713464</v>
      </c>
      <c r="O5384" s="43">
        <v>11.5</v>
      </c>
      <c r="P5384" s="193"/>
      <c r="Q5384" s="193"/>
      <c r="R5384" s="193">
        <v>1</v>
      </c>
    </row>
    <row r="5385" spans="1:18" ht="24">
      <c r="A5385" s="189">
        <v>307</v>
      </c>
      <c r="B5385" s="186" t="s">
        <v>9843</v>
      </c>
      <c r="C5385" s="190" t="s">
        <v>9844</v>
      </c>
      <c r="D5385" s="191">
        <v>40.659999999999997</v>
      </c>
      <c r="E5385" s="191">
        <v>26.31</v>
      </c>
      <c r="F5385" s="191">
        <v>13.82</v>
      </c>
      <c r="G5385" s="191">
        <v>0.53</v>
      </c>
      <c r="H5385" s="192">
        <v>383.13</v>
      </c>
      <c r="I5385" s="192">
        <v>302.60000000000002</v>
      </c>
      <c r="J5385" s="192">
        <v>74.430000000000007</v>
      </c>
      <c r="K5385" s="192">
        <v>6.1</v>
      </c>
      <c r="L5385" s="43">
        <v>9.4227742252828346</v>
      </c>
      <c r="M5385" s="43">
        <v>11.501330292664388</v>
      </c>
      <c r="N5385" s="43">
        <v>5.3856729377713464</v>
      </c>
      <c r="O5385" s="43">
        <v>11.5</v>
      </c>
      <c r="P5385" s="193"/>
      <c r="Q5385" s="193"/>
      <c r="R5385" s="193">
        <v>1</v>
      </c>
    </row>
    <row r="5386" spans="1:18" ht="24">
      <c r="A5386" s="189">
        <v>308</v>
      </c>
      <c r="B5386" s="186" t="s">
        <v>9845</v>
      </c>
      <c r="C5386" s="190" t="s">
        <v>9846</v>
      </c>
      <c r="D5386" s="191">
        <v>167.29</v>
      </c>
      <c r="E5386" s="191">
        <v>114.9</v>
      </c>
      <c r="F5386" s="191">
        <v>50.09</v>
      </c>
      <c r="G5386" s="191">
        <v>2.2999999999999998</v>
      </c>
      <c r="H5386" s="192">
        <v>1601.33</v>
      </c>
      <c r="I5386" s="192">
        <v>1321.4</v>
      </c>
      <c r="J5386" s="192">
        <v>253.48</v>
      </c>
      <c r="K5386" s="192">
        <v>26.45</v>
      </c>
      <c r="L5386" s="43">
        <v>9.5721800466256202</v>
      </c>
      <c r="M5386" s="43">
        <v>11.500435161009573</v>
      </c>
      <c r="N5386" s="43">
        <v>5.0604911159912156</v>
      </c>
      <c r="O5386" s="43">
        <v>11.5</v>
      </c>
      <c r="P5386" s="193"/>
      <c r="Q5386" s="193"/>
      <c r="R5386" s="193">
        <v>1</v>
      </c>
    </row>
    <row r="5387" spans="1:18" ht="24">
      <c r="A5387" s="189">
        <v>309</v>
      </c>
      <c r="B5387" s="186" t="s">
        <v>9847</v>
      </c>
      <c r="C5387" s="190" t="s">
        <v>9848</v>
      </c>
      <c r="D5387" s="191">
        <v>232.8</v>
      </c>
      <c r="E5387" s="191">
        <v>125.34</v>
      </c>
      <c r="F5387" s="191">
        <v>54.81</v>
      </c>
      <c r="G5387" s="191">
        <v>52.65</v>
      </c>
      <c r="H5387" s="192">
        <v>1947.08</v>
      </c>
      <c r="I5387" s="192">
        <v>1441.44</v>
      </c>
      <c r="J5387" s="192">
        <v>282.79000000000002</v>
      </c>
      <c r="K5387" s="192">
        <v>222.85</v>
      </c>
      <c r="L5387" s="43">
        <v>8.3637457044673535</v>
      </c>
      <c r="M5387" s="43">
        <v>11.500239348970799</v>
      </c>
      <c r="N5387" s="43">
        <v>5.1594599525634006</v>
      </c>
      <c r="O5387" s="43">
        <v>4.232668566001899</v>
      </c>
      <c r="P5387" s="193"/>
      <c r="Q5387" s="193"/>
      <c r="R5387" s="193">
        <v>1</v>
      </c>
    </row>
    <row r="5388" spans="1:18" ht="24">
      <c r="A5388" s="189">
        <v>310</v>
      </c>
      <c r="B5388" s="186" t="s">
        <v>9849</v>
      </c>
      <c r="C5388" s="190" t="s">
        <v>9850</v>
      </c>
      <c r="D5388" s="191">
        <v>198.35</v>
      </c>
      <c r="E5388" s="191">
        <v>101.9</v>
      </c>
      <c r="F5388" s="191">
        <v>44.27</v>
      </c>
      <c r="G5388" s="191">
        <v>52.18</v>
      </c>
      <c r="H5388" s="192">
        <v>1618.17</v>
      </c>
      <c r="I5388" s="192">
        <v>1171.9000000000001</v>
      </c>
      <c r="J5388" s="192">
        <v>228.83</v>
      </c>
      <c r="K5388" s="192">
        <v>217.44</v>
      </c>
      <c r="L5388" s="43">
        <v>8.1581547769095035</v>
      </c>
      <c r="M5388" s="43">
        <v>11.500490677134446</v>
      </c>
      <c r="N5388" s="43">
        <v>5.1689631804833969</v>
      </c>
      <c r="O5388" s="43">
        <v>4.1671138367190492</v>
      </c>
      <c r="P5388" s="193"/>
      <c r="Q5388" s="193"/>
      <c r="R5388" s="193">
        <v>1</v>
      </c>
    </row>
    <row r="5389" spans="1:18" ht="24">
      <c r="A5389" s="189">
        <v>311</v>
      </c>
      <c r="B5389" s="186" t="s">
        <v>9851</v>
      </c>
      <c r="C5389" s="190" t="s">
        <v>9852</v>
      </c>
      <c r="D5389" s="191">
        <v>182.18</v>
      </c>
      <c r="E5389" s="191">
        <v>91.1</v>
      </c>
      <c r="F5389" s="191">
        <v>39.119999999999997</v>
      </c>
      <c r="G5389" s="191">
        <v>51.96</v>
      </c>
      <c r="H5389" s="192">
        <v>1465.48</v>
      </c>
      <c r="I5389" s="192">
        <v>1047.68</v>
      </c>
      <c r="J5389" s="192">
        <v>202.89</v>
      </c>
      <c r="K5389" s="192">
        <v>214.91</v>
      </c>
      <c r="L5389" s="43">
        <v>8.0441321769678336</v>
      </c>
      <c r="M5389" s="43">
        <v>11.500329308452251</v>
      </c>
      <c r="N5389" s="43">
        <v>5.1863496932515334</v>
      </c>
      <c r="O5389" s="43">
        <v>4.1360662047729022</v>
      </c>
      <c r="P5389" s="193"/>
      <c r="Q5389" s="193"/>
      <c r="R5389" s="193">
        <v>1</v>
      </c>
    </row>
    <row r="5390" spans="1:18" ht="24">
      <c r="A5390" s="189">
        <v>312</v>
      </c>
      <c r="B5390" s="186" t="s">
        <v>9853</v>
      </c>
      <c r="C5390" s="190" t="s">
        <v>9854</v>
      </c>
      <c r="D5390" s="191">
        <v>139.21</v>
      </c>
      <c r="E5390" s="191">
        <v>63.88</v>
      </c>
      <c r="F5390" s="191">
        <v>23.91</v>
      </c>
      <c r="G5390" s="191">
        <v>51.42</v>
      </c>
      <c r="H5390" s="192">
        <v>1067.3900000000001</v>
      </c>
      <c r="I5390" s="192">
        <v>734.7</v>
      </c>
      <c r="J5390" s="192">
        <v>123.99</v>
      </c>
      <c r="K5390" s="192">
        <v>208.7</v>
      </c>
      <c r="L5390" s="43">
        <v>7.6674807844264068</v>
      </c>
      <c r="M5390" s="43">
        <v>11.501252348152788</v>
      </c>
      <c r="N5390" s="43">
        <v>5.1856963613550811</v>
      </c>
      <c r="O5390" s="43">
        <v>4.0587320108907035</v>
      </c>
      <c r="P5390" s="193"/>
      <c r="Q5390" s="193"/>
      <c r="R5390" s="193">
        <v>1</v>
      </c>
    </row>
    <row r="5391" spans="1:18" ht="24">
      <c r="A5391" s="189">
        <v>313</v>
      </c>
      <c r="B5391" s="186" t="s">
        <v>9855</v>
      </c>
      <c r="C5391" s="190" t="s">
        <v>9856</v>
      </c>
      <c r="D5391" s="191">
        <v>38.79</v>
      </c>
      <c r="E5391" s="191">
        <v>26.31</v>
      </c>
      <c r="F5391" s="191">
        <v>11.95</v>
      </c>
      <c r="G5391" s="191">
        <v>0.53</v>
      </c>
      <c r="H5391" s="192">
        <v>370.69</v>
      </c>
      <c r="I5391" s="192">
        <v>302.60000000000002</v>
      </c>
      <c r="J5391" s="192">
        <v>61.99</v>
      </c>
      <c r="K5391" s="192">
        <v>6.1</v>
      </c>
      <c r="L5391" s="43">
        <v>9.5563289507605056</v>
      </c>
      <c r="M5391" s="43">
        <v>11.501330292664388</v>
      </c>
      <c r="N5391" s="43">
        <v>5.1874476987447702</v>
      </c>
      <c r="O5391" s="43">
        <v>11.5</v>
      </c>
      <c r="P5391" s="193"/>
      <c r="Q5391" s="193"/>
      <c r="R5391" s="193">
        <v>1</v>
      </c>
    </row>
    <row r="5392" spans="1:18" ht="24">
      <c r="A5392" s="189">
        <v>314</v>
      </c>
      <c r="B5392" s="186" t="s">
        <v>9857</v>
      </c>
      <c r="C5392" s="190" t="s">
        <v>9858</v>
      </c>
      <c r="D5392" s="191">
        <v>90.48</v>
      </c>
      <c r="E5392" s="191">
        <v>63.88</v>
      </c>
      <c r="F5392" s="191">
        <v>25.32</v>
      </c>
      <c r="G5392" s="191">
        <v>1.28</v>
      </c>
      <c r="H5392" s="192">
        <v>879.39</v>
      </c>
      <c r="I5392" s="192">
        <v>734.7</v>
      </c>
      <c r="J5392" s="192">
        <v>129.97</v>
      </c>
      <c r="K5392" s="192">
        <v>14.72</v>
      </c>
      <c r="L5392" s="43">
        <v>9.7191644562334218</v>
      </c>
      <c r="M5392" s="43">
        <v>11.501252348152788</v>
      </c>
      <c r="N5392" s="43">
        <v>5.1330963665086884</v>
      </c>
      <c r="O5392" s="43">
        <v>11.5</v>
      </c>
      <c r="P5392" s="193"/>
      <c r="Q5392" s="193"/>
      <c r="R5392" s="193">
        <v>1</v>
      </c>
    </row>
    <row r="5393" spans="1:18" ht="12.75" customHeight="1">
      <c r="A5393" s="628" t="s">
        <v>9859</v>
      </c>
      <c r="B5393" s="629"/>
      <c r="C5393" s="629"/>
      <c r="D5393" s="629"/>
      <c r="E5393" s="629"/>
      <c r="F5393" s="629"/>
      <c r="G5393" s="629"/>
      <c r="H5393" s="629"/>
      <c r="I5393" s="629"/>
      <c r="J5393" s="629"/>
      <c r="K5393" s="629"/>
      <c r="L5393" s="629"/>
      <c r="M5393" s="629"/>
      <c r="N5393" s="629"/>
      <c r="O5393" s="629"/>
      <c r="P5393" s="629"/>
      <c r="Q5393" s="629"/>
      <c r="R5393" s="629"/>
    </row>
    <row r="5394" spans="1:18" ht="24">
      <c r="A5394" s="189">
        <v>315</v>
      </c>
      <c r="B5394" s="186" t="s">
        <v>9860</v>
      </c>
      <c r="C5394" s="190" t="s">
        <v>9861</v>
      </c>
      <c r="D5394" s="191">
        <v>1547.76</v>
      </c>
      <c r="E5394" s="191">
        <v>167.75</v>
      </c>
      <c r="F5394" s="191">
        <v>61.47</v>
      </c>
      <c r="G5394" s="191">
        <v>1318.54</v>
      </c>
      <c r="H5394" s="192">
        <v>7137.9</v>
      </c>
      <c r="I5394" s="192">
        <v>1929.24</v>
      </c>
      <c r="J5394" s="192">
        <v>317.19</v>
      </c>
      <c r="K5394" s="192">
        <v>4891.47</v>
      </c>
      <c r="L5394" s="43">
        <v>4.6117615134129322</v>
      </c>
      <c r="M5394" s="43">
        <v>11.500685543964233</v>
      </c>
      <c r="N5394" s="43">
        <v>5.1600780868716445</v>
      </c>
      <c r="O5394" s="43">
        <v>3.7097623128611952</v>
      </c>
      <c r="P5394" s="193"/>
      <c r="Q5394" s="193"/>
      <c r="R5394" s="193">
        <v>2</v>
      </c>
    </row>
    <row r="5395" spans="1:18" ht="24">
      <c r="A5395" s="189">
        <v>316</v>
      </c>
      <c r="B5395" s="186" t="s">
        <v>9862</v>
      </c>
      <c r="C5395" s="190" t="s">
        <v>9863</v>
      </c>
      <c r="D5395" s="191">
        <v>1573.54</v>
      </c>
      <c r="E5395" s="191">
        <v>193.03</v>
      </c>
      <c r="F5395" s="191">
        <v>61.47</v>
      </c>
      <c r="G5395" s="191">
        <v>1319.04</v>
      </c>
      <c r="H5395" s="192">
        <v>7434.36</v>
      </c>
      <c r="I5395" s="192">
        <v>2219.9499999999998</v>
      </c>
      <c r="J5395" s="192">
        <v>317.19</v>
      </c>
      <c r="K5395" s="192">
        <v>4897.22</v>
      </c>
      <c r="L5395" s="43">
        <v>4.7246082082438319</v>
      </c>
      <c r="M5395" s="43">
        <v>11.500543956897891</v>
      </c>
      <c r="N5395" s="43">
        <v>5.1600780868716445</v>
      </c>
      <c r="O5395" s="43">
        <v>3.712715308102863</v>
      </c>
      <c r="P5395" s="193"/>
      <c r="Q5395" s="193"/>
      <c r="R5395" s="193">
        <v>2</v>
      </c>
    </row>
    <row r="5396" spans="1:18" ht="24">
      <c r="A5396" s="189">
        <v>317</v>
      </c>
      <c r="B5396" s="186" t="s">
        <v>9864</v>
      </c>
      <c r="C5396" s="190" t="s">
        <v>9865</v>
      </c>
      <c r="D5396" s="191">
        <v>1623.32</v>
      </c>
      <c r="E5396" s="191">
        <v>219.46</v>
      </c>
      <c r="F5396" s="191">
        <v>84.29</v>
      </c>
      <c r="G5396" s="191">
        <v>1319.57</v>
      </c>
      <c r="H5396" s="192">
        <v>7862.73</v>
      </c>
      <c r="I5396" s="192">
        <v>2523.87</v>
      </c>
      <c r="J5396" s="192">
        <v>435.54</v>
      </c>
      <c r="K5396" s="192">
        <v>4903.32</v>
      </c>
      <c r="L5396" s="43">
        <v>4.8436106251386049</v>
      </c>
      <c r="M5396" s="43">
        <v>11.500364531121843</v>
      </c>
      <c r="N5396" s="43">
        <v>5.1671609918139758</v>
      </c>
      <c r="O5396" s="43">
        <v>3.7158468288912299</v>
      </c>
      <c r="P5396" s="193"/>
      <c r="Q5396" s="193"/>
      <c r="R5396" s="193">
        <v>2</v>
      </c>
    </row>
    <row r="5397" spans="1:18" ht="24">
      <c r="A5397" s="189">
        <v>318</v>
      </c>
      <c r="B5397" s="186" t="s">
        <v>9866</v>
      </c>
      <c r="C5397" s="190" t="s">
        <v>9867</v>
      </c>
      <c r="D5397" s="191">
        <v>1626.31</v>
      </c>
      <c r="E5397" s="191">
        <v>219.46</v>
      </c>
      <c r="F5397" s="191">
        <v>84.29</v>
      </c>
      <c r="G5397" s="191">
        <v>1322.56</v>
      </c>
      <c r="H5397" s="192">
        <v>7870.9</v>
      </c>
      <c r="I5397" s="192">
        <v>2523.87</v>
      </c>
      <c r="J5397" s="192">
        <v>435.54</v>
      </c>
      <c r="K5397" s="192">
        <v>4911.49</v>
      </c>
      <c r="L5397" s="43">
        <v>4.8397292029194929</v>
      </c>
      <c r="M5397" s="43">
        <v>11.500364531121843</v>
      </c>
      <c r="N5397" s="43">
        <v>5.1671609918139758</v>
      </c>
      <c r="O5397" s="43">
        <v>3.7136235785143965</v>
      </c>
      <c r="P5397" s="193"/>
      <c r="Q5397" s="193"/>
      <c r="R5397" s="193">
        <v>2</v>
      </c>
    </row>
    <row r="5398" spans="1:18" ht="24">
      <c r="A5398" s="189">
        <v>319</v>
      </c>
      <c r="B5398" s="186" t="s">
        <v>9868</v>
      </c>
      <c r="C5398" s="190" t="s">
        <v>9869</v>
      </c>
      <c r="D5398" s="191">
        <v>233.33</v>
      </c>
      <c r="E5398" s="191">
        <v>128.69</v>
      </c>
      <c r="F5398" s="191">
        <v>47.81</v>
      </c>
      <c r="G5398" s="191">
        <v>56.83</v>
      </c>
      <c r="H5398" s="192">
        <v>1961.05</v>
      </c>
      <c r="I5398" s="192">
        <v>1479.97</v>
      </c>
      <c r="J5398" s="192">
        <v>247.98</v>
      </c>
      <c r="K5398" s="192">
        <v>233.1</v>
      </c>
      <c r="L5398" s="43">
        <v>8.4046200660009429</v>
      </c>
      <c r="M5398" s="43">
        <v>11.50027197140415</v>
      </c>
      <c r="N5398" s="43">
        <v>5.1867810081572889</v>
      </c>
      <c r="O5398" s="43">
        <v>4.1017068449762446</v>
      </c>
      <c r="P5398" s="193"/>
      <c r="Q5398" s="193"/>
      <c r="R5398" s="193">
        <v>2</v>
      </c>
    </row>
    <row r="5399" spans="1:18" ht="24">
      <c r="A5399" s="189">
        <v>320</v>
      </c>
      <c r="B5399" s="186" t="s">
        <v>9870</v>
      </c>
      <c r="C5399" s="190" t="s">
        <v>9871</v>
      </c>
      <c r="D5399" s="191">
        <v>10.01</v>
      </c>
      <c r="E5399" s="191">
        <v>7.35</v>
      </c>
      <c r="F5399" s="191">
        <v>2.5099999999999998</v>
      </c>
      <c r="G5399" s="191">
        <v>0.15</v>
      </c>
      <c r="H5399" s="192">
        <v>99.83</v>
      </c>
      <c r="I5399" s="192">
        <v>84.57</v>
      </c>
      <c r="J5399" s="192">
        <v>13.53</v>
      </c>
      <c r="K5399" s="192">
        <v>1.73</v>
      </c>
      <c r="L5399" s="43">
        <v>9.9730269730269736</v>
      </c>
      <c r="M5399" s="43">
        <v>11.5021951219512</v>
      </c>
      <c r="N5399" s="43">
        <v>5.3904382470119527</v>
      </c>
      <c r="O5399" s="43">
        <v>11.5</v>
      </c>
      <c r="P5399" s="193"/>
      <c r="Q5399" s="193"/>
      <c r="R5399" s="193">
        <v>2</v>
      </c>
    </row>
    <row r="5400" spans="1:18" ht="24">
      <c r="A5400" s="189">
        <v>321</v>
      </c>
      <c r="B5400" s="186" t="s">
        <v>9872</v>
      </c>
      <c r="C5400" s="190" t="s">
        <v>9873</v>
      </c>
      <c r="D5400" s="191">
        <v>8.14</v>
      </c>
      <c r="E5400" s="191">
        <v>5.52</v>
      </c>
      <c r="F5400" s="191">
        <v>2.5099999999999998</v>
      </c>
      <c r="G5400" s="191">
        <v>0.11</v>
      </c>
      <c r="H5400" s="192">
        <v>78.23</v>
      </c>
      <c r="I5400" s="192">
        <v>63.43</v>
      </c>
      <c r="J5400" s="192">
        <v>13.53</v>
      </c>
      <c r="K5400" s="192">
        <v>1.27</v>
      </c>
      <c r="L5400" s="43">
        <v>9.6105651105651102</v>
      </c>
      <c r="M5400" s="43">
        <v>11.5</v>
      </c>
      <c r="N5400" s="43">
        <v>5.3904382470119527</v>
      </c>
      <c r="O5400" s="43">
        <v>11.5</v>
      </c>
      <c r="P5400" s="193"/>
      <c r="Q5400" s="193"/>
      <c r="R5400" s="193">
        <v>2</v>
      </c>
    </row>
    <row r="5401" spans="1:18" ht="24">
      <c r="A5401" s="189">
        <v>322</v>
      </c>
      <c r="B5401" s="186" t="s">
        <v>9874</v>
      </c>
      <c r="C5401" s="190" t="s">
        <v>9875</v>
      </c>
      <c r="D5401" s="191">
        <v>13.61</v>
      </c>
      <c r="E5401" s="191">
        <v>9.65</v>
      </c>
      <c r="F5401" s="191">
        <v>3.77</v>
      </c>
      <c r="G5401" s="191">
        <v>0.19</v>
      </c>
      <c r="H5401" s="192">
        <v>133.49</v>
      </c>
      <c r="I5401" s="192">
        <v>111</v>
      </c>
      <c r="J5401" s="192">
        <v>20.3</v>
      </c>
      <c r="K5401" s="192">
        <v>2.19</v>
      </c>
      <c r="L5401" s="43">
        <v>9.8082292432035274</v>
      </c>
      <c r="M5401" s="43">
        <v>11.50259067357513</v>
      </c>
      <c r="N5401" s="43">
        <v>5.384615384615385</v>
      </c>
      <c r="O5401" s="43">
        <v>11.5</v>
      </c>
      <c r="P5401" s="193"/>
      <c r="Q5401" s="193"/>
      <c r="R5401" s="193">
        <v>2</v>
      </c>
    </row>
    <row r="5402" spans="1:18" ht="12.75" customHeight="1">
      <c r="A5402" s="628" t="s">
        <v>9876</v>
      </c>
      <c r="B5402" s="629"/>
      <c r="C5402" s="629"/>
      <c r="D5402" s="629"/>
      <c r="E5402" s="629"/>
      <c r="F5402" s="629"/>
      <c r="G5402" s="629"/>
      <c r="H5402" s="629"/>
      <c r="I5402" s="629"/>
      <c r="J5402" s="629"/>
      <c r="K5402" s="629"/>
      <c r="L5402" s="629"/>
      <c r="M5402" s="629"/>
      <c r="N5402" s="629"/>
      <c r="O5402" s="629"/>
      <c r="P5402" s="629"/>
      <c r="Q5402" s="629"/>
      <c r="R5402" s="629"/>
    </row>
    <row r="5403" spans="1:18" ht="48">
      <c r="A5403" s="189">
        <v>323</v>
      </c>
      <c r="B5403" s="186" t="s">
        <v>9877</v>
      </c>
      <c r="C5403" s="190" t="s">
        <v>9878</v>
      </c>
      <c r="D5403" s="191">
        <v>1021.73</v>
      </c>
      <c r="E5403" s="191">
        <v>1001.7</v>
      </c>
      <c r="F5403" s="191"/>
      <c r="G5403" s="191">
        <v>20.03</v>
      </c>
      <c r="H5403" s="192">
        <v>11750.28</v>
      </c>
      <c r="I5403" s="192">
        <v>11519.93</v>
      </c>
      <c r="J5403" s="192"/>
      <c r="K5403" s="192">
        <v>230.35</v>
      </c>
      <c r="L5403" s="43">
        <v>11.500376811877894</v>
      </c>
      <c r="M5403" s="43">
        <v>11.500379355096335</v>
      </c>
      <c r="N5403" s="43" t="s">
        <v>1690</v>
      </c>
      <c r="O5403" s="43">
        <v>11.500249625561656</v>
      </c>
      <c r="P5403" s="193"/>
      <c r="Q5403" s="193"/>
      <c r="R5403" s="193">
        <v>3</v>
      </c>
    </row>
    <row r="5404" spans="1:18" ht="36">
      <c r="A5404" s="189">
        <v>324</v>
      </c>
      <c r="B5404" s="186" t="s">
        <v>9879</v>
      </c>
      <c r="C5404" s="190" t="s">
        <v>9880</v>
      </c>
      <c r="D5404" s="191">
        <v>1473.14</v>
      </c>
      <c r="E5404" s="191">
        <v>1444.25</v>
      </c>
      <c r="F5404" s="191"/>
      <c r="G5404" s="191">
        <v>28.89</v>
      </c>
      <c r="H5404" s="192">
        <v>16941.66</v>
      </c>
      <c r="I5404" s="192">
        <v>16609.419999999998</v>
      </c>
      <c r="J5404" s="192"/>
      <c r="K5404" s="192">
        <v>332.24</v>
      </c>
      <c r="L5404" s="43">
        <v>11.500373352159333</v>
      </c>
      <c r="M5404" s="43">
        <v>11.500377358490566</v>
      </c>
      <c r="N5404" s="43" t="s">
        <v>1690</v>
      </c>
      <c r="O5404" s="43">
        <v>11.500173070266529</v>
      </c>
      <c r="P5404" s="193"/>
      <c r="Q5404" s="193"/>
      <c r="R5404" s="193">
        <v>3</v>
      </c>
    </row>
    <row r="5405" spans="1:18" ht="48">
      <c r="A5405" s="189">
        <v>325</v>
      </c>
      <c r="B5405" s="186" t="s">
        <v>9881</v>
      </c>
      <c r="C5405" s="190" t="s">
        <v>9882</v>
      </c>
      <c r="D5405" s="191">
        <v>851.45</v>
      </c>
      <c r="E5405" s="191">
        <v>834.75</v>
      </c>
      <c r="F5405" s="191"/>
      <c r="G5405" s="191">
        <v>16.7</v>
      </c>
      <c r="H5405" s="192">
        <v>9791.99</v>
      </c>
      <c r="I5405" s="192">
        <v>9599.94</v>
      </c>
      <c r="J5405" s="192"/>
      <c r="K5405" s="192">
        <v>192.05</v>
      </c>
      <c r="L5405" s="43">
        <v>11.50036995713195</v>
      </c>
      <c r="M5405" s="43">
        <v>11.500377358490567</v>
      </c>
      <c r="N5405" s="43" t="s">
        <v>1690</v>
      </c>
      <c r="O5405" s="43">
        <v>11.500000000000002</v>
      </c>
      <c r="P5405" s="193"/>
      <c r="Q5405" s="193"/>
      <c r="R5405" s="193">
        <v>3</v>
      </c>
    </row>
    <row r="5406" spans="1:18" ht="36">
      <c r="A5406" s="189">
        <v>326</v>
      </c>
      <c r="B5406" s="186" t="s">
        <v>9883</v>
      </c>
      <c r="C5406" s="190" t="s">
        <v>9884</v>
      </c>
      <c r="D5406" s="191">
        <v>729.81</v>
      </c>
      <c r="E5406" s="191">
        <v>715.5</v>
      </c>
      <c r="F5406" s="191"/>
      <c r="G5406" s="191">
        <v>14.31</v>
      </c>
      <c r="H5406" s="192">
        <v>8393.09</v>
      </c>
      <c r="I5406" s="192">
        <v>8228.52</v>
      </c>
      <c r="J5406" s="192"/>
      <c r="K5406" s="192">
        <v>164.57</v>
      </c>
      <c r="L5406" s="43">
        <v>11.500376810402708</v>
      </c>
      <c r="M5406" s="43">
        <v>11.500377358490567</v>
      </c>
      <c r="N5406" s="43" t="s">
        <v>1690</v>
      </c>
      <c r="O5406" s="43">
        <v>11.500349406009782</v>
      </c>
      <c r="P5406" s="193"/>
      <c r="Q5406" s="193"/>
      <c r="R5406" s="193">
        <v>3</v>
      </c>
    </row>
    <row r="5407" spans="1:18" ht="24">
      <c r="A5407" s="189">
        <v>327</v>
      </c>
      <c r="B5407" s="186" t="s">
        <v>9885</v>
      </c>
      <c r="C5407" s="190" t="s">
        <v>9886</v>
      </c>
      <c r="D5407" s="191">
        <v>648.72</v>
      </c>
      <c r="E5407" s="191">
        <v>636</v>
      </c>
      <c r="F5407" s="191"/>
      <c r="G5407" s="191">
        <v>12.72</v>
      </c>
      <c r="H5407" s="192">
        <v>7460.52</v>
      </c>
      <c r="I5407" s="192">
        <v>7314.24</v>
      </c>
      <c r="J5407" s="192"/>
      <c r="K5407" s="192">
        <v>146.28</v>
      </c>
      <c r="L5407" s="43">
        <v>11.500369959304477</v>
      </c>
      <c r="M5407" s="43">
        <v>11.500377358490566</v>
      </c>
      <c r="N5407" s="43" t="s">
        <v>1690</v>
      </c>
      <c r="O5407" s="43">
        <v>11.5</v>
      </c>
      <c r="P5407" s="193"/>
      <c r="Q5407" s="193"/>
      <c r="R5407" s="193">
        <v>3</v>
      </c>
    </row>
    <row r="5408" spans="1:18" ht="36">
      <c r="A5408" s="189">
        <v>328</v>
      </c>
      <c r="B5408" s="186" t="s">
        <v>9887</v>
      </c>
      <c r="C5408" s="190" t="s">
        <v>9888</v>
      </c>
      <c r="D5408" s="191">
        <v>2013.74</v>
      </c>
      <c r="E5408" s="191">
        <v>1974.25</v>
      </c>
      <c r="F5408" s="191"/>
      <c r="G5408" s="191">
        <v>39.49</v>
      </c>
      <c r="H5408" s="192">
        <v>23158.76</v>
      </c>
      <c r="I5408" s="192">
        <v>22704.62</v>
      </c>
      <c r="J5408" s="192"/>
      <c r="K5408" s="192">
        <v>454.14</v>
      </c>
      <c r="L5408" s="43">
        <v>11.500372441328075</v>
      </c>
      <c r="M5408" s="43">
        <v>11.500377358490566</v>
      </c>
      <c r="N5408" s="43" t="s">
        <v>1690</v>
      </c>
      <c r="O5408" s="43">
        <v>11.500126614332741</v>
      </c>
      <c r="P5408" s="193"/>
      <c r="Q5408" s="193"/>
      <c r="R5408" s="193">
        <v>3</v>
      </c>
    </row>
    <row r="5409" spans="1:18" ht="24">
      <c r="A5409" s="189">
        <v>329</v>
      </c>
      <c r="B5409" s="186" t="s">
        <v>9889</v>
      </c>
      <c r="C5409" s="190" t="s">
        <v>9890</v>
      </c>
      <c r="D5409" s="191">
        <v>2459.73</v>
      </c>
      <c r="E5409" s="191">
        <v>2411.5</v>
      </c>
      <c r="F5409" s="191"/>
      <c r="G5409" s="191">
        <v>48.23</v>
      </c>
      <c r="H5409" s="192">
        <v>28287.81</v>
      </c>
      <c r="I5409" s="192">
        <v>27733.16</v>
      </c>
      <c r="J5409" s="192"/>
      <c r="K5409" s="192">
        <v>554.65</v>
      </c>
      <c r="L5409" s="43">
        <v>11.500371992047908</v>
      </c>
      <c r="M5409" s="43">
        <v>11.500377358490566</v>
      </c>
      <c r="N5409" s="43" t="s">
        <v>1690</v>
      </c>
      <c r="O5409" s="43">
        <v>11.50010366991499</v>
      </c>
      <c r="P5409" s="193"/>
      <c r="Q5409" s="193"/>
      <c r="R5409" s="193">
        <v>3</v>
      </c>
    </row>
    <row r="5410" spans="1:18" ht="36">
      <c r="A5410" s="189">
        <v>330</v>
      </c>
      <c r="B5410" s="186" t="s">
        <v>9891</v>
      </c>
      <c r="C5410" s="190" t="s">
        <v>9892</v>
      </c>
      <c r="D5410" s="191">
        <v>3149</v>
      </c>
      <c r="E5410" s="191">
        <v>3087.25</v>
      </c>
      <c r="F5410" s="191"/>
      <c r="G5410" s="191">
        <v>61.75</v>
      </c>
      <c r="H5410" s="192">
        <v>36214.67</v>
      </c>
      <c r="I5410" s="192">
        <v>35504.54</v>
      </c>
      <c r="J5410" s="192"/>
      <c r="K5410" s="192">
        <v>710.13</v>
      </c>
      <c r="L5410" s="43">
        <v>11.500371546522706</v>
      </c>
      <c r="M5410" s="43">
        <v>11.500377358490566</v>
      </c>
      <c r="N5410" s="43" t="s">
        <v>1690</v>
      </c>
      <c r="O5410" s="43">
        <v>11.500080971659919</v>
      </c>
      <c r="P5410" s="193"/>
      <c r="Q5410" s="193"/>
      <c r="R5410" s="193">
        <v>3</v>
      </c>
    </row>
    <row r="5411" spans="1:18" ht="36">
      <c r="A5411" s="189">
        <v>331</v>
      </c>
      <c r="B5411" s="186" t="s">
        <v>9893</v>
      </c>
      <c r="C5411" s="190" t="s">
        <v>9894</v>
      </c>
      <c r="D5411" s="191">
        <v>1689.38</v>
      </c>
      <c r="E5411" s="191">
        <v>1656.25</v>
      </c>
      <c r="F5411" s="191"/>
      <c r="G5411" s="191">
        <v>33.130000000000003</v>
      </c>
      <c r="H5411" s="192">
        <v>19428.5</v>
      </c>
      <c r="I5411" s="192">
        <v>19047.5</v>
      </c>
      <c r="J5411" s="192"/>
      <c r="K5411" s="192">
        <v>381</v>
      </c>
      <c r="L5411" s="43">
        <v>11.500372917875197</v>
      </c>
      <c r="M5411" s="43">
        <v>11.500377358490566</v>
      </c>
      <c r="N5411" s="43" t="s">
        <v>1690</v>
      </c>
      <c r="O5411" s="43">
        <v>11.500150920615756</v>
      </c>
      <c r="P5411" s="193"/>
      <c r="Q5411" s="193"/>
      <c r="R5411" s="193">
        <v>3</v>
      </c>
    </row>
    <row r="5412" spans="1:18" ht="24">
      <c r="A5412" s="189">
        <v>332</v>
      </c>
      <c r="B5412" s="186" t="s">
        <v>9895</v>
      </c>
      <c r="C5412" s="190" t="s">
        <v>9896</v>
      </c>
      <c r="D5412" s="191">
        <v>1229.8699999999999</v>
      </c>
      <c r="E5412" s="191">
        <v>1205.75</v>
      </c>
      <c r="F5412" s="191"/>
      <c r="G5412" s="191">
        <v>24.12</v>
      </c>
      <c r="H5412" s="192">
        <v>14143.96</v>
      </c>
      <c r="I5412" s="192">
        <v>13866.58</v>
      </c>
      <c r="J5412" s="192"/>
      <c r="K5412" s="192">
        <v>277.38</v>
      </c>
      <c r="L5412" s="43">
        <v>11.500369957800418</v>
      </c>
      <c r="M5412" s="43">
        <v>11.500377358490566</v>
      </c>
      <c r="N5412" s="43" t="s">
        <v>1690</v>
      </c>
      <c r="O5412" s="43">
        <v>11.5</v>
      </c>
      <c r="P5412" s="193"/>
      <c r="Q5412" s="193"/>
      <c r="R5412" s="193">
        <v>3</v>
      </c>
    </row>
    <row r="5413" spans="1:18" ht="24">
      <c r="A5413" s="189">
        <v>333</v>
      </c>
      <c r="B5413" s="186" t="s">
        <v>9897</v>
      </c>
      <c r="C5413" s="190" t="s">
        <v>9898</v>
      </c>
      <c r="D5413" s="191">
        <v>1594.77</v>
      </c>
      <c r="E5413" s="191">
        <v>1563.5</v>
      </c>
      <c r="F5413" s="191"/>
      <c r="G5413" s="191">
        <v>31.27</v>
      </c>
      <c r="H5413" s="192">
        <v>18340.45</v>
      </c>
      <c r="I5413" s="192">
        <v>17980.84</v>
      </c>
      <c r="J5413" s="192"/>
      <c r="K5413" s="192">
        <v>359.61</v>
      </c>
      <c r="L5413" s="43">
        <v>11.50037309455282</v>
      </c>
      <c r="M5413" s="43">
        <v>11.500377358490566</v>
      </c>
      <c r="N5413" s="43" t="s">
        <v>1690</v>
      </c>
      <c r="O5413" s="43">
        <v>11.500159897665494</v>
      </c>
      <c r="P5413" s="193"/>
      <c r="Q5413" s="193"/>
      <c r="R5413" s="193">
        <v>3</v>
      </c>
    </row>
    <row r="5414" spans="1:18" ht="24">
      <c r="A5414" s="189">
        <v>334</v>
      </c>
      <c r="B5414" s="186" t="s">
        <v>9899</v>
      </c>
      <c r="C5414" s="190" t="s">
        <v>9900</v>
      </c>
      <c r="D5414" s="191">
        <v>3865.29</v>
      </c>
      <c r="E5414" s="191">
        <v>3789.5</v>
      </c>
      <c r="F5414" s="191"/>
      <c r="G5414" s="191">
        <v>75.790000000000006</v>
      </c>
      <c r="H5414" s="192">
        <v>44452.27</v>
      </c>
      <c r="I5414" s="192">
        <v>43580.68</v>
      </c>
      <c r="J5414" s="192"/>
      <c r="K5414" s="192">
        <v>871.59</v>
      </c>
      <c r="L5414" s="43">
        <v>11.500371252868478</v>
      </c>
      <c r="M5414" s="43">
        <v>11.500377358490566</v>
      </c>
      <c r="N5414" s="43" t="s">
        <v>1690</v>
      </c>
      <c r="O5414" s="43">
        <v>11.500065971764084</v>
      </c>
      <c r="P5414" s="193"/>
      <c r="Q5414" s="193"/>
      <c r="R5414" s="193">
        <v>3</v>
      </c>
    </row>
    <row r="5415" spans="1:18" ht="24">
      <c r="A5415" s="189">
        <v>335</v>
      </c>
      <c r="B5415" s="186" t="s">
        <v>9901</v>
      </c>
      <c r="C5415" s="190" t="s">
        <v>9902</v>
      </c>
      <c r="D5415" s="191">
        <v>648.72</v>
      </c>
      <c r="E5415" s="191">
        <v>636</v>
      </c>
      <c r="F5415" s="191"/>
      <c r="G5415" s="191">
        <v>12.72</v>
      </c>
      <c r="H5415" s="192">
        <v>7460.52</v>
      </c>
      <c r="I5415" s="192">
        <v>7314.24</v>
      </c>
      <c r="J5415" s="192"/>
      <c r="K5415" s="192">
        <v>146.28</v>
      </c>
      <c r="L5415" s="43">
        <v>11.500369959304477</v>
      </c>
      <c r="M5415" s="43">
        <v>11.500377358490566</v>
      </c>
      <c r="N5415" s="43" t="s">
        <v>1690</v>
      </c>
      <c r="O5415" s="43">
        <v>11.5</v>
      </c>
      <c r="P5415" s="193"/>
      <c r="Q5415" s="193"/>
      <c r="R5415" s="193">
        <v>3</v>
      </c>
    </row>
    <row r="5416" spans="1:18" ht="12.75" customHeight="1">
      <c r="A5416" s="628" t="s">
        <v>9903</v>
      </c>
      <c r="B5416" s="629"/>
      <c r="C5416" s="629"/>
      <c r="D5416" s="629"/>
      <c r="E5416" s="629"/>
      <c r="F5416" s="629"/>
      <c r="G5416" s="629"/>
      <c r="H5416" s="629"/>
      <c r="I5416" s="629"/>
      <c r="J5416" s="629"/>
      <c r="K5416" s="629"/>
      <c r="L5416" s="629"/>
      <c r="M5416" s="629"/>
      <c r="N5416" s="629"/>
      <c r="O5416" s="629"/>
      <c r="P5416" s="629"/>
      <c r="Q5416" s="629"/>
      <c r="R5416" s="629"/>
    </row>
    <row r="5417" spans="1:18" ht="36">
      <c r="A5417" s="189">
        <v>336</v>
      </c>
      <c r="B5417" s="186" t="s">
        <v>9904</v>
      </c>
      <c r="C5417" s="190" t="s">
        <v>9905</v>
      </c>
      <c r="D5417" s="191">
        <v>2432.6999999999998</v>
      </c>
      <c r="E5417" s="191">
        <v>2385</v>
      </c>
      <c r="F5417" s="191"/>
      <c r="G5417" s="191">
        <v>47.7</v>
      </c>
      <c r="H5417" s="192">
        <v>27976.95</v>
      </c>
      <c r="I5417" s="192">
        <v>27428.400000000001</v>
      </c>
      <c r="J5417" s="192"/>
      <c r="K5417" s="192">
        <v>548.54999999999995</v>
      </c>
      <c r="L5417" s="43">
        <v>11.500369959304477</v>
      </c>
      <c r="M5417" s="43">
        <v>11.500377358490567</v>
      </c>
      <c r="N5417" s="43" t="s">
        <v>1690</v>
      </c>
      <c r="O5417" s="43">
        <v>11.499999999999998</v>
      </c>
      <c r="P5417" s="193"/>
      <c r="Q5417" s="193"/>
      <c r="R5417" s="193">
        <v>4</v>
      </c>
    </row>
    <row r="5418" spans="1:18" ht="36">
      <c r="A5418" s="189">
        <v>337</v>
      </c>
      <c r="B5418" s="186" t="s">
        <v>9906</v>
      </c>
      <c r="C5418" s="190" t="s">
        <v>9907</v>
      </c>
      <c r="D5418" s="191">
        <v>6216.9</v>
      </c>
      <c r="E5418" s="191">
        <v>6095</v>
      </c>
      <c r="F5418" s="191"/>
      <c r="G5418" s="191">
        <v>121.9</v>
      </c>
      <c r="H5418" s="192">
        <v>71496.649999999994</v>
      </c>
      <c r="I5418" s="192">
        <v>70094.8</v>
      </c>
      <c r="J5418" s="192"/>
      <c r="K5418" s="192">
        <v>1401.85</v>
      </c>
      <c r="L5418" s="43">
        <v>11.500369959304477</v>
      </c>
      <c r="M5418" s="43">
        <v>11.500377358490567</v>
      </c>
      <c r="N5418" s="43" t="s">
        <v>1690</v>
      </c>
      <c r="O5418" s="43">
        <v>11.499999999999998</v>
      </c>
      <c r="P5418" s="193"/>
      <c r="Q5418" s="193"/>
      <c r="R5418" s="193">
        <v>4</v>
      </c>
    </row>
    <row r="5419" spans="1:18" ht="36">
      <c r="A5419" s="189">
        <v>338</v>
      </c>
      <c r="B5419" s="186" t="s">
        <v>9908</v>
      </c>
      <c r="C5419" s="190" t="s">
        <v>9909</v>
      </c>
      <c r="D5419" s="191">
        <v>41610.629999999997</v>
      </c>
      <c r="E5419" s="191">
        <v>40794.74</v>
      </c>
      <c r="F5419" s="191"/>
      <c r="G5419" s="191">
        <v>815.89</v>
      </c>
      <c r="H5419" s="192">
        <v>478530.79</v>
      </c>
      <c r="I5419" s="192">
        <v>469148.05</v>
      </c>
      <c r="J5419" s="192"/>
      <c r="K5419" s="192">
        <v>9382.74</v>
      </c>
      <c r="L5419" s="43">
        <v>11.50020535617942</v>
      </c>
      <c r="M5419" s="43">
        <v>11.500209340714024</v>
      </c>
      <c r="N5419" s="43" t="s">
        <v>1690</v>
      </c>
      <c r="O5419" s="43">
        <v>11.500006128277096</v>
      </c>
      <c r="P5419" s="193"/>
      <c r="Q5419" s="193"/>
      <c r="R5419" s="193">
        <v>4</v>
      </c>
    </row>
    <row r="5420" spans="1:18" ht="12.75" customHeight="1">
      <c r="A5420" s="628" t="s">
        <v>9910</v>
      </c>
      <c r="B5420" s="629"/>
      <c r="C5420" s="629"/>
      <c r="D5420" s="629"/>
      <c r="E5420" s="629"/>
      <c r="F5420" s="629"/>
      <c r="G5420" s="629"/>
      <c r="H5420" s="629"/>
      <c r="I5420" s="629"/>
      <c r="J5420" s="629"/>
      <c r="K5420" s="629"/>
      <c r="L5420" s="629"/>
      <c r="M5420" s="629"/>
      <c r="N5420" s="629"/>
      <c r="O5420" s="629"/>
      <c r="P5420" s="629"/>
      <c r="Q5420" s="629"/>
      <c r="R5420" s="629"/>
    </row>
    <row r="5421" spans="1:18" ht="24">
      <c r="A5421" s="189">
        <v>339</v>
      </c>
      <c r="B5421" s="186" t="s">
        <v>9911</v>
      </c>
      <c r="C5421" s="190" t="s">
        <v>9912</v>
      </c>
      <c r="D5421" s="191">
        <v>9298.32</v>
      </c>
      <c r="E5421" s="191">
        <v>9116</v>
      </c>
      <c r="F5421" s="191"/>
      <c r="G5421" s="191">
        <v>182.32</v>
      </c>
      <c r="H5421" s="192">
        <v>106934.12</v>
      </c>
      <c r="I5421" s="192">
        <v>104837.44</v>
      </c>
      <c r="J5421" s="192"/>
      <c r="K5421" s="192">
        <v>2096.6799999999998</v>
      </c>
      <c r="L5421" s="43">
        <v>11.500369959304477</v>
      </c>
      <c r="M5421" s="43">
        <v>11.500377358490566</v>
      </c>
      <c r="N5421" s="43" t="s">
        <v>1690</v>
      </c>
      <c r="O5421" s="43">
        <v>11.5</v>
      </c>
      <c r="P5421" s="193"/>
      <c r="Q5421" s="193"/>
      <c r="R5421" s="193">
        <v>5</v>
      </c>
    </row>
    <row r="5422" spans="1:18" ht="24">
      <c r="A5422" s="189">
        <v>340</v>
      </c>
      <c r="B5422" s="186" t="s">
        <v>9913</v>
      </c>
      <c r="C5422" s="190" t="s">
        <v>9914</v>
      </c>
      <c r="D5422" s="191">
        <v>23881.01</v>
      </c>
      <c r="E5422" s="191">
        <v>23412.75</v>
      </c>
      <c r="F5422" s="191"/>
      <c r="G5422" s="191">
        <v>468.26</v>
      </c>
      <c r="H5422" s="192">
        <v>274640.45</v>
      </c>
      <c r="I5422" s="192">
        <v>269255.46000000002</v>
      </c>
      <c r="J5422" s="192"/>
      <c r="K5422" s="192">
        <v>5384.99</v>
      </c>
      <c r="L5422" s="43">
        <v>11.500369959227019</v>
      </c>
      <c r="M5422" s="43">
        <v>11.500377358490567</v>
      </c>
      <c r="N5422" s="43" t="s">
        <v>1690</v>
      </c>
      <c r="O5422" s="43">
        <v>11.5</v>
      </c>
      <c r="P5422" s="193"/>
      <c r="Q5422" s="193"/>
      <c r="R5422" s="193">
        <v>5</v>
      </c>
    </row>
    <row r="5423" spans="1:18" ht="24">
      <c r="A5423" s="189">
        <v>341</v>
      </c>
      <c r="B5423" s="186" t="s">
        <v>9915</v>
      </c>
      <c r="C5423" s="190" t="s">
        <v>9916</v>
      </c>
      <c r="D5423" s="191">
        <v>97373.96</v>
      </c>
      <c r="E5423" s="191">
        <v>95464.67</v>
      </c>
      <c r="F5423" s="191"/>
      <c r="G5423" s="191">
        <v>1909.29</v>
      </c>
      <c r="H5423" s="192">
        <v>1119820.6000000001</v>
      </c>
      <c r="I5423" s="192">
        <v>1097863.76</v>
      </c>
      <c r="J5423" s="192"/>
      <c r="K5423" s="192">
        <v>21956.84</v>
      </c>
      <c r="L5423" s="43">
        <v>11.500206009902442</v>
      </c>
      <c r="M5423" s="43">
        <v>11.500210077717757</v>
      </c>
      <c r="N5423" s="43" t="s">
        <v>1690</v>
      </c>
      <c r="O5423" s="43">
        <v>11.500002618774518</v>
      </c>
      <c r="P5423" s="193"/>
      <c r="Q5423" s="193"/>
      <c r="R5423" s="193">
        <v>5</v>
      </c>
    </row>
    <row r="5424" spans="1:18" ht="12.75" customHeight="1">
      <c r="A5424" s="628" t="s">
        <v>9917</v>
      </c>
      <c r="B5424" s="629"/>
      <c r="C5424" s="629"/>
      <c r="D5424" s="629"/>
      <c r="E5424" s="629"/>
      <c r="F5424" s="629"/>
      <c r="G5424" s="629"/>
      <c r="H5424" s="629"/>
      <c r="I5424" s="629"/>
      <c r="J5424" s="629"/>
      <c r="K5424" s="629"/>
      <c r="L5424" s="629"/>
      <c r="M5424" s="629"/>
      <c r="N5424" s="629"/>
      <c r="O5424" s="629"/>
      <c r="P5424" s="629"/>
      <c r="Q5424" s="629"/>
      <c r="R5424" s="629"/>
    </row>
    <row r="5425" spans="1:20" ht="24">
      <c r="A5425" s="189">
        <v>342</v>
      </c>
      <c r="B5425" s="186" t="s">
        <v>9918</v>
      </c>
      <c r="C5425" s="190" t="s">
        <v>9919</v>
      </c>
      <c r="D5425" s="191">
        <v>229.76</v>
      </c>
      <c r="E5425" s="191">
        <v>225.25</v>
      </c>
      <c r="F5425" s="191"/>
      <c r="G5425" s="191">
        <v>4.51</v>
      </c>
      <c r="H5425" s="192">
        <v>2642.33</v>
      </c>
      <c r="I5425" s="192">
        <v>2590.46</v>
      </c>
      <c r="J5425" s="192"/>
      <c r="K5425" s="192">
        <v>51.87</v>
      </c>
      <c r="L5425" s="43">
        <v>11.500391713091922</v>
      </c>
      <c r="M5425" s="43">
        <v>11.500377358490566</v>
      </c>
      <c r="N5425" s="43" t="s">
        <v>1690</v>
      </c>
      <c r="O5425" s="43">
        <v>11.501108647450112</v>
      </c>
      <c r="P5425" s="193"/>
      <c r="Q5425" s="193"/>
      <c r="R5425" s="193">
        <v>6</v>
      </c>
    </row>
    <row r="5426" spans="1:20" ht="24">
      <c r="A5426" s="189">
        <v>343</v>
      </c>
      <c r="B5426" s="186" t="s">
        <v>9920</v>
      </c>
      <c r="C5426" s="190" t="s">
        <v>9921</v>
      </c>
      <c r="D5426" s="191">
        <v>594.66</v>
      </c>
      <c r="E5426" s="191">
        <v>583</v>
      </c>
      <c r="F5426" s="191"/>
      <c r="G5426" s="191">
        <v>11.66</v>
      </c>
      <c r="H5426" s="192">
        <v>6838.81</v>
      </c>
      <c r="I5426" s="192">
        <v>6704.72</v>
      </c>
      <c r="J5426" s="192"/>
      <c r="K5426" s="192">
        <v>134.09</v>
      </c>
      <c r="L5426" s="43">
        <v>11.500369959304479</v>
      </c>
      <c r="M5426" s="43">
        <v>11.500377358490567</v>
      </c>
      <c r="N5426" s="43" t="s">
        <v>1690</v>
      </c>
      <c r="O5426" s="43">
        <v>11.5</v>
      </c>
      <c r="P5426" s="193"/>
      <c r="Q5426" s="193"/>
      <c r="R5426" s="193">
        <v>6</v>
      </c>
    </row>
    <row r="5427" spans="1:20" ht="24">
      <c r="A5427" s="189">
        <v>344</v>
      </c>
      <c r="B5427" s="186" t="s">
        <v>9922</v>
      </c>
      <c r="C5427" s="190" t="s">
        <v>9923</v>
      </c>
      <c r="D5427" s="191">
        <v>4663.41</v>
      </c>
      <c r="E5427" s="191">
        <v>4571.97</v>
      </c>
      <c r="F5427" s="191"/>
      <c r="G5427" s="191">
        <v>91.44</v>
      </c>
      <c r="H5427" s="192">
        <v>53630.45</v>
      </c>
      <c r="I5427" s="192">
        <v>52578.89</v>
      </c>
      <c r="J5427" s="192"/>
      <c r="K5427" s="192">
        <v>1051.56</v>
      </c>
      <c r="L5427" s="43">
        <v>11.500264827669023</v>
      </c>
      <c r="M5427" s="43">
        <v>11.500270124257158</v>
      </c>
      <c r="N5427" s="43" t="s">
        <v>1690</v>
      </c>
      <c r="O5427" s="43">
        <v>11.5</v>
      </c>
      <c r="P5427" s="193"/>
      <c r="Q5427" s="193"/>
      <c r="R5427" s="193">
        <v>6</v>
      </c>
    </row>
    <row r="5428" spans="1:20" ht="24">
      <c r="A5428" s="189">
        <v>345</v>
      </c>
      <c r="B5428" s="186" t="s">
        <v>9924</v>
      </c>
      <c r="C5428" s="190" t="s">
        <v>9925</v>
      </c>
      <c r="D5428" s="191">
        <v>209.49</v>
      </c>
      <c r="E5428" s="191">
        <v>205.38</v>
      </c>
      <c r="F5428" s="191"/>
      <c r="G5428" s="191">
        <v>4.1100000000000003</v>
      </c>
      <c r="H5428" s="192">
        <v>2409.16</v>
      </c>
      <c r="I5428" s="192">
        <v>2361.89</v>
      </c>
      <c r="J5428" s="192"/>
      <c r="K5428" s="192">
        <v>47.27</v>
      </c>
      <c r="L5428" s="43">
        <v>11.500119337438541</v>
      </c>
      <c r="M5428" s="43">
        <v>11.500097380465478</v>
      </c>
      <c r="N5428" s="43" t="s">
        <v>1690</v>
      </c>
      <c r="O5428" s="43">
        <v>11.501216545012165</v>
      </c>
      <c r="P5428" s="193"/>
      <c r="Q5428" s="193"/>
      <c r="R5428" s="193">
        <v>6</v>
      </c>
    </row>
    <row r="5429" spans="1:20" ht="24">
      <c r="A5429" s="189">
        <v>346</v>
      </c>
      <c r="B5429" s="186" t="s">
        <v>9926</v>
      </c>
      <c r="C5429" s="190" t="s">
        <v>9927</v>
      </c>
      <c r="D5429" s="191">
        <v>527.09</v>
      </c>
      <c r="E5429" s="191">
        <v>516.75</v>
      </c>
      <c r="F5429" s="191"/>
      <c r="G5429" s="191">
        <v>10.34</v>
      </c>
      <c r="H5429" s="192">
        <v>6061.73</v>
      </c>
      <c r="I5429" s="192">
        <v>5942.82</v>
      </c>
      <c r="J5429" s="192"/>
      <c r="K5429" s="192">
        <v>118.91</v>
      </c>
      <c r="L5429" s="43">
        <v>11.500369955795025</v>
      </c>
      <c r="M5429" s="43">
        <v>11.500377358490566</v>
      </c>
      <c r="N5429" s="43" t="s">
        <v>1690</v>
      </c>
      <c r="O5429" s="43">
        <v>11.5</v>
      </c>
      <c r="P5429" s="193"/>
      <c r="Q5429" s="193"/>
      <c r="R5429" s="193">
        <v>6</v>
      </c>
    </row>
    <row r="5430" spans="1:20" ht="24">
      <c r="A5430" s="189">
        <v>347</v>
      </c>
      <c r="B5430" s="186" t="s">
        <v>9928</v>
      </c>
      <c r="C5430" s="190" t="s">
        <v>9929</v>
      </c>
      <c r="D5430" s="191">
        <v>4625.6499999999996</v>
      </c>
      <c r="E5430" s="191">
        <v>4534.95</v>
      </c>
      <c r="F5430" s="191"/>
      <c r="G5430" s="191">
        <v>90.7</v>
      </c>
      <c r="H5430" s="192">
        <v>53196.2</v>
      </c>
      <c r="I5430" s="192">
        <v>52153.15</v>
      </c>
      <c r="J5430" s="192"/>
      <c r="K5430" s="192">
        <v>1043.05</v>
      </c>
      <c r="L5430" s="43">
        <v>11.500264827645845</v>
      </c>
      <c r="M5430" s="43">
        <v>11.50027012425716</v>
      </c>
      <c r="N5430" s="43" t="s">
        <v>1690</v>
      </c>
      <c r="O5430" s="43">
        <v>11.5</v>
      </c>
      <c r="P5430" s="193"/>
      <c r="Q5430" s="193"/>
      <c r="R5430" s="193">
        <v>6</v>
      </c>
    </row>
    <row r="5431" spans="1:20" ht="24">
      <c r="A5431" s="189">
        <v>348</v>
      </c>
      <c r="B5431" s="186" t="s">
        <v>9930</v>
      </c>
      <c r="C5431" s="190" t="s">
        <v>9931</v>
      </c>
      <c r="D5431" s="191">
        <v>202.73</v>
      </c>
      <c r="E5431" s="191">
        <v>198.75</v>
      </c>
      <c r="F5431" s="191"/>
      <c r="G5431" s="191">
        <v>3.98</v>
      </c>
      <c r="H5431" s="192">
        <v>2331.4699999999998</v>
      </c>
      <c r="I5431" s="192">
        <v>2285.6999999999998</v>
      </c>
      <c r="J5431" s="192"/>
      <c r="K5431" s="192">
        <v>45.77</v>
      </c>
      <c r="L5431" s="43">
        <v>11.500369950180042</v>
      </c>
      <c r="M5431" s="43">
        <v>11.500377358490566</v>
      </c>
      <c r="N5431" s="43" t="s">
        <v>1690</v>
      </c>
      <c r="O5431" s="43">
        <v>11.5</v>
      </c>
      <c r="P5431" s="193"/>
      <c r="Q5431" s="193"/>
      <c r="R5431" s="193">
        <v>6</v>
      </c>
    </row>
    <row r="5432" spans="1:20" ht="24">
      <c r="A5432" s="189">
        <v>349</v>
      </c>
      <c r="B5432" s="186" t="s">
        <v>9932</v>
      </c>
      <c r="C5432" s="190" t="s">
        <v>9933</v>
      </c>
      <c r="D5432" s="191">
        <v>513.57000000000005</v>
      </c>
      <c r="E5432" s="191">
        <v>503.5</v>
      </c>
      <c r="F5432" s="191"/>
      <c r="G5432" s="191">
        <v>10.07</v>
      </c>
      <c r="H5432" s="192">
        <v>5906.25</v>
      </c>
      <c r="I5432" s="192">
        <v>5790.44</v>
      </c>
      <c r="J5432" s="192"/>
      <c r="K5432" s="192">
        <v>115.81</v>
      </c>
      <c r="L5432" s="43">
        <v>11.500379695075646</v>
      </c>
      <c r="M5432" s="43">
        <v>11.500377358490566</v>
      </c>
      <c r="N5432" s="43" t="s">
        <v>1690</v>
      </c>
      <c r="O5432" s="43">
        <v>11.500496524329693</v>
      </c>
      <c r="P5432" s="193"/>
      <c r="Q5432" s="193"/>
      <c r="R5432" s="193">
        <v>6</v>
      </c>
    </row>
    <row r="5433" spans="1:20" ht="24">
      <c r="A5433" s="189">
        <v>350</v>
      </c>
      <c r="B5433" s="186" t="s">
        <v>9934</v>
      </c>
      <c r="C5433" s="190" t="s">
        <v>9935</v>
      </c>
      <c r="D5433" s="191">
        <v>4531.25</v>
      </c>
      <c r="E5433" s="191">
        <v>4442.3999999999996</v>
      </c>
      <c r="F5433" s="191"/>
      <c r="G5433" s="191">
        <v>88.85</v>
      </c>
      <c r="H5433" s="192">
        <v>52110.58</v>
      </c>
      <c r="I5433" s="192">
        <v>51088.800000000003</v>
      </c>
      <c r="J5433" s="192"/>
      <c r="K5433" s="192">
        <v>1021.78</v>
      </c>
      <c r="L5433" s="43">
        <v>11.500265931034484</v>
      </c>
      <c r="M5433" s="43">
        <v>11.50027012425716</v>
      </c>
      <c r="N5433" s="43" t="s">
        <v>1690</v>
      </c>
      <c r="O5433" s="43">
        <v>11.500056274620146</v>
      </c>
      <c r="P5433" s="193"/>
      <c r="Q5433" s="193"/>
      <c r="R5433" s="193">
        <v>6</v>
      </c>
    </row>
    <row r="5434" spans="1:20" ht="21" customHeight="1">
      <c r="A5434" s="628" t="s">
        <v>9936</v>
      </c>
      <c r="B5434" s="629"/>
      <c r="C5434" s="629"/>
      <c r="D5434" s="629"/>
      <c r="E5434" s="629"/>
      <c r="F5434" s="629"/>
      <c r="G5434" s="629"/>
      <c r="H5434" s="629"/>
      <c r="I5434" s="629"/>
      <c r="J5434" s="629"/>
      <c r="K5434" s="629"/>
      <c r="L5434" s="629"/>
      <c r="M5434" s="629"/>
      <c r="N5434" s="629"/>
      <c r="O5434" s="629"/>
      <c r="P5434" s="629"/>
      <c r="Q5434" s="629"/>
      <c r="R5434" s="629"/>
    </row>
    <row r="5435" spans="1:20" ht="48">
      <c r="A5435" s="189">
        <v>351</v>
      </c>
      <c r="B5435" s="186" t="s">
        <v>9937</v>
      </c>
      <c r="C5435" s="190" t="s">
        <v>9938</v>
      </c>
      <c r="D5435" s="191">
        <v>2190.1</v>
      </c>
      <c r="E5435" s="191">
        <v>2147.16</v>
      </c>
      <c r="F5435" s="191"/>
      <c r="G5435" s="191">
        <v>42.94</v>
      </c>
      <c r="H5435" s="192">
        <v>25186.73</v>
      </c>
      <c r="I5435" s="192">
        <v>24692.92</v>
      </c>
      <c r="J5435" s="192"/>
      <c r="K5435" s="192">
        <v>493.81</v>
      </c>
      <c r="L5435" s="43">
        <v>11.500264828090042</v>
      </c>
      <c r="M5435" s="43">
        <v>11.500270124257158</v>
      </c>
      <c r="N5435" s="43" t="s">
        <v>1690</v>
      </c>
      <c r="O5435" s="43">
        <v>11.5</v>
      </c>
      <c r="P5435" s="193"/>
      <c r="Q5435" s="193"/>
      <c r="R5435" s="193">
        <v>7</v>
      </c>
    </row>
    <row r="5436" spans="1:20" ht="36">
      <c r="A5436" s="189">
        <v>352</v>
      </c>
      <c r="B5436" s="186" t="s">
        <v>9939</v>
      </c>
      <c r="C5436" s="190" t="s">
        <v>9940</v>
      </c>
      <c r="D5436" s="191">
        <v>64.19</v>
      </c>
      <c r="E5436" s="191">
        <v>62.93</v>
      </c>
      <c r="F5436" s="191"/>
      <c r="G5436" s="191">
        <v>1.26</v>
      </c>
      <c r="H5436" s="192">
        <v>738.25</v>
      </c>
      <c r="I5436" s="192">
        <v>723.76</v>
      </c>
      <c r="J5436" s="192"/>
      <c r="K5436" s="192">
        <v>14.49</v>
      </c>
      <c r="L5436" s="43">
        <v>11.501012618787973</v>
      </c>
      <c r="M5436" s="43">
        <v>11.501032893691404</v>
      </c>
      <c r="N5436" s="43" t="s">
        <v>1690</v>
      </c>
      <c r="O5436" s="43">
        <v>11.5</v>
      </c>
      <c r="P5436" s="193"/>
      <c r="Q5436" s="193"/>
      <c r="R5436" s="193">
        <v>7</v>
      </c>
    </row>
    <row r="5437" spans="1:20" ht="48">
      <c r="A5437" s="189">
        <v>353</v>
      </c>
      <c r="B5437" s="186" t="s">
        <v>9941</v>
      </c>
      <c r="C5437" s="190" t="s">
        <v>9942</v>
      </c>
      <c r="D5437" s="191">
        <v>94.4</v>
      </c>
      <c r="E5437" s="191">
        <v>92.55</v>
      </c>
      <c r="F5437" s="191"/>
      <c r="G5437" s="191">
        <v>1.85</v>
      </c>
      <c r="H5437" s="192">
        <v>1085.6300000000001</v>
      </c>
      <c r="I5437" s="192">
        <v>1064.3499999999999</v>
      </c>
      <c r="J5437" s="192"/>
      <c r="K5437" s="192">
        <v>21.28</v>
      </c>
      <c r="L5437" s="43">
        <v>11.500317796610171</v>
      </c>
      <c r="M5437" s="43">
        <v>11.500270124257158</v>
      </c>
      <c r="N5437" s="43" t="s">
        <v>1690</v>
      </c>
      <c r="O5437" s="43">
        <v>11.502702702702702</v>
      </c>
      <c r="P5437" s="193"/>
      <c r="Q5437" s="193"/>
      <c r="R5437" s="193">
        <v>7</v>
      </c>
    </row>
    <row r="5438" spans="1:20" ht="48">
      <c r="A5438" s="189">
        <v>354</v>
      </c>
      <c r="B5438" s="186" t="s">
        <v>9943</v>
      </c>
      <c r="C5438" s="190" t="s">
        <v>9944</v>
      </c>
      <c r="D5438" s="191">
        <v>37.76</v>
      </c>
      <c r="E5438" s="191">
        <v>37.020000000000003</v>
      </c>
      <c r="F5438" s="191"/>
      <c r="G5438" s="191">
        <v>0.74</v>
      </c>
      <c r="H5438" s="192">
        <v>434.25</v>
      </c>
      <c r="I5438" s="192">
        <v>425.74</v>
      </c>
      <c r="J5438" s="192"/>
      <c r="K5438" s="192">
        <v>8.51</v>
      </c>
      <c r="L5438" s="43">
        <v>11.500264830508476</v>
      </c>
      <c r="M5438" s="43">
        <v>11.500270124257158</v>
      </c>
      <c r="N5438" s="43" t="s">
        <v>1690</v>
      </c>
      <c r="O5438" s="43">
        <v>11.5</v>
      </c>
      <c r="P5438" s="193"/>
      <c r="Q5438" s="193"/>
      <c r="R5438" s="193">
        <v>7</v>
      </c>
      <c r="T5438" s="55"/>
    </row>
    <row r="5439" spans="1:20" ht="48">
      <c r="A5439" s="189">
        <v>355</v>
      </c>
      <c r="B5439" s="186" t="s">
        <v>9945</v>
      </c>
      <c r="C5439" s="190" t="s">
        <v>9946</v>
      </c>
      <c r="D5439" s="191">
        <v>3700.52</v>
      </c>
      <c r="E5439" s="191">
        <v>3627.96</v>
      </c>
      <c r="F5439" s="191"/>
      <c r="G5439" s="191">
        <v>72.56</v>
      </c>
      <c r="H5439" s="192">
        <v>42556.959999999999</v>
      </c>
      <c r="I5439" s="192">
        <v>41722.519999999997</v>
      </c>
      <c r="J5439" s="192"/>
      <c r="K5439" s="192">
        <v>834.44</v>
      </c>
      <c r="L5439" s="43">
        <v>11.500264827645845</v>
      </c>
      <c r="M5439" s="43">
        <v>11.500270124257158</v>
      </c>
      <c r="N5439" s="43" t="s">
        <v>1690</v>
      </c>
      <c r="O5439" s="43">
        <v>11.5</v>
      </c>
      <c r="P5439" s="193"/>
      <c r="Q5439" s="193"/>
      <c r="R5439" s="193">
        <v>7</v>
      </c>
    </row>
    <row r="5440" spans="1:20" ht="12.75" customHeight="1">
      <c r="A5440" s="628" t="s">
        <v>9947</v>
      </c>
      <c r="B5440" s="629"/>
      <c r="C5440" s="629"/>
      <c r="D5440" s="629"/>
      <c r="E5440" s="629"/>
      <c r="F5440" s="629"/>
      <c r="G5440" s="629"/>
      <c r="H5440" s="629"/>
      <c r="I5440" s="629"/>
      <c r="J5440" s="629"/>
      <c r="K5440" s="629"/>
      <c r="L5440" s="629"/>
      <c r="M5440" s="629"/>
      <c r="N5440" s="629"/>
      <c r="O5440" s="629"/>
      <c r="P5440" s="629"/>
      <c r="Q5440" s="629"/>
      <c r="R5440" s="629"/>
    </row>
    <row r="5441" spans="1:18" ht="12.75" customHeight="1">
      <c r="A5441" s="628" t="s">
        <v>9948</v>
      </c>
      <c r="B5441" s="629"/>
      <c r="C5441" s="629"/>
      <c r="D5441" s="629"/>
      <c r="E5441" s="629"/>
      <c r="F5441" s="629"/>
      <c r="G5441" s="629"/>
      <c r="H5441" s="629"/>
      <c r="I5441" s="629"/>
      <c r="J5441" s="629"/>
      <c r="K5441" s="629"/>
      <c r="L5441" s="629"/>
      <c r="M5441" s="629"/>
      <c r="N5441" s="629"/>
      <c r="O5441" s="629"/>
      <c r="P5441" s="629"/>
      <c r="Q5441" s="629"/>
      <c r="R5441" s="629"/>
    </row>
    <row r="5442" spans="1:18" ht="24">
      <c r="A5442" s="189">
        <v>356</v>
      </c>
      <c r="B5442" s="186" t="s">
        <v>9949</v>
      </c>
      <c r="C5442" s="190" t="s">
        <v>9950</v>
      </c>
      <c r="D5442" s="191">
        <v>64.569999999999993</v>
      </c>
      <c r="E5442" s="191">
        <v>63.3</v>
      </c>
      <c r="F5442" s="191"/>
      <c r="G5442" s="191">
        <v>1.27</v>
      </c>
      <c r="H5442" s="192">
        <v>742.61</v>
      </c>
      <c r="I5442" s="192">
        <v>728</v>
      </c>
      <c r="J5442" s="192"/>
      <c r="K5442" s="192">
        <v>14.61</v>
      </c>
      <c r="L5442" s="43">
        <v>11.500851788756389</v>
      </c>
      <c r="M5442" s="43">
        <v>11.500789889415483</v>
      </c>
      <c r="N5442" s="43" t="s">
        <v>1690</v>
      </c>
      <c r="O5442" s="43">
        <v>11.503937007874015</v>
      </c>
      <c r="P5442" s="193"/>
      <c r="Q5442" s="193"/>
      <c r="R5442" s="193">
        <v>1</v>
      </c>
    </row>
    <row r="5443" spans="1:18" ht="24">
      <c r="A5443" s="189">
        <v>357</v>
      </c>
      <c r="B5443" s="186" t="s">
        <v>9951</v>
      </c>
      <c r="C5443" s="190" t="s">
        <v>9952</v>
      </c>
      <c r="D5443" s="191">
        <v>162.21</v>
      </c>
      <c r="E5443" s="191">
        <v>159.03</v>
      </c>
      <c r="F5443" s="191"/>
      <c r="G5443" s="191">
        <v>3.18</v>
      </c>
      <c r="H5443" s="192">
        <v>1865.44</v>
      </c>
      <c r="I5443" s="192">
        <v>1828.87</v>
      </c>
      <c r="J5443" s="192"/>
      <c r="K5443" s="192">
        <v>36.57</v>
      </c>
      <c r="L5443" s="43">
        <v>11.500154121200913</v>
      </c>
      <c r="M5443" s="43">
        <v>11.50015720304345</v>
      </c>
      <c r="N5443" s="43" t="s">
        <v>1690</v>
      </c>
      <c r="O5443" s="43">
        <v>11.5</v>
      </c>
      <c r="P5443" s="193"/>
      <c r="Q5443" s="193"/>
      <c r="R5443" s="193">
        <v>1</v>
      </c>
    </row>
    <row r="5444" spans="1:18" ht="24">
      <c r="A5444" s="189">
        <v>358</v>
      </c>
      <c r="B5444" s="186" t="s">
        <v>9953</v>
      </c>
      <c r="C5444" s="190" t="s">
        <v>9954</v>
      </c>
      <c r="D5444" s="191">
        <v>661.45</v>
      </c>
      <c r="E5444" s="191">
        <v>648.48</v>
      </c>
      <c r="F5444" s="191"/>
      <c r="G5444" s="191">
        <v>12.97</v>
      </c>
      <c r="H5444" s="192">
        <v>7606.68</v>
      </c>
      <c r="I5444" s="192">
        <v>7457.52</v>
      </c>
      <c r="J5444" s="192"/>
      <c r="K5444" s="192">
        <v>149.16</v>
      </c>
      <c r="L5444" s="43">
        <v>11.500007559150351</v>
      </c>
      <c r="M5444" s="43">
        <v>11.5</v>
      </c>
      <c r="N5444" s="43" t="s">
        <v>1690</v>
      </c>
      <c r="O5444" s="43">
        <v>11.500385505011565</v>
      </c>
      <c r="P5444" s="193"/>
      <c r="Q5444" s="193"/>
      <c r="R5444" s="193">
        <v>1</v>
      </c>
    </row>
    <row r="5445" spans="1:18" ht="24">
      <c r="A5445" s="189">
        <v>359</v>
      </c>
      <c r="B5445" s="186" t="s">
        <v>9955</v>
      </c>
      <c r="C5445" s="190" t="s">
        <v>9956</v>
      </c>
      <c r="D5445" s="191">
        <v>1417.39</v>
      </c>
      <c r="E5445" s="191">
        <v>1389.6</v>
      </c>
      <c r="F5445" s="191"/>
      <c r="G5445" s="191">
        <v>27.79</v>
      </c>
      <c r="H5445" s="192">
        <v>16299.99</v>
      </c>
      <c r="I5445" s="192">
        <v>15980.4</v>
      </c>
      <c r="J5445" s="192"/>
      <c r="K5445" s="192">
        <v>319.58999999999997</v>
      </c>
      <c r="L5445" s="43">
        <v>11.500003527610607</v>
      </c>
      <c r="M5445" s="43">
        <v>11.5</v>
      </c>
      <c r="N5445" s="43" t="s">
        <v>1690</v>
      </c>
      <c r="O5445" s="43">
        <v>11.500179920834832</v>
      </c>
      <c r="P5445" s="193"/>
      <c r="Q5445" s="193"/>
      <c r="R5445" s="193">
        <v>1</v>
      </c>
    </row>
    <row r="5446" spans="1:18" ht="12.75" customHeight="1">
      <c r="A5446" s="628" t="s">
        <v>9957</v>
      </c>
      <c r="B5446" s="629"/>
      <c r="C5446" s="629"/>
      <c r="D5446" s="629"/>
      <c r="E5446" s="629"/>
      <c r="F5446" s="629"/>
      <c r="G5446" s="629"/>
      <c r="H5446" s="629"/>
      <c r="I5446" s="629"/>
      <c r="J5446" s="629"/>
      <c r="K5446" s="629"/>
      <c r="L5446" s="629"/>
      <c r="M5446" s="629"/>
      <c r="N5446" s="629"/>
      <c r="O5446" s="629"/>
      <c r="P5446" s="629"/>
      <c r="Q5446" s="629"/>
      <c r="R5446" s="629"/>
    </row>
    <row r="5447" spans="1:18" ht="12.75" customHeight="1">
      <c r="A5447" s="628" t="s">
        <v>9958</v>
      </c>
      <c r="B5447" s="629"/>
      <c r="C5447" s="629"/>
      <c r="D5447" s="629"/>
      <c r="E5447" s="629"/>
      <c r="F5447" s="629"/>
      <c r="G5447" s="629"/>
      <c r="H5447" s="629"/>
      <c r="I5447" s="629"/>
      <c r="J5447" s="629"/>
      <c r="K5447" s="629"/>
      <c r="L5447" s="629"/>
      <c r="M5447" s="629"/>
      <c r="N5447" s="629"/>
      <c r="O5447" s="629"/>
      <c r="P5447" s="629"/>
      <c r="Q5447" s="629"/>
      <c r="R5447" s="629"/>
    </row>
    <row r="5448" spans="1:18" ht="48">
      <c r="A5448" s="189">
        <v>360</v>
      </c>
      <c r="B5448" s="186" t="s">
        <v>9959</v>
      </c>
      <c r="C5448" s="190" t="s">
        <v>9960</v>
      </c>
      <c r="D5448" s="191">
        <v>1464.64</v>
      </c>
      <c r="E5448" s="191">
        <v>1435.92</v>
      </c>
      <c r="F5448" s="191"/>
      <c r="G5448" s="191">
        <v>28.72</v>
      </c>
      <c r="H5448" s="192">
        <v>16843.36</v>
      </c>
      <c r="I5448" s="192">
        <v>16513.080000000002</v>
      </c>
      <c r="J5448" s="192"/>
      <c r="K5448" s="192">
        <v>330.28</v>
      </c>
      <c r="L5448" s="43">
        <v>11.5</v>
      </c>
      <c r="M5448" s="43">
        <v>11.5</v>
      </c>
      <c r="N5448" s="43" t="s">
        <v>1690</v>
      </c>
      <c r="O5448" s="43">
        <v>11.5</v>
      </c>
      <c r="P5448" s="193"/>
      <c r="Q5448" s="193"/>
      <c r="R5448" s="193">
        <v>1</v>
      </c>
    </row>
    <row r="5449" spans="1:18" ht="48">
      <c r="A5449" s="189">
        <v>361</v>
      </c>
      <c r="B5449" s="186" t="s">
        <v>9961</v>
      </c>
      <c r="C5449" s="190" t="s">
        <v>9962</v>
      </c>
      <c r="D5449" s="191">
        <v>2031.6</v>
      </c>
      <c r="E5449" s="191">
        <v>1991.76</v>
      </c>
      <c r="F5449" s="191"/>
      <c r="G5449" s="191">
        <v>39.840000000000003</v>
      </c>
      <c r="H5449" s="192">
        <v>23363.4</v>
      </c>
      <c r="I5449" s="192">
        <v>22905.24</v>
      </c>
      <c r="J5449" s="192"/>
      <c r="K5449" s="192">
        <v>458.16</v>
      </c>
      <c r="L5449" s="43">
        <v>11.500000000000002</v>
      </c>
      <c r="M5449" s="43">
        <v>11.5</v>
      </c>
      <c r="N5449" s="43" t="s">
        <v>1690</v>
      </c>
      <c r="O5449" s="43">
        <v>11.5</v>
      </c>
      <c r="P5449" s="193"/>
      <c r="Q5449" s="193"/>
      <c r="R5449" s="193">
        <v>1</v>
      </c>
    </row>
    <row r="5450" spans="1:18" ht="48">
      <c r="A5450" s="189">
        <v>362</v>
      </c>
      <c r="B5450" s="186" t="s">
        <v>9963</v>
      </c>
      <c r="C5450" s="190" t="s">
        <v>9964</v>
      </c>
      <c r="D5450" s="191">
        <v>3354.49</v>
      </c>
      <c r="E5450" s="191">
        <v>3288.72</v>
      </c>
      <c r="F5450" s="191"/>
      <c r="G5450" s="191">
        <v>65.77</v>
      </c>
      <c r="H5450" s="192">
        <v>38576.639999999999</v>
      </c>
      <c r="I5450" s="192">
        <v>37820.28</v>
      </c>
      <c r="J5450" s="192"/>
      <c r="K5450" s="192">
        <v>756.36</v>
      </c>
      <c r="L5450" s="43">
        <v>11.500001490539546</v>
      </c>
      <c r="M5450" s="43">
        <v>11.5</v>
      </c>
      <c r="N5450" s="43" t="s">
        <v>1690</v>
      </c>
      <c r="O5450" s="43">
        <v>11.500076022502661</v>
      </c>
      <c r="P5450" s="193"/>
      <c r="Q5450" s="193"/>
      <c r="R5450" s="193">
        <v>1</v>
      </c>
    </row>
    <row r="5451" spans="1:18" ht="48">
      <c r="A5451" s="189">
        <v>363</v>
      </c>
      <c r="B5451" s="186" t="s">
        <v>9965</v>
      </c>
      <c r="C5451" s="190" t="s">
        <v>9966</v>
      </c>
      <c r="D5451" s="191">
        <v>4693.1400000000003</v>
      </c>
      <c r="E5451" s="191">
        <v>4601.12</v>
      </c>
      <c r="F5451" s="191"/>
      <c r="G5451" s="191">
        <v>92.02</v>
      </c>
      <c r="H5451" s="192">
        <v>53971.11</v>
      </c>
      <c r="I5451" s="192">
        <v>52912.88</v>
      </c>
      <c r="J5451" s="192"/>
      <c r="K5451" s="192">
        <v>1058.23</v>
      </c>
      <c r="L5451" s="43">
        <v>11.5</v>
      </c>
      <c r="M5451" s="43">
        <v>11.5</v>
      </c>
      <c r="N5451" s="43" t="s">
        <v>1690</v>
      </c>
      <c r="O5451" s="43">
        <v>11.5</v>
      </c>
      <c r="P5451" s="193"/>
      <c r="Q5451" s="193"/>
      <c r="R5451" s="193">
        <v>1</v>
      </c>
    </row>
    <row r="5452" spans="1:18" ht="48">
      <c r="A5452" s="189">
        <v>364</v>
      </c>
      <c r="B5452" s="186" t="s">
        <v>9967</v>
      </c>
      <c r="C5452" s="190" t="s">
        <v>9968</v>
      </c>
      <c r="D5452" s="191">
        <v>6236.52</v>
      </c>
      <c r="E5452" s="191">
        <v>6114.24</v>
      </c>
      <c r="F5452" s="191"/>
      <c r="G5452" s="191">
        <v>122.28</v>
      </c>
      <c r="H5452" s="192">
        <v>71719.98</v>
      </c>
      <c r="I5452" s="192">
        <v>70313.759999999995</v>
      </c>
      <c r="J5452" s="192"/>
      <c r="K5452" s="192">
        <v>1406.22</v>
      </c>
      <c r="L5452" s="43">
        <v>11.499999999999998</v>
      </c>
      <c r="M5452" s="43">
        <v>11.5</v>
      </c>
      <c r="N5452" s="43" t="s">
        <v>1690</v>
      </c>
      <c r="O5452" s="43">
        <v>11.5</v>
      </c>
      <c r="P5452" s="193"/>
      <c r="Q5452" s="193"/>
      <c r="R5452" s="193">
        <v>1</v>
      </c>
    </row>
    <row r="5453" spans="1:18" ht="48">
      <c r="A5453" s="189">
        <v>365</v>
      </c>
      <c r="B5453" s="186" t="s">
        <v>9969</v>
      </c>
      <c r="C5453" s="190" t="s">
        <v>9970</v>
      </c>
      <c r="D5453" s="191">
        <v>8079.13</v>
      </c>
      <c r="E5453" s="191">
        <v>7920.72</v>
      </c>
      <c r="F5453" s="191"/>
      <c r="G5453" s="191">
        <v>158.41</v>
      </c>
      <c r="H5453" s="192">
        <v>92910</v>
      </c>
      <c r="I5453" s="192">
        <v>91088.28</v>
      </c>
      <c r="J5453" s="192"/>
      <c r="K5453" s="192">
        <v>1821.72</v>
      </c>
      <c r="L5453" s="43">
        <v>11.500000618878518</v>
      </c>
      <c r="M5453" s="43">
        <v>11.5</v>
      </c>
      <c r="N5453" s="43" t="s">
        <v>1690</v>
      </c>
      <c r="O5453" s="43">
        <v>11.50003156366391</v>
      </c>
      <c r="P5453" s="193"/>
      <c r="Q5453" s="193"/>
      <c r="R5453" s="193">
        <v>1</v>
      </c>
    </row>
    <row r="5454" spans="1:18" ht="12.75" customHeight="1">
      <c r="A5454" s="628" t="s">
        <v>9971</v>
      </c>
      <c r="B5454" s="629"/>
      <c r="C5454" s="629"/>
      <c r="D5454" s="629"/>
      <c r="E5454" s="629"/>
      <c r="F5454" s="629"/>
      <c r="G5454" s="629"/>
      <c r="H5454" s="629"/>
      <c r="I5454" s="629"/>
      <c r="J5454" s="629"/>
      <c r="K5454" s="629"/>
      <c r="L5454" s="629"/>
      <c r="M5454" s="629"/>
      <c r="N5454" s="629"/>
      <c r="O5454" s="629"/>
      <c r="P5454" s="629"/>
      <c r="Q5454" s="629"/>
      <c r="R5454" s="629"/>
    </row>
    <row r="5455" spans="1:18" ht="48">
      <c r="A5455" s="189">
        <v>366</v>
      </c>
      <c r="B5455" s="186" t="s">
        <v>9972</v>
      </c>
      <c r="C5455" s="190" t="s">
        <v>9973</v>
      </c>
      <c r="D5455" s="191">
        <v>960.68</v>
      </c>
      <c r="E5455" s="191">
        <v>941.84</v>
      </c>
      <c r="F5455" s="191"/>
      <c r="G5455" s="191">
        <v>18.84</v>
      </c>
      <c r="H5455" s="192">
        <v>11047.82</v>
      </c>
      <c r="I5455" s="192">
        <v>10831.16</v>
      </c>
      <c r="J5455" s="192"/>
      <c r="K5455" s="192">
        <v>216.66</v>
      </c>
      <c r="L5455" s="43">
        <v>11.5</v>
      </c>
      <c r="M5455" s="43">
        <v>11.5</v>
      </c>
      <c r="N5455" s="43" t="s">
        <v>1690</v>
      </c>
      <c r="O5455" s="43">
        <v>11.5</v>
      </c>
      <c r="P5455" s="193"/>
      <c r="Q5455" s="193"/>
      <c r="R5455" s="193">
        <v>2</v>
      </c>
    </row>
    <row r="5456" spans="1:18" ht="48">
      <c r="A5456" s="189">
        <v>367</v>
      </c>
      <c r="B5456" s="186" t="s">
        <v>9974</v>
      </c>
      <c r="C5456" s="190" t="s">
        <v>9975</v>
      </c>
      <c r="D5456" s="191">
        <v>1244.1600000000001</v>
      </c>
      <c r="E5456" s="191">
        <v>1219.76</v>
      </c>
      <c r="F5456" s="191"/>
      <c r="G5456" s="191">
        <v>24.4</v>
      </c>
      <c r="H5456" s="192">
        <v>14307.84</v>
      </c>
      <c r="I5456" s="192">
        <v>14027.24</v>
      </c>
      <c r="J5456" s="192"/>
      <c r="K5456" s="192">
        <v>280.60000000000002</v>
      </c>
      <c r="L5456" s="43">
        <v>11.5</v>
      </c>
      <c r="M5456" s="43">
        <v>11.5</v>
      </c>
      <c r="N5456" s="43" t="s">
        <v>1690</v>
      </c>
      <c r="O5456" s="43">
        <v>11.500000000000002</v>
      </c>
      <c r="P5456" s="193"/>
      <c r="Q5456" s="193"/>
      <c r="R5456" s="193">
        <v>2</v>
      </c>
    </row>
    <row r="5457" spans="1:18" ht="48">
      <c r="A5457" s="189">
        <v>368</v>
      </c>
      <c r="B5457" s="186" t="s">
        <v>9976</v>
      </c>
      <c r="C5457" s="190" t="s">
        <v>9977</v>
      </c>
      <c r="D5457" s="191">
        <v>1842.61</v>
      </c>
      <c r="E5457" s="191">
        <v>1806.48</v>
      </c>
      <c r="F5457" s="191"/>
      <c r="G5457" s="191">
        <v>36.130000000000003</v>
      </c>
      <c r="H5457" s="192">
        <v>21190.02</v>
      </c>
      <c r="I5457" s="192">
        <v>20774.52</v>
      </c>
      <c r="J5457" s="192"/>
      <c r="K5457" s="192">
        <v>415.5</v>
      </c>
      <c r="L5457" s="43">
        <v>11.500002713542205</v>
      </c>
      <c r="M5457" s="43">
        <v>11.5</v>
      </c>
      <c r="N5457" s="43" t="s">
        <v>1690</v>
      </c>
      <c r="O5457" s="43">
        <v>11.50013838915029</v>
      </c>
      <c r="P5457" s="193"/>
      <c r="Q5457" s="193"/>
      <c r="R5457" s="193">
        <v>2</v>
      </c>
    </row>
    <row r="5458" spans="1:18" ht="48">
      <c r="A5458" s="189">
        <v>369</v>
      </c>
      <c r="B5458" s="186" t="s">
        <v>9978</v>
      </c>
      <c r="C5458" s="190" t="s">
        <v>9979</v>
      </c>
      <c r="D5458" s="191">
        <v>2441.06</v>
      </c>
      <c r="E5458" s="191">
        <v>2393.1999999999998</v>
      </c>
      <c r="F5458" s="191"/>
      <c r="G5458" s="191">
        <v>47.86</v>
      </c>
      <c r="H5458" s="192">
        <v>28072.19</v>
      </c>
      <c r="I5458" s="192">
        <v>27521.8</v>
      </c>
      <c r="J5458" s="192"/>
      <c r="K5458" s="192">
        <v>550.39</v>
      </c>
      <c r="L5458" s="43">
        <v>11.5</v>
      </c>
      <c r="M5458" s="43">
        <v>11.5</v>
      </c>
      <c r="N5458" s="43" t="s">
        <v>1690</v>
      </c>
      <c r="O5458" s="43">
        <v>11.5</v>
      </c>
      <c r="P5458" s="193"/>
      <c r="Q5458" s="193"/>
      <c r="R5458" s="193">
        <v>2</v>
      </c>
    </row>
    <row r="5459" spans="1:18" ht="48">
      <c r="A5459" s="189">
        <v>370</v>
      </c>
      <c r="B5459" s="186" t="s">
        <v>9980</v>
      </c>
      <c r="C5459" s="190" t="s">
        <v>9981</v>
      </c>
      <c r="D5459" s="191">
        <v>3149.76</v>
      </c>
      <c r="E5459" s="191">
        <v>3088</v>
      </c>
      <c r="F5459" s="191"/>
      <c r="G5459" s="191">
        <v>61.76</v>
      </c>
      <c r="H5459" s="192">
        <v>36222.239999999998</v>
      </c>
      <c r="I5459" s="192">
        <v>35512</v>
      </c>
      <c r="J5459" s="192"/>
      <c r="K5459" s="192">
        <v>710.24</v>
      </c>
      <c r="L5459" s="43">
        <v>11.499999999999998</v>
      </c>
      <c r="M5459" s="43">
        <v>11.5</v>
      </c>
      <c r="N5459" s="43" t="s">
        <v>1690</v>
      </c>
      <c r="O5459" s="43">
        <v>11.5</v>
      </c>
      <c r="P5459" s="193"/>
      <c r="Q5459" s="193"/>
      <c r="R5459" s="193">
        <v>2</v>
      </c>
    </row>
    <row r="5460" spans="1:18" ht="48">
      <c r="A5460" s="189">
        <v>371</v>
      </c>
      <c r="B5460" s="186" t="s">
        <v>9982</v>
      </c>
      <c r="C5460" s="190" t="s">
        <v>9983</v>
      </c>
      <c r="D5460" s="191">
        <v>3937.2</v>
      </c>
      <c r="E5460" s="191">
        <v>3860</v>
      </c>
      <c r="F5460" s="191"/>
      <c r="G5460" s="191">
        <v>77.2</v>
      </c>
      <c r="H5460" s="192">
        <v>45277.8</v>
      </c>
      <c r="I5460" s="192">
        <v>44390</v>
      </c>
      <c r="J5460" s="192"/>
      <c r="K5460" s="192">
        <v>887.8</v>
      </c>
      <c r="L5460" s="43">
        <v>11.500000000000002</v>
      </c>
      <c r="M5460" s="43">
        <v>11.5</v>
      </c>
      <c r="N5460" s="43" t="s">
        <v>1690</v>
      </c>
      <c r="O5460" s="43">
        <v>11.499999999999998</v>
      </c>
      <c r="P5460" s="193"/>
      <c r="Q5460" s="193"/>
      <c r="R5460" s="193">
        <v>2</v>
      </c>
    </row>
    <row r="5461" spans="1:18" ht="48">
      <c r="A5461" s="189">
        <v>372</v>
      </c>
      <c r="B5461" s="186" t="s">
        <v>9984</v>
      </c>
      <c r="C5461" s="190" t="s">
        <v>9985</v>
      </c>
      <c r="D5461" s="191">
        <v>3023.77</v>
      </c>
      <c r="E5461" s="191">
        <v>2964.48</v>
      </c>
      <c r="F5461" s="191"/>
      <c r="G5461" s="191">
        <v>59.29</v>
      </c>
      <c r="H5461" s="192">
        <v>34773.360000000001</v>
      </c>
      <c r="I5461" s="192">
        <v>34091.519999999997</v>
      </c>
      <c r="J5461" s="192"/>
      <c r="K5461" s="192">
        <v>681.84</v>
      </c>
      <c r="L5461" s="43">
        <v>11.500001653564921</v>
      </c>
      <c r="M5461" s="43">
        <v>11.499999999999998</v>
      </c>
      <c r="N5461" s="43" t="s">
        <v>1690</v>
      </c>
      <c r="O5461" s="43">
        <v>11.500084331253163</v>
      </c>
      <c r="P5461" s="193"/>
      <c r="Q5461" s="193"/>
      <c r="R5461" s="193">
        <v>2</v>
      </c>
    </row>
    <row r="5462" spans="1:18" ht="48">
      <c r="A5462" s="189">
        <v>373</v>
      </c>
      <c r="B5462" s="186" t="s">
        <v>9986</v>
      </c>
      <c r="C5462" s="190" t="s">
        <v>9987</v>
      </c>
      <c r="D5462" s="191">
        <v>4031.69</v>
      </c>
      <c r="E5462" s="191">
        <v>3952.64</v>
      </c>
      <c r="F5462" s="191"/>
      <c r="G5462" s="191">
        <v>79.05</v>
      </c>
      <c r="H5462" s="192">
        <v>46364.44</v>
      </c>
      <c r="I5462" s="192">
        <v>45455.360000000001</v>
      </c>
      <c r="J5462" s="192"/>
      <c r="K5462" s="192">
        <v>909.08</v>
      </c>
      <c r="L5462" s="43">
        <v>11.500001240174717</v>
      </c>
      <c r="M5462" s="43">
        <v>11.5</v>
      </c>
      <c r="N5462" s="43" t="s">
        <v>1690</v>
      </c>
      <c r="O5462" s="43">
        <v>11.500063251106896</v>
      </c>
      <c r="P5462" s="193"/>
      <c r="Q5462" s="193"/>
      <c r="R5462" s="193">
        <v>2</v>
      </c>
    </row>
    <row r="5463" spans="1:18" ht="48">
      <c r="A5463" s="189">
        <v>374</v>
      </c>
      <c r="B5463" s="186" t="s">
        <v>9988</v>
      </c>
      <c r="C5463" s="190" t="s">
        <v>9989</v>
      </c>
      <c r="D5463" s="191">
        <v>6252.27</v>
      </c>
      <c r="E5463" s="191">
        <v>6129.68</v>
      </c>
      <c r="F5463" s="191"/>
      <c r="G5463" s="191">
        <v>122.59</v>
      </c>
      <c r="H5463" s="192">
        <v>71901.11</v>
      </c>
      <c r="I5463" s="192">
        <v>70491.320000000007</v>
      </c>
      <c r="J5463" s="192"/>
      <c r="K5463" s="192">
        <v>1409.79</v>
      </c>
      <c r="L5463" s="43">
        <v>11.500000799709545</v>
      </c>
      <c r="M5463" s="43">
        <v>11.5</v>
      </c>
      <c r="N5463" s="43" t="s">
        <v>1690</v>
      </c>
      <c r="O5463" s="43">
        <v>11.500040786361041</v>
      </c>
      <c r="P5463" s="193"/>
      <c r="Q5463" s="193"/>
      <c r="R5463" s="193">
        <v>2</v>
      </c>
    </row>
    <row r="5464" spans="1:18" ht="48">
      <c r="A5464" s="189">
        <v>375</v>
      </c>
      <c r="B5464" s="186" t="s">
        <v>9990</v>
      </c>
      <c r="C5464" s="190" t="s">
        <v>9991</v>
      </c>
      <c r="D5464" s="191">
        <v>8472.85</v>
      </c>
      <c r="E5464" s="191">
        <v>8306.7199999999993</v>
      </c>
      <c r="F5464" s="191"/>
      <c r="G5464" s="191">
        <v>166.13</v>
      </c>
      <c r="H5464" s="192">
        <v>97437.78</v>
      </c>
      <c r="I5464" s="192">
        <v>95527.28</v>
      </c>
      <c r="J5464" s="192"/>
      <c r="K5464" s="192">
        <v>1910.5</v>
      </c>
      <c r="L5464" s="43">
        <v>11.500000590120207</v>
      </c>
      <c r="M5464" s="43">
        <v>11.5</v>
      </c>
      <c r="N5464" s="43" t="s">
        <v>1690</v>
      </c>
      <c r="O5464" s="43">
        <v>11.500030096912058</v>
      </c>
      <c r="P5464" s="193"/>
      <c r="Q5464" s="193"/>
      <c r="R5464" s="193">
        <v>2</v>
      </c>
    </row>
    <row r="5465" spans="1:18" ht="48">
      <c r="A5465" s="189">
        <v>376</v>
      </c>
      <c r="B5465" s="186" t="s">
        <v>9992</v>
      </c>
      <c r="C5465" s="190" t="s">
        <v>9993</v>
      </c>
      <c r="D5465" s="191">
        <v>11071.41</v>
      </c>
      <c r="E5465" s="191">
        <v>10854.32</v>
      </c>
      <c r="F5465" s="191"/>
      <c r="G5465" s="191">
        <v>217.09</v>
      </c>
      <c r="H5465" s="192">
        <v>127321.22</v>
      </c>
      <c r="I5465" s="192">
        <v>124824.68</v>
      </c>
      <c r="J5465" s="192"/>
      <c r="K5465" s="192">
        <v>2496.54</v>
      </c>
      <c r="L5465" s="43">
        <v>11.50000045161366</v>
      </c>
      <c r="M5465" s="43">
        <v>11.5</v>
      </c>
      <c r="N5465" s="43" t="s">
        <v>1690</v>
      </c>
      <c r="O5465" s="43">
        <v>11.500023031922243</v>
      </c>
      <c r="P5465" s="193"/>
      <c r="Q5465" s="193"/>
      <c r="R5465" s="193">
        <v>2</v>
      </c>
    </row>
    <row r="5466" spans="1:18" ht="48">
      <c r="A5466" s="189">
        <v>377</v>
      </c>
      <c r="B5466" s="186" t="s">
        <v>9994</v>
      </c>
      <c r="C5466" s="190" t="s">
        <v>9995</v>
      </c>
      <c r="D5466" s="191">
        <v>14095.18</v>
      </c>
      <c r="E5466" s="191">
        <v>13818.8</v>
      </c>
      <c r="F5466" s="191"/>
      <c r="G5466" s="191">
        <v>276.38</v>
      </c>
      <c r="H5466" s="192">
        <v>162094.57</v>
      </c>
      <c r="I5466" s="192">
        <v>158916.20000000001</v>
      </c>
      <c r="J5466" s="192"/>
      <c r="K5466" s="192">
        <v>3178.37</v>
      </c>
      <c r="L5466" s="43">
        <v>11.5</v>
      </c>
      <c r="M5466" s="43">
        <v>11.500000000000002</v>
      </c>
      <c r="N5466" s="43" t="s">
        <v>1690</v>
      </c>
      <c r="O5466" s="43">
        <v>11.5</v>
      </c>
      <c r="P5466" s="193"/>
      <c r="Q5466" s="193"/>
      <c r="R5466" s="193">
        <v>2</v>
      </c>
    </row>
    <row r="5467" spans="1:18" ht="48">
      <c r="A5467" s="189">
        <v>378</v>
      </c>
      <c r="B5467" s="186" t="s">
        <v>9996</v>
      </c>
      <c r="C5467" s="190" t="s">
        <v>9997</v>
      </c>
      <c r="D5467" s="191">
        <v>10126.48</v>
      </c>
      <c r="E5467" s="191">
        <v>9927.92</v>
      </c>
      <c r="F5467" s="191"/>
      <c r="G5467" s="191">
        <v>198.56</v>
      </c>
      <c r="H5467" s="192">
        <v>116454.52</v>
      </c>
      <c r="I5467" s="192">
        <v>114171.08</v>
      </c>
      <c r="J5467" s="192"/>
      <c r="K5467" s="192">
        <v>2283.44</v>
      </c>
      <c r="L5467" s="43">
        <v>11.500000000000002</v>
      </c>
      <c r="M5467" s="43">
        <v>11.5</v>
      </c>
      <c r="N5467" s="43" t="s">
        <v>1690</v>
      </c>
      <c r="O5467" s="43">
        <v>11.5</v>
      </c>
      <c r="P5467" s="193"/>
      <c r="Q5467" s="193"/>
      <c r="R5467" s="193">
        <v>2</v>
      </c>
    </row>
    <row r="5468" spans="1:18" ht="48">
      <c r="A5468" s="189">
        <v>379</v>
      </c>
      <c r="B5468" s="186" t="s">
        <v>9998</v>
      </c>
      <c r="C5468" s="190" t="s">
        <v>9999</v>
      </c>
      <c r="D5468" s="191">
        <v>12158.07</v>
      </c>
      <c r="E5468" s="191">
        <v>11919.68</v>
      </c>
      <c r="F5468" s="191"/>
      <c r="G5468" s="191">
        <v>238.39</v>
      </c>
      <c r="H5468" s="192">
        <v>139817.81</v>
      </c>
      <c r="I5468" s="192">
        <v>137076.32</v>
      </c>
      <c r="J5468" s="192"/>
      <c r="K5468" s="192">
        <v>2741.49</v>
      </c>
      <c r="L5468" s="43">
        <v>11.500000411249482</v>
      </c>
      <c r="M5468" s="43">
        <v>11.5</v>
      </c>
      <c r="N5468" s="43" t="s">
        <v>1690</v>
      </c>
      <c r="O5468" s="43">
        <v>11.500020974034145</v>
      </c>
      <c r="P5468" s="193"/>
      <c r="Q5468" s="193"/>
      <c r="R5468" s="193">
        <v>2</v>
      </c>
    </row>
    <row r="5469" spans="1:18" ht="48">
      <c r="A5469" s="189">
        <v>380</v>
      </c>
      <c r="B5469" s="186" t="s">
        <v>10000</v>
      </c>
      <c r="C5469" s="190" t="s">
        <v>10001</v>
      </c>
      <c r="D5469" s="191">
        <v>16063.78</v>
      </c>
      <c r="E5469" s="191">
        <v>15748.8</v>
      </c>
      <c r="F5469" s="191"/>
      <c r="G5469" s="191">
        <v>314.98</v>
      </c>
      <c r="H5469" s="192">
        <v>184733.47</v>
      </c>
      <c r="I5469" s="192">
        <v>181111.2</v>
      </c>
      <c r="J5469" s="192"/>
      <c r="K5469" s="192">
        <v>3622.27</v>
      </c>
      <c r="L5469" s="43">
        <v>11.5</v>
      </c>
      <c r="M5469" s="43">
        <v>11.500000000000002</v>
      </c>
      <c r="N5469" s="43" t="s">
        <v>1690</v>
      </c>
      <c r="O5469" s="43">
        <v>11.5</v>
      </c>
      <c r="P5469" s="193"/>
      <c r="Q5469" s="193"/>
      <c r="R5469" s="193">
        <v>2</v>
      </c>
    </row>
    <row r="5470" spans="1:18" ht="48">
      <c r="A5470" s="189">
        <v>381</v>
      </c>
      <c r="B5470" s="186" t="s">
        <v>10002</v>
      </c>
      <c r="C5470" s="190" t="s">
        <v>10003</v>
      </c>
      <c r="D5470" s="191">
        <v>20111.22</v>
      </c>
      <c r="E5470" s="191">
        <v>19716.88</v>
      </c>
      <c r="F5470" s="191"/>
      <c r="G5470" s="191">
        <v>394.34</v>
      </c>
      <c r="H5470" s="192">
        <v>231279.03</v>
      </c>
      <c r="I5470" s="192">
        <v>226744.12</v>
      </c>
      <c r="J5470" s="192"/>
      <c r="K5470" s="192">
        <v>4534.91</v>
      </c>
      <c r="L5470" s="43">
        <v>11.5</v>
      </c>
      <c r="M5470" s="43">
        <v>11.5</v>
      </c>
      <c r="N5470" s="43" t="s">
        <v>1690</v>
      </c>
      <c r="O5470" s="43">
        <v>11.5</v>
      </c>
      <c r="P5470" s="193"/>
      <c r="Q5470" s="193"/>
      <c r="R5470" s="193">
        <v>2</v>
      </c>
    </row>
    <row r="5471" spans="1:18" ht="48">
      <c r="A5471" s="189">
        <v>382</v>
      </c>
      <c r="B5471" s="186" t="s">
        <v>10004</v>
      </c>
      <c r="C5471" s="190" t="s">
        <v>10005</v>
      </c>
      <c r="D5471" s="191">
        <v>24662.62</v>
      </c>
      <c r="E5471" s="191">
        <v>24179.040000000001</v>
      </c>
      <c r="F5471" s="191"/>
      <c r="G5471" s="191">
        <v>483.58</v>
      </c>
      <c r="H5471" s="192">
        <v>283620.13</v>
      </c>
      <c r="I5471" s="192">
        <v>278058.96000000002</v>
      </c>
      <c r="J5471" s="192"/>
      <c r="K5471" s="192">
        <v>5561.17</v>
      </c>
      <c r="L5471" s="43">
        <v>11.5</v>
      </c>
      <c r="M5471" s="43">
        <v>11.5</v>
      </c>
      <c r="N5471" s="43" t="s">
        <v>1690</v>
      </c>
      <c r="O5471" s="43">
        <v>11.5</v>
      </c>
      <c r="P5471" s="193"/>
      <c r="Q5471" s="193"/>
      <c r="R5471" s="193">
        <v>2</v>
      </c>
    </row>
    <row r="5472" spans="1:18" ht="48">
      <c r="A5472" s="189">
        <v>383</v>
      </c>
      <c r="B5472" s="186" t="s">
        <v>10006</v>
      </c>
      <c r="C5472" s="190" t="s">
        <v>10007</v>
      </c>
      <c r="D5472" s="191">
        <v>29843.98</v>
      </c>
      <c r="E5472" s="191">
        <v>29258.799999999999</v>
      </c>
      <c r="F5472" s="191"/>
      <c r="G5472" s="191">
        <v>585.17999999999995</v>
      </c>
      <c r="H5472" s="192">
        <v>343205.77</v>
      </c>
      <c r="I5472" s="192">
        <v>336476.2</v>
      </c>
      <c r="J5472" s="192"/>
      <c r="K5472" s="192">
        <v>6729.57</v>
      </c>
      <c r="L5472" s="43">
        <v>11.5</v>
      </c>
      <c r="M5472" s="43">
        <v>11.5</v>
      </c>
      <c r="N5472" s="43" t="s">
        <v>1690</v>
      </c>
      <c r="O5472" s="43">
        <v>11.5</v>
      </c>
      <c r="P5472" s="193"/>
      <c r="Q5472" s="193"/>
      <c r="R5472" s="193">
        <v>2</v>
      </c>
    </row>
    <row r="5473" spans="1:18" ht="48">
      <c r="A5473" s="189">
        <v>384</v>
      </c>
      <c r="B5473" s="186" t="s">
        <v>10008</v>
      </c>
      <c r="C5473" s="190" t="s">
        <v>10009</v>
      </c>
      <c r="D5473" s="191">
        <v>35686.78</v>
      </c>
      <c r="E5473" s="191">
        <v>34987.040000000001</v>
      </c>
      <c r="F5473" s="191"/>
      <c r="G5473" s="191">
        <v>699.74</v>
      </c>
      <c r="H5473" s="192">
        <v>410397.97</v>
      </c>
      <c r="I5473" s="192">
        <v>402350.96</v>
      </c>
      <c r="J5473" s="192"/>
      <c r="K5473" s="192">
        <v>8047.01</v>
      </c>
      <c r="L5473" s="43">
        <v>11.5</v>
      </c>
      <c r="M5473" s="43">
        <v>11.5</v>
      </c>
      <c r="N5473" s="43" t="s">
        <v>1690</v>
      </c>
      <c r="O5473" s="43">
        <v>11.5</v>
      </c>
      <c r="P5473" s="193"/>
      <c r="Q5473" s="193"/>
      <c r="R5473" s="193">
        <v>2</v>
      </c>
    </row>
    <row r="5474" spans="1:18" ht="48">
      <c r="A5474" s="189">
        <v>385</v>
      </c>
      <c r="B5474" s="186" t="s">
        <v>10010</v>
      </c>
      <c r="C5474" s="190" t="s">
        <v>10011</v>
      </c>
      <c r="D5474" s="191">
        <v>42175.29</v>
      </c>
      <c r="E5474" s="191">
        <v>41348.32</v>
      </c>
      <c r="F5474" s="191"/>
      <c r="G5474" s="191">
        <v>826.97</v>
      </c>
      <c r="H5474" s="192">
        <v>485015.84</v>
      </c>
      <c r="I5474" s="192">
        <v>475505.68</v>
      </c>
      <c r="J5474" s="192"/>
      <c r="K5474" s="192">
        <v>9510.16</v>
      </c>
      <c r="L5474" s="43">
        <v>11.500000118552832</v>
      </c>
      <c r="M5474" s="43">
        <v>11.5</v>
      </c>
      <c r="N5474" s="43" t="s">
        <v>1690</v>
      </c>
      <c r="O5474" s="43">
        <v>11.500006046168542</v>
      </c>
      <c r="P5474" s="193"/>
      <c r="Q5474" s="193"/>
      <c r="R5474" s="193">
        <v>2</v>
      </c>
    </row>
    <row r="5475" spans="1:18" ht="48">
      <c r="A5475" s="189">
        <v>386</v>
      </c>
      <c r="B5475" s="186" t="s">
        <v>10012</v>
      </c>
      <c r="C5475" s="190" t="s">
        <v>10013</v>
      </c>
      <c r="D5475" s="191">
        <v>49152</v>
      </c>
      <c r="E5475" s="191">
        <v>48188.24</v>
      </c>
      <c r="F5475" s="191"/>
      <c r="G5475" s="191">
        <v>963.76</v>
      </c>
      <c r="H5475" s="192">
        <v>565248</v>
      </c>
      <c r="I5475" s="192">
        <v>554164.76</v>
      </c>
      <c r="J5475" s="192"/>
      <c r="K5475" s="192">
        <v>11083.24</v>
      </c>
      <c r="L5475" s="43">
        <v>11.5</v>
      </c>
      <c r="M5475" s="43">
        <v>11.5</v>
      </c>
      <c r="N5475" s="43" t="s">
        <v>1690</v>
      </c>
      <c r="O5475" s="43">
        <v>11.5</v>
      </c>
      <c r="P5475" s="193"/>
      <c r="Q5475" s="193"/>
      <c r="R5475" s="193">
        <v>2</v>
      </c>
    </row>
    <row r="5476" spans="1:18" ht="48">
      <c r="A5476" s="189">
        <v>387</v>
      </c>
      <c r="B5476" s="186" t="s">
        <v>10014</v>
      </c>
      <c r="C5476" s="190" t="s">
        <v>10015</v>
      </c>
      <c r="D5476" s="191">
        <v>56931.91</v>
      </c>
      <c r="E5476" s="191">
        <v>55815.6</v>
      </c>
      <c r="F5476" s="191"/>
      <c r="G5476" s="191">
        <v>1116.31</v>
      </c>
      <c r="H5476" s="192">
        <v>654716.97</v>
      </c>
      <c r="I5476" s="192">
        <v>641879.4</v>
      </c>
      <c r="J5476" s="192"/>
      <c r="K5476" s="192">
        <v>12837.57</v>
      </c>
      <c r="L5476" s="43">
        <v>11.500000087824208</v>
      </c>
      <c r="M5476" s="43">
        <v>11.5</v>
      </c>
      <c r="N5476" s="43" t="s">
        <v>1690</v>
      </c>
      <c r="O5476" s="43">
        <v>11.500004479042561</v>
      </c>
      <c r="P5476" s="193"/>
      <c r="Q5476" s="193"/>
      <c r="R5476" s="193">
        <v>2</v>
      </c>
    </row>
    <row r="5477" spans="1:18" ht="48">
      <c r="A5477" s="189">
        <v>388</v>
      </c>
      <c r="B5477" s="186" t="s">
        <v>10016</v>
      </c>
      <c r="C5477" s="190" t="s">
        <v>10017</v>
      </c>
      <c r="D5477" s="191">
        <v>65215.78</v>
      </c>
      <c r="E5477" s="191">
        <v>63937.04</v>
      </c>
      <c r="F5477" s="191"/>
      <c r="G5477" s="191">
        <v>1278.74</v>
      </c>
      <c r="H5477" s="192">
        <v>749981.47</v>
      </c>
      <c r="I5477" s="192">
        <v>735275.96</v>
      </c>
      <c r="J5477" s="192"/>
      <c r="K5477" s="192">
        <v>14705.51</v>
      </c>
      <c r="L5477" s="43">
        <v>11.5</v>
      </c>
      <c r="M5477" s="43">
        <v>11.5</v>
      </c>
      <c r="N5477" s="43" t="s">
        <v>1690</v>
      </c>
      <c r="O5477" s="43">
        <v>11.5</v>
      </c>
      <c r="P5477" s="193"/>
      <c r="Q5477" s="193"/>
      <c r="R5477" s="193">
        <v>2</v>
      </c>
    </row>
    <row r="5478" spans="1:18" ht="48">
      <c r="A5478" s="189">
        <v>389</v>
      </c>
      <c r="B5478" s="186" t="s">
        <v>10018</v>
      </c>
      <c r="C5478" s="190" t="s">
        <v>10019</v>
      </c>
      <c r="D5478" s="191">
        <v>74129.600000000006</v>
      </c>
      <c r="E5478" s="191">
        <v>72676.08</v>
      </c>
      <c r="F5478" s="191"/>
      <c r="G5478" s="191">
        <v>1453.52</v>
      </c>
      <c r="H5478" s="192">
        <v>852490.4</v>
      </c>
      <c r="I5478" s="192">
        <v>835774.92</v>
      </c>
      <c r="J5478" s="192"/>
      <c r="K5478" s="192">
        <v>16715.48</v>
      </c>
      <c r="L5478" s="43">
        <v>11.5</v>
      </c>
      <c r="M5478" s="43">
        <v>11.5</v>
      </c>
      <c r="N5478" s="43" t="s">
        <v>1690</v>
      </c>
      <c r="O5478" s="43">
        <v>11.5</v>
      </c>
      <c r="P5478" s="193"/>
      <c r="Q5478" s="193"/>
      <c r="R5478" s="193">
        <v>2</v>
      </c>
    </row>
    <row r="5479" spans="1:18" ht="48">
      <c r="A5479" s="189">
        <v>390</v>
      </c>
      <c r="B5479" s="186" t="s">
        <v>10020</v>
      </c>
      <c r="C5479" s="190" t="s">
        <v>10021</v>
      </c>
      <c r="D5479" s="191">
        <v>83862.36</v>
      </c>
      <c r="E5479" s="191">
        <v>82218</v>
      </c>
      <c r="F5479" s="191"/>
      <c r="G5479" s="191">
        <v>1644.36</v>
      </c>
      <c r="H5479" s="192">
        <v>964417.14</v>
      </c>
      <c r="I5479" s="192">
        <v>945507</v>
      </c>
      <c r="J5479" s="192"/>
      <c r="K5479" s="192">
        <v>18910.14</v>
      </c>
      <c r="L5479" s="43">
        <v>11.5</v>
      </c>
      <c r="M5479" s="43">
        <v>11.5</v>
      </c>
      <c r="N5479" s="43" t="s">
        <v>1690</v>
      </c>
      <c r="O5479" s="43">
        <v>11.5</v>
      </c>
      <c r="P5479" s="193"/>
      <c r="Q5479" s="193"/>
      <c r="R5479" s="193">
        <v>2</v>
      </c>
    </row>
    <row r="5480" spans="1:18" ht="48">
      <c r="A5480" s="189">
        <v>391</v>
      </c>
      <c r="B5480" s="186" t="s">
        <v>10022</v>
      </c>
      <c r="C5480" s="190" t="s">
        <v>10023</v>
      </c>
      <c r="D5480" s="191">
        <v>94083.33</v>
      </c>
      <c r="E5480" s="191">
        <v>92238.56</v>
      </c>
      <c r="F5480" s="191"/>
      <c r="G5480" s="191">
        <v>1844.77</v>
      </c>
      <c r="H5480" s="192">
        <v>1081958.3</v>
      </c>
      <c r="I5480" s="192">
        <v>1060743.44</v>
      </c>
      <c r="J5480" s="192"/>
      <c r="K5480" s="192">
        <v>21214.86</v>
      </c>
      <c r="L5480" s="43">
        <v>11.500000053144378</v>
      </c>
      <c r="M5480" s="43">
        <v>11.5</v>
      </c>
      <c r="N5480" s="43" t="s">
        <v>1690</v>
      </c>
      <c r="O5480" s="43">
        <v>11.500002710364978</v>
      </c>
      <c r="P5480" s="193"/>
      <c r="Q5480" s="193"/>
      <c r="R5480" s="193">
        <v>2</v>
      </c>
    </row>
    <row r="5481" spans="1:18" ht="48">
      <c r="A5481" s="189">
        <v>392</v>
      </c>
      <c r="B5481" s="186" t="s">
        <v>10024</v>
      </c>
      <c r="C5481" s="190" t="s">
        <v>10025</v>
      </c>
      <c r="D5481" s="191">
        <v>104950</v>
      </c>
      <c r="E5481" s="191">
        <v>102892.16</v>
      </c>
      <c r="F5481" s="191"/>
      <c r="G5481" s="191">
        <v>2057.84</v>
      </c>
      <c r="H5481" s="192">
        <v>1206925</v>
      </c>
      <c r="I5481" s="192">
        <v>1183259.8400000001</v>
      </c>
      <c r="J5481" s="192"/>
      <c r="K5481" s="192">
        <v>23665.16</v>
      </c>
      <c r="L5481" s="43">
        <v>11.5</v>
      </c>
      <c r="M5481" s="43">
        <v>11.5</v>
      </c>
      <c r="N5481" s="43" t="s">
        <v>1690</v>
      </c>
      <c r="O5481" s="43">
        <v>11.5</v>
      </c>
      <c r="P5481" s="193"/>
      <c r="Q5481" s="193"/>
      <c r="R5481" s="193">
        <v>2</v>
      </c>
    </row>
    <row r="5482" spans="1:18" ht="48">
      <c r="A5482" s="189">
        <v>393</v>
      </c>
      <c r="B5482" s="186" t="s">
        <v>10026</v>
      </c>
      <c r="C5482" s="190" t="s">
        <v>10027</v>
      </c>
      <c r="D5482" s="191">
        <v>116304.89</v>
      </c>
      <c r="E5482" s="191">
        <v>114024.4</v>
      </c>
      <c r="F5482" s="191"/>
      <c r="G5482" s="191">
        <v>2280.4899999999998</v>
      </c>
      <c r="H5482" s="192">
        <v>1337506.24</v>
      </c>
      <c r="I5482" s="192">
        <v>1311280.6000000001</v>
      </c>
      <c r="J5482" s="192"/>
      <c r="K5482" s="192">
        <v>26225.64</v>
      </c>
      <c r="L5482" s="43">
        <v>11.500000042990454</v>
      </c>
      <c r="M5482" s="43">
        <v>11.500000000000002</v>
      </c>
      <c r="N5482" s="43" t="s">
        <v>1690</v>
      </c>
      <c r="O5482" s="43">
        <v>11.500002192511259</v>
      </c>
      <c r="P5482" s="193"/>
      <c r="Q5482" s="193"/>
      <c r="R5482" s="193">
        <v>2</v>
      </c>
    </row>
    <row r="5483" spans="1:18" ht="48">
      <c r="A5483" s="189">
        <v>394</v>
      </c>
      <c r="B5483" s="186" t="s">
        <v>10028</v>
      </c>
      <c r="C5483" s="190" t="s">
        <v>10029</v>
      </c>
      <c r="D5483" s="191">
        <v>128478.71</v>
      </c>
      <c r="E5483" s="191">
        <v>125959.52</v>
      </c>
      <c r="F5483" s="191"/>
      <c r="G5483" s="191">
        <v>2519.19</v>
      </c>
      <c r="H5483" s="192">
        <v>1477505.17</v>
      </c>
      <c r="I5483" s="192">
        <v>1448534.48</v>
      </c>
      <c r="J5483" s="192"/>
      <c r="K5483" s="192">
        <v>28970.69</v>
      </c>
      <c r="L5483" s="43">
        <v>11.500000038916953</v>
      </c>
      <c r="M5483" s="43">
        <v>11.5</v>
      </c>
      <c r="N5483" s="43" t="s">
        <v>1690</v>
      </c>
      <c r="O5483" s="43">
        <v>11.500001984764944</v>
      </c>
      <c r="P5483" s="193"/>
      <c r="Q5483" s="193"/>
      <c r="R5483" s="193">
        <v>2</v>
      </c>
    </row>
    <row r="5484" spans="1:18" ht="48">
      <c r="A5484" s="189">
        <v>395</v>
      </c>
      <c r="B5484" s="186" t="s">
        <v>10030</v>
      </c>
      <c r="C5484" s="190" t="s">
        <v>10031</v>
      </c>
      <c r="D5484" s="191">
        <v>154590.22</v>
      </c>
      <c r="E5484" s="191">
        <v>151559.04000000001</v>
      </c>
      <c r="F5484" s="191"/>
      <c r="G5484" s="191">
        <v>3031.18</v>
      </c>
      <c r="H5484" s="192">
        <v>1777787.53</v>
      </c>
      <c r="I5484" s="192">
        <v>1742928.96</v>
      </c>
      <c r="J5484" s="192"/>
      <c r="K5484" s="192">
        <v>34858.57</v>
      </c>
      <c r="L5484" s="43">
        <v>11.5</v>
      </c>
      <c r="M5484" s="43">
        <v>11.5</v>
      </c>
      <c r="N5484" s="43" t="s">
        <v>1690</v>
      </c>
      <c r="O5484" s="43">
        <v>11.5</v>
      </c>
      <c r="P5484" s="193"/>
      <c r="Q5484" s="193"/>
      <c r="R5484" s="193">
        <v>2</v>
      </c>
    </row>
    <row r="5485" spans="1:18" ht="48">
      <c r="A5485" s="189">
        <v>396</v>
      </c>
      <c r="B5485" s="186" t="s">
        <v>10032</v>
      </c>
      <c r="C5485" s="190" t="s">
        <v>10033</v>
      </c>
      <c r="D5485" s="191">
        <v>183300.28</v>
      </c>
      <c r="E5485" s="191">
        <v>179706.16</v>
      </c>
      <c r="F5485" s="191"/>
      <c r="G5485" s="191">
        <v>3594.12</v>
      </c>
      <c r="H5485" s="192">
        <v>2107953.2200000002</v>
      </c>
      <c r="I5485" s="192">
        <v>2066620.84</v>
      </c>
      <c r="J5485" s="192"/>
      <c r="K5485" s="192">
        <v>41332.379999999997</v>
      </c>
      <c r="L5485" s="43">
        <v>11.500000000000002</v>
      </c>
      <c r="M5485" s="43">
        <v>11.5</v>
      </c>
      <c r="N5485" s="43" t="s">
        <v>1690</v>
      </c>
      <c r="O5485" s="43">
        <v>11.5</v>
      </c>
      <c r="P5485" s="193"/>
      <c r="Q5485" s="193"/>
      <c r="R5485" s="193">
        <v>2</v>
      </c>
    </row>
    <row r="5486" spans="1:18" ht="48">
      <c r="A5486" s="189">
        <v>397</v>
      </c>
      <c r="B5486" s="186" t="s">
        <v>10034</v>
      </c>
      <c r="C5486" s="190" t="s">
        <v>10035</v>
      </c>
      <c r="D5486" s="191">
        <v>214120.68</v>
      </c>
      <c r="E5486" s="191">
        <v>209922.24</v>
      </c>
      <c r="F5486" s="191"/>
      <c r="G5486" s="191">
        <v>4198.4399999999996</v>
      </c>
      <c r="H5486" s="192">
        <v>2462387.8199999998</v>
      </c>
      <c r="I5486" s="192">
        <v>2414105.7599999998</v>
      </c>
      <c r="J5486" s="192"/>
      <c r="K5486" s="192">
        <v>48282.06</v>
      </c>
      <c r="L5486" s="43">
        <v>11.5</v>
      </c>
      <c r="M5486" s="43">
        <v>11.5</v>
      </c>
      <c r="N5486" s="43" t="s">
        <v>1690</v>
      </c>
      <c r="O5486" s="43">
        <v>11.5</v>
      </c>
      <c r="P5486" s="193"/>
      <c r="Q5486" s="193"/>
      <c r="R5486" s="193">
        <v>2</v>
      </c>
    </row>
    <row r="5487" spans="1:18" ht="48">
      <c r="A5487" s="189">
        <v>398</v>
      </c>
      <c r="B5487" s="186" t="s">
        <v>10036</v>
      </c>
      <c r="C5487" s="190" t="s">
        <v>10037</v>
      </c>
      <c r="D5487" s="191">
        <v>248185.34</v>
      </c>
      <c r="E5487" s="191">
        <v>243318.96</v>
      </c>
      <c r="F5487" s="191"/>
      <c r="G5487" s="191">
        <v>4866.38</v>
      </c>
      <c r="H5487" s="192">
        <v>2854131.41</v>
      </c>
      <c r="I5487" s="192">
        <v>2798168.04</v>
      </c>
      <c r="J5487" s="192"/>
      <c r="K5487" s="192">
        <v>55963.37</v>
      </c>
      <c r="L5487" s="43">
        <v>11.5</v>
      </c>
      <c r="M5487" s="43">
        <v>11.5</v>
      </c>
      <c r="N5487" s="43" t="s">
        <v>1690</v>
      </c>
      <c r="O5487" s="43">
        <v>11.5</v>
      </c>
      <c r="P5487" s="193"/>
      <c r="Q5487" s="193"/>
      <c r="R5487" s="193">
        <v>2</v>
      </c>
    </row>
    <row r="5488" spans="1:18" ht="48">
      <c r="A5488" s="189">
        <v>399</v>
      </c>
      <c r="B5488" s="186" t="s">
        <v>10038</v>
      </c>
      <c r="C5488" s="190" t="s">
        <v>10039</v>
      </c>
      <c r="D5488" s="191">
        <v>283872.12</v>
      </c>
      <c r="E5488" s="191">
        <v>278306</v>
      </c>
      <c r="F5488" s="191"/>
      <c r="G5488" s="191">
        <v>5566.12</v>
      </c>
      <c r="H5488" s="192">
        <v>3264529.38</v>
      </c>
      <c r="I5488" s="192">
        <v>3200519</v>
      </c>
      <c r="J5488" s="192"/>
      <c r="K5488" s="192">
        <v>64010.38</v>
      </c>
      <c r="L5488" s="43">
        <v>11.5</v>
      </c>
      <c r="M5488" s="43">
        <v>11.5</v>
      </c>
      <c r="N5488" s="43" t="s">
        <v>1690</v>
      </c>
      <c r="O5488" s="43">
        <v>11.5</v>
      </c>
      <c r="P5488" s="193"/>
      <c r="Q5488" s="193"/>
      <c r="R5488" s="193">
        <v>2</v>
      </c>
    </row>
    <row r="5489" spans="1:18" ht="12.75" customHeight="1">
      <c r="A5489" s="628" t="s">
        <v>10040</v>
      </c>
      <c r="B5489" s="629"/>
      <c r="C5489" s="629"/>
      <c r="D5489" s="629"/>
      <c r="E5489" s="629"/>
      <c r="F5489" s="629"/>
      <c r="G5489" s="629"/>
      <c r="H5489" s="629"/>
      <c r="I5489" s="629"/>
      <c r="J5489" s="629"/>
      <c r="K5489" s="629"/>
      <c r="L5489" s="629"/>
      <c r="M5489" s="629"/>
      <c r="N5489" s="629"/>
      <c r="O5489" s="629"/>
      <c r="P5489" s="629"/>
      <c r="Q5489" s="629"/>
      <c r="R5489" s="629"/>
    </row>
    <row r="5490" spans="1:18" ht="48">
      <c r="A5490" s="189">
        <v>400</v>
      </c>
      <c r="B5490" s="186" t="s">
        <v>10041</v>
      </c>
      <c r="C5490" s="190" t="s">
        <v>10042</v>
      </c>
      <c r="D5490" s="191">
        <v>724.44</v>
      </c>
      <c r="E5490" s="191">
        <v>710.24</v>
      </c>
      <c r="F5490" s="191"/>
      <c r="G5490" s="191">
        <v>14.2</v>
      </c>
      <c r="H5490" s="192">
        <v>8331.06</v>
      </c>
      <c r="I5490" s="192">
        <v>8167.76</v>
      </c>
      <c r="J5490" s="192"/>
      <c r="K5490" s="192">
        <v>163.30000000000001</v>
      </c>
      <c r="L5490" s="43">
        <v>11.499999999999998</v>
      </c>
      <c r="M5490" s="43">
        <v>11.5</v>
      </c>
      <c r="N5490" s="43" t="s">
        <v>1690</v>
      </c>
      <c r="O5490" s="43">
        <v>11.500000000000002</v>
      </c>
      <c r="P5490" s="193"/>
      <c r="Q5490" s="193"/>
      <c r="R5490" s="193">
        <v>3</v>
      </c>
    </row>
    <row r="5491" spans="1:18" ht="48">
      <c r="A5491" s="189">
        <v>401</v>
      </c>
      <c r="B5491" s="186" t="s">
        <v>10043</v>
      </c>
      <c r="C5491" s="190" t="s">
        <v>10044</v>
      </c>
      <c r="D5491" s="191">
        <v>2121.4899999999998</v>
      </c>
      <c r="E5491" s="191">
        <v>988.16</v>
      </c>
      <c r="F5491" s="191">
        <v>1113.57</v>
      </c>
      <c r="G5491" s="191">
        <v>19.760000000000002</v>
      </c>
      <c r="H5491" s="192">
        <v>17629.5</v>
      </c>
      <c r="I5491" s="192">
        <v>11363.84</v>
      </c>
      <c r="J5491" s="192">
        <v>6038.42</v>
      </c>
      <c r="K5491" s="192">
        <v>227.24</v>
      </c>
      <c r="L5491" s="43">
        <v>8.3099613950572486</v>
      </c>
      <c r="M5491" s="43">
        <v>11.5</v>
      </c>
      <c r="N5491" s="43">
        <v>5.4225778352505909</v>
      </c>
      <c r="O5491" s="43">
        <v>11.5</v>
      </c>
      <c r="P5491" s="193"/>
      <c r="Q5491" s="193"/>
      <c r="R5491" s="193">
        <v>3</v>
      </c>
    </row>
    <row r="5492" spans="1:18" ht="48">
      <c r="A5492" s="189">
        <v>402</v>
      </c>
      <c r="B5492" s="186" t="s">
        <v>10045</v>
      </c>
      <c r="C5492" s="190" t="s">
        <v>10046</v>
      </c>
      <c r="D5492" s="191">
        <v>4393.58</v>
      </c>
      <c r="E5492" s="191">
        <v>1636.64</v>
      </c>
      <c r="F5492" s="191">
        <v>2724.21</v>
      </c>
      <c r="G5492" s="191">
        <v>32.729999999999997</v>
      </c>
      <c r="H5492" s="192">
        <v>33969.96</v>
      </c>
      <c r="I5492" s="192">
        <v>18821.36</v>
      </c>
      <c r="J5492" s="192">
        <v>14772.2</v>
      </c>
      <c r="K5492" s="192">
        <v>376.4</v>
      </c>
      <c r="L5492" s="43">
        <v>7.7317267467532167</v>
      </c>
      <c r="M5492" s="43">
        <v>11.5</v>
      </c>
      <c r="N5492" s="43">
        <v>5.4225628714379583</v>
      </c>
      <c r="O5492" s="43">
        <v>11.500152765047357</v>
      </c>
      <c r="P5492" s="193"/>
      <c r="Q5492" s="193"/>
      <c r="R5492" s="193">
        <v>3</v>
      </c>
    </row>
    <row r="5493" spans="1:18" ht="48">
      <c r="A5493" s="189">
        <v>403</v>
      </c>
      <c r="B5493" s="186" t="s">
        <v>10047</v>
      </c>
      <c r="C5493" s="190" t="s">
        <v>10048</v>
      </c>
      <c r="D5493" s="191">
        <v>7164.66</v>
      </c>
      <c r="E5493" s="191">
        <v>2285.12</v>
      </c>
      <c r="F5493" s="191">
        <v>4833.84</v>
      </c>
      <c r="G5493" s="191">
        <v>45.7</v>
      </c>
      <c r="H5493" s="192">
        <v>53016.2</v>
      </c>
      <c r="I5493" s="192">
        <v>26278.880000000001</v>
      </c>
      <c r="J5493" s="192">
        <v>26211.77</v>
      </c>
      <c r="K5493" s="192">
        <v>525.54999999999995</v>
      </c>
      <c r="L5493" s="43">
        <v>7.3996812130652394</v>
      </c>
      <c r="M5493" s="43">
        <v>11.500000000000002</v>
      </c>
      <c r="N5493" s="43">
        <v>5.4225563940883434</v>
      </c>
      <c r="O5493" s="43">
        <v>11.499999999999998</v>
      </c>
      <c r="P5493" s="193"/>
      <c r="Q5493" s="193"/>
      <c r="R5493" s="193">
        <v>3</v>
      </c>
    </row>
    <row r="5494" spans="1:18" ht="48">
      <c r="A5494" s="189">
        <v>404</v>
      </c>
      <c r="B5494" s="186" t="s">
        <v>10049</v>
      </c>
      <c r="C5494" s="190" t="s">
        <v>10050</v>
      </c>
      <c r="D5494" s="191">
        <v>10558.79</v>
      </c>
      <c r="E5494" s="191">
        <v>3057.12</v>
      </c>
      <c r="F5494" s="191">
        <v>7440.53</v>
      </c>
      <c r="G5494" s="191">
        <v>61.14</v>
      </c>
      <c r="H5494" s="192">
        <v>76206.69</v>
      </c>
      <c r="I5494" s="192">
        <v>35156.879999999997</v>
      </c>
      <c r="J5494" s="192">
        <v>40346.699999999997</v>
      </c>
      <c r="K5494" s="192">
        <v>703.11</v>
      </c>
      <c r="L5494" s="43">
        <v>7.2173696039034771</v>
      </c>
      <c r="M5494" s="43">
        <v>11.5</v>
      </c>
      <c r="N5494" s="43">
        <v>5.4225572640658664</v>
      </c>
      <c r="O5494" s="43">
        <v>11.5</v>
      </c>
      <c r="P5494" s="193"/>
      <c r="Q5494" s="193"/>
      <c r="R5494" s="193">
        <v>3</v>
      </c>
    </row>
    <row r="5495" spans="1:18" ht="48">
      <c r="A5495" s="189">
        <v>405</v>
      </c>
      <c r="B5495" s="186" t="s">
        <v>10051</v>
      </c>
      <c r="C5495" s="190" t="s">
        <v>10052</v>
      </c>
      <c r="D5495" s="191">
        <v>14566</v>
      </c>
      <c r="E5495" s="191">
        <v>3937.2</v>
      </c>
      <c r="F5495" s="191">
        <v>10550.06</v>
      </c>
      <c r="G5495" s="191">
        <v>78.739999999999995</v>
      </c>
      <c r="H5495" s="192">
        <v>103391.63</v>
      </c>
      <c r="I5495" s="192">
        <v>45277.8</v>
      </c>
      <c r="J5495" s="192">
        <v>57208.32</v>
      </c>
      <c r="K5495" s="192">
        <v>905.51</v>
      </c>
      <c r="L5495" s="43">
        <v>7.0981484278456684</v>
      </c>
      <c r="M5495" s="43">
        <v>11.500000000000002</v>
      </c>
      <c r="N5495" s="43">
        <v>5.4225587342631227</v>
      </c>
      <c r="O5495" s="43">
        <v>11.5</v>
      </c>
      <c r="P5495" s="193"/>
      <c r="Q5495" s="193"/>
      <c r="R5495" s="193">
        <v>3</v>
      </c>
    </row>
    <row r="5496" spans="1:18" ht="48">
      <c r="A5496" s="189">
        <v>406</v>
      </c>
      <c r="B5496" s="186" t="s">
        <v>10053</v>
      </c>
      <c r="C5496" s="190" t="s">
        <v>10054</v>
      </c>
      <c r="D5496" s="191">
        <v>19204.310000000001</v>
      </c>
      <c r="E5496" s="191">
        <v>4956.24</v>
      </c>
      <c r="F5496" s="191">
        <v>14148.95</v>
      </c>
      <c r="G5496" s="191">
        <v>99.12</v>
      </c>
      <c r="H5496" s="192">
        <v>134860.14000000001</v>
      </c>
      <c r="I5496" s="192">
        <v>56996.76</v>
      </c>
      <c r="J5496" s="192">
        <v>76723.5</v>
      </c>
      <c r="K5496" s="192">
        <v>1139.8800000000001</v>
      </c>
      <c r="L5496" s="43">
        <v>7.0223892449142928</v>
      </c>
      <c r="M5496" s="43">
        <v>11.500000000000002</v>
      </c>
      <c r="N5496" s="43">
        <v>5.4225578576502143</v>
      </c>
      <c r="O5496" s="43">
        <v>11.5</v>
      </c>
      <c r="P5496" s="193"/>
      <c r="Q5496" s="193"/>
      <c r="R5496" s="193">
        <v>3</v>
      </c>
    </row>
    <row r="5497" spans="1:18" ht="48">
      <c r="A5497" s="189">
        <v>407</v>
      </c>
      <c r="B5497" s="186" t="s">
        <v>10055</v>
      </c>
      <c r="C5497" s="190" t="s">
        <v>10056</v>
      </c>
      <c r="D5497" s="191">
        <v>24469.54</v>
      </c>
      <c r="E5497" s="191">
        <v>6098.8</v>
      </c>
      <c r="F5497" s="191">
        <v>18248.759999999998</v>
      </c>
      <c r="G5497" s="191">
        <v>121.98</v>
      </c>
      <c r="H5497" s="192">
        <v>170493.9</v>
      </c>
      <c r="I5497" s="192">
        <v>70136.2</v>
      </c>
      <c r="J5497" s="192">
        <v>98954.93</v>
      </c>
      <c r="K5497" s="192">
        <v>1402.77</v>
      </c>
      <c r="L5497" s="43">
        <v>6.9675972658251846</v>
      </c>
      <c r="M5497" s="43">
        <v>11.5</v>
      </c>
      <c r="N5497" s="43">
        <v>5.4225563819130729</v>
      </c>
      <c r="O5497" s="43">
        <v>11.5</v>
      </c>
      <c r="P5497" s="193"/>
      <c r="Q5497" s="193"/>
      <c r="R5497" s="193">
        <v>3</v>
      </c>
    </row>
    <row r="5498" spans="1:18" ht="48">
      <c r="A5498" s="189">
        <v>408</v>
      </c>
      <c r="B5498" s="186" t="s">
        <v>10057</v>
      </c>
      <c r="C5498" s="190" t="s">
        <v>10058</v>
      </c>
      <c r="D5498" s="191">
        <v>440.97</v>
      </c>
      <c r="E5498" s="191">
        <v>432.32</v>
      </c>
      <c r="F5498" s="191"/>
      <c r="G5498" s="191">
        <v>8.65</v>
      </c>
      <c r="H5498" s="192">
        <v>5071.16</v>
      </c>
      <c r="I5498" s="192">
        <v>4971.68</v>
      </c>
      <c r="J5498" s="192"/>
      <c r="K5498" s="192">
        <v>99.48</v>
      </c>
      <c r="L5498" s="43">
        <v>11.500011338639816</v>
      </c>
      <c r="M5498" s="43">
        <v>11.5</v>
      </c>
      <c r="N5498" s="43" t="s">
        <v>1690</v>
      </c>
      <c r="O5498" s="43">
        <v>11.50057803468208</v>
      </c>
      <c r="P5498" s="193"/>
      <c r="Q5498" s="193"/>
      <c r="R5498" s="193">
        <v>3</v>
      </c>
    </row>
    <row r="5499" spans="1:18" ht="48">
      <c r="A5499" s="189">
        <v>409</v>
      </c>
      <c r="B5499" s="186" t="s">
        <v>10059</v>
      </c>
      <c r="C5499" s="190" t="s">
        <v>10060</v>
      </c>
      <c r="D5499" s="191">
        <v>1187.99</v>
      </c>
      <c r="E5499" s="191">
        <v>586.72</v>
      </c>
      <c r="F5499" s="191">
        <v>589.54</v>
      </c>
      <c r="G5499" s="191">
        <v>11.73</v>
      </c>
      <c r="H5499" s="192">
        <v>10078.99</v>
      </c>
      <c r="I5499" s="192">
        <v>6747.28</v>
      </c>
      <c r="J5499" s="192">
        <v>3196.81</v>
      </c>
      <c r="K5499" s="192">
        <v>134.9</v>
      </c>
      <c r="L5499" s="43">
        <v>8.4840697312266933</v>
      </c>
      <c r="M5499" s="43">
        <v>11.499999999999998</v>
      </c>
      <c r="N5499" s="43">
        <v>5.4225497845778063</v>
      </c>
      <c r="O5499" s="43">
        <v>11.500426257459505</v>
      </c>
      <c r="P5499" s="193"/>
      <c r="Q5499" s="193"/>
      <c r="R5499" s="193">
        <v>3</v>
      </c>
    </row>
    <row r="5500" spans="1:18" ht="48">
      <c r="A5500" s="189">
        <v>410</v>
      </c>
      <c r="B5500" s="186" t="s">
        <v>10061</v>
      </c>
      <c r="C5500" s="190" t="s">
        <v>10062</v>
      </c>
      <c r="D5500" s="191">
        <v>2187.5</v>
      </c>
      <c r="E5500" s="191">
        <v>833.76</v>
      </c>
      <c r="F5500" s="191">
        <v>1337.06</v>
      </c>
      <c r="G5500" s="191">
        <v>16.68</v>
      </c>
      <c r="H5500" s="192">
        <v>17030.349999999999</v>
      </c>
      <c r="I5500" s="192">
        <v>9588.24</v>
      </c>
      <c r="J5500" s="192">
        <v>7250.29</v>
      </c>
      <c r="K5500" s="192">
        <v>191.82</v>
      </c>
      <c r="L5500" s="43">
        <v>7.7853028571428569</v>
      </c>
      <c r="M5500" s="43">
        <v>11.5</v>
      </c>
      <c r="N5500" s="43">
        <v>5.4225614407730394</v>
      </c>
      <c r="O5500" s="43">
        <v>11.5</v>
      </c>
      <c r="P5500" s="193"/>
      <c r="Q5500" s="193"/>
      <c r="R5500" s="193">
        <v>3</v>
      </c>
    </row>
    <row r="5501" spans="1:18" ht="48">
      <c r="A5501" s="189">
        <v>411</v>
      </c>
      <c r="B5501" s="186" t="s">
        <v>10063</v>
      </c>
      <c r="C5501" s="190" t="s">
        <v>10064</v>
      </c>
      <c r="D5501" s="191">
        <v>3374.55</v>
      </c>
      <c r="E5501" s="191">
        <v>1111.68</v>
      </c>
      <c r="F5501" s="191">
        <v>2240.64</v>
      </c>
      <c r="G5501" s="191">
        <v>22.23</v>
      </c>
      <c r="H5501" s="192">
        <v>25189.95</v>
      </c>
      <c r="I5501" s="192">
        <v>12784.32</v>
      </c>
      <c r="J5501" s="192">
        <v>12149.98</v>
      </c>
      <c r="K5501" s="192">
        <v>255.65</v>
      </c>
      <c r="L5501" s="43">
        <v>7.4646841801129034</v>
      </c>
      <c r="M5501" s="43">
        <v>11.499999999999998</v>
      </c>
      <c r="N5501" s="43">
        <v>5.4225489145958301</v>
      </c>
      <c r="O5501" s="43">
        <v>11.500224921277553</v>
      </c>
      <c r="P5501" s="193"/>
      <c r="Q5501" s="193"/>
      <c r="R5501" s="193">
        <v>3</v>
      </c>
    </row>
    <row r="5502" spans="1:18" ht="48">
      <c r="A5502" s="189">
        <v>412</v>
      </c>
      <c r="B5502" s="186" t="s">
        <v>10065</v>
      </c>
      <c r="C5502" s="190" t="s">
        <v>10066</v>
      </c>
      <c r="D5502" s="191">
        <v>4751.08</v>
      </c>
      <c r="E5502" s="191">
        <v>1420.48</v>
      </c>
      <c r="F5502" s="191">
        <v>3302.19</v>
      </c>
      <c r="G5502" s="191">
        <v>28.41</v>
      </c>
      <c r="H5502" s="192">
        <v>34568.57</v>
      </c>
      <c r="I5502" s="192">
        <v>16335.52</v>
      </c>
      <c r="J5502" s="192">
        <v>17906.330000000002</v>
      </c>
      <c r="K5502" s="192">
        <v>326.72000000000003</v>
      </c>
      <c r="L5502" s="43">
        <v>7.2759393653653488</v>
      </c>
      <c r="M5502" s="43">
        <v>11.5</v>
      </c>
      <c r="N5502" s="43">
        <v>5.4225619967355003</v>
      </c>
      <c r="O5502" s="43">
        <v>11.500175994368181</v>
      </c>
      <c r="P5502" s="193"/>
      <c r="Q5502" s="193"/>
      <c r="R5502" s="193">
        <v>3</v>
      </c>
    </row>
    <row r="5503" spans="1:18" ht="48">
      <c r="A5503" s="189">
        <v>413</v>
      </c>
      <c r="B5503" s="186" t="s">
        <v>10067</v>
      </c>
      <c r="C5503" s="190" t="s">
        <v>10068</v>
      </c>
      <c r="D5503" s="191">
        <v>6299.41</v>
      </c>
      <c r="E5503" s="191">
        <v>1744.72</v>
      </c>
      <c r="F5503" s="191">
        <v>4519.8</v>
      </c>
      <c r="G5503" s="191">
        <v>34.89</v>
      </c>
      <c r="H5503" s="192">
        <v>44974.42</v>
      </c>
      <c r="I5503" s="192">
        <v>20064.28</v>
      </c>
      <c r="J5503" s="192">
        <v>24508.9</v>
      </c>
      <c r="K5503" s="192">
        <v>401.24</v>
      </c>
      <c r="L5503" s="43">
        <v>7.1394654420017112</v>
      </c>
      <c r="M5503" s="43">
        <v>11.5</v>
      </c>
      <c r="N5503" s="43">
        <v>5.4225629452630653</v>
      </c>
      <c r="O5503" s="43">
        <v>11.500143307537977</v>
      </c>
      <c r="P5503" s="193"/>
      <c r="Q5503" s="193"/>
      <c r="R5503" s="193">
        <v>3</v>
      </c>
    </row>
    <row r="5504" spans="1:18" ht="48">
      <c r="A5504" s="189">
        <v>414</v>
      </c>
      <c r="B5504" s="186" t="s">
        <v>10069</v>
      </c>
      <c r="C5504" s="190" t="s">
        <v>10070</v>
      </c>
      <c r="D5504" s="191">
        <v>8068.73</v>
      </c>
      <c r="E5504" s="191">
        <v>2130.7199999999998</v>
      </c>
      <c r="F5504" s="191">
        <v>5895.4</v>
      </c>
      <c r="G5504" s="191">
        <v>42.61</v>
      </c>
      <c r="H5504" s="192">
        <v>56961.43</v>
      </c>
      <c r="I5504" s="192">
        <v>24503.279999999999</v>
      </c>
      <c r="J5504" s="192">
        <v>31968.13</v>
      </c>
      <c r="K5504" s="192">
        <v>490.02</v>
      </c>
      <c r="L5504" s="43">
        <v>7.0595285751289243</v>
      </c>
      <c r="M5504" s="43">
        <v>11.5</v>
      </c>
      <c r="N5504" s="43">
        <v>5.4225548732910411</v>
      </c>
      <c r="O5504" s="43">
        <v>11.500117343346632</v>
      </c>
      <c r="P5504" s="193"/>
      <c r="Q5504" s="193"/>
      <c r="R5504" s="193">
        <v>3</v>
      </c>
    </row>
    <row r="5505" spans="1:18" ht="48">
      <c r="A5505" s="189">
        <v>415</v>
      </c>
      <c r="B5505" s="186" t="s">
        <v>10071</v>
      </c>
      <c r="C5505" s="190" t="s">
        <v>10072</v>
      </c>
      <c r="D5505" s="191">
        <v>10027.52</v>
      </c>
      <c r="E5505" s="191">
        <v>2547.6</v>
      </c>
      <c r="F5505" s="191">
        <v>7428.97</v>
      </c>
      <c r="G5505" s="191">
        <v>50.95</v>
      </c>
      <c r="H5505" s="192">
        <v>70167.350000000006</v>
      </c>
      <c r="I5505" s="192">
        <v>29297.4</v>
      </c>
      <c r="J5505" s="192">
        <v>40284.019999999997</v>
      </c>
      <c r="K5505" s="192">
        <v>585.92999999999995</v>
      </c>
      <c r="L5505" s="43">
        <v>6.9974779407071743</v>
      </c>
      <c r="M5505" s="43">
        <v>11.500000000000002</v>
      </c>
      <c r="N5505" s="43">
        <v>5.4225579050662471</v>
      </c>
      <c r="O5505" s="43">
        <v>11.500098135426887</v>
      </c>
      <c r="P5505" s="193"/>
      <c r="Q5505" s="193"/>
      <c r="R5505" s="193">
        <v>3</v>
      </c>
    </row>
    <row r="5506" spans="1:18" ht="48">
      <c r="A5506" s="189">
        <v>416</v>
      </c>
      <c r="B5506" s="186" t="s">
        <v>10073</v>
      </c>
      <c r="C5506" s="190" t="s">
        <v>10074</v>
      </c>
      <c r="D5506" s="191">
        <v>12189.62</v>
      </c>
      <c r="E5506" s="191">
        <v>3010.8</v>
      </c>
      <c r="F5506" s="191">
        <v>9118.6</v>
      </c>
      <c r="G5506" s="191">
        <v>60.22</v>
      </c>
      <c r="H5506" s="192">
        <v>84762.85</v>
      </c>
      <c r="I5506" s="192">
        <v>34624.199999999997</v>
      </c>
      <c r="J5506" s="192">
        <v>49446.12</v>
      </c>
      <c r="K5506" s="192">
        <v>692.53</v>
      </c>
      <c r="L5506" s="43">
        <v>6.9536909271987151</v>
      </c>
      <c r="M5506" s="43">
        <v>11.499999999999998</v>
      </c>
      <c r="N5506" s="43">
        <v>5.4225560941372581</v>
      </c>
      <c r="O5506" s="43">
        <v>11.5</v>
      </c>
      <c r="P5506" s="193"/>
      <c r="Q5506" s="193"/>
      <c r="R5506" s="193">
        <v>3</v>
      </c>
    </row>
    <row r="5507" spans="1:18" ht="48">
      <c r="A5507" s="189">
        <v>417</v>
      </c>
      <c r="B5507" s="186" t="s">
        <v>10075</v>
      </c>
      <c r="C5507" s="190" t="s">
        <v>10076</v>
      </c>
      <c r="D5507" s="191">
        <v>14541.19</v>
      </c>
      <c r="E5507" s="191">
        <v>3504.88</v>
      </c>
      <c r="F5507" s="191">
        <v>10966.21</v>
      </c>
      <c r="G5507" s="191">
        <v>70.099999999999994</v>
      </c>
      <c r="H5507" s="192">
        <v>100577.16</v>
      </c>
      <c r="I5507" s="192">
        <v>40306.120000000003</v>
      </c>
      <c r="J5507" s="192">
        <v>59464.89</v>
      </c>
      <c r="K5507" s="192">
        <v>806.15</v>
      </c>
      <c r="L5507" s="43">
        <v>6.9167076422218541</v>
      </c>
      <c r="M5507" s="43">
        <v>11.5</v>
      </c>
      <c r="N5507" s="43">
        <v>5.4225561976288983</v>
      </c>
      <c r="O5507" s="43">
        <v>11.5</v>
      </c>
      <c r="P5507" s="193"/>
      <c r="Q5507" s="193"/>
      <c r="R5507" s="193">
        <v>3</v>
      </c>
    </row>
    <row r="5508" spans="1:18" ht="48">
      <c r="A5508" s="189">
        <v>418</v>
      </c>
      <c r="B5508" s="186" t="s">
        <v>10077</v>
      </c>
      <c r="C5508" s="190" t="s">
        <v>10078</v>
      </c>
      <c r="D5508" s="191">
        <v>17096.060000000001</v>
      </c>
      <c r="E5508" s="191">
        <v>4045.28</v>
      </c>
      <c r="F5508" s="191">
        <v>12969.87</v>
      </c>
      <c r="G5508" s="191">
        <v>80.91</v>
      </c>
      <c r="H5508" s="192">
        <v>117781.07</v>
      </c>
      <c r="I5508" s="192">
        <v>46520.72</v>
      </c>
      <c r="J5508" s="192">
        <v>70329.88</v>
      </c>
      <c r="K5508" s="192">
        <v>930.47</v>
      </c>
      <c r="L5508" s="43">
        <v>6.889369246481353</v>
      </c>
      <c r="M5508" s="43">
        <v>11.5</v>
      </c>
      <c r="N5508" s="43">
        <v>5.422558591566454</v>
      </c>
      <c r="O5508" s="43">
        <v>11.500061797058461</v>
      </c>
      <c r="P5508" s="193"/>
      <c r="Q5508" s="193"/>
      <c r="R5508" s="193">
        <v>3</v>
      </c>
    </row>
    <row r="5509" spans="1:18" ht="12.75" customHeight="1">
      <c r="A5509" s="628" t="s">
        <v>10079</v>
      </c>
      <c r="B5509" s="629"/>
      <c r="C5509" s="629"/>
      <c r="D5509" s="629"/>
      <c r="E5509" s="629"/>
      <c r="F5509" s="629"/>
      <c r="G5509" s="629"/>
      <c r="H5509" s="629"/>
      <c r="I5509" s="629"/>
      <c r="J5509" s="629"/>
      <c r="K5509" s="629"/>
      <c r="L5509" s="629"/>
      <c r="M5509" s="629"/>
      <c r="N5509" s="629"/>
      <c r="O5509" s="629"/>
      <c r="P5509" s="629"/>
      <c r="Q5509" s="629"/>
      <c r="R5509" s="629"/>
    </row>
    <row r="5510" spans="1:18" ht="48">
      <c r="A5510" s="189">
        <v>419</v>
      </c>
      <c r="B5510" s="186" t="s">
        <v>10080</v>
      </c>
      <c r="C5510" s="190" t="s">
        <v>10081</v>
      </c>
      <c r="D5510" s="191">
        <v>3905.7</v>
      </c>
      <c r="E5510" s="191">
        <v>3829.12</v>
      </c>
      <c r="F5510" s="191"/>
      <c r="G5510" s="191">
        <v>76.58</v>
      </c>
      <c r="H5510" s="192">
        <v>44915.55</v>
      </c>
      <c r="I5510" s="192">
        <v>44034.879999999997</v>
      </c>
      <c r="J5510" s="192"/>
      <c r="K5510" s="192">
        <v>880.67</v>
      </c>
      <c r="L5510" s="43">
        <v>11.500000000000002</v>
      </c>
      <c r="M5510" s="43">
        <v>11.5</v>
      </c>
      <c r="N5510" s="43" t="s">
        <v>1690</v>
      </c>
      <c r="O5510" s="43">
        <v>11.5</v>
      </c>
      <c r="P5510" s="193"/>
      <c r="Q5510" s="193"/>
      <c r="R5510" s="193">
        <v>4</v>
      </c>
    </row>
    <row r="5511" spans="1:18" ht="48">
      <c r="A5511" s="189">
        <v>420</v>
      </c>
      <c r="B5511" s="186" t="s">
        <v>10082</v>
      </c>
      <c r="C5511" s="190" t="s">
        <v>10083</v>
      </c>
      <c r="D5511" s="191">
        <v>7738.26</v>
      </c>
      <c r="E5511" s="191">
        <v>5465.76</v>
      </c>
      <c r="F5511" s="191">
        <v>2163.1799999999998</v>
      </c>
      <c r="G5511" s="191">
        <v>109.32</v>
      </c>
      <c r="H5511" s="192">
        <v>75764.820000000007</v>
      </c>
      <c r="I5511" s="192">
        <v>62856.24</v>
      </c>
      <c r="J5511" s="192">
        <v>11651.4</v>
      </c>
      <c r="K5511" s="192">
        <v>1257.18</v>
      </c>
      <c r="L5511" s="43">
        <v>9.7909374975769747</v>
      </c>
      <c r="M5511" s="43">
        <v>11.5</v>
      </c>
      <c r="N5511" s="43">
        <v>5.3862369289656895</v>
      </c>
      <c r="O5511" s="43">
        <v>11.500000000000002</v>
      </c>
      <c r="P5511" s="193"/>
      <c r="Q5511" s="193"/>
      <c r="R5511" s="193">
        <v>4</v>
      </c>
    </row>
    <row r="5512" spans="1:18" ht="48">
      <c r="A5512" s="189">
        <v>421</v>
      </c>
      <c r="B5512" s="186" t="s">
        <v>10084</v>
      </c>
      <c r="C5512" s="190" t="s">
        <v>10085</v>
      </c>
      <c r="D5512" s="191">
        <v>10324.620000000001</v>
      </c>
      <c r="E5512" s="191">
        <v>7303.12</v>
      </c>
      <c r="F5512" s="191">
        <v>2875.44</v>
      </c>
      <c r="G5512" s="191">
        <v>146.06</v>
      </c>
      <c r="H5512" s="192">
        <v>101153.4</v>
      </c>
      <c r="I5512" s="192">
        <v>83985.88</v>
      </c>
      <c r="J5512" s="192">
        <v>15487.83</v>
      </c>
      <c r="K5512" s="192">
        <v>1679.69</v>
      </c>
      <c r="L5512" s="43">
        <v>9.7973000459096795</v>
      </c>
      <c r="M5512" s="43">
        <v>11.5</v>
      </c>
      <c r="N5512" s="43">
        <v>5.3862469743760952</v>
      </c>
      <c r="O5512" s="43">
        <v>11.5</v>
      </c>
      <c r="P5512" s="193"/>
      <c r="Q5512" s="193"/>
      <c r="R5512" s="193">
        <v>4</v>
      </c>
    </row>
    <row r="5513" spans="1:18" ht="48">
      <c r="A5513" s="189">
        <v>422</v>
      </c>
      <c r="B5513" s="186" t="s">
        <v>10086</v>
      </c>
      <c r="C5513" s="190" t="s">
        <v>10087</v>
      </c>
      <c r="D5513" s="191">
        <v>12500.55</v>
      </c>
      <c r="E5513" s="191">
        <v>8831.68</v>
      </c>
      <c r="F5513" s="191">
        <v>3492.24</v>
      </c>
      <c r="G5513" s="191">
        <v>176.63</v>
      </c>
      <c r="H5513" s="192">
        <v>122405.61</v>
      </c>
      <c r="I5513" s="192">
        <v>101564.32</v>
      </c>
      <c r="J5513" s="192">
        <v>18810.04</v>
      </c>
      <c r="K5513" s="192">
        <v>2031.25</v>
      </c>
      <c r="L5513" s="43">
        <v>9.7920179512101466</v>
      </c>
      <c r="M5513" s="43">
        <v>11.5</v>
      </c>
      <c r="N5513" s="43">
        <v>5.3862392046365661</v>
      </c>
      <c r="O5513" s="43">
        <v>11.500028307761989</v>
      </c>
      <c r="P5513" s="193"/>
      <c r="Q5513" s="193"/>
      <c r="R5513" s="193">
        <v>4</v>
      </c>
    </row>
    <row r="5514" spans="1:18" ht="48">
      <c r="A5514" s="189">
        <v>423</v>
      </c>
      <c r="B5514" s="186" t="s">
        <v>10088</v>
      </c>
      <c r="C5514" s="190" t="s">
        <v>10089</v>
      </c>
      <c r="D5514" s="191">
        <v>14722.46</v>
      </c>
      <c r="E5514" s="191">
        <v>10406.56</v>
      </c>
      <c r="F5514" s="191">
        <v>4107.7700000000004</v>
      </c>
      <c r="G5514" s="191">
        <v>208.13</v>
      </c>
      <c r="H5514" s="192">
        <v>144194.41</v>
      </c>
      <c r="I5514" s="192">
        <v>119675.44</v>
      </c>
      <c r="J5514" s="192">
        <v>22125.47</v>
      </c>
      <c r="K5514" s="192">
        <v>2393.5</v>
      </c>
      <c r="L5514" s="43">
        <v>9.7941790977866479</v>
      </c>
      <c r="M5514" s="43">
        <v>11.5</v>
      </c>
      <c r="N5514" s="43">
        <v>5.3862484997942923</v>
      </c>
      <c r="O5514" s="43">
        <v>11.500024023446885</v>
      </c>
      <c r="P5514" s="193"/>
      <c r="Q5514" s="193"/>
      <c r="R5514" s="193">
        <v>4</v>
      </c>
    </row>
    <row r="5515" spans="1:18" ht="48">
      <c r="A5515" s="189">
        <v>424</v>
      </c>
      <c r="B5515" s="186" t="s">
        <v>10090</v>
      </c>
      <c r="C5515" s="190" t="s">
        <v>10091</v>
      </c>
      <c r="D5515" s="191">
        <v>16929.89</v>
      </c>
      <c r="E5515" s="191">
        <v>11966</v>
      </c>
      <c r="F5515" s="191">
        <v>4724.57</v>
      </c>
      <c r="G5515" s="191">
        <v>239.32</v>
      </c>
      <c r="H5515" s="192">
        <v>165808.85999999999</v>
      </c>
      <c r="I5515" s="192">
        <v>137609</v>
      </c>
      <c r="J5515" s="192">
        <v>25447.68</v>
      </c>
      <c r="K5515" s="192">
        <v>2752.18</v>
      </c>
      <c r="L5515" s="43">
        <v>9.7938533564010157</v>
      </c>
      <c r="M5515" s="43">
        <v>11.5</v>
      </c>
      <c r="N5515" s="43">
        <v>5.3862425575237536</v>
      </c>
      <c r="O5515" s="43">
        <v>11.5</v>
      </c>
      <c r="P5515" s="193"/>
      <c r="Q5515" s="193"/>
      <c r="R5515" s="193">
        <v>4</v>
      </c>
    </row>
    <row r="5516" spans="1:18" ht="48">
      <c r="A5516" s="189">
        <v>425</v>
      </c>
      <c r="B5516" s="186" t="s">
        <v>10092</v>
      </c>
      <c r="C5516" s="190" t="s">
        <v>10093</v>
      </c>
      <c r="D5516" s="191">
        <v>19120.310000000001</v>
      </c>
      <c r="E5516" s="191">
        <v>13510</v>
      </c>
      <c r="F5516" s="191">
        <v>5340.11</v>
      </c>
      <c r="G5516" s="191">
        <v>270.2</v>
      </c>
      <c r="H5516" s="192">
        <v>187235.42</v>
      </c>
      <c r="I5516" s="192">
        <v>155365</v>
      </c>
      <c r="J5516" s="192">
        <v>28763.119999999999</v>
      </c>
      <c r="K5516" s="192">
        <v>3107.3</v>
      </c>
      <c r="L5516" s="43">
        <v>9.7924887201096631</v>
      </c>
      <c r="M5516" s="43">
        <v>11.5</v>
      </c>
      <c r="N5516" s="43">
        <v>5.3862411073929186</v>
      </c>
      <c r="O5516" s="43">
        <v>11.500000000000002</v>
      </c>
      <c r="P5516" s="193"/>
      <c r="Q5516" s="193"/>
      <c r="R5516" s="193">
        <v>4</v>
      </c>
    </row>
    <row r="5517" spans="1:18" ht="48">
      <c r="A5517" s="189">
        <v>426</v>
      </c>
      <c r="B5517" s="186" t="s">
        <v>10094</v>
      </c>
      <c r="C5517" s="190" t="s">
        <v>10095</v>
      </c>
      <c r="D5517" s="191">
        <v>21343.48</v>
      </c>
      <c r="E5517" s="191">
        <v>15084.88</v>
      </c>
      <c r="F5517" s="191">
        <v>5956.9</v>
      </c>
      <c r="G5517" s="191">
        <v>301.7</v>
      </c>
      <c r="H5517" s="192">
        <v>209030.99</v>
      </c>
      <c r="I5517" s="192">
        <v>173476.12</v>
      </c>
      <c r="J5517" s="192">
        <v>32085.32</v>
      </c>
      <c r="K5517" s="192">
        <v>3469.55</v>
      </c>
      <c r="L5517" s="43">
        <v>9.793669542174003</v>
      </c>
      <c r="M5517" s="43">
        <v>11.5</v>
      </c>
      <c r="N5517" s="43">
        <v>5.3862445231580187</v>
      </c>
      <c r="O5517" s="43">
        <v>11.500000000000002</v>
      </c>
      <c r="P5517" s="193"/>
      <c r="Q5517" s="193"/>
      <c r="R5517" s="193">
        <v>4</v>
      </c>
    </row>
    <row r="5518" spans="1:18" ht="48">
      <c r="A5518" s="189">
        <v>427</v>
      </c>
      <c r="B5518" s="186" t="s">
        <v>10096</v>
      </c>
      <c r="C5518" s="190" t="s">
        <v>10097</v>
      </c>
      <c r="D5518" s="191">
        <v>22006.26</v>
      </c>
      <c r="E5518" s="191">
        <v>15131.2</v>
      </c>
      <c r="F5518" s="191">
        <v>6572.44</v>
      </c>
      <c r="G5518" s="191">
        <v>302.62</v>
      </c>
      <c r="H5518" s="192">
        <v>212889.69</v>
      </c>
      <c r="I5518" s="192">
        <v>174008.8</v>
      </c>
      <c r="J5518" s="192">
        <v>35400.76</v>
      </c>
      <c r="K5518" s="192">
        <v>3480.13</v>
      </c>
      <c r="L5518" s="43">
        <v>9.6740513835608599</v>
      </c>
      <c r="M5518" s="43">
        <v>11.499999999999998</v>
      </c>
      <c r="N5518" s="43">
        <v>5.3862431608352459</v>
      </c>
      <c r="O5518" s="43">
        <v>11.5</v>
      </c>
      <c r="P5518" s="193"/>
      <c r="Q5518" s="193"/>
      <c r="R5518" s="193">
        <v>4</v>
      </c>
    </row>
    <row r="5519" spans="1:18" ht="48">
      <c r="A5519" s="189">
        <v>428</v>
      </c>
      <c r="B5519" s="186" t="s">
        <v>10098</v>
      </c>
      <c r="C5519" s="190" t="s">
        <v>10099</v>
      </c>
      <c r="D5519" s="191">
        <v>25741.32</v>
      </c>
      <c r="E5519" s="191">
        <v>18188.32</v>
      </c>
      <c r="F5519" s="191">
        <v>7189.23</v>
      </c>
      <c r="G5519" s="191">
        <v>363.77</v>
      </c>
      <c r="H5519" s="192">
        <v>252072</v>
      </c>
      <c r="I5519" s="192">
        <v>209165.68</v>
      </c>
      <c r="J5519" s="192">
        <v>38722.959999999999</v>
      </c>
      <c r="K5519" s="192">
        <v>4183.3599999999997</v>
      </c>
      <c r="L5519" s="43">
        <v>9.7925048132729788</v>
      </c>
      <c r="M5519" s="43">
        <v>11.5</v>
      </c>
      <c r="N5519" s="43">
        <v>5.3862458149203745</v>
      </c>
      <c r="O5519" s="43">
        <v>11.500013744948731</v>
      </c>
      <c r="P5519" s="193"/>
      <c r="Q5519" s="193"/>
      <c r="R5519" s="193">
        <v>4</v>
      </c>
    </row>
    <row r="5520" spans="1:18" ht="48">
      <c r="A5520" s="189">
        <v>429</v>
      </c>
      <c r="B5520" s="186" t="s">
        <v>10100</v>
      </c>
      <c r="C5520" s="190" t="s">
        <v>10101</v>
      </c>
      <c r="D5520" s="191">
        <v>27963.23</v>
      </c>
      <c r="E5520" s="191">
        <v>19763.2</v>
      </c>
      <c r="F5520" s="191">
        <v>7804.77</v>
      </c>
      <c r="G5520" s="191">
        <v>395.26</v>
      </c>
      <c r="H5520" s="192">
        <v>273860.69</v>
      </c>
      <c r="I5520" s="192">
        <v>227276.79999999999</v>
      </c>
      <c r="J5520" s="192">
        <v>42038.400000000001</v>
      </c>
      <c r="K5520" s="192">
        <v>4545.49</v>
      </c>
      <c r="L5520" s="43">
        <v>9.7936000240315586</v>
      </c>
      <c r="M5520" s="43">
        <v>11.499999999999998</v>
      </c>
      <c r="N5520" s="43">
        <v>5.3862445658232083</v>
      </c>
      <c r="O5520" s="43">
        <v>11.5</v>
      </c>
      <c r="P5520" s="193"/>
      <c r="Q5520" s="193"/>
      <c r="R5520" s="193">
        <v>4</v>
      </c>
    </row>
    <row r="5521" spans="1:18" ht="48">
      <c r="A5521" s="189">
        <v>430</v>
      </c>
      <c r="B5521" s="186" t="s">
        <v>10102</v>
      </c>
      <c r="C5521" s="190" t="s">
        <v>10103</v>
      </c>
      <c r="D5521" s="191">
        <v>34584.25</v>
      </c>
      <c r="E5521" s="191">
        <v>24441.52</v>
      </c>
      <c r="F5521" s="191">
        <v>9653.9</v>
      </c>
      <c r="G5521" s="191">
        <v>488.83</v>
      </c>
      <c r="H5521" s="192">
        <v>338697.28</v>
      </c>
      <c r="I5521" s="192">
        <v>281077.48</v>
      </c>
      <c r="J5521" s="192">
        <v>51998.25</v>
      </c>
      <c r="K5521" s="192">
        <v>5621.55</v>
      </c>
      <c r="L5521" s="43">
        <v>9.7933967051475754</v>
      </c>
      <c r="M5521" s="43">
        <v>11.499999999999998</v>
      </c>
      <c r="N5521" s="43">
        <v>5.3862428655776426</v>
      </c>
      <c r="O5521" s="43">
        <v>11.500010228504799</v>
      </c>
      <c r="P5521" s="193"/>
      <c r="Q5521" s="193"/>
      <c r="R5521" s="193">
        <v>4</v>
      </c>
    </row>
    <row r="5522" spans="1:18" ht="48">
      <c r="A5522" s="189">
        <v>431</v>
      </c>
      <c r="B5522" s="186" t="s">
        <v>10104</v>
      </c>
      <c r="C5522" s="190" t="s">
        <v>10105</v>
      </c>
      <c r="D5522" s="191">
        <v>45617.59</v>
      </c>
      <c r="E5522" s="191">
        <v>32238.720000000001</v>
      </c>
      <c r="F5522" s="191">
        <v>12734.1</v>
      </c>
      <c r="G5522" s="191">
        <v>644.77</v>
      </c>
      <c r="H5522" s="192">
        <v>446749.11</v>
      </c>
      <c r="I5522" s="192">
        <v>370745.28</v>
      </c>
      <c r="J5522" s="192">
        <v>68588.97</v>
      </c>
      <c r="K5522" s="192">
        <v>7414.86</v>
      </c>
      <c r="L5522" s="43">
        <v>9.7933518627354061</v>
      </c>
      <c r="M5522" s="43">
        <v>11.5</v>
      </c>
      <c r="N5522" s="43">
        <v>5.3862440219567933</v>
      </c>
      <c r="O5522" s="43">
        <v>11.500007754703228</v>
      </c>
      <c r="P5522" s="193"/>
      <c r="Q5522" s="193"/>
      <c r="R5522" s="193">
        <v>4</v>
      </c>
    </row>
    <row r="5523" spans="1:18" ht="48">
      <c r="A5523" s="189">
        <v>432</v>
      </c>
      <c r="B5523" s="186" t="s">
        <v>10106</v>
      </c>
      <c r="C5523" s="190" t="s">
        <v>10107</v>
      </c>
      <c r="D5523" s="191">
        <v>56583.11</v>
      </c>
      <c r="E5523" s="191">
        <v>40035.919999999998</v>
      </c>
      <c r="F5523" s="191">
        <v>15746.47</v>
      </c>
      <c r="G5523" s="191">
        <v>800.72</v>
      </c>
      <c r="H5523" s="192">
        <v>554435.68000000005</v>
      </c>
      <c r="I5523" s="192">
        <v>460413.08</v>
      </c>
      <c r="J5523" s="192">
        <v>84814.32</v>
      </c>
      <c r="K5523" s="192">
        <v>9208.2800000000007</v>
      </c>
      <c r="L5523" s="43">
        <v>9.7986073936197577</v>
      </c>
      <c r="M5523" s="43">
        <v>11.500000000000002</v>
      </c>
      <c r="N5523" s="43">
        <v>5.38624339296363</v>
      </c>
      <c r="O5523" s="43">
        <v>11.5</v>
      </c>
      <c r="P5523" s="193"/>
      <c r="Q5523" s="193"/>
      <c r="R5523" s="193">
        <v>4</v>
      </c>
    </row>
    <row r="5524" spans="1:18" ht="48">
      <c r="A5524" s="189">
        <v>433</v>
      </c>
      <c r="B5524" s="186" t="s">
        <v>10108</v>
      </c>
      <c r="C5524" s="190" t="s">
        <v>10109</v>
      </c>
      <c r="D5524" s="191">
        <v>69823.87</v>
      </c>
      <c r="E5524" s="191">
        <v>49392.56</v>
      </c>
      <c r="F5524" s="191">
        <v>19443.46</v>
      </c>
      <c r="G5524" s="191">
        <v>987.85</v>
      </c>
      <c r="H5524" s="192">
        <v>684101.96</v>
      </c>
      <c r="I5524" s="192">
        <v>568014.43999999994</v>
      </c>
      <c r="J5524" s="192">
        <v>104727.24</v>
      </c>
      <c r="K5524" s="192">
        <v>11360.28</v>
      </c>
      <c r="L5524" s="43">
        <v>9.7975371459645544</v>
      </c>
      <c r="M5524" s="43">
        <v>11.5</v>
      </c>
      <c r="N5524" s="43">
        <v>5.3862450407489204</v>
      </c>
      <c r="O5524" s="43">
        <v>11.500005061497191</v>
      </c>
      <c r="P5524" s="193"/>
      <c r="Q5524" s="193"/>
      <c r="R5524" s="193">
        <v>4</v>
      </c>
    </row>
    <row r="5525" spans="1:18" ht="48">
      <c r="A5525" s="189">
        <v>434</v>
      </c>
      <c r="B5525" s="186" t="s">
        <v>10110</v>
      </c>
      <c r="C5525" s="190" t="s">
        <v>10111</v>
      </c>
      <c r="D5525" s="191">
        <v>6378.69</v>
      </c>
      <c r="E5525" s="191">
        <v>4508.4799999999996</v>
      </c>
      <c r="F5525" s="191">
        <v>1780.04</v>
      </c>
      <c r="G5525" s="191">
        <v>90.17</v>
      </c>
      <c r="H5525" s="192">
        <v>62472.19</v>
      </c>
      <c r="I5525" s="192">
        <v>51847.519999999997</v>
      </c>
      <c r="J5525" s="192">
        <v>9587.7099999999991</v>
      </c>
      <c r="K5525" s="192">
        <v>1036.96</v>
      </c>
      <c r="L5525" s="43">
        <v>9.7938902815468385</v>
      </c>
      <c r="M5525" s="43">
        <v>11.5</v>
      </c>
      <c r="N5525" s="43">
        <v>5.3862328936428394</v>
      </c>
      <c r="O5525" s="43">
        <v>11.500055450815127</v>
      </c>
      <c r="P5525" s="193"/>
      <c r="Q5525" s="193"/>
      <c r="R5525" s="193">
        <v>4</v>
      </c>
    </row>
    <row r="5526" spans="1:18" ht="48">
      <c r="A5526" s="189">
        <v>435</v>
      </c>
      <c r="B5526" s="186" t="s">
        <v>10112</v>
      </c>
      <c r="C5526" s="190" t="s">
        <v>10113</v>
      </c>
      <c r="D5526" s="191">
        <v>8811.43</v>
      </c>
      <c r="E5526" s="191">
        <v>6222.32</v>
      </c>
      <c r="F5526" s="191">
        <v>2464.66</v>
      </c>
      <c r="G5526" s="191">
        <v>124.45</v>
      </c>
      <c r="H5526" s="192">
        <v>86263.14</v>
      </c>
      <c r="I5526" s="192">
        <v>71556.679999999993</v>
      </c>
      <c r="J5526" s="192">
        <v>13275.28</v>
      </c>
      <c r="K5526" s="192">
        <v>1431.18</v>
      </c>
      <c r="L5526" s="43">
        <v>9.7899137824393989</v>
      </c>
      <c r="M5526" s="43">
        <v>11.5</v>
      </c>
      <c r="N5526" s="43">
        <v>5.3862520591075445</v>
      </c>
      <c r="O5526" s="43">
        <v>11.500040176777823</v>
      </c>
      <c r="P5526" s="193"/>
      <c r="Q5526" s="193"/>
      <c r="R5526" s="193">
        <v>4</v>
      </c>
    </row>
    <row r="5527" spans="1:18" ht="48">
      <c r="A5527" s="189">
        <v>436</v>
      </c>
      <c r="B5527" s="186" t="s">
        <v>10114</v>
      </c>
      <c r="C5527" s="190" t="s">
        <v>10115</v>
      </c>
      <c r="D5527" s="191">
        <v>10792.28</v>
      </c>
      <c r="E5527" s="191">
        <v>7627.36</v>
      </c>
      <c r="F5527" s="191">
        <v>3012.37</v>
      </c>
      <c r="G5527" s="191">
        <v>152.55000000000001</v>
      </c>
      <c r="H5527" s="192">
        <v>105694.32</v>
      </c>
      <c r="I5527" s="192">
        <v>87714.64</v>
      </c>
      <c r="J5527" s="192">
        <v>16225.35</v>
      </c>
      <c r="K5527" s="192">
        <v>1754.33</v>
      </c>
      <c r="L5527" s="43">
        <v>9.79351165833355</v>
      </c>
      <c r="M5527" s="43">
        <v>11.5</v>
      </c>
      <c r="N5527" s="43">
        <v>5.3862407340399754</v>
      </c>
      <c r="O5527" s="43">
        <v>11.500032776138969</v>
      </c>
      <c r="P5527" s="193"/>
      <c r="Q5527" s="193"/>
      <c r="R5527" s="193">
        <v>4</v>
      </c>
    </row>
    <row r="5528" spans="1:18" ht="48">
      <c r="A5528" s="189">
        <v>437</v>
      </c>
      <c r="B5528" s="186" t="s">
        <v>10116</v>
      </c>
      <c r="C5528" s="190" t="s">
        <v>10117</v>
      </c>
      <c r="D5528" s="191">
        <v>12741.62</v>
      </c>
      <c r="E5528" s="191">
        <v>9001.52</v>
      </c>
      <c r="F5528" s="191">
        <v>3560.07</v>
      </c>
      <c r="G5528" s="191">
        <v>180.03</v>
      </c>
      <c r="H5528" s="192">
        <v>124763.24</v>
      </c>
      <c r="I5528" s="192">
        <v>103517.48</v>
      </c>
      <c r="J5528" s="192">
        <v>19175.41</v>
      </c>
      <c r="K5528" s="192">
        <v>2070.35</v>
      </c>
      <c r="L5528" s="43">
        <v>9.791787857431002</v>
      </c>
      <c r="M5528" s="43">
        <v>11.499999999999998</v>
      </c>
      <c r="N5528" s="43">
        <v>5.3862452142794943</v>
      </c>
      <c r="O5528" s="43">
        <v>11.500027773148918</v>
      </c>
      <c r="P5528" s="193"/>
      <c r="Q5528" s="193"/>
      <c r="R5528" s="193">
        <v>4</v>
      </c>
    </row>
    <row r="5529" spans="1:18" ht="48">
      <c r="A5529" s="189">
        <v>438</v>
      </c>
      <c r="B5529" s="186" t="s">
        <v>10118</v>
      </c>
      <c r="C5529" s="190" t="s">
        <v>10119</v>
      </c>
      <c r="D5529" s="191">
        <v>14738.21</v>
      </c>
      <c r="E5529" s="191">
        <v>10422</v>
      </c>
      <c r="F5529" s="191">
        <v>4107.7700000000004</v>
      </c>
      <c r="G5529" s="191">
        <v>208.44</v>
      </c>
      <c r="H5529" s="192">
        <v>144375.53</v>
      </c>
      <c r="I5529" s="192">
        <v>119853</v>
      </c>
      <c r="J5529" s="192">
        <v>22125.47</v>
      </c>
      <c r="K5529" s="192">
        <v>2397.06</v>
      </c>
      <c r="L5529" s="43">
        <v>9.7960016854149856</v>
      </c>
      <c r="M5529" s="43">
        <v>11.5</v>
      </c>
      <c r="N5529" s="43">
        <v>5.3862484997942923</v>
      </c>
      <c r="O5529" s="43">
        <v>11.5</v>
      </c>
      <c r="P5529" s="193"/>
      <c r="Q5529" s="193"/>
      <c r="R5529" s="193">
        <v>4</v>
      </c>
    </row>
    <row r="5530" spans="1:18" ht="48">
      <c r="A5530" s="189">
        <v>439</v>
      </c>
      <c r="B5530" s="186" t="s">
        <v>10120</v>
      </c>
      <c r="C5530" s="190" t="s">
        <v>10121</v>
      </c>
      <c r="D5530" s="191">
        <v>16687.560000000001</v>
      </c>
      <c r="E5530" s="191">
        <v>11796.16</v>
      </c>
      <c r="F5530" s="191">
        <v>4655.4799999999996</v>
      </c>
      <c r="G5530" s="191">
        <v>235.92</v>
      </c>
      <c r="H5530" s="192">
        <v>163444.46</v>
      </c>
      <c r="I5530" s="192">
        <v>135655.84</v>
      </c>
      <c r="J5530" s="192">
        <v>25075.54</v>
      </c>
      <c r="K5530" s="192">
        <v>2713.08</v>
      </c>
      <c r="L5530" s="43">
        <v>9.7943893535064426</v>
      </c>
      <c r="M5530" s="43">
        <v>11.5</v>
      </c>
      <c r="N5530" s="43">
        <v>5.3862415905556471</v>
      </c>
      <c r="O5530" s="43">
        <v>11.5</v>
      </c>
      <c r="P5530" s="193"/>
      <c r="Q5530" s="193"/>
      <c r="R5530" s="193">
        <v>4</v>
      </c>
    </row>
    <row r="5531" spans="1:18" ht="48">
      <c r="A5531" s="189">
        <v>440</v>
      </c>
      <c r="B5531" s="186" t="s">
        <v>10122</v>
      </c>
      <c r="C5531" s="190" t="s">
        <v>10123</v>
      </c>
      <c r="D5531" s="191">
        <v>18684.150000000001</v>
      </c>
      <c r="E5531" s="191">
        <v>13216.64</v>
      </c>
      <c r="F5531" s="191">
        <v>5203.18</v>
      </c>
      <c r="G5531" s="191">
        <v>264.33</v>
      </c>
      <c r="H5531" s="192">
        <v>183056.76</v>
      </c>
      <c r="I5531" s="192">
        <v>151991.35999999999</v>
      </c>
      <c r="J5531" s="192">
        <v>28025.599999999999</v>
      </c>
      <c r="K5531" s="192">
        <v>3039.8</v>
      </c>
      <c r="L5531" s="43">
        <v>9.7974357945103208</v>
      </c>
      <c r="M5531" s="43">
        <v>11.5</v>
      </c>
      <c r="N5531" s="43">
        <v>5.3862445658232074</v>
      </c>
      <c r="O5531" s="43">
        <v>11.500018915749255</v>
      </c>
      <c r="P5531" s="193"/>
      <c r="Q5531" s="193"/>
      <c r="R5531" s="193">
        <v>4</v>
      </c>
    </row>
    <row r="5532" spans="1:18" ht="48">
      <c r="A5532" s="189">
        <v>441</v>
      </c>
      <c r="B5532" s="186" t="s">
        <v>10124</v>
      </c>
      <c r="C5532" s="190" t="s">
        <v>10125</v>
      </c>
      <c r="D5532" s="191">
        <v>20649.240000000002</v>
      </c>
      <c r="E5532" s="191">
        <v>14606.24</v>
      </c>
      <c r="F5532" s="191">
        <v>5750.88</v>
      </c>
      <c r="G5532" s="191">
        <v>292.12</v>
      </c>
      <c r="H5532" s="192">
        <v>202306.8</v>
      </c>
      <c r="I5532" s="192">
        <v>167971.76</v>
      </c>
      <c r="J5532" s="192">
        <v>30975.66</v>
      </c>
      <c r="K5532" s="192">
        <v>3359.38</v>
      </c>
      <c r="L5532" s="43">
        <v>9.7973000459096795</v>
      </c>
      <c r="M5532" s="43">
        <v>11.5</v>
      </c>
      <c r="N5532" s="43">
        <v>5.3862469743760952</v>
      </c>
      <c r="O5532" s="43">
        <v>11.5</v>
      </c>
      <c r="P5532" s="193"/>
      <c r="Q5532" s="193"/>
      <c r="R5532" s="193">
        <v>4</v>
      </c>
    </row>
    <row r="5533" spans="1:18" ht="48">
      <c r="A5533" s="189">
        <v>442</v>
      </c>
      <c r="B5533" s="186" t="s">
        <v>10126</v>
      </c>
      <c r="C5533" s="190" t="s">
        <v>10127</v>
      </c>
      <c r="D5533" s="191">
        <v>22630.1</v>
      </c>
      <c r="E5533" s="191">
        <v>16011.28</v>
      </c>
      <c r="F5533" s="191">
        <v>6298.59</v>
      </c>
      <c r="G5533" s="191">
        <v>320.23</v>
      </c>
      <c r="H5533" s="192">
        <v>221738.1</v>
      </c>
      <c r="I5533" s="192">
        <v>184129.72</v>
      </c>
      <c r="J5533" s="192">
        <v>33925.730000000003</v>
      </c>
      <c r="K5533" s="192">
        <v>3682.65</v>
      </c>
      <c r="L5533" s="43">
        <v>9.798370312106444</v>
      </c>
      <c r="M5533" s="43">
        <v>11.5</v>
      </c>
      <c r="N5533" s="43">
        <v>5.3862420001936941</v>
      </c>
      <c r="O5533" s="43">
        <v>11.500015613777597</v>
      </c>
      <c r="P5533" s="193"/>
      <c r="Q5533" s="193"/>
      <c r="R5533" s="193">
        <v>4</v>
      </c>
    </row>
    <row r="5534" spans="1:18" ht="48">
      <c r="A5534" s="189">
        <v>443</v>
      </c>
      <c r="B5534" s="186" t="s">
        <v>10128</v>
      </c>
      <c r="C5534" s="190" t="s">
        <v>10129</v>
      </c>
      <c r="D5534" s="191">
        <v>24595.19</v>
      </c>
      <c r="E5534" s="191">
        <v>17400.88</v>
      </c>
      <c r="F5534" s="191">
        <v>6846.29</v>
      </c>
      <c r="G5534" s="191">
        <v>348.02</v>
      </c>
      <c r="H5534" s="192">
        <v>240988.14</v>
      </c>
      <c r="I5534" s="192">
        <v>200110.12</v>
      </c>
      <c r="J5534" s="192">
        <v>36875.79</v>
      </c>
      <c r="K5534" s="192">
        <v>4002.23</v>
      </c>
      <c r="L5534" s="43">
        <v>9.7981816769864363</v>
      </c>
      <c r="M5534" s="43">
        <v>11.499999999999998</v>
      </c>
      <c r="N5534" s="43">
        <v>5.3862442286260155</v>
      </c>
      <c r="O5534" s="43">
        <v>11.5</v>
      </c>
      <c r="P5534" s="193"/>
      <c r="Q5534" s="193"/>
      <c r="R5534" s="193">
        <v>4</v>
      </c>
    </row>
    <row r="5535" spans="1:18" ht="12.75" customHeight="1">
      <c r="A5535" s="628" t="s">
        <v>10130</v>
      </c>
      <c r="B5535" s="629"/>
      <c r="C5535" s="629"/>
      <c r="D5535" s="629"/>
      <c r="E5535" s="629"/>
      <c r="F5535" s="629"/>
      <c r="G5535" s="629"/>
      <c r="H5535" s="629"/>
      <c r="I5535" s="629"/>
      <c r="J5535" s="629"/>
      <c r="K5535" s="629"/>
      <c r="L5535" s="629"/>
      <c r="M5535" s="629"/>
      <c r="N5535" s="629"/>
      <c r="O5535" s="629"/>
      <c r="P5535" s="629"/>
      <c r="Q5535" s="629"/>
      <c r="R5535" s="629"/>
    </row>
    <row r="5536" spans="1:18" ht="48">
      <c r="A5536" s="189">
        <v>444</v>
      </c>
      <c r="B5536" s="186" t="s">
        <v>10131</v>
      </c>
      <c r="C5536" s="190" t="s">
        <v>10132</v>
      </c>
      <c r="D5536" s="191">
        <v>13785.23</v>
      </c>
      <c r="E5536" s="191">
        <v>9742.64</v>
      </c>
      <c r="F5536" s="191">
        <v>3847.74</v>
      </c>
      <c r="G5536" s="191">
        <v>194.85</v>
      </c>
      <c r="H5536" s="192">
        <v>135006.01</v>
      </c>
      <c r="I5536" s="192">
        <v>112040.36</v>
      </c>
      <c r="J5536" s="192">
        <v>20724.87</v>
      </c>
      <c r="K5536" s="192">
        <v>2240.7800000000002</v>
      </c>
      <c r="L5536" s="43">
        <v>9.7935261145443366</v>
      </c>
      <c r="M5536" s="43">
        <v>11.5</v>
      </c>
      <c r="N5536" s="43">
        <v>5.3862449125980447</v>
      </c>
      <c r="O5536" s="43">
        <v>11.500025660764692</v>
      </c>
      <c r="P5536" s="193"/>
      <c r="Q5536" s="193"/>
      <c r="R5536" s="193">
        <v>5</v>
      </c>
    </row>
    <row r="5537" spans="1:18" ht="48">
      <c r="A5537" s="189">
        <v>445</v>
      </c>
      <c r="B5537" s="186" t="s">
        <v>10133</v>
      </c>
      <c r="C5537" s="190" t="s">
        <v>10134</v>
      </c>
      <c r="D5537" s="191">
        <v>19136.060000000001</v>
      </c>
      <c r="E5537" s="191">
        <v>13525.44</v>
      </c>
      <c r="F5537" s="191">
        <v>5340.11</v>
      </c>
      <c r="G5537" s="191">
        <v>270.51</v>
      </c>
      <c r="H5537" s="192">
        <v>187416.55</v>
      </c>
      <c r="I5537" s="192">
        <v>155542.56</v>
      </c>
      <c r="J5537" s="192">
        <v>28763.119999999999</v>
      </c>
      <c r="K5537" s="192">
        <v>3110.87</v>
      </c>
      <c r="L5537" s="43">
        <v>9.793894354428236</v>
      </c>
      <c r="M5537" s="43">
        <v>11.5</v>
      </c>
      <c r="N5537" s="43">
        <v>5.3862411073929186</v>
      </c>
      <c r="O5537" s="43">
        <v>11.500018483605043</v>
      </c>
      <c r="P5537" s="193"/>
      <c r="Q5537" s="193"/>
      <c r="R5537" s="193">
        <v>5</v>
      </c>
    </row>
    <row r="5538" spans="1:18" ht="48">
      <c r="A5538" s="189">
        <v>446</v>
      </c>
      <c r="B5538" s="186" t="s">
        <v>10135</v>
      </c>
      <c r="C5538" s="190" t="s">
        <v>10136</v>
      </c>
      <c r="D5538" s="191">
        <v>24532.19</v>
      </c>
      <c r="E5538" s="191">
        <v>17339.12</v>
      </c>
      <c r="F5538" s="191">
        <v>6846.29</v>
      </c>
      <c r="G5538" s="191">
        <v>346.78</v>
      </c>
      <c r="H5538" s="192">
        <v>240263.64</v>
      </c>
      <c r="I5538" s="192">
        <v>199399.88</v>
      </c>
      <c r="J5538" s="192">
        <v>36875.79</v>
      </c>
      <c r="K5538" s="192">
        <v>3987.97</v>
      </c>
      <c r="L5538" s="43">
        <v>9.7938113148479626</v>
      </c>
      <c r="M5538" s="43">
        <v>11.500000000000002</v>
      </c>
      <c r="N5538" s="43">
        <v>5.3862442286260155</v>
      </c>
      <c r="O5538" s="43">
        <v>11.5</v>
      </c>
      <c r="P5538" s="193"/>
      <c r="Q5538" s="193"/>
      <c r="R5538" s="193">
        <v>5</v>
      </c>
    </row>
    <row r="5539" spans="1:18" ht="48">
      <c r="A5539" s="189">
        <v>447</v>
      </c>
      <c r="B5539" s="186" t="s">
        <v>10137</v>
      </c>
      <c r="C5539" s="190" t="s">
        <v>10138</v>
      </c>
      <c r="D5539" s="191">
        <v>29928.33</v>
      </c>
      <c r="E5539" s="191">
        <v>21152.799999999999</v>
      </c>
      <c r="F5539" s="191">
        <v>8352.4699999999993</v>
      </c>
      <c r="G5539" s="191">
        <v>423.06</v>
      </c>
      <c r="H5539" s="192">
        <v>293110.84999999998</v>
      </c>
      <c r="I5539" s="192">
        <v>243257.2</v>
      </c>
      <c r="J5539" s="192">
        <v>44988.46</v>
      </c>
      <c r="K5539" s="192">
        <v>4865.1899999999996</v>
      </c>
      <c r="L5539" s="43">
        <v>9.7937589568144947</v>
      </c>
      <c r="M5539" s="43">
        <v>11.500000000000002</v>
      </c>
      <c r="N5539" s="43">
        <v>5.3862462241708142</v>
      </c>
      <c r="O5539" s="43">
        <v>11.499999999999998</v>
      </c>
      <c r="P5539" s="193"/>
      <c r="Q5539" s="193"/>
      <c r="R5539" s="193">
        <v>5</v>
      </c>
    </row>
    <row r="5540" spans="1:18" ht="48">
      <c r="A5540" s="189">
        <v>448</v>
      </c>
      <c r="B5540" s="186" t="s">
        <v>10139</v>
      </c>
      <c r="C5540" s="190" t="s">
        <v>10140</v>
      </c>
      <c r="D5540" s="191">
        <v>35308.720000000001</v>
      </c>
      <c r="E5540" s="191">
        <v>24951.040000000001</v>
      </c>
      <c r="F5540" s="191">
        <v>9858.66</v>
      </c>
      <c r="G5540" s="191">
        <v>499.02</v>
      </c>
      <c r="H5540" s="192">
        <v>345776.83</v>
      </c>
      <c r="I5540" s="192">
        <v>286936.96000000002</v>
      </c>
      <c r="J5540" s="192">
        <v>53101.14</v>
      </c>
      <c r="K5540" s="192">
        <v>5738.73</v>
      </c>
      <c r="L5540" s="43">
        <v>9.7929585099658105</v>
      </c>
      <c r="M5540" s="43">
        <v>11.5</v>
      </c>
      <c r="N5540" s="43">
        <v>5.386243160835245</v>
      </c>
      <c r="O5540" s="43">
        <v>11.5</v>
      </c>
      <c r="P5540" s="193"/>
      <c r="Q5540" s="193"/>
      <c r="R5540" s="193">
        <v>5</v>
      </c>
    </row>
    <row r="5541" spans="1:18" ht="48">
      <c r="A5541" s="189">
        <v>449</v>
      </c>
      <c r="B5541" s="186" t="s">
        <v>10141</v>
      </c>
      <c r="C5541" s="190" t="s">
        <v>10142</v>
      </c>
      <c r="D5541" s="191">
        <v>40720.6</v>
      </c>
      <c r="E5541" s="191">
        <v>28780.16</v>
      </c>
      <c r="F5541" s="191">
        <v>11364.84</v>
      </c>
      <c r="G5541" s="191">
        <v>575.6</v>
      </c>
      <c r="H5541" s="192">
        <v>398805.05</v>
      </c>
      <c r="I5541" s="192">
        <v>330971.84000000003</v>
      </c>
      <c r="J5541" s="192">
        <v>61213.81</v>
      </c>
      <c r="K5541" s="192">
        <v>6619.4</v>
      </c>
      <c r="L5541" s="43">
        <v>9.7936928728948001</v>
      </c>
      <c r="M5541" s="43">
        <v>11.500000000000002</v>
      </c>
      <c r="N5541" s="43">
        <v>5.3862447689540724</v>
      </c>
      <c r="O5541" s="43">
        <v>11.499999999999998</v>
      </c>
      <c r="P5541" s="193"/>
      <c r="Q5541" s="193"/>
      <c r="R5541" s="193">
        <v>5</v>
      </c>
    </row>
    <row r="5542" spans="1:18" ht="48">
      <c r="A5542" s="189">
        <v>450</v>
      </c>
      <c r="B5542" s="186" t="s">
        <v>10143</v>
      </c>
      <c r="C5542" s="190" t="s">
        <v>10144</v>
      </c>
      <c r="D5542" s="191">
        <v>44960.95</v>
      </c>
      <c r="E5542" s="191">
        <v>31729.200000000001</v>
      </c>
      <c r="F5542" s="191">
        <v>12597.17</v>
      </c>
      <c r="G5542" s="191">
        <v>634.58000000000004</v>
      </c>
      <c r="H5542" s="192">
        <v>440034.92</v>
      </c>
      <c r="I5542" s="192">
        <v>364885.8</v>
      </c>
      <c r="J5542" s="192">
        <v>67851.45</v>
      </c>
      <c r="K5542" s="192">
        <v>7297.67</v>
      </c>
      <c r="L5542" s="43">
        <v>9.7870467594657136</v>
      </c>
      <c r="M5542" s="43">
        <v>11.5</v>
      </c>
      <c r="N5542" s="43">
        <v>5.3862454821201906</v>
      </c>
      <c r="O5542" s="43">
        <v>11.5</v>
      </c>
      <c r="P5542" s="193"/>
      <c r="Q5542" s="193"/>
      <c r="R5542" s="193">
        <v>5</v>
      </c>
    </row>
    <row r="5543" spans="1:18" ht="24">
      <c r="A5543" s="189">
        <v>451</v>
      </c>
      <c r="B5543" s="186" t="s">
        <v>10145</v>
      </c>
      <c r="C5543" s="190" t="s">
        <v>10146</v>
      </c>
      <c r="D5543" s="191">
        <v>1073.18</v>
      </c>
      <c r="E5543" s="191">
        <v>756.56</v>
      </c>
      <c r="F5543" s="191">
        <v>301.49</v>
      </c>
      <c r="G5543" s="191">
        <v>15.13</v>
      </c>
      <c r="H5543" s="192">
        <v>10498.33</v>
      </c>
      <c r="I5543" s="192">
        <v>8700.44</v>
      </c>
      <c r="J5543" s="192">
        <v>1623.89</v>
      </c>
      <c r="K5543" s="192">
        <v>174</v>
      </c>
      <c r="L5543" s="43">
        <v>9.7824502879293309</v>
      </c>
      <c r="M5543" s="43">
        <v>11.500000000000002</v>
      </c>
      <c r="N5543" s="43">
        <v>5.3862151315134836</v>
      </c>
      <c r="O5543" s="43">
        <v>11.500330469266357</v>
      </c>
      <c r="P5543" s="193"/>
      <c r="Q5543" s="193"/>
      <c r="R5543" s="193">
        <v>5</v>
      </c>
    </row>
    <row r="5544" spans="1:18" ht="48">
      <c r="A5544" s="189">
        <v>452</v>
      </c>
      <c r="B5544" s="186" t="s">
        <v>10147</v>
      </c>
      <c r="C5544" s="190" t="s">
        <v>10148</v>
      </c>
      <c r="D5544" s="191">
        <v>12725.87</v>
      </c>
      <c r="E5544" s="191">
        <v>8986.08</v>
      </c>
      <c r="F5544" s="191">
        <v>3560.07</v>
      </c>
      <c r="G5544" s="191">
        <v>179.72</v>
      </c>
      <c r="H5544" s="192">
        <v>124582.11</v>
      </c>
      <c r="I5544" s="192">
        <v>103339.92</v>
      </c>
      <c r="J5544" s="192">
        <v>19175.41</v>
      </c>
      <c r="K5544" s="192">
        <v>2066.7800000000002</v>
      </c>
      <c r="L5544" s="43">
        <v>9.7896733189950851</v>
      </c>
      <c r="M5544" s="43">
        <v>11.5</v>
      </c>
      <c r="N5544" s="43">
        <v>5.3862452142794943</v>
      </c>
      <c r="O5544" s="43">
        <v>11.500000000000002</v>
      </c>
      <c r="P5544" s="193"/>
      <c r="Q5544" s="193"/>
      <c r="R5544" s="193">
        <v>5</v>
      </c>
    </row>
    <row r="5545" spans="1:18" ht="48">
      <c r="A5545" s="189">
        <v>453</v>
      </c>
      <c r="B5545" s="186" t="s">
        <v>10149</v>
      </c>
      <c r="C5545" s="190" t="s">
        <v>10150</v>
      </c>
      <c r="D5545" s="191">
        <v>16687.560000000001</v>
      </c>
      <c r="E5545" s="191">
        <v>11796.16</v>
      </c>
      <c r="F5545" s="191">
        <v>4655.4799999999996</v>
      </c>
      <c r="G5545" s="191">
        <v>235.92</v>
      </c>
      <c r="H5545" s="192">
        <v>163444.46</v>
      </c>
      <c r="I5545" s="192">
        <v>135655.84</v>
      </c>
      <c r="J5545" s="192">
        <v>25075.54</v>
      </c>
      <c r="K5545" s="192">
        <v>2713.08</v>
      </c>
      <c r="L5545" s="43">
        <v>9.7943893535064426</v>
      </c>
      <c r="M5545" s="43">
        <v>11.5</v>
      </c>
      <c r="N5545" s="43">
        <v>5.3862415905556471</v>
      </c>
      <c r="O5545" s="43">
        <v>11.5</v>
      </c>
      <c r="P5545" s="193"/>
      <c r="Q5545" s="193"/>
      <c r="R5545" s="193">
        <v>5</v>
      </c>
    </row>
    <row r="5546" spans="1:18" ht="48">
      <c r="A5546" s="189">
        <v>454</v>
      </c>
      <c r="B5546" s="186" t="s">
        <v>10151</v>
      </c>
      <c r="C5546" s="190" t="s">
        <v>10152</v>
      </c>
      <c r="D5546" s="191">
        <v>19394.13</v>
      </c>
      <c r="E5546" s="191">
        <v>13710.72</v>
      </c>
      <c r="F5546" s="191">
        <v>5409.2</v>
      </c>
      <c r="G5546" s="191">
        <v>274.20999999999998</v>
      </c>
      <c r="H5546" s="192">
        <v>189961.96</v>
      </c>
      <c r="I5546" s="192">
        <v>157673.28</v>
      </c>
      <c r="J5546" s="192">
        <v>29135.26</v>
      </c>
      <c r="K5546" s="192">
        <v>3153.42</v>
      </c>
      <c r="L5546" s="43">
        <v>9.7948172978112442</v>
      </c>
      <c r="M5546" s="43">
        <v>11.5</v>
      </c>
      <c r="N5546" s="43">
        <v>5.3862419581453818</v>
      </c>
      <c r="O5546" s="43">
        <v>11.500018234200066</v>
      </c>
      <c r="P5546" s="193"/>
      <c r="Q5546" s="193"/>
      <c r="R5546" s="193">
        <v>5</v>
      </c>
    </row>
    <row r="5547" spans="1:18" ht="48">
      <c r="A5547" s="189">
        <v>455</v>
      </c>
      <c r="B5547" s="186" t="s">
        <v>10153</v>
      </c>
      <c r="C5547" s="190" t="s">
        <v>10154</v>
      </c>
      <c r="D5547" s="191">
        <v>22067.95</v>
      </c>
      <c r="E5547" s="191">
        <v>15594.4</v>
      </c>
      <c r="F5547" s="191">
        <v>6161.66</v>
      </c>
      <c r="G5547" s="191">
        <v>311.89</v>
      </c>
      <c r="H5547" s="192">
        <v>216110.55</v>
      </c>
      <c r="I5547" s="192">
        <v>179335.6</v>
      </c>
      <c r="J5547" s="192">
        <v>33188.21</v>
      </c>
      <c r="K5547" s="192">
        <v>3586.74</v>
      </c>
      <c r="L5547" s="43">
        <v>9.7929599260465956</v>
      </c>
      <c r="M5547" s="43">
        <v>11.5</v>
      </c>
      <c r="N5547" s="43">
        <v>5.3862449404868169</v>
      </c>
      <c r="O5547" s="43">
        <v>11.500016031293084</v>
      </c>
      <c r="P5547" s="193"/>
      <c r="Q5547" s="193"/>
      <c r="R5547" s="193">
        <v>5</v>
      </c>
    </row>
    <row r="5548" spans="1:18" ht="48">
      <c r="A5548" s="189">
        <v>456</v>
      </c>
      <c r="B5548" s="186" t="s">
        <v>10155</v>
      </c>
      <c r="C5548" s="190" t="s">
        <v>10156</v>
      </c>
      <c r="D5548" s="191">
        <v>24774.52</v>
      </c>
      <c r="E5548" s="191">
        <v>17508.96</v>
      </c>
      <c r="F5548" s="191">
        <v>6915.38</v>
      </c>
      <c r="G5548" s="191">
        <v>350.18</v>
      </c>
      <c r="H5548" s="192">
        <v>242628.04</v>
      </c>
      <c r="I5548" s="192">
        <v>201353.04</v>
      </c>
      <c r="J5548" s="192">
        <v>37247.93</v>
      </c>
      <c r="K5548" s="192">
        <v>4027.07</v>
      </c>
      <c r="L5548" s="43">
        <v>9.7934506904674645</v>
      </c>
      <c r="M5548" s="43">
        <v>11.500000000000002</v>
      </c>
      <c r="N5548" s="43">
        <v>5.3862448628997974</v>
      </c>
      <c r="O5548" s="43">
        <v>11.5</v>
      </c>
      <c r="P5548" s="193"/>
      <c r="Q5548" s="193"/>
      <c r="R5548" s="193">
        <v>5</v>
      </c>
    </row>
    <row r="5549" spans="1:18" ht="48">
      <c r="A5549" s="189">
        <v>457</v>
      </c>
      <c r="B5549" s="186" t="s">
        <v>10157</v>
      </c>
      <c r="C5549" s="190" t="s">
        <v>10158</v>
      </c>
      <c r="D5549" s="191">
        <v>27479.83</v>
      </c>
      <c r="E5549" s="191">
        <v>19423.52</v>
      </c>
      <c r="F5549" s="191">
        <v>7667.84</v>
      </c>
      <c r="G5549" s="191">
        <v>388.47</v>
      </c>
      <c r="H5549" s="192">
        <v>269138.77</v>
      </c>
      <c r="I5549" s="192">
        <v>223370.48</v>
      </c>
      <c r="J5549" s="192">
        <v>41300.879999999997</v>
      </c>
      <c r="K5549" s="192">
        <v>4467.41</v>
      </c>
      <c r="L5549" s="43">
        <v>9.7940478525522181</v>
      </c>
      <c r="M5549" s="43">
        <v>11.5</v>
      </c>
      <c r="N5549" s="43">
        <v>5.3862469743760952</v>
      </c>
      <c r="O5549" s="43">
        <v>11.500012871006769</v>
      </c>
      <c r="P5549" s="193"/>
      <c r="Q5549" s="193"/>
      <c r="R5549" s="193">
        <v>5</v>
      </c>
    </row>
    <row r="5550" spans="1:18" ht="48">
      <c r="A5550" s="189">
        <v>458</v>
      </c>
      <c r="B5550" s="186" t="s">
        <v>10159</v>
      </c>
      <c r="C5550" s="190" t="s">
        <v>10160</v>
      </c>
      <c r="D5550" s="191">
        <v>28462.39</v>
      </c>
      <c r="E5550" s="191">
        <v>20118.32</v>
      </c>
      <c r="F5550" s="191">
        <v>7941.7</v>
      </c>
      <c r="G5550" s="191">
        <v>402.37</v>
      </c>
      <c r="H5550" s="192">
        <v>278763.86</v>
      </c>
      <c r="I5550" s="192">
        <v>231360.68</v>
      </c>
      <c r="J5550" s="192">
        <v>42775.92</v>
      </c>
      <c r="K5550" s="192">
        <v>4627.26</v>
      </c>
      <c r="L5550" s="43">
        <v>9.7941128626232725</v>
      </c>
      <c r="M5550" s="43">
        <v>11.5</v>
      </c>
      <c r="N5550" s="43">
        <v>5.3862422403263785</v>
      </c>
      <c r="O5550" s="43">
        <v>11.500012426373736</v>
      </c>
      <c r="P5550" s="193"/>
      <c r="Q5550" s="193"/>
      <c r="R5550" s="193">
        <v>5</v>
      </c>
    </row>
    <row r="5551" spans="1:18" ht="48">
      <c r="A5551" s="189">
        <v>459</v>
      </c>
      <c r="B5551" s="186" t="s">
        <v>10161</v>
      </c>
      <c r="C5551" s="190" t="s">
        <v>10162</v>
      </c>
      <c r="D5551" s="191">
        <v>38272.11</v>
      </c>
      <c r="E5551" s="191">
        <v>27050.880000000001</v>
      </c>
      <c r="F5551" s="191">
        <v>10680.21</v>
      </c>
      <c r="G5551" s="191">
        <v>541.02</v>
      </c>
      <c r="H5551" s="192">
        <v>374833.08</v>
      </c>
      <c r="I5551" s="192">
        <v>311085.12</v>
      </c>
      <c r="J5551" s="192">
        <v>57526.23</v>
      </c>
      <c r="K5551" s="192">
        <v>6221.73</v>
      </c>
      <c r="L5551" s="43">
        <v>9.7938963908705325</v>
      </c>
      <c r="M5551" s="43">
        <v>11.5</v>
      </c>
      <c r="N5551" s="43">
        <v>5.3862452142794952</v>
      </c>
      <c r="O5551" s="43">
        <v>11.5</v>
      </c>
      <c r="P5551" s="193"/>
      <c r="Q5551" s="193"/>
      <c r="R5551" s="193">
        <v>5</v>
      </c>
    </row>
    <row r="5552" spans="1:18" ht="12.75" customHeight="1">
      <c r="A5552" s="628" t="s">
        <v>10163</v>
      </c>
      <c r="B5552" s="629"/>
      <c r="C5552" s="629"/>
      <c r="D5552" s="629"/>
      <c r="E5552" s="629"/>
      <c r="F5552" s="629"/>
      <c r="G5552" s="629"/>
      <c r="H5552" s="629"/>
      <c r="I5552" s="629"/>
      <c r="J5552" s="629"/>
      <c r="K5552" s="629"/>
      <c r="L5552" s="629"/>
      <c r="M5552" s="629"/>
      <c r="N5552" s="629"/>
      <c r="O5552" s="629"/>
      <c r="P5552" s="629"/>
      <c r="Q5552" s="629"/>
      <c r="R5552" s="629"/>
    </row>
    <row r="5553" spans="1:18" ht="48">
      <c r="A5553" s="189">
        <v>460</v>
      </c>
      <c r="B5553" s="186" t="s">
        <v>10164</v>
      </c>
      <c r="C5553" s="190" t="s">
        <v>10165</v>
      </c>
      <c r="D5553" s="191">
        <v>1496.14</v>
      </c>
      <c r="E5553" s="191">
        <v>1466.8</v>
      </c>
      <c r="F5553" s="191"/>
      <c r="G5553" s="191">
        <v>29.34</v>
      </c>
      <c r="H5553" s="192">
        <v>17205.61</v>
      </c>
      <c r="I5553" s="192">
        <v>16868.2</v>
      </c>
      <c r="J5553" s="192"/>
      <c r="K5553" s="192">
        <v>337.41</v>
      </c>
      <c r="L5553" s="43">
        <v>11.5</v>
      </c>
      <c r="M5553" s="43">
        <v>11.5</v>
      </c>
      <c r="N5553" s="43" t="s">
        <v>1690</v>
      </c>
      <c r="O5553" s="43">
        <v>11.500000000000002</v>
      </c>
      <c r="P5553" s="193"/>
      <c r="Q5553" s="193"/>
      <c r="R5553" s="193">
        <v>6</v>
      </c>
    </row>
    <row r="5554" spans="1:18" ht="48">
      <c r="A5554" s="189">
        <v>461</v>
      </c>
      <c r="B5554" s="186" t="s">
        <v>10166</v>
      </c>
      <c r="C5554" s="190" t="s">
        <v>10167</v>
      </c>
      <c r="D5554" s="191">
        <v>2448.5</v>
      </c>
      <c r="E5554" s="191">
        <v>1729.28</v>
      </c>
      <c r="F5554" s="191">
        <v>684.63</v>
      </c>
      <c r="G5554" s="191">
        <v>34.590000000000003</v>
      </c>
      <c r="H5554" s="192">
        <v>23972.09</v>
      </c>
      <c r="I5554" s="192">
        <v>19886.72</v>
      </c>
      <c r="J5554" s="192">
        <v>3687.58</v>
      </c>
      <c r="K5554" s="192">
        <v>397.79</v>
      </c>
      <c r="L5554" s="43">
        <v>9.7905207269757</v>
      </c>
      <c r="M5554" s="43">
        <v>11.5</v>
      </c>
      <c r="N5554" s="43">
        <v>5.3862378218891953</v>
      </c>
      <c r="O5554" s="43">
        <v>11.500144550448105</v>
      </c>
      <c r="P5554" s="193"/>
      <c r="Q5554" s="193"/>
      <c r="R5554" s="193">
        <v>6</v>
      </c>
    </row>
    <row r="5555" spans="1:18" ht="48">
      <c r="A5555" s="189">
        <v>462</v>
      </c>
      <c r="B5555" s="186" t="s">
        <v>10168</v>
      </c>
      <c r="C5555" s="190" t="s">
        <v>10169</v>
      </c>
      <c r="D5555" s="191">
        <v>2947.64</v>
      </c>
      <c r="E5555" s="191">
        <v>2084.4</v>
      </c>
      <c r="F5555" s="191">
        <v>821.55</v>
      </c>
      <c r="G5555" s="191">
        <v>41.69</v>
      </c>
      <c r="H5555" s="192">
        <v>28875.13</v>
      </c>
      <c r="I5555" s="192">
        <v>23970.6</v>
      </c>
      <c r="J5555" s="192">
        <v>4425.09</v>
      </c>
      <c r="K5555" s="192">
        <v>479.44</v>
      </c>
      <c r="L5555" s="43">
        <v>9.7960164741963069</v>
      </c>
      <c r="M5555" s="43">
        <v>11.499999999999998</v>
      </c>
      <c r="N5555" s="43">
        <v>5.3862698557604531</v>
      </c>
      <c r="O5555" s="43">
        <v>11.500119932837611</v>
      </c>
      <c r="P5555" s="193"/>
      <c r="Q5555" s="193"/>
      <c r="R5555" s="193">
        <v>6</v>
      </c>
    </row>
    <row r="5556" spans="1:18" ht="48">
      <c r="A5556" s="189">
        <v>463</v>
      </c>
      <c r="B5556" s="186" t="s">
        <v>10170</v>
      </c>
      <c r="C5556" s="190" t="s">
        <v>10171</v>
      </c>
      <c r="D5556" s="191">
        <v>3263.6</v>
      </c>
      <c r="E5556" s="191">
        <v>2300.56</v>
      </c>
      <c r="F5556" s="191">
        <v>917.03</v>
      </c>
      <c r="G5556" s="191">
        <v>46.01</v>
      </c>
      <c r="H5556" s="192">
        <v>31924.89</v>
      </c>
      <c r="I5556" s="192">
        <v>26456.44</v>
      </c>
      <c r="J5556" s="192">
        <v>4939.33</v>
      </c>
      <c r="K5556" s="192">
        <v>529.12</v>
      </c>
      <c r="L5556" s="43">
        <v>9.7821087143032237</v>
      </c>
      <c r="M5556" s="43">
        <v>11.5</v>
      </c>
      <c r="N5556" s="43">
        <v>5.3862250962345835</v>
      </c>
      <c r="O5556" s="43">
        <v>11.500108672027821</v>
      </c>
      <c r="P5556" s="193"/>
      <c r="Q5556" s="193"/>
      <c r="R5556" s="193">
        <v>6</v>
      </c>
    </row>
    <row r="5557" spans="1:18" ht="48">
      <c r="A5557" s="189">
        <v>464</v>
      </c>
      <c r="B5557" s="186" t="s">
        <v>10172</v>
      </c>
      <c r="C5557" s="190" t="s">
        <v>10173</v>
      </c>
      <c r="D5557" s="191">
        <v>3612.3</v>
      </c>
      <c r="E5557" s="191">
        <v>2547.6</v>
      </c>
      <c r="F5557" s="191">
        <v>1013.75</v>
      </c>
      <c r="G5557" s="191">
        <v>50.95</v>
      </c>
      <c r="H5557" s="192">
        <v>35343.65</v>
      </c>
      <c r="I5557" s="192">
        <v>29297.4</v>
      </c>
      <c r="J5557" s="192">
        <v>5460.32</v>
      </c>
      <c r="K5557" s="192">
        <v>585.92999999999995</v>
      </c>
      <c r="L5557" s="43">
        <v>9.7842510311989592</v>
      </c>
      <c r="M5557" s="43">
        <v>11.500000000000002</v>
      </c>
      <c r="N5557" s="43">
        <v>5.3862589395807641</v>
      </c>
      <c r="O5557" s="43">
        <v>11.500098135426887</v>
      </c>
      <c r="P5557" s="193"/>
      <c r="Q5557" s="193"/>
      <c r="R5557" s="193">
        <v>6</v>
      </c>
    </row>
    <row r="5558" spans="1:18" ht="48">
      <c r="A5558" s="189">
        <v>465</v>
      </c>
      <c r="B5558" s="186" t="s">
        <v>10174</v>
      </c>
      <c r="C5558" s="190" t="s">
        <v>10175</v>
      </c>
      <c r="D5558" s="191">
        <v>4285.17</v>
      </c>
      <c r="E5558" s="191">
        <v>3026.24</v>
      </c>
      <c r="F5558" s="191">
        <v>1198.4100000000001</v>
      </c>
      <c r="G5558" s="191">
        <v>60.52</v>
      </c>
      <c r="H5558" s="192">
        <v>41952.69</v>
      </c>
      <c r="I5558" s="192">
        <v>34801.760000000002</v>
      </c>
      <c r="J5558" s="192">
        <v>6454.95</v>
      </c>
      <c r="K5558" s="192">
        <v>695.98</v>
      </c>
      <c r="L5558" s="43">
        <v>9.7902043559532057</v>
      </c>
      <c r="M5558" s="43">
        <v>11.500000000000002</v>
      </c>
      <c r="N5558" s="43">
        <v>5.3862617968808664</v>
      </c>
      <c r="O5558" s="43">
        <v>11.5</v>
      </c>
      <c r="P5558" s="193"/>
      <c r="Q5558" s="193"/>
      <c r="R5558" s="193">
        <v>6</v>
      </c>
    </row>
    <row r="5559" spans="1:18" ht="48">
      <c r="A5559" s="189">
        <v>466</v>
      </c>
      <c r="B5559" s="186" t="s">
        <v>10176</v>
      </c>
      <c r="C5559" s="190" t="s">
        <v>10177</v>
      </c>
      <c r="D5559" s="191">
        <v>4973.8100000000004</v>
      </c>
      <c r="E5559" s="191">
        <v>3520.32</v>
      </c>
      <c r="F5559" s="191">
        <v>1383.08</v>
      </c>
      <c r="G5559" s="191">
        <v>70.41</v>
      </c>
      <c r="H5559" s="192">
        <v>48742.99</v>
      </c>
      <c r="I5559" s="192">
        <v>40483.68</v>
      </c>
      <c r="J5559" s="192">
        <v>7449.59</v>
      </c>
      <c r="K5559" s="192">
        <v>809.72</v>
      </c>
      <c r="L5559" s="43">
        <v>9.7999300335155528</v>
      </c>
      <c r="M5559" s="43">
        <v>11.5</v>
      </c>
      <c r="N5559" s="43">
        <v>5.3862321774590045</v>
      </c>
      <c r="O5559" s="43">
        <v>11.500071012640252</v>
      </c>
      <c r="P5559" s="193"/>
      <c r="Q5559" s="193"/>
      <c r="R5559" s="193">
        <v>6</v>
      </c>
    </row>
    <row r="5560" spans="1:18" ht="48">
      <c r="A5560" s="189">
        <v>467</v>
      </c>
      <c r="B5560" s="186" t="s">
        <v>10178</v>
      </c>
      <c r="C5560" s="190" t="s">
        <v>10179</v>
      </c>
      <c r="D5560" s="191">
        <v>5638.46</v>
      </c>
      <c r="E5560" s="191">
        <v>3983.52</v>
      </c>
      <c r="F5560" s="191">
        <v>1575.27</v>
      </c>
      <c r="G5560" s="191">
        <v>79.67</v>
      </c>
      <c r="H5560" s="192">
        <v>55211.5</v>
      </c>
      <c r="I5560" s="192">
        <v>45810.48</v>
      </c>
      <c r="J5560" s="192">
        <v>8484.81</v>
      </c>
      <c r="K5560" s="192">
        <v>916.21</v>
      </c>
      <c r="L5560" s="43">
        <v>9.7919467372296687</v>
      </c>
      <c r="M5560" s="43">
        <v>11.5</v>
      </c>
      <c r="N5560" s="43">
        <v>5.3862575939362776</v>
      </c>
      <c r="O5560" s="43">
        <v>11.500062758880382</v>
      </c>
      <c r="P5560" s="193"/>
      <c r="Q5560" s="193"/>
      <c r="R5560" s="193">
        <v>6</v>
      </c>
    </row>
    <row r="5561" spans="1:18" ht="48">
      <c r="A5561" s="189">
        <v>468</v>
      </c>
      <c r="B5561" s="186" t="s">
        <v>10180</v>
      </c>
      <c r="C5561" s="190" t="s">
        <v>10181</v>
      </c>
      <c r="D5561" s="191">
        <v>1070.92</v>
      </c>
      <c r="E5561" s="191">
        <v>1049.92</v>
      </c>
      <c r="F5561" s="191"/>
      <c r="G5561" s="191">
        <v>21</v>
      </c>
      <c r="H5561" s="192">
        <v>12315.58</v>
      </c>
      <c r="I5561" s="192">
        <v>12074.08</v>
      </c>
      <c r="J5561" s="192"/>
      <c r="K5561" s="192">
        <v>241.5</v>
      </c>
      <c r="L5561" s="43">
        <v>11.5</v>
      </c>
      <c r="M5561" s="43">
        <v>11.5</v>
      </c>
      <c r="N5561" s="43" t="s">
        <v>1690</v>
      </c>
      <c r="O5561" s="43">
        <v>11.5</v>
      </c>
      <c r="P5561" s="193"/>
      <c r="Q5561" s="193"/>
      <c r="R5561" s="193">
        <v>6</v>
      </c>
    </row>
    <row r="5562" spans="1:18" ht="48">
      <c r="A5562" s="189">
        <v>469</v>
      </c>
      <c r="B5562" s="186" t="s">
        <v>10182</v>
      </c>
      <c r="C5562" s="190" t="s">
        <v>10183</v>
      </c>
      <c r="D5562" s="191">
        <v>1768.08</v>
      </c>
      <c r="E5562" s="191">
        <v>1250.6400000000001</v>
      </c>
      <c r="F5562" s="191">
        <v>492.43</v>
      </c>
      <c r="G5562" s="191">
        <v>25.01</v>
      </c>
      <c r="H5562" s="192">
        <v>17322.330000000002</v>
      </c>
      <c r="I5562" s="192">
        <v>14382.36</v>
      </c>
      <c r="J5562" s="192">
        <v>2652.35</v>
      </c>
      <c r="K5562" s="192">
        <v>287.62</v>
      </c>
      <c r="L5562" s="43">
        <v>9.7972546491109007</v>
      </c>
      <c r="M5562" s="43">
        <v>11.5</v>
      </c>
      <c r="N5562" s="43">
        <v>5.3862477915642826</v>
      </c>
      <c r="O5562" s="43">
        <v>11.500199920031987</v>
      </c>
      <c r="P5562" s="193"/>
      <c r="Q5562" s="193"/>
      <c r="R5562" s="193">
        <v>6</v>
      </c>
    </row>
    <row r="5563" spans="1:18" ht="48">
      <c r="A5563" s="189">
        <v>470</v>
      </c>
      <c r="B5563" s="186" t="s">
        <v>10184</v>
      </c>
      <c r="C5563" s="190" t="s">
        <v>10185</v>
      </c>
      <c r="D5563" s="191">
        <v>2134.11</v>
      </c>
      <c r="E5563" s="191">
        <v>1514.66</v>
      </c>
      <c r="F5563" s="191">
        <v>589.16</v>
      </c>
      <c r="G5563" s="191">
        <v>30.29</v>
      </c>
      <c r="H5563" s="192">
        <v>20940.330000000002</v>
      </c>
      <c r="I5563" s="192">
        <v>17418.64</v>
      </c>
      <c r="J5563" s="192">
        <v>3173.35</v>
      </c>
      <c r="K5563" s="192">
        <v>348.34</v>
      </c>
      <c r="L5563" s="43">
        <v>9.8122074307322489</v>
      </c>
      <c r="M5563" s="43">
        <v>11.500033010708673</v>
      </c>
      <c r="N5563" s="43">
        <v>5.3862278498200826</v>
      </c>
      <c r="O5563" s="43">
        <v>11.500165070980522</v>
      </c>
      <c r="P5563" s="193"/>
      <c r="Q5563" s="193"/>
      <c r="R5563" s="193">
        <v>6</v>
      </c>
    </row>
    <row r="5564" spans="1:18" ht="48">
      <c r="A5564" s="189">
        <v>471</v>
      </c>
      <c r="B5564" s="186" t="s">
        <v>10186</v>
      </c>
      <c r="C5564" s="190" t="s">
        <v>10187</v>
      </c>
      <c r="D5564" s="191">
        <v>2401.25</v>
      </c>
      <c r="E5564" s="191">
        <v>1682.96</v>
      </c>
      <c r="F5564" s="191">
        <v>684.63</v>
      </c>
      <c r="G5564" s="191">
        <v>33.659999999999997</v>
      </c>
      <c r="H5564" s="192">
        <v>23428.71</v>
      </c>
      <c r="I5564" s="192">
        <v>19354.04</v>
      </c>
      <c r="J5564" s="192">
        <v>3687.58</v>
      </c>
      <c r="K5564" s="192">
        <v>387.09</v>
      </c>
      <c r="L5564" s="43">
        <v>9.7568807912545541</v>
      </c>
      <c r="M5564" s="43">
        <v>11.5</v>
      </c>
      <c r="N5564" s="43">
        <v>5.3862378218891953</v>
      </c>
      <c r="O5564" s="43">
        <v>11.5</v>
      </c>
      <c r="P5564" s="193"/>
      <c r="Q5564" s="193"/>
      <c r="R5564" s="193">
        <v>6</v>
      </c>
    </row>
    <row r="5565" spans="1:18" ht="48">
      <c r="A5565" s="189">
        <v>472</v>
      </c>
      <c r="B5565" s="186" t="s">
        <v>10188</v>
      </c>
      <c r="C5565" s="190" t="s">
        <v>10189</v>
      </c>
      <c r="D5565" s="191">
        <v>2629.76</v>
      </c>
      <c r="E5565" s="191">
        <v>1852.8</v>
      </c>
      <c r="F5565" s="191">
        <v>739.9</v>
      </c>
      <c r="G5565" s="191">
        <v>37.06</v>
      </c>
      <c r="H5565" s="192">
        <v>25718.68</v>
      </c>
      <c r="I5565" s="192">
        <v>21307.200000000001</v>
      </c>
      <c r="J5565" s="192">
        <v>3985.29</v>
      </c>
      <c r="K5565" s="192">
        <v>426.19</v>
      </c>
      <c r="L5565" s="43">
        <v>9.7798582380141141</v>
      </c>
      <c r="M5565" s="43">
        <v>11.5</v>
      </c>
      <c r="N5565" s="43">
        <v>5.3862548993107175</v>
      </c>
      <c r="O5565" s="43">
        <v>11.5</v>
      </c>
      <c r="P5565" s="193"/>
      <c r="Q5565" s="193"/>
      <c r="R5565" s="193">
        <v>6</v>
      </c>
    </row>
    <row r="5566" spans="1:18" ht="48">
      <c r="A5566" s="189">
        <v>473</v>
      </c>
      <c r="B5566" s="186" t="s">
        <v>10190</v>
      </c>
      <c r="C5566" s="190" t="s">
        <v>10191</v>
      </c>
      <c r="D5566" s="191">
        <v>3128.91</v>
      </c>
      <c r="E5566" s="191">
        <v>2207.92</v>
      </c>
      <c r="F5566" s="191">
        <v>876.83</v>
      </c>
      <c r="G5566" s="191">
        <v>44.16</v>
      </c>
      <c r="H5566" s="192">
        <v>30621.73</v>
      </c>
      <c r="I5566" s="192">
        <v>25391.08</v>
      </c>
      <c r="J5566" s="192">
        <v>4722.8100000000004</v>
      </c>
      <c r="K5566" s="192">
        <v>507.84</v>
      </c>
      <c r="L5566" s="43">
        <v>9.7867084703618836</v>
      </c>
      <c r="M5566" s="43">
        <v>11.5</v>
      </c>
      <c r="N5566" s="43">
        <v>5.3862322228938337</v>
      </c>
      <c r="O5566" s="43">
        <v>11.5</v>
      </c>
      <c r="P5566" s="193"/>
      <c r="Q5566" s="193"/>
      <c r="R5566" s="193">
        <v>6</v>
      </c>
    </row>
    <row r="5567" spans="1:18" ht="48">
      <c r="A5567" s="189">
        <v>474</v>
      </c>
      <c r="B5567" s="186" t="s">
        <v>10192</v>
      </c>
      <c r="C5567" s="190" t="s">
        <v>10193</v>
      </c>
      <c r="D5567" s="191">
        <v>3598.49</v>
      </c>
      <c r="E5567" s="191">
        <v>2547.6</v>
      </c>
      <c r="F5567" s="191">
        <v>999.94</v>
      </c>
      <c r="G5567" s="191">
        <v>50.95</v>
      </c>
      <c r="H5567" s="192">
        <v>35269.230000000003</v>
      </c>
      <c r="I5567" s="192">
        <v>29297.4</v>
      </c>
      <c r="J5567" s="192">
        <v>5385.9</v>
      </c>
      <c r="K5567" s="192">
        <v>585.92999999999995</v>
      </c>
      <c r="L5567" s="43">
        <v>9.8011193583975516</v>
      </c>
      <c r="M5567" s="43">
        <v>11.500000000000002</v>
      </c>
      <c r="N5567" s="43">
        <v>5.3862231733904027</v>
      </c>
      <c r="O5567" s="43">
        <v>11.500098135426887</v>
      </c>
      <c r="P5567" s="193"/>
      <c r="Q5567" s="193"/>
      <c r="R5567" s="193">
        <v>6</v>
      </c>
    </row>
    <row r="5568" spans="1:18" ht="48">
      <c r="A5568" s="189">
        <v>475</v>
      </c>
      <c r="B5568" s="186" t="s">
        <v>10194</v>
      </c>
      <c r="C5568" s="190" t="s">
        <v>10195</v>
      </c>
      <c r="D5568" s="191">
        <v>4127.2</v>
      </c>
      <c r="E5568" s="191">
        <v>2918.16</v>
      </c>
      <c r="F5568" s="191">
        <v>1150.68</v>
      </c>
      <c r="G5568" s="191">
        <v>58.36</v>
      </c>
      <c r="H5568" s="192">
        <v>40427.82</v>
      </c>
      <c r="I5568" s="192">
        <v>33558.839999999997</v>
      </c>
      <c r="J5568" s="192">
        <v>6197.84</v>
      </c>
      <c r="K5568" s="192">
        <v>671.14</v>
      </c>
      <c r="L5568" s="43">
        <v>9.7954593913549139</v>
      </c>
      <c r="M5568" s="43">
        <v>11.5</v>
      </c>
      <c r="N5568" s="43">
        <v>5.3862411791288629</v>
      </c>
      <c r="O5568" s="43">
        <v>11.5</v>
      </c>
      <c r="P5568" s="193"/>
      <c r="Q5568" s="193"/>
      <c r="R5568" s="193">
        <v>6</v>
      </c>
    </row>
    <row r="5569" spans="1:18" ht="48">
      <c r="A5569" s="189">
        <v>476</v>
      </c>
      <c r="B5569" s="186" t="s">
        <v>10196</v>
      </c>
      <c r="C5569" s="190" t="s">
        <v>10197</v>
      </c>
      <c r="D5569" s="191">
        <v>551.21</v>
      </c>
      <c r="E5569" s="191">
        <v>540.4</v>
      </c>
      <c r="F5569" s="191"/>
      <c r="G5569" s="191">
        <v>10.81</v>
      </c>
      <c r="H5569" s="192">
        <v>6338.92</v>
      </c>
      <c r="I5569" s="192">
        <v>6214.6</v>
      </c>
      <c r="J5569" s="192"/>
      <c r="K5569" s="192">
        <v>124.32</v>
      </c>
      <c r="L5569" s="43">
        <v>11.500009070952993</v>
      </c>
      <c r="M5569" s="43">
        <v>11.500000000000002</v>
      </c>
      <c r="N5569" s="43" t="s">
        <v>1690</v>
      </c>
      <c r="O5569" s="43">
        <v>11.500462534690101</v>
      </c>
      <c r="P5569" s="193"/>
      <c r="Q5569" s="193"/>
      <c r="R5569" s="193">
        <v>6</v>
      </c>
    </row>
    <row r="5570" spans="1:18" ht="48">
      <c r="A5570" s="189">
        <v>477</v>
      </c>
      <c r="B5570" s="186" t="s">
        <v>10198</v>
      </c>
      <c r="C5570" s="190" t="s">
        <v>10199</v>
      </c>
      <c r="D5570" s="191">
        <v>898.22</v>
      </c>
      <c r="E5570" s="191">
        <v>639.22</v>
      </c>
      <c r="F5570" s="191">
        <v>246.22</v>
      </c>
      <c r="G5570" s="191">
        <v>12.78</v>
      </c>
      <c r="H5570" s="192">
        <v>8824.1299999999992</v>
      </c>
      <c r="I5570" s="192">
        <v>7350.98</v>
      </c>
      <c r="J5570" s="192">
        <v>1326.18</v>
      </c>
      <c r="K5570" s="192">
        <v>146.97</v>
      </c>
      <c r="L5570" s="43">
        <v>9.8240186145933048</v>
      </c>
      <c r="M5570" s="43">
        <v>11.49992177966897</v>
      </c>
      <c r="N5570" s="43">
        <v>5.3861587198440422</v>
      </c>
      <c r="O5570" s="43">
        <v>11.5</v>
      </c>
      <c r="P5570" s="193"/>
      <c r="Q5570" s="193"/>
      <c r="R5570" s="193">
        <v>6</v>
      </c>
    </row>
    <row r="5571" spans="1:18" ht="48">
      <c r="A5571" s="189">
        <v>478</v>
      </c>
      <c r="B5571" s="186" t="s">
        <v>10200</v>
      </c>
      <c r="C5571" s="190" t="s">
        <v>10201</v>
      </c>
      <c r="D5571" s="191">
        <v>1074.75</v>
      </c>
      <c r="E5571" s="191">
        <v>758.1</v>
      </c>
      <c r="F5571" s="191">
        <v>301.49</v>
      </c>
      <c r="G5571" s="191">
        <v>15.16</v>
      </c>
      <c r="H5571" s="192">
        <v>10516.43</v>
      </c>
      <c r="I5571" s="192">
        <v>8718.2000000000007</v>
      </c>
      <c r="J5571" s="192">
        <v>1623.89</v>
      </c>
      <c r="K5571" s="192">
        <v>174.34</v>
      </c>
      <c r="L5571" s="43">
        <v>9.7850011630611782</v>
      </c>
      <c r="M5571" s="43">
        <v>11.500065954359584</v>
      </c>
      <c r="N5571" s="43">
        <v>5.3862151315134836</v>
      </c>
      <c r="O5571" s="43">
        <v>11.5</v>
      </c>
      <c r="P5571" s="193"/>
      <c r="Q5571" s="193"/>
      <c r="R5571" s="193">
        <v>6</v>
      </c>
    </row>
    <row r="5572" spans="1:18" ht="48">
      <c r="A5572" s="189">
        <v>479</v>
      </c>
      <c r="B5572" s="186" t="s">
        <v>10202</v>
      </c>
      <c r="C5572" s="190" t="s">
        <v>10203</v>
      </c>
      <c r="D5572" s="191">
        <v>1201.25</v>
      </c>
      <c r="E5572" s="191">
        <v>841.48</v>
      </c>
      <c r="F5572" s="191">
        <v>342.94</v>
      </c>
      <c r="G5572" s="191">
        <v>16.829999999999998</v>
      </c>
      <c r="H5572" s="192">
        <v>11717.74</v>
      </c>
      <c r="I5572" s="192">
        <v>9677.02</v>
      </c>
      <c r="J5572" s="192">
        <v>1847.17</v>
      </c>
      <c r="K5572" s="192">
        <v>193.55</v>
      </c>
      <c r="L5572" s="43">
        <v>9.7546222684703441</v>
      </c>
      <c r="M5572" s="43">
        <v>11.5</v>
      </c>
      <c r="N5572" s="43">
        <v>5.3862774829416225</v>
      </c>
      <c r="O5572" s="43">
        <v>11.500297088532385</v>
      </c>
      <c r="P5572" s="193"/>
      <c r="Q5572" s="193"/>
      <c r="R5572" s="193">
        <v>6</v>
      </c>
    </row>
    <row r="5573" spans="1:18" ht="48">
      <c r="A5573" s="189">
        <v>480</v>
      </c>
      <c r="B5573" s="186" t="s">
        <v>10204</v>
      </c>
      <c r="C5573" s="190" t="s">
        <v>10205</v>
      </c>
      <c r="D5573" s="191">
        <v>1330</v>
      </c>
      <c r="E5573" s="191">
        <v>941.84</v>
      </c>
      <c r="F5573" s="191">
        <v>369.32</v>
      </c>
      <c r="G5573" s="191">
        <v>18.84</v>
      </c>
      <c r="H5573" s="192">
        <v>13037.08</v>
      </c>
      <c r="I5573" s="192">
        <v>10831.16</v>
      </c>
      <c r="J5573" s="192">
        <v>1989.26</v>
      </c>
      <c r="K5573" s="192">
        <v>216.66</v>
      </c>
      <c r="L5573" s="43">
        <v>9.8023157894736848</v>
      </c>
      <c r="M5573" s="43">
        <v>11.5</v>
      </c>
      <c r="N5573" s="43">
        <v>5.3862774829416225</v>
      </c>
      <c r="O5573" s="43">
        <v>11.5</v>
      </c>
      <c r="P5573" s="193"/>
      <c r="Q5573" s="193"/>
      <c r="R5573" s="193">
        <v>6</v>
      </c>
    </row>
    <row r="5574" spans="1:18" ht="48">
      <c r="A5574" s="189">
        <v>481</v>
      </c>
      <c r="B5574" s="186" t="s">
        <v>10206</v>
      </c>
      <c r="C5574" s="190" t="s">
        <v>10207</v>
      </c>
      <c r="D5574" s="191">
        <v>1570.75</v>
      </c>
      <c r="E5574" s="191">
        <v>1110.1400000000001</v>
      </c>
      <c r="F5574" s="191">
        <v>438.41</v>
      </c>
      <c r="G5574" s="191">
        <v>22.2</v>
      </c>
      <c r="H5574" s="192">
        <v>15383.26</v>
      </c>
      <c r="I5574" s="192">
        <v>12766.56</v>
      </c>
      <c r="J5574" s="192">
        <v>2361.4</v>
      </c>
      <c r="K5574" s="192">
        <v>255.3</v>
      </c>
      <c r="L5574" s="43">
        <v>9.7935763170459964</v>
      </c>
      <c r="M5574" s="43">
        <v>11.499954960635595</v>
      </c>
      <c r="N5574" s="43">
        <v>5.3862822472115139</v>
      </c>
      <c r="O5574" s="43">
        <v>11.5</v>
      </c>
      <c r="P5574" s="193"/>
      <c r="Q5574" s="193"/>
      <c r="R5574" s="193">
        <v>6</v>
      </c>
    </row>
    <row r="5575" spans="1:18" ht="48">
      <c r="A5575" s="189">
        <v>482</v>
      </c>
      <c r="B5575" s="186" t="s">
        <v>10208</v>
      </c>
      <c r="C5575" s="190" t="s">
        <v>10209</v>
      </c>
      <c r="D5575" s="191">
        <v>1824.07</v>
      </c>
      <c r="E5575" s="191">
        <v>1278.43</v>
      </c>
      <c r="F5575" s="191">
        <v>520.07000000000005</v>
      </c>
      <c r="G5575" s="191">
        <v>25.57</v>
      </c>
      <c r="H5575" s="192">
        <v>17797.240000000002</v>
      </c>
      <c r="I5575" s="192">
        <v>14701.97</v>
      </c>
      <c r="J5575" s="192">
        <v>2801.21</v>
      </c>
      <c r="K5575" s="192">
        <v>294.06</v>
      </c>
      <c r="L5575" s="43">
        <v>9.7568843300969821</v>
      </c>
      <c r="M5575" s="43">
        <v>11.500019555235717</v>
      </c>
      <c r="N5575" s="43">
        <v>5.3862172399869248</v>
      </c>
      <c r="O5575" s="43">
        <v>11.500195541650372</v>
      </c>
      <c r="P5575" s="193"/>
      <c r="Q5575" s="193"/>
      <c r="R5575" s="193">
        <v>6</v>
      </c>
    </row>
    <row r="5576" spans="1:18" ht="48">
      <c r="A5576" s="189">
        <v>483</v>
      </c>
      <c r="B5576" s="186" t="s">
        <v>10210</v>
      </c>
      <c r="C5576" s="190" t="s">
        <v>10211</v>
      </c>
      <c r="D5576" s="191">
        <v>2064.8200000000002</v>
      </c>
      <c r="E5576" s="191">
        <v>1446.73</v>
      </c>
      <c r="F5576" s="191">
        <v>589.16</v>
      </c>
      <c r="G5576" s="191">
        <v>28.93</v>
      </c>
      <c r="H5576" s="192">
        <v>20143.419999999998</v>
      </c>
      <c r="I5576" s="192">
        <v>16637.37</v>
      </c>
      <c r="J5576" s="192">
        <v>3173.35</v>
      </c>
      <c r="K5576" s="192">
        <v>332.7</v>
      </c>
      <c r="L5576" s="43">
        <v>9.7555331699615451</v>
      </c>
      <c r="M5576" s="43">
        <v>11.499982719650522</v>
      </c>
      <c r="N5576" s="43">
        <v>5.3862278498200826</v>
      </c>
      <c r="O5576" s="43">
        <v>11.50017283097131</v>
      </c>
      <c r="P5576" s="193"/>
      <c r="Q5576" s="193"/>
      <c r="R5576" s="193">
        <v>6</v>
      </c>
    </row>
    <row r="5577" spans="1:18" ht="12.75" customHeight="1">
      <c r="A5577" s="628" t="s">
        <v>10212</v>
      </c>
      <c r="B5577" s="629"/>
      <c r="C5577" s="629"/>
      <c r="D5577" s="629"/>
      <c r="E5577" s="629"/>
      <c r="F5577" s="629"/>
      <c r="G5577" s="629"/>
      <c r="H5577" s="629"/>
      <c r="I5577" s="629"/>
      <c r="J5577" s="629"/>
      <c r="K5577" s="629"/>
      <c r="L5577" s="629"/>
      <c r="M5577" s="629"/>
      <c r="N5577" s="629"/>
      <c r="O5577" s="629"/>
      <c r="P5577" s="629"/>
      <c r="Q5577" s="629"/>
      <c r="R5577" s="629"/>
    </row>
    <row r="5578" spans="1:18" ht="48">
      <c r="A5578" s="189">
        <v>484</v>
      </c>
      <c r="B5578" s="186" t="s">
        <v>10213</v>
      </c>
      <c r="C5578" s="190" t="s">
        <v>10214</v>
      </c>
      <c r="D5578" s="191">
        <v>165.36</v>
      </c>
      <c r="E5578" s="191">
        <v>162.12</v>
      </c>
      <c r="F5578" s="191"/>
      <c r="G5578" s="191">
        <v>3.24</v>
      </c>
      <c r="H5578" s="192">
        <v>1901.64</v>
      </c>
      <c r="I5578" s="192">
        <v>1864.38</v>
      </c>
      <c r="J5578" s="192"/>
      <c r="K5578" s="192">
        <v>37.26</v>
      </c>
      <c r="L5578" s="43">
        <v>11.5</v>
      </c>
      <c r="M5578" s="43">
        <v>11.5</v>
      </c>
      <c r="N5578" s="43" t="s">
        <v>1690</v>
      </c>
      <c r="O5578" s="43">
        <v>11.499999999999998</v>
      </c>
      <c r="P5578" s="193"/>
      <c r="Q5578" s="193"/>
      <c r="R5578" s="193">
        <v>7</v>
      </c>
    </row>
    <row r="5579" spans="1:18" ht="48">
      <c r="A5579" s="189">
        <v>485</v>
      </c>
      <c r="B5579" s="186" t="s">
        <v>10215</v>
      </c>
      <c r="C5579" s="190" t="s">
        <v>10216</v>
      </c>
      <c r="D5579" s="191">
        <v>367.59</v>
      </c>
      <c r="E5579" s="191">
        <v>259.39</v>
      </c>
      <c r="F5579" s="191">
        <v>103.01</v>
      </c>
      <c r="G5579" s="191">
        <v>5.19</v>
      </c>
      <c r="H5579" s="192">
        <v>3597.53</v>
      </c>
      <c r="I5579" s="192">
        <v>2983.01</v>
      </c>
      <c r="J5579" s="192">
        <v>554.83000000000004</v>
      </c>
      <c r="K5579" s="192">
        <v>59.69</v>
      </c>
      <c r="L5579" s="43">
        <v>9.7868005114393775</v>
      </c>
      <c r="M5579" s="43">
        <v>11.500096379968388</v>
      </c>
      <c r="N5579" s="43">
        <v>5.3861760994078249</v>
      </c>
      <c r="O5579" s="43">
        <v>11.5009633911368</v>
      </c>
      <c r="P5579" s="193"/>
      <c r="Q5579" s="193"/>
      <c r="R5579" s="193">
        <v>7</v>
      </c>
    </row>
    <row r="5580" spans="1:18" ht="48">
      <c r="A5580" s="189">
        <v>486</v>
      </c>
      <c r="B5580" s="186" t="s">
        <v>10217</v>
      </c>
      <c r="C5580" s="190" t="s">
        <v>10218</v>
      </c>
      <c r="D5580" s="191">
        <v>467.67</v>
      </c>
      <c r="E5580" s="191">
        <v>330.42</v>
      </c>
      <c r="F5580" s="191">
        <v>130.63999999999999</v>
      </c>
      <c r="G5580" s="191">
        <v>6.61</v>
      </c>
      <c r="H5580" s="192">
        <v>4579.4799999999996</v>
      </c>
      <c r="I5580" s="192">
        <v>3799.78</v>
      </c>
      <c r="J5580" s="192">
        <v>703.68</v>
      </c>
      <c r="K5580" s="192">
        <v>76.02</v>
      </c>
      <c r="L5580" s="43">
        <v>9.7921183740671829</v>
      </c>
      <c r="M5580" s="43">
        <v>11.499848677440832</v>
      </c>
      <c r="N5580" s="43">
        <v>5.3864053888548682</v>
      </c>
      <c r="O5580" s="43">
        <v>11.500756429652041</v>
      </c>
      <c r="P5580" s="193"/>
      <c r="Q5580" s="193"/>
      <c r="R5580" s="193">
        <v>7</v>
      </c>
    </row>
    <row r="5581" spans="1:18" ht="48">
      <c r="A5581" s="189">
        <v>487</v>
      </c>
      <c r="B5581" s="186" t="s">
        <v>10219</v>
      </c>
      <c r="C5581" s="190" t="s">
        <v>10220</v>
      </c>
      <c r="D5581" s="191">
        <v>563.35</v>
      </c>
      <c r="E5581" s="191">
        <v>398.35</v>
      </c>
      <c r="F5581" s="191">
        <v>157.03</v>
      </c>
      <c r="G5581" s="191">
        <v>7.97</v>
      </c>
      <c r="H5581" s="192">
        <v>5518.49</v>
      </c>
      <c r="I5581" s="192">
        <v>4581.05</v>
      </c>
      <c r="J5581" s="192">
        <v>845.78</v>
      </c>
      <c r="K5581" s="192">
        <v>91.66</v>
      </c>
      <c r="L5581" s="43">
        <v>9.7958462767373735</v>
      </c>
      <c r="M5581" s="43">
        <v>11.500062758880381</v>
      </c>
      <c r="N5581" s="43">
        <v>5.3861045660064955</v>
      </c>
      <c r="O5581" s="43">
        <v>11.500627352572145</v>
      </c>
      <c r="P5581" s="193"/>
      <c r="Q5581" s="193"/>
      <c r="R5581" s="193">
        <v>7</v>
      </c>
    </row>
    <row r="5582" spans="1:18" ht="48">
      <c r="A5582" s="189">
        <v>488</v>
      </c>
      <c r="B5582" s="186" t="s">
        <v>10221</v>
      </c>
      <c r="C5582" s="190" t="s">
        <v>10222</v>
      </c>
      <c r="D5582" s="191">
        <v>686.72</v>
      </c>
      <c r="E5582" s="191">
        <v>484.82</v>
      </c>
      <c r="F5582" s="191">
        <v>192.2</v>
      </c>
      <c r="G5582" s="191">
        <v>9.6999999999999993</v>
      </c>
      <c r="H5582" s="192">
        <v>6722.16</v>
      </c>
      <c r="I5582" s="192">
        <v>5575.38</v>
      </c>
      <c r="J5582" s="192">
        <v>1035.23</v>
      </c>
      <c r="K5582" s="192">
        <v>111.55</v>
      </c>
      <c r="L5582" s="43">
        <v>9.7887931034482758</v>
      </c>
      <c r="M5582" s="43">
        <v>11.49989686894105</v>
      </c>
      <c r="N5582" s="43">
        <v>5.3862122788761715</v>
      </c>
      <c r="O5582" s="43">
        <v>11.5</v>
      </c>
      <c r="P5582" s="193"/>
      <c r="Q5582" s="193"/>
      <c r="R5582" s="193">
        <v>7</v>
      </c>
    </row>
    <row r="5583" spans="1:18" ht="48">
      <c r="A5583" s="189">
        <v>489</v>
      </c>
      <c r="B5583" s="186" t="s">
        <v>10223</v>
      </c>
      <c r="C5583" s="190" t="s">
        <v>10224</v>
      </c>
      <c r="D5583" s="191">
        <v>783.97</v>
      </c>
      <c r="E5583" s="191">
        <v>554.29999999999995</v>
      </c>
      <c r="F5583" s="191">
        <v>218.58</v>
      </c>
      <c r="G5583" s="191">
        <v>11.09</v>
      </c>
      <c r="H5583" s="192">
        <v>7679.26</v>
      </c>
      <c r="I5583" s="192">
        <v>6374.4</v>
      </c>
      <c r="J5583" s="192">
        <v>1177.32</v>
      </c>
      <c r="K5583" s="192">
        <v>127.54</v>
      </c>
      <c r="L5583" s="43">
        <v>9.7953493118359116</v>
      </c>
      <c r="M5583" s="43">
        <v>11.499909796139274</v>
      </c>
      <c r="N5583" s="43">
        <v>5.3862201482294809</v>
      </c>
      <c r="O5583" s="43">
        <v>11.500450856627593</v>
      </c>
      <c r="P5583" s="193"/>
      <c r="Q5583" s="193"/>
      <c r="R5583" s="193">
        <v>7</v>
      </c>
    </row>
    <row r="5584" spans="1:18" ht="48">
      <c r="A5584" s="189">
        <v>490</v>
      </c>
      <c r="B5584" s="186" t="s">
        <v>10225</v>
      </c>
      <c r="C5584" s="190" t="s">
        <v>10226</v>
      </c>
      <c r="D5584" s="191">
        <v>905.75</v>
      </c>
      <c r="E5584" s="191">
        <v>639.22</v>
      </c>
      <c r="F5584" s="191">
        <v>253.75</v>
      </c>
      <c r="G5584" s="191">
        <v>12.78</v>
      </c>
      <c r="H5584" s="192">
        <v>8864.7199999999993</v>
      </c>
      <c r="I5584" s="192">
        <v>7350.98</v>
      </c>
      <c r="J5584" s="192">
        <v>1366.77</v>
      </c>
      <c r="K5584" s="192">
        <v>146.97</v>
      </c>
      <c r="L5584" s="43">
        <v>9.7871598123102395</v>
      </c>
      <c r="M5584" s="43">
        <v>11.49992177966897</v>
      </c>
      <c r="N5584" s="43">
        <v>5.3862857142857141</v>
      </c>
      <c r="O5584" s="43">
        <v>11.5</v>
      </c>
      <c r="P5584" s="193"/>
      <c r="Q5584" s="193"/>
      <c r="R5584" s="193">
        <v>7</v>
      </c>
    </row>
    <row r="5585" spans="1:18" ht="48">
      <c r="A5585" s="189">
        <v>491</v>
      </c>
      <c r="B5585" s="186" t="s">
        <v>10227</v>
      </c>
      <c r="C5585" s="190" t="s">
        <v>10228</v>
      </c>
      <c r="D5585" s="191">
        <v>1001.42</v>
      </c>
      <c r="E5585" s="191">
        <v>707.15</v>
      </c>
      <c r="F5585" s="191">
        <v>280.13</v>
      </c>
      <c r="G5585" s="191">
        <v>14.14</v>
      </c>
      <c r="H5585" s="192">
        <v>9803.7199999999993</v>
      </c>
      <c r="I5585" s="192">
        <v>8132.25</v>
      </c>
      <c r="J5585" s="192">
        <v>1508.86</v>
      </c>
      <c r="K5585" s="192">
        <v>162.61000000000001</v>
      </c>
      <c r="L5585" s="43">
        <v>9.7898184577899379</v>
      </c>
      <c r="M5585" s="43">
        <v>11.500035353178252</v>
      </c>
      <c r="N5585" s="43">
        <v>5.3862849391354013</v>
      </c>
      <c r="O5585" s="43">
        <v>11.5</v>
      </c>
      <c r="P5585" s="193"/>
      <c r="Q5585" s="193"/>
      <c r="R5585" s="193">
        <v>7</v>
      </c>
    </row>
    <row r="5586" spans="1:18" ht="48">
      <c r="A5586" s="189">
        <v>492</v>
      </c>
      <c r="B5586" s="186" t="s">
        <v>10229</v>
      </c>
      <c r="C5586" s="190" t="s">
        <v>10230</v>
      </c>
      <c r="D5586" s="191">
        <v>1096.78</v>
      </c>
      <c r="E5586" s="191">
        <v>773.54</v>
      </c>
      <c r="F5586" s="191">
        <v>307.77</v>
      </c>
      <c r="G5586" s="191">
        <v>15.47</v>
      </c>
      <c r="H5586" s="192">
        <v>10731.39</v>
      </c>
      <c r="I5586" s="192">
        <v>8895.76</v>
      </c>
      <c r="J5586" s="192">
        <v>1657.72</v>
      </c>
      <c r="K5586" s="192">
        <v>177.91</v>
      </c>
      <c r="L5586" s="43">
        <v>9.7844508470249281</v>
      </c>
      <c r="M5586" s="43">
        <v>11.500064637898493</v>
      </c>
      <c r="N5586" s="43">
        <v>5.3862299769308253</v>
      </c>
      <c r="O5586" s="43">
        <v>11.500323206205559</v>
      </c>
      <c r="P5586" s="193"/>
      <c r="Q5586" s="193"/>
      <c r="R5586" s="193">
        <v>7</v>
      </c>
    </row>
    <row r="5587" spans="1:18" ht="48">
      <c r="A5587" s="189">
        <v>493</v>
      </c>
      <c r="B5587" s="186" t="s">
        <v>10231</v>
      </c>
      <c r="C5587" s="190" t="s">
        <v>10232</v>
      </c>
      <c r="D5587" s="191">
        <v>1218.57</v>
      </c>
      <c r="E5587" s="191">
        <v>858.46</v>
      </c>
      <c r="F5587" s="191">
        <v>342.94</v>
      </c>
      <c r="G5587" s="191">
        <v>17.170000000000002</v>
      </c>
      <c r="H5587" s="192">
        <v>11916.97</v>
      </c>
      <c r="I5587" s="192">
        <v>9872.34</v>
      </c>
      <c r="J5587" s="192">
        <v>1847.17</v>
      </c>
      <c r="K5587" s="192">
        <v>197.46</v>
      </c>
      <c r="L5587" s="43">
        <v>9.7794710193095185</v>
      </c>
      <c r="M5587" s="43">
        <v>11.500058243831978</v>
      </c>
      <c r="N5587" s="43">
        <v>5.3862774829416225</v>
      </c>
      <c r="O5587" s="43">
        <v>11.500291205591147</v>
      </c>
      <c r="P5587" s="193"/>
      <c r="Q5587" s="193"/>
      <c r="R5587" s="193">
        <v>7</v>
      </c>
    </row>
    <row r="5588" spans="1:18" ht="48">
      <c r="A5588" s="189">
        <v>494</v>
      </c>
      <c r="B5588" s="186" t="s">
        <v>10233</v>
      </c>
      <c r="C5588" s="190" t="s">
        <v>10234</v>
      </c>
      <c r="D5588" s="191">
        <v>1344.17</v>
      </c>
      <c r="E5588" s="191">
        <v>955.74</v>
      </c>
      <c r="F5588" s="191">
        <v>369.32</v>
      </c>
      <c r="G5588" s="191">
        <v>19.11</v>
      </c>
      <c r="H5588" s="192">
        <v>13199.99</v>
      </c>
      <c r="I5588" s="192">
        <v>10990.96</v>
      </c>
      <c r="J5588" s="192">
        <v>1989.26</v>
      </c>
      <c r="K5588" s="192">
        <v>219.77</v>
      </c>
      <c r="L5588" s="43">
        <v>9.8201789952163789</v>
      </c>
      <c r="M5588" s="43">
        <v>11.499947684516709</v>
      </c>
      <c r="N5588" s="43">
        <v>5.3862774829416225</v>
      </c>
      <c r="O5588" s="43">
        <v>11.500261643118787</v>
      </c>
      <c r="P5588" s="193"/>
      <c r="Q5588" s="193"/>
      <c r="R5588" s="193">
        <v>7</v>
      </c>
    </row>
    <row r="5589" spans="1:18" ht="60">
      <c r="A5589" s="189">
        <v>495</v>
      </c>
      <c r="B5589" s="186" t="s">
        <v>10235</v>
      </c>
      <c r="C5589" s="190" t="s">
        <v>10236</v>
      </c>
      <c r="D5589" s="191">
        <v>5653.82</v>
      </c>
      <c r="E5589" s="191">
        <v>5542.96</v>
      </c>
      <c r="F5589" s="191"/>
      <c r="G5589" s="191">
        <v>110.86</v>
      </c>
      <c r="H5589" s="192">
        <v>65018.93</v>
      </c>
      <c r="I5589" s="192">
        <v>63744.04</v>
      </c>
      <c r="J5589" s="192"/>
      <c r="K5589" s="192">
        <v>1274.8900000000001</v>
      </c>
      <c r="L5589" s="43">
        <v>11.5</v>
      </c>
      <c r="M5589" s="43">
        <v>11.5</v>
      </c>
      <c r="N5589" s="43" t="s">
        <v>1690</v>
      </c>
      <c r="O5589" s="43">
        <v>11.500000000000002</v>
      </c>
      <c r="P5589" s="193"/>
      <c r="Q5589" s="193"/>
      <c r="R5589" s="193">
        <v>7</v>
      </c>
    </row>
    <row r="5590" spans="1:18" ht="60">
      <c r="A5590" s="189">
        <v>496</v>
      </c>
      <c r="B5590" s="186" t="s">
        <v>10237</v>
      </c>
      <c r="C5590" s="190" t="s">
        <v>10238</v>
      </c>
      <c r="D5590" s="191">
        <v>6803.48</v>
      </c>
      <c r="E5590" s="191">
        <v>6670.08</v>
      </c>
      <c r="F5590" s="191"/>
      <c r="G5590" s="191">
        <v>133.4</v>
      </c>
      <c r="H5590" s="192">
        <v>78240.02</v>
      </c>
      <c r="I5590" s="192">
        <v>76705.919999999998</v>
      </c>
      <c r="J5590" s="192"/>
      <c r="K5590" s="192">
        <v>1534.1</v>
      </c>
      <c r="L5590" s="43">
        <v>11.500000000000002</v>
      </c>
      <c r="M5590" s="43">
        <v>11.5</v>
      </c>
      <c r="N5590" s="43" t="s">
        <v>1690</v>
      </c>
      <c r="O5590" s="43">
        <v>11.499999999999998</v>
      </c>
      <c r="P5590" s="193"/>
      <c r="Q5590" s="193"/>
      <c r="R5590" s="193">
        <v>7</v>
      </c>
    </row>
    <row r="5591" spans="1:18" ht="60">
      <c r="A5591" s="189">
        <v>497</v>
      </c>
      <c r="B5591" s="186" t="s">
        <v>10239</v>
      </c>
      <c r="C5591" s="190" t="s">
        <v>10240</v>
      </c>
      <c r="D5591" s="191">
        <v>9323.2900000000009</v>
      </c>
      <c r="E5591" s="191">
        <v>9140.48</v>
      </c>
      <c r="F5591" s="191"/>
      <c r="G5591" s="191">
        <v>182.81</v>
      </c>
      <c r="H5591" s="192">
        <v>107217.84</v>
      </c>
      <c r="I5591" s="192">
        <v>105115.52</v>
      </c>
      <c r="J5591" s="192"/>
      <c r="K5591" s="192">
        <v>2102.3200000000002</v>
      </c>
      <c r="L5591" s="43">
        <v>11.500000536291372</v>
      </c>
      <c r="M5591" s="43">
        <v>11.500000000000002</v>
      </c>
      <c r="N5591" s="43" t="s">
        <v>1690</v>
      </c>
      <c r="O5591" s="43">
        <v>11.500027350801378</v>
      </c>
      <c r="P5591" s="193"/>
      <c r="Q5591" s="193"/>
      <c r="R5591" s="193">
        <v>7</v>
      </c>
    </row>
    <row r="5592" spans="1:18" ht="60">
      <c r="A5592" s="189">
        <v>498</v>
      </c>
      <c r="B5592" s="186" t="s">
        <v>10241</v>
      </c>
      <c r="C5592" s="190" t="s">
        <v>10242</v>
      </c>
      <c r="D5592" s="191">
        <v>11512.37</v>
      </c>
      <c r="E5592" s="191">
        <v>11286.64</v>
      </c>
      <c r="F5592" s="191"/>
      <c r="G5592" s="191">
        <v>225.73</v>
      </c>
      <c r="H5592" s="192">
        <v>132392.26</v>
      </c>
      <c r="I5592" s="192">
        <v>129796.36</v>
      </c>
      <c r="J5592" s="192"/>
      <c r="K5592" s="192">
        <v>2595.9</v>
      </c>
      <c r="L5592" s="43">
        <v>11.500000434315437</v>
      </c>
      <c r="M5592" s="43">
        <v>11.5</v>
      </c>
      <c r="N5592" s="43" t="s">
        <v>1690</v>
      </c>
      <c r="O5592" s="43">
        <v>11.500022150356621</v>
      </c>
      <c r="P5592" s="193"/>
      <c r="Q5592" s="193"/>
      <c r="R5592" s="193">
        <v>7</v>
      </c>
    </row>
    <row r="5593" spans="1:18" ht="60">
      <c r="A5593" s="189">
        <v>499</v>
      </c>
      <c r="B5593" s="186" t="s">
        <v>10243</v>
      </c>
      <c r="C5593" s="190" t="s">
        <v>10244</v>
      </c>
      <c r="D5593" s="191">
        <v>13953.44</v>
      </c>
      <c r="E5593" s="191">
        <v>13679.84</v>
      </c>
      <c r="F5593" s="191"/>
      <c r="G5593" s="191">
        <v>273.60000000000002</v>
      </c>
      <c r="H5593" s="192">
        <v>160464.56</v>
      </c>
      <c r="I5593" s="192">
        <v>157318.16</v>
      </c>
      <c r="J5593" s="192"/>
      <c r="K5593" s="192">
        <v>3146.4</v>
      </c>
      <c r="L5593" s="43">
        <v>11.5</v>
      </c>
      <c r="M5593" s="43">
        <v>11.5</v>
      </c>
      <c r="N5593" s="43" t="s">
        <v>1690</v>
      </c>
      <c r="O5593" s="43">
        <v>11.5</v>
      </c>
      <c r="P5593" s="193"/>
      <c r="Q5593" s="193"/>
      <c r="R5593" s="193">
        <v>7</v>
      </c>
    </row>
    <row r="5594" spans="1:18" ht="60">
      <c r="A5594" s="189">
        <v>500</v>
      </c>
      <c r="B5594" s="186" t="s">
        <v>10245</v>
      </c>
      <c r="C5594" s="190" t="s">
        <v>10246</v>
      </c>
      <c r="D5594" s="191">
        <v>16614.98</v>
      </c>
      <c r="E5594" s="191">
        <v>16289.2</v>
      </c>
      <c r="F5594" s="191"/>
      <c r="G5594" s="191">
        <v>325.77999999999997</v>
      </c>
      <c r="H5594" s="192">
        <v>191072.27</v>
      </c>
      <c r="I5594" s="192">
        <v>187325.8</v>
      </c>
      <c r="J5594" s="192"/>
      <c r="K5594" s="192">
        <v>3746.47</v>
      </c>
      <c r="L5594" s="43">
        <v>11.5</v>
      </c>
      <c r="M5594" s="43">
        <v>11.499999999999998</v>
      </c>
      <c r="N5594" s="43" t="s">
        <v>1690</v>
      </c>
      <c r="O5594" s="43">
        <v>11.5</v>
      </c>
      <c r="P5594" s="193"/>
      <c r="Q5594" s="193"/>
      <c r="R5594" s="193">
        <v>7</v>
      </c>
    </row>
    <row r="5595" spans="1:18" ht="60">
      <c r="A5595" s="189">
        <v>501</v>
      </c>
      <c r="B5595" s="186" t="s">
        <v>10247</v>
      </c>
      <c r="C5595" s="190" t="s">
        <v>10248</v>
      </c>
      <c r="D5595" s="191">
        <v>19465.52</v>
      </c>
      <c r="E5595" s="191">
        <v>19083.84</v>
      </c>
      <c r="F5595" s="191"/>
      <c r="G5595" s="191">
        <v>381.68</v>
      </c>
      <c r="H5595" s="192">
        <v>223853.48</v>
      </c>
      <c r="I5595" s="192">
        <v>219464.16</v>
      </c>
      <c r="J5595" s="192"/>
      <c r="K5595" s="192">
        <v>4389.32</v>
      </c>
      <c r="L5595" s="43">
        <v>11.5</v>
      </c>
      <c r="M5595" s="43">
        <v>11.5</v>
      </c>
      <c r="N5595" s="43" t="s">
        <v>1690</v>
      </c>
      <c r="O5595" s="43">
        <v>11.499999999999998</v>
      </c>
      <c r="P5595" s="193"/>
      <c r="Q5595" s="193"/>
      <c r="R5595" s="193">
        <v>7</v>
      </c>
    </row>
    <row r="5596" spans="1:18" ht="60">
      <c r="A5596" s="189">
        <v>502</v>
      </c>
      <c r="B5596" s="186" t="s">
        <v>10249</v>
      </c>
      <c r="C5596" s="190" t="s">
        <v>10250</v>
      </c>
      <c r="D5596" s="191">
        <v>22709.77</v>
      </c>
      <c r="E5596" s="191">
        <v>22264.48</v>
      </c>
      <c r="F5596" s="191"/>
      <c r="G5596" s="191">
        <v>445.29</v>
      </c>
      <c r="H5596" s="192">
        <v>261162.36</v>
      </c>
      <c r="I5596" s="192">
        <v>256041.52</v>
      </c>
      <c r="J5596" s="192"/>
      <c r="K5596" s="192">
        <v>5120.84</v>
      </c>
      <c r="L5596" s="43">
        <v>11.500000220169555</v>
      </c>
      <c r="M5596" s="43">
        <v>11.5</v>
      </c>
      <c r="N5596" s="43" t="s">
        <v>1690</v>
      </c>
      <c r="O5596" s="43">
        <v>11.500011228637517</v>
      </c>
      <c r="P5596" s="193"/>
      <c r="Q5596" s="193"/>
      <c r="R5596" s="193">
        <v>7</v>
      </c>
    </row>
    <row r="5597" spans="1:18" ht="60">
      <c r="A5597" s="189">
        <v>503</v>
      </c>
      <c r="B5597" s="186" t="s">
        <v>10251</v>
      </c>
      <c r="C5597" s="190" t="s">
        <v>10252</v>
      </c>
      <c r="D5597" s="191">
        <v>25954.02</v>
      </c>
      <c r="E5597" s="191">
        <v>25445.119999999999</v>
      </c>
      <c r="F5597" s="191"/>
      <c r="G5597" s="191">
        <v>508.9</v>
      </c>
      <c r="H5597" s="192">
        <v>298471.23</v>
      </c>
      <c r="I5597" s="192">
        <v>292618.88</v>
      </c>
      <c r="J5597" s="192"/>
      <c r="K5597" s="192">
        <v>5852.35</v>
      </c>
      <c r="L5597" s="43">
        <v>11.499999999999998</v>
      </c>
      <c r="M5597" s="43">
        <v>11.5</v>
      </c>
      <c r="N5597" s="43" t="s">
        <v>1690</v>
      </c>
      <c r="O5597" s="43">
        <v>11.500000000000002</v>
      </c>
      <c r="P5597" s="193"/>
      <c r="Q5597" s="193"/>
      <c r="R5597" s="193">
        <v>7</v>
      </c>
    </row>
    <row r="5598" spans="1:18" ht="60">
      <c r="A5598" s="189">
        <v>504</v>
      </c>
      <c r="B5598" s="186" t="s">
        <v>10253</v>
      </c>
      <c r="C5598" s="190" t="s">
        <v>10254</v>
      </c>
      <c r="D5598" s="191">
        <v>29529</v>
      </c>
      <c r="E5598" s="191">
        <v>28950</v>
      </c>
      <c r="F5598" s="191"/>
      <c r="G5598" s="191">
        <v>579</v>
      </c>
      <c r="H5598" s="192">
        <v>339583.5</v>
      </c>
      <c r="I5598" s="192">
        <v>332925</v>
      </c>
      <c r="J5598" s="192"/>
      <c r="K5598" s="192">
        <v>6658.5</v>
      </c>
      <c r="L5598" s="43">
        <v>11.5</v>
      </c>
      <c r="M5598" s="43">
        <v>11.5</v>
      </c>
      <c r="N5598" s="43" t="s">
        <v>1690</v>
      </c>
      <c r="O5598" s="43">
        <v>11.5</v>
      </c>
      <c r="P5598" s="193"/>
      <c r="Q5598" s="193"/>
      <c r="R5598" s="193">
        <v>7</v>
      </c>
    </row>
    <row r="5599" spans="1:18" ht="60">
      <c r="A5599" s="189">
        <v>505</v>
      </c>
      <c r="B5599" s="186" t="s">
        <v>10255</v>
      </c>
      <c r="C5599" s="190" t="s">
        <v>10256</v>
      </c>
      <c r="D5599" s="191">
        <v>33418.949999999997</v>
      </c>
      <c r="E5599" s="191">
        <v>32763.68</v>
      </c>
      <c r="F5599" s="191"/>
      <c r="G5599" s="191">
        <v>655.27</v>
      </c>
      <c r="H5599" s="192">
        <v>384317.93</v>
      </c>
      <c r="I5599" s="192">
        <v>376782.32</v>
      </c>
      <c r="J5599" s="192"/>
      <c r="K5599" s="192">
        <v>7535.61</v>
      </c>
      <c r="L5599" s="43">
        <v>11.500000149615714</v>
      </c>
      <c r="M5599" s="43">
        <v>11.5</v>
      </c>
      <c r="N5599" s="43" t="s">
        <v>1690</v>
      </c>
      <c r="O5599" s="43">
        <v>11.500007630442413</v>
      </c>
      <c r="P5599" s="193"/>
      <c r="Q5599" s="193"/>
      <c r="R5599" s="193">
        <v>7</v>
      </c>
    </row>
    <row r="5600" spans="1:18" ht="60">
      <c r="A5600" s="189">
        <v>506</v>
      </c>
      <c r="B5600" s="186" t="s">
        <v>10257</v>
      </c>
      <c r="C5600" s="190" t="s">
        <v>10258</v>
      </c>
      <c r="D5600" s="191">
        <v>37466.400000000001</v>
      </c>
      <c r="E5600" s="191">
        <v>36731.760000000002</v>
      </c>
      <c r="F5600" s="191"/>
      <c r="G5600" s="191">
        <v>734.64</v>
      </c>
      <c r="H5600" s="192">
        <v>430863.6</v>
      </c>
      <c r="I5600" s="192">
        <v>422415.24</v>
      </c>
      <c r="J5600" s="192"/>
      <c r="K5600" s="192">
        <v>8448.36</v>
      </c>
      <c r="L5600" s="43">
        <v>11.499999999999998</v>
      </c>
      <c r="M5600" s="43">
        <v>11.499999999999998</v>
      </c>
      <c r="N5600" s="43" t="s">
        <v>1690</v>
      </c>
      <c r="O5600" s="43">
        <v>11.500000000000002</v>
      </c>
      <c r="P5600" s="193"/>
      <c r="Q5600" s="193"/>
      <c r="R5600" s="193">
        <v>7</v>
      </c>
    </row>
    <row r="5601" spans="1:18" ht="60">
      <c r="A5601" s="189">
        <v>507</v>
      </c>
      <c r="B5601" s="186" t="s">
        <v>10259</v>
      </c>
      <c r="C5601" s="190" t="s">
        <v>10260</v>
      </c>
      <c r="D5601" s="191">
        <v>41844.559999999998</v>
      </c>
      <c r="E5601" s="191">
        <v>41024.080000000002</v>
      </c>
      <c r="F5601" s="191"/>
      <c r="G5601" s="191">
        <v>820.48</v>
      </c>
      <c r="H5601" s="192">
        <v>481212.44</v>
      </c>
      <c r="I5601" s="192">
        <v>471776.92</v>
      </c>
      <c r="J5601" s="192"/>
      <c r="K5601" s="192">
        <v>9435.52</v>
      </c>
      <c r="L5601" s="43">
        <v>11.5</v>
      </c>
      <c r="M5601" s="43">
        <v>11.5</v>
      </c>
      <c r="N5601" s="43" t="s">
        <v>1690</v>
      </c>
      <c r="O5601" s="43">
        <v>11.5</v>
      </c>
      <c r="P5601" s="193"/>
      <c r="Q5601" s="193"/>
      <c r="R5601" s="193">
        <v>7</v>
      </c>
    </row>
    <row r="5602" spans="1:18" ht="60">
      <c r="A5602" s="189">
        <v>508</v>
      </c>
      <c r="B5602" s="186" t="s">
        <v>10261</v>
      </c>
      <c r="C5602" s="190" t="s">
        <v>10262</v>
      </c>
      <c r="D5602" s="191">
        <v>46395.96</v>
      </c>
      <c r="E5602" s="191">
        <v>45486.239999999998</v>
      </c>
      <c r="F5602" s="191"/>
      <c r="G5602" s="191">
        <v>909.72</v>
      </c>
      <c r="H5602" s="192">
        <v>533553.54</v>
      </c>
      <c r="I5602" s="192">
        <v>523091.76</v>
      </c>
      <c r="J5602" s="192"/>
      <c r="K5602" s="192">
        <v>10461.780000000001</v>
      </c>
      <c r="L5602" s="43">
        <v>11.500000000000002</v>
      </c>
      <c r="M5602" s="43">
        <v>11.5</v>
      </c>
      <c r="N5602" s="43" t="s">
        <v>1690</v>
      </c>
      <c r="O5602" s="43">
        <v>11.5</v>
      </c>
      <c r="P5602" s="193"/>
      <c r="Q5602" s="193"/>
      <c r="R5602" s="193">
        <v>7</v>
      </c>
    </row>
    <row r="5603" spans="1:18" ht="60">
      <c r="A5603" s="189">
        <v>509</v>
      </c>
      <c r="B5603" s="186" t="s">
        <v>10263</v>
      </c>
      <c r="C5603" s="190" t="s">
        <v>10264</v>
      </c>
      <c r="D5603" s="191">
        <v>51089.11</v>
      </c>
      <c r="E5603" s="191">
        <v>50087.360000000001</v>
      </c>
      <c r="F5603" s="191"/>
      <c r="G5603" s="191">
        <v>1001.75</v>
      </c>
      <c r="H5603" s="192">
        <v>587524.77</v>
      </c>
      <c r="I5603" s="192">
        <v>576004.64</v>
      </c>
      <c r="J5603" s="192"/>
      <c r="K5603" s="192">
        <v>11520.13</v>
      </c>
      <c r="L5603" s="43">
        <v>11.500000097868215</v>
      </c>
      <c r="M5603" s="43">
        <v>11.5</v>
      </c>
      <c r="N5603" s="43" t="s">
        <v>1690</v>
      </c>
      <c r="O5603" s="43">
        <v>11.500004991265286</v>
      </c>
      <c r="P5603" s="193"/>
      <c r="Q5603" s="193"/>
      <c r="R5603" s="193">
        <v>7</v>
      </c>
    </row>
    <row r="5604" spans="1:18" ht="60">
      <c r="A5604" s="189">
        <v>510</v>
      </c>
      <c r="B5604" s="186" t="s">
        <v>10265</v>
      </c>
      <c r="C5604" s="190" t="s">
        <v>10266</v>
      </c>
      <c r="D5604" s="191">
        <v>61310.080000000002</v>
      </c>
      <c r="E5604" s="191">
        <v>60107.92</v>
      </c>
      <c r="F5604" s="191"/>
      <c r="G5604" s="191">
        <v>1202.1600000000001</v>
      </c>
      <c r="H5604" s="192">
        <v>705065.92</v>
      </c>
      <c r="I5604" s="192">
        <v>691241.08</v>
      </c>
      <c r="J5604" s="192"/>
      <c r="K5604" s="192">
        <v>13824.84</v>
      </c>
      <c r="L5604" s="43">
        <v>11.5</v>
      </c>
      <c r="M5604" s="43">
        <v>11.5</v>
      </c>
      <c r="N5604" s="43" t="s">
        <v>1690</v>
      </c>
      <c r="O5604" s="43">
        <v>11.5</v>
      </c>
      <c r="P5604" s="193"/>
      <c r="Q5604" s="193"/>
      <c r="R5604" s="193">
        <v>7</v>
      </c>
    </row>
    <row r="5605" spans="1:18" ht="60">
      <c r="A5605" s="189">
        <v>511</v>
      </c>
      <c r="B5605" s="186" t="s">
        <v>10267</v>
      </c>
      <c r="C5605" s="190" t="s">
        <v>10268</v>
      </c>
      <c r="D5605" s="191">
        <v>72507.48</v>
      </c>
      <c r="E5605" s="191">
        <v>71085.759999999995</v>
      </c>
      <c r="F5605" s="191"/>
      <c r="G5605" s="191">
        <v>1421.72</v>
      </c>
      <c r="H5605" s="192">
        <v>833836.02</v>
      </c>
      <c r="I5605" s="192">
        <v>817486.24</v>
      </c>
      <c r="J5605" s="192"/>
      <c r="K5605" s="192">
        <v>16349.78</v>
      </c>
      <c r="L5605" s="43">
        <v>11.500000000000002</v>
      </c>
      <c r="M5605" s="43">
        <v>11.5</v>
      </c>
      <c r="N5605" s="43" t="s">
        <v>1690</v>
      </c>
      <c r="O5605" s="43">
        <v>11.5</v>
      </c>
      <c r="P5605" s="193"/>
      <c r="Q5605" s="193"/>
      <c r="R5605" s="193">
        <v>7</v>
      </c>
    </row>
    <row r="5606" spans="1:18" ht="60">
      <c r="A5606" s="189">
        <v>512</v>
      </c>
      <c r="B5606" s="186" t="s">
        <v>10269</v>
      </c>
      <c r="C5606" s="190" t="s">
        <v>10270</v>
      </c>
      <c r="D5606" s="191">
        <v>84681.3</v>
      </c>
      <c r="E5606" s="191">
        <v>83020.88</v>
      </c>
      <c r="F5606" s="191"/>
      <c r="G5606" s="191">
        <v>1660.42</v>
      </c>
      <c r="H5606" s="192">
        <v>973834.95</v>
      </c>
      <c r="I5606" s="192">
        <v>954740.12</v>
      </c>
      <c r="J5606" s="192"/>
      <c r="K5606" s="192">
        <v>19094.830000000002</v>
      </c>
      <c r="L5606" s="43">
        <v>11.499999999999998</v>
      </c>
      <c r="M5606" s="43">
        <v>11.5</v>
      </c>
      <c r="N5606" s="43" t="s">
        <v>1690</v>
      </c>
      <c r="O5606" s="43">
        <v>11.5</v>
      </c>
      <c r="P5606" s="193"/>
      <c r="Q5606" s="193"/>
      <c r="R5606" s="193">
        <v>7</v>
      </c>
    </row>
    <row r="5607" spans="1:18" ht="60">
      <c r="A5607" s="189">
        <v>513</v>
      </c>
      <c r="B5607" s="186" t="s">
        <v>10271</v>
      </c>
      <c r="C5607" s="190" t="s">
        <v>10272</v>
      </c>
      <c r="D5607" s="191">
        <v>97815.8</v>
      </c>
      <c r="E5607" s="191">
        <v>95897.84</v>
      </c>
      <c r="F5607" s="191"/>
      <c r="G5607" s="191">
        <v>1917.96</v>
      </c>
      <c r="H5607" s="192">
        <v>1124881.7</v>
      </c>
      <c r="I5607" s="192">
        <v>1102825.1599999999</v>
      </c>
      <c r="J5607" s="192"/>
      <c r="K5607" s="192">
        <v>22056.54</v>
      </c>
      <c r="L5607" s="43">
        <v>11.5</v>
      </c>
      <c r="M5607" s="43">
        <v>11.5</v>
      </c>
      <c r="N5607" s="43" t="s">
        <v>1690</v>
      </c>
      <c r="O5607" s="43">
        <v>11.5</v>
      </c>
      <c r="P5607" s="193"/>
      <c r="Q5607" s="193"/>
      <c r="R5607" s="193">
        <v>7</v>
      </c>
    </row>
    <row r="5608" spans="1:18" ht="60">
      <c r="A5608" s="189">
        <v>514</v>
      </c>
      <c r="B5608" s="186" t="s">
        <v>10273</v>
      </c>
      <c r="C5608" s="190" t="s">
        <v>10274</v>
      </c>
      <c r="D5608" s="191">
        <v>111769.23</v>
      </c>
      <c r="E5608" s="191">
        <v>109577.68</v>
      </c>
      <c r="F5608" s="191"/>
      <c r="G5608" s="191">
        <v>2191.5500000000002</v>
      </c>
      <c r="H5608" s="192">
        <v>1285346.1499999999</v>
      </c>
      <c r="I5608" s="192">
        <v>1260143.32</v>
      </c>
      <c r="J5608" s="192"/>
      <c r="K5608" s="192">
        <v>25202.83</v>
      </c>
      <c r="L5608" s="43">
        <v>11.500000044735032</v>
      </c>
      <c r="M5608" s="43">
        <v>11.500000000000002</v>
      </c>
      <c r="N5608" s="43" t="s">
        <v>1690</v>
      </c>
      <c r="O5608" s="43">
        <v>11.50000228149027</v>
      </c>
      <c r="P5608" s="193"/>
      <c r="Q5608" s="193"/>
      <c r="R5608" s="193">
        <v>7</v>
      </c>
    </row>
    <row r="5609" spans="1:18" ht="60">
      <c r="A5609" s="189">
        <v>515</v>
      </c>
      <c r="B5609" s="186" t="s">
        <v>10275</v>
      </c>
      <c r="C5609" s="190" t="s">
        <v>10276</v>
      </c>
      <c r="D5609" s="191">
        <v>126683.35</v>
      </c>
      <c r="E5609" s="191">
        <v>124199.36</v>
      </c>
      <c r="F5609" s="191"/>
      <c r="G5609" s="191">
        <v>2483.9899999999998</v>
      </c>
      <c r="H5609" s="192">
        <v>1456858.53</v>
      </c>
      <c r="I5609" s="192">
        <v>1428292.64</v>
      </c>
      <c r="J5609" s="192"/>
      <c r="K5609" s="192">
        <v>28565.89</v>
      </c>
      <c r="L5609" s="43">
        <v>11.500000039468485</v>
      </c>
      <c r="M5609" s="43">
        <v>11.5</v>
      </c>
      <c r="N5609" s="43" t="s">
        <v>1690</v>
      </c>
      <c r="O5609" s="43">
        <v>11.500002012890551</v>
      </c>
      <c r="P5609" s="193"/>
      <c r="Q5609" s="193"/>
      <c r="R5609" s="193">
        <v>7</v>
      </c>
    </row>
    <row r="5610" spans="1:18" ht="60">
      <c r="A5610" s="189">
        <v>516</v>
      </c>
      <c r="B5610" s="186" t="s">
        <v>10277</v>
      </c>
      <c r="C5610" s="190" t="s">
        <v>10278</v>
      </c>
      <c r="D5610" s="191">
        <v>142589.64000000001</v>
      </c>
      <c r="E5610" s="191">
        <v>139793.76</v>
      </c>
      <c r="F5610" s="191"/>
      <c r="G5610" s="191">
        <v>2795.88</v>
      </c>
      <c r="H5610" s="192">
        <v>1639780.86</v>
      </c>
      <c r="I5610" s="192">
        <v>1607628.24</v>
      </c>
      <c r="J5610" s="192"/>
      <c r="K5610" s="192">
        <v>32152.62</v>
      </c>
      <c r="L5610" s="43">
        <v>11.5</v>
      </c>
      <c r="M5610" s="43">
        <v>11.5</v>
      </c>
      <c r="N5610" s="43" t="s">
        <v>1690</v>
      </c>
      <c r="O5610" s="43">
        <v>11.5</v>
      </c>
      <c r="P5610" s="193"/>
      <c r="Q5610" s="193"/>
      <c r="R5610" s="193">
        <v>7</v>
      </c>
    </row>
    <row r="5611" spans="1:18" ht="60">
      <c r="A5611" s="189">
        <v>517</v>
      </c>
      <c r="B5611" s="186" t="s">
        <v>10279</v>
      </c>
      <c r="C5611" s="190" t="s">
        <v>10280</v>
      </c>
      <c r="D5611" s="191">
        <v>159456.6</v>
      </c>
      <c r="E5611" s="191">
        <v>156330</v>
      </c>
      <c r="F5611" s="191"/>
      <c r="G5611" s="191">
        <v>3126.6</v>
      </c>
      <c r="H5611" s="192">
        <v>1833750.9</v>
      </c>
      <c r="I5611" s="192">
        <v>1797795</v>
      </c>
      <c r="J5611" s="192"/>
      <c r="K5611" s="192">
        <v>35955.9</v>
      </c>
      <c r="L5611" s="43">
        <v>11.499999999999998</v>
      </c>
      <c r="M5611" s="43">
        <v>11.5</v>
      </c>
      <c r="N5611" s="43" t="s">
        <v>1690</v>
      </c>
      <c r="O5611" s="43">
        <v>11.5</v>
      </c>
      <c r="P5611" s="193"/>
      <c r="Q5611" s="193"/>
      <c r="R5611" s="193">
        <v>7</v>
      </c>
    </row>
    <row r="5612" spans="1:18" ht="12.75" customHeight="1">
      <c r="A5612" s="628" t="s">
        <v>10281</v>
      </c>
      <c r="B5612" s="629"/>
      <c r="C5612" s="629"/>
      <c r="D5612" s="629"/>
      <c r="E5612" s="629"/>
      <c r="F5612" s="629"/>
      <c r="G5612" s="629"/>
      <c r="H5612" s="629"/>
      <c r="I5612" s="629"/>
      <c r="J5612" s="629"/>
      <c r="K5612" s="629"/>
      <c r="L5612" s="629"/>
      <c r="M5612" s="629"/>
      <c r="N5612" s="629"/>
      <c r="O5612" s="629"/>
      <c r="P5612" s="629"/>
      <c r="Q5612" s="629"/>
      <c r="R5612" s="629"/>
    </row>
    <row r="5613" spans="1:18" ht="48">
      <c r="A5613" s="189">
        <v>518</v>
      </c>
      <c r="B5613" s="186" t="s">
        <v>10282</v>
      </c>
      <c r="C5613" s="190" t="s">
        <v>10283</v>
      </c>
      <c r="D5613" s="191">
        <v>5438.58</v>
      </c>
      <c r="E5613" s="191">
        <v>3443.12</v>
      </c>
      <c r="F5613" s="191">
        <v>1926.6</v>
      </c>
      <c r="G5613" s="191">
        <v>68.86</v>
      </c>
      <c r="H5613" s="192">
        <v>50834.87</v>
      </c>
      <c r="I5613" s="192">
        <v>39595.879999999997</v>
      </c>
      <c r="J5613" s="192">
        <v>10447.1</v>
      </c>
      <c r="K5613" s="192">
        <v>791.89</v>
      </c>
      <c r="L5613" s="43">
        <v>9.3470850847096116</v>
      </c>
      <c r="M5613" s="43">
        <v>11.5</v>
      </c>
      <c r="N5613" s="43">
        <v>5.4225578739748785</v>
      </c>
      <c r="O5613" s="43">
        <v>11.5</v>
      </c>
      <c r="P5613" s="193"/>
      <c r="Q5613" s="193"/>
      <c r="R5613" s="193">
        <v>8</v>
      </c>
    </row>
    <row r="5614" spans="1:18" ht="48">
      <c r="A5614" s="189">
        <v>519</v>
      </c>
      <c r="B5614" s="186" t="s">
        <v>10284</v>
      </c>
      <c r="C5614" s="190" t="s">
        <v>10285</v>
      </c>
      <c r="D5614" s="191">
        <v>7772.03</v>
      </c>
      <c r="E5614" s="191">
        <v>4786.3999999999996</v>
      </c>
      <c r="F5614" s="191">
        <v>2889.9</v>
      </c>
      <c r="G5614" s="191">
        <v>95.73</v>
      </c>
      <c r="H5614" s="192">
        <v>71815.149999999994</v>
      </c>
      <c r="I5614" s="192">
        <v>55043.6</v>
      </c>
      <c r="J5614" s="192">
        <v>15670.65</v>
      </c>
      <c r="K5614" s="192">
        <v>1100.9000000000001</v>
      </c>
      <c r="L5614" s="43">
        <v>9.2402049400221049</v>
      </c>
      <c r="M5614" s="43">
        <v>11.5</v>
      </c>
      <c r="N5614" s="43">
        <v>5.4225578739748777</v>
      </c>
      <c r="O5614" s="43">
        <v>11.500052230230859</v>
      </c>
      <c r="P5614" s="193"/>
      <c r="Q5614" s="193"/>
      <c r="R5614" s="193">
        <v>8</v>
      </c>
    </row>
    <row r="5615" spans="1:18" ht="48">
      <c r="A5615" s="189">
        <v>520</v>
      </c>
      <c r="B5615" s="186" t="s">
        <v>10286</v>
      </c>
      <c r="C5615" s="190" t="s">
        <v>10287</v>
      </c>
      <c r="D5615" s="191">
        <v>10121.219999999999</v>
      </c>
      <c r="E5615" s="191">
        <v>6145.12</v>
      </c>
      <c r="F5615" s="191">
        <v>3853.2</v>
      </c>
      <c r="G5615" s="191">
        <v>122.9</v>
      </c>
      <c r="H5615" s="192">
        <v>92976.43</v>
      </c>
      <c r="I5615" s="192">
        <v>70668.88</v>
      </c>
      <c r="J5615" s="192">
        <v>20894.2</v>
      </c>
      <c r="K5615" s="192">
        <v>1413.35</v>
      </c>
      <c r="L5615" s="43">
        <v>9.1862868310342041</v>
      </c>
      <c r="M5615" s="43">
        <v>11.500000000000002</v>
      </c>
      <c r="N5615" s="43">
        <v>5.4225578739748785</v>
      </c>
      <c r="O5615" s="43">
        <v>11.499999999999998</v>
      </c>
      <c r="P5615" s="193"/>
      <c r="Q5615" s="193"/>
      <c r="R5615" s="193">
        <v>8</v>
      </c>
    </row>
    <row r="5616" spans="1:18" ht="48">
      <c r="A5616" s="189">
        <v>521</v>
      </c>
      <c r="B5616" s="186" t="s">
        <v>10288</v>
      </c>
      <c r="C5616" s="190" t="s">
        <v>10289</v>
      </c>
      <c r="D5616" s="191">
        <v>12438.92</v>
      </c>
      <c r="E5616" s="191">
        <v>7472.96</v>
      </c>
      <c r="F5616" s="191">
        <v>4816.5</v>
      </c>
      <c r="G5616" s="191">
        <v>149.46</v>
      </c>
      <c r="H5616" s="192">
        <v>113775.58</v>
      </c>
      <c r="I5616" s="192">
        <v>85939.04</v>
      </c>
      <c r="J5616" s="192">
        <v>26117.75</v>
      </c>
      <c r="K5616" s="192">
        <v>1718.79</v>
      </c>
      <c r="L5616" s="43">
        <v>9.1467410353953564</v>
      </c>
      <c r="M5616" s="43">
        <v>11.499999999999998</v>
      </c>
      <c r="N5616" s="43">
        <v>5.4225578739748777</v>
      </c>
      <c r="O5616" s="43">
        <v>11.5</v>
      </c>
      <c r="P5616" s="193"/>
      <c r="Q5616" s="193"/>
      <c r="R5616" s="193">
        <v>8</v>
      </c>
    </row>
    <row r="5617" spans="1:18" ht="48">
      <c r="A5617" s="189">
        <v>522</v>
      </c>
      <c r="B5617" s="186" t="s">
        <v>10290</v>
      </c>
      <c r="C5617" s="190" t="s">
        <v>10291</v>
      </c>
      <c r="D5617" s="191">
        <v>15708.89</v>
      </c>
      <c r="E5617" s="191">
        <v>9356.64</v>
      </c>
      <c r="F5617" s="191">
        <v>6165.12</v>
      </c>
      <c r="G5617" s="191">
        <v>187.13</v>
      </c>
      <c r="H5617" s="192">
        <v>143184.07999999999</v>
      </c>
      <c r="I5617" s="192">
        <v>107601.36</v>
      </c>
      <c r="J5617" s="192">
        <v>33430.720000000001</v>
      </c>
      <c r="K5617" s="192">
        <v>2152</v>
      </c>
      <c r="L5617" s="43">
        <v>9.1148438877603688</v>
      </c>
      <c r="M5617" s="43">
        <v>11.5</v>
      </c>
      <c r="N5617" s="43">
        <v>5.4225578739748785</v>
      </c>
      <c r="O5617" s="43">
        <v>11.500026719392936</v>
      </c>
      <c r="P5617" s="193"/>
      <c r="Q5617" s="193"/>
      <c r="R5617" s="193">
        <v>8</v>
      </c>
    </row>
    <row r="5618" spans="1:18" ht="12.75" customHeight="1">
      <c r="A5618" s="628" t="s">
        <v>10292</v>
      </c>
      <c r="B5618" s="629"/>
      <c r="C5618" s="629"/>
      <c r="D5618" s="629"/>
      <c r="E5618" s="629"/>
      <c r="F5618" s="629"/>
      <c r="G5618" s="629"/>
      <c r="H5618" s="629"/>
      <c r="I5618" s="629"/>
      <c r="J5618" s="629"/>
      <c r="K5618" s="629"/>
      <c r="L5618" s="629"/>
      <c r="M5618" s="629"/>
      <c r="N5618" s="629"/>
      <c r="O5618" s="629"/>
      <c r="P5618" s="629"/>
      <c r="Q5618" s="629"/>
      <c r="R5618" s="629"/>
    </row>
    <row r="5619" spans="1:18" ht="36">
      <c r="A5619" s="189">
        <v>523</v>
      </c>
      <c r="B5619" s="186" t="s">
        <v>10293</v>
      </c>
      <c r="C5619" s="190" t="s">
        <v>10294</v>
      </c>
      <c r="D5619" s="191">
        <v>3433.24</v>
      </c>
      <c r="E5619" s="191">
        <v>3365.92</v>
      </c>
      <c r="F5619" s="191"/>
      <c r="G5619" s="191">
        <v>67.319999999999993</v>
      </c>
      <c r="H5619" s="192">
        <v>39482.26</v>
      </c>
      <c r="I5619" s="192">
        <v>38708.080000000002</v>
      </c>
      <c r="J5619" s="192"/>
      <c r="K5619" s="192">
        <v>774.18</v>
      </c>
      <c r="L5619" s="43">
        <v>11.500000000000002</v>
      </c>
      <c r="M5619" s="43">
        <v>11.5</v>
      </c>
      <c r="N5619" s="43" t="s">
        <v>1690</v>
      </c>
      <c r="O5619" s="43">
        <v>11.5</v>
      </c>
      <c r="P5619" s="193"/>
      <c r="Q5619" s="193"/>
      <c r="R5619" s="193">
        <v>9</v>
      </c>
    </row>
    <row r="5620" spans="1:18" ht="12.75" customHeight="1">
      <c r="A5620" s="628" t="s">
        <v>10295</v>
      </c>
      <c r="B5620" s="629"/>
      <c r="C5620" s="629"/>
      <c r="D5620" s="629"/>
      <c r="E5620" s="629"/>
      <c r="F5620" s="629"/>
      <c r="G5620" s="629"/>
      <c r="H5620" s="629"/>
      <c r="I5620" s="629"/>
      <c r="J5620" s="629"/>
      <c r="K5620" s="629"/>
      <c r="L5620" s="629"/>
      <c r="M5620" s="629"/>
      <c r="N5620" s="629"/>
      <c r="O5620" s="629"/>
      <c r="P5620" s="629"/>
      <c r="Q5620" s="629"/>
      <c r="R5620" s="629"/>
    </row>
    <row r="5621" spans="1:18" ht="36">
      <c r="A5621" s="189">
        <v>524</v>
      </c>
      <c r="B5621" s="186" t="s">
        <v>10296</v>
      </c>
      <c r="C5621" s="190" t="s">
        <v>10297</v>
      </c>
      <c r="D5621" s="191">
        <v>1149.6600000000001</v>
      </c>
      <c r="E5621" s="191">
        <v>1127.1199999999999</v>
      </c>
      <c r="F5621" s="191"/>
      <c r="G5621" s="191">
        <v>22.54</v>
      </c>
      <c r="H5621" s="192">
        <v>13221.09</v>
      </c>
      <c r="I5621" s="192">
        <v>12961.88</v>
      </c>
      <c r="J5621" s="192"/>
      <c r="K5621" s="192">
        <v>259.20999999999998</v>
      </c>
      <c r="L5621" s="43">
        <v>11.5</v>
      </c>
      <c r="M5621" s="43">
        <v>11.5</v>
      </c>
      <c r="N5621" s="43" t="s">
        <v>1690</v>
      </c>
      <c r="O5621" s="43">
        <v>11.5</v>
      </c>
      <c r="P5621" s="193"/>
      <c r="Q5621" s="193"/>
      <c r="R5621" s="193">
        <v>10</v>
      </c>
    </row>
    <row r="5622" spans="1:18" ht="36">
      <c r="A5622" s="189">
        <v>525</v>
      </c>
      <c r="B5622" s="186" t="s">
        <v>10298</v>
      </c>
      <c r="C5622" s="190" t="s">
        <v>10299</v>
      </c>
      <c r="D5622" s="191">
        <v>1716.62</v>
      </c>
      <c r="E5622" s="191">
        <v>1682.96</v>
      </c>
      <c r="F5622" s="191"/>
      <c r="G5622" s="191">
        <v>33.659999999999997</v>
      </c>
      <c r="H5622" s="192">
        <v>19741.13</v>
      </c>
      <c r="I5622" s="192">
        <v>19354.04</v>
      </c>
      <c r="J5622" s="192"/>
      <c r="K5622" s="192">
        <v>387.09</v>
      </c>
      <c r="L5622" s="43">
        <v>11.500000000000002</v>
      </c>
      <c r="M5622" s="43">
        <v>11.5</v>
      </c>
      <c r="N5622" s="43" t="s">
        <v>1690</v>
      </c>
      <c r="O5622" s="43">
        <v>11.5</v>
      </c>
      <c r="P5622" s="193"/>
      <c r="Q5622" s="193"/>
      <c r="R5622" s="193">
        <v>10</v>
      </c>
    </row>
    <row r="5623" spans="1:18" ht="36">
      <c r="A5623" s="194">
        <v>526</v>
      </c>
      <c r="B5623" s="195" t="s">
        <v>10300</v>
      </c>
      <c r="C5623" s="196" t="s">
        <v>10301</v>
      </c>
      <c r="D5623" s="197">
        <v>129.13999999999999</v>
      </c>
      <c r="E5623" s="197">
        <v>126.61</v>
      </c>
      <c r="F5623" s="197"/>
      <c r="G5623" s="197">
        <v>2.5299999999999998</v>
      </c>
      <c r="H5623" s="198">
        <v>1485.09</v>
      </c>
      <c r="I5623" s="198">
        <v>1455.99</v>
      </c>
      <c r="J5623" s="198"/>
      <c r="K5623" s="198">
        <v>29.1</v>
      </c>
      <c r="L5623" s="611">
        <v>11.499845129317022</v>
      </c>
      <c r="M5623" s="611">
        <v>11.49980254324303</v>
      </c>
      <c r="N5623" s="611" t="s">
        <v>1690</v>
      </c>
      <c r="O5623" s="611">
        <v>11.501976284584982</v>
      </c>
      <c r="P5623" s="199"/>
      <c r="Q5623" s="199"/>
      <c r="R5623" s="199">
        <v>10</v>
      </c>
    </row>
    <row r="5624" spans="1:18" ht="12.75" customHeight="1">
      <c r="A5624" s="630" t="s">
        <v>10302</v>
      </c>
      <c r="B5624" s="631"/>
      <c r="C5624" s="631"/>
      <c r="D5624" s="631"/>
      <c r="E5624" s="631"/>
      <c r="F5624" s="631"/>
      <c r="G5624" s="631"/>
      <c r="H5624" s="631"/>
      <c r="I5624" s="631"/>
      <c r="J5624" s="631"/>
      <c r="K5624" s="631"/>
      <c r="L5624" s="631"/>
      <c r="M5624" s="631"/>
      <c r="N5624" s="631"/>
      <c r="O5624" s="631"/>
      <c r="P5624" s="631"/>
      <c r="Q5624" s="631"/>
      <c r="R5624" s="631"/>
    </row>
    <row r="5625" spans="1:18" ht="12.75" customHeight="1">
      <c r="A5625" s="628" t="s">
        <v>10303</v>
      </c>
      <c r="B5625" s="629"/>
      <c r="C5625" s="629"/>
      <c r="D5625" s="629"/>
      <c r="E5625" s="629"/>
      <c r="F5625" s="629"/>
      <c r="G5625" s="629"/>
      <c r="H5625" s="629"/>
      <c r="I5625" s="629"/>
      <c r="J5625" s="629"/>
      <c r="K5625" s="629"/>
      <c r="L5625" s="629"/>
      <c r="M5625" s="629"/>
      <c r="N5625" s="629"/>
      <c r="O5625" s="629"/>
      <c r="P5625" s="629"/>
      <c r="Q5625" s="629"/>
      <c r="R5625" s="629"/>
    </row>
    <row r="5626" spans="1:18" ht="12.75" customHeight="1">
      <c r="A5626" s="628" t="s">
        <v>10304</v>
      </c>
      <c r="B5626" s="629"/>
      <c r="C5626" s="629"/>
      <c r="D5626" s="629"/>
      <c r="E5626" s="629"/>
      <c r="F5626" s="629"/>
      <c r="G5626" s="629"/>
      <c r="H5626" s="629"/>
      <c r="I5626" s="629"/>
      <c r="J5626" s="629"/>
      <c r="K5626" s="629"/>
      <c r="L5626" s="629"/>
      <c r="M5626" s="629"/>
      <c r="N5626" s="629"/>
      <c r="O5626" s="629"/>
      <c r="P5626" s="629"/>
      <c r="Q5626" s="629"/>
      <c r="R5626" s="629"/>
    </row>
    <row r="5627" spans="1:18" ht="36">
      <c r="A5627" s="189">
        <v>527</v>
      </c>
      <c r="B5627" s="186" t="s">
        <v>10305</v>
      </c>
      <c r="C5627" s="190" t="s">
        <v>10306</v>
      </c>
      <c r="D5627" s="191">
        <v>7677.19</v>
      </c>
      <c r="E5627" s="191">
        <v>2045.68</v>
      </c>
      <c r="F5627" s="191">
        <v>983.37</v>
      </c>
      <c r="G5627" s="191">
        <v>4648.1400000000003</v>
      </c>
      <c r="H5627" s="192">
        <v>44750.23</v>
      </c>
      <c r="I5627" s="192">
        <v>23525.32</v>
      </c>
      <c r="J5627" s="192">
        <v>5100.3999999999996</v>
      </c>
      <c r="K5627" s="192">
        <v>16124.51</v>
      </c>
      <c r="L5627" s="43">
        <v>5.8289856054103133</v>
      </c>
      <c r="M5627" s="43">
        <v>11.5</v>
      </c>
      <c r="N5627" s="43">
        <v>5.1866540569673667</v>
      </c>
      <c r="O5627" s="43">
        <v>3.4690241688073078</v>
      </c>
      <c r="P5627" s="193"/>
      <c r="Q5627" s="193"/>
      <c r="R5627" s="193">
        <v>1</v>
      </c>
    </row>
    <row r="5628" spans="1:18" ht="36">
      <c r="A5628" s="189">
        <v>528</v>
      </c>
      <c r="B5628" s="186" t="s">
        <v>10307</v>
      </c>
      <c r="C5628" s="190" t="s">
        <v>10308</v>
      </c>
      <c r="D5628" s="191">
        <v>3410.26</v>
      </c>
      <c r="E5628" s="191">
        <v>345.97</v>
      </c>
      <c r="F5628" s="191">
        <v>178.2</v>
      </c>
      <c r="G5628" s="191">
        <v>2886.09</v>
      </c>
      <c r="H5628" s="192">
        <v>15706.08</v>
      </c>
      <c r="I5628" s="192">
        <v>3978.61</v>
      </c>
      <c r="J5628" s="192">
        <v>924.27</v>
      </c>
      <c r="K5628" s="192">
        <v>10803.2</v>
      </c>
      <c r="L5628" s="43">
        <v>4.6055374077049844</v>
      </c>
      <c r="M5628" s="43">
        <v>11.499869930918866</v>
      </c>
      <c r="N5628" s="43">
        <v>5.186700336700337</v>
      </c>
      <c r="O5628" s="43">
        <v>3.7431958116344259</v>
      </c>
      <c r="P5628" s="193"/>
      <c r="Q5628" s="193"/>
      <c r="R5628" s="193">
        <v>1</v>
      </c>
    </row>
    <row r="5629" spans="1:18" ht="36">
      <c r="A5629" s="189">
        <v>529</v>
      </c>
      <c r="B5629" s="186" t="s">
        <v>10309</v>
      </c>
      <c r="C5629" s="190" t="s">
        <v>10310</v>
      </c>
      <c r="D5629" s="191">
        <v>10351.219999999999</v>
      </c>
      <c r="E5629" s="191">
        <v>2573.96</v>
      </c>
      <c r="F5629" s="191">
        <v>1244.1600000000001</v>
      </c>
      <c r="G5629" s="191">
        <v>6533.1</v>
      </c>
      <c r="H5629" s="192">
        <v>58023.39</v>
      </c>
      <c r="I5629" s="192">
        <v>29600.54</v>
      </c>
      <c r="J5629" s="192">
        <v>6452.99</v>
      </c>
      <c r="K5629" s="192">
        <v>21969.86</v>
      </c>
      <c r="L5629" s="43">
        <v>5.6054638970092414</v>
      </c>
      <c r="M5629" s="43">
        <v>11.5</v>
      </c>
      <c r="N5629" s="43">
        <v>5.1866239068930033</v>
      </c>
      <c r="O5629" s="43">
        <v>3.3628537753899375</v>
      </c>
      <c r="P5629" s="193"/>
      <c r="Q5629" s="193"/>
      <c r="R5629" s="193">
        <v>1</v>
      </c>
    </row>
    <row r="5630" spans="1:18" ht="36">
      <c r="A5630" s="189">
        <v>530</v>
      </c>
      <c r="B5630" s="186" t="s">
        <v>10311</v>
      </c>
      <c r="C5630" s="190" t="s">
        <v>10312</v>
      </c>
      <c r="D5630" s="191">
        <v>15340.34</v>
      </c>
      <c r="E5630" s="191">
        <v>2486.3000000000002</v>
      </c>
      <c r="F5630" s="191">
        <v>1278.93</v>
      </c>
      <c r="G5630" s="191">
        <v>11575.11</v>
      </c>
      <c r="H5630" s="192">
        <v>73004.72</v>
      </c>
      <c r="I5630" s="192">
        <v>28592.45</v>
      </c>
      <c r="J5630" s="192">
        <v>6633.34</v>
      </c>
      <c r="K5630" s="192">
        <v>37778.93</v>
      </c>
      <c r="L5630" s="43">
        <v>4.7590027339680869</v>
      </c>
      <c r="M5630" s="43">
        <v>11.5</v>
      </c>
      <c r="N5630" s="43">
        <v>5.1866325756687228</v>
      </c>
      <c r="O5630" s="43">
        <v>3.2638074281799478</v>
      </c>
      <c r="P5630" s="193"/>
      <c r="Q5630" s="193"/>
      <c r="R5630" s="193">
        <v>1</v>
      </c>
    </row>
    <row r="5631" spans="1:18" ht="24">
      <c r="A5631" s="189">
        <v>531</v>
      </c>
      <c r="B5631" s="186" t="s">
        <v>10313</v>
      </c>
      <c r="C5631" s="190" t="s">
        <v>10314</v>
      </c>
      <c r="D5631" s="191">
        <v>2745.35</v>
      </c>
      <c r="E5631" s="191">
        <v>1141.28</v>
      </c>
      <c r="F5631" s="191">
        <v>609.58000000000004</v>
      </c>
      <c r="G5631" s="191">
        <v>994.49</v>
      </c>
      <c r="H5631" s="192">
        <v>19941.43</v>
      </c>
      <c r="I5631" s="192">
        <v>13125.28</v>
      </c>
      <c r="J5631" s="192">
        <v>3161.68</v>
      </c>
      <c r="K5631" s="192">
        <v>3654.47</v>
      </c>
      <c r="L5631" s="43">
        <v>7.2637113664924327</v>
      </c>
      <c r="M5631" s="43">
        <v>11.500490677134446</v>
      </c>
      <c r="N5631" s="43">
        <v>5.1866531054168439</v>
      </c>
      <c r="O5631" s="43">
        <v>3.6747176944966764</v>
      </c>
      <c r="P5631" s="193"/>
      <c r="Q5631" s="193"/>
      <c r="R5631" s="193">
        <v>1</v>
      </c>
    </row>
    <row r="5632" spans="1:18" ht="24">
      <c r="A5632" s="189">
        <v>532</v>
      </c>
      <c r="B5632" s="186" t="s">
        <v>10315</v>
      </c>
      <c r="C5632" s="190" t="s">
        <v>10316</v>
      </c>
      <c r="D5632" s="191">
        <v>15338.69</v>
      </c>
      <c r="E5632" s="191">
        <v>7750.6</v>
      </c>
      <c r="F5632" s="191">
        <v>3884.6</v>
      </c>
      <c r="G5632" s="191">
        <v>3703.49</v>
      </c>
      <c r="H5632" s="192">
        <v>122189.89</v>
      </c>
      <c r="I5632" s="192">
        <v>89131.9</v>
      </c>
      <c r="J5632" s="192">
        <v>20147.990000000002</v>
      </c>
      <c r="K5632" s="192">
        <v>12910</v>
      </c>
      <c r="L5632" s="43">
        <v>7.9661229218401308</v>
      </c>
      <c r="M5632" s="43">
        <v>11.499999999999998</v>
      </c>
      <c r="N5632" s="43">
        <v>5.1866318282448649</v>
      </c>
      <c r="O5632" s="43">
        <v>3.4859011364955759</v>
      </c>
      <c r="P5632" s="193"/>
      <c r="Q5632" s="193"/>
      <c r="R5632" s="193">
        <v>1</v>
      </c>
    </row>
    <row r="5633" spans="1:18" ht="24">
      <c r="A5633" s="189">
        <v>533</v>
      </c>
      <c r="B5633" s="186" t="s">
        <v>10317</v>
      </c>
      <c r="C5633" s="190" t="s">
        <v>10318</v>
      </c>
      <c r="D5633" s="191">
        <v>36573.06</v>
      </c>
      <c r="E5633" s="191">
        <v>9875.24</v>
      </c>
      <c r="F5633" s="191">
        <v>4950.55</v>
      </c>
      <c r="G5633" s="191">
        <v>21747.27</v>
      </c>
      <c r="H5633" s="192">
        <v>217652.15</v>
      </c>
      <c r="I5633" s="192">
        <v>113565.26</v>
      </c>
      <c r="J5633" s="192">
        <v>25676.7</v>
      </c>
      <c r="K5633" s="192">
        <v>78410.19</v>
      </c>
      <c r="L5633" s="43">
        <v>5.951160499012115</v>
      </c>
      <c r="M5633" s="43">
        <v>11.5</v>
      </c>
      <c r="N5633" s="43">
        <v>5.1866358283423057</v>
      </c>
      <c r="O5633" s="43">
        <v>3.6055187616652575</v>
      </c>
      <c r="P5633" s="193"/>
      <c r="Q5633" s="193"/>
      <c r="R5633" s="193">
        <v>1</v>
      </c>
    </row>
    <row r="5634" spans="1:18" ht="24">
      <c r="A5634" s="189">
        <v>534</v>
      </c>
      <c r="B5634" s="186" t="s">
        <v>10319</v>
      </c>
      <c r="C5634" s="190" t="s">
        <v>10320</v>
      </c>
      <c r="D5634" s="191">
        <v>11134.04</v>
      </c>
      <c r="E5634" s="191">
        <v>2723.13</v>
      </c>
      <c r="F5634" s="191">
        <v>1283.81</v>
      </c>
      <c r="G5634" s="191">
        <v>7127.1</v>
      </c>
      <c r="H5634" s="192">
        <v>60588.55</v>
      </c>
      <c r="I5634" s="192">
        <v>31317.18</v>
      </c>
      <c r="J5634" s="192">
        <v>6654.01</v>
      </c>
      <c r="K5634" s="192">
        <v>22617.360000000001</v>
      </c>
      <c r="L5634" s="43">
        <v>5.4417399254897596</v>
      </c>
      <c r="M5634" s="43">
        <v>11.500435161009573</v>
      </c>
      <c r="N5634" s="43">
        <v>5.1830177362693863</v>
      </c>
      <c r="O5634" s="43">
        <v>3.1734309887612073</v>
      </c>
      <c r="P5634" s="193"/>
      <c r="Q5634" s="193"/>
      <c r="R5634" s="193">
        <v>1</v>
      </c>
    </row>
    <row r="5635" spans="1:18" ht="24">
      <c r="A5635" s="189">
        <v>535</v>
      </c>
      <c r="B5635" s="186" t="s">
        <v>10321</v>
      </c>
      <c r="C5635" s="190" t="s">
        <v>10322</v>
      </c>
      <c r="D5635" s="191">
        <v>32484.63</v>
      </c>
      <c r="E5635" s="191">
        <v>12585.24</v>
      </c>
      <c r="F5635" s="191">
        <v>6311.51</v>
      </c>
      <c r="G5635" s="191">
        <v>13587.88</v>
      </c>
      <c r="H5635" s="192">
        <v>226071.65</v>
      </c>
      <c r="I5635" s="192">
        <v>144730.26</v>
      </c>
      <c r="J5635" s="192">
        <v>32730.85</v>
      </c>
      <c r="K5635" s="192">
        <v>48610.54</v>
      </c>
      <c r="L5635" s="43">
        <v>6.9593420026640285</v>
      </c>
      <c r="M5635" s="43">
        <v>11.500000000000002</v>
      </c>
      <c r="N5635" s="43">
        <v>5.1858984616993391</v>
      </c>
      <c r="O5635" s="43">
        <v>3.5774925889837124</v>
      </c>
      <c r="P5635" s="193"/>
      <c r="Q5635" s="193"/>
      <c r="R5635" s="193">
        <v>1</v>
      </c>
    </row>
    <row r="5636" spans="1:18" ht="12.75" customHeight="1">
      <c r="A5636" s="628" t="s">
        <v>10323</v>
      </c>
      <c r="B5636" s="629"/>
      <c r="C5636" s="629"/>
      <c r="D5636" s="629"/>
      <c r="E5636" s="629"/>
      <c r="F5636" s="629"/>
      <c r="G5636" s="629"/>
      <c r="H5636" s="629"/>
      <c r="I5636" s="629"/>
      <c r="J5636" s="629"/>
      <c r="K5636" s="629"/>
      <c r="L5636" s="629"/>
      <c r="M5636" s="629"/>
      <c r="N5636" s="629"/>
      <c r="O5636" s="629"/>
      <c r="P5636" s="629"/>
      <c r="Q5636" s="629"/>
      <c r="R5636" s="629"/>
    </row>
    <row r="5637" spans="1:18" ht="24">
      <c r="A5637" s="189">
        <v>536</v>
      </c>
      <c r="B5637" s="186" t="s">
        <v>10324</v>
      </c>
      <c r="C5637" s="190" t="s">
        <v>10325</v>
      </c>
      <c r="D5637" s="191">
        <v>88006.75</v>
      </c>
      <c r="E5637" s="191">
        <v>48303.96</v>
      </c>
      <c r="F5637" s="191">
        <v>27024.799999999999</v>
      </c>
      <c r="G5637" s="191">
        <v>12677.99</v>
      </c>
      <c r="H5637" s="192">
        <v>762370.06</v>
      </c>
      <c r="I5637" s="192">
        <v>555516.56000000006</v>
      </c>
      <c r="J5637" s="192">
        <v>141463.19</v>
      </c>
      <c r="K5637" s="192">
        <v>65390.31</v>
      </c>
      <c r="L5637" s="43">
        <v>8.6626316731387085</v>
      </c>
      <c r="M5637" s="43">
        <v>11.500435161009575</v>
      </c>
      <c r="N5637" s="43">
        <v>5.2345693585151416</v>
      </c>
      <c r="O5637" s="43">
        <v>5.1577821089936178</v>
      </c>
      <c r="P5637" s="193"/>
      <c r="Q5637" s="193"/>
      <c r="R5637" s="193">
        <v>2</v>
      </c>
    </row>
    <row r="5638" spans="1:18" ht="12.75" customHeight="1">
      <c r="A5638" s="628" t="s">
        <v>10326</v>
      </c>
      <c r="B5638" s="629"/>
      <c r="C5638" s="629"/>
      <c r="D5638" s="629"/>
      <c r="E5638" s="629"/>
      <c r="F5638" s="629"/>
      <c r="G5638" s="629"/>
      <c r="H5638" s="629"/>
      <c r="I5638" s="629"/>
      <c r="J5638" s="629"/>
      <c r="K5638" s="629"/>
      <c r="L5638" s="629"/>
      <c r="M5638" s="629"/>
      <c r="N5638" s="629"/>
      <c r="O5638" s="629"/>
      <c r="P5638" s="629"/>
      <c r="Q5638" s="629"/>
      <c r="R5638" s="629"/>
    </row>
    <row r="5639" spans="1:18" ht="12.75" customHeight="1">
      <c r="A5639" s="628" t="s">
        <v>10327</v>
      </c>
      <c r="B5639" s="629"/>
      <c r="C5639" s="629"/>
      <c r="D5639" s="629"/>
      <c r="E5639" s="629"/>
      <c r="F5639" s="629"/>
      <c r="G5639" s="629"/>
      <c r="H5639" s="629"/>
      <c r="I5639" s="629"/>
      <c r="J5639" s="629"/>
      <c r="K5639" s="629"/>
      <c r="L5639" s="629"/>
      <c r="M5639" s="629"/>
      <c r="N5639" s="629"/>
      <c r="O5639" s="629"/>
      <c r="P5639" s="629"/>
      <c r="Q5639" s="629"/>
      <c r="R5639" s="629"/>
    </row>
    <row r="5640" spans="1:18" ht="60">
      <c r="A5640" s="189">
        <v>537</v>
      </c>
      <c r="B5640" s="186" t="s">
        <v>10328</v>
      </c>
      <c r="C5640" s="190" t="s">
        <v>10329</v>
      </c>
      <c r="D5640" s="191">
        <v>190.19</v>
      </c>
      <c r="E5640" s="191">
        <v>103.41</v>
      </c>
      <c r="F5640" s="191"/>
      <c r="G5640" s="191">
        <v>86.78</v>
      </c>
      <c r="H5640" s="192">
        <v>1526</v>
      </c>
      <c r="I5640" s="192">
        <v>1189.26</v>
      </c>
      <c r="J5640" s="192"/>
      <c r="K5640" s="192">
        <v>336.74</v>
      </c>
      <c r="L5640" s="43">
        <v>8.0235553919764442</v>
      </c>
      <c r="M5640" s="43">
        <v>11.500435161009573</v>
      </c>
      <c r="N5640" s="43" t="s">
        <v>1690</v>
      </c>
      <c r="O5640" s="43">
        <v>3.8803871859875549</v>
      </c>
      <c r="P5640" s="193"/>
      <c r="Q5640" s="193"/>
      <c r="R5640" s="193">
        <v>1</v>
      </c>
    </row>
    <row r="5641" spans="1:18" ht="60">
      <c r="A5641" s="189">
        <v>538</v>
      </c>
      <c r="B5641" s="186" t="s">
        <v>10330</v>
      </c>
      <c r="C5641" s="190" t="s">
        <v>10331</v>
      </c>
      <c r="D5641" s="191">
        <v>219.64</v>
      </c>
      <c r="E5641" s="191">
        <v>114.9</v>
      </c>
      <c r="F5641" s="191"/>
      <c r="G5641" s="191">
        <v>104.74</v>
      </c>
      <c r="H5641" s="192">
        <v>1742.72</v>
      </c>
      <c r="I5641" s="192">
        <v>1321.4</v>
      </c>
      <c r="J5641" s="192"/>
      <c r="K5641" s="192">
        <v>421.32</v>
      </c>
      <c r="L5641" s="43">
        <v>7.9344381715534515</v>
      </c>
      <c r="M5641" s="43">
        <v>11.500435161009573</v>
      </c>
      <c r="N5641" s="43" t="s">
        <v>1690</v>
      </c>
      <c r="O5641" s="43">
        <v>4.0225319839602829</v>
      </c>
      <c r="P5641" s="193"/>
      <c r="Q5641" s="193"/>
      <c r="R5641" s="193">
        <v>1</v>
      </c>
    </row>
    <row r="5642" spans="1:18" ht="60">
      <c r="A5642" s="189">
        <v>539</v>
      </c>
      <c r="B5642" s="186" t="s">
        <v>10332</v>
      </c>
      <c r="C5642" s="190" t="s">
        <v>10333</v>
      </c>
      <c r="D5642" s="191">
        <v>390.32</v>
      </c>
      <c r="E5642" s="191">
        <v>188.62</v>
      </c>
      <c r="F5642" s="191">
        <v>94.53</v>
      </c>
      <c r="G5642" s="191">
        <v>107.17</v>
      </c>
      <c r="H5642" s="192">
        <v>3102.09</v>
      </c>
      <c r="I5642" s="192">
        <v>2169.08</v>
      </c>
      <c r="J5642" s="192">
        <v>490.31</v>
      </c>
      <c r="K5642" s="192">
        <v>442.7</v>
      </c>
      <c r="L5642" s="43">
        <v>7.9475558516089366</v>
      </c>
      <c r="M5642" s="43">
        <v>11.499734916763863</v>
      </c>
      <c r="N5642" s="43">
        <v>5.1868189992594944</v>
      </c>
      <c r="O5642" s="43">
        <v>4.1308201922179713</v>
      </c>
      <c r="P5642" s="193"/>
      <c r="Q5642" s="193"/>
      <c r="R5642" s="193">
        <v>1</v>
      </c>
    </row>
    <row r="5643" spans="1:18" ht="60">
      <c r="A5643" s="189">
        <v>540</v>
      </c>
      <c r="B5643" s="186" t="s">
        <v>10334</v>
      </c>
      <c r="C5643" s="190" t="s">
        <v>10335</v>
      </c>
      <c r="D5643" s="191">
        <v>426.79</v>
      </c>
      <c r="E5643" s="191">
        <v>212.46</v>
      </c>
      <c r="F5643" s="191">
        <v>106.49</v>
      </c>
      <c r="G5643" s="191">
        <v>107.84</v>
      </c>
      <c r="H5643" s="192">
        <v>3444.28</v>
      </c>
      <c r="I5643" s="192">
        <v>2443.34</v>
      </c>
      <c r="J5643" s="192">
        <v>552.30999999999995</v>
      </c>
      <c r="K5643" s="192">
        <v>448.63</v>
      </c>
      <c r="L5643" s="43">
        <v>8.0701984582581598</v>
      </c>
      <c r="M5643" s="43">
        <v>11.500235338416644</v>
      </c>
      <c r="N5643" s="43">
        <v>5.1864963846370546</v>
      </c>
      <c r="O5643" s="43">
        <v>4.1601446587537092</v>
      </c>
      <c r="P5643" s="193"/>
      <c r="Q5643" s="193"/>
      <c r="R5643" s="193">
        <v>1</v>
      </c>
    </row>
    <row r="5644" spans="1:18" ht="60">
      <c r="A5644" s="189">
        <v>541</v>
      </c>
      <c r="B5644" s="186" t="s">
        <v>10336</v>
      </c>
      <c r="C5644" s="190" t="s">
        <v>10337</v>
      </c>
      <c r="D5644" s="191">
        <v>71.58</v>
      </c>
      <c r="E5644" s="191">
        <v>65.040000000000006</v>
      </c>
      <c r="F5644" s="191"/>
      <c r="G5644" s="191">
        <v>6.54</v>
      </c>
      <c r="H5644" s="192">
        <v>787.01</v>
      </c>
      <c r="I5644" s="192">
        <v>747.96</v>
      </c>
      <c r="J5644" s="192"/>
      <c r="K5644" s="192">
        <v>39.049999999999997</v>
      </c>
      <c r="L5644" s="43">
        <v>10.99483095836826</v>
      </c>
      <c r="M5644" s="43">
        <v>11.5</v>
      </c>
      <c r="N5644" s="43" t="s">
        <v>1690</v>
      </c>
      <c r="O5644" s="43">
        <v>5.970948012232415</v>
      </c>
      <c r="P5644" s="193"/>
      <c r="Q5644" s="193"/>
      <c r="R5644" s="193">
        <v>1</v>
      </c>
    </row>
    <row r="5645" spans="1:18" ht="60">
      <c r="A5645" s="189">
        <v>542</v>
      </c>
      <c r="B5645" s="186" t="s">
        <v>10338</v>
      </c>
      <c r="C5645" s="190" t="s">
        <v>10339</v>
      </c>
      <c r="D5645" s="191">
        <v>85.11</v>
      </c>
      <c r="E5645" s="191">
        <v>75.88</v>
      </c>
      <c r="F5645" s="191"/>
      <c r="G5645" s="191">
        <v>9.23</v>
      </c>
      <c r="H5645" s="192">
        <v>926.82</v>
      </c>
      <c r="I5645" s="192">
        <v>872.62</v>
      </c>
      <c r="J5645" s="192"/>
      <c r="K5645" s="192">
        <v>54.2</v>
      </c>
      <c r="L5645" s="43">
        <v>10.889672188931971</v>
      </c>
      <c r="M5645" s="43">
        <v>11.5</v>
      </c>
      <c r="N5645" s="43" t="s">
        <v>1690</v>
      </c>
      <c r="O5645" s="43">
        <v>5.8721560130010833</v>
      </c>
      <c r="P5645" s="193"/>
      <c r="Q5645" s="193"/>
      <c r="R5645" s="193">
        <v>1</v>
      </c>
    </row>
    <row r="5646" spans="1:18" ht="60">
      <c r="A5646" s="189">
        <v>543</v>
      </c>
      <c r="B5646" s="186" t="s">
        <v>10340</v>
      </c>
      <c r="C5646" s="190" t="s">
        <v>10341</v>
      </c>
      <c r="D5646" s="191">
        <v>201.1</v>
      </c>
      <c r="E5646" s="191">
        <v>130.08000000000001</v>
      </c>
      <c r="F5646" s="191">
        <v>59.76</v>
      </c>
      <c r="G5646" s="191">
        <v>11.26</v>
      </c>
      <c r="H5646" s="192">
        <v>1876.98</v>
      </c>
      <c r="I5646" s="192">
        <v>1495.92</v>
      </c>
      <c r="J5646" s="192">
        <v>309.97000000000003</v>
      </c>
      <c r="K5646" s="192">
        <v>71.09</v>
      </c>
      <c r="L5646" s="43">
        <v>9.3335653903530584</v>
      </c>
      <c r="M5646" s="43">
        <v>11.5</v>
      </c>
      <c r="N5646" s="43">
        <v>5.1869143239625171</v>
      </c>
      <c r="O5646" s="43">
        <v>6.3134991119005335</v>
      </c>
      <c r="P5646" s="193"/>
      <c r="Q5646" s="193"/>
      <c r="R5646" s="193">
        <v>1</v>
      </c>
    </row>
    <row r="5647" spans="1:18" ht="60">
      <c r="A5647" s="189">
        <v>544</v>
      </c>
      <c r="B5647" s="186" t="s">
        <v>10342</v>
      </c>
      <c r="C5647" s="190" t="s">
        <v>10343</v>
      </c>
      <c r="D5647" s="191">
        <v>201.3</v>
      </c>
      <c r="E5647" s="191">
        <v>130.08000000000001</v>
      </c>
      <c r="F5647" s="191">
        <v>59.76</v>
      </c>
      <c r="G5647" s="191">
        <v>11.46</v>
      </c>
      <c r="H5647" s="192">
        <v>1877.39</v>
      </c>
      <c r="I5647" s="192">
        <v>1495.92</v>
      </c>
      <c r="J5647" s="192">
        <v>309.97000000000003</v>
      </c>
      <c r="K5647" s="192">
        <v>71.5</v>
      </c>
      <c r="L5647" s="43">
        <v>9.3263288623944369</v>
      </c>
      <c r="M5647" s="43">
        <v>11.5</v>
      </c>
      <c r="N5647" s="43">
        <v>5.1869143239625171</v>
      </c>
      <c r="O5647" s="43">
        <v>6.2390924956369975</v>
      </c>
      <c r="P5647" s="193"/>
      <c r="Q5647" s="193"/>
      <c r="R5647" s="193">
        <v>1</v>
      </c>
    </row>
    <row r="5648" spans="1:18" ht="60">
      <c r="A5648" s="189">
        <v>545</v>
      </c>
      <c r="B5648" s="186" t="s">
        <v>10344</v>
      </c>
      <c r="C5648" s="190" t="s">
        <v>10345</v>
      </c>
      <c r="D5648" s="191">
        <v>75.97</v>
      </c>
      <c r="E5648" s="191">
        <v>68.94</v>
      </c>
      <c r="F5648" s="191"/>
      <c r="G5648" s="191">
        <v>7.03</v>
      </c>
      <c r="H5648" s="192">
        <v>832.3</v>
      </c>
      <c r="I5648" s="192">
        <v>792.84</v>
      </c>
      <c r="J5648" s="192"/>
      <c r="K5648" s="192">
        <v>39.46</v>
      </c>
      <c r="L5648" s="43">
        <v>10.955640384362248</v>
      </c>
      <c r="M5648" s="43">
        <v>11.500435161009575</v>
      </c>
      <c r="N5648" s="43" t="s">
        <v>1690</v>
      </c>
      <c r="O5648" s="43">
        <v>5.613086770981508</v>
      </c>
      <c r="P5648" s="193"/>
      <c r="Q5648" s="193"/>
      <c r="R5648" s="193">
        <v>1</v>
      </c>
    </row>
    <row r="5649" spans="1:18" ht="60">
      <c r="A5649" s="189">
        <v>546</v>
      </c>
      <c r="B5649" s="186" t="s">
        <v>10346</v>
      </c>
      <c r="C5649" s="190" t="s">
        <v>10347</v>
      </c>
      <c r="D5649" s="191">
        <v>135.4</v>
      </c>
      <c r="E5649" s="191">
        <v>75.88</v>
      </c>
      <c r="F5649" s="191"/>
      <c r="G5649" s="191">
        <v>59.52</v>
      </c>
      <c r="H5649" s="192">
        <v>1094.5999999999999</v>
      </c>
      <c r="I5649" s="192">
        <v>872.62</v>
      </c>
      <c r="J5649" s="192"/>
      <c r="K5649" s="192">
        <v>221.98</v>
      </c>
      <c r="L5649" s="43">
        <v>8.0841949778434259</v>
      </c>
      <c r="M5649" s="43">
        <v>11.5</v>
      </c>
      <c r="N5649" s="43" t="s">
        <v>1690</v>
      </c>
      <c r="O5649" s="43">
        <v>3.7295026881720426</v>
      </c>
      <c r="P5649" s="193"/>
      <c r="Q5649" s="193"/>
      <c r="R5649" s="193">
        <v>1</v>
      </c>
    </row>
    <row r="5650" spans="1:18" ht="60">
      <c r="A5650" s="189">
        <v>547</v>
      </c>
      <c r="B5650" s="186" t="s">
        <v>10348</v>
      </c>
      <c r="C5650" s="190" t="s">
        <v>10349</v>
      </c>
      <c r="D5650" s="191">
        <v>137.66999999999999</v>
      </c>
      <c r="E5650" s="191">
        <v>75.88</v>
      </c>
      <c r="F5650" s="191"/>
      <c r="G5650" s="191">
        <v>61.79</v>
      </c>
      <c r="H5650" s="192">
        <v>1106.81</v>
      </c>
      <c r="I5650" s="192">
        <v>872.62</v>
      </c>
      <c r="J5650" s="192"/>
      <c r="K5650" s="192">
        <v>234.19</v>
      </c>
      <c r="L5650" s="43">
        <v>8.0395874191908181</v>
      </c>
      <c r="M5650" s="43">
        <v>11.5</v>
      </c>
      <c r="N5650" s="43" t="s">
        <v>1690</v>
      </c>
      <c r="O5650" s="43">
        <v>3.7900954847062631</v>
      </c>
      <c r="P5650" s="193"/>
      <c r="Q5650" s="193"/>
      <c r="R5650" s="193">
        <v>1</v>
      </c>
    </row>
    <row r="5651" spans="1:18" ht="12.75" customHeight="1">
      <c r="A5651" s="628" t="s">
        <v>10350</v>
      </c>
      <c r="B5651" s="629"/>
      <c r="C5651" s="629"/>
      <c r="D5651" s="629"/>
      <c r="E5651" s="629"/>
      <c r="F5651" s="629"/>
      <c r="G5651" s="629"/>
      <c r="H5651" s="629"/>
      <c r="I5651" s="629"/>
      <c r="J5651" s="629"/>
      <c r="K5651" s="629"/>
      <c r="L5651" s="629"/>
      <c r="M5651" s="629"/>
      <c r="N5651" s="629"/>
      <c r="O5651" s="629"/>
      <c r="P5651" s="629"/>
      <c r="Q5651" s="629"/>
      <c r="R5651" s="629"/>
    </row>
    <row r="5652" spans="1:18" ht="24">
      <c r="A5652" s="189">
        <v>548</v>
      </c>
      <c r="B5652" s="186" t="s">
        <v>10351</v>
      </c>
      <c r="C5652" s="190" t="s">
        <v>10352</v>
      </c>
      <c r="D5652" s="191">
        <v>200.69</v>
      </c>
      <c r="E5652" s="191">
        <v>103.41</v>
      </c>
      <c r="F5652" s="191"/>
      <c r="G5652" s="191">
        <v>97.28</v>
      </c>
      <c r="H5652" s="192">
        <v>1600.92</v>
      </c>
      <c r="I5652" s="192">
        <v>1189.26</v>
      </c>
      <c r="J5652" s="192"/>
      <c r="K5652" s="192">
        <v>411.66</v>
      </c>
      <c r="L5652" s="43">
        <v>7.977079077183717</v>
      </c>
      <c r="M5652" s="43">
        <v>11.500435161009573</v>
      </c>
      <c r="N5652" s="43" t="s">
        <v>1690</v>
      </c>
      <c r="O5652" s="43">
        <v>4.2317023026315788</v>
      </c>
      <c r="P5652" s="193"/>
      <c r="Q5652" s="193"/>
      <c r="R5652" s="193">
        <v>2</v>
      </c>
    </row>
    <row r="5653" spans="1:18" ht="24">
      <c r="A5653" s="189">
        <v>549</v>
      </c>
      <c r="B5653" s="186" t="s">
        <v>10353</v>
      </c>
      <c r="C5653" s="190" t="s">
        <v>10354</v>
      </c>
      <c r="D5653" s="191">
        <v>372.57</v>
      </c>
      <c r="E5653" s="191">
        <v>177.78</v>
      </c>
      <c r="F5653" s="191">
        <v>82.58</v>
      </c>
      <c r="G5653" s="191">
        <v>112.21</v>
      </c>
      <c r="H5653" s="192">
        <v>2951.97</v>
      </c>
      <c r="I5653" s="192">
        <v>2044.42</v>
      </c>
      <c r="J5653" s="192">
        <v>428.32</v>
      </c>
      <c r="K5653" s="192">
        <v>479.23</v>
      </c>
      <c r="L5653" s="43">
        <v>7.9232627425718656</v>
      </c>
      <c r="M5653" s="43">
        <v>11.499718753515582</v>
      </c>
      <c r="N5653" s="43">
        <v>5.1867280213126667</v>
      </c>
      <c r="O5653" s="43">
        <v>4.2708314766954825</v>
      </c>
      <c r="P5653" s="193"/>
      <c r="Q5653" s="193"/>
      <c r="R5653" s="193">
        <v>2</v>
      </c>
    </row>
    <row r="5654" spans="1:18" ht="24">
      <c r="A5654" s="189">
        <v>550</v>
      </c>
      <c r="B5654" s="186" t="s">
        <v>10355</v>
      </c>
      <c r="C5654" s="190" t="s">
        <v>10356</v>
      </c>
      <c r="D5654" s="191">
        <v>647.55999999999995</v>
      </c>
      <c r="E5654" s="191">
        <v>295.93</v>
      </c>
      <c r="F5654" s="191">
        <v>147.78</v>
      </c>
      <c r="G5654" s="191">
        <v>203.85</v>
      </c>
      <c r="H5654" s="192">
        <v>4915.83</v>
      </c>
      <c r="I5654" s="192">
        <v>3403.22</v>
      </c>
      <c r="J5654" s="192">
        <v>766.47</v>
      </c>
      <c r="K5654" s="192">
        <v>746.14</v>
      </c>
      <c r="L5654" s="43">
        <v>7.5913120019766511</v>
      </c>
      <c r="M5654" s="43">
        <v>11.500084479437703</v>
      </c>
      <c r="N5654" s="43">
        <v>5.1865611043442961</v>
      </c>
      <c r="O5654" s="43">
        <v>3.6602403728231545</v>
      </c>
      <c r="P5654" s="193"/>
      <c r="Q5654" s="193"/>
      <c r="R5654" s="193">
        <v>2</v>
      </c>
    </row>
    <row r="5655" spans="1:18" ht="24">
      <c r="A5655" s="189">
        <v>551</v>
      </c>
      <c r="B5655" s="186" t="s">
        <v>10357</v>
      </c>
      <c r="C5655" s="190" t="s">
        <v>10358</v>
      </c>
      <c r="D5655" s="191">
        <v>696.59</v>
      </c>
      <c r="E5655" s="191">
        <v>318.7</v>
      </c>
      <c r="F5655" s="191">
        <v>159.72999999999999</v>
      </c>
      <c r="G5655" s="191">
        <v>218.16</v>
      </c>
      <c r="H5655" s="192">
        <v>5301.75</v>
      </c>
      <c r="I5655" s="192">
        <v>3665</v>
      </c>
      <c r="J5655" s="192">
        <v>828.46</v>
      </c>
      <c r="K5655" s="192">
        <v>808.29</v>
      </c>
      <c r="L5655" s="43">
        <v>7.6110050388320243</v>
      </c>
      <c r="M5655" s="43">
        <v>11.499843112645122</v>
      </c>
      <c r="N5655" s="43">
        <v>5.1866274337945288</v>
      </c>
      <c r="O5655" s="43">
        <v>3.70503300330033</v>
      </c>
      <c r="P5655" s="193"/>
      <c r="Q5655" s="193"/>
      <c r="R5655" s="193">
        <v>2</v>
      </c>
    </row>
    <row r="5656" spans="1:18" ht="24">
      <c r="A5656" s="189">
        <v>552</v>
      </c>
      <c r="B5656" s="186" t="s">
        <v>10359</v>
      </c>
      <c r="C5656" s="190" t="s">
        <v>10360</v>
      </c>
      <c r="D5656" s="191">
        <v>986.23</v>
      </c>
      <c r="E5656" s="191">
        <v>484.55</v>
      </c>
      <c r="F5656" s="191">
        <v>247.19</v>
      </c>
      <c r="G5656" s="191">
        <v>254.49</v>
      </c>
      <c r="H5656" s="192">
        <v>7836.75</v>
      </c>
      <c r="I5656" s="192">
        <v>5572.3</v>
      </c>
      <c r="J5656" s="192">
        <v>1277.45</v>
      </c>
      <c r="K5656" s="192">
        <v>987</v>
      </c>
      <c r="L5656" s="43">
        <v>7.9461687435993626</v>
      </c>
      <c r="M5656" s="43">
        <v>11.499948405737282</v>
      </c>
      <c r="N5656" s="43">
        <v>5.1678870504470247</v>
      </c>
      <c r="O5656" s="43">
        <v>3.8783449251444062</v>
      </c>
      <c r="P5656" s="193"/>
      <c r="Q5656" s="193"/>
      <c r="R5656" s="193">
        <v>2</v>
      </c>
    </row>
    <row r="5657" spans="1:18" ht="12.75" customHeight="1">
      <c r="A5657" s="628" t="s">
        <v>10361</v>
      </c>
      <c r="B5657" s="629"/>
      <c r="C5657" s="629"/>
      <c r="D5657" s="629"/>
      <c r="E5657" s="629"/>
      <c r="F5657" s="629"/>
      <c r="G5657" s="629"/>
      <c r="H5657" s="629"/>
      <c r="I5657" s="629"/>
      <c r="J5657" s="629"/>
      <c r="K5657" s="629"/>
      <c r="L5657" s="629"/>
      <c r="M5657" s="629"/>
      <c r="N5657" s="629"/>
      <c r="O5657" s="629"/>
      <c r="P5657" s="629"/>
      <c r="Q5657" s="629"/>
      <c r="R5657" s="629"/>
    </row>
    <row r="5658" spans="1:18" ht="12.75" customHeight="1">
      <c r="A5658" s="628" t="s">
        <v>10362</v>
      </c>
      <c r="B5658" s="629"/>
      <c r="C5658" s="629"/>
      <c r="D5658" s="629"/>
      <c r="E5658" s="629"/>
      <c r="F5658" s="629"/>
      <c r="G5658" s="629"/>
      <c r="H5658" s="629"/>
      <c r="I5658" s="629"/>
      <c r="J5658" s="629"/>
      <c r="K5658" s="629"/>
      <c r="L5658" s="629"/>
      <c r="M5658" s="629"/>
      <c r="N5658" s="629"/>
      <c r="O5658" s="629"/>
      <c r="P5658" s="629"/>
      <c r="Q5658" s="629"/>
      <c r="R5658" s="629"/>
    </row>
    <row r="5659" spans="1:18" ht="36">
      <c r="A5659" s="189">
        <v>553</v>
      </c>
      <c r="B5659" s="186" t="s">
        <v>10363</v>
      </c>
      <c r="C5659" s="190" t="s">
        <v>10364</v>
      </c>
      <c r="D5659" s="191">
        <v>223.19</v>
      </c>
      <c r="E5659" s="191">
        <v>142</v>
      </c>
      <c r="F5659" s="191">
        <v>70.63</v>
      </c>
      <c r="G5659" s="191">
        <v>10.56</v>
      </c>
      <c r="H5659" s="192">
        <v>2057.19</v>
      </c>
      <c r="I5659" s="192">
        <v>1633.05</v>
      </c>
      <c r="J5659" s="192">
        <v>366.33</v>
      </c>
      <c r="K5659" s="192">
        <v>57.81</v>
      </c>
      <c r="L5659" s="43">
        <v>9.217214032886778</v>
      </c>
      <c r="M5659" s="43">
        <v>11.500352112676056</v>
      </c>
      <c r="N5659" s="43">
        <v>5.186606257964038</v>
      </c>
      <c r="O5659" s="43">
        <v>5.4744318181818183</v>
      </c>
      <c r="P5659" s="193"/>
      <c r="Q5659" s="193"/>
      <c r="R5659" s="193">
        <v>1</v>
      </c>
    </row>
    <row r="5660" spans="1:18" ht="12.75" customHeight="1">
      <c r="A5660" s="628" t="s">
        <v>10365</v>
      </c>
      <c r="B5660" s="629"/>
      <c r="C5660" s="629"/>
      <c r="D5660" s="629"/>
      <c r="E5660" s="629"/>
      <c r="F5660" s="629"/>
      <c r="G5660" s="629"/>
      <c r="H5660" s="629"/>
      <c r="I5660" s="629"/>
      <c r="J5660" s="629"/>
      <c r="K5660" s="629"/>
      <c r="L5660" s="629"/>
      <c r="M5660" s="629"/>
      <c r="N5660" s="629"/>
      <c r="O5660" s="629"/>
      <c r="P5660" s="629"/>
      <c r="Q5660" s="629"/>
      <c r="R5660" s="629"/>
    </row>
    <row r="5661" spans="1:18" ht="24">
      <c r="A5661" s="189">
        <v>554</v>
      </c>
      <c r="B5661" s="186" t="s">
        <v>10366</v>
      </c>
      <c r="C5661" s="190" t="s">
        <v>10367</v>
      </c>
      <c r="D5661" s="191">
        <v>12217.23</v>
      </c>
      <c r="E5661" s="191">
        <v>7583.4</v>
      </c>
      <c r="F5661" s="191">
        <v>3577.09</v>
      </c>
      <c r="G5661" s="191">
        <v>1056.74</v>
      </c>
      <c r="H5661" s="192">
        <v>110770.79</v>
      </c>
      <c r="I5661" s="192">
        <v>87212.4</v>
      </c>
      <c r="J5661" s="192">
        <v>18553.05</v>
      </c>
      <c r="K5661" s="192">
        <v>5005.34</v>
      </c>
      <c r="L5661" s="43">
        <v>9.0667679989653962</v>
      </c>
      <c r="M5661" s="43">
        <v>11.500435161009573</v>
      </c>
      <c r="N5661" s="43">
        <v>5.1866321507146864</v>
      </c>
      <c r="O5661" s="43">
        <v>4.7365861044343927</v>
      </c>
      <c r="P5661" s="193"/>
      <c r="Q5661" s="193"/>
      <c r="R5661" s="193">
        <v>2</v>
      </c>
    </row>
    <row r="5662" spans="1:18" ht="12.75" customHeight="1">
      <c r="A5662" s="628" t="s">
        <v>10368</v>
      </c>
      <c r="B5662" s="629"/>
      <c r="C5662" s="629"/>
      <c r="D5662" s="629"/>
      <c r="E5662" s="629"/>
      <c r="F5662" s="629"/>
      <c r="G5662" s="629"/>
      <c r="H5662" s="629"/>
      <c r="I5662" s="629"/>
      <c r="J5662" s="629"/>
      <c r="K5662" s="629"/>
      <c r="L5662" s="629"/>
      <c r="M5662" s="629"/>
      <c r="N5662" s="629"/>
      <c r="O5662" s="629"/>
      <c r="P5662" s="629"/>
      <c r="Q5662" s="629"/>
      <c r="R5662" s="629"/>
    </row>
    <row r="5663" spans="1:18" ht="24">
      <c r="A5663" s="189">
        <v>555</v>
      </c>
      <c r="B5663" s="186" t="s">
        <v>10369</v>
      </c>
      <c r="C5663" s="190" t="s">
        <v>10370</v>
      </c>
      <c r="D5663" s="191">
        <v>18477.080000000002</v>
      </c>
      <c r="E5663" s="191">
        <v>10697.19</v>
      </c>
      <c r="F5663" s="191">
        <v>5104.7700000000004</v>
      </c>
      <c r="G5663" s="191">
        <v>2675.12</v>
      </c>
      <c r="H5663" s="192">
        <v>158893.17000000001</v>
      </c>
      <c r="I5663" s="192">
        <v>123022.34</v>
      </c>
      <c r="J5663" s="192">
        <v>26476.67</v>
      </c>
      <c r="K5663" s="192">
        <v>9394.16</v>
      </c>
      <c r="L5663" s="43">
        <v>8.5994740510946528</v>
      </c>
      <c r="M5663" s="43">
        <v>11.500435161009573</v>
      </c>
      <c r="N5663" s="43">
        <v>5.1866528756437598</v>
      </c>
      <c r="O5663" s="43">
        <v>3.5116779808008616</v>
      </c>
      <c r="P5663" s="193"/>
      <c r="Q5663" s="193"/>
      <c r="R5663" s="193">
        <v>3</v>
      </c>
    </row>
    <row r="5664" spans="1:18" ht="12.75" customHeight="1">
      <c r="A5664" s="628" t="s">
        <v>10371</v>
      </c>
      <c r="B5664" s="629"/>
      <c r="C5664" s="629"/>
      <c r="D5664" s="629"/>
      <c r="E5664" s="629"/>
      <c r="F5664" s="629"/>
      <c r="G5664" s="629"/>
      <c r="H5664" s="629"/>
      <c r="I5664" s="629"/>
      <c r="J5664" s="629"/>
      <c r="K5664" s="629"/>
      <c r="L5664" s="629"/>
      <c r="M5664" s="629"/>
      <c r="N5664" s="629"/>
      <c r="O5664" s="629"/>
      <c r="P5664" s="629"/>
      <c r="Q5664" s="629"/>
      <c r="R5664" s="629"/>
    </row>
    <row r="5665" spans="1:18" ht="12.75" customHeight="1">
      <c r="A5665" s="628" t="s">
        <v>10372</v>
      </c>
      <c r="B5665" s="629"/>
      <c r="C5665" s="629"/>
      <c r="D5665" s="629"/>
      <c r="E5665" s="629"/>
      <c r="F5665" s="629"/>
      <c r="G5665" s="629"/>
      <c r="H5665" s="629"/>
      <c r="I5665" s="629"/>
      <c r="J5665" s="629"/>
      <c r="K5665" s="629"/>
      <c r="L5665" s="629"/>
      <c r="M5665" s="629"/>
      <c r="N5665" s="629"/>
      <c r="O5665" s="629"/>
      <c r="P5665" s="629"/>
      <c r="Q5665" s="629"/>
      <c r="R5665" s="629"/>
    </row>
    <row r="5666" spans="1:18" ht="36">
      <c r="A5666" s="189">
        <v>556</v>
      </c>
      <c r="B5666" s="186" t="s">
        <v>10373</v>
      </c>
      <c r="C5666" s="190" t="s">
        <v>10374</v>
      </c>
      <c r="D5666" s="191">
        <v>27.03</v>
      </c>
      <c r="E5666" s="191">
        <v>26.5</v>
      </c>
      <c r="F5666" s="191"/>
      <c r="G5666" s="191">
        <v>0.53</v>
      </c>
      <c r="H5666" s="192">
        <v>310.86</v>
      </c>
      <c r="I5666" s="192">
        <v>304.76</v>
      </c>
      <c r="J5666" s="192"/>
      <c r="K5666" s="192">
        <v>6.1</v>
      </c>
      <c r="L5666" s="43">
        <v>11.500554938956714</v>
      </c>
      <c r="M5666" s="43">
        <v>11.500377358490566</v>
      </c>
      <c r="N5666" s="43" t="s">
        <v>1690</v>
      </c>
      <c r="O5666" s="43">
        <v>11.5</v>
      </c>
      <c r="P5666" s="193"/>
      <c r="Q5666" s="193"/>
      <c r="R5666" s="193">
        <v>1</v>
      </c>
    </row>
    <row r="5667" spans="1:18" ht="36">
      <c r="A5667" s="189">
        <v>557</v>
      </c>
      <c r="B5667" s="186" t="s">
        <v>10375</v>
      </c>
      <c r="C5667" s="190" t="s">
        <v>10376</v>
      </c>
      <c r="D5667" s="191">
        <v>46.88</v>
      </c>
      <c r="E5667" s="191">
        <v>45.96</v>
      </c>
      <c r="F5667" s="191"/>
      <c r="G5667" s="191">
        <v>0.92</v>
      </c>
      <c r="H5667" s="192">
        <v>539.14</v>
      </c>
      <c r="I5667" s="192">
        <v>528.55999999999995</v>
      </c>
      <c r="J5667" s="192"/>
      <c r="K5667" s="192">
        <v>10.58</v>
      </c>
      <c r="L5667" s="43">
        <v>11.500426621160409</v>
      </c>
      <c r="M5667" s="43">
        <v>11.500435161009571</v>
      </c>
      <c r="N5667" s="43" t="s">
        <v>1690</v>
      </c>
      <c r="O5667" s="43">
        <v>11.5</v>
      </c>
      <c r="P5667" s="193"/>
      <c r="Q5667" s="193"/>
      <c r="R5667" s="193">
        <v>1</v>
      </c>
    </row>
    <row r="5668" spans="1:18" ht="36">
      <c r="A5668" s="189">
        <v>558</v>
      </c>
      <c r="B5668" s="186" t="s">
        <v>10377</v>
      </c>
      <c r="C5668" s="190" t="s">
        <v>10378</v>
      </c>
      <c r="D5668" s="191">
        <v>58.6</v>
      </c>
      <c r="E5668" s="191">
        <v>57.45</v>
      </c>
      <c r="F5668" s="191"/>
      <c r="G5668" s="191">
        <v>1.1499999999999999</v>
      </c>
      <c r="H5668" s="192">
        <v>673.93</v>
      </c>
      <c r="I5668" s="192">
        <v>660.7</v>
      </c>
      <c r="J5668" s="192"/>
      <c r="K5668" s="192">
        <v>13.23</v>
      </c>
      <c r="L5668" s="43">
        <v>11.500511945392491</v>
      </c>
      <c r="M5668" s="43">
        <v>11.500435161009573</v>
      </c>
      <c r="N5668" s="43" t="s">
        <v>1690</v>
      </c>
      <c r="O5668" s="43">
        <v>11.504347826086958</v>
      </c>
      <c r="P5668" s="193"/>
      <c r="Q5668" s="193"/>
      <c r="R5668" s="193">
        <v>1</v>
      </c>
    </row>
    <row r="5669" spans="1:18" ht="36">
      <c r="A5669" s="189">
        <v>559</v>
      </c>
      <c r="B5669" s="186" t="s">
        <v>10379</v>
      </c>
      <c r="C5669" s="190" t="s">
        <v>10380</v>
      </c>
      <c r="D5669" s="191">
        <v>67.58</v>
      </c>
      <c r="E5669" s="191">
        <v>66.25</v>
      </c>
      <c r="F5669" s="191"/>
      <c r="G5669" s="191">
        <v>1.33</v>
      </c>
      <c r="H5669" s="192">
        <v>777.2</v>
      </c>
      <c r="I5669" s="192">
        <v>761.9</v>
      </c>
      <c r="J5669" s="192"/>
      <c r="K5669" s="192">
        <v>15.3</v>
      </c>
      <c r="L5669" s="43">
        <v>11.50044391831903</v>
      </c>
      <c r="M5669" s="43">
        <v>11.500377358490566</v>
      </c>
      <c r="N5669" s="43" t="s">
        <v>1690</v>
      </c>
      <c r="O5669" s="43">
        <v>11.503759398496241</v>
      </c>
      <c r="P5669" s="193"/>
      <c r="Q5669" s="193"/>
      <c r="R5669" s="193">
        <v>1</v>
      </c>
    </row>
    <row r="5670" spans="1:18" ht="36">
      <c r="A5670" s="189">
        <v>560</v>
      </c>
      <c r="B5670" s="186" t="s">
        <v>10381</v>
      </c>
      <c r="C5670" s="190" t="s">
        <v>10382</v>
      </c>
      <c r="D5670" s="191">
        <v>55.28</v>
      </c>
      <c r="E5670" s="191">
        <v>54.2</v>
      </c>
      <c r="F5670" s="191"/>
      <c r="G5670" s="191">
        <v>1.08</v>
      </c>
      <c r="H5670" s="192">
        <v>635.72</v>
      </c>
      <c r="I5670" s="192">
        <v>623.29999999999995</v>
      </c>
      <c r="J5670" s="192"/>
      <c r="K5670" s="192">
        <v>12.42</v>
      </c>
      <c r="L5670" s="43">
        <v>11.5</v>
      </c>
      <c r="M5670" s="43">
        <v>11.499999999999998</v>
      </c>
      <c r="N5670" s="43" t="s">
        <v>1690</v>
      </c>
      <c r="O5670" s="43">
        <v>11.5</v>
      </c>
      <c r="P5670" s="193"/>
      <c r="Q5670" s="193"/>
      <c r="R5670" s="193">
        <v>1</v>
      </c>
    </row>
    <row r="5671" spans="1:18" ht="36">
      <c r="A5671" s="189">
        <v>561</v>
      </c>
      <c r="B5671" s="186" t="s">
        <v>10383</v>
      </c>
      <c r="C5671" s="190" t="s">
        <v>10384</v>
      </c>
      <c r="D5671" s="191">
        <v>70.319999999999993</v>
      </c>
      <c r="E5671" s="191">
        <v>68.94</v>
      </c>
      <c r="F5671" s="191"/>
      <c r="G5671" s="191">
        <v>1.38</v>
      </c>
      <c r="H5671" s="192">
        <v>808.71</v>
      </c>
      <c r="I5671" s="192">
        <v>792.84</v>
      </c>
      <c r="J5671" s="192"/>
      <c r="K5671" s="192">
        <v>15.87</v>
      </c>
      <c r="L5671" s="43">
        <v>11.500426621160411</v>
      </c>
      <c r="M5671" s="43">
        <v>11.500435161009575</v>
      </c>
      <c r="N5671" s="43" t="s">
        <v>1690</v>
      </c>
      <c r="O5671" s="43">
        <v>11.5</v>
      </c>
      <c r="P5671" s="193"/>
      <c r="Q5671" s="193"/>
      <c r="R5671" s="193">
        <v>1</v>
      </c>
    </row>
    <row r="5672" spans="1:18" ht="36">
      <c r="A5672" s="189">
        <v>562</v>
      </c>
      <c r="B5672" s="186" t="s">
        <v>10385</v>
      </c>
      <c r="C5672" s="190" t="s">
        <v>10386</v>
      </c>
      <c r="D5672" s="191">
        <v>29.87</v>
      </c>
      <c r="E5672" s="191">
        <v>29.28</v>
      </c>
      <c r="F5672" s="191"/>
      <c r="G5672" s="191">
        <v>0.59</v>
      </c>
      <c r="H5672" s="192">
        <v>343.51</v>
      </c>
      <c r="I5672" s="192">
        <v>336.72</v>
      </c>
      <c r="J5672" s="192"/>
      <c r="K5672" s="192">
        <v>6.79</v>
      </c>
      <c r="L5672" s="43">
        <v>11.500167392032139</v>
      </c>
      <c r="M5672" s="43">
        <v>11.5</v>
      </c>
      <c r="N5672" s="43" t="s">
        <v>1690</v>
      </c>
      <c r="O5672" s="43">
        <v>11.5</v>
      </c>
      <c r="P5672" s="193"/>
      <c r="Q5672" s="193"/>
      <c r="R5672" s="193">
        <v>1</v>
      </c>
    </row>
    <row r="5673" spans="1:18" ht="36">
      <c r="A5673" s="189">
        <v>563</v>
      </c>
      <c r="B5673" s="186" t="s">
        <v>10387</v>
      </c>
      <c r="C5673" s="190" t="s">
        <v>10388</v>
      </c>
      <c r="D5673" s="191">
        <v>44.23</v>
      </c>
      <c r="E5673" s="191">
        <v>43.36</v>
      </c>
      <c r="F5673" s="191"/>
      <c r="G5673" s="191">
        <v>0.87</v>
      </c>
      <c r="H5673" s="192">
        <v>508.65</v>
      </c>
      <c r="I5673" s="192">
        <v>498.64</v>
      </c>
      <c r="J5673" s="192"/>
      <c r="K5673" s="192">
        <v>10.01</v>
      </c>
      <c r="L5673" s="43">
        <v>11.500113045444269</v>
      </c>
      <c r="M5673" s="43">
        <v>11.5</v>
      </c>
      <c r="N5673" s="43" t="s">
        <v>1690</v>
      </c>
      <c r="O5673" s="43">
        <v>11.5</v>
      </c>
      <c r="P5673" s="193"/>
      <c r="Q5673" s="193"/>
      <c r="R5673" s="193">
        <v>1</v>
      </c>
    </row>
    <row r="5674" spans="1:18" ht="36">
      <c r="A5674" s="189">
        <v>564</v>
      </c>
      <c r="B5674" s="186" t="s">
        <v>10389</v>
      </c>
      <c r="C5674" s="190" t="s">
        <v>10390</v>
      </c>
      <c r="D5674" s="191">
        <v>58.6</v>
      </c>
      <c r="E5674" s="191">
        <v>57.45</v>
      </c>
      <c r="F5674" s="191"/>
      <c r="G5674" s="191">
        <v>1.1499999999999999</v>
      </c>
      <c r="H5674" s="192">
        <v>673.93</v>
      </c>
      <c r="I5674" s="192">
        <v>660.7</v>
      </c>
      <c r="J5674" s="192"/>
      <c r="K5674" s="192">
        <v>13.23</v>
      </c>
      <c r="L5674" s="43">
        <v>11.500511945392491</v>
      </c>
      <c r="M5674" s="43">
        <v>11.500435161009573</v>
      </c>
      <c r="N5674" s="43" t="s">
        <v>1690</v>
      </c>
      <c r="O5674" s="43">
        <v>11.504347826086958</v>
      </c>
      <c r="P5674" s="193"/>
      <c r="Q5674" s="193"/>
      <c r="R5674" s="193">
        <v>1</v>
      </c>
    </row>
    <row r="5675" spans="1:18" ht="36">
      <c r="A5675" s="189">
        <v>565</v>
      </c>
      <c r="B5675" s="186" t="s">
        <v>10391</v>
      </c>
      <c r="C5675" s="190" t="s">
        <v>10392</v>
      </c>
      <c r="D5675" s="191">
        <v>63.09</v>
      </c>
      <c r="E5675" s="191">
        <v>61.85</v>
      </c>
      <c r="F5675" s="191"/>
      <c r="G5675" s="191">
        <v>1.24</v>
      </c>
      <c r="H5675" s="192">
        <v>725.56</v>
      </c>
      <c r="I5675" s="192">
        <v>711.3</v>
      </c>
      <c r="J5675" s="192"/>
      <c r="K5675" s="192">
        <v>14.26</v>
      </c>
      <c r="L5675" s="43">
        <v>11.500396259312092</v>
      </c>
      <c r="M5675" s="43">
        <v>11.500404203718674</v>
      </c>
      <c r="N5675" s="43" t="s">
        <v>1690</v>
      </c>
      <c r="O5675" s="43">
        <v>11.5</v>
      </c>
      <c r="P5675" s="193"/>
      <c r="Q5675" s="193"/>
      <c r="R5675" s="193">
        <v>1</v>
      </c>
    </row>
    <row r="5676" spans="1:18" ht="24">
      <c r="A5676" s="189">
        <v>566</v>
      </c>
      <c r="B5676" s="186" t="s">
        <v>10393</v>
      </c>
      <c r="C5676" s="190" t="s">
        <v>10394</v>
      </c>
      <c r="D5676" s="191">
        <v>1112.1099999999999</v>
      </c>
      <c r="E5676" s="191">
        <v>494.8</v>
      </c>
      <c r="F5676" s="191"/>
      <c r="G5676" s="191">
        <v>617.30999999999995</v>
      </c>
      <c r="H5676" s="192">
        <v>8202.89</v>
      </c>
      <c r="I5676" s="192">
        <v>5690.4</v>
      </c>
      <c r="J5676" s="192"/>
      <c r="K5676" s="192">
        <v>2512.4899999999998</v>
      </c>
      <c r="L5676" s="43">
        <v>7.3759700029673327</v>
      </c>
      <c r="M5676" s="43">
        <v>11.500404203718674</v>
      </c>
      <c r="N5676" s="43" t="s">
        <v>1690</v>
      </c>
      <c r="O5676" s="43">
        <v>4.0700620433817694</v>
      </c>
      <c r="P5676" s="193"/>
      <c r="Q5676" s="193"/>
      <c r="R5676" s="193">
        <v>1</v>
      </c>
    </row>
    <row r="5677" spans="1:18" ht="24">
      <c r="A5677" s="189">
        <v>567</v>
      </c>
      <c r="B5677" s="186" t="s">
        <v>10395</v>
      </c>
      <c r="C5677" s="190" t="s">
        <v>10396</v>
      </c>
      <c r="D5677" s="191">
        <v>1580.66</v>
      </c>
      <c r="E5677" s="191">
        <v>919.2</v>
      </c>
      <c r="F5677" s="191"/>
      <c r="G5677" s="191">
        <v>661.46</v>
      </c>
      <c r="H5677" s="192">
        <v>13271.29</v>
      </c>
      <c r="I5677" s="192">
        <v>10571.2</v>
      </c>
      <c r="J5677" s="192"/>
      <c r="K5677" s="192">
        <v>2700.09</v>
      </c>
      <c r="L5677" s="43">
        <v>8.3960434248984601</v>
      </c>
      <c r="M5677" s="43">
        <v>11.500435161009573</v>
      </c>
      <c r="N5677" s="43" t="s">
        <v>1690</v>
      </c>
      <c r="O5677" s="43">
        <v>4.0820155413781638</v>
      </c>
      <c r="P5677" s="193"/>
      <c r="Q5677" s="193"/>
      <c r="R5677" s="193">
        <v>1</v>
      </c>
    </row>
    <row r="5678" spans="1:18" ht="24.75" customHeight="1">
      <c r="A5678" s="628" t="s">
        <v>10397</v>
      </c>
      <c r="B5678" s="629"/>
      <c r="C5678" s="629"/>
      <c r="D5678" s="629"/>
      <c r="E5678" s="629"/>
      <c r="F5678" s="629"/>
      <c r="G5678" s="629"/>
      <c r="H5678" s="629"/>
      <c r="I5678" s="629"/>
      <c r="J5678" s="629"/>
      <c r="K5678" s="629"/>
      <c r="L5678" s="629"/>
      <c r="M5678" s="629"/>
      <c r="N5678" s="629"/>
      <c r="O5678" s="629"/>
      <c r="P5678" s="629"/>
      <c r="Q5678" s="629"/>
      <c r="R5678" s="629"/>
    </row>
    <row r="5679" spans="1:18" ht="12.75" customHeight="1">
      <c r="A5679" s="628" t="s">
        <v>10398</v>
      </c>
      <c r="B5679" s="629"/>
      <c r="C5679" s="629"/>
      <c r="D5679" s="629"/>
      <c r="E5679" s="629"/>
      <c r="F5679" s="629"/>
      <c r="G5679" s="629"/>
      <c r="H5679" s="629"/>
      <c r="I5679" s="629"/>
      <c r="J5679" s="629"/>
      <c r="K5679" s="629"/>
      <c r="L5679" s="629"/>
      <c r="M5679" s="629"/>
      <c r="N5679" s="629"/>
      <c r="O5679" s="629"/>
      <c r="P5679" s="629"/>
      <c r="Q5679" s="629"/>
      <c r="R5679" s="629"/>
    </row>
    <row r="5680" spans="1:18" ht="24">
      <c r="A5680" s="189">
        <v>568</v>
      </c>
      <c r="B5680" s="186" t="s">
        <v>10399</v>
      </c>
      <c r="C5680" s="190" t="s">
        <v>10400</v>
      </c>
      <c r="D5680" s="191">
        <v>11.72</v>
      </c>
      <c r="E5680" s="191">
        <v>11.49</v>
      </c>
      <c r="F5680" s="191"/>
      <c r="G5680" s="191">
        <v>0.23</v>
      </c>
      <c r="H5680" s="192">
        <v>134.79</v>
      </c>
      <c r="I5680" s="192">
        <v>132.13999999999999</v>
      </c>
      <c r="J5680" s="192"/>
      <c r="K5680" s="192">
        <v>2.65</v>
      </c>
      <c r="L5680" s="43">
        <v>11.500853242320817</v>
      </c>
      <c r="M5680" s="43">
        <v>11.500435161009571</v>
      </c>
      <c r="N5680" s="43" t="s">
        <v>1690</v>
      </c>
      <c r="O5680" s="43">
        <v>11.5</v>
      </c>
      <c r="P5680" s="193"/>
      <c r="Q5680" s="193"/>
      <c r="R5680" s="193">
        <v>1</v>
      </c>
    </row>
    <row r="5681" spans="1:18" ht="24">
      <c r="A5681" s="189">
        <v>569</v>
      </c>
      <c r="B5681" s="186" t="s">
        <v>10401</v>
      </c>
      <c r="C5681" s="190" t="s">
        <v>10402</v>
      </c>
      <c r="D5681" s="191">
        <v>5.53</v>
      </c>
      <c r="E5681" s="191">
        <v>5.42</v>
      </c>
      <c r="F5681" s="191"/>
      <c r="G5681" s="191">
        <v>0.11</v>
      </c>
      <c r="H5681" s="192">
        <v>63.6</v>
      </c>
      <c r="I5681" s="192">
        <v>62.33</v>
      </c>
      <c r="J5681" s="192"/>
      <c r="K5681" s="192">
        <v>1.27</v>
      </c>
      <c r="L5681" s="43">
        <v>11.500904159132007</v>
      </c>
      <c r="M5681" s="43">
        <v>11.5</v>
      </c>
      <c r="N5681" s="43" t="s">
        <v>1690</v>
      </c>
      <c r="O5681" s="43">
        <v>11.5</v>
      </c>
      <c r="P5681" s="193"/>
      <c r="Q5681" s="193"/>
      <c r="R5681" s="193">
        <v>1</v>
      </c>
    </row>
    <row r="5682" spans="1:18" ht="24">
      <c r="A5682" s="189">
        <v>570</v>
      </c>
      <c r="B5682" s="186" t="s">
        <v>10403</v>
      </c>
      <c r="C5682" s="190" t="s">
        <v>10404</v>
      </c>
      <c r="D5682" s="191">
        <v>9.9600000000000009</v>
      </c>
      <c r="E5682" s="191">
        <v>9.76</v>
      </c>
      <c r="F5682" s="191"/>
      <c r="G5682" s="191">
        <v>0.2</v>
      </c>
      <c r="H5682" s="192">
        <v>114.54</v>
      </c>
      <c r="I5682" s="192">
        <v>112.24</v>
      </c>
      <c r="J5682" s="192"/>
      <c r="K5682" s="192">
        <v>2.2999999999999998</v>
      </c>
      <c r="L5682" s="43">
        <v>11.5</v>
      </c>
      <c r="M5682" s="43">
        <v>11.5</v>
      </c>
      <c r="N5682" s="43" t="s">
        <v>1690</v>
      </c>
      <c r="O5682" s="43">
        <v>11.499999999999998</v>
      </c>
      <c r="P5682" s="193"/>
      <c r="Q5682" s="193"/>
      <c r="R5682" s="193">
        <v>1</v>
      </c>
    </row>
    <row r="5683" spans="1:18" ht="24">
      <c r="A5683" s="189">
        <v>571</v>
      </c>
      <c r="B5683" s="186" t="s">
        <v>10405</v>
      </c>
      <c r="C5683" s="190" t="s">
        <v>10406</v>
      </c>
      <c r="D5683" s="191">
        <v>22.93</v>
      </c>
      <c r="E5683" s="191">
        <v>9.76</v>
      </c>
      <c r="F5683" s="191"/>
      <c r="G5683" s="191">
        <v>13.17</v>
      </c>
      <c r="H5683" s="192">
        <v>182.86</v>
      </c>
      <c r="I5683" s="192">
        <v>112.24</v>
      </c>
      <c r="J5683" s="192"/>
      <c r="K5683" s="192">
        <v>70.62</v>
      </c>
      <c r="L5683" s="43">
        <v>7.9747056258177071</v>
      </c>
      <c r="M5683" s="43">
        <v>11.5</v>
      </c>
      <c r="N5683" s="43" t="s">
        <v>1690</v>
      </c>
      <c r="O5683" s="43">
        <v>5.3621867881548981</v>
      </c>
      <c r="P5683" s="193"/>
      <c r="Q5683" s="193"/>
      <c r="R5683" s="193">
        <v>1</v>
      </c>
    </row>
    <row r="5684" spans="1:18" ht="12.75" customHeight="1">
      <c r="A5684" s="628" t="s">
        <v>10407</v>
      </c>
      <c r="B5684" s="629"/>
      <c r="C5684" s="629"/>
      <c r="D5684" s="629"/>
      <c r="E5684" s="629"/>
      <c r="F5684" s="629"/>
      <c r="G5684" s="629"/>
      <c r="H5684" s="629"/>
      <c r="I5684" s="629"/>
      <c r="J5684" s="629"/>
      <c r="K5684" s="629"/>
      <c r="L5684" s="629"/>
      <c r="M5684" s="629"/>
      <c r="N5684" s="629"/>
      <c r="O5684" s="629"/>
      <c r="P5684" s="629"/>
      <c r="Q5684" s="629"/>
      <c r="R5684" s="629"/>
    </row>
    <row r="5685" spans="1:18" ht="24">
      <c r="A5685" s="189">
        <v>572</v>
      </c>
      <c r="B5685" s="186" t="s">
        <v>10408</v>
      </c>
      <c r="C5685" s="190" t="s">
        <v>10409</v>
      </c>
      <c r="D5685" s="191">
        <v>146.97</v>
      </c>
      <c r="E5685" s="191">
        <v>98.96</v>
      </c>
      <c r="F5685" s="191"/>
      <c r="G5685" s="191">
        <v>48.01</v>
      </c>
      <c r="H5685" s="192">
        <v>1335.28</v>
      </c>
      <c r="I5685" s="192">
        <v>1138.08</v>
      </c>
      <c r="J5685" s="192"/>
      <c r="K5685" s="192">
        <v>197.2</v>
      </c>
      <c r="L5685" s="43">
        <v>9.0853915765122135</v>
      </c>
      <c r="M5685" s="43">
        <v>11.500404203718674</v>
      </c>
      <c r="N5685" s="43" t="s">
        <v>1690</v>
      </c>
      <c r="O5685" s="43">
        <v>4.107477608831493</v>
      </c>
      <c r="P5685" s="193"/>
      <c r="Q5685" s="193"/>
      <c r="R5685" s="193">
        <v>2</v>
      </c>
    </row>
    <row r="5686" spans="1:18" ht="24">
      <c r="A5686" s="189">
        <v>573</v>
      </c>
      <c r="B5686" s="186" t="s">
        <v>10410</v>
      </c>
      <c r="C5686" s="190" t="s">
        <v>10411</v>
      </c>
      <c r="D5686" s="191">
        <v>225.12</v>
      </c>
      <c r="E5686" s="191">
        <v>159</v>
      </c>
      <c r="F5686" s="191"/>
      <c r="G5686" s="191">
        <v>66.12</v>
      </c>
      <c r="H5686" s="192">
        <v>2107.4299999999998</v>
      </c>
      <c r="I5686" s="192">
        <v>1828.56</v>
      </c>
      <c r="J5686" s="192"/>
      <c r="K5686" s="192">
        <v>278.87</v>
      </c>
      <c r="L5686" s="43">
        <v>9.3613628287135739</v>
      </c>
      <c r="M5686" s="43">
        <v>11.500377358490566</v>
      </c>
      <c r="N5686" s="43" t="s">
        <v>1690</v>
      </c>
      <c r="O5686" s="43">
        <v>4.2176346037507564</v>
      </c>
      <c r="P5686" s="193"/>
      <c r="Q5686" s="193"/>
      <c r="R5686" s="193">
        <v>2</v>
      </c>
    </row>
    <row r="5687" spans="1:18" ht="24">
      <c r="A5687" s="189">
        <v>574</v>
      </c>
      <c r="B5687" s="186" t="s">
        <v>10412</v>
      </c>
      <c r="C5687" s="190" t="s">
        <v>10413</v>
      </c>
      <c r="D5687" s="191">
        <v>323.12</v>
      </c>
      <c r="E5687" s="191">
        <v>238.5</v>
      </c>
      <c r="F5687" s="191"/>
      <c r="G5687" s="191">
        <v>84.62</v>
      </c>
      <c r="H5687" s="192">
        <v>3107.88</v>
      </c>
      <c r="I5687" s="192">
        <v>2742.84</v>
      </c>
      <c r="J5687" s="192"/>
      <c r="K5687" s="192">
        <v>365.04</v>
      </c>
      <c r="L5687" s="43">
        <v>9.6183461252785349</v>
      </c>
      <c r="M5687" s="43">
        <v>11.500377358490567</v>
      </c>
      <c r="N5687" s="43" t="s">
        <v>1690</v>
      </c>
      <c r="O5687" s="43">
        <v>4.3138737887024341</v>
      </c>
      <c r="P5687" s="193"/>
      <c r="Q5687" s="193"/>
      <c r="R5687" s="193">
        <v>2</v>
      </c>
    </row>
    <row r="5688" spans="1:18" ht="12.75" customHeight="1">
      <c r="A5688" s="628" t="s">
        <v>10414</v>
      </c>
      <c r="B5688" s="629"/>
      <c r="C5688" s="629"/>
      <c r="D5688" s="629"/>
      <c r="E5688" s="629"/>
      <c r="F5688" s="629"/>
      <c r="G5688" s="629"/>
      <c r="H5688" s="629"/>
      <c r="I5688" s="629"/>
      <c r="J5688" s="629"/>
      <c r="K5688" s="629"/>
      <c r="L5688" s="629"/>
      <c r="M5688" s="629"/>
      <c r="N5688" s="629"/>
      <c r="O5688" s="629"/>
      <c r="P5688" s="629"/>
      <c r="Q5688" s="629"/>
      <c r="R5688" s="629"/>
    </row>
    <row r="5689" spans="1:18" ht="12.75" customHeight="1">
      <c r="A5689" s="628" t="s">
        <v>10415</v>
      </c>
      <c r="B5689" s="629"/>
      <c r="C5689" s="629"/>
      <c r="D5689" s="629"/>
      <c r="E5689" s="629"/>
      <c r="F5689" s="629"/>
      <c r="G5689" s="629"/>
      <c r="H5689" s="629"/>
      <c r="I5689" s="629"/>
      <c r="J5689" s="629"/>
      <c r="K5689" s="629"/>
      <c r="L5689" s="629"/>
      <c r="M5689" s="629"/>
      <c r="N5689" s="629"/>
      <c r="O5689" s="629"/>
      <c r="P5689" s="629"/>
      <c r="Q5689" s="629"/>
      <c r="R5689" s="629"/>
    </row>
    <row r="5690" spans="1:18" ht="24">
      <c r="A5690" s="189">
        <v>575</v>
      </c>
      <c r="B5690" s="186" t="s">
        <v>10416</v>
      </c>
      <c r="C5690" s="190" t="s">
        <v>10417</v>
      </c>
      <c r="D5690" s="191">
        <v>706.52</v>
      </c>
      <c r="E5690" s="191">
        <v>574.5</v>
      </c>
      <c r="F5690" s="191"/>
      <c r="G5690" s="191">
        <v>132.02000000000001</v>
      </c>
      <c r="H5690" s="192">
        <v>7264.52</v>
      </c>
      <c r="I5690" s="192">
        <v>6607</v>
      </c>
      <c r="J5690" s="192"/>
      <c r="K5690" s="192">
        <v>657.52</v>
      </c>
      <c r="L5690" s="43">
        <v>10.28211515597577</v>
      </c>
      <c r="M5690" s="43">
        <v>11.500435161009573</v>
      </c>
      <c r="N5690" s="43" t="s">
        <v>1690</v>
      </c>
      <c r="O5690" s="43">
        <v>4.9804575064384178</v>
      </c>
      <c r="P5690" s="193"/>
      <c r="Q5690" s="193"/>
      <c r="R5690" s="193">
        <v>1</v>
      </c>
    </row>
    <row r="5691" spans="1:18" ht="36">
      <c r="A5691" s="189">
        <v>576</v>
      </c>
      <c r="B5691" s="186" t="s">
        <v>10418</v>
      </c>
      <c r="C5691" s="190" t="s">
        <v>10419</v>
      </c>
      <c r="D5691" s="191">
        <v>706.52</v>
      </c>
      <c r="E5691" s="191">
        <v>574.5</v>
      </c>
      <c r="F5691" s="191"/>
      <c r="G5691" s="191">
        <v>132.02000000000001</v>
      </c>
      <c r="H5691" s="192">
        <v>7264.52</v>
      </c>
      <c r="I5691" s="192">
        <v>6607</v>
      </c>
      <c r="J5691" s="192"/>
      <c r="K5691" s="192">
        <v>657.52</v>
      </c>
      <c r="L5691" s="43">
        <v>10.28211515597577</v>
      </c>
      <c r="M5691" s="43">
        <v>11.500435161009573</v>
      </c>
      <c r="N5691" s="43" t="s">
        <v>1690</v>
      </c>
      <c r="O5691" s="43">
        <v>4.9804575064384178</v>
      </c>
      <c r="P5691" s="193"/>
      <c r="Q5691" s="193"/>
      <c r="R5691" s="193">
        <v>1</v>
      </c>
    </row>
    <row r="5692" spans="1:18" ht="36">
      <c r="A5692" s="189">
        <v>577</v>
      </c>
      <c r="B5692" s="186" t="s">
        <v>10420</v>
      </c>
      <c r="C5692" s="190" t="s">
        <v>10421</v>
      </c>
      <c r="D5692" s="191">
        <v>1206.93</v>
      </c>
      <c r="E5692" s="191">
        <v>689.4</v>
      </c>
      <c r="F5692" s="191"/>
      <c r="G5692" s="191">
        <v>517.53</v>
      </c>
      <c r="H5692" s="192">
        <v>10449.44</v>
      </c>
      <c r="I5692" s="192">
        <v>7928.4</v>
      </c>
      <c r="J5692" s="192"/>
      <c r="K5692" s="192">
        <v>2521.04</v>
      </c>
      <c r="L5692" s="43">
        <v>8.6578674819583572</v>
      </c>
      <c r="M5692" s="43">
        <v>11.500435161009573</v>
      </c>
      <c r="N5692" s="43" t="s">
        <v>1690</v>
      </c>
      <c r="O5692" s="43">
        <v>4.8712924854597803</v>
      </c>
      <c r="P5692" s="193"/>
      <c r="Q5692" s="193"/>
      <c r="R5692" s="193">
        <v>1</v>
      </c>
    </row>
    <row r="5693" spans="1:18" ht="36">
      <c r="A5693" s="189">
        <v>578</v>
      </c>
      <c r="B5693" s="186" t="s">
        <v>10422</v>
      </c>
      <c r="C5693" s="190" t="s">
        <v>10423</v>
      </c>
      <c r="D5693" s="191">
        <v>1667.35</v>
      </c>
      <c r="E5693" s="191">
        <v>689.4</v>
      </c>
      <c r="F5693" s="191"/>
      <c r="G5693" s="191">
        <v>977.95</v>
      </c>
      <c r="H5693" s="192">
        <v>12684.88</v>
      </c>
      <c r="I5693" s="192">
        <v>7928.4</v>
      </c>
      <c r="J5693" s="192"/>
      <c r="K5693" s="192">
        <v>4756.4799999999996</v>
      </c>
      <c r="L5693" s="43">
        <v>7.607808798392659</v>
      </c>
      <c r="M5693" s="43">
        <v>11.500435161009573</v>
      </c>
      <c r="N5693" s="43" t="s">
        <v>1690</v>
      </c>
      <c r="O5693" s="43">
        <v>4.8637251393220504</v>
      </c>
      <c r="P5693" s="193"/>
      <c r="Q5693" s="193"/>
      <c r="R5693" s="193">
        <v>1</v>
      </c>
    </row>
    <row r="5694" spans="1:18" ht="24">
      <c r="A5694" s="189">
        <v>579</v>
      </c>
      <c r="B5694" s="186" t="s">
        <v>10424</v>
      </c>
      <c r="C5694" s="190" t="s">
        <v>10425</v>
      </c>
      <c r="D5694" s="191">
        <v>923.07</v>
      </c>
      <c r="E5694" s="191">
        <v>786.8</v>
      </c>
      <c r="F5694" s="191"/>
      <c r="G5694" s="191">
        <v>136.27000000000001</v>
      </c>
      <c r="H5694" s="192">
        <v>9754.59</v>
      </c>
      <c r="I5694" s="192">
        <v>9048.2000000000007</v>
      </c>
      <c r="J5694" s="192"/>
      <c r="K5694" s="192">
        <v>706.39</v>
      </c>
      <c r="L5694" s="43">
        <v>10.567551756638174</v>
      </c>
      <c r="M5694" s="43">
        <v>11.500000000000002</v>
      </c>
      <c r="N5694" s="43" t="s">
        <v>1690</v>
      </c>
      <c r="O5694" s="43">
        <v>5.1837528436192848</v>
      </c>
      <c r="P5694" s="193"/>
      <c r="Q5694" s="193"/>
      <c r="R5694" s="193">
        <v>1</v>
      </c>
    </row>
    <row r="5695" spans="1:18" ht="36">
      <c r="A5695" s="189">
        <v>580</v>
      </c>
      <c r="B5695" s="186" t="s">
        <v>10426</v>
      </c>
      <c r="C5695" s="190" t="s">
        <v>10427</v>
      </c>
      <c r="D5695" s="191">
        <v>923.07</v>
      </c>
      <c r="E5695" s="191">
        <v>786.8</v>
      </c>
      <c r="F5695" s="191"/>
      <c r="G5695" s="191">
        <v>136.27000000000001</v>
      </c>
      <c r="H5695" s="192">
        <v>9754.59</v>
      </c>
      <c r="I5695" s="192">
        <v>9048.2000000000007</v>
      </c>
      <c r="J5695" s="192"/>
      <c r="K5695" s="192">
        <v>706.39</v>
      </c>
      <c r="L5695" s="43">
        <v>10.567551756638174</v>
      </c>
      <c r="M5695" s="43">
        <v>11.500000000000002</v>
      </c>
      <c r="N5695" s="43" t="s">
        <v>1690</v>
      </c>
      <c r="O5695" s="43">
        <v>5.1837528436192848</v>
      </c>
      <c r="P5695" s="193"/>
      <c r="Q5695" s="193"/>
      <c r="R5695" s="193">
        <v>1</v>
      </c>
    </row>
    <row r="5696" spans="1:18" ht="36">
      <c r="A5696" s="189">
        <v>581</v>
      </c>
      <c r="B5696" s="186" t="s">
        <v>10428</v>
      </c>
      <c r="C5696" s="190" t="s">
        <v>10429</v>
      </c>
      <c r="D5696" s="191">
        <v>1306.28</v>
      </c>
      <c r="E5696" s="191">
        <v>786.8</v>
      </c>
      <c r="F5696" s="191"/>
      <c r="G5696" s="191">
        <v>519.48</v>
      </c>
      <c r="H5696" s="192">
        <v>11591.66</v>
      </c>
      <c r="I5696" s="192">
        <v>9048.2000000000007</v>
      </c>
      <c r="J5696" s="192"/>
      <c r="K5696" s="192">
        <v>2543.46</v>
      </c>
      <c r="L5696" s="43">
        <v>8.8737942860642427</v>
      </c>
      <c r="M5696" s="43">
        <v>11.500000000000002</v>
      </c>
      <c r="N5696" s="43" t="s">
        <v>1690</v>
      </c>
      <c r="O5696" s="43">
        <v>4.8961653961653964</v>
      </c>
      <c r="P5696" s="193"/>
      <c r="Q5696" s="193"/>
      <c r="R5696" s="193">
        <v>1</v>
      </c>
    </row>
    <row r="5697" spans="1:18" ht="36">
      <c r="A5697" s="189">
        <v>582</v>
      </c>
      <c r="B5697" s="186" t="s">
        <v>10430</v>
      </c>
      <c r="C5697" s="190" t="s">
        <v>10431</v>
      </c>
      <c r="D5697" s="191">
        <v>1691.79</v>
      </c>
      <c r="E5697" s="191">
        <v>899.2</v>
      </c>
      <c r="F5697" s="191"/>
      <c r="G5697" s="191">
        <v>792.59</v>
      </c>
      <c r="H5697" s="192">
        <v>14128.41</v>
      </c>
      <c r="I5697" s="192">
        <v>10340.799999999999</v>
      </c>
      <c r="J5697" s="192"/>
      <c r="K5697" s="192">
        <v>3787.61</v>
      </c>
      <c r="L5697" s="43">
        <v>8.3511606050396328</v>
      </c>
      <c r="M5697" s="43">
        <v>11.499999999999998</v>
      </c>
      <c r="N5697" s="43" t="s">
        <v>1690</v>
      </c>
      <c r="O5697" s="43">
        <v>4.778775911883824</v>
      </c>
      <c r="P5697" s="193"/>
      <c r="Q5697" s="193"/>
      <c r="R5697" s="193">
        <v>1</v>
      </c>
    </row>
    <row r="5698" spans="1:18" ht="12.75" customHeight="1">
      <c r="A5698" s="628" t="s">
        <v>10432</v>
      </c>
      <c r="B5698" s="629"/>
      <c r="C5698" s="629"/>
      <c r="D5698" s="629"/>
      <c r="E5698" s="629"/>
      <c r="F5698" s="629"/>
      <c r="G5698" s="629"/>
      <c r="H5698" s="629"/>
      <c r="I5698" s="629"/>
      <c r="J5698" s="629"/>
      <c r="K5698" s="629"/>
      <c r="L5698" s="629"/>
      <c r="M5698" s="629"/>
      <c r="N5698" s="629"/>
      <c r="O5698" s="629"/>
      <c r="P5698" s="629"/>
      <c r="Q5698" s="629"/>
      <c r="R5698" s="629"/>
    </row>
    <row r="5699" spans="1:18" ht="12.75" customHeight="1">
      <c r="A5699" s="628" t="s">
        <v>10433</v>
      </c>
      <c r="B5699" s="629"/>
      <c r="C5699" s="629"/>
      <c r="D5699" s="629"/>
      <c r="E5699" s="629"/>
      <c r="F5699" s="629"/>
      <c r="G5699" s="629"/>
      <c r="H5699" s="629"/>
      <c r="I5699" s="629"/>
      <c r="J5699" s="629"/>
      <c r="K5699" s="629"/>
      <c r="L5699" s="629"/>
      <c r="M5699" s="629"/>
      <c r="N5699" s="629"/>
      <c r="O5699" s="629"/>
      <c r="P5699" s="629"/>
      <c r="Q5699" s="629"/>
      <c r="R5699" s="629"/>
    </row>
    <row r="5700" spans="1:18" ht="36">
      <c r="A5700" s="189">
        <v>583</v>
      </c>
      <c r="B5700" s="186" t="s">
        <v>10434</v>
      </c>
      <c r="C5700" s="190" t="s">
        <v>10435</v>
      </c>
      <c r="D5700" s="191">
        <v>1229.67</v>
      </c>
      <c r="E5700" s="191">
        <v>743.87</v>
      </c>
      <c r="F5700" s="191">
        <v>391.18</v>
      </c>
      <c r="G5700" s="191">
        <v>94.62</v>
      </c>
      <c r="H5700" s="192">
        <v>10945.81</v>
      </c>
      <c r="I5700" s="192">
        <v>8554.8700000000008</v>
      </c>
      <c r="J5700" s="192">
        <v>2028.89</v>
      </c>
      <c r="K5700" s="192">
        <v>362.05</v>
      </c>
      <c r="L5700" s="43">
        <v>8.9014207063683735</v>
      </c>
      <c r="M5700" s="43">
        <v>11.500490677134447</v>
      </c>
      <c r="N5700" s="43">
        <v>5.1865892939311831</v>
      </c>
      <c r="O5700" s="43">
        <v>3.8263580638342845</v>
      </c>
      <c r="P5700" s="193"/>
      <c r="Q5700" s="193"/>
      <c r="R5700" s="193">
        <v>1</v>
      </c>
    </row>
    <row r="5701" spans="1:18" ht="24">
      <c r="A5701" s="189">
        <v>584</v>
      </c>
      <c r="B5701" s="186" t="s">
        <v>10436</v>
      </c>
      <c r="C5701" s="190" t="s">
        <v>10437</v>
      </c>
      <c r="D5701" s="191">
        <v>1902.62</v>
      </c>
      <c r="E5701" s="191">
        <v>1151.47</v>
      </c>
      <c r="F5701" s="191">
        <v>616.1</v>
      </c>
      <c r="G5701" s="191">
        <v>135.05000000000001</v>
      </c>
      <c r="H5701" s="192">
        <v>16970.16</v>
      </c>
      <c r="I5701" s="192">
        <v>13242.47</v>
      </c>
      <c r="J5701" s="192">
        <v>3195.5</v>
      </c>
      <c r="K5701" s="192">
        <v>532.19000000000005</v>
      </c>
      <c r="L5701" s="43">
        <v>8.9193638246207865</v>
      </c>
      <c r="M5701" s="43">
        <v>11.500490677134446</v>
      </c>
      <c r="N5701" s="43">
        <v>5.1866580100633008</v>
      </c>
      <c r="O5701" s="43">
        <v>3.940688633839319</v>
      </c>
      <c r="P5701" s="193"/>
      <c r="Q5701" s="193"/>
      <c r="R5701" s="193">
        <v>1</v>
      </c>
    </row>
    <row r="5702" spans="1:18" ht="24">
      <c r="A5702" s="189">
        <v>585</v>
      </c>
      <c r="B5702" s="186" t="s">
        <v>10438</v>
      </c>
      <c r="C5702" s="190" t="s">
        <v>10439</v>
      </c>
      <c r="D5702" s="191">
        <v>1692.68</v>
      </c>
      <c r="E5702" s="191">
        <v>1010.85</v>
      </c>
      <c r="F5702" s="191">
        <v>521.57000000000005</v>
      </c>
      <c r="G5702" s="191">
        <v>160.26</v>
      </c>
      <c r="H5702" s="192">
        <v>14901.26</v>
      </c>
      <c r="I5702" s="192">
        <v>11625.25</v>
      </c>
      <c r="J5702" s="192">
        <v>2705.18</v>
      </c>
      <c r="K5702" s="192">
        <v>570.83000000000004</v>
      </c>
      <c r="L5702" s="43">
        <v>8.8033532622822985</v>
      </c>
      <c r="M5702" s="43">
        <v>11.500469901567987</v>
      </c>
      <c r="N5702" s="43">
        <v>5.1866096592978881</v>
      </c>
      <c r="O5702" s="43">
        <v>3.5618994134531392</v>
      </c>
      <c r="P5702" s="193"/>
      <c r="Q5702" s="193"/>
      <c r="R5702" s="193">
        <v>1</v>
      </c>
    </row>
    <row r="5703" spans="1:18" ht="12.75" customHeight="1">
      <c r="A5703" s="628" t="s">
        <v>10440</v>
      </c>
      <c r="B5703" s="629"/>
      <c r="C5703" s="629"/>
      <c r="D5703" s="629"/>
      <c r="E5703" s="629"/>
      <c r="F5703" s="629"/>
      <c r="G5703" s="629"/>
      <c r="H5703" s="629"/>
      <c r="I5703" s="629"/>
      <c r="J5703" s="629"/>
      <c r="K5703" s="629"/>
      <c r="L5703" s="629"/>
      <c r="M5703" s="629"/>
      <c r="N5703" s="629"/>
      <c r="O5703" s="629"/>
      <c r="P5703" s="629"/>
      <c r="Q5703" s="629"/>
      <c r="R5703" s="629"/>
    </row>
    <row r="5704" spans="1:18" ht="24">
      <c r="A5704" s="189">
        <v>586</v>
      </c>
      <c r="B5704" s="186" t="s">
        <v>10441</v>
      </c>
      <c r="C5704" s="190" t="s">
        <v>10442</v>
      </c>
      <c r="D5704" s="191">
        <v>699.67</v>
      </c>
      <c r="E5704" s="191">
        <v>288.38</v>
      </c>
      <c r="F5704" s="191">
        <v>154.30000000000001</v>
      </c>
      <c r="G5704" s="191">
        <v>256.99</v>
      </c>
      <c r="H5704" s="192">
        <v>5126.2700000000004</v>
      </c>
      <c r="I5704" s="192">
        <v>3316.48</v>
      </c>
      <c r="J5704" s="192">
        <v>800.28</v>
      </c>
      <c r="K5704" s="192">
        <v>1009.51</v>
      </c>
      <c r="L5704" s="43">
        <v>7.3266968713822243</v>
      </c>
      <c r="M5704" s="43">
        <v>11.500381441154033</v>
      </c>
      <c r="N5704" s="43">
        <v>5.186519766688269</v>
      </c>
      <c r="O5704" s="43">
        <v>3.9282073232421495</v>
      </c>
      <c r="P5704" s="193"/>
      <c r="Q5704" s="193"/>
      <c r="R5704" s="193">
        <v>2</v>
      </c>
    </row>
    <row r="5705" spans="1:18" ht="12.75" customHeight="1">
      <c r="A5705" s="628" t="s">
        <v>10443</v>
      </c>
      <c r="B5705" s="629"/>
      <c r="C5705" s="629"/>
      <c r="D5705" s="629"/>
      <c r="E5705" s="629"/>
      <c r="F5705" s="629"/>
      <c r="G5705" s="629"/>
      <c r="H5705" s="629"/>
      <c r="I5705" s="629"/>
      <c r="J5705" s="629"/>
      <c r="K5705" s="629"/>
      <c r="L5705" s="629"/>
      <c r="M5705" s="629"/>
      <c r="N5705" s="629"/>
      <c r="O5705" s="629"/>
      <c r="P5705" s="629"/>
      <c r="Q5705" s="629"/>
      <c r="R5705" s="629"/>
    </row>
    <row r="5706" spans="1:18" ht="36">
      <c r="A5706" s="189">
        <v>587</v>
      </c>
      <c r="B5706" s="186" t="s">
        <v>10444</v>
      </c>
      <c r="C5706" s="190" t="s">
        <v>10445</v>
      </c>
      <c r="D5706" s="191">
        <v>2561.15</v>
      </c>
      <c r="E5706" s="191">
        <v>2298</v>
      </c>
      <c r="F5706" s="191"/>
      <c r="G5706" s="191">
        <v>263.14999999999998</v>
      </c>
      <c r="H5706" s="192">
        <v>27520.799999999999</v>
      </c>
      <c r="I5706" s="192">
        <v>26428</v>
      </c>
      <c r="J5706" s="192"/>
      <c r="K5706" s="192">
        <v>1092.8</v>
      </c>
      <c r="L5706" s="43">
        <v>10.745485426468578</v>
      </c>
      <c r="M5706" s="43">
        <v>11.500435161009573</v>
      </c>
      <c r="N5706" s="43" t="s">
        <v>1690</v>
      </c>
      <c r="O5706" s="43">
        <v>4.152764582937488</v>
      </c>
      <c r="P5706" s="193"/>
      <c r="Q5706" s="193"/>
      <c r="R5706" s="193">
        <v>3</v>
      </c>
    </row>
    <row r="5707" spans="1:18" ht="36">
      <c r="A5707" s="189">
        <v>588</v>
      </c>
      <c r="B5707" s="186" t="s">
        <v>10446</v>
      </c>
      <c r="C5707" s="190" t="s">
        <v>10447</v>
      </c>
      <c r="D5707" s="191">
        <v>3826.48</v>
      </c>
      <c r="E5707" s="191">
        <v>3447</v>
      </c>
      <c r="F5707" s="191"/>
      <c r="G5707" s="191">
        <v>379.48</v>
      </c>
      <c r="H5707" s="192">
        <v>41271.17</v>
      </c>
      <c r="I5707" s="192">
        <v>39642</v>
      </c>
      <c r="J5707" s="192"/>
      <c r="K5707" s="192">
        <v>1629.17</v>
      </c>
      <c r="L5707" s="43">
        <v>10.785675085195793</v>
      </c>
      <c r="M5707" s="43">
        <v>11.500435161009573</v>
      </c>
      <c r="N5707" s="43" t="s">
        <v>1690</v>
      </c>
      <c r="O5707" s="43">
        <v>4.2931643301359754</v>
      </c>
      <c r="P5707" s="193"/>
      <c r="Q5707" s="193"/>
      <c r="R5707" s="193">
        <v>3</v>
      </c>
    </row>
    <row r="5708" spans="1:18" ht="36">
      <c r="A5708" s="189">
        <v>589</v>
      </c>
      <c r="B5708" s="186" t="s">
        <v>10448</v>
      </c>
      <c r="C5708" s="190" t="s">
        <v>10449</v>
      </c>
      <c r="D5708" s="191">
        <v>5051.79</v>
      </c>
      <c r="E5708" s="191">
        <v>4596</v>
      </c>
      <c r="F5708" s="191"/>
      <c r="G5708" s="191">
        <v>455.79</v>
      </c>
      <c r="H5708" s="192">
        <v>54910.34</v>
      </c>
      <c r="I5708" s="192">
        <v>52856</v>
      </c>
      <c r="J5708" s="192"/>
      <c r="K5708" s="192">
        <v>2054.34</v>
      </c>
      <c r="L5708" s="43">
        <v>10.86948190641337</v>
      </c>
      <c r="M5708" s="43">
        <v>11.500435161009573</v>
      </c>
      <c r="N5708" s="43" t="s">
        <v>1690</v>
      </c>
      <c r="O5708" s="43">
        <v>4.5072072665043112</v>
      </c>
      <c r="P5708" s="193"/>
      <c r="Q5708" s="193"/>
      <c r="R5708" s="193">
        <v>3</v>
      </c>
    </row>
    <row r="5709" spans="1:18" ht="36">
      <c r="A5709" s="189">
        <v>590</v>
      </c>
      <c r="B5709" s="186" t="s">
        <v>10450</v>
      </c>
      <c r="C5709" s="190" t="s">
        <v>10451</v>
      </c>
      <c r="D5709" s="191">
        <v>6289.31</v>
      </c>
      <c r="E5709" s="191">
        <v>5745</v>
      </c>
      <c r="F5709" s="191"/>
      <c r="G5709" s="191">
        <v>544.30999999999995</v>
      </c>
      <c r="H5709" s="192">
        <v>68421.13</v>
      </c>
      <c r="I5709" s="192">
        <v>66070</v>
      </c>
      <c r="J5709" s="192"/>
      <c r="K5709" s="192">
        <v>2351.13</v>
      </c>
      <c r="L5709" s="43">
        <v>10.87895651510261</v>
      </c>
      <c r="M5709" s="43">
        <v>11.500435161009573</v>
      </c>
      <c r="N5709" s="43" t="s">
        <v>1690</v>
      </c>
      <c r="O5709" s="43">
        <v>4.3194686851242867</v>
      </c>
      <c r="P5709" s="193"/>
      <c r="Q5709" s="193"/>
      <c r="R5709" s="193">
        <v>3</v>
      </c>
    </row>
    <row r="5710" spans="1:18" ht="36">
      <c r="A5710" s="189">
        <v>591</v>
      </c>
      <c r="B5710" s="186" t="s">
        <v>10452</v>
      </c>
      <c r="C5710" s="190" t="s">
        <v>10453</v>
      </c>
      <c r="D5710" s="191">
        <v>8439.34</v>
      </c>
      <c r="E5710" s="191">
        <v>8043</v>
      </c>
      <c r="F5710" s="191"/>
      <c r="G5710" s="191">
        <v>396.34</v>
      </c>
      <c r="H5710" s="192">
        <v>94921.82</v>
      </c>
      <c r="I5710" s="192">
        <v>92498</v>
      </c>
      <c r="J5710" s="192"/>
      <c r="K5710" s="192">
        <v>2423.8200000000002</v>
      </c>
      <c r="L5710" s="43">
        <v>11.247540684461107</v>
      </c>
      <c r="M5710" s="43">
        <v>11.500435161009573</v>
      </c>
      <c r="N5710" s="43" t="s">
        <v>1690</v>
      </c>
      <c r="O5710" s="43">
        <v>6.1155068880254335</v>
      </c>
      <c r="P5710" s="193"/>
      <c r="Q5710" s="193"/>
      <c r="R5710" s="193">
        <v>3</v>
      </c>
    </row>
    <row r="5711" spans="1:18" ht="36">
      <c r="A5711" s="189">
        <v>592</v>
      </c>
      <c r="B5711" s="186" t="s">
        <v>10454</v>
      </c>
      <c r="C5711" s="190" t="s">
        <v>10455</v>
      </c>
      <c r="D5711" s="191">
        <v>7636.83</v>
      </c>
      <c r="E5711" s="191">
        <v>6894</v>
      </c>
      <c r="F5711" s="191"/>
      <c r="G5711" s="191">
        <v>742.83</v>
      </c>
      <c r="H5711" s="192">
        <v>82317.89</v>
      </c>
      <c r="I5711" s="192">
        <v>79284</v>
      </c>
      <c r="J5711" s="192"/>
      <c r="K5711" s="192">
        <v>3033.89</v>
      </c>
      <c r="L5711" s="43">
        <v>10.779065397553698</v>
      </c>
      <c r="M5711" s="43">
        <v>11.500435161009573</v>
      </c>
      <c r="N5711" s="43" t="s">
        <v>1690</v>
      </c>
      <c r="O5711" s="43">
        <v>4.0842319238587557</v>
      </c>
      <c r="P5711" s="193"/>
      <c r="Q5711" s="193"/>
      <c r="R5711" s="193">
        <v>3</v>
      </c>
    </row>
    <row r="5712" spans="1:18" ht="36">
      <c r="A5712" s="189">
        <v>593</v>
      </c>
      <c r="B5712" s="186" t="s">
        <v>10456</v>
      </c>
      <c r="C5712" s="190" t="s">
        <v>10457</v>
      </c>
      <c r="D5712" s="191">
        <v>4476.04</v>
      </c>
      <c r="E5712" s="191">
        <v>2474</v>
      </c>
      <c r="F5712" s="191">
        <v>275.62</v>
      </c>
      <c r="G5712" s="191">
        <v>1726.42</v>
      </c>
      <c r="H5712" s="192">
        <v>38397.57</v>
      </c>
      <c r="I5712" s="192">
        <v>28452</v>
      </c>
      <c r="J5712" s="192">
        <v>1459.83</v>
      </c>
      <c r="K5712" s="192">
        <v>8485.74</v>
      </c>
      <c r="L5712" s="43">
        <v>8.578468914486912</v>
      </c>
      <c r="M5712" s="43">
        <v>11.500404203718674</v>
      </c>
      <c r="N5712" s="43">
        <v>5.2965314563529491</v>
      </c>
      <c r="O5712" s="43">
        <v>4.9152234102941348</v>
      </c>
      <c r="P5712" s="193"/>
      <c r="Q5712" s="193"/>
      <c r="R5712" s="193">
        <v>3</v>
      </c>
    </row>
    <row r="5713" spans="1:18" ht="36">
      <c r="A5713" s="189">
        <v>594</v>
      </c>
      <c r="B5713" s="186" t="s">
        <v>10458</v>
      </c>
      <c r="C5713" s="190" t="s">
        <v>10459</v>
      </c>
      <c r="D5713" s="191">
        <v>6721.08</v>
      </c>
      <c r="E5713" s="191">
        <v>3447</v>
      </c>
      <c r="F5713" s="191">
        <v>306.24</v>
      </c>
      <c r="G5713" s="191">
        <v>2967.84</v>
      </c>
      <c r="H5713" s="192">
        <v>56424.24</v>
      </c>
      <c r="I5713" s="192">
        <v>39642</v>
      </c>
      <c r="J5713" s="192">
        <v>1622.03</v>
      </c>
      <c r="K5713" s="192">
        <v>15160.21</v>
      </c>
      <c r="L5713" s="43">
        <v>8.395115070792194</v>
      </c>
      <c r="M5713" s="43">
        <v>11.500435161009573</v>
      </c>
      <c r="N5713" s="43">
        <v>5.2965974399164049</v>
      </c>
      <c r="O5713" s="43">
        <v>5.1081628389670595</v>
      </c>
      <c r="P5713" s="193"/>
      <c r="Q5713" s="193"/>
      <c r="R5713" s="193">
        <v>3</v>
      </c>
    </row>
    <row r="5714" spans="1:18" ht="36">
      <c r="A5714" s="189">
        <v>595</v>
      </c>
      <c r="B5714" s="186" t="s">
        <v>10460</v>
      </c>
      <c r="C5714" s="190" t="s">
        <v>10461</v>
      </c>
      <c r="D5714" s="191">
        <v>10277.24</v>
      </c>
      <c r="E5714" s="191">
        <v>5745</v>
      </c>
      <c r="F5714" s="191">
        <v>622.69000000000005</v>
      </c>
      <c r="G5714" s="191">
        <v>3909.55</v>
      </c>
      <c r="H5714" s="192">
        <v>89148.25</v>
      </c>
      <c r="I5714" s="192">
        <v>66070</v>
      </c>
      <c r="J5714" s="192">
        <v>3298.12</v>
      </c>
      <c r="K5714" s="192">
        <v>19780.13</v>
      </c>
      <c r="L5714" s="43">
        <v>8.6743376626409425</v>
      </c>
      <c r="M5714" s="43">
        <v>11.500435161009573</v>
      </c>
      <c r="N5714" s="43">
        <v>5.2965681157558331</v>
      </c>
      <c r="O5714" s="43">
        <v>5.0594390658771466</v>
      </c>
      <c r="P5714" s="193"/>
      <c r="Q5714" s="193"/>
      <c r="R5714" s="193">
        <v>3</v>
      </c>
    </row>
    <row r="5715" spans="1:18" ht="48">
      <c r="A5715" s="189">
        <v>596</v>
      </c>
      <c r="B5715" s="186" t="s">
        <v>10462</v>
      </c>
      <c r="C5715" s="190" t="s">
        <v>10463</v>
      </c>
      <c r="D5715" s="191">
        <v>14890.6</v>
      </c>
      <c r="E5715" s="191">
        <v>8043</v>
      </c>
      <c r="F5715" s="191">
        <v>867.68</v>
      </c>
      <c r="G5715" s="191">
        <v>5979.92</v>
      </c>
      <c r="H5715" s="192">
        <v>126379.84</v>
      </c>
      <c r="I5715" s="192">
        <v>92498</v>
      </c>
      <c r="J5715" s="192">
        <v>4595.75</v>
      </c>
      <c r="K5715" s="192">
        <v>29286.09</v>
      </c>
      <c r="L5715" s="43">
        <v>8.4872228117067134</v>
      </c>
      <c r="M5715" s="43">
        <v>11.500435161009573</v>
      </c>
      <c r="N5715" s="43">
        <v>5.2965955190853773</v>
      </c>
      <c r="O5715" s="43">
        <v>4.8974049820064485</v>
      </c>
      <c r="P5715" s="193"/>
      <c r="Q5715" s="193"/>
      <c r="R5715" s="193">
        <v>3</v>
      </c>
    </row>
    <row r="5716" spans="1:18" ht="36">
      <c r="A5716" s="189">
        <v>597</v>
      </c>
      <c r="B5716" s="186" t="s">
        <v>10464</v>
      </c>
      <c r="C5716" s="190" t="s">
        <v>10465</v>
      </c>
      <c r="D5716" s="191">
        <v>18837.650000000001</v>
      </c>
      <c r="E5716" s="191">
        <v>10341</v>
      </c>
      <c r="F5716" s="191">
        <v>1061.6300000000001</v>
      </c>
      <c r="G5716" s="191">
        <v>7435.02</v>
      </c>
      <c r="H5716" s="192">
        <v>160865.69</v>
      </c>
      <c r="I5716" s="192">
        <v>118926</v>
      </c>
      <c r="J5716" s="192">
        <v>5623.03</v>
      </c>
      <c r="K5716" s="192">
        <v>36316.660000000003</v>
      </c>
      <c r="L5716" s="43">
        <v>8.5395837591206973</v>
      </c>
      <c r="M5716" s="43">
        <v>11.500435161009573</v>
      </c>
      <c r="N5716" s="43">
        <v>5.2966005105356846</v>
      </c>
      <c r="O5716" s="43">
        <v>4.8845409965272459</v>
      </c>
      <c r="P5716" s="193"/>
      <c r="Q5716" s="193"/>
      <c r="R5716" s="193">
        <v>3</v>
      </c>
    </row>
    <row r="5717" spans="1:18" ht="12.75" customHeight="1">
      <c r="A5717" s="628" t="s">
        <v>10466</v>
      </c>
      <c r="B5717" s="629"/>
      <c r="C5717" s="629"/>
      <c r="D5717" s="629"/>
      <c r="E5717" s="629"/>
      <c r="F5717" s="629"/>
      <c r="G5717" s="629"/>
      <c r="H5717" s="629"/>
      <c r="I5717" s="629"/>
      <c r="J5717" s="629"/>
      <c r="K5717" s="629"/>
      <c r="L5717" s="629"/>
      <c r="M5717" s="629"/>
      <c r="N5717" s="629"/>
      <c r="O5717" s="629"/>
      <c r="P5717" s="629"/>
      <c r="Q5717" s="629"/>
      <c r="R5717" s="629"/>
    </row>
    <row r="5718" spans="1:18" ht="12.75" customHeight="1">
      <c r="A5718" s="628" t="s">
        <v>10467</v>
      </c>
      <c r="B5718" s="629"/>
      <c r="C5718" s="629"/>
      <c r="D5718" s="629"/>
      <c r="E5718" s="629"/>
      <c r="F5718" s="629"/>
      <c r="G5718" s="629"/>
      <c r="H5718" s="629"/>
      <c r="I5718" s="629"/>
      <c r="J5718" s="629"/>
      <c r="K5718" s="629"/>
      <c r="L5718" s="629"/>
      <c r="M5718" s="629"/>
      <c r="N5718" s="629"/>
      <c r="O5718" s="629"/>
      <c r="P5718" s="629"/>
      <c r="Q5718" s="629"/>
      <c r="R5718" s="629"/>
    </row>
    <row r="5719" spans="1:18" ht="24">
      <c r="A5719" s="189">
        <v>598</v>
      </c>
      <c r="B5719" s="186" t="s">
        <v>10468</v>
      </c>
      <c r="C5719" s="190" t="s">
        <v>10469</v>
      </c>
      <c r="D5719" s="191">
        <v>1242.07</v>
      </c>
      <c r="E5719" s="191">
        <v>713.53</v>
      </c>
      <c r="F5719" s="191">
        <v>337.93</v>
      </c>
      <c r="G5719" s="191">
        <v>190.61</v>
      </c>
      <c r="H5719" s="192">
        <v>10801.34</v>
      </c>
      <c r="I5719" s="192">
        <v>8205.89</v>
      </c>
      <c r="J5719" s="192">
        <v>1752.73</v>
      </c>
      <c r="K5719" s="192">
        <v>842.72</v>
      </c>
      <c r="L5719" s="43">
        <v>8.6962409526033166</v>
      </c>
      <c r="M5719" s="43">
        <v>11.500413437416787</v>
      </c>
      <c r="N5719" s="43">
        <v>5.186665877548605</v>
      </c>
      <c r="O5719" s="43">
        <v>4.4211741251770631</v>
      </c>
      <c r="P5719" s="193"/>
      <c r="Q5719" s="193"/>
      <c r="R5719" s="193">
        <v>1</v>
      </c>
    </row>
    <row r="5720" spans="1:18" ht="24">
      <c r="A5720" s="189">
        <v>599</v>
      </c>
      <c r="B5720" s="186" t="s">
        <v>10470</v>
      </c>
      <c r="C5720" s="190" t="s">
        <v>10471</v>
      </c>
      <c r="D5720" s="191">
        <v>1318.16</v>
      </c>
      <c r="E5720" s="191">
        <v>726.17</v>
      </c>
      <c r="F5720" s="191">
        <v>343.37</v>
      </c>
      <c r="G5720" s="191">
        <v>248.62</v>
      </c>
      <c r="H5720" s="192">
        <v>11213.73</v>
      </c>
      <c r="I5720" s="192">
        <v>8351.25</v>
      </c>
      <c r="J5720" s="192">
        <v>1780.91</v>
      </c>
      <c r="K5720" s="192">
        <v>1081.57</v>
      </c>
      <c r="L5720" s="43">
        <v>8.5071083935182372</v>
      </c>
      <c r="M5720" s="43">
        <v>11.50040624096286</v>
      </c>
      <c r="N5720" s="43">
        <v>5.1865626001106682</v>
      </c>
      <c r="O5720" s="43">
        <v>4.3502936207867426</v>
      </c>
      <c r="P5720" s="193"/>
      <c r="Q5720" s="193"/>
      <c r="R5720" s="193">
        <v>1</v>
      </c>
    </row>
    <row r="5721" spans="1:18" ht="24">
      <c r="A5721" s="189">
        <v>600</v>
      </c>
      <c r="B5721" s="186" t="s">
        <v>10472</v>
      </c>
      <c r="C5721" s="190" t="s">
        <v>10473</v>
      </c>
      <c r="D5721" s="191">
        <v>1120.2</v>
      </c>
      <c r="E5721" s="191">
        <v>700.89</v>
      </c>
      <c r="F5721" s="191">
        <v>331.41</v>
      </c>
      <c r="G5721" s="191">
        <v>87.9</v>
      </c>
      <c r="H5721" s="192">
        <v>10244.86</v>
      </c>
      <c r="I5721" s="192">
        <v>8060.54</v>
      </c>
      <c r="J5721" s="192">
        <v>1718.92</v>
      </c>
      <c r="K5721" s="192">
        <v>465.4</v>
      </c>
      <c r="L5721" s="43">
        <v>9.1455632922692374</v>
      </c>
      <c r="M5721" s="43">
        <v>11.500435161009573</v>
      </c>
      <c r="N5721" s="43">
        <v>5.1866871850577834</v>
      </c>
      <c r="O5721" s="43">
        <v>5.2946530147895325</v>
      </c>
      <c r="P5721" s="193"/>
      <c r="Q5721" s="193"/>
      <c r="R5721" s="193">
        <v>1</v>
      </c>
    </row>
    <row r="5722" spans="1:18" ht="24">
      <c r="A5722" s="189">
        <v>601</v>
      </c>
      <c r="B5722" s="186" t="s">
        <v>10474</v>
      </c>
      <c r="C5722" s="190" t="s">
        <v>10475</v>
      </c>
      <c r="D5722" s="191">
        <v>768.95</v>
      </c>
      <c r="E5722" s="191">
        <v>488.33</v>
      </c>
      <c r="F5722" s="191">
        <v>231.45</v>
      </c>
      <c r="G5722" s="191">
        <v>49.17</v>
      </c>
      <c r="H5722" s="192">
        <v>7102.4</v>
      </c>
      <c r="I5722" s="192">
        <v>5615.95</v>
      </c>
      <c r="J5722" s="192">
        <v>1200.43</v>
      </c>
      <c r="K5722" s="192">
        <v>286.02</v>
      </c>
      <c r="L5722" s="43">
        <v>9.2364913193315559</v>
      </c>
      <c r="M5722" s="43">
        <v>11.500317408309954</v>
      </c>
      <c r="N5722" s="43">
        <v>5.1865629725642695</v>
      </c>
      <c r="O5722" s="43">
        <v>5.8169615619280046</v>
      </c>
      <c r="P5722" s="193"/>
      <c r="Q5722" s="193"/>
      <c r="R5722" s="193">
        <v>1</v>
      </c>
    </row>
    <row r="5723" spans="1:18" ht="24">
      <c r="A5723" s="189">
        <v>602</v>
      </c>
      <c r="B5723" s="186" t="s">
        <v>10476</v>
      </c>
      <c r="C5723" s="190" t="s">
        <v>10477</v>
      </c>
      <c r="D5723" s="191">
        <v>695.81</v>
      </c>
      <c r="E5723" s="191">
        <v>438.92</v>
      </c>
      <c r="F5723" s="191">
        <v>207.54</v>
      </c>
      <c r="G5723" s="191">
        <v>49.35</v>
      </c>
      <c r="H5723" s="192">
        <v>6403.1</v>
      </c>
      <c r="I5723" s="192">
        <v>5047.75</v>
      </c>
      <c r="J5723" s="192">
        <v>1076.44</v>
      </c>
      <c r="K5723" s="192">
        <v>278.91000000000003</v>
      </c>
      <c r="L5723" s="43">
        <v>9.2023684626550359</v>
      </c>
      <c r="M5723" s="43">
        <v>11.50038731431696</v>
      </c>
      <c r="N5723" s="43">
        <v>5.1866628119880511</v>
      </c>
      <c r="O5723" s="43">
        <v>5.6516717325227965</v>
      </c>
      <c r="P5723" s="193"/>
      <c r="Q5723" s="193"/>
      <c r="R5723" s="193">
        <v>1</v>
      </c>
    </row>
    <row r="5724" spans="1:18" ht="24">
      <c r="A5724" s="189">
        <v>603</v>
      </c>
      <c r="B5724" s="186" t="s">
        <v>10478</v>
      </c>
      <c r="C5724" s="190" t="s">
        <v>10479</v>
      </c>
      <c r="D5724" s="191">
        <v>1036.6400000000001</v>
      </c>
      <c r="E5724" s="191">
        <v>664.12</v>
      </c>
      <c r="F5724" s="191">
        <v>314.02999999999997</v>
      </c>
      <c r="G5724" s="191">
        <v>58.49</v>
      </c>
      <c r="H5724" s="192">
        <v>9631.75</v>
      </c>
      <c r="I5724" s="192">
        <v>7637.69</v>
      </c>
      <c r="J5724" s="192">
        <v>1628.75</v>
      </c>
      <c r="K5724" s="192">
        <v>365.31</v>
      </c>
      <c r="L5724" s="43">
        <v>9.2913161753356999</v>
      </c>
      <c r="M5724" s="43">
        <v>11.500466783111484</v>
      </c>
      <c r="N5724" s="43">
        <v>5.1866063751870843</v>
      </c>
      <c r="O5724" s="43">
        <v>6.2456830227389295</v>
      </c>
      <c r="P5724" s="193"/>
      <c r="Q5724" s="193"/>
      <c r="R5724" s="193">
        <v>1</v>
      </c>
    </row>
    <row r="5725" spans="1:18" ht="24">
      <c r="A5725" s="189">
        <v>604</v>
      </c>
      <c r="B5725" s="186" t="s">
        <v>10480</v>
      </c>
      <c r="C5725" s="190" t="s">
        <v>10481</v>
      </c>
      <c r="D5725" s="191">
        <v>1682.84</v>
      </c>
      <c r="E5725" s="191">
        <v>1065.1199999999999</v>
      </c>
      <c r="F5725" s="191">
        <v>503.1</v>
      </c>
      <c r="G5725" s="191">
        <v>114.62</v>
      </c>
      <c r="H5725" s="192">
        <v>15519.36</v>
      </c>
      <c r="I5725" s="192">
        <v>12249.38</v>
      </c>
      <c r="J5725" s="192">
        <v>2609.38</v>
      </c>
      <c r="K5725" s="192">
        <v>660.6</v>
      </c>
      <c r="L5725" s="43">
        <v>9.2221245038149799</v>
      </c>
      <c r="M5725" s="43">
        <v>11.500469430674478</v>
      </c>
      <c r="N5725" s="43">
        <v>5.1866030610216658</v>
      </c>
      <c r="O5725" s="43">
        <v>5.763392078171349</v>
      </c>
      <c r="P5725" s="193"/>
      <c r="Q5725" s="193"/>
      <c r="R5725" s="193">
        <v>1</v>
      </c>
    </row>
    <row r="5726" spans="1:18" ht="12.75" customHeight="1">
      <c r="A5726" s="628" t="s">
        <v>10482</v>
      </c>
      <c r="B5726" s="629"/>
      <c r="C5726" s="629"/>
      <c r="D5726" s="629"/>
      <c r="E5726" s="629"/>
      <c r="F5726" s="629"/>
      <c r="G5726" s="629"/>
      <c r="H5726" s="629"/>
      <c r="I5726" s="629"/>
      <c r="J5726" s="629"/>
      <c r="K5726" s="629"/>
      <c r="L5726" s="629"/>
      <c r="M5726" s="629"/>
      <c r="N5726" s="629"/>
      <c r="O5726" s="629"/>
      <c r="P5726" s="629"/>
      <c r="Q5726" s="629"/>
      <c r="R5726" s="629"/>
    </row>
    <row r="5727" spans="1:18" ht="24">
      <c r="A5727" s="189">
        <v>605</v>
      </c>
      <c r="B5727" s="186" t="s">
        <v>10483</v>
      </c>
      <c r="C5727" s="190" t="s">
        <v>10484</v>
      </c>
      <c r="D5727" s="191">
        <v>16.21</v>
      </c>
      <c r="E5727" s="191">
        <v>11.49</v>
      </c>
      <c r="F5727" s="191"/>
      <c r="G5727" s="191">
        <v>4.72</v>
      </c>
      <c r="H5727" s="192">
        <v>151.85</v>
      </c>
      <c r="I5727" s="192">
        <v>132.13999999999999</v>
      </c>
      <c r="J5727" s="192"/>
      <c r="K5727" s="192">
        <v>19.71</v>
      </c>
      <c r="L5727" s="43">
        <v>9.3676742751388016</v>
      </c>
      <c r="M5727" s="43">
        <v>11.500435161009571</v>
      </c>
      <c r="N5727" s="43" t="s">
        <v>1690</v>
      </c>
      <c r="O5727" s="43">
        <v>4.1758474576271194</v>
      </c>
      <c r="P5727" s="193"/>
      <c r="Q5727" s="193"/>
      <c r="R5727" s="193">
        <v>2</v>
      </c>
    </row>
    <row r="5728" spans="1:18" ht="12.75" customHeight="1">
      <c r="A5728" s="628" t="s">
        <v>10485</v>
      </c>
      <c r="B5728" s="629"/>
      <c r="C5728" s="629"/>
      <c r="D5728" s="629"/>
      <c r="E5728" s="629"/>
      <c r="F5728" s="629"/>
      <c r="G5728" s="629"/>
      <c r="H5728" s="629"/>
      <c r="I5728" s="629"/>
      <c r="J5728" s="629"/>
      <c r="K5728" s="629"/>
      <c r="L5728" s="629"/>
      <c r="M5728" s="629"/>
      <c r="N5728" s="629"/>
      <c r="O5728" s="629"/>
      <c r="P5728" s="629"/>
      <c r="Q5728" s="629"/>
      <c r="R5728" s="629"/>
    </row>
    <row r="5729" spans="1:18" ht="24">
      <c r="A5729" s="189">
        <v>606</v>
      </c>
      <c r="B5729" s="186" t="s">
        <v>10486</v>
      </c>
      <c r="C5729" s="190" t="s">
        <v>10487</v>
      </c>
      <c r="D5729" s="191">
        <v>36.78</v>
      </c>
      <c r="E5729" s="191">
        <v>30.57</v>
      </c>
      <c r="F5729" s="191"/>
      <c r="G5729" s="191">
        <v>6.21</v>
      </c>
      <c r="H5729" s="192">
        <v>383.51</v>
      </c>
      <c r="I5729" s="192">
        <v>351.57</v>
      </c>
      <c r="J5729" s="192"/>
      <c r="K5729" s="192">
        <v>31.94</v>
      </c>
      <c r="L5729" s="43">
        <v>10.427134312126155</v>
      </c>
      <c r="M5729" s="43">
        <v>11.500490677134446</v>
      </c>
      <c r="N5729" s="43" t="s">
        <v>1690</v>
      </c>
      <c r="O5729" s="43">
        <v>5.1433172302737526</v>
      </c>
      <c r="P5729" s="193"/>
      <c r="Q5729" s="193"/>
      <c r="R5729" s="193">
        <v>3</v>
      </c>
    </row>
    <row r="5730" spans="1:18" ht="24">
      <c r="A5730" s="189">
        <v>607</v>
      </c>
      <c r="B5730" s="186" t="s">
        <v>10488</v>
      </c>
      <c r="C5730" s="190" t="s">
        <v>10489</v>
      </c>
      <c r="D5730" s="191">
        <v>20.79</v>
      </c>
      <c r="E5730" s="191">
        <v>20.38</v>
      </c>
      <c r="F5730" s="191"/>
      <c r="G5730" s="191">
        <v>0.41</v>
      </c>
      <c r="H5730" s="192">
        <v>239.1</v>
      </c>
      <c r="I5730" s="192">
        <v>234.38</v>
      </c>
      <c r="J5730" s="192"/>
      <c r="K5730" s="192">
        <v>4.72</v>
      </c>
      <c r="L5730" s="43">
        <v>11.5007215007215</v>
      </c>
      <c r="M5730" s="43">
        <v>11.500490677134446</v>
      </c>
      <c r="N5730" s="43" t="s">
        <v>1690</v>
      </c>
      <c r="O5730" s="43">
        <v>11.512195121951219</v>
      </c>
      <c r="P5730" s="193"/>
      <c r="Q5730" s="193"/>
      <c r="R5730" s="193">
        <v>3</v>
      </c>
    </row>
    <row r="5731" spans="1:18" ht="12.75" customHeight="1">
      <c r="A5731" s="628" t="s">
        <v>10490</v>
      </c>
      <c r="B5731" s="629"/>
      <c r="C5731" s="629"/>
      <c r="D5731" s="629"/>
      <c r="E5731" s="629"/>
      <c r="F5731" s="629"/>
      <c r="G5731" s="629"/>
      <c r="H5731" s="629"/>
      <c r="I5731" s="629"/>
      <c r="J5731" s="629"/>
      <c r="K5731" s="629"/>
      <c r="L5731" s="629"/>
      <c r="M5731" s="629"/>
      <c r="N5731" s="629"/>
      <c r="O5731" s="629"/>
      <c r="P5731" s="629"/>
      <c r="Q5731" s="629"/>
      <c r="R5731" s="629"/>
    </row>
    <row r="5732" spans="1:18" ht="24">
      <c r="A5732" s="189">
        <v>608</v>
      </c>
      <c r="B5732" s="186" t="s">
        <v>10491</v>
      </c>
      <c r="C5732" s="190" t="s">
        <v>10492</v>
      </c>
      <c r="D5732" s="191">
        <v>175.49</v>
      </c>
      <c r="E5732" s="191">
        <v>106.34</v>
      </c>
      <c r="F5732" s="191">
        <v>53.24</v>
      </c>
      <c r="G5732" s="191">
        <v>15.91</v>
      </c>
      <c r="H5732" s="192">
        <v>1572.24</v>
      </c>
      <c r="I5732" s="192">
        <v>1222.9100000000001</v>
      </c>
      <c r="J5732" s="192">
        <v>276.14999999999998</v>
      </c>
      <c r="K5732" s="192">
        <v>73.180000000000007</v>
      </c>
      <c r="L5732" s="43">
        <v>8.9591429711094648</v>
      </c>
      <c r="M5732" s="43">
        <v>11.5</v>
      </c>
      <c r="N5732" s="43">
        <v>5.1868895567242665</v>
      </c>
      <c r="O5732" s="43">
        <v>4.5996228786926467</v>
      </c>
      <c r="P5732" s="193"/>
      <c r="Q5732" s="193"/>
      <c r="R5732" s="193">
        <v>4</v>
      </c>
    </row>
    <row r="5733" spans="1:18" ht="24">
      <c r="A5733" s="189">
        <v>609</v>
      </c>
      <c r="B5733" s="186" t="s">
        <v>10493</v>
      </c>
      <c r="C5733" s="190" t="s">
        <v>10494</v>
      </c>
      <c r="D5733" s="191">
        <v>287.45999999999998</v>
      </c>
      <c r="E5733" s="191">
        <v>175.65</v>
      </c>
      <c r="F5733" s="191">
        <v>77.150000000000006</v>
      </c>
      <c r="G5733" s="191">
        <v>34.659999999999997</v>
      </c>
      <c r="H5733" s="192">
        <v>2569.7399999999998</v>
      </c>
      <c r="I5733" s="192">
        <v>2020.09</v>
      </c>
      <c r="J5733" s="192">
        <v>400.14</v>
      </c>
      <c r="K5733" s="192">
        <v>149.51</v>
      </c>
      <c r="L5733" s="43">
        <v>8.9394698392819869</v>
      </c>
      <c r="M5733" s="43">
        <v>11.500654711073157</v>
      </c>
      <c r="N5733" s="43">
        <v>5.186519766688269</v>
      </c>
      <c r="O5733" s="43">
        <v>4.3136180034622047</v>
      </c>
      <c r="P5733" s="193"/>
      <c r="Q5733" s="193"/>
      <c r="R5733" s="193">
        <v>4</v>
      </c>
    </row>
    <row r="5734" spans="1:18" ht="24">
      <c r="A5734" s="189">
        <v>610</v>
      </c>
      <c r="B5734" s="186" t="s">
        <v>10495</v>
      </c>
      <c r="C5734" s="190" t="s">
        <v>10496</v>
      </c>
      <c r="D5734" s="191">
        <v>137.04</v>
      </c>
      <c r="E5734" s="191">
        <v>77.75</v>
      </c>
      <c r="F5734" s="191">
        <v>41.29</v>
      </c>
      <c r="G5734" s="191">
        <v>18</v>
      </c>
      <c r="H5734" s="192">
        <v>1180.06</v>
      </c>
      <c r="I5734" s="192">
        <v>894.16</v>
      </c>
      <c r="J5734" s="192">
        <v>214.16</v>
      </c>
      <c r="K5734" s="192">
        <v>71.739999999999995</v>
      </c>
      <c r="L5734" s="43">
        <v>8.6110624635143029</v>
      </c>
      <c r="M5734" s="43">
        <v>11.500450160771704</v>
      </c>
      <c r="N5734" s="43">
        <v>5.1867280213126667</v>
      </c>
      <c r="O5734" s="43">
        <v>3.9855555555555551</v>
      </c>
      <c r="P5734" s="193"/>
      <c r="Q5734" s="193"/>
      <c r="R5734" s="193">
        <v>4</v>
      </c>
    </row>
    <row r="5735" spans="1:18" ht="12.75" customHeight="1">
      <c r="A5735" s="628" t="s">
        <v>10497</v>
      </c>
      <c r="B5735" s="629"/>
      <c r="C5735" s="629"/>
      <c r="D5735" s="629"/>
      <c r="E5735" s="629"/>
      <c r="F5735" s="629"/>
      <c r="G5735" s="629"/>
      <c r="H5735" s="629"/>
      <c r="I5735" s="629"/>
      <c r="J5735" s="629"/>
      <c r="K5735" s="629"/>
      <c r="L5735" s="629"/>
      <c r="M5735" s="629"/>
      <c r="N5735" s="629"/>
      <c r="O5735" s="629"/>
      <c r="P5735" s="629"/>
      <c r="Q5735" s="629"/>
      <c r="R5735" s="629"/>
    </row>
    <row r="5736" spans="1:18" ht="24">
      <c r="A5736" s="189">
        <v>611</v>
      </c>
      <c r="B5736" s="186" t="s">
        <v>10498</v>
      </c>
      <c r="C5736" s="190" t="s">
        <v>10499</v>
      </c>
      <c r="D5736" s="191">
        <v>391.83</v>
      </c>
      <c r="E5736" s="191">
        <v>197.92</v>
      </c>
      <c r="F5736" s="191"/>
      <c r="G5736" s="191">
        <v>193.91</v>
      </c>
      <c r="H5736" s="192">
        <v>3302.63</v>
      </c>
      <c r="I5736" s="192">
        <v>2276.16</v>
      </c>
      <c r="J5736" s="192"/>
      <c r="K5736" s="192">
        <v>1026.47</v>
      </c>
      <c r="L5736" s="43">
        <v>8.4287318479953051</v>
      </c>
      <c r="M5736" s="43">
        <v>11.500404203718674</v>
      </c>
      <c r="N5736" s="43" t="s">
        <v>1690</v>
      </c>
      <c r="O5736" s="43">
        <v>5.2935382393894077</v>
      </c>
      <c r="P5736" s="193"/>
      <c r="Q5736" s="193"/>
      <c r="R5736" s="193">
        <v>5</v>
      </c>
    </row>
    <row r="5737" spans="1:18" ht="24">
      <c r="A5737" s="189">
        <v>612</v>
      </c>
      <c r="B5737" s="186" t="s">
        <v>10500</v>
      </c>
      <c r="C5737" s="190" t="s">
        <v>10501</v>
      </c>
      <c r="D5737" s="191">
        <v>878.01</v>
      </c>
      <c r="E5737" s="191">
        <v>383.47</v>
      </c>
      <c r="F5737" s="191"/>
      <c r="G5737" s="191">
        <v>494.54</v>
      </c>
      <c r="H5737" s="192">
        <v>7029.87</v>
      </c>
      <c r="I5737" s="192">
        <v>4410.0600000000004</v>
      </c>
      <c r="J5737" s="192"/>
      <c r="K5737" s="192">
        <v>2619.81</v>
      </c>
      <c r="L5737" s="43">
        <v>8.0065944579218922</v>
      </c>
      <c r="M5737" s="43">
        <v>11.500404203718674</v>
      </c>
      <c r="N5737" s="43" t="s">
        <v>1690</v>
      </c>
      <c r="O5737" s="43">
        <v>5.2974683544303796</v>
      </c>
      <c r="P5737" s="193"/>
      <c r="Q5737" s="193"/>
      <c r="R5737" s="193">
        <v>5</v>
      </c>
    </row>
    <row r="5738" spans="1:18" ht="24">
      <c r="A5738" s="189">
        <v>613</v>
      </c>
      <c r="B5738" s="186" t="s">
        <v>10502</v>
      </c>
      <c r="C5738" s="190" t="s">
        <v>10503</v>
      </c>
      <c r="D5738" s="191">
        <v>460.73</v>
      </c>
      <c r="E5738" s="191">
        <v>408.21</v>
      </c>
      <c r="F5738" s="191"/>
      <c r="G5738" s="191">
        <v>52.52</v>
      </c>
      <c r="H5738" s="192">
        <v>4989.82</v>
      </c>
      <c r="I5738" s="192">
        <v>4694.58</v>
      </c>
      <c r="J5738" s="192"/>
      <c r="K5738" s="192">
        <v>295.24</v>
      </c>
      <c r="L5738" s="43">
        <v>10.830247650467735</v>
      </c>
      <c r="M5738" s="43">
        <v>11.500404203718675</v>
      </c>
      <c r="N5738" s="43" t="s">
        <v>1690</v>
      </c>
      <c r="O5738" s="43">
        <v>5.6214775323686217</v>
      </c>
      <c r="P5738" s="193"/>
      <c r="Q5738" s="193"/>
      <c r="R5738" s="193">
        <v>5</v>
      </c>
    </row>
    <row r="5739" spans="1:18" ht="24">
      <c r="A5739" s="189">
        <v>614</v>
      </c>
      <c r="B5739" s="186" t="s">
        <v>10504</v>
      </c>
      <c r="C5739" s="190" t="s">
        <v>10505</v>
      </c>
      <c r="D5739" s="191">
        <v>49.84</v>
      </c>
      <c r="E5739" s="191">
        <v>40.76</v>
      </c>
      <c r="F5739" s="191"/>
      <c r="G5739" s="191">
        <v>9.08</v>
      </c>
      <c r="H5739" s="192">
        <v>510.96</v>
      </c>
      <c r="I5739" s="192">
        <v>468.76</v>
      </c>
      <c r="J5739" s="192"/>
      <c r="K5739" s="192">
        <v>42.2</v>
      </c>
      <c r="L5739" s="43">
        <v>10.252006420545746</v>
      </c>
      <c r="M5739" s="43">
        <v>11.500490677134446</v>
      </c>
      <c r="N5739" s="43" t="s">
        <v>1690</v>
      </c>
      <c r="O5739" s="43">
        <v>4.6475770925110131</v>
      </c>
      <c r="P5739" s="193"/>
      <c r="Q5739" s="193"/>
      <c r="R5739" s="193">
        <v>5</v>
      </c>
    </row>
    <row r="5740" spans="1:18" ht="24">
      <c r="A5740" s="189">
        <v>615</v>
      </c>
      <c r="B5740" s="186" t="s">
        <v>10506</v>
      </c>
      <c r="C5740" s="190" t="s">
        <v>10507</v>
      </c>
      <c r="D5740" s="191">
        <v>11.58</v>
      </c>
      <c r="E5740" s="191">
        <v>10.84</v>
      </c>
      <c r="F5740" s="191"/>
      <c r="G5740" s="191">
        <v>0.74</v>
      </c>
      <c r="H5740" s="192">
        <v>129.84</v>
      </c>
      <c r="I5740" s="192">
        <v>124.66</v>
      </c>
      <c r="J5740" s="192"/>
      <c r="K5740" s="192">
        <v>5.18</v>
      </c>
      <c r="L5740" s="43">
        <v>11.212435233160623</v>
      </c>
      <c r="M5740" s="43">
        <v>11.5</v>
      </c>
      <c r="N5740" s="43" t="s">
        <v>1690</v>
      </c>
      <c r="O5740" s="43">
        <v>7</v>
      </c>
      <c r="P5740" s="193"/>
      <c r="Q5740" s="193"/>
      <c r="R5740" s="193">
        <v>5</v>
      </c>
    </row>
    <row r="5741" spans="1:18" ht="24">
      <c r="A5741" s="189">
        <v>616</v>
      </c>
      <c r="B5741" s="186" t="s">
        <v>10508</v>
      </c>
      <c r="C5741" s="190" t="s">
        <v>10509</v>
      </c>
      <c r="D5741" s="191">
        <v>82.13</v>
      </c>
      <c r="E5741" s="191">
        <v>63.48</v>
      </c>
      <c r="F5741" s="191"/>
      <c r="G5741" s="191">
        <v>18.649999999999999</v>
      </c>
      <c r="H5741" s="192">
        <v>813.62</v>
      </c>
      <c r="I5741" s="192">
        <v>730.02</v>
      </c>
      <c r="J5741" s="192"/>
      <c r="K5741" s="192">
        <v>83.6</v>
      </c>
      <c r="L5741" s="43">
        <v>9.9064897114330943</v>
      </c>
      <c r="M5741" s="43">
        <v>11.5</v>
      </c>
      <c r="N5741" s="43" t="s">
        <v>1690</v>
      </c>
      <c r="O5741" s="43">
        <v>4.4825737265415553</v>
      </c>
      <c r="P5741" s="193"/>
      <c r="Q5741" s="193"/>
      <c r="R5741" s="193">
        <v>5</v>
      </c>
    </row>
    <row r="5742" spans="1:18" ht="24">
      <c r="A5742" s="189">
        <v>617</v>
      </c>
      <c r="B5742" s="186" t="s">
        <v>10510</v>
      </c>
      <c r="C5742" s="190" t="s">
        <v>10511</v>
      </c>
      <c r="D5742" s="191">
        <v>11.1</v>
      </c>
      <c r="E5742" s="191">
        <v>10.19</v>
      </c>
      <c r="F5742" s="191"/>
      <c r="G5742" s="191">
        <v>0.91</v>
      </c>
      <c r="H5742" s="192">
        <v>122.79</v>
      </c>
      <c r="I5742" s="192">
        <v>117.19</v>
      </c>
      <c r="J5742" s="192"/>
      <c r="K5742" s="192">
        <v>5.6</v>
      </c>
      <c r="L5742" s="43">
        <v>11.062162162162164</v>
      </c>
      <c r="M5742" s="43">
        <v>11.500490677134446</v>
      </c>
      <c r="N5742" s="43" t="s">
        <v>1690</v>
      </c>
      <c r="O5742" s="43">
        <v>6.1538461538461533</v>
      </c>
      <c r="P5742" s="193"/>
      <c r="Q5742" s="193"/>
      <c r="R5742" s="193">
        <v>5</v>
      </c>
    </row>
    <row r="5743" spans="1:18" ht="12.75" customHeight="1">
      <c r="A5743" s="628" t="s">
        <v>10512</v>
      </c>
      <c r="B5743" s="629"/>
      <c r="C5743" s="629"/>
      <c r="D5743" s="629"/>
      <c r="E5743" s="629"/>
      <c r="F5743" s="629"/>
      <c r="G5743" s="629"/>
      <c r="H5743" s="629"/>
      <c r="I5743" s="629"/>
      <c r="J5743" s="629"/>
      <c r="K5743" s="629"/>
      <c r="L5743" s="629"/>
      <c r="M5743" s="629"/>
      <c r="N5743" s="629"/>
      <c r="O5743" s="629"/>
      <c r="P5743" s="629"/>
      <c r="Q5743" s="629"/>
      <c r="R5743" s="629"/>
    </row>
    <row r="5744" spans="1:18" ht="24">
      <c r="A5744" s="189">
        <v>618</v>
      </c>
      <c r="B5744" s="186" t="s">
        <v>10513</v>
      </c>
      <c r="C5744" s="190" t="s">
        <v>10514</v>
      </c>
      <c r="D5744" s="191">
        <v>663.17</v>
      </c>
      <c r="E5744" s="191">
        <v>568.58000000000004</v>
      </c>
      <c r="F5744" s="191">
        <v>3.26</v>
      </c>
      <c r="G5744" s="191">
        <v>91.33</v>
      </c>
      <c r="H5744" s="192">
        <v>7172.96</v>
      </c>
      <c r="I5744" s="192">
        <v>6538.72</v>
      </c>
      <c r="J5744" s="192">
        <v>16.91</v>
      </c>
      <c r="K5744" s="192">
        <v>617.33000000000004</v>
      </c>
      <c r="L5744" s="43">
        <v>10.816170815929551</v>
      </c>
      <c r="M5744" s="43">
        <v>11.500087938372788</v>
      </c>
      <c r="N5744" s="43">
        <v>5.1871165644171784</v>
      </c>
      <c r="O5744" s="43">
        <v>6.759334282273076</v>
      </c>
      <c r="P5744" s="193"/>
      <c r="Q5744" s="193"/>
      <c r="R5744" s="193">
        <v>6</v>
      </c>
    </row>
    <row r="5745" spans="1:18" ht="24">
      <c r="A5745" s="189">
        <v>619</v>
      </c>
      <c r="B5745" s="186" t="s">
        <v>10515</v>
      </c>
      <c r="C5745" s="190" t="s">
        <v>10516</v>
      </c>
      <c r="D5745" s="191">
        <v>1458.84</v>
      </c>
      <c r="E5745" s="191">
        <v>1297.44</v>
      </c>
      <c r="F5745" s="191">
        <v>5.43</v>
      </c>
      <c r="G5745" s="191">
        <v>155.97</v>
      </c>
      <c r="H5745" s="192">
        <v>15989.04</v>
      </c>
      <c r="I5745" s="192">
        <v>14920.56</v>
      </c>
      <c r="J5745" s="192">
        <v>28.18</v>
      </c>
      <c r="K5745" s="192">
        <v>1040.3</v>
      </c>
      <c r="L5745" s="43">
        <v>10.960105289133834</v>
      </c>
      <c r="M5745" s="43">
        <v>11.5</v>
      </c>
      <c r="N5745" s="43">
        <v>5.1896869244935546</v>
      </c>
      <c r="O5745" s="43">
        <v>6.6698724113611592</v>
      </c>
      <c r="P5745" s="193"/>
      <c r="Q5745" s="193"/>
      <c r="R5745" s="193">
        <v>6</v>
      </c>
    </row>
    <row r="5746" spans="1:18" ht="24">
      <c r="A5746" s="189">
        <v>620</v>
      </c>
      <c r="B5746" s="186" t="s">
        <v>10517</v>
      </c>
      <c r="C5746" s="190" t="s">
        <v>10518</v>
      </c>
      <c r="D5746" s="191">
        <v>1456.86</v>
      </c>
      <c r="E5746" s="191">
        <v>1348.33</v>
      </c>
      <c r="F5746" s="191">
        <v>7.61</v>
      </c>
      <c r="G5746" s="191">
        <v>100.92</v>
      </c>
      <c r="H5746" s="192">
        <v>16362.53</v>
      </c>
      <c r="I5746" s="192">
        <v>15506.34</v>
      </c>
      <c r="J5746" s="192">
        <v>39.450000000000003</v>
      </c>
      <c r="K5746" s="192">
        <v>816.74</v>
      </c>
      <c r="L5746" s="43">
        <v>11.231367461526848</v>
      </c>
      <c r="M5746" s="43">
        <v>11.500404203718675</v>
      </c>
      <c r="N5746" s="43">
        <v>5.1839684625492772</v>
      </c>
      <c r="O5746" s="43">
        <v>8.0929449068569159</v>
      </c>
      <c r="P5746" s="193"/>
      <c r="Q5746" s="193"/>
      <c r="R5746" s="193">
        <v>6</v>
      </c>
    </row>
    <row r="5747" spans="1:18" ht="24">
      <c r="A5747" s="189">
        <v>621</v>
      </c>
      <c r="B5747" s="186" t="s">
        <v>10519</v>
      </c>
      <c r="C5747" s="190" t="s">
        <v>10520</v>
      </c>
      <c r="D5747" s="191">
        <v>3161.37</v>
      </c>
      <c r="E5747" s="191">
        <v>3030.65</v>
      </c>
      <c r="F5747" s="191">
        <v>5.43</v>
      </c>
      <c r="G5747" s="191">
        <v>125.29</v>
      </c>
      <c r="H5747" s="192">
        <v>36045.17</v>
      </c>
      <c r="I5747" s="192">
        <v>34853.699999999997</v>
      </c>
      <c r="J5747" s="192">
        <v>28.18</v>
      </c>
      <c r="K5747" s="192">
        <v>1163.29</v>
      </c>
      <c r="L5747" s="43">
        <v>11.401756200634535</v>
      </c>
      <c r="M5747" s="43">
        <v>11.500404203718674</v>
      </c>
      <c r="N5747" s="43">
        <v>5.1896869244935546</v>
      </c>
      <c r="O5747" s="43">
        <v>9.2847793119961679</v>
      </c>
      <c r="P5747" s="193"/>
      <c r="Q5747" s="193"/>
      <c r="R5747" s="193">
        <v>6</v>
      </c>
    </row>
    <row r="5748" spans="1:18" ht="24">
      <c r="A5748" s="189">
        <v>622</v>
      </c>
      <c r="B5748" s="186" t="s">
        <v>10521</v>
      </c>
      <c r="C5748" s="190" t="s">
        <v>10522</v>
      </c>
      <c r="D5748" s="191">
        <v>2151.27</v>
      </c>
      <c r="E5748" s="191">
        <v>1855.5</v>
      </c>
      <c r="F5748" s="191">
        <v>5.43</v>
      </c>
      <c r="G5748" s="191">
        <v>290.33999999999997</v>
      </c>
      <c r="H5748" s="192">
        <v>23596.18</v>
      </c>
      <c r="I5748" s="192">
        <v>21339</v>
      </c>
      <c r="J5748" s="192">
        <v>28.18</v>
      </c>
      <c r="K5748" s="192">
        <v>2229</v>
      </c>
      <c r="L5748" s="43">
        <v>10.968488381281755</v>
      </c>
      <c r="M5748" s="43">
        <v>11.500404203718674</v>
      </c>
      <c r="N5748" s="43">
        <v>5.1896869244935546</v>
      </c>
      <c r="O5748" s="43">
        <v>7.6772060343046089</v>
      </c>
      <c r="P5748" s="193"/>
      <c r="Q5748" s="193"/>
      <c r="R5748" s="193">
        <v>6</v>
      </c>
    </row>
    <row r="5749" spans="1:18" ht="24">
      <c r="A5749" s="189">
        <v>623</v>
      </c>
      <c r="B5749" s="186" t="s">
        <v>10523</v>
      </c>
      <c r="C5749" s="190" t="s">
        <v>10475</v>
      </c>
      <c r="D5749" s="191">
        <v>1954.05</v>
      </c>
      <c r="E5749" s="191">
        <v>1682.32</v>
      </c>
      <c r="F5749" s="191">
        <v>5.43</v>
      </c>
      <c r="G5749" s="191">
        <v>266.3</v>
      </c>
      <c r="H5749" s="192">
        <v>21369.360000000001</v>
      </c>
      <c r="I5749" s="192">
        <v>19347.36</v>
      </c>
      <c r="J5749" s="192">
        <v>28.18</v>
      </c>
      <c r="K5749" s="192">
        <v>1993.82</v>
      </c>
      <c r="L5749" s="43">
        <v>10.935933062101789</v>
      </c>
      <c r="M5749" s="43">
        <v>11.500404203718675</v>
      </c>
      <c r="N5749" s="43">
        <v>5.1896869244935546</v>
      </c>
      <c r="O5749" s="43">
        <v>7.4871197897108521</v>
      </c>
      <c r="P5749" s="193"/>
      <c r="Q5749" s="193"/>
      <c r="R5749" s="193">
        <v>6</v>
      </c>
    </row>
    <row r="5750" spans="1:18" ht="24">
      <c r="A5750" s="189">
        <v>624</v>
      </c>
      <c r="B5750" s="186" t="s">
        <v>10524</v>
      </c>
      <c r="C5750" s="190" t="s">
        <v>10525</v>
      </c>
      <c r="D5750" s="191">
        <v>1387.34</v>
      </c>
      <c r="E5750" s="191">
        <v>1199.8900000000001</v>
      </c>
      <c r="F5750" s="191">
        <v>5.43</v>
      </c>
      <c r="G5750" s="191">
        <v>182.02</v>
      </c>
      <c r="H5750" s="192">
        <v>15310.52</v>
      </c>
      <c r="I5750" s="192">
        <v>13799.22</v>
      </c>
      <c r="J5750" s="192">
        <v>28.18</v>
      </c>
      <c r="K5750" s="192">
        <v>1483.12</v>
      </c>
      <c r="L5750" s="43">
        <v>11.035881615177246</v>
      </c>
      <c r="M5750" s="43">
        <v>11.500404203718674</v>
      </c>
      <c r="N5750" s="43">
        <v>5.1896869244935546</v>
      </c>
      <c r="O5750" s="43">
        <v>8.1481155916932195</v>
      </c>
      <c r="P5750" s="193"/>
      <c r="Q5750" s="193"/>
      <c r="R5750" s="193">
        <v>6</v>
      </c>
    </row>
    <row r="5751" spans="1:18" ht="24">
      <c r="A5751" s="189">
        <v>625</v>
      </c>
      <c r="B5751" s="186" t="s">
        <v>10526</v>
      </c>
      <c r="C5751" s="190" t="s">
        <v>10527</v>
      </c>
      <c r="D5751" s="191">
        <v>1010.69</v>
      </c>
      <c r="E5751" s="191">
        <v>849.82</v>
      </c>
      <c r="F5751" s="191">
        <v>4.3499999999999996</v>
      </c>
      <c r="G5751" s="191">
        <v>156.52000000000001</v>
      </c>
      <c r="H5751" s="192">
        <v>10823.91</v>
      </c>
      <c r="I5751" s="192">
        <v>9773.26</v>
      </c>
      <c r="J5751" s="192">
        <v>22.54</v>
      </c>
      <c r="K5751" s="192">
        <v>1028.1099999999999</v>
      </c>
      <c r="L5751" s="43">
        <v>10.709426233563208</v>
      </c>
      <c r="M5751" s="43">
        <v>11.500388317526063</v>
      </c>
      <c r="N5751" s="43">
        <v>5.1816091954022987</v>
      </c>
      <c r="O5751" s="43">
        <v>6.5685535394837711</v>
      </c>
      <c r="P5751" s="193"/>
      <c r="Q5751" s="193"/>
      <c r="R5751" s="193">
        <v>6</v>
      </c>
    </row>
    <row r="5752" spans="1:18" ht="24">
      <c r="A5752" s="189">
        <v>626</v>
      </c>
      <c r="B5752" s="186" t="s">
        <v>10528</v>
      </c>
      <c r="C5752" s="190" t="s">
        <v>10529</v>
      </c>
      <c r="D5752" s="191">
        <v>422.42</v>
      </c>
      <c r="E5752" s="191">
        <v>350.07</v>
      </c>
      <c r="F5752" s="191">
        <v>4.3499999999999996</v>
      </c>
      <c r="G5752" s="191">
        <v>68</v>
      </c>
      <c r="H5752" s="192">
        <v>4573.03</v>
      </c>
      <c r="I5752" s="192">
        <v>4025.96</v>
      </c>
      <c r="J5752" s="192">
        <v>22.54</v>
      </c>
      <c r="K5752" s="192">
        <v>524.53</v>
      </c>
      <c r="L5752" s="43">
        <v>10.825789498603285</v>
      </c>
      <c r="M5752" s="43">
        <v>11.50044276858914</v>
      </c>
      <c r="N5752" s="43">
        <v>5.1816091954022987</v>
      </c>
      <c r="O5752" s="43">
        <v>7.7136764705882346</v>
      </c>
      <c r="P5752" s="193"/>
      <c r="Q5752" s="193"/>
      <c r="R5752" s="193">
        <v>6</v>
      </c>
    </row>
    <row r="5753" spans="1:18" ht="24">
      <c r="A5753" s="189">
        <v>627</v>
      </c>
      <c r="B5753" s="186" t="s">
        <v>10530</v>
      </c>
      <c r="C5753" s="190" t="s">
        <v>10531</v>
      </c>
      <c r="D5753" s="191">
        <v>1138.82</v>
      </c>
      <c r="E5753" s="191">
        <v>927.24</v>
      </c>
      <c r="F5753" s="191">
        <v>4.3499999999999996</v>
      </c>
      <c r="G5753" s="191">
        <v>207.23</v>
      </c>
      <c r="H5753" s="192">
        <v>12001.43</v>
      </c>
      <c r="I5753" s="192">
        <v>10663.7</v>
      </c>
      <c r="J5753" s="192">
        <v>22.54</v>
      </c>
      <c r="K5753" s="192">
        <v>1315.19</v>
      </c>
      <c r="L5753" s="43">
        <v>10.538478425036443</v>
      </c>
      <c r="M5753" s="43">
        <v>11.500474526551919</v>
      </c>
      <c r="N5753" s="43">
        <v>5.1816091954022987</v>
      </c>
      <c r="O5753" s="43">
        <v>6.3465231867972793</v>
      </c>
      <c r="P5753" s="193"/>
      <c r="Q5753" s="193"/>
      <c r="R5753" s="193">
        <v>6</v>
      </c>
    </row>
    <row r="5754" spans="1:18" ht="24">
      <c r="A5754" s="189">
        <v>628</v>
      </c>
      <c r="B5754" s="186" t="s">
        <v>10532</v>
      </c>
      <c r="C5754" s="190" t="s">
        <v>10471</v>
      </c>
      <c r="D5754" s="191">
        <v>613.17999999999995</v>
      </c>
      <c r="E5754" s="191">
        <v>426.28</v>
      </c>
      <c r="F5754" s="191">
        <v>5.43</v>
      </c>
      <c r="G5754" s="191">
        <v>181.47</v>
      </c>
      <c r="H5754" s="192">
        <v>5768.02</v>
      </c>
      <c r="I5754" s="192">
        <v>4902.3900000000003</v>
      </c>
      <c r="J5754" s="192">
        <v>28.18</v>
      </c>
      <c r="K5754" s="192">
        <v>837.45</v>
      </c>
      <c r="L5754" s="43">
        <v>9.406732117812064</v>
      </c>
      <c r="M5754" s="43">
        <v>11.500398798911515</v>
      </c>
      <c r="N5754" s="43">
        <v>5.1896869244935546</v>
      </c>
      <c r="O5754" s="43">
        <v>4.6148123656802778</v>
      </c>
      <c r="P5754" s="193"/>
      <c r="Q5754" s="193"/>
      <c r="R5754" s="193">
        <v>6</v>
      </c>
    </row>
    <row r="5755" spans="1:18" ht="24">
      <c r="A5755" s="189">
        <v>629</v>
      </c>
      <c r="B5755" s="186" t="s">
        <v>10533</v>
      </c>
      <c r="C5755" s="190" t="s">
        <v>10534</v>
      </c>
      <c r="D5755" s="191">
        <v>522.45000000000005</v>
      </c>
      <c r="E5755" s="191">
        <v>413.64</v>
      </c>
      <c r="F5755" s="191">
        <v>4.3499999999999996</v>
      </c>
      <c r="G5755" s="191">
        <v>104.46</v>
      </c>
      <c r="H5755" s="192">
        <v>5444.25</v>
      </c>
      <c r="I5755" s="192">
        <v>4757.04</v>
      </c>
      <c r="J5755" s="192">
        <v>22.54</v>
      </c>
      <c r="K5755" s="192">
        <v>664.67</v>
      </c>
      <c r="L5755" s="43">
        <v>10.420614412862474</v>
      </c>
      <c r="M5755" s="43">
        <v>11.500435161009573</v>
      </c>
      <c r="N5755" s="43">
        <v>5.1816091954022987</v>
      </c>
      <c r="O5755" s="43">
        <v>6.3629140340800303</v>
      </c>
      <c r="P5755" s="193"/>
      <c r="Q5755" s="193"/>
      <c r="R5755" s="193">
        <v>6</v>
      </c>
    </row>
    <row r="5756" spans="1:18" ht="24">
      <c r="A5756" s="189">
        <v>630</v>
      </c>
      <c r="B5756" s="186" t="s">
        <v>10535</v>
      </c>
      <c r="C5756" s="190" t="s">
        <v>10536</v>
      </c>
      <c r="D5756" s="191">
        <v>2199.64</v>
      </c>
      <c r="E5756" s="191">
        <v>1410.18</v>
      </c>
      <c r="F5756" s="191">
        <v>18.47</v>
      </c>
      <c r="G5756" s="191">
        <v>770.99</v>
      </c>
      <c r="H5756" s="192">
        <v>18814.41</v>
      </c>
      <c r="I5756" s="192">
        <v>16217.64</v>
      </c>
      <c r="J5756" s="192">
        <v>95.81</v>
      </c>
      <c r="K5756" s="192">
        <v>2500.96</v>
      </c>
      <c r="L5756" s="43">
        <v>8.5534041934134688</v>
      </c>
      <c r="M5756" s="43">
        <v>11.500404203718674</v>
      </c>
      <c r="N5756" s="43">
        <v>5.1873308067135904</v>
      </c>
      <c r="O5756" s="43">
        <v>3.2438293622485377</v>
      </c>
      <c r="P5756" s="193"/>
      <c r="Q5756" s="193"/>
      <c r="R5756" s="193">
        <v>6</v>
      </c>
    </row>
    <row r="5757" spans="1:18" ht="24">
      <c r="A5757" s="189">
        <v>631</v>
      </c>
      <c r="B5757" s="186" t="s">
        <v>10537</v>
      </c>
      <c r="C5757" s="190" t="s">
        <v>10538</v>
      </c>
      <c r="D5757" s="191">
        <v>2773.83</v>
      </c>
      <c r="E5757" s="191">
        <v>2102.9</v>
      </c>
      <c r="F5757" s="191">
        <v>36.94</v>
      </c>
      <c r="G5757" s="191">
        <v>633.99</v>
      </c>
      <c r="H5757" s="192">
        <v>27035.24</v>
      </c>
      <c r="I5757" s="192">
        <v>24184.2</v>
      </c>
      <c r="J5757" s="192">
        <v>191.62</v>
      </c>
      <c r="K5757" s="192">
        <v>2659.42</v>
      </c>
      <c r="L5757" s="43">
        <v>9.7465381800615045</v>
      </c>
      <c r="M5757" s="43">
        <v>11.500404203718674</v>
      </c>
      <c r="N5757" s="43">
        <v>5.1873308067135904</v>
      </c>
      <c r="O5757" s="43">
        <v>4.1947349327276457</v>
      </c>
      <c r="P5757" s="193"/>
      <c r="Q5757" s="193"/>
      <c r="R5757" s="193">
        <v>6</v>
      </c>
    </row>
    <row r="5758" spans="1:18" ht="24">
      <c r="A5758" s="189">
        <v>632</v>
      </c>
      <c r="B5758" s="186" t="s">
        <v>10539</v>
      </c>
      <c r="C5758" s="190" t="s">
        <v>10540</v>
      </c>
      <c r="D5758" s="191">
        <v>898.37</v>
      </c>
      <c r="E5758" s="191">
        <v>626.21</v>
      </c>
      <c r="F5758" s="191">
        <v>5.43</v>
      </c>
      <c r="G5758" s="191">
        <v>266.73</v>
      </c>
      <c r="H5758" s="192">
        <v>8435.44</v>
      </c>
      <c r="I5758" s="192">
        <v>7201.63</v>
      </c>
      <c r="J5758" s="192">
        <v>28.18</v>
      </c>
      <c r="K5758" s="192">
        <v>1205.6300000000001</v>
      </c>
      <c r="L5758" s="43">
        <v>9.3897169317764408</v>
      </c>
      <c r="M5758" s="43">
        <v>11.500343335302853</v>
      </c>
      <c r="N5758" s="43">
        <v>5.1896869244935546</v>
      </c>
      <c r="O5758" s="43">
        <v>4.5200389907396996</v>
      </c>
      <c r="P5758" s="193"/>
      <c r="Q5758" s="193"/>
      <c r="R5758" s="193">
        <v>6</v>
      </c>
    </row>
    <row r="5759" spans="1:18" ht="24">
      <c r="A5759" s="189">
        <v>633</v>
      </c>
      <c r="B5759" s="186" t="s">
        <v>10541</v>
      </c>
      <c r="C5759" s="190" t="s">
        <v>10542</v>
      </c>
      <c r="D5759" s="191">
        <v>1488.9</v>
      </c>
      <c r="E5759" s="191">
        <v>1217.94</v>
      </c>
      <c r="F5759" s="191">
        <v>9.7799999999999994</v>
      </c>
      <c r="G5759" s="191">
        <v>261.18</v>
      </c>
      <c r="H5759" s="192">
        <v>15527.61</v>
      </c>
      <c r="I5759" s="192">
        <v>14006.84</v>
      </c>
      <c r="J5759" s="192">
        <v>50.72</v>
      </c>
      <c r="K5759" s="192">
        <v>1470.05</v>
      </c>
      <c r="L5759" s="43">
        <v>10.428913963328631</v>
      </c>
      <c r="M5759" s="43">
        <v>11.500435161009573</v>
      </c>
      <c r="N5759" s="43">
        <v>5.1860940695296529</v>
      </c>
      <c r="O5759" s="43">
        <v>5.6284937590933453</v>
      </c>
      <c r="P5759" s="193"/>
      <c r="Q5759" s="193"/>
      <c r="R5759" s="193">
        <v>6</v>
      </c>
    </row>
    <row r="5760" spans="1:18" ht="24">
      <c r="A5760" s="189">
        <v>634</v>
      </c>
      <c r="B5760" s="186" t="s">
        <v>10543</v>
      </c>
      <c r="C5760" s="190" t="s">
        <v>10544</v>
      </c>
      <c r="D5760" s="191">
        <v>1150.75</v>
      </c>
      <c r="E5760" s="191">
        <v>964.01</v>
      </c>
      <c r="F5760" s="191">
        <v>7.61</v>
      </c>
      <c r="G5760" s="191">
        <v>179.13</v>
      </c>
      <c r="H5760" s="192">
        <v>12286.91</v>
      </c>
      <c r="I5760" s="192">
        <v>11086.55</v>
      </c>
      <c r="J5760" s="192">
        <v>39.450000000000003</v>
      </c>
      <c r="K5760" s="192">
        <v>1160.9100000000001</v>
      </c>
      <c r="L5760" s="43">
        <v>10.677306104714317</v>
      </c>
      <c r="M5760" s="43">
        <v>11.500451240132364</v>
      </c>
      <c r="N5760" s="43">
        <v>5.1839684625492772</v>
      </c>
      <c r="O5760" s="43">
        <v>6.4808239825824829</v>
      </c>
      <c r="P5760" s="193"/>
      <c r="Q5760" s="193"/>
      <c r="R5760" s="193">
        <v>6</v>
      </c>
    </row>
    <row r="5761" spans="1:18" ht="24">
      <c r="A5761" s="189">
        <v>635</v>
      </c>
      <c r="B5761" s="186" t="s">
        <v>10545</v>
      </c>
      <c r="C5761" s="190" t="s">
        <v>10546</v>
      </c>
      <c r="D5761" s="191">
        <v>1264.54</v>
      </c>
      <c r="E5761" s="191">
        <v>1089.25</v>
      </c>
      <c r="F5761" s="191">
        <v>8.69</v>
      </c>
      <c r="G5761" s="191">
        <v>166.6</v>
      </c>
      <c r="H5761" s="192">
        <v>13711.4</v>
      </c>
      <c r="I5761" s="192">
        <v>12526.87</v>
      </c>
      <c r="J5761" s="192">
        <v>45.09</v>
      </c>
      <c r="K5761" s="192">
        <v>1139.44</v>
      </c>
      <c r="L5761" s="43">
        <v>10.842994290413905</v>
      </c>
      <c r="M5761" s="43">
        <v>11.500454441129218</v>
      </c>
      <c r="N5761" s="43">
        <v>5.1887226697353288</v>
      </c>
      <c r="O5761" s="43">
        <v>6.8393757503001202</v>
      </c>
      <c r="P5761" s="193"/>
      <c r="Q5761" s="193"/>
      <c r="R5761" s="193">
        <v>6</v>
      </c>
    </row>
    <row r="5762" spans="1:18" ht="24">
      <c r="A5762" s="189">
        <v>636</v>
      </c>
      <c r="B5762" s="186" t="s">
        <v>10547</v>
      </c>
      <c r="C5762" s="190" t="s">
        <v>10548</v>
      </c>
      <c r="D5762" s="191">
        <v>441.65</v>
      </c>
      <c r="E5762" s="191">
        <v>350.45</v>
      </c>
      <c r="F5762" s="191">
        <v>3.26</v>
      </c>
      <c r="G5762" s="191">
        <v>87.94</v>
      </c>
      <c r="H5762" s="192">
        <v>4713.99</v>
      </c>
      <c r="I5762" s="192">
        <v>4030.27</v>
      </c>
      <c r="J5762" s="192">
        <v>16.91</v>
      </c>
      <c r="K5762" s="192">
        <v>666.81</v>
      </c>
      <c r="L5762" s="43">
        <v>10.673587682554059</v>
      </c>
      <c r="M5762" s="43">
        <v>11.500271080039949</v>
      </c>
      <c r="N5762" s="43">
        <v>5.1871165644171784</v>
      </c>
      <c r="O5762" s="43">
        <v>7.5825562883784396</v>
      </c>
      <c r="P5762" s="193"/>
      <c r="Q5762" s="193"/>
      <c r="R5762" s="193">
        <v>6</v>
      </c>
    </row>
    <row r="5763" spans="1:18" ht="24">
      <c r="A5763" s="189">
        <v>637</v>
      </c>
      <c r="B5763" s="186" t="s">
        <v>10549</v>
      </c>
      <c r="C5763" s="190" t="s">
        <v>10550</v>
      </c>
      <c r="D5763" s="191">
        <v>516.15</v>
      </c>
      <c r="E5763" s="191">
        <v>401</v>
      </c>
      <c r="F5763" s="191">
        <v>3.26</v>
      </c>
      <c r="G5763" s="191">
        <v>111.89</v>
      </c>
      <c r="H5763" s="192">
        <v>5298.84</v>
      </c>
      <c r="I5763" s="192">
        <v>4611.6899999999996</v>
      </c>
      <c r="J5763" s="192">
        <v>16.91</v>
      </c>
      <c r="K5763" s="192">
        <v>670.24</v>
      </c>
      <c r="L5763" s="43">
        <v>10.266085440278989</v>
      </c>
      <c r="M5763" s="43">
        <v>11.500473815461346</v>
      </c>
      <c r="N5763" s="43">
        <v>5.1871165644171784</v>
      </c>
      <c r="O5763" s="43">
        <v>5.9901689158995444</v>
      </c>
      <c r="P5763" s="193"/>
      <c r="Q5763" s="193"/>
      <c r="R5763" s="193">
        <v>6</v>
      </c>
    </row>
    <row r="5764" spans="1:18" ht="24">
      <c r="A5764" s="189">
        <v>638</v>
      </c>
      <c r="B5764" s="186" t="s">
        <v>10551</v>
      </c>
      <c r="C5764" s="190" t="s">
        <v>10552</v>
      </c>
      <c r="D5764" s="191">
        <v>84.91</v>
      </c>
      <c r="E5764" s="191">
        <v>44.43</v>
      </c>
      <c r="F5764" s="191">
        <v>4.3499999999999996</v>
      </c>
      <c r="G5764" s="191">
        <v>36.130000000000003</v>
      </c>
      <c r="H5764" s="192">
        <v>882.88</v>
      </c>
      <c r="I5764" s="192">
        <v>510.95</v>
      </c>
      <c r="J5764" s="192">
        <v>22.54</v>
      </c>
      <c r="K5764" s="192">
        <v>349.39</v>
      </c>
      <c r="L5764" s="43">
        <v>10.397832999646685</v>
      </c>
      <c r="M5764" s="43">
        <v>11.500112536574386</v>
      </c>
      <c r="N5764" s="43">
        <v>5.1816091954022987</v>
      </c>
      <c r="O5764" s="43">
        <v>9.6703570440077495</v>
      </c>
      <c r="P5764" s="193"/>
      <c r="Q5764" s="193"/>
      <c r="R5764" s="193">
        <v>6</v>
      </c>
    </row>
    <row r="5765" spans="1:18" ht="24">
      <c r="A5765" s="189">
        <v>639</v>
      </c>
      <c r="B5765" s="186" t="s">
        <v>10553</v>
      </c>
      <c r="C5765" s="190" t="s">
        <v>10554</v>
      </c>
      <c r="D5765" s="191">
        <v>356.12</v>
      </c>
      <c r="E5765" s="191">
        <v>288.85000000000002</v>
      </c>
      <c r="F5765" s="191">
        <v>3.26</v>
      </c>
      <c r="G5765" s="191">
        <v>64.010000000000005</v>
      </c>
      <c r="H5765" s="192">
        <v>3839.03</v>
      </c>
      <c r="I5765" s="192">
        <v>3321.88</v>
      </c>
      <c r="J5765" s="192">
        <v>16.91</v>
      </c>
      <c r="K5765" s="192">
        <v>500.24</v>
      </c>
      <c r="L5765" s="43">
        <v>10.780158373581939</v>
      </c>
      <c r="M5765" s="43">
        <v>11.500363510472564</v>
      </c>
      <c r="N5765" s="43">
        <v>5.1871165644171784</v>
      </c>
      <c r="O5765" s="43">
        <v>7.8150289017341033</v>
      </c>
      <c r="P5765" s="193"/>
      <c r="Q5765" s="193"/>
      <c r="R5765" s="193">
        <v>6</v>
      </c>
    </row>
    <row r="5766" spans="1:18" ht="24">
      <c r="A5766" s="189">
        <v>640</v>
      </c>
      <c r="B5766" s="186" t="s">
        <v>10555</v>
      </c>
      <c r="C5766" s="190" t="s">
        <v>10556</v>
      </c>
      <c r="D5766" s="191">
        <v>30.56</v>
      </c>
      <c r="E5766" s="191">
        <v>28.89</v>
      </c>
      <c r="F5766" s="191">
        <v>1.0900000000000001</v>
      </c>
      <c r="G5766" s="191">
        <v>0.57999999999999996</v>
      </c>
      <c r="H5766" s="192">
        <v>344.5</v>
      </c>
      <c r="I5766" s="192">
        <v>332.19</v>
      </c>
      <c r="J5766" s="192">
        <v>5.64</v>
      </c>
      <c r="K5766" s="192">
        <v>6.67</v>
      </c>
      <c r="L5766" s="43">
        <v>11.272905759162304</v>
      </c>
      <c r="M5766" s="43">
        <v>11.498442367601246</v>
      </c>
      <c r="N5766" s="43">
        <v>5.1743119266055038</v>
      </c>
      <c r="O5766" s="43">
        <v>11.5</v>
      </c>
      <c r="P5766" s="193"/>
      <c r="Q5766" s="193"/>
      <c r="R5766" s="193">
        <v>6</v>
      </c>
    </row>
    <row r="5767" spans="1:18" ht="12.75" customHeight="1">
      <c r="A5767" s="628" t="s">
        <v>10557</v>
      </c>
      <c r="B5767" s="629"/>
      <c r="C5767" s="629"/>
      <c r="D5767" s="629"/>
      <c r="E5767" s="629"/>
      <c r="F5767" s="629"/>
      <c r="G5767" s="629"/>
      <c r="H5767" s="629"/>
      <c r="I5767" s="629"/>
      <c r="J5767" s="629"/>
      <c r="K5767" s="629"/>
      <c r="L5767" s="629"/>
      <c r="M5767" s="629"/>
      <c r="N5767" s="629"/>
      <c r="O5767" s="629"/>
      <c r="P5767" s="629"/>
      <c r="Q5767" s="629"/>
      <c r="R5767" s="629"/>
    </row>
    <row r="5768" spans="1:18" ht="12.75" customHeight="1">
      <c r="A5768" s="628" t="s">
        <v>10558</v>
      </c>
      <c r="B5768" s="629"/>
      <c r="C5768" s="629"/>
      <c r="D5768" s="629"/>
      <c r="E5768" s="629"/>
      <c r="F5768" s="629"/>
      <c r="G5768" s="629"/>
      <c r="H5768" s="629"/>
      <c r="I5768" s="629"/>
      <c r="J5768" s="629"/>
      <c r="K5768" s="629"/>
      <c r="L5768" s="629"/>
      <c r="M5768" s="629"/>
      <c r="N5768" s="629"/>
      <c r="O5768" s="629"/>
      <c r="P5768" s="629"/>
      <c r="Q5768" s="629"/>
      <c r="R5768" s="629"/>
    </row>
    <row r="5769" spans="1:18" ht="24">
      <c r="A5769" s="189">
        <v>641</v>
      </c>
      <c r="B5769" s="186" t="s">
        <v>10559</v>
      </c>
      <c r="C5769" s="190" t="s">
        <v>10560</v>
      </c>
      <c r="D5769" s="191">
        <v>681.24</v>
      </c>
      <c r="E5769" s="191">
        <v>388.36</v>
      </c>
      <c r="F5769" s="191">
        <v>183.64</v>
      </c>
      <c r="G5769" s="191">
        <v>109.24</v>
      </c>
      <c r="H5769" s="192">
        <v>5788.05</v>
      </c>
      <c r="I5769" s="192">
        <v>4466.33</v>
      </c>
      <c r="J5769" s="192">
        <v>952.45</v>
      </c>
      <c r="K5769" s="192">
        <v>369.27</v>
      </c>
      <c r="L5769" s="43">
        <v>8.496344900475604</v>
      </c>
      <c r="M5769" s="43">
        <v>11.500489236790607</v>
      </c>
      <c r="N5769" s="43">
        <v>5.1865062077978656</v>
      </c>
      <c r="O5769" s="43">
        <v>3.3803551812522885</v>
      </c>
      <c r="P5769" s="193"/>
      <c r="Q5769" s="193"/>
      <c r="R5769" s="193">
        <v>1</v>
      </c>
    </row>
    <row r="5770" spans="1:18" ht="24">
      <c r="A5770" s="189">
        <v>642</v>
      </c>
      <c r="B5770" s="186" t="s">
        <v>10561</v>
      </c>
      <c r="C5770" s="190" t="s">
        <v>10562</v>
      </c>
      <c r="D5770" s="191">
        <v>604.38</v>
      </c>
      <c r="E5770" s="191">
        <v>375.72</v>
      </c>
      <c r="F5770" s="191">
        <v>178.2</v>
      </c>
      <c r="G5770" s="191">
        <v>50.46</v>
      </c>
      <c r="H5770" s="192">
        <v>5449.07</v>
      </c>
      <c r="I5770" s="192">
        <v>4320.9799999999996</v>
      </c>
      <c r="J5770" s="192">
        <v>924.27</v>
      </c>
      <c r="K5770" s="192">
        <v>203.82</v>
      </c>
      <c r="L5770" s="43">
        <v>9.0159667758694848</v>
      </c>
      <c r="M5770" s="43">
        <v>11.500532311295643</v>
      </c>
      <c r="N5770" s="43">
        <v>5.186700336700337</v>
      </c>
      <c r="O5770" s="43">
        <v>4.0392390011890607</v>
      </c>
      <c r="P5770" s="193"/>
      <c r="Q5770" s="193"/>
      <c r="R5770" s="193">
        <v>1</v>
      </c>
    </row>
    <row r="5771" spans="1:18" ht="24">
      <c r="A5771" s="189">
        <v>643</v>
      </c>
      <c r="B5771" s="186" t="s">
        <v>10563</v>
      </c>
      <c r="C5771" s="190" t="s">
        <v>10564</v>
      </c>
      <c r="D5771" s="191">
        <v>563.47</v>
      </c>
      <c r="E5771" s="191">
        <v>325.17</v>
      </c>
      <c r="F5771" s="191">
        <v>154.30000000000001</v>
      </c>
      <c r="G5771" s="191">
        <v>84</v>
      </c>
      <c r="H5771" s="192">
        <v>4825.37</v>
      </c>
      <c r="I5771" s="192">
        <v>3739.56</v>
      </c>
      <c r="J5771" s="192">
        <v>800.28</v>
      </c>
      <c r="K5771" s="192">
        <v>285.52999999999997</v>
      </c>
      <c r="L5771" s="43">
        <v>8.5636679858732485</v>
      </c>
      <c r="M5771" s="43">
        <v>11.500322908017344</v>
      </c>
      <c r="N5771" s="43">
        <v>5.186519766688269</v>
      </c>
      <c r="O5771" s="43">
        <v>3.3991666666666664</v>
      </c>
      <c r="P5771" s="193"/>
      <c r="Q5771" s="193"/>
      <c r="R5771" s="193">
        <v>1</v>
      </c>
    </row>
    <row r="5772" spans="1:18" ht="24">
      <c r="A5772" s="189">
        <v>644</v>
      </c>
      <c r="B5772" s="186" t="s">
        <v>10565</v>
      </c>
      <c r="C5772" s="190" t="s">
        <v>10566</v>
      </c>
      <c r="D5772" s="191">
        <v>583.07000000000005</v>
      </c>
      <c r="E5772" s="191">
        <v>363.08</v>
      </c>
      <c r="F5772" s="191">
        <v>171.68</v>
      </c>
      <c r="G5772" s="191">
        <v>48.31</v>
      </c>
      <c r="H5772" s="192">
        <v>5259.25</v>
      </c>
      <c r="I5772" s="192">
        <v>4175.62</v>
      </c>
      <c r="J5772" s="192">
        <v>890.46</v>
      </c>
      <c r="K5772" s="192">
        <v>193.17</v>
      </c>
      <c r="L5772" s="43">
        <v>9.0199289965184271</v>
      </c>
      <c r="M5772" s="43">
        <v>11.500550842789469</v>
      </c>
      <c r="N5772" s="43">
        <v>5.1867427772600188</v>
      </c>
      <c r="O5772" s="43">
        <v>3.9985510246325808</v>
      </c>
      <c r="P5772" s="193"/>
      <c r="Q5772" s="193"/>
      <c r="R5772" s="193">
        <v>1</v>
      </c>
    </row>
    <row r="5773" spans="1:18" ht="24">
      <c r="A5773" s="189">
        <v>645</v>
      </c>
      <c r="B5773" s="186" t="s">
        <v>10567</v>
      </c>
      <c r="C5773" s="190" t="s">
        <v>10568</v>
      </c>
      <c r="D5773" s="191">
        <v>474.94</v>
      </c>
      <c r="E5773" s="191">
        <v>288.39999999999998</v>
      </c>
      <c r="F5773" s="191">
        <v>135.83000000000001</v>
      </c>
      <c r="G5773" s="191">
        <v>50.71</v>
      </c>
      <c r="H5773" s="192">
        <v>4218.8599999999997</v>
      </c>
      <c r="I5773" s="192">
        <v>3316.71</v>
      </c>
      <c r="J5773" s="192">
        <v>704.48</v>
      </c>
      <c r="K5773" s="192">
        <v>197.67</v>
      </c>
      <c r="L5773" s="43">
        <v>8.8829325809575934</v>
      </c>
      <c r="M5773" s="43">
        <v>11.500381414701804</v>
      </c>
      <c r="N5773" s="43">
        <v>5.1864831038798496</v>
      </c>
      <c r="O5773" s="43">
        <v>3.8980477223427328</v>
      </c>
      <c r="P5773" s="193"/>
      <c r="Q5773" s="193"/>
      <c r="R5773" s="193">
        <v>1</v>
      </c>
    </row>
    <row r="5774" spans="1:18" ht="24">
      <c r="A5774" s="189">
        <v>646</v>
      </c>
      <c r="B5774" s="186" t="s">
        <v>10569</v>
      </c>
      <c r="C5774" s="190" t="s">
        <v>10570</v>
      </c>
      <c r="D5774" s="191">
        <v>1162.75</v>
      </c>
      <c r="E5774" s="191">
        <v>689.4</v>
      </c>
      <c r="F5774" s="191">
        <v>325.98</v>
      </c>
      <c r="G5774" s="191">
        <v>147.37</v>
      </c>
      <c r="H5774" s="192">
        <v>10129.1</v>
      </c>
      <c r="I5774" s="192">
        <v>7928.4</v>
      </c>
      <c r="J5774" s="192">
        <v>1690.74</v>
      </c>
      <c r="K5774" s="192">
        <v>509.96</v>
      </c>
      <c r="L5774" s="43">
        <v>8.71133089658138</v>
      </c>
      <c r="M5774" s="43">
        <v>11.500435161009573</v>
      </c>
      <c r="N5774" s="43">
        <v>5.1866372170071777</v>
      </c>
      <c r="O5774" s="43">
        <v>3.460405781366628</v>
      </c>
      <c r="P5774" s="193"/>
      <c r="Q5774" s="193"/>
      <c r="R5774" s="193">
        <v>1</v>
      </c>
    </row>
    <row r="5775" spans="1:18" ht="24">
      <c r="A5775" s="189">
        <v>647</v>
      </c>
      <c r="B5775" s="186" t="s">
        <v>10571</v>
      </c>
      <c r="C5775" s="190" t="s">
        <v>10572</v>
      </c>
      <c r="D5775" s="191">
        <v>1044.6300000000001</v>
      </c>
      <c r="E5775" s="191">
        <v>626.21</v>
      </c>
      <c r="F5775" s="191">
        <v>296.64</v>
      </c>
      <c r="G5775" s="191">
        <v>121.78</v>
      </c>
      <c r="H5775" s="192">
        <v>9183.51</v>
      </c>
      <c r="I5775" s="192">
        <v>7201.63</v>
      </c>
      <c r="J5775" s="192">
        <v>1538.57</v>
      </c>
      <c r="K5775" s="192">
        <v>443.31</v>
      </c>
      <c r="L5775" s="43">
        <v>8.7911605065908489</v>
      </c>
      <c r="M5775" s="43">
        <v>11.500343335302853</v>
      </c>
      <c r="N5775" s="43">
        <v>5.1866572276159655</v>
      </c>
      <c r="O5775" s="43">
        <v>3.6402529150927903</v>
      </c>
      <c r="P5775" s="193"/>
      <c r="Q5775" s="193"/>
      <c r="R5775" s="193">
        <v>1</v>
      </c>
    </row>
    <row r="5776" spans="1:18" ht="24">
      <c r="A5776" s="189">
        <v>648</v>
      </c>
      <c r="B5776" s="186" t="s">
        <v>10573</v>
      </c>
      <c r="C5776" s="190" t="s">
        <v>10574</v>
      </c>
      <c r="D5776" s="191">
        <v>1009.43</v>
      </c>
      <c r="E5776" s="191">
        <v>575.65</v>
      </c>
      <c r="F5776" s="191">
        <v>272.74</v>
      </c>
      <c r="G5776" s="191">
        <v>161.04</v>
      </c>
      <c r="H5776" s="192">
        <v>8563.7199999999993</v>
      </c>
      <c r="I5776" s="192">
        <v>6620.21</v>
      </c>
      <c r="J5776" s="192">
        <v>1414.59</v>
      </c>
      <c r="K5776" s="192">
        <v>528.91999999999996</v>
      </c>
      <c r="L5776" s="43">
        <v>8.4837185342222838</v>
      </c>
      <c r="M5776" s="43">
        <v>11.500408234170068</v>
      </c>
      <c r="N5776" s="43">
        <v>5.1865879592285689</v>
      </c>
      <c r="O5776" s="43">
        <v>3.2844013909587679</v>
      </c>
      <c r="P5776" s="193"/>
      <c r="Q5776" s="193"/>
      <c r="R5776" s="193">
        <v>1</v>
      </c>
    </row>
    <row r="5777" spans="1:18" ht="24">
      <c r="A5777" s="189">
        <v>649</v>
      </c>
      <c r="B5777" s="186" t="s">
        <v>10575</v>
      </c>
      <c r="C5777" s="190" t="s">
        <v>10576</v>
      </c>
      <c r="D5777" s="191">
        <v>1599.82</v>
      </c>
      <c r="E5777" s="191">
        <v>1001.93</v>
      </c>
      <c r="F5777" s="191">
        <v>473.76</v>
      </c>
      <c r="G5777" s="191">
        <v>124.13</v>
      </c>
      <c r="H5777" s="192">
        <v>14517.69</v>
      </c>
      <c r="I5777" s="192">
        <v>11522.61</v>
      </c>
      <c r="J5777" s="192">
        <v>2457.21</v>
      </c>
      <c r="K5777" s="192">
        <v>537.87</v>
      </c>
      <c r="L5777" s="43">
        <v>9.0745771399282429</v>
      </c>
      <c r="M5777" s="43">
        <v>11.500414200592857</v>
      </c>
      <c r="N5777" s="43">
        <v>5.186613475177305</v>
      </c>
      <c r="O5777" s="43">
        <v>4.3331185047933616</v>
      </c>
      <c r="P5777" s="193"/>
      <c r="Q5777" s="193"/>
      <c r="R5777" s="193">
        <v>1</v>
      </c>
    </row>
    <row r="5778" spans="1:18" ht="24">
      <c r="A5778" s="189">
        <v>650</v>
      </c>
      <c r="B5778" s="186" t="s">
        <v>10577</v>
      </c>
      <c r="C5778" s="190" t="s">
        <v>10578</v>
      </c>
      <c r="D5778" s="191">
        <v>1463.25</v>
      </c>
      <c r="E5778" s="191">
        <v>971.05</v>
      </c>
      <c r="F5778" s="191">
        <v>425.95</v>
      </c>
      <c r="G5778" s="191">
        <v>66.25</v>
      </c>
      <c r="H5778" s="192">
        <v>13761.56</v>
      </c>
      <c r="I5778" s="192">
        <v>11167.41</v>
      </c>
      <c r="J5778" s="192">
        <v>2209.23</v>
      </c>
      <c r="K5778" s="192">
        <v>384.92</v>
      </c>
      <c r="L5778" s="43">
        <v>9.404790705621048</v>
      </c>
      <c r="M5778" s="43">
        <v>11.500344987384789</v>
      </c>
      <c r="N5778" s="43">
        <v>5.1865946707360022</v>
      </c>
      <c r="O5778" s="43">
        <v>5.81011320754717</v>
      </c>
      <c r="P5778" s="193"/>
      <c r="Q5778" s="193"/>
      <c r="R5778" s="193">
        <v>1</v>
      </c>
    </row>
    <row r="5779" spans="1:18" ht="24">
      <c r="A5779" s="189">
        <v>651</v>
      </c>
      <c r="B5779" s="186" t="s">
        <v>10579</v>
      </c>
      <c r="C5779" s="190" t="s">
        <v>10580</v>
      </c>
      <c r="D5779" s="191">
        <v>1260.79</v>
      </c>
      <c r="E5779" s="191">
        <v>728.59</v>
      </c>
      <c r="F5779" s="191">
        <v>319.45999999999998</v>
      </c>
      <c r="G5779" s="191">
        <v>212.74</v>
      </c>
      <c r="H5779" s="192">
        <v>10740.08</v>
      </c>
      <c r="I5779" s="192">
        <v>8379.11</v>
      </c>
      <c r="J5779" s="192">
        <v>1656.93</v>
      </c>
      <c r="K5779" s="192">
        <v>704.04</v>
      </c>
      <c r="L5779" s="43">
        <v>8.5185320315040567</v>
      </c>
      <c r="M5779" s="43">
        <v>11.500446067061036</v>
      </c>
      <c r="N5779" s="43">
        <v>5.1866587366180434</v>
      </c>
      <c r="O5779" s="43">
        <v>3.3093917457929862</v>
      </c>
      <c r="P5779" s="193"/>
      <c r="Q5779" s="193"/>
      <c r="R5779" s="193">
        <v>1</v>
      </c>
    </row>
    <row r="5780" spans="1:18" ht="24">
      <c r="A5780" s="189">
        <v>652</v>
      </c>
      <c r="B5780" s="186" t="s">
        <v>10581</v>
      </c>
      <c r="C5780" s="190" t="s">
        <v>10582</v>
      </c>
      <c r="D5780" s="191">
        <v>1226.94</v>
      </c>
      <c r="E5780" s="191">
        <v>689.4</v>
      </c>
      <c r="F5780" s="191">
        <v>325.98</v>
      </c>
      <c r="G5780" s="191">
        <v>211.56</v>
      </c>
      <c r="H5780" s="192">
        <v>10312.07</v>
      </c>
      <c r="I5780" s="192">
        <v>7928.4</v>
      </c>
      <c r="J5780" s="192">
        <v>1690.74</v>
      </c>
      <c r="K5780" s="192">
        <v>692.93</v>
      </c>
      <c r="L5780" s="43">
        <v>8.4047060165941279</v>
      </c>
      <c r="M5780" s="43">
        <v>11.500435161009573</v>
      </c>
      <c r="N5780" s="43">
        <v>5.1866372170071777</v>
      </c>
      <c r="O5780" s="43">
        <v>3.2753356021932309</v>
      </c>
      <c r="P5780" s="193"/>
      <c r="Q5780" s="193"/>
      <c r="R5780" s="193">
        <v>1</v>
      </c>
    </row>
    <row r="5781" spans="1:18" ht="24">
      <c r="A5781" s="189">
        <v>653</v>
      </c>
      <c r="B5781" s="186" t="s">
        <v>10583</v>
      </c>
      <c r="C5781" s="190" t="s">
        <v>10584</v>
      </c>
      <c r="D5781" s="191">
        <v>778.05</v>
      </c>
      <c r="E5781" s="191">
        <v>450.41</v>
      </c>
      <c r="F5781" s="191">
        <v>212.97</v>
      </c>
      <c r="G5781" s="191">
        <v>114.67</v>
      </c>
      <c r="H5781" s="192">
        <v>6670.35</v>
      </c>
      <c r="I5781" s="192">
        <v>5179.8900000000003</v>
      </c>
      <c r="J5781" s="192">
        <v>1104.6199999999999</v>
      </c>
      <c r="K5781" s="192">
        <v>385.84</v>
      </c>
      <c r="L5781" s="43">
        <v>8.5731636784268375</v>
      </c>
      <c r="M5781" s="43">
        <v>11.500388534890433</v>
      </c>
      <c r="N5781" s="43">
        <v>5.1867399164201524</v>
      </c>
      <c r="O5781" s="43">
        <v>3.364785907386413</v>
      </c>
      <c r="P5781" s="193"/>
      <c r="Q5781" s="193"/>
      <c r="R5781" s="193">
        <v>1</v>
      </c>
    </row>
    <row r="5782" spans="1:18" ht="24">
      <c r="A5782" s="189">
        <v>654</v>
      </c>
      <c r="B5782" s="186" t="s">
        <v>10585</v>
      </c>
      <c r="C5782" s="190" t="s">
        <v>10586</v>
      </c>
      <c r="D5782" s="191">
        <v>360</v>
      </c>
      <c r="E5782" s="191">
        <v>237.84</v>
      </c>
      <c r="F5782" s="191">
        <v>113.01</v>
      </c>
      <c r="G5782" s="191">
        <v>9.15</v>
      </c>
      <c r="H5782" s="192">
        <v>3399.72</v>
      </c>
      <c r="I5782" s="192">
        <v>2735.3</v>
      </c>
      <c r="J5782" s="192">
        <v>586.12</v>
      </c>
      <c r="K5782" s="192">
        <v>78.3</v>
      </c>
      <c r="L5782" s="43">
        <v>9.4436666666666653</v>
      </c>
      <c r="M5782" s="43">
        <v>11.500588631012446</v>
      </c>
      <c r="N5782" s="43">
        <v>5.1864436775506588</v>
      </c>
      <c r="O5782" s="43">
        <v>8.557377049180328</v>
      </c>
      <c r="P5782" s="193"/>
      <c r="Q5782" s="193"/>
      <c r="R5782" s="193">
        <v>1</v>
      </c>
    </row>
    <row r="5783" spans="1:18" ht="24">
      <c r="A5783" s="189">
        <v>655</v>
      </c>
      <c r="B5783" s="186" t="s">
        <v>10587</v>
      </c>
      <c r="C5783" s="190" t="s">
        <v>10588</v>
      </c>
      <c r="D5783" s="191">
        <v>1395.87</v>
      </c>
      <c r="E5783" s="191">
        <v>851.41</v>
      </c>
      <c r="F5783" s="191">
        <v>403.13</v>
      </c>
      <c r="G5783" s="191">
        <v>141.33000000000001</v>
      </c>
      <c r="H5783" s="192">
        <v>12417.93</v>
      </c>
      <c r="I5783" s="192">
        <v>9791.57</v>
      </c>
      <c r="J5783" s="192">
        <v>2090.88</v>
      </c>
      <c r="K5783" s="192">
        <v>535.48</v>
      </c>
      <c r="L5783" s="43">
        <v>8.8961937716262991</v>
      </c>
      <c r="M5783" s="43">
        <v>11.50041695540339</v>
      </c>
      <c r="N5783" s="43">
        <v>5.1866147396621445</v>
      </c>
      <c r="O5783" s="43">
        <v>3.7888629448807754</v>
      </c>
      <c r="P5783" s="193"/>
      <c r="Q5783" s="193"/>
      <c r="R5783" s="193">
        <v>1</v>
      </c>
    </row>
    <row r="5784" spans="1:18" ht="24">
      <c r="A5784" s="189">
        <v>656</v>
      </c>
      <c r="B5784" s="186" t="s">
        <v>10589</v>
      </c>
      <c r="C5784" s="190" t="s">
        <v>10590</v>
      </c>
      <c r="D5784" s="191">
        <v>912.34</v>
      </c>
      <c r="E5784" s="191">
        <v>488.33</v>
      </c>
      <c r="F5784" s="191">
        <v>231.45</v>
      </c>
      <c r="G5784" s="191">
        <v>192.56</v>
      </c>
      <c r="H5784" s="192">
        <v>7443.24</v>
      </c>
      <c r="I5784" s="192">
        <v>5615.95</v>
      </c>
      <c r="J5784" s="192">
        <v>1200.43</v>
      </c>
      <c r="K5784" s="192">
        <v>626.86</v>
      </c>
      <c r="L5784" s="43">
        <v>8.1584058574654179</v>
      </c>
      <c r="M5784" s="43">
        <v>11.500317408309954</v>
      </c>
      <c r="N5784" s="43">
        <v>5.1865629725642695</v>
      </c>
      <c r="O5784" s="43">
        <v>3.2554009140008309</v>
      </c>
      <c r="P5784" s="193"/>
      <c r="Q5784" s="193"/>
      <c r="R5784" s="193">
        <v>1</v>
      </c>
    </row>
    <row r="5785" spans="1:18" ht="24">
      <c r="A5785" s="189">
        <v>657</v>
      </c>
      <c r="B5785" s="186" t="s">
        <v>10591</v>
      </c>
      <c r="C5785" s="190" t="s">
        <v>10592</v>
      </c>
      <c r="D5785" s="191">
        <v>1662.41</v>
      </c>
      <c r="E5785" s="191">
        <v>889.4</v>
      </c>
      <c r="F5785" s="191">
        <v>391.18</v>
      </c>
      <c r="G5785" s="191">
        <v>381.83</v>
      </c>
      <c r="H5785" s="192">
        <v>13419.98</v>
      </c>
      <c r="I5785" s="192">
        <v>10228.49</v>
      </c>
      <c r="J5785" s="192">
        <v>2028.89</v>
      </c>
      <c r="K5785" s="192">
        <v>1162.5999999999999</v>
      </c>
      <c r="L5785" s="43">
        <v>8.0726054342791489</v>
      </c>
      <c r="M5785" s="43">
        <v>11.500438497863728</v>
      </c>
      <c r="N5785" s="43">
        <v>5.1865892939311831</v>
      </c>
      <c r="O5785" s="43">
        <v>3.044810517769688</v>
      </c>
      <c r="P5785" s="193"/>
      <c r="Q5785" s="193"/>
      <c r="R5785" s="193">
        <v>1</v>
      </c>
    </row>
    <row r="5786" spans="1:18" ht="24">
      <c r="A5786" s="189">
        <v>658</v>
      </c>
      <c r="B5786" s="186" t="s">
        <v>10593</v>
      </c>
      <c r="C5786" s="190" t="s">
        <v>10594</v>
      </c>
      <c r="D5786" s="191">
        <v>284.20999999999998</v>
      </c>
      <c r="E5786" s="191">
        <v>175.8</v>
      </c>
      <c r="F5786" s="191">
        <v>82.58</v>
      </c>
      <c r="G5786" s="191">
        <v>25.83</v>
      </c>
      <c r="H5786" s="192">
        <v>2567.66</v>
      </c>
      <c r="I5786" s="192">
        <v>2021.74</v>
      </c>
      <c r="J5786" s="192">
        <v>428.32</v>
      </c>
      <c r="K5786" s="192">
        <v>117.6</v>
      </c>
      <c r="L5786" s="43">
        <v>9.0343759895851665</v>
      </c>
      <c r="M5786" s="43">
        <v>11.500227531285551</v>
      </c>
      <c r="N5786" s="43">
        <v>5.1867280213126667</v>
      </c>
      <c r="O5786" s="43">
        <v>4.5528455284552845</v>
      </c>
      <c r="P5786" s="193"/>
      <c r="Q5786" s="193"/>
      <c r="R5786" s="193">
        <v>1</v>
      </c>
    </row>
    <row r="5787" spans="1:18" ht="24">
      <c r="A5787" s="189">
        <v>659</v>
      </c>
      <c r="B5787" s="186" t="s">
        <v>10595</v>
      </c>
      <c r="C5787" s="190" t="s">
        <v>10596</v>
      </c>
      <c r="D5787" s="191">
        <v>1579.73</v>
      </c>
      <c r="E5787" s="191">
        <v>822.61</v>
      </c>
      <c r="F5787" s="191">
        <v>361.84</v>
      </c>
      <c r="G5787" s="191">
        <v>395.28</v>
      </c>
      <c r="H5787" s="192">
        <v>12523.18</v>
      </c>
      <c r="I5787" s="192">
        <v>9460.2900000000009</v>
      </c>
      <c r="J5787" s="192">
        <v>1876.72</v>
      </c>
      <c r="K5787" s="192">
        <v>1186.17</v>
      </c>
      <c r="L5787" s="43">
        <v>7.9274179764896537</v>
      </c>
      <c r="M5787" s="43">
        <v>11.500334301795505</v>
      </c>
      <c r="N5787" s="43">
        <v>5.1866018129560034</v>
      </c>
      <c r="O5787" s="43">
        <v>3.0008348512446879</v>
      </c>
      <c r="P5787" s="193"/>
      <c r="Q5787" s="193"/>
      <c r="R5787" s="193">
        <v>1</v>
      </c>
    </row>
    <row r="5788" spans="1:18" ht="24">
      <c r="A5788" s="189">
        <v>660</v>
      </c>
      <c r="B5788" s="186" t="s">
        <v>10597</v>
      </c>
      <c r="C5788" s="190" t="s">
        <v>10598</v>
      </c>
      <c r="D5788" s="191">
        <v>1052.8399999999999</v>
      </c>
      <c r="E5788" s="191">
        <v>714.99</v>
      </c>
      <c r="F5788" s="191">
        <v>314.02999999999997</v>
      </c>
      <c r="G5788" s="191">
        <v>23.82</v>
      </c>
      <c r="H5788" s="192">
        <v>10062.44</v>
      </c>
      <c r="I5788" s="192">
        <v>8222.6299999999992</v>
      </c>
      <c r="J5788" s="192">
        <v>1628.75</v>
      </c>
      <c r="K5788" s="192">
        <v>211.06</v>
      </c>
      <c r="L5788" s="43">
        <v>9.5574256297253157</v>
      </c>
      <c r="M5788" s="43">
        <v>11.500342662135134</v>
      </c>
      <c r="N5788" s="43">
        <v>5.1866063751870843</v>
      </c>
      <c r="O5788" s="43">
        <v>8.8606213266162897</v>
      </c>
      <c r="P5788" s="193"/>
      <c r="Q5788" s="193"/>
      <c r="R5788" s="193">
        <v>1</v>
      </c>
    </row>
    <row r="5789" spans="1:18" ht="24">
      <c r="A5789" s="189">
        <v>661</v>
      </c>
      <c r="B5789" s="186" t="s">
        <v>10599</v>
      </c>
      <c r="C5789" s="190" t="s">
        <v>10600</v>
      </c>
      <c r="D5789" s="191">
        <v>1011.86</v>
      </c>
      <c r="E5789" s="191">
        <v>664.12</v>
      </c>
      <c r="F5789" s="191">
        <v>314.02999999999997</v>
      </c>
      <c r="G5789" s="191">
        <v>33.71</v>
      </c>
      <c r="H5789" s="192">
        <v>9519.7900000000009</v>
      </c>
      <c r="I5789" s="192">
        <v>7637.69</v>
      </c>
      <c r="J5789" s="192">
        <v>1628.75</v>
      </c>
      <c r="K5789" s="192">
        <v>253.35</v>
      </c>
      <c r="L5789" s="43">
        <v>9.4082086454647875</v>
      </c>
      <c r="M5789" s="43">
        <v>11.500466783111484</v>
      </c>
      <c r="N5789" s="43">
        <v>5.1866063751870843</v>
      </c>
      <c r="O5789" s="43">
        <v>7.5155740136458018</v>
      </c>
      <c r="P5789" s="193"/>
      <c r="Q5789" s="193"/>
      <c r="R5789" s="193">
        <v>1</v>
      </c>
    </row>
    <row r="5790" spans="1:18" ht="24">
      <c r="A5790" s="189">
        <v>662</v>
      </c>
      <c r="B5790" s="186" t="s">
        <v>10601</v>
      </c>
      <c r="C5790" s="190" t="s">
        <v>10602</v>
      </c>
      <c r="D5790" s="191">
        <v>2337.81</v>
      </c>
      <c r="E5790" s="191">
        <v>1101.8900000000001</v>
      </c>
      <c r="F5790" s="191">
        <v>521.57000000000005</v>
      </c>
      <c r="G5790" s="191">
        <v>714.35</v>
      </c>
      <c r="H5790" s="192">
        <v>17413.16</v>
      </c>
      <c r="I5790" s="192">
        <v>12672.23</v>
      </c>
      <c r="J5790" s="192">
        <v>2705.18</v>
      </c>
      <c r="K5790" s="192">
        <v>2035.75</v>
      </c>
      <c r="L5790" s="43">
        <v>7.4484923924527662</v>
      </c>
      <c r="M5790" s="43">
        <v>11.500449228144369</v>
      </c>
      <c r="N5790" s="43">
        <v>5.1866096592978881</v>
      </c>
      <c r="O5790" s="43">
        <v>2.8497935185833274</v>
      </c>
      <c r="P5790" s="193"/>
      <c r="Q5790" s="193"/>
      <c r="R5790" s="193">
        <v>1</v>
      </c>
    </row>
    <row r="5791" spans="1:18" ht="24">
      <c r="A5791" s="189">
        <v>663</v>
      </c>
      <c r="B5791" s="186" t="s">
        <v>10603</v>
      </c>
      <c r="C5791" s="190" t="s">
        <v>10604</v>
      </c>
      <c r="D5791" s="191">
        <v>1940.44</v>
      </c>
      <c r="E5791" s="191">
        <v>1298.3699999999999</v>
      </c>
      <c r="F5791" s="191">
        <v>616.1</v>
      </c>
      <c r="G5791" s="191">
        <v>25.97</v>
      </c>
      <c r="H5791" s="192">
        <v>18425.98</v>
      </c>
      <c r="I5791" s="192">
        <v>14931.82</v>
      </c>
      <c r="J5791" s="192">
        <v>3195.5</v>
      </c>
      <c r="K5791" s="192">
        <v>298.66000000000003</v>
      </c>
      <c r="L5791" s="43">
        <v>9.4957741543155159</v>
      </c>
      <c r="M5791" s="43">
        <v>11.500435161009575</v>
      </c>
      <c r="N5791" s="43">
        <v>5.1866580100633008</v>
      </c>
      <c r="O5791" s="43">
        <v>11.500192529842128</v>
      </c>
      <c r="P5791" s="193"/>
      <c r="Q5791" s="193"/>
      <c r="R5791" s="193">
        <v>1</v>
      </c>
    </row>
    <row r="5792" spans="1:18" ht="24">
      <c r="A5792" s="189">
        <v>664</v>
      </c>
      <c r="B5792" s="186" t="s">
        <v>10605</v>
      </c>
      <c r="C5792" s="190" t="s">
        <v>10606</v>
      </c>
      <c r="D5792" s="191">
        <v>579.77</v>
      </c>
      <c r="E5792" s="191">
        <v>388.36</v>
      </c>
      <c r="F5792" s="191">
        <v>183.64</v>
      </c>
      <c r="G5792" s="191">
        <v>7.77</v>
      </c>
      <c r="H5792" s="192">
        <v>5508.14</v>
      </c>
      <c r="I5792" s="192">
        <v>4466.33</v>
      </c>
      <c r="J5792" s="192">
        <v>952.45</v>
      </c>
      <c r="K5792" s="192">
        <v>89.36</v>
      </c>
      <c r="L5792" s="43">
        <v>9.500560567121445</v>
      </c>
      <c r="M5792" s="43">
        <v>11.500489236790607</v>
      </c>
      <c r="N5792" s="43">
        <v>5.1865062077978656</v>
      </c>
      <c r="O5792" s="43">
        <v>11.500643500643502</v>
      </c>
      <c r="P5792" s="193"/>
      <c r="Q5792" s="193"/>
      <c r="R5792" s="193">
        <v>1</v>
      </c>
    </row>
    <row r="5793" spans="1:18" ht="24">
      <c r="A5793" s="189">
        <v>665</v>
      </c>
      <c r="B5793" s="186" t="s">
        <v>10607</v>
      </c>
      <c r="C5793" s="190" t="s">
        <v>10608</v>
      </c>
      <c r="D5793" s="191">
        <v>264.83999999999997</v>
      </c>
      <c r="E5793" s="191">
        <v>175.8</v>
      </c>
      <c r="F5793" s="191">
        <v>82.58</v>
      </c>
      <c r="G5793" s="191">
        <v>6.46</v>
      </c>
      <c r="H5793" s="192">
        <v>2504</v>
      </c>
      <c r="I5793" s="192">
        <v>2021.74</v>
      </c>
      <c r="J5793" s="192">
        <v>428.32</v>
      </c>
      <c r="K5793" s="192">
        <v>53.94</v>
      </c>
      <c r="L5793" s="43">
        <v>9.4547651412173401</v>
      </c>
      <c r="M5793" s="43">
        <v>11.500227531285551</v>
      </c>
      <c r="N5793" s="43">
        <v>5.1867280213126667</v>
      </c>
      <c r="O5793" s="43">
        <v>8.3498452012383897</v>
      </c>
      <c r="P5793" s="193"/>
      <c r="Q5793" s="193"/>
      <c r="R5793" s="193">
        <v>1</v>
      </c>
    </row>
    <row r="5794" spans="1:18" ht="24">
      <c r="A5794" s="189">
        <v>666</v>
      </c>
      <c r="B5794" s="186" t="s">
        <v>10609</v>
      </c>
      <c r="C5794" s="190" t="s">
        <v>10610</v>
      </c>
      <c r="D5794" s="191">
        <v>528.99</v>
      </c>
      <c r="E5794" s="191">
        <v>350.45</v>
      </c>
      <c r="F5794" s="191">
        <v>166.25</v>
      </c>
      <c r="G5794" s="191">
        <v>12.29</v>
      </c>
      <c r="H5794" s="192">
        <v>4999.13</v>
      </c>
      <c r="I5794" s="192">
        <v>4030.27</v>
      </c>
      <c r="J5794" s="192">
        <v>862.28</v>
      </c>
      <c r="K5794" s="192">
        <v>106.58</v>
      </c>
      <c r="L5794" s="43">
        <v>9.4503298739106594</v>
      </c>
      <c r="M5794" s="43">
        <v>11.500271080039949</v>
      </c>
      <c r="N5794" s="43">
        <v>5.1866466165413536</v>
      </c>
      <c r="O5794" s="43">
        <v>8.6720911310008137</v>
      </c>
      <c r="P5794" s="193"/>
      <c r="Q5794" s="193"/>
      <c r="R5794" s="193">
        <v>1</v>
      </c>
    </row>
    <row r="5795" spans="1:18" ht="24">
      <c r="A5795" s="189">
        <v>667</v>
      </c>
      <c r="B5795" s="186" t="s">
        <v>10611</v>
      </c>
      <c r="C5795" s="190" t="s">
        <v>10612</v>
      </c>
      <c r="D5795" s="191">
        <v>1097.1199999999999</v>
      </c>
      <c r="E5795" s="191">
        <v>720.86</v>
      </c>
      <c r="F5795" s="191">
        <v>361.84</v>
      </c>
      <c r="G5795" s="191">
        <v>14.42</v>
      </c>
      <c r="H5795" s="192">
        <v>10332.44</v>
      </c>
      <c r="I5795" s="192">
        <v>8289.89</v>
      </c>
      <c r="J5795" s="192">
        <v>1876.72</v>
      </c>
      <c r="K5795" s="192">
        <v>165.83</v>
      </c>
      <c r="L5795" s="43">
        <v>9.417784745515533</v>
      </c>
      <c r="M5795" s="43">
        <v>11.499999999999998</v>
      </c>
      <c r="N5795" s="43">
        <v>5.1866018129560034</v>
      </c>
      <c r="O5795" s="43">
        <v>11.500000000000002</v>
      </c>
      <c r="P5795" s="193"/>
      <c r="Q5795" s="193"/>
      <c r="R5795" s="193">
        <v>1</v>
      </c>
    </row>
    <row r="5796" spans="1:18" ht="24">
      <c r="A5796" s="189">
        <v>668</v>
      </c>
      <c r="B5796" s="186" t="s">
        <v>10613</v>
      </c>
      <c r="C5796" s="190" t="s">
        <v>10614</v>
      </c>
      <c r="D5796" s="191">
        <v>256.41000000000003</v>
      </c>
      <c r="E5796" s="191">
        <v>165.85</v>
      </c>
      <c r="F5796" s="191">
        <v>82.58</v>
      </c>
      <c r="G5796" s="191">
        <v>7.98</v>
      </c>
      <c r="H5796" s="192">
        <v>2398.19</v>
      </c>
      <c r="I5796" s="192">
        <v>1907.3</v>
      </c>
      <c r="J5796" s="192">
        <v>428.32</v>
      </c>
      <c r="K5796" s="192">
        <v>62.57</v>
      </c>
      <c r="L5796" s="43">
        <v>9.3529503529503515</v>
      </c>
      <c r="M5796" s="43">
        <v>11.500150738619235</v>
      </c>
      <c r="N5796" s="43">
        <v>5.1867280213126667</v>
      </c>
      <c r="O5796" s="43">
        <v>7.8408521303258141</v>
      </c>
      <c r="P5796" s="193"/>
      <c r="Q5796" s="193"/>
      <c r="R5796" s="193">
        <v>1</v>
      </c>
    </row>
    <row r="5797" spans="1:18" ht="16.5" customHeight="1">
      <c r="A5797" s="628" t="s">
        <v>10615</v>
      </c>
      <c r="B5797" s="629"/>
      <c r="C5797" s="629"/>
      <c r="D5797" s="629"/>
      <c r="E5797" s="629"/>
      <c r="F5797" s="629"/>
      <c r="G5797" s="629"/>
      <c r="H5797" s="629"/>
      <c r="I5797" s="629"/>
      <c r="J5797" s="629"/>
      <c r="K5797" s="629"/>
      <c r="L5797" s="629"/>
      <c r="M5797" s="629"/>
      <c r="N5797" s="629"/>
      <c r="O5797" s="629"/>
      <c r="P5797" s="629"/>
      <c r="Q5797" s="629"/>
      <c r="R5797" s="629"/>
    </row>
    <row r="5798" spans="1:18" ht="12.75" customHeight="1">
      <c r="A5798" s="628" t="s">
        <v>10558</v>
      </c>
      <c r="B5798" s="629"/>
      <c r="C5798" s="629"/>
      <c r="D5798" s="629"/>
      <c r="E5798" s="629"/>
      <c r="F5798" s="629"/>
      <c r="G5798" s="629"/>
      <c r="H5798" s="629"/>
      <c r="I5798" s="629"/>
      <c r="J5798" s="629"/>
      <c r="K5798" s="629"/>
      <c r="L5798" s="629"/>
      <c r="M5798" s="629"/>
      <c r="N5798" s="629"/>
      <c r="O5798" s="629"/>
      <c r="P5798" s="629"/>
      <c r="Q5798" s="629"/>
      <c r="R5798" s="629"/>
    </row>
    <row r="5799" spans="1:18" ht="24">
      <c r="A5799" s="189">
        <v>669</v>
      </c>
      <c r="B5799" s="186" t="s">
        <v>10616</v>
      </c>
      <c r="C5799" s="190" t="s">
        <v>10617</v>
      </c>
      <c r="D5799" s="191">
        <v>592.88</v>
      </c>
      <c r="E5799" s="191">
        <v>177.78</v>
      </c>
      <c r="F5799" s="191">
        <v>89.1</v>
      </c>
      <c r="G5799" s="191">
        <v>326</v>
      </c>
      <c r="H5799" s="192">
        <v>3369.7</v>
      </c>
      <c r="I5799" s="192">
        <v>2044.42</v>
      </c>
      <c r="J5799" s="192">
        <v>462.14</v>
      </c>
      <c r="K5799" s="192">
        <v>863.14</v>
      </c>
      <c r="L5799" s="43">
        <v>5.6836121980839289</v>
      </c>
      <c r="M5799" s="43">
        <v>11.499718753515582</v>
      </c>
      <c r="N5799" s="43">
        <v>5.1867564534231203</v>
      </c>
      <c r="O5799" s="43">
        <v>2.6476687116564417</v>
      </c>
      <c r="P5799" s="193"/>
      <c r="Q5799" s="193"/>
      <c r="R5799" s="193">
        <v>1</v>
      </c>
    </row>
    <row r="5800" spans="1:18" ht="24">
      <c r="A5800" s="189">
        <v>670</v>
      </c>
      <c r="B5800" s="186" t="s">
        <v>10618</v>
      </c>
      <c r="C5800" s="190" t="s">
        <v>10619</v>
      </c>
      <c r="D5800" s="191">
        <v>584.34</v>
      </c>
      <c r="E5800" s="191">
        <v>175.8</v>
      </c>
      <c r="F5800" s="191">
        <v>82.58</v>
      </c>
      <c r="G5800" s="191">
        <v>325.95999999999998</v>
      </c>
      <c r="H5800" s="192">
        <v>3312.74</v>
      </c>
      <c r="I5800" s="192">
        <v>2021.74</v>
      </c>
      <c r="J5800" s="192">
        <v>428.32</v>
      </c>
      <c r="K5800" s="192">
        <v>862.68</v>
      </c>
      <c r="L5800" s="43">
        <v>5.6691994386829583</v>
      </c>
      <c r="M5800" s="43">
        <v>11.500227531285551</v>
      </c>
      <c r="N5800" s="43">
        <v>5.1867280213126667</v>
      </c>
      <c r="O5800" s="43">
        <v>2.6465824027488036</v>
      </c>
      <c r="P5800" s="193"/>
      <c r="Q5800" s="193"/>
      <c r="R5800" s="193">
        <v>1</v>
      </c>
    </row>
    <row r="5801" spans="1:18" ht="24">
      <c r="A5801" s="189">
        <v>671</v>
      </c>
      <c r="B5801" s="186" t="s">
        <v>10620</v>
      </c>
      <c r="C5801" s="190" t="s">
        <v>10621</v>
      </c>
      <c r="D5801" s="191">
        <v>4745.5600000000004</v>
      </c>
      <c r="E5801" s="191">
        <v>2746.11</v>
      </c>
      <c r="F5801" s="191">
        <v>1297.4000000000001</v>
      </c>
      <c r="G5801" s="191">
        <v>702.05</v>
      </c>
      <c r="H5801" s="192">
        <v>40596.339999999997</v>
      </c>
      <c r="I5801" s="192">
        <v>31581.46</v>
      </c>
      <c r="J5801" s="192">
        <v>6729.15</v>
      </c>
      <c r="K5801" s="192">
        <v>2285.73</v>
      </c>
      <c r="L5801" s="43">
        <v>8.5545941890946473</v>
      </c>
      <c r="M5801" s="43">
        <v>11.500435161009573</v>
      </c>
      <c r="N5801" s="43">
        <v>5.1866425158008314</v>
      </c>
      <c r="O5801" s="43">
        <v>3.2557937468841254</v>
      </c>
      <c r="P5801" s="193"/>
      <c r="Q5801" s="193"/>
      <c r="R5801" s="193">
        <v>1</v>
      </c>
    </row>
    <row r="5802" spans="1:18" ht="36">
      <c r="A5802" s="189">
        <v>672</v>
      </c>
      <c r="B5802" s="186" t="s">
        <v>10622</v>
      </c>
      <c r="C5802" s="190" t="s">
        <v>10623</v>
      </c>
      <c r="D5802" s="191">
        <v>112.22</v>
      </c>
      <c r="E5802" s="191">
        <v>80.430000000000007</v>
      </c>
      <c r="F5802" s="191"/>
      <c r="G5802" s="191">
        <v>31.79</v>
      </c>
      <c r="H5802" s="192">
        <v>1022.42</v>
      </c>
      <c r="I5802" s="192">
        <v>924.98</v>
      </c>
      <c r="J5802" s="192"/>
      <c r="K5802" s="192">
        <v>97.44</v>
      </c>
      <c r="L5802" s="43">
        <v>9.1108536802708961</v>
      </c>
      <c r="M5802" s="43">
        <v>11.500435161009573</v>
      </c>
      <c r="N5802" s="43" t="s">
        <v>1690</v>
      </c>
      <c r="O5802" s="43">
        <v>3.065114815979868</v>
      </c>
      <c r="P5802" s="193"/>
      <c r="Q5802" s="193"/>
      <c r="R5802" s="193">
        <v>1</v>
      </c>
    </row>
    <row r="5803" spans="1:18" ht="24">
      <c r="A5803" s="189">
        <v>673</v>
      </c>
      <c r="B5803" s="186" t="s">
        <v>10624</v>
      </c>
      <c r="C5803" s="190" t="s">
        <v>10625</v>
      </c>
      <c r="D5803" s="191">
        <v>3113.05</v>
      </c>
      <c r="E5803" s="191">
        <v>1884.36</v>
      </c>
      <c r="F5803" s="191">
        <v>888.84</v>
      </c>
      <c r="G5803" s="191">
        <v>339.85</v>
      </c>
      <c r="H5803" s="192">
        <v>27521.91</v>
      </c>
      <c r="I5803" s="192">
        <v>21670.959999999999</v>
      </c>
      <c r="J5803" s="192">
        <v>4610.08</v>
      </c>
      <c r="K5803" s="192">
        <v>1240.8699999999999</v>
      </c>
      <c r="L5803" s="43">
        <v>8.8408184899053985</v>
      </c>
      <c r="M5803" s="43">
        <v>11.500435161009573</v>
      </c>
      <c r="N5803" s="43">
        <v>5.1866252643895407</v>
      </c>
      <c r="O5803" s="43">
        <v>3.6512284831543322</v>
      </c>
      <c r="P5803" s="193"/>
      <c r="Q5803" s="193"/>
      <c r="R5803" s="193">
        <v>1</v>
      </c>
    </row>
    <row r="5804" spans="1:18" ht="24">
      <c r="A5804" s="189">
        <v>674</v>
      </c>
      <c r="B5804" s="186" t="s">
        <v>10626</v>
      </c>
      <c r="C5804" s="190" t="s">
        <v>10627</v>
      </c>
      <c r="D5804" s="191">
        <v>2054.42</v>
      </c>
      <c r="E5804" s="191">
        <v>1133.0899999999999</v>
      </c>
      <c r="F5804" s="191">
        <v>497.66</v>
      </c>
      <c r="G5804" s="191">
        <v>423.67</v>
      </c>
      <c r="H5804" s="192">
        <v>16848.98</v>
      </c>
      <c r="I5804" s="192">
        <v>13031.02</v>
      </c>
      <c r="J5804" s="192">
        <v>2581.1999999999998</v>
      </c>
      <c r="K5804" s="192">
        <v>1236.76</v>
      </c>
      <c r="L5804" s="43">
        <v>8.2013317627359541</v>
      </c>
      <c r="M5804" s="43">
        <v>11.500428033077691</v>
      </c>
      <c r="N5804" s="43">
        <v>5.18667363260057</v>
      </c>
      <c r="O5804" s="43">
        <v>2.919158779238558</v>
      </c>
      <c r="P5804" s="193"/>
      <c r="Q5804" s="193"/>
      <c r="R5804" s="193">
        <v>1</v>
      </c>
    </row>
    <row r="5805" spans="1:18" ht="36">
      <c r="A5805" s="189">
        <v>675</v>
      </c>
      <c r="B5805" s="186" t="s">
        <v>10628</v>
      </c>
      <c r="C5805" s="190" t="s">
        <v>10629</v>
      </c>
      <c r="D5805" s="191">
        <v>1130.1199999999999</v>
      </c>
      <c r="E5805" s="191">
        <v>475.69</v>
      </c>
      <c r="F5805" s="191">
        <v>224.93</v>
      </c>
      <c r="G5805" s="191">
        <v>429.5</v>
      </c>
      <c r="H5805" s="192">
        <v>7824.53</v>
      </c>
      <c r="I5805" s="192">
        <v>5470.6</v>
      </c>
      <c r="J5805" s="192">
        <v>1166.6099999999999</v>
      </c>
      <c r="K5805" s="192">
        <v>1187.32</v>
      </c>
      <c r="L5805" s="43">
        <v>6.9236275793721029</v>
      </c>
      <c r="M5805" s="43">
        <v>11.500346864554647</v>
      </c>
      <c r="N5805" s="43">
        <v>5.1865469257102204</v>
      </c>
      <c r="O5805" s="43">
        <v>2.7644237485448193</v>
      </c>
      <c r="P5805" s="193"/>
      <c r="Q5805" s="193"/>
      <c r="R5805" s="193">
        <v>1</v>
      </c>
    </row>
    <row r="5806" spans="1:18" ht="36">
      <c r="A5806" s="189">
        <v>676</v>
      </c>
      <c r="B5806" s="186" t="s">
        <v>10630</v>
      </c>
      <c r="C5806" s="190" t="s">
        <v>10631</v>
      </c>
      <c r="D5806" s="191">
        <v>356.17</v>
      </c>
      <c r="E5806" s="191">
        <v>237.84</v>
      </c>
      <c r="F5806" s="191">
        <v>113.01</v>
      </c>
      <c r="G5806" s="191">
        <v>5.32</v>
      </c>
      <c r="H5806" s="192">
        <v>3378.99</v>
      </c>
      <c r="I5806" s="192">
        <v>2735.3</v>
      </c>
      <c r="J5806" s="192">
        <v>586.12</v>
      </c>
      <c r="K5806" s="192">
        <v>57.57</v>
      </c>
      <c r="L5806" s="43">
        <v>9.4870146278462517</v>
      </c>
      <c r="M5806" s="43">
        <v>11.500588631012446</v>
      </c>
      <c r="N5806" s="43">
        <v>5.1864436775506588</v>
      </c>
      <c r="O5806" s="43">
        <v>10.821428571428571</v>
      </c>
      <c r="P5806" s="193"/>
      <c r="Q5806" s="193"/>
      <c r="R5806" s="193">
        <v>1</v>
      </c>
    </row>
    <row r="5807" spans="1:18" ht="24">
      <c r="A5807" s="189">
        <v>677</v>
      </c>
      <c r="B5807" s="186" t="s">
        <v>10632</v>
      </c>
      <c r="C5807" s="190" t="s">
        <v>10633</v>
      </c>
      <c r="D5807" s="191">
        <v>3154.51</v>
      </c>
      <c r="E5807" s="191">
        <v>2152.38</v>
      </c>
      <c r="F5807" s="191">
        <v>947.52</v>
      </c>
      <c r="G5807" s="191">
        <v>54.61</v>
      </c>
      <c r="H5807" s="192">
        <v>30220.22</v>
      </c>
      <c r="I5807" s="192">
        <v>24753.24</v>
      </c>
      <c r="J5807" s="192">
        <v>4914.42</v>
      </c>
      <c r="K5807" s="192">
        <v>552.55999999999995</v>
      </c>
      <c r="L5807" s="43">
        <v>9.5800045014915156</v>
      </c>
      <c r="M5807" s="43">
        <v>11.500404203718674</v>
      </c>
      <c r="N5807" s="43">
        <v>5.186613475177305</v>
      </c>
      <c r="O5807" s="43">
        <v>10.118293352865775</v>
      </c>
      <c r="P5807" s="193"/>
      <c r="Q5807" s="193"/>
      <c r="R5807" s="193">
        <v>1</v>
      </c>
    </row>
    <row r="5808" spans="1:18" ht="24">
      <c r="A5808" s="189">
        <v>678</v>
      </c>
      <c r="B5808" s="186" t="s">
        <v>10634</v>
      </c>
      <c r="C5808" s="190" t="s">
        <v>10635</v>
      </c>
      <c r="D5808" s="191">
        <v>2798.44</v>
      </c>
      <c r="E5808" s="191">
        <v>1917.35</v>
      </c>
      <c r="F5808" s="191">
        <v>841.03</v>
      </c>
      <c r="G5808" s="191">
        <v>40.06</v>
      </c>
      <c r="H5808" s="192">
        <v>26860.3</v>
      </c>
      <c r="I5808" s="192">
        <v>22050.3</v>
      </c>
      <c r="J5808" s="192">
        <v>4362.1099999999997</v>
      </c>
      <c r="K5808" s="192">
        <v>447.89</v>
      </c>
      <c r="L5808" s="43">
        <v>9.5983119166392701</v>
      </c>
      <c r="M5808" s="43">
        <v>11.500404203718674</v>
      </c>
      <c r="N5808" s="43">
        <v>5.1866283010118543</v>
      </c>
      <c r="O5808" s="43">
        <v>11.180479281078382</v>
      </c>
      <c r="P5808" s="193"/>
      <c r="Q5808" s="193"/>
      <c r="R5808" s="193">
        <v>1</v>
      </c>
    </row>
    <row r="5809" spans="1:18" ht="24">
      <c r="A5809" s="189">
        <v>679</v>
      </c>
      <c r="B5809" s="186" t="s">
        <v>10636</v>
      </c>
      <c r="C5809" s="190" t="s">
        <v>10637</v>
      </c>
      <c r="D5809" s="191">
        <v>1725.6</v>
      </c>
      <c r="E5809" s="191">
        <v>1149</v>
      </c>
      <c r="F5809" s="191">
        <v>543.29999999999995</v>
      </c>
      <c r="G5809" s="191">
        <v>33.299999999999997</v>
      </c>
      <c r="H5809" s="192">
        <v>16350.16</v>
      </c>
      <c r="I5809" s="192">
        <v>13214</v>
      </c>
      <c r="J5809" s="192">
        <v>2817.9</v>
      </c>
      <c r="K5809" s="192">
        <v>318.26</v>
      </c>
      <c r="L5809" s="43">
        <v>9.4750579508576731</v>
      </c>
      <c r="M5809" s="43">
        <v>11.500435161009573</v>
      </c>
      <c r="N5809" s="43">
        <v>5.1866372170071786</v>
      </c>
      <c r="O5809" s="43">
        <v>9.5573573573573576</v>
      </c>
      <c r="P5809" s="193"/>
      <c r="Q5809" s="193"/>
      <c r="R5809" s="193">
        <v>1</v>
      </c>
    </row>
    <row r="5810" spans="1:18" ht="24">
      <c r="A5810" s="189">
        <v>680</v>
      </c>
      <c r="B5810" s="186" t="s">
        <v>10638</v>
      </c>
      <c r="C5810" s="190" t="s">
        <v>10639</v>
      </c>
      <c r="D5810" s="191">
        <v>971.36</v>
      </c>
      <c r="E5810" s="191">
        <v>942.18</v>
      </c>
      <c r="F5810" s="191"/>
      <c r="G5810" s="191">
        <v>29.18</v>
      </c>
      <c r="H5810" s="192">
        <v>11106.23</v>
      </c>
      <c r="I5810" s="192">
        <v>10835.48</v>
      </c>
      <c r="J5810" s="192"/>
      <c r="K5810" s="192">
        <v>270.75</v>
      </c>
      <c r="L5810" s="43">
        <v>11.433690907593476</v>
      </c>
      <c r="M5810" s="43">
        <v>11.500435161009573</v>
      </c>
      <c r="N5810" s="43" t="s">
        <v>1690</v>
      </c>
      <c r="O5810" s="43">
        <v>9.2786154900616857</v>
      </c>
      <c r="P5810" s="193"/>
      <c r="Q5810" s="193"/>
      <c r="R5810" s="193">
        <v>1</v>
      </c>
    </row>
    <row r="5811" spans="1:18" ht="24">
      <c r="A5811" s="189">
        <v>681</v>
      </c>
      <c r="B5811" s="186" t="s">
        <v>10640</v>
      </c>
      <c r="C5811" s="190" t="s">
        <v>10641</v>
      </c>
      <c r="D5811" s="191">
        <v>1280.3</v>
      </c>
      <c r="E5811" s="191">
        <v>839.02</v>
      </c>
      <c r="F5811" s="191">
        <v>420.51</v>
      </c>
      <c r="G5811" s="191">
        <v>20.77</v>
      </c>
      <c r="H5811" s="192">
        <v>12041.58</v>
      </c>
      <c r="I5811" s="192">
        <v>9648.68</v>
      </c>
      <c r="J5811" s="192">
        <v>2181.0500000000002</v>
      </c>
      <c r="K5811" s="192">
        <v>211.85</v>
      </c>
      <c r="L5811" s="43">
        <v>9.4052800124970712</v>
      </c>
      <c r="M5811" s="43">
        <v>11.499940406664919</v>
      </c>
      <c r="N5811" s="43">
        <v>5.1866780813773756</v>
      </c>
      <c r="O5811" s="43">
        <v>10.199807414540203</v>
      </c>
      <c r="P5811" s="193"/>
      <c r="Q5811" s="193"/>
      <c r="R5811" s="193">
        <v>1</v>
      </c>
    </row>
    <row r="5812" spans="1:18" ht="24">
      <c r="A5812" s="189">
        <v>682</v>
      </c>
      <c r="B5812" s="186" t="s">
        <v>10642</v>
      </c>
      <c r="C5812" s="190" t="s">
        <v>10643</v>
      </c>
      <c r="D5812" s="191">
        <v>102.85</v>
      </c>
      <c r="E5812" s="191">
        <v>86.72</v>
      </c>
      <c r="F5812" s="191"/>
      <c r="G5812" s="191">
        <v>16.13</v>
      </c>
      <c r="H5812" s="192">
        <v>1054.0899999999999</v>
      </c>
      <c r="I5812" s="192">
        <v>997.28</v>
      </c>
      <c r="J5812" s="192"/>
      <c r="K5812" s="192">
        <v>56.81</v>
      </c>
      <c r="L5812" s="43">
        <v>10.24880894506563</v>
      </c>
      <c r="M5812" s="43">
        <v>11.5</v>
      </c>
      <c r="N5812" s="43" t="s">
        <v>1690</v>
      </c>
      <c r="O5812" s="43">
        <v>3.5220086794792316</v>
      </c>
      <c r="P5812" s="193"/>
      <c r="Q5812" s="193"/>
      <c r="R5812" s="193">
        <v>1</v>
      </c>
    </row>
    <row r="5813" spans="1:18" ht="12.75" customHeight="1">
      <c r="A5813" s="628" t="s">
        <v>10644</v>
      </c>
      <c r="B5813" s="629"/>
      <c r="C5813" s="629"/>
      <c r="D5813" s="629"/>
      <c r="E5813" s="629"/>
      <c r="F5813" s="629"/>
      <c r="G5813" s="629"/>
      <c r="H5813" s="629"/>
      <c r="I5813" s="629"/>
      <c r="J5813" s="629"/>
      <c r="K5813" s="629"/>
      <c r="L5813" s="629"/>
      <c r="M5813" s="629"/>
      <c r="N5813" s="629"/>
      <c r="O5813" s="629"/>
      <c r="P5813" s="629"/>
      <c r="Q5813" s="629"/>
      <c r="R5813" s="629"/>
    </row>
    <row r="5814" spans="1:18" ht="24">
      <c r="A5814" s="189">
        <v>683</v>
      </c>
      <c r="B5814" s="186" t="s">
        <v>10645</v>
      </c>
      <c r="C5814" s="190" t="s">
        <v>10646</v>
      </c>
      <c r="D5814" s="191">
        <v>186.9</v>
      </c>
      <c r="E5814" s="191">
        <v>114.9</v>
      </c>
      <c r="F5814" s="191"/>
      <c r="G5814" s="191">
        <v>72</v>
      </c>
      <c r="H5814" s="192">
        <v>1674.35</v>
      </c>
      <c r="I5814" s="192">
        <v>1321.4</v>
      </c>
      <c r="J5814" s="192"/>
      <c r="K5814" s="192">
        <v>352.95</v>
      </c>
      <c r="L5814" s="43">
        <v>8.9585339753879065</v>
      </c>
      <c r="M5814" s="43">
        <v>11.500435161009573</v>
      </c>
      <c r="N5814" s="43" t="s">
        <v>1690</v>
      </c>
      <c r="O5814" s="43">
        <v>4.9020833333333336</v>
      </c>
      <c r="P5814" s="193"/>
      <c r="Q5814" s="193"/>
      <c r="R5814" s="193">
        <v>2</v>
      </c>
    </row>
    <row r="5815" spans="1:18" ht="24">
      <c r="A5815" s="189">
        <v>684</v>
      </c>
      <c r="B5815" s="186" t="s">
        <v>10647</v>
      </c>
      <c r="C5815" s="190" t="s">
        <v>10648</v>
      </c>
      <c r="D5815" s="191">
        <v>359.16</v>
      </c>
      <c r="E5815" s="191">
        <v>229.8</v>
      </c>
      <c r="F5815" s="191"/>
      <c r="G5815" s="191">
        <v>129.36000000000001</v>
      </c>
      <c r="H5815" s="192">
        <v>3204.01</v>
      </c>
      <c r="I5815" s="192">
        <v>2642.8</v>
      </c>
      <c r="J5815" s="192"/>
      <c r="K5815" s="192">
        <v>561.21</v>
      </c>
      <c r="L5815" s="43">
        <v>8.920843078293796</v>
      </c>
      <c r="M5815" s="43">
        <v>11.500435161009573</v>
      </c>
      <c r="N5815" s="43" t="s">
        <v>1690</v>
      </c>
      <c r="O5815" s="43">
        <v>4.3383580705009273</v>
      </c>
      <c r="P5815" s="193"/>
      <c r="Q5815" s="193"/>
      <c r="R5815" s="193">
        <v>2</v>
      </c>
    </row>
    <row r="5816" spans="1:18" ht="36">
      <c r="A5816" s="189">
        <v>685</v>
      </c>
      <c r="B5816" s="186" t="s">
        <v>10649</v>
      </c>
      <c r="C5816" s="190" t="s">
        <v>10650</v>
      </c>
      <c r="D5816" s="191">
        <v>347.34</v>
      </c>
      <c r="E5816" s="191">
        <v>264.27</v>
      </c>
      <c r="F5816" s="191"/>
      <c r="G5816" s="191">
        <v>83.07</v>
      </c>
      <c r="H5816" s="192">
        <v>3449.67</v>
      </c>
      <c r="I5816" s="192">
        <v>3039.22</v>
      </c>
      <c r="J5816" s="192"/>
      <c r="K5816" s="192">
        <v>410.45</v>
      </c>
      <c r="L5816" s="43">
        <v>9.9316807738815012</v>
      </c>
      <c r="M5816" s="43">
        <v>11.500435161009573</v>
      </c>
      <c r="N5816" s="43" t="s">
        <v>1690</v>
      </c>
      <c r="O5816" s="43">
        <v>4.9410136029854339</v>
      </c>
      <c r="P5816" s="193"/>
      <c r="Q5816" s="193"/>
      <c r="R5816" s="193">
        <v>2</v>
      </c>
    </row>
    <row r="5817" spans="1:18" ht="36">
      <c r="A5817" s="189">
        <v>686</v>
      </c>
      <c r="B5817" s="186" t="s">
        <v>10651</v>
      </c>
      <c r="C5817" s="190" t="s">
        <v>10652</v>
      </c>
      <c r="D5817" s="191">
        <v>452.81</v>
      </c>
      <c r="E5817" s="191">
        <v>321.62</v>
      </c>
      <c r="F5817" s="191"/>
      <c r="G5817" s="191">
        <v>131.19</v>
      </c>
      <c r="H5817" s="192">
        <v>4281.0200000000004</v>
      </c>
      <c r="I5817" s="192">
        <v>3698.76</v>
      </c>
      <c r="J5817" s="192"/>
      <c r="K5817" s="192">
        <v>582.26</v>
      </c>
      <c r="L5817" s="43">
        <v>9.4543406726883248</v>
      </c>
      <c r="M5817" s="43">
        <v>11.500404203718675</v>
      </c>
      <c r="N5817" s="43" t="s">
        <v>1690</v>
      </c>
      <c r="O5817" s="43">
        <v>4.4382956017989175</v>
      </c>
      <c r="P5817" s="193"/>
      <c r="Q5817" s="193"/>
      <c r="R5817" s="193">
        <v>2</v>
      </c>
    </row>
    <row r="5818" spans="1:18" ht="36">
      <c r="A5818" s="189">
        <v>687</v>
      </c>
      <c r="B5818" s="186" t="s">
        <v>10653</v>
      </c>
      <c r="C5818" s="190" t="s">
        <v>10654</v>
      </c>
      <c r="D5818" s="191">
        <v>326.64</v>
      </c>
      <c r="E5818" s="191">
        <v>197.92</v>
      </c>
      <c r="F5818" s="191"/>
      <c r="G5818" s="191">
        <v>128.72</v>
      </c>
      <c r="H5818" s="192">
        <v>2830.01</v>
      </c>
      <c r="I5818" s="192">
        <v>2276.16</v>
      </c>
      <c r="J5818" s="192"/>
      <c r="K5818" s="192">
        <v>553.85</v>
      </c>
      <c r="L5818" s="43">
        <v>8.6640031839333833</v>
      </c>
      <c r="M5818" s="43">
        <v>11.500404203718674</v>
      </c>
      <c r="N5818" s="43" t="s">
        <v>1690</v>
      </c>
      <c r="O5818" s="43">
        <v>4.3027501553760104</v>
      </c>
      <c r="P5818" s="193"/>
      <c r="Q5818" s="193"/>
      <c r="R5818" s="193">
        <v>2</v>
      </c>
    </row>
    <row r="5819" spans="1:18" ht="12.75" customHeight="1">
      <c r="A5819" s="628" t="s">
        <v>10655</v>
      </c>
      <c r="B5819" s="629"/>
      <c r="C5819" s="629"/>
      <c r="D5819" s="629"/>
      <c r="E5819" s="629"/>
      <c r="F5819" s="629"/>
      <c r="G5819" s="629"/>
      <c r="H5819" s="629"/>
      <c r="I5819" s="629"/>
      <c r="J5819" s="629"/>
      <c r="K5819" s="629"/>
      <c r="L5819" s="629"/>
      <c r="M5819" s="629"/>
      <c r="N5819" s="629"/>
      <c r="O5819" s="629"/>
      <c r="P5819" s="629"/>
      <c r="Q5819" s="629"/>
      <c r="R5819" s="629"/>
    </row>
    <row r="5820" spans="1:18" ht="36">
      <c r="A5820" s="189">
        <v>688</v>
      </c>
      <c r="B5820" s="186" t="s">
        <v>10656</v>
      </c>
      <c r="C5820" s="190" t="s">
        <v>10657</v>
      </c>
      <c r="D5820" s="191">
        <v>139.43</v>
      </c>
      <c r="E5820" s="191">
        <v>132.5</v>
      </c>
      <c r="F5820" s="191"/>
      <c r="G5820" s="191">
        <v>6.93</v>
      </c>
      <c r="H5820" s="192">
        <v>1574.85</v>
      </c>
      <c r="I5820" s="192">
        <v>1523.8</v>
      </c>
      <c r="J5820" s="192"/>
      <c r="K5820" s="192">
        <v>51.05</v>
      </c>
      <c r="L5820" s="43">
        <v>11.294915011116688</v>
      </c>
      <c r="M5820" s="43">
        <v>11.500377358490566</v>
      </c>
      <c r="N5820" s="43" t="s">
        <v>1690</v>
      </c>
      <c r="O5820" s="43">
        <v>7.366522366522366</v>
      </c>
      <c r="P5820" s="193"/>
      <c r="Q5820" s="193"/>
      <c r="R5820" s="193">
        <v>3</v>
      </c>
    </row>
    <row r="5821" spans="1:18" ht="12.75" customHeight="1">
      <c r="A5821" s="628" t="s">
        <v>10658</v>
      </c>
      <c r="B5821" s="629"/>
      <c r="C5821" s="629"/>
      <c r="D5821" s="629"/>
      <c r="E5821" s="629"/>
      <c r="F5821" s="629"/>
      <c r="G5821" s="629"/>
      <c r="H5821" s="629"/>
      <c r="I5821" s="629"/>
      <c r="J5821" s="629"/>
      <c r="K5821" s="629"/>
      <c r="L5821" s="629"/>
      <c r="M5821" s="629"/>
      <c r="N5821" s="629"/>
      <c r="O5821" s="629"/>
      <c r="P5821" s="629"/>
      <c r="Q5821" s="629"/>
      <c r="R5821" s="629"/>
    </row>
    <row r="5822" spans="1:18" ht="12.75" customHeight="1">
      <c r="A5822" s="628" t="s">
        <v>10659</v>
      </c>
      <c r="B5822" s="629"/>
      <c r="C5822" s="629"/>
      <c r="D5822" s="629"/>
      <c r="E5822" s="629"/>
      <c r="F5822" s="629"/>
      <c r="G5822" s="629"/>
      <c r="H5822" s="629"/>
      <c r="I5822" s="629"/>
      <c r="J5822" s="629"/>
      <c r="K5822" s="629"/>
      <c r="L5822" s="629"/>
      <c r="M5822" s="629"/>
      <c r="N5822" s="629"/>
      <c r="O5822" s="629"/>
      <c r="P5822" s="629"/>
      <c r="Q5822" s="629"/>
      <c r="R5822" s="629"/>
    </row>
    <row r="5823" spans="1:18" ht="24">
      <c r="A5823" s="189">
        <v>689</v>
      </c>
      <c r="B5823" s="186" t="s">
        <v>10660</v>
      </c>
      <c r="C5823" s="190" t="s">
        <v>10661</v>
      </c>
      <c r="D5823" s="191">
        <v>152.36000000000001</v>
      </c>
      <c r="E5823" s="191">
        <v>149.37</v>
      </c>
      <c r="F5823" s="191"/>
      <c r="G5823" s="191">
        <v>2.99</v>
      </c>
      <c r="H5823" s="192">
        <v>1752.21</v>
      </c>
      <c r="I5823" s="192">
        <v>1717.82</v>
      </c>
      <c r="J5823" s="192"/>
      <c r="K5823" s="192">
        <v>34.39</v>
      </c>
      <c r="L5823" s="43">
        <v>11.500459438172747</v>
      </c>
      <c r="M5823" s="43">
        <v>11.500435161009573</v>
      </c>
      <c r="N5823" s="43" t="s">
        <v>1690</v>
      </c>
      <c r="O5823" s="43">
        <v>11.501672240802675</v>
      </c>
      <c r="P5823" s="193"/>
      <c r="Q5823" s="193"/>
      <c r="R5823" s="193">
        <v>1</v>
      </c>
    </row>
    <row r="5824" spans="1:18" ht="24">
      <c r="A5824" s="189">
        <v>690</v>
      </c>
      <c r="B5824" s="186" t="s">
        <v>10662</v>
      </c>
      <c r="C5824" s="190" t="s">
        <v>10663</v>
      </c>
      <c r="D5824" s="191">
        <v>232.19</v>
      </c>
      <c r="E5824" s="191">
        <v>227.64</v>
      </c>
      <c r="F5824" s="191"/>
      <c r="G5824" s="191">
        <v>4.55</v>
      </c>
      <c r="H5824" s="192">
        <v>2670.19</v>
      </c>
      <c r="I5824" s="192">
        <v>2617.86</v>
      </c>
      <c r="J5824" s="192"/>
      <c r="K5824" s="192">
        <v>52.33</v>
      </c>
      <c r="L5824" s="43">
        <v>11.500021534088463</v>
      </c>
      <c r="M5824" s="43">
        <v>11.500000000000002</v>
      </c>
      <c r="N5824" s="43" t="s">
        <v>1690</v>
      </c>
      <c r="O5824" s="43">
        <v>11.501098901098901</v>
      </c>
      <c r="P5824" s="193"/>
      <c r="Q5824" s="193"/>
      <c r="R5824" s="193">
        <v>1</v>
      </c>
    </row>
    <row r="5825" spans="1:18" ht="24">
      <c r="A5825" s="189">
        <v>691</v>
      </c>
      <c r="B5825" s="186" t="s">
        <v>10664</v>
      </c>
      <c r="C5825" s="190" t="s">
        <v>10665</v>
      </c>
      <c r="D5825" s="191">
        <v>287.48</v>
      </c>
      <c r="E5825" s="191">
        <v>281.83999999999997</v>
      </c>
      <c r="F5825" s="191"/>
      <c r="G5825" s="191">
        <v>5.64</v>
      </c>
      <c r="H5825" s="192">
        <v>3306.02</v>
      </c>
      <c r="I5825" s="192">
        <v>3241.16</v>
      </c>
      <c r="J5825" s="192"/>
      <c r="K5825" s="192">
        <v>64.86</v>
      </c>
      <c r="L5825" s="43">
        <v>11.5</v>
      </c>
      <c r="M5825" s="43">
        <v>11.5</v>
      </c>
      <c r="N5825" s="43" t="s">
        <v>1690</v>
      </c>
      <c r="O5825" s="43">
        <v>11.5</v>
      </c>
      <c r="P5825" s="193"/>
      <c r="Q5825" s="193"/>
      <c r="R5825" s="193">
        <v>1</v>
      </c>
    </row>
    <row r="5826" spans="1:18" ht="48">
      <c r="A5826" s="189">
        <v>692</v>
      </c>
      <c r="B5826" s="186" t="s">
        <v>10666</v>
      </c>
      <c r="C5826" s="190" t="s">
        <v>10667</v>
      </c>
      <c r="D5826" s="191">
        <v>25.32</v>
      </c>
      <c r="E5826" s="191">
        <v>22.98</v>
      </c>
      <c r="F5826" s="191"/>
      <c r="G5826" s="191">
        <v>2.34</v>
      </c>
      <c r="H5826" s="192">
        <v>277.97000000000003</v>
      </c>
      <c r="I5826" s="192">
        <v>264.27999999999997</v>
      </c>
      <c r="J5826" s="192"/>
      <c r="K5826" s="192">
        <v>13.69</v>
      </c>
      <c r="L5826" s="43">
        <v>10.978278041074251</v>
      </c>
      <c r="M5826" s="43">
        <v>11.500435161009571</v>
      </c>
      <c r="N5826" s="43" t="s">
        <v>1690</v>
      </c>
      <c r="O5826" s="43">
        <v>5.850427350427351</v>
      </c>
      <c r="P5826" s="193"/>
      <c r="Q5826" s="193"/>
      <c r="R5826" s="193">
        <v>1</v>
      </c>
    </row>
    <row r="5827" spans="1:18" ht="48">
      <c r="A5827" s="189">
        <v>693</v>
      </c>
      <c r="B5827" s="186" t="s">
        <v>10668</v>
      </c>
      <c r="C5827" s="190" t="s">
        <v>10669</v>
      </c>
      <c r="D5827" s="191">
        <v>84.65</v>
      </c>
      <c r="E5827" s="191">
        <v>80.430000000000007</v>
      </c>
      <c r="F5827" s="191"/>
      <c r="G5827" s="191">
        <v>4.22</v>
      </c>
      <c r="H5827" s="192">
        <v>956.72</v>
      </c>
      <c r="I5827" s="192">
        <v>924.98</v>
      </c>
      <c r="J5827" s="192"/>
      <c r="K5827" s="192">
        <v>31.74</v>
      </c>
      <c r="L5827" s="43">
        <v>11.302067336089781</v>
      </c>
      <c r="M5827" s="43">
        <v>11.500435161009573</v>
      </c>
      <c r="N5827" s="43" t="s">
        <v>1690</v>
      </c>
      <c r="O5827" s="43">
        <v>7.5213270142180093</v>
      </c>
      <c r="P5827" s="193"/>
      <c r="Q5827" s="193"/>
      <c r="R5827" s="193">
        <v>1</v>
      </c>
    </row>
    <row r="5828" spans="1:18" ht="24">
      <c r="A5828" s="189">
        <v>694</v>
      </c>
      <c r="B5828" s="186" t="s">
        <v>10670</v>
      </c>
      <c r="C5828" s="190" t="s">
        <v>10671</v>
      </c>
      <c r="D5828" s="191">
        <v>289.37</v>
      </c>
      <c r="E5828" s="191">
        <v>80.430000000000007</v>
      </c>
      <c r="F5828" s="191"/>
      <c r="G5828" s="191">
        <v>208.94</v>
      </c>
      <c r="H5828" s="192">
        <v>1695.02</v>
      </c>
      <c r="I5828" s="192">
        <v>924.98</v>
      </c>
      <c r="J5828" s="192"/>
      <c r="K5828" s="192">
        <v>770.04</v>
      </c>
      <c r="L5828" s="43">
        <v>5.8576217299650963</v>
      </c>
      <c r="M5828" s="43">
        <v>11.500435161009573</v>
      </c>
      <c r="N5828" s="43" t="s">
        <v>1690</v>
      </c>
      <c r="O5828" s="43">
        <v>3.685459940652819</v>
      </c>
      <c r="P5828" s="193"/>
      <c r="Q5828" s="193"/>
      <c r="R5828" s="193">
        <v>1</v>
      </c>
    </row>
    <row r="5829" spans="1:18" ht="24">
      <c r="A5829" s="189">
        <v>695</v>
      </c>
      <c r="B5829" s="186" t="s">
        <v>10672</v>
      </c>
      <c r="C5829" s="190" t="s">
        <v>10673</v>
      </c>
      <c r="D5829" s="191">
        <v>312.81</v>
      </c>
      <c r="E5829" s="191">
        <v>103.41</v>
      </c>
      <c r="F5829" s="191"/>
      <c r="G5829" s="191">
        <v>209.4</v>
      </c>
      <c r="H5829" s="192">
        <v>1964.59</v>
      </c>
      <c r="I5829" s="192">
        <v>1189.26</v>
      </c>
      <c r="J5829" s="192"/>
      <c r="K5829" s="192">
        <v>775.33</v>
      </c>
      <c r="L5829" s="43">
        <v>6.2804577858764103</v>
      </c>
      <c r="M5829" s="43">
        <v>11.500435161009573</v>
      </c>
      <c r="N5829" s="43" t="s">
        <v>1690</v>
      </c>
      <c r="O5829" s="43">
        <v>3.7026265520534865</v>
      </c>
      <c r="P5829" s="193"/>
      <c r="Q5829" s="193"/>
      <c r="R5829" s="193">
        <v>1</v>
      </c>
    </row>
    <row r="5830" spans="1:18" ht="24">
      <c r="A5830" s="189">
        <v>696</v>
      </c>
      <c r="B5830" s="186" t="s">
        <v>10674</v>
      </c>
      <c r="C5830" s="190" t="s">
        <v>10675</v>
      </c>
      <c r="D5830" s="191">
        <v>359.69</v>
      </c>
      <c r="E5830" s="191">
        <v>149.37</v>
      </c>
      <c r="F5830" s="191"/>
      <c r="G5830" s="191">
        <v>210.32</v>
      </c>
      <c r="H5830" s="192">
        <v>2503.73</v>
      </c>
      <c r="I5830" s="192">
        <v>1717.82</v>
      </c>
      <c r="J5830" s="192"/>
      <c r="K5830" s="192">
        <v>785.91</v>
      </c>
      <c r="L5830" s="43">
        <v>6.9607995774138844</v>
      </c>
      <c r="M5830" s="43">
        <v>11.500435161009573</v>
      </c>
      <c r="N5830" s="43" t="s">
        <v>1690</v>
      </c>
      <c r="O5830" s="43">
        <v>3.7367344998098138</v>
      </c>
      <c r="P5830" s="193"/>
      <c r="Q5830" s="193"/>
      <c r="R5830" s="193">
        <v>1</v>
      </c>
    </row>
    <row r="5831" spans="1:18" ht="24">
      <c r="A5831" s="189">
        <v>697</v>
      </c>
      <c r="B5831" s="186" t="s">
        <v>10676</v>
      </c>
      <c r="C5831" s="190" t="s">
        <v>10677</v>
      </c>
      <c r="D5831" s="191">
        <v>106.78</v>
      </c>
      <c r="E5831" s="191">
        <v>91.92</v>
      </c>
      <c r="F5831" s="191"/>
      <c r="G5831" s="191">
        <v>14.86</v>
      </c>
      <c r="H5831" s="192">
        <v>1138.42</v>
      </c>
      <c r="I5831" s="192">
        <v>1057.1199999999999</v>
      </c>
      <c r="J5831" s="192"/>
      <c r="K5831" s="192">
        <v>81.3</v>
      </c>
      <c r="L5831" s="43">
        <v>10.661359805206969</v>
      </c>
      <c r="M5831" s="43">
        <v>11.500435161009571</v>
      </c>
      <c r="N5831" s="43" t="s">
        <v>1690</v>
      </c>
      <c r="O5831" s="43">
        <v>5.471063257065949</v>
      </c>
      <c r="P5831" s="193"/>
      <c r="Q5831" s="193"/>
      <c r="R5831" s="193">
        <v>1</v>
      </c>
    </row>
    <row r="5832" spans="1:18" ht="12.75" customHeight="1">
      <c r="A5832" s="628" t="s">
        <v>10678</v>
      </c>
      <c r="B5832" s="629"/>
      <c r="C5832" s="629"/>
      <c r="D5832" s="629"/>
      <c r="E5832" s="629"/>
      <c r="F5832" s="629"/>
      <c r="G5832" s="629"/>
      <c r="H5832" s="629"/>
      <c r="I5832" s="629"/>
      <c r="J5832" s="629"/>
      <c r="K5832" s="629"/>
      <c r="L5832" s="629"/>
      <c r="M5832" s="629"/>
      <c r="N5832" s="629"/>
      <c r="O5832" s="629"/>
      <c r="P5832" s="629"/>
      <c r="Q5832" s="629"/>
      <c r="R5832" s="629"/>
    </row>
    <row r="5833" spans="1:18" ht="24">
      <c r="A5833" s="189">
        <v>698</v>
      </c>
      <c r="B5833" s="186" t="s">
        <v>10679</v>
      </c>
      <c r="C5833" s="190" t="s">
        <v>10680</v>
      </c>
      <c r="D5833" s="191">
        <v>49.5</v>
      </c>
      <c r="E5833" s="191">
        <v>34.47</v>
      </c>
      <c r="F5833" s="191"/>
      <c r="G5833" s="191">
        <v>15.03</v>
      </c>
      <c r="H5833" s="192">
        <v>451.91</v>
      </c>
      <c r="I5833" s="192">
        <v>396.42</v>
      </c>
      <c r="J5833" s="192"/>
      <c r="K5833" s="192">
        <v>55.49</v>
      </c>
      <c r="L5833" s="43">
        <v>9.1294949494949496</v>
      </c>
      <c r="M5833" s="43">
        <v>11.500435161009575</v>
      </c>
      <c r="N5833" s="43" t="s">
        <v>1690</v>
      </c>
      <c r="O5833" s="43">
        <v>3.6919494344644046</v>
      </c>
      <c r="P5833" s="193"/>
      <c r="Q5833" s="193"/>
      <c r="R5833" s="193">
        <v>2</v>
      </c>
    </row>
    <row r="5834" spans="1:18" ht="24">
      <c r="A5834" s="189">
        <v>699</v>
      </c>
      <c r="B5834" s="186" t="s">
        <v>10681</v>
      </c>
      <c r="C5834" s="190" t="s">
        <v>10682</v>
      </c>
      <c r="D5834" s="191">
        <v>61.22</v>
      </c>
      <c r="E5834" s="191">
        <v>45.96</v>
      </c>
      <c r="F5834" s="191"/>
      <c r="G5834" s="191">
        <v>15.26</v>
      </c>
      <c r="H5834" s="192">
        <v>586.69000000000005</v>
      </c>
      <c r="I5834" s="192">
        <v>528.55999999999995</v>
      </c>
      <c r="J5834" s="192"/>
      <c r="K5834" s="192">
        <v>58.13</v>
      </c>
      <c r="L5834" s="43">
        <v>9.5833061091146696</v>
      </c>
      <c r="M5834" s="43">
        <v>11.500435161009571</v>
      </c>
      <c r="N5834" s="43" t="s">
        <v>1690</v>
      </c>
      <c r="O5834" s="43">
        <v>3.8093053735255573</v>
      </c>
      <c r="P5834" s="193"/>
      <c r="Q5834" s="193"/>
      <c r="R5834" s="193">
        <v>2</v>
      </c>
    </row>
    <row r="5835" spans="1:18" ht="24">
      <c r="A5835" s="189">
        <v>700</v>
      </c>
      <c r="B5835" s="186" t="s">
        <v>10683</v>
      </c>
      <c r="C5835" s="190" t="s">
        <v>10684</v>
      </c>
      <c r="D5835" s="191">
        <v>14.26</v>
      </c>
      <c r="E5835" s="191">
        <v>4.9400000000000004</v>
      </c>
      <c r="F5835" s="191"/>
      <c r="G5835" s="191">
        <v>9.32</v>
      </c>
      <c r="H5835" s="192">
        <v>100.94</v>
      </c>
      <c r="I5835" s="192">
        <v>56.82</v>
      </c>
      <c r="J5835" s="192"/>
      <c r="K5835" s="192">
        <v>44.12</v>
      </c>
      <c r="L5835" s="43">
        <v>7.0785413744740531</v>
      </c>
      <c r="M5835" s="43">
        <v>11.502024291497975</v>
      </c>
      <c r="N5835" s="43" t="s">
        <v>1690</v>
      </c>
      <c r="O5835" s="43">
        <v>4.7339055793991411</v>
      </c>
      <c r="P5835" s="193"/>
      <c r="Q5835" s="193"/>
      <c r="R5835" s="193">
        <v>2</v>
      </c>
    </row>
    <row r="5836" spans="1:18" ht="36">
      <c r="A5836" s="189">
        <v>701</v>
      </c>
      <c r="B5836" s="186" t="s">
        <v>10685</v>
      </c>
      <c r="C5836" s="190" t="s">
        <v>10686</v>
      </c>
      <c r="D5836" s="191">
        <v>14.49</v>
      </c>
      <c r="E5836" s="191">
        <v>5.17</v>
      </c>
      <c r="F5836" s="191"/>
      <c r="G5836" s="191">
        <v>9.32</v>
      </c>
      <c r="H5836" s="192">
        <v>103.58</v>
      </c>
      <c r="I5836" s="192">
        <v>59.46</v>
      </c>
      <c r="J5836" s="192"/>
      <c r="K5836" s="192">
        <v>44.12</v>
      </c>
      <c r="L5836" s="43">
        <v>7.1483781918564526</v>
      </c>
      <c r="M5836" s="43">
        <v>11.500967117988395</v>
      </c>
      <c r="N5836" s="43" t="s">
        <v>1690</v>
      </c>
      <c r="O5836" s="43">
        <v>4.7339055793991411</v>
      </c>
      <c r="P5836" s="193"/>
      <c r="Q5836" s="193"/>
      <c r="R5836" s="193">
        <v>2</v>
      </c>
    </row>
    <row r="5837" spans="1:18" ht="24">
      <c r="A5837" s="189">
        <v>702</v>
      </c>
      <c r="B5837" s="186" t="s">
        <v>10687</v>
      </c>
      <c r="C5837" s="190" t="s">
        <v>10688</v>
      </c>
      <c r="D5837" s="191">
        <v>32.659999999999997</v>
      </c>
      <c r="E5837" s="191">
        <v>22.98</v>
      </c>
      <c r="F5837" s="191"/>
      <c r="G5837" s="191">
        <v>9.68</v>
      </c>
      <c r="H5837" s="192">
        <v>312.54000000000002</v>
      </c>
      <c r="I5837" s="192">
        <v>264.27999999999997</v>
      </c>
      <c r="J5837" s="192"/>
      <c r="K5837" s="192">
        <v>48.26</v>
      </c>
      <c r="L5837" s="43">
        <v>9.5695039804041659</v>
      </c>
      <c r="M5837" s="43">
        <v>11.500435161009571</v>
      </c>
      <c r="N5837" s="43" t="s">
        <v>1690</v>
      </c>
      <c r="O5837" s="43">
        <v>4.9855371900826446</v>
      </c>
      <c r="P5837" s="193"/>
      <c r="Q5837" s="193"/>
      <c r="R5837" s="193">
        <v>2</v>
      </c>
    </row>
    <row r="5838" spans="1:18" ht="24">
      <c r="A5838" s="189">
        <v>703</v>
      </c>
      <c r="B5838" s="186" t="s">
        <v>10689</v>
      </c>
      <c r="C5838" s="190" t="s">
        <v>10690</v>
      </c>
      <c r="D5838" s="191">
        <v>43.48</v>
      </c>
      <c r="E5838" s="191">
        <v>21.68</v>
      </c>
      <c r="F5838" s="191"/>
      <c r="G5838" s="191">
        <v>21.8</v>
      </c>
      <c r="H5838" s="192">
        <v>354.44</v>
      </c>
      <c r="I5838" s="192">
        <v>249.32</v>
      </c>
      <c r="J5838" s="192"/>
      <c r="K5838" s="192">
        <v>105.12</v>
      </c>
      <c r="L5838" s="43">
        <v>8.1517939282428706</v>
      </c>
      <c r="M5838" s="43">
        <v>11.5</v>
      </c>
      <c r="N5838" s="43" t="s">
        <v>1690</v>
      </c>
      <c r="O5838" s="43">
        <v>4.8220183486238533</v>
      </c>
      <c r="P5838" s="193"/>
      <c r="Q5838" s="193"/>
      <c r="R5838" s="193">
        <v>2</v>
      </c>
    </row>
    <row r="5839" spans="1:18" ht="24">
      <c r="A5839" s="189">
        <v>704</v>
      </c>
      <c r="B5839" s="186" t="s">
        <v>10691</v>
      </c>
      <c r="C5839" s="190" t="s">
        <v>10692</v>
      </c>
      <c r="D5839" s="191">
        <v>36.17</v>
      </c>
      <c r="E5839" s="191">
        <v>21.68</v>
      </c>
      <c r="F5839" s="191"/>
      <c r="G5839" s="191">
        <v>14.49</v>
      </c>
      <c r="H5839" s="192">
        <v>317.54000000000002</v>
      </c>
      <c r="I5839" s="192">
        <v>249.32</v>
      </c>
      <c r="J5839" s="192"/>
      <c r="K5839" s="192">
        <v>68.22</v>
      </c>
      <c r="L5839" s="43">
        <v>8.7790987005805921</v>
      </c>
      <c r="M5839" s="43">
        <v>11.5</v>
      </c>
      <c r="N5839" s="43" t="s">
        <v>1690</v>
      </c>
      <c r="O5839" s="43">
        <v>4.7080745341614909</v>
      </c>
      <c r="P5839" s="193"/>
      <c r="Q5839" s="193"/>
      <c r="R5839" s="193">
        <v>2</v>
      </c>
    </row>
    <row r="5840" spans="1:18" ht="24">
      <c r="A5840" s="189">
        <v>705</v>
      </c>
      <c r="B5840" s="186" t="s">
        <v>10693</v>
      </c>
      <c r="C5840" s="190" t="s">
        <v>10694</v>
      </c>
      <c r="D5840" s="191">
        <v>64.510000000000005</v>
      </c>
      <c r="E5840" s="191">
        <v>43.36</v>
      </c>
      <c r="F5840" s="191"/>
      <c r="G5840" s="191">
        <v>21.15</v>
      </c>
      <c r="H5840" s="192">
        <v>601.29</v>
      </c>
      <c r="I5840" s="192">
        <v>498.64</v>
      </c>
      <c r="J5840" s="192"/>
      <c r="K5840" s="192">
        <v>102.65</v>
      </c>
      <c r="L5840" s="43">
        <v>9.3208804836459453</v>
      </c>
      <c r="M5840" s="43">
        <v>11.5</v>
      </c>
      <c r="N5840" s="43" t="s">
        <v>1690</v>
      </c>
      <c r="O5840" s="43">
        <v>4.8534278959810884</v>
      </c>
      <c r="P5840" s="193"/>
      <c r="Q5840" s="193"/>
      <c r="R5840" s="193">
        <v>2</v>
      </c>
    </row>
    <row r="5841" spans="1:18" ht="24">
      <c r="A5841" s="189">
        <v>706</v>
      </c>
      <c r="B5841" s="186" t="s">
        <v>10695</v>
      </c>
      <c r="C5841" s="190" t="s">
        <v>10696</v>
      </c>
      <c r="D5841" s="191">
        <v>75.56</v>
      </c>
      <c r="E5841" s="191">
        <v>54.2</v>
      </c>
      <c r="F5841" s="191"/>
      <c r="G5841" s="191">
        <v>21.36</v>
      </c>
      <c r="H5841" s="192">
        <v>728.36</v>
      </c>
      <c r="I5841" s="192">
        <v>623.29999999999995</v>
      </c>
      <c r="J5841" s="192"/>
      <c r="K5841" s="192">
        <v>105.06</v>
      </c>
      <c r="L5841" s="43">
        <v>9.6394917946003176</v>
      </c>
      <c r="M5841" s="43">
        <v>11.499999999999998</v>
      </c>
      <c r="N5841" s="43" t="s">
        <v>1690</v>
      </c>
      <c r="O5841" s="43">
        <v>4.9185393258426968</v>
      </c>
      <c r="P5841" s="193"/>
      <c r="Q5841" s="193"/>
      <c r="R5841" s="193">
        <v>2</v>
      </c>
    </row>
    <row r="5842" spans="1:18" ht="24">
      <c r="A5842" s="189">
        <v>707</v>
      </c>
      <c r="B5842" s="186" t="s">
        <v>10697</v>
      </c>
      <c r="C5842" s="190" t="s">
        <v>10698</v>
      </c>
      <c r="D5842" s="191">
        <v>18.64</v>
      </c>
      <c r="E5842" s="191">
        <v>10.84</v>
      </c>
      <c r="F5842" s="191"/>
      <c r="G5842" s="191">
        <v>7.8</v>
      </c>
      <c r="H5842" s="192">
        <v>156.72</v>
      </c>
      <c r="I5842" s="192">
        <v>124.66</v>
      </c>
      <c r="J5842" s="192"/>
      <c r="K5842" s="192">
        <v>32.06</v>
      </c>
      <c r="L5842" s="43">
        <v>8.407725321888412</v>
      </c>
      <c r="M5842" s="43">
        <v>11.5</v>
      </c>
      <c r="N5842" s="43" t="s">
        <v>1690</v>
      </c>
      <c r="O5842" s="43">
        <v>4.1102564102564108</v>
      </c>
      <c r="P5842" s="193"/>
      <c r="Q5842" s="193"/>
      <c r="R5842" s="193">
        <v>2</v>
      </c>
    </row>
    <row r="5843" spans="1:18" ht="24">
      <c r="A5843" s="189">
        <v>708</v>
      </c>
      <c r="B5843" s="186" t="s">
        <v>10699</v>
      </c>
      <c r="C5843" s="190" t="s">
        <v>10700</v>
      </c>
      <c r="D5843" s="191">
        <v>62.7</v>
      </c>
      <c r="E5843" s="191">
        <v>57.45</v>
      </c>
      <c r="F5843" s="191"/>
      <c r="G5843" s="191">
        <v>5.25</v>
      </c>
      <c r="H5843" s="192">
        <v>694.6</v>
      </c>
      <c r="I5843" s="192">
        <v>660.7</v>
      </c>
      <c r="J5843" s="192"/>
      <c r="K5843" s="192">
        <v>33.9</v>
      </c>
      <c r="L5843" s="43">
        <v>11.078149920255184</v>
      </c>
      <c r="M5843" s="43">
        <v>11.500435161009573</v>
      </c>
      <c r="N5843" s="43" t="s">
        <v>1690</v>
      </c>
      <c r="O5843" s="43">
        <v>6.4571428571428573</v>
      </c>
      <c r="P5843" s="193"/>
      <c r="Q5843" s="193"/>
      <c r="R5843" s="193">
        <v>2</v>
      </c>
    </row>
    <row r="5844" spans="1:18" ht="24">
      <c r="A5844" s="189">
        <v>709</v>
      </c>
      <c r="B5844" s="186" t="s">
        <v>10701</v>
      </c>
      <c r="C5844" s="190" t="s">
        <v>10702</v>
      </c>
      <c r="D5844" s="191">
        <v>121.94</v>
      </c>
      <c r="E5844" s="191">
        <v>114.9</v>
      </c>
      <c r="F5844" s="191"/>
      <c r="G5844" s="191">
        <v>7.04</v>
      </c>
      <c r="H5844" s="192">
        <v>1377.81</v>
      </c>
      <c r="I5844" s="192">
        <v>1321.4</v>
      </c>
      <c r="J5844" s="192"/>
      <c r="K5844" s="192">
        <v>56.41</v>
      </c>
      <c r="L5844" s="43">
        <v>11.299081515499426</v>
      </c>
      <c r="M5844" s="43">
        <v>11.500435161009573</v>
      </c>
      <c r="N5844" s="43" t="s">
        <v>1690</v>
      </c>
      <c r="O5844" s="43">
        <v>8.0127840909090899</v>
      </c>
      <c r="P5844" s="193"/>
      <c r="Q5844" s="193"/>
      <c r="R5844" s="193">
        <v>2</v>
      </c>
    </row>
    <row r="5845" spans="1:18" ht="24">
      <c r="A5845" s="189">
        <v>710</v>
      </c>
      <c r="B5845" s="186" t="s">
        <v>10703</v>
      </c>
      <c r="C5845" s="190" t="s">
        <v>10704</v>
      </c>
      <c r="D5845" s="191">
        <v>81.5</v>
      </c>
      <c r="E5845" s="191">
        <v>75.88</v>
      </c>
      <c r="F5845" s="191"/>
      <c r="G5845" s="191">
        <v>5.62</v>
      </c>
      <c r="H5845" s="192">
        <v>910.77</v>
      </c>
      <c r="I5845" s="192">
        <v>872.62</v>
      </c>
      <c r="J5845" s="192"/>
      <c r="K5845" s="192">
        <v>38.15</v>
      </c>
      <c r="L5845" s="43">
        <v>11.175092024539877</v>
      </c>
      <c r="M5845" s="43">
        <v>11.5</v>
      </c>
      <c r="N5845" s="43" t="s">
        <v>1690</v>
      </c>
      <c r="O5845" s="43">
        <v>6.7882562277580067</v>
      </c>
      <c r="P5845" s="193"/>
      <c r="Q5845" s="193"/>
      <c r="R5845" s="193">
        <v>2</v>
      </c>
    </row>
    <row r="5846" spans="1:18" ht="24">
      <c r="A5846" s="189">
        <v>711</v>
      </c>
      <c r="B5846" s="186" t="s">
        <v>10705</v>
      </c>
      <c r="C5846" s="190" t="s">
        <v>10706</v>
      </c>
      <c r="D5846" s="191">
        <v>137.41999999999999</v>
      </c>
      <c r="E5846" s="191">
        <v>130.08000000000001</v>
      </c>
      <c r="F5846" s="191"/>
      <c r="G5846" s="191">
        <v>7.34</v>
      </c>
      <c r="H5846" s="192">
        <v>1555.78</v>
      </c>
      <c r="I5846" s="192">
        <v>1495.92</v>
      </c>
      <c r="J5846" s="192"/>
      <c r="K5846" s="192">
        <v>59.86</v>
      </c>
      <c r="L5846" s="43">
        <v>11.321350603987776</v>
      </c>
      <c r="M5846" s="43">
        <v>11.5</v>
      </c>
      <c r="N5846" s="43" t="s">
        <v>1690</v>
      </c>
      <c r="O5846" s="43">
        <v>8.1553133514986378</v>
      </c>
      <c r="P5846" s="193"/>
      <c r="Q5846" s="193"/>
      <c r="R5846" s="193">
        <v>2</v>
      </c>
    </row>
    <row r="5847" spans="1:18" ht="24">
      <c r="A5847" s="189">
        <v>712</v>
      </c>
      <c r="B5847" s="186" t="s">
        <v>10707</v>
      </c>
      <c r="C5847" s="190" t="s">
        <v>10708</v>
      </c>
      <c r="D5847" s="191">
        <v>25.52</v>
      </c>
      <c r="E5847" s="191">
        <v>22.98</v>
      </c>
      <c r="F5847" s="191"/>
      <c r="G5847" s="191">
        <v>2.54</v>
      </c>
      <c r="H5847" s="192">
        <v>277.37</v>
      </c>
      <c r="I5847" s="192">
        <v>264.27999999999997</v>
      </c>
      <c r="J5847" s="192"/>
      <c r="K5847" s="192">
        <v>13.09</v>
      </c>
      <c r="L5847" s="43">
        <v>10.868730407523511</v>
      </c>
      <c r="M5847" s="43">
        <v>11.500435161009571</v>
      </c>
      <c r="N5847" s="43" t="s">
        <v>1690</v>
      </c>
      <c r="O5847" s="43">
        <v>5.1535433070866139</v>
      </c>
      <c r="P5847" s="193"/>
      <c r="Q5847" s="193"/>
      <c r="R5847" s="193">
        <v>2</v>
      </c>
    </row>
    <row r="5848" spans="1:18" ht="12.75" customHeight="1">
      <c r="A5848" s="628" t="s">
        <v>10709</v>
      </c>
      <c r="B5848" s="629"/>
      <c r="C5848" s="629"/>
      <c r="D5848" s="629"/>
      <c r="E5848" s="629"/>
      <c r="F5848" s="629"/>
      <c r="G5848" s="629"/>
      <c r="H5848" s="629"/>
      <c r="I5848" s="629"/>
      <c r="J5848" s="629"/>
      <c r="K5848" s="629"/>
      <c r="L5848" s="629"/>
      <c r="M5848" s="629"/>
      <c r="N5848" s="629"/>
      <c r="O5848" s="629"/>
      <c r="P5848" s="629"/>
      <c r="Q5848" s="629"/>
      <c r="R5848" s="629"/>
    </row>
    <row r="5849" spans="1:18" ht="12.75" customHeight="1">
      <c r="A5849" s="628" t="s">
        <v>10710</v>
      </c>
      <c r="B5849" s="629"/>
      <c r="C5849" s="629"/>
      <c r="D5849" s="629"/>
      <c r="E5849" s="629"/>
      <c r="F5849" s="629"/>
      <c r="G5849" s="629"/>
      <c r="H5849" s="629"/>
      <c r="I5849" s="629"/>
      <c r="J5849" s="629"/>
      <c r="K5849" s="629"/>
      <c r="L5849" s="629"/>
      <c r="M5849" s="629"/>
      <c r="N5849" s="629"/>
      <c r="O5849" s="629"/>
      <c r="P5849" s="629"/>
      <c r="Q5849" s="629"/>
      <c r="R5849" s="629"/>
    </row>
    <row r="5850" spans="1:18" ht="24">
      <c r="A5850" s="189">
        <v>713</v>
      </c>
      <c r="B5850" s="186" t="s">
        <v>10711</v>
      </c>
      <c r="C5850" s="190" t="s">
        <v>10712</v>
      </c>
      <c r="D5850" s="191">
        <v>902.68</v>
      </c>
      <c r="E5850" s="191">
        <v>680.35</v>
      </c>
      <c r="F5850" s="191"/>
      <c r="G5850" s="191">
        <v>222.33</v>
      </c>
      <c r="H5850" s="192">
        <v>8921.98</v>
      </c>
      <c r="I5850" s="192">
        <v>7824.3</v>
      </c>
      <c r="J5850" s="192"/>
      <c r="K5850" s="192">
        <v>1097.68</v>
      </c>
      <c r="L5850" s="43">
        <v>9.8838791155226655</v>
      </c>
      <c r="M5850" s="43">
        <v>11.500404203718674</v>
      </c>
      <c r="N5850" s="43" t="s">
        <v>1690</v>
      </c>
      <c r="O5850" s="43">
        <v>4.9371654747447486</v>
      </c>
      <c r="P5850" s="193"/>
      <c r="Q5850" s="193"/>
      <c r="R5850" s="193">
        <v>1</v>
      </c>
    </row>
    <row r="5851" spans="1:18" ht="24">
      <c r="A5851" s="189">
        <v>714</v>
      </c>
      <c r="B5851" s="186" t="s">
        <v>10713</v>
      </c>
      <c r="C5851" s="190" t="s">
        <v>10714</v>
      </c>
      <c r="D5851" s="191">
        <v>1506.41</v>
      </c>
      <c r="E5851" s="191">
        <v>1187.52</v>
      </c>
      <c r="F5851" s="191"/>
      <c r="G5851" s="191">
        <v>318.89</v>
      </c>
      <c r="H5851" s="192">
        <v>15214.04</v>
      </c>
      <c r="I5851" s="192">
        <v>13656.96</v>
      </c>
      <c r="J5851" s="192"/>
      <c r="K5851" s="192">
        <v>1557.08</v>
      </c>
      <c r="L5851" s="43">
        <v>10.099534655239941</v>
      </c>
      <c r="M5851" s="43">
        <v>11.500404203718674</v>
      </c>
      <c r="N5851" s="43" t="s">
        <v>1690</v>
      </c>
      <c r="O5851" s="43">
        <v>4.8828122550095641</v>
      </c>
      <c r="P5851" s="193"/>
      <c r="Q5851" s="193"/>
      <c r="R5851" s="193">
        <v>1</v>
      </c>
    </row>
    <row r="5852" spans="1:18" ht="24">
      <c r="A5852" s="189">
        <v>715</v>
      </c>
      <c r="B5852" s="186" t="s">
        <v>10715</v>
      </c>
      <c r="C5852" s="190" t="s">
        <v>10716</v>
      </c>
      <c r="D5852" s="191">
        <v>300.83999999999997</v>
      </c>
      <c r="E5852" s="191">
        <v>238.48</v>
      </c>
      <c r="F5852" s="191"/>
      <c r="G5852" s="191">
        <v>62.36</v>
      </c>
      <c r="H5852" s="192">
        <v>3016.25</v>
      </c>
      <c r="I5852" s="192">
        <v>2742.52</v>
      </c>
      <c r="J5852" s="192"/>
      <c r="K5852" s="192">
        <v>273.73</v>
      </c>
      <c r="L5852" s="43">
        <v>10.026093604573861</v>
      </c>
      <c r="M5852" s="43">
        <v>11.5</v>
      </c>
      <c r="N5852" s="43" t="s">
        <v>1690</v>
      </c>
      <c r="O5852" s="43">
        <v>4.3895125080179609</v>
      </c>
      <c r="P5852" s="193"/>
      <c r="Q5852" s="193"/>
      <c r="R5852" s="193">
        <v>1</v>
      </c>
    </row>
    <row r="5853" spans="1:18" ht="24">
      <c r="A5853" s="189">
        <v>716</v>
      </c>
      <c r="B5853" s="186" t="s">
        <v>10717</v>
      </c>
      <c r="C5853" s="190" t="s">
        <v>10718</v>
      </c>
      <c r="D5853" s="191">
        <v>531.62</v>
      </c>
      <c r="E5853" s="191">
        <v>422.76</v>
      </c>
      <c r="F5853" s="191"/>
      <c r="G5853" s="191">
        <v>108.86</v>
      </c>
      <c r="H5853" s="192">
        <v>5378.08</v>
      </c>
      <c r="I5853" s="192">
        <v>4861.74</v>
      </c>
      <c r="J5853" s="192"/>
      <c r="K5853" s="192">
        <v>516.34</v>
      </c>
      <c r="L5853" s="43">
        <v>10.116398931567661</v>
      </c>
      <c r="M5853" s="43">
        <v>11.5</v>
      </c>
      <c r="N5853" s="43" t="s">
        <v>1690</v>
      </c>
      <c r="O5853" s="43">
        <v>4.7431563476024259</v>
      </c>
      <c r="P5853" s="193"/>
      <c r="Q5853" s="193"/>
      <c r="R5853" s="193">
        <v>1</v>
      </c>
    </row>
    <row r="5854" spans="1:18" ht="24">
      <c r="A5854" s="189">
        <v>717</v>
      </c>
      <c r="B5854" s="186" t="s">
        <v>10719</v>
      </c>
      <c r="C5854" s="190" t="s">
        <v>10720</v>
      </c>
      <c r="D5854" s="191">
        <v>646.24</v>
      </c>
      <c r="E5854" s="191">
        <v>455.28</v>
      </c>
      <c r="F5854" s="191"/>
      <c r="G5854" s="191">
        <v>190.96</v>
      </c>
      <c r="H5854" s="192">
        <v>6029.51</v>
      </c>
      <c r="I5854" s="192">
        <v>5235.72</v>
      </c>
      <c r="J5854" s="192"/>
      <c r="K5854" s="192">
        <v>793.79</v>
      </c>
      <c r="L5854" s="43">
        <v>9.330140505075514</v>
      </c>
      <c r="M5854" s="43">
        <v>11.500000000000002</v>
      </c>
      <c r="N5854" s="43" t="s">
        <v>1690</v>
      </c>
      <c r="O5854" s="43">
        <v>4.1568391286133215</v>
      </c>
      <c r="P5854" s="193"/>
      <c r="Q5854" s="193"/>
      <c r="R5854" s="193">
        <v>1</v>
      </c>
    </row>
    <row r="5855" spans="1:18" ht="36">
      <c r="A5855" s="189">
        <v>718</v>
      </c>
      <c r="B5855" s="186" t="s">
        <v>10721</v>
      </c>
      <c r="C5855" s="190" t="s">
        <v>10722</v>
      </c>
      <c r="D5855" s="191">
        <v>640.86</v>
      </c>
      <c r="E5855" s="191">
        <v>379.17</v>
      </c>
      <c r="F5855" s="191"/>
      <c r="G5855" s="191">
        <v>261.69</v>
      </c>
      <c r="H5855" s="192">
        <v>5475.72</v>
      </c>
      <c r="I5855" s="192">
        <v>4360.62</v>
      </c>
      <c r="J5855" s="192"/>
      <c r="K5855" s="192">
        <v>1115.0999999999999</v>
      </c>
      <c r="L5855" s="43">
        <v>8.5443310551446494</v>
      </c>
      <c r="M5855" s="43">
        <v>11.500435161009573</v>
      </c>
      <c r="N5855" s="43" t="s">
        <v>1690</v>
      </c>
      <c r="O5855" s="43">
        <v>4.2611486873781956</v>
      </c>
      <c r="P5855" s="193"/>
      <c r="Q5855" s="193"/>
      <c r="R5855" s="193">
        <v>1</v>
      </c>
    </row>
    <row r="5856" spans="1:18" ht="36">
      <c r="A5856" s="189">
        <v>719</v>
      </c>
      <c r="B5856" s="186" t="s">
        <v>10723</v>
      </c>
      <c r="C5856" s="190" t="s">
        <v>10724</v>
      </c>
      <c r="D5856" s="191">
        <v>878.77</v>
      </c>
      <c r="E5856" s="191">
        <v>563.01</v>
      </c>
      <c r="F5856" s="191"/>
      <c r="G5856" s="191">
        <v>315.76</v>
      </c>
      <c r="H5856" s="192">
        <v>7857.75</v>
      </c>
      <c r="I5856" s="192">
        <v>6474.86</v>
      </c>
      <c r="J5856" s="192"/>
      <c r="K5856" s="192">
        <v>1382.89</v>
      </c>
      <c r="L5856" s="43">
        <v>8.9417595047623379</v>
      </c>
      <c r="M5856" s="43">
        <v>11.500435161009573</v>
      </c>
      <c r="N5856" s="43" t="s">
        <v>1690</v>
      </c>
      <c r="O5856" s="43">
        <v>4.3795604256397267</v>
      </c>
      <c r="P5856" s="193"/>
      <c r="Q5856" s="193"/>
      <c r="R5856" s="193">
        <v>1</v>
      </c>
    </row>
    <row r="5857" spans="1:18" ht="36">
      <c r="A5857" s="189">
        <v>720</v>
      </c>
      <c r="B5857" s="186" t="s">
        <v>10725</v>
      </c>
      <c r="C5857" s="190" t="s">
        <v>10726</v>
      </c>
      <c r="D5857" s="191">
        <v>265.08999999999997</v>
      </c>
      <c r="E5857" s="191">
        <v>140.91999999999999</v>
      </c>
      <c r="F5857" s="191"/>
      <c r="G5857" s="191">
        <v>124.17</v>
      </c>
      <c r="H5857" s="192">
        <v>2121.8000000000002</v>
      </c>
      <c r="I5857" s="192">
        <v>1620.58</v>
      </c>
      <c r="J5857" s="192"/>
      <c r="K5857" s="192">
        <v>501.22</v>
      </c>
      <c r="L5857" s="43">
        <v>8.0040740880455701</v>
      </c>
      <c r="M5857" s="43">
        <v>11.5</v>
      </c>
      <c r="N5857" s="43" t="s">
        <v>1690</v>
      </c>
      <c r="O5857" s="43">
        <v>4.0365627768382062</v>
      </c>
      <c r="P5857" s="193"/>
      <c r="Q5857" s="193"/>
      <c r="R5857" s="193">
        <v>1</v>
      </c>
    </row>
    <row r="5858" spans="1:18" ht="36">
      <c r="A5858" s="189">
        <v>721</v>
      </c>
      <c r="B5858" s="186" t="s">
        <v>10727</v>
      </c>
      <c r="C5858" s="190" t="s">
        <v>10728</v>
      </c>
      <c r="D5858" s="191">
        <v>468.75</v>
      </c>
      <c r="E5858" s="191">
        <v>287.25</v>
      </c>
      <c r="F5858" s="191"/>
      <c r="G5858" s="191">
        <v>181.5</v>
      </c>
      <c r="H5858" s="192">
        <v>4092.83</v>
      </c>
      <c r="I5858" s="192">
        <v>3303.5</v>
      </c>
      <c r="J5858" s="192"/>
      <c r="K5858" s="192">
        <v>789.33</v>
      </c>
      <c r="L5858" s="43">
        <v>8.7313706666666668</v>
      </c>
      <c r="M5858" s="43">
        <v>11.500435161009573</v>
      </c>
      <c r="N5858" s="43" t="s">
        <v>1690</v>
      </c>
      <c r="O5858" s="43">
        <v>4.348925619834711</v>
      </c>
      <c r="P5858" s="193"/>
      <c r="Q5858" s="193"/>
      <c r="R5858" s="193">
        <v>1</v>
      </c>
    </row>
    <row r="5859" spans="1:18" ht="36">
      <c r="A5859" s="189">
        <v>722</v>
      </c>
      <c r="B5859" s="186" t="s">
        <v>10729</v>
      </c>
      <c r="C5859" s="190" t="s">
        <v>10730</v>
      </c>
      <c r="D5859" s="191">
        <v>606.07000000000005</v>
      </c>
      <c r="E5859" s="191">
        <v>367.68</v>
      </c>
      <c r="F5859" s="191"/>
      <c r="G5859" s="191">
        <v>238.39</v>
      </c>
      <c r="H5859" s="192">
        <v>5271.94</v>
      </c>
      <c r="I5859" s="192">
        <v>4228.4799999999996</v>
      </c>
      <c r="J5859" s="192"/>
      <c r="K5859" s="192">
        <v>1043.46</v>
      </c>
      <c r="L5859" s="43">
        <v>8.6985661722243286</v>
      </c>
      <c r="M5859" s="43">
        <v>11.500435161009571</v>
      </c>
      <c r="N5859" s="43" t="s">
        <v>1690</v>
      </c>
      <c r="O5859" s="43">
        <v>4.3771131339401821</v>
      </c>
      <c r="P5859" s="193"/>
      <c r="Q5859" s="193"/>
      <c r="R5859" s="193">
        <v>1</v>
      </c>
    </row>
    <row r="5860" spans="1:18" ht="24">
      <c r="A5860" s="189">
        <v>723</v>
      </c>
      <c r="B5860" s="186" t="s">
        <v>10731</v>
      </c>
      <c r="C5860" s="190" t="s">
        <v>10732</v>
      </c>
      <c r="D5860" s="191">
        <v>57.33</v>
      </c>
      <c r="E5860" s="191">
        <v>37.11</v>
      </c>
      <c r="F5860" s="191"/>
      <c r="G5860" s="191">
        <v>20.22</v>
      </c>
      <c r="H5860" s="192">
        <v>534.61</v>
      </c>
      <c r="I5860" s="192">
        <v>426.78</v>
      </c>
      <c r="J5860" s="192"/>
      <c r="K5860" s="192">
        <v>107.83</v>
      </c>
      <c r="L5860" s="43">
        <v>9.3251351822780393</v>
      </c>
      <c r="M5860" s="43">
        <v>11.500404203718674</v>
      </c>
      <c r="N5860" s="43" t="s">
        <v>1690</v>
      </c>
      <c r="O5860" s="43">
        <v>5.3328387734915923</v>
      </c>
      <c r="P5860" s="193"/>
      <c r="Q5860" s="193"/>
      <c r="R5860" s="193">
        <v>1</v>
      </c>
    </row>
    <row r="5861" spans="1:18" ht="24">
      <c r="A5861" s="189">
        <v>724</v>
      </c>
      <c r="B5861" s="186" t="s">
        <v>10733</v>
      </c>
      <c r="C5861" s="190" t="s">
        <v>10734</v>
      </c>
      <c r="D5861" s="191">
        <v>201.13</v>
      </c>
      <c r="E5861" s="191">
        <v>126.39</v>
      </c>
      <c r="F5861" s="191"/>
      <c r="G5861" s="191">
        <v>74.739999999999995</v>
      </c>
      <c r="H5861" s="192">
        <v>1766.22</v>
      </c>
      <c r="I5861" s="192">
        <v>1453.54</v>
      </c>
      <c r="J5861" s="192"/>
      <c r="K5861" s="192">
        <v>312.68</v>
      </c>
      <c r="L5861" s="43">
        <v>8.7814846119425258</v>
      </c>
      <c r="M5861" s="43">
        <v>11.500435161009573</v>
      </c>
      <c r="N5861" s="43" t="s">
        <v>1690</v>
      </c>
      <c r="O5861" s="43">
        <v>4.1835697083221843</v>
      </c>
      <c r="P5861" s="193"/>
      <c r="Q5861" s="193"/>
      <c r="R5861" s="193">
        <v>1</v>
      </c>
    </row>
    <row r="5862" spans="1:18" ht="24">
      <c r="A5862" s="189">
        <v>725</v>
      </c>
      <c r="B5862" s="186" t="s">
        <v>10735</v>
      </c>
      <c r="C5862" s="190" t="s">
        <v>10736</v>
      </c>
      <c r="D5862" s="191">
        <v>120.36</v>
      </c>
      <c r="E5862" s="191">
        <v>80.430000000000007</v>
      </c>
      <c r="F5862" s="191"/>
      <c r="G5862" s="191">
        <v>39.93</v>
      </c>
      <c r="H5862" s="192">
        <v>1106.3900000000001</v>
      </c>
      <c r="I5862" s="192">
        <v>924.98</v>
      </c>
      <c r="J5862" s="192"/>
      <c r="K5862" s="192">
        <v>181.41</v>
      </c>
      <c r="L5862" s="43">
        <v>9.1923396477234967</v>
      </c>
      <c r="M5862" s="43">
        <v>11.500435161009573</v>
      </c>
      <c r="N5862" s="43" t="s">
        <v>1690</v>
      </c>
      <c r="O5862" s="43">
        <v>4.5432006010518409</v>
      </c>
      <c r="P5862" s="193"/>
      <c r="Q5862" s="193"/>
      <c r="R5862" s="193">
        <v>1</v>
      </c>
    </row>
    <row r="5863" spans="1:18" ht="48">
      <c r="A5863" s="189">
        <v>726</v>
      </c>
      <c r="B5863" s="186" t="s">
        <v>10737</v>
      </c>
      <c r="C5863" s="190" t="s">
        <v>10738</v>
      </c>
      <c r="D5863" s="191">
        <v>1692.92</v>
      </c>
      <c r="E5863" s="191">
        <v>1224.92</v>
      </c>
      <c r="F5863" s="191"/>
      <c r="G5863" s="191">
        <v>468</v>
      </c>
      <c r="H5863" s="192">
        <v>16272.21</v>
      </c>
      <c r="I5863" s="192">
        <v>14086.58</v>
      </c>
      <c r="J5863" s="192"/>
      <c r="K5863" s="192">
        <v>2185.63</v>
      </c>
      <c r="L5863" s="43">
        <v>9.6119190511069625</v>
      </c>
      <c r="M5863" s="43">
        <v>11.5</v>
      </c>
      <c r="N5863" s="43" t="s">
        <v>1690</v>
      </c>
      <c r="O5863" s="43">
        <v>4.6701495726495725</v>
      </c>
      <c r="P5863" s="193"/>
      <c r="Q5863" s="193"/>
      <c r="R5863" s="193">
        <v>1</v>
      </c>
    </row>
    <row r="5864" spans="1:18" ht="60">
      <c r="A5864" s="189">
        <v>727</v>
      </c>
      <c r="B5864" s="186" t="s">
        <v>10739</v>
      </c>
      <c r="C5864" s="190" t="s">
        <v>10740</v>
      </c>
      <c r="D5864" s="191">
        <v>3737.41</v>
      </c>
      <c r="E5864" s="191">
        <v>2677.17</v>
      </c>
      <c r="F5864" s="191"/>
      <c r="G5864" s="191">
        <v>1060.24</v>
      </c>
      <c r="H5864" s="192">
        <v>35608.19</v>
      </c>
      <c r="I5864" s="192">
        <v>30788.62</v>
      </c>
      <c r="J5864" s="192"/>
      <c r="K5864" s="192">
        <v>4819.57</v>
      </c>
      <c r="L5864" s="43">
        <v>9.5275043412416629</v>
      </c>
      <c r="M5864" s="43">
        <v>11.500435161009573</v>
      </c>
      <c r="N5864" s="43" t="s">
        <v>1690</v>
      </c>
      <c r="O5864" s="43">
        <v>4.5457349279408437</v>
      </c>
      <c r="P5864" s="193"/>
      <c r="Q5864" s="193"/>
      <c r="R5864" s="193">
        <v>1</v>
      </c>
    </row>
    <row r="5865" spans="1:18" ht="84">
      <c r="A5865" s="189">
        <v>728</v>
      </c>
      <c r="B5865" s="186" t="s">
        <v>10741</v>
      </c>
      <c r="C5865" s="190" t="s">
        <v>10742</v>
      </c>
      <c r="D5865" s="191">
        <v>10101.219999999999</v>
      </c>
      <c r="E5865" s="191">
        <v>5963.31</v>
      </c>
      <c r="F5865" s="191"/>
      <c r="G5865" s="191">
        <v>4137.91</v>
      </c>
      <c r="H5865" s="192">
        <v>87655.67</v>
      </c>
      <c r="I5865" s="192">
        <v>68580.66</v>
      </c>
      <c r="J5865" s="192"/>
      <c r="K5865" s="192">
        <v>19075.009999999998</v>
      </c>
      <c r="L5865" s="43">
        <v>8.6777310067496796</v>
      </c>
      <c r="M5865" s="43">
        <v>11.500435161009573</v>
      </c>
      <c r="N5865" s="43" t="s">
        <v>1690</v>
      </c>
      <c r="O5865" s="43">
        <v>4.6098175165723756</v>
      </c>
      <c r="P5865" s="193"/>
      <c r="Q5865" s="193"/>
      <c r="R5865" s="193">
        <v>1</v>
      </c>
    </row>
    <row r="5866" spans="1:18" ht="12.75" customHeight="1">
      <c r="A5866" s="628" t="s">
        <v>10743</v>
      </c>
      <c r="B5866" s="629"/>
      <c r="C5866" s="629"/>
      <c r="D5866" s="629"/>
      <c r="E5866" s="629"/>
      <c r="F5866" s="629"/>
      <c r="G5866" s="629"/>
      <c r="H5866" s="629"/>
      <c r="I5866" s="629"/>
      <c r="J5866" s="629"/>
      <c r="K5866" s="629"/>
      <c r="L5866" s="629"/>
      <c r="M5866" s="629"/>
      <c r="N5866" s="629"/>
      <c r="O5866" s="629"/>
      <c r="P5866" s="629"/>
      <c r="Q5866" s="629"/>
      <c r="R5866" s="629"/>
    </row>
    <row r="5867" spans="1:18" ht="36">
      <c r="A5867" s="189">
        <v>729</v>
      </c>
      <c r="B5867" s="186" t="s">
        <v>10744</v>
      </c>
      <c r="C5867" s="190" t="s">
        <v>10745</v>
      </c>
      <c r="D5867" s="191">
        <v>77.72</v>
      </c>
      <c r="E5867" s="191">
        <v>57.45</v>
      </c>
      <c r="F5867" s="191"/>
      <c r="G5867" s="191">
        <v>20.27</v>
      </c>
      <c r="H5867" s="192">
        <v>763.74</v>
      </c>
      <c r="I5867" s="192">
        <v>660.7</v>
      </c>
      <c r="J5867" s="192"/>
      <c r="K5867" s="192">
        <v>103.04</v>
      </c>
      <c r="L5867" s="43">
        <v>9.8268142048378806</v>
      </c>
      <c r="M5867" s="43">
        <v>11.500435161009573</v>
      </c>
      <c r="N5867" s="43" t="s">
        <v>1690</v>
      </c>
      <c r="O5867" s="43">
        <v>5.0833744449926002</v>
      </c>
      <c r="P5867" s="193"/>
      <c r="Q5867" s="193"/>
      <c r="R5867" s="193">
        <v>2</v>
      </c>
    </row>
    <row r="5868" spans="1:18" ht="36">
      <c r="A5868" s="189">
        <v>730</v>
      </c>
      <c r="B5868" s="186" t="s">
        <v>10746</v>
      </c>
      <c r="C5868" s="190" t="s">
        <v>10747</v>
      </c>
      <c r="D5868" s="191">
        <v>418.42</v>
      </c>
      <c r="E5868" s="191">
        <v>321.72000000000003</v>
      </c>
      <c r="F5868" s="191"/>
      <c r="G5868" s="191">
        <v>96.7</v>
      </c>
      <c r="H5868" s="192">
        <v>4215.03</v>
      </c>
      <c r="I5868" s="192">
        <v>3699.92</v>
      </c>
      <c r="J5868" s="192"/>
      <c r="K5868" s="192">
        <v>515.11</v>
      </c>
      <c r="L5868" s="43">
        <v>10.073681946369675</v>
      </c>
      <c r="M5868" s="43">
        <v>11.500435161009573</v>
      </c>
      <c r="N5868" s="43" t="s">
        <v>1690</v>
      </c>
      <c r="O5868" s="43">
        <v>5.3268872802481901</v>
      </c>
      <c r="P5868" s="193"/>
      <c r="Q5868" s="193"/>
      <c r="R5868" s="193">
        <v>2</v>
      </c>
    </row>
    <row r="5869" spans="1:18" ht="36">
      <c r="A5869" s="189">
        <v>731</v>
      </c>
      <c r="B5869" s="186" t="s">
        <v>10748</v>
      </c>
      <c r="C5869" s="190" t="s">
        <v>10749</v>
      </c>
      <c r="D5869" s="191">
        <v>527.33000000000004</v>
      </c>
      <c r="E5869" s="191">
        <v>390.66</v>
      </c>
      <c r="F5869" s="191"/>
      <c r="G5869" s="191">
        <v>136.66999999999999</v>
      </c>
      <c r="H5869" s="192">
        <v>5206.09</v>
      </c>
      <c r="I5869" s="192">
        <v>4492.76</v>
      </c>
      <c r="J5869" s="192"/>
      <c r="K5869" s="192">
        <v>713.33</v>
      </c>
      <c r="L5869" s="43">
        <v>9.8725466026966036</v>
      </c>
      <c r="M5869" s="43">
        <v>11.500435161009573</v>
      </c>
      <c r="N5869" s="43" t="s">
        <v>1690</v>
      </c>
      <c r="O5869" s="43">
        <v>5.2193605034023571</v>
      </c>
      <c r="P5869" s="193"/>
      <c r="Q5869" s="193"/>
      <c r="R5869" s="193">
        <v>2</v>
      </c>
    </row>
    <row r="5870" spans="1:18" ht="36">
      <c r="A5870" s="189">
        <v>732</v>
      </c>
      <c r="B5870" s="186" t="s">
        <v>10750</v>
      </c>
      <c r="C5870" s="190" t="s">
        <v>10751</v>
      </c>
      <c r="D5870" s="191">
        <v>731.43</v>
      </c>
      <c r="E5870" s="191">
        <v>448.11</v>
      </c>
      <c r="F5870" s="191"/>
      <c r="G5870" s="191">
        <v>283.32</v>
      </c>
      <c r="H5870" s="192">
        <v>6471.14</v>
      </c>
      <c r="I5870" s="192">
        <v>5153.46</v>
      </c>
      <c r="J5870" s="192"/>
      <c r="K5870" s="192">
        <v>1317.68</v>
      </c>
      <c r="L5870" s="43">
        <v>8.8472444389757054</v>
      </c>
      <c r="M5870" s="43">
        <v>11.500435161009573</v>
      </c>
      <c r="N5870" s="43" t="s">
        <v>1690</v>
      </c>
      <c r="O5870" s="43">
        <v>4.6508541578427227</v>
      </c>
      <c r="P5870" s="193"/>
      <c r="Q5870" s="193"/>
      <c r="R5870" s="193">
        <v>2</v>
      </c>
    </row>
    <row r="5871" spans="1:18" ht="36">
      <c r="A5871" s="189">
        <v>733</v>
      </c>
      <c r="B5871" s="186" t="s">
        <v>10752</v>
      </c>
      <c r="C5871" s="190" t="s">
        <v>10753</v>
      </c>
      <c r="D5871" s="191">
        <v>939.64</v>
      </c>
      <c r="E5871" s="191">
        <v>585.99</v>
      </c>
      <c r="F5871" s="191"/>
      <c r="G5871" s="191">
        <v>353.65</v>
      </c>
      <c r="H5871" s="192">
        <v>8378.32</v>
      </c>
      <c r="I5871" s="192">
        <v>6739.14</v>
      </c>
      <c r="J5871" s="192"/>
      <c r="K5871" s="192">
        <v>1639.18</v>
      </c>
      <c r="L5871" s="43">
        <v>8.9165212208931077</v>
      </c>
      <c r="M5871" s="43">
        <v>11.500435161009573</v>
      </c>
      <c r="N5871" s="43" t="s">
        <v>1690</v>
      </c>
      <c r="O5871" s="43">
        <v>4.6350346387671433</v>
      </c>
      <c r="P5871" s="193"/>
      <c r="Q5871" s="193"/>
      <c r="R5871" s="193">
        <v>2</v>
      </c>
    </row>
    <row r="5872" spans="1:18" ht="36">
      <c r="A5872" s="189">
        <v>734</v>
      </c>
      <c r="B5872" s="186" t="s">
        <v>10754</v>
      </c>
      <c r="C5872" s="190" t="s">
        <v>10755</v>
      </c>
      <c r="D5872" s="191">
        <v>1354.51</v>
      </c>
      <c r="E5872" s="191">
        <v>896.22</v>
      </c>
      <c r="F5872" s="191"/>
      <c r="G5872" s="191">
        <v>458.29</v>
      </c>
      <c r="H5872" s="192">
        <v>12482.69</v>
      </c>
      <c r="I5872" s="192">
        <v>10306.92</v>
      </c>
      <c r="J5872" s="192"/>
      <c r="K5872" s="192">
        <v>2175.77</v>
      </c>
      <c r="L5872" s="43">
        <v>9.2156499398306408</v>
      </c>
      <c r="M5872" s="43">
        <v>11.500435161009573</v>
      </c>
      <c r="N5872" s="43" t="s">
        <v>1690</v>
      </c>
      <c r="O5872" s="43">
        <v>4.7475834078858359</v>
      </c>
      <c r="P5872" s="193"/>
      <c r="Q5872" s="193"/>
      <c r="R5872" s="193">
        <v>2</v>
      </c>
    </row>
    <row r="5873" spans="1:18" ht="24">
      <c r="A5873" s="189">
        <v>735</v>
      </c>
      <c r="B5873" s="186" t="s">
        <v>10756</v>
      </c>
      <c r="C5873" s="190" t="s">
        <v>10757</v>
      </c>
      <c r="D5873" s="191">
        <v>80.42</v>
      </c>
      <c r="E5873" s="191">
        <v>49.48</v>
      </c>
      <c r="F5873" s="191"/>
      <c r="G5873" s="191">
        <v>30.94</v>
      </c>
      <c r="H5873" s="192">
        <v>709.38</v>
      </c>
      <c r="I5873" s="192">
        <v>569.04</v>
      </c>
      <c r="J5873" s="192"/>
      <c r="K5873" s="192">
        <v>140.34</v>
      </c>
      <c r="L5873" s="43">
        <v>8.8209400646605314</v>
      </c>
      <c r="M5873" s="43">
        <v>11.500404203718674</v>
      </c>
      <c r="N5873" s="43" t="s">
        <v>1690</v>
      </c>
      <c r="O5873" s="43">
        <v>4.5358758888170652</v>
      </c>
      <c r="P5873" s="193"/>
      <c r="Q5873" s="193"/>
      <c r="R5873" s="193">
        <v>2</v>
      </c>
    </row>
    <row r="5874" spans="1:18" ht="24">
      <c r="A5874" s="189">
        <v>736</v>
      </c>
      <c r="B5874" s="186" t="s">
        <v>10758</v>
      </c>
      <c r="C5874" s="190" t="s">
        <v>10759</v>
      </c>
      <c r="D5874" s="191">
        <v>113.67</v>
      </c>
      <c r="E5874" s="191">
        <v>57.45</v>
      </c>
      <c r="F5874" s="191"/>
      <c r="G5874" s="191">
        <v>56.22</v>
      </c>
      <c r="H5874" s="192">
        <v>907.23</v>
      </c>
      <c r="I5874" s="192">
        <v>660.7</v>
      </c>
      <c r="J5874" s="192"/>
      <c r="K5874" s="192">
        <v>246.53</v>
      </c>
      <c r="L5874" s="43">
        <v>7.9812615465822114</v>
      </c>
      <c r="M5874" s="43">
        <v>11.500435161009573</v>
      </c>
      <c r="N5874" s="43" t="s">
        <v>1690</v>
      </c>
      <c r="O5874" s="43">
        <v>4.3850942725008899</v>
      </c>
      <c r="P5874" s="193"/>
      <c r="Q5874" s="193"/>
      <c r="R5874" s="193">
        <v>2</v>
      </c>
    </row>
    <row r="5875" spans="1:18" ht="24">
      <c r="A5875" s="189">
        <v>737</v>
      </c>
      <c r="B5875" s="186" t="s">
        <v>10760</v>
      </c>
      <c r="C5875" s="190" t="s">
        <v>10761</v>
      </c>
      <c r="D5875" s="191">
        <v>184.95</v>
      </c>
      <c r="E5875" s="191">
        <v>80.430000000000007</v>
      </c>
      <c r="F5875" s="191"/>
      <c r="G5875" s="191">
        <v>104.52</v>
      </c>
      <c r="H5875" s="192">
        <v>1369.64</v>
      </c>
      <c r="I5875" s="192">
        <v>924.98</v>
      </c>
      <c r="J5875" s="192"/>
      <c r="K5875" s="192">
        <v>444.66</v>
      </c>
      <c r="L5875" s="43">
        <v>7.4054609353879437</v>
      </c>
      <c r="M5875" s="43">
        <v>11.500435161009573</v>
      </c>
      <c r="N5875" s="43" t="s">
        <v>1690</v>
      </c>
      <c r="O5875" s="43">
        <v>4.2543053960964414</v>
      </c>
      <c r="P5875" s="193"/>
      <c r="Q5875" s="193"/>
      <c r="R5875" s="193">
        <v>2</v>
      </c>
    </row>
    <row r="5876" spans="1:18" ht="24">
      <c r="A5876" s="189">
        <v>738</v>
      </c>
      <c r="B5876" s="186" t="s">
        <v>10762</v>
      </c>
      <c r="C5876" s="190" t="s">
        <v>10763</v>
      </c>
      <c r="D5876" s="191">
        <v>296.95</v>
      </c>
      <c r="E5876" s="191">
        <v>103.41</v>
      </c>
      <c r="F5876" s="191"/>
      <c r="G5876" s="191">
        <v>193.54</v>
      </c>
      <c r="H5876" s="192">
        <v>1980.15</v>
      </c>
      <c r="I5876" s="192">
        <v>1189.26</v>
      </c>
      <c r="J5876" s="192"/>
      <c r="K5876" s="192">
        <v>790.89</v>
      </c>
      <c r="L5876" s="43">
        <v>6.6682943256440481</v>
      </c>
      <c r="M5876" s="43">
        <v>11.500435161009573</v>
      </c>
      <c r="N5876" s="43" t="s">
        <v>1690</v>
      </c>
      <c r="O5876" s="43">
        <v>4.0864420791567637</v>
      </c>
      <c r="P5876" s="193"/>
      <c r="Q5876" s="193"/>
      <c r="R5876" s="193">
        <v>2</v>
      </c>
    </row>
    <row r="5877" spans="1:18" ht="24">
      <c r="A5877" s="189">
        <v>739</v>
      </c>
      <c r="B5877" s="186" t="s">
        <v>10764</v>
      </c>
      <c r="C5877" s="190" t="s">
        <v>10765</v>
      </c>
      <c r="D5877" s="191">
        <v>251.66</v>
      </c>
      <c r="E5877" s="191">
        <v>149.37</v>
      </c>
      <c r="F5877" s="191"/>
      <c r="G5877" s="191">
        <v>102.29</v>
      </c>
      <c r="H5877" s="192">
        <v>2172.1999999999998</v>
      </c>
      <c r="I5877" s="192">
        <v>1717.82</v>
      </c>
      <c r="J5877" s="192"/>
      <c r="K5877" s="192">
        <v>454.38</v>
      </c>
      <c r="L5877" s="43">
        <v>8.6314869268060068</v>
      </c>
      <c r="M5877" s="43">
        <v>11.500435161009573</v>
      </c>
      <c r="N5877" s="43" t="s">
        <v>1690</v>
      </c>
      <c r="O5877" s="43">
        <v>4.4420764493107825</v>
      </c>
      <c r="P5877" s="193"/>
      <c r="Q5877" s="193"/>
      <c r="R5877" s="193">
        <v>2</v>
      </c>
    </row>
    <row r="5878" spans="1:18" ht="24">
      <c r="A5878" s="189">
        <v>740</v>
      </c>
      <c r="B5878" s="186" t="s">
        <v>10766</v>
      </c>
      <c r="C5878" s="190" t="s">
        <v>10767</v>
      </c>
      <c r="D5878" s="191">
        <v>456.95</v>
      </c>
      <c r="E5878" s="191">
        <v>264.27</v>
      </c>
      <c r="F5878" s="191"/>
      <c r="G5878" s="191">
        <v>192.68</v>
      </c>
      <c r="H5878" s="192">
        <v>3864.45</v>
      </c>
      <c r="I5878" s="192">
        <v>3039.22</v>
      </c>
      <c r="J5878" s="192"/>
      <c r="K5878" s="192">
        <v>825.23</v>
      </c>
      <c r="L5878" s="43">
        <v>8.4570521938942989</v>
      </c>
      <c r="M5878" s="43">
        <v>11.500435161009573</v>
      </c>
      <c r="N5878" s="43" t="s">
        <v>1690</v>
      </c>
      <c r="O5878" s="43">
        <v>4.2829042972804654</v>
      </c>
      <c r="P5878" s="193"/>
      <c r="Q5878" s="193"/>
      <c r="R5878" s="193">
        <v>2</v>
      </c>
    </row>
    <row r="5879" spans="1:18" ht="24">
      <c r="A5879" s="189">
        <v>741</v>
      </c>
      <c r="B5879" s="186" t="s">
        <v>10768</v>
      </c>
      <c r="C5879" s="190" t="s">
        <v>10769</v>
      </c>
      <c r="D5879" s="191">
        <v>614.01</v>
      </c>
      <c r="E5879" s="191">
        <v>367.68</v>
      </c>
      <c r="F5879" s="191"/>
      <c r="G5879" s="191">
        <v>246.33</v>
      </c>
      <c r="H5879" s="192">
        <v>5270.88</v>
      </c>
      <c r="I5879" s="192">
        <v>4228.4799999999996</v>
      </c>
      <c r="J5879" s="192"/>
      <c r="K5879" s="192">
        <v>1042.4000000000001</v>
      </c>
      <c r="L5879" s="43">
        <v>8.5843553036595495</v>
      </c>
      <c r="M5879" s="43">
        <v>11.500435161009571</v>
      </c>
      <c r="N5879" s="43" t="s">
        <v>1690</v>
      </c>
      <c r="O5879" s="43">
        <v>4.2317216741769172</v>
      </c>
      <c r="P5879" s="193"/>
      <c r="Q5879" s="193"/>
      <c r="R5879" s="193">
        <v>2</v>
      </c>
    </row>
    <row r="5880" spans="1:18" ht="24">
      <c r="A5880" s="189">
        <v>742</v>
      </c>
      <c r="B5880" s="186" t="s">
        <v>10770</v>
      </c>
      <c r="C5880" s="190" t="s">
        <v>10771</v>
      </c>
      <c r="D5880" s="191">
        <v>778.17</v>
      </c>
      <c r="E5880" s="191">
        <v>448.11</v>
      </c>
      <c r="F5880" s="191"/>
      <c r="G5880" s="191">
        <v>330.06</v>
      </c>
      <c r="H5880" s="192">
        <v>6533.4</v>
      </c>
      <c r="I5880" s="192">
        <v>5153.46</v>
      </c>
      <c r="J5880" s="192"/>
      <c r="K5880" s="192">
        <v>1379.94</v>
      </c>
      <c r="L5880" s="43">
        <v>8.3958518061606071</v>
      </c>
      <c r="M5880" s="43">
        <v>11.500435161009573</v>
      </c>
      <c r="N5880" s="43" t="s">
        <v>1690</v>
      </c>
      <c r="O5880" s="43">
        <v>4.180876204326486</v>
      </c>
      <c r="P5880" s="193"/>
      <c r="Q5880" s="193"/>
      <c r="R5880" s="193">
        <v>2</v>
      </c>
    </row>
    <row r="5881" spans="1:18" ht="36">
      <c r="A5881" s="189">
        <v>743</v>
      </c>
      <c r="B5881" s="186" t="s">
        <v>10772</v>
      </c>
      <c r="C5881" s="190" t="s">
        <v>10773</v>
      </c>
      <c r="D5881" s="191">
        <v>166.6</v>
      </c>
      <c r="E5881" s="191">
        <v>137.88</v>
      </c>
      <c r="F5881" s="191"/>
      <c r="G5881" s="191">
        <v>28.72</v>
      </c>
      <c r="H5881" s="192">
        <v>1736.32</v>
      </c>
      <c r="I5881" s="192">
        <v>1585.68</v>
      </c>
      <c r="J5881" s="192"/>
      <c r="K5881" s="192">
        <v>150.63999999999999</v>
      </c>
      <c r="L5881" s="43">
        <v>10.422088835534213</v>
      </c>
      <c r="M5881" s="43">
        <v>11.500435161009575</v>
      </c>
      <c r="N5881" s="43" t="s">
        <v>1690</v>
      </c>
      <c r="O5881" s="43">
        <v>5.2451253481894149</v>
      </c>
      <c r="P5881" s="193"/>
      <c r="Q5881" s="193"/>
      <c r="R5881" s="193">
        <v>2</v>
      </c>
    </row>
    <row r="5882" spans="1:18" ht="36">
      <c r="A5882" s="189">
        <v>744</v>
      </c>
      <c r="B5882" s="186" t="s">
        <v>10774</v>
      </c>
      <c r="C5882" s="190" t="s">
        <v>10775</v>
      </c>
      <c r="D5882" s="191">
        <v>317.02999999999997</v>
      </c>
      <c r="E5882" s="191">
        <v>172.35</v>
      </c>
      <c r="F5882" s="191"/>
      <c r="G5882" s="191">
        <v>144.68</v>
      </c>
      <c r="H5882" s="192">
        <v>2651.3</v>
      </c>
      <c r="I5882" s="192">
        <v>1982.1</v>
      </c>
      <c r="J5882" s="192"/>
      <c r="K5882" s="192">
        <v>669.2</v>
      </c>
      <c r="L5882" s="43">
        <v>8.362930952906666</v>
      </c>
      <c r="M5882" s="43">
        <v>11.500435161009573</v>
      </c>
      <c r="N5882" s="43" t="s">
        <v>1690</v>
      </c>
      <c r="O5882" s="43">
        <v>4.6253801492949957</v>
      </c>
      <c r="P5882" s="193"/>
      <c r="Q5882" s="193"/>
      <c r="R5882" s="193">
        <v>2</v>
      </c>
    </row>
    <row r="5883" spans="1:18" ht="12.75" customHeight="1">
      <c r="A5883" s="628" t="s">
        <v>10776</v>
      </c>
      <c r="B5883" s="629"/>
      <c r="C5883" s="629"/>
      <c r="D5883" s="629"/>
      <c r="E5883" s="629"/>
      <c r="F5883" s="629"/>
      <c r="G5883" s="629"/>
      <c r="H5883" s="629"/>
      <c r="I5883" s="629"/>
      <c r="J5883" s="629"/>
      <c r="K5883" s="629"/>
      <c r="L5883" s="629"/>
      <c r="M5883" s="629"/>
      <c r="N5883" s="629"/>
      <c r="O5883" s="629"/>
      <c r="P5883" s="629"/>
      <c r="Q5883" s="629"/>
      <c r="R5883" s="629"/>
    </row>
    <row r="5884" spans="1:18" ht="24">
      <c r="A5884" s="189">
        <v>745</v>
      </c>
      <c r="B5884" s="186" t="s">
        <v>10777</v>
      </c>
      <c r="C5884" s="190" t="s">
        <v>10778</v>
      </c>
      <c r="D5884" s="191">
        <v>266.76</v>
      </c>
      <c r="E5884" s="191">
        <v>138.6</v>
      </c>
      <c r="F5884" s="191">
        <v>59.76</v>
      </c>
      <c r="G5884" s="191">
        <v>68.400000000000006</v>
      </c>
      <c r="H5884" s="192">
        <v>2285.16</v>
      </c>
      <c r="I5884" s="192">
        <v>1593.88</v>
      </c>
      <c r="J5884" s="192">
        <v>309.97000000000003</v>
      </c>
      <c r="K5884" s="192">
        <v>381.31</v>
      </c>
      <c r="L5884" s="43">
        <v>8.5663517768780917</v>
      </c>
      <c r="M5884" s="43">
        <v>11.499855699855701</v>
      </c>
      <c r="N5884" s="43">
        <v>5.1869143239625171</v>
      </c>
      <c r="O5884" s="43">
        <v>5.5747076023391813</v>
      </c>
      <c r="P5884" s="193"/>
      <c r="Q5884" s="193"/>
      <c r="R5884" s="193">
        <v>3</v>
      </c>
    </row>
    <row r="5885" spans="1:18" ht="24">
      <c r="A5885" s="194">
        <v>746</v>
      </c>
      <c r="B5885" s="195" t="s">
        <v>10779</v>
      </c>
      <c r="C5885" s="196" t="s">
        <v>10780</v>
      </c>
      <c r="D5885" s="197">
        <v>272.18</v>
      </c>
      <c r="E5885" s="197">
        <v>177.78</v>
      </c>
      <c r="F5885" s="197">
        <v>70.63</v>
      </c>
      <c r="G5885" s="197">
        <v>23.77</v>
      </c>
      <c r="H5885" s="198">
        <v>2526.52</v>
      </c>
      <c r="I5885" s="198">
        <v>2044.42</v>
      </c>
      <c r="J5885" s="198">
        <v>366.33</v>
      </c>
      <c r="K5885" s="198">
        <v>115.77</v>
      </c>
      <c r="L5885" s="611">
        <v>9.282533617459034</v>
      </c>
      <c r="M5885" s="611">
        <v>11.499718753515582</v>
      </c>
      <c r="N5885" s="611">
        <v>5.186606257964038</v>
      </c>
      <c r="O5885" s="611">
        <v>4.870424905342869</v>
      </c>
      <c r="P5885" s="199"/>
      <c r="Q5885" s="199"/>
      <c r="R5885" s="199">
        <v>3</v>
      </c>
    </row>
    <row r="5886" spans="1:18" ht="27" customHeight="1">
      <c r="A5886" s="630" t="s">
        <v>10781</v>
      </c>
      <c r="B5886" s="631"/>
      <c r="C5886" s="631"/>
      <c r="D5886" s="631"/>
      <c r="E5886" s="631"/>
      <c r="F5886" s="631"/>
      <c r="G5886" s="631"/>
      <c r="H5886" s="631"/>
      <c r="I5886" s="631"/>
      <c r="J5886" s="631"/>
      <c r="K5886" s="631"/>
      <c r="L5886" s="631"/>
      <c r="M5886" s="631"/>
      <c r="N5886" s="631"/>
      <c r="O5886" s="631"/>
      <c r="P5886" s="631"/>
      <c r="Q5886" s="631"/>
      <c r="R5886" s="631"/>
    </row>
    <row r="5887" spans="1:18" ht="12.75" customHeight="1">
      <c r="A5887" s="628" t="s">
        <v>10782</v>
      </c>
      <c r="B5887" s="629"/>
      <c r="C5887" s="629"/>
      <c r="D5887" s="629"/>
      <c r="E5887" s="629"/>
      <c r="F5887" s="629"/>
      <c r="G5887" s="629"/>
      <c r="H5887" s="629"/>
      <c r="I5887" s="629"/>
      <c r="J5887" s="629"/>
      <c r="K5887" s="629"/>
      <c r="L5887" s="629"/>
      <c r="M5887" s="629"/>
      <c r="N5887" s="629"/>
      <c r="O5887" s="629"/>
      <c r="P5887" s="629"/>
      <c r="Q5887" s="629"/>
      <c r="R5887" s="629"/>
    </row>
    <row r="5888" spans="1:18" ht="12.75" customHeight="1">
      <c r="A5888" s="628" t="s">
        <v>10783</v>
      </c>
      <c r="B5888" s="629"/>
      <c r="C5888" s="629"/>
      <c r="D5888" s="629"/>
      <c r="E5888" s="629"/>
      <c r="F5888" s="629"/>
      <c r="G5888" s="629"/>
      <c r="H5888" s="629"/>
      <c r="I5888" s="629"/>
      <c r="J5888" s="629"/>
      <c r="K5888" s="629"/>
      <c r="L5888" s="629"/>
      <c r="M5888" s="629"/>
      <c r="N5888" s="629"/>
      <c r="O5888" s="629"/>
      <c r="P5888" s="629"/>
      <c r="Q5888" s="629"/>
      <c r="R5888" s="629"/>
    </row>
    <row r="5889" spans="1:18" ht="108">
      <c r="A5889" s="189">
        <v>747</v>
      </c>
      <c r="B5889" s="186" t="s">
        <v>10784</v>
      </c>
      <c r="C5889" s="190" t="s">
        <v>10785</v>
      </c>
      <c r="D5889" s="191">
        <v>540.03</v>
      </c>
      <c r="E5889" s="191">
        <v>529.44000000000005</v>
      </c>
      <c r="F5889" s="191"/>
      <c r="G5889" s="191">
        <v>10.59</v>
      </c>
      <c r="H5889" s="192">
        <v>6210.52</v>
      </c>
      <c r="I5889" s="192">
        <v>6088.73</v>
      </c>
      <c r="J5889" s="192"/>
      <c r="K5889" s="192">
        <v>121.79</v>
      </c>
      <c r="L5889" s="43">
        <v>11.50032405607096</v>
      </c>
      <c r="M5889" s="43">
        <v>11.500321093986097</v>
      </c>
      <c r="N5889" s="43" t="s">
        <v>1690</v>
      </c>
      <c r="O5889" s="43">
        <v>11.500472143531635</v>
      </c>
      <c r="P5889" s="193"/>
      <c r="Q5889" s="193"/>
      <c r="R5889" s="193">
        <v>1</v>
      </c>
    </row>
    <row r="5890" spans="1:18" ht="108">
      <c r="A5890" s="189">
        <v>748</v>
      </c>
      <c r="B5890" s="186" t="s">
        <v>10786</v>
      </c>
      <c r="C5890" s="190" t="s">
        <v>10787</v>
      </c>
      <c r="D5890" s="191">
        <v>407.54</v>
      </c>
      <c r="E5890" s="191">
        <v>399.55</v>
      </c>
      <c r="F5890" s="191"/>
      <c r="G5890" s="191">
        <v>7.99</v>
      </c>
      <c r="H5890" s="192">
        <v>4686.8900000000003</v>
      </c>
      <c r="I5890" s="192">
        <v>4595</v>
      </c>
      <c r="J5890" s="192"/>
      <c r="K5890" s="192">
        <v>91.89</v>
      </c>
      <c r="L5890" s="43">
        <v>11.500441674436866</v>
      </c>
      <c r="M5890" s="43">
        <v>11.500437992741833</v>
      </c>
      <c r="N5890" s="43" t="s">
        <v>1690</v>
      </c>
      <c r="O5890" s="43">
        <v>11.500625782227784</v>
      </c>
      <c r="P5890" s="193"/>
      <c r="Q5890" s="193"/>
      <c r="R5890" s="193">
        <v>1</v>
      </c>
    </row>
    <row r="5891" spans="1:18" ht="24">
      <c r="A5891" s="189">
        <v>749</v>
      </c>
      <c r="B5891" s="186" t="s">
        <v>10788</v>
      </c>
      <c r="C5891" s="190" t="s">
        <v>10789</v>
      </c>
      <c r="D5891" s="191">
        <v>815.08</v>
      </c>
      <c r="E5891" s="191">
        <v>799.1</v>
      </c>
      <c r="F5891" s="191"/>
      <c r="G5891" s="191">
        <v>15.98</v>
      </c>
      <c r="H5891" s="192">
        <v>9373.77</v>
      </c>
      <c r="I5891" s="192">
        <v>9190</v>
      </c>
      <c r="J5891" s="192"/>
      <c r="K5891" s="192">
        <v>183.77</v>
      </c>
      <c r="L5891" s="43">
        <v>11.500429405702508</v>
      </c>
      <c r="M5891" s="43">
        <v>11.500437992741833</v>
      </c>
      <c r="N5891" s="43" t="s">
        <v>1690</v>
      </c>
      <c r="O5891" s="43">
        <v>11.5</v>
      </c>
      <c r="P5891" s="193"/>
      <c r="Q5891" s="193"/>
      <c r="R5891" s="193">
        <v>1</v>
      </c>
    </row>
    <row r="5892" spans="1:18" ht="96">
      <c r="A5892" s="189">
        <v>750</v>
      </c>
      <c r="B5892" s="186" t="s">
        <v>10790</v>
      </c>
      <c r="C5892" s="190" t="s">
        <v>10791</v>
      </c>
      <c r="D5892" s="191">
        <v>300.3</v>
      </c>
      <c r="E5892" s="191">
        <v>294.41000000000003</v>
      </c>
      <c r="F5892" s="191"/>
      <c r="G5892" s="191">
        <v>5.89</v>
      </c>
      <c r="H5892" s="192">
        <v>3453.53</v>
      </c>
      <c r="I5892" s="192">
        <v>3385.79</v>
      </c>
      <c r="J5892" s="192"/>
      <c r="K5892" s="192">
        <v>67.739999999999995</v>
      </c>
      <c r="L5892" s="43">
        <v>11.500266400266401</v>
      </c>
      <c r="M5892" s="43">
        <v>11.500254746781698</v>
      </c>
      <c r="N5892" s="43" t="s">
        <v>1690</v>
      </c>
      <c r="O5892" s="43">
        <v>11.500848896434634</v>
      </c>
      <c r="P5892" s="193"/>
      <c r="Q5892" s="193"/>
      <c r="R5892" s="193">
        <v>1</v>
      </c>
    </row>
    <row r="5893" spans="1:18" ht="96">
      <c r="A5893" s="189">
        <v>751</v>
      </c>
      <c r="B5893" s="186" t="s">
        <v>10792</v>
      </c>
      <c r="C5893" s="190" t="s">
        <v>10793</v>
      </c>
      <c r="D5893" s="191">
        <v>372.22</v>
      </c>
      <c r="E5893" s="191">
        <v>364.92</v>
      </c>
      <c r="F5893" s="191"/>
      <c r="G5893" s="191">
        <v>7.3</v>
      </c>
      <c r="H5893" s="192">
        <v>4280.62</v>
      </c>
      <c r="I5893" s="192">
        <v>4196.67</v>
      </c>
      <c r="J5893" s="192"/>
      <c r="K5893" s="192">
        <v>83.95</v>
      </c>
      <c r="L5893" s="43">
        <v>11.500241792488312</v>
      </c>
      <c r="M5893" s="43">
        <v>11.500246629398225</v>
      </c>
      <c r="N5893" s="43" t="s">
        <v>1690</v>
      </c>
      <c r="O5893" s="43">
        <v>11.5</v>
      </c>
      <c r="P5893" s="193"/>
      <c r="Q5893" s="193"/>
      <c r="R5893" s="193">
        <v>1</v>
      </c>
    </row>
    <row r="5894" spans="1:18" ht="96">
      <c r="A5894" s="189">
        <v>752</v>
      </c>
      <c r="B5894" s="186" t="s">
        <v>10794</v>
      </c>
      <c r="C5894" s="190" t="s">
        <v>10795</v>
      </c>
      <c r="D5894" s="191">
        <v>695.22</v>
      </c>
      <c r="E5894" s="191">
        <v>681.59</v>
      </c>
      <c r="F5894" s="191"/>
      <c r="G5894" s="191">
        <v>13.63</v>
      </c>
      <c r="H5894" s="192">
        <v>7995.28</v>
      </c>
      <c r="I5894" s="192">
        <v>7838.53</v>
      </c>
      <c r="J5894" s="192"/>
      <c r="K5894" s="192">
        <v>156.75</v>
      </c>
      <c r="L5894" s="43">
        <v>11.500359598400506</v>
      </c>
      <c r="M5894" s="43">
        <v>11.50035945363048</v>
      </c>
      <c r="N5894" s="43" t="s">
        <v>1690</v>
      </c>
      <c r="O5894" s="43">
        <v>11.500366837857666</v>
      </c>
      <c r="P5894" s="193"/>
      <c r="Q5894" s="193"/>
      <c r="R5894" s="193">
        <v>1</v>
      </c>
    </row>
    <row r="5895" spans="1:18" ht="24">
      <c r="A5895" s="189">
        <v>753</v>
      </c>
      <c r="B5895" s="186" t="s">
        <v>10796</v>
      </c>
      <c r="C5895" s="190" t="s">
        <v>10797</v>
      </c>
      <c r="D5895" s="191">
        <v>2536.1</v>
      </c>
      <c r="E5895" s="191">
        <v>2486.37</v>
      </c>
      <c r="F5895" s="191"/>
      <c r="G5895" s="191">
        <v>49.73</v>
      </c>
      <c r="H5895" s="192">
        <v>29166.16</v>
      </c>
      <c r="I5895" s="192">
        <v>28594.26</v>
      </c>
      <c r="J5895" s="192"/>
      <c r="K5895" s="192">
        <v>571.9</v>
      </c>
      <c r="L5895" s="43">
        <v>11.500398249280391</v>
      </c>
      <c r="M5895" s="43">
        <v>11.500404203718674</v>
      </c>
      <c r="N5895" s="43" t="s">
        <v>1690</v>
      </c>
      <c r="O5895" s="43">
        <v>11.500100542931833</v>
      </c>
      <c r="P5895" s="193"/>
      <c r="Q5895" s="193"/>
      <c r="R5895" s="193">
        <v>1</v>
      </c>
    </row>
    <row r="5896" spans="1:18" ht="36">
      <c r="A5896" s="189">
        <v>754</v>
      </c>
      <c r="B5896" s="186" t="s">
        <v>10798</v>
      </c>
      <c r="C5896" s="190" t="s">
        <v>10799</v>
      </c>
      <c r="D5896" s="191">
        <v>119.87</v>
      </c>
      <c r="E5896" s="191">
        <v>117.52</v>
      </c>
      <c r="F5896" s="191"/>
      <c r="G5896" s="191">
        <v>2.35</v>
      </c>
      <c r="H5896" s="192">
        <v>1378.5</v>
      </c>
      <c r="I5896" s="192">
        <v>1351.47</v>
      </c>
      <c r="J5896" s="192"/>
      <c r="K5896" s="192">
        <v>27.03</v>
      </c>
      <c r="L5896" s="43">
        <v>11.499958288145491</v>
      </c>
      <c r="M5896" s="43">
        <v>11.499914908100749</v>
      </c>
      <c r="N5896" s="43" t="s">
        <v>1690</v>
      </c>
      <c r="O5896" s="43">
        <v>11.502127659574468</v>
      </c>
      <c r="P5896" s="193"/>
      <c r="Q5896" s="193"/>
      <c r="R5896" s="193">
        <v>1</v>
      </c>
    </row>
    <row r="5897" spans="1:18" ht="36">
      <c r="A5897" s="189">
        <v>755</v>
      </c>
      <c r="B5897" s="186" t="s">
        <v>10800</v>
      </c>
      <c r="C5897" s="190" t="s">
        <v>10801</v>
      </c>
      <c r="D5897" s="191">
        <v>95.89</v>
      </c>
      <c r="E5897" s="191">
        <v>94.01</v>
      </c>
      <c r="F5897" s="191"/>
      <c r="G5897" s="191">
        <v>1.88</v>
      </c>
      <c r="H5897" s="192">
        <v>1102.8</v>
      </c>
      <c r="I5897" s="192">
        <v>1081.18</v>
      </c>
      <c r="J5897" s="192"/>
      <c r="K5897" s="192">
        <v>21.62</v>
      </c>
      <c r="L5897" s="43">
        <v>11.50067786004797</v>
      </c>
      <c r="M5897" s="43">
        <v>11.500691415806829</v>
      </c>
      <c r="N5897" s="43" t="s">
        <v>1690</v>
      </c>
      <c r="O5897" s="43">
        <v>11.500000000000002</v>
      </c>
      <c r="P5897" s="193"/>
      <c r="Q5897" s="193"/>
      <c r="R5897" s="193">
        <v>1</v>
      </c>
    </row>
    <row r="5898" spans="1:18" ht="24">
      <c r="A5898" s="189">
        <v>756</v>
      </c>
      <c r="B5898" s="186" t="s">
        <v>10802</v>
      </c>
      <c r="C5898" s="190" t="s">
        <v>10803</v>
      </c>
      <c r="D5898" s="191">
        <v>2763.21</v>
      </c>
      <c r="E5898" s="191">
        <v>2709.03</v>
      </c>
      <c r="F5898" s="191"/>
      <c r="G5898" s="191">
        <v>54.18</v>
      </c>
      <c r="H5898" s="192">
        <v>31778.01</v>
      </c>
      <c r="I5898" s="192">
        <v>31154.94</v>
      </c>
      <c r="J5898" s="192"/>
      <c r="K5898" s="192">
        <v>623.07000000000005</v>
      </c>
      <c r="L5898" s="43">
        <v>11.50039627824161</v>
      </c>
      <c r="M5898" s="43">
        <v>11.500404203718674</v>
      </c>
      <c r="N5898" s="43" t="s">
        <v>1690</v>
      </c>
      <c r="O5898" s="43">
        <v>11.500000000000002</v>
      </c>
      <c r="P5898" s="193"/>
      <c r="Q5898" s="193"/>
      <c r="R5898" s="193">
        <v>1</v>
      </c>
    </row>
    <row r="5899" spans="1:18" ht="24">
      <c r="A5899" s="189">
        <v>757</v>
      </c>
      <c r="B5899" s="186" t="s">
        <v>10804</v>
      </c>
      <c r="C5899" s="190" t="s">
        <v>10805</v>
      </c>
      <c r="D5899" s="191">
        <v>2044.02</v>
      </c>
      <c r="E5899" s="191">
        <v>2003.94</v>
      </c>
      <c r="F5899" s="191"/>
      <c r="G5899" s="191">
        <v>40.08</v>
      </c>
      <c r="H5899" s="192">
        <v>23507.040000000001</v>
      </c>
      <c r="I5899" s="192">
        <v>23046.12</v>
      </c>
      <c r="J5899" s="192"/>
      <c r="K5899" s="192">
        <v>460.92</v>
      </c>
      <c r="L5899" s="43">
        <v>11.500396277922917</v>
      </c>
      <c r="M5899" s="43">
        <v>11.500404203718674</v>
      </c>
      <c r="N5899" s="43" t="s">
        <v>1690</v>
      </c>
      <c r="O5899" s="43">
        <v>11.5</v>
      </c>
      <c r="P5899" s="193"/>
      <c r="Q5899" s="193"/>
      <c r="R5899" s="193">
        <v>1</v>
      </c>
    </row>
    <row r="5900" spans="1:18" ht="24">
      <c r="A5900" s="189">
        <v>758</v>
      </c>
      <c r="B5900" s="186" t="s">
        <v>10806</v>
      </c>
      <c r="C5900" s="190" t="s">
        <v>10807</v>
      </c>
      <c r="D5900" s="191">
        <v>143.84</v>
      </c>
      <c r="E5900" s="191">
        <v>141.02000000000001</v>
      </c>
      <c r="F5900" s="191"/>
      <c r="G5900" s="191">
        <v>2.82</v>
      </c>
      <c r="H5900" s="192">
        <v>1654.19</v>
      </c>
      <c r="I5900" s="192">
        <v>1621.76</v>
      </c>
      <c r="J5900" s="192"/>
      <c r="K5900" s="192">
        <v>32.43</v>
      </c>
      <c r="L5900" s="43">
        <v>11.500208565072302</v>
      </c>
      <c r="M5900" s="43">
        <v>11.500212735782158</v>
      </c>
      <c r="N5900" s="43" t="s">
        <v>1690</v>
      </c>
      <c r="O5900" s="43">
        <v>11.5</v>
      </c>
      <c r="P5900" s="193"/>
      <c r="Q5900" s="193"/>
      <c r="R5900" s="193">
        <v>1</v>
      </c>
    </row>
    <row r="5901" spans="1:18" ht="36">
      <c r="A5901" s="189">
        <v>759</v>
      </c>
      <c r="B5901" s="186" t="s">
        <v>10808</v>
      </c>
      <c r="C5901" s="190" t="s">
        <v>10809</v>
      </c>
      <c r="D5901" s="191">
        <v>95.89</v>
      </c>
      <c r="E5901" s="191">
        <v>94.01</v>
      </c>
      <c r="F5901" s="191"/>
      <c r="G5901" s="191">
        <v>1.88</v>
      </c>
      <c r="H5901" s="192">
        <v>1102.8</v>
      </c>
      <c r="I5901" s="192">
        <v>1081.18</v>
      </c>
      <c r="J5901" s="192"/>
      <c r="K5901" s="192">
        <v>21.62</v>
      </c>
      <c r="L5901" s="43">
        <v>11.50067786004797</v>
      </c>
      <c r="M5901" s="43">
        <v>11.500691415806829</v>
      </c>
      <c r="N5901" s="43" t="s">
        <v>1690</v>
      </c>
      <c r="O5901" s="43">
        <v>11.500000000000002</v>
      </c>
      <c r="P5901" s="193"/>
      <c r="Q5901" s="193"/>
      <c r="R5901" s="193">
        <v>1</v>
      </c>
    </row>
    <row r="5902" spans="1:18" ht="36">
      <c r="A5902" s="189">
        <v>760</v>
      </c>
      <c r="B5902" s="186" t="s">
        <v>10810</v>
      </c>
      <c r="C5902" s="190" t="s">
        <v>10811</v>
      </c>
      <c r="D5902" s="191">
        <v>180.43</v>
      </c>
      <c r="E5902" s="191">
        <v>176.89</v>
      </c>
      <c r="F5902" s="191"/>
      <c r="G5902" s="191">
        <v>3.54</v>
      </c>
      <c r="H5902" s="192">
        <v>2075.0300000000002</v>
      </c>
      <c r="I5902" s="192">
        <v>2034.32</v>
      </c>
      <c r="J5902" s="192"/>
      <c r="K5902" s="192">
        <v>40.71</v>
      </c>
      <c r="L5902" s="43">
        <v>11.500471096824255</v>
      </c>
      <c r="M5902" s="43">
        <v>11.500480524619821</v>
      </c>
      <c r="N5902" s="43" t="s">
        <v>1690</v>
      </c>
      <c r="O5902" s="43">
        <v>11.5</v>
      </c>
      <c r="P5902" s="193"/>
      <c r="Q5902" s="193"/>
      <c r="R5902" s="193">
        <v>1</v>
      </c>
    </row>
    <row r="5903" spans="1:18" ht="36">
      <c r="A5903" s="189">
        <v>761</v>
      </c>
      <c r="B5903" s="186" t="s">
        <v>10812</v>
      </c>
      <c r="C5903" s="190" t="s">
        <v>10813</v>
      </c>
      <c r="D5903" s="191">
        <v>167.81</v>
      </c>
      <c r="E5903" s="191">
        <v>164.52</v>
      </c>
      <c r="F5903" s="191"/>
      <c r="G5903" s="191">
        <v>3.29</v>
      </c>
      <c r="H5903" s="192">
        <v>1929.9</v>
      </c>
      <c r="I5903" s="192">
        <v>1892.06</v>
      </c>
      <c r="J5903" s="192"/>
      <c r="K5903" s="192">
        <v>37.840000000000003</v>
      </c>
      <c r="L5903" s="43">
        <v>11.500506525236876</v>
      </c>
      <c r="M5903" s="43">
        <v>11.50048626306832</v>
      </c>
      <c r="N5903" s="43" t="s">
        <v>1690</v>
      </c>
      <c r="O5903" s="43">
        <v>11.501519756838906</v>
      </c>
      <c r="P5903" s="193"/>
      <c r="Q5903" s="193"/>
      <c r="R5903" s="193">
        <v>1</v>
      </c>
    </row>
    <row r="5904" spans="1:18" ht="24">
      <c r="A5904" s="189">
        <v>762</v>
      </c>
      <c r="B5904" s="186" t="s">
        <v>10814</v>
      </c>
      <c r="C5904" s="190" t="s">
        <v>10815</v>
      </c>
      <c r="D5904" s="191">
        <v>35.96</v>
      </c>
      <c r="E5904" s="191">
        <v>35.25</v>
      </c>
      <c r="F5904" s="191"/>
      <c r="G5904" s="191">
        <v>0.71</v>
      </c>
      <c r="H5904" s="192">
        <v>413.61</v>
      </c>
      <c r="I5904" s="192">
        <v>405.44</v>
      </c>
      <c r="J5904" s="192"/>
      <c r="K5904" s="192">
        <v>8.17</v>
      </c>
      <c r="L5904" s="43">
        <v>11.501946607341491</v>
      </c>
      <c r="M5904" s="43">
        <v>11.501843971631205</v>
      </c>
      <c r="N5904" s="43" t="s">
        <v>1690</v>
      </c>
      <c r="O5904" s="43">
        <v>11.5</v>
      </c>
      <c r="P5904" s="193"/>
      <c r="Q5904" s="193"/>
      <c r="R5904" s="193">
        <v>1</v>
      </c>
    </row>
    <row r="5905" spans="1:18" ht="24">
      <c r="A5905" s="189">
        <v>763</v>
      </c>
      <c r="B5905" s="186" t="s">
        <v>10816</v>
      </c>
      <c r="C5905" s="190" t="s">
        <v>10817</v>
      </c>
      <c r="D5905" s="191">
        <v>59.94</v>
      </c>
      <c r="E5905" s="191">
        <v>58.76</v>
      </c>
      <c r="F5905" s="191"/>
      <c r="G5905" s="191">
        <v>1.18</v>
      </c>
      <c r="H5905" s="192">
        <v>689.31</v>
      </c>
      <c r="I5905" s="192">
        <v>675.74</v>
      </c>
      <c r="J5905" s="192"/>
      <c r="K5905" s="192">
        <v>13.57</v>
      </c>
      <c r="L5905" s="43">
        <v>11.5</v>
      </c>
      <c r="M5905" s="43">
        <v>11.5</v>
      </c>
      <c r="N5905" s="43" t="s">
        <v>1690</v>
      </c>
      <c r="O5905" s="43">
        <v>11.5</v>
      </c>
      <c r="P5905" s="193"/>
      <c r="Q5905" s="193"/>
      <c r="R5905" s="193">
        <v>1</v>
      </c>
    </row>
    <row r="5906" spans="1:18" ht="24">
      <c r="A5906" s="194">
        <v>764</v>
      </c>
      <c r="B5906" s="195" t="s">
        <v>10818</v>
      </c>
      <c r="C5906" s="196" t="s">
        <v>10819</v>
      </c>
      <c r="D5906" s="197">
        <v>35.96</v>
      </c>
      <c r="E5906" s="197">
        <v>35.25</v>
      </c>
      <c r="F5906" s="197"/>
      <c r="G5906" s="197">
        <v>0.71</v>
      </c>
      <c r="H5906" s="198">
        <v>413.61</v>
      </c>
      <c r="I5906" s="198">
        <v>405.44</v>
      </c>
      <c r="J5906" s="198"/>
      <c r="K5906" s="198">
        <v>8.17</v>
      </c>
      <c r="L5906" s="611">
        <v>11.501946607341491</v>
      </c>
      <c r="M5906" s="611">
        <v>11.501843971631205</v>
      </c>
      <c r="N5906" s="611" t="s">
        <v>1690</v>
      </c>
      <c r="O5906" s="43">
        <v>11.5</v>
      </c>
      <c r="P5906" s="199"/>
      <c r="Q5906" s="199"/>
      <c r="R5906" s="199">
        <v>1</v>
      </c>
    </row>
    <row r="5907" spans="1:18" ht="12.75" customHeight="1">
      <c r="A5907" s="630" t="s">
        <v>10820</v>
      </c>
      <c r="B5907" s="631"/>
      <c r="C5907" s="631"/>
      <c r="D5907" s="631"/>
      <c r="E5907" s="631"/>
      <c r="F5907" s="631"/>
      <c r="G5907" s="631"/>
      <c r="H5907" s="631"/>
      <c r="I5907" s="631"/>
      <c r="J5907" s="631"/>
      <c r="K5907" s="631"/>
      <c r="L5907" s="631"/>
      <c r="M5907" s="631"/>
      <c r="N5907" s="631"/>
      <c r="O5907" s="631"/>
      <c r="P5907" s="631"/>
      <c r="Q5907" s="631"/>
      <c r="R5907" s="631"/>
    </row>
    <row r="5908" spans="1:18" ht="12.75" customHeight="1">
      <c r="A5908" s="628" t="s">
        <v>10821</v>
      </c>
      <c r="B5908" s="629"/>
      <c r="C5908" s="629"/>
      <c r="D5908" s="629"/>
      <c r="E5908" s="629"/>
      <c r="F5908" s="629"/>
      <c r="G5908" s="629"/>
      <c r="H5908" s="629"/>
      <c r="I5908" s="629"/>
      <c r="J5908" s="629"/>
      <c r="K5908" s="629"/>
      <c r="L5908" s="629"/>
      <c r="M5908" s="629"/>
      <c r="N5908" s="629"/>
      <c r="O5908" s="629"/>
      <c r="P5908" s="629"/>
      <c r="Q5908" s="629"/>
      <c r="R5908" s="629"/>
    </row>
    <row r="5909" spans="1:18" ht="12.75" customHeight="1">
      <c r="A5909" s="628" t="s">
        <v>10822</v>
      </c>
      <c r="B5909" s="629"/>
      <c r="C5909" s="629"/>
      <c r="D5909" s="629"/>
      <c r="E5909" s="629"/>
      <c r="F5909" s="629"/>
      <c r="G5909" s="629"/>
      <c r="H5909" s="629"/>
      <c r="I5909" s="629"/>
      <c r="J5909" s="629"/>
      <c r="K5909" s="629"/>
      <c r="L5909" s="629"/>
      <c r="M5909" s="629"/>
      <c r="N5909" s="629"/>
      <c r="O5909" s="629"/>
      <c r="P5909" s="629"/>
      <c r="Q5909" s="629"/>
      <c r="R5909" s="629"/>
    </row>
    <row r="5910" spans="1:18" ht="48">
      <c r="A5910" s="189">
        <v>765</v>
      </c>
      <c r="B5910" s="186" t="s">
        <v>10823</v>
      </c>
      <c r="C5910" s="190" t="s">
        <v>10824</v>
      </c>
      <c r="D5910" s="191">
        <v>5881.75</v>
      </c>
      <c r="E5910" s="191">
        <v>249.32</v>
      </c>
      <c r="F5910" s="191">
        <v>5550.73</v>
      </c>
      <c r="G5910" s="191">
        <v>81.7</v>
      </c>
      <c r="H5910" s="192">
        <v>34085.64</v>
      </c>
      <c r="I5910" s="192">
        <v>2867.18</v>
      </c>
      <c r="J5910" s="192">
        <v>30920.3</v>
      </c>
      <c r="K5910" s="192">
        <v>298.16000000000003</v>
      </c>
      <c r="L5910" s="43">
        <v>5.7951528031623241</v>
      </c>
      <c r="M5910" s="43">
        <v>11.5</v>
      </c>
      <c r="N5910" s="43">
        <v>5.5704925298113945</v>
      </c>
      <c r="O5910" s="43">
        <v>3.6494492044063649</v>
      </c>
      <c r="P5910" s="193"/>
      <c r="Q5910" s="193"/>
      <c r="R5910" s="193">
        <v>1</v>
      </c>
    </row>
    <row r="5911" spans="1:18" ht="48">
      <c r="A5911" s="189">
        <v>766</v>
      </c>
      <c r="B5911" s="186" t="s">
        <v>10825</v>
      </c>
      <c r="C5911" s="190" t="s">
        <v>10826</v>
      </c>
      <c r="D5911" s="191">
        <v>11144.14</v>
      </c>
      <c r="E5911" s="191">
        <v>379.4</v>
      </c>
      <c r="F5911" s="191">
        <v>10680.44</v>
      </c>
      <c r="G5911" s="191">
        <v>84.3</v>
      </c>
      <c r="H5911" s="192">
        <v>64060.29</v>
      </c>
      <c r="I5911" s="192">
        <v>4363.1000000000004</v>
      </c>
      <c r="J5911" s="192">
        <v>59369.13</v>
      </c>
      <c r="K5911" s="192">
        <v>328.06</v>
      </c>
      <c r="L5911" s="43">
        <v>5.7483385887111975</v>
      </c>
      <c r="M5911" s="43">
        <v>11.500000000000002</v>
      </c>
      <c r="N5911" s="43">
        <v>5.5586782941526751</v>
      </c>
      <c r="O5911" s="43">
        <v>3.8915776986951367</v>
      </c>
      <c r="P5911" s="193"/>
      <c r="Q5911" s="193"/>
      <c r="R5911" s="193">
        <v>1</v>
      </c>
    </row>
    <row r="5912" spans="1:18" ht="48">
      <c r="A5912" s="189">
        <v>767</v>
      </c>
      <c r="B5912" s="186" t="s">
        <v>10827</v>
      </c>
      <c r="C5912" s="190" t="s">
        <v>10828</v>
      </c>
      <c r="D5912" s="191">
        <v>5170.88</v>
      </c>
      <c r="E5912" s="191">
        <v>205.96</v>
      </c>
      <c r="F5912" s="191">
        <v>4901.1400000000003</v>
      </c>
      <c r="G5912" s="191">
        <v>63.78</v>
      </c>
      <c r="H5912" s="192">
        <v>29904.59</v>
      </c>
      <c r="I5912" s="192">
        <v>2368.54</v>
      </c>
      <c r="J5912" s="192">
        <v>27301.41</v>
      </c>
      <c r="K5912" s="192">
        <v>234.64</v>
      </c>
      <c r="L5912" s="43">
        <v>5.7832689987004144</v>
      </c>
      <c r="M5912" s="43">
        <v>11.5</v>
      </c>
      <c r="N5912" s="43">
        <v>5.5704203511836017</v>
      </c>
      <c r="O5912" s="43">
        <v>3.678896205707118</v>
      </c>
      <c r="P5912" s="193"/>
      <c r="Q5912" s="193"/>
      <c r="R5912" s="193">
        <v>1</v>
      </c>
    </row>
    <row r="5913" spans="1:18" ht="48">
      <c r="A5913" s="189">
        <v>768</v>
      </c>
      <c r="B5913" s="186" t="s">
        <v>10829</v>
      </c>
      <c r="C5913" s="190" t="s">
        <v>10830</v>
      </c>
      <c r="D5913" s="191">
        <v>9714.65</v>
      </c>
      <c r="E5913" s="191">
        <v>303.52</v>
      </c>
      <c r="F5913" s="191">
        <v>9345.4</v>
      </c>
      <c r="G5913" s="191">
        <v>65.73</v>
      </c>
      <c r="H5913" s="192">
        <v>55695.24</v>
      </c>
      <c r="I5913" s="192">
        <v>3490.48</v>
      </c>
      <c r="J5913" s="192">
        <v>51947.69</v>
      </c>
      <c r="K5913" s="192">
        <v>257.07</v>
      </c>
      <c r="L5913" s="43">
        <v>5.73311853746661</v>
      </c>
      <c r="M5913" s="43">
        <v>11.5</v>
      </c>
      <c r="N5913" s="43">
        <v>5.5586374044984703</v>
      </c>
      <c r="O5913" s="43">
        <v>3.9109995435874025</v>
      </c>
      <c r="P5913" s="193"/>
      <c r="Q5913" s="193"/>
      <c r="R5913" s="193">
        <v>1</v>
      </c>
    </row>
    <row r="5914" spans="1:18" ht="48">
      <c r="A5914" s="189">
        <v>769</v>
      </c>
      <c r="B5914" s="186" t="s">
        <v>10831</v>
      </c>
      <c r="C5914" s="190" t="s">
        <v>10832</v>
      </c>
      <c r="D5914" s="191">
        <v>7496.82</v>
      </c>
      <c r="E5914" s="191">
        <v>346.88</v>
      </c>
      <c r="F5914" s="191">
        <v>6989.59</v>
      </c>
      <c r="G5914" s="191">
        <v>160.35</v>
      </c>
      <c r="H5914" s="192">
        <v>43486.29</v>
      </c>
      <c r="I5914" s="192">
        <v>3989.12</v>
      </c>
      <c r="J5914" s="192">
        <v>38935.82</v>
      </c>
      <c r="K5914" s="192">
        <v>561.35</v>
      </c>
      <c r="L5914" s="43">
        <v>5.8006314677423232</v>
      </c>
      <c r="M5914" s="43">
        <v>11.5</v>
      </c>
      <c r="N5914" s="43">
        <v>5.5705441950100072</v>
      </c>
      <c r="O5914" s="43">
        <v>3.5007795447458685</v>
      </c>
      <c r="P5914" s="193"/>
      <c r="Q5914" s="193"/>
      <c r="R5914" s="193">
        <v>1</v>
      </c>
    </row>
    <row r="5915" spans="1:18" ht="48">
      <c r="A5915" s="189">
        <v>770</v>
      </c>
      <c r="B5915" s="186" t="s">
        <v>10833</v>
      </c>
      <c r="C5915" s="190" t="s">
        <v>10834</v>
      </c>
      <c r="D5915" s="191">
        <v>15992.89</v>
      </c>
      <c r="E5915" s="191">
        <v>574.52</v>
      </c>
      <c r="F5915" s="191">
        <v>15253.47</v>
      </c>
      <c r="G5915" s="191">
        <v>164.9</v>
      </c>
      <c r="H5915" s="192">
        <v>92009.58</v>
      </c>
      <c r="I5915" s="192">
        <v>6606.98</v>
      </c>
      <c r="J5915" s="192">
        <v>84788.92</v>
      </c>
      <c r="K5915" s="192">
        <v>613.67999999999995</v>
      </c>
      <c r="L5915" s="43">
        <v>5.7531553083901663</v>
      </c>
      <c r="M5915" s="43">
        <v>11.5</v>
      </c>
      <c r="N5915" s="43">
        <v>5.558664356372681</v>
      </c>
      <c r="O5915" s="43">
        <v>3.721528198908429</v>
      </c>
      <c r="P5915" s="193"/>
      <c r="Q5915" s="193"/>
      <c r="R5915" s="193">
        <v>1</v>
      </c>
    </row>
    <row r="5916" spans="1:18" ht="48">
      <c r="A5916" s="189">
        <v>771</v>
      </c>
      <c r="B5916" s="186" t="s">
        <v>10835</v>
      </c>
      <c r="C5916" s="190" t="s">
        <v>10836</v>
      </c>
      <c r="D5916" s="191">
        <v>6473.53</v>
      </c>
      <c r="E5916" s="191">
        <v>271</v>
      </c>
      <c r="F5916" s="191">
        <v>6077.79</v>
      </c>
      <c r="G5916" s="191">
        <v>124.74</v>
      </c>
      <c r="H5916" s="192">
        <v>37408.870000000003</v>
      </c>
      <c r="I5916" s="192">
        <v>3116.5</v>
      </c>
      <c r="J5916" s="192">
        <v>33855.51</v>
      </c>
      <c r="K5916" s="192">
        <v>436.86</v>
      </c>
      <c r="L5916" s="43">
        <v>5.7787435912091247</v>
      </c>
      <c r="M5916" s="43">
        <v>11.5</v>
      </c>
      <c r="N5916" s="43">
        <v>5.5703652149876852</v>
      </c>
      <c r="O5916" s="43">
        <v>3.5021645021645025</v>
      </c>
      <c r="P5916" s="193"/>
      <c r="Q5916" s="193"/>
      <c r="R5916" s="193">
        <v>1</v>
      </c>
    </row>
    <row r="5917" spans="1:18" ht="48">
      <c r="A5917" s="189">
        <v>772</v>
      </c>
      <c r="B5917" s="186" t="s">
        <v>10837</v>
      </c>
      <c r="C5917" s="190" t="s">
        <v>10838</v>
      </c>
      <c r="D5917" s="191">
        <v>13709.35</v>
      </c>
      <c r="E5917" s="191">
        <v>466.12</v>
      </c>
      <c r="F5917" s="191">
        <v>13114.59</v>
      </c>
      <c r="G5917" s="191">
        <v>128.63999999999999</v>
      </c>
      <c r="H5917" s="192">
        <v>78741.58</v>
      </c>
      <c r="I5917" s="192">
        <v>5360.38</v>
      </c>
      <c r="J5917" s="192">
        <v>72899.490000000005</v>
      </c>
      <c r="K5917" s="192">
        <v>481.71</v>
      </c>
      <c r="L5917" s="43">
        <v>5.7436406540062075</v>
      </c>
      <c r="M5917" s="43">
        <v>11.5</v>
      </c>
      <c r="N5917" s="43">
        <v>5.5586556651790113</v>
      </c>
      <c r="O5917" s="43">
        <v>3.7446361940298512</v>
      </c>
      <c r="P5917" s="193"/>
      <c r="Q5917" s="193"/>
      <c r="R5917" s="193">
        <v>1</v>
      </c>
    </row>
    <row r="5918" spans="1:18" ht="60">
      <c r="A5918" s="189">
        <v>773</v>
      </c>
      <c r="B5918" s="186" t="s">
        <v>10839</v>
      </c>
      <c r="C5918" s="190" t="s">
        <v>10840</v>
      </c>
      <c r="D5918" s="191">
        <v>1625.18</v>
      </c>
      <c r="E5918" s="191">
        <v>168.6</v>
      </c>
      <c r="F5918" s="191">
        <v>1376.5</v>
      </c>
      <c r="G5918" s="191">
        <v>80.08</v>
      </c>
      <c r="H5918" s="192">
        <v>9713.2800000000007</v>
      </c>
      <c r="I5918" s="192">
        <v>1938.9</v>
      </c>
      <c r="J5918" s="192">
        <v>7494.85</v>
      </c>
      <c r="K5918" s="192">
        <v>279.52999999999997</v>
      </c>
      <c r="L5918" s="43">
        <v>5.9767410379157999</v>
      </c>
      <c r="M5918" s="43">
        <v>11.500000000000002</v>
      </c>
      <c r="N5918" s="43">
        <v>5.4448601525608433</v>
      </c>
      <c r="O5918" s="43">
        <v>3.4906343656343655</v>
      </c>
      <c r="P5918" s="193"/>
      <c r="Q5918" s="193"/>
      <c r="R5918" s="193">
        <v>1</v>
      </c>
    </row>
    <row r="5919" spans="1:18" ht="60">
      <c r="A5919" s="189">
        <v>774</v>
      </c>
      <c r="B5919" s="186" t="s">
        <v>10841</v>
      </c>
      <c r="C5919" s="190" t="s">
        <v>10842</v>
      </c>
      <c r="D5919" s="191">
        <v>2501.1</v>
      </c>
      <c r="E5919" s="191">
        <v>191.08</v>
      </c>
      <c r="F5919" s="191">
        <v>2229.4899999999998</v>
      </c>
      <c r="G5919" s="191">
        <v>80.53</v>
      </c>
      <c r="H5919" s="192">
        <v>14738.54</v>
      </c>
      <c r="I5919" s="192">
        <v>2197.42</v>
      </c>
      <c r="J5919" s="192">
        <v>12256.42</v>
      </c>
      <c r="K5919" s="192">
        <v>284.7</v>
      </c>
      <c r="L5919" s="43">
        <v>5.8928231578105637</v>
      </c>
      <c r="M5919" s="43">
        <v>11.5</v>
      </c>
      <c r="N5919" s="43">
        <v>5.4974097215058162</v>
      </c>
      <c r="O5919" s="43">
        <v>3.5353284490252079</v>
      </c>
      <c r="P5919" s="193"/>
      <c r="Q5919" s="193"/>
      <c r="R5919" s="193">
        <v>1</v>
      </c>
    </row>
    <row r="5920" spans="1:18" ht="48">
      <c r="A5920" s="189">
        <v>775</v>
      </c>
      <c r="B5920" s="186" t="s">
        <v>10843</v>
      </c>
      <c r="C5920" s="190" t="s">
        <v>10844</v>
      </c>
      <c r="D5920" s="191">
        <v>5895.37</v>
      </c>
      <c r="E5920" s="191">
        <v>303.52</v>
      </c>
      <c r="F5920" s="191">
        <v>5509.07</v>
      </c>
      <c r="G5920" s="191">
        <v>82.78</v>
      </c>
      <c r="H5920" s="192">
        <v>34183.46</v>
      </c>
      <c r="I5920" s="192">
        <v>3490.48</v>
      </c>
      <c r="J5920" s="192">
        <v>30382.400000000001</v>
      </c>
      <c r="K5920" s="192">
        <v>310.58</v>
      </c>
      <c r="L5920" s="43">
        <v>5.7983570157598248</v>
      </c>
      <c r="M5920" s="43">
        <v>11.5</v>
      </c>
      <c r="N5920" s="43">
        <v>5.5149780271443278</v>
      </c>
      <c r="O5920" s="43">
        <v>3.7518724329548196</v>
      </c>
      <c r="P5920" s="193"/>
      <c r="Q5920" s="193"/>
      <c r="R5920" s="193">
        <v>1</v>
      </c>
    </row>
    <row r="5921" spans="1:18" ht="48">
      <c r="A5921" s="189">
        <v>776</v>
      </c>
      <c r="B5921" s="186" t="s">
        <v>10845</v>
      </c>
      <c r="C5921" s="190" t="s">
        <v>10846</v>
      </c>
      <c r="D5921" s="191">
        <v>7865.67</v>
      </c>
      <c r="E5921" s="191">
        <v>379.4</v>
      </c>
      <c r="F5921" s="191">
        <v>7401.97</v>
      </c>
      <c r="G5921" s="191">
        <v>84.3</v>
      </c>
      <c r="H5921" s="192">
        <v>45513.87</v>
      </c>
      <c r="I5921" s="192">
        <v>4363.1000000000004</v>
      </c>
      <c r="J5921" s="192">
        <v>40822.71</v>
      </c>
      <c r="K5921" s="192">
        <v>328.06</v>
      </c>
      <c r="L5921" s="43">
        <v>5.7863945474447824</v>
      </c>
      <c r="M5921" s="43">
        <v>11.500000000000002</v>
      </c>
      <c r="N5921" s="43">
        <v>5.5151142195928919</v>
      </c>
      <c r="O5921" s="43">
        <v>3.8915776986951367</v>
      </c>
      <c r="P5921" s="193"/>
      <c r="Q5921" s="193"/>
      <c r="R5921" s="193">
        <v>1</v>
      </c>
    </row>
    <row r="5922" spans="1:18" ht="48">
      <c r="A5922" s="189">
        <v>777</v>
      </c>
      <c r="B5922" s="186" t="s">
        <v>10847</v>
      </c>
      <c r="C5922" s="190" t="s">
        <v>10848</v>
      </c>
      <c r="D5922" s="191">
        <v>10895.54</v>
      </c>
      <c r="E5922" s="191">
        <v>368.56</v>
      </c>
      <c r="F5922" s="191">
        <v>10442.9</v>
      </c>
      <c r="G5922" s="191">
        <v>84.08</v>
      </c>
      <c r="H5922" s="192">
        <v>62526.04</v>
      </c>
      <c r="I5922" s="192">
        <v>4238.4399999999996</v>
      </c>
      <c r="J5922" s="192">
        <v>57962.07</v>
      </c>
      <c r="K5922" s="192">
        <v>325.52999999999997</v>
      </c>
      <c r="L5922" s="43">
        <v>5.7386820662399476</v>
      </c>
      <c r="M5922" s="43">
        <v>11.499999999999998</v>
      </c>
      <c r="N5922" s="43">
        <v>5.5503806413927164</v>
      </c>
      <c r="O5922" s="43">
        <v>3.8716698382492862</v>
      </c>
      <c r="P5922" s="193"/>
      <c r="Q5922" s="193"/>
      <c r="R5922" s="193">
        <v>1</v>
      </c>
    </row>
    <row r="5923" spans="1:18" ht="48">
      <c r="A5923" s="189">
        <v>778</v>
      </c>
      <c r="B5923" s="186" t="s">
        <v>10849</v>
      </c>
      <c r="C5923" s="190" t="s">
        <v>10850</v>
      </c>
      <c r="D5923" s="191">
        <v>15002.08</v>
      </c>
      <c r="E5923" s="191">
        <v>476.96</v>
      </c>
      <c r="F5923" s="191">
        <v>14438.87</v>
      </c>
      <c r="G5923" s="191">
        <v>86.25</v>
      </c>
      <c r="H5923" s="192">
        <v>85817.42</v>
      </c>
      <c r="I5923" s="192">
        <v>5485.04</v>
      </c>
      <c r="J5923" s="192">
        <v>79981.899999999994</v>
      </c>
      <c r="K5923" s="192">
        <v>350.48</v>
      </c>
      <c r="L5923" s="43">
        <v>5.720368108955558</v>
      </c>
      <c r="M5923" s="43">
        <v>11.5</v>
      </c>
      <c r="N5923" s="43">
        <v>5.539346223077013</v>
      </c>
      <c r="O5923" s="43">
        <v>4.0635362318840578</v>
      </c>
      <c r="P5923" s="193"/>
      <c r="Q5923" s="193"/>
      <c r="R5923" s="193">
        <v>1</v>
      </c>
    </row>
    <row r="5924" spans="1:18" ht="48">
      <c r="A5924" s="189">
        <v>779</v>
      </c>
      <c r="B5924" s="186" t="s">
        <v>10851</v>
      </c>
      <c r="C5924" s="190" t="s">
        <v>10852</v>
      </c>
      <c r="D5924" s="191">
        <v>15239.45</v>
      </c>
      <c r="E5924" s="191">
        <v>476.96</v>
      </c>
      <c r="F5924" s="191">
        <v>14676.24</v>
      </c>
      <c r="G5924" s="191">
        <v>86.25</v>
      </c>
      <c r="H5924" s="192">
        <v>87294.07</v>
      </c>
      <c r="I5924" s="192">
        <v>5485.04</v>
      </c>
      <c r="J5924" s="192">
        <v>81458.55</v>
      </c>
      <c r="K5924" s="192">
        <v>350.48</v>
      </c>
      <c r="L5924" s="43">
        <v>5.7281640741627813</v>
      </c>
      <c r="M5924" s="43">
        <v>11.5</v>
      </c>
      <c r="N5924" s="43">
        <v>5.5503691681248064</v>
      </c>
      <c r="O5924" s="43">
        <v>4.0635362318840578</v>
      </c>
      <c r="P5924" s="193"/>
      <c r="Q5924" s="193"/>
      <c r="R5924" s="193">
        <v>1</v>
      </c>
    </row>
    <row r="5925" spans="1:18" ht="48">
      <c r="A5925" s="189">
        <v>780</v>
      </c>
      <c r="B5925" s="186" t="s">
        <v>10853</v>
      </c>
      <c r="C5925" s="190" t="s">
        <v>10854</v>
      </c>
      <c r="D5925" s="191">
        <v>19743.64</v>
      </c>
      <c r="E5925" s="191">
        <v>596.20000000000005</v>
      </c>
      <c r="F5925" s="191">
        <v>19058.810000000001</v>
      </c>
      <c r="G5925" s="191">
        <v>88.63</v>
      </c>
      <c r="H5925" s="192">
        <v>112807.42</v>
      </c>
      <c r="I5925" s="192">
        <v>6856.3</v>
      </c>
      <c r="J5925" s="192">
        <v>105573.27</v>
      </c>
      <c r="K5925" s="192">
        <v>377.85</v>
      </c>
      <c r="L5925" s="43">
        <v>5.7136080276990464</v>
      </c>
      <c r="M5925" s="43">
        <v>11.5</v>
      </c>
      <c r="N5925" s="43">
        <v>5.539342172989814</v>
      </c>
      <c r="O5925" s="43">
        <v>4.2632291549136863</v>
      </c>
      <c r="P5925" s="193"/>
      <c r="Q5925" s="193"/>
      <c r="R5925" s="193">
        <v>1</v>
      </c>
    </row>
    <row r="5926" spans="1:18" ht="12.75" customHeight="1">
      <c r="A5926" s="628" t="s">
        <v>10855</v>
      </c>
      <c r="B5926" s="629"/>
      <c r="C5926" s="629"/>
      <c r="D5926" s="629"/>
      <c r="E5926" s="629"/>
      <c r="F5926" s="629"/>
      <c r="G5926" s="629"/>
      <c r="H5926" s="629"/>
      <c r="I5926" s="629"/>
      <c r="J5926" s="629"/>
      <c r="K5926" s="629"/>
      <c r="L5926" s="629"/>
      <c r="M5926" s="629"/>
      <c r="N5926" s="629"/>
      <c r="O5926" s="629"/>
      <c r="P5926" s="629"/>
      <c r="Q5926" s="629"/>
      <c r="R5926" s="629"/>
    </row>
    <row r="5927" spans="1:18" ht="48">
      <c r="A5927" s="189">
        <v>781</v>
      </c>
      <c r="B5927" s="186" t="s">
        <v>10856</v>
      </c>
      <c r="C5927" s="190" t="s">
        <v>10857</v>
      </c>
      <c r="D5927" s="191">
        <v>31621.57</v>
      </c>
      <c r="E5927" s="191">
        <v>672.08</v>
      </c>
      <c r="F5927" s="191">
        <v>30860.14</v>
      </c>
      <c r="G5927" s="191">
        <v>89.35</v>
      </c>
      <c r="H5927" s="192">
        <v>180136.83</v>
      </c>
      <c r="I5927" s="192">
        <v>7728.92</v>
      </c>
      <c r="J5927" s="192">
        <v>171996.56</v>
      </c>
      <c r="K5927" s="192">
        <v>411.35</v>
      </c>
      <c r="L5927" s="43">
        <v>5.696644094521556</v>
      </c>
      <c r="M5927" s="43">
        <v>11.5</v>
      </c>
      <c r="N5927" s="43">
        <v>5.5734212482509804</v>
      </c>
      <c r="O5927" s="43">
        <v>4.6038052602126474</v>
      </c>
      <c r="P5927" s="193"/>
      <c r="Q5927" s="193"/>
      <c r="R5927" s="193">
        <v>2</v>
      </c>
    </row>
    <row r="5928" spans="1:18" ht="48">
      <c r="A5928" s="189">
        <v>782</v>
      </c>
      <c r="B5928" s="186" t="s">
        <v>10858</v>
      </c>
      <c r="C5928" s="190" t="s">
        <v>10859</v>
      </c>
      <c r="D5928" s="191">
        <v>40236.49</v>
      </c>
      <c r="E5928" s="191">
        <v>834.68</v>
      </c>
      <c r="F5928" s="191">
        <v>39310.06</v>
      </c>
      <c r="G5928" s="191">
        <v>91.75</v>
      </c>
      <c r="H5928" s="192">
        <v>229135.82</v>
      </c>
      <c r="I5928" s="192">
        <v>9598.82</v>
      </c>
      <c r="J5928" s="192">
        <v>219090.95</v>
      </c>
      <c r="K5928" s="192">
        <v>446.05</v>
      </c>
      <c r="L5928" s="43">
        <v>5.6947268511741465</v>
      </c>
      <c r="M5928" s="43">
        <v>11.5</v>
      </c>
      <c r="N5928" s="43">
        <v>5.5734066546833052</v>
      </c>
      <c r="O5928" s="43">
        <v>4.8615803814713896</v>
      </c>
      <c r="P5928" s="193"/>
      <c r="Q5928" s="193"/>
      <c r="R5928" s="193">
        <v>2</v>
      </c>
    </row>
    <row r="5929" spans="1:18" ht="48">
      <c r="A5929" s="189">
        <v>783</v>
      </c>
      <c r="B5929" s="186" t="s">
        <v>10860</v>
      </c>
      <c r="C5929" s="190" t="s">
        <v>10861</v>
      </c>
      <c r="D5929" s="191">
        <v>43896.480000000003</v>
      </c>
      <c r="E5929" s="191">
        <v>1257.44</v>
      </c>
      <c r="F5929" s="191">
        <v>42462.07</v>
      </c>
      <c r="G5929" s="191">
        <v>176.97</v>
      </c>
      <c r="H5929" s="192">
        <v>251922.11</v>
      </c>
      <c r="I5929" s="192">
        <v>14460.56</v>
      </c>
      <c r="J5929" s="192">
        <v>236658.74</v>
      </c>
      <c r="K5929" s="192">
        <v>802.81</v>
      </c>
      <c r="L5929" s="43">
        <v>5.7390048131421922</v>
      </c>
      <c r="M5929" s="43">
        <v>11.499999999999998</v>
      </c>
      <c r="N5929" s="43">
        <v>5.5734150501847886</v>
      </c>
      <c r="O5929" s="43">
        <v>4.5364186020229411</v>
      </c>
      <c r="P5929" s="193"/>
      <c r="Q5929" s="193"/>
      <c r="R5929" s="193">
        <v>2</v>
      </c>
    </row>
    <row r="5930" spans="1:18" ht="48">
      <c r="A5930" s="189">
        <v>784</v>
      </c>
      <c r="B5930" s="186" t="s">
        <v>10862</v>
      </c>
      <c r="C5930" s="190" t="s">
        <v>10863</v>
      </c>
      <c r="D5930" s="191">
        <v>55594.81</v>
      </c>
      <c r="E5930" s="191">
        <v>1582.64</v>
      </c>
      <c r="F5930" s="191">
        <v>53830.41</v>
      </c>
      <c r="G5930" s="191">
        <v>181.76</v>
      </c>
      <c r="H5930" s="192">
        <v>319091.94</v>
      </c>
      <c r="I5930" s="192">
        <v>18200.36</v>
      </c>
      <c r="J5930" s="192">
        <v>300019.37</v>
      </c>
      <c r="K5930" s="192">
        <v>872.21</v>
      </c>
      <c r="L5930" s="43">
        <v>5.7395994338320433</v>
      </c>
      <c r="M5930" s="43">
        <v>11.5</v>
      </c>
      <c r="N5930" s="43">
        <v>5.5734178877701277</v>
      </c>
      <c r="O5930" s="43">
        <v>4.7986905809859159</v>
      </c>
      <c r="P5930" s="193"/>
      <c r="Q5930" s="193"/>
      <c r="R5930" s="193">
        <v>2</v>
      </c>
    </row>
    <row r="5931" spans="1:18" ht="36">
      <c r="A5931" s="189">
        <v>785</v>
      </c>
      <c r="B5931" s="186" t="s">
        <v>10864</v>
      </c>
      <c r="C5931" s="190" t="s">
        <v>10865</v>
      </c>
      <c r="D5931" s="191">
        <v>8296.56</v>
      </c>
      <c r="E5931" s="191">
        <v>252.78</v>
      </c>
      <c r="F5931" s="191">
        <v>8016.56</v>
      </c>
      <c r="G5931" s="191">
        <v>27.22</v>
      </c>
      <c r="H5931" s="192">
        <v>47247.49</v>
      </c>
      <c r="I5931" s="192">
        <v>2907.08</v>
      </c>
      <c r="J5931" s="192">
        <v>44212.66</v>
      </c>
      <c r="K5931" s="192">
        <v>127.75</v>
      </c>
      <c r="L5931" s="43">
        <v>5.6948289411515134</v>
      </c>
      <c r="M5931" s="43">
        <v>11.500435161009573</v>
      </c>
      <c r="N5931" s="43">
        <v>5.5151661061602484</v>
      </c>
      <c r="O5931" s="43">
        <v>4.6932402645113891</v>
      </c>
      <c r="P5931" s="193"/>
      <c r="Q5931" s="193"/>
      <c r="R5931" s="193">
        <v>2</v>
      </c>
    </row>
    <row r="5932" spans="1:18" ht="60">
      <c r="A5932" s="189">
        <v>786</v>
      </c>
      <c r="B5932" s="186" t="s">
        <v>10866</v>
      </c>
      <c r="C5932" s="190" t="s">
        <v>10867</v>
      </c>
      <c r="D5932" s="191">
        <v>20147.75</v>
      </c>
      <c r="E5932" s="191">
        <v>596.20000000000005</v>
      </c>
      <c r="F5932" s="191">
        <v>19463.72</v>
      </c>
      <c r="G5932" s="191">
        <v>87.83</v>
      </c>
      <c r="H5932" s="192">
        <v>114902.13</v>
      </c>
      <c r="I5932" s="192">
        <v>6856.3</v>
      </c>
      <c r="J5932" s="192">
        <v>107651.96</v>
      </c>
      <c r="K5932" s="192">
        <v>393.87</v>
      </c>
      <c r="L5932" s="43">
        <v>5.7029757665247987</v>
      </c>
      <c r="M5932" s="43">
        <v>11.5</v>
      </c>
      <c r="N5932" s="43">
        <v>5.5309036504840803</v>
      </c>
      <c r="O5932" s="43">
        <v>4.4844586132301041</v>
      </c>
      <c r="P5932" s="193"/>
      <c r="Q5932" s="193"/>
      <c r="R5932" s="193">
        <v>2</v>
      </c>
    </row>
    <row r="5933" spans="1:18" ht="60">
      <c r="A5933" s="189">
        <v>787</v>
      </c>
      <c r="B5933" s="186" t="s">
        <v>10868</v>
      </c>
      <c r="C5933" s="190" t="s">
        <v>10869</v>
      </c>
      <c r="D5933" s="191">
        <v>25416.23</v>
      </c>
      <c r="E5933" s="191">
        <v>747.96</v>
      </c>
      <c r="F5933" s="191">
        <v>24578.25</v>
      </c>
      <c r="G5933" s="191">
        <v>90.02</v>
      </c>
      <c r="H5933" s="192">
        <v>144968.18</v>
      </c>
      <c r="I5933" s="192">
        <v>8601.5400000000009</v>
      </c>
      <c r="J5933" s="192">
        <v>135940.49</v>
      </c>
      <c r="K5933" s="192">
        <v>426.15</v>
      </c>
      <c r="L5933" s="43">
        <v>5.703764090897824</v>
      </c>
      <c r="M5933" s="43">
        <v>11.5</v>
      </c>
      <c r="N5933" s="43">
        <v>5.5309263271388316</v>
      </c>
      <c r="O5933" s="43">
        <v>4.7339480115529886</v>
      </c>
      <c r="P5933" s="193"/>
      <c r="Q5933" s="193"/>
      <c r="R5933" s="193">
        <v>2</v>
      </c>
    </row>
    <row r="5934" spans="1:18" ht="60">
      <c r="A5934" s="189">
        <v>788</v>
      </c>
      <c r="B5934" s="186" t="s">
        <v>10870</v>
      </c>
      <c r="C5934" s="190" t="s">
        <v>10871</v>
      </c>
      <c r="D5934" s="191">
        <v>31945.33</v>
      </c>
      <c r="E5934" s="191">
        <v>910.56</v>
      </c>
      <c r="F5934" s="191">
        <v>30860.14</v>
      </c>
      <c r="G5934" s="191">
        <v>174.63</v>
      </c>
      <c r="H5934" s="192">
        <v>183109.17</v>
      </c>
      <c r="I5934" s="192">
        <v>10471.44</v>
      </c>
      <c r="J5934" s="192">
        <v>171996.56</v>
      </c>
      <c r="K5934" s="192">
        <v>641.16999999999996</v>
      </c>
      <c r="L5934" s="43">
        <v>5.7319542480857137</v>
      </c>
      <c r="M5934" s="43">
        <v>11.500000000000002</v>
      </c>
      <c r="N5934" s="43">
        <v>5.5734212482509804</v>
      </c>
      <c r="O5934" s="43">
        <v>3.6715913645994385</v>
      </c>
      <c r="P5934" s="193"/>
      <c r="Q5934" s="193"/>
      <c r="R5934" s="193">
        <v>2</v>
      </c>
    </row>
    <row r="5935" spans="1:18" ht="60">
      <c r="A5935" s="189">
        <v>789</v>
      </c>
      <c r="B5935" s="186" t="s">
        <v>10872</v>
      </c>
      <c r="C5935" s="190" t="s">
        <v>10873</v>
      </c>
      <c r="D5935" s="191">
        <v>40418.33</v>
      </c>
      <c r="E5935" s="191">
        <v>997.28</v>
      </c>
      <c r="F5935" s="191">
        <v>39245.53</v>
      </c>
      <c r="G5935" s="191">
        <v>175.52</v>
      </c>
      <c r="H5935" s="192">
        <v>230859.1</v>
      </c>
      <c r="I5935" s="192">
        <v>11468.72</v>
      </c>
      <c r="J5935" s="192">
        <v>218731.88</v>
      </c>
      <c r="K5935" s="192">
        <v>658.5</v>
      </c>
      <c r="L5935" s="43">
        <v>5.7117426672502303</v>
      </c>
      <c r="M5935" s="43">
        <v>11.5</v>
      </c>
      <c r="N5935" s="43">
        <v>5.5734214826503807</v>
      </c>
      <c r="O5935" s="43">
        <v>3.7517092069279854</v>
      </c>
      <c r="P5935" s="193"/>
      <c r="Q5935" s="193"/>
      <c r="R5935" s="193">
        <v>2</v>
      </c>
    </row>
    <row r="5936" spans="1:18" ht="60">
      <c r="A5936" s="189">
        <v>790</v>
      </c>
      <c r="B5936" s="186" t="s">
        <v>10874</v>
      </c>
      <c r="C5936" s="190" t="s">
        <v>10875</v>
      </c>
      <c r="D5936" s="191">
        <v>38546.120000000003</v>
      </c>
      <c r="E5936" s="191">
        <v>975.6</v>
      </c>
      <c r="F5936" s="191">
        <v>37361.17</v>
      </c>
      <c r="G5936" s="191">
        <v>209.35</v>
      </c>
      <c r="H5936" s="192">
        <v>220198.76</v>
      </c>
      <c r="I5936" s="192">
        <v>11219.4</v>
      </c>
      <c r="J5936" s="192">
        <v>208229.24</v>
      </c>
      <c r="K5936" s="192">
        <v>750.12</v>
      </c>
      <c r="L5936" s="43">
        <v>5.7126050559693162</v>
      </c>
      <c r="M5936" s="43">
        <v>11.5</v>
      </c>
      <c r="N5936" s="43">
        <v>5.5734132523151709</v>
      </c>
      <c r="O5936" s="43">
        <v>3.5830905182708386</v>
      </c>
      <c r="P5936" s="193"/>
      <c r="Q5936" s="193"/>
      <c r="R5936" s="193">
        <v>2</v>
      </c>
    </row>
    <row r="5937" spans="1:18" ht="60">
      <c r="A5937" s="189">
        <v>791</v>
      </c>
      <c r="B5937" s="186" t="s">
        <v>10876</v>
      </c>
      <c r="C5937" s="190" t="s">
        <v>10877</v>
      </c>
      <c r="D5937" s="191">
        <v>49356.160000000003</v>
      </c>
      <c r="E5937" s="191">
        <v>1224.92</v>
      </c>
      <c r="F5937" s="191">
        <v>47917.75</v>
      </c>
      <c r="G5937" s="191">
        <v>213.49</v>
      </c>
      <c r="H5937" s="192">
        <v>281957.15999999997</v>
      </c>
      <c r="I5937" s="192">
        <v>14086.58</v>
      </c>
      <c r="J5937" s="192">
        <v>267065.76</v>
      </c>
      <c r="K5937" s="192">
        <v>804.82</v>
      </c>
      <c r="L5937" s="43">
        <v>5.7127045540009584</v>
      </c>
      <c r="M5937" s="43">
        <v>11.5</v>
      </c>
      <c r="N5937" s="43">
        <v>5.5734202878891432</v>
      </c>
      <c r="O5937" s="43">
        <v>3.7698252845566538</v>
      </c>
      <c r="P5937" s="193"/>
      <c r="Q5937" s="193"/>
      <c r="R5937" s="193">
        <v>2</v>
      </c>
    </row>
    <row r="5938" spans="1:18" ht="12.75" customHeight="1">
      <c r="A5938" s="628" t="s">
        <v>10878</v>
      </c>
      <c r="B5938" s="629"/>
      <c r="C5938" s="629"/>
      <c r="D5938" s="629"/>
      <c r="E5938" s="629"/>
      <c r="F5938" s="629"/>
      <c r="G5938" s="629"/>
      <c r="H5938" s="629"/>
      <c r="I5938" s="629"/>
      <c r="J5938" s="629"/>
      <c r="K5938" s="629"/>
      <c r="L5938" s="629"/>
      <c r="M5938" s="629"/>
      <c r="N5938" s="629"/>
      <c r="O5938" s="629"/>
      <c r="P5938" s="629"/>
      <c r="Q5938" s="629"/>
      <c r="R5938" s="629"/>
    </row>
    <row r="5939" spans="1:18" ht="24">
      <c r="A5939" s="189">
        <v>792</v>
      </c>
      <c r="B5939" s="186" t="s">
        <v>10879</v>
      </c>
      <c r="C5939" s="190" t="s">
        <v>10880</v>
      </c>
      <c r="D5939" s="191">
        <v>1801.6</v>
      </c>
      <c r="E5939" s="191">
        <v>292.68</v>
      </c>
      <c r="F5939" s="191">
        <v>1503.07</v>
      </c>
      <c r="G5939" s="191">
        <v>5.85</v>
      </c>
      <c r="H5939" s="192">
        <v>11553.99</v>
      </c>
      <c r="I5939" s="192">
        <v>3365.82</v>
      </c>
      <c r="J5939" s="192">
        <v>8120.89</v>
      </c>
      <c r="K5939" s="192">
        <v>67.28</v>
      </c>
      <c r="L5939" s="43">
        <v>6.4131827264653642</v>
      </c>
      <c r="M5939" s="43">
        <v>11.5</v>
      </c>
      <c r="N5939" s="43">
        <v>5.4028687951991596</v>
      </c>
      <c r="O5939" s="43">
        <v>11.500854700854703</v>
      </c>
      <c r="P5939" s="193"/>
      <c r="Q5939" s="193"/>
      <c r="R5939" s="193">
        <v>3</v>
      </c>
    </row>
    <row r="5940" spans="1:18" ht="24">
      <c r="A5940" s="189">
        <v>793</v>
      </c>
      <c r="B5940" s="186" t="s">
        <v>10881</v>
      </c>
      <c r="C5940" s="190" t="s">
        <v>10882</v>
      </c>
      <c r="D5940" s="191">
        <v>5693.61</v>
      </c>
      <c r="E5940" s="191">
        <v>487.8</v>
      </c>
      <c r="F5940" s="191">
        <v>5196.05</v>
      </c>
      <c r="G5940" s="191">
        <v>9.76</v>
      </c>
      <c r="H5940" s="192">
        <v>34063.440000000002</v>
      </c>
      <c r="I5940" s="192">
        <v>5609.7</v>
      </c>
      <c r="J5940" s="192">
        <v>28341.5</v>
      </c>
      <c r="K5940" s="192">
        <v>112.24</v>
      </c>
      <c r="L5940" s="43">
        <v>5.9827490818654603</v>
      </c>
      <c r="M5940" s="43">
        <v>11.5</v>
      </c>
      <c r="N5940" s="43">
        <v>5.4544317317962685</v>
      </c>
      <c r="O5940" s="43">
        <v>11.5</v>
      </c>
      <c r="P5940" s="193"/>
      <c r="Q5940" s="193"/>
      <c r="R5940" s="193">
        <v>3</v>
      </c>
    </row>
    <row r="5941" spans="1:18" ht="24">
      <c r="A5941" s="189">
        <v>794</v>
      </c>
      <c r="B5941" s="186" t="s">
        <v>10883</v>
      </c>
      <c r="C5941" s="190" t="s">
        <v>10884</v>
      </c>
      <c r="D5941" s="191">
        <v>6195.77</v>
      </c>
      <c r="E5941" s="191">
        <v>639.55999999999995</v>
      </c>
      <c r="F5941" s="191">
        <v>5543.42</v>
      </c>
      <c r="G5941" s="191">
        <v>12.79</v>
      </c>
      <c r="H5941" s="192">
        <v>37738.6</v>
      </c>
      <c r="I5941" s="192">
        <v>7354.94</v>
      </c>
      <c r="J5941" s="192">
        <v>30236.57</v>
      </c>
      <c r="K5941" s="192">
        <v>147.09</v>
      </c>
      <c r="L5941" s="43">
        <v>6.0910266197744587</v>
      </c>
      <c r="M5941" s="43">
        <v>11.5</v>
      </c>
      <c r="N5941" s="43">
        <v>5.4544974041295804</v>
      </c>
      <c r="O5941" s="43">
        <v>11.500390930414387</v>
      </c>
      <c r="P5941" s="193"/>
      <c r="Q5941" s="193"/>
      <c r="R5941" s="193">
        <v>3</v>
      </c>
    </row>
    <row r="5942" spans="1:18" ht="24">
      <c r="A5942" s="189">
        <v>795</v>
      </c>
      <c r="B5942" s="186" t="s">
        <v>10885</v>
      </c>
      <c r="C5942" s="190" t="s">
        <v>10886</v>
      </c>
      <c r="D5942" s="191">
        <v>8409.65</v>
      </c>
      <c r="E5942" s="191">
        <v>917.1</v>
      </c>
      <c r="F5942" s="191">
        <v>7474.21</v>
      </c>
      <c r="G5942" s="191">
        <v>18.34</v>
      </c>
      <c r="H5942" s="192">
        <v>51526.879999999997</v>
      </c>
      <c r="I5942" s="192">
        <v>10547.1</v>
      </c>
      <c r="J5942" s="192">
        <v>40768.870000000003</v>
      </c>
      <c r="K5942" s="192">
        <v>210.91</v>
      </c>
      <c r="L5942" s="43">
        <v>6.1271134946163039</v>
      </c>
      <c r="M5942" s="43">
        <v>11.500490677134446</v>
      </c>
      <c r="N5942" s="43">
        <v>5.4546059048381039</v>
      </c>
      <c r="O5942" s="43">
        <v>11.5</v>
      </c>
      <c r="P5942" s="193"/>
      <c r="Q5942" s="193"/>
      <c r="R5942" s="193">
        <v>3</v>
      </c>
    </row>
    <row r="5943" spans="1:18" ht="24">
      <c r="A5943" s="189">
        <v>796</v>
      </c>
      <c r="B5943" s="186" t="s">
        <v>10887</v>
      </c>
      <c r="C5943" s="190" t="s">
        <v>10888</v>
      </c>
      <c r="D5943" s="191">
        <v>9431.99</v>
      </c>
      <c r="E5943" s="191">
        <v>1161.6600000000001</v>
      </c>
      <c r="F5943" s="191">
        <v>8247.1</v>
      </c>
      <c r="G5943" s="191">
        <v>23.23</v>
      </c>
      <c r="H5943" s="192">
        <v>58611.1</v>
      </c>
      <c r="I5943" s="192">
        <v>13359.66</v>
      </c>
      <c r="J5943" s="192">
        <v>44984.29</v>
      </c>
      <c r="K5943" s="192">
        <v>267.14999999999998</v>
      </c>
      <c r="L5943" s="43">
        <v>6.2140757146689083</v>
      </c>
      <c r="M5943" s="43">
        <v>11.500490677134444</v>
      </c>
      <c r="N5943" s="43">
        <v>5.4545585721041334</v>
      </c>
      <c r="O5943" s="43">
        <v>11.500215238915194</v>
      </c>
      <c r="P5943" s="193"/>
      <c r="Q5943" s="193"/>
      <c r="R5943" s="193">
        <v>3</v>
      </c>
    </row>
    <row r="5944" spans="1:18" ht="24">
      <c r="A5944" s="189">
        <v>797</v>
      </c>
      <c r="B5944" s="186" t="s">
        <v>10889</v>
      </c>
      <c r="C5944" s="190" t="s">
        <v>10890</v>
      </c>
      <c r="D5944" s="191">
        <v>9421.69</v>
      </c>
      <c r="E5944" s="191">
        <v>1548.88</v>
      </c>
      <c r="F5944" s="191">
        <v>7841.83</v>
      </c>
      <c r="G5944" s="191">
        <v>30.98</v>
      </c>
      <c r="H5944" s="192">
        <v>60942.52</v>
      </c>
      <c r="I5944" s="192">
        <v>17812.88</v>
      </c>
      <c r="J5944" s="192">
        <v>42773.37</v>
      </c>
      <c r="K5944" s="192">
        <v>356.27</v>
      </c>
      <c r="L5944" s="43">
        <v>6.4683215007074093</v>
      </c>
      <c r="M5944" s="43">
        <v>11.500490677134446</v>
      </c>
      <c r="N5944" s="43">
        <v>5.45451380608863</v>
      </c>
      <c r="O5944" s="43">
        <v>11.5</v>
      </c>
      <c r="P5944" s="193"/>
      <c r="Q5944" s="193"/>
      <c r="R5944" s="193">
        <v>3</v>
      </c>
    </row>
    <row r="5945" spans="1:18" ht="24">
      <c r="A5945" s="189">
        <v>798</v>
      </c>
      <c r="B5945" s="186" t="s">
        <v>10891</v>
      </c>
      <c r="C5945" s="190" t="s">
        <v>10892</v>
      </c>
      <c r="D5945" s="191">
        <v>10378.76</v>
      </c>
      <c r="E5945" s="191">
        <v>1956.48</v>
      </c>
      <c r="F5945" s="191">
        <v>8383.15</v>
      </c>
      <c r="G5945" s="191">
        <v>39.130000000000003</v>
      </c>
      <c r="H5945" s="192">
        <v>68675.899999999994</v>
      </c>
      <c r="I5945" s="192">
        <v>22500.48</v>
      </c>
      <c r="J5945" s="192">
        <v>45725.42</v>
      </c>
      <c r="K5945" s="192">
        <v>450</v>
      </c>
      <c r="L5945" s="43">
        <v>6.6169658032366092</v>
      </c>
      <c r="M5945" s="43">
        <v>11.500490677134446</v>
      </c>
      <c r="N5945" s="43">
        <v>5.4544437353500772</v>
      </c>
      <c r="O5945" s="43">
        <v>11.500127779197546</v>
      </c>
      <c r="P5945" s="193"/>
      <c r="Q5945" s="193"/>
      <c r="R5945" s="193">
        <v>3</v>
      </c>
    </row>
    <row r="5946" spans="1:18" ht="12.75" customHeight="1">
      <c r="A5946" s="628" t="s">
        <v>10893</v>
      </c>
      <c r="B5946" s="629"/>
      <c r="C5946" s="629"/>
      <c r="D5946" s="629"/>
      <c r="E5946" s="629"/>
      <c r="F5946" s="629"/>
      <c r="G5946" s="629"/>
      <c r="H5946" s="629"/>
      <c r="I5946" s="629"/>
      <c r="J5946" s="629"/>
      <c r="K5946" s="629"/>
      <c r="L5946" s="629"/>
      <c r="M5946" s="629"/>
      <c r="N5946" s="629"/>
      <c r="O5946" s="629"/>
      <c r="P5946" s="629"/>
      <c r="Q5946" s="629"/>
      <c r="R5946" s="629"/>
    </row>
    <row r="5947" spans="1:18" ht="36">
      <c r="A5947" s="189">
        <v>799</v>
      </c>
      <c r="B5947" s="186" t="s">
        <v>10894</v>
      </c>
      <c r="C5947" s="190" t="s">
        <v>10895</v>
      </c>
      <c r="D5947" s="191">
        <v>641.49</v>
      </c>
      <c r="E5947" s="191">
        <v>130.08000000000001</v>
      </c>
      <c r="F5947" s="191">
        <v>195.43</v>
      </c>
      <c r="G5947" s="191">
        <v>315.98</v>
      </c>
      <c r="H5947" s="192">
        <v>4139.8100000000004</v>
      </c>
      <c r="I5947" s="192">
        <v>1495.92</v>
      </c>
      <c r="J5947" s="192">
        <v>1093.52</v>
      </c>
      <c r="K5947" s="192">
        <v>1550.37</v>
      </c>
      <c r="L5947" s="43">
        <v>6.4534287362234801</v>
      </c>
      <c r="M5947" s="43">
        <v>11.5</v>
      </c>
      <c r="N5947" s="43">
        <v>5.5954561735659825</v>
      </c>
      <c r="O5947" s="43">
        <v>4.9065447180201271</v>
      </c>
      <c r="P5947" s="193"/>
      <c r="Q5947" s="193"/>
      <c r="R5947" s="193">
        <v>4</v>
      </c>
    </row>
    <row r="5948" spans="1:18" ht="36">
      <c r="A5948" s="189">
        <v>800</v>
      </c>
      <c r="B5948" s="186" t="s">
        <v>10896</v>
      </c>
      <c r="C5948" s="190" t="s">
        <v>10897</v>
      </c>
      <c r="D5948" s="191">
        <v>686.86</v>
      </c>
      <c r="E5948" s="191">
        <v>140.91999999999999</v>
      </c>
      <c r="F5948" s="191">
        <v>223.73</v>
      </c>
      <c r="G5948" s="191">
        <v>322.20999999999998</v>
      </c>
      <c r="H5948" s="192">
        <v>4464.45</v>
      </c>
      <c r="I5948" s="192">
        <v>1620.58</v>
      </c>
      <c r="J5948" s="192">
        <v>1251.8900000000001</v>
      </c>
      <c r="K5948" s="192">
        <v>1591.98</v>
      </c>
      <c r="L5948" s="43">
        <v>6.4997961738927872</v>
      </c>
      <c r="M5948" s="43">
        <v>11.5</v>
      </c>
      <c r="N5948" s="43">
        <v>5.5955392660796504</v>
      </c>
      <c r="O5948" s="43">
        <v>4.9408149964308992</v>
      </c>
      <c r="P5948" s="193"/>
      <c r="Q5948" s="193"/>
      <c r="R5948" s="193">
        <v>4</v>
      </c>
    </row>
    <row r="5949" spans="1:18" ht="36">
      <c r="A5949" s="189">
        <v>801</v>
      </c>
      <c r="B5949" s="186" t="s">
        <v>10898</v>
      </c>
      <c r="C5949" s="190" t="s">
        <v>10899</v>
      </c>
      <c r="D5949" s="191">
        <v>805.75</v>
      </c>
      <c r="E5949" s="191">
        <v>184.28</v>
      </c>
      <c r="F5949" s="191">
        <v>288.43</v>
      </c>
      <c r="G5949" s="191">
        <v>333.04</v>
      </c>
      <c r="H5949" s="192">
        <v>5394.08</v>
      </c>
      <c r="I5949" s="192">
        <v>2119.2199999999998</v>
      </c>
      <c r="J5949" s="192">
        <v>1613.88</v>
      </c>
      <c r="K5949" s="192">
        <v>1660.98</v>
      </c>
      <c r="L5949" s="43">
        <v>6.6944834005584859</v>
      </c>
      <c r="M5949" s="43">
        <v>11.499999999999998</v>
      </c>
      <c r="N5949" s="43">
        <v>5.5953957632701181</v>
      </c>
      <c r="O5949" s="43">
        <v>4.9873288493874606</v>
      </c>
      <c r="P5949" s="193"/>
      <c r="Q5949" s="193"/>
      <c r="R5949" s="193">
        <v>4</v>
      </c>
    </row>
    <row r="5950" spans="1:18" ht="36">
      <c r="A5950" s="189">
        <v>802</v>
      </c>
      <c r="B5950" s="186" t="s">
        <v>10900</v>
      </c>
      <c r="C5950" s="190" t="s">
        <v>10901</v>
      </c>
      <c r="D5950" s="191">
        <v>1050.5999999999999</v>
      </c>
      <c r="E5950" s="191">
        <v>241.29</v>
      </c>
      <c r="F5950" s="191">
        <v>326.17</v>
      </c>
      <c r="G5950" s="191">
        <v>483.14</v>
      </c>
      <c r="H5950" s="192">
        <v>6925.2</v>
      </c>
      <c r="I5950" s="192">
        <v>2774.94</v>
      </c>
      <c r="J5950" s="192">
        <v>1825.04</v>
      </c>
      <c r="K5950" s="192">
        <v>2325.2199999999998</v>
      </c>
      <c r="L5950" s="43">
        <v>6.5916619074814395</v>
      </c>
      <c r="M5950" s="43">
        <v>11.500435161009575</v>
      </c>
      <c r="N5950" s="43">
        <v>5.595364380537756</v>
      </c>
      <c r="O5950" s="43">
        <v>4.8127250900360146</v>
      </c>
      <c r="P5950" s="193"/>
      <c r="Q5950" s="193"/>
      <c r="R5950" s="193">
        <v>4</v>
      </c>
    </row>
    <row r="5951" spans="1:18" ht="36">
      <c r="A5951" s="189">
        <v>803</v>
      </c>
      <c r="B5951" s="186" t="s">
        <v>10902</v>
      </c>
      <c r="C5951" s="190" t="s">
        <v>10903</v>
      </c>
      <c r="D5951" s="191">
        <v>1224.6199999999999</v>
      </c>
      <c r="E5951" s="191">
        <v>298.74</v>
      </c>
      <c r="F5951" s="191">
        <v>407.04</v>
      </c>
      <c r="G5951" s="191">
        <v>518.84</v>
      </c>
      <c r="H5951" s="192">
        <v>8255.85</v>
      </c>
      <c r="I5951" s="192">
        <v>3435.64</v>
      </c>
      <c r="J5951" s="192">
        <v>2277.5300000000002</v>
      </c>
      <c r="K5951" s="192">
        <v>2542.6799999999998</v>
      </c>
      <c r="L5951" s="43">
        <v>6.741560647384496</v>
      </c>
      <c r="M5951" s="43">
        <v>11.500435161009573</v>
      </c>
      <c r="N5951" s="43">
        <v>5.5953468946540879</v>
      </c>
      <c r="O5951" s="43">
        <v>4.9007015650296806</v>
      </c>
      <c r="P5951" s="193"/>
      <c r="Q5951" s="193"/>
      <c r="R5951" s="193">
        <v>4</v>
      </c>
    </row>
    <row r="5952" spans="1:18" ht="36">
      <c r="A5952" s="189">
        <v>804</v>
      </c>
      <c r="B5952" s="186" t="s">
        <v>10904</v>
      </c>
      <c r="C5952" s="190" t="s">
        <v>10905</v>
      </c>
      <c r="D5952" s="191">
        <v>1370.77</v>
      </c>
      <c r="E5952" s="191">
        <v>344.7</v>
      </c>
      <c r="F5952" s="191">
        <v>491.95</v>
      </c>
      <c r="G5952" s="191">
        <v>534.12</v>
      </c>
      <c r="H5952" s="192">
        <v>9358.84</v>
      </c>
      <c r="I5952" s="192">
        <v>3964.2</v>
      </c>
      <c r="J5952" s="192">
        <v>2752.65</v>
      </c>
      <c r="K5952" s="192">
        <v>2641.99</v>
      </c>
      <c r="L5952" s="43">
        <v>6.8274327567717412</v>
      </c>
      <c r="M5952" s="43">
        <v>11.500435161009573</v>
      </c>
      <c r="N5952" s="43">
        <v>5.5953857099298716</v>
      </c>
      <c r="O5952" s="43">
        <v>4.9464352579944579</v>
      </c>
      <c r="P5952" s="193"/>
      <c r="Q5952" s="193"/>
      <c r="R5952" s="193">
        <v>4</v>
      </c>
    </row>
    <row r="5953" spans="1:18" ht="36">
      <c r="A5953" s="189">
        <v>805</v>
      </c>
      <c r="B5953" s="186" t="s">
        <v>10906</v>
      </c>
      <c r="C5953" s="190" t="s">
        <v>10907</v>
      </c>
      <c r="D5953" s="191">
        <v>1846.61</v>
      </c>
      <c r="E5953" s="191">
        <v>436.62</v>
      </c>
      <c r="F5953" s="191">
        <v>626.73</v>
      </c>
      <c r="G5953" s="191">
        <v>783.26</v>
      </c>
      <c r="H5953" s="192">
        <v>12283.86</v>
      </c>
      <c r="I5953" s="192">
        <v>5021.32</v>
      </c>
      <c r="J5953" s="192">
        <v>3506.8</v>
      </c>
      <c r="K5953" s="192">
        <v>3755.74</v>
      </c>
      <c r="L5953" s="43">
        <v>6.6521138735304159</v>
      </c>
      <c r="M5953" s="43">
        <v>11.500435161009573</v>
      </c>
      <c r="N5953" s="43">
        <v>5.5953919550683713</v>
      </c>
      <c r="O5953" s="43">
        <v>4.7950105967367156</v>
      </c>
      <c r="P5953" s="193"/>
      <c r="Q5953" s="193"/>
      <c r="R5953" s="193">
        <v>4</v>
      </c>
    </row>
    <row r="5954" spans="1:18" ht="36">
      <c r="A5954" s="189">
        <v>806</v>
      </c>
      <c r="B5954" s="186" t="s">
        <v>10908</v>
      </c>
      <c r="C5954" s="190" t="s">
        <v>10909</v>
      </c>
      <c r="D5954" s="191">
        <v>2000.54</v>
      </c>
      <c r="E5954" s="191">
        <v>494.07</v>
      </c>
      <c r="F5954" s="191">
        <v>699.51</v>
      </c>
      <c r="G5954" s="191">
        <v>806.96</v>
      </c>
      <c r="H5954" s="192">
        <v>13467.24</v>
      </c>
      <c r="I5954" s="192">
        <v>5682.02</v>
      </c>
      <c r="J5954" s="192">
        <v>3914.04</v>
      </c>
      <c r="K5954" s="192">
        <v>3871.18</v>
      </c>
      <c r="L5954" s="43">
        <v>6.7318024133483956</v>
      </c>
      <c r="M5954" s="43">
        <v>11.500435161009575</v>
      </c>
      <c r="N5954" s="43">
        <v>5.5954024960329374</v>
      </c>
      <c r="O5954" s="43">
        <v>4.797239020521463</v>
      </c>
      <c r="P5954" s="193"/>
      <c r="Q5954" s="193"/>
      <c r="R5954" s="193">
        <v>4</v>
      </c>
    </row>
    <row r="5955" spans="1:18" ht="36">
      <c r="A5955" s="189">
        <v>807</v>
      </c>
      <c r="B5955" s="186" t="s">
        <v>10910</v>
      </c>
      <c r="C5955" s="190" t="s">
        <v>10911</v>
      </c>
      <c r="D5955" s="191">
        <v>2868.84</v>
      </c>
      <c r="E5955" s="191">
        <v>597.48</v>
      </c>
      <c r="F5955" s="191">
        <v>867.98</v>
      </c>
      <c r="G5955" s="191">
        <v>1403.38</v>
      </c>
      <c r="H5955" s="192">
        <v>18286.95</v>
      </c>
      <c r="I5955" s="192">
        <v>6871.28</v>
      </c>
      <c r="J5955" s="192">
        <v>4856.7299999999996</v>
      </c>
      <c r="K5955" s="192">
        <v>6558.94</v>
      </c>
      <c r="L5955" s="43">
        <v>6.374335968544778</v>
      </c>
      <c r="M5955" s="43">
        <v>11.500435161009573</v>
      </c>
      <c r="N5955" s="43">
        <v>5.5954399870964764</v>
      </c>
      <c r="O5955" s="43">
        <v>4.6736735595490879</v>
      </c>
      <c r="P5955" s="193"/>
      <c r="Q5955" s="193"/>
      <c r="R5955" s="193">
        <v>4</v>
      </c>
    </row>
    <row r="5956" spans="1:18" ht="36">
      <c r="A5956" s="189">
        <v>808</v>
      </c>
      <c r="B5956" s="186" t="s">
        <v>10912</v>
      </c>
      <c r="C5956" s="190" t="s">
        <v>10913</v>
      </c>
      <c r="D5956" s="191">
        <v>3598.12</v>
      </c>
      <c r="E5956" s="191">
        <v>827.28</v>
      </c>
      <c r="F5956" s="191">
        <v>1171.24</v>
      </c>
      <c r="G5956" s="191">
        <v>1599.6</v>
      </c>
      <c r="H5956" s="192">
        <v>23745.17</v>
      </c>
      <c r="I5956" s="192">
        <v>9514.08</v>
      </c>
      <c r="J5956" s="192">
        <v>6553.56</v>
      </c>
      <c r="K5956" s="192">
        <v>7677.53</v>
      </c>
      <c r="L5956" s="43">
        <v>6.5993268706991426</v>
      </c>
      <c r="M5956" s="43">
        <v>11.500435161009573</v>
      </c>
      <c r="N5956" s="43">
        <v>5.5954031624602987</v>
      </c>
      <c r="O5956" s="43">
        <v>4.7996561640410107</v>
      </c>
      <c r="P5956" s="193"/>
      <c r="Q5956" s="193"/>
      <c r="R5956" s="193">
        <v>4</v>
      </c>
    </row>
    <row r="5957" spans="1:18" ht="36">
      <c r="A5957" s="189">
        <v>809</v>
      </c>
      <c r="B5957" s="186" t="s">
        <v>10914</v>
      </c>
      <c r="C5957" s="190" t="s">
        <v>10915</v>
      </c>
      <c r="D5957" s="191">
        <v>683.58</v>
      </c>
      <c r="E5957" s="191">
        <v>140.91999999999999</v>
      </c>
      <c r="F5957" s="191">
        <v>214.3</v>
      </c>
      <c r="G5957" s="191">
        <v>328.36</v>
      </c>
      <c r="H5957" s="192">
        <v>4441.99</v>
      </c>
      <c r="I5957" s="192">
        <v>1620.58</v>
      </c>
      <c r="J5957" s="192">
        <v>1199.0999999999999</v>
      </c>
      <c r="K5957" s="192">
        <v>1622.31</v>
      </c>
      <c r="L5957" s="43">
        <v>6.4981275051932466</v>
      </c>
      <c r="M5957" s="43">
        <v>11.5</v>
      </c>
      <c r="N5957" s="43">
        <v>5.5954269715352298</v>
      </c>
      <c r="O5957" s="43">
        <v>4.9406444146668287</v>
      </c>
      <c r="P5957" s="193"/>
      <c r="Q5957" s="193"/>
      <c r="R5957" s="193">
        <v>4</v>
      </c>
    </row>
    <row r="5958" spans="1:18" ht="36">
      <c r="A5958" s="189">
        <v>810</v>
      </c>
      <c r="B5958" s="186" t="s">
        <v>10916</v>
      </c>
      <c r="C5958" s="190" t="s">
        <v>10917</v>
      </c>
      <c r="D5958" s="191">
        <v>727.89</v>
      </c>
      <c r="E5958" s="191">
        <v>151.76</v>
      </c>
      <c r="F5958" s="191">
        <v>239.91</v>
      </c>
      <c r="G5958" s="191">
        <v>336.22</v>
      </c>
      <c r="H5958" s="192">
        <v>4761.21</v>
      </c>
      <c r="I5958" s="192">
        <v>1745.24</v>
      </c>
      <c r="J5958" s="192">
        <v>1342.39</v>
      </c>
      <c r="K5958" s="192">
        <v>1673.58</v>
      </c>
      <c r="L5958" s="43">
        <v>6.5411119812059519</v>
      </c>
      <c r="M5958" s="43">
        <v>11.5</v>
      </c>
      <c r="N5958" s="43">
        <v>5.5953899378933771</v>
      </c>
      <c r="O5958" s="43">
        <v>4.9776336922253277</v>
      </c>
      <c r="P5958" s="193"/>
      <c r="Q5958" s="193"/>
      <c r="R5958" s="193">
        <v>4</v>
      </c>
    </row>
    <row r="5959" spans="1:18" ht="36">
      <c r="A5959" s="189">
        <v>811</v>
      </c>
      <c r="B5959" s="186" t="s">
        <v>10918</v>
      </c>
      <c r="C5959" s="190" t="s">
        <v>10919</v>
      </c>
      <c r="D5959" s="191">
        <v>841.76</v>
      </c>
      <c r="E5959" s="191">
        <v>184.28</v>
      </c>
      <c r="F5959" s="191">
        <v>300.56</v>
      </c>
      <c r="G5959" s="191">
        <v>356.92</v>
      </c>
      <c r="H5959" s="192">
        <v>5604.02</v>
      </c>
      <c r="I5959" s="192">
        <v>2119.2199999999998</v>
      </c>
      <c r="J5959" s="192">
        <v>1681.75</v>
      </c>
      <c r="K5959" s="192">
        <v>1803.05</v>
      </c>
      <c r="L5959" s="43">
        <v>6.6575033263638099</v>
      </c>
      <c r="M5959" s="43">
        <v>11.499999999999998</v>
      </c>
      <c r="N5959" s="43">
        <v>5.5953886079318602</v>
      </c>
      <c r="O5959" s="43">
        <v>5.0516922559677235</v>
      </c>
      <c r="P5959" s="193"/>
      <c r="Q5959" s="193"/>
      <c r="R5959" s="193">
        <v>4</v>
      </c>
    </row>
    <row r="5960" spans="1:18" ht="36">
      <c r="A5960" s="189">
        <v>812</v>
      </c>
      <c r="B5960" s="186" t="s">
        <v>10920</v>
      </c>
      <c r="C5960" s="190" t="s">
        <v>10921</v>
      </c>
      <c r="D5960" s="191">
        <v>1080.01</v>
      </c>
      <c r="E5960" s="191">
        <v>252.78</v>
      </c>
      <c r="F5960" s="191">
        <v>349.08</v>
      </c>
      <c r="G5960" s="191">
        <v>478.15</v>
      </c>
      <c r="H5960" s="192">
        <v>7184.37</v>
      </c>
      <c r="I5960" s="192">
        <v>2907.08</v>
      </c>
      <c r="J5960" s="192">
        <v>1953.25</v>
      </c>
      <c r="K5960" s="192">
        <v>2324.04</v>
      </c>
      <c r="L5960" s="43">
        <v>6.6521328506217534</v>
      </c>
      <c r="M5960" s="43">
        <v>11.500435161009573</v>
      </c>
      <c r="N5960" s="43">
        <v>5.5954222527787332</v>
      </c>
      <c r="O5960" s="43">
        <v>4.8604831119941441</v>
      </c>
      <c r="P5960" s="193"/>
      <c r="Q5960" s="193"/>
      <c r="R5960" s="193">
        <v>4</v>
      </c>
    </row>
    <row r="5961" spans="1:18" ht="12.75" customHeight="1">
      <c r="A5961" s="628" t="s">
        <v>10922</v>
      </c>
      <c r="B5961" s="629"/>
      <c r="C5961" s="629"/>
      <c r="D5961" s="629"/>
      <c r="E5961" s="629"/>
      <c r="F5961" s="629"/>
      <c r="G5961" s="629"/>
      <c r="H5961" s="629"/>
      <c r="I5961" s="629"/>
      <c r="J5961" s="629"/>
      <c r="K5961" s="629"/>
      <c r="L5961" s="629"/>
      <c r="M5961" s="629"/>
      <c r="N5961" s="629"/>
      <c r="O5961" s="629"/>
      <c r="P5961" s="629"/>
      <c r="Q5961" s="629"/>
      <c r="R5961" s="629"/>
    </row>
    <row r="5962" spans="1:18" ht="36">
      <c r="A5962" s="189">
        <v>813</v>
      </c>
      <c r="B5962" s="186" t="s">
        <v>10923</v>
      </c>
      <c r="C5962" s="190" t="s">
        <v>10924</v>
      </c>
      <c r="D5962" s="191">
        <v>389.23</v>
      </c>
      <c r="E5962" s="191">
        <v>101.9</v>
      </c>
      <c r="F5962" s="191">
        <v>114.56</v>
      </c>
      <c r="G5962" s="191">
        <v>172.77</v>
      </c>
      <c r="H5962" s="192">
        <v>2606.29</v>
      </c>
      <c r="I5962" s="192">
        <v>1171.9000000000001</v>
      </c>
      <c r="J5962" s="192">
        <v>641.03</v>
      </c>
      <c r="K5962" s="192">
        <v>793.36</v>
      </c>
      <c r="L5962" s="43">
        <v>6.696015209516224</v>
      </c>
      <c r="M5962" s="43">
        <v>11.500490677134446</v>
      </c>
      <c r="N5962" s="43">
        <v>5.5955831005586587</v>
      </c>
      <c r="O5962" s="43">
        <v>4.5920009260867047</v>
      </c>
      <c r="P5962" s="193"/>
      <c r="Q5962" s="193"/>
      <c r="R5962" s="193">
        <v>5</v>
      </c>
    </row>
    <row r="5963" spans="1:18" ht="36">
      <c r="A5963" s="189">
        <v>814</v>
      </c>
      <c r="B5963" s="186" t="s">
        <v>10925</v>
      </c>
      <c r="C5963" s="190" t="s">
        <v>10926</v>
      </c>
      <c r="D5963" s="191">
        <v>438.04</v>
      </c>
      <c r="E5963" s="191">
        <v>122.28</v>
      </c>
      <c r="F5963" s="191">
        <v>136.13</v>
      </c>
      <c r="G5963" s="191">
        <v>179.63</v>
      </c>
      <c r="H5963" s="192">
        <v>3008.81</v>
      </c>
      <c r="I5963" s="192">
        <v>1406.28</v>
      </c>
      <c r="J5963" s="192">
        <v>761.69</v>
      </c>
      <c r="K5963" s="192">
        <v>840.84</v>
      </c>
      <c r="L5963" s="43">
        <v>6.8688019358962649</v>
      </c>
      <c r="M5963" s="43">
        <v>11.500490677134446</v>
      </c>
      <c r="N5963" s="43">
        <v>5.5953133034599283</v>
      </c>
      <c r="O5963" s="43">
        <v>4.6809552969993877</v>
      </c>
      <c r="P5963" s="193"/>
      <c r="Q5963" s="193"/>
      <c r="R5963" s="193">
        <v>5</v>
      </c>
    </row>
    <row r="5964" spans="1:18" ht="36">
      <c r="A5964" s="189">
        <v>815</v>
      </c>
      <c r="B5964" s="186" t="s">
        <v>10927</v>
      </c>
      <c r="C5964" s="190" t="s">
        <v>10928</v>
      </c>
      <c r="D5964" s="191">
        <v>540.08000000000004</v>
      </c>
      <c r="E5964" s="191">
        <v>163.04</v>
      </c>
      <c r="F5964" s="191">
        <v>186</v>
      </c>
      <c r="G5964" s="191">
        <v>191.04</v>
      </c>
      <c r="H5964" s="192">
        <v>3829.86</v>
      </c>
      <c r="I5964" s="192">
        <v>1875.04</v>
      </c>
      <c r="J5964" s="192">
        <v>1040.73</v>
      </c>
      <c r="K5964" s="192">
        <v>914.09</v>
      </c>
      <c r="L5964" s="43">
        <v>7.0912827729225301</v>
      </c>
      <c r="M5964" s="43">
        <v>11.500490677134446</v>
      </c>
      <c r="N5964" s="43">
        <v>5.5953225806451616</v>
      </c>
      <c r="O5964" s="43">
        <v>4.7848094639866003</v>
      </c>
      <c r="P5964" s="193"/>
      <c r="Q5964" s="193"/>
      <c r="R5964" s="193">
        <v>5</v>
      </c>
    </row>
    <row r="5965" spans="1:18" ht="36">
      <c r="A5965" s="189">
        <v>816</v>
      </c>
      <c r="B5965" s="186" t="s">
        <v>10929</v>
      </c>
      <c r="C5965" s="190" t="s">
        <v>10930</v>
      </c>
      <c r="D5965" s="191">
        <v>759.17</v>
      </c>
      <c r="E5965" s="191">
        <v>227.64</v>
      </c>
      <c r="F5965" s="191">
        <v>222.39</v>
      </c>
      <c r="G5965" s="191">
        <v>309.14</v>
      </c>
      <c r="H5965" s="192">
        <v>5276.15</v>
      </c>
      <c r="I5965" s="192">
        <v>2617.86</v>
      </c>
      <c r="J5965" s="192">
        <v>1244.3499999999999</v>
      </c>
      <c r="K5965" s="192">
        <v>1413.94</v>
      </c>
      <c r="L5965" s="43">
        <v>6.9498926459159343</v>
      </c>
      <c r="M5965" s="43">
        <v>11.500000000000002</v>
      </c>
      <c r="N5965" s="43">
        <v>5.5953505103646748</v>
      </c>
      <c r="O5965" s="43">
        <v>4.5737853399754158</v>
      </c>
      <c r="P5965" s="193"/>
      <c r="Q5965" s="193"/>
      <c r="R5965" s="193">
        <v>5</v>
      </c>
    </row>
    <row r="5966" spans="1:18" ht="36">
      <c r="A5966" s="189">
        <v>817</v>
      </c>
      <c r="B5966" s="186" t="s">
        <v>10931</v>
      </c>
      <c r="C5966" s="190" t="s">
        <v>10932</v>
      </c>
      <c r="D5966" s="191">
        <v>903.64</v>
      </c>
      <c r="E5966" s="191">
        <v>292.68</v>
      </c>
      <c r="F5966" s="191">
        <v>283.04000000000002</v>
      </c>
      <c r="G5966" s="191">
        <v>327.92</v>
      </c>
      <c r="H5966" s="192">
        <v>6493.11</v>
      </c>
      <c r="I5966" s="192">
        <v>3365.82</v>
      </c>
      <c r="J5966" s="192">
        <v>1583.72</v>
      </c>
      <c r="K5966" s="192">
        <v>1543.57</v>
      </c>
      <c r="L5966" s="43">
        <v>7.1855052897171436</v>
      </c>
      <c r="M5966" s="43">
        <v>11.5</v>
      </c>
      <c r="N5966" s="43">
        <v>5.5953928773318253</v>
      </c>
      <c r="O5966" s="43">
        <v>4.7071541839473037</v>
      </c>
      <c r="P5966" s="193"/>
      <c r="Q5966" s="193"/>
      <c r="R5966" s="193">
        <v>5</v>
      </c>
    </row>
    <row r="5967" spans="1:18" ht="36">
      <c r="A5967" s="189">
        <v>818</v>
      </c>
      <c r="B5967" s="186" t="s">
        <v>10933</v>
      </c>
      <c r="C5967" s="190" t="s">
        <v>10934</v>
      </c>
      <c r="D5967" s="191">
        <v>1041.25</v>
      </c>
      <c r="E5967" s="191">
        <v>346.88</v>
      </c>
      <c r="F5967" s="191">
        <v>353.12</v>
      </c>
      <c r="G5967" s="191">
        <v>341.25</v>
      </c>
      <c r="H5967" s="192">
        <v>7593.25</v>
      </c>
      <c r="I5967" s="192">
        <v>3989.12</v>
      </c>
      <c r="J5967" s="192">
        <v>1975.87</v>
      </c>
      <c r="K5967" s="192">
        <v>1628.26</v>
      </c>
      <c r="L5967" s="43">
        <v>7.2924369747899158</v>
      </c>
      <c r="M5967" s="43">
        <v>11.5</v>
      </c>
      <c r="N5967" s="43">
        <v>5.5954632985953783</v>
      </c>
      <c r="O5967" s="43">
        <v>4.7714578754578758</v>
      </c>
      <c r="P5967" s="193"/>
      <c r="Q5967" s="193"/>
      <c r="R5967" s="193">
        <v>5</v>
      </c>
    </row>
    <row r="5968" spans="1:18" ht="36">
      <c r="A5968" s="189">
        <v>819</v>
      </c>
      <c r="B5968" s="186" t="s">
        <v>10935</v>
      </c>
      <c r="C5968" s="190" t="s">
        <v>10936</v>
      </c>
      <c r="D5968" s="191">
        <v>1497.82</v>
      </c>
      <c r="E5968" s="191">
        <v>455.28</v>
      </c>
      <c r="F5968" s="191">
        <v>451.51</v>
      </c>
      <c r="G5968" s="191">
        <v>591.03</v>
      </c>
      <c r="H5968" s="192">
        <v>10508.47</v>
      </c>
      <c r="I5968" s="192">
        <v>5235.72</v>
      </c>
      <c r="J5968" s="192">
        <v>2526.4</v>
      </c>
      <c r="K5968" s="192">
        <v>2746.35</v>
      </c>
      <c r="L5968" s="43">
        <v>7.0158430251966193</v>
      </c>
      <c r="M5968" s="43">
        <v>11.500000000000002</v>
      </c>
      <c r="N5968" s="43">
        <v>5.5954463909990926</v>
      </c>
      <c r="O5968" s="43">
        <v>4.6467184406882902</v>
      </c>
      <c r="P5968" s="193"/>
      <c r="Q5968" s="193"/>
      <c r="R5968" s="193">
        <v>5</v>
      </c>
    </row>
    <row r="5969" spans="1:18" ht="36">
      <c r="A5969" s="189">
        <v>820</v>
      </c>
      <c r="B5969" s="186" t="s">
        <v>10937</v>
      </c>
      <c r="C5969" s="190" t="s">
        <v>10938</v>
      </c>
      <c r="D5969" s="191">
        <v>1667.11</v>
      </c>
      <c r="E5969" s="191">
        <v>520.32000000000005</v>
      </c>
      <c r="F5969" s="191">
        <v>520.25</v>
      </c>
      <c r="G5969" s="191">
        <v>626.54</v>
      </c>
      <c r="H5969" s="192">
        <v>11850.95</v>
      </c>
      <c r="I5969" s="192">
        <v>5983.68</v>
      </c>
      <c r="J5969" s="192">
        <v>2911.02</v>
      </c>
      <c r="K5969" s="192">
        <v>2956.25</v>
      </c>
      <c r="L5969" s="43">
        <v>7.1086790913616991</v>
      </c>
      <c r="M5969" s="43">
        <v>11.5</v>
      </c>
      <c r="N5969" s="43">
        <v>5.5954252763094665</v>
      </c>
      <c r="O5969" s="43">
        <v>4.7183739266447473</v>
      </c>
      <c r="P5969" s="193"/>
      <c r="Q5969" s="193"/>
      <c r="R5969" s="193">
        <v>5</v>
      </c>
    </row>
    <row r="5970" spans="1:18" ht="36">
      <c r="A5970" s="189">
        <v>821</v>
      </c>
      <c r="B5970" s="186" t="s">
        <v>10939</v>
      </c>
      <c r="C5970" s="190" t="s">
        <v>10940</v>
      </c>
      <c r="D5970" s="191">
        <v>2388.67</v>
      </c>
      <c r="E5970" s="191">
        <v>639.55999999999995</v>
      </c>
      <c r="F5970" s="191">
        <v>657.73</v>
      </c>
      <c r="G5970" s="191">
        <v>1091.3800000000001</v>
      </c>
      <c r="H5970" s="192">
        <v>15940.53</v>
      </c>
      <c r="I5970" s="192">
        <v>7354.94</v>
      </c>
      <c r="J5970" s="192">
        <v>3680.25</v>
      </c>
      <c r="K5970" s="192">
        <v>4905.34</v>
      </c>
      <c r="L5970" s="43">
        <v>6.6733914688927314</v>
      </c>
      <c r="M5970" s="43">
        <v>11.5</v>
      </c>
      <c r="N5970" s="43">
        <v>5.5953810834232893</v>
      </c>
      <c r="O5970" s="43">
        <v>4.4946214883908446</v>
      </c>
      <c r="P5970" s="193"/>
      <c r="Q5970" s="193"/>
      <c r="R5970" s="193">
        <v>5</v>
      </c>
    </row>
    <row r="5971" spans="1:18" ht="36">
      <c r="A5971" s="189">
        <v>822</v>
      </c>
      <c r="B5971" s="186" t="s">
        <v>10941</v>
      </c>
      <c r="C5971" s="190" t="s">
        <v>10942</v>
      </c>
      <c r="D5971" s="191">
        <v>2937.74</v>
      </c>
      <c r="E5971" s="191">
        <v>888.88</v>
      </c>
      <c r="F5971" s="191">
        <v>905.72</v>
      </c>
      <c r="G5971" s="191">
        <v>1143.1400000000001</v>
      </c>
      <c r="H5971" s="192">
        <v>20536.259999999998</v>
      </c>
      <c r="I5971" s="192">
        <v>10222.120000000001</v>
      </c>
      <c r="J5971" s="192">
        <v>5067.8900000000003</v>
      </c>
      <c r="K5971" s="192">
        <v>5246.25</v>
      </c>
      <c r="L5971" s="43">
        <v>6.9904960956381439</v>
      </c>
      <c r="M5971" s="43">
        <v>11.500000000000002</v>
      </c>
      <c r="N5971" s="43">
        <v>5.595426842732854</v>
      </c>
      <c r="O5971" s="43">
        <v>4.5893328901096977</v>
      </c>
      <c r="P5971" s="193"/>
      <c r="Q5971" s="193"/>
      <c r="R5971" s="193">
        <v>5</v>
      </c>
    </row>
    <row r="5972" spans="1:18" ht="36">
      <c r="A5972" s="189">
        <v>823</v>
      </c>
      <c r="B5972" s="186" t="s">
        <v>10943</v>
      </c>
      <c r="C5972" s="190" t="s">
        <v>10944</v>
      </c>
      <c r="D5972" s="191">
        <v>615.38</v>
      </c>
      <c r="E5972" s="191">
        <v>213.99</v>
      </c>
      <c r="F5972" s="191">
        <v>218.34</v>
      </c>
      <c r="G5972" s="191">
        <v>183.05</v>
      </c>
      <c r="H5972" s="192">
        <v>4555.3500000000004</v>
      </c>
      <c r="I5972" s="192">
        <v>2460.9899999999998</v>
      </c>
      <c r="J5972" s="192">
        <v>1221.72</v>
      </c>
      <c r="K5972" s="192">
        <v>872.64</v>
      </c>
      <c r="L5972" s="43">
        <v>7.4024992687445161</v>
      </c>
      <c r="M5972" s="43">
        <v>11.500490677134444</v>
      </c>
      <c r="N5972" s="43">
        <v>5.5954932673811486</v>
      </c>
      <c r="O5972" s="43">
        <v>4.7672220704725481</v>
      </c>
      <c r="P5972" s="193"/>
      <c r="Q5972" s="193"/>
      <c r="R5972" s="193">
        <v>5</v>
      </c>
    </row>
    <row r="5973" spans="1:18" ht="36">
      <c r="A5973" s="189">
        <v>824</v>
      </c>
      <c r="B5973" s="186" t="s">
        <v>10945</v>
      </c>
      <c r="C5973" s="190" t="s">
        <v>10946</v>
      </c>
      <c r="D5973" s="191">
        <v>670.99</v>
      </c>
      <c r="E5973" s="191">
        <v>234.37</v>
      </c>
      <c r="F5973" s="191">
        <v>243.95</v>
      </c>
      <c r="G5973" s="191">
        <v>192.67</v>
      </c>
      <c r="H5973" s="192">
        <v>4998.99</v>
      </c>
      <c r="I5973" s="192">
        <v>2695.37</v>
      </c>
      <c r="J5973" s="192">
        <v>1365.01</v>
      </c>
      <c r="K5973" s="192">
        <v>938.61</v>
      </c>
      <c r="L5973" s="43">
        <v>7.4501706433776951</v>
      </c>
      <c r="M5973" s="43">
        <v>11.500490677134446</v>
      </c>
      <c r="N5973" s="43">
        <v>5.5954498872719824</v>
      </c>
      <c r="O5973" s="43">
        <v>4.8715939170602587</v>
      </c>
      <c r="P5973" s="193"/>
      <c r="Q5973" s="193"/>
      <c r="R5973" s="193">
        <v>5</v>
      </c>
    </row>
    <row r="5974" spans="1:18" ht="36">
      <c r="A5974" s="189">
        <v>825</v>
      </c>
      <c r="B5974" s="186" t="s">
        <v>10947</v>
      </c>
      <c r="C5974" s="190" t="s">
        <v>10948</v>
      </c>
      <c r="D5974" s="191">
        <v>796.62</v>
      </c>
      <c r="E5974" s="191">
        <v>285.32</v>
      </c>
      <c r="F5974" s="191">
        <v>299.20999999999998</v>
      </c>
      <c r="G5974" s="191">
        <v>212.09</v>
      </c>
      <c r="H5974" s="192">
        <v>6016.32</v>
      </c>
      <c r="I5974" s="192">
        <v>3281.32</v>
      </c>
      <c r="J5974" s="192">
        <v>1674.21</v>
      </c>
      <c r="K5974" s="192">
        <v>1060.79</v>
      </c>
      <c r="L5974" s="43">
        <v>7.5523085034269783</v>
      </c>
      <c r="M5974" s="43">
        <v>11.500490677134446</v>
      </c>
      <c r="N5974" s="43">
        <v>5.5954346445640191</v>
      </c>
      <c r="O5974" s="43">
        <v>5.0016030930265449</v>
      </c>
      <c r="P5974" s="193"/>
      <c r="Q5974" s="193"/>
      <c r="R5974" s="193">
        <v>5</v>
      </c>
    </row>
    <row r="5975" spans="1:18" ht="36">
      <c r="A5975" s="189">
        <v>826</v>
      </c>
      <c r="B5975" s="186" t="s">
        <v>10949</v>
      </c>
      <c r="C5975" s="190" t="s">
        <v>10950</v>
      </c>
      <c r="D5975" s="191">
        <v>973.34</v>
      </c>
      <c r="E5975" s="191">
        <v>325.2</v>
      </c>
      <c r="F5975" s="191">
        <v>315.39</v>
      </c>
      <c r="G5975" s="191">
        <v>332.75</v>
      </c>
      <c r="H5975" s="192">
        <v>7079.62</v>
      </c>
      <c r="I5975" s="192">
        <v>3739.8</v>
      </c>
      <c r="J5975" s="192">
        <v>1764.71</v>
      </c>
      <c r="K5975" s="192">
        <v>1575.11</v>
      </c>
      <c r="L5975" s="43">
        <v>7.2735323730659376</v>
      </c>
      <c r="M5975" s="43">
        <v>11.500000000000002</v>
      </c>
      <c r="N5975" s="43">
        <v>5.5953264212562228</v>
      </c>
      <c r="O5975" s="43">
        <v>4.7336138241923367</v>
      </c>
      <c r="P5975" s="193"/>
      <c r="Q5975" s="193"/>
      <c r="R5975" s="193">
        <v>5</v>
      </c>
    </row>
    <row r="5976" spans="1:18" ht="12.75" customHeight="1">
      <c r="A5976" s="628" t="s">
        <v>10951</v>
      </c>
      <c r="B5976" s="629"/>
      <c r="C5976" s="629"/>
      <c r="D5976" s="629"/>
      <c r="E5976" s="629"/>
      <c r="F5976" s="629"/>
      <c r="G5976" s="629"/>
      <c r="H5976" s="629"/>
      <c r="I5976" s="629"/>
      <c r="J5976" s="629"/>
      <c r="K5976" s="629"/>
      <c r="L5976" s="629"/>
      <c r="M5976" s="629"/>
      <c r="N5976" s="629"/>
      <c r="O5976" s="629"/>
      <c r="P5976" s="629"/>
      <c r="Q5976" s="629"/>
      <c r="R5976" s="629"/>
    </row>
    <row r="5977" spans="1:18" ht="36">
      <c r="A5977" s="189">
        <v>827</v>
      </c>
      <c r="B5977" s="186" t="s">
        <v>10952</v>
      </c>
      <c r="C5977" s="190" t="s">
        <v>10953</v>
      </c>
      <c r="D5977" s="191">
        <v>861.31</v>
      </c>
      <c r="E5977" s="191">
        <v>160.86000000000001</v>
      </c>
      <c r="F5977" s="191">
        <v>237.21</v>
      </c>
      <c r="G5977" s="191">
        <v>463.24</v>
      </c>
      <c r="H5977" s="192">
        <v>5199.9799999999996</v>
      </c>
      <c r="I5977" s="192">
        <v>1849.96</v>
      </c>
      <c r="J5977" s="192">
        <v>1327.3</v>
      </c>
      <c r="K5977" s="192">
        <v>2022.72</v>
      </c>
      <c r="L5977" s="43">
        <v>6.0372920319048893</v>
      </c>
      <c r="M5977" s="43">
        <v>11.500435161009573</v>
      </c>
      <c r="N5977" s="43">
        <v>5.5954639349099953</v>
      </c>
      <c r="O5977" s="43">
        <v>4.366462308954322</v>
      </c>
      <c r="P5977" s="193"/>
      <c r="Q5977" s="193"/>
      <c r="R5977" s="193">
        <v>6</v>
      </c>
    </row>
    <row r="5978" spans="1:18" ht="36">
      <c r="A5978" s="189">
        <v>828</v>
      </c>
      <c r="B5978" s="186" t="s">
        <v>10954</v>
      </c>
      <c r="C5978" s="190" t="s">
        <v>10955</v>
      </c>
      <c r="D5978" s="191">
        <v>1052.19</v>
      </c>
      <c r="E5978" s="191">
        <v>195.33</v>
      </c>
      <c r="F5978" s="191">
        <v>283.04000000000002</v>
      </c>
      <c r="G5978" s="191">
        <v>573.82000000000005</v>
      </c>
      <c r="H5978" s="192">
        <v>6201.7</v>
      </c>
      <c r="I5978" s="192">
        <v>2246.38</v>
      </c>
      <c r="J5978" s="192">
        <v>1583.72</v>
      </c>
      <c r="K5978" s="192">
        <v>2371.6</v>
      </c>
      <c r="L5978" s="43">
        <v>5.894087569735504</v>
      </c>
      <c r="M5978" s="43">
        <v>11.500435161009573</v>
      </c>
      <c r="N5978" s="43">
        <v>5.5953928773318253</v>
      </c>
      <c r="O5978" s="43">
        <v>4.1330033808511377</v>
      </c>
      <c r="P5978" s="193"/>
      <c r="Q5978" s="193"/>
      <c r="R5978" s="193">
        <v>6</v>
      </c>
    </row>
    <row r="5979" spans="1:18" ht="36">
      <c r="A5979" s="189">
        <v>829</v>
      </c>
      <c r="B5979" s="186" t="s">
        <v>10956</v>
      </c>
      <c r="C5979" s="190" t="s">
        <v>10957</v>
      </c>
      <c r="D5979" s="191">
        <v>1489.87</v>
      </c>
      <c r="E5979" s="191">
        <v>275.76</v>
      </c>
      <c r="F5979" s="191">
        <v>386.82</v>
      </c>
      <c r="G5979" s="191">
        <v>827.29</v>
      </c>
      <c r="H5979" s="192">
        <v>8485.83</v>
      </c>
      <c r="I5979" s="192">
        <v>3171.36</v>
      </c>
      <c r="J5979" s="192">
        <v>2164.41</v>
      </c>
      <c r="K5979" s="192">
        <v>3150.06</v>
      </c>
      <c r="L5979" s="43">
        <v>5.6956848584104653</v>
      </c>
      <c r="M5979" s="43">
        <v>11.500435161009575</v>
      </c>
      <c r="N5979" s="43">
        <v>5.5953932061423917</v>
      </c>
      <c r="O5979" s="43">
        <v>3.8076853340424761</v>
      </c>
      <c r="P5979" s="193"/>
      <c r="Q5979" s="193"/>
      <c r="R5979" s="193">
        <v>6</v>
      </c>
    </row>
    <row r="5980" spans="1:18" ht="36">
      <c r="A5980" s="189">
        <v>830</v>
      </c>
      <c r="B5980" s="186" t="s">
        <v>10958</v>
      </c>
      <c r="C5980" s="190" t="s">
        <v>10959</v>
      </c>
      <c r="D5980" s="191">
        <v>1938.21</v>
      </c>
      <c r="E5980" s="191">
        <v>358.73</v>
      </c>
      <c r="F5980" s="191">
        <v>462.3</v>
      </c>
      <c r="G5980" s="191">
        <v>1117.18</v>
      </c>
      <c r="H5980" s="192">
        <v>10856.74</v>
      </c>
      <c r="I5980" s="192">
        <v>4125.54</v>
      </c>
      <c r="J5980" s="192">
        <v>2586.73</v>
      </c>
      <c r="K5980" s="192">
        <v>4144.47</v>
      </c>
      <c r="L5980" s="43">
        <v>5.6014260580638835</v>
      </c>
      <c r="M5980" s="43">
        <v>11.500404203718674</v>
      </c>
      <c r="N5980" s="43">
        <v>5.595349340255245</v>
      </c>
      <c r="O5980" s="43">
        <v>3.7097602892998442</v>
      </c>
      <c r="P5980" s="193"/>
      <c r="Q5980" s="193"/>
      <c r="R5980" s="193">
        <v>6</v>
      </c>
    </row>
    <row r="5981" spans="1:18" ht="36">
      <c r="A5981" s="189">
        <v>831</v>
      </c>
      <c r="B5981" s="186" t="s">
        <v>10960</v>
      </c>
      <c r="C5981" s="190" t="s">
        <v>10961</v>
      </c>
      <c r="D5981" s="191">
        <v>2503</v>
      </c>
      <c r="E5981" s="191">
        <v>445.32</v>
      </c>
      <c r="F5981" s="191">
        <v>594.38</v>
      </c>
      <c r="G5981" s="191">
        <v>1463.3</v>
      </c>
      <c r="H5981" s="192">
        <v>13792.62</v>
      </c>
      <c r="I5981" s="192">
        <v>5121.3599999999997</v>
      </c>
      <c r="J5981" s="192">
        <v>3325.8</v>
      </c>
      <c r="K5981" s="192">
        <v>5345.46</v>
      </c>
      <c r="L5981" s="43">
        <v>5.5104354774270874</v>
      </c>
      <c r="M5981" s="43">
        <v>11.500404203718674</v>
      </c>
      <c r="N5981" s="43">
        <v>5.5954103435512641</v>
      </c>
      <c r="O5981" s="43">
        <v>3.6530171530103193</v>
      </c>
      <c r="P5981" s="193"/>
      <c r="Q5981" s="193"/>
      <c r="R5981" s="193">
        <v>6</v>
      </c>
    </row>
    <row r="5982" spans="1:18" ht="36">
      <c r="A5982" s="189">
        <v>832</v>
      </c>
      <c r="B5982" s="186" t="s">
        <v>10962</v>
      </c>
      <c r="C5982" s="190" t="s">
        <v>10963</v>
      </c>
      <c r="D5982" s="191">
        <v>3122.01</v>
      </c>
      <c r="E5982" s="191">
        <v>556.65</v>
      </c>
      <c r="F5982" s="191">
        <v>743.99</v>
      </c>
      <c r="G5982" s="191">
        <v>1821.37</v>
      </c>
      <c r="H5982" s="192">
        <v>16994.68</v>
      </c>
      <c r="I5982" s="192">
        <v>6401.7</v>
      </c>
      <c r="J5982" s="192">
        <v>4162.91</v>
      </c>
      <c r="K5982" s="192">
        <v>6430.07</v>
      </c>
      <c r="L5982" s="43">
        <v>5.4435059464896014</v>
      </c>
      <c r="M5982" s="43">
        <v>11.500404203718674</v>
      </c>
      <c r="N5982" s="43">
        <v>5.5953843465637974</v>
      </c>
      <c r="O5982" s="43">
        <v>3.5303480347211167</v>
      </c>
      <c r="P5982" s="193"/>
      <c r="Q5982" s="193"/>
      <c r="R5982" s="193">
        <v>6</v>
      </c>
    </row>
    <row r="5983" spans="1:18" ht="36">
      <c r="A5983" s="189">
        <v>833</v>
      </c>
      <c r="B5983" s="186" t="s">
        <v>10964</v>
      </c>
      <c r="C5983" s="190" t="s">
        <v>10965</v>
      </c>
      <c r="D5983" s="191">
        <v>4298.6899999999996</v>
      </c>
      <c r="E5983" s="191">
        <v>729.83</v>
      </c>
      <c r="F5983" s="191">
        <v>974.46</v>
      </c>
      <c r="G5983" s="191">
        <v>2594.4</v>
      </c>
      <c r="H5983" s="192">
        <v>22938.93</v>
      </c>
      <c r="I5983" s="192">
        <v>8393.34</v>
      </c>
      <c r="J5983" s="192">
        <v>5452.5</v>
      </c>
      <c r="K5983" s="192">
        <v>9093.09</v>
      </c>
      <c r="L5983" s="43">
        <v>5.3362605817121036</v>
      </c>
      <c r="M5983" s="43">
        <v>11.500404203718674</v>
      </c>
      <c r="N5983" s="43">
        <v>5.5954066867803709</v>
      </c>
      <c r="O5983" s="43">
        <v>3.5048913043478258</v>
      </c>
      <c r="P5983" s="193"/>
      <c r="Q5983" s="193"/>
      <c r="R5983" s="193">
        <v>6</v>
      </c>
    </row>
    <row r="5984" spans="1:18" ht="36">
      <c r="A5984" s="189">
        <v>834</v>
      </c>
      <c r="B5984" s="186" t="s">
        <v>10966</v>
      </c>
      <c r="C5984" s="190" t="s">
        <v>10967</v>
      </c>
      <c r="D5984" s="191">
        <v>4863.5600000000004</v>
      </c>
      <c r="E5984" s="191">
        <v>828.79</v>
      </c>
      <c r="F5984" s="191">
        <v>1102.5</v>
      </c>
      <c r="G5984" s="191">
        <v>2932.27</v>
      </c>
      <c r="H5984" s="192">
        <v>25840.75</v>
      </c>
      <c r="I5984" s="192">
        <v>9531.42</v>
      </c>
      <c r="J5984" s="192">
        <v>6168.95</v>
      </c>
      <c r="K5984" s="192">
        <v>10140.379999999999</v>
      </c>
      <c r="L5984" s="43">
        <v>5.3131348230514268</v>
      </c>
      <c r="M5984" s="43">
        <v>11.500404203718675</v>
      </c>
      <c r="N5984" s="43">
        <v>5.5954195011337866</v>
      </c>
      <c r="O5984" s="43">
        <v>3.4582013252531314</v>
      </c>
      <c r="P5984" s="193"/>
      <c r="Q5984" s="193"/>
      <c r="R5984" s="193">
        <v>6</v>
      </c>
    </row>
    <row r="5985" spans="1:18" ht="36">
      <c r="A5985" s="189">
        <v>835</v>
      </c>
      <c r="B5985" s="186" t="s">
        <v>10968</v>
      </c>
      <c r="C5985" s="190" t="s">
        <v>10969</v>
      </c>
      <c r="D5985" s="191">
        <v>6626.27</v>
      </c>
      <c r="E5985" s="191">
        <v>1051.45</v>
      </c>
      <c r="F5985" s="191">
        <v>1393.63</v>
      </c>
      <c r="G5985" s="191">
        <v>4181.1899999999996</v>
      </c>
      <c r="H5985" s="192">
        <v>34586.980000000003</v>
      </c>
      <c r="I5985" s="192">
        <v>12092.1</v>
      </c>
      <c r="J5985" s="192">
        <v>7797.91</v>
      </c>
      <c r="K5985" s="192">
        <v>14696.97</v>
      </c>
      <c r="L5985" s="43">
        <v>5.2196756244463325</v>
      </c>
      <c r="M5985" s="43">
        <v>11.500404203718674</v>
      </c>
      <c r="N5985" s="43">
        <v>5.5953947604457417</v>
      </c>
      <c r="O5985" s="43">
        <v>3.5150208433484251</v>
      </c>
      <c r="P5985" s="193"/>
      <c r="Q5985" s="193"/>
      <c r="R5985" s="193">
        <v>6</v>
      </c>
    </row>
    <row r="5986" spans="1:18" ht="36">
      <c r="A5986" s="189">
        <v>836</v>
      </c>
      <c r="B5986" s="186" t="s">
        <v>10970</v>
      </c>
      <c r="C5986" s="190" t="s">
        <v>10971</v>
      </c>
      <c r="D5986" s="191">
        <v>8904.82</v>
      </c>
      <c r="E5986" s="191">
        <v>1447.29</v>
      </c>
      <c r="F5986" s="191">
        <v>1912.53</v>
      </c>
      <c r="G5986" s="191">
        <v>5545</v>
      </c>
      <c r="H5986" s="192">
        <v>46535.18</v>
      </c>
      <c r="I5986" s="192">
        <v>16644.419999999998</v>
      </c>
      <c r="J5986" s="192">
        <v>10701.39</v>
      </c>
      <c r="K5986" s="192">
        <v>19189.37</v>
      </c>
      <c r="L5986" s="43">
        <v>5.2258417351501771</v>
      </c>
      <c r="M5986" s="43">
        <v>11.500404203718674</v>
      </c>
      <c r="N5986" s="43">
        <v>5.5954102680742261</v>
      </c>
      <c r="O5986" s="43">
        <v>3.4606618575293053</v>
      </c>
      <c r="P5986" s="193"/>
      <c r="Q5986" s="193"/>
      <c r="R5986" s="193">
        <v>6</v>
      </c>
    </row>
    <row r="5987" spans="1:18" ht="36">
      <c r="A5987" s="189">
        <v>837</v>
      </c>
      <c r="B5987" s="186" t="s">
        <v>10972</v>
      </c>
      <c r="C5987" s="190" t="s">
        <v>10973</v>
      </c>
      <c r="D5987" s="191">
        <v>918.52</v>
      </c>
      <c r="E5987" s="191">
        <v>185.55</v>
      </c>
      <c r="F5987" s="191">
        <v>257.43</v>
      </c>
      <c r="G5987" s="191">
        <v>475.54</v>
      </c>
      <c r="H5987" s="192">
        <v>5676.08</v>
      </c>
      <c r="I5987" s="192">
        <v>2133.9</v>
      </c>
      <c r="J5987" s="192">
        <v>1440.43</v>
      </c>
      <c r="K5987" s="192">
        <v>2101.75</v>
      </c>
      <c r="L5987" s="43">
        <v>6.1795932587205504</v>
      </c>
      <c r="M5987" s="43">
        <v>11.500404203718674</v>
      </c>
      <c r="N5987" s="43">
        <v>5.5954239987569441</v>
      </c>
      <c r="O5987" s="43">
        <v>4.4197123270387344</v>
      </c>
      <c r="P5987" s="193"/>
      <c r="Q5987" s="193"/>
      <c r="R5987" s="193">
        <v>6</v>
      </c>
    </row>
    <row r="5988" spans="1:18" ht="36">
      <c r="A5988" s="189">
        <v>838</v>
      </c>
      <c r="B5988" s="186" t="s">
        <v>10974</v>
      </c>
      <c r="C5988" s="190" t="s">
        <v>10975</v>
      </c>
      <c r="D5988" s="191">
        <v>1130.2</v>
      </c>
      <c r="E5988" s="191">
        <v>235.03</v>
      </c>
      <c r="F5988" s="191">
        <v>304.60000000000002</v>
      </c>
      <c r="G5988" s="191">
        <v>590.57000000000005</v>
      </c>
      <c r="H5988" s="192">
        <v>6889.29</v>
      </c>
      <c r="I5988" s="192">
        <v>2702.94</v>
      </c>
      <c r="J5988" s="192">
        <v>1704.38</v>
      </c>
      <c r="K5988" s="192">
        <v>2481.9699999999998</v>
      </c>
      <c r="L5988" s="43">
        <v>6.0956379401875775</v>
      </c>
      <c r="M5988" s="43">
        <v>11.500404203718674</v>
      </c>
      <c r="N5988" s="43">
        <v>5.595469468154957</v>
      </c>
      <c r="O5988" s="43">
        <v>4.2026686082936813</v>
      </c>
      <c r="P5988" s="193"/>
      <c r="Q5988" s="193"/>
      <c r="R5988" s="193">
        <v>6</v>
      </c>
    </row>
    <row r="5989" spans="1:18" ht="36">
      <c r="A5989" s="189">
        <v>839</v>
      </c>
      <c r="B5989" s="186" t="s">
        <v>10976</v>
      </c>
      <c r="C5989" s="190" t="s">
        <v>10977</v>
      </c>
      <c r="D5989" s="191">
        <v>1585.06</v>
      </c>
      <c r="E5989" s="191">
        <v>321.62</v>
      </c>
      <c r="F5989" s="191">
        <v>408.38</v>
      </c>
      <c r="G5989" s="191">
        <v>855.06</v>
      </c>
      <c r="H5989" s="192">
        <v>9309.81</v>
      </c>
      <c r="I5989" s="192">
        <v>3698.76</v>
      </c>
      <c r="J5989" s="192">
        <v>2285.0700000000002</v>
      </c>
      <c r="K5989" s="192">
        <v>3325.98</v>
      </c>
      <c r="L5989" s="43">
        <v>5.873474821142417</v>
      </c>
      <c r="M5989" s="43">
        <v>11.500404203718675</v>
      </c>
      <c r="N5989" s="43">
        <v>5.5954503158822666</v>
      </c>
      <c r="O5989" s="43">
        <v>3.8897621219563541</v>
      </c>
      <c r="P5989" s="193"/>
      <c r="Q5989" s="193"/>
      <c r="R5989" s="193">
        <v>6</v>
      </c>
    </row>
    <row r="5990" spans="1:18" ht="36">
      <c r="A5990" s="189">
        <v>840</v>
      </c>
      <c r="B5990" s="186" t="s">
        <v>10978</v>
      </c>
      <c r="C5990" s="190" t="s">
        <v>10979</v>
      </c>
      <c r="D5990" s="191">
        <v>2008.2</v>
      </c>
      <c r="E5990" s="191">
        <v>371.1</v>
      </c>
      <c r="F5990" s="191">
        <v>487.9</v>
      </c>
      <c r="G5990" s="191">
        <v>1149.2</v>
      </c>
      <c r="H5990" s="192">
        <v>11343.67</v>
      </c>
      <c r="I5990" s="192">
        <v>4267.8</v>
      </c>
      <c r="J5990" s="192">
        <v>2730.02</v>
      </c>
      <c r="K5990" s="192">
        <v>4345.8500000000004</v>
      </c>
      <c r="L5990" s="43">
        <v>5.6486754307339906</v>
      </c>
      <c r="M5990" s="43">
        <v>11.500404203718674</v>
      </c>
      <c r="N5990" s="43">
        <v>5.5954498872719824</v>
      </c>
      <c r="O5990" s="43">
        <v>3.7816306996171249</v>
      </c>
      <c r="P5990" s="193"/>
      <c r="Q5990" s="193"/>
      <c r="R5990" s="193">
        <v>6</v>
      </c>
    </row>
    <row r="5991" spans="1:18" ht="12.75" customHeight="1">
      <c r="A5991" s="628" t="s">
        <v>10980</v>
      </c>
      <c r="B5991" s="629"/>
      <c r="C5991" s="629"/>
      <c r="D5991" s="629"/>
      <c r="E5991" s="629"/>
      <c r="F5991" s="629"/>
      <c r="G5991" s="629"/>
      <c r="H5991" s="629"/>
      <c r="I5991" s="629"/>
      <c r="J5991" s="629"/>
      <c r="K5991" s="629"/>
      <c r="L5991" s="629"/>
      <c r="M5991" s="629"/>
      <c r="N5991" s="629"/>
      <c r="O5991" s="629"/>
      <c r="P5991" s="629"/>
      <c r="Q5991" s="629"/>
      <c r="R5991" s="629"/>
    </row>
    <row r="5992" spans="1:18" ht="36">
      <c r="A5992" s="189">
        <v>841</v>
      </c>
      <c r="B5992" s="186" t="s">
        <v>10981</v>
      </c>
      <c r="C5992" s="190" t="s">
        <v>10982</v>
      </c>
      <c r="D5992" s="191">
        <v>607.85</v>
      </c>
      <c r="E5992" s="191">
        <v>149.37</v>
      </c>
      <c r="F5992" s="191">
        <v>138.82</v>
      </c>
      <c r="G5992" s="191">
        <v>319.66000000000003</v>
      </c>
      <c r="H5992" s="192">
        <v>3759</v>
      </c>
      <c r="I5992" s="192">
        <v>1717.82</v>
      </c>
      <c r="J5992" s="192">
        <v>776.77</v>
      </c>
      <c r="K5992" s="192">
        <v>1264.4100000000001</v>
      </c>
      <c r="L5992" s="43">
        <v>6.1840914699350167</v>
      </c>
      <c r="M5992" s="43">
        <v>11.500435161009573</v>
      </c>
      <c r="N5992" s="43">
        <v>5.5955193776112955</v>
      </c>
      <c r="O5992" s="43">
        <v>3.9554839516986799</v>
      </c>
      <c r="P5992" s="193"/>
      <c r="Q5992" s="193"/>
      <c r="R5992" s="193">
        <v>7</v>
      </c>
    </row>
    <row r="5993" spans="1:18" ht="36">
      <c r="A5993" s="189">
        <v>842</v>
      </c>
      <c r="B5993" s="186" t="s">
        <v>10983</v>
      </c>
      <c r="C5993" s="190" t="s">
        <v>10984</v>
      </c>
      <c r="D5993" s="191">
        <v>790.03</v>
      </c>
      <c r="E5993" s="191">
        <v>183.84</v>
      </c>
      <c r="F5993" s="191">
        <v>175.21</v>
      </c>
      <c r="G5993" s="191">
        <v>430.98</v>
      </c>
      <c r="H5993" s="192">
        <v>4714.42</v>
      </c>
      <c r="I5993" s="192">
        <v>2114.2399999999998</v>
      </c>
      <c r="J5993" s="192">
        <v>980.4</v>
      </c>
      <c r="K5993" s="192">
        <v>1619.78</v>
      </c>
      <c r="L5993" s="43">
        <v>5.9673936432793697</v>
      </c>
      <c r="M5993" s="43">
        <v>11.500435161009571</v>
      </c>
      <c r="N5993" s="43">
        <v>5.5955710290508529</v>
      </c>
      <c r="O5993" s="43">
        <v>3.7583646572926814</v>
      </c>
      <c r="P5993" s="193"/>
      <c r="Q5993" s="193"/>
      <c r="R5993" s="193">
        <v>7</v>
      </c>
    </row>
    <row r="5994" spans="1:18" ht="36">
      <c r="A5994" s="189">
        <v>843</v>
      </c>
      <c r="B5994" s="186" t="s">
        <v>10985</v>
      </c>
      <c r="C5994" s="190" t="s">
        <v>10986</v>
      </c>
      <c r="D5994" s="191">
        <v>1214.58</v>
      </c>
      <c r="E5994" s="191">
        <v>275.76</v>
      </c>
      <c r="F5994" s="191">
        <v>254.73</v>
      </c>
      <c r="G5994" s="191">
        <v>684.09</v>
      </c>
      <c r="H5994" s="192">
        <v>6992.63</v>
      </c>
      <c r="I5994" s="192">
        <v>3171.36</v>
      </c>
      <c r="J5994" s="192">
        <v>1425.34</v>
      </c>
      <c r="K5994" s="192">
        <v>2395.9299999999998</v>
      </c>
      <c r="L5994" s="43">
        <v>5.757241186253685</v>
      </c>
      <c r="M5994" s="43">
        <v>11.500435161009575</v>
      </c>
      <c r="N5994" s="43">
        <v>5.5954932673811486</v>
      </c>
      <c r="O5994" s="43">
        <v>3.5023608004794688</v>
      </c>
      <c r="P5994" s="193"/>
      <c r="Q5994" s="193"/>
      <c r="R5994" s="193">
        <v>7</v>
      </c>
    </row>
    <row r="5995" spans="1:18" ht="36">
      <c r="A5995" s="189">
        <v>844</v>
      </c>
      <c r="B5995" s="186" t="s">
        <v>10987</v>
      </c>
      <c r="C5995" s="190" t="s">
        <v>10988</v>
      </c>
      <c r="D5995" s="191">
        <v>1619.36</v>
      </c>
      <c r="E5995" s="191">
        <v>333.21</v>
      </c>
      <c r="F5995" s="191">
        <v>312.69</v>
      </c>
      <c r="G5995" s="191">
        <v>973.46</v>
      </c>
      <c r="H5995" s="192">
        <v>8966.14</v>
      </c>
      <c r="I5995" s="192">
        <v>3832.06</v>
      </c>
      <c r="J5995" s="192">
        <v>1749.63</v>
      </c>
      <c r="K5995" s="192">
        <v>3384.45</v>
      </c>
      <c r="L5995" s="43">
        <v>5.5368417152455294</v>
      </c>
      <c r="M5995" s="43">
        <v>11.500435161009575</v>
      </c>
      <c r="N5995" s="43">
        <v>5.5954139882951166</v>
      </c>
      <c r="O5995" s="43">
        <v>3.4767222073839701</v>
      </c>
      <c r="P5995" s="193"/>
      <c r="Q5995" s="193"/>
      <c r="R5995" s="193">
        <v>7</v>
      </c>
    </row>
    <row r="5996" spans="1:18" ht="36">
      <c r="A5996" s="189">
        <v>845</v>
      </c>
      <c r="B5996" s="186" t="s">
        <v>10989</v>
      </c>
      <c r="C5996" s="190" t="s">
        <v>10990</v>
      </c>
      <c r="D5996" s="191">
        <v>2105.67</v>
      </c>
      <c r="E5996" s="191">
        <v>425.13</v>
      </c>
      <c r="F5996" s="191">
        <v>409.73</v>
      </c>
      <c r="G5996" s="191">
        <v>1270.81</v>
      </c>
      <c r="H5996" s="192">
        <v>11514.53</v>
      </c>
      <c r="I5996" s="192">
        <v>4889.18</v>
      </c>
      <c r="J5996" s="192">
        <v>2292.62</v>
      </c>
      <c r="K5996" s="192">
        <v>4332.7299999999996</v>
      </c>
      <c r="L5996" s="43">
        <v>5.4683449923302323</v>
      </c>
      <c r="M5996" s="43">
        <v>11.500435161009575</v>
      </c>
      <c r="N5996" s="43">
        <v>5.595440900104947</v>
      </c>
      <c r="O5996" s="43">
        <v>3.4094239107340987</v>
      </c>
      <c r="P5996" s="193"/>
      <c r="Q5996" s="193"/>
      <c r="R5996" s="193">
        <v>7</v>
      </c>
    </row>
    <row r="5997" spans="1:18" ht="36">
      <c r="A5997" s="189">
        <v>846</v>
      </c>
      <c r="B5997" s="186" t="s">
        <v>10991</v>
      </c>
      <c r="C5997" s="190" t="s">
        <v>10992</v>
      </c>
      <c r="D5997" s="191">
        <v>2704.02</v>
      </c>
      <c r="E5997" s="191">
        <v>551.52</v>
      </c>
      <c r="F5997" s="191">
        <v>524.29</v>
      </c>
      <c r="G5997" s="191">
        <v>1628.21</v>
      </c>
      <c r="H5997" s="192">
        <v>14689.9</v>
      </c>
      <c r="I5997" s="192">
        <v>6342.72</v>
      </c>
      <c r="J5997" s="192">
        <v>2933.64</v>
      </c>
      <c r="K5997" s="192">
        <v>5413.54</v>
      </c>
      <c r="L5997" s="43">
        <v>5.4326151433791168</v>
      </c>
      <c r="M5997" s="43">
        <v>11.500435161009575</v>
      </c>
      <c r="N5997" s="43">
        <v>5.5954528982051919</v>
      </c>
      <c r="O5997" s="43">
        <v>3.32484139023836</v>
      </c>
      <c r="P5997" s="193"/>
      <c r="Q5997" s="193"/>
      <c r="R5997" s="193">
        <v>7</v>
      </c>
    </row>
    <row r="5998" spans="1:18" ht="36">
      <c r="A5998" s="189">
        <v>847</v>
      </c>
      <c r="B5998" s="186" t="s">
        <v>10993</v>
      </c>
      <c r="C5998" s="190" t="s">
        <v>10994</v>
      </c>
      <c r="D5998" s="191">
        <v>3812.6</v>
      </c>
      <c r="E5998" s="191">
        <v>723.87</v>
      </c>
      <c r="F5998" s="191">
        <v>687.38</v>
      </c>
      <c r="G5998" s="191">
        <v>2401.35</v>
      </c>
      <c r="H5998" s="192">
        <v>20248.400000000001</v>
      </c>
      <c r="I5998" s="192">
        <v>8324.82</v>
      </c>
      <c r="J5998" s="192">
        <v>3846.17</v>
      </c>
      <c r="K5998" s="192">
        <v>8077.41</v>
      </c>
      <c r="L5998" s="43">
        <v>5.310916434978755</v>
      </c>
      <c r="M5998" s="43">
        <v>11.500435161009573</v>
      </c>
      <c r="N5998" s="43">
        <v>5.5954057435479649</v>
      </c>
      <c r="O5998" s="43">
        <v>3.3636954213255046</v>
      </c>
      <c r="P5998" s="193"/>
      <c r="Q5998" s="193"/>
      <c r="R5998" s="193">
        <v>7</v>
      </c>
    </row>
    <row r="5999" spans="1:18" ht="36">
      <c r="A5999" s="189">
        <v>848</v>
      </c>
      <c r="B5999" s="186" t="s">
        <v>10995</v>
      </c>
      <c r="C5999" s="190" t="s">
        <v>10996</v>
      </c>
      <c r="D5999" s="191">
        <v>4374.82</v>
      </c>
      <c r="E5999" s="191">
        <v>838.77</v>
      </c>
      <c r="F5999" s="191">
        <v>795.2</v>
      </c>
      <c r="G5999" s="191">
        <v>2740.85</v>
      </c>
      <c r="H5999" s="192">
        <v>23234.27</v>
      </c>
      <c r="I5999" s="192">
        <v>9646.2199999999993</v>
      </c>
      <c r="J5999" s="192">
        <v>4449.49</v>
      </c>
      <c r="K5999" s="192">
        <v>9138.56</v>
      </c>
      <c r="L5999" s="43">
        <v>5.3109087916760007</v>
      </c>
      <c r="M5999" s="43">
        <v>11.500435161009573</v>
      </c>
      <c r="N5999" s="43">
        <v>5.595435110663983</v>
      </c>
      <c r="O5999" s="43">
        <v>3.3342065417662403</v>
      </c>
      <c r="P5999" s="193"/>
      <c r="Q5999" s="193"/>
      <c r="R5999" s="193">
        <v>7</v>
      </c>
    </row>
    <row r="6000" spans="1:18" ht="36">
      <c r="A6000" s="189">
        <v>849</v>
      </c>
      <c r="B6000" s="186" t="s">
        <v>10997</v>
      </c>
      <c r="C6000" s="190" t="s">
        <v>10998</v>
      </c>
      <c r="D6000" s="191">
        <v>5728.49</v>
      </c>
      <c r="E6000" s="191">
        <v>965.16</v>
      </c>
      <c r="F6000" s="191">
        <v>907.07</v>
      </c>
      <c r="G6000" s="191">
        <v>3856.26</v>
      </c>
      <c r="H6000" s="192">
        <v>29119.22</v>
      </c>
      <c r="I6000" s="192">
        <v>11099.76</v>
      </c>
      <c r="J6000" s="192">
        <v>5075.43</v>
      </c>
      <c r="K6000" s="192">
        <v>12944.03</v>
      </c>
      <c r="L6000" s="43">
        <v>5.0832278663312671</v>
      </c>
      <c r="M6000" s="43">
        <v>11.500435161009575</v>
      </c>
      <c r="N6000" s="43">
        <v>5.5954115999867708</v>
      </c>
      <c r="O6000" s="43">
        <v>3.3566279244656738</v>
      </c>
      <c r="P6000" s="193"/>
      <c r="Q6000" s="193"/>
      <c r="R6000" s="193">
        <v>7</v>
      </c>
    </row>
    <row r="6001" spans="1:18" ht="36">
      <c r="A6001" s="189">
        <v>850</v>
      </c>
      <c r="B6001" s="186" t="s">
        <v>10999</v>
      </c>
      <c r="C6001" s="190" t="s">
        <v>11000</v>
      </c>
      <c r="D6001" s="191">
        <v>7977.18</v>
      </c>
      <c r="E6001" s="191">
        <v>1482.21</v>
      </c>
      <c r="F6001" s="191">
        <v>1415.19</v>
      </c>
      <c r="G6001" s="191">
        <v>5079.78</v>
      </c>
      <c r="H6001" s="192">
        <v>41652.51</v>
      </c>
      <c r="I6001" s="192">
        <v>17046.060000000001</v>
      </c>
      <c r="J6001" s="192">
        <v>7918.58</v>
      </c>
      <c r="K6001" s="192">
        <v>16687.87</v>
      </c>
      <c r="L6001" s="43">
        <v>5.221457958827556</v>
      </c>
      <c r="M6001" s="43">
        <v>11.500435161009575</v>
      </c>
      <c r="N6001" s="43">
        <v>5.5954182830573984</v>
      </c>
      <c r="O6001" s="43">
        <v>3.2851560500651602</v>
      </c>
      <c r="P6001" s="193"/>
      <c r="Q6001" s="193"/>
      <c r="R6001" s="193">
        <v>7</v>
      </c>
    </row>
    <row r="6002" spans="1:18" ht="36">
      <c r="A6002" s="189">
        <v>851</v>
      </c>
      <c r="B6002" s="186" t="s">
        <v>11001</v>
      </c>
      <c r="C6002" s="190" t="s">
        <v>11002</v>
      </c>
      <c r="D6002" s="191">
        <v>864.47</v>
      </c>
      <c r="E6002" s="191">
        <v>275.76</v>
      </c>
      <c r="F6002" s="191">
        <v>254.73</v>
      </c>
      <c r="G6002" s="191">
        <v>333.98</v>
      </c>
      <c r="H6002" s="192">
        <v>5969.14</v>
      </c>
      <c r="I6002" s="192">
        <v>3171.36</v>
      </c>
      <c r="J6002" s="192">
        <v>1425.34</v>
      </c>
      <c r="K6002" s="192">
        <v>1372.44</v>
      </c>
      <c r="L6002" s="43">
        <v>6.9049706756741127</v>
      </c>
      <c r="M6002" s="43">
        <v>11.500435161009575</v>
      </c>
      <c r="N6002" s="43">
        <v>5.5954932673811486</v>
      </c>
      <c r="O6002" s="43">
        <v>4.1093478651416255</v>
      </c>
      <c r="P6002" s="193"/>
      <c r="Q6002" s="193"/>
      <c r="R6002" s="193">
        <v>7</v>
      </c>
    </row>
    <row r="6003" spans="1:18" ht="36">
      <c r="A6003" s="189">
        <v>852</v>
      </c>
      <c r="B6003" s="186" t="s">
        <v>11003</v>
      </c>
      <c r="C6003" s="190" t="s">
        <v>11004</v>
      </c>
      <c r="D6003" s="191">
        <v>1064.49</v>
      </c>
      <c r="E6003" s="191">
        <v>321.72000000000003</v>
      </c>
      <c r="F6003" s="191">
        <v>293.82</v>
      </c>
      <c r="G6003" s="191">
        <v>448.95</v>
      </c>
      <c r="H6003" s="192">
        <v>7095.77</v>
      </c>
      <c r="I6003" s="192">
        <v>3699.92</v>
      </c>
      <c r="J6003" s="192">
        <v>1644.05</v>
      </c>
      <c r="K6003" s="192">
        <v>1751.8</v>
      </c>
      <c r="L6003" s="43">
        <v>6.6658869505584839</v>
      </c>
      <c r="M6003" s="43">
        <v>11.500435161009573</v>
      </c>
      <c r="N6003" s="43">
        <v>5.595432577768702</v>
      </c>
      <c r="O6003" s="43">
        <v>3.9019935404833501</v>
      </c>
      <c r="P6003" s="193"/>
      <c r="Q6003" s="193"/>
      <c r="R6003" s="193">
        <v>7</v>
      </c>
    </row>
    <row r="6004" spans="1:18" ht="36">
      <c r="A6004" s="189">
        <v>853</v>
      </c>
      <c r="B6004" s="186" t="s">
        <v>11005</v>
      </c>
      <c r="C6004" s="190" t="s">
        <v>11006</v>
      </c>
      <c r="D6004" s="191">
        <v>1493.8</v>
      </c>
      <c r="E6004" s="191">
        <v>402.15</v>
      </c>
      <c r="F6004" s="191">
        <v>378.73</v>
      </c>
      <c r="G6004" s="191">
        <v>712.92</v>
      </c>
      <c r="H6004" s="192">
        <v>9334.83</v>
      </c>
      <c r="I6004" s="192">
        <v>4624.8999999999996</v>
      </c>
      <c r="J6004" s="192">
        <v>2119.16</v>
      </c>
      <c r="K6004" s="192">
        <v>2590.77</v>
      </c>
      <c r="L6004" s="43">
        <v>6.2490494042040439</v>
      </c>
      <c r="M6004" s="43">
        <v>11.500435161009573</v>
      </c>
      <c r="N6004" s="43">
        <v>5.5954373828320962</v>
      </c>
      <c r="O6004" s="43">
        <v>3.6340262582056893</v>
      </c>
      <c r="P6004" s="193"/>
      <c r="Q6004" s="193"/>
      <c r="R6004" s="193">
        <v>7</v>
      </c>
    </row>
    <row r="6005" spans="1:18" ht="36">
      <c r="A6005" s="189">
        <v>854</v>
      </c>
      <c r="B6005" s="186" t="s">
        <v>11007</v>
      </c>
      <c r="C6005" s="190" t="s">
        <v>11008</v>
      </c>
      <c r="D6005" s="191">
        <v>1862.07</v>
      </c>
      <c r="E6005" s="191">
        <v>436.62</v>
      </c>
      <c r="F6005" s="191">
        <v>419.17</v>
      </c>
      <c r="G6005" s="191">
        <v>1006.28</v>
      </c>
      <c r="H6005" s="192">
        <v>10970.2</v>
      </c>
      <c r="I6005" s="192">
        <v>5021.32</v>
      </c>
      <c r="J6005" s="192">
        <v>2345.41</v>
      </c>
      <c r="K6005" s="192">
        <v>3603.47</v>
      </c>
      <c r="L6005" s="43">
        <v>5.8914004307034649</v>
      </c>
      <c r="M6005" s="43">
        <v>11.500435161009573</v>
      </c>
      <c r="N6005" s="43">
        <v>5.5953670348545934</v>
      </c>
      <c r="O6005" s="43">
        <v>3.5809814365782882</v>
      </c>
      <c r="P6005" s="193"/>
      <c r="Q6005" s="193"/>
      <c r="R6005" s="193">
        <v>7</v>
      </c>
    </row>
    <row r="6006" spans="1:18" ht="12.75" customHeight="1">
      <c r="A6006" s="628" t="s">
        <v>11009</v>
      </c>
      <c r="B6006" s="629"/>
      <c r="C6006" s="629"/>
      <c r="D6006" s="629"/>
      <c r="E6006" s="629"/>
      <c r="F6006" s="629"/>
      <c r="G6006" s="629"/>
      <c r="H6006" s="629"/>
      <c r="I6006" s="629"/>
      <c r="J6006" s="629"/>
      <c r="K6006" s="629"/>
      <c r="L6006" s="629"/>
      <c r="M6006" s="629"/>
      <c r="N6006" s="629"/>
      <c r="O6006" s="629"/>
      <c r="P6006" s="629"/>
      <c r="Q6006" s="629"/>
      <c r="R6006" s="629"/>
    </row>
    <row r="6007" spans="1:18" ht="48">
      <c r="A6007" s="189">
        <v>855</v>
      </c>
      <c r="B6007" s="186" t="s">
        <v>11010</v>
      </c>
      <c r="C6007" s="190" t="s">
        <v>11011</v>
      </c>
      <c r="D6007" s="191">
        <v>415.17</v>
      </c>
      <c r="E6007" s="191">
        <v>80.430000000000007</v>
      </c>
      <c r="F6007" s="191">
        <v>121.3</v>
      </c>
      <c r="G6007" s="191">
        <v>213.44</v>
      </c>
      <c r="H6007" s="192">
        <v>2485.88</v>
      </c>
      <c r="I6007" s="192">
        <v>924.98</v>
      </c>
      <c r="J6007" s="192">
        <v>678.74</v>
      </c>
      <c r="K6007" s="192">
        <v>882.16</v>
      </c>
      <c r="L6007" s="43">
        <v>5.9876195293494234</v>
      </c>
      <c r="M6007" s="43">
        <v>11.500435161009573</v>
      </c>
      <c r="N6007" s="43">
        <v>5.595548227535037</v>
      </c>
      <c r="O6007" s="43">
        <v>4.1330584707646176</v>
      </c>
      <c r="P6007" s="193"/>
      <c r="Q6007" s="193"/>
      <c r="R6007" s="193">
        <v>8</v>
      </c>
    </row>
    <row r="6008" spans="1:18" ht="36">
      <c r="A6008" s="189">
        <v>856</v>
      </c>
      <c r="B6008" s="186" t="s">
        <v>11012</v>
      </c>
      <c r="C6008" s="190" t="s">
        <v>11013</v>
      </c>
      <c r="D6008" s="191">
        <v>729.52</v>
      </c>
      <c r="E6008" s="191">
        <v>160.86000000000001</v>
      </c>
      <c r="F6008" s="191">
        <v>234.52</v>
      </c>
      <c r="G6008" s="191">
        <v>334.14</v>
      </c>
      <c r="H6008" s="192">
        <v>4379.47</v>
      </c>
      <c r="I6008" s="192">
        <v>1849.96</v>
      </c>
      <c r="J6008" s="192">
        <v>1312.22</v>
      </c>
      <c r="K6008" s="192">
        <v>1217.29</v>
      </c>
      <c r="L6008" s="43">
        <v>6.0032212961947584</v>
      </c>
      <c r="M6008" s="43">
        <v>11.500435161009573</v>
      </c>
      <c r="N6008" s="43">
        <v>5.5953436807095338</v>
      </c>
      <c r="O6008" s="43">
        <v>3.6430538097803318</v>
      </c>
      <c r="P6008" s="193"/>
      <c r="Q6008" s="193"/>
      <c r="R6008" s="193">
        <v>8</v>
      </c>
    </row>
    <row r="6009" spans="1:18" ht="36">
      <c r="A6009" s="189">
        <v>857</v>
      </c>
      <c r="B6009" s="186" t="s">
        <v>11014</v>
      </c>
      <c r="C6009" s="190" t="s">
        <v>11015</v>
      </c>
      <c r="D6009" s="191">
        <v>911.29</v>
      </c>
      <c r="E6009" s="191">
        <v>241.29</v>
      </c>
      <c r="F6009" s="191">
        <v>334.25</v>
      </c>
      <c r="G6009" s="191">
        <v>335.75</v>
      </c>
      <c r="H6009" s="192">
        <v>5881.04</v>
      </c>
      <c r="I6009" s="192">
        <v>2774.94</v>
      </c>
      <c r="J6009" s="192">
        <v>1870.29</v>
      </c>
      <c r="K6009" s="192">
        <v>1235.81</v>
      </c>
      <c r="L6009" s="43">
        <v>6.4535329039054528</v>
      </c>
      <c r="M6009" s="43">
        <v>11.500435161009575</v>
      </c>
      <c r="N6009" s="43">
        <v>5.5954824233358265</v>
      </c>
      <c r="O6009" s="43">
        <v>3.6807446016381236</v>
      </c>
      <c r="P6009" s="193"/>
      <c r="Q6009" s="193"/>
      <c r="R6009" s="193">
        <v>8</v>
      </c>
    </row>
    <row r="6010" spans="1:18" ht="48">
      <c r="A6010" s="189">
        <v>858</v>
      </c>
      <c r="B6010" s="186" t="s">
        <v>11016</v>
      </c>
      <c r="C6010" s="190" t="s">
        <v>11017</v>
      </c>
      <c r="D6010" s="191">
        <v>725.17</v>
      </c>
      <c r="E6010" s="191">
        <v>149.37</v>
      </c>
      <c r="F6010" s="191">
        <v>206.21</v>
      </c>
      <c r="G6010" s="191">
        <v>369.59</v>
      </c>
      <c r="H6010" s="192">
        <v>4712.71</v>
      </c>
      <c r="I6010" s="192">
        <v>1717.82</v>
      </c>
      <c r="J6010" s="192">
        <v>1153.8499999999999</v>
      </c>
      <c r="K6010" s="192">
        <v>1841.04</v>
      </c>
      <c r="L6010" s="43">
        <v>6.4987658066384437</v>
      </c>
      <c r="M6010" s="43">
        <v>11.500435161009573</v>
      </c>
      <c r="N6010" s="43">
        <v>5.5955094321322916</v>
      </c>
      <c r="O6010" s="43">
        <v>4.9813036066993153</v>
      </c>
      <c r="P6010" s="193"/>
      <c r="Q6010" s="193"/>
      <c r="R6010" s="193">
        <v>8</v>
      </c>
    </row>
    <row r="6011" spans="1:18" ht="36">
      <c r="A6011" s="189">
        <v>859</v>
      </c>
      <c r="B6011" s="186" t="s">
        <v>11018</v>
      </c>
      <c r="C6011" s="190" t="s">
        <v>11019</v>
      </c>
      <c r="D6011" s="191">
        <v>757.11</v>
      </c>
      <c r="E6011" s="191">
        <v>160.86000000000001</v>
      </c>
      <c r="F6011" s="191">
        <v>226.43</v>
      </c>
      <c r="G6011" s="191">
        <v>369.82</v>
      </c>
      <c r="H6011" s="192">
        <v>4960.6099999999997</v>
      </c>
      <c r="I6011" s="192">
        <v>1849.96</v>
      </c>
      <c r="J6011" s="192">
        <v>1266.97</v>
      </c>
      <c r="K6011" s="192">
        <v>1843.68</v>
      </c>
      <c r="L6011" s="43">
        <v>6.5520333901282504</v>
      </c>
      <c r="M6011" s="43">
        <v>11.500435161009573</v>
      </c>
      <c r="N6011" s="43">
        <v>5.5954158017930489</v>
      </c>
      <c r="O6011" s="43">
        <v>4.9853442215131691</v>
      </c>
      <c r="P6011" s="193"/>
      <c r="Q6011" s="193"/>
      <c r="R6011" s="193">
        <v>8</v>
      </c>
    </row>
    <row r="6012" spans="1:18" ht="48">
      <c r="A6012" s="189">
        <v>860</v>
      </c>
      <c r="B6012" s="186" t="s">
        <v>11020</v>
      </c>
      <c r="C6012" s="190" t="s">
        <v>11021</v>
      </c>
      <c r="D6012" s="191">
        <v>861.01</v>
      </c>
      <c r="E6012" s="191">
        <v>195.33</v>
      </c>
      <c r="F6012" s="191">
        <v>295.17</v>
      </c>
      <c r="G6012" s="191">
        <v>370.51</v>
      </c>
      <c r="H6012" s="192">
        <v>5749.59</v>
      </c>
      <c r="I6012" s="192">
        <v>2246.38</v>
      </c>
      <c r="J6012" s="192">
        <v>1651.59</v>
      </c>
      <c r="K6012" s="192">
        <v>1851.62</v>
      </c>
      <c r="L6012" s="43">
        <v>6.6777273202401837</v>
      </c>
      <c r="M6012" s="43">
        <v>11.500435161009573</v>
      </c>
      <c r="N6012" s="43">
        <v>5.5953857099298707</v>
      </c>
      <c r="O6012" s="43">
        <v>4.9974899462902487</v>
      </c>
      <c r="P6012" s="193"/>
      <c r="Q6012" s="193"/>
      <c r="R6012" s="193">
        <v>8</v>
      </c>
    </row>
    <row r="6013" spans="1:18" ht="48">
      <c r="A6013" s="189">
        <v>861</v>
      </c>
      <c r="B6013" s="186" t="s">
        <v>11022</v>
      </c>
      <c r="C6013" s="190" t="s">
        <v>11023</v>
      </c>
      <c r="D6013" s="191">
        <v>800.77</v>
      </c>
      <c r="E6013" s="191">
        <v>172.35</v>
      </c>
      <c r="F6013" s="191">
        <v>250.69</v>
      </c>
      <c r="G6013" s="191">
        <v>377.73</v>
      </c>
      <c r="H6013" s="192">
        <v>5281.73</v>
      </c>
      <c r="I6013" s="192">
        <v>1982.1</v>
      </c>
      <c r="J6013" s="192">
        <v>1402.72</v>
      </c>
      <c r="K6013" s="192">
        <v>1896.91</v>
      </c>
      <c r="L6013" s="43">
        <v>6.5958140289970899</v>
      </c>
      <c r="M6013" s="43">
        <v>11.500435161009573</v>
      </c>
      <c r="N6013" s="43">
        <v>5.595436594997806</v>
      </c>
      <c r="O6013" s="43">
        <v>5.0218674714743337</v>
      </c>
      <c r="P6013" s="193"/>
      <c r="Q6013" s="193"/>
      <c r="R6013" s="193">
        <v>8</v>
      </c>
    </row>
    <row r="6014" spans="1:18" ht="36">
      <c r="A6014" s="189">
        <v>862</v>
      </c>
      <c r="B6014" s="186" t="s">
        <v>11024</v>
      </c>
      <c r="C6014" s="190" t="s">
        <v>11025</v>
      </c>
      <c r="D6014" s="191">
        <v>834.06</v>
      </c>
      <c r="E6014" s="191">
        <v>183.84</v>
      </c>
      <c r="F6014" s="191">
        <v>272.26</v>
      </c>
      <c r="G6014" s="191">
        <v>377.96</v>
      </c>
      <c r="H6014" s="192">
        <v>5537.17</v>
      </c>
      <c r="I6014" s="192">
        <v>2114.2399999999998</v>
      </c>
      <c r="J6014" s="192">
        <v>1523.38</v>
      </c>
      <c r="K6014" s="192">
        <v>1899.55</v>
      </c>
      <c r="L6014" s="43">
        <v>6.6388149533606704</v>
      </c>
      <c r="M6014" s="43">
        <v>11.500435161009571</v>
      </c>
      <c r="N6014" s="43">
        <v>5.5953133034599283</v>
      </c>
      <c r="O6014" s="43">
        <v>5.0257963805693722</v>
      </c>
      <c r="P6014" s="193"/>
      <c r="Q6014" s="193"/>
      <c r="R6014" s="193">
        <v>8</v>
      </c>
    </row>
    <row r="6015" spans="1:18" ht="48">
      <c r="A6015" s="189">
        <v>863</v>
      </c>
      <c r="B6015" s="186" t="s">
        <v>11026</v>
      </c>
      <c r="C6015" s="190" t="s">
        <v>11027</v>
      </c>
      <c r="D6015" s="191">
        <v>953.31</v>
      </c>
      <c r="E6015" s="191">
        <v>241.29</v>
      </c>
      <c r="F6015" s="191">
        <v>332.91</v>
      </c>
      <c r="G6015" s="191">
        <v>379.11</v>
      </c>
      <c r="H6015" s="192">
        <v>6550.47</v>
      </c>
      <c r="I6015" s="192">
        <v>2774.94</v>
      </c>
      <c r="J6015" s="192">
        <v>1862.75</v>
      </c>
      <c r="K6015" s="192">
        <v>1912.78</v>
      </c>
      <c r="L6015" s="43">
        <v>6.8712905560625614</v>
      </c>
      <c r="M6015" s="43">
        <v>11.500435161009575</v>
      </c>
      <c r="N6015" s="43">
        <v>5.5953561022498572</v>
      </c>
      <c r="O6015" s="43">
        <v>5.0454485505526101</v>
      </c>
      <c r="P6015" s="193"/>
      <c r="Q6015" s="193"/>
      <c r="R6015" s="193">
        <v>8</v>
      </c>
    </row>
    <row r="6016" spans="1:18" ht="60">
      <c r="A6016" s="189">
        <v>864</v>
      </c>
      <c r="B6016" s="186" t="s">
        <v>11028</v>
      </c>
      <c r="C6016" s="190" t="s">
        <v>11029</v>
      </c>
      <c r="D6016" s="191">
        <v>2250</v>
      </c>
      <c r="E6016" s="191">
        <v>636</v>
      </c>
      <c r="F6016" s="191">
        <v>1087.82</v>
      </c>
      <c r="G6016" s="191">
        <v>526.17999999999995</v>
      </c>
      <c r="H6016" s="192">
        <v>15670.07</v>
      </c>
      <c r="I6016" s="192">
        <v>7314.24</v>
      </c>
      <c r="J6016" s="192">
        <v>5936.27</v>
      </c>
      <c r="K6016" s="192">
        <v>2419.56</v>
      </c>
      <c r="L6016" s="43">
        <v>6.9644755555555555</v>
      </c>
      <c r="M6016" s="43">
        <v>11.500377358490566</v>
      </c>
      <c r="N6016" s="43">
        <v>5.4570333327204876</v>
      </c>
      <c r="O6016" s="43">
        <v>4.5983503743965946</v>
      </c>
      <c r="P6016" s="193"/>
      <c r="Q6016" s="193"/>
      <c r="R6016" s="193">
        <v>8</v>
      </c>
    </row>
    <row r="6017" spans="1:18" ht="60">
      <c r="A6017" s="189">
        <v>865</v>
      </c>
      <c r="B6017" s="186" t="s">
        <v>11030</v>
      </c>
      <c r="C6017" s="190" t="s">
        <v>11031</v>
      </c>
      <c r="D6017" s="191">
        <v>2428.0300000000002</v>
      </c>
      <c r="E6017" s="191">
        <v>715.5</v>
      </c>
      <c r="F6017" s="191">
        <v>1185.25</v>
      </c>
      <c r="G6017" s="191">
        <v>527.28</v>
      </c>
      <c r="H6017" s="192">
        <v>17141.82</v>
      </c>
      <c r="I6017" s="192">
        <v>8228.52</v>
      </c>
      <c r="J6017" s="192">
        <v>6480.43</v>
      </c>
      <c r="K6017" s="192">
        <v>2432.87</v>
      </c>
      <c r="L6017" s="43">
        <v>7.0599704287014573</v>
      </c>
      <c r="M6017" s="43">
        <v>11.500377358490567</v>
      </c>
      <c r="N6017" s="43">
        <v>5.4675638051044082</v>
      </c>
      <c r="O6017" s="43">
        <v>4.6140001517220455</v>
      </c>
      <c r="P6017" s="193"/>
      <c r="Q6017" s="193"/>
      <c r="R6017" s="193">
        <v>8</v>
      </c>
    </row>
    <row r="6018" spans="1:18" ht="60">
      <c r="A6018" s="189">
        <v>866</v>
      </c>
      <c r="B6018" s="186" t="s">
        <v>11032</v>
      </c>
      <c r="C6018" s="190" t="s">
        <v>11033</v>
      </c>
      <c r="D6018" s="191">
        <v>3231.76</v>
      </c>
      <c r="E6018" s="191">
        <v>940.75</v>
      </c>
      <c r="F6018" s="191">
        <v>1648.24</v>
      </c>
      <c r="G6018" s="191">
        <v>642.77</v>
      </c>
      <c r="H6018" s="192">
        <v>22633.75</v>
      </c>
      <c r="I6018" s="192">
        <v>10818.98</v>
      </c>
      <c r="J6018" s="192">
        <v>8981.5</v>
      </c>
      <c r="K6018" s="192">
        <v>2833.27</v>
      </c>
      <c r="L6018" s="43">
        <v>7.0035367725326134</v>
      </c>
      <c r="M6018" s="43">
        <v>11.500377358490566</v>
      </c>
      <c r="N6018" s="43">
        <v>5.4491457554725038</v>
      </c>
      <c r="O6018" s="43">
        <v>4.4079064050904675</v>
      </c>
      <c r="P6018" s="193"/>
      <c r="Q6018" s="193"/>
      <c r="R6018" s="193">
        <v>8</v>
      </c>
    </row>
    <row r="6019" spans="1:18" ht="60">
      <c r="A6019" s="189">
        <v>867</v>
      </c>
      <c r="B6019" s="186" t="s">
        <v>11034</v>
      </c>
      <c r="C6019" s="190" t="s">
        <v>11035</v>
      </c>
      <c r="D6019" s="191">
        <v>3403.55</v>
      </c>
      <c r="E6019" s="191">
        <v>1020.25</v>
      </c>
      <c r="F6019" s="191">
        <v>1738.94</v>
      </c>
      <c r="G6019" s="191">
        <v>644.36</v>
      </c>
      <c r="H6019" s="192">
        <v>24072.78</v>
      </c>
      <c r="I6019" s="192">
        <v>11733.26</v>
      </c>
      <c r="J6019" s="192">
        <v>9487.9599999999991</v>
      </c>
      <c r="K6019" s="192">
        <v>2851.56</v>
      </c>
      <c r="L6019" s="43">
        <v>7.0728445299760541</v>
      </c>
      <c r="M6019" s="43">
        <v>11.500377358490566</v>
      </c>
      <c r="N6019" s="43">
        <v>5.4561744511023953</v>
      </c>
      <c r="O6019" s="43">
        <v>4.4254143646408837</v>
      </c>
      <c r="P6019" s="193"/>
      <c r="Q6019" s="193"/>
      <c r="R6019" s="193">
        <v>8</v>
      </c>
    </row>
    <row r="6020" spans="1:18" ht="48">
      <c r="A6020" s="189">
        <v>868</v>
      </c>
      <c r="B6020" s="186" t="s">
        <v>11036</v>
      </c>
      <c r="C6020" s="190" t="s">
        <v>11037</v>
      </c>
      <c r="D6020" s="191">
        <v>922.75</v>
      </c>
      <c r="E6020" s="191">
        <v>195.33</v>
      </c>
      <c r="F6020" s="191">
        <v>284.39</v>
      </c>
      <c r="G6020" s="191">
        <v>443.03</v>
      </c>
      <c r="H6020" s="192">
        <v>5977.83</v>
      </c>
      <c r="I6020" s="192">
        <v>2246.38</v>
      </c>
      <c r="J6020" s="192">
        <v>1591.26</v>
      </c>
      <c r="K6020" s="192">
        <v>2140.19</v>
      </c>
      <c r="L6020" s="43">
        <v>6.47827688973178</v>
      </c>
      <c r="M6020" s="43">
        <v>11.500435161009573</v>
      </c>
      <c r="N6020" s="43">
        <v>5.5953444213931576</v>
      </c>
      <c r="O6020" s="43">
        <v>4.8308015258560371</v>
      </c>
      <c r="P6020" s="193"/>
      <c r="Q6020" s="193"/>
      <c r="R6020" s="193">
        <v>8</v>
      </c>
    </row>
    <row r="6021" spans="1:18" ht="48">
      <c r="A6021" s="189">
        <v>869</v>
      </c>
      <c r="B6021" s="186" t="s">
        <v>11038</v>
      </c>
      <c r="C6021" s="190" t="s">
        <v>11039</v>
      </c>
      <c r="D6021" s="191">
        <v>1014.91</v>
      </c>
      <c r="E6021" s="191">
        <v>241.29</v>
      </c>
      <c r="F6021" s="191">
        <v>328.86</v>
      </c>
      <c r="G6021" s="191">
        <v>444.76</v>
      </c>
      <c r="H6021" s="192">
        <v>6774.14</v>
      </c>
      <c r="I6021" s="192">
        <v>2774.94</v>
      </c>
      <c r="J6021" s="192">
        <v>1840.13</v>
      </c>
      <c r="K6021" s="192">
        <v>2159.0700000000002</v>
      </c>
      <c r="L6021" s="43">
        <v>6.6746213950005426</v>
      </c>
      <c r="M6021" s="43">
        <v>11.500435161009575</v>
      </c>
      <c r="N6021" s="43">
        <v>5.5954813598491757</v>
      </c>
      <c r="O6021" s="43">
        <v>4.854460832808706</v>
      </c>
      <c r="P6021" s="193"/>
      <c r="Q6021" s="193"/>
      <c r="R6021" s="193">
        <v>8</v>
      </c>
    </row>
    <row r="6022" spans="1:18" ht="48">
      <c r="A6022" s="189">
        <v>870</v>
      </c>
      <c r="B6022" s="186" t="s">
        <v>11040</v>
      </c>
      <c r="C6022" s="190" t="s">
        <v>11041</v>
      </c>
      <c r="D6022" s="191">
        <v>1028.1400000000001</v>
      </c>
      <c r="E6022" s="191">
        <v>241.29</v>
      </c>
      <c r="F6022" s="191">
        <v>332.91</v>
      </c>
      <c r="G6022" s="191">
        <v>453.94</v>
      </c>
      <c r="H6022" s="192">
        <v>6855.78</v>
      </c>
      <c r="I6022" s="192">
        <v>2774.94</v>
      </c>
      <c r="J6022" s="192">
        <v>1862.75</v>
      </c>
      <c r="K6022" s="192">
        <v>2218.09</v>
      </c>
      <c r="L6022" s="43">
        <v>6.6681385803489786</v>
      </c>
      <c r="M6022" s="43">
        <v>11.500435161009575</v>
      </c>
      <c r="N6022" s="43">
        <v>5.5953561022498572</v>
      </c>
      <c r="O6022" s="43">
        <v>4.8863065603383706</v>
      </c>
      <c r="P6022" s="193"/>
      <c r="Q6022" s="193"/>
      <c r="R6022" s="193">
        <v>8</v>
      </c>
    </row>
    <row r="6023" spans="1:18" ht="48">
      <c r="A6023" s="189">
        <v>871</v>
      </c>
      <c r="B6023" s="186" t="s">
        <v>11042</v>
      </c>
      <c r="C6023" s="190" t="s">
        <v>11043</v>
      </c>
      <c r="D6023" s="191">
        <v>1097.4000000000001</v>
      </c>
      <c r="E6023" s="191">
        <v>264.27</v>
      </c>
      <c r="F6023" s="191">
        <v>378.73</v>
      </c>
      <c r="G6023" s="191">
        <v>454.4</v>
      </c>
      <c r="H6023" s="192">
        <v>7381.76</v>
      </c>
      <c r="I6023" s="192">
        <v>3039.22</v>
      </c>
      <c r="J6023" s="192">
        <v>2119.16</v>
      </c>
      <c r="K6023" s="192">
        <v>2223.38</v>
      </c>
      <c r="L6023" s="43">
        <v>6.7265901221067974</v>
      </c>
      <c r="M6023" s="43">
        <v>11.500435161009573</v>
      </c>
      <c r="N6023" s="43">
        <v>5.5954373828320962</v>
      </c>
      <c r="O6023" s="43">
        <v>4.8930017605633811</v>
      </c>
      <c r="P6023" s="193"/>
      <c r="Q6023" s="193"/>
      <c r="R6023" s="193">
        <v>8</v>
      </c>
    </row>
    <row r="6024" spans="1:18" ht="60">
      <c r="A6024" s="189">
        <v>872</v>
      </c>
      <c r="B6024" s="186" t="s">
        <v>11044</v>
      </c>
      <c r="C6024" s="190" t="s">
        <v>11045</v>
      </c>
      <c r="D6024" s="191">
        <v>2455.2800000000002</v>
      </c>
      <c r="E6024" s="191">
        <v>689</v>
      </c>
      <c r="F6024" s="191">
        <v>1158.48</v>
      </c>
      <c r="G6024" s="191">
        <v>607.79999999999995</v>
      </c>
      <c r="H6024" s="192">
        <v>17028.72</v>
      </c>
      <c r="I6024" s="192">
        <v>7923.76</v>
      </c>
      <c r="J6024" s="192">
        <v>6331.34</v>
      </c>
      <c r="K6024" s="192">
        <v>2773.62</v>
      </c>
      <c r="L6024" s="43">
        <v>6.9355511387703235</v>
      </c>
      <c r="M6024" s="43">
        <v>11.500377358490566</v>
      </c>
      <c r="N6024" s="43">
        <v>5.4652130377736343</v>
      </c>
      <c r="O6024" s="43">
        <v>4.5633761105626851</v>
      </c>
      <c r="P6024" s="193"/>
      <c r="Q6024" s="193"/>
      <c r="R6024" s="193">
        <v>8</v>
      </c>
    </row>
    <row r="6025" spans="1:18" ht="60">
      <c r="A6025" s="189">
        <v>873</v>
      </c>
      <c r="B6025" s="186" t="s">
        <v>11046</v>
      </c>
      <c r="C6025" s="190" t="s">
        <v>11047</v>
      </c>
      <c r="D6025" s="191">
        <v>2586.02</v>
      </c>
      <c r="E6025" s="191">
        <v>755.25</v>
      </c>
      <c r="F6025" s="191">
        <v>1221.6400000000001</v>
      </c>
      <c r="G6025" s="191">
        <v>609.13</v>
      </c>
      <c r="H6025" s="192">
        <v>18158.63</v>
      </c>
      <c r="I6025" s="192">
        <v>8685.66</v>
      </c>
      <c r="J6025" s="192">
        <v>6684.05</v>
      </c>
      <c r="K6025" s="192">
        <v>2788.92</v>
      </c>
      <c r="L6025" s="43">
        <v>7.021844378620429</v>
      </c>
      <c r="M6025" s="43">
        <v>11.500377358490566</v>
      </c>
      <c r="N6025" s="43">
        <v>5.471374545692675</v>
      </c>
      <c r="O6025" s="43">
        <v>4.5785300346395683</v>
      </c>
      <c r="P6025" s="193"/>
      <c r="Q6025" s="193"/>
      <c r="R6025" s="193">
        <v>8</v>
      </c>
    </row>
    <row r="6026" spans="1:18" ht="60">
      <c r="A6026" s="189">
        <v>874</v>
      </c>
      <c r="B6026" s="186" t="s">
        <v>11048</v>
      </c>
      <c r="C6026" s="190" t="s">
        <v>11049</v>
      </c>
      <c r="D6026" s="191">
        <v>3464.65</v>
      </c>
      <c r="E6026" s="191">
        <v>1007</v>
      </c>
      <c r="F6026" s="191">
        <v>1722.95</v>
      </c>
      <c r="G6026" s="191">
        <v>734.7</v>
      </c>
      <c r="H6026" s="192">
        <v>24248.68</v>
      </c>
      <c r="I6026" s="192">
        <v>11580.88</v>
      </c>
      <c r="J6026" s="192">
        <v>9399.19</v>
      </c>
      <c r="K6026" s="192">
        <v>3268.61</v>
      </c>
      <c r="L6026" s="43">
        <v>6.9988830040552434</v>
      </c>
      <c r="M6026" s="43">
        <v>11.500377358490566</v>
      </c>
      <c r="N6026" s="43">
        <v>5.4552888940479995</v>
      </c>
      <c r="O6026" s="43">
        <v>4.4489043146862661</v>
      </c>
      <c r="P6026" s="193"/>
      <c r="Q6026" s="193"/>
      <c r="R6026" s="193">
        <v>8</v>
      </c>
    </row>
    <row r="6027" spans="1:18" ht="60">
      <c r="A6027" s="189">
        <v>875</v>
      </c>
      <c r="B6027" s="186" t="s">
        <v>11050</v>
      </c>
      <c r="C6027" s="190" t="s">
        <v>11051</v>
      </c>
      <c r="D6027" s="191">
        <v>3571.05</v>
      </c>
      <c r="E6027" s="191">
        <v>1046.75</v>
      </c>
      <c r="F6027" s="191">
        <v>1788.8</v>
      </c>
      <c r="G6027" s="191">
        <v>735.5</v>
      </c>
      <c r="H6027" s="192">
        <v>25082.82</v>
      </c>
      <c r="I6027" s="192">
        <v>12038.02</v>
      </c>
      <c r="J6027" s="192">
        <v>9766.99</v>
      </c>
      <c r="K6027" s="192">
        <v>3277.81</v>
      </c>
      <c r="L6027" s="43">
        <v>7.0239341370185233</v>
      </c>
      <c r="M6027" s="43">
        <v>11.500377358490567</v>
      </c>
      <c r="N6027" s="43">
        <v>5.4600793828264758</v>
      </c>
      <c r="O6027" s="43">
        <v>4.4565737593473829</v>
      </c>
      <c r="P6027" s="193"/>
      <c r="Q6027" s="193"/>
      <c r="R6027" s="193">
        <v>8</v>
      </c>
    </row>
    <row r="6028" spans="1:18" ht="12.75" customHeight="1">
      <c r="A6028" s="628" t="s">
        <v>11052</v>
      </c>
      <c r="B6028" s="629"/>
      <c r="C6028" s="629"/>
      <c r="D6028" s="629"/>
      <c r="E6028" s="629"/>
      <c r="F6028" s="629"/>
      <c r="G6028" s="629"/>
      <c r="H6028" s="629"/>
      <c r="I6028" s="629"/>
      <c r="J6028" s="629"/>
      <c r="K6028" s="629"/>
      <c r="L6028" s="629"/>
      <c r="M6028" s="629"/>
      <c r="N6028" s="629"/>
      <c r="O6028" s="629"/>
      <c r="P6028" s="629"/>
      <c r="Q6028" s="629"/>
      <c r="R6028" s="629"/>
    </row>
    <row r="6029" spans="1:18" ht="48">
      <c r="A6029" s="189">
        <v>876</v>
      </c>
      <c r="B6029" s="186" t="s">
        <v>11053</v>
      </c>
      <c r="C6029" s="190" t="s">
        <v>11054</v>
      </c>
      <c r="D6029" s="191">
        <v>223.49</v>
      </c>
      <c r="E6029" s="191">
        <v>80.430000000000007</v>
      </c>
      <c r="F6029" s="191">
        <v>71.430000000000007</v>
      </c>
      <c r="G6029" s="191">
        <v>71.63</v>
      </c>
      <c r="H6029" s="192">
        <v>1463.33</v>
      </c>
      <c r="I6029" s="192">
        <v>924.98</v>
      </c>
      <c r="J6029" s="192">
        <v>399.7</v>
      </c>
      <c r="K6029" s="192">
        <v>138.65</v>
      </c>
      <c r="L6029" s="43">
        <v>6.5476307664772468</v>
      </c>
      <c r="M6029" s="43">
        <v>11.500435161009573</v>
      </c>
      <c r="N6029" s="43">
        <v>5.5956880862382743</v>
      </c>
      <c r="O6029" s="43">
        <v>1.9356414909953932</v>
      </c>
      <c r="P6029" s="193"/>
      <c r="Q6029" s="193"/>
      <c r="R6029" s="193">
        <v>9</v>
      </c>
    </row>
    <row r="6030" spans="1:18" ht="36">
      <c r="A6030" s="189">
        <v>877</v>
      </c>
      <c r="B6030" s="186" t="s">
        <v>11055</v>
      </c>
      <c r="C6030" s="190" t="s">
        <v>11056</v>
      </c>
      <c r="D6030" s="191">
        <v>408.61</v>
      </c>
      <c r="E6030" s="191">
        <v>162.6</v>
      </c>
      <c r="F6030" s="191">
        <v>164.43</v>
      </c>
      <c r="G6030" s="191">
        <v>81.58</v>
      </c>
      <c r="H6030" s="192">
        <v>3007.27</v>
      </c>
      <c r="I6030" s="192">
        <v>1869.9</v>
      </c>
      <c r="J6030" s="192">
        <v>920.06</v>
      </c>
      <c r="K6030" s="192">
        <v>217.31</v>
      </c>
      <c r="L6030" s="43">
        <v>7.3597562467878905</v>
      </c>
      <c r="M6030" s="43">
        <v>11.500000000000002</v>
      </c>
      <c r="N6030" s="43">
        <v>5.5954509517727899</v>
      </c>
      <c r="O6030" s="43">
        <v>2.6637656288305958</v>
      </c>
      <c r="P6030" s="193"/>
      <c r="Q6030" s="193"/>
      <c r="R6030" s="193">
        <v>9</v>
      </c>
    </row>
    <row r="6031" spans="1:18" ht="36">
      <c r="A6031" s="189">
        <v>878</v>
      </c>
      <c r="B6031" s="186" t="s">
        <v>11057</v>
      </c>
      <c r="C6031" s="190" t="s">
        <v>11058</v>
      </c>
      <c r="D6031" s="191">
        <v>379.71</v>
      </c>
      <c r="E6031" s="191">
        <v>97.56</v>
      </c>
      <c r="F6031" s="191">
        <v>106.48</v>
      </c>
      <c r="G6031" s="191">
        <v>175.67</v>
      </c>
      <c r="H6031" s="192">
        <v>2532.65</v>
      </c>
      <c r="I6031" s="192">
        <v>1121.94</v>
      </c>
      <c r="J6031" s="192">
        <v>595.78</v>
      </c>
      <c r="K6031" s="192">
        <v>814.93</v>
      </c>
      <c r="L6031" s="43">
        <v>6.6699586526559749</v>
      </c>
      <c r="M6031" s="43">
        <v>11.5</v>
      </c>
      <c r="N6031" s="43">
        <v>5.5952291510142746</v>
      </c>
      <c r="O6031" s="43">
        <v>4.6389821825012811</v>
      </c>
      <c r="P6031" s="193"/>
      <c r="Q6031" s="193"/>
      <c r="R6031" s="193">
        <v>9</v>
      </c>
    </row>
    <row r="6032" spans="1:18" ht="36">
      <c r="A6032" s="189">
        <v>879</v>
      </c>
      <c r="B6032" s="186" t="s">
        <v>11059</v>
      </c>
      <c r="C6032" s="190" t="s">
        <v>11060</v>
      </c>
      <c r="D6032" s="191">
        <v>456.28</v>
      </c>
      <c r="E6032" s="191">
        <v>140.91999999999999</v>
      </c>
      <c r="F6032" s="191">
        <v>138.82</v>
      </c>
      <c r="G6032" s="191">
        <v>176.54</v>
      </c>
      <c r="H6032" s="192">
        <v>3222.28</v>
      </c>
      <c r="I6032" s="192">
        <v>1620.58</v>
      </c>
      <c r="J6032" s="192">
        <v>776.77</v>
      </c>
      <c r="K6032" s="192">
        <v>824.93</v>
      </c>
      <c r="L6032" s="43">
        <v>7.0620671517489271</v>
      </c>
      <c r="M6032" s="43">
        <v>11.5</v>
      </c>
      <c r="N6032" s="43">
        <v>5.5955193776112955</v>
      </c>
      <c r="O6032" s="43">
        <v>4.6727653789509462</v>
      </c>
      <c r="P6032" s="193"/>
      <c r="Q6032" s="193"/>
      <c r="R6032" s="193">
        <v>9</v>
      </c>
    </row>
    <row r="6033" spans="1:18" ht="36">
      <c r="A6033" s="189">
        <v>880</v>
      </c>
      <c r="B6033" s="186" t="s">
        <v>11061</v>
      </c>
      <c r="C6033" s="190" t="s">
        <v>11062</v>
      </c>
      <c r="D6033" s="191">
        <v>458.99</v>
      </c>
      <c r="E6033" s="191">
        <v>140.91999999999999</v>
      </c>
      <c r="F6033" s="191">
        <v>138.82</v>
      </c>
      <c r="G6033" s="191">
        <v>179.25</v>
      </c>
      <c r="H6033" s="192">
        <v>3247.64</v>
      </c>
      <c r="I6033" s="192">
        <v>1620.58</v>
      </c>
      <c r="J6033" s="192">
        <v>776.77</v>
      </c>
      <c r="K6033" s="192">
        <v>850.29</v>
      </c>
      <c r="L6033" s="43">
        <v>7.075622562583062</v>
      </c>
      <c r="M6033" s="43">
        <v>11.5</v>
      </c>
      <c r="N6033" s="43">
        <v>5.5955193776112955</v>
      </c>
      <c r="O6033" s="43">
        <v>4.743598326359832</v>
      </c>
      <c r="P6033" s="193"/>
      <c r="Q6033" s="193"/>
      <c r="R6033" s="193">
        <v>9</v>
      </c>
    </row>
    <row r="6034" spans="1:18" ht="36">
      <c r="A6034" s="189">
        <v>881</v>
      </c>
      <c r="B6034" s="186" t="s">
        <v>11063</v>
      </c>
      <c r="C6034" s="190" t="s">
        <v>11064</v>
      </c>
      <c r="D6034" s="191">
        <v>620.5</v>
      </c>
      <c r="E6034" s="191">
        <v>238.48</v>
      </c>
      <c r="F6034" s="191">
        <v>200.82</v>
      </c>
      <c r="G6034" s="191">
        <v>181.2</v>
      </c>
      <c r="H6034" s="192">
        <v>4738.92</v>
      </c>
      <c r="I6034" s="192">
        <v>2742.52</v>
      </c>
      <c r="J6034" s="192">
        <v>1123.68</v>
      </c>
      <c r="K6034" s="192">
        <v>872.72</v>
      </c>
      <c r="L6034" s="43">
        <v>7.6372602739726032</v>
      </c>
      <c r="M6034" s="43">
        <v>11.5</v>
      </c>
      <c r="N6034" s="43">
        <v>5.5954586196593974</v>
      </c>
      <c r="O6034" s="43">
        <v>4.8163355408388524</v>
      </c>
      <c r="P6034" s="193"/>
      <c r="Q6034" s="193"/>
      <c r="R6034" s="193">
        <v>9</v>
      </c>
    </row>
    <row r="6035" spans="1:18" ht="60">
      <c r="A6035" s="189">
        <v>882</v>
      </c>
      <c r="B6035" s="186" t="s">
        <v>11065</v>
      </c>
      <c r="C6035" s="190" t="s">
        <v>11066</v>
      </c>
      <c r="D6035" s="191">
        <v>1915.28</v>
      </c>
      <c r="E6035" s="191">
        <v>567.16</v>
      </c>
      <c r="F6035" s="191">
        <v>1015.83</v>
      </c>
      <c r="G6035" s="191">
        <v>332.29</v>
      </c>
      <c r="H6035" s="192">
        <v>13442.1</v>
      </c>
      <c r="I6035" s="192">
        <v>6522.56</v>
      </c>
      <c r="J6035" s="192">
        <v>5526.81</v>
      </c>
      <c r="K6035" s="192">
        <v>1392.73</v>
      </c>
      <c r="L6035" s="43">
        <v>7.0183471868343013</v>
      </c>
      <c r="M6035" s="43">
        <v>11.500387897595036</v>
      </c>
      <c r="N6035" s="43">
        <v>5.4406839727119696</v>
      </c>
      <c r="O6035" s="43">
        <v>4.1913087965331481</v>
      </c>
      <c r="P6035" s="193"/>
      <c r="Q6035" s="193"/>
      <c r="R6035" s="193">
        <v>9</v>
      </c>
    </row>
    <row r="6036" spans="1:18" ht="60">
      <c r="A6036" s="189">
        <v>883</v>
      </c>
      <c r="B6036" s="186" t="s">
        <v>11067</v>
      </c>
      <c r="C6036" s="190" t="s">
        <v>11068</v>
      </c>
      <c r="D6036" s="191">
        <v>2179.35</v>
      </c>
      <c r="E6036" s="191">
        <v>721.84</v>
      </c>
      <c r="F6036" s="191">
        <v>1122.1199999999999</v>
      </c>
      <c r="G6036" s="191">
        <v>335.39</v>
      </c>
      <c r="H6036" s="192">
        <v>15850.68</v>
      </c>
      <c r="I6036" s="192">
        <v>8301.44</v>
      </c>
      <c r="J6036" s="192">
        <v>6120.86</v>
      </c>
      <c r="K6036" s="192">
        <v>1428.38</v>
      </c>
      <c r="L6036" s="43">
        <v>7.2731227200770876</v>
      </c>
      <c r="M6036" s="43">
        <v>11.500387897595035</v>
      </c>
      <c r="N6036" s="43">
        <v>5.4547285495312448</v>
      </c>
      <c r="O6036" s="43">
        <v>4.2588628164226723</v>
      </c>
      <c r="P6036" s="193"/>
      <c r="Q6036" s="193"/>
      <c r="R6036" s="193">
        <v>9</v>
      </c>
    </row>
    <row r="6037" spans="1:18" ht="60">
      <c r="A6037" s="189">
        <v>884</v>
      </c>
      <c r="B6037" s="186" t="s">
        <v>11069</v>
      </c>
      <c r="C6037" s="190" t="s">
        <v>11070</v>
      </c>
      <c r="D6037" s="191">
        <v>2922.37</v>
      </c>
      <c r="E6037" s="191">
        <v>876.52</v>
      </c>
      <c r="F6037" s="191">
        <v>1597.07</v>
      </c>
      <c r="G6037" s="191">
        <v>448.78</v>
      </c>
      <c r="H6037" s="192">
        <v>20569.990000000002</v>
      </c>
      <c r="I6037" s="192">
        <v>10080.32</v>
      </c>
      <c r="J6037" s="192">
        <v>8683.5</v>
      </c>
      <c r="K6037" s="192">
        <v>1806.17</v>
      </c>
      <c r="L6037" s="43">
        <v>7.0388041213124968</v>
      </c>
      <c r="M6037" s="43">
        <v>11.500387897595035</v>
      </c>
      <c r="N6037" s="43">
        <v>5.4371442704452528</v>
      </c>
      <c r="O6037" s="43">
        <v>4.0246223093720754</v>
      </c>
      <c r="P6037" s="193"/>
      <c r="Q6037" s="193"/>
      <c r="R6037" s="193">
        <v>9</v>
      </c>
    </row>
    <row r="6038" spans="1:18" ht="60">
      <c r="A6038" s="189">
        <v>885</v>
      </c>
      <c r="B6038" s="186" t="s">
        <v>11071</v>
      </c>
      <c r="C6038" s="190" t="s">
        <v>11072</v>
      </c>
      <c r="D6038" s="191">
        <v>3145.64</v>
      </c>
      <c r="E6038" s="191">
        <v>992.53</v>
      </c>
      <c r="F6038" s="191">
        <v>1702.01</v>
      </c>
      <c r="G6038" s="191">
        <v>451.1</v>
      </c>
      <c r="H6038" s="192">
        <v>22517.33</v>
      </c>
      <c r="I6038" s="192">
        <v>11414.48</v>
      </c>
      <c r="J6038" s="192">
        <v>9270</v>
      </c>
      <c r="K6038" s="192">
        <v>1832.85</v>
      </c>
      <c r="L6038" s="43">
        <v>7.1582666802304153</v>
      </c>
      <c r="M6038" s="43">
        <v>11.500387897595035</v>
      </c>
      <c r="N6038" s="43">
        <v>5.4465014894154562</v>
      </c>
      <c r="O6038" s="43">
        <v>4.0630680558634449</v>
      </c>
      <c r="P6038" s="193"/>
      <c r="Q6038" s="193"/>
      <c r="R6038" s="193">
        <v>9</v>
      </c>
    </row>
    <row r="6039" spans="1:18" ht="48">
      <c r="A6039" s="189">
        <v>886</v>
      </c>
      <c r="B6039" s="186" t="s">
        <v>11073</v>
      </c>
      <c r="C6039" s="190" t="s">
        <v>11074</v>
      </c>
      <c r="D6039" s="191">
        <v>668.27</v>
      </c>
      <c r="E6039" s="191">
        <v>205.96</v>
      </c>
      <c r="F6039" s="191">
        <v>202.17</v>
      </c>
      <c r="G6039" s="191">
        <v>260.14</v>
      </c>
      <c r="H6039" s="192">
        <v>4669.5600000000004</v>
      </c>
      <c r="I6039" s="192">
        <v>2368.54</v>
      </c>
      <c r="J6039" s="192">
        <v>1131.23</v>
      </c>
      <c r="K6039" s="192">
        <v>1169.79</v>
      </c>
      <c r="L6039" s="43">
        <v>6.9875349783770044</v>
      </c>
      <c r="M6039" s="43">
        <v>11.5</v>
      </c>
      <c r="N6039" s="43">
        <v>5.5954394816243758</v>
      </c>
      <c r="O6039" s="43">
        <v>4.4967709694779732</v>
      </c>
      <c r="P6039" s="193"/>
      <c r="Q6039" s="193"/>
      <c r="R6039" s="193">
        <v>9</v>
      </c>
    </row>
    <row r="6040" spans="1:18" ht="48">
      <c r="A6040" s="189">
        <v>887</v>
      </c>
      <c r="B6040" s="186" t="s">
        <v>11075</v>
      </c>
      <c r="C6040" s="190" t="s">
        <v>11076</v>
      </c>
      <c r="D6040" s="191">
        <v>866.41</v>
      </c>
      <c r="E6040" s="191">
        <v>357.72</v>
      </c>
      <c r="F6040" s="191">
        <v>235.87</v>
      </c>
      <c r="G6040" s="191">
        <v>272.82</v>
      </c>
      <c r="H6040" s="192">
        <v>6704.28</v>
      </c>
      <c r="I6040" s="192">
        <v>4113.78</v>
      </c>
      <c r="J6040" s="192">
        <v>1319.76</v>
      </c>
      <c r="K6040" s="192">
        <v>1270.74</v>
      </c>
      <c r="L6040" s="43">
        <v>7.7379993305709771</v>
      </c>
      <c r="M6040" s="43">
        <v>11.499999999999998</v>
      </c>
      <c r="N6040" s="43">
        <v>5.595285538644168</v>
      </c>
      <c r="O6040" s="43">
        <v>4.6577963492412584</v>
      </c>
      <c r="P6040" s="193"/>
      <c r="Q6040" s="193"/>
      <c r="R6040" s="193">
        <v>9</v>
      </c>
    </row>
    <row r="6041" spans="1:18" ht="60">
      <c r="A6041" s="189">
        <v>888</v>
      </c>
      <c r="B6041" s="186" t="s">
        <v>11077</v>
      </c>
      <c r="C6041" s="190" t="s">
        <v>11078</v>
      </c>
      <c r="D6041" s="191">
        <v>2209.5500000000002</v>
      </c>
      <c r="E6041" s="191">
        <v>655.61</v>
      </c>
      <c r="F6041" s="191">
        <v>1126.1600000000001</v>
      </c>
      <c r="G6041" s="191">
        <v>427.78</v>
      </c>
      <c r="H6041" s="192">
        <v>15492.63</v>
      </c>
      <c r="I6041" s="192">
        <v>7539.78</v>
      </c>
      <c r="J6041" s="192">
        <v>6143.49</v>
      </c>
      <c r="K6041" s="192">
        <v>1809.36</v>
      </c>
      <c r="L6041" s="43">
        <v>7.0116675341132799</v>
      </c>
      <c r="M6041" s="43">
        <v>11.500404203718674</v>
      </c>
      <c r="N6041" s="43">
        <v>5.4552550259288193</v>
      </c>
      <c r="O6041" s="43">
        <v>4.2296507550610123</v>
      </c>
      <c r="P6041" s="193"/>
      <c r="Q6041" s="193"/>
      <c r="R6041" s="193">
        <v>9</v>
      </c>
    </row>
    <row r="6042" spans="1:18" ht="60">
      <c r="A6042" s="189">
        <v>889</v>
      </c>
      <c r="B6042" s="186" t="s">
        <v>11079</v>
      </c>
      <c r="C6042" s="190" t="s">
        <v>11080</v>
      </c>
      <c r="D6042" s="191">
        <v>3208.36</v>
      </c>
      <c r="E6042" s="191">
        <v>952.49</v>
      </c>
      <c r="F6042" s="191">
        <v>1707.4</v>
      </c>
      <c r="G6042" s="191">
        <v>548.47</v>
      </c>
      <c r="H6042" s="192">
        <v>22509.66</v>
      </c>
      <c r="I6042" s="192">
        <v>10954.02</v>
      </c>
      <c r="J6042" s="192">
        <v>9300.17</v>
      </c>
      <c r="K6042" s="192">
        <v>2255.4699999999998</v>
      </c>
      <c r="L6042" s="43">
        <v>7.0159396077746887</v>
      </c>
      <c r="M6042" s="43">
        <v>11.500404203718675</v>
      </c>
      <c r="N6042" s="43">
        <v>5.446977861075319</v>
      </c>
      <c r="O6042" s="43">
        <v>4.1122942002297291</v>
      </c>
      <c r="P6042" s="193"/>
      <c r="Q6042" s="193"/>
      <c r="R6042" s="193">
        <v>9</v>
      </c>
    </row>
    <row r="6043" spans="1:18" ht="36">
      <c r="A6043" s="189">
        <v>890</v>
      </c>
      <c r="B6043" s="186" t="s">
        <v>11081</v>
      </c>
      <c r="C6043" s="190" t="s">
        <v>11082</v>
      </c>
      <c r="D6043" s="191">
        <v>559.38</v>
      </c>
      <c r="E6043" s="191">
        <v>184.28</v>
      </c>
      <c r="F6043" s="191">
        <v>192.74</v>
      </c>
      <c r="G6043" s="191">
        <v>182.36</v>
      </c>
      <c r="H6043" s="192">
        <v>4059.89</v>
      </c>
      <c r="I6043" s="192">
        <v>2119.2199999999998</v>
      </c>
      <c r="J6043" s="192">
        <v>1078.43</v>
      </c>
      <c r="K6043" s="192">
        <v>862.24</v>
      </c>
      <c r="L6043" s="43">
        <v>7.2578390360756551</v>
      </c>
      <c r="M6043" s="43">
        <v>11.499999999999998</v>
      </c>
      <c r="N6043" s="43">
        <v>5.5952578603299781</v>
      </c>
      <c r="O6043" s="43">
        <v>4.7282298749725813</v>
      </c>
      <c r="P6043" s="193"/>
      <c r="Q6043" s="193"/>
      <c r="R6043" s="193">
        <v>9</v>
      </c>
    </row>
    <row r="6044" spans="1:18" ht="36">
      <c r="A6044" s="189">
        <v>891</v>
      </c>
      <c r="B6044" s="186" t="s">
        <v>11083</v>
      </c>
      <c r="C6044" s="190" t="s">
        <v>11084</v>
      </c>
      <c r="D6044" s="191">
        <v>644.53</v>
      </c>
      <c r="E6044" s="191">
        <v>227.64</v>
      </c>
      <c r="F6044" s="191">
        <v>226.43</v>
      </c>
      <c r="G6044" s="191">
        <v>190.46</v>
      </c>
      <c r="H6044" s="192">
        <v>4801.55</v>
      </c>
      <c r="I6044" s="192">
        <v>2617.86</v>
      </c>
      <c r="J6044" s="192">
        <v>1266.97</v>
      </c>
      <c r="K6044" s="192">
        <v>916.72</v>
      </c>
      <c r="L6044" s="43">
        <v>7.4496920236451372</v>
      </c>
      <c r="M6044" s="43">
        <v>11.500000000000002</v>
      </c>
      <c r="N6044" s="43">
        <v>5.5954158017930489</v>
      </c>
      <c r="O6044" s="43">
        <v>4.8131891210752915</v>
      </c>
      <c r="P6044" s="193"/>
      <c r="Q6044" s="193"/>
      <c r="R6044" s="193">
        <v>9</v>
      </c>
    </row>
    <row r="6045" spans="1:18" ht="48">
      <c r="A6045" s="189">
        <v>892</v>
      </c>
      <c r="B6045" s="186" t="s">
        <v>11085</v>
      </c>
      <c r="C6045" s="190" t="s">
        <v>11086</v>
      </c>
      <c r="D6045" s="191">
        <v>2138.4</v>
      </c>
      <c r="E6045" s="191">
        <v>683.17</v>
      </c>
      <c r="F6045" s="191">
        <v>1112.68</v>
      </c>
      <c r="G6045" s="191">
        <v>342.55</v>
      </c>
      <c r="H6045" s="192">
        <v>15390.39</v>
      </c>
      <c r="I6045" s="192">
        <v>7856.72</v>
      </c>
      <c r="J6045" s="192">
        <v>6068.07</v>
      </c>
      <c r="K6045" s="192">
        <v>1465.6</v>
      </c>
      <c r="L6045" s="43">
        <v>7.1971520763187424</v>
      </c>
      <c r="M6045" s="43">
        <v>11.500387897595036</v>
      </c>
      <c r="N6045" s="43">
        <v>5.453562569651651</v>
      </c>
      <c r="O6045" s="43">
        <v>4.2784994891256742</v>
      </c>
      <c r="P6045" s="193"/>
      <c r="Q6045" s="193"/>
      <c r="R6045" s="193">
        <v>9</v>
      </c>
    </row>
    <row r="6046" spans="1:18" ht="48">
      <c r="A6046" s="189">
        <v>893</v>
      </c>
      <c r="B6046" s="186" t="s">
        <v>11087</v>
      </c>
      <c r="C6046" s="190" t="s">
        <v>11088</v>
      </c>
      <c r="D6046" s="191">
        <v>3135.14</v>
      </c>
      <c r="E6046" s="191">
        <v>979.64</v>
      </c>
      <c r="F6046" s="191">
        <v>1696.62</v>
      </c>
      <c r="G6046" s="191">
        <v>458.88</v>
      </c>
      <c r="H6046" s="192">
        <v>22378.86</v>
      </c>
      <c r="I6046" s="192">
        <v>11266.24</v>
      </c>
      <c r="J6046" s="192">
        <v>9239.84</v>
      </c>
      <c r="K6046" s="192">
        <v>1872.78</v>
      </c>
      <c r="L6046" s="43">
        <v>7.1380735788513441</v>
      </c>
      <c r="M6046" s="43">
        <v>11.500387897595035</v>
      </c>
      <c r="N6046" s="43">
        <v>5.4460279850526341</v>
      </c>
      <c r="O6046" s="43">
        <v>4.08119769874477</v>
      </c>
      <c r="P6046" s="193"/>
      <c r="Q6046" s="193"/>
      <c r="R6046" s="193">
        <v>9</v>
      </c>
    </row>
    <row r="6047" spans="1:18" ht="36">
      <c r="A6047" s="189">
        <v>894</v>
      </c>
      <c r="B6047" s="186" t="s">
        <v>11089</v>
      </c>
      <c r="C6047" s="190" t="s">
        <v>11090</v>
      </c>
      <c r="D6047" s="191">
        <v>542.84</v>
      </c>
      <c r="E6047" s="191">
        <v>131.47999999999999</v>
      </c>
      <c r="F6047" s="191">
        <v>205.15</v>
      </c>
      <c r="G6047" s="191">
        <v>206.21</v>
      </c>
      <c r="H6047" s="192">
        <v>3528.96</v>
      </c>
      <c r="I6047" s="192">
        <v>1512.05</v>
      </c>
      <c r="J6047" s="192">
        <v>1122.9000000000001</v>
      </c>
      <c r="K6047" s="192">
        <v>894.01</v>
      </c>
      <c r="L6047" s="43">
        <v>6.5009210817183698</v>
      </c>
      <c r="M6047" s="43">
        <v>11.500228171585032</v>
      </c>
      <c r="N6047" s="43">
        <v>5.47355593468194</v>
      </c>
      <c r="O6047" s="43">
        <v>4.3354347509820084</v>
      </c>
      <c r="P6047" s="193"/>
      <c r="Q6047" s="193"/>
      <c r="R6047" s="193">
        <v>9</v>
      </c>
    </row>
    <row r="6048" spans="1:18" ht="36">
      <c r="A6048" s="189">
        <v>895</v>
      </c>
      <c r="B6048" s="186" t="s">
        <v>11091</v>
      </c>
      <c r="C6048" s="190" t="s">
        <v>11092</v>
      </c>
      <c r="D6048" s="191">
        <v>1347.52</v>
      </c>
      <c r="E6048" s="191">
        <v>359.63</v>
      </c>
      <c r="F6048" s="191">
        <v>659.8</v>
      </c>
      <c r="G6048" s="191">
        <v>328.09</v>
      </c>
      <c r="H6048" s="192">
        <v>9075.98</v>
      </c>
      <c r="I6048" s="192">
        <v>4135.8999999999996</v>
      </c>
      <c r="J6048" s="192">
        <v>3595.27</v>
      </c>
      <c r="K6048" s="192">
        <v>1344.81</v>
      </c>
      <c r="L6048" s="43">
        <v>6.7353211826169552</v>
      </c>
      <c r="M6048" s="43">
        <v>11.500430998526262</v>
      </c>
      <c r="N6048" s="43">
        <v>5.449030009093665</v>
      </c>
      <c r="O6048" s="43">
        <v>4.098905788045963</v>
      </c>
      <c r="P6048" s="193"/>
      <c r="Q6048" s="193"/>
      <c r="R6048" s="193">
        <v>9</v>
      </c>
    </row>
    <row r="6049" spans="1:18" ht="36">
      <c r="A6049" s="189">
        <v>896</v>
      </c>
      <c r="B6049" s="186" t="s">
        <v>11093</v>
      </c>
      <c r="C6049" s="190" t="s">
        <v>11094</v>
      </c>
      <c r="D6049" s="191">
        <v>2014.79</v>
      </c>
      <c r="E6049" s="191">
        <v>537.51</v>
      </c>
      <c r="F6049" s="191">
        <v>1035.28</v>
      </c>
      <c r="G6049" s="191">
        <v>442</v>
      </c>
      <c r="H6049" s="192">
        <v>13545.11</v>
      </c>
      <c r="I6049" s="192">
        <v>6181.61</v>
      </c>
      <c r="J6049" s="192">
        <v>5635.3</v>
      </c>
      <c r="K6049" s="192">
        <v>1728.2</v>
      </c>
      <c r="L6049" s="43">
        <v>6.7228396011494995</v>
      </c>
      <c r="M6049" s="43">
        <v>11.500455805473386</v>
      </c>
      <c r="N6049" s="43">
        <v>5.4432617262962681</v>
      </c>
      <c r="O6049" s="43">
        <v>3.909954751131222</v>
      </c>
      <c r="P6049" s="193"/>
      <c r="Q6049" s="193"/>
      <c r="R6049" s="193">
        <v>9</v>
      </c>
    </row>
    <row r="6050" spans="1:18" ht="36">
      <c r="A6050" s="189">
        <v>897</v>
      </c>
      <c r="B6050" s="186" t="s">
        <v>11095</v>
      </c>
      <c r="C6050" s="190" t="s">
        <v>11096</v>
      </c>
      <c r="D6050" s="191">
        <v>698.24</v>
      </c>
      <c r="E6050" s="191">
        <v>185.62</v>
      </c>
      <c r="F6050" s="191">
        <v>305.33</v>
      </c>
      <c r="G6050" s="191">
        <v>207.29</v>
      </c>
      <c r="H6050" s="192">
        <v>4707.24</v>
      </c>
      <c r="I6050" s="192">
        <v>2134.66</v>
      </c>
      <c r="J6050" s="192">
        <v>1666.15</v>
      </c>
      <c r="K6050" s="192">
        <v>906.43</v>
      </c>
      <c r="L6050" s="43">
        <v>6.7415788267644361</v>
      </c>
      <c r="M6050" s="43">
        <v>11.50016162051503</v>
      </c>
      <c r="N6050" s="43">
        <v>5.4568827170602301</v>
      </c>
      <c r="O6050" s="43">
        <v>4.3727627960827826</v>
      </c>
      <c r="P6050" s="193"/>
      <c r="Q6050" s="193"/>
      <c r="R6050" s="193">
        <v>9</v>
      </c>
    </row>
    <row r="6051" spans="1:18" ht="36">
      <c r="A6051" s="189">
        <v>898</v>
      </c>
      <c r="B6051" s="186" t="s">
        <v>11097</v>
      </c>
      <c r="C6051" s="190" t="s">
        <v>11098</v>
      </c>
      <c r="D6051" s="191">
        <v>2560.2800000000002</v>
      </c>
      <c r="E6051" s="191">
        <v>779.85</v>
      </c>
      <c r="F6051" s="191">
        <v>1443.93</v>
      </c>
      <c r="G6051" s="191">
        <v>336.5</v>
      </c>
      <c r="H6051" s="192">
        <v>18257.28</v>
      </c>
      <c r="I6051" s="192">
        <v>8968.52</v>
      </c>
      <c r="J6051" s="192">
        <v>7847.24</v>
      </c>
      <c r="K6051" s="192">
        <v>1441.52</v>
      </c>
      <c r="L6051" s="43">
        <v>7.130970050150764</v>
      </c>
      <c r="M6051" s="43">
        <v>11.500314162980061</v>
      </c>
      <c r="N6051" s="43">
        <v>5.4346401833883906</v>
      </c>
      <c r="O6051" s="43">
        <v>4.2838632986627045</v>
      </c>
      <c r="P6051" s="193"/>
      <c r="Q6051" s="193"/>
      <c r="R6051" s="193">
        <v>9</v>
      </c>
    </row>
    <row r="6052" spans="1:18" ht="36">
      <c r="A6052" s="189">
        <v>899</v>
      </c>
      <c r="B6052" s="186" t="s">
        <v>11099</v>
      </c>
      <c r="C6052" s="190" t="s">
        <v>11100</v>
      </c>
      <c r="D6052" s="191">
        <v>3928.79</v>
      </c>
      <c r="E6052" s="191">
        <v>1201.3499999999999</v>
      </c>
      <c r="F6052" s="191">
        <v>2272.16</v>
      </c>
      <c r="G6052" s="191">
        <v>455.28</v>
      </c>
      <c r="H6052" s="192">
        <v>28039.23</v>
      </c>
      <c r="I6052" s="192">
        <v>13815.97</v>
      </c>
      <c r="J6052" s="192">
        <v>12342.34</v>
      </c>
      <c r="K6052" s="192">
        <v>1880.92</v>
      </c>
      <c r="L6052" s="43">
        <v>7.1368614764342198</v>
      </c>
      <c r="M6052" s="43">
        <v>11.500370416614642</v>
      </c>
      <c r="N6052" s="43">
        <v>5.4319854235617218</v>
      </c>
      <c r="O6052" s="43">
        <v>4.1313477420488498</v>
      </c>
      <c r="P6052" s="193"/>
      <c r="Q6052" s="193"/>
      <c r="R6052" s="193">
        <v>9</v>
      </c>
    </row>
    <row r="6053" spans="1:18" ht="36">
      <c r="A6053" s="189">
        <v>900</v>
      </c>
      <c r="B6053" s="186" t="s">
        <v>11101</v>
      </c>
      <c r="C6053" s="190" t="s">
        <v>11102</v>
      </c>
      <c r="D6053" s="191">
        <v>504.64</v>
      </c>
      <c r="E6053" s="191">
        <v>118.59</v>
      </c>
      <c r="F6053" s="191">
        <v>180.1</v>
      </c>
      <c r="G6053" s="191">
        <v>205.95</v>
      </c>
      <c r="H6053" s="192">
        <v>3241.92</v>
      </c>
      <c r="I6053" s="192">
        <v>1363.81</v>
      </c>
      <c r="J6053" s="192">
        <v>987.09</v>
      </c>
      <c r="K6053" s="192">
        <v>891.02</v>
      </c>
      <c r="L6053" s="43">
        <v>6.4242232086239701</v>
      </c>
      <c r="M6053" s="43">
        <v>11.500210810355004</v>
      </c>
      <c r="N6053" s="43">
        <v>5.4807884508606337</v>
      </c>
      <c r="O6053" s="43">
        <v>4.3263899004612769</v>
      </c>
      <c r="P6053" s="193"/>
      <c r="Q6053" s="193"/>
      <c r="R6053" s="193">
        <v>9</v>
      </c>
    </row>
    <row r="6054" spans="1:18" ht="36">
      <c r="A6054" s="189">
        <v>901</v>
      </c>
      <c r="B6054" s="186" t="s">
        <v>11103</v>
      </c>
      <c r="C6054" s="190" t="s">
        <v>11104</v>
      </c>
      <c r="D6054" s="191">
        <v>1282.78</v>
      </c>
      <c r="E6054" s="191">
        <v>337.72</v>
      </c>
      <c r="F6054" s="191">
        <v>617.41</v>
      </c>
      <c r="G6054" s="191">
        <v>327.64999999999998</v>
      </c>
      <c r="H6054" s="192">
        <v>8589.07</v>
      </c>
      <c r="I6054" s="192">
        <v>3883.89</v>
      </c>
      <c r="J6054" s="192">
        <v>3365.43</v>
      </c>
      <c r="K6054" s="192">
        <v>1339.75</v>
      </c>
      <c r="L6054" s="43">
        <v>6.6956687818643879</v>
      </c>
      <c r="M6054" s="43">
        <v>11.500325713608905</v>
      </c>
      <c r="N6054" s="43">
        <v>5.4508835295832592</v>
      </c>
      <c r="O6054" s="43">
        <v>4.0889668853960019</v>
      </c>
      <c r="P6054" s="193"/>
      <c r="Q6054" s="193"/>
      <c r="R6054" s="193">
        <v>9</v>
      </c>
    </row>
    <row r="6055" spans="1:18" ht="36">
      <c r="A6055" s="189">
        <v>902</v>
      </c>
      <c r="B6055" s="186" t="s">
        <v>11105</v>
      </c>
      <c r="C6055" s="190" t="s">
        <v>11106</v>
      </c>
      <c r="D6055" s="191">
        <v>1076.79</v>
      </c>
      <c r="E6055" s="191">
        <v>456.31</v>
      </c>
      <c r="F6055" s="191">
        <v>180.1</v>
      </c>
      <c r="G6055" s="191">
        <v>440.38</v>
      </c>
      <c r="H6055" s="192">
        <v>7944.36</v>
      </c>
      <c r="I6055" s="192">
        <v>5247.7</v>
      </c>
      <c r="J6055" s="192">
        <v>987.09</v>
      </c>
      <c r="K6055" s="192">
        <v>1709.57</v>
      </c>
      <c r="L6055" s="43">
        <v>7.3778174017217841</v>
      </c>
      <c r="M6055" s="43">
        <v>11.500295851504459</v>
      </c>
      <c r="N6055" s="43">
        <v>5.4807884508606337</v>
      </c>
      <c r="O6055" s="43">
        <v>3.8820336981697623</v>
      </c>
      <c r="P6055" s="193"/>
      <c r="Q6055" s="193"/>
      <c r="R6055" s="193">
        <v>9</v>
      </c>
    </row>
    <row r="6056" spans="1:18" ht="36">
      <c r="A6056" s="189">
        <v>903</v>
      </c>
      <c r="B6056" s="186" t="s">
        <v>11107</v>
      </c>
      <c r="C6056" s="190" t="s">
        <v>11108</v>
      </c>
      <c r="D6056" s="191">
        <v>614.04999999999995</v>
      </c>
      <c r="E6056" s="191">
        <v>155.97</v>
      </c>
      <c r="F6056" s="191">
        <v>251.38</v>
      </c>
      <c r="G6056" s="191">
        <v>206.7</v>
      </c>
      <c r="H6056" s="192">
        <v>4066.97</v>
      </c>
      <c r="I6056" s="192">
        <v>1793.7</v>
      </c>
      <c r="J6056" s="192">
        <v>1373.63</v>
      </c>
      <c r="K6056" s="192">
        <v>899.64</v>
      </c>
      <c r="L6056" s="43">
        <v>6.623190293950004</v>
      </c>
      <c r="M6056" s="43">
        <v>11.500288517022504</v>
      </c>
      <c r="N6056" s="43">
        <v>5.4643567507359379</v>
      </c>
      <c r="O6056" s="43">
        <v>4.3523947750362844</v>
      </c>
      <c r="P6056" s="193"/>
      <c r="Q6056" s="193"/>
      <c r="R6056" s="193">
        <v>9</v>
      </c>
    </row>
    <row r="6057" spans="1:18" ht="36">
      <c r="A6057" s="189">
        <v>904</v>
      </c>
      <c r="B6057" s="186" t="s">
        <v>11109</v>
      </c>
      <c r="C6057" s="190" t="s">
        <v>11110</v>
      </c>
      <c r="D6057" s="191">
        <v>1791.04</v>
      </c>
      <c r="E6057" s="191">
        <v>513.02</v>
      </c>
      <c r="F6057" s="191">
        <v>946.86</v>
      </c>
      <c r="G6057" s="191">
        <v>331.16</v>
      </c>
      <c r="H6057" s="192">
        <v>12431.95</v>
      </c>
      <c r="I6057" s="192">
        <v>5899.95</v>
      </c>
      <c r="J6057" s="192">
        <v>5151.8900000000003</v>
      </c>
      <c r="K6057" s="192">
        <v>1380.11</v>
      </c>
      <c r="L6057" s="43">
        <v>6.941190593174916</v>
      </c>
      <c r="M6057" s="43">
        <v>11.500428833183891</v>
      </c>
      <c r="N6057" s="43">
        <v>5.4410261284667216</v>
      </c>
      <c r="O6057" s="43">
        <v>4.1675021137818575</v>
      </c>
      <c r="P6057" s="193"/>
      <c r="Q6057" s="193"/>
      <c r="R6057" s="193">
        <v>9</v>
      </c>
    </row>
    <row r="6058" spans="1:18" ht="36">
      <c r="A6058" s="189">
        <v>905</v>
      </c>
      <c r="B6058" s="186" t="s">
        <v>11111</v>
      </c>
      <c r="C6058" s="190" t="s">
        <v>11112</v>
      </c>
      <c r="D6058" s="191">
        <v>2548.98</v>
      </c>
      <c r="E6058" s="191">
        <v>723.13</v>
      </c>
      <c r="F6058" s="191">
        <v>1380.14</v>
      </c>
      <c r="G6058" s="191">
        <v>445.71</v>
      </c>
      <c r="H6058" s="192">
        <v>17592.45</v>
      </c>
      <c r="I6058" s="192">
        <v>8316.26</v>
      </c>
      <c r="J6058" s="192">
        <v>7505.33</v>
      </c>
      <c r="K6058" s="192">
        <v>1770.86</v>
      </c>
      <c r="L6058" s="43">
        <v>6.9017607042817133</v>
      </c>
      <c r="M6058" s="43">
        <v>11.500366462461798</v>
      </c>
      <c r="N6058" s="43">
        <v>5.4380932369179931</v>
      </c>
      <c r="O6058" s="43">
        <v>3.9731215364250296</v>
      </c>
      <c r="P6058" s="193"/>
      <c r="Q6058" s="193"/>
      <c r="R6058" s="193">
        <v>9</v>
      </c>
    </row>
    <row r="6059" spans="1:18" ht="36">
      <c r="A6059" s="189">
        <v>906</v>
      </c>
      <c r="B6059" s="186" t="s">
        <v>11113</v>
      </c>
      <c r="C6059" s="190" t="s">
        <v>11114</v>
      </c>
      <c r="D6059" s="191">
        <v>2312.27</v>
      </c>
      <c r="E6059" s="191">
        <v>693.48</v>
      </c>
      <c r="F6059" s="191">
        <v>1284.02</v>
      </c>
      <c r="G6059" s="191">
        <v>334.77</v>
      </c>
      <c r="H6059" s="192">
        <v>16377.07</v>
      </c>
      <c r="I6059" s="192">
        <v>7975.31</v>
      </c>
      <c r="J6059" s="192">
        <v>6980.13</v>
      </c>
      <c r="K6059" s="192">
        <v>1421.63</v>
      </c>
      <c r="L6059" s="43">
        <v>7.0826806558057669</v>
      </c>
      <c r="M6059" s="43">
        <v>11.500418180769453</v>
      </c>
      <c r="N6059" s="43">
        <v>5.4361536424666284</v>
      </c>
      <c r="O6059" s="43">
        <v>4.2465872091286556</v>
      </c>
      <c r="P6059" s="193"/>
      <c r="Q6059" s="193"/>
      <c r="R6059" s="193">
        <v>9</v>
      </c>
    </row>
    <row r="6060" spans="1:18" ht="36">
      <c r="A6060" s="189">
        <v>907</v>
      </c>
      <c r="B6060" s="186" t="s">
        <v>11115</v>
      </c>
      <c r="C6060" s="190" t="s">
        <v>11116</v>
      </c>
      <c r="D6060" s="191">
        <v>3225.61</v>
      </c>
      <c r="E6060" s="191">
        <v>957.73</v>
      </c>
      <c r="F6060" s="191">
        <v>1817.48</v>
      </c>
      <c r="G6060" s="191">
        <v>450.4</v>
      </c>
      <c r="H6060" s="192">
        <v>22715.85</v>
      </c>
      <c r="I6060" s="192">
        <v>11014.23</v>
      </c>
      <c r="J6060" s="192">
        <v>9876.82</v>
      </c>
      <c r="K6060" s="192">
        <v>1824.8</v>
      </c>
      <c r="L6060" s="43">
        <v>7.0423423786508588</v>
      </c>
      <c r="M6060" s="43">
        <v>11.500349785430132</v>
      </c>
      <c r="N6060" s="43">
        <v>5.4343486585822127</v>
      </c>
      <c r="O6060" s="43">
        <v>4.0515097690941388</v>
      </c>
      <c r="P6060" s="193"/>
      <c r="Q6060" s="193"/>
      <c r="R6060" s="193">
        <v>9</v>
      </c>
    </row>
    <row r="6061" spans="1:18" ht="36">
      <c r="A6061" s="189">
        <v>908</v>
      </c>
      <c r="B6061" s="186" t="s">
        <v>11117</v>
      </c>
      <c r="C6061" s="190" t="s">
        <v>11118</v>
      </c>
      <c r="D6061" s="191">
        <v>876.05</v>
      </c>
      <c r="E6061" s="191">
        <v>261.67</v>
      </c>
      <c r="F6061" s="191">
        <v>323.56</v>
      </c>
      <c r="G6061" s="191">
        <v>290.82</v>
      </c>
      <c r="H6061" s="192">
        <v>6050.89</v>
      </c>
      <c r="I6061" s="192">
        <v>3009.27</v>
      </c>
      <c r="J6061" s="192">
        <v>1784.83</v>
      </c>
      <c r="K6061" s="192">
        <v>1256.79</v>
      </c>
      <c r="L6061" s="43">
        <v>6.9070144398150797</v>
      </c>
      <c r="M6061" s="43">
        <v>11.500248404478922</v>
      </c>
      <c r="N6061" s="43">
        <v>5.516225738657436</v>
      </c>
      <c r="O6061" s="43">
        <v>4.3215390963482569</v>
      </c>
      <c r="P6061" s="193"/>
      <c r="Q6061" s="193"/>
      <c r="R6061" s="193">
        <v>9</v>
      </c>
    </row>
    <row r="6062" spans="1:18" ht="36">
      <c r="A6062" s="189">
        <v>909</v>
      </c>
      <c r="B6062" s="186" t="s">
        <v>11119</v>
      </c>
      <c r="C6062" s="190" t="s">
        <v>11120</v>
      </c>
      <c r="D6062" s="191">
        <v>1668.93</v>
      </c>
      <c r="E6062" s="191">
        <v>480.8</v>
      </c>
      <c r="F6062" s="191">
        <v>771.48</v>
      </c>
      <c r="G6062" s="191">
        <v>416.65</v>
      </c>
      <c r="H6062" s="192">
        <v>11480.7</v>
      </c>
      <c r="I6062" s="192">
        <v>5529.35</v>
      </c>
      <c r="J6062" s="192">
        <v>4219.4799999999996</v>
      </c>
      <c r="K6062" s="192">
        <v>1731.87</v>
      </c>
      <c r="L6062" s="43">
        <v>6.879078211788392</v>
      </c>
      <c r="M6062" s="43">
        <v>11.500311980033278</v>
      </c>
      <c r="N6062" s="43">
        <v>5.4693316741846836</v>
      </c>
      <c r="O6062" s="43">
        <v>4.1566542661706469</v>
      </c>
      <c r="P6062" s="193"/>
      <c r="Q6062" s="193"/>
      <c r="R6062" s="193">
        <v>9</v>
      </c>
    </row>
    <row r="6063" spans="1:18" ht="36">
      <c r="A6063" s="189">
        <v>910</v>
      </c>
      <c r="B6063" s="186" t="s">
        <v>11121</v>
      </c>
      <c r="C6063" s="190" t="s">
        <v>11122</v>
      </c>
      <c r="D6063" s="191">
        <v>2341.2399999999998</v>
      </c>
      <c r="E6063" s="191">
        <v>657.39</v>
      </c>
      <c r="F6063" s="191">
        <v>1148.3</v>
      </c>
      <c r="G6063" s="191">
        <v>535.54999999999995</v>
      </c>
      <c r="H6063" s="192">
        <v>15979.7</v>
      </c>
      <c r="I6063" s="192">
        <v>7560.24</v>
      </c>
      <c r="J6063" s="192">
        <v>6267.05</v>
      </c>
      <c r="K6063" s="192">
        <v>2152.41</v>
      </c>
      <c r="L6063" s="43">
        <v>6.8253147904529232</v>
      </c>
      <c r="M6063" s="43">
        <v>11.500387897595035</v>
      </c>
      <c r="N6063" s="43">
        <v>5.4576765653574855</v>
      </c>
      <c r="O6063" s="43">
        <v>4.0190645131173559</v>
      </c>
      <c r="P6063" s="193"/>
      <c r="Q6063" s="193"/>
      <c r="R6063" s="193">
        <v>9</v>
      </c>
    </row>
    <row r="6064" spans="1:18" ht="36">
      <c r="A6064" s="189">
        <v>911</v>
      </c>
      <c r="B6064" s="186" t="s">
        <v>11123</v>
      </c>
      <c r="C6064" s="190" t="s">
        <v>11124</v>
      </c>
      <c r="D6064" s="191">
        <v>1031.47</v>
      </c>
      <c r="E6064" s="191">
        <v>315.81</v>
      </c>
      <c r="F6064" s="191">
        <v>423.75</v>
      </c>
      <c r="G6064" s="191">
        <v>291.91000000000003</v>
      </c>
      <c r="H6064" s="192">
        <v>7229.28</v>
      </c>
      <c r="I6064" s="192">
        <v>3631.88</v>
      </c>
      <c r="J6064" s="192">
        <v>2328.08</v>
      </c>
      <c r="K6064" s="192">
        <v>1269.32</v>
      </c>
      <c r="L6064" s="43">
        <v>7.0087157164047422</v>
      </c>
      <c r="M6064" s="43">
        <v>11.500205819955037</v>
      </c>
      <c r="N6064" s="43">
        <v>5.4939941002949855</v>
      </c>
      <c r="O6064" s="43">
        <v>4.3483265390017465</v>
      </c>
      <c r="P6064" s="193"/>
      <c r="Q6064" s="193"/>
      <c r="R6064" s="193">
        <v>9</v>
      </c>
    </row>
    <row r="6065" spans="1:18" ht="36">
      <c r="A6065" s="189">
        <v>912</v>
      </c>
      <c r="B6065" s="186" t="s">
        <v>11125</v>
      </c>
      <c r="C6065" s="190" t="s">
        <v>11126</v>
      </c>
      <c r="D6065" s="191">
        <v>2880.34</v>
      </c>
      <c r="E6065" s="191">
        <v>899.72</v>
      </c>
      <c r="F6065" s="191">
        <v>1555.6</v>
      </c>
      <c r="G6065" s="191">
        <v>425.02</v>
      </c>
      <c r="H6065" s="192">
        <v>20646.73</v>
      </c>
      <c r="I6065" s="192">
        <v>10347.15</v>
      </c>
      <c r="J6065" s="192">
        <v>8471.4500000000007</v>
      </c>
      <c r="K6065" s="192">
        <v>1828.13</v>
      </c>
      <c r="L6065" s="43">
        <v>7.1681572314379549</v>
      </c>
      <c r="M6065" s="43">
        <v>11.500411239052148</v>
      </c>
      <c r="N6065" s="43">
        <v>5.4457765492414509</v>
      </c>
      <c r="O6065" s="43">
        <v>4.3012799397675412</v>
      </c>
      <c r="P6065" s="193"/>
      <c r="Q6065" s="193"/>
      <c r="R6065" s="193">
        <v>9</v>
      </c>
    </row>
    <row r="6066" spans="1:18" ht="36">
      <c r="A6066" s="189">
        <v>913</v>
      </c>
      <c r="B6066" s="186" t="s">
        <v>11127</v>
      </c>
      <c r="C6066" s="190" t="s">
        <v>11128</v>
      </c>
      <c r="D6066" s="191">
        <v>4260.07</v>
      </c>
      <c r="E6066" s="191">
        <v>1319.94</v>
      </c>
      <c r="F6066" s="191">
        <v>2390.96</v>
      </c>
      <c r="G6066" s="191">
        <v>549.16999999999996</v>
      </c>
      <c r="H6066" s="192">
        <v>30492.62</v>
      </c>
      <c r="I6066" s="192">
        <v>15179.78</v>
      </c>
      <c r="J6066" s="192">
        <v>13005.43</v>
      </c>
      <c r="K6066" s="192">
        <v>2307.41</v>
      </c>
      <c r="L6066" s="43">
        <v>7.1577744027680295</v>
      </c>
      <c r="M6066" s="43">
        <v>11.50035607679137</v>
      </c>
      <c r="N6066" s="43">
        <v>5.4394176397764911</v>
      </c>
      <c r="O6066" s="43">
        <v>4.2016315530709978</v>
      </c>
      <c r="P6066" s="193"/>
      <c r="Q6066" s="193"/>
      <c r="R6066" s="193">
        <v>9</v>
      </c>
    </row>
    <row r="6067" spans="1:18" ht="36">
      <c r="A6067" s="189">
        <v>914</v>
      </c>
      <c r="B6067" s="186" t="s">
        <v>11129</v>
      </c>
      <c r="C6067" s="190" t="s">
        <v>11130</v>
      </c>
      <c r="D6067" s="191">
        <v>837.87</v>
      </c>
      <c r="E6067" s="191">
        <v>248.78</v>
      </c>
      <c r="F6067" s="191">
        <v>298.52</v>
      </c>
      <c r="G6067" s="191">
        <v>290.57</v>
      </c>
      <c r="H6067" s="192">
        <v>5763.95</v>
      </c>
      <c r="I6067" s="192">
        <v>2861.03</v>
      </c>
      <c r="J6067" s="192">
        <v>1649.01</v>
      </c>
      <c r="K6067" s="192">
        <v>1253.9100000000001</v>
      </c>
      <c r="L6067" s="43">
        <v>6.8792891498681179</v>
      </c>
      <c r="M6067" s="43">
        <v>11.500241176943485</v>
      </c>
      <c r="N6067" s="43">
        <v>5.5239514940372505</v>
      </c>
      <c r="O6067" s="43">
        <v>4.315345699831366</v>
      </c>
      <c r="P6067" s="193"/>
      <c r="Q6067" s="193"/>
      <c r="R6067" s="193">
        <v>9</v>
      </c>
    </row>
    <row r="6068" spans="1:18" ht="36">
      <c r="A6068" s="189">
        <v>915</v>
      </c>
      <c r="B6068" s="186" t="s">
        <v>11131</v>
      </c>
      <c r="C6068" s="190" t="s">
        <v>11132</v>
      </c>
      <c r="D6068" s="191">
        <v>1602.87</v>
      </c>
      <c r="E6068" s="191">
        <v>457.6</v>
      </c>
      <c r="F6068" s="191">
        <v>729.09</v>
      </c>
      <c r="G6068" s="191">
        <v>416.18</v>
      </c>
      <c r="H6068" s="192">
        <v>10978.64</v>
      </c>
      <c r="I6068" s="192">
        <v>5262.52</v>
      </c>
      <c r="J6068" s="192">
        <v>3989.65</v>
      </c>
      <c r="K6068" s="192">
        <v>1726.47</v>
      </c>
      <c r="L6068" s="43">
        <v>6.8493639534085737</v>
      </c>
      <c r="M6068" s="43">
        <v>11.500262237762238</v>
      </c>
      <c r="N6068" s="43">
        <v>5.4720953517398403</v>
      </c>
      <c r="O6068" s="43">
        <v>4.1483733000144172</v>
      </c>
      <c r="P6068" s="193"/>
      <c r="Q6068" s="193"/>
      <c r="R6068" s="193">
        <v>9</v>
      </c>
    </row>
    <row r="6069" spans="1:18" ht="36">
      <c r="A6069" s="189">
        <v>916</v>
      </c>
      <c r="B6069" s="186" t="s">
        <v>11133</v>
      </c>
      <c r="C6069" s="190" t="s">
        <v>11122</v>
      </c>
      <c r="D6069" s="191">
        <v>2106.1999999999998</v>
      </c>
      <c r="E6069" s="191">
        <v>576.17999999999995</v>
      </c>
      <c r="F6069" s="191">
        <v>996.1</v>
      </c>
      <c r="G6069" s="191">
        <v>533.91999999999996</v>
      </c>
      <c r="H6069" s="192">
        <v>14201.72</v>
      </c>
      <c r="I6069" s="192">
        <v>6626.33</v>
      </c>
      <c r="J6069" s="192">
        <v>5441.73</v>
      </c>
      <c r="K6069" s="192">
        <v>2133.66</v>
      </c>
      <c r="L6069" s="43">
        <v>6.7428164466812275</v>
      </c>
      <c r="M6069" s="43">
        <v>11.500451247873929</v>
      </c>
      <c r="N6069" s="43">
        <v>5.4630358397751229</v>
      </c>
      <c r="O6069" s="43">
        <v>3.9962166616721606</v>
      </c>
      <c r="P6069" s="193"/>
      <c r="Q6069" s="193"/>
      <c r="R6069" s="193">
        <v>9</v>
      </c>
    </row>
    <row r="6070" spans="1:18" ht="36">
      <c r="A6070" s="189">
        <v>917</v>
      </c>
      <c r="B6070" s="186" t="s">
        <v>11134</v>
      </c>
      <c r="C6070" s="190" t="s">
        <v>11135</v>
      </c>
      <c r="D6070" s="191">
        <v>947.27</v>
      </c>
      <c r="E6070" s="191">
        <v>286.16000000000003</v>
      </c>
      <c r="F6070" s="191">
        <v>369.8</v>
      </c>
      <c r="G6070" s="191">
        <v>291.31</v>
      </c>
      <c r="H6070" s="192">
        <v>6588.91</v>
      </c>
      <c r="I6070" s="192">
        <v>3290.93</v>
      </c>
      <c r="J6070" s="192">
        <v>2035.56</v>
      </c>
      <c r="K6070" s="192">
        <v>1262.42</v>
      </c>
      <c r="L6070" s="43">
        <v>6.9556831737519396</v>
      </c>
      <c r="M6070" s="43">
        <v>11.500314509365388</v>
      </c>
      <c r="N6070" s="43">
        <v>5.5044889129259058</v>
      </c>
      <c r="O6070" s="43">
        <v>4.3335965123064781</v>
      </c>
      <c r="P6070" s="193"/>
      <c r="Q6070" s="193"/>
      <c r="R6070" s="193">
        <v>9</v>
      </c>
    </row>
    <row r="6071" spans="1:18" ht="36">
      <c r="A6071" s="189">
        <v>918</v>
      </c>
      <c r="B6071" s="186" t="s">
        <v>11136</v>
      </c>
      <c r="C6071" s="190" t="s">
        <v>11137</v>
      </c>
      <c r="D6071" s="191">
        <v>2112.44</v>
      </c>
      <c r="E6071" s="191">
        <v>634.19000000000005</v>
      </c>
      <c r="F6071" s="191">
        <v>1058.54</v>
      </c>
      <c r="G6071" s="191">
        <v>419.71</v>
      </c>
      <c r="H6071" s="192">
        <v>14836.57</v>
      </c>
      <c r="I6071" s="192">
        <v>7293.41</v>
      </c>
      <c r="J6071" s="192">
        <v>5776.1</v>
      </c>
      <c r="K6071" s="192">
        <v>1767.06</v>
      </c>
      <c r="L6071" s="43">
        <v>7.0234278843422766</v>
      </c>
      <c r="M6071" s="43">
        <v>11.500354783266843</v>
      </c>
      <c r="N6071" s="43">
        <v>5.4566667296464946</v>
      </c>
      <c r="O6071" s="43">
        <v>4.2101927521383811</v>
      </c>
      <c r="P6071" s="193"/>
      <c r="Q6071" s="193"/>
      <c r="R6071" s="193">
        <v>9</v>
      </c>
    </row>
    <row r="6072" spans="1:18" ht="36">
      <c r="A6072" s="189">
        <v>919</v>
      </c>
      <c r="B6072" s="186" t="s">
        <v>11138</v>
      </c>
      <c r="C6072" s="190" t="s">
        <v>11139</v>
      </c>
      <c r="D6072" s="191">
        <v>2874.12</v>
      </c>
      <c r="E6072" s="191">
        <v>841.72</v>
      </c>
      <c r="F6072" s="191">
        <v>1493.17</v>
      </c>
      <c r="G6072" s="191">
        <v>539.23</v>
      </c>
      <c r="H6072" s="192">
        <v>20011.88</v>
      </c>
      <c r="I6072" s="192">
        <v>9680.07</v>
      </c>
      <c r="J6072" s="192">
        <v>8137.08</v>
      </c>
      <c r="K6072" s="192">
        <v>2194.73</v>
      </c>
      <c r="L6072" s="43">
        <v>6.9627851307530655</v>
      </c>
      <c r="M6072" s="43">
        <v>11.500344532623675</v>
      </c>
      <c r="N6072" s="43">
        <v>5.4495335427312357</v>
      </c>
      <c r="O6072" s="43">
        <v>4.0701185023088478</v>
      </c>
      <c r="P6072" s="193"/>
      <c r="Q6072" s="193"/>
      <c r="R6072" s="193">
        <v>9</v>
      </c>
    </row>
    <row r="6073" spans="1:18" ht="36">
      <c r="A6073" s="189">
        <v>920</v>
      </c>
      <c r="B6073" s="186" t="s">
        <v>11140</v>
      </c>
      <c r="C6073" s="190" t="s">
        <v>11141</v>
      </c>
      <c r="D6073" s="191">
        <v>2632.35</v>
      </c>
      <c r="E6073" s="191">
        <v>813.36</v>
      </c>
      <c r="F6073" s="191">
        <v>1395.69</v>
      </c>
      <c r="G6073" s="191">
        <v>423.3</v>
      </c>
      <c r="H6073" s="192">
        <v>18766.63</v>
      </c>
      <c r="I6073" s="192">
        <v>9353.94</v>
      </c>
      <c r="J6073" s="192">
        <v>7604.34</v>
      </c>
      <c r="K6073" s="192">
        <v>1808.35</v>
      </c>
      <c r="L6073" s="43">
        <v>7.1292305354531127</v>
      </c>
      <c r="M6073" s="43">
        <v>11.500368840365891</v>
      </c>
      <c r="N6073" s="43">
        <v>5.4484448552328955</v>
      </c>
      <c r="O6073" s="43">
        <v>4.2720292936451685</v>
      </c>
      <c r="P6073" s="193"/>
      <c r="Q6073" s="193"/>
      <c r="R6073" s="193">
        <v>9</v>
      </c>
    </row>
    <row r="6074" spans="1:18" ht="36">
      <c r="A6074" s="189">
        <v>921</v>
      </c>
      <c r="B6074" s="186" t="s">
        <v>11142</v>
      </c>
      <c r="C6074" s="190" t="s">
        <v>11143</v>
      </c>
      <c r="D6074" s="191">
        <v>3550.75</v>
      </c>
      <c r="E6074" s="191">
        <v>1076.32</v>
      </c>
      <c r="F6074" s="191">
        <v>1930.5</v>
      </c>
      <c r="G6074" s="191">
        <v>543.92999999999995</v>
      </c>
      <c r="H6074" s="192">
        <v>25135.4</v>
      </c>
      <c r="I6074" s="192">
        <v>12378.04</v>
      </c>
      <c r="J6074" s="192">
        <v>10508.58</v>
      </c>
      <c r="K6074" s="192">
        <v>2248.7800000000002</v>
      </c>
      <c r="L6074" s="43">
        <v>7.0788988241920725</v>
      </c>
      <c r="M6074" s="43">
        <v>11.500334473019178</v>
      </c>
      <c r="N6074" s="43">
        <v>5.4434498834498832</v>
      </c>
      <c r="O6074" s="43">
        <v>4.134318754251467</v>
      </c>
      <c r="P6074" s="193"/>
      <c r="Q6074" s="193"/>
      <c r="R6074" s="193">
        <v>9</v>
      </c>
    </row>
    <row r="6075" spans="1:18" ht="12.75" customHeight="1">
      <c r="A6075" s="628" t="s">
        <v>11144</v>
      </c>
      <c r="B6075" s="629"/>
      <c r="C6075" s="629"/>
      <c r="D6075" s="629"/>
      <c r="E6075" s="629"/>
      <c r="F6075" s="629"/>
      <c r="G6075" s="629"/>
      <c r="H6075" s="629"/>
      <c r="I6075" s="629"/>
      <c r="J6075" s="629"/>
      <c r="K6075" s="629"/>
      <c r="L6075" s="629"/>
      <c r="M6075" s="629"/>
      <c r="N6075" s="629"/>
      <c r="O6075" s="629"/>
      <c r="P6075" s="629"/>
      <c r="Q6075" s="629"/>
      <c r="R6075" s="629"/>
    </row>
    <row r="6076" spans="1:18" ht="24">
      <c r="A6076" s="189">
        <v>922</v>
      </c>
      <c r="B6076" s="186" t="s">
        <v>11145</v>
      </c>
      <c r="C6076" s="190" t="s">
        <v>11146</v>
      </c>
      <c r="D6076" s="191">
        <v>904.06</v>
      </c>
      <c r="E6076" s="191">
        <v>203.52</v>
      </c>
      <c r="F6076" s="191">
        <v>265.52</v>
      </c>
      <c r="G6076" s="191">
        <v>435.02</v>
      </c>
      <c r="H6076" s="192">
        <v>6118.86</v>
      </c>
      <c r="I6076" s="192">
        <v>2340.48</v>
      </c>
      <c r="J6076" s="192">
        <v>1485.68</v>
      </c>
      <c r="K6076" s="192">
        <v>2292.6999999999998</v>
      </c>
      <c r="L6076" s="43">
        <v>6.7682012255823727</v>
      </c>
      <c r="M6076" s="43">
        <v>11.5</v>
      </c>
      <c r="N6076" s="43">
        <v>5.5953600482072918</v>
      </c>
      <c r="O6076" s="43">
        <v>5.2703323985104129</v>
      </c>
      <c r="P6076" s="193"/>
      <c r="Q6076" s="193"/>
      <c r="R6076" s="193">
        <v>10</v>
      </c>
    </row>
    <row r="6077" spans="1:18" ht="24">
      <c r="A6077" s="189">
        <v>923</v>
      </c>
      <c r="B6077" s="186" t="s">
        <v>11147</v>
      </c>
      <c r="C6077" s="190" t="s">
        <v>11148</v>
      </c>
      <c r="D6077" s="191">
        <v>1063.83</v>
      </c>
      <c r="E6077" s="191">
        <v>241.68</v>
      </c>
      <c r="F6077" s="191">
        <v>320.77999999999997</v>
      </c>
      <c r="G6077" s="191">
        <v>501.37</v>
      </c>
      <c r="H6077" s="192">
        <v>7262.53</v>
      </c>
      <c r="I6077" s="192">
        <v>2779.32</v>
      </c>
      <c r="J6077" s="192">
        <v>1794.88</v>
      </c>
      <c r="K6077" s="192">
        <v>2688.33</v>
      </c>
      <c r="L6077" s="43">
        <v>6.8267768346446331</v>
      </c>
      <c r="M6077" s="43">
        <v>11.5</v>
      </c>
      <c r="N6077" s="43">
        <v>5.5953613068146399</v>
      </c>
      <c r="O6077" s="43">
        <v>5.3619682071125112</v>
      </c>
      <c r="P6077" s="193"/>
      <c r="Q6077" s="193"/>
      <c r="R6077" s="193">
        <v>10</v>
      </c>
    </row>
    <row r="6078" spans="1:18" ht="24">
      <c r="A6078" s="189">
        <v>924</v>
      </c>
      <c r="B6078" s="186" t="s">
        <v>11149</v>
      </c>
      <c r="C6078" s="190" t="s">
        <v>11150</v>
      </c>
      <c r="D6078" s="191">
        <v>2609.11</v>
      </c>
      <c r="E6078" s="191">
        <v>648.72</v>
      </c>
      <c r="F6078" s="191">
        <v>836.98</v>
      </c>
      <c r="G6078" s="191">
        <v>1123.4100000000001</v>
      </c>
      <c r="H6078" s="192">
        <v>18307.72</v>
      </c>
      <c r="I6078" s="192">
        <v>7460.28</v>
      </c>
      <c r="J6078" s="192">
        <v>4683.2700000000004</v>
      </c>
      <c r="K6078" s="192">
        <v>6164.17</v>
      </c>
      <c r="L6078" s="43">
        <v>7.0168448244803781</v>
      </c>
      <c r="M6078" s="43">
        <v>11.5</v>
      </c>
      <c r="N6078" s="43">
        <v>5.5954383617290739</v>
      </c>
      <c r="O6078" s="43">
        <v>5.4870172065407994</v>
      </c>
      <c r="P6078" s="193"/>
      <c r="Q6078" s="193"/>
      <c r="R6078" s="193">
        <v>10</v>
      </c>
    </row>
    <row r="6079" spans="1:18" ht="36">
      <c r="A6079" s="189">
        <v>925</v>
      </c>
      <c r="B6079" s="186" t="s">
        <v>11151</v>
      </c>
      <c r="C6079" s="190" t="s">
        <v>11152</v>
      </c>
      <c r="D6079" s="191">
        <v>1157.6300000000001</v>
      </c>
      <c r="E6079" s="191">
        <v>279.83999999999997</v>
      </c>
      <c r="F6079" s="191">
        <v>354.47</v>
      </c>
      <c r="G6079" s="191">
        <v>523.32000000000005</v>
      </c>
      <c r="H6079" s="192">
        <v>8065.18</v>
      </c>
      <c r="I6079" s="192">
        <v>3218.16</v>
      </c>
      <c r="J6079" s="192">
        <v>1983.41</v>
      </c>
      <c r="K6079" s="192">
        <v>2863.61</v>
      </c>
      <c r="L6079" s="43">
        <v>6.9669756312465987</v>
      </c>
      <c r="M6079" s="43">
        <v>11.5</v>
      </c>
      <c r="N6079" s="43">
        <v>5.5954241543713144</v>
      </c>
      <c r="O6079" s="43">
        <v>5.4720056561950621</v>
      </c>
      <c r="P6079" s="193"/>
      <c r="Q6079" s="193"/>
      <c r="R6079" s="193">
        <v>10</v>
      </c>
    </row>
    <row r="6080" spans="1:18" ht="36">
      <c r="A6080" s="189">
        <v>926</v>
      </c>
      <c r="B6080" s="186" t="s">
        <v>11153</v>
      </c>
      <c r="C6080" s="190" t="s">
        <v>11154</v>
      </c>
      <c r="D6080" s="191">
        <v>2690.54</v>
      </c>
      <c r="E6080" s="191">
        <v>680.35</v>
      </c>
      <c r="F6080" s="191">
        <v>900.33</v>
      </c>
      <c r="G6080" s="191">
        <v>1109.8599999999999</v>
      </c>
      <c r="H6080" s="192">
        <v>18892.87</v>
      </c>
      <c r="I6080" s="192">
        <v>7824.3</v>
      </c>
      <c r="J6080" s="192">
        <v>5037.72</v>
      </c>
      <c r="K6080" s="192">
        <v>6030.85</v>
      </c>
      <c r="L6080" s="43">
        <v>7.0219621339954061</v>
      </c>
      <c r="M6080" s="43">
        <v>11.500404203718674</v>
      </c>
      <c r="N6080" s="43">
        <v>5.5954150144946855</v>
      </c>
      <c r="O6080" s="43">
        <v>5.4338835528805447</v>
      </c>
      <c r="P6080" s="193"/>
      <c r="Q6080" s="193"/>
      <c r="R6080" s="193">
        <v>10</v>
      </c>
    </row>
    <row r="6081" spans="1:18" ht="24">
      <c r="A6081" s="189">
        <v>927</v>
      </c>
      <c r="B6081" s="186" t="s">
        <v>11155</v>
      </c>
      <c r="C6081" s="190" t="s">
        <v>11156</v>
      </c>
      <c r="D6081" s="191">
        <v>628.33000000000004</v>
      </c>
      <c r="E6081" s="191">
        <v>172.35</v>
      </c>
      <c r="F6081" s="191">
        <v>164.43</v>
      </c>
      <c r="G6081" s="191">
        <v>291.55</v>
      </c>
      <c r="H6081" s="192">
        <v>4435.88</v>
      </c>
      <c r="I6081" s="192">
        <v>1982.1</v>
      </c>
      <c r="J6081" s="192">
        <v>920.06</v>
      </c>
      <c r="K6081" s="192">
        <v>1533.72</v>
      </c>
      <c r="L6081" s="43">
        <v>7.059793420654751</v>
      </c>
      <c r="M6081" s="43">
        <v>11.500435161009573</v>
      </c>
      <c r="N6081" s="43">
        <v>5.5954509517727899</v>
      </c>
      <c r="O6081" s="43">
        <v>5.2605728005487906</v>
      </c>
      <c r="P6081" s="193"/>
      <c r="Q6081" s="193"/>
      <c r="R6081" s="193">
        <v>10</v>
      </c>
    </row>
    <row r="6082" spans="1:18" ht="24">
      <c r="A6082" s="189">
        <v>928</v>
      </c>
      <c r="B6082" s="186" t="s">
        <v>11157</v>
      </c>
      <c r="C6082" s="190" t="s">
        <v>11158</v>
      </c>
      <c r="D6082" s="191">
        <v>738.11</v>
      </c>
      <c r="E6082" s="191">
        <v>218.31</v>
      </c>
      <c r="F6082" s="191">
        <v>211.6</v>
      </c>
      <c r="G6082" s="191">
        <v>308.2</v>
      </c>
      <c r="H6082" s="192">
        <v>5365.02</v>
      </c>
      <c r="I6082" s="192">
        <v>2510.66</v>
      </c>
      <c r="J6082" s="192">
        <v>1184.02</v>
      </c>
      <c r="K6082" s="192">
        <v>1670.34</v>
      </c>
      <c r="L6082" s="43">
        <v>7.2685914023655016</v>
      </c>
      <c r="M6082" s="43">
        <v>11.500435161009573</v>
      </c>
      <c r="N6082" s="43">
        <v>5.5955576559546314</v>
      </c>
      <c r="O6082" s="43">
        <v>5.4196625567813106</v>
      </c>
      <c r="P6082" s="193"/>
      <c r="Q6082" s="193"/>
      <c r="R6082" s="193">
        <v>10</v>
      </c>
    </row>
    <row r="6083" spans="1:18" ht="24">
      <c r="A6083" s="189">
        <v>929</v>
      </c>
      <c r="B6083" s="186" t="s">
        <v>11159</v>
      </c>
      <c r="C6083" s="190" t="s">
        <v>11160</v>
      </c>
      <c r="D6083" s="191">
        <v>1843.69</v>
      </c>
      <c r="E6083" s="191">
        <v>643.44000000000005</v>
      </c>
      <c r="F6083" s="191">
        <v>607.86</v>
      </c>
      <c r="G6083" s="191">
        <v>592.39</v>
      </c>
      <c r="H6083" s="192">
        <v>14111.3</v>
      </c>
      <c r="I6083" s="192">
        <v>7399.84</v>
      </c>
      <c r="J6083" s="192">
        <v>3401.22</v>
      </c>
      <c r="K6083" s="192">
        <v>3310.24</v>
      </c>
      <c r="L6083" s="43">
        <v>7.6538355146472554</v>
      </c>
      <c r="M6083" s="43">
        <v>11.500435161009573</v>
      </c>
      <c r="N6083" s="43">
        <v>5.5954002566380412</v>
      </c>
      <c r="O6083" s="43">
        <v>5.5879403771164267</v>
      </c>
      <c r="P6083" s="193"/>
      <c r="Q6083" s="193"/>
      <c r="R6083" s="193">
        <v>10</v>
      </c>
    </row>
    <row r="6084" spans="1:18" ht="24">
      <c r="A6084" s="189">
        <v>930</v>
      </c>
      <c r="B6084" s="186" t="s">
        <v>11161</v>
      </c>
      <c r="C6084" s="190" t="s">
        <v>11162</v>
      </c>
      <c r="D6084" s="191">
        <v>829.32</v>
      </c>
      <c r="E6084" s="191">
        <v>252.78</v>
      </c>
      <c r="F6084" s="191">
        <v>234.52</v>
      </c>
      <c r="G6084" s="191">
        <v>342.02</v>
      </c>
      <c r="H6084" s="192">
        <v>6066.77</v>
      </c>
      <c r="I6084" s="192">
        <v>2907.08</v>
      </c>
      <c r="J6084" s="192">
        <v>1312.22</v>
      </c>
      <c r="K6084" s="192">
        <v>1847.47</v>
      </c>
      <c r="L6084" s="43">
        <v>7.315354748468625</v>
      </c>
      <c r="M6084" s="43">
        <v>11.500435161009573</v>
      </c>
      <c r="N6084" s="43">
        <v>5.5953436807095338</v>
      </c>
      <c r="O6084" s="43">
        <v>5.4016431787614767</v>
      </c>
      <c r="P6084" s="193"/>
      <c r="Q6084" s="193"/>
      <c r="R6084" s="193">
        <v>10</v>
      </c>
    </row>
    <row r="6085" spans="1:18" ht="24">
      <c r="A6085" s="189">
        <v>931</v>
      </c>
      <c r="B6085" s="186" t="s">
        <v>11163</v>
      </c>
      <c r="C6085" s="190" t="s">
        <v>11164</v>
      </c>
      <c r="D6085" s="191">
        <v>2121.5700000000002</v>
      </c>
      <c r="E6085" s="191">
        <v>677.91</v>
      </c>
      <c r="F6085" s="191">
        <v>656.38</v>
      </c>
      <c r="G6085" s="191">
        <v>787.28</v>
      </c>
      <c r="H6085" s="192">
        <v>15943.15</v>
      </c>
      <c r="I6085" s="192">
        <v>7796.26</v>
      </c>
      <c r="J6085" s="192">
        <v>3672.71</v>
      </c>
      <c r="K6085" s="192">
        <v>4474.18</v>
      </c>
      <c r="L6085" s="43">
        <v>7.5147885763844693</v>
      </c>
      <c r="M6085" s="43">
        <v>11.500435161009575</v>
      </c>
      <c r="N6085" s="43">
        <v>5.5954020536884119</v>
      </c>
      <c r="O6085" s="43">
        <v>5.6830860684889757</v>
      </c>
      <c r="P6085" s="193"/>
      <c r="Q6085" s="193"/>
      <c r="R6085" s="193">
        <v>10</v>
      </c>
    </row>
    <row r="6086" spans="1:18" ht="36">
      <c r="A6086" s="189">
        <v>932</v>
      </c>
      <c r="B6086" s="186" t="s">
        <v>11165</v>
      </c>
      <c r="C6086" s="190" t="s">
        <v>11166</v>
      </c>
      <c r="D6086" s="191">
        <v>179.61</v>
      </c>
      <c r="E6086" s="191">
        <v>28.7</v>
      </c>
      <c r="F6086" s="191">
        <v>41.78</v>
      </c>
      <c r="G6086" s="191">
        <v>109.13</v>
      </c>
      <c r="H6086" s="192">
        <v>1212.44</v>
      </c>
      <c r="I6086" s="192">
        <v>330.06</v>
      </c>
      <c r="J6086" s="192">
        <v>233.79</v>
      </c>
      <c r="K6086" s="192">
        <v>648.59</v>
      </c>
      <c r="L6086" s="43">
        <v>6.7504036523578863</v>
      </c>
      <c r="M6086" s="43">
        <v>11.50034843205575</v>
      </c>
      <c r="N6086" s="43">
        <v>5.5957395883197698</v>
      </c>
      <c r="O6086" s="43">
        <v>5.943278658480712</v>
      </c>
      <c r="P6086" s="193"/>
      <c r="Q6086" s="193"/>
      <c r="R6086" s="193">
        <v>10</v>
      </c>
    </row>
    <row r="6087" spans="1:18" ht="36">
      <c r="A6087" s="189">
        <v>933</v>
      </c>
      <c r="B6087" s="186" t="s">
        <v>11167</v>
      </c>
      <c r="C6087" s="190" t="s">
        <v>11168</v>
      </c>
      <c r="D6087" s="191">
        <v>1297.49</v>
      </c>
      <c r="E6087" s="191">
        <v>292.56</v>
      </c>
      <c r="F6087" s="191">
        <v>369.3</v>
      </c>
      <c r="G6087" s="191">
        <v>635.63</v>
      </c>
      <c r="H6087" s="192">
        <v>8581.42</v>
      </c>
      <c r="I6087" s="192">
        <v>3364.44</v>
      </c>
      <c r="J6087" s="192">
        <v>2066.37</v>
      </c>
      <c r="K6087" s="192">
        <v>3150.61</v>
      </c>
      <c r="L6087" s="43">
        <v>6.6138621492265832</v>
      </c>
      <c r="M6087" s="43">
        <v>11.5</v>
      </c>
      <c r="N6087" s="43">
        <v>5.595369618196588</v>
      </c>
      <c r="O6087" s="43">
        <v>4.9566729071944371</v>
      </c>
      <c r="P6087" s="193"/>
      <c r="Q6087" s="193"/>
      <c r="R6087" s="193">
        <v>10</v>
      </c>
    </row>
    <row r="6088" spans="1:18" ht="36">
      <c r="A6088" s="189">
        <v>934</v>
      </c>
      <c r="B6088" s="186" t="s">
        <v>11169</v>
      </c>
      <c r="C6088" s="190" t="s">
        <v>11170</v>
      </c>
      <c r="D6088" s="191">
        <v>1476.42</v>
      </c>
      <c r="E6088" s="191">
        <v>368.88</v>
      </c>
      <c r="F6088" s="191">
        <v>470.38</v>
      </c>
      <c r="G6088" s="191">
        <v>637.16</v>
      </c>
      <c r="H6088" s="192">
        <v>10042.25</v>
      </c>
      <c r="I6088" s="192">
        <v>4242.12</v>
      </c>
      <c r="J6088" s="192">
        <v>2631.98</v>
      </c>
      <c r="K6088" s="192">
        <v>3168.15</v>
      </c>
      <c r="L6088" s="43">
        <v>6.8017569526286552</v>
      </c>
      <c r="M6088" s="43">
        <v>11.5</v>
      </c>
      <c r="N6088" s="43">
        <v>5.5954334793145968</v>
      </c>
      <c r="O6088" s="43">
        <v>4.9722989515977156</v>
      </c>
      <c r="P6088" s="193"/>
      <c r="Q6088" s="193"/>
      <c r="R6088" s="193">
        <v>10</v>
      </c>
    </row>
    <row r="6089" spans="1:18" ht="36">
      <c r="A6089" s="189">
        <v>935</v>
      </c>
      <c r="B6089" s="186" t="s">
        <v>11171</v>
      </c>
      <c r="C6089" s="190" t="s">
        <v>11172</v>
      </c>
      <c r="D6089" s="191">
        <v>1725.5</v>
      </c>
      <c r="E6089" s="191">
        <v>407.04</v>
      </c>
      <c r="F6089" s="191">
        <v>525.64</v>
      </c>
      <c r="G6089" s="191">
        <v>792.82</v>
      </c>
      <c r="H6089" s="192">
        <v>11675.31</v>
      </c>
      <c r="I6089" s="192">
        <v>4680.96</v>
      </c>
      <c r="J6089" s="192">
        <v>2941.19</v>
      </c>
      <c r="K6089" s="192">
        <v>4053.16</v>
      </c>
      <c r="L6089" s="43">
        <v>6.7663343958272959</v>
      </c>
      <c r="M6089" s="43">
        <v>11.5</v>
      </c>
      <c r="N6089" s="43">
        <v>5.5954455520888819</v>
      </c>
      <c r="O6089" s="43">
        <v>5.1123331903836933</v>
      </c>
      <c r="P6089" s="193"/>
      <c r="Q6089" s="193"/>
      <c r="R6089" s="193">
        <v>10</v>
      </c>
    </row>
    <row r="6090" spans="1:18" ht="36">
      <c r="A6090" s="189">
        <v>936</v>
      </c>
      <c r="B6090" s="186" t="s">
        <v>11173</v>
      </c>
      <c r="C6090" s="190" t="s">
        <v>11174</v>
      </c>
      <c r="D6090" s="191">
        <v>1699.59</v>
      </c>
      <c r="E6090" s="191">
        <v>343.44</v>
      </c>
      <c r="F6090" s="191">
        <v>433.99</v>
      </c>
      <c r="G6090" s="191">
        <v>922.16</v>
      </c>
      <c r="H6090" s="192">
        <v>11145.15</v>
      </c>
      <c r="I6090" s="192">
        <v>3949.56</v>
      </c>
      <c r="J6090" s="192">
        <v>2428.36</v>
      </c>
      <c r="K6090" s="192">
        <v>4767.2299999999996</v>
      </c>
      <c r="L6090" s="43">
        <v>6.5575521155102114</v>
      </c>
      <c r="M6090" s="43">
        <v>11.5</v>
      </c>
      <c r="N6090" s="43">
        <v>5.595428466093689</v>
      </c>
      <c r="O6090" s="43">
        <v>5.1696343367745294</v>
      </c>
      <c r="P6090" s="193"/>
      <c r="Q6090" s="193"/>
      <c r="R6090" s="193">
        <v>10</v>
      </c>
    </row>
    <row r="6091" spans="1:18" ht="36">
      <c r="A6091" s="189">
        <v>937</v>
      </c>
      <c r="B6091" s="186" t="s">
        <v>11175</v>
      </c>
      <c r="C6091" s="190" t="s">
        <v>11176</v>
      </c>
      <c r="D6091" s="191">
        <v>1967.29</v>
      </c>
      <c r="E6091" s="191">
        <v>457.92</v>
      </c>
      <c r="F6091" s="191">
        <v>584.95000000000005</v>
      </c>
      <c r="G6091" s="191">
        <v>924.42</v>
      </c>
      <c r="H6091" s="192">
        <v>13332.89</v>
      </c>
      <c r="I6091" s="192">
        <v>5266.08</v>
      </c>
      <c r="J6091" s="192">
        <v>3273.01</v>
      </c>
      <c r="K6091" s="192">
        <v>4793.8</v>
      </c>
      <c r="L6091" s="43">
        <v>6.7772875376787356</v>
      </c>
      <c r="M6091" s="43">
        <v>11.5</v>
      </c>
      <c r="N6091" s="43">
        <v>5.5953671253953328</v>
      </c>
      <c r="O6091" s="43">
        <v>5.1857380844205023</v>
      </c>
      <c r="P6091" s="193"/>
      <c r="Q6091" s="193"/>
      <c r="R6091" s="193">
        <v>10</v>
      </c>
    </row>
    <row r="6092" spans="1:18" ht="24">
      <c r="A6092" s="189">
        <v>938</v>
      </c>
      <c r="B6092" s="186" t="s">
        <v>11177</v>
      </c>
      <c r="C6092" s="190" t="s">
        <v>11178</v>
      </c>
      <c r="D6092" s="191">
        <v>200.36</v>
      </c>
      <c r="E6092" s="191">
        <v>53</v>
      </c>
      <c r="F6092" s="191">
        <v>37.74</v>
      </c>
      <c r="G6092" s="191">
        <v>109.62</v>
      </c>
      <c r="H6092" s="192">
        <v>1474.9</v>
      </c>
      <c r="I6092" s="192">
        <v>609.52</v>
      </c>
      <c r="J6092" s="192">
        <v>211.16</v>
      </c>
      <c r="K6092" s="192">
        <v>654.22</v>
      </c>
      <c r="L6092" s="43">
        <v>7.3612497504491916</v>
      </c>
      <c r="M6092" s="43">
        <v>11.500377358490566</v>
      </c>
      <c r="N6092" s="43">
        <v>5.5951245363010065</v>
      </c>
      <c r="O6092" s="43">
        <v>5.9680715197956573</v>
      </c>
      <c r="P6092" s="193"/>
      <c r="Q6092" s="193"/>
      <c r="R6092" s="193">
        <v>10</v>
      </c>
    </row>
    <row r="6093" spans="1:18" ht="24">
      <c r="A6093" s="189">
        <v>939</v>
      </c>
      <c r="B6093" s="186" t="s">
        <v>11179</v>
      </c>
      <c r="C6093" s="190" t="s">
        <v>11180</v>
      </c>
      <c r="D6093" s="191">
        <v>866.93</v>
      </c>
      <c r="E6093" s="191">
        <v>318</v>
      </c>
      <c r="F6093" s="191">
        <v>257.43</v>
      </c>
      <c r="G6093" s="191">
        <v>291.5</v>
      </c>
      <c r="H6093" s="192">
        <v>6638.99</v>
      </c>
      <c r="I6093" s="192">
        <v>3657.12</v>
      </c>
      <c r="J6093" s="192">
        <v>1440.43</v>
      </c>
      <c r="K6093" s="192">
        <v>1541.44</v>
      </c>
      <c r="L6093" s="43">
        <v>7.6580462090364856</v>
      </c>
      <c r="M6093" s="43">
        <v>11.500377358490566</v>
      </c>
      <c r="N6093" s="43">
        <v>5.5954239987569441</v>
      </c>
      <c r="O6093" s="43">
        <v>5.2879588336192116</v>
      </c>
      <c r="P6093" s="193"/>
      <c r="Q6093" s="193"/>
      <c r="R6093" s="193">
        <v>10</v>
      </c>
    </row>
    <row r="6094" spans="1:18" ht="36">
      <c r="A6094" s="189">
        <v>940</v>
      </c>
      <c r="B6094" s="186" t="s">
        <v>11181</v>
      </c>
      <c r="C6094" s="190" t="s">
        <v>11182</v>
      </c>
      <c r="D6094" s="191">
        <v>996.8</v>
      </c>
      <c r="E6094" s="191">
        <v>298.74</v>
      </c>
      <c r="F6094" s="191">
        <v>269.56</v>
      </c>
      <c r="G6094" s="191">
        <v>428.5</v>
      </c>
      <c r="H6094" s="192">
        <v>7024.1</v>
      </c>
      <c r="I6094" s="192">
        <v>3435.64</v>
      </c>
      <c r="J6094" s="192">
        <v>1508.3</v>
      </c>
      <c r="K6094" s="192">
        <v>2080.16</v>
      </c>
      <c r="L6094" s="43">
        <v>7.0466492776886041</v>
      </c>
      <c r="M6094" s="43">
        <v>11.500435161009573</v>
      </c>
      <c r="N6094" s="43">
        <v>5.5954147499629023</v>
      </c>
      <c r="O6094" s="43">
        <v>4.8545157526254377</v>
      </c>
      <c r="P6094" s="193"/>
      <c r="Q6094" s="193"/>
      <c r="R6094" s="193">
        <v>10</v>
      </c>
    </row>
    <row r="6095" spans="1:18" ht="36">
      <c r="A6095" s="189">
        <v>941</v>
      </c>
      <c r="B6095" s="186" t="s">
        <v>11183</v>
      </c>
      <c r="C6095" s="190" t="s">
        <v>11184</v>
      </c>
      <c r="D6095" s="191">
        <v>1152.57</v>
      </c>
      <c r="E6095" s="191">
        <v>344.7</v>
      </c>
      <c r="F6095" s="191">
        <v>322.12</v>
      </c>
      <c r="G6095" s="191">
        <v>485.75</v>
      </c>
      <c r="H6095" s="192">
        <v>8161.3</v>
      </c>
      <c r="I6095" s="192">
        <v>3964.2</v>
      </c>
      <c r="J6095" s="192">
        <v>1802.42</v>
      </c>
      <c r="K6095" s="192">
        <v>2394.6799999999998</v>
      </c>
      <c r="L6095" s="43">
        <v>7.0809582064429932</v>
      </c>
      <c r="M6095" s="43">
        <v>11.500435161009573</v>
      </c>
      <c r="N6095" s="43">
        <v>5.5954923630944995</v>
      </c>
      <c r="O6095" s="43">
        <v>4.9298610396294391</v>
      </c>
      <c r="P6095" s="193"/>
      <c r="Q6095" s="193"/>
      <c r="R6095" s="193">
        <v>10</v>
      </c>
    </row>
    <row r="6096" spans="1:18" ht="36">
      <c r="A6096" s="189">
        <v>942</v>
      </c>
      <c r="B6096" s="186" t="s">
        <v>11185</v>
      </c>
      <c r="C6096" s="190" t="s">
        <v>11186</v>
      </c>
      <c r="D6096" s="191">
        <v>1283.95</v>
      </c>
      <c r="E6096" s="191">
        <v>367.68</v>
      </c>
      <c r="F6096" s="191">
        <v>358.51</v>
      </c>
      <c r="G6096" s="191">
        <v>557.76</v>
      </c>
      <c r="H6096" s="192">
        <v>9041.57</v>
      </c>
      <c r="I6096" s="192">
        <v>4228.4799999999996</v>
      </c>
      <c r="J6096" s="192">
        <v>2006.04</v>
      </c>
      <c r="K6096" s="192">
        <v>2807.05</v>
      </c>
      <c r="L6096" s="43">
        <v>7.0419954048054825</v>
      </c>
      <c r="M6096" s="43">
        <v>11.500435161009571</v>
      </c>
      <c r="N6096" s="43">
        <v>5.5954924548827094</v>
      </c>
      <c r="O6096" s="43">
        <v>5.0327201663798053</v>
      </c>
      <c r="P6096" s="193"/>
      <c r="Q6096" s="193"/>
      <c r="R6096" s="193">
        <v>10</v>
      </c>
    </row>
    <row r="6097" spans="1:18" ht="24">
      <c r="A6097" s="189">
        <v>943</v>
      </c>
      <c r="B6097" s="186" t="s">
        <v>11187</v>
      </c>
      <c r="C6097" s="190" t="s">
        <v>11188</v>
      </c>
      <c r="D6097" s="191">
        <v>184.87</v>
      </c>
      <c r="E6097" s="191">
        <v>79.5</v>
      </c>
      <c r="F6097" s="191">
        <v>103.78</v>
      </c>
      <c r="G6097" s="191">
        <v>1.59</v>
      </c>
      <c r="H6097" s="192">
        <v>1513.27</v>
      </c>
      <c r="I6097" s="192">
        <v>914.28</v>
      </c>
      <c r="J6097" s="192">
        <v>580.70000000000005</v>
      </c>
      <c r="K6097" s="192">
        <v>18.29</v>
      </c>
      <c r="L6097" s="43">
        <v>8.1855898739654886</v>
      </c>
      <c r="M6097" s="43">
        <v>11.500377358490566</v>
      </c>
      <c r="N6097" s="43">
        <v>5.5954904605897093</v>
      </c>
      <c r="O6097" s="43">
        <v>11.503144654088048</v>
      </c>
      <c r="P6097" s="193"/>
      <c r="Q6097" s="193"/>
      <c r="R6097" s="193">
        <v>10</v>
      </c>
    </row>
    <row r="6098" spans="1:18" ht="12.75" customHeight="1">
      <c r="A6098" s="628" t="s">
        <v>11189</v>
      </c>
      <c r="B6098" s="629"/>
      <c r="C6098" s="629"/>
      <c r="D6098" s="629"/>
      <c r="E6098" s="629"/>
      <c r="F6098" s="629"/>
      <c r="G6098" s="629"/>
      <c r="H6098" s="629"/>
      <c r="I6098" s="629"/>
      <c r="J6098" s="629"/>
      <c r="K6098" s="629"/>
      <c r="L6098" s="629"/>
      <c r="M6098" s="629"/>
      <c r="N6098" s="629"/>
      <c r="O6098" s="629"/>
      <c r="P6098" s="629"/>
      <c r="Q6098" s="629"/>
      <c r="R6098" s="629"/>
    </row>
    <row r="6099" spans="1:18" ht="36">
      <c r="A6099" s="189">
        <v>944</v>
      </c>
      <c r="B6099" s="186" t="s">
        <v>11190</v>
      </c>
      <c r="C6099" s="190" t="s">
        <v>11191</v>
      </c>
      <c r="D6099" s="191">
        <v>386.45</v>
      </c>
      <c r="E6099" s="191">
        <v>45.96</v>
      </c>
      <c r="F6099" s="191">
        <v>56.61</v>
      </c>
      <c r="G6099" s="191">
        <v>283.88</v>
      </c>
      <c r="H6099" s="192">
        <v>2112.41</v>
      </c>
      <c r="I6099" s="192">
        <v>528.55999999999995</v>
      </c>
      <c r="J6099" s="192">
        <v>316.74</v>
      </c>
      <c r="K6099" s="192">
        <v>1267.1099999999999</v>
      </c>
      <c r="L6099" s="43">
        <v>5.4661922629059383</v>
      </c>
      <c r="M6099" s="43">
        <v>11.500435161009571</v>
      </c>
      <c r="N6099" s="43">
        <v>5.5951245363010074</v>
      </c>
      <c r="O6099" s="43">
        <v>4.4635409327885016</v>
      </c>
      <c r="P6099" s="193"/>
      <c r="Q6099" s="193"/>
      <c r="R6099" s="193">
        <v>11</v>
      </c>
    </row>
    <row r="6100" spans="1:18" ht="36">
      <c r="A6100" s="189">
        <v>945</v>
      </c>
      <c r="B6100" s="186" t="s">
        <v>11192</v>
      </c>
      <c r="C6100" s="190" t="s">
        <v>11193</v>
      </c>
      <c r="D6100" s="191">
        <v>446.04</v>
      </c>
      <c r="E6100" s="191">
        <v>45.96</v>
      </c>
      <c r="F6100" s="191">
        <v>59.3</v>
      </c>
      <c r="G6100" s="191">
        <v>340.78</v>
      </c>
      <c r="H6100" s="192">
        <v>2441.1999999999998</v>
      </c>
      <c r="I6100" s="192">
        <v>528.55999999999995</v>
      </c>
      <c r="J6100" s="192">
        <v>331.83</v>
      </c>
      <c r="K6100" s="192">
        <v>1580.81</v>
      </c>
      <c r="L6100" s="43">
        <v>5.4730517442381839</v>
      </c>
      <c r="M6100" s="43">
        <v>11.500435161009571</v>
      </c>
      <c r="N6100" s="43">
        <v>5.5957841483979767</v>
      </c>
      <c r="O6100" s="43">
        <v>4.6387992253066495</v>
      </c>
      <c r="P6100" s="193"/>
      <c r="Q6100" s="193"/>
      <c r="R6100" s="193">
        <v>11</v>
      </c>
    </row>
    <row r="6101" spans="1:18" ht="36">
      <c r="A6101" s="189">
        <v>946</v>
      </c>
      <c r="B6101" s="186" t="s">
        <v>11194</v>
      </c>
      <c r="C6101" s="190" t="s">
        <v>11195</v>
      </c>
      <c r="D6101" s="191">
        <v>494.96</v>
      </c>
      <c r="E6101" s="191">
        <v>57.45</v>
      </c>
      <c r="F6101" s="191">
        <v>68.739999999999995</v>
      </c>
      <c r="G6101" s="191">
        <v>368.77</v>
      </c>
      <c r="H6101" s="192">
        <v>2729.22</v>
      </c>
      <c r="I6101" s="192">
        <v>660.7</v>
      </c>
      <c r="J6101" s="192">
        <v>384.62</v>
      </c>
      <c r="K6101" s="192">
        <v>1683.9</v>
      </c>
      <c r="L6101" s="43">
        <v>5.5140213350573779</v>
      </c>
      <c r="M6101" s="43">
        <v>11.500435161009573</v>
      </c>
      <c r="N6101" s="43">
        <v>5.595286587139948</v>
      </c>
      <c r="O6101" s="43">
        <v>4.5662608129728559</v>
      </c>
      <c r="P6101" s="193"/>
      <c r="Q6101" s="193"/>
      <c r="R6101" s="193">
        <v>11</v>
      </c>
    </row>
    <row r="6102" spans="1:18" ht="36">
      <c r="A6102" s="189">
        <v>947</v>
      </c>
      <c r="B6102" s="186" t="s">
        <v>11196</v>
      </c>
      <c r="C6102" s="190" t="s">
        <v>11197</v>
      </c>
      <c r="D6102" s="191">
        <v>765.71</v>
      </c>
      <c r="E6102" s="191">
        <v>68.94</v>
      </c>
      <c r="F6102" s="191">
        <v>88.95</v>
      </c>
      <c r="G6102" s="191">
        <v>607.82000000000005</v>
      </c>
      <c r="H6102" s="192">
        <v>4046.33</v>
      </c>
      <c r="I6102" s="192">
        <v>792.84</v>
      </c>
      <c r="J6102" s="192">
        <v>497.74</v>
      </c>
      <c r="K6102" s="192">
        <v>2755.75</v>
      </c>
      <c r="L6102" s="43">
        <v>5.2844157709837924</v>
      </c>
      <c r="M6102" s="43">
        <v>11.500435161009575</v>
      </c>
      <c r="N6102" s="43">
        <v>5.5957279370432831</v>
      </c>
      <c r="O6102" s="43">
        <v>4.5338258036918822</v>
      </c>
      <c r="P6102" s="193"/>
      <c r="Q6102" s="193"/>
      <c r="R6102" s="193">
        <v>11</v>
      </c>
    </row>
    <row r="6103" spans="1:18" ht="36">
      <c r="A6103" s="189">
        <v>948</v>
      </c>
      <c r="B6103" s="186" t="s">
        <v>11198</v>
      </c>
      <c r="C6103" s="190" t="s">
        <v>11199</v>
      </c>
      <c r="D6103" s="191">
        <v>1300.23</v>
      </c>
      <c r="E6103" s="191">
        <v>68.94</v>
      </c>
      <c r="F6103" s="191">
        <v>106.48</v>
      </c>
      <c r="G6103" s="191">
        <v>1124.81</v>
      </c>
      <c r="H6103" s="192">
        <v>5925.42</v>
      </c>
      <c r="I6103" s="192">
        <v>792.84</v>
      </c>
      <c r="J6103" s="192">
        <v>595.78</v>
      </c>
      <c r="K6103" s="192">
        <v>4536.8</v>
      </c>
      <c r="L6103" s="43">
        <v>4.5572091091576103</v>
      </c>
      <c r="M6103" s="43">
        <v>11.500435161009575</v>
      </c>
      <c r="N6103" s="43">
        <v>5.5952291510142746</v>
      </c>
      <c r="O6103" s="43">
        <v>4.0333923062561681</v>
      </c>
      <c r="P6103" s="193"/>
      <c r="Q6103" s="193"/>
      <c r="R6103" s="193">
        <v>11</v>
      </c>
    </row>
    <row r="6104" spans="1:18" ht="36">
      <c r="A6104" s="189">
        <v>949</v>
      </c>
      <c r="B6104" s="186" t="s">
        <v>11200</v>
      </c>
      <c r="C6104" s="190" t="s">
        <v>11201</v>
      </c>
      <c r="D6104" s="191">
        <v>682.11</v>
      </c>
      <c r="E6104" s="191">
        <v>86.59</v>
      </c>
      <c r="F6104" s="191">
        <v>117.26</v>
      </c>
      <c r="G6104" s="191">
        <v>478.26</v>
      </c>
      <c r="H6104" s="192">
        <v>4022.06</v>
      </c>
      <c r="I6104" s="192">
        <v>995.82</v>
      </c>
      <c r="J6104" s="192">
        <v>656.11</v>
      </c>
      <c r="K6104" s="192">
        <v>2370.13</v>
      </c>
      <c r="L6104" s="43">
        <v>5.8964976323466889</v>
      </c>
      <c r="M6104" s="43">
        <v>11.500404203718674</v>
      </c>
      <c r="N6104" s="43">
        <v>5.5953436807095338</v>
      </c>
      <c r="O6104" s="43">
        <v>4.9557353740643171</v>
      </c>
      <c r="P6104" s="193"/>
      <c r="Q6104" s="193"/>
      <c r="R6104" s="193">
        <v>11</v>
      </c>
    </row>
    <row r="6105" spans="1:18" ht="36">
      <c r="A6105" s="189">
        <v>950</v>
      </c>
      <c r="B6105" s="186" t="s">
        <v>11202</v>
      </c>
      <c r="C6105" s="190" t="s">
        <v>11203</v>
      </c>
      <c r="D6105" s="191">
        <v>976.42</v>
      </c>
      <c r="E6105" s="191">
        <v>98.96</v>
      </c>
      <c r="F6105" s="191">
        <v>126.69</v>
      </c>
      <c r="G6105" s="191">
        <v>750.77</v>
      </c>
      <c r="H6105" s="192">
        <v>5710.13</v>
      </c>
      <c r="I6105" s="192">
        <v>1138.08</v>
      </c>
      <c r="J6105" s="192">
        <v>708.9</v>
      </c>
      <c r="K6105" s="192">
        <v>3863.15</v>
      </c>
      <c r="L6105" s="43">
        <v>5.84802646402163</v>
      </c>
      <c r="M6105" s="43">
        <v>11.500404203718674</v>
      </c>
      <c r="N6105" s="43">
        <v>5.5955481884915939</v>
      </c>
      <c r="O6105" s="43">
        <v>5.1455838672296448</v>
      </c>
      <c r="P6105" s="193"/>
      <c r="Q6105" s="193"/>
      <c r="R6105" s="193">
        <v>11</v>
      </c>
    </row>
    <row r="6106" spans="1:18" ht="36">
      <c r="A6106" s="189">
        <v>951</v>
      </c>
      <c r="B6106" s="186" t="s">
        <v>11204</v>
      </c>
      <c r="C6106" s="190" t="s">
        <v>11205</v>
      </c>
      <c r="D6106" s="191">
        <v>555.29999999999995</v>
      </c>
      <c r="E6106" s="191">
        <v>68.94</v>
      </c>
      <c r="F6106" s="191">
        <v>98.39</v>
      </c>
      <c r="G6106" s="191">
        <v>387.97</v>
      </c>
      <c r="H6106" s="192">
        <v>3246.24</v>
      </c>
      <c r="I6106" s="192">
        <v>792.84</v>
      </c>
      <c r="J6106" s="192">
        <v>550.53</v>
      </c>
      <c r="K6106" s="192">
        <v>1902.87</v>
      </c>
      <c r="L6106" s="43">
        <v>5.8459211237169102</v>
      </c>
      <c r="M6106" s="43">
        <v>11.500435161009575</v>
      </c>
      <c r="N6106" s="43">
        <v>5.5953857099298707</v>
      </c>
      <c r="O6106" s="43">
        <v>4.9046833518055513</v>
      </c>
      <c r="P6106" s="193"/>
      <c r="Q6106" s="193"/>
      <c r="R6106" s="193">
        <v>11</v>
      </c>
    </row>
    <row r="6107" spans="1:18" ht="36">
      <c r="A6107" s="189">
        <v>952</v>
      </c>
      <c r="B6107" s="186" t="s">
        <v>11206</v>
      </c>
      <c r="C6107" s="190" t="s">
        <v>11207</v>
      </c>
      <c r="D6107" s="191">
        <v>724.77</v>
      </c>
      <c r="E6107" s="191">
        <v>91.92</v>
      </c>
      <c r="F6107" s="191">
        <v>128.04</v>
      </c>
      <c r="G6107" s="191">
        <v>504.81</v>
      </c>
      <c r="H6107" s="192">
        <v>4225.83</v>
      </c>
      <c r="I6107" s="192">
        <v>1057.1199999999999</v>
      </c>
      <c r="J6107" s="192">
        <v>716.44</v>
      </c>
      <c r="K6107" s="192">
        <v>2452.27</v>
      </c>
      <c r="L6107" s="43">
        <v>5.8305807359576143</v>
      </c>
      <c r="M6107" s="43">
        <v>11.500435161009571</v>
      </c>
      <c r="N6107" s="43">
        <v>5.5954389253358334</v>
      </c>
      <c r="O6107" s="43">
        <v>4.8578078881163211</v>
      </c>
      <c r="P6107" s="193"/>
      <c r="Q6107" s="193"/>
      <c r="R6107" s="193">
        <v>11</v>
      </c>
    </row>
    <row r="6108" spans="1:18" ht="36">
      <c r="A6108" s="189">
        <v>953</v>
      </c>
      <c r="B6108" s="186" t="s">
        <v>11208</v>
      </c>
      <c r="C6108" s="190" t="s">
        <v>11209</v>
      </c>
      <c r="D6108" s="191">
        <v>230.27</v>
      </c>
      <c r="E6108" s="191">
        <v>22.98</v>
      </c>
      <c r="F6108" s="191">
        <v>37.74</v>
      </c>
      <c r="G6108" s="191">
        <v>169.55</v>
      </c>
      <c r="H6108" s="192">
        <v>1226.47</v>
      </c>
      <c r="I6108" s="192">
        <v>264.27999999999997</v>
      </c>
      <c r="J6108" s="192">
        <v>211.16</v>
      </c>
      <c r="K6108" s="192">
        <v>751.03</v>
      </c>
      <c r="L6108" s="43">
        <v>5.326225735006731</v>
      </c>
      <c r="M6108" s="43">
        <v>11.500435161009571</v>
      </c>
      <c r="N6108" s="43">
        <v>5.5951245363010065</v>
      </c>
      <c r="O6108" s="43">
        <v>4.429548805662046</v>
      </c>
      <c r="P6108" s="193"/>
      <c r="Q6108" s="193"/>
      <c r="R6108" s="193">
        <v>11</v>
      </c>
    </row>
    <row r="6109" spans="1:18" ht="36">
      <c r="A6109" s="189">
        <v>954</v>
      </c>
      <c r="B6109" s="186" t="s">
        <v>11210</v>
      </c>
      <c r="C6109" s="190" t="s">
        <v>11211</v>
      </c>
      <c r="D6109" s="191">
        <v>212.15</v>
      </c>
      <c r="E6109" s="191">
        <v>22.98</v>
      </c>
      <c r="F6109" s="191">
        <v>41.78</v>
      </c>
      <c r="G6109" s="191">
        <v>147.38999999999999</v>
      </c>
      <c r="H6109" s="192">
        <v>1059.29</v>
      </c>
      <c r="I6109" s="192">
        <v>264.27999999999997</v>
      </c>
      <c r="J6109" s="192">
        <v>233.79</v>
      </c>
      <c r="K6109" s="192">
        <v>561.22</v>
      </c>
      <c r="L6109" s="43">
        <v>4.9931180768324293</v>
      </c>
      <c r="M6109" s="43">
        <v>11.500435161009571</v>
      </c>
      <c r="N6109" s="43">
        <v>5.5957395883197698</v>
      </c>
      <c r="O6109" s="43">
        <v>3.8077210122803451</v>
      </c>
      <c r="P6109" s="193"/>
      <c r="Q6109" s="193"/>
      <c r="R6109" s="193">
        <v>11</v>
      </c>
    </row>
    <row r="6110" spans="1:18" ht="36">
      <c r="A6110" s="189">
        <v>955</v>
      </c>
      <c r="B6110" s="186" t="s">
        <v>11212</v>
      </c>
      <c r="C6110" s="190" t="s">
        <v>11213</v>
      </c>
      <c r="D6110" s="191">
        <v>271.45</v>
      </c>
      <c r="E6110" s="191">
        <v>45.96</v>
      </c>
      <c r="F6110" s="191">
        <v>49.87</v>
      </c>
      <c r="G6110" s="191">
        <v>175.62</v>
      </c>
      <c r="H6110" s="192">
        <v>1474.56</v>
      </c>
      <c r="I6110" s="192">
        <v>528.55999999999995</v>
      </c>
      <c r="J6110" s="192">
        <v>279.04000000000002</v>
      </c>
      <c r="K6110" s="192">
        <v>666.96</v>
      </c>
      <c r="L6110" s="43">
        <v>5.4321606188985081</v>
      </c>
      <c r="M6110" s="43">
        <v>11.500435161009571</v>
      </c>
      <c r="N6110" s="43">
        <v>5.5953479045518355</v>
      </c>
      <c r="O6110" s="43">
        <v>3.7977451315339938</v>
      </c>
      <c r="P6110" s="193"/>
      <c r="Q6110" s="193"/>
      <c r="R6110" s="193">
        <v>11</v>
      </c>
    </row>
    <row r="6111" spans="1:18" ht="36">
      <c r="A6111" s="189">
        <v>956</v>
      </c>
      <c r="B6111" s="186" t="s">
        <v>11214</v>
      </c>
      <c r="C6111" s="190" t="s">
        <v>11215</v>
      </c>
      <c r="D6111" s="191">
        <v>390.65</v>
      </c>
      <c r="E6111" s="191">
        <v>45.96</v>
      </c>
      <c r="F6111" s="191">
        <v>57.96</v>
      </c>
      <c r="G6111" s="191">
        <v>286.73</v>
      </c>
      <c r="H6111" s="192">
        <v>1879.33</v>
      </c>
      <c r="I6111" s="192">
        <v>528.55999999999995</v>
      </c>
      <c r="J6111" s="192">
        <v>324.27999999999997</v>
      </c>
      <c r="K6111" s="192">
        <v>1026.49</v>
      </c>
      <c r="L6111" s="43">
        <v>4.8107769102777427</v>
      </c>
      <c r="M6111" s="43">
        <v>11.500435161009571</v>
      </c>
      <c r="N6111" s="43">
        <v>5.5948930296756378</v>
      </c>
      <c r="O6111" s="43">
        <v>3.5799881421546402</v>
      </c>
      <c r="P6111" s="193"/>
      <c r="Q6111" s="193"/>
      <c r="R6111" s="193">
        <v>11</v>
      </c>
    </row>
    <row r="6112" spans="1:18" ht="36">
      <c r="A6112" s="189">
        <v>957</v>
      </c>
      <c r="B6112" s="186" t="s">
        <v>11216</v>
      </c>
      <c r="C6112" s="190" t="s">
        <v>11217</v>
      </c>
      <c r="D6112" s="191">
        <v>918.64</v>
      </c>
      <c r="E6112" s="191">
        <v>57.45</v>
      </c>
      <c r="F6112" s="191">
        <v>70.09</v>
      </c>
      <c r="G6112" s="191">
        <v>791.1</v>
      </c>
      <c r="H6112" s="192">
        <v>3769.73</v>
      </c>
      <c r="I6112" s="192">
        <v>660.7</v>
      </c>
      <c r="J6112" s="192">
        <v>392.16</v>
      </c>
      <c r="K6112" s="192">
        <v>2716.87</v>
      </c>
      <c r="L6112" s="43">
        <v>4.1035987982234605</v>
      </c>
      <c r="M6112" s="43">
        <v>11.500435161009573</v>
      </c>
      <c r="N6112" s="43">
        <v>5.595092024539877</v>
      </c>
      <c r="O6112" s="43">
        <v>3.4342940209834407</v>
      </c>
      <c r="P6112" s="193"/>
      <c r="Q6112" s="193"/>
      <c r="R6112" s="193">
        <v>11</v>
      </c>
    </row>
    <row r="6113" spans="1:18" ht="24">
      <c r="A6113" s="189">
        <v>958</v>
      </c>
      <c r="B6113" s="186" t="s">
        <v>11218</v>
      </c>
      <c r="C6113" s="190" t="s">
        <v>11219</v>
      </c>
      <c r="D6113" s="191">
        <v>280.63</v>
      </c>
      <c r="E6113" s="191">
        <v>26.5</v>
      </c>
      <c r="F6113" s="191">
        <v>35.04</v>
      </c>
      <c r="G6113" s="191">
        <v>219.09</v>
      </c>
      <c r="H6113" s="192">
        <v>935.32</v>
      </c>
      <c r="I6113" s="192">
        <v>304.76</v>
      </c>
      <c r="J6113" s="192">
        <v>196.08</v>
      </c>
      <c r="K6113" s="192">
        <v>434.48</v>
      </c>
      <c r="L6113" s="43">
        <v>3.3329294800983504</v>
      </c>
      <c r="M6113" s="43">
        <v>11.500377358490566</v>
      </c>
      <c r="N6113" s="43">
        <v>5.5958904109589049</v>
      </c>
      <c r="O6113" s="43">
        <v>1.983111963120179</v>
      </c>
      <c r="P6113" s="193"/>
      <c r="Q6113" s="193"/>
      <c r="R6113" s="193">
        <v>11</v>
      </c>
    </row>
    <row r="6114" spans="1:18" ht="12.75" customHeight="1">
      <c r="A6114" s="628" t="s">
        <v>11220</v>
      </c>
      <c r="B6114" s="629"/>
      <c r="C6114" s="629"/>
      <c r="D6114" s="629"/>
      <c r="E6114" s="629"/>
      <c r="F6114" s="629"/>
      <c r="G6114" s="629"/>
      <c r="H6114" s="629"/>
      <c r="I6114" s="629"/>
      <c r="J6114" s="629"/>
      <c r="K6114" s="629"/>
      <c r="L6114" s="629"/>
      <c r="M6114" s="629"/>
      <c r="N6114" s="629"/>
      <c r="O6114" s="629"/>
      <c r="P6114" s="629"/>
      <c r="Q6114" s="629"/>
      <c r="R6114" s="629"/>
    </row>
    <row r="6115" spans="1:18" ht="24">
      <c r="A6115" s="189">
        <v>959</v>
      </c>
      <c r="B6115" s="186" t="s">
        <v>11221</v>
      </c>
      <c r="C6115" s="190" t="s">
        <v>11222</v>
      </c>
      <c r="D6115" s="191">
        <v>236.42</v>
      </c>
      <c r="E6115" s="191">
        <v>21.68</v>
      </c>
      <c r="F6115" s="191">
        <v>86.26</v>
      </c>
      <c r="G6115" s="191">
        <v>128.47999999999999</v>
      </c>
      <c r="H6115" s="192">
        <v>1212.6400000000001</v>
      </c>
      <c r="I6115" s="192">
        <v>249.32</v>
      </c>
      <c r="J6115" s="192">
        <v>482.66</v>
      </c>
      <c r="K6115" s="192">
        <v>480.66</v>
      </c>
      <c r="L6115" s="43">
        <v>5.1291768885881064</v>
      </c>
      <c r="M6115" s="43">
        <v>11.5</v>
      </c>
      <c r="N6115" s="43">
        <v>5.5954092279156038</v>
      </c>
      <c r="O6115" s="43">
        <v>3.7411270236612708</v>
      </c>
      <c r="P6115" s="193"/>
      <c r="Q6115" s="193"/>
      <c r="R6115" s="193">
        <v>12</v>
      </c>
    </row>
    <row r="6116" spans="1:18" ht="24">
      <c r="A6116" s="189">
        <v>960</v>
      </c>
      <c r="B6116" s="186" t="s">
        <v>11223</v>
      </c>
      <c r="C6116" s="190" t="s">
        <v>11224</v>
      </c>
      <c r="D6116" s="191">
        <v>286.75</v>
      </c>
      <c r="E6116" s="191">
        <v>34.47</v>
      </c>
      <c r="F6116" s="191">
        <v>118.61</v>
      </c>
      <c r="G6116" s="191">
        <v>133.66999999999999</v>
      </c>
      <c r="H6116" s="192">
        <v>1860.54</v>
      </c>
      <c r="I6116" s="192">
        <v>396.42</v>
      </c>
      <c r="J6116" s="192">
        <v>663.65</v>
      </c>
      <c r="K6116" s="192">
        <v>800.47</v>
      </c>
      <c r="L6116" s="43">
        <v>6.4883696599825633</v>
      </c>
      <c r="M6116" s="43">
        <v>11.500435161009575</v>
      </c>
      <c r="N6116" s="43">
        <v>5.5952280583424665</v>
      </c>
      <c r="O6116" s="43">
        <v>5.9884042791950334</v>
      </c>
      <c r="P6116" s="193"/>
      <c r="Q6116" s="193"/>
      <c r="R6116" s="193">
        <v>12</v>
      </c>
    </row>
    <row r="6117" spans="1:18" ht="24">
      <c r="A6117" s="189">
        <v>961</v>
      </c>
      <c r="B6117" s="186" t="s">
        <v>11225</v>
      </c>
      <c r="C6117" s="190" t="s">
        <v>11226</v>
      </c>
      <c r="D6117" s="191">
        <v>1430.12</v>
      </c>
      <c r="E6117" s="191">
        <v>21.16</v>
      </c>
      <c r="F6117" s="191">
        <v>17.52</v>
      </c>
      <c r="G6117" s="191">
        <v>1391.44</v>
      </c>
      <c r="H6117" s="192">
        <v>5893.95</v>
      </c>
      <c r="I6117" s="192">
        <v>243.34</v>
      </c>
      <c r="J6117" s="192">
        <v>98.04</v>
      </c>
      <c r="K6117" s="192">
        <v>5552.57</v>
      </c>
      <c r="L6117" s="43">
        <v>4.1212975134953709</v>
      </c>
      <c r="M6117" s="43">
        <v>11.5</v>
      </c>
      <c r="N6117" s="43">
        <v>5.5958904109589049</v>
      </c>
      <c r="O6117" s="43">
        <v>3.9905206117403549</v>
      </c>
      <c r="P6117" s="193"/>
      <c r="Q6117" s="193"/>
      <c r="R6117" s="193">
        <v>12</v>
      </c>
    </row>
    <row r="6118" spans="1:18" ht="24">
      <c r="A6118" s="189">
        <v>962</v>
      </c>
      <c r="B6118" s="186" t="s">
        <v>11227</v>
      </c>
      <c r="C6118" s="190" t="s">
        <v>11228</v>
      </c>
      <c r="D6118" s="191">
        <v>52.4</v>
      </c>
      <c r="E6118" s="191">
        <v>11.49</v>
      </c>
      <c r="F6118" s="191">
        <v>20.22</v>
      </c>
      <c r="G6118" s="191">
        <v>20.69</v>
      </c>
      <c r="H6118" s="192">
        <v>363.54</v>
      </c>
      <c r="I6118" s="192">
        <v>132.13999999999999</v>
      </c>
      <c r="J6118" s="192">
        <v>113.12</v>
      </c>
      <c r="K6118" s="192">
        <v>118.28</v>
      </c>
      <c r="L6118" s="43">
        <v>6.9377862595419852</v>
      </c>
      <c r="M6118" s="43">
        <v>11.500435161009571</v>
      </c>
      <c r="N6118" s="43">
        <v>5.5944609297725032</v>
      </c>
      <c r="O6118" s="43">
        <v>5.716771387143547</v>
      </c>
      <c r="P6118" s="193"/>
      <c r="Q6118" s="193"/>
      <c r="R6118" s="193">
        <v>12</v>
      </c>
    </row>
    <row r="6119" spans="1:18" ht="24">
      <c r="A6119" s="189">
        <v>963</v>
      </c>
      <c r="B6119" s="186" t="s">
        <v>11229</v>
      </c>
      <c r="C6119" s="190" t="s">
        <v>11230</v>
      </c>
      <c r="D6119" s="191">
        <v>33</v>
      </c>
      <c r="E6119" s="191">
        <v>5.75</v>
      </c>
      <c r="F6119" s="191">
        <v>8.09</v>
      </c>
      <c r="G6119" s="191">
        <v>19.16</v>
      </c>
      <c r="H6119" s="192">
        <v>217.19</v>
      </c>
      <c r="I6119" s="192">
        <v>66.069999999999993</v>
      </c>
      <c r="J6119" s="192">
        <v>45.25</v>
      </c>
      <c r="K6119" s="192">
        <v>105.87</v>
      </c>
      <c r="L6119" s="43">
        <v>6.5815151515151511</v>
      </c>
      <c r="M6119" s="43">
        <v>11.5</v>
      </c>
      <c r="N6119" s="43">
        <v>5.5933250927070457</v>
      </c>
      <c r="O6119" s="43">
        <v>5.5255741127348648</v>
      </c>
      <c r="P6119" s="193"/>
      <c r="Q6119" s="193"/>
      <c r="R6119" s="193">
        <v>12</v>
      </c>
    </row>
    <row r="6120" spans="1:18" ht="12.75" customHeight="1">
      <c r="A6120" s="628" t="s">
        <v>11231</v>
      </c>
      <c r="B6120" s="629"/>
      <c r="C6120" s="629"/>
      <c r="D6120" s="629"/>
      <c r="E6120" s="629"/>
      <c r="F6120" s="629"/>
      <c r="G6120" s="629"/>
      <c r="H6120" s="629"/>
      <c r="I6120" s="629"/>
      <c r="J6120" s="629"/>
      <c r="K6120" s="629"/>
      <c r="L6120" s="629"/>
      <c r="M6120" s="629"/>
      <c r="N6120" s="629"/>
      <c r="O6120" s="629"/>
      <c r="P6120" s="629"/>
      <c r="Q6120" s="629"/>
      <c r="R6120" s="629"/>
    </row>
    <row r="6121" spans="1:18" ht="31.5" customHeight="1">
      <c r="A6121" s="189">
        <v>964</v>
      </c>
      <c r="B6121" s="186" t="s">
        <v>11232</v>
      </c>
      <c r="C6121" s="190" t="s">
        <v>11233</v>
      </c>
      <c r="D6121" s="191">
        <v>119.58</v>
      </c>
      <c r="E6121" s="191">
        <v>20.9</v>
      </c>
      <c r="F6121" s="191">
        <v>98.26</v>
      </c>
      <c r="G6121" s="191">
        <v>0.42</v>
      </c>
      <c r="H6121" s="192">
        <v>777.99</v>
      </c>
      <c r="I6121" s="192">
        <v>240.36</v>
      </c>
      <c r="J6121" s="192">
        <v>532.79999999999995</v>
      </c>
      <c r="K6121" s="192">
        <v>4.83</v>
      </c>
      <c r="L6121" s="43">
        <v>6.5060210737581539</v>
      </c>
      <c r="M6121" s="43">
        <v>11.500478468899523</v>
      </c>
      <c r="N6121" s="43">
        <v>5.4223488703439848</v>
      </c>
      <c r="O6121" s="43">
        <v>11.5</v>
      </c>
      <c r="P6121" s="193"/>
      <c r="Q6121" s="193"/>
      <c r="R6121" s="193">
        <v>13</v>
      </c>
    </row>
    <row r="6122" spans="1:18" ht="36">
      <c r="A6122" s="189">
        <v>965</v>
      </c>
      <c r="B6122" s="186" t="s">
        <v>11234</v>
      </c>
      <c r="C6122" s="190" t="s">
        <v>11235</v>
      </c>
      <c r="D6122" s="191">
        <v>279.77</v>
      </c>
      <c r="E6122" s="191">
        <v>32.520000000000003</v>
      </c>
      <c r="F6122" s="191">
        <v>246.6</v>
      </c>
      <c r="G6122" s="191">
        <v>0.65</v>
      </c>
      <c r="H6122" s="192">
        <v>1718.69</v>
      </c>
      <c r="I6122" s="192">
        <v>373.98</v>
      </c>
      <c r="J6122" s="192">
        <v>1337.23</v>
      </c>
      <c r="K6122" s="192">
        <v>7.48</v>
      </c>
      <c r="L6122" s="43">
        <v>6.1432247917932594</v>
      </c>
      <c r="M6122" s="43">
        <v>11.5</v>
      </c>
      <c r="N6122" s="43">
        <v>5.4226682887266833</v>
      </c>
      <c r="O6122" s="43">
        <v>11.507692307692308</v>
      </c>
      <c r="P6122" s="193"/>
      <c r="Q6122" s="193"/>
      <c r="R6122" s="193">
        <v>13</v>
      </c>
    </row>
    <row r="6123" spans="1:18" ht="36">
      <c r="A6123" s="189">
        <v>966</v>
      </c>
      <c r="B6123" s="186" t="s">
        <v>11236</v>
      </c>
      <c r="C6123" s="190" t="s">
        <v>11237</v>
      </c>
      <c r="D6123" s="191">
        <v>446.89</v>
      </c>
      <c r="E6123" s="191">
        <v>43.36</v>
      </c>
      <c r="F6123" s="191">
        <v>402.66</v>
      </c>
      <c r="G6123" s="191">
        <v>0.87</v>
      </c>
      <c r="H6123" s="192">
        <v>2692.09</v>
      </c>
      <c r="I6123" s="192">
        <v>498.64</v>
      </c>
      <c r="J6123" s="192">
        <v>2183.44</v>
      </c>
      <c r="K6123" s="192">
        <v>10.01</v>
      </c>
      <c r="L6123" s="43">
        <v>6.0240551366107997</v>
      </c>
      <c r="M6123" s="43">
        <v>11.5</v>
      </c>
      <c r="N6123" s="43">
        <v>5.4225401082799385</v>
      </c>
      <c r="O6123" s="43">
        <v>11.505747126436781</v>
      </c>
      <c r="P6123" s="193"/>
      <c r="Q6123" s="193"/>
      <c r="R6123" s="193">
        <v>13</v>
      </c>
    </row>
    <row r="6124" spans="1:18" ht="48">
      <c r="A6124" s="189">
        <v>967</v>
      </c>
      <c r="B6124" s="186" t="s">
        <v>11238</v>
      </c>
      <c r="C6124" s="190" t="s">
        <v>11239</v>
      </c>
      <c r="D6124" s="191">
        <v>47.65</v>
      </c>
      <c r="E6124" s="191">
        <v>7.05</v>
      </c>
      <c r="F6124" s="191">
        <v>40.46</v>
      </c>
      <c r="G6124" s="191">
        <v>0.14000000000000001</v>
      </c>
      <c r="H6124" s="192">
        <v>302.02999999999997</v>
      </c>
      <c r="I6124" s="192">
        <v>81.03</v>
      </c>
      <c r="J6124" s="192">
        <v>219.39</v>
      </c>
      <c r="K6124" s="192">
        <v>1.61</v>
      </c>
      <c r="L6124" s="43">
        <v>6.3385099685204613</v>
      </c>
      <c r="M6124" s="43">
        <v>11.5</v>
      </c>
      <c r="N6124" s="43">
        <v>5.4223924864063271</v>
      </c>
      <c r="O6124" s="43">
        <v>11.5</v>
      </c>
      <c r="P6124" s="193"/>
      <c r="Q6124" s="193"/>
      <c r="R6124" s="193">
        <v>13</v>
      </c>
    </row>
    <row r="6125" spans="1:18" ht="48">
      <c r="A6125" s="189">
        <v>968</v>
      </c>
      <c r="B6125" s="186" t="s">
        <v>11240</v>
      </c>
      <c r="C6125" s="190" t="s">
        <v>11241</v>
      </c>
      <c r="D6125" s="191">
        <v>139.63</v>
      </c>
      <c r="E6125" s="191">
        <v>21.68</v>
      </c>
      <c r="F6125" s="191">
        <v>117.52</v>
      </c>
      <c r="G6125" s="191">
        <v>0.43</v>
      </c>
      <c r="H6125" s="192">
        <v>891.54</v>
      </c>
      <c r="I6125" s="192">
        <v>249.32</v>
      </c>
      <c r="J6125" s="192">
        <v>637.27</v>
      </c>
      <c r="K6125" s="192">
        <v>4.95</v>
      </c>
      <c r="L6125" s="43">
        <v>6.3850175463725556</v>
      </c>
      <c r="M6125" s="43">
        <v>11.5</v>
      </c>
      <c r="N6125" s="43">
        <v>5.4226514635806673</v>
      </c>
      <c r="O6125" s="43">
        <v>11.511627906976745</v>
      </c>
      <c r="P6125" s="193"/>
      <c r="Q6125" s="193"/>
      <c r="R6125" s="193">
        <v>13</v>
      </c>
    </row>
    <row r="6126" spans="1:18" ht="48">
      <c r="A6126" s="189">
        <v>969</v>
      </c>
      <c r="B6126" s="186" t="s">
        <v>11242</v>
      </c>
      <c r="C6126" s="190" t="s">
        <v>11243</v>
      </c>
      <c r="D6126" s="191">
        <v>223.9</v>
      </c>
      <c r="E6126" s="191">
        <v>32.520000000000003</v>
      </c>
      <c r="F6126" s="191">
        <v>190.73</v>
      </c>
      <c r="G6126" s="191">
        <v>0.65</v>
      </c>
      <c r="H6126" s="192">
        <v>1415.72</v>
      </c>
      <c r="I6126" s="192">
        <v>373.98</v>
      </c>
      <c r="J6126" s="192">
        <v>1034.26</v>
      </c>
      <c r="K6126" s="192">
        <v>7.48</v>
      </c>
      <c r="L6126" s="43">
        <v>6.3230013398838762</v>
      </c>
      <c r="M6126" s="43">
        <v>11.5</v>
      </c>
      <c r="N6126" s="43">
        <v>5.42263933308866</v>
      </c>
      <c r="O6126" s="43">
        <v>11.507692307692308</v>
      </c>
      <c r="P6126" s="193"/>
      <c r="Q6126" s="193"/>
      <c r="R6126" s="193">
        <v>13</v>
      </c>
    </row>
    <row r="6127" spans="1:18" ht="48">
      <c r="A6127" s="189">
        <v>970</v>
      </c>
      <c r="B6127" s="186" t="s">
        <v>11244</v>
      </c>
      <c r="C6127" s="190" t="s">
        <v>11245</v>
      </c>
      <c r="D6127" s="191">
        <v>38.61</v>
      </c>
      <c r="E6127" s="191">
        <v>5.75</v>
      </c>
      <c r="F6127" s="191">
        <v>32.75</v>
      </c>
      <c r="G6127" s="191">
        <v>0.11</v>
      </c>
      <c r="H6127" s="192">
        <v>244.94</v>
      </c>
      <c r="I6127" s="192">
        <v>66.069999999999993</v>
      </c>
      <c r="J6127" s="192">
        <v>177.6</v>
      </c>
      <c r="K6127" s="192">
        <v>1.27</v>
      </c>
      <c r="L6127" s="43">
        <v>6.3439523439523438</v>
      </c>
      <c r="M6127" s="43">
        <v>11.5</v>
      </c>
      <c r="N6127" s="43">
        <v>5.4229007633587782</v>
      </c>
      <c r="O6127" s="43">
        <v>11.545454545454545</v>
      </c>
      <c r="P6127" s="193"/>
      <c r="Q6127" s="193"/>
      <c r="R6127" s="193">
        <v>13</v>
      </c>
    </row>
    <row r="6128" spans="1:18" ht="48">
      <c r="A6128" s="189">
        <v>971</v>
      </c>
      <c r="B6128" s="186" t="s">
        <v>11246</v>
      </c>
      <c r="C6128" s="190" t="s">
        <v>11247</v>
      </c>
      <c r="D6128" s="191">
        <v>130</v>
      </c>
      <c r="E6128" s="191">
        <v>21.68</v>
      </c>
      <c r="F6128" s="191">
        <v>107.89</v>
      </c>
      <c r="G6128" s="191">
        <v>0.43</v>
      </c>
      <c r="H6128" s="192">
        <v>839.31</v>
      </c>
      <c r="I6128" s="192">
        <v>249.32</v>
      </c>
      <c r="J6128" s="192">
        <v>585.04</v>
      </c>
      <c r="K6128" s="192">
        <v>4.95</v>
      </c>
      <c r="L6128" s="43">
        <v>6.4562307692307686</v>
      </c>
      <c r="M6128" s="43">
        <v>11.5</v>
      </c>
      <c r="N6128" s="43">
        <v>5.4225600148299193</v>
      </c>
      <c r="O6128" s="43">
        <v>11.511627906976745</v>
      </c>
      <c r="P6128" s="193"/>
      <c r="Q6128" s="193"/>
      <c r="R6128" s="193">
        <v>13</v>
      </c>
    </row>
    <row r="6129" spans="1:18" ht="48">
      <c r="A6129" s="189">
        <v>972</v>
      </c>
      <c r="B6129" s="186" t="s">
        <v>11248</v>
      </c>
      <c r="C6129" s="190" t="s">
        <v>11249</v>
      </c>
      <c r="D6129" s="191">
        <v>196.93</v>
      </c>
      <c r="E6129" s="191">
        <v>32.520000000000003</v>
      </c>
      <c r="F6129" s="191">
        <v>163.76</v>
      </c>
      <c r="G6129" s="191">
        <v>0.65</v>
      </c>
      <c r="H6129" s="192">
        <v>1269.46</v>
      </c>
      <c r="I6129" s="192">
        <v>373.98</v>
      </c>
      <c r="J6129" s="192">
        <v>888</v>
      </c>
      <c r="K6129" s="192">
        <v>7.48</v>
      </c>
      <c r="L6129" s="43">
        <v>6.4462499365256694</v>
      </c>
      <c r="M6129" s="43">
        <v>11.5</v>
      </c>
      <c r="N6129" s="43">
        <v>5.4225696140693698</v>
      </c>
      <c r="O6129" s="43">
        <v>11.507692307692308</v>
      </c>
      <c r="P6129" s="193"/>
      <c r="Q6129" s="193"/>
      <c r="R6129" s="193">
        <v>13</v>
      </c>
    </row>
    <row r="6130" spans="1:18" ht="60">
      <c r="A6130" s="189">
        <v>973</v>
      </c>
      <c r="B6130" s="186" t="s">
        <v>11250</v>
      </c>
      <c r="C6130" s="190" t="s">
        <v>11251</v>
      </c>
      <c r="D6130" s="191">
        <v>99.34</v>
      </c>
      <c r="E6130" s="191">
        <v>10.84</v>
      </c>
      <c r="F6130" s="191">
        <v>65.5</v>
      </c>
      <c r="G6130" s="191">
        <v>23</v>
      </c>
      <c r="H6130" s="192">
        <v>589.58000000000004</v>
      </c>
      <c r="I6130" s="192">
        <v>124.66</v>
      </c>
      <c r="J6130" s="192">
        <v>355.2</v>
      </c>
      <c r="K6130" s="192">
        <v>109.72</v>
      </c>
      <c r="L6130" s="43">
        <v>5.9349708073283676</v>
      </c>
      <c r="M6130" s="43">
        <v>11.5</v>
      </c>
      <c r="N6130" s="43">
        <v>5.4229007633587782</v>
      </c>
      <c r="O6130" s="43">
        <v>4.7704347826086959</v>
      </c>
      <c r="P6130" s="193"/>
      <c r="Q6130" s="193"/>
      <c r="R6130" s="193">
        <v>13</v>
      </c>
    </row>
    <row r="6131" spans="1:18" ht="60">
      <c r="A6131" s="189">
        <v>974</v>
      </c>
      <c r="B6131" s="186" t="s">
        <v>11252</v>
      </c>
      <c r="C6131" s="190" t="s">
        <v>11253</v>
      </c>
      <c r="D6131" s="191">
        <v>181.68</v>
      </c>
      <c r="E6131" s="191">
        <v>21.68</v>
      </c>
      <c r="F6131" s="191">
        <v>136.79</v>
      </c>
      <c r="G6131" s="191">
        <v>23.21</v>
      </c>
      <c r="H6131" s="192">
        <v>1103.2</v>
      </c>
      <c r="I6131" s="192">
        <v>249.32</v>
      </c>
      <c r="J6131" s="192">
        <v>741.74</v>
      </c>
      <c r="K6131" s="192">
        <v>112.14</v>
      </c>
      <c r="L6131" s="43">
        <v>6.0722148833113163</v>
      </c>
      <c r="M6131" s="43">
        <v>11.5</v>
      </c>
      <c r="N6131" s="43">
        <v>5.4224724029534324</v>
      </c>
      <c r="O6131" s="43">
        <v>4.8315381301163294</v>
      </c>
      <c r="P6131" s="193"/>
      <c r="Q6131" s="193"/>
      <c r="R6131" s="193">
        <v>13</v>
      </c>
    </row>
    <row r="6132" spans="1:18" ht="60">
      <c r="A6132" s="189">
        <v>975</v>
      </c>
      <c r="B6132" s="186" t="s">
        <v>11254</v>
      </c>
      <c r="C6132" s="190" t="s">
        <v>11255</v>
      </c>
      <c r="D6132" s="191">
        <v>276.02</v>
      </c>
      <c r="E6132" s="191">
        <v>32.520000000000003</v>
      </c>
      <c r="F6132" s="191">
        <v>215.78</v>
      </c>
      <c r="G6132" s="191">
        <v>27.72</v>
      </c>
      <c r="H6132" s="192">
        <v>1691.99</v>
      </c>
      <c r="I6132" s="192">
        <v>373.98</v>
      </c>
      <c r="J6132" s="192">
        <v>1170.08</v>
      </c>
      <c r="K6132" s="192">
        <v>147.93</v>
      </c>
      <c r="L6132" s="43">
        <v>6.1299543511339758</v>
      </c>
      <c r="M6132" s="43">
        <v>11.5</v>
      </c>
      <c r="N6132" s="43">
        <v>5.4225600148299193</v>
      </c>
      <c r="O6132" s="43">
        <v>5.3365800865800868</v>
      </c>
      <c r="P6132" s="193"/>
      <c r="Q6132" s="193"/>
      <c r="R6132" s="193">
        <v>13</v>
      </c>
    </row>
    <row r="6133" spans="1:18" ht="60">
      <c r="A6133" s="189">
        <v>976</v>
      </c>
      <c r="B6133" s="186" t="s">
        <v>11256</v>
      </c>
      <c r="C6133" s="190" t="s">
        <v>11257</v>
      </c>
      <c r="D6133" s="191">
        <v>115.37</v>
      </c>
      <c r="E6133" s="191">
        <v>8.56</v>
      </c>
      <c r="F6133" s="191">
        <v>50.09</v>
      </c>
      <c r="G6133" s="191">
        <v>56.72</v>
      </c>
      <c r="H6133" s="192">
        <v>671.78</v>
      </c>
      <c r="I6133" s="192">
        <v>98.48</v>
      </c>
      <c r="J6133" s="192">
        <v>271.62</v>
      </c>
      <c r="K6133" s="192">
        <v>301.68</v>
      </c>
      <c r="L6133" s="43">
        <v>5.8228308919129752</v>
      </c>
      <c r="M6133" s="43">
        <v>11.504672897196262</v>
      </c>
      <c r="N6133" s="43">
        <v>5.4226392493511675</v>
      </c>
      <c r="O6133" s="43">
        <v>5.3187588152327221</v>
      </c>
      <c r="P6133" s="193"/>
      <c r="Q6133" s="193"/>
      <c r="R6133" s="193">
        <v>13</v>
      </c>
    </row>
    <row r="6134" spans="1:18" ht="60">
      <c r="A6134" s="189">
        <v>977</v>
      </c>
      <c r="B6134" s="186" t="s">
        <v>11258</v>
      </c>
      <c r="C6134" s="190" t="s">
        <v>11259</v>
      </c>
      <c r="D6134" s="191">
        <v>205.82</v>
      </c>
      <c r="E6134" s="191">
        <v>21.68</v>
      </c>
      <c r="F6134" s="191">
        <v>127.16</v>
      </c>
      <c r="G6134" s="191">
        <v>56.98</v>
      </c>
      <c r="H6134" s="192">
        <v>1243.5</v>
      </c>
      <c r="I6134" s="192">
        <v>249.32</v>
      </c>
      <c r="J6134" s="192">
        <v>689.51</v>
      </c>
      <c r="K6134" s="192">
        <v>304.67</v>
      </c>
      <c r="L6134" s="43">
        <v>6.0416869108930138</v>
      </c>
      <c r="M6134" s="43">
        <v>11.5</v>
      </c>
      <c r="N6134" s="43">
        <v>5.4223812519660273</v>
      </c>
      <c r="O6134" s="43">
        <v>5.3469638469638472</v>
      </c>
      <c r="P6134" s="193"/>
      <c r="Q6134" s="193"/>
      <c r="R6134" s="193">
        <v>13</v>
      </c>
    </row>
    <row r="6135" spans="1:18" ht="60">
      <c r="A6135" s="189">
        <v>978</v>
      </c>
      <c r="B6135" s="186" t="s">
        <v>11260</v>
      </c>
      <c r="C6135" s="190" t="s">
        <v>11261</v>
      </c>
      <c r="D6135" s="191">
        <v>286.58</v>
      </c>
      <c r="E6135" s="191">
        <v>32.520000000000003</v>
      </c>
      <c r="F6135" s="191">
        <v>196.51</v>
      </c>
      <c r="G6135" s="191">
        <v>57.55</v>
      </c>
      <c r="H6135" s="192">
        <v>1749.74</v>
      </c>
      <c r="I6135" s="192">
        <v>373.98</v>
      </c>
      <c r="J6135" s="192">
        <v>1065.5999999999999</v>
      </c>
      <c r="K6135" s="192">
        <v>310.16000000000003</v>
      </c>
      <c r="L6135" s="43">
        <v>6.1055900621118013</v>
      </c>
      <c r="M6135" s="43">
        <v>11.5</v>
      </c>
      <c r="N6135" s="43">
        <v>5.4226248028090174</v>
      </c>
      <c r="O6135" s="43">
        <v>5.3894005212858387</v>
      </c>
      <c r="P6135" s="193"/>
      <c r="Q6135" s="193"/>
      <c r="R6135" s="193">
        <v>13</v>
      </c>
    </row>
    <row r="6136" spans="1:18" ht="36">
      <c r="A6136" s="189">
        <v>979</v>
      </c>
      <c r="B6136" s="186" t="s">
        <v>11262</v>
      </c>
      <c r="C6136" s="190" t="s">
        <v>11263</v>
      </c>
      <c r="D6136" s="191">
        <v>504.95</v>
      </c>
      <c r="E6136" s="191">
        <v>91.92</v>
      </c>
      <c r="F6136" s="191">
        <v>384.12</v>
      </c>
      <c r="G6136" s="191">
        <v>28.91</v>
      </c>
      <c r="H6136" s="192">
        <v>3252.99</v>
      </c>
      <c r="I6136" s="192">
        <v>1057.1199999999999</v>
      </c>
      <c r="J6136" s="192">
        <v>2034.26</v>
      </c>
      <c r="K6136" s="192">
        <v>161.61000000000001</v>
      </c>
      <c r="L6136" s="43">
        <v>6.4422021982374487</v>
      </c>
      <c r="M6136" s="43">
        <v>11.500435161009571</v>
      </c>
      <c r="N6136" s="43">
        <v>5.2958971154847445</v>
      </c>
      <c r="O6136" s="43">
        <v>5.5901072293324114</v>
      </c>
      <c r="P6136" s="193"/>
      <c r="Q6136" s="193"/>
      <c r="R6136" s="193">
        <v>13</v>
      </c>
    </row>
    <row r="6137" spans="1:18" ht="36">
      <c r="A6137" s="189">
        <v>980</v>
      </c>
      <c r="B6137" s="186" t="s">
        <v>11264</v>
      </c>
      <c r="C6137" s="190" t="s">
        <v>11265</v>
      </c>
      <c r="D6137" s="191">
        <v>362.94</v>
      </c>
      <c r="E6137" s="191">
        <v>45.96</v>
      </c>
      <c r="F6137" s="191">
        <v>288.99</v>
      </c>
      <c r="G6137" s="191">
        <v>27.99</v>
      </c>
      <c r="H6137" s="192">
        <v>2246.66</v>
      </c>
      <c r="I6137" s="192">
        <v>528.55999999999995</v>
      </c>
      <c r="J6137" s="192">
        <v>1567.07</v>
      </c>
      <c r="K6137" s="192">
        <v>151.03</v>
      </c>
      <c r="L6137" s="43">
        <v>6.1901691739681484</v>
      </c>
      <c r="M6137" s="43">
        <v>11.500435161009571</v>
      </c>
      <c r="N6137" s="43">
        <v>5.4225751756116125</v>
      </c>
      <c r="O6137" s="43">
        <v>5.3958556627366923</v>
      </c>
      <c r="P6137" s="193"/>
      <c r="Q6137" s="193"/>
      <c r="R6137" s="193">
        <v>13</v>
      </c>
    </row>
    <row r="6138" spans="1:18" ht="48">
      <c r="A6138" s="189">
        <v>981</v>
      </c>
      <c r="B6138" s="186" t="s">
        <v>11266</v>
      </c>
      <c r="C6138" s="190" t="s">
        <v>11267</v>
      </c>
      <c r="D6138" s="191">
        <v>395.1</v>
      </c>
      <c r="E6138" s="191">
        <v>66.25</v>
      </c>
      <c r="F6138" s="191">
        <v>327.52</v>
      </c>
      <c r="G6138" s="191">
        <v>1.33</v>
      </c>
      <c r="H6138" s="192">
        <v>2553.21</v>
      </c>
      <c r="I6138" s="192">
        <v>761.9</v>
      </c>
      <c r="J6138" s="192">
        <v>1776.01</v>
      </c>
      <c r="K6138" s="192">
        <v>15.3</v>
      </c>
      <c r="L6138" s="43">
        <v>6.4621867881548969</v>
      </c>
      <c r="M6138" s="43">
        <v>11.500377358490566</v>
      </c>
      <c r="N6138" s="43">
        <v>5.4226001465559355</v>
      </c>
      <c r="O6138" s="43">
        <v>11.503759398496241</v>
      </c>
      <c r="P6138" s="193"/>
      <c r="Q6138" s="193"/>
      <c r="R6138" s="193">
        <v>13</v>
      </c>
    </row>
    <row r="6139" spans="1:18" ht="36">
      <c r="A6139" s="189">
        <v>982</v>
      </c>
      <c r="B6139" s="186" t="s">
        <v>11268</v>
      </c>
      <c r="C6139" s="190" t="s">
        <v>11269</v>
      </c>
      <c r="D6139" s="191">
        <v>441.06</v>
      </c>
      <c r="E6139" s="191">
        <v>68.94</v>
      </c>
      <c r="F6139" s="191">
        <v>339.19</v>
      </c>
      <c r="G6139" s="191">
        <v>32.93</v>
      </c>
      <c r="H6139" s="192">
        <v>2780.12</v>
      </c>
      <c r="I6139" s="192">
        <v>792.84</v>
      </c>
      <c r="J6139" s="192">
        <v>1796.29</v>
      </c>
      <c r="K6139" s="192">
        <v>190.99</v>
      </c>
      <c r="L6139" s="43">
        <v>6.303269396453997</v>
      </c>
      <c r="M6139" s="43">
        <v>11.500435161009575</v>
      </c>
      <c r="N6139" s="43">
        <v>5.2958224004245409</v>
      </c>
      <c r="O6139" s="43">
        <v>5.7998785302156088</v>
      </c>
      <c r="P6139" s="193"/>
      <c r="Q6139" s="193"/>
      <c r="R6139" s="193">
        <v>13</v>
      </c>
    </row>
    <row r="6140" spans="1:18" ht="36">
      <c r="A6140" s="189">
        <v>983</v>
      </c>
      <c r="B6140" s="186" t="s">
        <v>11270</v>
      </c>
      <c r="C6140" s="190" t="s">
        <v>11271</v>
      </c>
      <c r="D6140" s="191">
        <v>313.48</v>
      </c>
      <c r="E6140" s="191">
        <v>45.96</v>
      </c>
      <c r="F6140" s="191">
        <v>235.05</v>
      </c>
      <c r="G6140" s="191">
        <v>32.47</v>
      </c>
      <c r="H6140" s="192">
        <v>1988.81</v>
      </c>
      <c r="I6140" s="192">
        <v>528.55999999999995</v>
      </c>
      <c r="J6140" s="192">
        <v>1274.55</v>
      </c>
      <c r="K6140" s="192">
        <v>185.7</v>
      </c>
      <c r="L6140" s="43">
        <v>6.3442962868444557</v>
      </c>
      <c r="M6140" s="43">
        <v>11.500435161009571</v>
      </c>
      <c r="N6140" s="43">
        <v>5.4224633056796421</v>
      </c>
      <c r="O6140" s="43">
        <v>5.7191253464736675</v>
      </c>
      <c r="P6140" s="193"/>
      <c r="Q6140" s="193"/>
      <c r="R6140" s="193">
        <v>13</v>
      </c>
    </row>
    <row r="6141" spans="1:18" ht="48">
      <c r="A6141" s="189">
        <v>984</v>
      </c>
      <c r="B6141" s="186" t="s">
        <v>11272</v>
      </c>
      <c r="C6141" s="190" t="s">
        <v>11273</v>
      </c>
      <c r="D6141" s="191">
        <v>328.16</v>
      </c>
      <c r="E6141" s="191">
        <v>45.96</v>
      </c>
      <c r="F6141" s="191">
        <v>281.27999999999997</v>
      </c>
      <c r="G6141" s="191">
        <v>0.92</v>
      </c>
      <c r="H6141" s="192">
        <v>2064.42</v>
      </c>
      <c r="I6141" s="192">
        <v>528.55999999999995</v>
      </c>
      <c r="J6141" s="192">
        <v>1525.28</v>
      </c>
      <c r="K6141" s="192">
        <v>10.58</v>
      </c>
      <c r="L6141" s="43">
        <v>6.2908946855192589</v>
      </c>
      <c r="M6141" s="43">
        <v>11.500435161009571</v>
      </c>
      <c r="N6141" s="43">
        <v>5.4226393629124008</v>
      </c>
      <c r="O6141" s="43">
        <v>11.5</v>
      </c>
      <c r="P6141" s="193"/>
      <c r="Q6141" s="193"/>
      <c r="R6141" s="193">
        <v>13</v>
      </c>
    </row>
    <row r="6142" spans="1:18" ht="36">
      <c r="A6142" s="189">
        <v>985</v>
      </c>
      <c r="B6142" s="186" t="s">
        <v>11274</v>
      </c>
      <c r="C6142" s="190" t="s">
        <v>11275</v>
      </c>
      <c r="D6142" s="191">
        <v>770.13</v>
      </c>
      <c r="E6142" s="191">
        <v>137.88</v>
      </c>
      <c r="F6142" s="191">
        <v>593.5</v>
      </c>
      <c r="G6142" s="191">
        <v>38.75</v>
      </c>
      <c r="H6142" s="192">
        <v>4970.33</v>
      </c>
      <c r="I6142" s="192">
        <v>1585.68</v>
      </c>
      <c r="J6142" s="192">
        <v>3143.25</v>
      </c>
      <c r="K6142" s="192">
        <v>241.4</v>
      </c>
      <c r="L6142" s="43">
        <v>6.4538844091257319</v>
      </c>
      <c r="M6142" s="43">
        <v>11.500435161009575</v>
      </c>
      <c r="N6142" s="43">
        <v>5.2961246840775065</v>
      </c>
      <c r="O6142" s="43">
        <v>6.2296774193548385</v>
      </c>
      <c r="P6142" s="193"/>
      <c r="Q6142" s="193"/>
      <c r="R6142" s="193">
        <v>13</v>
      </c>
    </row>
    <row r="6143" spans="1:18" ht="36">
      <c r="A6143" s="189">
        <v>986</v>
      </c>
      <c r="B6143" s="186" t="s">
        <v>11276</v>
      </c>
      <c r="C6143" s="190" t="s">
        <v>11277</v>
      </c>
      <c r="D6143" s="191">
        <v>543.80999999999995</v>
      </c>
      <c r="E6143" s="191">
        <v>80.430000000000007</v>
      </c>
      <c r="F6143" s="191">
        <v>425.78</v>
      </c>
      <c r="G6143" s="191">
        <v>37.6</v>
      </c>
      <c r="H6143" s="192">
        <v>3461.97</v>
      </c>
      <c r="I6143" s="192">
        <v>924.98</v>
      </c>
      <c r="J6143" s="192">
        <v>2308.81</v>
      </c>
      <c r="K6143" s="192">
        <v>228.18</v>
      </c>
      <c r="L6143" s="43">
        <v>6.3661389088100622</v>
      </c>
      <c r="M6143" s="43">
        <v>11.500435161009573</v>
      </c>
      <c r="N6143" s="43">
        <v>5.4225421579219315</v>
      </c>
      <c r="O6143" s="43">
        <v>6.0686170212765953</v>
      </c>
      <c r="P6143" s="193"/>
      <c r="Q6143" s="193"/>
      <c r="R6143" s="193">
        <v>13</v>
      </c>
    </row>
    <row r="6144" spans="1:18" ht="48">
      <c r="A6144" s="189">
        <v>987</v>
      </c>
      <c r="B6144" s="186" t="s">
        <v>11278</v>
      </c>
      <c r="C6144" s="190" t="s">
        <v>11279</v>
      </c>
      <c r="D6144" s="191">
        <v>598.53</v>
      </c>
      <c r="E6144" s="191">
        <v>91.92</v>
      </c>
      <c r="F6144" s="191">
        <v>504.77</v>
      </c>
      <c r="G6144" s="191">
        <v>1.84</v>
      </c>
      <c r="H6144" s="192">
        <v>3815.42</v>
      </c>
      <c r="I6144" s="192">
        <v>1057.1199999999999</v>
      </c>
      <c r="J6144" s="192">
        <v>2737.14</v>
      </c>
      <c r="K6144" s="192">
        <v>21.16</v>
      </c>
      <c r="L6144" s="43">
        <v>6.3746512288440016</v>
      </c>
      <c r="M6144" s="43">
        <v>11.500435161009571</v>
      </c>
      <c r="N6144" s="43">
        <v>5.4225488836499789</v>
      </c>
      <c r="O6144" s="43">
        <v>11.5</v>
      </c>
      <c r="P6144" s="193"/>
      <c r="Q6144" s="193"/>
      <c r="R6144" s="193">
        <v>13</v>
      </c>
    </row>
    <row r="6145" spans="1:18" ht="24">
      <c r="A6145" s="189">
        <v>988</v>
      </c>
      <c r="B6145" s="186" t="s">
        <v>11280</v>
      </c>
      <c r="C6145" s="190" t="s">
        <v>11281</v>
      </c>
      <c r="D6145" s="191">
        <v>11.29</v>
      </c>
      <c r="E6145" s="191">
        <v>3.56</v>
      </c>
      <c r="F6145" s="191">
        <v>2.7</v>
      </c>
      <c r="G6145" s="191">
        <v>5.03</v>
      </c>
      <c r="H6145" s="192">
        <v>95.48</v>
      </c>
      <c r="I6145" s="192">
        <v>40.96</v>
      </c>
      <c r="J6145" s="192">
        <v>15.08</v>
      </c>
      <c r="K6145" s="192">
        <v>39.44</v>
      </c>
      <c r="L6145" s="43">
        <v>8.4570416297608517</v>
      </c>
      <c r="M6145" s="43">
        <v>11.5021951219512</v>
      </c>
      <c r="N6145" s="43">
        <v>5.5851851851851846</v>
      </c>
      <c r="O6145" s="43">
        <v>7.8409542743538756</v>
      </c>
      <c r="P6145" s="193"/>
      <c r="Q6145" s="193"/>
      <c r="R6145" s="193">
        <v>13</v>
      </c>
    </row>
    <row r="6146" spans="1:18" ht="12.75" customHeight="1">
      <c r="A6146" s="628" t="s">
        <v>11282</v>
      </c>
      <c r="B6146" s="629"/>
      <c r="C6146" s="629"/>
      <c r="D6146" s="629"/>
      <c r="E6146" s="629"/>
      <c r="F6146" s="629"/>
      <c r="G6146" s="629"/>
      <c r="H6146" s="629"/>
      <c r="I6146" s="629"/>
      <c r="J6146" s="629"/>
      <c r="K6146" s="629"/>
      <c r="L6146" s="629"/>
      <c r="M6146" s="629"/>
      <c r="N6146" s="629"/>
      <c r="O6146" s="629"/>
      <c r="P6146" s="629"/>
      <c r="Q6146" s="629"/>
      <c r="R6146" s="629"/>
    </row>
    <row r="6147" spans="1:18" ht="48">
      <c r="A6147" s="189">
        <v>989</v>
      </c>
      <c r="B6147" s="186" t="s">
        <v>11283</v>
      </c>
      <c r="C6147" s="190" t="s">
        <v>11284</v>
      </c>
      <c r="D6147" s="191">
        <v>218.91</v>
      </c>
      <c r="E6147" s="191">
        <v>11.49</v>
      </c>
      <c r="F6147" s="191">
        <v>207.19</v>
      </c>
      <c r="G6147" s="191">
        <v>0.23</v>
      </c>
      <c r="H6147" s="192">
        <v>1218.1600000000001</v>
      </c>
      <c r="I6147" s="192">
        <v>132.13999999999999</v>
      </c>
      <c r="J6147" s="192">
        <v>1083.3699999999999</v>
      </c>
      <c r="K6147" s="192">
        <v>2.65</v>
      </c>
      <c r="L6147" s="43">
        <v>5.5646612763236041</v>
      </c>
      <c r="M6147" s="43">
        <v>11.500435161009571</v>
      </c>
      <c r="N6147" s="43">
        <v>5.2288720498093531</v>
      </c>
      <c r="O6147" s="43">
        <v>11.5</v>
      </c>
      <c r="P6147" s="193"/>
      <c r="Q6147" s="193"/>
      <c r="R6147" s="193">
        <v>14</v>
      </c>
    </row>
    <row r="6148" spans="1:18" ht="48">
      <c r="A6148" s="189">
        <v>990</v>
      </c>
      <c r="B6148" s="186" t="s">
        <v>11285</v>
      </c>
      <c r="C6148" s="190" t="s">
        <v>11286</v>
      </c>
      <c r="D6148" s="191">
        <v>296.87</v>
      </c>
      <c r="E6148" s="191">
        <v>22.98</v>
      </c>
      <c r="F6148" s="191">
        <v>273.43</v>
      </c>
      <c r="G6148" s="191">
        <v>0.46</v>
      </c>
      <c r="H6148" s="192">
        <v>1711.02</v>
      </c>
      <c r="I6148" s="192">
        <v>264.27999999999997</v>
      </c>
      <c r="J6148" s="192">
        <v>1441.45</v>
      </c>
      <c r="K6148" s="192">
        <v>5.29</v>
      </c>
      <c r="L6148" s="43">
        <v>5.7635328595007911</v>
      </c>
      <c r="M6148" s="43">
        <v>11.500435161009571</v>
      </c>
      <c r="N6148" s="43">
        <v>5.2717331675383097</v>
      </c>
      <c r="O6148" s="43">
        <v>11.5</v>
      </c>
      <c r="P6148" s="193"/>
      <c r="Q6148" s="193"/>
      <c r="R6148" s="193">
        <v>14</v>
      </c>
    </row>
    <row r="6149" spans="1:18" ht="48">
      <c r="A6149" s="189">
        <v>991</v>
      </c>
      <c r="B6149" s="186" t="s">
        <v>11287</v>
      </c>
      <c r="C6149" s="190" t="s">
        <v>11288</v>
      </c>
      <c r="D6149" s="191">
        <v>446.84</v>
      </c>
      <c r="E6149" s="191">
        <v>34.47</v>
      </c>
      <c r="F6149" s="191">
        <v>411.68</v>
      </c>
      <c r="G6149" s="191">
        <v>0.69</v>
      </c>
      <c r="H6149" s="192">
        <v>2556.0100000000002</v>
      </c>
      <c r="I6149" s="192">
        <v>396.42</v>
      </c>
      <c r="J6149" s="192">
        <v>2151.65</v>
      </c>
      <c r="K6149" s="192">
        <v>7.94</v>
      </c>
      <c r="L6149" s="43">
        <v>5.7201906722764306</v>
      </c>
      <c r="M6149" s="43">
        <v>11.500435161009575</v>
      </c>
      <c r="N6149" s="43">
        <v>5.2265108822386317</v>
      </c>
      <c r="O6149" s="43">
        <v>11.5</v>
      </c>
      <c r="P6149" s="193"/>
      <c r="Q6149" s="193"/>
      <c r="R6149" s="193">
        <v>14</v>
      </c>
    </row>
    <row r="6150" spans="1:18" ht="48">
      <c r="A6150" s="189">
        <v>992</v>
      </c>
      <c r="B6150" s="186" t="s">
        <v>11289</v>
      </c>
      <c r="C6150" s="190" t="s">
        <v>11290</v>
      </c>
      <c r="D6150" s="191">
        <v>575.46</v>
      </c>
      <c r="E6150" s="191">
        <v>34.47</v>
      </c>
      <c r="F6150" s="191">
        <v>540.29999999999995</v>
      </c>
      <c r="G6150" s="191">
        <v>0.69</v>
      </c>
      <c r="H6150" s="192">
        <v>3224.86</v>
      </c>
      <c r="I6150" s="192">
        <v>396.42</v>
      </c>
      <c r="J6150" s="192">
        <v>2820.5</v>
      </c>
      <c r="K6150" s="192">
        <v>7.94</v>
      </c>
      <c r="L6150" s="43">
        <v>5.6039689987140724</v>
      </c>
      <c r="M6150" s="43">
        <v>11.500435161009575</v>
      </c>
      <c r="N6150" s="43">
        <v>5.2202480103646129</v>
      </c>
      <c r="O6150" s="43">
        <v>11.5</v>
      </c>
      <c r="P6150" s="193"/>
      <c r="Q6150" s="193"/>
      <c r="R6150" s="193">
        <v>14</v>
      </c>
    </row>
    <row r="6151" spans="1:18" ht="48">
      <c r="A6151" s="189">
        <v>993</v>
      </c>
      <c r="B6151" s="186" t="s">
        <v>11291</v>
      </c>
      <c r="C6151" s="190" t="s">
        <v>11292</v>
      </c>
      <c r="D6151" s="191">
        <v>239.01</v>
      </c>
      <c r="E6151" s="191">
        <v>32.520000000000003</v>
      </c>
      <c r="F6151" s="191">
        <v>205.84</v>
      </c>
      <c r="G6151" s="191">
        <v>0.65</v>
      </c>
      <c r="H6151" s="192">
        <v>1457.29</v>
      </c>
      <c r="I6151" s="192">
        <v>373.98</v>
      </c>
      <c r="J6151" s="192">
        <v>1075.83</v>
      </c>
      <c r="K6151" s="192">
        <v>7.48</v>
      </c>
      <c r="L6151" s="43">
        <v>6.0971925860842644</v>
      </c>
      <c r="M6151" s="43">
        <v>11.5</v>
      </c>
      <c r="N6151" s="43">
        <v>5.2265351729498635</v>
      </c>
      <c r="O6151" s="43">
        <v>11.5</v>
      </c>
      <c r="P6151" s="193"/>
      <c r="Q6151" s="193"/>
      <c r="R6151" s="193">
        <v>14</v>
      </c>
    </row>
    <row r="6152" spans="1:18" ht="48">
      <c r="A6152" s="189">
        <v>994</v>
      </c>
      <c r="B6152" s="186" t="s">
        <v>11293</v>
      </c>
      <c r="C6152" s="190" t="s">
        <v>11294</v>
      </c>
      <c r="D6152" s="191">
        <v>324.67</v>
      </c>
      <c r="E6152" s="191">
        <v>54.2</v>
      </c>
      <c r="F6152" s="191">
        <v>269.39</v>
      </c>
      <c r="G6152" s="191">
        <v>1.08</v>
      </c>
      <c r="H6152" s="192">
        <v>2054.5500000000002</v>
      </c>
      <c r="I6152" s="192">
        <v>623.29999999999995</v>
      </c>
      <c r="J6152" s="192">
        <v>1418.83</v>
      </c>
      <c r="K6152" s="192">
        <v>12.42</v>
      </c>
      <c r="L6152" s="43">
        <v>6.3281177811316107</v>
      </c>
      <c r="M6152" s="43">
        <v>11.499999999999998</v>
      </c>
      <c r="N6152" s="43">
        <v>5.2668250491851962</v>
      </c>
      <c r="O6152" s="43">
        <v>11.5</v>
      </c>
      <c r="P6152" s="193"/>
      <c r="Q6152" s="193"/>
      <c r="R6152" s="193">
        <v>14</v>
      </c>
    </row>
    <row r="6153" spans="1:18" ht="48">
      <c r="A6153" s="189">
        <v>995</v>
      </c>
      <c r="B6153" s="186" t="s">
        <v>11295</v>
      </c>
      <c r="C6153" s="190" t="s">
        <v>11296</v>
      </c>
      <c r="D6153" s="191">
        <v>379.13</v>
      </c>
      <c r="E6153" s="191">
        <v>75.88</v>
      </c>
      <c r="F6153" s="191">
        <v>301.73</v>
      </c>
      <c r="G6153" s="191">
        <v>1.52</v>
      </c>
      <c r="H6153" s="192">
        <v>2489.92</v>
      </c>
      <c r="I6153" s="192">
        <v>872.62</v>
      </c>
      <c r="J6153" s="192">
        <v>1599.82</v>
      </c>
      <c r="K6153" s="192">
        <v>17.48</v>
      </c>
      <c r="L6153" s="43">
        <v>6.5674570727718731</v>
      </c>
      <c r="M6153" s="43">
        <v>11.5</v>
      </c>
      <c r="N6153" s="43">
        <v>5.3021575580817277</v>
      </c>
      <c r="O6153" s="43">
        <v>11.5</v>
      </c>
      <c r="P6153" s="193"/>
      <c r="Q6153" s="193"/>
      <c r="R6153" s="193">
        <v>14</v>
      </c>
    </row>
    <row r="6154" spans="1:18" ht="48">
      <c r="A6154" s="189">
        <v>996</v>
      </c>
      <c r="B6154" s="186" t="s">
        <v>11297</v>
      </c>
      <c r="C6154" s="190" t="s">
        <v>11298</v>
      </c>
      <c r="D6154" s="191">
        <v>619.04</v>
      </c>
      <c r="E6154" s="191">
        <v>75.88</v>
      </c>
      <c r="F6154" s="191">
        <v>541.64</v>
      </c>
      <c r="G6154" s="191">
        <v>1.52</v>
      </c>
      <c r="H6154" s="192">
        <v>3718.14</v>
      </c>
      <c r="I6154" s="192">
        <v>872.62</v>
      </c>
      <c r="J6154" s="192">
        <v>2828.04</v>
      </c>
      <c r="K6154" s="192">
        <v>17.48</v>
      </c>
      <c r="L6154" s="43">
        <v>6.0063000775394162</v>
      </c>
      <c r="M6154" s="43">
        <v>11.5</v>
      </c>
      <c r="N6154" s="43">
        <v>5.2212539694261872</v>
      </c>
      <c r="O6154" s="43">
        <v>11.5</v>
      </c>
      <c r="P6154" s="193"/>
      <c r="Q6154" s="193"/>
      <c r="R6154" s="193">
        <v>14</v>
      </c>
    </row>
    <row r="6155" spans="1:18" ht="36">
      <c r="A6155" s="189">
        <v>997</v>
      </c>
      <c r="B6155" s="186" t="s">
        <v>11299</v>
      </c>
      <c r="C6155" s="190" t="s">
        <v>11300</v>
      </c>
      <c r="D6155" s="191">
        <v>1109.94</v>
      </c>
      <c r="E6155" s="191">
        <v>172.25</v>
      </c>
      <c r="F6155" s="191">
        <v>934.24</v>
      </c>
      <c r="G6155" s="191">
        <v>3.45</v>
      </c>
      <c r="H6155" s="192">
        <v>6899.55</v>
      </c>
      <c r="I6155" s="192">
        <v>1980.94</v>
      </c>
      <c r="J6155" s="192">
        <v>4878.93</v>
      </c>
      <c r="K6155" s="192">
        <v>39.68</v>
      </c>
      <c r="L6155" s="43">
        <v>6.2161468187469593</v>
      </c>
      <c r="M6155" s="43">
        <v>11.500377358490566</v>
      </c>
      <c r="N6155" s="43">
        <v>5.2223518581948962</v>
      </c>
      <c r="O6155" s="43">
        <v>11.501449275362319</v>
      </c>
      <c r="P6155" s="193"/>
      <c r="Q6155" s="193"/>
      <c r="R6155" s="193">
        <v>14</v>
      </c>
    </row>
    <row r="6156" spans="1:18" ht="36">
      <c r="A6156" s="189">
        <v>998</v>
      </c>
      <c r="B6156" s="186" t="s">
        <v>11301</v>
      </c>
      <c r="C6156" s="190" t="s">
        <v>11302</v>
      </c>
      <c r="D6156" s="191">
        <v>1226.44</v>
      </c>
      <c r="E6156" s="191">
        <v>172.25</v>
      </c>
      <c r="F6156" s="191">
        <v>1050.74</v>
      </c>
      <c r="G6156" s="191">
        <v>3.45</v>
      </c>
      <c r="H6156" s="192">
        <v>7507.15</v>
      </c>
      <c r="I6156" s="192">
        <v>1980.94</v>
      </c>
      <c r="J6156" s="192">
        <v>5486.53</v>
      </c>
      <c r="K6156" s="192">
        <v>39.68</v>
      </c>
      <c r="L6156" s="43">
        <v>6.1210903101660081</v>
      </c>
      <c r="M6156" s="43">
        <v>11.500377358490566</v>
      </c>
      <c r="N6156" s="43">
        <v>5.2215866912842372</v>
      </c>
      <c r="O6156" s="43">
        <v>11.501449275362319</v>
      </c>
      <c r="P6156" s="193"/>
      <c r="Q6156" s="193"/>
      <c r="R6156" s="193">
        <v>14</v>
      </c>
    </row>
    <row r="6157" spans="1:18" ht="36">
      <c r="A6157" s="189">
        <v>999</v>
      </c>
      <c r="B6157" s="186" t="s">
        <v>11303</v>
      </c>
      <c r="C6157" s="190" t="s">
        <v>11304</v>
      </c>
      <c r="D6157" s="191">
        <v>1361.67</v>
      </c>
      <c r="E6157" s="191">
        <v>198.75</v>
      </c>
      <c r="F6157" s="191">
        <v>1158.94</v>
      </c>
      <c r="G6157" s="191">
        <v>3.98</v>
      </c>
      <c r="H6157" s="192">
        <v>8385.17</v>
      </c>
      <c r="I6157" s="192">
        <v>2285.6999999999998</v>
      </c>
      <c r="J6157" s="192">
        <v>6053.7</v>
      </c>
      <c r="K6157" s="192">
        <v>45.77</v>
      </c>
      <c r="L6157" s="43">
        <v>6.1580045091688875</v>
      </c>
      <c r="M6157" s="43">
        <v>11.500377358490566</v>
      </c>
      <c r="N6157" s="43">
        <v>5.2234800766217404</v>
      </c>
      <c r="O6157" s="43">
        <v>11.5</v>
      </c>
      <c r="P6157" s="193"/>
      <c r="Q6157" s="193"/>
      <c r="R6157" s="193">
        <v>14</v>
      </c>
    </row>
    <row r="6158" spans="1:18" ht="36">
      <c r="A6158" s="189">
        <v>1000</v>
      </c>
      <c r="B6158" s="186" t="s">
        <v>11305</v>
      </c>
      <c r="C6158" s="190" t="s">
        <v>11306</v>
      </c>
      <c r="D6158" s="191">
        <v>1308.92</v>
      </c>
      <c r="E6158" s="191">
        <v>198.75</v>
      </c>
      <c r="F6158" s="191">
        <v>1106.19</v>
      </c>
      <c r="G6158" s="191">
        <v>3.98</v>
      </c>
      <c r="H6158" s="192">
        <v>8109.13</v>
      </c>
      <c r="I6158" s="192">
        <v>2285.6999999999998</v>
      </c>
      <c r="J6158" s="192">
        <v>5777.66</v>
      </c>
      <c r="K6158" s="192">
        <v>45.77</v>
      </c>
      <c r="L6158" s="43">
        <v>6.1952831341869627</v>
      </c>
      <c r="M6158" s="43">
        <v>11.500377358490566</v>
      </c>
      <c r="N6158" s="43">
        <v>5.2230267856335706</v>
      </c>
      <c r="O6158" s="43">
        <v>11.5</v>
      </c>
      <c r="P6158" s="193"/>
      <c r="Q6158" s="193"/>
      <c r="R6158" s="193">
        <v>14</v>
      </c>
    </row>
    <row r="6159" spans="1:18" ht="36">
      <c r="A6159" s="189">
        <v>1001</v>
      </c>
      <c r="B6159" s="186" t="s">
        <v>11307</v>
      </c>
      <c r="C6159" s="190" t="s">
        <v>11308</v>
      </c>
      <c r="D6159" s="191">
        <v>1452.45</v>
      </c>
      <c r="E6159" s="191">
        <v>225.25</v>
      </c>
      <c r="F6159" s="191">
        <v>1222.69</v>
      </c>
      <c r="G6159" s="191">
        <v>4.51</v>
      </c>
      <c r="H6159" s="192">
        <v>9027.6</v>
      </c>
      <c r="I6159" s="192">
        <v>2590.46</v>
      </c>
      <c r="J6159" s="192">
        <v>6385.27</v>
      </c>
      <c r="K6159" s="192">
        <v>51.87</v>
      </c>
      <c r="L6159" s="43">
        <v>6.2154291025508623</v>
      </c>
      <c r="M6159" s="43">
        <v>11.500377358490566</v>
      </c>
      <c r="N6159" s="43">
        <v>5.2223130965330542</v>
      </c>
      <c r="O6159" s="43">
        <v>11.501108647450112</v>
      </c>
      <c r="P6159" s="193"/>
      <c r="Q6159" s="193"/>
      <c r="R6159" s="193">
        <v>14</v>
      </c>
    </row>
    <row r="6160" spans="1:18" ht="36">
      <c r="A6160" s="189">
        <v>1002</v>
      </c>
      <c r="B6160" s="186" t="s">
        <v>11309</v>
      </c>
      <c r="C6160" s="190" t="s">
        <v>11310</v>
      </c>
      <c r="D6160" s="191">
        <v>1675.76</v>
      </c>
      <c r="E6160" s="191">
        <v>278.25</v>
      </c>
      <c r="F6160" s="191">
        <v>1391.94</v>
      </c>
      <c r="G6160" s="191">
        <v>5.57</v>
      </c>
      <c r="H6160" s="192">
        <v>10532.96</v>
      </c>
      <c r="I6160" s="192">
        <v>3199.98</v>
      </c>
      <c r="J6160" s="192">
        <v>7268.92</v>
      </c>
      <c r="K6160" s="192">
        <v>64.06</v>
      </c>
      <c r="L6160" s="43">
        <v>6.285482407982049</v>
      </c>
      <c r="M6160" s="43">
        <v>11.500377358490566</v>
      </c>
      <c r="N6160" s="43">
        <v>5.2221503800451163</v>
      </c>
      <c r="O6160" s="43">
        <v>11.500897666068223</v>
      </c>
      <c r="P6160" s="193"/>
      <c r="Q6160" s="193"/>
      <c r="R6160" s="193">
        <v>14</v>
      </c>
    </row>
    <row r="6161" spans="1:18" ht="36">
      <c r="A6161" s="189">
        <v>1003</v>
      </c>
      <c r="B6161" s="186" t="s">
        <v>11311</v>
      </c>
      <c r="C6161" s="190" t="s">
        <v>11312</v>
      </c>
      <c r="D6161" s="191">
        <v>1728.51</v>
      </c>
      <c r="E6161" s="191">
        <v>278.25</v>
      </c>
      <c r="F6161" s="191">
        <v>1444.69</v>
      </c>
      <c r="G6161" s="191">
        <v>5.57</v>
      </c>
      <c r="H6161" s="192">
        <v>10809.01</v>
      </c>
      <c r="I6161" s="192">
        <v>3199.98</v>
      </c>
      <c r="J6161" s="192">
        <v>7544.97</v>
      </c>
      <c r="K6161" s="192">
        <v>64.06</v>
      </c>
      <c r="L6161" s="43">
        <v>6.2533685081370658</v>
      </c>
      <c r="M6161" s="43">
        <v>11.500377358490566</v>
      </c>
      <c r="N6161" s="43">
        <v>5.2225529352317794</v>
      </c>
      <c r="O6161" s="43">
        <v>11.500897666068223</v>
      </c>
      <c r="P6161" s="193"/>
      <c r="Q6161" s="193"/>
      <c r="R6161" s="193">
        <v>14</v>
      </c>
    </row>
    <row r="6162" spans="1:18" ht="36">
      <c r="A6162" s="189">
        <v>1004</v>
      </c>
      <c r="B6162" s="186" t="s">
        <v>11313</v>
      </c>
      <c r="C6162" s="190" t="s">
        <v>11314</v>
      </c>
      <c r="D6162" s="191">
        <v>1927.48</v>
      </c>
      <c r="E6162" s="191">
        <v>304.75</v>
      </c>
      <c r="F6162" s="191">
        <v>1616.63</v>
      </c>
      <c r="G6162" s="191">
        <v>6.1</v>
      </c>
      <c r="H6162" s="192">
        <v>12018.58</v>
      </c>
      <c r="I6162" s="192">
        <v>3504.74</v>
      </c>
      <c r="J6162" s="192">
        <v>8443.69</v>
      </c>
      <c r="K6162" s="192">
        <v>70.150000000000006</v>
      </c>
      <c r="L6162" s="43">
        <v>6.2353850623612175</v>
      </c>
      <c r="M6162" s="43">
        <v>11.500377358490566</v>
      </c>
      <c r="N6162" s="43">
        <v>5.2230194911637167</v>
      </c>
      <c r="O6162" s="43">
        <v>11.500000000000002</v>
      </c>
      <c r="P6162" s="193"/>
      <c r="Q6162" s="193"/>
      <c r="R6162" s="193">
        <v>14</v>
      </c>
    </row>
    <row r="6163" spans="1:18" ht="36">
      <c r="A6163" s="189">
        <v>1005</v>
      </c>
      <c r="B6163" s="186" t="s">
        <v>11315</v>
      </c>
      <c r="C6163" s="190" t="s">
        <v>11316</v>
      </c>
      <c r="D6163" s="191">
        <v>2104.73</v>
      </c>
      <c r="E6163" s="191">
        <v>344.5</v>
      </c>
      <c r="F6163" s="191">
        <v>1753.34</v>
      </c>
      <c r="G6163" s="191">
        <v>6.89</v>
      </c>
      <c r="H6163" s="192">
        <v>13198.92</v>
      </c>
      <c r="I6163" s="192">
        <v>3961.88</v>
      </c>
      <c r="J6163" s="192">
        <v>9157.7999999999993</v>
      </c>
      <c r="K6163" s="192">
        <v>79.239999999999995</v>
      </c>
      <c r="L6163" s="43">
        <v>6.2710751497816819</v>
      </c>
      <c r="M6163" s="43">
        <v>11.500377358490566</v>
      </c>
      <c r="N6163" s="43">
        <v>5.2230599883650628</v>
      </c>
      <c r="O6163" s="43">
        <v>11.500725689404934</v>
      </c>
      <c r="P6163" s="193"/>
      <c r="Q6163" s="193"/>
      <c r="R6163" s="193">
        <v>14</v>
      </c>
    </row>
    <row r="6164" spans="1:18" ht="36">
      <c r="A6164" s="189">
        <v>1006</v>
      </c>
      <c r="B6164" s="186" t="s">
        <v>11317</v>
      </c>
      <c r="C6164" s="190" t="s">
        <v>11318</v>
      </c>
      <c r="D6164" s="191">
        <v>2302.35</v>
      </c>
      <c r="E6164" s="191">
        <v>371</v>
      </c>
      <c r="F6164" s="191">
        <v>1923.93</v>
      </c>
      <c r="G6164" s="191">
        <v>7.42</v>
      </c>
      <c r="H6164" s="192">
        <v>14400.96</v>
      </c>
      <c r="I6164" s="192">
        <v>4266.6400000000003</v>
      </c>
      <c r="J6164" s="192">
        <v>10048.99</v>
      </c>
      <c r="K6164" s="192">
        <v>85.33</v>
      </c>
      <c r="L6164" s="43">
        <v>6.254896084435468</v>
      </c>
      <c r="M6164" s="43">
        <v>11.500377358490567</v>
      </c>
      <c r="N6164" s="43">
        <v>5.2231578071967268</v>
      </c>
      <c r="O6164" s="43">
        <v>11.5</v>
      </c>
      <c r="P6164" s="193"/>
      <c r="Q6164" s="193"/>
      <c r="R6164" s="193">
        <v>14</v>
      </c>
    </row>
    <row r="6165" spans="1:18" ht="36">
      <c r="A6165" s="189">
        <v>1007</v>
      </c>
      <c r="B6165" s="186" t="s">
        <v>11319</v>
      </c>
      <c r="C6165" s="190" t="s">
        <v>11320</v>
      </c>
      <c r="D6165" s="191">
        <v>2571.86</v>
      </c>
      <c r="E6165" s="191">
        <v>410.75</v>
      </c>
      <c r="F6165" s="191">
        <v>2152.89</v>
      </c>
      <c r="G6165" s="191">
        <v>8.2200000000000006</v>
      </c>
      <c r="H6165" s="192">
        <v>16059.89</v>
      </c>
      <c r="I6165" s="192">
        <v>4723.78</v>
      </c>
      <c r="J6165" s="192">
        <v>11241.58</v>
      </c>
      <c r="K6165" s="192">
        <v>94.53</v>
      </c>
      <c r="L6165" s="43">
        <v>6.2444650953006766</v>
      </c>
      <c r="M6165" s="43">
        <v>11.500377358490566</v>
      </c>
      <c r="N6165" s="43">
        <v>5.2216230276512041</v>
      </c>
      <c r="O6165" s="43">
        <v>11.5</v>
      </c>
      <c r="P6165" s="193"/>
      <c r="Q6165" s="193"/>
      <c r="R6165" s="193">
        <v>14</v>
      </c>
    </row>
    <row r="6166" spans="1:18" ht="36">
      <c r="A6166" s="189">
        <v>1008</v>
      </c>
      <c r="B6166" s="186" t="s">
        <v>11321</v>
      </c>
      <c r="C6166" s="190" t="s">
        <v>11322</v>
      </c>
      <c r="D6166" s="191">
        <v>2854.66</v>
      </c>
      <c r="E6166" s="191">
        <v>463.75</v>
      </c>
      <c r="F6166" s="191">
        <v>2381.63</v>
      </c>
      <c r="G6166" s="191">
        <v>9.2799999999999994</v>
      </c>
      <c r="H6166" s="192">
        <v>17879</v>
      </c>
      <c r="I6166" s="192">
        <v>5333.3</v>
      </c>
      <c r="J6166" s="192">
        <v>12438.98</v>
      </c>
      <c r="K6166" s="192">
        <v>106.72</v>
      </c>
      <c r="L6166" s="43">
        <v>6.2630926274932923</v>
      </c>
      <c r="M6166" s="43">
        <v>11.500377358490567</v>
      </c>
      <c r="N6166" s="43">
        <v>5.2228851668815048</v>
      </c>
      <c r="O6166" s="43">
        <v>11.5</v>
      </c>
      <c r="P6166" s="193"/>
      <c r="Q6166" s="193"/>
      <c r="R6166" s="193">
        <v>14</v>
      </c>
    </row>
    <row r="6167" spans="1:18" ht="12.75" customHeight="1">
      <c r="A6167" s="628" t="s">
        <v>11323</v>
      </c>
      <c r="B6167" s="629"/>
      <c r="C6167" s="629"/>
      <c r="D6167" s="629"/>
      <c r="E6167" s="629"/>
      <c r="F6167" s="629"/>
      <c r="G6167" s="629"/>
      <c r="H6167" s="629"/>
      <c r="I6167" s="629"/>
      <c r="J6167" s="629"/>
      <c r="K6167" s="629"/>
      <c r="L6167" s="629"/>
      <c r="M6167" s="629"/>
      <c r="N6167" s="629"/>
      <c r="O6167" s="629"/>
      <c r="P6167" s="629"/>
      <c r="Q6167" s="629"/>
      <c r="R6167" s="629"/>
    </row>
    <row r="6168" spans="1:18" ht="24">
      <c r="A6168" s="189">
        <v>1009</v>
      </c>
      <c r="B6168" s="186" t="s">
        <v>11324</v>
      </c>
      <c r="C6168" s="190" t="s">
        <v>11325</v>
      </c>
      <c r="D6168" s="191">
        <v>1416.53</v>
      </c>
      <c r="E6168" s="191">
        <v>103.41</v>
      </c>
      <c r="F6168" s="191"/>
      <c r="G6168" s="191">
        <v>1313.12</v>
      </c>
      <c r="H6168" s="192">
        <v>7291.09</v>
      </c>
      <c r="I6168" s="192">
        <v>1189.26</v>
      </c>
      <c r="J6168" s="192"/>
      <c r="K6168" s="192">
        <v>6101.83</v>
      </c>
      <c r="L6168" s="43">
        <v>5.1471483131313844</v>
      </c>
      <c r="M6168" s="43">
        <v>11.500435161009573</v>
      </c>
      <c r="N6168" s="43" t="s">
        <v>1690</v>
      </c>
      <c r="O6168" s="43">
        <v>4.6468182648958214</v>
      </c>
      <c r="P6168" s="193"/>
      <c r="Q6168" s="193"/>
      <c r="R6168" s="193">
        <v>15</v>
      </c>
    </row>
    <row r="6169" spans="1:18" ht="24">
      <c r="A6169" s="189">
        <v>1010</v>
      </c>
      <c r="B6169" s="186" t="s">
        <v>11326</v>
      </c>
      <c r="C6169" s="190" t="s">
        <v>11327</v>
      </c>
      <c r="D6169" s="191">
        <v>1501.72</v>
      </c>
      <c r="E6169" s="191">
        <v>103.41</v>
      </c>
      <c r="F6169" s="191"/>
      <c r="G6169" s="191">
        <v>1398.31</v>
      </c>
      <c r="H6169" s="192">
        <v>8073.7</v>
      </c>
      <c r="I6169" s="192">
        <v>1189.26</v>
      </c>
      <c r="J6169" s="192"/>
      <c r="K6169" s="192">
        <v>6884.44</v>
      </c>
      <c r="L6169" s="43">
        <v>5.3763018405561622</v>
      </c>
      <c r="M6169" s="43">
        <v>11.500435161009573</v>
      </c>
      <c r="N6169" s="43" t="s">
        <v>1690</v>
      </c>
      <c r="O6169" s="43">
        <v>4.9234003904713548</v>
      </c>
      <c r="P6169" s="193"/>
      <c r="Q6169" s="193"/>
      <c r="R6169" s="193">
        <v>15</v>
      </c>
    </row>
    <row r="6170" spans="1:18" ht="24">
      <c r="A6170" s="189">
        <v>1011</v>
      </c>
      <c r="B6170" s="186" t="s">
        <v>11328</v>
      </c>
      <c r="C6170" s="190" t="s">
        <v>11329</v>
      </c>
      <c r="D6170" s="191">
        <v>1556.49</v>
      </c>
      <c r="E6170" s="191">
        <v>137.88</v>
      </c>
      <c r="F6170" s="191"/>
      <c r="G6170" s="191">
        <v>1418.61</v>
      </c>
      <c r="H6170" s="192">
        <v>8556.7999999999993</v>
      </c>
      <c r="I6170" s="192">
        <v>1585.68</v>
      </c>
      <c r="J6170" s="192"/>
      <c r="K6170" s="192">
        <v>6971.12</v>
      </c>
      <c r="L6170" s="43">
        <v>5.4974975746712147</v>
      </c>
      <c r="M6170" s="43">
        <v>11.500435161009575</v>
      </c>
      <c r="N6170" s="43" t="s">
        <v>1690</v>
      </c>
      <c r="O6170" s="43">
        <v>4.9140496683373165</v>
      </c>
      <c r="P6170" s="193"/>
      <c r="Q6170" s="193"/>
      <c r="R6170" s="193">
        <v>15</v>
      </c>
    </row>
    <row r="6171" spans="1:18" ht="24">
      <c r="A6171" s="189">
        <v>1012</v>
      </c>
      <c r="B6171" s="186" t="s">
        <v>11330</v>
      </c>
      <c r="C6171" s="190" t="s">
        <v>11331</v>
      </c>
      <c r="D6171" s="191">
        <v>136.30000000000001</v>
      </c>
      <c r="E6171" s="191">
        <v>26.5</v>
      </c>
      <c r="F6171" s="191">
        <v>109.27</v>
      </c>
      <c r="G6171" s="191">
        <v>0.53</v>
      </c>
      <c r="H6171" s="192">
        <v>911.38</v>
      </c>
      <c r="I6171" s="192">
        <v>304.76</v>
      </c>
      <c r="J6171" s="192">
        <v>600.52</v>
      </c>
      <c r="K6171" s="192">
        <v>6.1</v>
      </c>
      <c r="L6171" s="43">
        <v>6.6865737344093903</v>
      </c>
      <c r="M6171" s="43">
        <v>11.500377358490566</v>
      </c>
      <c r="N6171" s="43">
        <v>5.4957444861352611</v>
      </c>
      <c r="O6171" s="43">
        <v>11.5</v>
      </c>
      <c r="P6171" s="193"/>
      <c r="Q6171" s="193"/>
      <c r="R6171" s="193">
        <v>15</v>
      </c>
    </row>
    <row r="6172" spans="1:18" ht="24">
      <c r="A6172" s="189">
        <v>1013</v>
      </c>
      <c r="B6172" s="186" t="s">
        <v>11332</v>
      </c>
      <c r="C6172" s="190" t="s">
        <v>11333</v>
      </c>
      <c r="D6172" s="191">
        <v>9.51</v>
      </c>
      <c r="E6172" s="191">
        <v>9.32</v>
      </c>
      <c r="F6172" s="191"/>
      <c r="G6172" s="191">
        <v>0.19</v>
      </c>
      <c r="H6172" s="192">
        <v>109.37</v>
      </c>
      <c r="I6172" s="192">
        <v>107.18</v>
      </c>
      <c r="J6172" s="192"/>
      <c r="K6172" s="192">
        <v>2.19</v>
      </c>
      <c r="L6172" s="43">
        <v>11.500525762355416</v>
      </c>
      <c r="M6172" s="43">
        <v>11.5</v>
      </c>
      <c r="N6172" s="43" t="s">
        <v>1690</v>
      </c>
      <c r="O6172" s="43">
        <v>11.5</v>
      </c>
      <c r="P6172" s="193"/>
      <c r="Q6172" s="193"/>
      <c r="R6172" s="193">
        <v>15</v>
      </c>
    </row>
    <row r="6173" spans="1:18" ht="24">
      <c r="A6173" s="189">
        <v>1014</v>
      </c>
      <c r="B6173" s="186" t="s">
        <v>11334</v>
      </c>
      <c r="C6173" s="190" t="s">
        <v>11335</v>
      </c>
      <c r="D6173" s="191">
        <v>19.010000000000002</v>
      </c>
      <c r="E6173" s="191">
        <v>18.64</v>
      </c>
      <c r="F6173" s="191"/>
      <c r="G6173" s="191">
        <v>0.37</v>
      </c>
      <c r="H6173" s="192">
        <v>218.62</v>
      </c>
      <c r="I6173" s="192">
        <v>214.36</v>
      </c>
      <c r="J6173" s="192"/>
      <c r="K6173" s="192">
        <v>4.26</v>
      </c>
      <c r="L6173" s="43">
        <v>11.500263019463439</v>
      </c>
      <c r="M6173" s="43">
        <v>11.5</v>
      </c>
      <c r="N6173" s="43" t="s">
        <v>1690</v>
      </c>
      <c r="O6173" s="43">
        <v>11.5</v>
      </c>
      <c r="P6173" s="193"/>
      <c r="Q6173" s="193"/>
      <c r="R6173" s="193">
        <v>15</v>
      </c>
    </row>
    <row r="6174" spans="1:18" ht="24">
      <c r="A6174" s="189">
        <v>1015</v>
      </c>
      <c r="B6174" s="186" t="s">
        <v>11336</v>
      </c>
      <c r="C6174" s="190" t="s">
        <v>11337</v>
      </c>
      <c r="D6174" s="191">
        <v>11.72</v>
      </c>
      <c r="E6174" s="191">
        <v>11.49</v>
      </c>
      <c r="F6174" s="191"/>
      <c r="G6174" s="191">
        <v>0.23</v>
      </c>
      <c r="H6174" s="192">
        <v>134.79</v>
      </c>
      <c r="I6174" s="192">
        <v>132.13999999999999</v>
      </c>
      <c r="J6174" s="192"/>
      <c r="K6174" s="192">
        <v>2.65</v>
      </c>
      <c r="L6174" s="43">
        <v>11.500853242320817</v>
      </c>
      <c r="M6174" s="43">
        <v>11.500435161009571</v>
      </c>
      <c r="N6174" s="43" t="s">
        <v>1690</v>
      </c>
      <c r="O6174" s="43">
        <v>11.5</v>
      </c>
      <c r="P6174" s="193"/>
      <c r="Q6174" s="193"/>
      <c r="R6174" s="193">
        <v>15</v>
      </c>
    </row>
    <row r="6175" spans="1:18" ht="24">
      <c r="A6175" s="189">
        <v>1016</v>
      </c>
      <c r="B6175" s="186" t="s">
        <v>11338</v>
      </c>
      <c r="C6175" s="190" t="s">
        <v>11339</v>
      </c>
      <c r="D6175" s="191">
        <v>358.57</v>
      </c>
      <c r="E6175" s="191">
        <v>19.52</v>
      </c>
      <c r="F6175" s="191">
        <v>40.43</v>
      </c>
      <c r="G6175" s="191">
        <v>298.62</v>
      </c>
      <c r="H6175" s="192">
        <v>2288.34</v>
      </c>
      <c r="I6175" s="192">
        <v>224.48</v>
      </c>
      <c r="J6175" s="192">
        <v>226.25</v>
      </c>
      <c r="K6175" s="192">
        <v>1837.61</v>
      </c>
      <c r="L6175" s="43">
        <v>6.3818501268929362</v>
      </c>
      <c r="M6175" s="43">
        <v>11.5</v>
      </c>
      <c r="N6175" s="43">
        <v>5.5960920108830079</v>
      </c>
      <c r="O6175" s="43">
        <v>6.1536735650659695</v>
      </c>
      <c r="P6175" s="193"/>
      <c r="Q6175" s="193"/>
      <c r="R6175" s="193">
        <v>15</v>
      </c>
    </row>
    <row r="6176" spans="1:18" ht="24">
      <c r="A6176" s="189">
        <v>1017</v>
      </c>
      <c r="B6176" s="186" t="s">
        <v>11340</v>
      </c>
      <c r="C6176" s="190" t="s">
        <v>11341</v>
      </c>
      <c r="D6176" s="191">
        <v>28.92</v>
      </c>
      <c r="E6176" s="191">
        <v>22.98</v>
      </c>
      <c r="F6176" s="191"/>
      <c r="G6176" s="191">
        <v>5.94</v>
      </c>
      <c r="H6176" s="192">
        <v>310.27999999999997</v>
      </c>
      <c r="I6176" s="192">
        <v>264.27999999999997</v>
      </c>
      <c r="J6176" s="192"/>
      <c r="K6176" s="192">
        <v>46</v>
      </c>
      <c r="L6176" s="43">
        <v>10.728907330567081</v>
      </c>
      <c r="M6176" s="43">
        <v>11.500435161009571</v>
      </c>
      <c r="N6176" s="43" t="s">
        <v>1690</v>
      </c>
      <c r="O6176" s="43">
        <v>7.7441077441077439</v>
      </c>
      <c r="P6176" s="193"/>
      <c r="Q6176" s="193"/>
      <c r="R6176" s="193">
        <v>15</v>
      </c>
    </row>
    <row r="6177" spans="1:18" ht="24">
      <c r="A6177" s="189">
        <v>1018</v>
      </c>
      <c r="B6177" s="186" t="s">
        <v>11342</v>
      </c>
      <c r="C6177" s="190" t="s">
        <v>11343</v>
      </c>
      <c r="D6177" s="191">
        <v>940.38</v>
      </c>
      <c r="E6177" s="191">
        <v>91.92</v>
      </c>
      <c r="F6177" s="191">
        <v>129.38999999999999</v>
      </c>
      <c r="G6177" s="191">
        <v>719.07</v>
      </c>
      <c r="H6177" s="192">
        <v>4370.76</v>
      </c>
      <c r="I6177" s="192">
        <v>1057.1199999999999</v>
      </c>
      <c r="J6177" s="192">
        <v>723.98</v>
      </c>
      <c r="K6177" s="192">
        <v>2589.66</v>
      </c>
      <c r="L6177" s="43">
        <v>4.6478657563963504</v>
      </c>
      <c r="M6177" s="43">
        <v>11.500435161009571</v>
      </c>
      <c r="N6177" s="43">
        <v>5.5953319421902785</v>
      </c>
      <c r="O6177" s="43">
        <v>3.6014018106721175</v>
      </c>
      <c r="P6177" s="193"/>
      <c r="Q6177" s="193"/>
      <c r="R6177" s="193">
        <v>15</v>
      </c>
    </row>
    <row r="6178" spans="1:18" ht="12.75" customHeight="1">
      <c r="A6178" s="628" t="s">
        <v>11344</v>
      </c>
      <c r="B6178" s="629"/>
      <c r="C6178" s="629"/>
      <c r="D6178" s="629"/>
      <c r="E6178" s="629"/>
      <c r="F6178" s="629"/>
      <c r="G6178" s="629"/>
      <c r="H6178" s="629"/>
      <c r="I6178" s="629"/>
      <c r="J6178" s="629"/>
      <c r="K6178" s="629"/>
      <c r="L6178" s="629"/>
      <c r="M6178" s="629"/>
      <c r="N6178" s="629"/>
      <c r="O6178" s="629"/>
      <c r="P6178" s="629"/>
      <c r="Q6178" s="629"/>
      <c r="R6178" s="629"/>
    </row>
    <row r="6179" spans="1:18" ht="12.75" customHeight="1">
      <c r="A6179" s="628" t="s">
        <v>11345</v>
      </c>
      <c r="B6179" s="629"/>
      <c r="C6179" s="629"/>
      <c r="D6179" s="629"/>
      <c r="E6179" s="629"/>
      <c r="F6179" s="629"/>
      <c r="G6179" s="629"/>
      <c r="H6179" s="629"/>
      <c r="I6179" s="629"/>
      <c r="J6179" s="629"/>
      <c r="K6179" s="629"/>
      <c r="L6179" s="629"/>
      <c r="M6179" s="629"/>
      <c r="N6179" s="629"/>
      <c r="O6179" s="629"/>
      <c r="P6179" s="629"/>
      <c r="Q6179" s="629"/>
      <c r="R6179" s="629"/>
    </row>
    <row r="6180" spans="1:18" ht="24">
      <c r="A6180" s="189">
        <v>1019</v>
      </c>
      <c r="B6180" s="186" t="s">
        <v>11346</v>
      </c>
      <c r="C6180" s="190" t="s">
        <v>11347</v>
      </c>
      <c r="D6180" s="191">
        <v>5811.85</v>
      </c>
      <c r="E6180" s="191">
        <v>1385.84</v>
      </c>
      <c r="F6180" s="191">
        <v>2232.3200000000002</v>
      </c>
      <c r="G6180" s="191">
        <v>2193.69</v>
      </c>
      <c r="H6180" s="192">
        <v>36710.550000000003</v>
      </c>
      <c r="I6180" s="192">
        <v>15937.84</v>
      </c>
      <c r="J6180" s="192">
        <v>12060.95</v>
      </c>
      <c r="K6180" s="192">
        <v>8711.76</v>
      </c>
      <c r="L6180" s="43">
        <v>6.3164999096673178</v>
      </c>
      <c r="M6180" s="43">
        <v>11.500490677134446</v>
      </c>
      <c r="N6180" s="43">
        <v>5.4028768276949544</v>
      </c>
      <c r="O6180" s="43">
        <v>3.9712812658123982</v>
      </c>
      <c r="P6180" s="193"/>
      <c r="Q6180" s="193"/>
      <c r="R6180" s="193">
        <v>1</v>
      </c>
    </row>
    <row r="6181" spans="1:18" ht="24">
      <c r="A6181" s="189">
        <v>1020</v>
      </c>
      <c r="B6181" s="186" t="s">
        <v>11348</v>
      </c>
      <c r="C6181" s="190" t="s">
        <v>11349</v>
      </c>
      <c r="D6181" s="191">
        <v>7086.59</v>
      </c>
      <c r="E6181" s="191">
        <v>1874.96</v>
      </c>
      <c r="F6181" s="191">
        <v>3008.16</v>
      </c>
      <c r="G6181" s="191">
        <v>2203.4699999999998</v>
      </c>
      <c r="H6181" s="192">
        <v>46639.92</v>
      </c>
      <c r="I6181" s="192">
        <v>21562.959999999999</v>
      </c>
      <c r="J6181" s="192">
        <v>16252.73</v>
      </c>
      <c r="K6181" s="192">
        <v>8824.23</v>
      </c>
      <c r="L6181" s="43">
        <v>6.5814333833338736</v>
      </c>
      <c r="M6181" s="43">
        <v>11.500490677134446</v>
      </c>
      <c r="N6181" s="43">
        <v>5.4028808308068719</v>
      </c>
      <c r="O6181" s="43">
        <v>4.004697136788792</v>
      </c>
      <c r="P6181" s="193"/>
      <c r="Q6181" s="193"/>
      <c r="R6181" s="193">
        <v>1</v>
      </c>
    </row>
    <row r="6182" spans="1:18" ht="24">
      <c r="A6182" s="189">
        <v>1021</v>
      </c>
      <c r="B6182" s="186" t="s">
        <v>11350</v>
      </c>
      <c r="C6182" s="190" t="s">
        <v>11351</v>
      </c>
      <c r="D6182" s="191">
        <v>7953.98</v>
      </c>
      <c r="E6182" s="191">
        <v>2201.04</v>
      </c>
      <c r="F6182" s="191">
        <v>3542.95</v>
      </c>
      <c r="G6182" s="191">
        <v>2209.9899999999998</v>
      </c>
      <c r="H6182" s="192">
        <v>53354.35</v>
      </c>
      <c r="I6182" s="192">
        <v>25313.040000000001</v>
      </c>
      <c r="J6182" s="192">
        <v>19142.099999999999</v>
      </c>
      <c r="K6182" s="192">
        <v>8899.2099999999991</v>
      </c>
      <c r="L6182" s="43">
        <v>6.7078808345004637</v>
      </c>
      <c r="M6182" s="43">
        <v>11.500490677134446</v>
      </c>
      <c r="N6182" s="43">
        <v>5.4028704892815309</v>
      </c>
      <c r="O6182" s="43">
        <v>4.0268100760636925</v>
      </c>
      <c r="P6182" s="193"/>
      <c r="Q6182" s="193"/>
      <c r="R6182" s="193">
        <v>1</v>
      </c>
    </row>
    <row r="6183" spans="1:18" ht="24">
      <c r="A6183" s="189">
        <v>1022</v>
      </c>
      <c r="B6183" s="186" t="s">
        <v>11352</v>
      </c>
      <c r="C6183" s="190" t="s">
        <v>11353</v>
      </c>
      <c r="D6183" s="191">
        <v>8498.15</v>
      </c>
      <c r="E6183" s="191">
        <v>1571.8</v>
      </c>
      <c r="F6183" s="191">
        <v>4729.32</v>
      </c>
      <c r="G6183" s="191">
        <v>2197.0300000000002</v>
      </c>
      <c r="H6183" s="192">
        <v>52513.91</v>
      </c>
      <c r="I6183" s="192">
        <v>18075.7</v>
      </c>
      <c r="J6183" s="192">
        <v>25684.75</v>
      </c>
      <c r="K6183" s="192">
        <v>8753.4599999999991</v>
      </c>
      <c r="L6183" s="43">
        <v>6.179451998376118</v>
      </c>
      <c r="M6183" s="43">
        <v>11.5</v>
      </c>
      <c r="N6183" s="43">
        <v>5.4309604763475514</v>
      </c>
      <c r="O6183" s="43">
        <v>3.9842241571576165</v>
      </c>
      <c r="P6183" s="193"/>
      <c r="Q6183" s="193"/>
      <c r="R6183" s="193">
        <v>1</v>
      </c>
    </row>
    <row r="6184" spans="1:18" ht="24">
      <c r="A6184" s="189">
        <v>1023</v>
      </c>
      <c r="B6184" s="186" t="s">
        <v>11354</v>
      </c>
      <c r="C6184" s="190" t="s">
        <v>11355</v>
      </c>
      <c r="D6184" s="191">
        <v>9836</v>
      </c>
      <c r="E6184" s="191">
        <v>1864.48</v>
      </c>
      <c r="F6184" s="191">
        <v>5253.96</v>
      </c>
      <c r="G6184" s="191">
        <v>2717.56</v>
      </c>
      <c r="H6184" s="192">
        <v>60460.11</v>
      </c>
      <c r="I6184" s="192">
        <v>21441.52</v>
      </c>
      <c r="J6184" s="192">
        <v>28534.05</v>
      </c>
      <c r="K6184" s="192">
        <v>10484.540000000001</v>
      </c>
      <c r="L6184" s="43">
        <v>6.1468188287921919</v>
      </c>
      <c r="M6184" s="43">
        <v>11.5</v>
      </c>
      <c r="N6184" s="43">
        <v>5.430960646826394</v>
      </c>
      <c r="O6184" s="43">
        <v>3.8580712109392254</v>
      </c>
      <c r="P6184" s="193"/>
      <c r="Q6184" s="193"/>
      <c r="R6184" s="193">
        <v>1</v>
      </c>
    </row>
    <row r="6185" spans="1:18" ht="24">
      <c r="A6185" s="189">
        <v>1024</v>
      </c>
      <c r="B6185" s="186" t="s">
        <v>11356</v>
      </c>
      <c r="C6185" s="190" t="s">
        <v>11357</v>
      </c>
      <c r="D6185" s="191">
        <v>11426.55</v>
      </c>
      <c r="E6185" s="191">
        <v>2146.3200000000002</v>
      </c>
      <c r="F6185" s="191">
        <v>6042.81</v>
      </c>
      <c r="G6185" s="191">
        <v>3237.42</v>
      </c>
      <c r="H6185" s="192">
        <v>69714.27</v>
      </c>
      <c r="I6185" s="192">
        <v>24682.68</v>
      </c>
      <c r="J6185" s="192">
        <v>32818.26</v>
      </c>
      <c r="K6185" s="192">
        <v>12213.33</v>
      </c>
      <c r="L6185" s="43">
        <v>6.1010777531275853</v>
      </c>
      <c r="M6185" s="43">
        <v>11.5</v>
      </c>
      <c r="N6185" s="43">
        <v>5.4309600996887211</v>
      </c>
      <c r="O6185" s="43">
        <v>3.7725503641788829</v>
      </c>
      <c r="P6185" s="193"/>
      <c r="Q6185" s="193"/>
      <c r="R6185" s="193">
        <v>1</v>
      </c>
    </row>
    <row r="6186" spans="1:18" ht="24">
      <c r="A6186" s="189">
        <v>1025</v>
      </c>
      <c r="B6186" s="186" t="s">
        <v>11358</v>
      </c>
      <c r="C6186" s="190" t="s">
        <v>11359</v>
      </c>
      <c r="D6186" s="191">
        <v>13380.67</v>
      </c>
      <c r="E6186" s="191">
        <v>2525.7199999999998</v>
      </c>
      <c r="F6186" s="191">
        <v>7114.74</v>
      </c>
      <c r="G6186" s="191">
        <v>3740.21</v>
      </c>
      <c r="H6186" s="192">
        <v>81586.77</v>
      </c>
      <c r="I6186" s="192">
        <v>29045.78</v>
      </c>
      <c r="J6186" s="192">
        <v>38639.86</v>
      </c>
      <c r="K6186" s="192">
        <v>13901.13</v>
      </c>
      <c r="L6186" s="43">
        <v>6.0973605955456645</v>
      </c>
      <c r="M6186" s="43">
        <v>11.5</v>
      </c>
      <c r="N6186" s="43">
        <v>5.4309588263239421</v>
      </c>
      <c r="O6186" s="43">
        <v>3.716670989062111</v>
      </c>
      <c r="P6186" s="193"/>
      <c r="Q6186" s="193"/>
      <c r="R6186" s="193">
        <v>1</v>
      </c>
    </row>
    <row r="6187" spans="1:18" ht="12.75" customHeight="1">
      <c r="A6187" s="628" t="s">
        <v>11360</v>
      </c>
      <c r="B6187" s="629"/>
      <c r="C6187" s="629"/>
      <c r="D6187" s="629"/>
      <c r="E6187" s="629"/>
      <c r="F6187" s="629"/>
      <c r="G6187" s="629"/>
      <c r="H6187" s="629"/>
      <c r="I6187" s="629"/>
      <c r="J6187" s="629"/>
      <c r="K6187" s="629"/>
      <c r="L6187" s="629"/>
      <c r="M6187" s="629"/>
      <c r="N6187" s="629"/>
      <c r="O6187" s="629"/>
      <c r="P6187" s="629"/>
      <c r="Q6187" s="629"/>
      <c r="R6187" s="629"/>
    </row>
    <row r="6188" spans="1:18" ht="24">
      <c r="A6188" s="189">
        <v>1026</v>
      </c>
      <c r="B6188" s="186" t="s">
        <v>11361</v>
      </c>
      <c r="C6188" s="190" t="s">
        <v>11362</v>
      </c>
      <c r="D6188" s="191">
        <v>8013.12</v>
      </c>
      <c r="E6188" s="191">
        <v>1430.88</v>
      </c>
      <c r="F6188" s="191">
        <v>6520.73</v>
      </c>
      <c r="G6188" s="191">
        <v>61.51</v>
      </c>
      <c r="H6188" s="192">
        <v>52144.59</v>
      </c>
      <c r="I6188" s="192">
        <v>16455.12</v>
      </c>
      <c r="J6188" s="192">
        <v>35230.67</v>
      </c>
      <c r="K6188" s="192">
        <v>458.8</v>
      </c>
      <c r="L6188" s="43">
        <v>6.5074016113573734</v>
      </c>
      <c r="M6188" s="43">
        <v>11.499999999999998</v>
      </c>
      <c r="N6188" s="43">
        <v>5.4028720710717977</v>
      </c>
      <c r="O6188" s="43">
        <v>7.4589497642659737</v>
      </c>
      <c r="P6188" s="193"/>
      <c r="Q6188" s="193"/>
      <c r="R6188" s="193">
        <v>2</v>
      </c>
    </row>
    <row r="6189" spans="1:18" ht="24">
      <c r="A6189" s="189">
        <v>1027</v>
      </c>
      <c r="B6189" s="186" t="s">
        <v>11363</v>
      </c>
      <c r="C6189" s="190" t="s">
        <v>11364</v>
      </c>
      <c r="D6189" s="191">
        <v>8710.6299999999992</v>
      </c>
      <c r="E6189" s="191">
        <v>1864.48</v>
      </c>
      <c r="F6189" s="191">
        <v>6775.97</v>
      </c>
      <c r="G6189" s="191">
        <v>70.180000000000007</v>
      </c>
      <c r="H6189" s="192">
        <v>58609.72</v>
      </c>
      <c r="I6189" s="192">
        <v>21441.52</v>
      </c>
      <c r="J6189" s="192">
        <v>36609.69</v>
      </c>
      <c r="K6189" s="192">
        <v>558.51</v>
      </c>
      <c r="L6189" s="43">
        <v>6.7285282465217797</v>
      </c>
      <c r="M6189" s="43">
        <v>11.5</v>
      </c>
      <c r="N6189" s="43">
        <v>5.4028707328987586</v>
      </c>
      <c r="O6189" s="43">
        <v>7.9582502137361066</v>
      </c>
      <c r="P6189" s="193"/>
      <c r="Q6189" s="193"/>
      <c r="R6189" s="193">
        <v>2</v>
      </c>
    </row>
    <row r="6190" spans="1:18" ht="24">
      <c r="A6190" s="189">
        <v>1028</v>
      </c>
      <c r="B6190" s="186" t="s">
        <v>11365</v>
      </c>
      <c r="C6190" s="190" t="s">
        <v>11366</v>
      </c>
      <c r="D6190" s="191">
        <v>9656.6299999999992</v>
      </c>
      <c r="E6190" s="191">
        <v>2384.8000000000002</v>
      </c>
      <c r="F6190" s="191">
        <v>7191.24</v>
      </c>
      <c r="G6190" s="191">
        <v>80.59</v>
      </c>
      <c r="H6190" s="192">
        <v>66956.759999999995</v>
      </c>
      <c r="I6190" s="192">
        <v>27425.200000000001</v>
      </c>
      <c r="J6190" s="192">
        <v>38853.339999999997</v>
      </c>
      <c r="K6190" s="192">
        <v>678.22</v>
      </c>
      <c r="L6190" s="43">
        <v>6.9337605355077292</v>
      </c>
      <c r="M6190" s="43">
        <v>11.5</v>
      </c>
      <c r="N6190" s="43">
        <v>5.4028707149253812</v>
      </c>
      <c r="O6190" s="43">
        <v>8.4156843280804061</v>
      </c>
      <c r="P6190" s="193"/>
      <c r="Q6190" s="193"/>
      <c r="R6190" s="193">
        <v>2</v>
      </c>
    </row>
    <row r="6191" spans="1:18" ht="24">
      <c r="A6191" s="189">
        <v>1029</v>
      </c>
      <c r="B6191" s="186" t="s">
        <v>11367</v>
      </c>
      <c r="C6191" s="190" t="s">
        <v>11368</v>
      </c>
      <c r="D6191" s="191">
        <v>10976.88</v>
      </c>
      <c r="E6191" s="191">
        <v>2690.16</v>
      </c>
      <c r="F6191" s="191">
        <v>8200.0300000000007</v>
      </c>
      <c r="G6191" s="191">
        <v>86.69</v>
      </c>
      <c r="H6191" s="192">
        <v>75990.27</v>
      </c>
      <c r="I6191" s="192">
        <v>30938.16</v>
      </c>
      <c r="J6191" s="192">
        <v>44303.74</v>
      </c>
      <c r="K6191" s="192">
        <v>748.37</v>
      </c>
      <c r="L6191" s="43">
        <v>6.9227567396200023</v>
      </c>
      <c r="M6191" s="43">
        <v>11.500490677134446</v>
      </c>
      <c r="N6191" s="43">
        <v>5.4028753553340652</v>
      </c>
      <c r="O6191" s="43">
        <v>8.6327142692352066</v>
      </c>
      <c r="P6191" s="193"/>
      <c r="Q6191" s="193"/>
      <c r="R6191" s="193">
        <v>2</v>
      </c>
    </row>
    <row r="6192" spans="1:18" ht="24">
      <c r="A6192" s="189">
        <v>1030</v>
      </c>
      <c r="B6192" s="186" t="s">
        <v>11369</v>
      </c>
      <c r="C6192" s="190" t="s">
        <v>11370</v>
      </c>
      <c r="D6192" s="191">
        <v>12944.14</v>
      </c>
      <c r="E6192" s="191">
        <v>4076</v>
      </c>
      <c r="F6192" s="191">
        <v>8753.0499999999993</v>
      </c>
      <c r="G6192" s="191">
        <v>115.09</v>
      </c>
      <c r="H6192" s="192">
        <v>95236.86</v>
      </c>
      <c r="I6192" s="192">
        <v>46876</v>
      </c>
      <c r="J6192" s="192">
        <v>47291.62</v>
      </c>
      <c r="K6192" s="192">
        <v>1069.24</v>
      </c>
      <c r="L6192" s="43">
        <v>7.3575270353998032</v>
      </c>
      <c r="M6192" s="43">
        <v>11.500490677134446</v>
      </c>
      <c r="N6192" s="43">
        <v>5.4028732841695186</v>
      </c>
      <c r="O6192" s="43">
        <v>9.2904683291337218</v>
      </c>
      <c r="P6192" s="193"/>
      <c r="Q6192" s="193"/>
      <c r="R6192" s="193">
        <v>2</v>
      </c>
    </row>
    <row r="6193" spans="1:18" ht="24">
      <c r="A6193" s="189">
        <v>1031</v>
      </c>
      <c r="B6193" s="186" t="s">
        <v>11371</v>
      </c>
      <c r="C6193" s="190" t="s">
        <v>11372</v>
      </c>
      <c r="D6193" s="191">
        <v>15762.75</v>
      </c>
      <c r="E6193" s="191">
        <v>5329.37</v>
      </c>
      <c r="F6193" s="191">
        <v>10292.58</v>
      </c>
      <c r="G6193" s="191">
        <v>140.80000000000001</v>
      </c>
      <c r="H6193" s="192">
        <v>118259.42</v>
      </c>
      <c r="I6193" s="192">
        <v>61290.37</v>
      </c>
      <c r="J6193" s="192">
        <v>55609.51</v>
      </c>
      <c r="K6193" s="192">
        <v>1359.54</v>
      </c>
      <c r="L6193" s="43">
        <v>7.5024611822175702</v>
      </c>
      <c r="M6193" s="43">
        <v>11.500490677134446</v>
      </c>
      <c r="N6193" s="43">
        <v>5.4028737206803354</v>
      </c>
      <c r="O6193" s="43">
        <v>9.6558238636363622</v>
      </c>
      <c r="P6193" s="193"/>
      <c r="Q6193" s="193"/>
      <c r="R6193" s="193">
        <v>2</v>
      </c>
    </row>
    <row r="6194" spans="1:18" ht="24">
      <c r="A6194" s="189">
        <v>1032</v>
      </c>
      <c r="B6194" s="186" t="s">
        <v>11373</v>
      </c>
      <c r="C6194" s="190" t="s">
        <v>11374</v>
      </c>
      <c r="D6194" s="191">
        <v>17186.02</v>
      </c>
      <c r="E6194" s="191">
        <v>6521.6</v>
      </c>
      <c r="F6194" s="191">
        <v>10499.2</v>
      </c>
      <c r="G6194" s="191">
        <v>165.22</v>
      </c>
      <c r="H6194" s="192">
        <v>133362.97</v>
      </c>
      <c r="I6194" s="192">
        <v>75001.600000000006</v>
      </c>
      <c r="J6194" s="192">
        <v>56725.86</v>
      </c>
      <c r="K6194" s="192">
        <v>1635.51</v>
      </c>
      <c r="L6194" s="43">
        <v>7.7599682765410494</v>
      </c>
      <c r="M6194" s="43">
        <v>11.500490677134446</v>
      </c>
      <c r="N6194" s="43">
        <v>5.4028745047241689</v>
      </c>
      <c r="O6194" s="43">
        <v>9.898983173949885</v>
      </c>
      <c r="P6194" s="193"/>
      <c r="Q6194" s="193"/>
      <c r="R6194" s="193">
        <v>2</v>
      </c>
    </row>
    <row r="6195" spans="1:18" ht="24">
      <c r="A6195" s="189">
        <v>1033</v>
      </c>
      <c r="B6195" s="186" t="s">
        <v>11375</v>
      </c>
      <c r="C6195" s="190" t="s">
        <v>11376</v>
      </c>
      <c r="D6195" s="191">
        <v>23.72</v>
      </c>
      <c r="E6195" s="191">
        <v>2.2400000000000002</v>
      </c>
      <c r="F6195" s="191">
        <v>4.04</v>
      </c>
      <c r="G6195" s="191">
        <v>17.440000000000001</v>
      </c>
      <c r="H6195" s="192">
        <v>153.47</v>
      </c>
      <c r="I6195" s="192">
        <v>25.82</v>
      </c>
      <c r="J6195" s="192">
        <v>22.62</v>
      </c>
      <c r="K6195" s="192">
        <v>105.03</v>
      </c>
      <c r="L6195" s="43">
        <v>6.4700674536256324</v>
      </c>
      <c r="M6195" s="43">
        <v>11.5</v>
      </c>
      <c r="N6195" s="43">
        <v>5.5990099009900991</v>
      </c>
      <c r="O6195" s="43">
        <v>6.0223623853211006</v>
      </c>
      <c r="P6195" s="193"/>
      <c r="Q6195" s="193"/>
      <c r="R6195" s="193">
        <v>2</v>
      </c>
    </row>
    <row r="6196" spans="1:18" ht="24">
      <c r="A6196" s="189">
        <v>1034</v>
      </c>
      <c r="B6196" s="186" t="s">
        <v>11377</v>
      </c>
      <c r="C6196" s="190" t="s">
        <v>11378</v>
      </c>
      <c r="D6196" s="191">
        <v>34.659999999999997</v>
      </c>
      <c r="E6196" s="191">
        <v>3.42</v>
      </c>
      <c r="F6196" s="191">
        <v>6.74</v>
      </c>
      <c r="G6196" s="191">
        <v>24.5</v>
      </c>
      <c r="H6196" s="192">
        <v>226.16</v>
      </c>
      <c r="I6196" s="192">
        <v>39.28</v>
      </c>
      <c r="J6196" s="192">
        <v>37.71</v>
      </c>
      <c r="K6196" s="192">
        <v>149.16999999999999</v>
      </c>
      <c r="L6196" s="43">
        <v>6.5251009809578768</v>
      </c>
      <c r="M6196" s="43">
        <v>11.5</v>
      </c>
      <c r="N6196" s="43">
        <v>5.594955489614243</v>
      </c>
      <c r="O6196" s="43">
        <v>6.0885714285714281</v>
      </c>
      <c r="P6196" s="193"/>
      <c r="Q6196" s="193"/>
      <c r="R6196" s="193">
        <v>2</v>
      </c>
    </row>
    <row r="6197" spans="1:18" ht="24">
      <c r="A6197" s="189">
        <v>1035</v>
      </c>
      <c r="B6197" s="186" t="s">
        <v>11379</v>
      </c>
      <c r="C6197" s="190" t="s">
        <v>11380</v>
      </c>
      <c r="D6197" s="191">
        <v>48.64</v>
      </c>
      <c r="E6197" s="191">
        <v>3.42</v>
      </c>
      <c r="F6197" s="191">
        <v>6.74</v>
      </c>
      <c r="G6197" s="191">
        <v>38.479999999999997</v>
      </c>
      <c r="H6197" s="192">
        <v>313.27999999999997</v>
      </c>
      <c r="I6197" s="192">
        <v>39.28</v>
      </c>
      <c r="J6197" s="192">
        <v>37.71</v>
      </c>
      <c r="K6197" s="192">
        <v>236.29</v>
      </c>
      <c r="L6197" s="43">
        <v>6.4407894736842097</v>
      </c>
      <c r="M6197" s="43">
        <v>11.5</v>
      </c>
      <c r="N6197" s="43">
        <v>5.594955489614243</v>
      </c>
      <c r="O6197" s="43">
        <v>6.1405925155925161</v>
      </c>
      <c r="P6197" s="193"/>
      <c r="Q6197" s="193"/>
      <c r="R6197" s="193">
        <v>2</v>
      </c>
    </row>
    <row r="6198" spans="1:18" ht="24">
      <c r="A6198" s="189">
        <v>1036</v>
      </c>
      <c r="B6198" s="186" t="s">
        <v>11381</v>
      </c>
      <c r="C6198" s="190" t="s">
        <v>11382</v>
      </c>
      <c r="D6198" s="191">
        <v>64.930000000000007</v>
      </c>
      <c r="E6198" s="191">
        <v>9.76</v>
      </c>
      <c r="F6198" s="191">
        <v>9.43</v>
      </c>
      <c r="G6198" s="191">
        <v>45.74</v>
      </c>
      <c r="H6198" s="192">
        <v>526.41999999999996</v>
      </c>
      <c r="I6198" s="192">
        <v>112.24</v>
      </c>
      <c r="J6198" s="192">
        <v>52.79</v>
      </c>
      <c r="K6198" s="192">
        <v>361.39</v>
      </c>
      <c r="L6198" s="43">
        <v>8.1075003850300309</v>
      </c>
      <c r="M6198" s="43">
        <v>11.5</v>
      </c>
      <c r="N6198" s="43">
        <v>5.5980911983032877</v>
      </c>
      <c r="O6198" s="43">
        <v>7.9009619588981188</v>
      </c>
      <c r="P6198" s="193"/>
      <c r="Q6198" s="193"/>
      <c r="R6198" s="193">
        <v>2</v>
      </c>
    </row>
    <row r="6199" spans="1:18" ht="24">
      <c r="A6199" s="189">
        <v>1037</v>
      </c>
      <c r="B6199" s="186" t="s">
        <v>11383</v>
      </c>
      <c r="C6199" s="190" t="s">
        <v>11384</v>
      </c>
      <c r="D6199" s="191">
        <v>88.33</v>
      </c>
      <c r="E6199" s="191">
        <v>9.76</v>
      </c>
      <c r="F6199" s="191">
        <v>9.43</v>
      </c>
      <c r="G6199" s="191">
        <v>69.14</v>
      </c>
      <c r="H6199" s="192">
        <v>712.79</v>
      </c>
      <c r="I6199" s="192">
        <v>112.24</v>
      </c>
      <c r="J6199" s="192">
        <v>52.79</v>
      </c>
      <c r="K6199" s="192">
        <v>547.76</v>
      </c>
      <c r="L6199" s="43">
        <v>8.0696252688780703</v>
      </c>
      <c r="M6199" s="43">
        <v>11.5</v>
      </c>
      <c r="N6199" s="43">
        <v>5.5980911983032877</v>
      </c>
      <c r="O6199" s="43">
        <v>7.9224761353774946</v>
      </c>
      <c r="P6199" s="193"/>
      <c r="Q6199" s="193"/>
      <c r="R6199" s="193">
        <v>2</v>
      </c>
    </row>
    <row r="6200" spans="1:18" ht="12.75" customHeight="1">
      <c r="A6200" s="628" t="s">
        <v>11385</v>
      </c>
      <c r="B6200" s="629"/>
      <c r="C6200" s="629"/>
      <c r="D6200" s="629"/>
      <c r="E6200" s="629"/>
      <c r="F6200" s="629"/>
      <c r="G6200" s="629"/>
      <c r="H6200" s="629"/>
      <c r="I6200" s="629"/>
      <c r="J6200" s="629"/>
      <c r="K6200" s="629"/>
      <c r="L6200" s="629"/>
      <c r="M6200" s="629"/>
      <c r="N6200" s="629"/>
      <c r="O6200" s="629"/>
      <c r="P6200" s="629"/>
      <c r="Q6200" s="629"/>
      <c r="R6200" s="629"/>
    </row>
    <row r="6201" spans="1:18" ht="24">
      <c r="A6201" s="189">
        <v>1038</v>
      </c>
      <c r="B6201" s="186" t="s">
        <v>11386</v>
      </c>
      <c r="C6201" s="190" t="s">
        <v>11387</v>
      </c>
      <c r="D6201" s="191">
        <v>276.5</v>
      </c>
      <c r="E6201" s="191">
        <v>65.040000000000006</v>
      </c>
      <c r="F6201" s="191">
        <v>88.95</v>
      </c>
      <c r="G6201" s="191">
        <v>122.51</v>
      </c>
      <c r="H6201" s="192">
        <v>1889.81</v>
      </c>
      <c r="I6201" s="192">
        <v>747.96</v>
      </c>
      <c r="J6201" s="192">
        <v>497.74</v>
      </c>
      <c r="K6201" s="192">
        <v>644.11</v>
      </c>
      <c r="L6201" s="43">
        <v>6.8347558770343575</v>
      </c>
      <c r="M6201" s="43">
        <v>11.5</v>
      </c>
      <c r="N6201" s="43">
        <v>5.5957279370432831</v>
      </c>
      <c r="O6201" s="43">
        <v>5.2576116235409351</v>
      </c>
      <c r="P6201" s="193"/>
      <c r="Q6201" s="193"/>
      <c r="R6201" s="193">
        <v>3</v>
      </c>
    </row>
    <row r="6202" spans="1:18" ht="24">
      <c r="A6202" s="189">
        <v>1039</v>
      </c>
      <c r="B6202" s="186" t="s">
        <v>11388</v>
      </c>
      <c r="C6202" s="190" t="s">
        <v>11389</v>
      </c>
      <c r="D6202" s="191">
        <v>304.98</v>
      </c>
      <c r="E6202" s="191">
        <v>65.040000000000006</v>
      </c>
      <c r="F6202" s="191">
        <v>98.39</v>
      </c>
      <c r="G6202" s="191">
        <v>141.55000000000001</v>
      </c>
      <c r="H6202" s="192">
        <v>2033.77</v>
      </c>
      <c r="I6202" s="192">
        <v>747.96</v>
      </c>
      <c r="J6202" s="192">
        <v>550.53</v>
      </c>
      <c r="K6202" s="192">
        <v>735.28</v>
      </c>
      <c r="L6202" s="43">
        <v>6.6685356416814212</v>
      </c>
      <c r="M6202" s="43">
        <v>11.5</v>
      </c>
      <c r="N6202" s="43">
        <v>5.5953857099298707</v>
      </c>
      <c r="O6202" s="43">
        <v>5.1944895796538324</v>
      </c>
      <c r="P6202" s="193"/>
      <c r="Q6202" s="193"/>
      <c r="R6202" s="193">
        <v>3</v>
      </c>
    </row>
    <row r="6203" spans="1:18" ht="24">
      <c r="A6203" s="189">
        <v>1040</v>
      </c>
      <c r="B6203" s="186" t="s">
        <v>11390</v>
      </c>
      <c r="C6203" s="190" t="s">
        <v>11391</v>
      </c>
      <c r="D6203" s="191">
        <v>347.39</v>
      </c>
      <c r="E6203" s="191">
        <v>75.88</v>
      </c>
      <c r="F6203" s="191">
        <v>118.61</v>
      </c>
      <c r="G6203" s="191">
        <v>152.9</v>
      </c>
      <c r="H6203" s="192">
        <v>2338.44</v>
      </c>
      <c r="I6203" s="192">
        <v>872.62</v>
      </c>
      <c r="J6203" s="192">
        <v>663.65</v>
      </c>
      <c r="K6203" s="192">
        <v>802.17</v>
      </c>
      <c r="L6203" s="43">
        <v>6.7314545611560499</v>
      </c>
      <c r="M6203" s="43">
        <v>11.5</v>
      </c>
      <c r="N6203" s="43">
        <v>5.5952280583424665</v>
      </c>
      <c r="O6203" s="43">
        <v>5.2463701765860034</v>
      </c>
      <c r="P6203" s="193"/>
      <c r="Q6203" s="193"/>
      <c r="R6203" s="193">
        <v>3</v>
      </c>
    </row>
    <row r="6204" spans="1:18" ht="24">
      <c r="A6204" s="189">
        <v>1041</v>
      </c>
      <c r="B6204" s="186" t="s">
        <v>11392</v>
      </c>
      <c r="C6204" s="190" t="s">
        <v>11393</v>
      </c>
      <c r="D6204" s="191">
        <v>439.24</v>
      </c>
      <c r="E6204" s="191">
        <v>97.56</v>
      </c>
      <c r="F6204" s="191">
        <v>149.61000000000001</v>
      </c>
      <c r="G6204" s="191">
        <v>192.07</v>
      </c>
      <c r="H6204" s="192">
        <v>2961.17</v>
      </c>
      <c r="I6204" s="192">
        <v>1121.94</v>
      </c>
      <c r="J6204" s="192">
        <v>837.11</v>
      </c>
      <c r="K6204" s="192">
        <v>1002.12</v>
      </c>
      <c r="L6204" s="43">
        <v>6.7415763591658315</v>
      </c>
      <c r="M6204" s="43">
        <v>11.5</v>
      </c>
      <c r="N6204" s="43">
        <v>5.5952810640999928</v>
      </c>
      <c r="O6204" s="43">
        <v>5.2174727963763212</v>
      </c>
      <c r="P6204" s="193"/>
      <c r="Q6204" s="193"/>
      <c r="R6204" s="193">
        <v>3</v>
      </c>
    </row>
    <row r="6205" spans="1:18" ht="24">
      <c r="A6205" s="189">
        <v>1042</v>
      </c>
      <c r="B6205" s="186" t="s">
        <v>11394</v>
      </c>
      <c r="C6205" s="190" t="s">
        <v>11395</v>
      </c>
      <c r="D6205" s="191">
        <v>638.92999999999995</v>
      </c>
      <c r="E6205" s="191">
        <v>140.91999999999999</v>
      </c>
      <c r="F6205" s="191">
        <v>206.21</v>
      </c>
      <c r="G6205" s="191">
        <v>291.8</v>
      </c>
      <c r="H6205" s="192">
        <v>4316.6000000000004</v>
      </c>
      <c r="I6205" s="192">
        <v>1620.58</v>
      </c>
      <c r="J6205" s="192">
        <v>1153.8499999999999</v>
      </c>
      <c r="K6205" s="192">
        <v>1542.17</v>
      </c>
      <c r="L6205" s="43">
        <v>6.7559826585071932</v>
      </c>
      <c r="M6205" s="43">
        <v>11.5</v>
      </c>
      <c r="N6205" s="43">
        <v>5.5955094321322916</v>
      </c>
      <c r="O6205" s="43">
        <v>5.2850239890335846</v>
      </c>
      <c r="P6205" s="193"/>
      <c r="Q6205" s="193"/>
      <c r="R6205" s="193">
        <v>3</v>
      </c>
    </row>
    <row r="6206" spans="1:18" ht="24">
      <c r="A6206" s="189">
        <v>1043</v>
      </c>
      <c r="B6206" s="186" t="s">
        <v>11396</v>
      </c>
      <c r="C6206" s="190" t="s">
        <v>11397</v>
      </c>
      <c r="D6206" s="191">
        <v>854.17</v>
      </c>
      <c r="E6206" s="191">
        <v>183.84</v>
      </c>
      <c r="F6206" s="191">
        <v>269.56</v>
      </c>
      <c r="G6206" s="191">
        <v>400.77</v>
      </c>
      <c r="H6206" s="192">
        <v>5723.29</v>
      </c>
      <c r="I6206" s="192">
        <v>2114.2399999999998</v>
      </c>
      <c r="J6206" s="192">
        <v>1508.3</v>
      </c>
      <c r="K6206" s="192">
        <v>2100.75</v>
      </c>
      <c r="L6206" s="43">
        <v>6.7004109252256576</v>
      </c>
      <c r="M6206" s="43">
        <v>11.500435161009571</v>
      </c>
      <c r="N6206" s="43">
        <v>5.5954147499629023</v>
      </c>
      <c r="O6206" s="43">
        <v>5.241784564712928</v>
      </c>
      <c r="P6206" s="193"/>
      <c r="Q6206" s="193"/>
      <c r="R6206" s="193">
        <v>3</v>
      </c>
    </row>
    <row r="6207" spans="1:18" ht="24">
      <c r="A6207" s="189">
        <v>1044</v>
      </c>
      <c r="B6207" s="186" t="s">
        <v>11398</v>
      </c>
      <c r="C6207" s="190" t="s">
        <v>11399</v>
      </c>
      <c r="D6207" s="191">
        <v>1069.52</v>
      </c>
      <c r="E6207" s="191">
        <v>229.8</v>
      </c>
      <c r="F6207" s="191">
        <v>312.69</v>
      </c>
      <c r="G6207" s="191">
        <v>527.03</v>
      </c>
      <c r="H6207" s="192">
        <v>7106.76</v>
      </c>
      <c r="I6207" s="192">
        <v>2642.8</v>
      </c>
      <c r="J6207" s="192">
        <v>1749.63</v>
      </c>
      <c r="K6207" s="192">
        <v>2714.33</v>
      </c>
      <c r="L6207" s="43">
        <v>6.6448126262248488</v>
      </c>
      <c r="M6207" s="43">
        <v>11.500435161009573</v>
      </c>
      <c r="N6207" s="43">
        <v>5.5954139882951166</v>
      </c>
      <c r="O6207" s="43">
        <v>5.1502381268618489</v>
      </c>
      <c r="P6207" s="193"/>
      <c r="Q6207" s="193"/>
      <c r="R6207" s="193">
        <v>3</v>
      </c>
    </row>
    <row r="6208" spans="1:18" ht="24">
      <c r="A6208" s="189">
        <v>1045</v>
      </c>
      <c r="B6208" s="186" t="s">
        <v>11400</v>
      </c>
      <c r="C6208" s="190" t="s">
        <v>11401</v>
      </c>
      <c r="D6208" s="191">
        <v>1371.72</v>
      </c>
      <c r="E6208" s="191">
        <v>298.74</v>
      </c>
      <c r="F6208" s="191">
        <v>416.47</v>
      </c>
      <c r="G6208" s="191">
        <v>656.51</v>
      </c>
      <c r="H6208" s="192">
        <v>9158.6</v>
      </c>
      <c r="I6208" s="192">
        <v>3435.64</v>
      </c>
      <c r="J6208" s="192">
        <v>2330.3200000000002</v>
      </c>
      <c r="K6208" s="192">
        <v>3392.64</v>
      </c>
      <c r="L6208" s="43">
        <v>6.6767270288397054</v>
      </c>
      <c r="M6208" s="43">
        <v>11.500435161009573</v>
      </c>
      <c r="N6208" s="43">
        <v>5.5954090330636062</v>
      </c>
      <c r="O6208" s="43">
        <v>5.1676897533929411</v>
      </c>
      <c r="P6208" s="193"/>
      <c r="Q6208" s="193"/>
      <c r="R6208" s="193">
        <v>3</v>
      </c>
    </row>
    <row r="6209" spans="1:18" ht="24">
      <c r="A6209" s="189">
        <v>1046</v>
      </c>
      <c r="B6209" s="186" t="s">
        <v>11402</v>
      </c>
      <c r="C6209" s="190" t="s">
        <v>11403</v>
      </c>
      <c r="D6209" s="191">
        <v>1757.57</v>
      </c>
      <c r="E6209" s="191">
        <v>399.59</v>
      </c>
      <c r="F6209" s="191">
        <v>500.03</v>
      </c>
      <c r="G6209" s="191">
        <v>857.95</v>
      </c>
      <c r="H6209" s="192">
        <v>11801.26</v>
      </c>
      <c r="I6209" s="192">
        <v>4595.4399999999996</v>
      </c>
      <c r="J6209" s="192">
        <v>2797.9</v>
      </c>
      <c r="K6209" s="192">
        <v>4407.92</v>
      </c>
      <c r="L6209" s="43">
        <v>6.7145319958806766</v>
      </c>
      <c r="M6209" s="43">
        <v>11.500387897595035</v>
      </c>
      <c r="N6209" s="43">
        <v>5.5954642721436718</v>
      </c>
      <c r="O6209" s="43">
        <v>5.1377352992598633</v>
      </c>
      <c r="P6209" s="193"/>
      <c r="Q6209" s="193"/>
      <c r="R6209" s="193">
        <v>3</v>
      </c>
    </row>
    <row r="6210" spans="1:18" ht="24">
      <c r="A6210" s="189">
        <v>1047</v>
      </c>
      <c r="B6210" s="186" t="s">
        <v>11404</v>
      </c>
      <c r="C6210" s="190" t="s">
        <v>11405</v>
      </c>
      <c r="D6210" s="191">
        <v>2122.36</v>
      </c>
      <c r="E6210" s="191">
        <v>464.04</v>
      </c>
      <c r="F6210" s="191">
        <v>578.21</v>
      </c>
      <c r="G6210" s="191">
        <v>1080.1099999999999</v>
      </c>
      <c r="H6210" s="192">
        <v>14045.69</v>
      </c>
      <c r="I6210" s="192">
        <v>5336.64</v>
      </c>
      <c r="J6210" s="192">
        <v>3235.3</v>
      </c>
      <c r="K6210" s="192">
        <v>5473.75</v>
      </c>
      <c r="L6210" s="43">
        <v>6.6179583105599429</v>
      </c>
      <c r="M6210" s="43">
        <v>11.500387897595035</v>
      </c>
      <c r="N6210" s="43">
        <v>5.5953719236955433</v>
      </c>
      <c r="O6210" s="43">
        <v>5.0677708751886383</v>
      </c>
      <c r="P6210" s="193"/>
      <c r="Q6210" s="193"/>
      <c r="R6210" s="193">
        <v>3</v>
      </c>
    </row>
    <row r="6211" spans="1:18" ht="24">
      <c r="A6211" s="189">
        <v>1048</v>
      </c>
      <c r="B6211" s="186" t="s">
        <v>11406</v>
      </c>
      <c r="C6211" s="190" t="s">
        <v>11407</v>
      </c>
      <c r="D6211" s="191">
        <v>2716.39</v>
      </c>
      <c r="E6211" s="191">
        <v>528.49</v>
      </c>
      <c r="F6211" s="191">
        <v>672.55</v>
      </c>
      <c r="G6211" s="191">
        <v>1515.35</v>
      </c>
      <c r="H6211" s="192">
        <v>17384.66</v>
      </c>
      <c r="I6211" s="192">
        <v>6077.84</v>
      </c>
      <c r="J6211" s="192">
        <v>3763.21</v>
      </c>
      <c r="K6211" s="192">
        <v>7543.61</v>
      </c>
      <c r="L6211" s="43">
        <v>6.3999131199864525</v>
      </c>
      <c r="M6211" s="43">
        <v>11.500387897595035</v>
      </c>
      <c r="N6211" s="43">
        <v>5.5954352836220362</v>
      </c>
      <c r="O6211" s="43">
        <v>4.9781304649090972</v>
      </c>
      <c r="P6211" s="193"/>
      <c r="Q6211" s="193"/>
      <c r="R6211" s="193">
        <v>3</v>
      </c>
    </row>
    <row r="6212" spans="1:18" ht="12.75" customHeight="1">
      <c r="A6212" s="628" t="s">
        <v>11408</v>
      </c>
      <c r="B6212" s="629"/>
      <c r="C6212" s="629"/>
      <c r="D6212" s="629"/>
      <c r="E6212" s="629"/>
      <c r="F6212" s="629"/>
      <c r="G6212" s="629"/>
      <c r="H6212" s="629"/>
      <c r="I6212" s="629"/>
      <c r="J6212" s="629"/>
      <c r="K6212" s="629"/>
      <c r="L6212" s="629"/>
      <c r="M6212" s="629"/>
      <c r="N6212" s="629"/>
      <c r="O6212" s="629"/>
      <c r="P6212" s="629"/>
      <c r="Q6212" s="629"/>
      <c r="R6212" s="629"/>
    </row>
    <row r="6213" spans="1:18" ht="24">
      <c r="A6213" s="189">
        <v>1049</v>
      </c>
      <c r="B6213" s="186" t="s">
        <v>11409</v>
      </c>
      <c r="C6213" s="190" t="s">
        <v>11410</v>
      </c>
      <c r="D6213" s="191">
        <v>140.47</v>
      </c>
      <c r="E6213" s="191">
        <v>30.57</v>
      </c>
      <c r="F6213" s="191">
        <v>62</v>
      </c>
      <c r="G6213" s="191">
        <v>47.9</v>
      </c>
      <c r="H6213" s="192">
        <v>949.39</v>
      </c>
      <c r="I6213" s="192">
        <v>351.57</v>
      </c>
      <c r="J6213" s="192">
        <v>346.91</v>
      </c>
      <c r="K6213" s="192">
        <v>250.91</v>
      </c>
      <c r="L6213" s="43">
        <v>6.7586673311027265</v>
      </c>
      <c r="M6213" s="43">
        <v>11.500490677134446</v>
      </c>
      <c r="N6213" s="43">
        <v>5.5953225806451616</v>
      </c>
      <c r="O6213" s="43">
        <v>5.2382045929018792</v>
      </c>
      <c r="P6213" s="193"/>
      <c r="Q6213" s="193"/>
      <c r="R6213" s="193">
        <v>4</v>
      </c>
    </row>
    <row r="6214" spans="1:18" ht="24">
      <c r="A6214" s="189">
        <v>1050</v>
      </c>
      <c r="B6214" s="186" t="s">
        <v>11411</v>
      </c>
      <c r="C6214" s="190" t="s">
        <v>11412</v>
      </c>
      <c r="D6214" s="191">
        <v>197.43</v>
      </c>
      <c r="E6214" s="191">
        <v>61.14</v>
      </c>
      <c r="F6214" s="191">
        <v>68.739999999999995</v>
      </c>
      <c r="G6214" s="191">
        <v>67.55</v>
      </c>
      <c r="H6214" s="192">
        <v>1436.85</v>
      </c>
      <c r="I6214" s="192">
        <v>703.14</v>
      </c>
      <c r="J6214" s="192">
        <v>384.62</v>
      </c>
      <c r="K6214" s="192">
        <v>349.09</v>
      </c>
      <c r="L6214" s="43">
        <v>7.2777693359671778</v>
      </c>
      <c r="M6214" s="43">
        <v>11.500490677134446</v>
      </c>
      <c r="N6214" s="43">
        <v>5.595286587139948</v>
      </c>
      <c r="O6214" s="43">
        <v>5.167875647668394</v>
      </c>
      <c r="P6214" s="193"/>
      <c r="Q6214" s="193"/>
      <c r="R6214" s="193">
        <v>4</v>
      </c>
    </row>
    <row r="6215" spans="1:18" ht="24">
      <c r="A6215" s="189">
        <v>1051</v>
      </c>
      <c r="B6215" s="186" t="s">
        <v>11413</v>
      </c>
      <c r="C6215" s="190" t="s">
        <v>11414</v>
      </c>
      <c r="D6215" s="191">
        <v>248.2</v>
      </c>
      <c r="E6215" s="191">
        <v>81.52</v>
      </c>
      <c r="F6215" s="191">
        <v>87.61</v>
      </c>
      <c r="G6215" s="191">
        <v>79.069999999999993</v>
      </c>
      <c r="H6215" s="192">
        <v>1845.82</v>
      </c>
      <c r="I6215" s="192">
        <v>937.52</v>
      </c>
      <c r="J6215" s="192">
        <v>490.2</v>
      </c>
      <c r="K6215" s="192">
        <v>418.1</v>
      </c>
      <c r="L6215" s="43">
        <v>7.4368251410153103</v>
      </c>
      <c r="M6215" s="43">
        <v>11.500490677134446</v>
      </c>
      <c r="N6215" s="43">
        <v>5.5952516835977626</v>
      </c>
      <c r="O6215" s="43">
        <v>5.2877197420007596</v>
      </c>
      <c r="P6215" s="193"/>
      <c r="Q6215" s="193"/>
      <c r="R6215" s="193">
        <v>4</v>
      </c>
    </row>
    <row r="6216" spans="1:18" ht="24">
      <c r="A6216" s="189">
        <v>1052</v>
      </c>
      <c r="B6216" s="186" t="s">
        <v>11415</v>
      </c>
      <c r="C6216" s="190" t="s">
        <v>11416</v>
      </c>
      <c r="D6216" s="191">
        <v>336.07</v>
      </c>
      <c r="E6216" s="191">
        <v>101.9</v>
      </c>
      <c r="F6216" s="191">
        <v>115.91</v>
      </c>
      <c r="G6216" s="191">
        <v>118.26</v>
      </c>
      <c r="H6216" s="192">
        <v>2438.42</v>
      </c>
      <c r="I6216" s="192">
        <v>1171.9000000000001</v>
      </c>
      <c r="J6216" s="192">
        <v>648.57000000000005</v>
      </c>
      <c r="K6216" s="192">
        <v>617.95000000000005</v>
      </c>
      <c r="L6216" s="43">
        <v>7.2556907787068177</v>
      </c>
      <c r="M6216" s="43">
        <v>11.500490677134446</v>
      </c>
      <c r="N6216" s="43">
        <v>5.5954619963764998</v>
      </c>
      <c r="O6216" s="43">
        <v>5.2253509216979541</v>
      </c>
      <c r="P6216" s="193"/>
      <c r="Q6216" s="193"/>
      <c r="R6216" s="193">
        <v>4</v>
      </c>
    </row>
    <row r="6217" spans="1:18" ht="24">
      <c r="A6217" s="189">
        <v>1053</v>
      </c>
      <c r="B6217" s="186" t="s">
        <v>11417</v>
      </c>
      <c r="C6217" s="190" t="s">
        <v>11418</v>
      </c>
      <c r="D6217" s="191">
        <v>513.32000000000005</v>
      </c>
      <c r="E6217" s="191">
        <v>152.85</v>
      </c>
      <c r="F6217" s="191">
        <v>165.78</v>
      </c>
      <c r="G6217" s="191">
        <v>194.69</v>
      </c>
      <c r="H6217" s="192">
        <v>3722.65</v>
      </c>
      <c r="I6217" s="192">
        <v>1757.85</v>
      </c>
      <c r="J6217" s="192">
        <v>927.6</v>
      </c>
      <c r="K6217" s="192">
        <v>1037.2</v>
      </c>
      <c r="L6217" s="43">
        <v>7.2521039507519669</v>
      </c>
      <c r="M6217" s="43">
        <v>11.500490677134446</v>
      </c>
      <c r="N6217" s="43">
        <v>5.5953673543250089</v>
      </c>
      <c r="O6217" s="43">
        <v>5.3274436283322206</v>
      </c>
      <c r="P6217" s="193"/>
      <c r="Q6217" s="193"/>
      <c r="R6217" s="193">
        <v>4</v>
      </c>
    </row>
    <row r="6218" spans="1:18" ht="24">
      <c r="A6218" s="189">
        <v>1054</v>
      </c>
      <c r="B6218" s="186" t="s">
        <v>11419</v>
      </c>
      <c r="C6218" s="190" t="s">
        <v>11420</v>
      </c>
      <c r="D6218" s="191">
        <v>752.26</v>
      </c>
      <c r="E6218" s="191">
        <v>227.64</v>
      </c>
      <c r="F6218" s="191">
        <v>222.39</v>
      </c>
      <c r="G6218" s="191">
        <v>302.23</v>
      </c>
      <c r="H6218" s="192">
        <v>5448.9</v>
      </c>
      <c r="I6218" s="192">
        <v>2617.86</v>
      </c>
      <c r="J6218" s="192">
        <v>1244.3499999999999</v>
      </c>
      <c r="K6218" s="192">
        <v>1586.69</v>
      </c>
      <c r="L6218" s="43">
        <v>7.243373301783957</v>
      </c>
      <c r="M6218" s="43">
        <v>11.500000000000002</v>
      </c>
      <c r="N6218" s="43">
        <v>5.5953505103646748</v>
      </c>
      <c r="O6218" s="43">
        <v>5.2499420970783834</v>
      </c>
      <c r="P6218" s="193"/>
      <c r="Q6218" s="193"/>
      <c r="R6218" s="193">
        <v>4</v>
      </c>
    </row>
    <row r="6219" spans="1:18" ht="24">
      <c r="A6219" s="189">
        <v>1055</v>
      </c>
      <c r="B6219" s="186" t="s">
        <v>11421</v>
      </c>
      <c r="C6219" s="190" t="s">
        <v>11422</v>
      </c>
      <c r="D6219" s="191">
        <v>898.83</v>
      </c>
      <c r="E6219" s="191">
        <v>260.16000000000003</v>
      </c>
      <c r="F6219" s="191">
        <v>261.47000000000003</v>
      </c>
      <c r="G6219" s="191">
        <v>377.2</v>
      </c>
      <c r="H6219" s="192">
        <v>6388.94</v>
      </c>
      <c r="I6219" s="192">
        <v>2991.84</v>
      </c>
      <c r="J6219" s="192">
        <v>1463.05</v>
      </c>
      <c r="K6219" s="192">
        <v>1934.05</v>
      </c>
      <c r="L6219" s="43">
        <v>7.1080627037370796</v>
      </c>
      <c r="M6219" s="43">
        <v>11.5</v>
      </c>
      <c r="N6219" s="43">
        <v>5.5954794049030472</v>
      </c>
      <c r="O6219" s="43">
        <v>5.1273860021208906</v>
      </c>
      <c r="P6219" s="193"/>
      <c r="Q6219" s="193"/>
      <c r="R6219" s="193">
        <v>4</v>
      </c>
    </row>
    <row r="6220" spans="1:18" ht="24">
      <c r="A6220" s="189">
        <v>1056</v>
      </c>
      <c r="B6220" s="186" t="s">
        <v>11423</v>
      </c>
      <c r="C6220" s="190" t="s">
        <v>11424</v>
      </c>
      <c r="D6220" s="191">
        <v>1193.04</v>
      </c>
      <c r="E6220" s="191">
        <v>336.04</v>
      </c>
      <c r="F6220" s="191">
        <v>339.65</v>
      </c>
      <c r="G6220" s="191">
        <v>517.35</v>
      </c>
      <c r="H6220" s="192">
        <v>8438.0499999999993</v>
      </c>
      <c r="I6220" s="192">
        <v>3864.46</v>
      </c>
      <c r="J6220" s="192">
        <v>1900.46</v>
      </c>
      <c r="K6220" s="192">
        <v>2673.13</v>
      </c>
      <c r="L6220" s="43">
        <v>7.0727301683095281</v>
      </c>
      <c r="M6220" s="43">
        <v>11.5</v>
      </c>
      <c r="N6220" s="43">
        <v>5.5953481525099376</v>
      </c>
      <c r="O6220" s="43">
        <v>5.1669662704165455</v>
      </c>
      <c r="P6220" s="193"/>
      <c r="Q6220" s="193"/>
      <c r="R6220" s="193">
        <v>4</v>
      </c>
    </row>
    <row r="6221" spans="1:18" ht="24">
      <c r="A6221" s="189">
        <v>1057</v>
      </c>
      <c r="B6221" s="186" t="s">
        <v>11425</v>
      </c>
      <c r="C6221" s="190" t="s">
        <v>11426</v>
      </c>
      <c r="D6221" s="191">
        <v>1516.37</v>
      </c>
      <c r="E6221" s="191">
        <v>436.62</v>
      </c>
      <c r="F6221" s="191">
        <v>411.08</v>
      </c>
      <c r="G6221" s="191">
        <v>668.67</v>
      </c>
      <c r="H6221" s="192">
        <v>10747.73</v>
      </c>
      <c r="I6221" s="192">
        <v>5021.32</v>
      </c>
      <c r="J6221" s="192">
        <v>2300.16</v>
      </c>
      <c r="K6221" s="192">
        <v>3426.25</v>
      </c>
      <c r="L6221" s="43">
        <v>7.0878017898006425</v>
      </c>
      <c r="M6221" s="43">
        <v>11.500435161009573</v>
      </c>
      <c r="N6221" s="43">
        <v>5.5954072200058382</v>
      </c>
      <c r="O6221" s="43">
        <v>5.1239774477694535</v>
      </c>
      <c r="P6221" s="193"/>
      <c r="Q6221" s="193"/>
      <c r="R6221" s="193">
        <v>4</v>
      </c>
    </row>
    <row r="6222" spans="1:18" ht="24">
      <c r="A6222" s="189">
        <v>1058</v>
      </c>
      <c r="B6222" s="186" t="s">
        <v>11427</v>
      </c>
      <c r="C6222" s="190" t="s">
        <v>11428</v>
      </c>
      <c r="D6222" s="191">
        <v>1872.58</v>
      </c>
      <c r="E6222" s="191">
        <v>505.56</v>
      </c>
      <c r="F6222" s="191">
        <v>477.12</v>
      </c>
      <c r="G6222" s="191">
        <v>889.9</v>
      </c>
      <c r="H6222" s="192">
        <v>12968.5</v>
      </c>
      <c r="I6222" s="192">
        <v>5814.16</v>
      </c>
      <c r="J6222" s="192">
        <v>2669.69</v>
      </c>
      <c r="K6222" s="192">
        <v>4484.6499999999996</v>
      </c>
      <c r="L6222" s="43">
        <v>6.9254718089480827</v>
      </c>
      <c r="M6222" s="43">
        <v>11.500435161009573</v>
      </c>
      <c r="N6222" s="43">
        <v>5.5954267270288396</v>
      </c>
      <c r="O6222" s="43">
        <v>5.0394988200921453</v>
      </c>
      <c r="P6222" s="193"/>
      <c r="Q6222" s="193"/>
      <c r="R6222" s="193">
        <v>4</v>
      </c>
    </row>
    <row r="6223" spans="1:18" ht="24">
      <c r="A6223" s="189">
        <v>1059</v>
      </c>
      <c r="B6223" s="186" t="s">
        <v>11429</v>
      </c>
      <c r="C6223" s="190" t="s">
        <v>11430</v>
      </c>
      <c r="D6223" s="191">
        <v>2352.5700000000002</v>
      </c>
      <c r="E6223" s="191">
        <v>585.99</v>
      </c>
      <c r="F6223" s="191">
        <v>559.34</v>
      </c>
      <c r="G6223" s="191">
        <v>1207.24</v>
      </c>
      <c r="H6223" s="192">
        <v>15804.89</v>
      </c>
      <c r="I6223" s="192">
        <v>6739.14</v>
      </c>
      <c r="J6223" s="192">
        <v>3129.72</v>
      </c>
      <c r="K6223" s="192">
        <v>5936.03</v>
      </c>
      <c r="L6223" s="43">
        <v>6.7181380362752217</v>
      </c>
      <c r="M6223" s="43">
        <v>11.500435161009573</v>
      </c>
      <c r="N6223" s="43">
        <v>5.5953802696034609</v>
      </c>
      <c r="O6223" s="43">
        <v>4.9170256121400877</v>
      </c>
      <c r="P6223" s="193"/>
      <c r="Q6223" s="193"/>
      <c r="R6223" s="193">
        <v>4</v>
      </c>
    </row>
    <row r="6224" spans="1:18" ht="24">
      <c r="A6224" s="189">
        <v>1060</v>
      </c>
      <c r="B6224" s="186" t="s">
        <v>11431</v>
      </c>
      <c r="C6224" s="190" t="s">
        <v>11432</v>
      </c>
      <c r="D6224" s="191">
        <v>2661.06</v>
      </c>
      <c r="E6224" s="191">
        <v>689.4</v>
      </c>
      <c r="F6224" s="191">
        <v>645.6</v>
      </c>
      <c r="G6224" s="191">
        <v>1326.06</v>
      </c>
      <c r="H6224" s="192">
        <v>18141.63</v>
      </c>
      <c r="I6224" s="192">
        <v>7928.4</v>
      </c>
      <c r="J6224" s="192">
        <v>3612.38</v>
      </c>
      <c r="K6224" s="192">
        <v>6600.85</v>
      </c>
      <c r="L6224" s="43">
        <v>6.8174449279610387</v>
      </c>
      <c r="M6224" s="43">
        <v>11.500435161009573</v>
      </c>
      <c r="N6224" s="43">
        <v>5.5953841387856258</v>
      </c>
      <c r="O6224" s="43">
        <v>4.9777913518242016</v>
      </c>
      <c r="P6224" s="193"/>
      <c r="Q6224" s="193"/>
      <c r="R6224" s="193">
        <v>4</v>
      </c>
    </row>
    <row r="6225" spans="1:18" ht="24">
      <c r="A6225" s="189">
        <v>1061</v>
      </c>
      <c r="B6225" s="186" t="s">
        <v>11433</v>
      </c>
      <c r="C6225" s="190" t="s">
        <v>11434</v>
      </c>
      <c r="D6225" s="191">
        <v>2968.54</v>
      </c>
      <c r="E6225" s="191">
        <v>781.32</v>
      </c>
      <c r="F6225" s="191">
        <v>738.59</v>
      </c>
      <c r="G6225" s="191">
        <v>1448.63</v>
      </c>
      <c r="H6225" s="192">
        <v>20387.96</v>
      </c>
      <c r="I6225" s="192">
        <v>8985.52</v>
      </c>
      <c r="J6225" s="192">
        <v>4132.74</v>
      </c>
      <c r="K6225" s="192">
        <v>7269.7</v>
      </c>
      <c r="L6225" s="43">
        <v>6.8680091897026818</v>
      </c>
      <c r="M6225" s="43">
        <v>11.500435161009573</v>
      </c>
      <c r="N6225" s="43">
        <v>5.5954453756481941</v>
      </c>
      <c r="O6225" s="43">
        <v>5.0183276613075796</v>
      </c>
      <c r="P6225" s="193"/>
      <c r="Q6225" s="193"/>
      <c r="R6225" s="193">
        <v>4</v>
      </c>
    </row>
    <row r="6226" spans="1:18" ht="24">
      <c r="A6226" s="189">
        <v>1062</v>
      </c>
      <c r="B6226" s="186" t="s">
        <v>11435</v>
      </c>
      <c r="C6226" s="190" t="s">
        <v>11436</v>
      </c>
      <c r="D6226" s="191">
        <v>3510.7</v>
      </c>
      <c r="E6226" s="191">
        <v>861.75</v>
      </c>
      <c r="F6226" s="191">
        <v>818.11</v>
      </c>
      <c r="G6226" s="191">
        <v>1830.84</v>
      </c>
      <c r="H6226" s="192">
        <v>23445.39</v>
      </c>
      <c r="I6226" s="192">
        <v>9910.5</v>
      </c>
      <c r="J6226" s="192">
        <v>4577.6899999999996</v>
      </c>
      <c r="K6226" s="192">
        <v>8957.2000000000007</v>
      </c>
      <c r="L6226" s="43">
        <v>6.6782664425897975</v>
      </c>
      <c r="M6226" s="43">
        <v>11.500435161009573</v>
      </c>
      <c r="N6226" s="43">
        <v>5.5954456002249078</v>
      </c>
      <c r="O6226" s="43">
        <v>4.8923991173450441</v>
      </c>
      <c r="P6226" s="193"/>
      <c r="Q6226" s="193"/>
      <c r="R6226" s="193">
        <v>4</v>
      </c>
    </row>
    <row r="6227" spans="1:18" ht="24">
      <c r="A6227" s="189">
        <v>1063</v>
      </c>
      <c r="B6227" s="186" t="s">
        <v>11437</v>
      </c>
      <c r="C6227" s="190" t="s">
        <v>11438</v>
      </c>
      <c r="D6227" s="191">
        <v>3863.32</v>
      </c>
      <c r="E6227" s="191">
        <v>942.18</v>
      </c>
      <c r="F6227" s="191">
        <v>905.72</v>
      </c>
      <c r="G6227" s="191">
        <v>2015.42</v>
      </c>
      <c r="H6227" s="192">
        <v>25757.07</v>
      </c>
      <c r="I6227" s="192">
        <v>10835.48</v>
      </c>
      <c r="J6227" s="192">
        <v>5067.8900000000003</v>
      </c>
      <c r="K6227" s="192">
        <v>9853.7000000000007</v>
      </c>
      <c r="L6227" s="43">
        <v>6.6670816810411768</v>
      </c>
      <c r="M6227" s="43">
        <v>11.500435161009573</v>
      </c>
      <c r="N6227" s="43">
        <v>5.595426842732854</v>
      </c>
      <c r="O6227" s="43">
        <v>4.8891546178960219</v>
      </c>
      <c r="P6227" s="193"/>
      <c r="Q6227" s="193"/>
      <c r="R6227" s="193">
        <v>4</v>
      </c>
    </row>
    <row r="6228" spans="1:18" ht="24">
      <c r="A6228" s="189">
        <v>1064</v>
      </c>
      <c r="B6228" s="186" t="s">
        <v>11439</v>
      </c>
      <c r="C6228" s="190" t="s">
        <v>11440</v>
      </c>
      <c r="D6228" s="191">
        <v>4350.8900000000003</v>
      </c>
      <c r="E6228" s="191">
        <v>1022.61</v>
      </c>
      <c r="F6228" s="191">
        <v>979.85</v>
      </c>
      <c r="G6228" s="191">
        <v>2348.4299999999998</v>
      </c>
      <c r="H6228" s="192">
        <v>28768.86</v>
      </c>
      <c r="I6228" s="192">
        <v>11760.46</v>
      </c>
      <c r="J6228" s="192">
        <v>5482.67</v>
      </c>
      <c r="K6228" s="192">
        <v>11525.73</v>
      </c>
      <c r="L6228" s="43">
        <v>6.6121781980238525</v>
      </c>
      <c r="M6228" s="43">
        <v>11.500435161009573</v>
      </c>
      <c r="N6228" s="43">
        <v>5.5954176659692809</v>
      </c>
      <c r="O6228" s="43">
        <v>4.9078448154724645</v>
      </c>
      <c r="P6228" s="193"/>
      <c r="Q6228" s="193"/>
      <c r="R6228" s="193">
        <v>4</v>
      </c>
    </row>
    <row r="6229" spans="1:18" ht="36">
      <c r="A6229" s="189">
        <v>1065</v>
      </c>
      <c r="B6229" s="186" t="s">
        <v>11441</v>
      </c>
      <c r="C6229" s="190" t="s">
        <v>11442</v>
      </c>
      <c r="D6229" s="191">
        <v>207.33</v>
      </c>
      <c r="E6229" s="191">
        <v>68.94</v>
      </c>
      <c r="F6229" s="191">
        <v>67.39</v>
      </c>
      <c r="G6229" s="191">
        <v>71</v>
      </c>
      <c r="H6229" s="192">
        <v>1279.7</v>
      </c>
      <c r="I6229" s="192">
        <v>792.84</v>
      </c>
      <c r="J6229" s="192">
        <v>377.08</v>
      </c>
      <c r="K6229" s="192">
        <v>109.78</v>
      </c>
      <c r="L6229" s="43">
        <v>6.1722857280663677</v>
      </c>
      <c r="M6229" s="43">
        <v>11.500435161009575</v>
      </c>
      <c r="N6229" s="43">
        <v>5.5954889449473209</v>
      </c>
      <c r="O6229" s="43">
        <v>1.5461971830985917</v>
      </c>
      <c r="P6229" s="193"/>
      <c r="Q6229" s="193"/>
      <c r="R6229" s="193">
        <v>4</v>
      </c>
    </row>
    <row r="6230" spans="1:18" ht="36">
      <c r="A6230" s="189">
        <v>1066</v>
      </c>
      <c r="B6230" s="186" t="s">
        <v>11443</v>
      </c>
      <c r="C6230" s="190" t="s">
        <v>11444</v>
      </c>
      <c r="D6230" s="191">
        <v>235.88</v>
      </c>
      <c r="E6230" s="191">
        <v>80.430000000000007</v>
      </c>
      <c r="F6230" s="191">
        <v>80.87</v>
      </c>
      <c r="G6230" s="191">
        <v>74.58</v>
      </c>
      <c r="H6230" s="192">
        <v>1502</v>
      </c>
      <c r="I6230" s="192">
        <v>924.98</v>
      </c>
      <c r="J6230" s="192">
        <v>452.49</v>
      </c>
      <c r="K6230" s="192">
        <v>124.53</v>
      </c>
      <c r="L6230" s="43">
        <v>6.3676445650330677</v>
      </c>
      <c r="M6230" s="43">
        <v>11.500435161009573</v>
      </c>
      <c r="N6230" s="43">
        <v>5.5952763694818843</v>
      </c>
      <c r="O6230" s="43">
        <v>1.669750603378922</v>
      </c>
      <c r="P6230" s="193"/>
      <c r="Q6230" s="193"/>
      <c r="R6230" s="193">
        <v>4</v>
      </c>
    </row>
    <row r="6231" spans="1:18" ht="36">
      <c r="A6231" s="189">
        <v>1067</v>
      </c>
      <c r="B6231" s="186" t="s">
        <v>11445</v>
      </c>
      <c r="C6231" s="190" t="s">
        <v>11446</v>
      </c>
      <c r="D6231" s="191">
        <v>264.63</v>
      </c>
      <c r="E6231" s="191">
        <v>91.92</v>
      </c>
      <c r="F6231" s="191">
        <v>94.35</v>
      </c>
      <c r="G6231" s="191">
        <v>78.36</v>
      </c>
      <c r="H6231" s="192">
        <v>1726.83</v>
      </c>
      <c r="I6231" s="192">
        <v>1057.1199999999999</v>
      </c>
      <c r="J6231" s="192">
        <v>527.91</v>
      </c>
      <c r="K6231" s="192">
        <v>141.80000000000001</v>
      </c>
      <c r="L6231" s="43">
        <v>6.5254506291803649</v>
      </c>
      <c r="M6231" s="43">
        <v>11.500435161009571</v>
      </c>
      <c r="N6231" s="43">
        <v>5.5952305246422895</v>
      </c>
      <c r="O6231" s="43">
        <v>1.8095967330270548</v>
      </c>
      <c r="P6231" s="193"/>
      <c r="Q6231" s="193"/>
      <c r="R6231" s="193">
        <v>4</v>
      </c>
    </row>
    <row r="6232" spans="1:18" ht="36">
      <c r="A6232" s="189">
        <v>1068</v>
      </c>
      <c r="B6232" s="186" t="s">
        <v>11447</v>
      </c>
      <c r="C6232" s="190" t="s">
        <v>11448</v>
      </c>
      <c r="D6232" s="191">
        <v>334.04</v>
      </c>
      <c r="E6232" s="191">
        <v>114.9</v>
      </c>
      <c r="F6232" s="191">
        <v>124</v>
      </c>
      <c r="G6232" s="191">
        <v>95.14</v>
      </c>
      <c r="H6232" s="192">
        <v>2202.19</v>
      </c>
      <c r="I6232" s="192">
        <v>1321.4</v>
      </c>
      <c r="J6232" s="192">
        <v>693.82</v>
      </c>
      <c r="K6232" s="192">
        <v>186.97</v>
      </c>
      <c r="L6232" s="43">
        <v>6.5925937013531311</v>
      </c>
      <c r="M6232" s="43">
        <v>11.500435161009573</v>
      </c>
      <c r="N6232" s="43">
        <v>5.5953225806451616</v>
      </c>
      <c r="O6232" s="43">
        <v>1.9652091654404036</v>
      </c>
      <c r="P6232" s="193"/>
      <c r="Q6232" s="193"/>
      <c r="R6232" s="193">
        <v>4</v>
      </c>
    </row>
    <row r="6233" spans="1:18" ht="36">
      <c r="A6233" s="189">
        <v>1069</v>
      </c>
      <c r="B6233" s="186" t="s">
        <v>11449</v>
      </c>
      <c r="C6233" s="190" t="s">
        <v>11450</v>
      </c>
      <c r="D6233" s="191">
        <v>537.46</v>
      </c>
      <c r="E6233" s="191">
        <v>160.86000000000001</v>
      </c>
      <c r="F6233" s="191">
        <v>152.30000000000001</v>
      </c>
      <c r="G6233" s="191">
        <v>224.3</v>
      </c>
      <c r="H6233" s="192">
        <v>3226.71</v>
      </c>
      <c r="I6233" s="192">
        <v>1849.96</v>
      </c>
      <c r="J6233" s="192">
        <v>852.19</v>
      </c>
      <c r="K6233" s="192">
        <v>524.55999999999995</v>
      </c>
      <c r="L6233" s="43">
        <v>6.0036281769806124</v>
      </c>
      <c r="M6233" s="43">
        <v>11.500435161009573</v>
      </c>
      <c r="N6233" s="43">
        <v>5.595469468154957</v>
      </c>
      <c r="O6233" s="43">
        <v>2.3386535889433788</v>
      </c>
      <c r="P6233" s="193"/>
      <c r="Q6233" s="193"/>
      <c r="R6233" s="193">
        <v>4</v>
      </c>
    </row>
    <row r="6234" spans="1:18" ht="36">
      <c r="A6234" s="189">
        <v>1070</v>
      </c>
      <c r="B6234" s="186" t="s">
        <v>11451</v>
      </c>
      <c r="C6234" s="190" t="s">
        <v>11452</v>
      </c>
      <c r="D6234" s="191">
        <v>613.65</v>
      </c>
      <c r="E6234" s="191">
        <v>183.84</v>
      </c>
      <c r="F6234" s="191">
        <v>183.3</v>
      </c>
      <c r="G6234" s="191">
        <v>246.51</v>
      </c>
      <c r="H6234" s="192">
        <v>3862.22</v>
      </c>
      <c r="I6234" s="192">
        <v>2114.2399999999998</v>
      </c>
      <c r="J6234" s="192">
        <v>1025.6400000000001</v>
      </c>
      <c r="K6234" s="192">
        <v>722.34</v>
      </c>
      <c r="L6234" s="43">
        <v>6.2938482848529294</v>
      </c>
      <c r="M6234" s="43">
        <v>11.500435161009571</v>
      </c>
      <c r="N6234" s="43">
        <v>5.5954173486088381</v>
      </c>
      <c r="O6234" s="43">
        <v>2.9302665206279666</v>
      </c>
      <c r="P6234" s="193"/>
      <c r="Q6234" s="193"/>
      <c r="R6234" s="193">
        <v>4</v>
      </c>
    </row>
    <row r="6235" spans="1:18" ht="36">
      <c r="A6235" s="189">
        <v>1071</v>
      </c>
      <c r="B6235" s="186" t="s">
        <v>11453</v>
      </c>
      <c r="C6235" s="190" t="s">
        <v>11454</v>
      </c>
      <c r="D6235" s="191">
        <v>751.55</v>
      </c>
      <c r="E6235" s="191">
        <v>218.31</v>
      </c>
      <c r="F6235" s="191">
        <v>214.3</v>
      </c>
      <c r="G6235" s="191">
        <v>318.94</v>
      </c>
      <c r="H6235" s="192">
        <v>4703.8599999999997</v>
      </c>
      <c r="I6235" s="192">
        <v>2510.66</v>
      </c>
      <c r="J6235" s="192">
        <v>1199.0999999999999</v>
      </c>
      <c r="K6235" s="192">
        <v>994.1</v>
      </c>
      <c r="L6235" s="43">
        <v>6.2588783181425054</v>
      </c>
      <c r="M6235" s="43">
        <v>11.500435161009573</v>
      </c>
      <c r="N6235" s="43">
        <v>5.5954269715352298</v>
      </c>
      <c r="O6235" s="43">
        <v>3.1168871888129428</v>
      </c>
      <c r="P6235" s="193"/>
      <c r="Q6235" s="193"/>
      <c r="R6235" s="193">
        <v>4</v>
      </c>
    </row>
    <row r="6236" spans="1:18" ht="36">
      <c r="A6236" s="189">
        <v>1072</v>
      </c>
      <c r="B6236" s="186" t="s">
        <v>11455</v>
      </c>
      <c r="C6236" s="190" t="s">
        <v>11456</v>
      </c>
      <c r="D6236" s="191">
        <v>994.11</v>
      </c>
      <c r="E6236" s="191">
        <v>310.23</v>
      </c>
      <c r="F6236" s="191">
        <v>285.73</v>
      </c>
      <c r="G6236" s="191">
        <v>398.15</v>
      </c>
      <c r="H6236" s="192">
        <v>6447.41</v>
      </c>
      <c r="I6236" s="192">
        <v>3567.78</v>
      </c>
      <c r="J6236" s="192">
        <v>1598.8</v>
      </c>
      <c r="K6236" s="192">
        <v>1280.83</v>
      </c>
      <c r="L6236" s="43">
        <v>6.4856102443391572</v>
      </c>
      <c r="M6236" s="43">
        <v>11.500435161009573</v>
      </c>
      <c r="N6236" s="43">
        <v>5.5954922479263631</v>
      </c>
      <c r="O6236" s="43">
        <v>3.2169534095190255</v>
      </c>
      <c r="P6236" s="193"/>
      <c r="Q6236" s="193"/>
      <c r="R6236" s="193">
        <v>4</v>
      </c>
    </row>
    <row r="6237" spans="1:18" ht="36">
      <c r="A6237" s="189">
        <v>1073</v>
      </c>
      <c r="B6237" s="186" t="s">
        <v>11457</v>
      </c>
      <c r="C6237" s="190" t="s">
        <v>11458</v>
      </c>
      <c r="D6237" s="191">
        <v>1293.42</v>
      </c>
      <c r="E6237" s="191">
        <v>450.5</v>
      </c>
      <c r="F6237" s="191">
        <v>367.95</v>
      </c>
      <c r="G6237" s="191">
        <v>474.97</v>
      </c>
      <c r="H6237" s="192">
        <v>8822.57</v>
      </c>
      <c r="I6237" s="192">
        <v>5180.92</v>
      </c>
      <c r="J6237" s="192">
        <v>2058.83</v>
      </c>
      <c r="K6237" s="192">
        <v>1582.82</v>
      </c>
      <c r="L6237" s="43">
        <v>6.8211176570642165</v>
      </c>
      <c r="M6237" s="43">
        <v>11.500377358490566</v>
      </c>
      <c r="N6237" s="43">
        <v>5.5954069846446526</v>
      </c>
      <c r="O6237" s="43">
        <v>3.3324631029328167</v>
      </c>
      <c r="P6237" s="193"/>
      <c r="Q6237" s="193"/>
      <c r="R6237" s="193">
        <v>4</v>
      </c>
    </row>
    <row r="6238" spans="1:18" ht="36">
      <c r="A6238" s="189">
        <v>1074</v>
      </c>
      <c r="B6238" s="186" t="s">
        <v>11459</v>
      </c>
      <c r="C6238" s="190" t="s">
        <v>11460</v>
      </c>
      <c r="D6238" s="191">
        <v>1520.4</v>
      </c>
      <c r="E6238" s="191">
        <v>543.25</v>
      </c>
      <c r="F6238" s="191">
        <v>439.38</v>
      </c>
      <c r="G6238" s="191">
        <v>537.77</v>
      </c>
      <c r="H6238" s="192">
        <v>10553.85</v>
      </c>
      <c r="I6238" s="192">
        <v>6247.58</v>
      </c>
      <c r="J6238" s="192">
        <v>2458.5300000000002</v>
      </c>
      <c r="K6238" s="192">
        <v>1847.74</v>
      </c>
      <c r="L6238" s="43">
        <v>6.9414956590370958</v>
      </c>
      <c r="M6238" s="43">
        <v>11.500377358490566</v>
      </c>
      <c r="N6238" s="43">
        <v>5.5954526833265064</v>
      </c>
      <c r="O6238" s="43">
        <v>3.4359298584896889</v>
      </c>
      <c r="P6238" s="193"/>
      <c r="Q6238" s="193"/>
      <c r="R6238" s="193">
        <v>4</v>
      </c>
    </row>
    <row r="6239" spans="1:18" ht="36">
      <c r="A6239" s="189">
        <v>1075</v>
      </c>
      <c r="B6239" s="186" t="s">
        <v>11461</v>
      </c>
      <c r="C6239" s="190" t="s">
        <v>11462</v>
      </c>
      <c r="D6239" s="191">
        <v>1792.2</v>
      </c>
      <c r="E6239" s="191">
        <v>609.5</v>
      </c>
      <c r="F6239" s="191">
        <v>514.86</v>
      </c>
      <c r="G6239" s="191">
        <v>667.84</v>
      </c>
      <c r="H6239" s="192">
        <v>12134.6</v>
      </c>
      <c r="I6239" s="192">
        <v>7009.48</v>
      </c>
      <c r="J6239" s="192">
        <v>2880.85</v>
      </c>
      <c r="K6239" s="192">
        <v>2244.27</v>
      </c>
      <c r="L6239" s="43">
        <v>6.7707845106572924</v>
      </c>
      <c r="M6239" s="43">
        <v>11.500377358490566</v>
      </c>
      <c r="N6239" s="43">
        <v>5.5954045760012425</v>
      </c>
      <c r="O6239" s="43">
        <v>3.3604905366554862</v>
      </c>
      <c r="P6239" s="193"/>
      <c r="Q6239" s="193"/>
      <c r="R6239" s="193">
        <v>4</v>
      </c>
    </row>
    <row r="6240" spans="1:18" ht="36">
      <c r="A6240" s="189">
        <v>1076</v>
      </c>
      <c r="B6240" s="186" t="s">
        <v>11463</v>
      </c>
      <c r="C6240" s="190" t="s">
        <v>11464</v>
      </c>
      <c r="D6240" s="191">
        <v>2018.53</v>
      </c>
      <c r="E6240" s="191">
        <v>702.25</v>
      </c>
      <c r="F6240" s="191">
        <v>579.54999999999995</v>
      </c>
      <c r="G6240" s="191">
        <v>736.73</v>
      </c>
      <c r="H6240" s="192">
        <v>13855.55</v>
      </c>
      <c r="I6240" s="192">
        <v>8076.14</v>
      </c>
      <c r="J6240" s="192">
        <v>3242.85</v>
      </c>
      <c r="K6240" s="192">
        <v>2536.56</v>
      </c>
      <c r="L6240" s="43">
        <v>6.8641783872422009</v>
      </c>
      <c r="M6240" s="43">
        <v>11.500377358490567</v>
      </c>
      <c r="N6240" s="43">
        <v>5.5954619963764989</v>
      </c>
      <c r="O6240" s="43">
        <v>3.4429981132843781</v>
      </c>
      <c r="P6240" s="193"/>
      <c r="Q6240" s="193"/>
      <c r="R6240" s="193">
        <v>4</v>
      </c>
    </row>
    <row r="6241" spans="1:18" ht="36">
      <c r="A6241" s="189">
        <v>1077</v>
      </c>
      <c r="B6241" s="186" t="s">
        <v>11465</v>
      </c>
      <c r="C6241" s="190" t="s">
        <v>11466</v>
      </c>
      <c r="D6241" s="191">
        <v>2466.5</v>
      </c>
      <c r="E6241" s="191">
        <v>768.5</v>
      </c>
      <c r="F6241" s="191">
        <v>644.25</v>
      </c>
      <c r="G6241" s="191">
        <v>1053.75</v>
      </c>
      <c r="H6241" s="192">
        <v>15736.69</v>
      </c>
      <c r="I6241" s="192">
        <v>8838.0400000000009</v>
      </c>
      <c r="J6241" s="192">
        <v>3604.84</v>
      </c>
      <c r="K6241" s="192">
        <v>3293.81</v>
      </c>
      <c r="L6241" s="43">
        <v>6.3801702817757961</v>
      </c>
      <c r="M6241" s="43">
        <v>11.500377358490567</v>
      </c>
      <c r="N6241" s="43">
        <v>5.5954055102832756</v>
      </c>
      <c r="O6241" s="43">
        <v>3.1257983392645312</v>
      </c>
      <c r="P6241" s="193"/>
      <c r="Q6241" s="193"/>
      <c r="R6241" s="193">
        <v>4</v>
      </c>
    </row>
    <row r="6242" spans="1:18" ht="36">
      <c r="A6242" s="189">
        <v>1078</v>
      </c>
      <c r="B6242" s="186" t="s">
        <v>11467</v>
      </c>
      <c r="C6242" s="190" t="s">
        <v>11468</v>
      </c>
      <c r="D6242" s="191">
        <v>2743.63</v>
      </c>
      <c r="E6242" s="191">
        <v>887.75</v>
      </c>
      <c r="F6242" s="191">
        <v>733.2</v>
      </c>
      <c r="G6242" s="191">
        <v>1122.68</v>
      </c>
      <c r="H6242" s="192">
        <v>17905.830000000002</v>
      </c>
      <c r="I6242" s="192">
        <v>10209.459999999999</v>
      </c>
      <c r="J6242" s="192">
        <v>4102.58</v>
      </c>
      <c r="K6242" s="192">
        <v>3593.79</v>
      </c>
      <c r="L6242" s="43">
        <v>6.5263282585479825</v>
      </c>
      <c r="M6242" s="43">
        <v>11.500377358490566</v>
      </c>
      <c r="N6242" s="43">
        <v>5.5954446262956896</v>
      </c>
      <c r="O6242" s="43">
        <v>3.2010813410767089</v>
      </c>
      <c r="P6242" s="193"/>
      <c r="Q6242" s="193"/>
      <c r="R6242" s="193">
        <v>4</v>
      </c>
    </row>
    <row r="6243" spans="1:18" ht="36">
      <c r="A6243" s="189">
        <v>1079</v>
      </c>
      <c r="B6243" s="186" t="s">
        <v>11469</v>
      </c>
      <c r="C6243" s="190" t="s">
        <v>11470</v>
      </c>
      <c r="D6243" s="191">
        <v>2973.4</v>
      </c>
      <c r="E6243" s="191">
        <v>980.5</v>
      </c>
      <c r="F6243" s="191">
        <v>801.94</v>
      </c>
      <c r="G6243" s="191">
        <v>1190.96</v>
      </c>
      <c r="H6243" s="192">
        <v>19648.13</v>
      </c>
      <c r="I6243" s="192">
        <v>11276.12</v>
      </c>
      <c r="J6243" s="192">
        <v>4487.1899999999996</v>
      </c>
      <c r="K6243" s="192">
        <v>3884.82</v>
      </c>
      <c r="L6243" s="43">
        <v>6.6079673101499967</v>
      </c>
      <c r="M6243" s="43">
        <v>11.500377358490567</v>
      </c>
      <c r="N6243" s="43">
        <v>5.5954186098710617</v>
      </c>
      <c r="O6243" s="43">
        <v>3.2619231544300398</v>
      </c>
      <c r="P6243" s="193"/>
      <c r="Q6243" s="193"/>
      <c r="R6243" s="193">
        <v>4</v>
      </c>
    </row>
    <row r="6244" spans="1:18" ht="36">
      <c r="A6244" s="189">
        <v>1080</v>
      </c>
      <c r="B6244" s="186" t="s">
        <v>11471</v>
      </c>
      <c r="C6244" s="190" t="s">
        <v>11472</v>
      </c>
      <c r="D6244" s="191">
        <v>3393.66</v>
      </c>
      <c r="E6244" s="191">
        <v>1139.5</v>
      </c>
      <c r="F6244" s="191">
        <v>940.76</v>
      </c>
      <c r="G6244" s="191">
        <v>1313.4</v>
      </c>
      <c r="H6244" s="192">
        <v>22775.360000000001</v>
      </c>
      <c r="I6244" s="192">
        <v>13104.68</v>
      </c>
      <c r="J6244" s="192">
        <v>5263.97</v>
      </c>
      <c r="K6244" s="192">
        <v>4406.71</v>
      </c>
      <c r="L6244" s="43">
        <v>6.7111496142807479</v>
      </c>
      <c r="M6244" s="43">
        <v>11.500377358490566</v>
      </c>
      <c r="N6244" s="43">
        <v>5.5954441090182412</v>
      </c>
      <c r="O6244" s="43">
        <v>3.3551926298157451</v>
      </c>
      <c r="P6244" s="193"/>
      <c r="Q6244" s="193"/>
      <c r="R6244" s="193">
        <v>4</v>
      </c>
    </row>
    <row r="6245" spans="1:18" ht="36">
      <c r="A6245" s="189">
        <v>1081</v>
      </c>
      <c r="B6245" s="186" t="s">
        <v>11473</v>
      </c>
      <c r="C6245" s="190" t="s">
        <v>11474</v>
      </c>
      <c r="D6245" s="191">
        <v>3594.44</v>
      </c>
      <c r="E6245" s="191">
        <v>1311.75</v>
      </c>
      <c r="F6245" s="191">
        <v>1084.98</v>
      </c>
      <c r="G6245" s="191">
        <v>1197.71</v>
      </c>
      <c r="H6245" s="192">
        <v>25639.3</v>
      </c>
      <c r="I6245" s="192">
        <v>15085.62</v>
      </c>
      <c r="J6245" s="192">
        <v>6070.91</v>
      </c>
      <c r="K6245" s="192">
        <v>4482.7700000000004</v>
      </c>
      <c r="L6245" s="43">
        <v>7.1330443685247209</v>
      </c>
      <c r="M6245" s="43">
        <v>11.500377358490567</v>
      </c>
      <c r="N6245" s="43">
        <v>5.5954118969934932</v>
      </c>
      <c r="O6245" s="43">
        <v>3.7427841464127378</v>
      </c>
      <c r="P6245" s="193"/>
      <c r="Q6245" s="193"/>
      <c r="R6245" s="193">
        <v>4</v>
      </c>
    </row>
    <row r="6246" spans="1:18" ht="36">
      <c r="A6246" s="189">
        <v>1082</v>
      </c>
      <c r="B6246" s="186" t="s">
        <v>11475</v>
      </c>
      <c r="C6246" s="190" t="s">
        <v>11476</v>
      </c>
      <c r="D6246" s="191">
        <v>4047.16</v>
      </c>
      <c r="E6246" s="191">
        <v>1497.25</v>
      </c>
      <c r="F6246" s="191">
        <v>1219.76</v>
      </c>
      <c r="G6246" s="191">
        <v>1330.15</v>
      </c>
      <c r="H6246" s="192">
        <v>29088.06</v>
      </c>
      <c r="I6246" s="192">
        <v>17218.939999999999</v>
      </c>
      <c r="J6246" s="192">
        <v>6825.06</v>
      </c>
      <c r="K6246" s="192">
        <v>5044.0600000000004</v>
      </c>
      <c r="L6246" s="43">
        <v>7.1872770041214089</v>
      </c>
      <c r="M6246" s="43">
        <v>11.500377358490566</v>
      </c>
      <c r="N6246" s="43">
        <v>5.5954122122384735</v>
      </c>
      <c r="O6246" s="43">
        <v>3.7920986354922377</v>
      </c>
      <c r="P6246" s="193"/>
      <c r="Q6246" s="193"/>
      <c r="R6246" s="193">
        <v>4</v>
      </c>
    </row>
    <row r="6247" spans="1:18" ht="36">
      <c r="A6247" s="189">
        <v>1083</v>
      </c>
      <c r="B6247" s="186" t="s">
        <v>11477</v>
      </c>
      <c r="C6247" s="190" t="s">
        <v>11478</v>
      </c>
      <c r="D6247" s="191">
        <v>4758.3100000000004</v>
      </c>
      <c r="E6247" s="191">
        <v>1669.5</v>
      </c>
      <c r="F6247" s="191">
        <v>1376.1</v>
      </c>
      <c r="G6247" s="191">
        <v>1712.71</v>
      </c>
      <c r="H6247" s="192">
        <v>32978.33</v>
      </c>
      <c r="I6247" s="192">
        <v>19199.88</v>
      </c>
      <c r="J6247" s="192">
        <v>7699.87</v>
      </c>
      <c r="K6247" s="192">
        <v>6078.58</v>
      </c>
      <c r="L6247" s="43">
        <v>6.9306812712916983</v>
      </c>
      <c r="M6247" s="43">
        <v>11.500377358490567</v>
      </c>
      <c r="N6247" s="43">
        <v>5.5954291112564496</v>
      </c>
      <c r="O6247" s="43">
        <v>3.5491005482539366</v>
      </c>
      <c r="P6247" s="193"/>
      <c r="Q6247" s="193"/>
      <c r="R6247" s="193">
        <v>4</v>
      </c>
    </row>
    <row r="6248" spans="1:18" ht="36">
      <c r="A6248" s="189">
        <v>1084</v>
      </c>
      <c r="B6248" s="186" t="s">
        <v>11479</v>
      </c>
      <c r="C6248" s="190" t="s">
        <v>11480</v>
      </c>
      <c r="D6248" s="191">
        <v>5041.49</v>
      </c>
      <c r="E6248" s="191">
        <v>1749</v>
      </c>
      <c r="F6248" s="191">
        <v>1448.89</v>
      </c>
      <c r="G6248" s="191">
        <v>1843.6</v>
      </c>
      <c r="H6248" s="192">
        <v>34838.550000000003</v>
      </c>
      <c r="I6248" s="192">
        <v>20114.16</v>
      </c>
      <c r="J6248" s="192">
        <v>8107.11</v>
      </c>
      <c r="K6248" s="192">
        <v>6617.28</v>
      </c>
      <c r="L6248" s="43">
        <v>6.9103677682589879</v>
      </c>
      <c r="M6248" s="43">
        <v>11.500377358490566</v>
      </c>
      <c r="N6248" s="43">
        <v>5.5953937151888677</v>
      </c>
      <c r="O6248" s="43">
        <v>3.5893252332393146</v>
      </c>
      <c r="P6248" s="193"/>
      <c r="Q6248" s="193"/>
      <c r="R6248" s="193">
        <v>4</v>
      </c>
    </row>
    <row r="6249" spans="1:18" ht="36">
      <c r="A6249" s="189">
        <v>1085</v>
      </c>
      <c r="B6249" s="186" t="s">
        <v>11481</v>
      </c>
      <c r="C6249" s="190" t="s">
        <v>11482</v>
      </c>
      <c r="D6249" s="191">
        <v>6101.87</v>
      </c>
      <c r="E6249" s="191">
        <v>2199.5</v>
      </c>
      <c r="F6249" s="191">
        <v>1814.14</v>
      </c>
      <c r="G6249" s="191">
        <v>2088.23</v>
      </c>
      <c r="H6249" s="192">
        <v>43115.93</v>
      </c>
      <c r="I6249" s="192">
        <v>25295.08</v>
      </c>
      <c r="J6249" s="192">
        <v>10150.86</v>
      </c>
      <c r="K6249" s="192">
        <v>7669.99</v>
      </c>
      <c r="L6249" s="43">
        <v>7.0660191056184418</v>
      </c>
      <c r="M6249" s="43">
        <v>11.500377358490567</v>
      </c>
      <c r="N6249" s="43">
        <v>5.5954115999867708</v>
      </c>
      <c r="O6249" s="43">
        <v>3.6729622694818098</v>
      </c>
      <c r="P6249" s="193"/>
      <c r="Q6249" s="193"/>
      <c r="R6249" s="193">
        <v>4</v>
      </c>
    </row>
    <row r="6250" spans="1:18" ht="12.75" customHeight="1">
      <c r="A6250" s="628" t="s">
        <v>11189</v>
      </c>
      <c r="B6250" s="629"/>
      <c r="C6250" s="629"/>
      <c r="D6250" s="629"/>
      <c r="E6250" s="629"/>
      <c r="F6250" s="629"/>
      <c r="G6250" s="629"/>
      <c r="H6250" s="629"/>
      <c r="I6250" s="629"/>
      <c r="J6250" s="629"/>
      <c r="K6250" s="629"/>
      <c r="L6250" s="629"/>
      <c r="M6250" s="629"/>
      <c r="N6250" s="629"/>
      <c r="O6250" s="629"/>
      <c r="P6250" s="629"/>
      <c r="Q6250" s="629"/>
      <c r="R6250" s="629"/>
    </row>
    <row r="6251" spans="1:18" ht="24">
      <c r="A6251" s="189">
        <v>1086</v>
      </c>
      <c r="B6251" s="186" t="s">
        <v>11483</v>
      </c>
      <c r="C6251" s="190" t="s">
        <v>11484</v>
      </c>
      <c r="D6251" s="191">
        <v>376.21</v>
      </c>
      <c r="E6251" s="191">
        <v>39.75</v>
      </c>
      <c r="F6251" s="191">
        <v>62</v>
      </c>
      <c r="G6251" s="191">
        <v>274.45999999999998</v>
      </c>
      <c r="H6251" s="192">
        <v>1375.96</v>
      </c>
      <c r="I6251" s="192">
        <v>457.14</v>
      </c>
      <c r="J6251" s="192">
        <v>346.91</v>
      </c>
      <c r="K6251" s="192">
        <v>571.91</v>
      </c>
      <c r="L6251" s="43">
        <v>3.6574253741261531</v>
      </c>
      <c r="M6251" s="43">
        <v>11.500377358490566</v>
      </c>
      <c r="N6251" s="43">
        <v>5.5953225806451616</v>
      </c>
      <c r="O6251" s="43">
        <v>2.0837644829847703</v>
      </c>
      <c r="P6251" s="193"/>
      <c r="Q6251" s="193"/>
      <c r="R6251" s="193">
        <v>5</v>
      </c>
    </row>
    <row r="6252" spans="1:18" ht="24">
      <c r="A6252" s="189">
        <v>1087</v>
      </c>
      <c r="B6252" s="186" t="s">
        <v>11485</v>
      </c>
      <c r="C6252" s="190" t="s">
        <v>11486</v>
      </c>
      <c r="D6252" s="191">
        <v>488.99</v>
      </c>
      <c r="E6252" s="191">
        <v>66.25</v>
      </c>
      <c r="F6252" s="191">
        <v>84.91</v>
      </c>
      <c r="G6252" s="191">
        <v>337.83</v>
      </c>
      <c r="H6252" s="192">
        <v>1976.5</v>
      </c>
      <c r="I6252" s="192">
        <v>761.9</v>
      </c>
      <c r="J6252" s="192">
        <v>475.11</v>
      </c>
      <c r="K6252" s="192">
        <v>739.49</v>
      </c>
      <c r="L6252" s="43">
        <v>4.0420049489764613</v>
      </c>
      <c r="M6252" s="43">
        <v>11.500377358490566</v>
      </c>
      <c r="N6252" s="43">
        <v>5.5954540101283712</v>
      </c>
      <c r="O6252" s="43">
        <v>2.188941183435456</v>
      </c>
      <c r="P6252" s="193"/>
      <c r="Q6252" s="193"/>
      <c r="R6252" s="193">
        <v>5</v>
      </c>
    </row>
    <row r="6253" spans="1:18" ht="24">
      <c r="A6253" s="189">
        <v>1088</v>
      </c>
      <c r="B6253" s="186" t="s">
        <v>11487</v>
      </c>
      <c r="C6253" s="190" t="s">
        <v>11488</v>
      </c>
      <c r="D6253" s="191">
        <v>767.51</v>
      </c>
      <c r="E6253" s="191">
        <v>92.75</v>
      </c>
      <c r="F6253" s="191">
        <v>115.91</v>
      </c>
      <c r="G6253" s="191">
        <v>558.85</v>
      </c>
      <c r="H6253" s="192">
        <v>3011.61</v>
      </c>
      <c r="I6253" s="192">
        <v>1066.6600000000001</v>
      </c>
      <c r="J6253" s="192">
        <v>648.57000000000005</v>
      </c>
      <c r="K6253" s="192">
        <v>1296.3800000000001</v>
      </c>
      <c r="L6253" s="43">
        <v>3.9238706987531109</v>
      </c>
      <c r="M6253" s="43">
        <v>11.500377358490567</v>
      </c>
      <c r="N6253" s="43">
        <v>5.5954619963764998</v>
      </c>
      <c r="O6253" s="43">
        <v>2.3197280128836004</v>
      </c>
      <c r="P6253" s="193"/>
      <c r="Q6253" s="193"/>
      <c r="R6253" s="193">
        <v>5</v>
      </c>
    </row>
    <row r="6254" spans="1:18" ht="24">
      <c r="A6254" s="189">
        <v>1089</v>
      </c>
      <c r="B6254" s="186" t="s">
        <v>11489</v>
      </c>
      <c r="C6254" s="190" t="s">
        <v>11490</v>
      </c>
      <c r="D6254" s="191">
        <v>1085.06</v>
      </c>
      <c r="E6254" s="191">
        <v>119.25</v>
      </c>
      <c r="F6254" s="191">
        <v>160.38999999999999</v>
      </c>
      <c r="G6254" s="191">
        <v>805.42</v>
      </c>
      <c r="H6254" s="192">
        <v>4332.07</v>
      </c>
      <c r="I6254" s="192">
        <v>1371.42</v>
      </c>
      <c r="J6254" s="192">
        <v>897.44</v>
      </c>
      <c r="K6254" s="192">
        <v>2063.21</v>
      </c>
      <c r="L6254" s="43">
        <v>3.9924704624629053</v>
      </c>
      <c r="M6254" s="43">
        <v>11.500377358490567</v>
      </c>
      <c r="N6254" s="43">
        <v>5.5953613068146399</v>
      </c>
      <c r="O6254" s="43">
        <v>2.5616572719823201</v>
      </c>
      <c r="P6254" s="193"/>
      <c r="Q6254" s="193"/>
      <c r="R6254" s="193">
        <v>5</v>
      </c>
    </row>
    <row r="6255" spans="1:18" ht="24">
      <c r="A6255" s="189">
        <v>1090</v>
      </c>
      <c r="B6255" s="186" t="s">
        <v>11491</v>
      </c>
      <c r="C6255" s="190" t="s">
        <v>11492</v>
      </c>
      <c r="D6255" s="191">
        <v>436.07</v>
      </c>
      <c r="E6255" s="191">
        <v>39.75</v>
      </c>
      <c r="F6255" s="191">
        <v>64.69</v>
      </c>
      <c r="G6255" s="191">
        <v>331.63</v>
      </c>
      <c r="H6255" s="192">
        <v>2231.66</v>
      </c>
      <c r="I6255" s="192">
        <v>457.14</v>
      </c>
      <c r="J6255" s="192">
        <v>361.99</v>
      </c>
      <c r="K6255" s="192">
        <v>1412.53</v>
      </c>
      <c r="L6255" s="43">
        <v>5.1176645951338084</v>
      </c>
      <c r="M6255" s="43">
        <v>11.500377358490566</v>
      </c>
      <c r="N6255" s="43">
        <v>5.59576441490184</v>
      </c>
      <c r="O6255" s="43">
        <v>4.2593553056116757</v>
      </c>
      <c r="P6255" s="193"/>
      <c r="Q6255" s="193"/>
      <c r="R6255" s="193">
        <v>5</v>
      </c>
    </row>
    <row r="6256" spans="1:18" ht="24">
      <c r="A6256" s="189">
        <v>1091</v>
      </c>
      <c r="B6256" s="186" t="s">
        <v>11493</v>
      </c>
      <c r="C6256" s="190" t="s">
        <v>11494</v>
      </c>
      <c r="D6256" s="191">
        <v>599.14</v>
      </c>
      <c r="E6256" s="191">
        <v>66.25</v>
      </c>
      <c r="F6256" s="191">
        <v>79.52</v>
      </c>
      <c r="G6256" s="191">
        <v>453.37</v>
      </c>
      <c r="H6256" s="192">
        <v>3104.15</v>
      </c>
      <c r="I6256" s="192">
        <v>761.9</v>
      </c>
      <c r="J6256" s="192">
        <v>444.95</v>
      </c>
      <c r="K6256" s="192">
        <v>1897.3</v>
      </c>
      <c r="L6256" s="43">
        <v>5.181009446873853</v>
      </c>
      <c r="M6256" s="43">
        <v>11.500377358490566</v>
      </c>
      <c r="N6256" s="43">
        <v>5.5954476861167004</v>
      </c>
      <c r="O6256" s="43">
        <v>4.1848821051238501</v>
      </c>
      <c r="P6256" s="193"/>
      <c r="Q6256" s="193"/>
      <c r="R6256" s="193">
        <v>5</v>
      </c>
    </row>
    <row r="6257" spans="1:18" ht="24">
      <c r="A6257" s="189">
        <v>1092</v>
      </c>
      <c r="B6257" s="186" t="s">
        <v>11495</v>
      </c>
      <c r="C6257" s="190" t="s">
        <v>11496</v>
      </c>
      <c r="D6257" s="191">
        <v>819.1</v>
      </c>
      <c r="E6257" s="191">
        <v>79.5</v>
      </c>
      <c r="F6257" s="191">
        <v>106.48</v>
      </c>
      <c r="G6257" s="191">
        <v>633.12</v>
      </c>
      <c r="H6257" s="192">
        <v>4012.26</v>
      </c>
      <c r="I6257" s="192">
        <v>914.28</v>
      </c>
      <c r="J6257" s="192">
        <v>595.78</v>
      </c>
      <c r="K6257" s="192">
        <v>2502.1999999999998</v>
      </c>
      <c r="L6257" s="43">
        <v>4.8983762666341111</v>
      </c>
      <c r="M6257" s="43">
        <v>11.500377358490566</v>
      </c>
      <c r="N6257" s="43">
        <v>5.5952291510142746</v>
      </c>
      <c r="O6257" s="43">
        <v>3.9521733636593375</v>
      </c>
      <c r="P6257" s="193"/>
      <c r="Q6257" s="193"/>
      <c r="R6257" s="193">
        <v>5</v>
      </c>
    </row>
    <row r="6258" spans="1:18" ht="24">
      <c r="A6258" s="189">
        <v>1093</v>
      </c>
      <c r="B6258" s="186" t="s">
        <v>11497</v>
      </c>
      <c r="C6258" s="190" t="s">
        <v>11498</v>
      </c>
      <c r="D6258" s="191">
        <v>965.36</v>
      </c>
      <c r="E6258" s="191">
        <v>92.75</v>
      </c>
      <c r="F6258" s="191">
        <v>109.17</v>
      </c>
      <c r="G6258" s="191">
        <v>763.44</v>
      </c>
      <c r="H6258" s="192">
        <v>4695.33</v>
      </c>
      <c r="I6258" s="192">
        <v>1066.6600000000001</v>
      </c>
      <c r="J6258" s="192">
        <v>610.86</v>
      </c>
      <c r="K6258" s="192">
        <v>3017.81</v>
      </c>
      <c r="L6258" s="43">
        <v>4.8638124637440949</v>
      </c>
      <c r="M6258" s="43">
        <v>11.500377358490567</v>
      </c>
      <c r="N6258" s="43">
        <v>5.5954932673811486</v>
      </c>
      <c r="O6258" s="43">
        <v>3.9529105103217015</v>
      </c>
      <c r="P6258" s="193"/>
      <c r="Q6258" s="193"/>
      <c r="R6258" s="193">
        <v>5</v>
      </c>
    </row>
    <row r="6259" spans="1:18" ht="24">
      <c r="A6259" s="189">
        <v>1094</v>
      </c>
      <c r="B6259" s="186" t="s">
        <v>11499</v>
      </c>
      <c r="C6259" s="190" t="s">
        <v>11500</v>
      </c>
      <c r="D6259" s="191">
        <v>1388.23</v>
      </c>
      <c r="E6259" s="191">
        <v>132.5</v>
      </c>
      <c r="F6259" s="191">
        <v>179.26</v>
      </c>
      <c r="G6259" s="191">
        <v>1076.47</v>
      </c>
      <c r="H6259" s="192">
        <v>6646.62</v>
      </c>
      <c r="I6259" s="192">
        <v>1523.8</v>
      </c>
      <c r="J6259" s="192">
        <v>1003.02</v>
      </c>
      <c r="K6259" s="192">
        <v>4119.8</v>
      </c>
      <c r="L6259" s="43">
        <v>4.7878377502287082</v>
      </c>
      <c r="M6259" s="43">
        <v>11.500377358490566</v>
      </c>
      <c r="N6259" s="43">
        <v>5.5953363829075089</v>
      </c>
      <c r="O6259" s="43">
        <v>3.8271387033544828</v>
      </c>
      <c r="P6259" s="193"/>
      <c r="Q6259" s="193"/>
      <c r="R6259" s="193">
        <v>5</v>
      </c>
    </row>
    <row r="6260" spans="1:18" ht="24">
      <c r="A6260" s="189">
        <v>1095</v>
      </c>
      <c r="B6260" s="186" t="s">
        <v>11501</v>
      </c>
      <c r="C6260" s="190" t="s">
        <v>11502</v>
      </c>
      <c r="D6260" s="191">
        <v>1786.76</v>
      </c>
      <c r="E6260" s="191">
        <v>159</v>
      </c>
      <c r="F6260" s="191">
        <v>186</v>
      </c>
      <c r="G6260" s="191">
        <v>1441.76</v>
      </c>
      <c r="H6260" s="192">
        <v>8100.68</v>
      </c>
      <c r="I6260" s="192">
        <v>1828.56</v>
      </c>
      <c r="J6260" s="192">
        <v>1040.73</v>
      </c>
      <c r="K6260" s="192">
        <v>5231.3900000000003</v>
      </c>
      <c r="L6260" s="43">
        <v>4.5337258501421571</v>
      </c>
      <c r="M6260" s="43">
        <v>11.500377358490566</v>
      </c>
      <c r="N6260" s="43">
        <v>5.5953225806451616</v>
      </c>
      <c r="O6260" s="43">
        <v>3.6284749195427812</v>
      </c>
      <c r="P6260" s="193"/>
      <c r="Q6260" s="193"/>
      <c r="R6260" s="193">
        <v>5</v>
      </c>
    </row>
    <row r="6261" spans="1:18" ht="24">
      <c r="A6261" s="189">
        <v>1096</v>
      </c>
      <c r="B6261" s="186" t="s">
        <v>11503</v>
      </c>
      <c r="C6261" s="190" t="s">
        <v>11504</v>
      </c>
      <c r="D6261" s="191">
        <v>231.98</v>
      </c>
      <c r="E6261" s="191">
        <v>39.75</v>
      </c>
      <c r="F6261" s="191">
        <v>62</v>
      </c>
      <c r="G6261" s="191">
        <v>130.22999999999999</v>
      </c>
      <c r="H6261" s="192">
        <v>1386.53</v>
      </c>
      <c r="I6261" s="192">
        <v>457.14</v>
      </c>
      <c r="J6261" s="192">
        <v>346.91</v>
      </c>
      <c r="K6261" s="192">
        <v>582.48</v>
      </c>
      <c r="L6261" s="43">
        <v>5.9769376670402625</v>
      </c>
      <c r="M6261" s="43">
        <v>11.500377358490566</v>
      </c>
      <c r="N6261" s="43">
        <v>5.5953225806451616</v>
      </c>
      <c r="O6261" s="43">
        <v>4.4727021423635112</v>
      </c>
      <c r="P6261" s="193"/>
      <c r="Q6261" s="193"/>
      <c r="R6261" s="193">
        <v>5</v>
      </c>
    </row>
    <row r="6262" spans="1:18" ht="24">
      <c r="A6262" s="189">
        <v>1097</v>
      </c>
      <c r="B6262" s="186" t="s">
        <v>11505</v>
      </c>
      <c r="C6262" s="190" t="s">
        <v>11506</v>
      </c>
      <c r="D6262" s="191">
        <v>476.58</v>
      </c>
      <c r="E6262" s="191">
        <v>66.25</v>
      </c>
      <c r="F6262" s="191">
        <v>78.17</v>
      </c>
      <c r="G6262" s="191">
        <v>332.16</v>
      </c>
      <c r="H6262" s="192">
        <v>2617.94</v>
      </c>
      <c r="I6262" s="192">
        <v>761.9</v>
      </c>
      <c r="J6262" s="192">
        <v>437.41</v>
      </c>
      <c r="K6262" s="192">
        <v>1418.63</v>
      </c>
      <c r="L6262" s="43">
        <v>5.4931805782869612</v>
      </c>
      <c r="M6262" s="43">
        <v>11.500377358490566</v>
      </c>
      <c r="N6262" s="43">
        <v>5.5956249200460535</v>
      </c>
      <c r="O6262" s="43">
        <v>4.2709236512524082</v>
      </c>
      <c r="P6262" s="193"/>
      <c r="Q6262" s="193"/>
      <c r="R6262" s="193">
        <v>5</v>
      </c>
    </row>
    <row r="6263" spans="1:18" ht="24">
      <c r="A6263" s="189">
        <v>1098</v>
      </c>
      <c r="B6263" s="186" t="s">
        <v>11507</v>
      </c>
      <c r="C6263" s="190" t="s">
        <v>11508</v>
      </c>
      <c r="D6263" s="191">
        <v>704.09</v>
      </c>
      <c r="E6263" s="191">
        <v>106</v>
      </c>
      <c r="F6263" s="191">
        <v>142.87</v>
      </c>
      <c r="G6263" s="191">
        <v>455.22</v>
      </c>
      <c r="H6263" s="192">
        <v>3928.03</v>
      </c>
      <c r="I6263" s="192">
        <v>1219.04</v>
      </c>
      <c r="J6263" s="192">
        <v>799.4</v>
      </c>
      <c r="K6263" s="192">
        <v>1909.59</v>
      </c>
      <c r="L6263" s="43">
        <v>5.5788748597480433</v>
      </c>
      <c r="M6263" s="43">
        <v>11.500377358490566</v>
      </c>
      <c r="N6263" s="43">
        <v>5.5952964233219005</v>
      </c>
      <c r="O6263" s="43">
        <v>4.1948728087518115</v>
      </c>
      <c r="P6263" s="193"/>
      <c r="Q6263" s="193"/>
      <c r="R6263" s="193">
        <v>5</v>
      </c>
    </row>
    <row r="6264" spans="1:18" ht="24">
      <c r="A6264" s="189">
        <v>1099</v>
      </c>
      <c r="B6264" s="186" t="s">
        <v>11509</v>
      </c>
      <c r="C6264" s="190" t="s">
        <v>11510</v>
      </c>
      <c r="D6264" s="191">
        <v>936.5</v>
      </c>
      <c r="E6264" s="191">
        <v>132.5</v>
      </c>
      <c r="F6264" s="191">
        <v>169.82</v>
      </c>
      <c r="G6264" s="191">
        <v>634.17999999999995</v>
      </c>
      <c r="H6264" s="192">
        <v>4988.42</v>
      </c>
      <c r="I6264" s="192">
        <v>1523.8</v>
      </c>
      <c r="J6264" s="192">
        <v>950.23</v>
      </c>
      <c r="K6264" s="192">
        <v>2514.39</v>
      </c>
      <c r="L6264" s="43">
        <v>5.3266631073144692</v>
      </c>
      <c r="M6264" s="43">
        <v>11.500377358490566</v>
      </c>
      <c r="N6264" s="43">
        <v>5.5955128960075378</v>
      </c>
      <c r="O6264" s="43">
        <v>3.9647891765744743</v>
      </c>
      <c r="P6264" s="193"/>
      <c r="Q6264" s="193"/>
      <c r="R6264" s="193">
        <v>5</v>
      </c>
    </row>
    <row r="6265" spans="1:18" ht="24">
      <c r="A6265" s="189">
        <v>1100</v>
      </c>
      <c r="B6265" s="186" t="s">
        <v>11511</v>
      </c>
      <c r="C6265" s="190" t="s">
        <v>11512</v>
      </c>
      <c r="D6265" s="191">
        <v>1075.99</v>
      </c>
      <c r="E6265" s="191">
        <v>132.5</v>
      </c>
      <c r="F6265" s="191">
        <v>179.26</v>
      </c>
      <c r="G6265" s="191">
        <v>764.23</v>
      </c>
      <c r="H6265" s="192">
        <v>5553.72</v>
      </c>
      <c r="I6265" s="192">
        <v>1523.8</v>
      </c>
      <c r="J6265" s="192">
        <v>1003.02</v>
      </c>
      <c r="K6265" s="192">
        <v>3026.9</v>
      </c>
      <c r="L6265" s="43">
        <v>5.1614977834366496</v>
      </c>
      <c r="M6265" s="43">
        <v>11.500377358490566</v>
      </c>
      <c r="N6265" s="43">
        <v>5.5953363829075089</v>
      </c>
      <c r="O6265" s="43">
        <v>3.9607186318254977</v>
      </c>
      <c r="P6265" s="193"/>
      <c r="Q6265" s="193"/>
      <c r="R6265" s="193">
        <v>5</v>
      </c>
    </row>
    <row r="6266" spans="1:18" ht="24">
      <c r="A6266" s="189">
        <v>1101</v>
      </c>
      <c r="B6266" s="186" t="s">
        <v>11513</v>
      </c>
      <c r="C6266" s="190" t="s">
        <v>11514</v>
      </c>
      <c r="D6266" s="191">
        <v>1527.24</v>
      </c>
      <c r="E6266" s="191">
        <v>198.75</v>
      </c>
      <c r="F6266" s="191">
        <v>250.69</v>
      </c>
      <c r="G6266" s="191">
        <v>1077.8</v>
      </c>
      <c r="H6266" s="192">
        <v>7823.51</v>
      </c>
      <c r="I6266" s="192">
        <v>2285.6999999999998</v>
      </c>
      <c r="J6266" s="192">
        <v>1402.72</v>
      </c>
      <c r="K6266" s="192">
        <v>4135.09</v>
      </c>
      <c r="L6266" s="43">
        <v>5.1226460805112488</v>
      </c>
      <c r="M6266" s="43">
        <v>11.500377358490566</v>
      </c>
      <c r="N6266" s="43">
        <v>5.595436594997806</v>
      </c>
      <c r="O6266" s="43">
        <v>3.8366023380961218</v>
      </c>
      <c r="P6266" s="193"/>
      <c r="Q6266" s="193"/>
      <c r="R6266" s="193">
        <v>5</v>
      </c>
    </row>
    <row r="6267" spans="1:18" ht="24">
      <c r="A6267" s="189">
        <v>1102</v>
      </c>
      <c r="B6267" s="186" t="s">
        <v>11515</v>
      </c>
      <c r="C6267" s="190" t="s">
        <v>11516</v>
      </c>
      <c r="D6267" s="191">
        <v>1640.6</v>
      </c>
      <c r="E6267" s="191">
        <v>251.75</v>
      </c>
      <c r="F6267" s="191">
        <v>309.99</v>
      </c>
      <c r="G6267" s="191">
        <v>1078.8599999999999</v>
      </c>
      <c r="H6267" s="192">
        <v>8777.0499999999993</v>
      </c>
      <c r="I6267" s="192">
        <v>2895.22</v>
      </c>
      <c r="J6267" s="192">
        <v>1734.55</v>
      </c>
      <c r="K6267" s="192">
        <v>4147.28</v>
      </c>
      <c r="L6267" s="43">
        <v>5.3499024747043764</v>
      </c>
      <c r="M6267" s="43">
        <v>11.500377358490566</v>
      </c>
      <c r="N6267" s="43">
        <v>5.5955030807445398</v>
      </c>
      <c r="O6267" s="43">
        <v>3.844131768718833</v>
      </c>
      <c r="P6267" s="193"/>
      <c r="Q6267" s="193"/>
      <c r="R6267" s="193">
        <v>5</v>
      </c>
    </row>
    <row r="6268" spans="1:18" ht="12.75" customHeight="1">
      <c r="A6268" s="628" t="s">
        <v>11517</v>
      </c>
      <c r="B6268" s="629"/>
      <c r="C6268" s="629"/>
      <c r="D6268" s="629"/>
      <c r="E6268" s="629"/>
      <c r="F6268" s="629"/>
      <c r="G6268" s="629"/>
      <c r="H6268" s="629"/>
      <c r="I6268" s="629"/>
      <c r="J6268" s="629"/>
      <c r="K6268" s="629"/>
      <c r="L6268" s="629"/>
      <c r="M6268" s="629"/>
      <c r="N6268" s="629"/>
      <c r="O6268" s="629"/>
      <c r="P6268" s="629"/>
      <c r="Q6268" s="629"/>
      <c r="R6268" s="629"/>
    </row>
    <row r="6269" spans="1:18" ht="24">
      <c r="A6269" s="189">
        <v>1103</v>
      </c>
      <c r="B6269" s="186" t="s">
        <v>11518</v>
      </c>
      <c r="C6269" s="190" t="s">
        <v>11519</v>
      </c>
      <c r="D6269" s="191">
        <v>1455.36</v>
      </c>
      <c r="E6269" s="191">
        <v>477</v>
      </c>
      <c r="F6269" s="191">
        <v>775.76</v>
      </c>
      <c r="G6269" s="191">
        <v>202.6</v>
      </c>
      <c r="H6269" s="192">
        <v>11354.55</v>
      </c>
      <c r="I6269" s="192">
        <v>5485.68</v>
      </c>
      <c r="J6269" s="192">
        <v>4321.5600000000004</v>
      </c>
      <c r="K6269" s="192">
        <v>1547.31</v>
      </c>
      <c r="L6269" s="43">
        <v>7.8018840699208445</v>
      </c>
      <c r="M6269" s="43">
        <v>11.500377358490567</v>
      </c>
      <c r="N6269" s="43">
        <v>5.5707435289264726</v>
      </c>
      <c r="O6269" s="43">
        <v>7.6372655478775915</v>
      </c>
      <c r="P6269" s="193"/>
      <c r="Q6269" s="193"/>
      <c r="R6269" s="193">
        <v>6</v>
      </c>
    </row>
    <row r="6270" spans="1:18" ht="24">
      <c r="A6270" s="189">
        <v>1104</v>
      </c>
      <c r="B6270" s="186" t="s">
        <v>11520</v>
      </c>
      <c r="C6270" s="190" t="s">
        <v>11521</v>
      </c>
      <c r="D6270" s="191">
        <v>2354.63</v>
      </c>
      <c r="E6270" s="191">
        <v>834.75</v>
      </c>
      <c r="F6270" s="191">
        <v>1221.8800000000001</v>
      </c>
      <c r="G6270" s="191">
        <v>298</v>
      </c>
      <c r="H6270" s="192">
        <v>18640.11</v>
      </c>
      <c r="I6270" s="192">
        <v>9599.94</v>
      </c>
      <c r="J6270" s="192">
        <v>6817.8</v>
      </c>
      <c r="K6270" s="192">
        <v>2222.37</v>
      </c>
      <c r="L6270" s="43">
        <v>7.9163647791797436</v>
      </c>
      <c r="M6270" s="43">
        <v>11.500377358490567</v>
      </c>
      <c r="N6270" s="43">
        <v>5.5797623334533668</v>
      </c>
      <c r="O6270" s="43">
        <v>7.4576174496644292</v>
      </c>
      <c r="P6270" s="193"/>
      <c r="Q6270" s="193"/>
      <c r="R6270" s="193">
        <v>6</v>
      </c>
    </row>
    <row r="6271" spans="1:18" ht="24">
      <c r="A6271" s="189">
        <v>1105</v>
      </c>
      <c r="B6271" s="186" t="s">
        <v>11522</v>
      </c>
      <c r="C6271" s="190" t="s">
        <v>11523</v>
      </c>
      <c r="D6271" s="191">
        <v>1735.31</v>
      </c>
      <c r="E6271" s="191">
        <v>606.13</v>
      </c>
      <c r="F6271" s="191">
        <v>924</v>
      </c>
      <c r="G6271" s="191">
        <v>205.18</v>
      </c>
      <c r="H6271" s="192">
        <v>13680.33</v>
      </c>
      <c r="I6271" s="192">
        <v>6970.74</v>
      </c>
      <c r="J6271" s="192">
        <v>5132.6099999999997</v>
      </c>
      <c r="K6271" s="192">
        <v>1576.98</v>
      </c>
      <c r="L6271" s="43">
        <v>7.883507845860394</v>
      </c>
      <c r="M6271" s="43">
        <v>11.500404203718674</v>
      </c>
      <c r="N6271" s="43">
        <v>5.5547727272727272</v>
      </c>
      <c r="O6271" s="43">
        <v>7.6858368262013839</v>
      </c>
      <c r="P6271" s="193"/>
      <c r="Q6271" s="193"/>
      <c r="R6271" s="193">
        <v>6</v>
      </c>
    </row>
    <row r="6272" spans="1:18" ht="24">
      <c r="A6272" s="189">
        <v>1106</v>
      </c>
      <c r="B6272" s="186" t="s">
        <v>11524</v>
      </c>
      <c r="C6272" s="190" t="s">
        <v>11525</v>
      </c>
      <c r="D6272" s="191">
        <v>2693.75</v>
      </c>
      <c r="E6272" s="191">
        <v>1063.82</v>
      </c>
      <c r="F6272" s="191">
        <v>1326.99</v>
      </c>
      <c r="G6272" s="191">
        <v>302.94</v>
      </c>
      <c r="H6272" s="192">
        <v>21898.78</v>
      </c>
      <c r="I6272" s="192">
        <v>12234.36</v>
      </c>
      <c r="J6272" s="192">
        <v>7387.52</v>
      </c>
      <c r="K6272" s="192">
        <v>2276.9</v>
      </c>
      <c r="L6272" s="43">
        <v>8.129477494199536</v>
      </c>
      <c r="M6272" s="43">
        <v>11.500404203718675</v>
      </c>
      <c r="N6272" s="43">
        <v>5.5671256000422007</v>
      </c>
      <c r="O6272" s="43">
        <v>7.5160097709117322</v>
      </c>
      <c r="P6272" s="193"/>
      <c r="Q6272" s="193"/>
      <c r="R6272" s="193">
        <v>6</v>
      </c>
    </row>
    <row r="6273" spans="1:18" ht="24">
      <c r="A6273" s="189">
        <v>1107</v>
      </c>
      <c r="B6273" s="186" t="s">
        <v>11526</v>
      </c>
      <c r="C6273" s="190" t="s">
        <v>11527</v>
      </c>
      <c r="D6273" s="191">
        <v>105.48</v>
      </c>
      <c r="E6273" s="191">
        <v>103.41</v>
      </c>
      <c r="F6273" s="191"/>
      <c r="G6273" s="191">
        <v>2.0699999999999998</v>
      </c>
      <c r="H6273" s="192">
        <v>1213.07</v>
      </c>
      <c r="I6273" s="192">
        <v>1189.26</v>
      </c>
      <c r="J6273" s="192"/>
      <c r="K6273" s="192">
        <v>23.81</v>
      </c>
      <c r="L6273" s="43">
        <v>11.500474023511565</v>
      </c>
      <c r="M6273" s="43">
        <v>11.500435161009573</v>
      </c>
      <c r="N6273" s="43" t="s">
        <v>1690</v>
      </c>
      <c r="O6273" s="43">
        <v>11.502415458937199</v>
      </c>
      <c r="P6273" s="193"/>
      <c r="Q6273" s="193"/>
      <c r="R6273" s="193">
        <v>6</v>
      </c>
    </row>
    <row r="6274" spans="1:18" ht="24">
      <c r="A6274" s="189">
        <v>1108</v>
      </c>
      <c r="B6274" s="186" t="s">
        <v>11528</v>
      </c>
      <c r="C6274" s="190" t="s">
        <v>11529</v>
      </c>
      <c r="D6274" s="191">
        <v>164.08</v>
      </c>
      <c r="E6274" s="191">
        <v>160.86000000000001</v>
      </c>
      <c r="F6274" s="191"/>
      <c r="G6274" s="191">
        <v>3.22</v>
      </c>
      <c r="H6274" s="192">
        <v>1886.99</v>
      </c>
      <c r="I6274" s="192">
        <v>1849.96</v>
      </c>
      <c r="J6274" s="192"/>
      <c r="K6274" s="192">
        <v>37.03</v>
      </c>
      <c r="L6274" s="43">
        <v>11.500426621160409</v>
      </c>
      <c r="M6274" s="43">
        <v>11.500435161009573</v>
      </c>
      <c r="N6274" s="43" t="s">
        <v>1690</v>
      </c>
      <c r="O6274" s="43">
        <v>11.5</v>
      </c>
      <c r="P6274" s="193"/>
      <c r="Q6274" s="193"/>
      <c r="R6274" s="193">
        <v>6</v>
      </c>
    </row>
    <row r="6275" spans="1:18" ht="12.75" customHeight="1">
      <c r="A6275" s="628" t="s">
        <v>11530</v>
      </c>
      <c r="B6275" s="629"/>
      <c r="C6275" s="629"/>
      <c r="D6275" s="629"/>
      <c r="E6275" s="629"/>
      <c r="F6275" s="629"/>
      <c r="G6275" s="629"/>
      <c r="H6275" s="629"/>
      <c r="I6275" s="629"/>
      <c r="J6275" s="629"/>
      <c r="K6275" s="629"/>
      <c r="L6275" s="629"/>
      <c r="M6275" s="629"/>
      <c r="N6275" s="629"/>
      <c r="O6275" s="629"/>
      <c r="P6275" s="629"/>
      <c r="Q6275" s="629"/>
      <c r="R6275" s="629"/>
    </row>
    <row r="6276" spans="1:18" ht="36">
      <c r="A6276" s="189">
        <v>1109</v>
      </c>
      <c r="B6276" s="186" t="s">
        <v>11531</v>
      </c>
      <c r="C6276" s="190" t="s">
        <v>11532</v>
      </c>
      <c r="D6276" s="191">
        <v>157.72999999999999</v>
      </c>
      <c r="E6276" s="191">
        <v>149.37</v>
      </c>
      <c r="F6276" s="191"/>
      <c r="G6276" s="191">
        <v>8.36</v>
      </c>
      <c r="H6276" s="192">
        <v>1795.03</v>
      </c>
      <c r="I6276" s="192">
        <v>1717.82</v>
      </c>
      <c r="J6276" s="192"/>
      <c r="K6276" s="192">
        <v>77.209999999999994</v>
      </c>
      <c r="L6276" s="43">
        <v>11.380396880745579</v>
      </c>
      <c r="M6276" s="43">
        <v>11.500435161009573</v>
      </c>
      <c r="N6276" s="43" t="s">
        <v>1690</v>
      </c>
      <c r="O6276" s="43">
        <v>9.2356459330143537</v>
      </c>
      <c r="P6276" s="193"/>
      <c r="Q6276" s="193"/>
      <c r="R6276" s="193">
        <v>7</v>
      </c>
    </row>
    <row r="6277" spans="1:18" ht="24">
      <c r="A6277" s="189">
        <v>1110</v>
      </c>
      <c r="B6277" s="186" t="s">
        <v>11533</v>
      </c>
      <c r="C6277" s="190" t="s">
        <v>11534</v>
      </c>
      <c r="D6277" s="191">
        <v>46.88</v>
      </c>
      <c r="E6277" s="191">
        <v>45.96</v>
      </c>
      <c r="F6277" s="191"/>
      <c r="G6277" s="191">
        <v>0.92</v>
      </c>
      <c r="H6277" s="192">
        <v>539.14</v>
      </c>
      <c r="I6277" s="192">
        <v>528.55999999999995</v>
      </c>
      <c r="J6277" s="192"/>
      <c r="K6277" s="192">
        <v>10.58</v>
      </c>
      <c r="L6277" s="43">
        <v>11.500426621160409</v>
      </c>
      <c r="M6277" s="43">
        <v>11.500435161009571</v>
      </c>
      <c r="N6277" s="43" t="s">
        <v>1690</v>
      </c>
      <c r="O6277" s="43">
        <v>11.5</v>
      </c>
      <c r="P6277" s="193"/>
      <c r="Q6277" s="193"/>
      <c r="R6277" s="193">
        <v>7</v>
      </c>
    </row>
    <row r="6278" spans="1:18" ht="24">
      <c r="A6278" s="189">
        <v>1111</v>
      </c>
      <c r="B6278" s="186" t="s">
        <v>11535</v>
      </c>
      <c r="C6278" s="190" t="s">
        <v>11536</v>
      </c>
      <c r="D6278" s="191">
        <v>70.319999999999993</v>
      </c>
      <c r="E6278" s="191">
        <v>68.94</v>
      </c>
      <c r="F6278" s="191"/>
      <c r="G6278" s="191">
        <v>1.38</v>
      </c>
      <c r="H6278" s="192">
        <v>808.71</v>
      </c>
      <c r="I6278" s="192">
        <v>792.84</v>
      </c>
      <c r="J6278" s="192"/>
      <c r="K6278" s="192">
        <v>15.87</v>
      </c>
      <c r="L6278" s="43">
        <v>11.500426621160411</v>
      </c>
      <c r="M6278" s="43">
        <v>11.500435161009575</v>
      </c>
      <c r="N6278" s="43" t="s">
        <v>1690</v>
      </c>
      <c r="O6278" s="43">
        <v>11.5</v>
      </c>
      <c r="P6278" s="193"/>
      <c r="Q6278" s="193"/>
      <c r="R6278" s="193">
        <v>7</v>
      </c>
    </row>
    <row r="6279" spans="1:18" ht="24">
      <c r="A6279" s="189">
        <v>1112</v>
      </c>
      <c r="B6279" s="186" t="s">
        <v>11537</v>
      </c>
      <c r="C6279" s="190" t="s">
        <v>11538</v>
      </c>
      <c r="D6279" s="191">
        <v>117.2</v>
      </c>
      <c r="E6279" s="191">
        <v>114.9</v>
      </c>
      <c r="F6279" s="191"/>
      <c r="G6279" s="191">
        <v>2.2999999999999998</v>
      </c>
      <c r="H6279" s="192">
        <v>1347.85</v>
      </c>
      <c r="I6279" s="192">
        <v>1321.4</v>
      </c>
      <c r="J6279" s="192"/>
      <c r="K6279" s="192">
        <v>26.45</v>
      </c>
      <c r="L6279" s="43">
        <v>11.500426621160409</v>
      </c>
      <c r="M6279" s="43">
        <v>11.500435161009573</v>
      </c>
      <c r="N6279" s="43" t="s">
        <v>1690</v>
      </c>
      <c r="O6279" s="43">
        <v>11.5</v>
      </c>
      <c r="P6279" s="193"/>
      <c r="Q6279" s="193"/>
      <c r="R6279" s="193">
        <v>7</v>
      </c>
    </row>
    <row r="6280" spans="1:18" ht="24">
      <c r="A6280" s="189">
        <v>1113</v>
      </c>
      <c r="B6280" s="186" t="s">
        <v>11539</v>
      </c>
      <c r="C6280" s="190" t="s">
        <v>11540</v>
      </c>
      <c r="D6280" s="191">
        <v>234.4</v>
      </c>
      <c r="E6280" s="191">
        <v>229.8</v>
      </c>
      <c r="F6280" s="191"/>
      <c r="G6280" s="191">
        <v>4.5999999999999996</v>
      </c>
      <c r="H6280" s="192">
        <v>2695.7</v>
      </c>
      <c r="I6280" s="192">
        <v>2642.8</v>
      </c>
      <c r="J6280" s="192"/>
      <c r="K6280" s="192">
        <v>52.9</v>
      </c>
      <c r="L6280" s="43">
        <v>11.500426621160409</v>
      </c>
      <c r="M6280" s="43">
        <v>11.500435161009573</v>
      </c>
      <c r="N6280" s="43" t="s">
        <v>1690</v>
      </c>
      <c r="O6280" s="43">
        <v>11.5</v>
      </c>
      <c r="P6280" s="193"/>
      <c r="Q6280" s="193"/>
      <c r="R6280" s="193">
        <v>7</v>
      </c>
    </row>
    <row r="6281" spans="1:18" ht="24">
      <c r="A6281" s="189">
        <v>1114</v>
      </c>
      <c r="B6281" s="186" t="s">
        <v>11541</v>
      </c>
      <c r="C6281" s="190" t="s">
        <v>11542</v>
      </c>
      <c r="D6281" s="191">
        <v>363.31</v>
      </c>
      <c r="E6281" s="191">
        <v>356.19</v>
      </c>
      <c r="F6281" s="191"/>
      <c r="G6281" s="191">
        <v>7.12</v>
      </c>
      <c r="H6281" s="192">
        <v>4178.22</v>
      </c>
      <c r="I6281" s="192">
        <v>4096.34</v>
      </c>
      <c r="J6281" s="192"/>
      <c r="K6281" s="192">
        <v>81.88</v>
      </c>
      <c r="L6281" s="43">
        <v>11.50042663290303</v>
      </c>
      <c r="M6281" s="43">
        <v>11.500435161009573</v>
      </c>
      <c r="N6281" s="43" t="s">
        <v>1690</v>
      </c>
      <c r="O6281" s="43">
        <v>11.5</v>
      </c>
      <c r="P6281" s="193"/>
      <c r="Q6281" s="193"/>
      <c r="R6281" s="193">
        <v>7</v>
      </c>
    </row>
    <row r="6282" spans="1:18" ht="24">
      <c r="A6282" s="189">
        <v>1115</v>
      </c>
      <c r="B6282" s="186" t="s">
        <v>11543</v>
      </c>
      <c r="C6282" s="190" t="s">
        <v>11544</v>
      </c>
      <c r="D6282" s="191">
        <v>562.54999999999995</v>
      </c>
      <c r="E6282" s="191">
        <v>551.52</v>
      </c>
      <c r="F6282" s="191"/>
      <c r="G6282" s="191">
        <v>11.03</v>
      </c>
      <c r="H6282" s="192">
        <v>6469.57</v>
      </c>
      <c r="I6282" s="192">
        <v>6342.72</v>
      </c>
      <c r="J6282" s="192"/>
      <c r="K6282" s="192">
        <v>126.85</v>
      </c>
      <c r="L6282" s="43">
        <v>11.500435516842948</v>
      </c>
      <c r="M6282" s="43">
        <v>11.500435161009575</v>
      </c>
      <c r="N6282" s="43" t="s">
        <v>1690</v>
      </c>
      <c r="O6282" s="43">
        <v>11.500453309156844</v>
      </c>
      <c r="P6282" s="193"/>
      <c r="Q6282" s="193"/>
      <c r="R6282" s="193">
        <v>7</v>
      </c>
    </row>
    <row r="6283" spans="1:18" ht="24">
      <c r="A6283" s="189">
        <v>1116</v>
      </c>
      <c r="B6283" s="186" t="s">
        <v>11545</v>
      </c>
      <c r="C6283" s="190" t="s">
        <v>11546</v>
      </c>
      <c r="D6283" s="191">
        <v>773.98</v>
      </c>
      <c r="E6283" s="191">
        <v>758.8</v>
      </c>
      <c r="F6283" s="191"/>
      <c r="G6283" s="191">
        <v>15.18</v>
      </c>
      <c r="H6283" s="192">
        <v>8900.77</v>
      </c>
      <c r="I6283" s="192">
        <v>8726.2000000000007</v>
      </c>
      <c r="J6283" s="192"/>
      <c r="K6283" s="192">
        <v>174.57</v>
      </c>
      <c r="L6283" s="43">
        <v>11.5</v>
      </c>
      <c r="M6283" s="43">
        <v>11.500000000000002</v>
      </c>
      <c r="N6283" s="43" t="s">
        <v>1690</v>
      </c>
      <c r="O6283" s="43">
        <v>11.5</v>
      </c>
      <c r="P6283" s="193"/>
      <c r="Q6283" s="193"/>
      <c r="R6283" s="193">
        <v>7</v>
      </c>
    </row>
    <row r="6284" spans="1:18" ht="24">
      <c r="A6284" s="189">
        <v>1117</v>
      </c>
      <c r="B6284" s="186" t="s">
        <v>11547</v>
      </c>
      <c r="C6284" s="190" t="s">
        <v>11548</v>
      </c>
      <c r="D6284" s="191">
        <v>1050.4000000000001</v>
      </c>
      <c r="E6284" s="191">
        <v>1029.8</v>
      </c>
      <c r="F6284" s="191"/>
      <c r="G6284" s="191">
        <v>20.6</v>
      </c>
      <c r="H6284" s="192">
        <v>12079.6</v>
      </c>
      <c r="I6284" s="192">
        <v>11842.7</v>
      </c>
      <c r="J6284" s="192"/>
      <c r="K6284" s="192">
        <v>236.9</v>
      </c>
      <c r="L6284" s="43">
        <v>11.5</v>
      </c>
      <c r="M6284" s="43">
        <v>11.500000000000002</v>
      </c>
      <c r="N6284" s="43" t="s">
        <v>1690</v>
      </c>
      <c r="O6284" s="43">
        <v>11.5</v>
      </c>
      <c r="P6284" s="193"/>
      <c r="Q6284" s="193"/>
      <c r="R6284" s="193">
        <v>7</v>
      </c>
    </row>
    <row r="6285" spans="1:18" ht="24">
      <c r="A6285" s="189">
        <v>1118</v>
      </c>
      <c r="B6285" s="186" t="s">
        <v>11549</v>
      </c>
      <c r="C6285" s="190" t="s">
        <v>11550</v>
      </c>
      <c r="D6285" s="191">
        <v>1371.04</v>
      </c>
      <c r="E6285" s="191">
        <v>1344.16</v>
      </c>
      <c r="F6285" s="191"/>
      <c r="G6285" s="191">
        <v>26.88</v>
      </c>
      <c r="H6285" s="192">
        <v>15766.96</v>
      </c>
      <c r="I6285" s="192">
        <v>15457.84</v>
      </c>
      <c r="J6285" s="192"/>
      <c r="K6285" s="192">
        <v>309.12</v>
      </c>
      <c r="L6285" s="43">
        <v>11.5</v>
      </c>
      <c r="M6285" s="43">
        <v>11.5</v>
      </c>
      <c r="N6285" s="43" t="s">
        <v>1690</v>
      </c>
      <c r="O6285" s="43">
        <v>11.5</v>
      </c>
      <c r="P6285" s="193"/>
      <c r="Q6285" s="193"/>
      <c r="R6285" s="193">
        <v>7</v>
      </c>
    </row>
    <row r="6286" spans="1:18" ht="24">
      <c r="A6286" s="189">
        <v>1119</v>
      </c>
      <c r="B6286" s="186" t="s">
        <v>11551</v>
      </c>
      <c r="C6286" s="190" t="s">
        <v>11552</v>
      </c>
      <c r="D6286" s="191">
        <v>1735.92</v>
      </c>
      <c r="E6286" s="191">
        <v>1701.88</v>
      </c>
      <c r="F6286" s="191"/>
      <c r="G6286" s="191">
        <v>34.04</v>
      </c>
      <c r="H6286" s="192">
        <v>19963.080000000002</v>
      </c>
      <c r="I6286" s="192">
        <v>19571.62</v>
      </c>
      <c r="J6286" s="192"/>
      <c r="K6286" s="192">
        <v>391.46</v>
      </c>
      <c r="L6286" s="43">
        <v>11.5</v>
      </c>
      <c r="M6286" s="43">
        <v>11.499999999999998</v>
      </c>
      <c r="N6286" s="43" t="s">
        <v>1690</v>
      </c>
      <c r="O6286" s="43">
        <v>11.5</v>
      </c>
      <c r="P6286" s="193"/>
      <c r="Q6286" s="193"/>
      <c r="R6286" s="193">
        <v>7</v>
      </c>
    </row>
    <row r="6287" spans="1:18" ht="24">
      <c r="A6287" s="189">
        <v>1120</v>
      </c>
      <c r="B6287" s="186" t="s">
        <v>11553</v>
      </c>
      <c r="C6287" s="190" t="s">
        <v>11554</v>
      </c>
      <c r="D6287" s="191">
        <v>2145.02</v>
      </c>
      <c r="E6287" s="191">
        <v>2102.96</v>
      </c>
      <c r="F6287" s="191"/>
      <c r="G6287" s="191">
        <v>42.06</v>
      </c>
      <c r="H6287" s="192">
        <v>24667.73</v>
      </c>
      <c r="I6287" s="192">
        <v>24184.04</v>
      </c>
      <c r="J6287" s="192"/>
      <c r="K6287" s="192">
        <v>483.69</v>
      </c>
      <c r="L6287" s="43">
        <v>11.5</v>
      </c>
      <c r="M6287" s="43">
        <v>11.5</v>
      </c>
      <c r="N6287" s="43" t="s">
        <v>1690</v>
      </c>
      <c r="O6287" s="43">
        <v>11.5</v>
      </c>
      <c r="P6287" s="193"/>
      <c r="Q6287" s="193"/>
      <c r="R6287" s="193">
        <v>7</v>
      </c>
    </row>
    <row r="6288" spans="1:18" ht="24">
      <c r="A6288" s="189">
        <v>1121</v>
      </c>
      <c r="B6288" s="186" t="s">
        <v>11555</v>
      </c>
      <c r="C6288" s="190" t="s">
        <v>11556</v>
      </c>
      <c r="D6288" s="191">
        <v>3073.79</v>
      </c>
      <c r="E6288" s="191">
        <v>3013.52</v>
      </c>
      <c r="F6288" s="191"/>
      <c r="G6288" s="191">
        <v>60.27</v>
      </c>
      <c r="H6288" s="192">
        <v>35348.589999999997</v>
      </c>
      <c r="I6288" s="192">
        <v>34655.480000000003</v>
      </c>
      <c r="J6288" s="192"/>
      <c r="K6288" s="192">
        <v>693.11</v>
      </c>
      <c r="L6288" s="43">
        <v>11.500001626656342</v>
      </c>
      <c r="M6288" s="43">
        <v>11.500000000000002</v>
      </c>
      <c r="N6288" s="43" t="s">
        <v>1690</v>
      </c>
      <c r="O6288" s="43">
        <v>11.500082960013273</v>
      </c>
      <c r="P6288" s="193"/>
      <c r="Q6288" s="193"/>
      <c r="R6288" s="193">
        <v>7</v>
      </c>
    </row>
    <row r="6289" spans="1:18" ht="24">
      <c r="A6289" s="189">
        <v>1122</v>
      </c>
      <c r="B6289" s="186" t="s">
        <v>11557</v>
      </c>
      <c r="C6289" s="190" t="s">
        <v>11558</v>
      </c>
      <c r="D6289" s="191">
        <v>4190.53</v>
      </c>
      <c r="E6289" s="191">
        <v>4108.3599999999997</v>
      </c>
      <c r="F6289" s="191"/>
      <c r="G6289" s="191">
        <v>82.17</v>
      </c>
      <c r="H6289" s="192">
        <v>48191.1</v>
      </c>
      <c r="I6289" s="192">
        <v>47246.14</v>
      </c>
      <c r="J6289" s="192"/>
      <c r="K6289" s="192">
        <v>944.96</v>
      </c>
      <c r="L6289" s="43">
        <v>11.500001193166497</v>
      </c>
      <c r="M6289" s="43">
        <v>11.5</v>
      </c>
      <c r="N6289" s="43" t="s">
        <v>1690</v>
      </c>
      <c r="O6289" s="43">
        <v>11.500060849458441</v>
      </c>
      <c r="P6289" s="193"/>
      <c r="Q6289" s="193"/>
      <c r="R6289" s="193">
        <v>7</v>
      </c>
    </row>
    <row r="6290" spans="1:18" ht="24">
      <c r="A6290" s="189">
        <v>1123</v>
      </c>
      <c r="B6290" s="186" t="s">
        <v>11559</v>
      </c>
      <c r="C6290" s="190" t="s">
        <v>11560</v>
      </c>
      <c r="D6290" s="191">
        <v>5473.12</v>
      </c>
      <c r="E6290" s="191">
        <v>5365.8</v>
      </c>
      <c r="F6290" s="191"/>
      <c r="G6290" s="191">
        <v>107.32</v>
      </c>
      <c r="H6290" s="192">
        <v>62940.88</v>
      </c>
      <c r="I6290" s="192">
        <v>61706.7</v>
      </c>
      <c r="J6290" s="192"/>
      <c r="K6290" s="192">
        <v>1234.18</v>
      </c>
      <c r="L6290" s="43">
        <v>11.5</v>
      </c>
      <c r="M6290" s="43">
        <v>11.499999999999998</v>
      </c>
      <c r="N6290" s="43" t="s">
        <v>1690</v>
      </c>
      <c r="O6290" s="43">
        <v>11.500000000000002</v>
      </c>
      <c r="P6290" s="193"/>
      <c r="Q6290" s="193"/>
      <c r="R6290" s="193">
        <v>7</v>
      </c>
    </row>
    <row r="6291" spans="1:18" ht="24">
      <c r="A6291" s="189">
        <v>1124</v>
      </c>
      <c r="B6291" s="186" t="s">
        <v>11561</v>
      </c>
      <c r="C6291" s="190" t="s">
        <v>11562</v>
      </c>
      <c r="D6291" s="191">
        <v>6921.56</v>
      </c>
      <c r="E6291" s="191">
        <v>6785.84</v>
      </c>
      <c r="F6291" s="191"/>
      <c r="G6291" s="191">
        <v>135.72</v>
      </c>
      <c r="H6291" s="192">
        <v>79597.94</v>
      </c>
      <c r="I6291" s="192">
        <v>78037.16</v>
      </c>
      <c r="J6291" s="192"/>
      <c r="K6291" s="192">
        <v>1560.78</v>
      </c>
      <c r="L6291" s="43">
        <v>11.5</v>
      </c>
      <c r="M6291" s="43">
        <v>11.5</v>
      </c>
      <c r="N6291" s="43" t="s">
        <v>1690</v>
      </c>
      <c r="O6291" s="43">
        <v>11.5</v>
      </c>
      <c r="P6291" s="193"/>
      <c r="Q6291" s="193"/>
      <c r="R6291" s="193">
        <v>7</v>
      </c>
    </row>
    <row r="6292" spans="1:18" ht="24">
      <c r="A6292" s="189">
        <v>1125</v>
      </c>
      <c r="B6292" s="186" t="s">
        <v>11563</v>
      </c>
      <c r="C6292" s="190" t="s">
        <v>11564</v>
      </c>
      <c r="D6292" s="191">
        <v>8569.02</v>
      </c>
      <c r="E6292" s="191">
        <v>8401</v>
      </c>
      <c r="F6292" s="191"/>
      <c r="G6292" s="191">
        <v>168.02</v>
      </c>
      <c r="H6292" s="192">
        <v>98543.73</v>
      </c>
      <c r="I6292" s="192">
        <v>96611.5</v>
      </c>
      <c r="J6292" s="192"/>
      <c r="K6292" s="192">
        <v>1932.23</v>
      </c>
      <c r="L6292" s="43">
        <v>11.499999999999998</v>
      </c>
      <c r="M6292" s="43">
        <v>11.5</v>
      </c>
      <c r="N6292" s="43" t="s">
        <v>1690</v>
      </c>
      <c r="O6292" s="43">
        <v>11.5</v>
      </c>
      <c r="P6292" s="193"/>
      <c r="Q6292" s="193"/>
      <c r="R6292" s="193">
        <v>7</v>
      </c>
    </row>
    <row r="6293" spans="1:18" ht="24">
      <c r="A6293" s="189">
        <v>1126</v>
      </c>
      <c r="B6293" s="186" t="s">
        <v>11565</v>
      </c>
      <c r="C6293" s="190" t="s">
        <v>11566</v>
      </c>
      <c r="D6293" s="191">
        <v>12317.28</v>
      </c>
      <c r="E6293" s="191">
        <v>12075.76</v>
      </c>
      <c r="F6293" s="191"/>
      <c r="G6293" s="191">
        <v>241.52</v>
      </c>
      <c r="H6293" s="192">
        <v>141648.72</v>
      </c>
      <c r="I6293" s="192">
        <v>138871.24</v>
      </c>
      <c r="J6293" s="192"/>
      <c r="K6293" s="192">
        <v>2777.48</v>
      </c>
      <c r="L6293" s="43">
        <v>11.5</v>
      </c>
      <c r="M6293" s="43">
        <v>11.499999999999998</v>
      </c>
      <c r="N6293" s="43" t="s">
        <v>1690</v>
      </c>
      <c r="O6293" s="43">
        <v>11.5</v>
      </c>
      <c r="P6293" s="193"/>
      <c r="Q6293" s="193"/>
      <c r="R6293" s="193">
        <v>7</v>
      </c>
    </row>
    <row r="6294" spans="1:18" ht="12.75" customHeight="1">
      <c r="A6294" s="628" t="s">
        <v>11567</v>
      </c>
      <c r="B6294" s="629"/>
      <c r="C6294" s="629"/>
      <c r="D6294" s="629"/>
      <c r="E6294" s="629"/>
      <c r="F6294" s="629"/>
      <c r="G6294" s="629"/>
      <c r="H6294" s="629"/>
      <c r="I6294" s="629"/>
      <c r="J6294" s="629"/>
      <c r="K6294" s="629"/>
      <c r="L6294" s="629"/>
      <c r="M6294" s="629"/>
      <c r="N6294" s="629"/>
      <c r="O6294" s="629"/>
      <c r="P6294" s="629"/>
      <c r="Q6294" s="629"/>
      <c r="R6294" s="629"/>
    </row>
    <row r="6295" spans="1:18" ht="24">
      <c r="A6295" s="189">
        <v>1127</v>
      </c>
      <c r="B6295" s="186" t="s">
        <v>11568</v>
      </c>
      <c r="C6295" s="190" t="s">
        <v>11569</v>
      </c>
      <c r="D6295" s="191">
        <v>20.49</v>
      </c>
      <c r="E6295" s="191">
        <v>10.84</v>
      </c>
      <c r="F6295" s="191">
        <v>9.43</v>
      </c>
      <c r="G6295" s="191">
        <v>0.22</v>
      </c>
      <c r="H6295" s="192">
        <v>179.98</v>
      </c>
      <c r="I6295" s="192">
        <v>124.66</v>
      </c>
      <c r="J6295" s="192">
        <v>52.79</v>
      </c>
      <c r="K6295" s="192">
        <v>2.5299999999999998</v>
      </c>
      <c r="L6295" s="43">
        <v>8.7837969741337236</v>
      </c>
      <c r="M6295" s="43">
        <v>11.5</v>
      </c>
      <c r="N6295" s="43">
        <v>5.5980911983032877</v>
      </c>
      <c r="O6295" s="43">
        <v>11.499999999999998</v>
      </c>
      <c r="P6295" s="193"/>
      <c r="Q6295" s="193"/>
      <c r="R6295" s="193">
        <v>8</v>
      </c>
    </row>
    <row r="6296" spans="1:18" ht="24">
      <c r="A6296" s="189">
        <v>1128</v>
      </c>
      <c r="B6296" s="186" t="s">
        <v>11570</v>
      </c>
      <c r="C6296" s="190" t="s">
        <v>11571</v>
      </c>
      <c r="D6296" s="191">
        <v>27.23</v>
      </c>
      <c r="E6296" s="191">
        <v>10.84</v>
      </c>
      <c r="F6296" s="191">
        <v>16.170000000000002</v>
      </c>
      <c r="G6296" s="191">
        <v>0.22</v>
      </c>
      <c r="H6296" s="192">
        <v>217.69</v>
      </c>
      <c r="I6296" s="192">
        <v>124.66</v>
      </c>
      <c r="J6296" s="192">
        <v>90.5</v>
      </c>
      <c r="K6296" s="192">
        <v>2.5299999999999998</v>
      </c>
      <c r="L6296" s="43">
        <v>7.9944913698127067</v>
      </c>
      <c r="M6296" s="43">
        <v>11.5</v>
      </c>
      <c r="N6296" s="43">
        <v>5.5967841682127393</v>
      </c>
      <c r="O6296" s="43">
        <v>11.499999999999998</v>
      </c>
      <c r="P6296" s="193"/>
      <c r="Q6296" s="193"/>
      <c r="R6296" s="193">
        <v>8</v>
      </c>
    </row>
    <row r="6297" spans="1:18" ht="24">
      <c r="A6297" s="189">
        <v>1129</v>
      </c>
      <c r="B6297" s="186" t="s">
        <v>11572</v>
      </c>
      <c r="C6297" s="190" t="s">
        <v>11573</v>
      </c>
      <c r="D6297" s="191">
        <v>47.72</v>
      </c>
      <c r="E6297" s="191">
        <v>21.68</v>
      </c>
      <c r="F6297" s="191">
        <v>25.61</v>
      </c>
      <c r="G6297" s="191">
        <v>0.43</v>
      </c>
      <c r="H6297" s="192">
        <v>397.56</v>
      </c>
      <c r="I6297" s="192">
        <v>249.32</v>
      </c>
      <c r="J6297" s="192">
        <v>143.29</v>
      </c>
      <c r="K6297" s="192">
        <v>4.95</v>
      </c>
      <c r="L6297" s="43">
        <v>8.3310980720871761</v>
      </c>
      <c r="M6297" s="43">
        <v>11.5</v>
      </c>
      <c r="N6297" s="43">
        <v>5.5950800468566966</v>
      </c>
      <c r="O6297" s="43">
        <v>11.5</v>
      </c>
      <c r="P6297" s="193"/>
      <c r="Q6297" s="193"/>
      <c r="R6297" s="193">
        <v>8</v>
      </c>
    </row>
    <row r="6298" spans="1:18" ht="48">
      <c r="A6298" s="189">
        <v>1130</v>
      </c>
      <c r="B6298" s="186" t="s">
        <v>11574</v>
      </c>
      <c r="C6298" s="190" t="s">
        <v>11575</v>
      </c>
      <c r="D6298" s="191">
        <v>790.69</v>
      </c>
      <c r="E6298" s="191">
        <v>303.52</v>
      </c>
      <c r="F6298" s="191">
        <v>295.17</v>
      </c>
      <c r="G6298" s="191">
        <v>192</v>
      </c>
      <c r="H6298" s="192">
        <v>5535.02</v>
      </c>
      <c r="I6298" s="192">
        <v>3490.48</v>
      </c>
      <c r="J6298" s="192">
        <v>1651.59</v>
      </c>
      <c r="K6298" s="192">
        <v>392.95</v>
      </c>
      <c r="L6298" s="43">
        <v>7.0002402964499364</v>
      </c>
      <c r="M6298" s="43">
        <v>11.5</v>
      </c>
      <c r="N6298" s="43">
        <v>5.5953857099298707</v>
      </c>
      <c r="O6298" s="43">
        <v>2.0466145833333331</v>
      </c>
      <c r="P6298" s="193"/>
      <c r="Q6298" s="193"/>
      <c r="R6298" s="193">
        <v>8</v>
      </c>
    </row>
    <row r="6299" spans="1:18" ht="48">
      <c r="A6299" s="189">
        <v>1131</v>
      </c>
      <c r="B6299" s="186" t="s">
        <v>11576</v>
      </c>
      <c r="C6299" s="190" t="s">
        <v>11577</v>
      </c>
      <c r="D6299" s="191">
        <v>1812.98</v>
      </c>
      <c r="E6299" s="191">
        <v>682.92</v>
      </c>
      <c r="F6299" s="191">
        <v>677.94</v>
      </c>
      <c r="G6299" s="191">
        <v>452.12</v>
      </c>
      <c r="H6299" s="192">
        <v>12769.8</v>
      </c>
      <c r="I6299" s="192">
        <v>7853.58</v>
      </c>
      <c r="J6299" s="192">
        <v>3793.37</v>
      </c>
      <c r="K6299" s="192">
        <v>1122.8499999999999</v>
      </c>
      <c r="L6299" s="43">
        <v>7.0435415724387465</v>
      </c>
      <c r="M6299" s="43">
        <v>11.5</v>
      </c>
      <c r="N6299" s="43">
        <v>5.5954361742927095</v>
      </c>
      <c r="O6299" s="43">
        <v>2.4835220737857204</v>
      </c>
      <c r="P6299" s="193"/>
      <c r="Q6299" s="193"/>
      <c r="R6299" s="193">
        <v>8</v>
      </c>
    </row>
    <row r="6300" spans="1:18" ht="48">
      <c r="A6300" s="189">
        <v>1132</v>
      </c>
      <c r="B6300" s="186" t="s">
        <v>11578</v>
      </c>
      <c r="C6300" s="190" t="s">
        <v>11579</v>
      </c>
      <c r="D6300" s="191">
        <v>3272.79</v>
      </c>
      <c r="E6300" s="191">
        <v>1311.64</v>
      </c>
      <c r="F6300" s="191">
        <v>1311.41</v>
      </c>
      <c r="G6300" s="191">
        <v>649.74</v>
      </c>
      <c r="H6300" s="192">
        <v>24592.75</v>
      </c>
      <c r="I6300" s="192">
        <v>15083.86</v>
      </c>
      <c r="J6300" s="192">
        <v>7337.88</v>
      </c>
      <c r="K6300" s="192">
        <v>2171.0100000000002</v>
      </c>
      <c r="L6300" s="43">
        <v>7.5143073646643996</v>
      </c>
      <c r="M6300" s="43">
        <v>11.5</v>
      </c>
      <c r="N6300" s="43">
        <v>5.5954125712019884</v>
      </c>
      <c r="O6300" s="43">
        <v>3.3413519253855393</v>
      </c>
      <c r="P6300" s="193"/>
      <c r="Q6300" s="193"/>
      <c r="R6300" s="193">
        <v>8</v>
      </c>
    </row>
    <row r="6301" spans="1:18" ht="48">
      <c r="A6301" s="189">
        <v>1133</v>
      </c>
      <c r="B6301" s="186" t="s">
        <v>11580</v>
      </c>
      <c r="C6301" s="190" t="s">
        <v>11581</v>
      </c>
      <c r="D6301" s="191">
        <v>7462.29</v>
      </c>
      <c r="E6301" s="191">
        <v>3165.28</v>
      </c>
      <c r="F6301" s="191">
        <v>3188.89</v>
      </c>
      <c r="G6301" s="191">
        <v>1108.1199999999999</v>
      </c>
      <c r="H6301" s="192">
        <v>58386.559999999998</v>
      </c>
      <c r="I6301" s="192">
        <v>36400.720000000001</v>
      </c>
      <c r="J6301" s="192">
        <v>17843.189999999999</v>
      </c>
      <c r="K6301" s="192">
        <v>4142.6499999999996</v>
      </c>
      <c r="L6301" s="43">
        <v>7.8242148187754692</v>
      </c>
      <c r="M6301" s="43">
        <v>11.5</v>
      </c>
      <c r="N6301" s="43">
        <v>5.5954234859151617</v>
      </c>
      <c r="O6301" s="43">
        <v>3.7384489044507814</v>
      </c>
      <c r="P6301" s="193"/>
      <c r="Q6301" s="193"/>
      <c r="R6301" s="193">
        <v>8</v>
      </c>
    </row>
    <row r="6302" spans="1:18" ht="48">
      <c r="A6302" s="189">
        <v>1134</v>
      </c>
      <c r="B6302" s="186" t="s">
        <v>11582</v>
      </c>
      <c r="C6302" s="190" t="s">
        <v>11583</v>
      </c>
      <c r="D6302" s="191">
        <v>10357.19</v>
      </c>
      <c r="E6302" s="191">
        <v>4401.04</v>
      </c>
      <c r="F6302" s="191">
        <v>4432.91</v>
      </c>
      <c r="G6302" s="191">
        <v>1523.24</v>
      </c>
      <c r="H6302" s="192">
        <v>81142.210000000006</v>
      </c>
      <c r="I6302" s="192">
        <v>50611.96</v>
      </c>
      <c r="J6302" s="192">
        <v>24803.99</v>
      </c>
      <c r="K6302" s="192">
        <v>5726.26</v>
      </c>
      <c r="L6302" s="43">
        <v>7.834384615904507</v>
      </c>
      <c r="M6302" s="43">
        <v>11.5</v>
      </c>
      <c r="N6302" s="43">
        <v>5.5954192618392886</v>
      </c>
      <c r="O6302" s="43">
        <v>3.7592631496021638</v>
      </c>
      <c r="P6302" s="193"/>
      <c r="Q6302" s="193"/>
      <c r="R6302" s="193">
        <v>8</v>
      </c>
    </row>
    <row r="6303" spans="1:18" ht="48">
      <c r="A6303" s="189">
        <v>1135</v>
      </c>
      <c r="B6303" s="186" t="s">
        <v>11584</v>
      </c>
      <c r="C6303" s="190" t="s">
        <v>11585</v>
      </c>
      <c r="D6303" s="191">
        <v>13615.61</v>
      </c>
      <c r="E6303" s="191">
        <v>5636.8</v>
      </c>
      <c r="F6303" s="191">
        <v>5668.85</v>
      </c>
      <c r="G6303" s="191">
        <v>2309.96</v>
      </c>
      <c r="H6303" s="192">
        <v>104569.58</v>
      </c>
      <c r="I6303" s="192">
        <v>64823.199999999997</v>
      </c>
      <c r="J6303" s="192">
        <v>31719.55</v>
      </c>
      <c r="K6303" s="192">
        <v>8026.83</v>
      </c>
      <c r="L6303" s="43">
        <v>7.6801245041536879</v>
      </c>
      <c r="M6303" s="43">
        <v>11.5</v>
      </c>
      <c r="N6303" s="43">
        <v>5.5954117678188693</v>
      </c>
      <c r="O6303" s="43">
        <v>3.4748783528719112</v>
      </c>
      <c r="P6303" s="193"/>
      <c r="Q6303" s="193"/>
      <c r="R6303" s="193">
        <v>8</v>
      </c>
    </row>
    <row r="6304" spans="1:18" ht="48">
      <c r="A6304" s="189">
        <v>1136</v>
      </c>
      <c r="B6304" s="186" t="s">
        <v>11586</v>
      </c>
      <c r="C6304" s="190" t="s">
        <v>11587</v>
      </c>
      <c r="D6304" s="191">
        <v>17728.07</v>
      </c>
      <c r="E6304" s="191">
        <v>7479.6</v>
      </c>
      <c r="F6304" s="191">
        <v>7531.51</v>
      </c>
      <c r="G6304" s="191">
        <v>2716.96</v>
      </c>
      <c r="H6304" s="192">
        <v>138117.09</v>
      </c>
      <c r="I6304" s="192">
        <v>86015.4</v>
      </c>
      <c r="J6304" s="192">
        <v>42141.9</v>
      </c>
      <c r="K6304" s="192">
        <v>9959.7900000000009</v>
      </c>
      <c r="L6304" s="43">
        <v>7.7908700721511144</v>
      </c>
      <c r="M6304" s="43">
        <v>11.499999999999998</v>
      </c>
      <c r="N6304" s="43">
        <v>5.5954118098495522</v>
      </c>
      <c r="O6304" s="43">
        <v>3.6657845533243041</v>
      </c>
      <c r="P6304" s="193"/>
      <c r="Q6304" s="193"/>
      <c r="R6304" s="193">
        <v>8</v>
      </c>
    </row>
    <row r="6305" spans="1:18" ht="48">
      <c r="A6305" s="189">
        <v>1137</v>
      </c>
      <c r="B6305" s="186" t="s">
        <v>11588</v>
      </c>
      <c r="C6305" s="190" t="s">
        <v>11589</v>
      </c>
      <c r="D6305" s="191">
        <v>384.99</v>
      </c>
      <c r="E6305" s="191">
        <v>140.91999999999999</v>
      </c>
      <c r="F6305" s="191">
        <v>148.26</v>
      </c>
      <c r="G6305" s="191">
        <v>95.81</v>
      </c>
      <c r="H6305" s="192">
        <v>2644.37</v>
      </c>
      <c r="I6305" s="192">
        <v>1620.58</v>
      </c>
      <c r="J6305" s="192">
        <v>829.57</v>
      </c>
      <c r="K6305" s="192">
        <v>194.22</v>
      </c>
      <c r="L6305" s="43">
        <v>6.868671913556196</v>
      </c>
      <c r="M6305" s="43">
        <v>11.5</v>
      </c>
      <c r="N6305" s="43">
        <v>5.5953729933899909</v>
      </c>
      <c r="O6305" s="43">
        <v>2.0271370420624151</v>
      </c>
      <c r="P6305" s="193"/>
      <c r="Q6305" s="193"/>
      <c r="R6305" s="193">
        <v>8</v>
      </c>
    </row>
    <row r="6306" spans="1:18" ht="48">
      <c r="A6306" s="189">
        <v>1138</v>
      </c>
      <c r="B6306" s="186" t="s">
        <v>11590</v>
      </c>
      <c r="C6306" s="190" t="s">
        <v>11591</v>
      </c>
      <c r="D6306" s="191">
        <v>804.85</v>
      </c>
      <c r="E6306" s="191">
        <v>292.68</v>
      </c>
      <c r="F6306" s="191">
        <v>287.08</v>
      </c>
      <c r="G6306" s="191">
        <v>225.09</v>
      </c>
      <c r="H6306" s="192">
        <v>5522.26</v>
      </c>
      <c r="I6306" s="192">
        <v>3365.82</v>
      </c>
      <c r="J6306" s="192">
        <v>1606.34</v>
      </c>
      <c r="K6306" s="192">
        <v>550.1</v>
      </c>
      <c r="L6306" s="43">
        <v>6.8612288003975896</v>
      </c>
      <c r="M6306" s="43">
        <v>11.5</v>
      </c>
      <c r="N6306" s="43">
        <v>5.5954437787376339</v>
      </c>
      <c r="O6306" s="43">
        <v>2.4439113243591453</v>
      </c>
      <c r="P6306" s="193"/>
      <c r="Q6306" s="193"/>
      <c r="R6306" s="193">
        <v>8</v>
      </c>
    </row>
    <row r="6307" spans="1:18" ht="48">
      <c r="A6307" s="189">
        <v>1139</v>
      </c>
      <c r="B6307" s="186" t="s">
        <v>11592</v>
      </c>
      <c r="C6307" s="190" t="s">
        <v>11593</v>
      </c>
      <c r="D6307" s="191">
        <v>1433.75</v>
      </c>
      <c r="E6307" s="191">
        <v>552.84</v>
      </c>
      <c r="F6307" s="191">
        <v>557.99</v>
      </c>
      <c r="G6307" s="191">
        <v>322.92</v>
      </c>
      <c r="H6307" s="192">
        <v>10541.91</v>
      </c>
      <c r="I6307" s="192">
        <v>6357.66</v>
      </c>
      <c r="J6307" s="192">
        <v>3122.18</v>
      </c>
      <c r="K6307" s="192">
        <v>1062.07</v>
      </c>
      <c r="L6307" s="43">
        <v>7.3526835222319091</v>
      </c>
      <c r="M6307" s="43">
        <v>11.499999999999998</v>
      </c>
      <c r="N6307" s="43">
        <v>5.5954049355723221</v>
      </c>
      <c r="O6307" s="43">
        <v>3.2889570172178866</v>
      </c>
      <c r="P6307" s="193"/>
      <c r="Q6307" s="193"/>
      <c r="R6307" s="193">
        <v>8</v>
      </c>
    </row>
    <row r="6308" spans="1:18" ht="48">
      <c r="A6308" s="189">
        <v>1140</v>
      </c>
      <c r="B6308" s="186" t="s">
        <v>11594</v>
      </c>
      <c r="C6308" s="190" t="s">
        <v>11595</v>
      </c>
      <c r="D6308" s="191">
        <v>3253.41</v>
      </c>
      <c r="E6308" s="191">
        <v>1344.16</v>
      </c>
      <c r="F6308" s="191">
        <v>1359.93</v>
      </c>
      <c r="G6308" s="191">
        <v>549.32000000000005</v>
      </c>
      <c r="H6308" s="192">
        <v>25083.77</v>
      </c>
      <c r="I6308" s="192">
        <v>15457.84</v>
      </c>
      <c r="J6308" s="192">
        <v>7609.37</v>
      </c>
      <c r="K6308" s="192">
        <v>2016.56</v>
      </c>
      <c r="L6308" s="43">
        <v>7.7099935144970972</v>
      </c>
      <c r="M6308" s="43">
        <v>11.5</v>
      </c>
      <c r="N6308" s="43">
        <v>5.595412999198488</v>
      </c>
      <c r="O6308" s="43">
        <v>3.6710114323163179</v>
      </c>
      <c r="P6308" s="193"/>
      <c r="Q6308" s="193"/>
      <c r="R6308" s="193">
        <v>8</v>
      </c>
    </row>
    <row r="6309" spans="1:18" ht="48">
      <c r="A6309" s="189">
        <v>1141</v>
      </c>
      <c r="B6309" s="186" t="s">
        <v>11596</v>
      </c>
      <c r="C6309" s="190" t="s">
        <v>11597</v>
      </c>
      <c r="D6309" s="191">
        <v>4637.49</v>
      </c>
      <c r="E6309" s="191">
        <v>1987.77</v>
      </c>
      <c r="F6309" s="191">
        <v>1892.31</v>
      </c>
      <c r="G6309" s="191">
        <v>757.41</v>
      </c>
      <c r="H6309" s="192">
        <v>36262.9</v>
      </c>
      <c r="I6309" s="192">
        <v>22860.22</v>
      </c>
      <c r="J6309" s="192">
        <v>10588.27</v>
      </c>
      <c r="K6309" s="192">
        <v>2814.41</v>
      </c>
      <c r="L6309" s="43">
        <v>7.8195101229328801</v>
      </c>
      <c r="M6309" s="43">
        <v>11.500435161009575</v>
      </c>
      <c r="N6309" s="43">
        <v>5.595420412088929</v>
      </c>
      <c r="O6309" s="43">
        <v>3.7158342245283267</v>
      </c>
      <c r="P6309" s="193"/>
      <c r="Q6309" s="193"/>
      <c r="R6309" s="193">
        <v>8</v>
      </c>
    </row>
    <row r="6310" spans="1:18" ht="48">
      <c r="A6310" s="189">
        <v>1142</v>
      </c>
      <c r="B6310" s="186" t="s">
        <v>11598</v>
      </c>
      <c r="C6310" s="190" t="s">
        <v>11599</v>
      </c>
      <c r="D6310" s="191">
        <v>6135.52</v>
      </c>
      <c r="E6310" s="191">
        <v>2562.27</v>
      </c>
      <c r="F6310" s="191">
        <v>2423.34</v>
      </c>
      <c r="G6310" s="191">
        <v>1149.9100000000001</v>
      </c>
      <c r="H6310" s="192">
        <v>46981.81</v>
      </c>
      <c r="I6310" s="192">
        <v>29467.22</v>
      </c>
      <c r="J6310" s="192">
        <v>13559.62</v>
      </c>
      <c r="K6310" s="192">
        <v>3954.97</v>
      </c>
      <c r="L6310" s="43">
        <v>7.6573477064698663</v>
      </c>
      <c r="M6310" s="43">
        <v>11.500435161009573</v>
      </c>
      <c r="N6310" s="43">
        <v>5.5954261473833631</v>
      </c>
      <c r="O6310" s="43">
        <v>3.4393735161882231</v>
      </c>
      <c r="P6310" s="193"/>
      <c r="Q6310" s="193"/>
      <c r="R6310" s="193">
        <v>8</v>
      </c>
    </row>
    <row r="6311" spans="1:18" ht="48">
      <c r="A6311" s="189">
        <v>1143</v>
      </c>
      <c r="B6311" s="186" t="s">
        <v>11600</v>
      </c>
      <c r="C6311" s="190" t="s">
        <v>11601</v>
      </c>
      <c r="D6311" s="191">
        <v>7962.6</v>
      </c>
      <c r="E6311" s="191">
        <v>3389.55</v>
      </c>
      <c r="F6311" s="191">
        <v>3221.24</v>
      </c>
      <c r="G6311" s="191">
        <v>1351.81</v>
      </c>
      <c r="H6311" s="192">
        <v>61906.38</v>
      </c>
      <c r="I6311" s="192">
        <v>38981.300000000003</v>
      </c>
      <c r="J6311" s="192">
        <v>18024.189999999999</v>
      </c>
      <c r="K6311" s="192">
        <v>4900.8900000000003</v>
      </c>
      <c r="L6311" s="43">
        <v>7.7746439605154087</v>
      </c>
      <c r="M6311" s="43">
        <v>11.500435161009573</v>
      </c>
      <c r="N6311" s="43">
        <v>5.5954197762352385</v>
      </c>
      <c r="O6311" s="43">
        <v>3.6254281296927826</v>
      </c>
      <c r="P6311" s="193"/>
      <c r="Q6311" s="193"/>
      <c r="R6311" s="193">
        <v>8</v>
      </c>
    </row>
    <row r="6312" spans="1:18" ht="36">
      <c r="A6312" s="189">
        <v>1144</v>
      </c>
      <c r="B6312" s="186" t="s">
        <v>11602</v>
      </c>
      <c r="C6312" s="190" t="s">
        <v>11603</v>
      </c>
      <c r="D6312" s="191">
        <v>749.71</v>
      </c>
      <c r="E6312" s="191">
        <v>281.83999999999997</v>
      </c>
      <c r="F6312" s="191">
        <v>276.3</v>
      </c>
      <c r="G6312" s="191">
        <v>191.57</v>
      </c>
      <c r="H6312" s="192">
        <v>5175.17</v>
      </c>
      <c r="I6312" s="192">
        <v>3241.16</v>
      </c>
      <c r="J6312" s="192">
        <v>1546.01</v>
      </c>
      <c r="K6312" s="192">
        <v>388</v>
      </c>
      <c r="L6312" s="43">
        <v>6.9028957863707294</v>
      </c>
      <c r="M6312" s="43">
        <v>11.5</v>
      </c>
      <c r="N6312" s="43">
        <v>5.5954035468693446</v>
      </c>
      <c r="O6312" s="43">
        <v>2.0253693166988569</v>
      </c>
      <c r="P6312" s="193"/>
      <c r="Q6312" s="193"/>
      <c r="R6312" s="193">
        <v>8</v>
      </c>
    </row>
    <row r="6313" spans="1:18" ht="36">
      <c r="A6313" s="189">
        <v>1145</v>
      </c>
      <c r="B6313" s="186" t="s">
        <v>11604</v>
      </c>
      <c r="C6313" s="190" t="s">
        <v>11605</v>
      </c>
      <c r="D6313" s="191">
        <v>1453.49</v>
      </c>
      <c r="E6313" s="191">
        <v>498.64</v>
      </c>
      <c r="F6313" s="191">
        <v>510.82</v>
      </c>
      <c r="G6313" s="191">
        <v>444.03</v>
      </c>
      <c r="H6313" s="192">
        <v>9660.82</v>
      </c>
      <c r="I6313" s="192">
        <v>5734.36</v>
      </c>
      <c r="J6313" s="192">
        <v>2858.23</v>
      </c>
      <c r="K6313" s="192">
        <v>1068.23</v>
      </c>
      <c r="L6313" s="43">
        <v>6.6466367157668778</v>
      </c>
      <c r="M6313" s="43">
        <v>11.5</v>
      </c>
      <c r="N6313" s="43">
        <v>5.595376062017932</v>
      </c>
      <c r="O6313" s="43">
        <v>2.4057608720131523</v>
      </c>
      <c r="P6313" s="193"/>
      <c r="Q6313" s="193"/>
      <c r="R6313" s="193">
        <v>8</v>
      </c>
    </row>
    <row r="6314" spans="1:18" ht="36">
      <c r="A6314" s="189">
        <v>1146</v>
      </c>
      <c r="B6314" s="186" t="s">
        <v>11606</v>
      </c>
      <c r="C6314" s="190" t="s">
        <v>11607</v>
      </c>
      <c r="D6314" s="191">
        <v>2586.0700000000002</v>
      </c>
      <c r="E6314" s="191">
        <v>964.76</v>
      </c>
      <c r="F6314" s="191">
        <v>978.5</v>
      </c>
      <c r="G6314" s="191">
        <v>642.80999999999995</v>
      </c>
      <c r="H6314" s="192">
        <v>18661.18</v>
      </c>
      <c r="I6314" s="192">
        <v>11094.74</v>
      </c>
      <c r="J6314" s="192">
        <v>5475.13</v>
      </c>
      <c r="K6314" s="192">
        <v>2091.31</v>
      </c>
      <c r="L6314" s="43">
        <v>7.2160382356239383</v>
      </c>
      <c r="M6314" s="43">
        <v>11.5</v>
      </c>
      <c r="N6314" s="43">
        <v>5.5954317833418497</v>
      </c>
      <c r="O6314" s="43">
        <v>3.2533874706367358</v>
      </c>
      <c r="P6314" s="193"/>
      <c r="Q6314" s="193"/>
      <c r="R6314" s="193">
        <v>8</v>
      </c>
    </row>
    <row r="6315" spans="1:18" ht="36">
      <c r="A6315" s="189">
        <v>1147</v>
      </c>
      <c r="B6315" s="186" t="s">
        <v>11608</v>
      </c>
      <c r="C6315" s="190" t="s">
        <v>11609</v>
      </c>
      <c r="D6315" s="191">
        <v>5790.38</v>
      </c>
      <c r="E6315" s="191">
        <v>2341.44</v>
      </c>
      <c r="F6315" s="191">
        <v>2357.3000000000002</v>
      </c>
      <c r="G6315" s="191">
        <v>1091.6400000000001</v>
      </c>
      <c r="H6315" s="192">
        <v>44069.77</v>
      </c>
      <c r="I6315" s="192">
        <v>26926.560000000001</v>
      </c>
      <c r="J6315" s="192">
        <v>13190.08</v>
      </c>
      <c r="K6315" s="192">
        <v>3953.13</v>
      </c>
      <c r="L6315" s="43">
        <v>7.6108597363212773</v>
      </c>
      <c r="M6315" s="43">
        <v>11.5</v>
      </c>
      <c r="N6315" s="43">
        <v>5.5954184872523642</v>
      </c>
      <c r="O6315" s="43">
        <v>3.6212762449159062</v>
      </c>
      <c r="P6315" s="193"/>
      <c r="Q6315" s="193"/>
      <c r="R6315" s="193">
        <v>8</v>
      </c>
    </row>
    <row r="6316" spans="1:18" ht="36">
      <c r="A6316" s="189">
        <v>1148</v>
      </c>
      <c r="B6316" s="186" t="s">
        <v>11610</v>
      </c>
      <c r="C6316" s="190" t="s">
        <v>11611</v>
      </c>
      <c r="D6316" s="191">
        <v>8019.33</v>
      </c>
      <c r="E6316" s="191">
        <v>3252</v>
      </c>
      <c r="F6316" s="191">
        <v>3267.07</v>
      </c>
      <c r="G6316" s="191">
        <v>1500.26</v>
      </c>
      <c r="H6316" s="192">
        <v>61140.59</v>
      </c>
      <c r="I6316" s="192">
        <v>37398</v>
      </c>
      <c r="J6316" s="192">
        <v>18280.599999999999</v>
      </c>
      <c r="K6316" s="192">
        <v>5461.99</v>
      </c>
      <c r="L6316" s="43">
        <v>7.6241518929885661</v>
      </c>
      <c r="M6316" s="43">
        <v>11.5</v>
      </c>
      <c r="N6316" s="43">
        <v>5.5954111788238388</v>
      </c>
      <c r="O6316" s="43">
        <v>3.6406956127604548</v>
      </c>
      <c r="P6316" s="193"/>
      <c r="Q6316" s="193"/>
      <c r="R6316" s="193">
        <v>8</v>
      </c>
    </row>
    <row r="6317" spans="1:18" ht="36">
      <c r="A6317" s="189">
        <v>1149</v>
      </c>
      <c r="B6317" s="186" t="s">
        <v>11612</v>
      </c>
      <c r="C6317" s="190" t="s">
        <v>11613</v>
      </c>
      <c r="D6317" s="191">
        <v>10360.16</v>
      </c>
      <c r="E6317" s="191">
        <v>3913.24</v>
      </c>
      <c r="F6317" s="191">
        <v>4171.4399999999996</v>
      </c>
      <c r="G6317" s="191">
        <v>2275.48</v>
      </c>
      <c r="H6317" s="192">
        <v>75973.509999999995</v>
      </c>
      <c r="I6317" s="192">
        <v>45002.26</v>
      </c>
      <c r="J6317" s="192">
        <v>23340.94</v>
      </c>
      <c r="K6317" s="192">
        <v>7630.31</v>
      </c>
      <c r="L6317" s="43">
        <v>7.333237131472873</v>
      </c>
      <c r="M6317" s="43">
        <v>11.500000000000002</v>
      </c>
      <c r="N6317" s="43">
        <v>5.5954154920123509</v>
      </c>
      <c r="O6317" s="43">
        <v>3.3532749134248601</v>
      </c>
      <c r="P6317" s="193"/>
      <c r="Q6317" s="193"/>
      <c r="R6317" s="193">
        <v>8</v>
      </c>
    </row>
    <row r="6318" spans="1:18" ht="36">
      <c r="A6318" s="189">
        <v>1150</v>
      </c>
      <c r="B6318" s="186" t="s">
        <v>11614</v>
      </c>
      <c r="C6318" s="190" t="s">
        <v>11615</v>
      </c>
      <c r="D6318" s="191">
        <v>13718.29</v>
      </c>
      <c r="E6318" s="191">
        <v>5506.72</v>
      </c>
      <c r="F6318" s="191">
        <v>5534.07</v>
      </c>
      <c r="G6318" s="191">
        <v>2677.5</v>
      </c>
      <c r="H6318" s="192">
        <v>103798.68</v>
      </c>
      <c r="I6318" s="192">
        <v>63327.28</v>
      </c>
      <c r="J6318" s="192">
        <v>30965.4</v>
      </c>
      <c r="K6318" s="192">
        <v>9506</v>
      </c>
      <c r="L6318" s="43">
        <v>7.5664445058385548</v>
      </c>
      <c r="M6318" s="43">
        <v>11.5</v>
      </c>
      <c r="N6318" s="43">
        <v>5.5954116951899779</v>
      </c>
      <c r="O6318" s="43">
        <v>3.5503267973856207</v>
      </c>
      <c r="P6318" s="193"/>
      <c r="Q6318" s="193"/>
      <c r="R6318" s="193">
        <v>8</v>
      </c>
    </row>
    <row r="6319" spans="1:18" ht="24">
      <c r="A6319" s="189">
        <v>1151</v>
      </c>
      <c r="B6319" s="186" t="s">
        <v>11616</v>
      </c>
      <c r="C6319" s="190" t="s">
        <v>11617</v>
      </c>
      <c r="D6319" s="191">
        <v>2827.82</v>
      </c>
      <c r="E6319" s="191">
        <v>703.11</v>
      </c>
      <c r="F6319" s="191">
        <v>2110.65</v>
      </c>
      <c r="G6319" s="191">
        <v>14.06</v>
      </c>
      <c r="H6319" s="192">
        <v>20057.79</v>
      </c>
      <c r="I6319" s="192">
        <v>8086.11</v>
      </c>
      <c r="J6319" s="192">
        <v>11809.99</v>
      </c>
      <c r="K6319" s="192">
        <v>161.69</v>
      </c>
      <c r="L6319" s="43">
        <v>7.0930221867021235</v>
      </c>
      <c r="M6319" s="43">
        <v>11.500490677134446</v>
      </c>
      <c r="N6319" s="43">
        <v>5.5954279487361713</v>
      </c>
      <c r="O6319" s="43">
        <v>11.5</v>
      </c>
      <c r="P6319" s="193"/>
      <c r="Q6319" s="193"/>
      <c r="R6319" s="193">
        <v>8</v>
      </c>
    </row>
    <row r="6320" spans="1:18" ht="24">
      <c r="A6320" s="189">
        <v>1152</v>
      </c>
      <c r="B6320" s="186" t="s">
        <v>11618</v>
      </c>
      <c r="C6320" s="190" t="s">
        <v>11619</v>
      </c>
      <c r="D6320" s="191">
        <v>4118.67</v>
      </c>
      <c r="E6320" s="191">
        <v>1171.8499999999999</v>
      </c>
      <c r="F6320" s="191">
        <v>2923.38</v>
      </c>
      <c r="G6320" s="191">
        <v>23.44</v>
      </c>
      <c r="H6320" s="192">
        <v>30103.919999999998</v>
      </c>
      <c r="I6320" s="192">
        <v>13476.85</v>
      </c>
      <c r="J6320" s="192">
        <v>16357.51</v>
      </c>
      <c r="K6320" s="192">
        <v>269.56</v>
      </c>
      <c r="L6320" s="43">
        <v>7.3091362017350257</v>
      </c>
      <c r="M6320" s="43">
        <v>11.500490677134447</v>
      </c>
      <c r="N6320" s="43">
        <v>5.5954101074783296</v>
      </c>
      <c r="O6320" s="43">
        <v>11.5</v>
      </c>
      <c r="P6320" s="193"/>
      <c r="Q6320" s="193"/>
      <c r="R6320" s="193">
        <v>8</v>
      </c>
    </row>
    <row r="6321" spans="1:18" ht="24">
      <c r="A6321" s="189">
        <v>1153</v>
      </c>
      <c r="B6321" s="186" t="s">
        <v>11620</v>
      </c>
      <c r="C6321" s="190" t="s">
        <v>11621</v>
      </c>
      <c r="D6321" s="191">
        <v>5123.82</v>
      </c>
      <c r="E6321" s="191">
        <v>1497.93</v>
      </c>
      <c r="F6321" s="191">
        <v>3595.93</v>
      </c>
      <c r="G6321" s="191">
        <v>29.96</v>
      </c>
      <c r="H6321" s="192">
        <v>37692.19</v>
      </c>
      <c r="I6321" s="192">
        <v>17226.93</v>
      </c>
      <c r="J6321" s="192">
        <v>20120.72</v>
      </c>
      <c r="K6321" s="192">
        <v>344.54</v>
      </c>
      <c r="L6321" s="43">
        <v>7.3562673942488228</v>
      </c>
      <c r="M6321" s="43">
        <v>11.500490677134446</v>
      </c>
      <c r="N6321" s="43">
        <v>5.5954148161949764</v>
      </c>
      <c r="O6321" s="43">
        <v>11.5</v>
      </c>
      <c r="P6321" s="193"/>
      <c r="Q6321" s="193"/>
      <c r="R6321" s="193">
        <v>8</v>
      </c>
    </row>
    <row r="6322" spans="1:18" ht="24">
      <c r="A6322" s="189">
        <v>1154</v>
      </c>
      <c r="B6322" s="186" t="s">
        <v>11622</v>
      </c>
      <c r="C6322" s="190" t="s">
        <v>11623</v>
      </c>
      <c r="D6322" s="191">
        <v>6257.38</v>
      </c>
      <c r="E6322" s="191">
        <v>838.77</v>
      </c>
      <c r="F6322" s="191">
        <v>5401.83</v>
      </c>
      <c r="G6322" s="191">
        <v>16.78</v>
      </c>
      <c r="H6322" s="192">
        <v>38305.93</v>
      </c>
      <c r="I6322" s="192">
        <v>9646.2199999999993</v>
      </c>
      <c r="J6322" s="192">
        <v>28466.74</v>
      </c>
      <c r="K6322" s="192">
        <v>192.97</v>
      </c>
      <c r="L6322" s="43">
        <v>6.1217202727019933</v>
      </c>
      <c r="M6322" s="43">
        <v>11.500435161009573</v>
      </c>
      <c r="N6322" s="43">
        <v>5.2698326307936387</v>
      </c>
      <c r="O6322" s="43">
        <v>11.5</v>
      </c>
      <c r="P6322" s="193"/>
      <c r="Q6322" s="193"/>
      <c r="R6322" s="193">
        <v>8</v>
      </c>
    </row>
    <row r="6323" spans="1:18" ht="24">
      <c r="A6323" s="189">
        <v>1155</v>
      </c>
      <c r="B6323" s="186" t="s">
        <v>11624</v>
      </c>
      <c r="C6323" s="190" t="s">
        <v>11625</v>
      </c>
      <c r="D6323" s="191">
        <v>8769.7000000000007</v>
      </c>
      <c r="E6323" s="191">
        <v>1183.47</v>
      </c>
      <c r="F6323" s="191">
        <v>7562.56</v>
      </c>
      <c r="G6323" s="191">
        <v>23.67</v>
      </c>
      <c r="H6323" s="192">
        <v>53736.08</v>
      </c>
      <c r="I6323" s="192">
        <v>13610.42</v>
      </c>
      <c r="J6323" s="192">
        <v>39853.449999999997</v>
      </c>
      <c r="K6323" s="192">
        <v>272.20999999999998</v>
      </c>
      <c r="L6323" s="43">
        <v>6.1274707230578009</v>
      </c>
      <c r="M6323" s="43">
        <v>11.500435161009573</v>
      </c>
      <c r="N6323" s="43">
        <v>5.2698358756823076</v>
      </c>
      <c r="O6323" s="43">
        <v>11.500211237853822</v>
      </c>
      <c r="P6323" s="193"/>
      <c r="Q6323" s="193"/>
      <c r="R6323" s="193">
        <v>8</v>
      </c>
    </row>
    <row r="6324" spans="1:18" ht="24">
      <c r="A6324" s="189">
        <v>1156</v>
      </c>
      <c r="B6324" s="186" t="s">
        <v>11626</v>
      </c>
      <c r="C6324" s="190" t="s">
        <v>11627</v>
      </c>
      <c r="D6324" s="191">
        <v>10839.86</v>
      </c>
      <c r="E6324" s="191">
        <v>1447.74</v>
      </c>
      <c r="F6324" s="191">
        <v>9363.17</v>
      </c>
      <c r="G6324" s="191">
        <v>28.95</v>
      </c>
      <c r="H6324" s="192">
        <v>66324.929999999993</v>
      </c>
      <c r="I6324" s="192">
        <v>16649.64</v>
      </c>
      <c r="J6324" s="192">
        <v>49342.36</v>
      </c>
      <c r="K6324" s="192">
        <v>332.93</v>
      </c>
      <c r="L6324" s="43">
        <v>6.1186150005627367</v>
      </c>
      <c r="M6324" s="43">
        <v>11.500435161009573</v>
      </c>
      <c r="N6324" s="43">
        <v>5.2698348956603374</v>
      </c>
      <c r="O6324" s="43">
        <v>11.500172711571675</v>
      </c>
      <c r="P6324" s="193"/>
      <c r="Q6324" s="193"/>
      <c r="R6324" s="193">
        <v>8</v>
      </c>
    </row>
    <row r="6325" spans="1:18" ht="24">
      <c r="A6325" s="189">
        <v>1157</v>
      </c>
      <c r="B6325" s="186" t="s">
        <v>11628</v>
      </c>
      <c r="C6325" s="190" t="s">
        <v>11629</v>
      </c>
      <c r="D6325" s="191">
        <v>13770.92</v>
      </c>
      <c r="E6325" s="191">
        <v>1849.89</v>
      </c>
      <c r="F6325" s="191">
        <v>11884.03</v>
      </c>
      <c r="G6325" s="191">
        <v>37</v>
      </c>
      <c r="H6325" s="192">
        <v>84326.89</v>
      </c>
      <c r="I6325" s="192">
        <v>21274.54</v>
      </c>
      <c r="J6325" s="192">
        <v>62626.85</v>
      </c>
      <c r="K6325" s="192">
        <v>425.5</v>
      </c>
      <c r="L6325" s="43">
        <v>6.1235480272922942</v>
      </c>
      <c r="M6325" s="43">
        <v>11.500435161009573</v>
      </c>
      <c r="N6325" s="43">
        <v>5.2698327082647882</v>
      </c>
      <c r="O6325" s="43">
        <v>11.5</v>
      </c>
      <c r="P6325" s="193"/>
      <c r="Q6325" s="193"/>
      <c r="R6325" s="193">
        <v>8</v>
      </c>
    </row>
    <row r="6326" spans="1:18" ht="24">
      <c r="A6326" s="189">
        <v>1158</v>
      </c>
      <c r="B6326" s="186" t="s">
        <v>11630</v>
      </c>
      <c r="C6326" s="190" t="s">
        <v>11631</v>
      </c>
      <c r="D6326" s="191">
        <v>3.12</v>
      </c>
      <c r="E6326" s="191">
        <v>3.06</v>
      </c>
      <c r="F6326" s="191"/>
      <c r="G6326" s="191">
        <v>0.06</v>
      </c>
      <c r="H6326" s="192">
        <v>35.85</v>
      </c>
      <c r="I6326" s="192">
        <v>35.159999999999997</v>
      </c>
      <c r="J6326" s="192"/>
      <c r="K6326" s="192">
        <v>0.69</v>
      </c>
      <c r="L6326" s="43">
        <v>11.5</v>
      </c>
      <c r="M6326" s="43">
        <v>11.5</v>
      </c>
      <c r="N6326" s="43" t="s">
        <v>1690</v>
      </c>
      <c r="O6326" s="43">
        <v>11.5</v>
      </c>
      <c r="P6326" s="193"/>
      <c r="Q6326" s="193"/>
      <c r="R6326" s="193">
        <v>8</v>
      </c>
    </row>
    <row r="6327" spans="1:18" ht="24">
      <c r="A6327" s="189">
        <v>1159</v>
      </c>
      <c r="B6327" s="186" t="s">
        <v>11632</v>
      </c>
      <c r="C6327" s="190" t="s">
        <v>11633</v>
      </c>
      <c r="D6327" s="191">
        <v>2.08</v>
      </c>
      <c r="E6327" s="191">
        <v>2.04</v>
      </c>
      <c r="F6327" s="191"/>
      <c r="G6327" s="191">
        <v>0.04</v>
      </c>
      <c r="H6327" s="192">
        <v>23.9</v>
      </c>
      <c r="I6327" s="192">
        <v>23.44</v>
      </c>
      <c r="J6327" s="192"/>
      <c r="K6327" s="192">
        <v>0.46</v>
      </c>
      <c r="L6327" s="43">
        <v>11.5</v>
      </c>
      <c r="M6327" s="43">
        <v>11.5</v>
      </c>
      <c r="N6327" s="43" t="s">
        <v>1690</v>
      </c>
      <c r="O6327" s="43">
        <v>11.5</v>
      </c>
      <c r="P6327" s="193"/>
      <c r="Q6327" s="193"/>
      <c r="R6327" s="193">
        <v>8</v>
      </c>
    </row>
    <row r="6328" spans="1:18" ht="24">
      <c r="A6328" s="189">
        <v>1160</v>
      </c>
      <c r="B6328" s="186" t="s">
        <v>11634</v>
      </c>
      <c r="C6328" s="190" t="s">
        <v>11635</v>
      </c>
      <c r="D6328" s="191">
        <v>2.69</v>
      </c>
      <c r="E6328" s="191">
        <v>2.04</v>
      </c>
      <c r="F6328" s="191"/>
      <c r="G6328" s="191">
        <v>0.65</v>
      </c>
      <c r="H6328" s="192">
        <v>28.77</v>
      </c>
      <c r="I6328" s="192">
        <v>23.44</v>
      </c>
      <c r="J6328" s="192"/>
      <c r="K6328" s="192">
        <v>5.33</v>
      </c>
      <c r="L6328" s="43">
        <v>10.695167286245352</v>
      </c>
      <c r="M6328" s="43">
        <v>11.5</v>
      </c>
      <c r="N6328" s="43" t="s">
        <v>1690</v>
      </c>
      <c r="O6328" s="43">
        <v>8.1999999999999993</v>
      </c>
      <c r="P6328" s="193"/>
      <c r="Q6328" s="193"/>
      <c r="R6328" s="193">
        <v>8</v>
      </c>
    </row>
    <row r="6329" spans="1:18" ht="24">
      <c r="A6329" s="189">
        <v>1161</v>
      </c>
      <c r="B6329" s="186" t="s">
        <v>11636</v>
      </c>
      <c r="C6329" s="190" t="s">
        <v>11637</v>
      </c>
      <c r="D6329" s="191">
        <v>47.72</v>
      </c>
      <c r="E6329" s="191">
        <v>21.68</v>
      </c>
      <c r="F6329" s="191">
        <v>25.61</v>
      </c>
      <c r="G6329" s="191">
        <v>0.43</v>
      </c>
      <c r="H6329" s="192">
        <v>397.56</v>
      </c>
      <c r="I6329" s="192">
        <v>249.32</v>
      </c>
      <c r="J6329" s="192">
        <v>143.29</v>
      </c>
      <c r="K6329" s="192">
        <v>4.95</v>
      </c>
      <c r="L6329" s="43">
        <v>8.3310980720871761</v>
      </c>
      <c r="M6329" s="43">
        <v>11.5</v>
      </c>
      <c r="N6329" s="43">
        <v>5.5950800468566966</v>
      </c>
      <c r="O6329" s="43">
        <v>11.5</v>
      </c>
      <c r="P6329" s="193"/>
      <c r="Q6329" s="193"/>
      <c r="R6329" s="193">
        <v>8</v>
      </c>
    </row>
    <row r="6330" spans="1:18" ht="24">
      <c r="A6330" s="189">
        <v>1162</v>
      </c>
      <c r="B6330" s="186" t="s">
        <v>11638</v>
      </c>
      <c r="C6330" s="190" t="s">
        <v>11639</v>
      </c>
      <c r="D6330" s="191">
        <v>76.3</v>
      </c>
      <c r="E6330" s="191">
        <v>32.520000000000003</v>
      </c>
      <c r="F6330" s="191">
        <v>43.13</v>
      </c>
      <c r="G6330" s="191">
        <v>0.65</v>
      </c>
      <c r="H6330" s="192">
        <v>622.79</v>
      </c>
      <c r="I6330" s="192">
        <v>373.98</v>
      </c>
      <c r="J6330" s="192">
        <v>241.33</v>
      </c>
      <c r="K6330" s="192">
        <v>7.48</v>
      </c>
      <c r="L6330" s="43">
        <v>8.162385321100917</v>
      </c>
      <c r="M6330" s="43">
        <v>11.5</v>
      </c>
      <c r="N6330" s="43">
        <v>5.5954092279156038</v>
      </c>
      <c r="O6330" s="43">
        <v>11.5</v>
      </c>
      <c r="P6330" s="193"/>
      <c r="Q6330" s="193"/>
      <c r="R6330" s="193">
        <v>8</v>
      </c>
    </row>
    <row r="6331" spans="1:18" ht="24">
      <c r="A6331" s="189">
        <v>1163</v>
      </c>
      <c r="B6331" s="186" t="s">
        <v>11640</v>
      </c>
      <c r="C6331" s="190" t="s">
        <v>11641</v>
      </c>
      <c r="D6331" s="191">
        <v>148.83000000000001</v>
      </c>
      <c r="E6331" s="191">
        <v>75.88</v>
      </c>
      <c r="F6331" s="191">
        <v>71.430000000000007</v>
      </c>
      <c r="G6331" s="191">
        <v>1.52</v>
      </c>
      <c r="H6331" s="192">
        <v>1289.8</v>
      </c>
      <c r="I6331" s="192">
        <v>872.62</v>
      </c>
      <c r="J6331" s="192">
        <v>399.7</v>
      </c>
      <c r="K6331" s="192">
        <v>17.48</v>
      </c>
      <c r="L6331" s="43">
        <v>8.6662635221393529</v>
      </c>
      <c r="M6331" s="43">
        <v>11.5</v>
      </c>
      <c r="N6331" s="43">
        <v>5.5956880862382743</v>
      </c>
      <c r="O6331" s="43">
        <v>11.5</v>
      </c>
      <c r="P6331" s="193"/>
      <c r="Q6331" s="193"/>
      <c r="R6331" s="193">
        <v>8</v>
      </c>
    </row>
    <row r="6332" spans="1:18" ht="24">
      <c r="A6332" s="189">
        <v>1164</v>
      </c>
      <c r="B6332" s="186" t="s">
        <v>11642</v>
      </c>
      <c r="C6332" s="190" t="s">
        <v>11643</v>
      </c>
      <c r="D6332" s="191">
        <v>286.61</v>
      </c>
      <c r="E6332" s="191">
        <v>140.91999999999999</v>
      </c>
      <c r="F6332" s="191">
        <v>142.87</v>
      </c>
      <c r="G6332" s="191">
        <v>2.82</v>
      </c>
      <c r="H6332" s="192">
        <v>2452.41</v>
      </c>
      <c r="I6332" s="192">
        <v>1620.58</v>
      </c>
      <c r="J6332" s="192">
        <v>799.4</v>
      </c>
      <c r="K6332" s="192">
        <v>32.43</v>
      </c>
      <c r="L6332" s="43">
        <v>8.5566100275635879</v>
      </c>
      <c r="M6332" s="43">
        <v>11.5</v>
      </c>
      <c r="N6332" s="43">
        <v>5.5952964233219005</v>
      </c>
      <c r="O6332" s="43">
        <v>11.5</v>
      </c>
      <c r="P6332" s="193"/>
      <c r="Q6332" s="193"/>
      <c r="R6332" s="193">
        <v>8</v>
      </c>
    </row>
    <row r="6333" spans="1:18" ht="24">
      <c r="A6333" s="189">
        <v>1165</v>
      </c>
      <c r="B6333" s="186" t="s">
        <v>11644</v>
      </c>
      <c r="C6333" s="190" t="s">
        <v>11645</v>
      </c>
      <c r="D6333" s="191">
        <v>435.44</v>
      </c>
      <c r="E6333" s="191">
        <v>216.8</v>
      </c>
      <c r="F6333" s="191">
        <v>214.3</v>
      </c>
      <c r="G6333" s="191">
        <v>4.34</v>
      </c>
      <c r="H6333" s="192">
        <v>3742.21</v>
      </c>
      <c r="I6333" s="192">
        <v>2493.1999999999998</v>
      </c>
      <c r="J6333" s="192">
        <v>1199.0999999999999</v>
      </c>
      <c r="K6333" s="192">
        <v>49.91</v>
      </c>
      <c r="L6333" s="43">
        <v>8.5940887378284039</v>
      </c>
      <c r="M6333" s="43">
        <v>11.499999999999998</v>
      </c>
      <c r="N6333" s="43">
        <v>5.5954269715352298</v>
      </c>
      <c r="O6333" s="43">
        <v>11.5</v>
      </c>
      <c r="P6333" s="193"/>
      <c r="Q6333" s="193"/>
      <c r="R6333" s="193">
        <v>8</v>
      </c>
    </row>
    <row r="6334" spans="1:18" ht="24">
      <c r="A6334" s="189">
        <v>1166</v>
      </c>
      <c r="B6334" s="186" t="s">
        <v>11646</v>
      </c>
      <c r="C6334" s="190" t="s">
        <v>11647</v>
      </c>
      <c r="D6334" s="191">
        <v>649.51</v>
      </c>
      <c r="E6334" s="191">
        <v>314.36</v>
      </c>
      <c r="F6334" s="191">
        <v>328.86</v>
      </c>
      <c r="G6334" s="191">
        <v>6.29</v>
      </c>
      <c r="H6334" s="192">
        <v>5527.61</v>
      </c>
      <c r="I6334" s="192">
        <v>3615.14</v>
      </c>
      <c r="J6334" s="192">
        <v>1840.13</v>
      </c>
      <c r="K6334" s="192">
        <v>72.34</v>
      </c>
      <c r="L6334" s="43">
        <v>8.5104309402472627</v>
      </c>
      <c r="M6334" s="43">
        <v>11.499999999999998</v>
      </c>
      <c r="N6334" s="43">
        <v>5.5954813598491757</v>
      </c>
      <c r="O6334" s="43">
        <v>11.500794912559618</v>
      </c>
      <c r="P6334" s="193"/>
      <c r="Q6334" s="193"/>
      <c r="R6334" s="193">
        <v>8</v>
      </c>
    </row>
    <row r="6335" spans="1:18" ht="12.75" customHeight="1">
      <c r="A6335" s="628" t="s">
        <v>11323</v>
      </c>
      <c r="B6335" s="629"/>
      <c r="C6335" s="629"/>
      <c r="D6335" s="629"/>
      <c r="E6335" s="629"/>
      <c r="F6335" s="629"/>
      <c r="G6335" s="629"/>
      <c r="H6335" s="629"/>
      <c r="I6335" s="629"/>
      <c r="J6335" s="629"/>
      <c r="K6335" s="629"/>
      <c r="L6335" s="629"/>
      <c r="M6335" s="629"/>
      <c r="N6335" s="629"/>
      <c r="O6335" s="629"/>
      <c r="P6335" s="629"/>
      <c r="Q6335" s="629"/>
      <c r="R6335" s="629"/>
    </row>
    <row r="6336" spans="1:18" ht="24">
      <c r="A6336" s="189">
        <v>1167</v>
      </c>
      <c r="B6336" s="186" t="s">
        <v>11648</v>
      </c>
      <c r="C6336" s="190" t="s">
        <v>11649</v>
      </c>
      <c r="D6336" s="191">
        <v>555.76</v>
      </c>
      <c r="E6336" s="191">
        <v>91.71</v>
      </c>
      <c r="F6336" s="191">
        <v>80.87</v>
      </c>
      <c r="G6336" s="191">
        <v>383.18</v>
      </c>
      <c r="H6336" s="192">
        <v>2937.44</v>
      </c>
      <c r="I6336" s="192">
        <v>1054.71</v>
      </c>
      <c r="J6336" s="192">
        <v>452.49</v>
      </c>
      <c r="K6336" s="192">
        <v>1430.24</v>
      </c>
      <c r="L6336" s="43">
        <v>5.2854469555203689</v>
      </c>
      <c r="M6336" s="43">
        <v>11.500490677134447</v>
      </c>
      <c r="N6336" s="43">
        <v>5.5952763694818843</v>
      </c>
      <c r="O6336" s="43">
        <v>3.732553891121666</v>
      </c>
      <c r="P6336" s="193"/>
      <c r="Q6336" s="193"/>
      <c r="R6336" s="193">
        <v>9</v>
      </c>
    </row>
    <row r="6337" spans="1:18" ht="24">
      <c r="A6337" s="189">
        <v>1168</v>
      </c>
      <c r="B6337" s="186" t="s">
        <v>11650</v>
      </c>
      <c r="C6337" s="190" t="s">
        <v>11651</v>
      </c>
      <c r="D6337" s="191">
        <v>565.92999999999995</v>
      </c>
      <c r="E6337" s="191">
        <v>142.66</v>
      </c>
      <c r="F6337" s="191">
        <v>119.95</v>
      </c>
      <c r="G6337" s="191">
        <v>303.32</v>
      </c>
      <c r="H6337" s="192">
        <v>3318.35</v>
      </c>
      <c r="I6337" s="192">
        <v>1640.66</v>
      </c>
      <c r="J6337" s="192">
        <v>671.19</v>
      </c>
      <c r="K6337" s="192">
        <v>1006.5</v>
      </c>
      <c r="L6337" s="43">
        <v>5.8635343593730678</v>
      </c>
      <c r="M6337" s="43">
        <v>11.500490677134446</v>
      </c>
      <c r="N6337" s="43">
        <v>5.5955814922884537</v>
      </c>
      <c r="O6337" s="43">
        <v>3.3182777264934722</v>
      </c>
      <c r="P6337" s="193"/>
      <c r="Q6337" s="193"/>
      <c r="R6337" s="193">
        <v>9</v>
      </c>
    </row>
    <row r="6338" spans="1:18" ht="36">
      <c r="A6338" s="189">
        <v>1169</v>
      </c>
      <c r="B6338" s="186" t="s">
        <v>11652</v>
      </c>
      <c r="C6338" s="190" t="s">
        <v>11653</v>
      </c>
      <c r="D6338" s="191">
        <v>632.26</v>
      </c>
      <c r="E6338" s="191">
        <v>122.28</v>
      </c>
      <c r="F6338" s="191">
        <v>95.69</v>
      </c>
      <c r="G6338" s="191">
        <v>414.29</v>
      </c>
      <c r="H6338" s="192">
        <v>3526.12</v>
      </c>
      <c r="I6338" s="192">
        <v>1406.28</v>
      </c>
      <c r="J6338" s="192">
        <v>535.45000000000005</v>
      </c>
      <c r="K6338" s="192">
        <v>1584.39</v>
      </c>
      <c r="L6338" s="43">
        <v>5.5770094581343121</v>
      </c>
      <c r="M6338" s="43">
        <v>11.500490677134446</v>
      </c>
      <c r="N6338" s="43">
        <v>5.5956735291044</v>
      </c>
      <c r="O6338" s="43">
        <v>3.8243500929300733</v>
      </c>
      <c r="P6338" s="193"/>
      <c r="Q6338" s="193"/>
      <c r="R6338" s="193">
        <v>9</v>
      </c>
    </row>
    <row r="6339" spans="1:18" ht="36">
      <c r="A6339" s="189">
        <v>1170</v>
      </c>
      <c r="B6339" s="186" t="s">
        <v>11654</v>
      </c>
      <c r="C6339" s="190" t="s">
        <v>11655</v>
      </c>
      <c r="D6339" s="191">
        <v>637.13</v>
      </c>
      <c r="E6339" s="191">
        <v>173.23</v>
      </c>
      <c r="F6339" s="191">
        <v>142.87</v>
      </c>
      <c r="G6339" s="191">
        <v>321.02999999999997</v>
      </c>
      <c r="H6339" s="192">
        <v>3877.66</v>
      </c>
      <c r="I6339" s="192">
        <v>1992.23</v>
      </c>
      <c r="J6339" s="192">
        <v>799.4</v>
      </c>
      <c r="K6339" s="192">
        <v>1086.03</v>
      </c>
      <c r="L6339" s="43">
        <v>6.0861362673237798</v>
      </c>
      <c r="M6339" s="43">
        <v>11.500490677134446</v>
      </c>
      <c r="N6339" s="43">
        <v>5.5952964233219005</v>
      </c>
      <c r="O6339" s="43">
        <v>3.3829548640313991</v>
      </c>
      <c r="P6339" s="193"/>
      <c r="Q6339" s="193"/>
      <c r="R6339" s="193">
        <v>9</v>
      </c>
    </row>
    <row r="6340" spans="1:18" ht="36">
      <c r="A6340" s="189">
        <v>1171</v>
      </c>
      <c r="B6340" s="186" t="s">
        <v>11656</v>
      </c>
      <c r="C6340" s="190" t="s">
        <v>11657</v>
      </c>
      <c r="D6340" s="191">
        <v>413.79</v>
      </c>
      <c r="E6340" s="191">
        <v>68.94</v>
      </c>
      <c r="F6340" s="191">
        <v>94.35</v>
      </c>
      <c r="G6340" s="191">
        <v>250.5</v>
      </c>
      <c r="H6340" s="192">
        <v>2489.52</v>
      </c>
      <c r="I6340" s="192">
        <v>792.84</v>
      </c>
      <c r="J6340" s="192">
        <v>527.91</v>
      </c>
      <c r="K6340" s="192">
        <v>1168.77</v>
      </c>
      <c r="L6340" s="43">
        <v>6.0163851228884218</v>
      </c>
      <c r="M6340" s="43">
        <v>11.500435161009575</v>
      </c>
      <c r="N6340" s="43">
        <v>5.5952305246422895</v>
      </c>
      <c r="O6340" s="43">
        <v>4.6657485029940116</v>
      </c>
      <c r="P6340" s="193"/>
      <c r="Q6340" s="193"/>
      <c r="R6340" s="193">
        <v>9</v>
      </c>
    </row>
    <row r="6341" spans="1:18" ht="36">
      <c r="A6341" s="189">
        <v>1172</v>
      </c>
      <c r="B6341" s="186" t="s">
        <v>11658</v>
      </c>
      <c r="C6341" s="190" t="s">
        <v>11659</v>
      </c>
      <c r="D6341" s="191">
        <v>585.88</v>
      </c>
      <c r="E6341" s="191">
        <v>68.94</v>
      </c>
      <c r="F6341" s="191">
        <v>98.39</v>
      </c>
      <c r="G6341" s="191">
        <v>418.55</v>
      </c>
      <c r="H6341" s="192">
        <v>3111.43</v>
      </c>
      <c r="I6341" s="192">
        <v>792.84</v>
      </c>
      <c r="J6341" s="192">
        <v>550.53</v>
      </c>
      <c r="K6341" s="192">
        <v>1768.06</v>
      </c>
      <c r="L6341" s="43">
        <v>5.3106950228715775</v>
      </c>
      <c r="M6341" s="43">
        <v>11.500435161009575</v>
      </c>
      <c r="N6341" s="43">
        <v>5.5953857099298707</v>
      </c>
      <c r="O6341" s="43">
        <v>4.2242503882451317</v>
      </c>
      <c r="P6341" s="193"/>
      <c r="Q6341" s="193"/>
      <c r="R6341" s="193">
        <v>9</v>
      </c>
    </row>
    <row r="6342" spans="1:18" ht="36">
      <c r="A6342" s="189">
        <v>1173</v>
      </c>
      <c r="B6342" s="186" t="s">
        <v>11660</v>
      </c>
      <c r="C6342" s="190" t="s">
        <v>11661</v>
      </c>
      <c r="D6342" s="191">
        <v>654.25</v>
      </c>
      <c r="E6342" s="191">
        <v>91.92</v>
      </c>
      <c r="F6342" s="191">
        <v>140.16999999999999</v>
      </c>
      <c r="G6342" s="191">
        <v>422.16</v>
      </c>
      <c r="H6342" s="192">
        <v>4045.38</v>
      </c>
      <c r="I6342" s="192">
        <v>1057.1199999999999</v>
      </c>
      <c r="J6342" s="192">
        <v>784.32</v>
      </c>
      <c r="K6342" s="192">
        <v>2203.94</v>
      </c>
      <c r="L6342" s="43">
        <v>6.183232709209018</v>
      </c>
      <c r="M6342" s="43">
        <v>11.500435161009571</v>
      </c>
      <c r="N6342" s="43">
        <v>5.5954911892701729</v>
      </c>
      <c r="O6342" s="43">
        <v>5.2206272503316278</v>
      </c>
      <c r="P6342" s="193"/>
      <c r="Q6342" s="193"/>
      <c r="R6342" s="193">
        <v>9</v>
      </c>
    </row>
    <row r="6343" spans="1:18" ht="36">
      <c r="A6343" s="189">
        <v>1174</v>
      </c>
      <c r="B6343" s="186" t="s">
        <v>11662</v>
      </c>
      <c r="C6343" s="190" t="s">
        <v>11663</v>
      </c>
      <c r="D6343" s="191">
        <v>1075.73</v>
      </c>
      <c r="E6343" s="191">
        <v>137.88</v>
      </c>
      <c r="F6343" s="191">
        <v>186</v>
      </c>
      <c r="G6343" s="191">
        <v>751.85</v>
      </c>
      <c r="H6343" s="192">
        <v>5983.65</v>
      </c>
      <c r="I6343" s="192">
        <v>1585.68</v>
      </c>
      <c r="J6343" s="192">
        <v>1040.73</v>
      </c>
      <c r="K6343" s="192">
        <v>3357.24</v>
      </c>
      <c r="L6343" s="43">
        <v>5.5624087828730255</v>
      </c>
      <c r="M6343" s="43">
        <v>11.500435161009575</v>
      </c>
      <c r="N6343" s="43">
        <v>5.5953225806451616</v>
      </c>
      <c r="O6343" s="43">
        <v>4.4653055795703924</v>
      </c>
      <c r="P6343" s="193"/>
      <c r="Q6343" s="193"/>
      <c r="R6343" s="193">
        <v>9</v>
      </c>
    </row>
    <row r="6344" spans="1:18" ht="24">
      <c r="A6344" s="189">
        <v>1175</v>
      </c>
      <c r="B6344" s="186" t="s">
        <v>11664</v>
      </c>
      <c r="C6344" s="190" t="s">
        <v>11665</v>
      </c>
      <c r="D6344" s="191">
        <v>728.15</v>
      </c>
      <c r="E6344" s="191">
        <v>114.9</v>
      </c>
      <c r="F6344" s="191">
        <v>173.87</v>
      </c>
      <c r="G6344" s="191">
        <v>439.38</v>
      </c>
      <c r="H6344" s="192">
        <v>4277.38</v>
      </c>
      <c r="I6344" s="192">
        <v>1321.4</v>
      </c>
      <c r="J6344" s="192">
        <v>972.85</v>
      </c>
      <c r="K6344" s="192">
        <v>1983.13</v>
      </c>
      <c r="L6344" s="43">
        <v>5.8743116116184853</v>
      </c>
      <c r="M6344" s="43">
        <v>11.500435161009573</v>
      </c>
      <c r="N6344" s="43">
        <v>5.5952723299016505</v>
      </c>
      <c r="O6344" s="43">
        <v>4.5134735308844283</v>
      </c>
      <c r="P6344" s="193"/>
      <c r="Q6344" s="193"/>
      <c r="R6344" s="193">
        <v>9</v>
      </c>
    </row>
    <row r="6345" spans="1:18" ht="24">
      <c r="A6345" s="189">
        <v>1176</v>
      </c>
      <c r="B6345" s="186" t="s">
        <v>11666</v>
      </c>
      <c r="C6345" s="190" t="s">
        <v>11667</v>
      </c>
      <c r="D6345" s="191">
        <v>758.8</v>
      </c>
      <c r="E6345" s="191">
        <v>160.86000000000001</v>
      </c>
      <c r="F6345" s="191">
        <v>233.17</v>
      </c>
      <c r="G6345" s="191">
        <v>364.77</v>
      </c>
      <c r="H6345" s="192">
        <v>4857.3100000000004</v>
      </c>
      <c r="I6345" s="192">
        <v>1849.96</v>
      </c>
      <c r="J6345" s="192">
        <v>1304.68</v>
      </c>
      <c r="K6345" s="192">
        <v>1702.67</v>
      </c>
      <c r="L6345" s="43">
        <v>6.4013046916183454</v>
      </c>
      <c r="M6345" s="43">
        <v>11.500435161009573</v>
      </c>
      <c r="N6345" s="43">
        <v>5.5954024960329383</v>
      </c>
      <c r="O6345" s="43">
        <v>4.667790662609316</v>
      </c>
      <c r="P6345" s="193"/>
      <c r="Q6345" s="193"/>
      <c r="R6345" s="193">
        <v>9</v>
      </c>
    </row>
    <row r="6346" spans="1:18" ht="24">
      <c r="A6346" s="189">
        <v>1177</v>
      </c>
      <c r="B6346" s="186" t="s">
        <v>11668</v>
      </c>
      <c r="C6346" s="190" t="s">
        <v>11669</v>
      </c>
      <c r="D6346" s="191">
        <v>1163.76</v>
      </c>
      <c r="E6346" s="191">
        <v>149.37</v>
      </c>
      <c r="F6346" s="191">
        <v>212.95</v>
      </c>
      <c r="G6346" s="191">
        <v>801.44</v>
      </c>
      <c r="H6346" s="192">
        <v>5594.24</v>
      </c>
      <c r="I6346" s="192">
        <v>1717.82</v>
      </c>
      <c r="J6346" s="192">
        <v>1191.56</v>
      </c>
      <c r="K6346" s="192">
        <v>2684.86</v>
      </c>
      <c r="L6346" s="43">
        <v>4.8070392520794663</v>
      </c>
      <c r="M6346" s="43">
        <v>11.500435161009573</v>
      </c>
      <c r="N6346" s="43">
        <v>5.5954918995069267</v>
      </c>
      <c r="O6346" s="43">
        <v>3.3500449191455379</v>
      </c>
      <c r="P6346" s="193"/>
      <c r="Q6346" s="193"/>
      <c r="R6346" s="193">
        <v>9</v>
      </c>
    </row>
    <row r="6347" spans="1:18" ht="24">
      <c r="A6347" s="189">
        <v>1178</v>
      </c>
      <c r="B6347" s="186" t="s">
        <v>11670</v>
      </c>
      <c r="C6347" s="190" t="s">
        <v>11671</v>
      </c>
      <c r="D6347" s="191">
        <v>81.599999999999994</v>
      </c>
      <c r="E6347" s="191">
        <v>22.98</v>
      </c>
      <c r="F6347" s="191">
        <v>45.83</v>
      </c>
      <c r="G6347" s="191">
        <v>12.79</v>
      </c>
      <c r="H6347" s="192">
        <v>611.16999999999996</v>
      </c>
      <c r="I6347" s="192">
        <v>264.27999999999997</v>
      </c>
      <c r="J6347" s="192">
        <v>256.41000000000003</v>
      </c>
      <c r="K6347" s="192">
        <v>90.48</v>
      </c>
      <c r="L6347" s="43">
        <v>7.4898284313725494</v>
      </c>
      <c r="M6347" s="43">
        <v>11.500435161009571</v>
      </c>
      <c r="N6347" s="43">
        <v>5.5948068950469132</v>
      </c>
      <c r="O6347" s="43">
        <v>7.0742767787333865</v>
      </c>
      <c r="P6347" s="193"/>
      <c r="Q6347" s="193"/>
      <c r="R6347" s="193">
        <v>9</v>
      </c>
    </row>
    <row r="6348" spans="1:18" ht="36">
      <c r="A6348" s="189">
        <v>1179</v>
      </c>
      <c r="B6348" s="186" t="s">
        <v>11672</v>
      </c>
      <c r="C6348" s="190" t="s">
        <v>11673</v>
      </c>
      <c r="D6348" s="191">
        <v>142.9</v>
      </c>
      <c r="E6348" s="191">
        <v>34.47</v>
      </c>
      <c r="F6348" s="191">
        <v>52.56</v>
      </c>
      <c r="G6348" s="191">
        <v>55.87</v>
      </c>
      <c r="H6348" s="192">
        <v>979.61</v>
      </c>
      <c r="I6348" s="192">
        <v>396.42</v>
      </c>
      <c r="J6348" s="192">
        <v>294.12</v>
      </c>
      <c r="K6348" s="192">
        <v>289.07</v>
      </c>
      <c r="L6348" s="43">
        <v>6.8552134359692092</v>
      </c>
      <c r="M6348" s="43">
        <v>11.500435161009575</v>
      </c>
      <c r="N6348" s="43">
        <v>5.595890410958904</v>
      </c>
      <c r="O6348" s="43">
        <v>5.1739752998031143</v>
      </c>
      <c r="P6348" s="193"/>
      <c r="Q6348" s="193"/>
      <c r="R6348" s="193">
        <v>9</v>
      </c>
    </row>
    <row r="6349" spans="1:18" ht="24">
      <c r="A6349" s="189">
        <v>1180</v>
      </c>
      <c r="B6349" s="186" t="s">
        <v>11674</v>
      </c>
      <c r="C6349" s="190" t="s">
        <v>11675</v>
      </c>
      <c r="D6349" s="191">
        <v>109.88</v>
      </c>
      <c r="E6349" s="191">
        <v>2.65</v>
      </c>
      <c r="F6349" s="191">
        <v>8.09</v>
      </c>
      <c r="G6349" s="191">
        <v>99.14</v>
      </c>
      <c r="H6349" s="192">
        <v>438.95</v>
      </c>
      <c r="I6349" s="192">
        <v>30.47</v>
      </c>
      <c r="J6349" s="192">
        <v>45.25</v>
      </c>
      <c r="K6349" s="192">
        <v>363.23</v>
      </c>
      <c r="L6349" s="43">
        <v>3.9948125227520932</v>
      </c>
      <c r="M6349" s="43">
        <v>11.498113207547171</v>
      </c>
      <c r="N6349" s="43">
        <v>5.5933250927070457</v>
      </c>
      <c r="O6349" s="43">
        <v>3.6638087552955416</v>
      </c>
      <c r="P6349" s="193"/>
      <c r="Q6349" s="193"/>
      <c r="R6349" s="193">
        <v>9</v>
      </c>
    </row>
    <row r="6350" spans="1:18" ht="24">
      <c r="A6350" s="189">
        <v>1181</v>
      </c>
      <c r="B6350" s="186" t="s">
        <v>11676</v>
      </c>
      <c r="C6350" s="190" t="s">
        <v>11677</v>
      </c>
      <c r="D6350" s="191">
        <v>113.2</v>
      </c>
      <c r="E6350" s="191">
        <v>3.26</v>
      </c>
      <c r="F6350" s="191">
        <v>10.78</v>
      </c>
      <c r="G6350" s="191">
        <v>99.16</v>
      </c>
      <c r="H6350" s="192">
        <v>461.29</v>
      </c>
      <c r="I6350" s="192">
        <v>37.5</v>
      </c>
      <c r="J6350" s="192">
        <v>60.33</v>
      </c>
      <c r="K6350" s="192">
        <v>363.46</v>
      </c>
      <c r="L6350" s="43">
        <v>4.0750000000000002</v>
      </c>
      <c r="M6350" s="43">
        <v>11.503067484662578</v>
      </c>
      <c r="N6350" s="43">
        <v>5.5964749536178111</v>
      </c>
      <c r="O6350" s="43">
        <v>3.6653892698668815</v>
      </c>
      <c r="P6350" s="193"/>
      <c r="Q6350" s="193"/>
      <c r="R6350" s="193">
        <v>9</v>
      </c>
    </row>
    <row r="6351" spans="1:18" ht="36">
      <c r="A6351" s="189">
        <v>1182</v>
      </c>
      <c r="B6351" s="186" t="s">
        <v>11678</v>
      </c>
      <c r="C6351" s="190" t="s">
        <v>11679</v>
      </c>
      <c r="D6351" s="191">
        <v>113.59</v>
      </c>
      <c r="E6351" s="191">
        <v>4.8899999999999997</v>
      </c>
      <c r="F6351" s="191">
        <v>8.09</v>
      </c>
      <c r="G6351" s="191">
        <v>100.61</v>
      </c>
      <c r="H6351" s="192">
        <v>476.29</v>
      </c>
      <c r="I6351" s="192">
        <v>56.25</v>
      </c>
      <c r="J6351" s="192">
        <v>45.25</v>
      </c>
      <c r="K6351" s="192">
        <v>374.79</v>
      </c>
      <c r="L6351" s="43">
        <v>4.1930627696100009</v>
      </c>
      <c r="M6351" s="43">
        <v>11.503067484662578</v>
      </c>
      <c r="N6351" s="43">
        <v>5.5933250927070457</v>
      </c>
      <c r="O6351" s="43">
        <v>3.7251764238147302</v>
      </c>
      <c r="P6351" s="193"/>
      <c r="Q6351" s="193"/>
      <c r="R6351" s="193">
        <v>9</v>
      </c>
    </row>
    <row r="6352" spans="1:18" ht="36">
      <c r="A6352" s="189">
        <v>1183</v>
      </c>
      <c r="B6352" s="186" t="s">
        <v>11680</v>
      </c>
      <c r="C6352" s="190" t="s">
        <v>11681</v>
      </c>
      <c r="D6352" s="191">
        <v>111.9</v>
      </c>
      <c r="E6352" s="191">
        <v>4.8899999999999997</v>
      </c>
      <c r="F6352" s="191">
        <v>8.09</v>
      </c>
      <c r="G6352" s="191">
        <v>98.92</v>
      </c>
      <c r="H6352" s="192">
        <v>466.08</v>
      </c>
      <c r="I6352" s="192">
        <v>56.25</v>
      </c>
      <c r="J6352" s="192">
        <v>45.25</v>
      </c>
      <c r="K6352" s="192">
        <v>364.58</v>
      </c>
      <c r="L6352" s="43">
        <v>4.1651474530831099</v>
      </c>
      <c r="M6352" s="43">
        <v>11.503067484662578</v>
      </c>
      <c r="N6352" s="43">
        <v>5.5933250927070457</v>
      </c>
      <c r="O6352" s="43">
        <v>3.6856045289122523</v>
      </c>
      <c r="P6352" s="193"/>
      <c r="Q6352" s="193"/>
      <c r="R6352" s="193">
        <v>9</v>
      </c>
    </row>
    <row r="6353" spans="1:18" ht="24">
      <c r="A6353" s="189">
        <v>1184</v>
      </c>
      <c r="B6353" s="186" t="s">
        <v>11682</v>
      </c>
      <c r="C6353" s="190" t="s">
        <v>11683</v>
      </c>
      <c r="D6353" s="191">
        <v>184.12</v>
      </c>
      <c r="E6353" s="191">
        <v>34.47</v>
      </c>
      <c r="F6353" s="191">
        <v>51.22</v>
      </c>
      <c r="G6353" s="191">
        <v>98.43</v>
      </c>
      <c r="H6353" s="192">
        <v>939.55</v>
      </c>
      <c r="I6353" s="192">
        <v>396.42</v>
      </c>
      <c r="J6353" s="192">
        <v>286.58</v>
      </c>
      <c r="K6353" s="192">
        <v>256.55</v>
      </c>
      <c r="L6353" s="43">
        <v>5.1029220073864865</v>
      </c>
      <c r="M6353" s="43">
        <v>11.500435161009575</v>
      </c>
      <c r="N6353" s="43">
        <v>5.5950800468566966</v>
      </c>
      <c r="O6353" s="43">
        <v>2.6064208066646346</v>
      </c>
      <c r="P6353" s="193"/>
      <c r="Q6353" s="193"/>
      <c r="R6353" s="193">
        <v>9</v>
      </c>
    </row>
    <row r="6354" spans="1:18" ht="24">
      <c r="A6354" s="189">
        <v>1185</v>
      </c>
      <c r="B6354" s="186" t="s">
        <v>11684</v>
      </c>
      <c r="C6354" s="190" t="s">
        <v>11685</v>
      </c>
      <c r="D6354" s="191">
        <v>289.45</v>
      </c>
      <c r="E6354" s="191">
        <v>18.64</v>
      </c>
      <c r="F6354" s="191">
        <v>51.22</v>
      </c>
      <c r="G6354" s="191">
        <v>219.59</v>
      </c>
      <c r="H6354" s="192">
        <v>1178.79</v>
      </c>
      <c r="I6354" s="192">
        <v>214.36</v>
      </c>
      <c r="J6354" s="192">
        <v>286.58</v>
      </c>
      <c r="K6354" s="192">
        <v>677.85</v>
      </c>
      <c r="L6354" s="43">
        <v>4.0725168422870963</v>
      </c>
      <c r="M6354" s="43">
        <v>11.5</v>
      </c>
      <c r="N6354" s="43">
        <v>5.5950800468566966</v>
      </c>
      <c r="O6354" s="43">
        <v>3.0868892026048544</v>
      </c>
      <c r="P6354" s="193"/>
      <c r="Q6354" s="193"/>
      <c r="R6354" s="193">
        <v>9</v>
      </c>
    </row>
    <row r="6355" spans="1:18" ht="24">
      <c r="A6355" s="189">
        <v>1186</v>
      </c>
      <c r="B6355" s="186" t="s">
        <v>11686</v>
      </c>
      <c r="C6355" s="190" t="s">
        <v>11687</v>
      </c>
      <c r="D6355" s="191">
        <v>3057.37</v>
      </c>
      <c r="E6355" s="191">
        <v>2710</v>
      </c>
      <c r="F6355" s="191"/>
      <c r="G6355" s="191">
        <v>347.37</v>
      </c>
      <c r="H6355" s="192">
        <v>33315.629999999997</v>
      </c>
      <c r="I6355" s="192">
        <v>31165</v>
      </c>
      <c r="J6355" s="192"/>
      <c r="K6355" s="192">
        <v>2150.63</v>
      </c>
      <c r="L6355" s="43">
        <v>10.896826357294014</v>
      </c>
      <c r="M6355" s="43">
        <v>11.5</v>
      </c>
      <c r="N6355" s="43" t="s">
        <v>1690</v>
      </c>
      <c r="O6355" s="43">
        <v>6.1911794340328754</v>
      </c>
      <c r="P6355" s="193"/>
      <c r="Q6355" s="193"/>
      <c r="R6355" s="193">
        <v>9</v>
      </c>
    </row>
    <row r="6356" spans="1:18" ht="36">
      <c r="A6356" s="189">
        <v>1187</v>
      </c>
      <c r="B6356" s="186" t="s">
        <v>11688</v>
      </c>
      <c r="C6356" s="190" t="s">
        <v>11689</v>
      </c>
      <c r="D6356" s="191">
        <v>3499.89</v>
      </c>
      <c r="E6356" s="191">
        <v>3143.6</v>
      </c>
      <c r="F6356" s="191"/>
      <c r="G6356" s="191">
        <v>356.29</v>
      </c>
      <c r="H6356" s="192">
        <v>38402.42</v>
      </c>
      <c r="I6356" s="192">
        <v>36151.4</v>
      </c>
      <c r="J6356" s="192"/>
      <c r="K6356" s="192">
        <v>2251.02</v>
      </c>
      <c r="L6356" s="43">
        <v>10.972464848895251</v>
      </c>
      <c r="M6356" s="43">
        <v>11.5</v>
      </c>
      <c r="N6356" s="43" t="s">
        <v>1690</v>
      </c>
      <c r="O6356" s="43">
        <v>6.3179432484773637</v>
      </c>
      <c r="P6356" s="193"/>
      <c r="Q6356" s="193"/>
      <c r="R6356" s="193">
        <v>9</v>
      </c>
    </row>
    <row r="6357" spans="1:18" ht="36">
      <c r="A6357" s="189">
        <v>1188</v>
      </c>
      <c r="B6357" s="186" t="s">
        <v>11690</v>
      </c>
      <c r="C6357" s="190" t="s">
        <v>11691</v>
      </c>
      <c r="D6357" s="191">
        <v>3918.16</v>
      </c>
      <c r="E6357" s="191">
        <v>3372</v>
      </c>
      <c r="F6357" s="191"/>
      <c r="G6357" s="191">
        <v>546.16</v>
      </c>
      <c r="H6357" s="192">
        <v>42181.11</v>
      </c>
      <c r="I6357" s="192">
        <v>38778</v>
      </c>
      <c r="J6357" s="192"/>
      <c r="K6357" s="192">
        <v>3403.11</v>
      </c>
      <c r="L6357" s="43">
        <v>10.765540457765891</v>
      </c>
      <c r="M6357" s="43">
        <v>11.5</v>
      </c>
      <c r="N6357" s="43" t="s">
        <v>1690</v>
      </c>
      <c r="O6357" s="43">
        <v>6.2309762706899079</v>
      </c>
      <c r="P6357" s="193"/>
      <c r="Q6357" s="193"/>
      <c r="R6357" s="193">
        <v>9</v>
      </c>
    </row>
    <row r="6358" spans="1:18" ht="36">
      <c r="A6358" s="189">
        <v>1189</v>
      </c>
      <c r="B6358" s="186" t="s">
        <v>11692</v>
      </c>
      <c r="C6358" s="190" t="s">
        <v>11693</v>
      </c>
      <c r="D6358" s="191">
        <v>17060.46</v>
      </c>
      <c r="E6358" s="191">
        <v>5745</v>
      </c>
      <c r="F6358" s="191"/>
      <c r="G6358" s="191">
        <v>11315.46</v>
      </c>
      <c r="H6358" s="192">
        <v>106232.06</v>
      </c>
      <c r="I6358" s="192">
        <v>66070</v>
      </c>
      <c r="J6358" s="192"/>
      <c r="K6358" s="192">
        <v>40162.06</v>
      </c>
      <c r="L6358" s="43">
        <v>6.2267992773934582</v>
      </c>
      <c r="M6358" s="43">
        <v>11.500435161009573</v>
      </c>
      <c r="N6358" s="43" t="s">
        <v>1690</v>
      </c>
      <c r="O6358" s="43">
        <v>3.5493086449865938</v>
      </c>
      <c r="P6358" s="193"/>
      <c r="Q6358" s="193"/>
      <c r="R6358" s="193">
        <v>9</v>
      </c>
    </row>
    <row r="6359" spans="1:18" ht="24">
      <c r="A6359" s="189">
        <v>1190</v>
      </c>
      <c r="B6359" s="186" t="s">
        <v>11694</v>
      </c>
      <c r="C6359" s="190" t="s">
        <v>11695</v>
      </c>
      <c r="D6359" s="191">
        <v>1121.42</v>
      </c>
      <c r="E6359" s="191">
        <v>34.47</v>
      </c>
      <c r="F6359" s="191"/>
      <c r="G6359" s="191">
        <v>1086.95</v>
      </c>
      <c r="H6359" s="192">
        <v>4414.74</v>
      </c>
      <c r="I6359" s="192">
        <v>396.42</v>
      </c>
      <c r="J6359" s="192"/>
      <c r="K6359" s="192">
        <v>4018.32</v>
      </c>
      <c r="L6359" s="43">
        <v>3.9367409177649759</v>
      </c>
      <c r="M6359" s="43">
        <v>11.500435161009575</v>
      </c>
      <c r="N6359" s="43" t="s">
        <v>1690</v>
      </c>
      <c r="O6359" s="43">
        <v>3.6968765812594877</v>
      </c>
      <c r="P6359" s="193"/>
      <c r="Q6359" s="193"/>
      <c r="R6359" s="193">
        <v>9</v>
      </c>
    </row>
    <row r="6360" spans="1:18" ht="24">
      <c r="A6360" s="189">
        <v>1191</v>
      </c>
      <c r="B6360" s="186" t="s">
        <v>11696</v>
      </c>
      <c r="C6360" s="190" t="s">
        <v>11697</v>
      </c>
      <c r="D6360" s="191">
        <v>2240.8200000000002</v>
      </c>
      <c r="E6360" s="191">
        <v>68.94</v>
      </c>
      <c r="F6360" s="191"/>
      <c r="G6360" s="191">
        <v>2171.88</v>
      </c>
      <c r="H6360" s="192">
        <v>8820.65</v>
      </c>
      <c r="I6360" s="192">
        <v>792.84</v>
      </c>
      <c r="J6360" s="192"/>
      <c r="K6360" s="192">
        <v>8027.81</v>
      </c>
      <c r="L6360" s="43">
        <v>3.9363491935987716</v>
      </c>
      <c r="M6360" s="43">
        <v>11.500435161009575</v>
      </c>
      <c r="N6360" s="43" t="s">
        <v>1690</v>
      </c>
      <c r="O6360" s="43">
        <v>3.6962493323756376</v>
      </c>
      <c r="P6360" s="193"/>
      <c r="Q6360" s="193"/>
      <c r="R6360" s="193">
        <v>9</v>
      </c>
    </row>
    <row r="6361" spans="1:18" ht="24">
      <c r="A6361" s="189">
        <v>1192</v>
      </c>
      <c r="B6361" s="186" t="s">
        <v>11698</v>
      </c>
      <c r="C6361" s="190" t="s">
        <v>11699</v>
      </c>
      <c r="D6361" s="191">
        <v>3360.44</v>
      </c>
      <c r="E6361" s="191">
        <v>103.41</v>
      </c>
      <c r="F6361" s="191"/>
      <c r="G6361" s="191">
        <v>3257.03</v>
      </c>
      <c r="H6361" s="192">
        <v>13229.89</v>
      </c>
      <c r="I6361" s="192">
        <v>1189.26</v>
      </c>
      <c r="J6361" s="192"/>
      <c r="K6361" s="192">
        <v>12040.63</v>
      </c>
      <c r="L6361" s="43">
        <v>3.9369517087048123</v>
      </c>
      <c r="M6361" s="43">
        <v>11.500435161009573</v>
      </c>
      <c r="N6361" s="43" t="s">
        <v>1690</v>
      </c>
      <c r="O6361" s="43">
        <v>3.6968127404414446</v>
      </c>
      <c r="P6361" s="193"/>
      <c r="Q6361" s="193"/>
      <c r="R6361" s="193">
        <v>9</v>
      </c>
    </row>
    <row r="6362" spans="1:18" ht="24">
      <c r="A6362" s="189">
        <v>1193</v>
      </c>
      <c r="B6362" s="186" t="s">
        <v>11700</v>
      </c>
      <c r="C6362" s="190" t="s">
        <v>11701</v>
      </c>
      <c r="D6362" s="191">
        <v>103.75</v>
      </c>
      <c r="E6362" s="191">
        <v>1.1499999999999999</v>
      </c>
      <c r="F6362" s="191"/>
      <c r="G6362" s="191">
        <v>102.6</v>
      </c>
      <c r="H6362" s="192">
        <v>528.24</v>
      </c>
      <c r="I6362" s="192">
        <v>13.21</v>
      </c>
      <c r="J6362" s="192"/>
      <c r="K6362" s="192">
        <v>515.03</v>
      </c>
      <c r="L6362" s="43">
        <v>5.0914698795180726</v>
      </c>
      <c r="M6362" s="43">
        <v>11.5</v>
      </c>
      <c r="N6362" s="43" t="s">
        <v>1690</v>
      </c>
      <c r="O6362" s="43">
        <v>5.0197855750487328</v>
      </c>
      <c r="P6362" s="193"/>
      <c r="Q6362" s="193"/>
      <c r="R6362" s="193">
        <v>9</v>
      </c>
    </row>
    <row r="6363" spans="1:18" ht="24">
      <c r="A6363" s="189">
        <v>1194</v>
      </c>
      <c r="B6363" s="186" t="s">
        <v>11702</v>
      </c>
      <c r="C6363" s="190" t="s">
        <v>11703</v>
      </c>
      <c r="D6363" s="191">
        <v>108.81</v>
      </c>
      <c r="E6363" s="191">
        <v>6.11</v>
      </c>
      <c r="F6363" s="191"/>
      <c r="G6363" s="191">
        <v>102.7</v>
      </c>
      <c r="H6363" s="192">
        <v>586.39</v>
      </c>
      <c r="I6363" s="192">
        <v>70.209999999999994</v>
      </c>
      <c r="J6363" s="192"/>
      <c r="K6363" s="192">
        <v>516.17999999999995</v>
      </c>
      <c r="L6363" s="43">
        <v>5.3891186471831629</v>
      </c>
      <c r="M6363" s="43">
        <v>11.5</v>
      </c>
      <c r="N6363" s="43" t="s">
        <v>1690</v>
      </c>
      <c r="O6363" s="43">
        <v>5.0260954235637776</v>
      </c>
      <c r="P6363" s="193"/>
      <c r="Q6363" s="193"/>
      <c r="R6363" s="193">
        <v>9</v>
      </c>
    </row>
    <row r="6364" spans="1:18" ht="24">
      <c r="A6364" s="189">
        <v>1195</v>
      </c>
      <c r="B6364" s="186" t="s">
        <v>11704</v>
      </c>
      <c r="C6364" s="190" t="s">
        <v>11705</v>
      </c>
      <c r="D6364" s="191">
        <v>108.36</v>
      </c>
      <c r="E6364" s="191">
        <v>5.55</v>
      </c>
      <c r="F6364" s="191">
        <v>0.12</v>
      </c>
      <c r="G6364" s="191">
        <v>102.69</v>
      </c>
      <c r="H6364" s="192">
        <v>580.57000000000005</v>
      </c>
      <c r="I6364" s="192">
        <v>63.83</v>
      </c>
      <c r="J6364" s="192">
        <v>0.67</v>
      </c>
      <c r="K6364" s="192">
        <v>516.07000000000005</v>
      </c>
      <c r="L6364" s="43">
        <v>5.3577888519748988</v>
      </c>
      <c r="M6364" s="43">
        <v>11.5009009009009</v>
      </c>
      <c r="N6364" s="43">
        <v>5.5833333333333339</v>
      </c>
      <c r="O6364" s="43">
        <v>5.0255136819554007</v>
      </c>
      <c r="P6364" s="193"/>
      <c r="Q6364" s="193"/>
      <c r="R6364" s="193">
        <v>9</v>
      </c>
    </row>
    <row r="6365" spans="1:18" ht="24">
      <c r="A6365" s="189">
        <v>1196</v>
      </c>
      <c r="B6365" s="186" t="s">
        <v>11706</v>
      </c>
      <c r="C6365" s="190" t="s">
        <v>11707</v>
      </c>
      <c r="D6365" s="191">
        <v>113.71</v>
      </c>
      <c r="E6365" s="191">
        <v>10.79</v>
      </c>
      <c r="F6365" s="191">
        <v>0.12</v>
      </c>
      <c r="G6365" s="191">
        <v>102.8</v>
      </c>
      <c r="H6365" s="192">
        <v>642.09</v>
      </c>
      <c r="I6365" s="192">
        <v>124.09</v>
      </c>
      <c r="J6365" s="192">
        <v>0.67</v>
      </c>
      <c r="K6365" s="192">
        <v>517.33000000000004</v>
      </c>
      <c r="L6365" s="43">
        <v>5.6467329170697393</v>
      </c>
      <c r="M6365" s="43">
        <v>11.500463392029658</v>
      </c>
      <c r="N6365" s="43">
        <v>5.5833333333333339</v>
      </c>
      <c r="O6365" s="43">
        <v>5.0323929961089497</v>
      </c>
      <c r="P6365" s="193"/>
      <c r="Q6365" s="193"/>
      <c r="R6365" s="193">
        <v>9</v>
      </c>
    </row>
    <row r="6366" spans="1:18" ht="24">
      <c r="A6366" s="189">
        <v>1197</v>
      </c>
      <c r="B6366" s="186" t="s">
        <v>11708</v>
      </c>
      <c r="C6366" s="190" t="s">
        <v>11709</v>
      </c>
      <c r="D6366" s="191">
        <v>272.83999999999997</v>
      </c>
      <c r="E6366" s="191">
        <v>21.74</v>
      </c>
      <c r="F6366" s="191"/>
      <c r="G6366" s="191">
        <v>251.1</v>
      </c>
      <c r="H6366" s="192">
        <v>2470.89</v>
      </c>
      <c r="I6366" s="192">
        <v>250.05</v>
      </c>
      <c r="J6366" s="192"/>
      <c r="K6366" s="192">
        <v>2220.84</v>
      </c>
      <c r="L6366" s="43">
        <v>9.0561867761325328</v>
      </c>
      <c r="M6366" s="43">
        <v>11.501839926402946</v>
      </c>
      <c r="N6366" s="43" t="s">
        <v>1690</v>
      </c>
      <c r="O6366" s="43">
        <v>8.844444444444445</v>
      </c>
      <c r="P6366" s="193"/>
      <c r="Q6366" s="193"/>
      <c r="R6366" s="193">
        <v>9</v>
      </c>
    </row>
    <row r="6367" spans="1:18" ht="12.75" customHeight="1">
      <c r="A6367" s="628" t="s">
        <v>11710</v>
      </c>
      <c r="B6367" s="629"/>
      <c r="C6367" s="629"/>
      <c r="D6367" s="629"/>
      <c r="E6367" s="629"/>
      <c r="F6367" s="629"/>
      <c r="G6367" s="629"/>
      <c r="H6367" s="629"/>
      <c r="I6367" s="629"/>
      <c r="J6367" s="629"/>
      <c r="K6367" s="629"/>
      <c r="L6367" s="629"/>
      <c r="M6367" s="629"/>
      <c r="N6367" s="629"/>
      <c r="O6367" s="629"/>
      <c r="P6367" s="629"/>
      <c r="Q6367" s="629"/>
      <c r="R6367" s="629"/>
    </row>
    <row r="6368" spans="1:18" ht="24">
      <c r="A6368" s="189">
        <v>1198</v>
      </c>
      <c r="B6368" s="186" t="s">
        <v>11711</v>
      </c>
      <c r="C6368" s="190" t="s">
        <v>11712</v>
      </c>
      <c r="D6368" s="191">
        <v>1337.87</v>
      </c>
      <c r="E6368" s="191">
        <v>179.86</v>
      </c>
      <c r="F6368" s="191">
        <v>291.12</v>
      </c>
      <c r="G6368" s="191">
        <v>866.89</v>
      </c>
      <c r="H6368" s="192">
        <v>7517.89</v>
      </c>
      <c r="I6368" s="192">
        <v>2068.39</v>
      </c>
      <c r="J6368" s="192">
        <v>1628.96</v>
      </c>
      <c r="K6368" s="192">
        <v>3820.54</v>
      </c>
      <c r="L6368" s="43">
        <v>5.6192978391024546</v>
      </c>
      <c r="M6368" s="43">
        <v>11.499999999999998</v>
      </c>
      <c r="N6368" s="43">
        <v>5.5954932673811486</v>
      </c>
      <c r="O6368" s="43">
        <v>4.4071796883110892</v>
      </c>
      <c r="P6368" s="193"/>
      <c r="Q6368" s="193"/>
      <c r="R6368" s="193">
        <v>10</v>
      </c>
    </row>
    <row r="6369" spans="1:18" ht="24">
      <c r="A6369" s="189">
        <v>1199</v>
      </c>
      <c r="B6369" s="186" t="s">
        <v>11713</v>
      </c>
      <c r="C6369" s="190" t="s">
        <v>11714</v>
      </c>
      <c r="D6369" s="191">
        <v>1598.91</v>
      </c>
      <c r="E6369" s="191">
        <v>243.34</v>
      </c>
      <c r="F6369" s="191">
        <v>380.08</v>
      </c>
      <c r="G6369" s="191">
        <v>975.49</v>
      </c>
      <c r="H6369" s="192">
        <v>9291.92</v>
      </c>
      <c r="I6369" s="192">
        <v>2798.41</v>
      </c>
      <c r="J6369" s="192">
        <v>2126.6999999999998</v>
      </c>
      <c r="K6369" s="192">
        <v>4366.8100000000004</v>
      </c>
      <c r="L6369" s="43">
        <v>5.8114090223965071</v>
      </c>
      <c r="M6369" s="43">
        <v>11.5</v>
      </c>
      <c r="N6369" s="43">
        <v>5.5954009682172172</v>
      </c>
      <c r="O6369" s="43">
        <v>4.4765297440260792</v>
      </c>
      <c r="P6369" s="193"/>
      <c r="Q6369" s="193"/>
      <c r="R6369" s="193">
        <v>10</v>
      </c>
    </row>
    <row r="6370" spans="1:18" ht="24">
      <c r="A6370" s="189">
        <v>1200</v>
      </c>
      <c r="B6370" s="186" t="s">
        <v>11715</v>
      </c>
      <c r="C6370" s="190" t="s">
        <v>11716</v>
      </c>
      <c r="D6370" s="191">
        <v>2324</v>
      </c>
      <c r="E6370" s="191">
        <v>243.34</v>
      </c>
      <c r="F6370" s="191">
        <v>305.95</v>
      </c>
      <c r="G6370" s="191">
        <v>1774.71</v>
      </c>
      <c r="H6370" s="192">
        <v>12788.65</v>
      </c>
      <c r="I6370" s="192">
        <v>2798.41</v>
      </c>
      <c r="J6370" s="192">
        <v>1711.92</v>
      </c>
      <c r="K6370" s="192">
        <v>8278.32</v>
      </c>
      <c r="L6370" s="43">
        <v>5.5028614457831324</v>
      </c>
      <c r="M6370" s="43">
        <v>11.5</v>
      </c>
      <c r="N6370" s="43">
        <v>5.5954240889034157</v>
      </c>
      <c r="O6370" s="43">
        <v>4.6646043578950929</v>
      </c>
      <c r="P6370" s="193"/>
      <c r="Q6370" s="193"/>
      <c r="R6370" s="193">
        <v>10</v>
      </c>
    </row>
    <row r="6371" spans="1:18" ht="12.75" customHeight="1">
      <c r="A6371" s="628" t="s">
        <v>11717</v>
      </c>
      <c r="B6371" s="629"/>
      <c r="C6371" s="629"/>
      <c r="D6371" s="629"/>
      <c r="E6371" s="629"/>
      <c r="F6371" s="629"/>
      <c r="G6371" s="629"/>
      <c r="H6371" s="629"/>
      <c r="I6371" s="629"/>
      <c r="J6371" s="629"/>
      <c r="K6371" s="629"/>
      <c r="L6371" s="629"/>
      <c r="M6371" s="629"/>
      <c r="N6371" s="629"/>
      <c r="O6371" s="629"/>
      <c r="P6371" s="629"/>
      <c r="Q6371" s="629"/>
      <c r="R6371" s="629"/>
    </row>
    <row r="6372" spans="1:18" ht="36">
      <c r="A6372" s="189">
        <v>1201</v>
      </c>
      <c r="B6372" s="186" t="s">
        <v>11718</v>
      </c>
      <c r="C6372" s="190" t="s">
        <v>11719</v>
      </c>
      <c r="D6372" s="191">
        <v>869.27</v>
      </c>
      <c r="E6372" s="191">
        <v>472.93</v>
      </c>
      <c r="F6372" s="191">
        <v>127.27</v>
      </c>
      <c r="G6372" s="191">
        <v>269.07</v>
      </c>
      <c r="H6372" s="192">
        <v>7470.65</v>
      </c>
      <c r="I6372" s="192">
        <v>5438.65</v>
      </c>
      <c r="J6372" s="192">
        <v>675.83</v>
      </c>
      <c r="K6372" s="192">
        <v>1356.17</v>
      </c>
      <c r="L6372" s="43">
        <v>8.5941652190918809</v>
      </c>
      <c r="M6372" s="43">
        <v>11.499904848497662</v>
      </c>
      <c r="N6372" s="43">
        <v>5.3102066472852991</v>
      </c>
      <c r="O6372" s="43">
        <v>5.0402125840859258</v>
      </c>
      <c r="P6372" s="193"/>
      <c r="Q6372" s="193"/>
      <c r="R6372" s="193">
        <v>11</v>
      </c>
    </row>
    <row r="6373" spans="1:18" ht="36">
      <c r="A6373" s="189">
        <v>1202</v>
      </c>
      <c r="B6373" s="186" t="s">
        <v>11720</v>
      </c>
      <c r="C6373" s="190" t="s">
        <v>11721</v>
      </c>
      <c r="D6373" s="191">
        <v>930.2</v>
      </c>
      <c r="E6373" s="191">
        <v>611.52</v>
      </c>
      <c r="F6373" s="191">
        <v>116.55</v>
      </c>
      <c r="G6373" s="191">
        <v>202.13</v>
      </c>
      <c r="H6373" s="192">
        <v>8716.66</v>
      </c>
      <c r="I6373" s="192">
        <v>7032.53</v>
      </c>
      <c r="J6373" s="192">
        <v>619.99</v>
      </c>
      <c r="K6373" s="192">
        <v>1064.1400000000001</v>
      </c>
      <c r="L6373" s="43">
        <v>9.3707374758116533</v>
      </c>
      <c r="M6373" s="43">
        <v>11.50008176347462</v>
      </c>
      <c r="N6373" s="43">
        <v>5.3195195195195195</v>
      </c>
      <c r="O6373" s="43">
        <v>5.2646316726858959</v>
      </c>
      <c r="P6373" s="193"/>
      <c r="Q6373" s="193"/>
      <c r="R6373" s="193">
        <v>11</v>
      </c>
    </row>
    <row r="6374" spans="1:18" ht="36">
      <c r="A6374" s="189">
        <v>1203</v>
      </c>
      <c r="B6374" s="186" t="s">
        <v>11722</v>
      </c>
      <c r="C6374" s="190" t="s">
        <v>11723</v>
      </c>
      <c r="D6374" s="191">
        <v>1082.74</v>
      </c>
      <c r="E6374" s="191">
        <v>726.85</v>
      </c>
      <c r="F6374" s="191">
        <v>124.81</v>
      </c>
      <c r="G6374" s="191">
        <v>231.08</v>
      </c>
      <c r="H6374" s="192">
        <v>10269.17</v>
      </c>
      <c r="I6374" s="192">
        <v>8358.73</v>
      </c>
      <c r="J6374" s="192">
        <v>664.39</v>
      </c>
      <c r="K6374" s="192">
        <v>1246.05</v>
      </c>
      <c r="L6374" s="43">
        <v>9.4844283946284431</v>
      </c>
      <c r="M6374" s="43">
        <v>11.499938089014238</v>
      </c>
      <c r="N6374" s="43">
        <v>5.3232112811473433</v>
      </c>
      <c r="O6374" s="43">
        <v>5.3922883849748997</v>
      </c>
      <c r="P6374" s="193"/>
      <c r="Q6374" s="193"/>
      <c r="R6374" s="193">
        <v>11</v>
      </c>
    </row>
    <row r="6375" spans="1:18" ht="36">
      <c r="A6375" s="189">
        <v>1204</v>
      </c>
      <c r="B6375" s="186" t="s">
        <v>11724</v>
      </c>
      <c r="C6375" s="190" t="s">
        <v>11725</v>
      </c>
      <c r="D6375" s="191">
        <v>1648.24</v>
      </c>
      <c r="E6375" s="191">
        <v>1002.98</v>
      </c>
      <c r="F6375" s="191">
        <v>173.62</v>
      </c>
      <c r="G6375" s="191">
        <v>471.64</v>
      </c>
      <c r="H6375" s="192">
        <v>14834.29</v>
      </c>
      <c r="I6375" s="192">
        <v>11534.32</v>
      </c>
      <c r="J6375" s="192">
        <v>925.24</v>
      </c>
      <c r="K6375" s="192">
        <v>2374.73</v>
      </c>
      <c r="L6375" s="43">
        <v>9.0000788720089311</v>
      </c>
      <c r="M6375" s="43">
        <v>11.5000498514427</v>
      </c>
      <c r="N6375" s="43">
        <v>5.3291095495910605</v>
      </c>
      <c r="O6375" s="43">
        <v>5.0350479179034862</v>
      </c>
      <c r="P6375" s="193"/>
      <c r="Q6375" s="193"/>
      <c r="R6375" s="193">
        <v>11</v>
      </c>
    </row>
    <row r="6376" spans="1:18" ht="36">
      <c r="A6376" s="189">
        <v>1205</v>
      </c>
      <c r="B6376" s="186" t="s">
        <v>11726</v>
      </c>
      <c r="C6376" s="190" t="s">
        <v>11727</v>
      </c>
      <c r="D6376" s="191">
        <v>1958.34</v>
      </c>
      <c r="E6376" s="191">
        <v>1269.5999999999999</v>
      </c>
      <c r="F6376" s="191">
        <v>187.56</v>
      </c>
      <c r="G6376" s="191">
        <v>501.18</v>
      </c>
      <c r="H6376" s="192">
        <v>18189.89</v>
      </c>
      <c r="I6376" s="192">
        <v>14600.4</v>
      </c>
      <c r="J6376" s="192">
        <v>1001.75</v>
      </c>
      <c r="K6376" s="192">
        <v>2587.7399999999998</v>
      </c>
      <c r="L6376" s="43">
        <v>9.2884228479222202</v>
      </c>
      <c r="M6376" s="43">
        <v>11.5</v>
      </c>
      <c r="N6376" s="43">
        <v>5.3409575602473875</v>
      </c>
      <c r="O6376" s="43">
        <v>5.163294624685741</v>
      </c>
      <c r="P6376" s="193"/>
      <c r="Q6376" s="193"/>
      <c r="R6376" s="193">
        <v>11</v>
      </c>
    </row>
    <row r="6377" spans="1:18" ht="36">
      <c r="A6377" s="189">
        <v>1206</v>
      </c>
      <c r="B6377" s="186" t="s">
        <v>11728</v>
      </c>
      <c r="C6377" s="190" t="s">
        <v>11729</v>
      </c>
      <c r="D6377" s="191">
        <v>1003.51</v>
      </c>
      <c r="E6377" s="191">
        <v>637.45000000000005</v>
      </c>
      <c r="F6377" s="191">
        <v>115.49</v>
      </c>
      <c r="G6377" s="191">
        <v>250.57</v>
      </c>
      <c r="H6377" s="192">
        <v>9208.2800000000007</v>
      </c>
      <c r="I6377" s="192">
        <v>7330.98</v>
      </c>
      <c r="J6377" s="192">
        <v>614.4</v>
      </c>
      <c r="K6377" s="192">
        <v>1262.9000000000001</v>
      </c>
      <c r="L6377" s="43">
        <v>9.1760719873244909</v>
      </c>
      <c r="M6377" s="43">
        <v>11.500478468899519</v>
      </c>
      <c r="N6377" s="43">
        <v>5.3199411204433282</v>
      </c>
      <c r="O6377" s="43">
        <v>5.0401085525002998</v>
      </c>
      <c r="P6377" s="193"/>
      <c r="Q6377" s="193"/>
      <c r="R6377" s="193">
        <v>11</v>
      </c>
    </row>
    <row r="6378" spans="1:18" ht="36">
      <c r="A6378" s="189">
        <v>1207</v>
      </c>
      <c r="B6378" s="186" t="s">
        <v>11730</v>
      </c>
      <c r="C6378" s="190" t="s">
        <v>11731</v>
      </c>
      <c r="D6378" s="191">
        <v>1149.06</v>
      </c>
      <c r="E6378" s="191">
        <v>740.91</v>
      </c>
      <c r="F6378" s="191">
        <v>125.96</v>
      </c>
      <c r="G6378" s="191">
        <v>282.19</v>
      </c>
      <c r="H6378" s="192">
        <v>10656.56</v>
      </c>
      <c r="I6378" s="192">
        <v>8520.76</v>
      </c>
      <c r="J6378" s="192">
        <v>670.45</v>
      </c>
      <c r="K6378" s="192">
        <v>1465.35</v>
      </c>
      <c r="L6378" s="43">
        <v>9.274154526308461</v>
      </c>
      <c r="M6378" s="43">
        <v>11.500398159020664</v>
      </c>
      <c r="N6378" s="43">
        <v>5.3227214988885363</v>
      </c>
      <c r="O6378" s="43">
        <v>5.1927779155887874</v>
      </c>
      <c r="P6378" s="193"/>
      <c r="Q6378" s="193"/>
      <c r="R6378" s="193">
        <v>11</v>
      </c>
    </row>
    <row r="6379" spans="1:18" ht="36">
      <c r="A6379" s="189">
        <v>1208</v>
      </c>
      <c r="B6379" s="186" t="s">
        <v>11732</v>
      </c>
      <c r="C6379" s="190" t="s">
        <v>11733</v>
      </c>
      <c r="D6379" s="191">
        <v>1732.88</v>
      </c>
      <c r="E6379" s="191">
        <v>1025.1500000000001</v>
      </c>
      <c r="F6379" s="191">
        <v>174.76</v>
      </c>
      <c r="G6379" s="191">
        <v>532.97</v>
      </c>
      <c r="H6379" s="192">
        <v>15362.25</v>
      </c>
      <c r="I6379" s="192">
        <v>11789.66</v>
      </c>
      <c r="J6379" s="192">
        <v>931.3</v>
      </c>
      <c r="K6379" s="192">
        <v>2641.29</v>
      </c>
      <c r="L6379" s="43">
        <v>8.8651551174922663</v>
      </c>
      <c r="M6379" s="43">
        <v>11.500424328147099</v>
      </c>
      <c r="N6379" s="43">
        <v>5.3290226596475163</v>
      </c>
      <c r="O6379" s="43">
        <v>4.9557948852655871</v>
      </c>
      <c r="P6379" s="193"/>
      <c r="Q6379" s="193"/>
      <c r="R6379" s="193">
        <v>11</v>
      </c>
    </row>
    <row r="6380" spans="1:18" ht="36">
      <c r="A6380" s="189">
        <v>1209</v>
      </c>
      <c r="B6380" s="186" t="s">
        <v>11734</v>
      </c>
      <c r="C6380" s="190" t="s">
        <v>11735</v>
      </c>
      <c r="D6380" s="191">
        <v>2186.37</v>
      </c>
      <c r="E6380" s="191">
        <v>1337.6</v>
      </c>
      <c r="F6380" s="191">
        <v>263.41000000000003</v>
      </c>
      <c r="G6380" s="191">
        <v>585.36</v>
      </c>
      <c r="H6380" s="192">
        <v>19760.09</v>
      </c>
      <c r="I6380" s="192">
        <v>15383.04</v>
      </c>
      <c r="J6380" s="192">
        <v>1403.53</v>
      </c>
      <c r="K6380" s="192">
        <v>2973.52</v>
      </c>
      <c r="L6380" s="43">
        <v>9.0378526964786392</v>
      </c>
      <c r="M6380" s="43">
        <v>11.500478468899523</v>
      </c>
      <c r="N6380" s="43">
        <v>5.3283094795186203</v>
      </c>
      <c r="O6380" s="43">
        <v>5.0798141314746479</v>
      </c>
      <c r="P6380" s="193"/>
      <c r="Q6380" s="193"/>
      <c r="R6380" s="193">
        <v>11</v>
      </c>
    </row>
    <row r="6381" spans="1:18" ht="36">
      <c r="A6381" s="189">
        <v>1210</v>
      </c>
      <c r="B6381" s="186" t="s">
        <v>11736</v>
      </c>
      <c r="C6381" s="190" t="s">
        <v>11737</v>
      </c>
      <c r="D6381" s="191">
        <v>963.87</v>
      </c>
      <c r="E6381" s="191">
        <v>501.6</v>
      </c>
      <c r="F6381" s="191">
        <v>159.5</v>
      </c>
      <c r="G6381" s="191">
        <v>302.77</v>
      </c>
      <c r="H6381" s="192">
        <v>8154.52</v>
      </c>
      <c r="I6381" s="192">
        <v>5768.64</v>
      </c>
      <c r="J6381" s="192">
        <v>846.52</v>
      </c>
      <c r="K6381" s="192">
        <v>1539.36</v>
      </c>
      <c r="L6381" s="43">
        <v>8.4601865396785882</v>
      </c>
      <c r="M6381" s="43">
        <v>11.500478468899521</v>
      </c>
      <c r="N6381" s="43">
        <v>5.3073354231974923</v>
      </c>
      <c r="O6381" s="43">
        <v>5.0842553753674409</v>
      </c>
      <c r="P6381" s="193"/>
      <c r="Q6381" s="193"/>
      <c r="R6381" s="193">
        <v>11</v>
      </c>
    </row>
    <row r="6382" spans="1:18" ht="36">
      <c r="A6382" s="189">
        <v>1211</v>
      </c>
      <c r="B6382" s="186" t="s">
        <v>11738</v>
      </c>
      <c r="C6382" s="190" t="s">
        <v>11739</v>
      </c>
      <c r="D6382" s="191">
        <v>1070.1600000000001</v>
      </c>
      <c r="E6382" s="191">
        <v>648.95000000000005</v>
      </c>
      <c r="F6382" s="191">
        <v>151.84</v>
      </c>
      <c r="G6382" s="191">
        <v>269.37</v>
      </c>
      <c r="H6382" s="192">
        <v>9697.4599999999991</v>
      </c>
      <c r="I6382" s="192">
        <v>7463.18</v>
      </c>
      <c r="J6382" s="192">
        <v>806.9</v>
      </c>
      <c r="K6382" s="192">
        <v>1427.38</v>
      </c>
      <c r="L6382" s="43">
        <v>9.0616917096508924</v>
      </c>
      <c r="M6382" s="43">
        <v>11.500392942445488</v>
      </c>
      <c r="N6382" s="43">
        <v>5.3141464699683878</v>
      </c>
      <c r="O6382" s="43">
        <v>5.2989568251846908</v>
      </c>
      <c r="P6382" s="193"/>
      <c r="Q6382" s="193"/>
      <c r="R6382" s="193">
        <v>11</v>
      </c>
    </row>
    <row r="6383" spans="1:18" ht="36">
      <c r="A6383" s="189">
        <v>1212</v>
      </c>
      <c r="B6383" s="186" t="s">
        <v>11740</v>
      </c>
      <c r="C6383" s="190" t="s">
        <v>11741</v>
      </c>
      <c r="D6383" s="191">
        <v>1258.73</v>
      </c>
      <c r="E6383" s="191">
        <v>762.85</v>
      </c>
      <c r="F6383" s="191">
        <v>164.24</v>
      </c>
      <c r="G6383" s="191">
        <v>331.64</v>
      </c>
      <c r="H6383" s="192">
        <v>11433.19</v>
      </c>
      <c r="I6383" s="192">
        <v>8773.14</v>
      </c>
      <c r="J6383" s="192">
        <v>873.2</v>
      </c>
      <c r="K6383" s="192">
        <v>1786.85</v>
      </c>
      <c r="L6383" s="43">
        <v>9.0831155211999395</v>
      </c>
      <c r="M6383" s="43">
        <v>11.500478468899521</v>
      </c>
      <c r="N6383" s="43">
        <v>5.3166098392596197</v>
      </c>
      <c r="O6383" s="43">
        <v>5.3879206368351227</v>
      </c>
      <c r="P6383" s="193"/>
      <c r="Q6383" s="193"/>
      <c r="R6383" s="193">
        <v>11</v>
      </c>
    </row>
    <row r="6384" spans="1:18" ht="36">
      <c r="A6384" s="189">
        <v>1213</v>
      </c>
      <c r="B6384" s="186" t="s">
        <v>11742</v>
      </c>
      <c r="C6384" s="190" t="s">
        <v>11743</v>
      </c>
      <c r="D6384" s="191">
        <v>1868.59</v>
      </c>
      <c r="E6384" s="191">
        <v>1045</v>
      </c>
      <c r="F6384" s="191">
        <v>218.14</v>
      </c>
      <c r="G6384" s="191">
        <v>605.45000000000005</v>
      </c>
      <c r="H6384" s="192">
        <v>16272.72</v>
      </c>
      <c r="I6384" s="192">
        <v>12018</v>
      </c>
      <c r="J6384" s="192">
        <v>1161.0899999999999</v>
      </c>
      <c r="K6384" s="192">
        <v>3093.63</v>
      </c>
      <c r="L6384" s="43">
        <v>8.7085556489117462</v>
      </c>
      <c r="M6384" s="43">
        <v>11.500478468899521</v>
      </c>
      <c r="N6384" s="43">
        <v>5.3226826808471621</v>
      </c>
      <c r="O6384" s="43">
        <v>5.1096374597406884</v>
      </c>
      <c r="P6384" s="193"/>
      <c r="Q6384" s="193"/>
      <c r="R6384" s="193">
        <v>11</v>
      </c>
    </row>
    <row r="6385" spans="1:18" ht="48">
      <c r="A6385" s="189">
        <v>1214</v>
      </c>
      <c r="B6385" s="186" t="s">
        <v>11744</v>
      </c>
      <c r="C6385" s="190" t="s">
        <v>11745</v>
      </c>
      <c r="D6385" s="191">
        <v>2296.13</v>
      </c>
      <c r="E6385" s="191">
        <v>1379.4</v>
      </c>
      <c r="F6385" s="191">
        <v>245.81</v>
      </c>
      <c r="G6385" s="191">
        <v>670.92</v>
      </c>
      <c r="H6385" s="192">
        <v>20680.75</v>
      </c>
      <c r="I6385" s="192">
        <v>15863.76</v>
      </c>
      <c r="J6385" s="192">
        <v>1310.31</v>
      </c>
      <c r="K6385" s="192">
        <v>3506.68</v>
      </c>
      <c r="L6385" s="43">
        <v>9.0067853300989054</v>
      </c>
      <c r="M6385" s="43">
        <v>11.500478468899521</v>
      </c>
      <c r="N6385" s="43">
        <v>5.3305805296773929</v>
      </c>
      <c r="O6385" s="43">
        <v>5.2266738210218806</v>
      </c>
      <c r="P6385" s="193"/>
      <c r="Q6385" s="193"/>
      <c r="R6385" s="193">
        <v>11</v>
      </c>
    </row>
    <row r="6386" spans="1:18" ht="48">
      <c r="A6386" s="189">
        <v>1215</v>
      </c>
      <c r="B6386" s="186" t="s">
        <v>11746</v>
      </c>
      <c r="C6386" s="190" t="s">
        <v>11747</v>
      </c>
      <c r="D6386" s="191">
        <v>1442.02</v>
      </c>
      <c r="E6386" s="191">
        <v>934.21</v>
      </c>
      <c r="F6386" s="191">
        <v>220.32</v>
      </c>
      <c r="G6386" s="191">
        <v>287.49</v>
      </c>
      <c r="H6386" s="192">
        <v>13475.42</v>
      </c>
      <c r="I6386" s="192">
        <v>10743.46</v>
      </c>
      <c r="J6386" s="192">
        <v>1170.3499999999999</v>
      </c>
      <c r="K6386" s="192">
        <v>1561.61</v>
      </c>
      <c r="L6386" s="43">
        <v>9.344821847131108</v>
      </c>
      <c r="M6386" s="43">
        <v>11.50004816904122</v>
      </c>
      <c r="N6386" s="43">
        <v>5.3120461147421931</v>
      </c>
      <c r="O6386" s="43">
        <v>5.4318758913353502</v>
      </c>
      <c r="P6386" s="193"/>
      <c r="Q6386" s="193"/>
      <c r="R6386" s="193">
        <v>11</v>
      </c>
    </row>
    <row r="6387" spans="1:18" ht="48">
      <c r="A6387" s="189">
        <v>1216</v>
      </c>
      <c r="B6387" s="186" t="s">
        <v>11748</v>
      </c>
      <c r="C6387" s="190" t="s">
        <v>11749</v>
      </c>
      <c r="D6387" s="191">
        <v>2156.46</v>
      </c>
      <c r="E6387" s="191">
        <v>1259.02</v>
      </c>
      <c r="F6387" s="191">
        <v>275.77999999999997</v>
      </c>
      <c r="G6387" s="191">
        <v>621.66</v>
      </c>
      <c r="H6387" s="192">
        <v>19091.61</v>
      </c>
      <c r="I6387" s="192">
        <v>14478.73</v>
      </c>
      <c r="J6387" s="192">
        <v>1466.38</v>
      </c>
      <c r="K6387" s="192">
        <v>3146.5</v>
      </c>
      <c r="L6387" s="43">
        <v>8.8532177735733573</v>
      </c>
      <c r="M6387" s="43">
        <v>11.5</v>
      </c>
      <c r="N6387" s="43">
        <v>5.3172093697875127</v>
      </c>
      <c r="O6387" s="43">
        <v>5.0614483801434869</v>
      </c>
      <c r="P6387" s="193"/>
      <c r="Q6387" s="193"/>
      <c r="R6387" s="193">
        <v>11</v>
      </c>
    </row>
    <row r="6388" spans="1:18" ht="48">
      <c r="A6388" s="189">
        <v>1217</v>
      </c>
      <c r="B6388" s="186" t="s">
        <v>11750</v>
      </c>
      <c r="C6388" s="190" t="s">
        <v>11751</v>
      </c>
      <c r="D6388" s="191">
        <v>2711.79</v>
      </c>
      <c r="E6388" s="191">
        <v>1639.9</v>
      </c>
      <c r="F6388" s="191">
        <v>365.58</v>
      </c>
      <c r="G6388" s="191">
        <v>706.31</v>
      </c>
      <c r="H6388" s="192">
        <v>24455.83</v>
      </c>
      <c r="I6388" s="192">
        <v>18858.849999999999</v>
      </c>
      <c r="J6388" s="192">
        <v>1944.67</v>
      </c>
      <c r="K6388" s="192">
        <v>3652.31</v>
      </c>
      <c r="L6388" s="43">
        <v>9.0183347530597882</v>
      </c>
      <c r="M6388" s="43">
        <v>11.499999999999998</v>
      </c>
      <c r="N6388" s="43">
        <v>5.3194102522019806</v>
      </c>
      <c r="O6388" s="43">
        <v>5.1709730854723848</v>
      </c>
      <c r="P6388" s="193"/>
      <c r="Q6388" s="193"/>
      <c r="R6388" s="193">
        <v>11</v>
      </c>
    </row>
    <row r="6389" spans="1:18" ht="48">
      <c r="A6389" s="189">
        <v>1218</v>
      </c>
      <c r="B6389" s="186" t="s">
        <v>11752</v>
      </c>
      <c r="C6389" s="190" t="s">
        <v>11753</v>
      </c>
      <c r="D6389" s="191">
        <v>3247.22</v>
      </c>
      <c r="E6389" s="191">
        <v>2041.94</v>
      </c>
      <c r="F6389" s="191">
        <v>478.33</v>
      </c>
      <c r="G6389" s="191">
        <v>726.95</v>
      </c>
      <c r="H6389" s="192">
        <v>29824.93</v>
      </c>
      <c r="I6389" s="192">
        <v>23482.31</v>
      </c>
      <c r="J6389" s="192">
        <v>2544.88</v>
      </c>
      <c r="K6389" s="192">
        <v>3797.74</v>
      </c>
      <c r="L6389" s="43">
        <v>9.1847580391842882</v>
      </c>
      <c r="M6389" s="43">
        <v>11.5</v>
      </c>
      <c r="N6389" s="43">
        <v>5.3203436957748842</v>
      </c>
      <c r="O6389" s="43">
        <v>5.2242107435174354</v>
      </c>
      <c r="P6389" s="193"/>
      <c r="Q6389" s="193"/>
      <c r="R6389" s="193">
        <v>11</v>
      </c>
    </row>
    <row r="6390" spans="1:18" ht="48">
      <c r="A6390" s="189">
        <v>1219</v>
      </c>
      <c r="B6390" s="186" t="s">
        <v>11754</v>
      </c>
      <c r="C6390" s="190" t="s">
        <v>11755</v>
      </c>
      <c r="D6390" s="191">
        <v>1545.5</v>
      </c>
      <c r="E6390" s="191">
        <v>922.58</v>
      </c>
      <c r="F6390" s="191">
        <v>252.61</v>
      </c>
      <c r="G6390" s="191">
        <v>370.31</v>
      </c>
      <c r="H6390" s="192">
        <v>13978.56</v>
      </c>
      <c r="I6390" s="192">
        <v>10609.62</v>
      </c>
      <c r="J6390" s="192">
        <v>1341.44</v>
      </c>
      <c r="K6390" s="192">
        <v>2027.5</v>
      </c>
      <c r="L6390" s="43">
        <v>9.0446845681009371</v>
      </c>
      <c r="M6390" s="43">
        <v>11.499945804157905</v>
      </c>
      <c r="N6390" s="43">
        <v>5.3103202565219112</v>
      </c>
      <c r="O6390" s="43">
        <v>5.47514244821906</v>
      </c>
      <c r="P6390" s="193"/>
      <c r="Q6390" s="193"/>
      <c r="R6390" s="193">
        <v>11</v>
      </c>
    </row>
    <row r="6391" spans="1:18" ht="48">
      <c r="A6391" s="189">
        <v>1220</v>
      </c>
      <c r="B6391" s="186" t="s">
        <v>11756</v>
      </c>
      <c r="C6391" s="190" t="s">
        <v>11757</v>
      </c>
      <c r="D6391" s="191">
        <v>2263.6999999999998</v>
      </c>
      <c r="E6391" s="191">
        <v>1259.02</v>
      </c>
      <c r="F6391" s="191">
        <v>343.43</v>
      </c>
      <c r="G6391" s="191">
        <v>661.25</v>
      </c>
      <c r="H6391" s="192">
        <v>19754.97</v>
      </c>
      <c r="I6391" s="192">
        <v>14478.73</v>
      </c>
      <c r="J6391" s="192">
        <v>1824.96</v>
      </c>
      <c r="K6391" s="192">
        <v>3451.28</v>
      </c>
      <c r="L6391" s="43">
        <v>8.7268498475946465</v>
      </c>
      <c r="M6391" s="43">
        <v>11.5</v>
      </c>
      <c r="N6391" s="43">
        <v>5.3139213231226163</v>
      </c>
      <c r="O6391" s="43">
        <v>5.219327032136106</v>
      </c>
      <c r="P6391" s="193"/>
      <c r="Q6391" s="193"/>
      <c r="R6391" s="193">
        <v>11</v>
      </c>
    </row>
    <row r="6392" spans="1:18" ht="48">
      <c r="A6392" s="189">
        <v>1221</v>
      </c>
      <c r="B6392" s="186" t="s">
        <v>11758</v>
      </c>
      <c r="C6392" s="190" t="s">
        <v>11759</v>
      </c>
      <c r="D6392" s="191">
        <v>2835.68</v>
      </c>
      <c r="E6392" s="191">
        <v>1661.06</v>
      </c>
      <c r="F6392" s="191">
        <v>406.95</v>
      </c>
      <c r="G6392" s="191">
        <v>767.67</v>
      </c>
      <c r="H6392" s="192">
        <v>25354.94</v>
      </c>
      <c r="I6392" s="192">
        <v>19102.189999999999</v>
      </c>
      <c r="J6392" s="192">
        <v>2164.2399999999998</v>
      </c>
      <c r="K6392" s="192">
        <v>4088.51</v>
      </c>
      <c r="L6392" s="43">
        <v>8.9413967725554357</v>
      </c>
      <c r="M6392" s="43">
        <v>11.5</v>
      </c>
      <c r="N6392" s="43">
        <v>5.318196338616537</v>
      </c>
      <c r="O6392" s="43">
        <v>5.3258691885836367</v>
      </c>
      <c r="P6392" s="193"/>
      <c r="Q6392" s="193"/>
      <c r="R6392" s="193">
        <v>11</v>
      </c>
    </row>
    <row r="6393" spans="1:18" ht="48">
      <c r="A6393" s="189">
        <v>1222</v>
      </c>
      <c r="B6393" s="186" t="s">
        <v>11760</v>
      </c>
      <c r="C6393" s="190" t="s">
        <v>11761</v>
      </c>
      <c r="D6393" s="191">
        <v>3463.11</v>
      </c>
      <c r="E6393" s="191">
        <v>2063.1</v>
      </c>
      <c r="F6393" s="191">
        <v>587.59</v>
      </c>
      <c r="G6393" s="191">
        <v>812.42</v>
      </c>
      <c r="H6393" s="192">
        <v>31225.64</v>
      </c>
      <c r="I6393" s="192">
        <v>23725.65</v>
      </c>
      <c r="J6393" s="192">
        <v>3124.16</v>
      </c>
      <c r="K6393" s="192">
        <v>4375.83</v>
      </c>
      <c r="L6393" s="43">
        <v>9.0166468867578562</v>
      </c>
      <c r="M6393" s="43">
        <v>11.500000000000002</v>
      </c>
      <c r="N6393" s="43">
        <v>5.3169046443949011</v>
      </c>
      <c r="O6393" s="43">
        <v>5.3861672533911031</v>
      </c>
      <c r="P6393" s="193"/>
      <c r="Q6393" s="193"/>
      <c r="R6393" s="193">
        <v>11</v>
      </c>
    </row>
    <row r="6394" spans="1:18" ht="12.75" customHeight="1">
      <c r="A6394" s="628" t="s">
        <v>11762</v>
      </c>
      <c r="B6394" s="629"/>
      <c r="C6394" s="629"/>
      <c r="D6394" s="629"/>
      <c r="E6394" s="629"/>
      <c r="F6394" s="629"/>
      <c r="G6394" s="629"/>
      <c r="H6394" s="629"/>
      <c r="I6394" s="629"/>
      <c r="J6394" s="629"/>
      <c r="K6394" s="629"/>
      <c r="L6394" s="629"/>
      <c r="M6394" s="629"/>
      <c r="N6394" s="629"/>
      <c r="O6394" s="629"/>
      <c r="P6394" s="629"/>
      <c r="Q6394" s="629"/>
      <c r="R6394" s="629"/>
    </row>
    <row r="6395" spans="1:18" ht="24">
      <c r="A6395" s="189">
        <v>1223</v>
      </c>
      <c r="B6395" s="186" t="s">
        <v>11763</v>
      </c>
      <c r="C6395" s="190" t="s">
        <v>11764</v>
      </c>
      <c r="D6395" s="191">
        <v>80.86</v>
      </c>
      <c r="E6395" s="191">
        <v>20.11</v>
      </c>
      <c r="F6395" s="191">
        <v>2.5099999999999998</v>
      </c>
      <c r="G6395" s="191">
        <v>58.24</v>
      </c>
      <c r="H6395" s="192">
        <v>368.1</v>
      </c>
      <c r="I6395" s="192">
        <v>231.21</v>
      </c>
      <c r="J6395" s="192">
        <v>13.53</v>
      </c>
      <c r="K6395" s="192">
        <v>123.36</v>
      </c>
      <c r="L6395" s="43">
        <v>4.5523126391293598</v>
      </c>
      <c r="M6395" s="43">
        <v>11.497265042267529</v>
      </c>
      <c r="N6395" s="43">
        <v>5.3904382470119527</v>
      </c>
      <c r="O6395" s="43">
        <v>2.1181318681318682</v>
      </c>
      <c r="P6395" s="193"/>
      <c r="Q6395" s="193"/>
      <c r="R6395" s="193">
        <v>12</v>
      </c>
    </row>
    <row r="6396" spans="1:18" ht="24">
      <c r="A6396" s="189">
        <v>1224</v>
      </c>
      <c r="B6396" s="186" t="s">
        <v>11765</v>
      </c>
      <c r="C6396" s="190" t="s">
        <v>11766</v>
      </c>
      <c r="D6396" s="191">
        <v>121.42</v>
      </c>
      <c r="E6396" s="191">
        <v>20.11</v>
      </c>
      <c r="F6396" s="191">
        <v>3.77</v>
      </c>
      <c r="G6396" s="191">
        <v>97.54</v>
      </c>
      <c r="H6396" s="192">
        <v>453.07</v>
      </c>
      <c r="I6396" s="192">
        <v>231.21</v>
      </c>
      <c r="J6396" s="192">
        <v>20.3</v>
      </c>
      <c r="K6396" s="192">
        <v>201.56</v>
      </c>
      <c r="L6396" s="43">
        <v>3.7314281008071157</v>
      </c>
      <c r="M6396" s="43">
        <v>11.497265042267529</v>
      </c>
      <c r="N6396" s="43">
        <v>5.384615384615385</v>
      </c>
      <c r="O6396" s="43">
        <v>2.0664342833709246</v>
      </c>
      <c r="P6396" s="193"/>
      <c r="Q6396" s="193"/>
      <c r="R6396" s="193">
        <v>12</v>
      </c>
    </row>
    <row r="6397" spans="1:18" ht="24">
      <c r="A6397" s="189">
        <v>1225</v>
      </c>
      <c r="B6397" s="186" t="s">
        <v>11767</v>
      </c>
      <c r="C6397" s="190" t="s">
        <v>11768</v>
      </c>
      <c r="D6397" s="191">
        <v>175.2</v>
      </c>
      <c r="E6397" s="191">
        <v>30.16</v>
      </c>
      <c r="F6397" s="191">
        <v>6.3</v>
      </c>
      <c r="G6397" s="191">
        <v>138.74</v>
      </c>
      <c r="H6397" s="192">
        <v>666.19</v>
      </c>
      <c r="I6397" s="192">
        <v>346.82</v>
      </c>
      <c r="J6397" s="192">
        <v>33.909999999999997</v>
      </c>
      <c r="K6397" s="192">
        <v>285.45999999999998</v>
      </c>
      <c r="L6397" s="43">
        <v>3.8024543378995439</v>
      </c>
      <c r="M6397" s="43">
        <v>11.499336870026525</v>
      </c>
      <c r="N6397" s="43">
        <v>5.3825396825396821</v>
      </c>
      <c r="O6397" s="43">
        <v>2.0575176589303732</v>
      </c>
      <c r="P6397" s="193"/>
      <c r="Q6397" s="193"/>
      <c r="R6397" s="193">
        <v>12</v>
      </c>
    </row>
    <row r="6398" spans="1:18" ht="24">
      <c r="A6398" s="189">
        <v>1226</v>
      </c>
      <c r="B6398" s="186" t="s">
        <v>11769</v>
      </c>
      <c r="C6398" s="190" t="s">
        <v>11770</v>
      </c>
      <c r="D6398" s="191">
        <v>233.2</v>
      </c>
      <c r="E6398" s="191">
        <v>40.21</v>
      </c>
      <c r="F6398" s="191">
        <v>11.35</v>
      </c>
      <c r="G6398" s="191">
        <v>181.64</v>
      </c>
      <c r="H6398" s="192">
        <v>896.25</v>
      </c>
      <c r="I6398" s="192">
        <v>462.43</v>
      </c>
      <c r="J6398" s="192">
        <v>61.07</v>
      </c>
      <c r="K6398" s="192">
        <v>372.75</v>
      </c>
      <c r="L6398" s="43">
        <v>3.8432675814751289</v>
      </c>
      <c r="M6398" s="43">
        <v>11.500373041531956</v>
      </c>
      <c r="N6398" s="43">
        <v>5.3806167400881062</v>
      </c>
      <c r="O6398" s="43">
        <v>2.0521360933715043</v>
      </c>
      <c r="P6398" s="193"/>
      <c r="Q6398" s="193"/>
      <c r="R6398" s="193">
        <v>12</v>
      </c>
    </row>
    <row r="6399" spans="1:18" ht="24">
      <c r="A6399" s="189">
        <v>1227</v>
      </c>
      <c r="B6399" s="186" t="s">
        <v>11771</v>
      </c>
      <c r="C6399" s="190" t="s">
        <v>11772</v>
      </c>
      <c r="D6399" s="191">
        <v>113.93</v>
      </c>
      <c r="E6399" s="191">
        <v>22.33</v>
      </c>
      <c r="F6399" s="191">
        <v>2.5099999999999998</v>
      </c>
      <c r="G6399" s="191">
        <v>89.09</v>
      </c>
      <c r="H6399" s="192">
        <v>462.85</v>
      </c>
      <c r="I6399" s="192">
        <v>256.8</v>
      </c>
      <c r="J6399" s="192">
        <v>13.53</v>
      </c>
      <c r="K6399" s="192">
        <v>192.52</v>
      </c>
      <c r="L6399" s="43">
        <v>4.0625822873694375</v>
      </c>
      <c r="M6399" s="43">
        <v>11.500223914017019</v>
      </c>
      <c r="N6399" s="43">
        <v>5.3904382470119527</v>
      </c>
      <c r="O6399" s="43">
        <v>2.160960826130879</v>
      </c>
      <c r="P6399" s="193"/>
      <c r="Q6399" s="193"/>
      <c r="R6399" s="193">
        <v>12</v>
      </c>
    </row>
    <row r="6400" spans="1:18" ht="24">
      <c r="A6400" s="189">
        <v>1228</v>
      </c>
      <c r="B6400" s="186" t="s">
        <v>11773</v>
      </c>
      <c r="C6400" s="190" t="s">
        <v>11774</v>
      </c>
      <c r="D6400" s="191">
        <v>133.59</v>
      </c>
      <c r="E6400" s="191">
        <v>23.63</v>
      </c>
      <c r="F6400" s="191">
        <v>3.77</v>
      </c>
      <c r="G6400" s="191">
        <v>106.19</v>
      </c>
      <c r="H6400" s="192">
        <v>518.80999999999995</v>
      </c>
      <c r="I6400" s="192">
        <v>271.76</v>
      </c>
      <c r="J6400" s="192">
        <v>20.3</v>
      </c>
      <c r="K6400" s="192">
        <v>226.75</v>
      </c>
      <c r="L6400" s="43">
        <v>3.8835990717868101</v>
      </c>
      <c r="M6400" s="43">
        <v>11.500634786288616</v>
      </c>
      <c r="N6400" s="43">
        <v>5.384615384615385</v>
      </c>
      <c r="O6400" s="43">
        <v>2.1353234767868914</v>
      </c>
      <c r="P6400" s="193"/>
      <c r="Q6400" s="193"/>
      <c r="R6400" s="193">
        <v>12</v>
      </c>
    </row>
    <row r="6401" spans="1:18" ht="24">
      <c r="A6401" s="189">
        <v>1229</v>
      </c>
      <c r="B6401" s="186" t="s">
        <v>11775</v>
      </c>
      <c r="C6401" s="190" t="s">
        <v>11776</v>
      </c>
      <c r="D6401" s="191">
        <v>250.7</v>
      </c>
      <c r="E6401" s="191">
        <v>47.26</v>
      </c>
      <c r="F6401" s="191">
        <v>11.35</v>
      </c>
      <c r="G6401" s="191">
        <v>192.09</v>
      </c>
      <c r="H6401" s="192">
        <v>1006.85</v>
      </c>
      <c r="I6401" s="192">
        <v>543.52</v>
      </c>
      <c r="J6401" s="192">
        <v>61.07</v>
      </c>
      <c r="K6401" s="192">
        <v>402.26</v>
      </c>
      <c r="L6401" s="43">
        <v>4.0161547666533712</v>
      </c>
      <c r="M6401" s="43">
        <v>11.500634786288616</v>
      </c>
      <c r="N6401" s="43">
        <v>5.3806167400881062</v>
      </c>
      <c r="O6401" s="43">
        <v>2.0941225467228901</v>
      </c>
      <c r="P6401" s="193"/>
      <c r="Q6401" s="193"/>
      <c r="R6401" s="193">
        <v>12</v>
      </c>
    </row>
    <row r="6402" spans="1:18" ht="24">
      <c r="A6402" s="189">
        <v>1230</v>
      </c>
      <c r="B6402" s="186" t="s">
        <v>11777</v>
      </c>
      <c r="C6402" s="190" t="s">
        <v>11778</v>
      </c>
      <c r="D6402" s="191">
        <v>12.94</v>
      </c>
      <c r="E6402" s="191">
        <v>11.11</v>
      </c>
      <c r="F6402" s="191">
        <v>0.31</v>
      </c>
      <c r="G6402" s="191">
        <v>1.52</v>
      </c>
      <c r="H6402" s="192">
        <v>135.66</v>
      </c>
      <c r="I6402" s="192">
        <v>127.74</v>
      </c>
      <c r="J6402" s="192">
        <v>1.33</v>
      </c>
      <c r="K6402" s="192">
        <v>6.59</v>
      </c>
      <c r="L6402" s="43">
        <v>10.483771251931994</v>
      </c>
      <c r="M6402" s="43">
        <v>11.497749774977498</v>
      </c>
      <c r="N6402" s="43">
        <v>4.2903225806451619</v>
      </c>
      <c r="O6402" s="43">
        <v>4.3355263157894735</v>
      </c>
      <c r="P6402" s="193"/>
      <c r="Q6402" s="193"/>
      <c r="R6402" s="193">
        <v>12</v>
      </c>
    </row>
    <row r="6403" spans="1:18" ht="24">
      <c r="A6403" s="189">
        <v>1231</v>
      </c>
      <c r="B6403" s="186" t="s">
        <v>11779</v>
      </c>
      <c r="C6403" s="190" t="s">
        <v>11780</v>
      </c>
      <c r="D6403" s="191">
        <v>28.49</v>
      </c>
      <c r="E6403" s="191">
        <v>22.21</v>
      </c>
      <c r="F6403" s="191">
        <v>1.98</v>
      </c>
      <c r="G6403" s="191">
        <v>4.3</v>
      </c>
      <c r="H6403" s="192">
        <v>279.52999999999997</v>
      </c>
      <c r="I6403" s="192">
        <v>255.47</v>
      </c>
      <c r="J6403" s="192">
        <v>9.84</v>
      </c>
      <c r="K6403" s="192">
        <v>14.22</v>
      </c>
      <c r="L6403" s="43">
        <v>9.8115128115128112</v>
      </c>
      <c r="M6403" s="43">
        <v>11.502476361999099</v>
      </c>
      <c r="N6403" s="43">
        <v>4.9696969696969697</v>
      </c>
      <c r="O6403" s="43">
        <v>3.3069767441860467</v>
      </c>
      <c r="P6403" s="193"/>
      <c r="Q6403" s="193"/>
      <c r="R6403" s="193">
        <v>12</v>
      </c>
    </row>
    <row r="6404" spans="1:18" ht="24">
      <c r="A6404" s="189">
        <v>1232</v>
      </c>
      <c r="B6404" s="186" t="s">
        <v>11781</v>
      </c>
      <c r="C6404" s="190" t="s">
        <v>11782</v>
      </c>
      <c r="D6404" s="191">
        <v>33.31</v>
      </c>
      <c r="E6404" s="191">
        <v>22.21</v>
      </c>
      <c r="F6404" s="191">
        <v>0.82</v>
      </c>
      <c r="G6404" s="191">
        <v>10.28</v>
      </c>
      <c r="H6404" s="192">
        <v>285.08</v>
      </c>
      <c r="I6404" s="192">
        <v>255.47</v>
      </c>
      <c r="J6404" s="192">
        <v>3.49</v>
      </c>
      <c r="K6404" s="192">
        <v>26.12</v>
      </c>
      <c r="L6404" s="43">
        <v>8.5583908736115273</v>
      </c>
      <c r="M6404" s="43">
        <v>11.502476361999099</v>
      </c>
      <c r="N6404" s="43">
        <v>4.2560975609756104</v>
      </c>
      <c r="O6404" s="43">
        <v>2.540856031128405</v>
      </c>
      <c r="P6404" s="193"/>
      <c r="Q6404" s="193"/>
      <c r="R6404" s="193">
        <v>12</v>
      </c>
    </row>
    <row r="6405" spans="1:18" ht="24">
      <c r="A6405" s="189">
        <v>1233</v>
      </c>
      <c r="B6405" s="186" t="s">
        <v>11783</v>
      </c>
      <c r="C6405" s="190" t="s">
        <v>11784</v>
      </c>
      <c r="D6405" s="191">
        <v>44.85</v>
      </c>
      <c r="E6405" s="191">
        <v>22.21</v>
      </c>
      <c r="F6405" s="191">
        <v>4.67</v>
      </c>
      <c r="G6405" s="191">
        <v>17.97</v>
      </c>
      <c r="H6405" s="192">
        <v>321.01</v>
      </c>
      <c r="I6405" s="192">
        <v>255.47</v>
      </c>
      <c r="J6405" s="192">
        <v>24.12</v>
      </c>
      <c r="K6405" s="192">
        <v>41.42</v>
      </c>
      <c r="L6405" s="43">
        <v>7.1574136008918616</v>
      </c>
      <c r="M6405" s="43">
        <v>11.502476361999099</v>
      </c>
      <c r="N6405" s="43">
        <v>5.164882226980728</v>
      </c>
      <c r="O6405" s="43">
        <v>2.3049526989426825</v>
      </c>
      <c r="P6405" s="193"/>
      <c r="Q6405" s="193"/>
      <c r="R6405" s="193">
        <v>12</v>
      </c>
    </row>
    <row r="6406" spans="1:18" ht="24">
      <c r="A6406" s="189">
        <v>1234</v>
      </c>
      <c r="B6406" s="186" t="s">
        <v>11785</v>
      </c>
      <c r="C6406" s="190" t="s">
        <v>11786</v>
      </c>
      <c r="D6406" s="191">
        <v>520.45000000000005</v>
      </c>
      <c r="E6406" s="191">
        <v>261.54000000000002</v>
      </c>
      <c r="F6406" s="191"/>
      <c r="G6406" s="191">
        <v>258.91000000000003</v>
      </c>
      <c r="H6406" s="192">
        <v>3685.98</v>
      </c>
      <c r="I6406" s="192">
        <v>3007.68</v>
      </c>
      <c r="J6406" s="192"/>
      <c r="K6406" s="192">
        <v>678.3</v>
      </c>
      <c r="L6406" s="43">
        <v>7.082294168508021</v>
      </c>
      <c r="M6406" s="43">
        <v>11.499885294792382</v>
      </c>
      <c r="N6406" s="43" t="s">
        <v>1690</v>
      </c>
      <c r="O6406" s="43">
        <v>2.6198292843072877</v>
      </c>
      <c r="P6406" s="193"/>
      <c r="Q6406" s="193"/>
      <c r="R6406" s="193">
        <v>12</v>
      </c>
    </row>
    <row r="6407" spans="1:18" ht="24">
      <c r="A6407" s="189">
        <v>1235</v>
      </c>
      <c r="B6407" s="186" t="s">
        <v>11787</v>
      </c>
      <c r="C6407" s="190" t="s">
        <v>11788</v>
      </c>
      <c r="D6407" s="191">
        <v>71.16</v>
      </c>
      <c r="E6407" s="191">
        <v>66.989999999999995</v>
      </c>
      <c r="F6407" s="191"/>
      <c r="G6407" s="191">
        <v>4.17</v>
      </c>
      <c r="H6407" s="192">
        <v>798.17</v>
      </c>
      <c r="I6407" s="192">
        <v>770.4</v>
      </c>
      <c r="J6407" s="192"/>
      <c r="K6407" s="192">
        <v>27.77</v>
      </c>
      <c r="L6407" s="43">
        <v>11.21655424395728</v>
      </c>
      <c r="M6407" s="43">
        <v>11.500223914017019</v>
      </c>
      <c r="N6407" s="43" t="s">
        <v>1690</v>
      </c>
      <c r="O6407" s="43">
        <v>6.6594724220623505</v>
      </c>
      <c r="P6407" s="193"/>
      <c r="Q6407" s="193"/>
      <c r="R6407" s="193">
        <v>12</v>
      </c>
    </row>
    <row r="6408" spans="1:18" ht="12.75" customHeight="1">
      <c r="A6408" s="628" t="s">
        <v>11789</v>
      </c>
      <c r="B6408" s="629"/>
      <c r="C6408" s="629"/>
      <c r="D6408" s="629"/>
      <c r="E6408" s="629"/>
      <c r="F6408" s="629"/>
      <c r="G6408" s="629"/>
      <c r="H6408" s="629"/>
      <c r="I6408" s="629"/>
      <c r="J6408" s="629"/>
      <c r="K6408" s="629"/>
      <c r="L6408" s="629"/>
      <c r="M6408" s="629"/>
      <c r="N6408" s="629"/>
      <c r="O6408" s="629"/>
      <c r="P6408" s="629"/>
      <c r="Q6408" s="629"/>
      <c r="R6408" s="629"/>
    </row>
    <row r="6409" spans="1:18" ht="12.75" customHeight="1">
      <c r="A6409" s="628" t="s">
        <v>11790</v>
      </c>
      <c r="B6409" s="629"/>
      <c r="C6409" s="629"/>
      <c r="D6409" s="629"/>
      <c r="E6409" s="629"/>
      <c r="F6409" s="629"/>
      <c r="G6409" s="629"/>
      <c r="H6409" s="629"/>
      <c r="I6409" s="629"/>
      <c r="J6409" s="629"/>
      <c r="K6409" s="629"/>
      <c r="L6409" s="629"/>
      <c r="M6409" s="629"/>
      <c r="N6409" s="629"/>
      <c r="O6409" s="629"/>
      <c r="P6409" s="629"/>
      <c r="Q6409" s="629"/>
      <c r="R6409" s="629"/>
    </row>
    <row r="6410" spans="1:18" ht="24">
      <c r="A6410" s="189">
        <v>1236</v>
      </c>
      <c r="B6410" s="186" t="s">
        <v>11791</v>
      </c>
      <c r="C6410" s="190" t="s">
        <v>11792</v>
      </c>
      <c r="D6410" s="191">
        <v>31188.39</v>
      </c>
      <c r="E6410" s="191">
        <v>569.02</v>
      </c>
      <c r="F6410" s="191">
        <v>30607.99</v>
      </c>
      <c r="G6410" s="191">
        <v>11.38</v>
      </c>
      <c r="H6410" s="192">
        <v>167888.07</v>
      </c>
      <c r="I6410" s="192">
        <v>6543.96</v>
      </c>
      <c r="J6410" s="192">
        <v>161213.24</v>
      </c>
      <c r="K6410" s="192">
        <v>130.87</v>
      </c>
      <c r="L6410" s="43">
        <v>5.3830309932638398</v>
      </c>
      <c r="M6410" s="43">
        <v>11.500404203718675</v>
      </c>
      <c r="N6410" s="43">
        <v>5.2670312555643148</v>
      </c>
      <c r="O6410" s="43">
        <v>11.5</v>
      </c>
      <c r="P6410" s="193"/>
      <c r="Q6410" s="193"/>
      <c r="R6410" s="193">
        <v>1</v>
      </c>
    </row>
    <row r="6411" spans="1:18" ht="24">
      <c r="A6411" s="189">
        <v>1237</v>
      </c>
      <c r="B6411" s="186" t="s">
        <v>11793</v>
      </c>
      <c r="C6411" s="190" t="s">
        <v>11794</v>
      </c>
      <c r="D6411" s="191">
        <v>42707.47</v>
      </c>
      <c r="E6411" s="191">
        <v>680.35</v>
      </c>
      <c r="F6411" s="191">
        <v>42013.51</v>
      </c>
      <c r="G6411" s="191">
        <v>13.61</v>
      </c>
      <c r="H6411" s="192">
        <v>230570.39</v>
      </c>
      <c r="I6411" s="192">
        <v>7824.3</v>
      </c>
      <c r="J6411" s="192">
        <v>222589.57</v>
      </c>
      <c r="K6411" s="192">
        <v>156.52000000000001</v>
      </c>
      <c r="L6411" s="43">
        <v>5.3988304622118806</v>
      </c>
      <c r="M6411" s="43">
        <v>11.500404203718674</v>
      </c>
      <c r="N6411" s="43">
        <v>5.298047461399916</v>
      </c>
      <c r="O6411" s="43">
        <v>11.500367376928731</v>
      </c>
      <c r="P6411" s="193"/>
      <c r="Q6411" s="193"/>
      <c r="R6411" s="193">
        <v>1</v>
      </c>
    </row>
    <row r="6412" spans="1:18" ht="48">
      <c r="A6412" s="189">
        <v>1238</v>
      </c>
      <c r="B6412" s="186" t="s">
        <v>11795</v>
      </c>
      <c r="C6412" s="190" t="s">
        <v>11796</v>
      </c>
      <c r="D6412" s="191">
        <v>32793.57</v>
      </c>
      <c r="E6412" s="191">
        <v>705.09</v>
      </c>
      <c r="F6412" s="191">
        <v>32074.38</v>
      </c>
      <c r="G6412" s="191">
        <v>14.1</v>
      </c>
      <c r="H6412" s="192">
        <v>185870.56</v>
      </c>
      <c r="I6412" s="192">
        <v>8108.82</v>
      </c>
      <c r="J6412" s="192">
        <v>177599.59</v>
      </c>
      <c r="K6412" s="192">
        <v>162.15</v>
      </c>
      <c r="L6412" s="43">
        <v>5.667896480925986</v>
      </c>
      <c r="M6412" s="43">
        <v>11.500404203718674</v>
      </c>
      <c r="N6412" s="43">
        <v>5.5371168515182516</v>
      </c>
      <c r="O6412" s="43">
        <v>11.5</v>
      </c>
      <c r="P6412" s="193"/>
      <c r="Q6412" s="193"/>
      <c r="R6412" s="193">
        <v>1</v>
      </c>
    </row>
    <row r="6413" spans="1:18" ht="48">
      <c r="A6413" s="189">
        <v>1239</v>
      </c>
      <c r="B6413" s="186" t="s">
        <v>11797</v>
      </c>
      <c r="C6413" s="190" t="s">
        <v>11798</v>
      </c>
      <c r="D6413" s="191">
        <v>41902.5</v>
      </c>
      <c r="E6413" s="191">
        <v>940.12</v>
      </c>
      <c r="F6413" s="191">
        <v>40943.58</v>
      </c>
      <c r="G6413" s="191">
        <v>18.8</v>
      </c>
      <c r="H6413" s="192">
        <v>237572.79</v>
      </c>
      <c r="I6413" s="192">
        <v>10811.76</v>
      </c>
      <c r="J6413" s="192">
        <v>226544.83</v>
      </c>
      <c r="K6413" s="192">
        <v>216.2</v>
      </c>
      <c r="L6413" s="43">
        <v>5.669656703060677</v>
      </c>
      <c r="M6413" s="43">
        <v>11.500404203718674</v>
      </c>
      <c r="N6413" s="43">
        <v>5.5330977408423978</v>
      </c>
      <c r="O6413" s="43">
        <v>11.499999999999998</v>
      </c>
      <c r="P6413" s="193"/>
      <c r="Q6413" s="193"/>
      <c r="R6413" s="193">
        <v>1</v>
      </c>
    </row>
    <row r="6414" spans="1:18" ht="24">
      <c r="A6414" s="189">
        <v>1240</v>
      </c>
      <c r="B6414" s="186" t="s">
        <v>11799</v>
      </c>
      <c r="C6414" s="190" t="s">
        <v>11800</v>
      </c>
      <c r="D6414" s="191">
        <v>2877.99</v>
      </c>
      <c r="E6414" s="191">
        <v>276.45999999999998</v>
      </c>
      <c r="F6414" s="191">
        <v>2596</v>
      </c>
      <c r="G6414" s="191">
        <v>5.53</v>
      </c>
      <c r="H6414" s="192">
        <v>17402.7</v>
      </c>
      <c r="I6414" s="192">
        <v>3179.29</v>
      </c>
      <c r="J6414" s="192">
        <v>14159.81</v>
      </c>
      <c r="K6414" s="192">
        <v>63.6</v>
      </c>
      <c r="L6414" s="43">
        <v>6.0468243461582567</v>
      </c>
      <c r="M6414" s="43">
        <v>11.5</v>
      </c>
      <c r="N6414" s="43">
        <v>5.4544722650231119</v>
      </c>
      <c r="O6414" s="43">
        <v>11.500904159132007</v>
      </c>
      <c r="P6414" s="193"/>
      <c r="Q6414" s="193"/>
      <c r="R6414" s="193">
        <v>1</v>
      </c>
    </row>
    <row r="6415" spans="1:18" ht="36">
      <c r="A6415" s="189">
        <v>1241</v>
      </c>
      <c r="B6415" s="186" t="s">
        <v>11801</v>
      </c>
      <c r="C6415" s="190" t="s">
        <v>11802</v>
      </c>
      <c r="D6415" s="191">
        <v>529.55999999999995</v>
      </c>
      <c r="E6415" s="191">
        <v>185.55</v>
      </c>
      <c r="F6415" s="191">
        <v>324.82</v>
      </c>
      <c r="G6415" s="191">
        <v>19.190000000000001</v>
      </c>
      <c r="H6415" s="192">
        <v>4026.8</v>
      </c>
      <c r="I6415" s="192">
        <v>2133.9</v>
      </c>
      <c r="J6415" s="192">
        <v>1817.5</v>
      </c>
      <c r="K6415" s="192">
        <v>75.400000000000006</v>
      </c>
      <c r="L6415" s="43">
        <v>7.6040486441574151</v>
      </c>
      <c r="M6415" s="43">
        <v>11.500404203718674</v>
      </c>
      <c r="N6415" s="43">
        <v>5.5954066867803709</v>
      </c>
      <c r="O6415" s="43">
        <v>3.9291297550807713</v>
      </c>
      <c r="P6415" s="193"/>
      <c r="Q6415" s="193"/>
      <c r="R6415" s="193">
        <v>1</v>
      </c>
    </row>
    <row r="6416" spans="1:18" ht="24">
      <c r="A6416" s="189">
        <v>1242</v>
      </c>
      <c r="B6416" s="186" t="s">
        <v>11803</v>
      </c>
      <c r="C6416" s="190" t="s">
        <v>11804</v>
      </c>
      <c r="D6416" s="191">
        <v>708.56</v>
      </c>
      <c r="E6416" s="191">
        <v>247.4</v>
      </c>
      <c r="F6416" s="191">
        <v>440.73</v>
      </c>
      <c r="G6416" s="191">
        <v>20.43</v>
      </c>
      <c r="H6416" s="192">
        <v>5400.93</v>
      </c>
      <c r="I6416" s="192">
        <v>2845.2</v>
      </c>
      <c r="J6416" s="192">
        <v>2466.0700000000002</v>
      </c>
      <c r="K6416" s="192">
        <v>89.66</v>
      </c>
      <c r="L6416" s="43">
        <v>7.6224031839223221</v>
      </c>
      <c r="M6416" s="43">
        <v>11.500404203718674</v>
      </c>
      <c r="N6416" s="43">
        <v>5.5954212329544166</v>
      </c>
      <c r="O6416" s="43">
        <v>4.3886441507586884</v>
      </c>
      <c r="P6416" s="193"/>
      <c r="Q6416" s="193"/>
      <c r="R6416" s="193">
        <v>1</v>
      </c>
    </row>
    <row r="6417" spans="1:18" ht="36">
      <c r="A6417" s="189">
        <v>1243</v>
      </c>
      <c r="B6417" s="186" t="s">
        <v>11805</v>
      </c>
      <c r="C6417" s="190" t="s">
        <v>11806</v>
      </c>
      <c r="D6417" s="191">
        <v>602.34</v>
      </c>
      <c r="E6417" s="191">
        <v>185.55</v>
      </c>
      <c r="F6417" s="191">
        <v>397.6</v>
      </c>
      <c r="G6417" s="191">
        <v>19.190000000000001</v>
      </c>
      <c r="H6417" s="192">
        <v>4434.04</v>
      </c>
      <c r="I6417" s="192">
        <v>2133.9</v>
      </c>
      <c r="J6417" s="192">
        <v>2224.7399999999998</v>
      </c>
      <c r="K6417" s="192">
        <v>75.400000000000006</v>
      </c>
      <c r="L6417" s="43">
        <v>7.3613573729123081</v>
      </c>
      <c r="M6417" s="43">
        <v>11.500404203718674</v>
      </c>
      <c r="N6417" s="43">
        <v>5.5954225352112665</v>
      </c>
      <c r="O6417" s="43">
        <v>3.9291297550807713</v>
      </c>
      <c r="P6417" s="193"/>
      <c r="Q6417" s="193"/>
      <c r="R6417" s="193">
        <v>1</v>
      </c>
    </row>
    <row r="6418" spans="1:18" ht="36">
      <c r="A6418" s="189">
        <v>1244</v>
      </c>
      <c r="B6418" s="186" t="s">
        <v>11807</v>
      </c>
      <c r="C6418" s="190" t="s">
        <v>11808</v>
      </c>
      <c r="D6418" s="191">
        <v>770.07</v>
      </c>
      <c r="E6418" s="191">
        <v>235.03</v>
      </c>
      <c r="F6418" s="191">
        <v>514.86</v>
      </c>
      <c r="G6418" s="191">
        <v>20.18</v>
      </c>
      <c r="H6418" s="192">
        <v>5670.57</v>
      </c>
      <c r="I6418" s="192">
        <v>2702.94</v>
      </c>
      <c r="J6418" s="192">
        <v>2880.85</v>
      </c>
      <c r="K6418" s="192">
        <v>86.78</v>
      </c>
      <c r="L6418" s="43">
        <v>7.3637071954497637</v>
      </c>
      <c r="M6418" s="43">
        <v>11.500404203718674</v>
      </c>
      <c r="N6418" s="43">
        <v>5.5954045760012425</v>
      </c>
      <c r="O6418" s="43">
        <v>4.3002973240832505</v>
      </c>
      <c r="P6418" s="193"/>
      <c r="Q6418" s="193"/>
      <c r="R6418" s="193">
        <v>1</v>
      </c>
    </row>
    <row r="6419" spans="1:18" ht="12.75" customHeight="1">
      <c r="A6419" s="628" t="s">
        <v>11809</v>
      </c>
      <c r="B6419" s="629"/>
      <c r="C6419" s="629"/>
      <c r="D6419" s="629"/>
      <c r="E6419" s="629"/>
      <c r="F6419" s="629"/>
      <c r="G6419" s="629"/>
      <c r="H6419" s="629"/>
      <c r="I6419" s="629"/>
      <c r="J6419" s="629"/>
      <c r="K6419" s="629"/>
      <c r="L6419" s="629"/>
      <c r="M6419" s="629"/>
      <c r="N6419" s="629"/>
      <c r="O6419" s="629"/>
      <c r="P6419" s="629"/>
      <c r="Q6419" s="629"/>
      <c r="R6419" s="629"/>
    </row>
    <row r="6420" spans="1:18" ht="36">
      <c r="A6420" s="189">
        <v>1245</v>
      </c>
      <c r="B6420" s="186" t="s">
        <v>11810</v>
      </c>
      <c r="C6420" s="190" t="s">
        <v>11811</v>
      </c>
      <c r="D6420" s="191">
        <v>389.53</v>
      </c>
      <c r="E6420" s="191">
        <v>101.76</v>
      </c>
      <c r="F6420" s="191">
        <v>285.73</v>
      </c>
      <c r="G6420" s="191">
        <v>2.04</v>
      </c>
      <c r="H6420" s="192">
        <v>2792.5</v>
      </c>
      <c r="I6420" s="192">
        <v>1170.24</v>
      </c>
      <c r="J6420" s="192">
        <v>1598.8</v>
      </c>
      <c r="K6420" s="192">
        <v>23.46</v>
      </c>
      <c r="L6420" s="43">
        <v>7.1688958488434782</v>
      </c>
      <c r="M6420" s="43">
        <v>11.5</v>
      </c>
      <c r="N6420" s="43">
        <v>5.5954922479263631</v>
      </c>
      <c r="O6420" s="43">
        <v>11.5</v>
      </c>
      <c r="P6420" s="193"/>
      <c r="Q6420" s="193"/>
      <c r="R6420" s="193">
        <v>2</v>
      </c>
    </row>
    <row r="6421" spans="1:18" ht="36">
      <c r="A6421" s="189">
        <v>1246</v>
      </c>
      <c r="B6421" s="186" t="s">
        <v>11812</v>
      </c>
      <c r="C6421" s="190" t="s">
        <v>11813</v>
      </c>
      <c r="D6421" s="191">
        <v>437.55</v>
      </c>
      <c r="E6421" s="191">
        <v>114.48</v>
      </c>
      <c r="F6421" s="191">
        <v>320.77999999999997</v>
      </c>
      <c r="G6421" s="191">
        <v>2.29</v>
      </c>
      <c r="H6421" s="192">
        <v>3137.74</v>
      </c>
      <c r="I6421" s="192">
        <v>1316.52</v>
      </c>
      <c r="J6421" s="192">
        <v>1794.88</v>
      </c>
      <c r="K6421" s="192">
        <v>26.34</v>
      </c>
      <c r="L6421" s="43">
        <v>7.171157581990629</v>
      </c>
      <c r="M6421" s="43">
        <v>11.5</v>
      </c>
      <c r="N6421" s="43">
        <v>5.5953613068146399</v>
      </c>
      <c r="O6421" s="43">
        <v>11.502183406113536</v>
      </c>
      <c r="P6421" s="193"/>
      <c r="Q6421" s="193"/>
      <c r="R6421" s="193">
        <v>2</v>
      </c>
    </row>
    <row r="6422" spans="1:18" ht="24">
      <c r="A6422" s="189">
        <v>1247</v>
      </c>
      <c r="B6422" s="186" t="s">
        <v>11814</v>
      </c>
      <c r="C6422" s="190" t="s">
        <v>11815</v>
      </c>
      <c r="D6422" s="191">
        <v>539.80999999999995</v>
      </c>
      <c r="E6422" s="191">
        <v>152.63999999999999</v>
      </c>
      <c r="F6422" s="191">
        <v>384.12</v>
      </c>
      <c r="G6422" s="191">
        <v>3.05</v>
      </c>
      <c r="H6422" s="192">
        <v>3939.77</v>
      </c>
      <c r="I6422" s="192">
        <v>1755.36</v>
      </c>
      <c r="J6422" s="192">
        <v>2149.33</v>
      </c>
      <c r="K6422" s="192">
        <v>35.08</v>
      </c>
      <c r="L6422" s="43">
        <v>7.2984383394157213</v>
      </c>
      <c r="M6422" s="43">
        <v>11.5</v>
      </c>
      <c r="N6422" s="43">
        <v>5.5954649588670202</v>
      </c>
      <c r="O6422" s="43">
        <v>11.501639344262296</v>
      </c>
      <c r="P6422" s="193"/>
      <c r="Q6422" s="193"/>
      <c r="R6422" s="193">
        <v>2</v>
      </c>
    </row>
    <row r="6423" spans="1:18" ht="12.75" customHeight="1">
      <c r="A6423" s="628" t="s">
        <v>11816</v>
      </c>
      <c r="B6423" s="629"/>
      <c r="C6423" s="629"/>
      <c r="D6423" s="629"/>
      <c r="E6423" s="629"/>
      <c r="F6423" s="629"/>
      <c r="G6423" s="629"/>
      <c r="H6423" s="629"/>
      <c r="I6423" s="629"/>
      <c r="J6423" s="629"/>
      <c r="K6423" s="629"/>
      <c r="L6423" s="629"/>
      <c r="M6423" s="629"/>
      <c r="N6423" s="629"/>
      <c r="O6423" s="629"/>
      <c r="P6423" s="629"/>
      <c r="Q6423" s="629"/>
      <c r="R6423" s="629"/>
    </row>
    <row r="6424" spans="1:18" ht="24">
      <c r="A6424" s="189">
        <v>1248</v>
      </c>
      <c r="B6424" s="186" t="s">
        <v>11817</v>
      </c>
      <c r="C6424" s="190" t="s">
        <v>11818</v>
      </c>
      <c r="D6424" s="191">
        <v>46.88</v>
      </c>
      <c r="E6424" s="191">
        <v>45.96</v>
      </c>
      <c r="F6424" s="191"/>
      <c r="G6424" s="191">
        <v>0.92</v>
      </c>
      <c r="H6424" s="192">
        <v>539.14</v>
      </c>
      <c r="I6424" s="192">
        <v>528.55999999999995</v>
      </c>
      <c r="J6424" s="192"/>
      <c r="K6424" s="192">
        <v>10.58</v>
      </c>
      <c r="L6424" s="43">
        <v>11.500426621160409</v>
      </c>
      <c r="M6424" s="43">
        <v>11.500435161009571</v>
      </c>
      <c r="N6424" s="43" t="s">
        <v>1690</v>
      </c>
      <c r="O6424" s="43">
        <v>11.5</v>
      </c>
      <c r="P6424" s="193"/>
      <c r="Q6424" s="193"/>
      <c r="R6424" s="193">
        <v>3</v>
      </c>
    </row>
    <row r="6425" spans="1:18" ht="12.75" customHeight="1">
      <c r="A6425" s="628" t="s">
        <v>11819</v>
      </c>
      <c r="B6425" s="629"/>
      <c r="C6425" s="629"/>
      <c r="D6425" s="629"/>
      <c r="E6425" s="629"/>
      <c r="F6425" s="629"/>
      <c r="G6425" s="629"/>
      <c r="H6425" s="629"/>
      <c r="I6425" s="629"/>
      <c r="J6425" s="629"/>
      <c r="K6425" s="629"/>
      <c r="L6425" s="629"/>
      <c r="M6425" s="629"/>
      <c r="N6425" s="629"/>
      <c r="O6425" s="629"/>
      <c r="P6425" s="629"/>
      <c r="Q6425" s="629"/>
      <c r="R6425" s="629"/>
    </row>
    <row r="6426" spans="1:18" ht="36">
      <c r="A6426" s="189">
        <v>1249</v>
      </c>
      <c r="B6426" s="186" t="s">
        <v>11820</v>
      </c>
      <c r="C6426" s="190" t="s">
        <v>11821</v>
      </c>
      <c r="D6426" s="191">
        <v>15337.55</v>
      </c>
      <c r="E6426" s="191">
        <v>463.2</v>
      </c>
      <c r="F6426" s="191">
        <v>13795.49</v>
      </c>
      <c r="G6426" s="191">
        <v>1078.8599999999999</v>
      </c>
      <c r="H6426" s="192">
        <v>80392.69</v>
      </c>
      <c r="I6426" s="192">
        <v>5326.8</v>
      </c>
      <c r="J6426" s="192">
        <v>72392.13</v>
      </c>
      <c r="K6426" s="192">
        <v>2673.76</v>
      </c>
      <c r="L6426" s="43">
        <v>5.2415600927136348</v>
      </c>
      <c r="M6426" s="43">
        <v>11.5</v>
      </c>
      <c r="N6426" s="43">
        <v>5.2475214725972039</v>
      </c>
      <c r="O6426" s="43">
        <v>2.4783197078397574</v>
      </c>
      <c r="P6426" s="193"/>
      <c r="Q6426" s="193"/>
      <c r="R6426" s="193">
        <v>4</v>
      </c>
    </row>
    <row r="6427" spans="1:18" ht="36">
      <c r="A6427" s="189">
        <v>1250</v>
      </c>
      <c r="B6427" s="186" t="s">
        <v>11822</v>
      </c>
      <c r="C6427" s="190" t="s">
        <v>11823</v>
      </c>
      <c r="D6427" s="191">
        <v>21803.86</v>
      </c>
      <c r="E6427" s="191">
        <v>663.92</v>
      </c>
      <c r="F6427" s="191">
        <v>20042.27</v>
      </c>
      <c r="G6427" s="191">
        <v>1097.67</v>
      </c>
      <c r="H6427" s="192">
        <v>115571.35</v>
      </c>
      <c r="I6427" s="192">
        <v>7635.08</v>
      </c>
      <c r="J6427" s="192">
        <v>105171.83</v>
      </c>
      <c r="K6427" s="192">
        <v>2764.44</v>
      </c>
      <c r="L6427" s="43">
        <v>5.3004995445760521</v>
      </c>
      <c r="M6427" s="43">
        <v>11.5</v>
      </c>
      <c r="N6427" s="43">
        <v>5.247500906833408</v>
      </c>
      <c r="O6427" s="43">
        <v>2.5184618327912758</v>
      </c>
      <c r="P6427" s="193"/>
      <c r="Q6427" s="193"/>
      <c r="R6427" s="193">
        <v>4</v>
      </c>
    </row>
    <row r="6428" spans="1:18" ht="36">
      <c r="A6428" s="189">
        <v>1251</v>
      </c>
      <c r="B6428" s="186" t="s">
        <v>11824</v>
      </c>
      <c r="C6428" s="190" t="s">
        <v>11825</v>
      </c>
      <c r="D6428" s="191">
        <v>28296.959999999999</v>
      </c>
      <c r="E6428" s="191">
        <v>880.08</v>
      </c>
      <c r="F6428" s="191">
        <v>26300.11</v>
      </c>
      <c r="G6428" s="191">
        <v>1116.77</v>
      </c>
      <c r="H6428" s="192">
        <v>150989.37</v>
      </c>
      <c r="I6428" s="192">
        <v>10120.92</v>
      </c>
      <c r="J6428" s="192">
        <v>138009.89000000001</v>
      </c>
      <c r="K6428" s="192">
        <v>2858.56</v>
      </c>
      <c r="L6428" s="43">
        <v>5.3358866111412677</v>
      </c>
      <c r="M6428" s="43">
        <v>11.5</v>
      </c>
      <c r="N6428" s="43">
        <v>5.2475023868721467</v>
      </c>
      <c r="O6428" s="43">
        <v>2.5596676128477664</v>
      </c>
      <c r="P6428" s="193"/>
      <c r="Q6428" s="193"/>
      <c r="R6428" s="193">
        <v>4</v>
      </c>
    </row>
    <row r="6429" spans="1:18" ht="36">
      <c r="A6429" s="189">
        <v>1252</v>
      </c>
      <c r="B6429" s="186" t="s">
        <v>11826</v>
      </c>
      <c r="C6429" s="190" t="s">
        <v>11827</v>
      </c>
      <c r="D6429" s="191">
        <v>34780.370000000003</v>
      </c>
      <c r="E6429" s="191">
        <v>1096.24</v>
      </c>
      <c r="F6429" s="191">
        <v>32548.25</v>
      </c>
      <c r="G6429" s="191">
        <v>1135.8800000000001</v>
      </c>
      <c r="H6429" s="192">
        <v>186356.58</v>
      </c>
      <c r="I6429" s="192">
        <v>12606.76</v>
      </c>
      <c r="J6429" s="192">
        <v>170797.13</v>
      </c>
      <c r="K6429" s="192">
        <v>2952.69</v>
      </c>
      <c r="L6429" s="43">
        <v>5.358096535488265</v>
      </c>
      <c r="M6429" s="43">
        <v>11.5</v>
      </c>
      <c r="N6429" s="43">
        <v>5.2475057798806386</v>
      </c>
      <c r="O6429" s="43">
        <v>2.5994735359368946</v>
      </c>
      <c r="P6429" s="193"/>
      <c r="Q6429" s="193"/>
      <c r="R6429" s="193">
        <v>4</v>
      </c>
    </row>
    <row r="6430" spans="1:18" ht="36">
      <c r="A6430" s="189">
        <v>1253</v>
      </c>
      <c r="B6430" s="186" t="s">
        <v>11828</v>
      </c>
      <c r="C6430" s="190" t="s">
        <v>11829</v>
      </c>
      <c r="D6430" s="191">
        <v>41248.019999999997</v>
      </c>
      <c r="E6430" s="191">
        <v>1296.96</v>
      </c>
      <c r="F6430" s="191">
        <v>38796.379999999997</v>
      </c>
      <c r="G6430" s="191">
        <v>1154.68</v>
      </c>
      <c r="H6430" s="192">
        <v>221542.78</v>
      </c>
      <c r="I6430" s="192">
        <v>14915.04</v>
      </c>
      <c r="J6430" s="192">
        <v>203584.37</v>
      </c>
      <c r="K6430" s="192">
        <v>3043.37</v>
      </c>
      <c r="L6430" s="43">
        <v>5.3709918682157349</v>
      </c>
      <c r="M6430" s="43">
        <v>11.5</v>
      </c>
      <c r="N6430" s="43">
        <v>5.2475094325810812</v>
      </c>
      <c r="O6430" s="43">
        <v>2.6356826133647413</v>
      </c>
      <c r="P6430" s="193"/>
      <c r="Q6430" s="193"/>
      <c r="R6430" s="193">
        <v>4</v>
      </c>
    </row>
    <row r="6431" spans="1:18" ht="36">
      <c r="A6431" s="189">
        <v>1254</v>
      </c>
      <c r="B6431" s="186" t="s">
        <v>11830</v>
      </c>
      <c r="C6431" s="190" t="s">
        <v>11831</v>
      </c>
      <c r="D6431" s="191">
        <v>47731.42</v>
      </c>
      <c r="E6431" s="191">
        <v>1513.12</v>
      </c>
      <c r="F6431" s="191">
        <v>45044.52</v>
      </c>
      <c r="G6431" s="191">
        <v>1173.78</v>
      </c>
      <c r="H6431" s="192">
        <v>256909.98</v>
      </c>
      <c r="I6431" s="192">
        <v>17400.88</v>
      </c>
      <c r="J6431" s="192">
        <v>236371.6</v>
      </c>
      <c r="K6431" s="192">
        <v>3137.5</v>
      </c>
      <c r="L6431" s="43">
        <v>5.3824080657981686</v>
      </c>
      <c r="M6431" s="43">
        <v>11.500000000000002</v>
      </c>
      <c r="N6431" s="43">
        <v>5.2475106849845448</v>
      </c>
      <c r="O6431" s="43">
        <v>2.6729881238392204</v>
      </c>
      <c r="P6431" s="193"/>
      <c r="Q6431" s="193"/>
      <c r="R6431" s="193">
        <v>4</v>
      </c>
    </row>
    <row r="6432" spans="1:18" ht="36">
      <c r="A6432" s="189">
        <v>1255</v>
      </c>
      <c r="B6432" s="186" t="s">
        <v>11832</v>
      </c>
      <c r="C6432" s="190" t="s">
        <v>11833</v>
      </c>
      <c r="D6432" s="191">
        <v>60621.68</v>
      </c>
      <c r="E6432" s="191">
        <v>1930</v>
      </c>
      <c r="F6432" s="191">
        <v>57479.88</v>
      </c>
      <c r="G6432" s="191">
        <v>1211.8</v>
      </c>
      <c r="H6432" s="192">
        <v>327143.46000000002</v>
      </c>
      <c r="I6432" s="192">
        <v>22195</v>
      </c>
      <c r="J6432" s="192">
        <v>301625.99</v>
      </c>
      <c r="K6432" s="192">
        <v>3322.47</v>
      </c>
      <c r="L6432" s="43">
        <v>5.3964763101253546</v>
      </c>
      <c r="M6432" s="43">
        <v>11.5</v>
      </c>
      <c r="N6432" s="43">
        <v>5.2475055619461974</v>
      </c>
      <c r="O6432" s="43">
        <v>2.7417643175441491</v>
      </c>
      <c r="P6432" s="193"/>
      <c r="Q6432" s="193"/>
      <c r="R6432" s="193">
        <v>4</v>
      </c>
    </row>
    <row r="6433" spans="1:18" ht="36">
      <c r="A6433" s="189">
        <v>1256</v>
      </c>
      <c r="B6433" s="186" t="s">
        <v>11834</v>
      </c>
      <c r="C6433" s="190" t="s">
        <v>11835</v>
      </c>
      <c r="D6433" s="191">
        <v>86582.31</v>
      </c>
      <c r="E6433" s="191">
        <v>2763.76</v>
      </c>
      <c r="F6433" s="191">
        <v>82531.98</v>
      </c>
      <c r="G6433" s="191">
        <v>1286.57</v>
      </c>
      <c r="H6433" s="192">
        <v>468559.83</v>
      </c>
      <c r="I6433" s="192">
        <v>31783.24</v>
      </c>
      <c r="J6433" s="192">
        <v>433087.49</v>
      </c>
      <c r="K6433" s="192">
        <v>3689.1</v>
      </c>
      <c r="L6433" s="43">
        <v>5.4117270606432193</v>
      </c>
      <c r="M6433" s="43">
        <v>11.5</v>
      </c>
      <c r="N6433" s="43">
        <v>5.2475112071708443</v>
      </c>
      <c r="O6433" s="43">
        <v>2.86739159159626</v>
      </c>
      <c r="P6433" s="193"/>
      <c r="Q6433" s="193"/>
      <c r="R6433" s="193">
        <v>4</v>
      </c>
    </row>
    <row r="6434" spans="1:18" ht="12.75" customHeight="1">
      <c r="A6434" s="628" t="s">
        <v>11836</v>
      </c>
      <c r="B6434" s="629"/>
      <c r="C6434" s="629"/>
      <c r="D6434" s="629"/>
      <c r="E6434" s="629"/>
      <c r="F6434" s="629"/>
      <c r="G6434" s="629"/>
      <c r="H6434" s="629"/>
      <c r="I6434" s="629"/>
      <c r="J6434" s="629"/>
      <c r="K6434" s="629"/>
      <c r="L6434" s="629"/>
      <c r="M6434" s="629"/>
      <c r="N6434" s="629"/>
      <c r="O6434" s="629"/>
      <c r="P6434" s="629"/>
      <c r="Q6434" s="629"/>
      <c r="R6434" s="629"/>
    </row>
    <row r="6435" spans="1:18" ht="36">
      <c r="A6435" s="189">
        <v>1257</v>
      </c>
      <c r="B6435" s="186" t="s">
        <v>11837</v>
      </c>
      <c r="C6435" s="190" t="s">
        <v>11838</v>
      </c>
      <c r="D6435" s="191">
        <v>38972.400000000001</v>
      </c>
      <c r="E6435" s="191">
        <v>802.88</v>
      </c>
      <c r="F6435" s="191">
        <v>34084.129999999997</v>
      </c>
      <c r="G6435" s="191">
        <v>4085.39</v>
      </c>
      <c r="H6435" s="192">
        <v>196919.46</v>
      </c>
      <c r="I6435" s="192">
        <v>9233.1200000000008</v>
      </c>
      <c r="J6435" s="192">
        <v>178214.52</v>
      </c>
      <c r="K6435" s="192">
        <v>9471.82</v>
      </c>
      <c r="L6435" s="43">
        <v>5.0527927456353723</v>
      </c>
      <c r="M6435" s="43">
        <v>11.500000000000002</v>
      </c>
      <c r="N6435" s="43">
        <v>5.228665657594898</v>
      </c>
      <c r="O6435" s="43">
        <v>2.3184616401371718</v>
      </c>
      <c r="P6435" s="193"/>
      <c r="Q6435" s="193"/>
      <c r="R6435" s="193">
        <v>5</v>
      </c>
    </row>
    <row r="6436" spans="1:18" ht="36">
      <c r="A6436" s="189">
        <v>1258</v>
      </c>
      <c r="B6436" s="186" t="s">
        <v>11839</v>
      </c>
      <c r="C6436" s="190" t="s">
        <v>11840</v>
      </c>
      <c r="D6436" s="191">
        <v>57160.83</v>
      </c>
      <c r="E6436" s="191">
        <v>1219.76</v>
      </c>
      <c r="F6436" s="191">
        <v>51841.95</v>
      </c>
      <c r="G6436" s="191">
        <v>4099.12</v>
      </c>
      <c r="H6436" s="192">
        <v>294665.88</v>
      </c>
      <c r="I6436" s="192">
        <v>14027.24</v>
      </c>
      <c r="J6436" s="192">
        <v>271055.86</v>
      </c>
      <c r="K6436" s="192">
        <v>9582.7800000000007</v>
      </c>
      <c r="L6436" s="43">
        <v>5.1550315137131495</v>
      </c>
      <c r="M6436" s="43">
        <v>11.5</v>
      </c>
      <c r="N6436" s="43">
        <v>5.2285043290231172</v>
      </c>
      <c r="O6436" s="43">
        <v>2.3377651788676594</v>
      </c>
      <c r="P6436" s="193"/>
      <c r="Q6436" s="193"/>
      <c r="R6436" s="193">
        <v>5</v>
      </c>
    </row>
    <row r="6437" spans="1:18" ht="36">
      <c r="A6437" s="189">
        <v>1259</v>
      </c>
      <c r="B6437" s="186" t="s">
        <v>11841</v>
      </c>
      <c r="C6437" s="190" t="s">
        <v>11842</v>
      </c>
      <c r="D6437" s="191">
        <v>75333.490000000005</v>
      </c>
      <c r="E6437" s="191">
        <v>1621.2</v>
      </c>
      <c r="F6437" s="191">
        <v>69599.77</v>
      </c>
      <c r="G6437" s="191">
        <v>4112.5200000000004</v>
      </c>
      <c r="H6437" s="192">
        <v>392231.04</v>
      </c>
      <c r="I6437" s="192">
        <v>18643.8</v>
      </c>
      <c r="J6437" s="192">
        <v>363897.19</v>
      </c>
      <c r="K6437" s="192">
        <v>9690.0499999999993</v>
      </c>
      <c r="L6437" s="43">
        <v>5.2065958977872917</v>
      </c>
      <c r="M6437" s="43">
        <v>11.5</v>
      </c>
      <c r="N6437" s="43">
        <v>5.2284251801406816</v>
      </c>
      <c r="O6437" s="43">
        <v>2.3562317022166455</v>
      </c>
      <c r="P6437" s="193"/>
      <c r="Q6437" s="193"/>
      <c r="R6437" s="193">
        <v>5</v>
      </c>
    </row>
    <row r="6438" spans="1:18" ht="36">
      <c r="A6438" s="189">
        <v>1260</v>
      </c>
      <c r="B6438" s="186" t="s">
        <v>11843</v>
      </c>
      <c r="C6438" s="190" t="s">
        <v>11844</v>
      </c>
      <c r="D6438" s="191">
        <v>93521.919999999998</v>
      </c>
      <c r="E6438" s="191">
        <v>2038.08</v>
      </c>
      <c r="F6438" s="191">
        <v>87357.59</v>
      </c>
      <c r="G6438" s="191">
        <v>4126.25</v>
      </c>
      <c r="H6438" s="192">
        <v>489977.44</v>
      </c>
      <c r="I6438" s="192">
        <v>23437.919999999998</v>
      </c>
      <c r="J6438" s="192">
        <v>456738.52</v>
      </c>
      <c r="K6438" s="192">
        <v>9801</v>
      </c>
      <c r="L6438" s="43">
        <v>5.2391721641300775</v>
      </c>
      <c r="M6438" s="43">
        <v>11.5</v>
      </c>
      <c r="N6438" s="43">
        <v>5.2283782096094917</v>
      </c>
      <c r="O6438" s="43">
        <v>2.3752802181157224</v>
      </c>
      <c r="P6438" s="193"/>
      <c r="Q6438" s="193"/>
      <c r="R6438" s="193">
        <v>5</v>
      </c>
    </row>
    <row r="6439" spans="1:18" ht="36">
      <c r="A6439" s="189">
        <v>1261</v>
      </c>
      <c r="B6439" s="186" t="s">
        <v>11845</v>
      </c>
      <c r="C6439" s="190" t="s">
        <v>11846</v>
      </c>
      <c r="D6439" s="191">
        <v>111727.43</v>
      </c>
      <c r="E6439" s="191">
        <v>2470.4</v>
      </c>
      <c r="F6439" s="191">
        <v>105116.75</v>
      </c>
      <c r="G6439" s="191">
        <v>4140.28</v>
      </c>
      <c r="H6439" s="192">
        <v>587912.53</v>
      </c>
      <c r="I6439" s="192">
        <v>28409.599999999999</v>
      </c>
      <c r="J6439" s="192">
        <v>549587.4</v>
      </c>
      <c r="K6439" s="192">
        <v>9915.5300000000007</v>
      </c>
      <c r="L6439" s="43">
        <v>5.2620250013805929</v>
      </c>
      <c r="M6439" s="43">
        <v>11.499999999999998</v>
      </c>
      <c r="N6439" s="43">
        <v>5.2283522844836812</v>
      </c>
      <c r="O6439" s="43">
        <v>2.3948935820765747</v>
      </c>
      <c r="P6439" s="193"/>
      <c r="Q6439" s="193"/>
      <c r="R6439" s="193">
        <v>5</v>
      </c>
    </row>
    <row r="6440" spans="1:18" ht="36">
      <c r="A6440" s="189">
        <v>1262</v>
      </c>
      <c r="B6440" s="186" t="s">
        <v>11847</v>
      </c>
      <c r="C6440" s="190" t="s">
        <v>11848</v>
      </c>
      <c r="D6440" s="191">
        <v>129901.46</v>
      </c>
      <c r="E6440" s="191">
        <v>2871.84</v>
      </c>
      <c r="F6440" s="191">
        <v>122875.92</v>
      </c>
      <c r="G6440" s="191">
        <v>4153.7</v>
      </c>
      <c r="H6440" s="192">
        <v>685485.35</v>
      </c>
      <c r="I6440" s="192">
        <v>33026.160000000003</v>
      </c>
      <c r="J6440" s="192">
        <v>642436.28</v>
      </c>
      <c r="K6440" s="192">
        <v>10022.91</v>
      </c>
      <c r="L6440" s="43">
        <v>5.2769641696097942</v>
      </c>
      <c r="M6440" s="43">
        <v>11.5</v>
      </c>
      <c r="N6440" s="43">
        <v>5.2283334277375095</v>
      </c>
      <c r="O6440" s="43">
        <v>2.4130076798998483</v>
      </c>
      <c r="P6440" s="193"/>
      <c r="Q6440" s="193"/>
      <c r="R6440" s="193">
        <v>5</v>
      </c>
    </row>
    <row r="6441" spans="1:18" ht="36">
      <c r="A6441" s="189">
        <v>1263</v>
      </c>
      <c r="B6441" s="186" t="s">
        <v>11849</v>
      </c>
      <c r="C6441" s="190" t="s">
        <v>11850</v>
      </c>
      <c r="D6441" s="191">
        <v>166279.64000000001</v>
      </c>
      <c r="E6441" s="191">
        <v>3705.6</v>
      </c>
      <c r="F6441" s="191">
        <v>158392.9</v>
      </c>
      <c r="G6441" s="191">
        <v>4181.1400000000003</v>
      </c>
      <c r="H6441" s="192">
        <v>880985.59</v>
      </c>
      <c r="I6441" s="192">
        <v>42614.400000000001</v>
      </c>
      <c r="J6441" s="192">
        <v>828126.48</v>
      </c>
      <c r="K6441" s="192">
        <v>10244.709999999999</v>
      </c>
      <c r="L6441" s="43">
        <v>5.2982168472339719</v>
      </c>
      <c r="M6441" s="43">
        <v>11.5</v>
      </c>
      <c r="N6441" s="43">
        <v>5.2283055616760601</v>
      </c>
      <c r="O6441" s="43">
        <v>2.4502193181763823</v>
      </c>
      <c r="P6441" s="193"/>
      <c r="Q6441" s="193"/>
      <c r="R6441" s="193">
        <v>5</v>
      </c>
    </row>
    <row r="6442" spans="1:18" ht="36">
      <c r="A6442" s="189">
        <v>1264</v>
      </c>
      <c r="B6442" s="186" t="s">
        <v>11851</v>
      </c>
      <c r="C6442" s="190" t="s">
        <v>11852</v>
      </c>
      <c r="D6442" s="191">
        <v>239020.41</v>
      </c>
      <c r="E6442" s="191">
        <v>5357.68</v>
      </c>
      <c r="F6442" s="191">
        <v>229426.87</v>
      </c>
      <c r="G6442" s="191">
        <v>4235.8599999999997</v>
      </c>
      <c r="H6442" s="192">
        <v>1271805.3600000001</v>
      </c>
      <c r="I6442" s="192">
        <v>61613.32</v>
      </c>
      <c r="J6442" s="192">
        <v>1199506.9099999999</v>
      </c>
      <c r="K6442" s="192">
        <v>10685.13</v>
      </c>
      <c r="L6442" s="43">
        <v>5.3209069468168018</v>
      </c>
      <c r="M6442" s="43">
        <v>11.5</v>
      </c>
      <c r="N6442" s="43">
        <v>5.2282756156678598</v>
      </c>
      <c r="O6442" s="43">
        <v>2.522540877177244</v>
      </c>
      <c r="P6442" s="193"/>
      <c r="Q6442" s="193"/>
      <c r="R6442" s="193">
        <v>5</v>
      </c>
    </row>
    <row r="6443" spans="1:18" ht="12.75" customHeight="1">
      <c r="A6443" s="628" t="s">
        <v>11853</v>
      </c>
      <c r="B6443" s="629"/>
      <c r="C6443" s="629"/>
      <c r="D6443" s="629"/>
      <c r="E6443" s="629"/>
      <c r="F6443" s="629"/>
      <c r="G6443" s="629"/>
      <c r="H6443" s="629"/>
      <c r="I6443" s="629"/>
      <c r="J6443" s="629"/>
      <c r="K6443" s="629"/>
      <c r="L6443" s="629"/>
      <c r="M6443" s="629"/>
      <c r="N6443" s="629"/>
      <c r="O6443" s="629"/>
      <c r="P6443" s="629"/>
      <c r="Q6443" s="629"/>
      <c r="R6443" s="629"/>
    </row>
    <row r="6444" spans="1:18" ht="36">
      <c r="A6444" s="189">
        <v>1265</v>
      </c>
      <c r="B6444" s="186" t="s">
        <v>11854</v>
      </c>
      <c r="C6444" s="190" t="s">
        <v>11855</v>
      </c>
      <c r="D6444" s="191">
        <v>3375.62</v>
      </c>
      <c r="E6444" s="191">
        <v>123.52</v>
      </c>
      <c r="F6444" s="191">
        <v>3249.63</v>
      </c>
      <c r="G6444" s="191">
        <v>2.4700000000000002</v>
      </c>
      <c r="H6444" s="192">
        <v>18289.75</v>
      </c>
      <c r="I6444" s="192">
        <v>1420.48</v>
      </c>
      <c r="J6444" s="192">
        <v>16840.86</v>
      </c>
      <c r="K6444" s="192">
        <v>28.41</v>
      </c>
      <c r="L6444" s="43">
        <v>5.4181898436435381</v>
      </c>
      <c r="M6444" s="43">
        <v>11.5</v>
      </c>
      <c r="N6444" s="43">
        <v>5.1823930724420935</v>
      </c>
      <c r="O6444" s="43">
        <v>11.502024291497975</v>
      </c>
      <c r="P6444" s="193"/>
      <c r="Q6444" s="193"/>
      <c r="R6444" s="193">
        <v>6</v>
      </c>
    </row>
    <row r="6445" spans="1:18" ht="36">
      <c r="A6445" s="189">
        <v>1266</v>
      </c>
      <c r="B6445" s="186" t="s">
        <v>11856</v>
      </c>
      <c r="C6445" s="190" t="s">
        <v>11857</v>
      </c>
      <c r="D6445" s="191">
        <v>5926.13</v>
      </c>
      <c r="E6445" s="191">
        <v>216.16</v>
      </c>
      <c r="F6445" s="191">
        <v>5705.65</v>
      </c>
      <c r="G6445" s="191">
        <v>4.32</v>
      </c>
      <c r="H6445" s="192">
        <v>32104.43</v>
      </c>
      <c r="I6445" s="192">
        <v>2485.84</v>
      </c>
      <c r="J6445" s="192">
        <v>29568.91</v>
      </c>
      <c r="K6445" s="192">
        <v>49.68</v>
      </c>
      <c r="L6445" s="43">
        <v>5.4174359995477657</v>
      </c>
      <c r="M6445" s="43">
        <v>11.5</v>
      </c>
      <c r="N6445" s="43">
        <v>5.1823911386082218</v>
      </c>
      <c r="O6445" s="43">
        <v>11.5</v>
      </c>
      <c r="P6445" s="193"/>
      <c r="Q6445" s="193"/>
      <c r="R6445" s="193">
        <v>6</v>
      </c>
    </row>
    <row r="6446" spans="1:18" ht="36">
      <c r="A6446" s="189">
        <v>1267</v>
      </c>
      <c r="B6446" s="186" t="s">
        <v>11858</v>
      </c>
      <c r="C6446" s="190" t="s">
        <v>11859</v>
      </c>
      <c r="D6446" s="191">
        <v>8476.64</v>
      </c>
      <c r="E6446" s="191">
        <v>308.8</v>
      </c>
      <c r="F6446" s="191">
        <v>8161.66</v>
      </c>
      <c r="G6446" s="191">
        <v>6.18</v>
      </c>
      <c r="H6446" s="192">
        <v>45919.24</v>
      </c>
      <c r="I6446" s="192">
        <v>3551.2</v>
      </c>
      <c r="J6446" s="192">
        <v>42296.97</v>
      </c>
      <c r="K6446" s="192">
        <v>71.069999999999993</v>
      </c>
      <c r="L6446" s="43">
        <v>5.4171511353555184</v>
      </c>
      <c r="M6446" s="43">
        <v>11.499999999999998</v>
      </c>
      <c r="N6446" s="43">
        <v>5.1823979435556007</v>
      </c>
      <c r="O6446" s="43">
        <v>11.5</v>
      </c>
      <c r="P6446" s="193"/>
      <c r="Q6446" s="193"/>
      <c r="R6446" s="193">
        <v>6</v>
      </c>
    </row>
    <row r="6447" spans="1:18" ht="36">
      <c r="A6447" s="189">
        <v>1268</v>
      </c>
      <c r="B6447" s="186" t="s">
        <v>11860</v>
      </c>
      <c r="C6447" s="190" t="s">
        <v>11861</v>
      </c>
      <c r="D6447" s="191">
        <v>11011.4</v>
      </c>
      <c r="E6447" s="191">
        <v>386</v>
      </c>
      <c r="F6447" s="191">
        <v>10617.68</v>
      </c>
      <c r="G6447" s="191">
        <v>7.72</v>
      </c>
      <c r="H6447" s="192">
        <v>59552.800000000003</v>
      </c>
      <c r="I6447" s="192">
        <v>4439</v>
      </c>
      <c r="J6447" s="192">
        <v>55025.02</v>
      </c>
      <c r="K6447" s="192">
        <v>88.78</v>
      </c>
      <c r="L6447" s="43">
        <v>5.4082859581887863</v>
      </c>
      <c r="M6447" s="43">
        <v>11.5</v>
      </c>
      <c r="N6447" s="43">
        <v>5.1823957776086678</v>
      </c>
      <c r="O6447" s="43">
        <v>11.5</v>
      </c>
      <c r="P6447" s="193"/>
      <c r="Q6447" s="193"/>
      <c r="R6447" s="193">
        <v>6</v>
      </c>
    </row>
    <row r="6448" spans="1:18" ht="36">
      <c r="A6448" s="189">
        <v>1269</v>
      </c>
      <c r="B6448" s="186" t="s">
        <v>11862</v>
      </c>
      <c r="C6448" s="190" t="s">
        <v>11863</v>
      </c>
      <c r="D6448" s="191">
        <v>13561.91</v>
      </c>
      <c r="E6448" s="191">
        <v>478.64</v>
      </c>
      <c r="F6448" s="191">
        <v>13073.7</v>
      </c>
      <c r="G6448" s="191">
        <v>9.57</v>
      </c>
      <c r="H6448" s="192">
        <v>73367.5</v>
      </c>
      <c r="I6448" s="192">
        <v>5504.36</v>
      </c>
      <c r="J6448" s="192">
        <v>67753.08</v>
      </c>
      <c r="K6448" s="192">
        <v>110.06</v>
      </c>
      <c r="L6448" s="43">
        <v>5.409820593117046</v>
      </c>
      <c r="M6448" s="43">
        <v>11.5</v>
      </c>
      <c r="N6448" s="43">
        <v>5.1823951903439731</v>
      </c>
      <c r="O6448" s="43">
        <v>11.500522466039707</v>
      </c>
      <c r="P6448" s="193"/>
      <c r="Q6448" s="193"/>
      <c r="R6448" s="193">
        <v>6</v>
      </c>
    </row>
    <row r="6449" spans="1:18" ht="36">
      <c r="A6449" s="189">
        <v>1270</v>
      </c>
      <c r="B6449" s="186" t="s">
        <v>11864</v>
      </c>
      <c r="C6449" s="190" t="s">
        <v>11865</v>
      </c>
      <c r="D6449" s="191">
        <v>16112.42</v>
      </c>
      <c r="E6449" s="191">
        <v>571.28</v>
      </c>
      <c r="F6449" s="191">
        <v>15529.71</v>
      </c>
      <c r="G6449" s="191">
        <v>11.43</v>
      </c>
      <c r="H6449" s="192">
        <v>87182.3</v>
      </c>
      <c r="I6449" s="192">
        <v>6569.72</v>
      </c>
      <c r="J6449" s="192">
        <v>80481.13</v>
      </c>
      <c r="K6449" s="192">
        <v>131.44999999999999</v>
      </c>
      <c r="L6449" s="43">
        <v>5.4108755854179575</v>
      </c>
      <c r="M6449" s="43">
        <v>11.500000000000002</v>
      </c>
      <c r="N6449" s="43">
        <v>5.1823974819877519</v>
      </c>
      <c r="O6449" s="43">
        <v>11.500437445319335</v>
      </c>
      <c r="P6449" s="193"/>
      <c r="Q6449" s="193"/>
      <c r="R6449" s="193">
        <v>6</v>
      </c>
    </row>
    <row r="6450" spans="1:18" ht="36">
      <c r="A6450" s="189">
        <v>1271</v>
      </c>
      <c r="B6450" s="186" t="s">
        <v>11866</v>
      </c>
      <c r="C6450" s="190" t="s">
        <v>11867</v>
      </c>
      <c r="D6450" s="191">
        <v>21213.439999999999</v>
      </c>
      <c r="E6450" s="191">
        <v>756.56</v>
      </c>
      <c r="F6450" s="191">
        <v>20441.75</v>
      </c>
      <c r="G6450" s="191">
        <v>15.13</v>
      </c>
      <c r="H6450" s="192">
        <v>114811.68</v>
      </c>
      <c r="I6450" s="192">
        <v>8700.44</v>
      </c>
      <c r="J6450" s="192">
        <v>105937.24</v>
      </c>
      <c r="K6450" s="192">
        <v>174</v>
      </c>
      <c r="L6450" s="43">
        <v>5.412214143486394</v>
      </c>
      <c r="M6450" s="43">
        <v>11.500000000000002</v>
      </c>
      <c r="N6450" s="43">
        <v>5.1823958320593881</v>
      </c>
      <c r="O6450" s="43">
        <v>11.500330469266357</v>
      </c>
      <c r="P6450" s="193"/>
      <c r="Q6450" s="193"/>
      <c r="R6450" s="193">
        <v>6</v>
      </c>
    </row>
    <row r="6451" spans="1:18" ht="36">
      <c r="A6451" s="189">
        <v>1272</v>
      </c>
      <c r="B6451" s="186" t="s">
        <v>11868</v>
      </c>
      <c r="C6451" s="190" t="s">
        <v>11869</v>
      </c>
      <c r="D6451" s="191">
        <v>31399.73</v>
      </c>
      <c r="E6451" s="191">
        <v>1111.68</v>
      </c>
      <c r="F6451" s="191">
        <v>30265.82</v>
      </c>
      <c r="G6451" s="191">
        <v>22.23</v>
      </c>
      <c r="H6451" s="192">
        <v>169889.42</v>
      </c>
      <c r="I6451" s="192">
        <v>12784.32</v>
      </c>
      <c r="J6451" s="192">
        <v>156849.45000000001</v>
      </c>
      <c r="K6451" s="192">
        <v>255.65</v>
      </c>
      <c r="L6451" s="43">
        <v>5.41053760653356</v>
      </c>
      <c r="M6451" s="43">
        <v>11.499999999999998</v>
      </c>
      <c r="N6451" s="43">
        <v>5.1823955207557573</v>
      </c>
      <c r="O6451" s="43">
        <v>11.500224921277553</v>
      </c>
      <c r="P6451" s="193"/>
      <c r="Q6451" s="193"/>
      <c r="R6451" s="193">
        <v>6</v>
      </c>
    </row>
    <row r="6452" spans="1:18" ht="36">
      <c r="A6452" s="189">
        <v>1273</v>
      </c>
      <c r="B6452" s="186" t="s">
        <v>11870</v>
      </c>
      <c r="C6452" s="190" t="s">
        <v>11871</v>
      </c>
      <c r="D6452" s="191">
        <v>3713.33</v>
      </c>
      <c r="E6452" s="191">
        <v>200.72</v>
      </c>
      <c r="F6452" s="191">
        <v>3508.6</v>
      </c>
      <c r="G6452" s="191">
        <v>4.01</v>
      </c>
      <c r="H6452" s="192">
        <v>20537.330000000002</v>
      </c>
      <c r="I6452" s="192">
        <v>2308.2800000000002</v>
      </c>
      <c r="J6452" s="192">
        <v>18182.93</v>
      </c>
      <c r="K6452" s="192">
        <v>46.12</v>
      </c>
      <c r="L6452" s="43">
        <v>5.5307042465926815</v>
      </c>
      <c r="M6452" s="43">
        <v>11.500000000000002</v>
      </c>
      <c r="N6452" s="43">
        <v>5.1823889870603663</v>
      </c>
      <c r="O6452" s="43">
        <v>11.501246882793017</v>
      </c>
      <c r="P6452" s="193"/>
      <c r="Q6452" s="193"/>
      <c r="R6452" s="193">
        <v>6</v>
      </c>
    </row>
    <row r="6453" spans="1:18" ht="36">
      <c r="A6453" s="189">
        <v>1274</v>
      </c>
      <c r="B6453" s="186" t="s">
        <v>11872</v>
      </c>
      <c r="C6453" s="190" t="s">
        <v>11873</v>
      </c>
      <c r="D6453" s="191">
        <v>7268.9</v>
      </c>
      <c r="E6453" s="191">
        <v>386</v>
      </c>
      <c r="F6453" s="191">
        <v>6875.18</v>
      </c>
      <c r="G6453" s="191">
        <v>7.72</v>
      </c>
      <c r="H6453" s="192">
        <v>40157.67</v>
      </c>
      <c r="I6453" s="192">
        <v>4439</v>
      </c>
      <c r="J6453" s="192">
        <v>35629.89</v>
      </c>
      <c r="K6453" s="192">
        <v>88.78</v>
      </c>
      <c r="L6453" s="43">
        <v>5.5245869388765838</v>
      </c>
      <c r="M6453" s="43">
        <v>11.5</v>
      </c>
      <c r="N6453" s="43">
        <v>5.1823937700540199</v>
      </c>
      <c r="O6453" s="43">
        <v>11.5</v>
      </c>
      <c r="P6453" s="193"/>
      <c r="Q6453" s="193"/>
      <c r="R6453" s="193">
        <v>6</v>
      </c>
    </row>
    <row r="6454" spans="1:18" ht="36">
      <c r="A6454" s="189">
        <v>1275</v>
      </c>
      <c r="B6454" s="186" t="s">
        <v>11874</v>
      </c>
      <c r="C6454" s="190" t="s">
        <v>11875</v>
      </c>
      <c r="D6454" s="191">
        <v>10816.12</v>
      </c>
      <c r="E6454" s="191">
        <v>571.28</v>
      </c>
      <c r="F6454" s="191">
        <v>10233.41</v>
      </c>
      <c r="G6454" s="191">
        <v>11.43</v>
      </c>
      <c r="H6454" s="192">
        <v>59734.73</v>
      </c>
      <c r="I6454" s="192">
        <v>6569.72</v>
      </c>
      <c r="J6454" s="192">
        <v>53033.56</v>
      </c>
      <c r="K6454" s="192">
        <v>131.44999999999999</v>
      </c>
      <c r="L6454" s="43">
        <v>5.5227503023265276</v>
      </c>
      <c r="M6454" s="43">
        <v>11.500000000000002</v>
      </c>
      <c r="N6454" s="43">
        <v>5.1823937475386987</v>
      </c>
      <c r="O6454" s="43">
        <v>11.500437445319335</v>
      </c>
      <c r="P6454" s="193"/>
      <c r="Q6454" s="193"/>
      <c r="R6454" s="193">
        <v>6</v>
      </c>
    </row>
    <row r="6455" spans="1:18" ht="36">
      <c r="A6455" s="189">
        <v>1276</v>
      </c>
      <c r="B6455" s="186" t="s">
        <v>11876</v>
      </c>
      <c r="C6455" s="190" t="s">
        <v>11877</v>
      </c>
      <c r="D6455" s="191">
        <v>14371.68</v>
      </c>
      <c r="E6455" s="191">
        <v>756.56</v>
      </c>
      <c r="F6455" s="191">
        <v>13599.99</v>
      </c>
      <c r="G6455" s="191">
        <v>15.13</v>
      </c>
      <c r="H6455" s="192">
        <v>79354.960000000006</v>
      </c>
      <c r="I6455" s="192">
        <v>8700.44</v>
      </c>
      <c r="J6455" s="192">
        <v>70480.52</v>
      </c>
      <c r="K6455" s="192">
        <v>174</v>
      </c>
      <c r="L6455" s="43">
        <v>5.5216202976965816</v>
      </c>
      <c r="M6455" s="43">
        <v>11.500000000000002</v>
      </c>
      <c r="N6455" s="43">
        <v>5.1823949870551376</v>
      </c>
      <c r="O6455" s="43">
        <v>11.500330469266357</v>
      </c>
      <c r="P6455" s="193"/>
      <c r="Q6455" s="193"/>
      <c r="R6455" s="193">
        <v>6</v>
      </c>
    </row>
    <row r="6456" spans="1:18" ht="36">
      <c r="A6456" s="189">
        <v>1277</v>
      </c>
      <c r="B6456" s="186" t="s">
        <v>11878</v>
      </c>
      <c r="C6456" s="190" t="s">
        <v>11879</v>
      </c>
      <c r="D6456" s="191">
        <v>17918.89</v>
      </c>
      <c r="E6456" s="191">
        <v>941.84</v>
      </c>
      <c r="F6456" s="191">
        <v>16958.21</v>
      </c>
      <c r="G6456" s="191">
        <v>18.84</v>
      </c>
      <c r="H6456" s="192">
        <v>98932</v>
      </c>
      <c r="I6456" s="192">
        <v>10831.16</v>
      </c>
      <c r="J6456" s="192">
        <v>87884.18</v>
      </c>
      <c r="K6456" s="192">
        <v>216.66</v>
      </c>
      <c r="L6456" s="43">
        <v>5.5211009164072102</v>
      </c>
      <c r="M6456" s="43">
        <v>11.5</v>
      </c>
      <c r="N6456" s="43">
        <v>5.1823971987609543</v>
      </c>
      <c r="O6456" s="43">
        <v>11.5</v>
      </c>
      <c r="P6456" s="193"/>
      <c r="Q6456" s="193"/>
      <c r="R6456" s="193">
        <v>6</v>
      </c>
    </row>
    <row r="6457" spans="1:18" ht="36">
      <c r="A6457" s="189">
        <v>1278</v>
      </c>
      <c r="B6457" s="186" t="s">
        <v>11880</v>
      </c>
      <c r="C6457" s="190" t="s">
        <v>11881</v>
      </c>
      <c r="D6457" s="191">
        <v>21474.46</v>
      </c>
      <c r="E6457" s="191">
        <v>1127.1199999999999</v>
      </c>
      <c r="F6457" s="191">
        <v>20324.8</v>
      </c>
      <c r="G6457" s="191">
        <v>22.54</v>
      </c>
      <c r="H6457" s="192">
        <v>118552.23</v>
      </c>
      <c r="I6457" s="192">
        <v>12961.88</v>
      </c>
      <c r="J6457" s="192">
        <v>105331.14</v>
      </c>
      <c r="K6457" s="192">
        <v>259.20999999999998</v>
      </c>
      <c r="L6457" s="43">
        <v>5.5206151865984054</v>
      </c>
      <c r="M6457" s="43">
        <v>11.5</v>
      </c>
      <c r="N6457" s="43">
        <v>5.1823949067149497</v>
      </c>
      <c r="O6457" s="43">
        <v>11.5</v>
      </c>
      <c r="P6457" s="193"/>
      <c r="Q6457" s="193"/>
      <c r="R6457" s="193">
        <v>6</v>
      </c>
    </row>
    <row r="6458" spans="1:18" ht="36">
      <c r="A6458" s="189">
        <v>1279</v>
      </c>
      <c r="B6458" s="186" t="s">
        <v>11882</v>
      </c>
      <c r="C6458" s="190" t="s">
        <v>11883</v>
      </c>
      <c r="D6458" s="191">
        <v>28577.23</v>
      </c>
      <c r="E6458" s="191">
        <v>1497.68</v>
      </c>
      <c r="F6458" s="191">
        <v>27049.599999999999</v>
      </c>
      <c r="G6458" s="191">
        <v>29.95</v>
      </c>
      <c r="H6458" s="192">
        <v>157749.51</v>
      </c>
      <c r="I6458" s="192">
        <v>17223.32</v>
      </c>
      <c r="J6458" s="192">
        <v>140181.76000000001</v>
      </c>
      <c r="K6458" s="192">
        <v>344.43</v>
      </c>
      <c r="L6458" s="43">
        <v>5.5201119912601753</v>
      </c>
      <c r="M6458" s="43">
        <v>11.5</v>
      </c>
      <c r="N6458" s="43">
        <v>5.1823967822075012</v>
      </c>
      <c r="O6458" s="43">
        <v>11.50016694490818</v>
      </c>
      <c r="P6458" s="193"/>
      <c r="Q6458" s="193"/>
      <c r="R6458" s="193">
        <v>6</v>
      </c>
    </row>
    <row r="6459" spans="1:18" ht="36">
      <c r="A6459" s="189">
        <v>1280</v>
      </c>
      <c r="B6459" s="186" t="s">
        <v>11884</v>
      </c>
      <c r="C6459" s="190" t="s">
        <v>11885</v>
      </c>
      <c r="D6459" s="191">
        <v>42782.8</v>
      </c>
      <c r="E6459" s="191">
        <v>2238.8000000000002</v>
      </c>
      <c r="F6459" s="191">
        <v>40499.22</v>
      </c>
      <c r="G6459" s="191">
        <v>44.78</v>
      </c>
      <c r="H6459" s="192">
        <v>236144.18</v>
      </c>
      <c r="I6459" s="192">
        <v>25746.2</v>
      </c>
      <c r="J6459" s="192">
        <v>209883.01</v>
      </c>
      <c r="K6459" s="192">
        <v>514.97</v>
      </c>
      <c r="L6459" s="43">
        <v>5.519605542414241</v>
      </c>
      <c r="M6459" s="43">
        <v>11.5</v>
      </c>
      <c r="N6459" s="43">
        <v>5.18239635232481</v>
      </c>
      <c r="O6459" s="43">
        <v>11.5</v>
      </c>
      <c r="P6459" s="193"/>
      <c r="Q6459" s="193"/>
      <c r="R6459" s="193">
        <v>6</v>
      </c>
    </row>
    <row r="6460" spans="1:18" ht="12.75" customHeight="1">
      <c r="A6460" s="628" t="s">
        <v>11886</v>
      </c>
      <c r="B6460" s="629"/>
      <c r="C6460" s="629"/>
      <c r="D6460" s="629"/>
      <c r="E6460" s="629"/>
      <c r="F6460" s="629"/>
      <c r="G6460" s="629"/>
      <c r="H6460" s="629"/>
      <c r="I6460" s="629"/>
      <c r="J6460" s="629"/>
      <c r="K6460" s="629"/>
      <c r="L6460" s="629"/>
      <c r="M6460" s="629"/>
      <c r="N6460" s="629"/>
      <c r="O6460" s="629"/>
      <c r="P6460" s="629"/>
      <c r="Q6460" s="629"/>
      <c r="R6460" s="629"/>
    </row>
    <row r="6461" spans="1:18" ht="36">
      <c r="A6461" s="189">
        <v>1281</v>
      </c>
      <c r="B6461" s="186" t="s">
        <v>11887</v>
      </c>
      <c r="C6461" s="190" t="s">
        <v>11888</v>
      </c>
      <c r="D6461" s="191">
        <v>2359.33</v>
      </c>
      <c r="E6461" s="191">
        <v>77.2</v>
      </c>
      <c r="F6461" s="191">
        <v>2280.59</v>
      </c>
      <c r="G6461" s="191">
        <v>1.54</v>
      </c>
      <c r="H6461" s="192">
        <v>12724.42</v>
      </c>
      <c r="I6461" s="192">
        <v>887.8</v>
      </c>
      <c r="J6461" s="192">
        <v>11818.91</v>
      </c>
      <c r="K6461" s="192">
        <v>17.71</v>
      </c>
      <c r="L6461" s="43">
        <v>5.3932345199696528</v>
      </c>
      <c r="M6461" s="43">
        <v>11.499999999999998</v>
      </c>
      <c r="N6461" s="43">
        <v>5.1823913987169981</v>
      </c>
      <c r="O6461" s="43">
        <v>11.5</v>
      </c>
      <c r="P6461" s="193"/>
      <c r="Q6461" s="193"/>
      <c r="R6461" s="193">
        <v>7</v>
      </c>
    </row>
    <row r="6462" spans="1:18" ht="36">
      <c r="A6462" s="189">
        <v>1282</v>
      </c>
      <c r="B6462" s="186" t="s">
        <v>11889</v>
      </c>
      <c r="C6462" s="190" t="s">
        <v>11890</v>
      </c>
      <c r="D6462" s="191">
        <v>4093.09</v>
      </c>
      <c r="E6462" s="191">
        <v>138.96</v>
      </c>
      <c r="F6462" s="191">
        <v>3951.35</v>
      </c>
      <c r="G6462" s="191">
        <v>2.78</v>
      </c>
      <c r="H6462" s="192">
        <v>22107.46</v>
      </c>
      <c r="I6462" s="192">
        <v>1598.04</v>
      </c>
      <c r="J6462" s="192">
        <v>20477.45</v>
      </c>
      <c r="K6462" s="192">
        <v>31.97</v>
      </c>
      <c r="L6462" s="43">
        <v>5.401166355980445</v>
      </c>
      <c r="M6462" s="43">
        <v>11.499999999999998</v>
      </c>
      <c r="N6462" s="43">
        <v>5.1823933592316553</v>
      </c>
      <c r="O6462" s="43">
        <v>11.5</v>
      </c>
      <c r="P6462" s="193"/>
      <c r="Q6462" s="193"/>
      <c r="R6462" s="193">
        <v>7</v>
      </c>
    </row>
    <row r="6463" spans="1:18" ht="36">
      <c r="A6463" s="189">
        <v>1283</v>
      </c>
      <c r="B6463" s="186" t="s">
        <v>11891</v>
      </c>
      <c r="C6463" s="190" t="s">
        <v>11892</v>
      </c>
      <c r="D6463" s="191">
        <v>5818.48</v>
      </c>
      <c r="E6463" s="191">
        <v>200.72</v>
      </c>
      <c r="F6463" s="191">
        <v>5613.75</v>
      </c>
      <c r="G6463" s="191">
        <v>4.01</v>
      </c>
      <c r="H6463" s="192">
        <v>31447.09</v>
      </c>
      <c r="I6463" s="192">
        <v>2308.2800000000002</v>
      </c>
      <c r="J6463" s="192">
        <v>29092.69</v>
      </c>
      <c r="K6463" s="192">
        <v>46.12</v>
      </c>
      <c r="L6463" s="43">
        <v>5.4046916033053307</v>
      </c>
      <c r="M6463" s="43">
        <v>11.500000000000002</v>
      </c>
      <c r="N6463" s="43">
        <v>5.1823985749276327</v>
      </c>
      <c r="O6463" s="43">
        <v>11.501246882793017</v>
      </c>
      <c r="P6463" s="193"/>
      <c r="Q6463" s="193"/>
      <c r="R6463" s="193">
        <v>7</v>
      </c>
    </row>
    <row r="6464" spans="1:18" ht="36">
      <c r="A6464" s="189">
        <v>1284</v>
      </c>
      <c r="B6464" s="186" t="s">
        <v>11893</v>
      </c>
      <c r="C6464" s="190" t="s">
        <v>11894</v>
      </c>
      <c r="D6464" s="191">
        <v>7552.24</v>
      </c>
      <c r="E6464" s="191">
        <v>262.48</v>
      </c>
      <c r="F6464" s="191">
        <v>7284.51</v>
      </c>
      <c r="G6464" s="191">
        <v>5.25</v>
      </c>
      <c r="H6464" s="192">
        <v>40830.129999999997</v>
      </c>
      <c r="I6464" s="192">
        <v>3018.52</v>
      </c>
      <c r="J6464" s="192">
        <v>37751.230000000003</v>
      </c>
      <c r="K6464" s="192">
        <v>60.38</v>
      </c>
      <c r="L6464" s="43">
        <v>5.4063602321960103</v>
      </c>
      <c r="M6464" s="43">
        <v>11.5</v>
      </c>
      <c r="N6464" s="43">
        <v>5.1823979924524783</v>
      </c>
      <c r="O6464" s="43">
        <v>11.500952380952381</v>
      </c>
      <c r="P6464" s="193"/>
      <c r="Q6464" s="193"/>
      <c r="R6464" s="193">
        <v>7</v>
      </c>
    </row>
    <row r="6465" spans="1:18" ht="36">
      <c r="A6465" s="189">
        <v>1285</v>
      </c>
      <c r="B6465" s="186" t="s">
        <v>11895</v>
      </c>
      <c r="C6465" s="190" t="s">
        <v>11896</v>
      </c>
      <c r="D6465" s="191">
        <v>9277.64</v>
      </c>
      <c r="E6465" s="191">
        <v>324.24</v>
      </c>
      <c r="F6465" s="191">
        <v>8946.92</v>
      </c>
      <c r="G6465" s="191">
        <v>6.48</v>
      </c>
      <c r="H6465" s="192">
        <v>50169.760000000002</v>
      </c>
      <c r="I6465" s="192">
        <v>3728.76</v>
      </c>
      <c r="J6465" s="192">
        <v>46366.48</v>
      </c>
      <c r="K6465" s="192">
        <v>74.52</v>
      </c>
      <c r="L6465" s="43">
        <v>5.4075993463855037</v>
      </c>
      <c r="M6465" s="43">
        <v>11.5</v>
      </c>
      <c r="N6465" s="43">
        <v>5.1823957294800893</v>
      </c>
      <c r="O6465" s="43">
        <v>11.499999999999998</v>
      </c>
      <c r="P6465" s="193"/>
      <c r="Q6465" s="193"/>
      <c r="R6465" s="193">
        <v>7</v>
      </c>
    </row>
    <row r="6466" spans="1:18" ht="36">
      <c r="A6466" s="189">
        <v>1286</v>
      </c>
      <c r="B6466" s="186" t="s">
        <v>11897</v>
      </c>
      <c r="C6466" s="190" t="s">
        <v>11898</v>
      </c>
      <c r="D6466" s="191">
        <v>11011.4</v>
      </c>
      <c r="E6466" s="191">
        <v>386</v>
      </c>
      <c r="F6466" s="191">
        <v>10617.68</v>
      </c>
      <c r="G6466" s="191">
        <v>7.72</v>
      </c>
      <c r="H6466" s="192">
        <v>59552.800000000003</v>
      </c>
      <c r="I6466" s="192">
        <v>4439</v>
      </c>
      <c r="J6466" s="192">
        <v>55025.02</v>
      </c>
      <c r="K6466" s="192">
        <v>88.78</v>
      </c>
      <c r="L6466" s="43">
        <v>5.4082859581887863</v>
      </c>
      <c r="M6466" s="43">
        <v>11.5</v>
      </c>
      <c r="N6466" s="43">
        <v>5.1823957776086678</v>
      </c>
      <c r="O6466" s="43">
        <v>11.5</v>
      </c>
      <c r="P6466" s="193"/>
      <c r="Q6466" s="193"/>
      <c r="R6466" s="193">
        <v>7</v>
      </c>
    </row>
    <row r="6467" spans="1:18" ht="36">
      <c r="A6467" s="189">
        <v>1287</v>
      </c>
      <c r="B6467" s="186" t="s">
        <v>11899</v>
      </c>
      <c r="C6467" s="190" t="s">
        <v>11900</v>
      </c>
      <c r="D6467" s="191">
        <v>14470.56</v>
      </c>
      <c r="E6467" s="191">
        <v>509.52</v>
      </c>
      <c r="F6467" s="191">
        <v>13950.85</v>
      </c>
      <c r="G6467" s="191">
        <v>10.19</v>
      </c>
      <c r="H6467" s="192">
        <v>78275.48</v>
      </c>
      <c r="I6467" s="192">
        <v>5859.48</v>
      </c>
      <c r="J6467" s="192">
        <v>72298.81</v>
      </c>
      <c r="K6467" s="192">
        <v>117.19</v>
      </c>
      <c r="L6467" s="43">
        <v>5.4092916929268808</v>
      </c>
      <c r="M6467" s="43">
        <v>11.5</v>
      </c>
      <c r="N6467" s="43">
        <v>5.1823946211162761</v>
      </c>
      <c r="O6467" s="43">
        <v>11.500490677134446</v>
      </c>
      <c r="P6467" s="193"/>
      <c r="Q6467" s="193"/>
      <c r="R6467" s="193">
        <v>7</v>
      </c>
    </row>
    <row r="6468" spans="1:18" ht="36">
      <c r="A6468" s="189">
        <v>1288</v>
      </c>
      <c r="B6468" s="186" t="s">
        <v>11901</v>
      </c>
      <c r="C6468" s="190" t="s">
        <v>11902</v>
      </c>
      <c r="D6468" s="191">
        <v>21388.87</v>
      </c>
      <c r="E6468" s="191">
        <v>756.56</v>
      </c>
      <c r="F6468" s="191">
        <v>20617.18</v>
      </c>
      <c r="G6468" s="191">
        <v>15.13</v>
      </c>
      <c r="H6468" s="192">
        <v>115720.82</v>
      </c>
      <c r="I6468" s="192">
        <v>8700.44</v>
      </c>
      <c r="J6468" s="192">
        <v>106846.38</v>
      </c>
      <c r="K6468" s="192">
        <v>174</v>
      </c>
      <c r="L6468" s="43">
        <v>5.4103288299007852</v>
      </c>
      <c r="M6468" s="43">
        <v>11.500000000000002</v>
      </c>
      <c r="N6468" s="43">
        <v>5.1823954585447671</v>
      </c>
      <c r="O6468" s="43">
        <v>11.500330469266357</v>
      </c>
      <c r="P6468" s="193"/>
      <c r="Q6468" s="193"/>
      <c r="R6468" s="193">
        <v>7</v>
      </c>
    </row>
    <row r="6469" spans="1:18" ht="36">
      <c r="A6469" s="189">
        <v>1289</v>
      </c>
      <c r="B6469" s="186" t="s">
        <v>11903</v>
      </c>
      <c r="C6469" s="190" t="s">
        <v>11904</v>
      </c>
      <c r="D6469" s="191">
        <v>4878.34</v>
      </c>
      <c r="E6469" s="191">
        <v>138.96</v>
      </c>
      <c r="F6469" s="191">
        <v>4736.6000000000004</v>
      </c>
      <c r="G6469" s="191">
        <v>2.78</v>
      </c>
      <c r="H6469" s="192">
        <v>26176.97</v>
      </c>
      <c r="I6469" s="192">
        <v>1598.04</v>
      </c>
      <c r="J6469" s="192">
        <v>24546.959999999999</v>
      </c>
      <c r="K6469" s="192">
        <v>31.97</v>
      </c>
      <c r="L6469" s="43">
        <v>5.3659585022774143</v>
      </c>
      <c r="M6469" s="43">
        <v>11.499999999999998</v>
      </c>
      <c r="N6469" s="43">
        <v>5.1824008782671109</v>
      </c>
      <c r="O6469" s="43">
        <v>11.5</v>
      </c>
      <c r="P6469" s="193"/>
      <c r="Q6469" s="193"/>
      <c r="R6469" s="193">
        <v>7</v>
      </c>
    </row>
    <row r="6470" spans="1:18" ht="36">
      <c r="A6470" s="189">
        <v>1290</v>
      </c>
      <c r="B6470" s="186" t="s">
        <v>11905</v>
      </c>
      <c r="C6470" s="190" t="s">
        <v>11906</v>
      </c>
      <c r="D6470" s="191">
        <v>8114.82</v>
      </c>
      <c r="E6470" s="191">
        <v>216.16</v>
      </c>
      <c r="F6470" s="191">
        <v>7894.34</v>
      </c>
      <c r="G6470" s="191">
        <v>4.32</v>
      </c>
      <c r="H6470" s="192">
        <v>43447.12</v>
      </c>
      <c r="I6470" s="192">
        <v>2485.84</v>
      </c>
      <c r="J6470" s="192">
        <v>40911.599999999999</v>
      </c>
      <c r="K6470" s="192">
        <v>49.68</v>
      </c>
      <c r="L6470" s="43">
        <v>5.3540460540098245</v>
      </c>
      <c r="M6470" s="43">
        <v>11.5</v>
      </c>
      <c r="N6470" s="43">
        <v>5.1823965017974905</v>
      </c>
      <c r="O6470" s="43">
        <v>11.5</v>
      </c>
      <c r="P6470" s="193"/>
      <c r="Q6470" s="193"/>
      <c r="R6470" s="193">
        <v>7</v>
      </c>
    </row>
    <row r="6471" spans="1:18" ht="36">
      <c r="A6471" s="189">
        <v>1291</v>
      </c>
      <c r="B6471" s="186" t="s">
        <v>11907</v>
      </c>
      <c r="C6471" s="190" t="s">
        <v>11908</v>
      </c>
      <c r="D6471" s="191">
        <v>11367.06</v>
      </c>
      <c r="E6471" s="191">
        <v>308.8</v>
      </c>
      <c r="F6471" s="191">
        <v>11052.08</v>
      </c>
      <c r="G6471" s="191">
        <v>6.18</v>
      </c>
      <c r="H6471" s="192">
        <v>60898.51</v>
      </c>
      <c r="I6471" s="192">
        <v>3551.2</v>
      </c>
      <c r="J6471" s="192">
        <v>57276.24</v>
      </c>
      <c r="K6471" s="192">
        <v>71.069999999999993</v>
      </c>
      <c r="L6471" s="43">
        <v>5.3574547860220676</v>
      </c>
      <c r="M6471" s="43">
        <v>11.499999999999998</v>
      </c>
      <c r="N6471" s="43">
        <v>5.1823946261699154</v>
      </c>
      <c r="O6471" s="43">
        <v>11.5</v>
      </c>
      <c r="P6471" s="193"/>
      <c r="Q6471" s="193"/>
      <c r="R6471" s="193">
        <v>7</v>
      </c>
    </row>
    <row r="6472" spans="1:18" ht="36">
      <c r="A6472" s="189">
        <v>1292</v>
      </c>
      <c r="B6472" s="186" t="s">
        <v>11909</v>
      </c>
      <c r="C6472" s="190" t="s">
        <v>11910</v>
      </c>
      <c r="D6472" s="191">
        <v>14619.28</v>
      </c>
      <c r="E6472" s="191">
        <v>401.44</v>
      </c>
      <c r="F6472" s="191">
        <v>14209.81</v>
      </c>
      <c r="G6472" s="191">
        <v>8.0299999999999994</v>
      </c>
      <c r="H6472" s="192">
        <v>78349.789999999994</v>
      </c>
      <c r="I6472" s="192">
        <v>4616.5600000000004</v>
      </c>
      <c r="J6472" s="192">
        <v>73640.88</v>
      </c>
      <c r="K6472" s="192">
        <v>92.35</v>
      </c>
      <c r="L6472" s="43">
        <v>5.3593466983326126</v>
      </c>
      <c r="M6472" s="43">
        <v>11.500000000000002</v>
      </c>
      <c r="N6472" s="43">
        <v>5.1823972312085811</v>
      </c>
      <c r="O6472" s="43">
        <v>11.500622665006226</v>
      </c>
      <c r="P6472" s="193"/>
      <c r="Q6472" s="193"/>
      <c r="R6472" s="193">
        <v>7</v>
      </c>
    </row>
    <row r="6473" spans="1:18" ht="36">
      <c r="A6473" s="189">
        <v>1293</v>
      </c>
      <c r="B6473" s="186" t="s">
        <v>11911</v>
      </c>
      <c r="C6473" s="190" t="s">
        <v>11912</v>
      </c>
      <c r="D6473" s="191">
        <v>17855.759999999998</v>
      </c>
      <c r="E6473" s="191">
        <v>478.64</v>
      </c>
      <c r="F6473" s="191">
        <v>17367.55</v>
      </c>
      <c r="G6473" s="191">
        <v>9.57</v>
      </c>
      <c r="H6473" s="192">
        <v>95619.94</v>
      </c>
      <c r="I6473" s="192">
        <v>5504.36</v>
      </c>
      <c r="J6473" s="192">
        <v>90005.52</v>
      </c>
      <c r="K6473" s="192">
        <v>110.06</v>
      </c>
      <c r="L6473" s="43">
        <v>5.3551313413710764</v>
      </c>
      <c r="M6473" s="43">
        <v>11.5</v>
      </c>
      <c r="N6473" s="43">
        <v>5.1823959050067518</v>
      </c>
      <c r="O6473" s="43">
        <v>11.500522466039707</v>
      </c>
      <c r="P6473" s="193"/>
      <c r="Q6473" s="193"/>
      <c r="R6473" s="193">
        <v>7</v>
      </c>
    </row>
    <row r="6474" spans="1:18" ht="36">
      <c r="A6474" s="189">
        <v>1294</v>
      </c>
      <c r="B6474" s="186" t="s">
        <v>11913</v>
      </c>
      <c r="C6474" s="190" t="s">
        <v>11914</v>
      </c>
      <c r="D6474" s="191">
        <v>21108</v>
      </c>
      <c r="E6474" s="191">
        <v>571.28</v>
      </c>
      <c r="F6474" s="191">
        <v>20525.29</v>
      </c>
      <c r="G6474" s="191">
        <v>11.43</v>
      </c>
      <c r="H6474" s="192">
        <v>113071.33</v>
      </c>
      <c r="I6474" s="192">
        <v>6569.72</v>
      </c>
      <c r="J6474" s="192">
        <v>106370.16</v>
      </c>
      <c r="K6474" s="192">
        <v>131.44999999999999</v>
      </c>
      <c r="L6474" s="43">
        <v>5.3567997915482284</v>
      </c>
      <c r="M6474" s="43">
        <v>11.500000000000002</v>
      </c>
      <c r="N6474" s="43">
        <v>5.1823949868674202</v>
      </c>
      <c r="O6474" s="43">
        <v>11.500437445319335</v>
      </c>
      <c r="P6474" s="193"/>
      <c r="Q6474" s="193"/>
      <c r="R6474" s="193">
        <v>7</v>
      </c>
    </row>
    <row r="6475" spans="1:18" ht="36">
      <c r="A6475" s="189">
        <v>1295</v>
      </c>
      <c r="B6475" s="186" t="s">
        <v>11915</v>
      </c>
      <c r="C6475" s="190" t="s">
        <v>11916</v>
      </c>
      <c r="D6475" s="191">
        <v>27596.7</v>
      </c>
      <c r="E6475" s="191">
        <v>741.12</v>
      </c>
      <c r="F6475" s="191">
        <v>26840.76</v>
      </c>
      <c r="G6475" s="191">
        <v>14.82</v>
      </c>
      <c r="H6475" s="192">
        <v>147792.76</v>
      </c>
      <c r="I6475" s="192">
        <v>8522.8799999999992</v>
      </c>
      <c r="J6475" s="192">
        <v>139099.45000000001</v>
      </c>
      <c r="K6475" s="192">
        <v>170.43</v>
      </c>
      <c r="L6475" s="43">
        <v>5.3554504705272734</v>
      </c>
      <c r="M6475" s="43">
        <v>11.499999999999998</v>
      </c>
      <c r="N6475" s="43">
        <v>5.1823961020477816</v>
      </c>
      <c r="O6475" s="43">
        <v>11.5</v>
      </c>
      <c r="P6475" s="193"/>
      <c r="Q6475" s="193"/>
      <c r="R6475" s="193">
        <v>7</v>
      </c>
    </row>
    <row r="6476" spans="1:18" ht="36">
      <c r="A6476" s="189">
        <v>1296</v>
      </c>
      <c r="B6476" s="186" t="s">
        <v>11917</v>
      </c>
      <c r="C6476" s="190" t="s">
        <v>11918</v>
      </c>
      <c r="D6476" s="191">
        <v>40589.870000000003</v>
      </c>
      <c r="E6476" s="191">
        <v>1096.24</v>
      </c>
      <c r="F6476" s="191">
        <v>39471.71</v>
      </c>
      <c r="G6476" s="191">
        <v>21.92</v>
      </c>
      <c r="H6476" s="192">
        <v>217416.85</v>
      </c>
      <c r="I6476" s="192">
        <v>12606.76</v>
      </c>
      <c r="J6476" s="192">
        <v>204558.01</v>
      </c>
      <c r="K6476" s="192">
        <v>252.08</v>
      </c>
      <c r="L6476" s="43">
        <v>5.3564312967742937</v>
      </c>
      <c r="M6476" s="43">
        <v>11.5</v>
      </c>
      <c r="N6476" s="43">
        <v>5.1823954422040499</v>
      </c>
      <c r="O6476" s="43">
        <v>11.5</v>
      </c>
      <c r="P6476" s="193"/>
      <c r="Q6476" s="193"/>
      <c r="R6476" s="193">
        <v>7</v>
      </c>
    </row>
    <row r="6477" spans="1:18" ht="12.75" customHeight="1">
      <c r="A6477" s="628" t="s">
        <v>11919</v>
      </c>
      <c r="B6477" s="629"/>
      <c r="C6477" s="629"/>
      <c r="D6477" s="629"/>
      <c r="E6477" s="629"/>
      <c r="F6477" s="629"/>
      <c r="G6477" s="629"/>
      <c r="H6477" s="629"/>
      <c r="I6477" s="629"/>
      <c r="J6477" s="629"/>
      <c r="K6477" s="629"/>
      <c r="L6477" s="629"/>
      <c r="M6477" s="629"/>
      <c r="N6477" s="629"/>
      <c r="O6477" s="629"/>
      <c r="P6477" s="629"/>
      <c r="Q6477" s="629"/>
      <c r="R6477" s="629"/>
    </row>
    <row r="6478" spans="1:18" ht="36">
      <c r="A6478" s="189">
        <v>1297</v>
      </c>
      <c r="B6478" s="186" t="s">
        <v>11920</v>
      </c>
      <c r="C6478" s="190" t="s">
        <v>11921</v>
      </c>
      <c r="D6478" s="191">
        <v>1827.42</v>
      </c>
      <c r="E6478" s="191">
        <v>315.7</v>
      </c>
      <c r="F6478" s="191">
        <v>1501.45</v>
      </c>
      <c r="G6478" s="191">
        <v>10.27</v>
      </c>
      <c r="H6478" s="192">
        <v>12116.94</v>
      </c>
      <c r="I6478" s="192">
        <v>3630.66</v>
      </c>
      <c r="J6478" s="192">
        <v>8401.23</v>
      </c>
      <c r="K6478" s="192">
        <v>85.05</v>
      </c>
      <c r="L6478" s="43">
        <v>6.6306267853038712</v>
      </c>
      <c r="M6478" s="43">
        <v>11.500348432055748</v>
      </c>
      <c r="N6478" s="43">
        <v>5.5954111026008189</v>
      </c>
      <c r="O6478" s="43">
        <v>8.2814021421616353</v>
      </c>
      <c r="P6478" s="193"/>
      <c r="Q6478" s="193"/>
      <c r="R6478" s="193">
        <v>8</v>
      </c>
    </row>
    <row r="6479" spans="1:18" ht="36">
      <c r="A6479" s="189">
        <v>1298</v>
      </c>
      <c r="B6479" s="186" t="s">
        <v>11922</v>
      </c>
      <c r="C6479" s="190" t="s">
        <v>11923</v>
      </c>
      <c r="D6479" s="191">
        <v>2745.35</v>
      </c>
      <c r="E6479" s="191">
        <v>487.9</v>
      </c>
      <c r="F6479" s="191">
        <v>2240.04</v>
      </c>
      <c r="G6479" s="191">
        <v>17.41</v>
      </c>
      <c r="H6479" s="192">
        <v>18279.740000000002</v>
      </c>
      <c r="I6479" s="192">
        <v>5611.02</v>
      </c>
      <c r="J6479" s="192">
        <v>12533.97</v>
      </c>
      <c r="K6479" s="192">
        <v>134.75</v>
      </c>
      <c r="L6479" s="43">
        <v>6.6584369934616721</v>
      </c>
      <c r="M6479" s="43">
        <v>11.50034843205575</v>
      </c>
      <c r="N6479" s="43">
        <v>5.595422403171372</v>
      </c>
      <c r="O6479" s="43">
        <v>7.7398047099368181</v>
      </c>
      <c r="P6479" s="193"/>
      <c r="Q6479" s="193"/>
      <c r="R6479" s="193">
        <v>8</v>
      </c>
    </row>
    <row r="6480" spans="1:18" ht="36">
      <c r="A6480" s="189">
        <v>1299</v>
      </c>
      <c r="B6480" s="186" t="s">
        <v>11924</v>
      </c>
      <c r="C6480" s="190" t="s">
        <v>11925</v>
      </c>
      <c r="D6480" s="191">
        <v>3634.02</v>
      </c>
      <c r="E6480" s="191">
        <v>631.4</v>
      </c>
      <c r="F6480" s="191">
        <v>2978.64</v>
      </c>
      <c r="G6480" s="191">
        <v>23.98</v>
      </c>
      <c r="H6480" s="192">
        <v>24105.83</v>
      </c>
      <c r="I6480" s="192">
        <v>7261.32</v>
      </c>
      <c r="J6480" s="192">
        <v>16666.72</v>
      </c>
      <c r="K6480" s="192">
        <v>177.79</v>
      </c>
      <c r="L6480" s="43">
        <v>6.6333784624190297</v>
      </c>
      <c r="M6480" s="43">
        <v>11.500348432055748</v>
      </c>
      <c r="N6480" s="43">
        <v>5.5954126715548043</v>
      </c>
      <c r="O6480" s="43">
        <v>7.4140950792326938</v>
      </c>
      <c r="P6480" s="193"/>
      <c r="Q6480" s="193"/>
      <c r="R6480" s="193">
        <v>8</v>
      </c>
    </row>
    <row r="6481" spans="1:18" ht="36">
      <c r="A6481" s="189">
        <v>1300</v>
      </c>
      <c r="B6481" s="186" t="s">
        <v>11926</v>
      </c>
      <c r="C6481" s="190" t="s">
        <v>11927</v>
      </c>
      <c r="D6481" s="191">
        <v>4537.3100000000004</v>
      </c>
      <c r="E6481" s="191">
        <v>789.25</v>
      </c>
      <c r="F6481" s="191">
        <v>3717.23</v>
      </c>
      <c r="G6481" s="191">
        <v>30.83</v>
      </c>
      <c r="H6481" s="192">
        <v>30100.28</v>
      </c>
      <c r="I6481" s="192">
        <v>9076.65</v>
      </c>
      <c r="J6481" s="192">
        <v>20799.46</v>
      </c>
      <c r="K6481" s="192">
        <v>224.17</v>
      </c>
      <c r="L6481" s="43">
        <v>6.6339483085793116</v>
      </c>
      <c r="M6481" s="43">
        <v>11.500348432055748</v>
      </c>
      <c r="N6481" s="43">
        <v>5.5954191696505191</v>
      </c>
      <c r="O6481" s="43">
        <v>7.2711644502108337</v>
      </c>
      <c r="P6481" s="193"/>
      <c r="Q6481" s="193"/>
      <c r="R6481" s="193">
        <v>8</v>
      </c>
    </row>
    <row r="6482" spans="1:18" ht="36">
      <c r="A6482" s="189">
        <v>1301</v>
      </c>
      <c r="B6482" s="186" t="s">
        <v>11928</v>
      </c>
      <c r="C6482" s="190" t="s">
        <v>11929</v>
      </c>
      <c r="D6482" s="191">
        <v>5440.61</v>
      </c>
      <c r="E6482" s="191">
        <v>947.1</v>
      </c>
      <c r="F6482" s="191">
        <v>4455.83</v>
      </c>
      <c r="G6482" s="191">
        <v>37.68</v>
      </c>
      <c r="H6482" s="192">
        <v>36094.6</v>
      </c>
      <c r="I6482" s="192">
        <v>10891.98</v>
      </c>
      <c r="J6482" s="192">
        <v>24932.2</v>
      </c>
      <c r="K6482" s="192">
        <v>270.42</v>
      </c>
      <c r="L6482" s="43">
        <v>6.6342928458389778</v>
      </c>
      <c r="M6482" s="43">
        <v>11.500348432055748</v>
      </c>
      <c r="N6482" s="43">
        <v>5.5954109559835095</v>
      </c>
      <c r="O6482" s="43">
        <v>7.1767515923566885</v>
      </c>
      <c r="P6482" s="193"/>
      <c r="Q6482" s="193"/>
      <c r="R6482" s="193">
        <v>8</v>
      </c>
    </row>
    <row r="6483" spans="1:18" ht="36">
      <c r="A6483" s="189">
        <v>1302</v>
      </c>
      <c r="B6483" s="186" t="s">
        <v>11930</v>
      </c>
      <c r="C6483" s="190" t="s">
        <v>11931</v>
      </c>
      <c r="D6483" s="191">
        <v>6345.26</v>
      </c>
      <c r="E6483" s="191">
        <v>1104.95</v>
      </c>
      <c r="F6483" s="191">
        <v>5195.7700000000004</v>
      </c>
      <c r="G6483" s="191">
        <v>44.54</v>
      </c>
      <c r="H6483" s="192">
        <v>42096.58</v>
      </c>
      <c r="I6483" s="192">
        <v>12707.31</v>
      </c>
      <c r="J6483" s="192">
        <v>29072.48</v>
      </c>
      <c r="K6483" s="192">
        <v>316.79000000000002</v>
      </c>
      <c r="L6483" s="43">
        <v>6.6343349208700673</v>
      </c>
      <c r="M6483" s="43">
        <v>11.500348432055748</v>
      </c>
      <c r="N6483" s="43">
        <v>5.595413191884937</v>
      </c>
      <c r="O6483" s="43">
        <v>7.1124831612034134</v>
      </c>
      <c r="P6483" s="193"/>
      <c r="Q6483" s="193"/>
      <c r="R6483" s="193">
        <v>8</v>
      </c>
    </row>
    <row r="6484" spans="1:18" ht="36">
      <c r="A6484" s="189">
        <v>1303</v>
      </c>
      <c r="B6484" s="186" t="s">
        <v>11932</v>
      </c>
      <c r="C6484" s="190" t="s">
        <v>11933</v>
      </c>
      <c r="D6484" s="191">
        <v>8151.85</v>
      </c>
      <c r="E6484" s="191">
        <v>1420.65</v>
      </c>
      <c r="F6484" s="191">
        <v>6672.96</v>
      </c>
      <c r="G6484" s="191">
        <v>58.24</v>
      </c>
      <c r="H6484" s="192">
        <v>54085.36</v>
      </c>
      <c r="I6484" s="192">
        <v>16337.97</v>
      </c>
      <c r="J6484" s="192">
        <v>37337.97</v>
      </c>
      <c r="K6484" s="192">
        <v>409.42</v>
      </c>
      <c r="L6484" s="43">
        <v>6.6347344467820184</v>
      </c>
      <c r="M6484" s="43">
        <v>11.500348432055748</v>
      </c>
      <c r="N6484" s="43">
        <v>5.5954134297223419</v>
      </c>
      <c r="O6484" s="43">
        <v>7.0298763736263741</v>
      </c>
      <c r="P6484" s="193"/>
      <c r="Q6484" s="193"/>
      <c r="R6484" s="193">
        <v>8</v>
      </c>
    </row>
    <row r="6485" spans="1:18" ht="36">
      <c r="A6485" s="189">
        <v>1304</v>
      </c>
      <c r="B6485" s="186" t="s">
        <v>11934</v>
      </c>
      <c r="C6485" s="190" t="s">
        <v>11935</v>
      </c>
      <c r="D6485" s="191">
        <v>11765.04</v>
      </c>
      <c r="E6485" s="191">
        <v>2052.0500000000002</v>
      </c>
      <c r="F6485" s="191">
        <v>9627.34</v>
      </c>
      <c r="G6485" s="191">
        <v>85.65</v>
      </c>
      <c r="H6485" s="192">
        <v>78063.009999999995</v>
      </c>
      <c r="I6485" s="192">
        <v>23599.29</v>
      </c>
      <c r="J6485" s="192">
        <v>53868.93</v>
      </c>
      <c r="K6485" s="192">
        <v>594.79</v>
      </c>
      <c r="L6485" s="43">
        <v>6.6351674112455195</v>
      </c>
      <c r="M6485" s="43">
        <v>11.500348432055748</v>
      </c>
      <c r="N6485" s="43">
        <v>5.5954116090218067</v>
      </c>
      <c r="O6485" s="43">
        <v>6.9444249854057203</v>
      </c>
      <c r="P6485" s="193"/>
      <c r="Q6485" s="193"/>
      <c r="R6485" s="193">
        <v>8</v>
      </c>
    </row>
    <row r="6486" spans="1:18" ht="36">
      <c r="A6486" s="189">
        <v>1305</v>
      </c>
      <c r="B6486" s="186" t="s">
        <v>11936</v>
      </c>
      <c r="C6486" s="190" t="s">
        <v>11937</v>
      </c>
      <c r="D6486" s="191">
        <v>1979.35</v>
      </c>
      <c r="E6486" s="191">
        <v>344.4</v>
      </c>
      <c r="F6486" s="191">
        <v>1624.1</v>
      </c>
      <c r="G6486" s="191">
        <v>10.85</v>
      </c>
      <c r="H6486" s="192">
        <v>13139.95</v>
      </c>
      <c r="I6486" s="192">
        <v>3960.72</v>
      </c>
      <c r="J6486" s="192">
        <v>9087.51</v>
      </c>
      <c r="K6486" s="192">
        <v>91.72</v>
      </c>
      <c r="L6486" s="43">
        <v>6.638517695202971</v>
      </c>
      <c r="M6486" s="43">
        <v>11.50034843205575</v>
      </c>
      <c r="N6486" s="43">
        <v>5.5954128440366979</v>
      </c>
      <c r="O6486" s="43">
        <v>8.4534562211981576</v>
      </c>
      <c r="P6486" s="193"/>
      <c r="Q6486" s="193"/>
      <c r="R6486" s="193">
        <v>8</v>
      </c>
    </row>
    <row r="6487" spans="1:18" ht="36">
      <c r="A6487" s="189">
        <v>1306</v>
      </c>
      <c r="B6487" s="186" t="s">
        <v>11938</v>
      </c>
      <c r="C6487" s="190" t="s">
        <v>11939</v>
      </c>
      <c r="D6487" s="191">
        <v>2979.49</v>
      </c>
      <c r="E6487" s="191">
        <v>516.6</v>
      </c>
      <c r="F6487" s="191">
        <v>2444.91</v>
      </c>
      <c r="G6487" s="191">
        <v>17.98</v>
      </c>
      <c r="H6487" s="192">
        <v>19762.669999999998</v>
      </c>
      <c r="I6487" s="192">
        <v>5941.08</v>
      </c>
      <c r="J6487" s="192">
        <v>13680.28</v>
      </c>
      <c r="K6487" s="192">
        <v>141.31</v>
      </c>
      <c r="L6487" s="43">
        <v>6.6329036177332359</v>
      </c>
      <c r="M6487" s="43">
        <v>11.500348432055748</v>
      </c>
      <c r="N6487" s="43">
        <v>5.5954125100719461</v>
      </c>
      <c r="O6487" s="43">
        <v>7.8592880978865409</v>
      </c>
      <c r="P6487" s="193"/>
      <c r="Q6487" s="193"/>
      <c r="R6487" s="193">
        <v>8</v>
      </c>
    </row>
    <row r="6488" spans="1:18" ht="36">
      <c r="A6488" s="189">
        <v>1307</v>
      </c>
      <c r="B6488" s="186" t="s">
        <v>11940</v>
      </c>
      <c r="C6488" s="190" t="s">
        <v>11941</v>
      </c>
      <c r="D6488" s="191">
        <v>3979.65</v>
      </c>
      <c r="E6488" s="191">
        <v>688.8</v>
      </c>
      <c r="F6488" s="191">
        <v>3265.72</v>
      </c>
      <c r="G6488" s="191">
        <v>25.13</v>
      </c>
      <c r="H6488" s="192">
        <v>26385.5</v>
      </c>
      <c r="I6488" s="192">
        <v>7921.44</v>
      </c>
      <c r="J6488" s="192">
        <v>18273.05</v>
      </c>
      <c r="K6488" s="192">
        <v>191.01</v>
      </c>
      <c r="L6488" s="43">
        <v>6.6301056625582646</v>
      </c>
      <c r="M6488" s="43">
        <v>11.50034843205575</v>
      </c>
      <c r="N6488" s="43">
        <v>5.5954123439853998</v>
      </c>
      <c r="O6488" s="43">
        <v>7.600875447672105</v>
      </c>
      <c r="P6488" s="193"/>
      <c r="Q6488" s="193"/>
      <c r="R6488" s="193">
        <v>8</v>
      </c>
    </row>
    <row r="6489" spans="1:18" ht="36">
      <c r="A6489" s="189">
        <v>1308</v>
      </c>
      <c r="B6489" s="186" t="s">
        <v>11942</v>
      </c>
      <c r="C6489" s="190" t="s">
        <v>11943</v>
      </c>
      <c r="D6489" s="191">
        <v>4979.79</v>
      </c>
      <c r="E6489" s="191">
        <v>861</v>
      </c>
      <c r="F6489" s="191">
        <v>4086.53</v>
      </c>
      <c r="G6489" s="191">
        <v>32.26</v>
      </c>
      <c r="H6489" s="192">
        <v>33008.239999999998</v>
      </c>
      <c r="I6489" s="192">
        <v>9901.7999999999993</v>
      </c>
      <c r="J6489" s="192">
        <v>22865.83</v>
      </c>
      <c r="K6489" s="192">
        <v>240.61</v>
      </c>
      <c r="L6489" s="43">
        <v>6.6284401551069418</v>
      </c>
      <c r="M6489" s="43">
        <v>11.500348432055748</v>
      </c>
      <c r="N6489" s="43">
        <v>5.5954146916821852</v>
      </c>
      <c r="O6489" s="43">
        <v>7.4584624922504661</v>
      </c>
      <c r="P6489" s="193"/>
      <c r="Q6489" s="193"/>
      <c r="R6489" s="193">
        <v>8</v>
      </c>
    </row>
    <row r="6490" spans="1:18" ht="36">
      <c r="A6490" s="189">
        <v>1309</v>
      </c>
      <c r="B6490" s="186" t="s">
        <v>11944</v>
      </c>
      <c r="C6490" s="190" t="s">
        <v>11945</v>
      </c>
      <c r="D6490" s="191">
        <v>5994.58</v>
      </c>
      <c r="E6490" s="191">
        <v>1047.55</v>
      </c>
      <c r="F6490" s="191">
        <v>4907.34</v>
      </c>
      <c r="G6490" s="191">
        <v>39.69</v>
      </c>
      <c r="H6490" s="192">
        <v>39799.33</v>
      </c>
      <c r="I6490" s="192">
        <v>12047.19</v>
      </c>
      <c r="J6490" s="192">
        <v>27458.6</v>
      </c>
      <c r="K6490" s="192">
        <v>293.54000000000002</v>
      </c>
      <c r="L6490" s="43">
        <v>6.6392190945821064</v>
      </c>
      <c r="M6490" s="43">
        <v>11.50034843205575</v>
      </c>
      <c r="N6490" s="43">
        <v>5.5954142162556488</v>
      </c>
      <c r="O6490" s="43">
        <v>7.3958175862937781</v>
      </c>
      <c r="P6490" s="193"/>
      <c r="Q6490" s="193"/>
      <c r="R6490" s="193">
        <v>8</v>
      </c>
    </row>
    <row r="6491" spans="1:18" ht="36">
      <c r="A6491" s="189">
        <v>1310</v>
      </c>
      <c r="B6491" s="186" t="s">
        <v>11946</v>
      </c>
      <c r="C6491" s="190" t="s">
        <v>11947</v>
      </c>
      <c r="D6491" s="191">
        <v>6994.74</v>
      </c>
      <c r="E6491" s="191">
        <v>1219.75</v>
      </c>
      <c r="F6491" s="191">
        <v>5728.15</v>
      </c>
      <c r="G6491" s="191">
        <v>46.84</v>
      </c>
      <c r="H6491" s="192">
        <v>46422.17</v>
      </c>
      <c r="I6491" s="192">
        <v>14027.55</v>
      </c>
      <c r="J6491" s="192">
        <v>32051.38</v>
      </c>
      <c r="K6491" s="192">
        <v>343.24</v>
      </c>
      <c r="L6491" s="43">
        <v>6.6367255966626351</v>
      </c>
      <c r="M6491" s="43">
        <v>11.500348432055748</v>
      </c>
      <c r="N6491" s="43">
        <v>5.5954156228450724</v>
      </c>
      <c r="O6491" s="43">
        <v>7.3279248505550809</v>
      </c>
      <c r="P6491" s="193"/>
      <c r="Q6491" s="193"/>
      <c r="R6491" s="193">
        <v>8</v>
      </c>
    </row>
    <row r="6492" spans="1:18" ht="36">
      <c r="A6492" s="189">
        <v>1311</v>
      </c>
      <c r="B6492" s="186" t="s">
        <v>11948</v>
      </c>
      <c r="C6492" s="190" t="s">
        <v>11949</v>
      </c>
      <c r="D6492" s="191">
        <v>8995.0300000000007</v>
      </c>
      <c r="E6492" s="191">
        <v>1564.15</v>
      </c>
      <c r="F6492" s="191">
        <v>7369.77</v>
      </c>
      <c r="G6492" s="191">
        <v>61.11</v>
      </c>
      <c r="H6492" s="192">
        <v>59667.61</v>
      </c>
      <c r="I6492" s="192">
        <v>17988.27</v>
      </c>
      <c r="J6492" s="192">
        <v>41236.92</v>
      </c>
      <c r="K6492" s="192">
        <v>442.42</v>
      </c>
      <c r="L6492" s="43">
        <v>6.6333975539825873</v>
      </c>
      <c r="M6492" s="43">
        <v>11.500348432055748</v>
      </c>
      <c r="N6492" s="43">
        <v>5.5954147822795006</v>
      </c>
      <c r="O6492" s="43">
        <v>7.2397316314842088</v>
      </c>
      <c r="P6492" s="193"/>
      <c r="Q6492" s="193"/>
      <c r="R6492" s="193">
        <v>8</v>
      </c>
    </row>
    <row r="6493" spans="1:18" ht="36">
      <c r="A6493" s="189">
        <v>1312</v>
      </c>
      <c r="B6493" s="186" t="s">
        <v>11950</v>
      </c>
      <c r="C6493" s="190" t="s">
        <v>11951</v>
      </c>
      <c r="D6493" s="191">
        <v>13010.27</v>
      </c>
      <c r="E6493" s="191">
        <v>2267.3000000000002</v>
      </c>
      <c r="F6493" s="191">
        <v>10653.01</v>
      </c>
      <c r="G6493" s="191">
        <v>89.96</v>
      </c>
      <c r="H6493" s="192">
        <v>86327.12</v>
      </c>
      <c r="I6493" s="192">
        <v>26074.74</v>
      </c>
      <c r="J6493" s="192">
        <v>59608.02</v>
      </c>
      <c r="K6493" s="192">
        <v>644.36</v>
      </c>
      <c r="L6493" s="43">
        <v>6.6353058007251189</v>
      </c>
      <c r="M6493" s="43">
        <v>11.500348432055748</v>
      </c>
      <c r="N6493" s="43">
        <v>5.5954157557347637</v>
      </c>
      <c r="O6493" s="43">
        <v>7.1627389951089375</v>
      </c>
      <c r="P6493" s="193"/>
      <c r="Q6493" s="193"/>
      <c r="R6493" s="193">
        <v>8</v>
      </c>
    </row>
    <row r="6494" spans="1:18" ht="21.75" customHeight="1">
      <c r="A6494" s="628" t="s">
        <v>11952</v>
      </c>
      <c r="B6494" s="629"/>
      <c r="C6494" s="629"/>
      <c r="D6494" s="629"/>
      <c r="E6494" s="629"/>
      <c r="F6494" s="629"/>
      <c r="G6494" s="629"/>
      <c r="H6494" s="629"/>
      <c r="I6494" s="629"/>
      <c r="J6494" s="629"/>
      <c r="K6494" s="629"/>
      <c r="L6494" s="629"/>
      <c r="M6494" s="629"/>
      <c r="N6494" s="629"/>
      <c r="O6494" s="629"/>
      <c r="P6494" s="629"/>
      <c r="Q6494" s="629"/>
      <c r="R6494" s="629"/>
    </row>
    <row r="6495" spans="1:18" ht="24">
      <c r="A6495" s="189">
        <v>1313</v>
      </c>
      <c r="B6495" s="186" t="s">
        <v>11953</v>
      </c>
      <c r="C6495" s="190" t="s">
        <v>11954</v>
      </c>
      <c r="D6495" s="191">
        <v>6275.47</v>
      </c>
      <c r="E6495" s="191">
        <v>1020.25</v>
      </c>
      <c r="F6495" s="191">
        <v>5234.8100000000004</v>
      </c>
      <c r="G6495" s="191">
        <v>20.41</v>
      </c>
      <c r="H6495" s="192">
        <v>40518.01</v>
      </c>
      <c r="I6495" s="192">
        <v>11733.26</v>
      </c>
      <c r="J6495" s="192">
        <v>28550.03</v>
      </c>
      <c r="K6495" s="192">
        <v>234.72</v>
      </c>
      <c r="L6495" s="43">
        <v>6.4565697868048133</v>
      </c>
      <c r="M6495" s="43">
        <v>11.500377358490566</v>
      </c>
      <c r="N6495" s="43">
        <v>5.4538808476334379</v>
      </c>
      <c r="O6495" s="43">
        <v>11.500244977951985</v>
      </c>
      <c r="P6495" s="193"/>
      <c r="Q6495" s="193"/>
      <c r="R6495" s="193">
        <v>9</v>
      </c>
    </row>
    <row r="6496" spans="1:18" ht="24">
      <c r="A6496" s="189">
        <v>1314</v>
      </c>
      <c r="B6496" s="186" t="s">
        <v>11955</v>
      </c>
      <c r="C6496" s="190" t="s">
        <v>11956</v>
      </c>
      <c r="D6496" s="191">
        <v>399.39</v>
      </c>
      <c r="E6496" s="191">
        <v>159</v>
      </c>
      <c r="F6496" s="191">
        <v>237.21</v>
      </c>
      <c r="G6496" s="191">
        <v>3.18</v>
      </c>
      <c r="H6496" s="192">
        <v>3192.43</v>
      </c>
      <c r="I6496" s="192">
        <v>1828.56</v>
      </c>
      <c r="J6496" s="192">
        <v>1327.3</v>
      </c>
      <c r="K6496" s="192">
        <v>36.57</v>
      </c>
      <c r="L6496" s="43">
        <v>7.993264728711285</v>
      </c>
      <c r="M6496" s="43">
        <v>11.500377358490566</v>
      </c>
      <c r="N6496" s="43">
        <v>5.5954639349099953</v>
      </c>
      <c r="O6496" s="43">
        <v>11.5</v>
      </c>
      <c r="P6496" s="193"/>
      <c r="Q6496" s="193"/>
      <c r="R6496" s="193">
        <v>9</v>
      </c>
    </row>
    <row r="6497" spans="1:18" ht="24">
      <c r="A6497" s="189">
        <v>1315</v>
      </c>
      <c r="B6497" s="186" t="s">
        <v>11957</v>
      </c>
      <c r="C6497" s="190" t="s">
        <v>11958</v>
      </c>
      <c r="D6497" s="191">
        <v>835.6</v>
      </c>
      <c r="E6497" s="191">
        <v>92.75</v>
      </c>
      <c r="F6497" s="191">
        <v>740.99</v>
      </c>
      <c r="G6497" s="191">
        <v>1.86</v>
      </c>
      <c r="H6497" s="192">
        <v>5264.17</v>
      </c>
      <c r="I6497" s="192">
        <v>1066.6600000000001</v>
      </c>
      <c r="J6497" s="192">
        <v>4176.12</v>
      </c>
      <c r="K6497" s="192">
        <v>21.39</v>
      </c>
      <c r="L6497" s="43">
        <v>6.2998683580660604</v>
      </c>
      <c r="M6497" s="43">
        <v>11.500377358490567</v>
      </c>
      <c r="N6497" s="43">
        <v>5.6358655312487347</v>
      </c>
      <c r="O6497" s="43">
        <v>11.5</v>
      </c>
      <c r="P6497" s="193"/>
      <c r="Q6497" s="193"/>
      <c r="R6497" s="193">
        <v>9</v>
      </c>
    </row>
    <row r="6498" spans="1:18" ht="12.75" customHeight="1">
      <c r="A6498" s="628" t="s">
        <v>11959</v>
      </c>
      <c r="B6498" s="629"/>
      <c r="C6498" s="629"/>
      <c r="D6498" s="629"/>
      <c r="E6498" s="629"/>
      <c r="F6498" s="629"/>
      <c r="G6498" s="629"/>
      <c r="H6498" s="629"/>
      <c r="I6498" s="629"/>
      <c r="J6498" s="629"/>
      <c r="K6498" s="629"/>
      <c r="L6498" s="629"/>
      <c r="M6498" s="629"/>
      <c r="N6498" s="629"/>
      <c r="O6498" s="629"/>
      <c r="P6498" s="629"/>
      <c r="Q6498" s="629"/>
      <c r="R6498" s="629"/>
    </row>
    <row r="6499" spans="1:18" ht="12.75" customHeight="1">
      <c r="A6499" s="628" t="s">
        <v>11960</v>
      </c>
      <c r="B6499" s="629"/>
      <c r="C6499" s="629"/>
      <c r="D6499" s="629"/>
      <c r="E6499" s="629"/>
      <c r="F6499" s="629"/>
      <c r="G6499" s="629"/>
      <c r="H6499" s="629"/>
      <c r="I6499" s="629"/>
      <c r="J6499" s="629"/>
      <c r="K6499" s="629"/>
      <c r="L6499" s="629"/>
      <c r="M6499" s="629"/>
      <c r="N6499" s="629"/>
      <c r="O6499" s="629"/>
      <c r="P6499" s="629"/>
      <c r="Q6499" s="629"/>
      <c r="R6499" s="629"/>
    </row>
    <row r="6500" spans="1:18" ht="24">
      <c r="A6500" s="189">
        <v>1316</v>
      </c>
      <c r="B6500" s="186" t="s">
        <v>11961</v>
      </c>
      <c r="C6500" s="190" t="s">
        <v>11962</v>
      </c>
      <c r="D6500" s="191">
        <v>1189.8800000000001</v>
      </c>
      <c r="E6500" s="191">
        <v>1166.55</v>
      </c>
      <c r="F6500" s="191"/>
      <c r="G6500" s="191">
        <v>23.33</v>
      </c>
      <c r="H6500" s="192">
        <v>13683.79</v>
      </c>
      <c r="I6500" s="192">
        <v>13415.49</v>
      </c>
      <c r="J6500" s="192"/>
      <c r="K6500" s="192">
        <v>268.3</v>
      </c>
      <c r="L6500" s="43">
        <v>11.500142871550072</v>
      </c>
      <c r="M6500" s="43">
        <v>11.5001414427157</v>
      </c>
      <c r="N6500" s="43" t="s">
        <v>1690</v>
      </c>
      <c r="O6500" s="43">
        <v>11.500214316330906</v>
      </c>
      <c r="P6500" s="193"/>
      <c r="Q6500" s="193"/>
      <c r="R6500" s="193">
        <v>1</v>
      </c>
    </row>
    <row r="6501" spans="1:18" ht="24">
      <c r="A6501" s="189">
        <v>1317</v>
      </c>
      <c r="B6501" s="186" t="s">
        <v>11963</v>
      </c>
      <c r="C6501" s="190" t="s">
        <v>11964</v>
      </c>
      <c r="D6501" s="191">
        <v>540.86</v>
      </c>
      <c r="E6501" s="191">
        <v>530.25</v>
      </c>
      <c r="F6501" s="191"/>
      <c r="G6501" s="191">
        <v>10.61</v>
      </c>
      <c r="H6501" s="192">
        <v>6219.97</v>
      </c>
      <c r="I6501" s="192">
        <v>6097.95</v>
      </c>
      <c r="J6501" s="192"/>
      <c r="K6501" s="192">
        <v>122.02</v>
      </c>
      <c r="L6501" s="43">
        <v>11.500147912583664</v>
      </c>
      <c r="M6501" s="43">
        <v>11.5001414427157</v>
      </c>
      <c r="N6501" s="43" t="s">
        <v>1690</v>
      </c>
      <c r="O6501" s="43">
        <v>11.500471253534402</v>
      </c>
      <c r="P6501" s="193"/>
      <c r="Q6501" s="193"/>
      <c r="R6501" s="193">
        <v>1</v>
      </c>
    </row>
    <row r="6502" spans="1:18" ht="36">
      <c r="A6502" s="189">
        <v>1318</v>
      </c>
      <c r="B6502" s="186" t="s">
        <v>11965</v>
      </c>
      <c r="C6502" s="190" t="s">
        <v>11966</v>
      </c>
      <c r="D6502" s="191">
        <v>919.46</v>
      </c>
      <c r="E6502" s="191">
        <v>901.43</v>
      </c>
      <c r="F6502" s="191"/>
      <c r="G6502" s="191">
        <v>18.03</v>
      </c>
      <c r="H6502" s="192">
        <v>10573.87</v>
      </c>
      <c r="I6502" s="192">
        <v>10366.52</v>
      </c>
      <c r="J6502" s="192"/>
      <c r="K6502" s="192">
        <v>207.35</v>
      </c>
      <c r="L6502" s="43">
        <v>11.500087007591413</v>
      </c>
      <c r="M6502" s="43">
        <v>11.500083201135974</v>
      </c>
      <c r="N6502" s="43" t="s">
        <v>1690</v>
      </c>
      <c r="O6502" s="43">
        <v>11.500277315585135</v>
      </c>
      <c r="P6502" s="193"/>
      <c r="Q6502" s="193"/>
      <c r="R6502" s="193">
        <v>1</v>
      </c>
    </row>
    <row r="6503" spans="1:18" ht="36">
      <c r="A6503" s="189">
        <v>1319</v>
      </c>
      <c r="B6503" s="186" t="s">
        <v>11967</v>
      </c>
      <c r="C6503" s="190" t="s">
        <v>11968</v>
      </c>
      <c r="D6503" s="191">
        <v>1207.9100000000001</v>
      </c>
      <c r="E6503" s="191">
        <v>1184.23</v>
      </c>
      <c r="F6503" s="191"/>
      <c r="G6503" s="191">
        <v>23.68</v>
      </c>
      <c r="H6503" s="192">
        <v>13891.08</v>
      </c>
      <c r="I6503" s="192">
        <v>13618.76</v>
      </c>
      <c r="J6503" s="192"/>
      <c r="K6503" s="192">
        <v>272.32</v>
      </c>
      <c r="L6503" s="43">
        <v>11.500095205768641</v>
      </c>
      <c r="M6503" s="43">
        <v>11.500097109514199</v>
      </c>
      <c r="N6503" s="43" t="s">
        <v>1690</v>
      </c>
      <c r="O6503" s="43">
        <v>11.5</v>
      </c>
      <c r="P6503" s="193"/>
      <c r="Q6503" s="193"/>
      <c r="R6503" s="193">
        <v>1</v>
      </c>
    </row>
    <row r="6504" spans="1:18" ht="36">
      <c r="A6504" s="189">
        <v>1320</v>
      </c>
      <c r="B6504" s="186" t="s">
        <v>11969</v>
      </c>
      <c r="C6504" s="190" t="s">
        <v>11970</v>
      </c>
      <c r="D6504" s="191">
        <v>3263.16</v>
      </c>
      <c r="E6504" s="191">
        <v>3199.18</v>
      </c>
      <c r="F6504" s="191"/>
      <c r="G6504" s="191">
        <v>63.98</v>
      </c>
      <c r="H6504" s="192">
        <v>37526.74</v>
      </c>
      <c r="I6504" s="192">
        <v>36790.97</v>
      </c>
      <c r="J6504" s="192"/>
      <c r="K6504" s="192">
        <v>735.77</v>
      </c>
      <c r="L6504" s="43">
        <v>11.500122580566076</v>
      </c>
      <c r="M6504" s="43">
        <v>11.500125032039461</v>
      </c>
      <c r="N6504" s="43" t="s">
        <v>1690</v>
      </c>
      <c r="O6504" s="43">
        <v>11.5</v>
      </c>
      <c r="P6504" s="193"/>
      <c r="Q6504" s="193"/>
      <c r="R6504" s="193">
        <v>1</v>
      </c>
    </row>
    <row r="6505" spans="1:18" ht="48">
      <c r="A6505" s="189">
        <v>1321</v>
      </c>
      <c r="B6505" s="186" t="s">
        <v>11971</v>
      </c>
      <c r="C6505" s="190" t="s">
        <v>11972</v>
      </c>
      <c r="D6505" s="191">
        <v>33995.79</v>
      </c>
      <c r="E6505" s="191">
        <v>9544.5</v>
      </c>
      <c r="F6505" s="191">
        <v>24260.400000000001</v>
      </c>
      <c r="G6505" s="191">
        <v>190.89</v>
      </c>
      <c r="H6505" s="192">
        <v>247705.34</v>
      </c>
      <c r="I6505" s="192">
        <v>109763.1</v>
      </c>
      <c r="J6505" s="192">
        <v>135747</v>
      </c>
      <c r="K6505" s="192">
        <v>2195.2399999999998</v>
      </c>
      <c r="L6505" s="43">
        <v>7.2863533984649269</v>
      </c>
      <c r="M6505" s="43">
        <v>11.500141442715702</v>
      </c>
      <c r="N6505" s="43">
        <v>5.5954147499629023</v>
      </c>
      <c r="O6505" s="43">
        <v>11.500026193095501</v>
      </c>
      <c r="P6505" s="193"/>
      <c r="Q6505" s="193"/>
      <c r="R6505" s="193">
        <v>1</v>
      </c>
    </row>
    <row r="6506" spans="1:18" ht="48">
      <c r="A6506" s="189">
        <v>1322</v>
      </c>
      <c r="B6506" s="186" t="s">
        <v>11973</v>
      </c>
      <c r="C6506" s="190" t="s">
        <v>11974</v>
      </c>
      <c r="D6506" s="191">
        <v>42305.87</v>
      </c>
      <c r="E6506" s="191">
        <v>11877.6</v>
      </c>
      <c r="F6506" s="191">
        <v>30190.720000000001</v>
      </c>
      <c r="G6506" s="191">
        <v>237.55</v>
      </c>
      <c r="H6506" s="192">
        <v>308255.51</v>
      </c>
      <c r="I6506" s="192">
        <v>136594.07999999999</v>
      </c>
      <c r="J6506" s="192">
        <v>168929.6</v>
      </c>
      <c r="K6506" s="192">
        <v>2731.83</v>
      </c>
      <c r="L6506" s="43">
        <v>7.286353170375647</v>
      </c>
      <c r="M6506" s="43">
        <v>11.500141442715698</v>
      </c>
      <c r="N6506" s="43">
        <v>5.5954147499629023</v>
      </c>
      <c r="O6506" s="43">
        <v>11.500021048200377</v>
      </c>
      <c r="P6506" s="193"/>
      <c r="Q6506" s="193"/>
      <c r="R6506" s="193">
        <v>1</v>
      </c>
    </row>
    <row r="6507" spans="1:18" ht="60">
      <c r="A6507" s="189">
        <v>1323</v>
      </c>
      <c r="B6507" s="186" t="s">
        <v>11975</v>
      </c>
      <c r="C6507" s="190" t="s">
        <v>11976</v>
      </c>
      <c r="D6507" s="191">
        <v>4441.76</v>
      </c>
      <c r="E6507" s="191">
        <v>919.1</v>
      </c>
      <c r="F6507" s="191">
        <v>3504.28</v>
      </c>
      <c r="G6507" s="191">
        <v>18.38</v>
      </c>
      <c r="H6507" s="192">
        <v>30389.05</v>
      </c>
      <c r="I6507" s="192">
        <v>10569.78</v>
      </c>
      <c r="J6507" s="192">
        <v>19607.900000000001</v>
      </c>
      <c r="K6507" s="192">
        <v>211.37</v>
      </c>
      <c r="L6507" s="43">
        <v>6.841668617845178</v>
      </c>
      <c r="M6507" s="43">
        <v>11.5001414427157</v>
      </c>
      <c r="N6507" s="43">
        <v>5.5954147499629023</v>
      </c>
      <c r="O6507" s="43">
        <v>11.5</v>
      </c>
      <c r="P6507" s="193"/>
      <c r="Q6507" s="193"/>
      <c r="R6507" s="193">
        <v>1</v>
      </c>
    </row>
    <row r="6508" spans="1:18" ht="60">
      <c r="A6508" s="189">
        <v>1324</v>
      </c>
      <c r="B6508" s="186" t="s">
        <v>11977</v>
      </c>
      <c r="C6508" s="190" t="s">
        <v>11978</v>
      </c>
      <c r="D6508" s="191">
        <v>5466.78</v>
      </c>
      <c r="E6508" s="191">
        <v>1131.2</v>
      </c>
      <c r="F6508" s="191">
        <v>4312.96</v>
      </c>
      <c r="G6508" s="191">
        <v>22.62</v>
      </c>
      <c r="H6508" s="192">
        <v>37401.89</v>
      </c>
      <c r="I6508" s="192">
        <v>13008.96</v>
      </c>
      <c r="J6508" s="192">
        <v>24132.799999999999</v>
      </c>
      <c r="K6508" s="192">
        <v>260.13</v>
      </c>
      <c r="L6508" s="43">
        <v>6.8416673068972962</v>
      </c>
      <c r="M6508" s="43">
        <v>11.500141442715698</v>
      </c>
      <c r="N6508" s="43">
        <v>5.5954147499629023</v>
      </c>
      <c r="O6508" s="43">
        <v>11.5</v>
      </c>
      <c r="P6508" s="193"/>
      <c r="Q6508" s="193"/>
      <c r="R6508" s="193">
        <v>1</v>
      </c>
    </row>
    <row r="6509" spans="1:18" ht="24">
      <c r="A6509" s="189">
        <v>1325</v>
      </c>
      <c r="B6509" s="186" t="s">
        <v>11979</v>
      </c>
      <c r="C6509" s="190" t="s">
        <v>11980</v>
      </c>
      <c r="D6509" s="191">
        <v>865.37</v>
      </c>
      <c r="E6509" s="191">
        <v>848.4</v>
      </c>
      <c r="F6509" s="191"/>
      <c r="G6509" s="191">
        <v>16.97</v>
      </c>
      <c r="H6509" s="192">
        <v>9951.8799999999992</v>
      </c>
      <c r="I6509" s="192">
        <v>9756.7199999999993</v>
      </c>
      <c r="J6509" s="192"/>
      <c r="K6509" s="192">
        <v>195.16</v>
      </c>
      <c r="L6509" s="43">
        <v>11.50014444688399</v>
      </c>
      <c r="M6509" s="43">
        <v>11.5001414427157</v>
      </c>
      <c r="N6509" s="43" t="s">
        <v>1690</v>
      </c>
      <c r="O6509" s="43">
        <v>11.500294637595758</v>
      </c>
      <c r="P6509" s="193"/>
      <c r="Q6509" s="193"/>
      <c r="R6509" s="193">
        <v>1</v>
      </c>
    </row>
    <row r="6510" spans="1:18" ht="24">
      <c r="A6510" s="189">
        <v>1326</v>
      </c>
      <c r="B6510" s="186" t="s">
        <v>11981</v>
      </c>
      <c r="C6510" s="190" t="s">
        <v>11982</v>
      </c>
      <c r="D6510" s="191">
        <v>72.11</v>
      </c>
      <c r="E6510" s="191">
        <v>70.7</v>
      </c>
      <c r="F6510" s="191"/>
      <c r="G6510" s="191">
        <v>1.41</v>
      </c>
      <c r="H6510" s="192">
        <v>829.28</v>
      </c>
      <c r="I6510" s="192">
        <v>813.06</v>
      </c>
      <c r="J6510" s="192"/>
      <c r="K6510" s="192">
        <v>16.22</v>
      </c>
      <c r="L6510" s="43">
        <v>11.500208015531825</v>
      </c>
      <c r="M6510" s="43">
        <v>11.500141442715698</v>
      </c>
      <c r="N6510" s="43" t="s">
        <v>1690</v>
      </c>
      <c r="O6510" s="43">
        <v>11.50354609929078</v>
      </c>
      <c r="P6510" s="193"/>
      <c r="Q6510" s="193"/>
      <c r="R6510" s="193">
        <v>1</v>
      </c>
    </row>
    <row r="6511" spans="1:18" ht="24">
      <c r="A6511" s="189">
        <v>1327</v>
      </c>
      <c r="B6511" s="186" t="s">
        <v>11983</v>
      </c>
      <c r="C6511" s="190" t="s">
        <v>11984</v>
      </c>
      <c r="D6511" s="191">
        <v>4110.5</v>
      </c>
      <c r="E6511" s="191">
        <v>4029.9</v>
      </c>
      <c r="F6511" s="191"/>
      <c r="G6511" s="191">
        <v>80.599999999999994</v>
      </c>
      <c r="H6511" s="192">
        <v>47271.32</v>
      </c>
      <c r="I6511" s="192">
        <v>46344.42</v>
      </c>
      <c r="J6511" s="192"/>
      <c r="K6511" s="192">
        <v>926.9</v>
      </c>
      <c r="L6511" s="43">
        <v>11.500138669261647</v>
      </c>
      <c r="M6511" s="43">
        <v>11.5001414427157</v>
      </c>
      <c r="N6511" s="43" t="s">
        <v>1690</v>
      </c>
      <c r="O6511" s="43">
        <v>11.5</v>
      </c>
      <c r="P6511" s="193"/>
      <c r="Q6511" s="193"/>
      <c r="R6511" s="193">
        <v>1</v>
      </c>
    </row>
    <row r="6512" spans="1:18" ht="24">
      <c r="A6512" s="189">
        <v>1328</v>
      </c>
      <c r="B6512" s="186" t="s">
        <v>11985</v>
      </c>
      <c r="C6512" s="190" t="s">
        <v>11986</v>
      </c>
      <c r="D6512" s="191">
        <v>432.68</v>
      </c>
      <c r="E6512" s="191">
        <v>424.2</v>
      </c>
      <c r="F6512" s="191"/>
      <c r="G6512" s="191">
        <v>8.48</v>
      </c>
      <c r="H6512" s="192">
        <v>4975.88</v>
      </c>
      <c r="I6512" s="192">
        <v>4878.3599999999997</v>
      </c>
      <c r="J6512" s="192"/>
      <c r="K6512" s="192">
        <v>97.52</v>
      </c>
      <c r="L6512" s="43">
        <v>11.500138670611076</v>
      </c>
      <c r="M6512" s="43">
        <v>11.5001414427157</v>
      </c>
      <c r="N6512" s="43" t="s">
        <v>1690</v>
      </c>
      <c r="O6512" s="43">
        <v>11.499999999999998</v>
      </c>
      <c r="P6512" s="193"/>
      <c r="Q6512" s="193"/>
      <c r="R6512" s="193">
        <v>1</v>
      </c>
    </row>
    <row r="6513" spans="1:18" ht="36">
      <c r="A6513" s="189">
        <v>1329</v>
      </c>
      <c r="B6513" s="186" t="s">
        <v>11987</v>
      </c>
      <c r="C6513" s="190" t="s">
        <v>11988</v>
      </c>
      <c r="D6513" s="191">
        <v>576.91</v>
      </c>
      <c r="E6513" s="191">
        <v>565.6</v>
      </c>
      <c r="F6513" s="191"/>
      <c r="G6513" s="191">
        <v>11.31</v>
      </c>
      <c r="H6513" s="192">
        <v>6634.55</v>
      </c>
      <c r="I6513" s="192">
        <v>6504.48</v>
      </c>
      <c r="J6513" s="192"/>
      <c r="K6513" s="192">
        <v>130.07</v>
      </c>
      <c r="L6513" s="43">
        <v>11.500147336672965</v>
      </c>
      <c r="M6513" s="43">
        <v>11.500141442715698</v>
      </c>
      <c r="N6513" s="43" t="s">
        <v>1690</v>
      </c>
      <c r="O6513" s="43">
        <v>11.500442086648983</v>
      </c>
      <c r="P6513" s="193"/>
      <c r="Q6513" s="193"/>
      <c r="R6513" s="193">
        <v>1</v>
      </c>
    </row>
    <row r="6514" spans="1:18" ht="36">
      <c r="A6514" s="189">
        <v>1330</v>
      </c>
      <c r="B6514" s="186" t="s">
        <v>11989</v>
      </c>
      <c r="C6514" s="190" t="s">
        <v>11990</v>
      </c>
      <c r="D6514" s="191">
        <v>360.57</v>
      </c>
      <c r="E6514" s="191">
        <v>353.5</v>
      </c>
      <c r="F6514" s="191"/>
      <c r="G6514" s="191">
        <v>7.07</v>
      </c>
      <c r="H6514" s="192">
        <v>4146.6099999999997</v>
      </c>
      <c r="I6514" s="192">
        <v>4065.3</v>
      </c>
      <c r="J6514" s="192"/>
      <c r="K6514" s="192">
        <v>81.31</v>
      </c>
      <c r="L6514" s="43">
        <v>11.500152536262028</v>
      </c>
      <c r="M6514" s="43">
        <v>11.5001414427157</v>
      </c>
      <c r="N6514" s="43" t="s">
        <v>1690</v>
      </c>
      <c r="O6514" s="43">
        <v>11.500707213578501</v>
      </c>
      <c r="P6514" s="193"/>
      <c r="Q6514" s="193"/>
      <c r="R6514" s="193">
        <v>1</v>
      </c>
    </row>
    <row r="6515" spans="1:18" ht="24">
      <c r="A6515" s="189">
        <v>1331</v>
      </c>
      <c r="B6515" s="186" t="s">
        <v>11991</v>
      </c>
      <c r="C6515" s="190" t="s">
        <v>11992</v>
      </c>
      <c r="D6515" s="191">
        <v>11679.68</v>
      </c>
      <c r="E6515" s="191">
        <v>5108.08</v>
      </c>
      <c r="F6515" s="191">
        <v>6469.44</v>
      </c>
      <c r="G6515" s="191">
        <v>102.16</v>
      </c>
      <c r="H6515" s="192">
        <v>96117.63</v>
      </c>
      <c r="I6515" s="192">
        <v>58743.59</v>
      </c>
      <c r="J6515" s="192">
        <v>36199.199999999997</v>
      </c>
      <c r="K6515" s="192">
        <v>1174.8399999999999</v>
      </c>
      <c r="L6515" s="43">
        <v>8.2294746088933941</v>
      </c>
      <c r="M6515" s="43">
        <v>11.500131164742916</v>
      </c>
      <c r="N6515" s="43">
        <v>5.5954147499629023</v>
      </c>
      <c r="O6515" s="43">
        <v>11.5</v>
      </c>
      <c r="P6515" s="193"/>
      <c r="Q6515" s="193"/>
      <c r="R6515" s="193">
        <v>1</v>
      </c>
    </row>
    <row r="6516" spans="1:18" ht="12.75" customHeight="1">
      <c r="A6516" s="628" t="s">
        <v>11993</v>
      </c>
      <c r="B6516" s="629"/>
      <c r="C6516" s="629"/>
      <c r="D6516" s="629"/>
      <c r="E6516" s="629"/>
      <c r="F6516" s="629"/>
      <c r="G6516" s="629"/>
      <c r="H6516" s="629"/>
      <c r="I6516" s="629"/>
      <c r="J6516" s="629"/>
      <c r="K6516" s="629"/>
      <c r="L6516" s="629"/>
      <c r="M6516" s="629"/>
      <c r="N6516" s="629"/>
      <c r="O6516" s="629"/>
      <c r="P6516" s="629"/>
      <c r="Q6516" s="629"/>
      <c r="R6516" s="629"/>
    </row>
    <row r="6517" spans="1:18" ht="12.75" customHeight="1">
      <c r="A6517" s="628" t="s">
        <v>11994</v>
      </c>
      <c r="B6517" s="629"/>
      <c r="C6517" s="629"/>
      <c r="D6517" s="629"/>
      <c r="E6517" s="629"/>
      <c r="F6517" s="629"/>
      <c r="G6517" s="629"/>
      <c r="H6517" s="629"/>
      <c r="I6517" s="629"/>
      <c r="J6517" s="629"/>
      <c r="K6517" s="629"/>
      <c r="L6517" s="629"/>
      <c r="M6517" s="629"/>
      <c r="N6517" s="629"/>
      <c r="O6517" s="629"/>
      <c r="P6517" s="629"/>
      <c r="Q6517" s="629"/>
      <c r="R6517" s="629"/>
    </row>
    <row r="6518" spans="1:18" ht="36">
      <c r="A6518" s="189">
        <v>1332</v>
      </c>
      <c r="B6518" s="186" t="s">
        <v>11995</v>
      </c>
      <c r="C6518" s="190" t="s">
        <v>11996</v>
      </c>
      <c r="D6518" s="191">
        <v>99.51</v>
      </c>
      <c r="E6518" s="191">
        <v>97.56</v>
      </c>
      <c r="F6518" s="191"/>
      <c r="G6518" s="191">
        <v>1.95</v>
      </c>
      <c r="H6518" s="192">
        <v>1144.3699999999999</v>
      </c>
      <c r="I6518" s="192">
        <v>1121.94</v>
      </c>
      <c r="J6518" s="192"/>
      <c r="K6518" s="192">
        <v>22.43</v>
      </c>
      <c r="L6518" s="43">
        <v>11.50005024620641</v>
      </c>
      <c r="M6518" s="43">
        <v>11.5</v>
      </c>
      <c r="N6518" s="43" t="s">
        <v>1690</v>
      </c>
      <c r="O6518" s="43">
        <v>11.502564102564103</v>
      </c>
      <c r="P6518" s="193"/>
      <c r="Q6518" s="193"/>
      <c r="R6518" s="193">
        <v>1</v>
      </c>
    </row>
    <row r="6519" spans="1:18" ht="12.75" customHeight="1">
      <c r="A6519" s="628" t="s">
        <v>11997</v>
      </c>
      <c r="B6519" s="629"/>
      <c r="C6519" s="629"/>
      <c r="D6519" s="629"/>
      <c r="E6519" s="629"/>
      <c r="F6519" s="629"/>
      <c r="G6519" s="629"/>
      <c r="H6519" s="629"/>
      <c r="I6519" s="629"/>
      <c r="J6519" s="629"/>
      <c r="K6519" s="629"/>
      <c r="L6519" s="629"/>
      <c r="M6519" s="629"/>
      <c r="N6519" s="629"/>
      <c r="O6519" s="629"/>
      <c r="P6519" s="629"/>
      <c r="Q6519" s="629"/>
      <c r="R6519" s="629"/>
    </row>
    <row r="6520" spans="1:18" ht="36">
      <c r="A6520" s="189">
        <v>1333</v>
      </c>
      <c r="B6520" s="186" t="s">
        <v>11998</v>
      </c>
      <c r="C6520" s="190" t="s">
        <v>11999</v>
      </c>
      <c r="D6520" s="191">
        <v>165.85</v>
      </c>
      <c r="E6520" s="191">
        <v>162.6</v>
      </c>
      <c r="F6520" s="191"/>
      <c r="G6520" s="191">
        <v>3.25</v>
      </c>
      <c r="H6520" s="192">
        <v>1907.28</v>
      </c>
      <c r="I6520" s="192">
        <v>1869.9</v>
      </c>
      <c r="J6520" s="192"/>
      <c r="K6520" s="192">
        <v>37.380000000000003</v>
      </c>
      <c r="L6520" s="43">
        <v>11.500030147723846</v>
      </c>
      <c r="M6520" s="43">
        <v>11.500000000000002</v>
      </c>
      <c r="N6520" s="43" t="s">
        <v>1690</v>
      </c>
      <c r="O6520" s="43">
        <v>11.501538461538463</v>
      </c>
      <c r="P6520" s="193"/>
      <c r="Q6520" s="193"/>
      <c r="R6520" s="193">
        <v>2</v>
      </c>
    </row>
    <row r="6521" spans="1:18" ht="36">
      <c r="A6521" s="189">
        <v>1334</v>
      </c>
      <c r="B6521" s="186" t="s">
        <v>12000</v>
      </c>
      <c r="C6521" s="190" t="s">
        <v>12001</v>
      </c>
      <c r="D6521" s="191">
        <v>320.64999999999998</v>
      </c>
      <c r="E6521" s="191">
        <v>314.36</v>
      </c>
      <c r="F6521" s="191"/>
      <c r="G6521" s="191">
        <v>6.29</v>
      </c>
      <c r="H6521" s="192">
        <v>3687.48</v>
      </c>
      <c r="I6521" s="192">
        <v>3615.14</v>
      </c>
      <c r="J6521" s="192"/>
      <c r="K6521" s="192">
        <v>72.34</v>
      </c>
      <c r="L6521" s="43">
        <v>11.500015593326058</v>
      </c>
      <c r="M6521" s="43">
        <v>11.499999999999998</v>
      </c>
      <c r="N6521" s="43" t="s">
        <v>1690</v>
      </c>
      <c r="O6521" s="43">
        <v>11.500794912559618</v>
      </c>
      <c r="P6521" s="193"/>
      <c r="Q6521" s="193"/>
      <c r="R6521" s="193">
        <v>2</v>
      </c>
    </row>
    <row r="6522" spans="1:18" ht="36">
      <c r="A6522" s="189">
        <v>1335</v>
      </c>
      <c r="B6522" s="186" t="s">
        <v>12002</v>
      </c>
      <c r="C6522" s="190" t="s">
        <v>12003</v>
      </c>
      <c r="D6522" s="191">
        <v>386.99</v>
      </c>
      <c r="E6522" s="191">
        <v>379.4</v>
      </c>
      <c r="F6522" s="191"/>
      <c r="G6522" s="191">
        <v>7.59</v>
      </c>
      <c r="H6522" s="192">
        <v>4450.3900000000003</v>
      </c>
      <c r="I6522" s="192">
        <v>4363.1000000000004</v>
      </c>
      <c r="J6522" s="192"/>
      <c r="K6522" s="192">
        <v>87.29</v>
      </c>
      <c r="L6522" s="43">
        <v>11.500012920230498</v>
      </c>
      <c r="M6522" s="43">
        <v>11.500000000000002</v>
      </c>
      <c r="N6522" s="43" t="s">
        <v>1690</v>
      </c>
      <c r="O6522" s="43">
        <v>11.500658761528328</v>
      </c>
      <c r="P6522" s="193"/>
      <c r="Q6522" s="193"/>
      <c r="R6522" s="193">
        <v>2</v>
      </c>
    </row>
    <row r="6523" spans="1:18" ht="36">
      <c r="A6523" s="189">
        <v>1336</v>
      </c>
      <c r="B6523" s="186" t="s">
        <v>12004</v>
      </c>
      <c r="C6523" s="190" t="s">
        <v>12005</v>
      </c>
      <c r="D6523" s="191">
        <v>552.84</v>
      </c>
      <c r="E6523" s="191">
        <v>542</v>
      </c>
      <c r="F6523" s="191"/>
      <c r="G6523" s="191">
        <v>10.84</v>
      </c>
      <c r="H6523" s="192">
        <v>6357.66</v>
      </c>
      <c r="I6523" s="192">
        <v>6233</v>
      </c>
      <c r="J6523" s="192"/>
      <c r="K6523" s="192">
        <v>124.66</v>
      </c>
      <c r="L6523" s="43">
        <v>11.499999999999998</v>
      </c>
      <c r="M6523" s="43">
        <v>11.5</v>
      </c>
      <c r="N6523" s="43" t="s">
        <v>1690</v>
      </c>
      <c r="O6523" s="43">
        <v>11.5</v>
      </c>
      <c r="P6523" s="193"/>
      <c r="Q6523" s="193"/>
      <c r="R6523" s="193">
        <v>2</v>
      </c>
    </row>
    <row r="6524" spans="1:18" ht="12.75" customHeight="1">
      <c r="A6524" s="628" t="s">
        <v>12006</v>
      </c>
      <c r="B6524" s="629"/>
      <c r="C6524" s="629"/>
      <c r="D6524" s="629"/>
      <c r="E6524" s="629"/>
      <c r="F6524" s="629"/>
      <c r="G6524" s="629"/>
      <c r="H6524" s="629"/>
      <c r="I6524" s="629"/>
      <c r="J6524" s="629"/>
      <c r="K6524" s="629"/>
      <c r="L6524" s="629"/>
      <c r="M6524" s="629"/>
      <c r="N6524" s="629"/>
      <c r="O6524" s="629"/>
      <c r="P6524" s="629"/>
      <c r="Q6524" s="629"/>
      <c r="R6524" s="629"/>
    </row>
    <row r="6525" spans="1:18" ht="36">
      <c r="A6525" s="189">
        <v>1337</v>
      </c>
      <c r="B6525" s="186" t="s">
        <v>12007</v>
      </c>
      <c r="C6525" s="190" t="s">
        <v>12008</v>
      </c>
      <c r="D6525" s="191">
        <v>165.85</v>
      </c>
      <c r="E6525" s="191">
        <v>162.6</v>
      </c>
      <c r="F6525" s="191"/>
      <c r="G6525" s="191">
        <v>3.25</v>
      </c>
      <c r="H6525" s="192">
        <v>1907.28</v>
      </c>
      <c r="I6525" s="192">
        <v>1869.9</v>
      </c>
      <c r="J6525" s="192"/>
      <c r="K6525" s="192">
        <v>37.380000000000003</v>
      </c>
      <c r="L6525" s="43">
        <v>11.500030147723846</v>
      </c>
      <c r="M6525" s="43">
        <v>11.500000000000002</v>
      </c>
      <c r="N6525" s="43" t="s">
        <v>1690</v>
      </c>
      <c r="O6525" s="43">
        <v>11.501538461538463</v>
      </c>
      <c r="P6525" s="193"/>
      <c r="Q6525" s="193"/>
      <c r="R6525" s="193">
        <v>3</v>
      </c>
    </row>
    <row r="6526" spans="1:18" ht="36">
      <c r="A6526" s="189">
        <v>1338</v>
      </c>
      <c r="B6526" s="186" t="s">
        <v>12009</v>
      </c>
      <c r="C6526" s="190" t="s">
        <v>12010</v>
      </c>
      <c r="D6526" s="191">
        <v>243.25</v>
      </c>
      <c r="E6526" s="191">
        <v>238.48</v>
      </c>
      <c r="F6526" s="191"/>
      <c r="G6526" s="191">
        <v>4.7699999999999996</v>
      </c>
      <c r="H6526" s="192">
        <v>2797.38</v>
      </c>
      <c r="I6526" s="192">
        <v>2742.52</v>
      </c>
      <c r="J6526" s="192"/>
      <c r="K6526" s="192">
        <v>54.86</v>
      </c>
      <c r="L6526" s="43">
        <v>11.500020554984584</v>
      </c>
      <c r="M6526" s="43">
        <v>11.5</v>
      </c>
      <c r="N6526" s="43" t="s">
        <v>1690</v>
      </c>
      <c r="O6526" s="43">
        <v>11.501048218029352</v>
      </c>
      <c r="P6526" s="193"/>
      <c r="Q6526" s="193"/>
      <c r="R6526" s="193">
        <v>3</v>
      </c>
    </row>
    <row r="6527" spans="1:18" ht="36">
      <c r="A6527" s="189">
        <v>1339</v>
      </c>
      <c r="B6527" s="186" t="s">
        <v>12011</v>
      </c>
      <c r="C6527" s="190" t="s">
        <v>12012</v>
      </c>
      <c r="D6527" s="191">
        <v>320.64999999999998</v>
      </c>
      <c r="E6527" s="191">
        <v>314.36</v>
      </c>
      <c r="F6527" s="191"/>
      <c r="G6527" s="191">
        <v>6.29</v>
      </c>
      <c r="H6527" s="192">
        <v>3687.48</v>
      </c>
      <c r="I6527" s="192">
        <v>3615.14</v>
      </c>
      <c r="J6527" s="192"/>
      <c r="K6527" s="192">
        <v>72.34</v>
      </c>
      <c r="L6527" s="43">
        <v>11.500015593326058</v>
      </c>
      <c r="M6527" s="43">
        <v>11.499999999999998</v>
      </c>
      <c r="N6527" s="43" t="s">
        <v>1690</v>
      </c>
      <c r="O6527" s="43">
        <v>11.500794912559618</v>
      </c>
      <c r="P6527" s="193"/>
      <c r="Q6527" s="193"/>
      <c r="R6527" s="193">
        <v>3</v>
      </c>
    </row>
    <row r="6528" spans="1:18" ht="36">
      <c r="A6528" s="194">
        <v>1340</v>
      </c>
      <c r="B6528" s="195" t="s">
        <v>12013</v>
      </c>
      <c r="C6528" s="196" t="s">
        <v>12014</v>
      </c>
      <c r="D6528" s="197">
        <v>519.66999999999996</v>
      </c>
      <c r="E6528" s="197">
        <v>509.48</v>
      </c>
      <c r="F6528" s="197"/>
      <c r="G6528" s="197">
        <v>10.19</v>
      </c>
      <c r="H6528" s="198">
        <v>5976.21</v>
      </c>
      <c r="I6528" s="198">
        <v>5859.02</v>
      </c>
      <c r="J6528" s="198"/>
      <c r="K6528" s="198">
        <v>117.19</v>
      </c>
      <c r="L6528" s="611">
        <v>11.500009621490562</v>
      </c>
      <c r="M6528" s="611">
        <v>11.5</v>
      </c>
      <c r="N6528" s="611" t="s">
        <v>1690</v>
      </c>
      <c r="O6528" s="611">
        <v>11.500490677134446</v>
      </c>
      <c r="P6528" s="199"/>
      <c r="Q6528" s="199"/>
      <c r="R6528" s="199">
        <v>3</v>
      </c>
    </row>
    <row r="6529" spans="1:18" ht="12.75" customHeight="1">
      <c r="A6529" s="630" t="s">
        <v>12015</v>
      </c>
      <c r="B6529" s="631"/>
      <c r="C6529" s="631"/>
      <c r="D6529" s="631"/>
      <c r="E6529" s="631"/>
      <c r="F6529" s="631"/>
      <c r="G6529" s="631"/>
      <c r="H6529" s="631"/>
      <c r="I6529" s="631"/>
      <c r="J6529" s="631"/>
      <c r="K6529" s="631"/>
      <c r="L6529" s="631"/>
      <c r="M6529" s="631"/>
      <c r="N6529" s="631"/>
      <c r="O6529" s="631"/>
      <c r="P6529" s="631"/>
      <c r="Q6529" s="631"/>
      <c r="R6529" s="631"/>
    </row>
    <row r="6530" spans="1:18" ht="12.75" customHeight="1">
      <c r="A6530" s="628" t="s">
        <v>12016</v>
      </c>
      <c r="B6530" s="629"/>
      <c r="C6530" s="629"/>
      <c r="D6530" s="629"/>
      <c r="E6530" s="629"/>
      <c r="F6530" s="629"/>
      <c r="G6530" s="629"/>
      <c r="H6530" s="629"/>
      <c r="I6530" s="629"/>
      <c r="J6530" s="629"/>
      <c r="K6530" s="629"/>
      <c r="L6530" s="629"/>
      <c r="M6530" s="629"/>
      <c r="N6530" s="629"/>
      <c r="O6530" s="629"/>
      <c r="P6530" s="629"/>
      <c r="Q6530" s="629"/>
      <c r="R6530" s="629"/>
    </row>
    <row r="6531" spans="1:18" ht="12.75" customHeight="1">
      <c r="A6531" s="628" t="s">
        <v>12017</v>
      </c>
      <c r="B6531" s="629"/>
      <c r="C6531" s="629"/>
      <c r="D6531" s="629"/>
      <c r="E6531" s="629"/>
      <c r="F6531" s="629"/>
      <c r="G6531" s="629"/>
      <c r="H6531" s="629"/>
      <c r="I6531" s="629"/>
      <c r="J6531" s="629"/>
      <c r="K6531" s="629"/>
      <c r="L6531" s="629"/>
      <c r="M6531" s="629"/>
      <c r="N6531" s="629"/>
      <c r="O6531" s="629"/>
      <c r="P6531" s="629"/>
      <c r="Q6531" s="629"/>
      <c r="R6531" s="629"/>
    </row>
    <row r="6532" spans="1:18" ht="24">
      <c r="A6532" s="189">
        <v>1341</v>
      </c>
      <c r="B6532" s="186" t="s">
        <v>12018</v>
      </c>
      <c r="C6532" s="190" t="s">
        <v>12019</v>
      </c>
      <c r="D6532" s="191">
        <v>837.37</v>
      </c>
      <c r="E6532" s="191">
        <v>173.1</v>
      </c>
      <c r="F6532" s="191"/>
      <c r="G6532" s="191">
        <v>664.27</v>
      </c>
      <c r="H6532" s="192">
        <v>6039.16</v>
      </c>
      <c r="I6532" s="192">
        <v>1990.6</v>
      </c>
      <c r="J6532" s="192"/>
      <c r="K6532" s="192">
        <v>4048.56</v>
      </c>
      <c r="L6532" s="43">
        <v>7.2120567968759328</v>
      </c>
      <c r="M6532" s="43">
        <v>11.499711149624494</v>
      </c>
      <c r="N6532" s="43" t="s">
        <v>1690</v>
      </c>
      <c r="O6532" s="43">
        <v>6.0947506285094919</v>
      </c>
      <c r="P6532" s="193"/>
      <c r="Q6532" s="193"/>
      <c r="R6532" s="193">
        <v>1</v>
      </c>
    </row>
    <row r="6533" spans="1:18" ht="24">
      <c r="A6533" s="189">
        <v>1342</v>
      </c>
      <c r="B6533" s="186" t="s">
        <v>12020</v>
      </c>
      <c r="C6533" s="190" t="s">
        <v>12021</v>
      </c>
      <c r="D6533" s="191">
        <v>1319.96</v>
      </c>
      <c r="E6533" s="191">
        <v>203.44</v>
      </c>
      <c r="F6533" s="191"/>
      <c r="G6533" s="191">
        <v>1116.52</v>
      </c>
      <c r="H6533" s="192">
        <v>10062.200000000001</v>
      </c>
      <c r="I6533" s="192">
        <v>2339.61</v>
      </c>
      <c r="J6533" s="192"/>
      <c r="K6533" s="192">
        <v>7722.59</v>
      </c>
      <c r="L6533" s="43">
        <v>7.6231097912057946</v>
      </c>
      <c r="M6533" s="43">
        <v>11.500245772709398</v>
      </c>
      <c r="N6533" s="43" t="s">
        <v>1690</v>
      </c>
      <c r="O6533" s="43">
        <v>6.9166606957331709</v>
      </c>
      <c r="P6533" s="193"/>
      <c r="Q6533" s="193"/>
      <c r="R6533" s="193">
        <v>1</v>
      </c>
    </row>
    <row r="6534" spans="1:18" ht="12.75" customHeight="1">
      <c r="A6534" s="628" t="s">
        <v>12022</v>
      </c>
      <c r="B6534" s="629"/>
      <c r="C6534" s="629"/>
      <c r="D6534" s="629"/>
      <c r="E6534" s="629"/>
      <c r="F6534" s="629"/>
      <c r="G6534" s="629"/>
      <c r="H6534" s="629"/>
      <c r="I6534" s="629"/>
      <c r="J6534" s="629"/>
      <c r="K6534" s="629"/>
      <c r="L6534" s="629"/>
      <c r="M6534" s="629"/>
      <c r="N6534" s="629"/>
      <c r="O6534" s="629"/>
      <c r="P6534" s="629"/>
      <c r="Q6534" s="629"/>
      <c r="R6534" s="629"/>
    </row>
    <row r="6535" spans="1:18" ht="24">
      <c r="A6535" s="189">
        <v>1343</v>
      </c>
      <c r="B6535" s="186" t="s">
        <v>12023</v>
      </c>
      <c r="C6535" s="190" t="s">
        <v>12024</v>
      </c>
      <c r="D6535" s="191">
        <v>2908.49</v>
      </c>
      <c r="E6535" s="191">
        <v>379.4</v>
      </c>
      <c r="F6535" s="191"/>
      <c r="G6535" s="191">
        <v>2529.09</v>
      </c>
      <c r="H6535" s="192">
        <v>25252.49</v>
      </c>
      <c r="I6535" s="192">
        <v>4363.1000000000004</v>
      </c>
      <c r="J6535" s="192"/>
      <c r="K6535" s="192">
        <v>20889.39</v>
      </c>
      <c r="L6535" s="43">
        <v>8.6823368827123364</v>
      </c>
      <c r="M6535" s="43">
        <v>11.500000000000002</v>
      </c>
      <c r="N6535" s="43" t="s">
        <v>1690</v>
      </c>
      <c r="O6535" s="43">
        <v>8.2596467504122035</v>
      </c>
      <c r="P6535" s="193"/>
      <c r="Q6535" s="193"/>
      <c r="R6535" s="193">
        <v>2</v>
      </c>
    </row>
    <row r="6536" spans="1:18" ht="24">
      <c r="A6536" s="189">
        <v>1344</v>
      </c>
      <c r="B6536" s="186" t="s">
        <v>12025</v>
      </c>
      <c r="C6536" s="190" t="s">
        <v>12026</v>
      </c>
      <c r="D6536" s="191">
        <v>2123.4699999999998</v>
      </c>
      <c r="E6536" s="191">
        <v>44.66</v>
      </c>
      <c r="F6536" s="191"/>
      <c r="G6536" s="191">
        <v>2078.81</v>
      </c>
      <c r="H6536" s="192">
        <v>8741.58</v>
      </c>
      <c r="I6536" s="192">
        <v>513.6</v>
      </c>
      <c r="J6536" s="192"/>
      <c r="K6536" s="192">
        <v>8227.98</v>
      </c>
      <c r="L6536" s="43">
        <v>4.1166486929412711</v>
      </c>
      <c r="M6536" s="43">
        <v>11.500223914017019</v>
      </c>
      <c r="N6536" s="43" t="s">
        <v>1690</v>
      </c>
      <c r="O6536" s="43">
        <v>3.9580240618430738</v>
      </c>
      <c r="P6536" s="193"/>
      <c r="Q6536" s="193"/>
      <c r="R6536" s="193">
        <v>2</v>
      </c>
    </row>
    <row r="6537" spans="1:18" ht="12.75" customHeight="1">
      <c r="A6537" s="628" t="s">
        <v>12027</v>
      </c>
      <c r="B6537" s="629"/>
      <c r="C6537" s="629"/>
      <c r="D6537" s="629"/>
      <c r="E6537" s="629"/>
      <c r="F6537" s="629"/>
      <c r="G6537" s="629"/>
      <c r="H6537" s="629"/>
      <c r="I6537" s="629"/>
      <c r="J6537" s="629"/>
      <c r="K6537" s="629"/>
      <c r="L6537" s="629"/>
      <c r="M6537" s="629"/>
      <c r="N6537" s="629"/>
      <c r="O6537" s="629"/>
      <c r="P6537" s="629"/>
      <c r="Q6537" s="629"/>
      <c r="R6537" s="629"/>
    </row>
    <row r="6538" spans="1:18" ht="12.75" customHeight="1">
      <c r="A6538" s="628" t="s">
        <v>12028</v>
      </c>
      <c r="B6538" s="629"/>
      <c r="C6538" s="629"/>
      <c r="D6538" s="629"/>
      <c r="E6538" s="629"/>
      <c r="F6538" s="629"/>
      <c r="G6538" s="629"/>
      <c r="H6538" s="629"/>
      <c r="I6538" s="629"/>
      <c r="J6538" s="629"/>
      <c r="K6538" s="629"/>
      <c r="L6538" s="629"/>
      <c r="M6538" s="629"/>
      <c r="N6538" s="629"/>
      <c r="O6538" s="629"/>
      <c r="P6538" s="629"/>
      <c r="Q6538" s="629"/>
      <c r="R6538" s="629"/>
    </row>
    <row r="6539" spans="1:18" ht="24">
      <c r="A6539" s="189">
        <v>1345</v>
      </c>
      <c r="B6539" s="186" t="s">
        <v>12029</v>
      </c>
      <c r="C6539" s="190" t="s">
        <v>12030</v>
      </c>
      <c r="D6539" s="191">
        <v>236.13</v>
      </c>
      <c r="E6539" s="191">
        <v>225.2</v>
      </c>
      <c r="F6539" s="191"/>
      <c r="G6539" s="191">
        <v>10.93</v>
      </c>
      <c r="H6539" s="192">
        <v>2674.51</v>
      </c>
      <c r="I6539" s="192">
        <v>2589.94</v>
      </c>
      <c r="J6539" s="192"/>
      <c r="K6539" s="192">
        <v>84.57</v>
      </c>
      <c r="L6539" s="43">
        <v>11.326430356159744</v>
      </c>
      <c r="M6539" s="43">
        <v>11.500621669627</v>
      </c>
      <c r="N6539" s="43" t="s">
        <v>1690</v>
      </c>
      <c r="O6539" s="43">
        <v>7.7374199451052146</v>
      </c>
      <c r="P6539" s="193"/>
      <c r="Q6539" s="193"/>
      <c r="R6539" s="193">
        <v>1</v>
      </c>
    </row>
    <row r="6540" spans="1:18" ht="12.75" customHeight="1">
      <c r="A6540" s="628" t="s">
        <v>12031</v>
      </c>
      <c r="B6540" s="629"/>
      <c r="C6540" s="629"/>
      <c r="D6540" s="629"/>
      <c r="E6540" s="629"/>
      <c r="F6540" s="629"/>
      <c r="G6540" s="629"/>
      <c r="H6540" s="629"/>
      <c r="I6540" s="629"/>
      <c r="J6540" s="629"/>
      <c r="K6540" s="629"/>
      <c r="L6540" s="629"/>
      <c r="M6540" s="629"/>
      <c r="N6540" s="629"/>
      <c r="O6540" s="629"/>
      <c r="P6540" s="629"/>
      <c r="Q6540" s="629"/>
      <c r="R6540" s="629"/>
    </row>
    <row r="6541" spans="1:18" ht="24">
      <c r="A6541" s="189">
        <v>1346</v>
      </c>
      <c r="B6541" s="186" t="s">
        <v>12032</v>
      </c>
      <c r="C6541" s="190" t="s">
        <v>12033</v>
      </c>
      <c r="D6541" s="191">
        <v>93.59</v>
      </c>
      <c r="E6541" s="191">
        <v>89.06</v>
      </c>
      <c r="F6541" s="191"/>
      <c r="G6541" s="191">
        <v>4.53</v>
      </c>
      <c r="H6541" s="192">
        <v>1055.33</v>
      </c>
      <c r="I6541" s="192">
        <v>1024.27</v>
      </c>
      <c r="J6541" s="192"/>
      <c r="K6541" s="192">
        <v>31.06</v>
      </c>
      <c r="L6541" s="43">
        <v>11.276097873704455</v>
      </c>
      <c r="M6541" s="43">
        <v>11.500898270828655</v>
      </c>
      <c r="N6541" s="43" t="s">
        <v>1690</v>
      </c>
      <c r="O6541" s="43">
        <v>6.8565121412803522</v>
      </c>
      <c r="P6541" s="193"/>
      <c r="Q6541" s="193"/>
      <c r="R6541" s="193">
        <v>2</v>
      </c>
    </row>
    <row r="6542" spans="1:18" ht="12.75" customHeight="1">
      <c r="A6542" s="628" t="s">
        <v>12034</v>
      </c>
      <c r="B6542" s="629"/>
      <c r="C6542" s="629"/>
      <c r="D6542" s="629"/>
      <c r="E6542" s="629"/>
      <c r="F6542" s="629"/>
      <c r="G6542" s="629"/>
      <c r="H6542" s="629"/>
      <c r="I6542" s="629"/>
      <c r="J6542" s="629"/>
      <c r="K6542" s="629"/>
      <c r="L6542" s="629"/>
      <c r="M6542" s="629"/>
      <c r="N6542" s="629"/>
      <c r="O6542" s="629"/>
      <c r="P6542" s="629"/>
      <c r="Q6542" s="629"/>
      <c r="R6542" s="629"/>
    </row>
    <row r="6543" spans="1:18" ht="24">
      <c r="A6543" s="189">
        <v>1347</v>
      </c>
      <c r="B6543" s="186" t="s">
        <v>12035</v>
      </c>
      <c r="C6543" s="190" t="s">
        <v>12036</v>
      </c>
      <c r="D6543" s="191">
        <v>3038.22</v>
      </c>
      <c r="E6543" s="191">
        <v>276.94</v>
      </c>
      <c r="F6543" s="191">
        <v>1.1100000000000001</v>
      </c>
      <c r="G6543" s="191">
        <v>2760.17</v>
      </c>
      <c r="H6543" s="192">
        <v>15713.47</v>
      </c>
      <c r="I6543" s="192">
        <v>3184.81</v>
      </c>
      <c r="J6543" s="192">
        <v>5.76</v>
      </c>
      <c r="K6543" s="192">
        <v>12522.9</v>
      </c>
      <c r="L6543" s="43">
        <v>5.1719329080843393</v>
      </c>
      <c r="M6543" s="43">
        <v>11.5</v>
      </c>
      <c r="N6543" s="43">
        <v>5.1891891891891886</v>
      </c>
      <c r="O6543" s="43">
        <v>4.5370031556027346</v>
      </c>
      <c r="P6543" s="193"/>
      <c r="Q6543" s="193"/>
      <c r="R6543" s="193">
        <v>3</v>
      </c>
    </row>
    <row r="6544" spans="1:18" ht="24">
      <c r="A6544" s="189">
        <v>1348</v>
      </c>
      <c r="B6544" s="186" t="s">
        <v>12037</v>
      </c>
      <c r="C6544" s="190" t="s">
        <v>12038</v>
      </c>
      <c r="D6544" s="191">
        <v>2184.09</v>
      </c>
      <c r="E6544" s="191">
        <v>225.7</v>
      </c>
      <c r="F6544" s="191">
        <v>1.1100000000000001</v>
      </c>
      <c r="G6544" s="191">
        <v>1957.28</v>
      </c>
      <c r="H6544" s="192">
        <v>11491.08</v>
      </c>
      <c r="I6544" s="192">
        <v>2595.5500000000002</v>
      </c>
      <c r="J6544" s="192">
        <v>5.76</v>
      </c>
      <c r="K6544" s="192">
        <v>8889.77</v>
      </c>
      <c r="L6544" s="43">
        <v>5.261266706042333</v>
      </c>
      <c r="M6544" s="43">
        <v>11.500000000000002</v>
      </c>
      <c r="N6544" s="43">
        <v>5.1891891891891886</v>
      </c>
      <c r="O6544" s="43">
        <v>4.5418999836507812</v>
      </c>
      <c r="P6544" s="193"/>
      <c r="Q6544" s="193"/>
      <c r="R6544" s="193">
        <v>3</v>
      </c>
    </row>
    <row r="6545" spans="1:18" ht="12.75" customHeight="1">
      <c r="A6545" s="628" t="s">
        <v>12039</v>
      </c>
      <c r="B6545" s="629"/>
      <c r="C6545" s="629"/>
      <c r="D6545" s="629"/>
      <c r="E6545" s="629"/>
      <c r="F6545" s="629"/>
      <c r="G6545" s="629"/>
      <c r="H6545" s="629"/>
      <c r="I6545" s="629"/>
      <c r="J6545" s="629"/>
      <c r="K6545" s="629"/>
      <c r="L6545" s="629"/>
      <c r="M6545" s="629"/>
      <c r="N6545" s="629"/>
      <c r="O6545" s="629"/>
      <c r="P6545" s="629"/>
      <c r="Q6545" s="629"/>
      <c r="R6545" s="629"/>
    </row>
    <row r="6546" spans="1:18" ht="24">
      <c r="A6546" s="189">
        <v>1349</v>
      </c>
      <c r="B6546" s="186" t="s">
        <v>12040</v>
      </c>
      <c r="C6546" s="190" t="s">
        <v>12041</v>
      </c>
      <c r="D6546" s="191">
        <v>2405.67</v>
      </c>
      <c r="E6546" s="191">
        <v>2358.5</v>
      </c>
      <c r="F6546" s="191"/>
      <c r="G6546" s="191">
        <v>47.17</v>
      </c>
      <c r="H6546" s="192">
        <v>27666.1</v>
      </c>
      <c r="I6546" s="192">
        <v>27123.64</v>
      </c>
      <c r="J6546" s="192"/>
      <c r="K6546" s="192">
        <v>542.46</v>
      </c>
      <c r="L6546" s="43">
        <v>11.500372037727534</v>
      </c>
      <c r="M6546" s="43">
        <v>11.500377358490566</v>
      </c>
      <c r="N6546" s="43" t="s">
        <v>1690</v>
      </c>
      <c r="O6546" s="43">
        <v>11.500105999576002</v>
      </c>
      <c r="P6546" s="193"/>
      <c r="Q6546" s="193"/>
      <c r="R6546" s="193">
        <v>4</v>
      </c>
    </row>
    <row r="6547" spans="1:18" ht="12.75" customHeight="1">
      <c r="A6547" s="628" t="s">
        <v>12042</v>
      </c>
      <c r="B6547" s="629"/>
      <c r="C6547" s="629"/>
      <c r="D6547" s="629"/>
      <c r="E6547" s="629"/>
      <c r="F6547" s="629"/>
      <c r="G6547" s="629"/>
      <c r="H6547" s="629"/>
      <c r="I6547" s="629"/>
      <c r="J6547" s="629"/>
      <c r="K6547" s="629"/>
      <c r="L6547" s="629"/>
      <c r="M6547" s="629"/>
      <c r="N6547" s="629"/>
      <c r="O6547" s="629"/>
      <c r="P6547" s="629"/>
      <c r="Q6547" s="629"/>
      <c r="R6547" s="629"/>
    </row>
    <row r="6548" spans="1:18" ht="24">
      <c r="A6548" s="189">
        <v>1350</v>
      </c>
      <c r="B6548" s="186" t="s">
        <v>12043</v>
      </c>
      <c r="C6548" s="190" t="s">
        <v>12044</v>
      </c>
      <c r="D6548" s="191">
        <v>232.79</v>
      </c>
      <c r="E6548" s="191">
        <v>216.48</v>
      </c>
      <c r="F6548" s="191"/>
      <c r="G6548" s="191">
        <v>16.309999999999999</v>
      </c>
      <c r="H6548" s="192">
        <v>2599.6999999999998</v>
      </c>
      <c r="I6548" s="192">
        <v>2489.5500000000002</v>
      </c>
      <c r="J6548" s="192"/>
      <c r="K6548" s="192">
        <v>110.15</v>
      </c>
      <c r="L6548" s="43">
        <v>11.167575926800978</v>
      </c>
      <c r="M6548" s="43">
        <v>11.500138580931266</v>
      </c>
      <c r="N6548" s="43" t="s">
        <v>1690</v>
      </c>
      <c r="O6548" s="43">
        <v>6.7535254445125696</v>
      </c>
      <c r="P6548" s="193"/>
      <c r="Q6548" s="193"/>
      <c r="R6548" s="193">
        <v>5</v>
      </c>
    </row>
    <row r="6549" spans="1:18" ht="24">
      <c r="A6549" s="189">
        <v>1351</v>
      </c>
      <c r="B6549" s="186" t="s">
        <v>12045</v>
      </c>
      <c r="C6549" s="190" t="s">
        <v>12046</v>
      </c>
      <c r="D6549" s="191">
        <v>2883.59</v>
      </c>
      <c r="E6549" s="191">
        <v>471.3</v>
      </c>
      <c r="F6549" s="191"/>
      <c r="G6549" s="191">
        <v>2412.29</v>
      </c>
      <c r="H6549" s="192">
        <v>12251.72</v>
      </c>
      <c r="I6549" s="192">
        <v>5420.11</v>
      </c>
      <c r="J6549" s="192"/>
      <c r="K6549" s="192">
        <v>6831.61</v>
      </c>
      <c r="L6549" s="43">
        <v>4.2487732305910333</v>
      </c>
      <c r="M6549" s="43">
        <v>11.500339486526627</v>
      </c>
      <c r="N6549" s="43" t="s">
        <v>1690</v>
      </c>
      <c r="O6549" s="43">
        <v>2.8320019566470034</v>
      </c>
      <c r="P6549" s="193"/>
      <c r="Q6549" s="193"/>
      <c r="R6549" s="193">
        <v>5</v>
      </c>
    </row>
    <row r="6550" spans="1:18" ht="12.75" customHeight="1">
      <c r="A6550" s="628" t="s">
        <v>12047</v>
      </c>
      <c r="B6550" s="629"/>
      <c r="C6550" s="629"/>
      <c r="D6550" s="629"/>
      <c r="E6550" s="629"/>
      <c r="F6550" s="629"/>
      <c r="G6550" s="629"/>
      <c r="H6550" s="629"/>
      <c r="I6550" s="629"/>
      <c r="J6550" s="629"/>
      <c r="K6550" s="629"/>
      <c r="L6550" s="629"/>
      <c r="M6550" s="629"/>
      <c r="N6550" s="629"/>
      <c r="O6550" s="629"/>
      <c r="P6550" s="629"/>
      <c r="Q6550" s="629"/>
      <c r="R6550" s="629"/>
    </row>
    <row r="6551" spans="1:18" ht="24">
      <c r="A6551" s="189">
        <v>1352</v>
      </c>
      <c r="B6551" s="186" t="s">
        <v>12048</v>
      </c>
      <c r="C6551" s="190" t="s">
        <v>12049</v>
      </c>
      <c r="D6551" s="191">
        <v>279.08999999999997</v>
      </c>
      <c r="E6551" s="191">
        <v>189.59</v>
      </c>
      <c r="F6551" s="191"/>
      <c r="G6551" s="191">
        <v>89.5</v>
      </c>
      <c r="H6551" s="192">
        <v>2566.46</v>
      </c>
      <c r="I6551" s="192">
        <v>2180.31</v>
      </c>
      <c r="J6551" s="192"/>
      <c r="K6551" s="192">
        <v>386.15</v>
      </c>
      <c r="L6551" s="43">
        <v>9.1958149700813365</v>
      </c>
      <c r="M6551" s="43">
        <v>11.500131863494909</v>
      </c>
      <c r="N6551" s="43" t="s">
        <v>1690</v>
      </c>
      <c r="O6551" s="43">
        <v>4.3145251396648039</v>
      </c>
      <c r="P6551" s="193"/>
      <c r="Q6551" s="193"/>
      <c r="R6551" s="193">
        <v>6</v>
      </c>
    </row>
    <row r="6552" spans="1:18" ht="24">
      <c r="A6552" s="189">
        <v>1353</v>
      </c>
      <c r="B6552" s="186" t="s">
        <v>12050</v>
      </c>
      <c r="C6552" s="190" t="s">
        <v>12051</v>
      </c>
      <c r="D6552" s="191">
        <v>232.78</v>
      </c>
      <c r="E6552" s="191">
        <v>153.97</v>
      </c>
      <c r="F6552" s="191"/>
      <c r="G6552" s="191">
        <v>78.81</v>
      </c>
      <c r="H6552" s="192">
        <v>2091</v>
      </c>
      <c r="I6552" s="192">
        <v>1770.68</v>
      </c>
      <c r="J6552" s="192"/>
      <c r="K6552" s="192">
        <v>320.32</v>
      </c>
      <c r="L6552" s="43">
        <v>8.9827304751267292</v>
      </c>
      <c r="M6552" s="43">
        <v>11.50016236929272</v>
      </c>
      <c r="N6552" s="43" t="s">
        <v>1690</v>
      </c>
      <c r="O6552" s="43">
        <v>4.0644588250222053</v>
      </c>
      <c r="P6552" s="193"/>
      <c r="Q6552" s="193"/>
      <c r="R6552" s="193">
        <v>6</v>
      </c>
    </row>
    <row r="6553" spans="1:18" ht="12.75" customHeight="1">
      <c r="A6553" s="628" t="s">
        <v>12052</v>
      </c>
      <c r="B6553" s="629"/>
      <c r="C6553" s="629"/>
      <c r="D6553" s="629"/>
      <c r="E6553" s="629"/>
      <c r="F6553" s="629"/>
      <c r="G6553" s="629"/>
      <c r="H6553" s="629"/>
      <c r="I6553" s="629"/>
      <c r="J6553" s="629"/>
      <c r="K6553" s="629"/>
      <c r="L6553" s="629"/>
      <c r="M6553" s="629"/>
      <c r="N6553" s="629"/>
      <c r="O6553" s="629"/>
      <c r="P6553" s="629"/>
      <c r="Q6553" s="629"/>
      <c r="R6553" s="629"/>
    </row>
    <row r="6554" spans="1:18" ht="36">
      <c r="A6554" s="189">
        <v>1354</v>
      </c>
      <c r="B6554" s="186" t="s">
        <v>12053</v>
      </c>
      <c r="C6554" s="190" t="s">
        <v>12054</v>
      </c>
      <c r="D6554" s="191">
        <v>10965.43</v>
      </c>
      <c r="E6554" s="191">
        <v>9686.7999999999993</v>
      </c>
      <c r="F6554" s="191"/>
      <c r="G6554" s="191">
        <v>1278.6300000000001</v>
      </c>
      <c r="H6554" s="192">
        <v>118605.66</v>
      </c>
      <c r="I6554" s="192">
        <v>111398.2</v>
      </c>
      <c r="J6554" s="192"/>
      <c r="K6554" s="192">
        <v>7207.46</v>
      </c>
      <c r="L6554" s="43">
        <v>10.816325488375741</v>
      </c>
      <c r="M6554" s="43">
        <v>11.5</v>
      </c>
      <c r="N6554" s="43" t="s">
        <v>1690</v>
      </c>
      <c r="O6554" s="43">
        <v>5.6368613281402746</v>
      </c>
      <c r="P6554" s="193"/>
      <c r="Q6554" s="193"/>
      <c r="R6554" s="193">
        <v>7</v>
      </c>
    </row>
    <row r="6555" spans="1:18" ht="36">
      <c r="A6555" s="189">
        <v>1355</v>
      </c>
      <c r="B6555" s="186" t="s">
        <v>12055</v>
      </c>
      <c r="C6555" s="190" t="s">
        <v>12056</v>
      </c>
      <c r="D6555" s="191">
        <v>8367.32</v>
      </c>
      <c r="E6555" s="191">
        <v>7466.4</v>
      </c>
      <c r="F6555" s="191"/>
      <c r="G6555" s="191">
        <v>900.92</v>
      </c>
      <c r="H6555" s="192">
        <v>91048.19</v>
      </c>
      <c r="I6555" s="192">
        <v>85863.6</v>
      </c>
      <c r="J6555" s="192"/>
      <c r="K6555" s="192">
        <v>5184.59</v>
      </c>
      <c r="L6555" s="43">
        <v>10.881404081593629</v>
      </c>
      <c r="M6555" s="43">
        <v>11.500000000000002</v>
      </c>
      <c r="N6555" s="43" t="s">
        <v>1690</v>
      </c>
      <c r="O6555" s="43">
        <v>5.7547728988145455</v>
      </c>
      <c r="P6555" s="193"/>
      <c r="Q6555" s="193"/>
      <c r="R6555" s="193">
        <v>7</v>
      </c>
    </row>
    <row r="6556" spans="1:18" ht="24">
      <c r="A6556" s="189">
        <v>1356</v>
      </c>
      <c r="B6556" s="186" t="s">
        <v>12057</v>
      </c>
      <c r="C6556" s="190" t="s">
        <v>12058</v>
      </c>
      <c r="D6556" s="191">
        <v>5897.86</v>
      </c>
      <c r="E6556" s="191">
        <v>5368</v>
      </c>
      <c r="F6556" s="191"/>
      <c r="G6556" s="191">
        <v>529.86</v>
      </c>
      <c r="H6556" s="192">
        <v>64919.99</v>
      </c>
      <c r="I6556" s="192">
        <v>61732</v>
      </c>
      <c r="J6556" s="192"/>
      <c r="K6556" s="192">
        <v>3187.99</v>
      </c>
      <c r="L6556" s="43">
        <v>11.007380643148531</v>
      </c>
      <c r="M6556" s="43">
        <v>11.5</v>
      </c>
      <c r="N6556" s="43" t="s">
        <v>1690</v>
      </c>
      <c r="O6556" s="43">
        <v>6.0166647793756836</v>
      </c>
      <c r="P6556" s="193"/>
      <c r="Q6556" s="193"/>
      <c r="R6556" s="193">
        <v>7</v>
      </c>
    </row>
    <row r="6557" spans="1:18" ht="24.75" customHeight="1">
      <c r="A6557" s="628" t="s">
        <v>12059</v>
      </c>
      <c r="B6557" s="629"/>
      <c r="C6557" s="629"/>
      <c r="D6557" s="629"/>
      <c r="E6557" s="629"/>
      <c r="F6557" s="629"/>
      <c r="G6557" s="629"/>
      <c r="H6557" s="629"/>
      <c r="I6557" s="629"/>
      <c r="J6557" s="629"/>
      <c r="K6557" s="629"/>
      <c r="L6557" s="629"/>
      <c r="M6557" s="629"/>
      <c r="N6557" s="629"/>
      <c r="O6557" s="629"/>
      <c r="P6557" s="629"/>
      <c r="Q6557" s="629"/>
      <c r="R6557" s="629"/>
    </row>
    <row r="6558" spans="1:18" ht="48">
      <c r="A6558" s="189">
        <v>1357</v>
      </c>
      <c r="B6558" s="186" t="s">
        <v>12060</v>
      </c>
      <c r="C6558" s="190" t="s">
        <v>12061</v>
      </c>
      <c r="D6558" s="191">
        <v>411.94</v>
      </c>
      <c r="E6558" s="191">
        <v>252.64</v>
      </c>
      <c r="F6558" s="191"/>
      <c r="G6558" s="191">
        <v>159.30000000000001</v>
      </c>
      <c r="H6558" s="192">
        <v>3710.69</v>
      </c>
      <c r="I6558" s="192">
        <v>2905.5</v>
      </c>
      <c r="J6558" s="192"/>
      <c r="K6558" s="192">
        <v>805.19</v>
      </c>
      <c r="L6558" s="43">
        <v>9.0078409477108323</v>
      </c>
      <c r="M6558" s="43">
        <v>11.500554148195061</v>
      </c>
      <c r="N6558" s="43" t="s">
        <v>1690</v>
      </c>
      <c r="O6558" s="43">
        <v>5.0545511613308225</v>
      </c>
      <c r="P6558" s="193"/>
      <c r="Q6558" s="193"/>
      <c r="R6558" s="193">
        <v>8</v>
      </c>
    </row>
    <row r="6559" spans="1:18" ht="17.25" customHeight="1">
      <c r="A6559" s="628" t="s">
        <v>12062</v>
      </c>
      <c r="B6559" s="629"/>
      <c r="C6559" s="629"/>
      <c r="D6559" s="629"/>
      <c r="E6559" s="629"/>
      <c r="F6559" s="629"/>
      <c r="G6559" s="629"/>
      <c r="H6559" s="629"/>
      <c r="I6559" s="629"/>
      <c r="J6559" s="629"/>
      <c r="K6559" s="629"/>
      <c r="L6559" s="629"/>
      <c r="M6559" s="629"/>
      <c r="N6559" s="629"/>
      <c r="O6559" s="629"/>
      <c r="P6559" s="629"/>
      <c r="Q6559" s="629"/>
      <c r="R6559" s="629"/>
    </row>
    <row r="6560" spans="1:18" ht="24">
      <c r="A6560" s="189">
        <v>1358</v>
      </c>
      <c r="B6560" s="186" t="s">
        <v>12063</v>
      </c>
      <c r="C6560" s="190" t="s">
        <v>12064</v>
      </c>
      <c r="D6560" s="191">
        <v>357.18</v>
      </c>
      <c r="E6560" s="191">
        <v>272.64</v>
      </c>
      <c r="F6560" s="191"/>
      <c r="G6560" s="191">
        <v>84.54</v>
      </c>
      <c r="H6560" s="192">
        <v>3470.55</v>
      </c>
      <c r="I6560" s="192">
        <v>3135.41</v>
      </c>
      <c r="J6560" s="192"/>
      <c r="K6560" s="192">
        <v>335.14</v>
      </c>
      <c r="L6560" s="43">
        <v>9.7165294809339837</v>
      </c>
      <c r="M6560" s="43">
        <v>11.50018339201878</v>
      </c>
      <c r="N6560" s="43" t="s">
        <v>1690</v>
      </c>
      <c r="O6560" s="43">
        <v>3.9642772651999048</v>
      </c>
      <c r="P6560" s="193"/>
      <c r="Q6560" s="193"/>
      <c r="R6560" s="193">
        <v>9</v>
      </c>
    </row>
    <row r="6561" spans="1:18" ht="12.75" customHeight="1">
      <c r="A6561" s="628" t="s">
        <v>12065</v>
      </c>
      <c r="B6561" s="629"/>
      <c r="C6561" s="629"/>
      <c r="D6561" s="629"/>
      <c r="E6561" s="629"/>
      <c r="F6561" s="629"/>
      <c r="G6561" s="629"/>
      <c r="H6561" s="629"/>
      <c r="I6561" s="629"/>
      <c r="J6561" s="629"/>
      <c r="K6561" s="629"/>
      <c r="L6561" s="629"/>
      <c r="M6561" s="629"/>
      <c r="N6561" s="629"/>
      <c r="O6561" s="629"/>
      <c r="P6561" s="629"/>
      <c r="Q6561" s="629"/>
      <c r="R6561" s="629"/>
    </row>
    <row r="6562" spans="1:18" ht="12.75" customHeight="1">
      <c r="A6562" s="628" t="s">
        <v>12066</v>
      </c>
      <c r="B6562" s="629"/>
      <c r="C6562" s="629"/>
      <c r="D6562" s="629"/>
      <c r="E6562" s="629"/>
      <c r="F6562" s="629"/>
      <c r="G6562" s="629"/>
      <c r="H6562" s="629"/>
      <c r="I6562" s="629"/>
      <c r="J6562" s="629"/>
      <c r="K6562" s="629"/>
      <c r="L6562" s="629"/>
      <c r="M6562" s="629"/>
      <c r="N6562" s="629"/>
      <c r="O6562" s="629"/>
      <c r="P6562" s="629"/>
      <c r="Q6562" s="629"/>
      <c r="R6562" s="629"/>
    </row>
    <row r="6563" spans="1:18" ht="36">
      <c r="A6563" s="189">
        <v>1359</v>
      </c>
      <c r="B6563" s="186" t="s">
        <v>12067</v>
      </c>
      <c r="C6563" s="190" t="s">
        <v>12068</v>
      </c>
      <c r="D6563" s="191">
        <v>821.67</v>
      </c>
      <c r="E6563" s="191">
        <v>186.31</v>
      </c>
      <c r="F6563" s="191"/>
      <c r="G6563" s="191">
        <v>635.36</v>
      </c>
      <c r="H6563" s="192">
        <v>4694.8900000000003</v>
      </c>
      <c r="I6563" s="192">
        <v>2142.5700000000002</v>
      </c>
      <c r="J6563" s="192"/>
      <c r="K6563" s="192">
        <v>2552.3200000000002</v>
      </c>
      <c r="L6563" s="43">
        <v>5.7138388890917282</v>
      </c>
      <c r="M6563" s="43">
        <v>11.500026836992111</v>
      </c>
      <c r="N6563" s="43" t="s">
        <v>1690</v>
      </c>
      <c r="O6563" s="43">
        <v>4.0171241500881392</v>
      </c>
      <c r="P6563" s="193"/>
      <c r="Q6563" s="193"/>
      <c r="R6563" s="193">
        <v>1</v>
      </c>
    </row>
    <row r="6564" spans="1:18" ht="36">
      <c r="A6564" s="189">
        <v>1360</v>
      </c>
      <c r="B6564" s="186" t="s">
        <v>12069</v>
      </c>
      <c r="C6564" s="190" t="s">
        <v>12070</v>
      </c>
      <c r="D6564" s="191">
        <v>860.55</v>
      </c>
      <c r="E6564" s="191">
        <v>198.33</v>
      </c>
      <c r="F6564" s="191"/>
      <c r="G6564" s="191">
        <v>662.22</v>
      </c>
      <c r="H6564" s="192">
        <v>4931.37</v>
      </c>
      <c r="I6564" s="192">
        <v>2280.8000000000002</v>
      </c>
      <c r="J6564" s="192"/>
      <c r="K6564" s="192">
        <v>2650.57</v>
      </c>
      <c r="L6564" s="43">
        <v>5.730486316890361</v>
      </c>
      <c r="M6564" s="43">
        <v>11.50002521050774</v>
      </c>
      <c r="N6564" s="43" t="s">
        <v>1690</v>
      </c>
      <c r="O6564" s="43">
        <v>4.0025520219866513</v>
      </c>
      <c r="P6564" s="193"/>
      <c r="Q6564" s="193"/>
      <c r="R6564" s="193">
        <v>1</v>
      </c>
    </row>
    <row r="6565" spans="1:18" ht="36">
      <c r="A6565" s="189">
        <v>1361</v>
      </c>
      <c r="B6565" s="186" t="s">
        <v>12071</v>
      </c>
      <c r="C6565" s="190" t="s">
        <v>12072</v>
      </c>
      <c r="D6565" s="191">
        <v>2437.69</v>
      </c>
      <c r="E6565" s="191">
        <v>902.27</v>
      </c>
      <c r="F6565" s="191"/>
      <c r="G6565" s="191">
        <v>1535.42</v>
      </c>
      <c r="H6565" s="192">
        <v>15675.83</v>
      </c>
      <c r="I6565" s="192">
        <v>10376.08</v>
      </c>
      <c r="J6565" s="192"/>
      <c r="K6565" s="192">
        <v>5299.75</v>
      </c>
      <c r="L6565" s="43">
        <v>6.4306084859026376</v>
      </c>
      <c r="M6565" s="43">
        <v>11.499972292107683</v>
      </c>
      <c r="N6565" s="43" t="s">
        <v>1690</v>
      </c>
      <c r="O6565" s="43">
        <v>3.4516614346563155</v>
      </c>
      <c r="P6565" s="193"/>
      <c r="Q6565" s="193"/>
      <c r="R6565" s="193">
        <v>1</v>
      </c>
    </row>
    <row r="6566" spans="1:18" ht="36">
      <c r="A6566" s="189">
        <v>1362</v>
      </c>
      <c r="B6566" s="186" t="s">
        <v>12073</v>
      </c>
      <c r="C6566" s="190" t="s">
        <v>12074</v>
      </c>
      <c r="D6566" s="191">
        <v>2638.99</v>
      </c>
      <c r="E6566" s="191">
        <v>1251.03</v>
      </c>
      <c r="F6566" s="191"/>
      <c r="G6566" s="191">
        <v>1387.96</v>
      </c>
      <c r="H6566" s="192">
        <v>19312.84</v>
      </c>
      <c r="I6566" s="192">
        <v>14386.87</v>
      </c>
      <c r="J6566" s="192"/>
      <c r="K6566" s="192">
        <v>4925.97</v>
      </c>
      <c r="L6566" s="43">
        <v>7.3182694894637725</v>
      </c>
      <c r="M6566" s="43">
        <v>11.500019983533569</v>
      </c>
      <c r="N6566" s="43" t="s">
        <v>1690</v>
      </c>
      <c r="O6566" s="43">
        <v>3.5490720193665526</v>
      </c>
      <c r="P6566" s="193"/>
      <c r="Q6566" s="193"/>
      <c r="R6566" s="193">
        <v>1</v>
      </c>
    </row>
    <row r="6567" spans="1:18" ht="36">
      <c r="A6567" s="189">
        <v>1363</v>
      </c>
      <c r="B6567" s="186" t="s">
        <v>12075</v>
      </c>
      <c r="C6567" s="190" t="s">
        <v>12076</v>
      </c>
      <c r="D6567" s="191">
        <v>2853.05</v>
      </c>
      <c r="E6567" s="191">
        <v>1323.04</v>
      </c>
      <c r="F6567" s="191"/>
      <c r="G6567" s="191">
        <v>1530.01</v>
      </c>
      <c r="H6567" s="192">
        <v>20546.3</v>
      </c>
      <c r="I6567" s="192">
        <v>15215.01</v>
      </c>
      <c r="J6567" s="192"/>
      <c r="K6567" s="192">
        <v>5331.29</v>
      </c>
      <c r="L6567" s="43">
        <v>7.2015211790890445</v>
      </c>
      <c r="M6567" s="43">
        <v>11.500037791752328</v>
      </c>
      <c r="N6567" s="43" t="s">
        <v>1690</v>
      </c>
      <c r="O6567" s="43">
        <v>3.484480493591545</v>
      </c>
      <c r="P6567" s="193"/>
      <c r="Q6567" s="193"/>
      <c r="R6567" s="193">
        <v>1</v>
      </c>
    </row>
    <row r="6568" spans="1:18" ht="36">
      <c r="A6568" s="189">
        <v>1364</v>
      </c>
      <c r="B6568" s="186" t="s">
        <v>12077</v>
      </c>
      <c r="C6568" s="190" t="s">
        <v>12078</v>
      </c>
      <c r="D6568" s="191">
        <v>2933.26</v>
      </c>
      <c r="E6568" s="191">
        <v>1609.68</v>
      </c>
      <c r="F6568" s="191"/>
      <c r="G6568" s="191">
        <v>1323.58</v>
      </c>
      <c r="H6568" s="192">
        <v>23213.89</v>
      </c>
      <c r="I6568" s="192">
        <v>18511.32</v>
      </c>
      <c r="J6568" s="192"/>
      <c r="K6568" s="192">
        <v>4702.57</v>
      </c>
      <c r="L6568" s="43">
        <v>7.9140239869633096</v>
      </c>
      <c r="M6568" s="43">
        <v>11.5</v>
      </c>
      <c r="N6568" s="43" t="s">
        <v>1690</v>
      </c>
      <c r="O6568" s="43">
        <v>3.5529170885023951</v>
      </c>
      <c r="P6568" s="193"/>
      <c r="Q6568" s="193"/>
      <c r="R6568" s="193">
        <v>1</v>
      </c>
    </row>
    <row r="6569" spans="1:18" ht="12.75" customHeight="1">
      <c r="A6569" s="628" t="s">
        <v>12079</v>
      </c>
      <c r="B6569" s="629"/>
      <c r="C6569" s="629"/>
      <c r="D6569" s="629"/>
      <c r="E6569" s="629"/>
      <c r="F6569" s="629"/>
      <c r="G6569" s="629"/>
      <c r="H6569" s="629"/>
      <c r="I6569" s="629"/>
      <c r="J6569" s="629"/>
      <c r="K6569" s="629"/>
      <c r="L6569" s="629"/>
      <c r="M6569" s="629"/>
      <c r="N6569" s="629"/>
      <c r="O6569" s="629"/>
      <c r="P6569" s="629"/>
      <c r="Q6569" s="629"/>
      <c r="R6569" s="629"/>
    </row>
    <row r="6570" spans="1:18" ht="24">
      <c r="A6570" s="189">
        <v>1365</v>
      </c>
      <c r="B6570" s="186" t="s">
        <v>12080</v>
      </c>
      <c r="C6570" s="190" t="s">
        <v>12081</v>
      </c>
      <c r="D6570" s="191">
        <v>688.78</v>
      </c>
      <c r="E6570" s="191">
        <v>161.07</v>
      </c>
      <c r="F6570" s="191"/>
      <c r="G6570" s="191">
        <v>527.71</v>
      </c>
      <c r="H6570" s="192">
        <v>3966.29</v>
      </c>
      <c r="I6570" s="192">
        <v>1852.28</v>
      </c>
      <c r="J6570" s="192"/>
      <c r="K6570" s="192">
        <v>2114.0100000000002</v>
      </c>
      <c r="L6570" s="43">
        <v>5.7584279450622846</v>
      </c>
      <c r="M6570" s="43">
        <v>11.499844787980381</v>
      </c>
      <c r="N6570" s="43" t="s">
        <v>1690</v>
      </c>
      <c r="O6570" s="43">
        <v>4.0060070872259388</v>
      </c>
      <c r="P6570" s="193"/>
      <c r="Q6570" s="193"/>
      <c r="R6570" s="193">
        <v>2</v>
      </c>
    </row>
    <row r="6571" spans="1:18" ht="24">
      <c r="A6571" s="189">
        <v>1366</v>
      </c>
      <c r="B6571" s="186" t="s">
        <v>12082</v>
      </c>
      <c r="C6571" s="190" t="s">
        <v>12083</v>
      </c>
      <c r="D6571" s="191">
        <v>877.18</v>
      </c>
      <c r="E6571" s="191">
        <v>198.33</v>
      </c>
      <c r="F6571" s="191"/>
      <c r="G6571" s="191">
        <v>678.85</v>
      </c>
      <c r="H6571" s="192">
        <v>5054.6899999999996</v>
      </c>
      <c r="I6571" s="192">
        <v>2280.8000000000002</v>
      </c>
      <c r="J6571" s="192"/>
      <c r="K6571" s="192">
        <v>2773.89</v>
      </c>
      <c r="L6571" s="43">
        <v>5.7624318839918827</v>
      </c>
      <c r="M6571" s="43">
        <v>11.50002521050774</v>
      </c>
      <c r="N6571" s="43" t="s">
        <v>1690</v>
      </c>
      <c r="O6571" s="43">
        <v>4.0861604183545701</v>
      </c>
      <c r="P6571" s="193"/>
      <c r="Q6571" s="193"/>
      <c r="R6571" s="193">
        <v>2</v>
      </c>
    </row>
    <row r="6572" spans="1:18" ht="36">
      <c r="A6572" s="189">
        <v>1367</v>
      </c>
      <c r="B6572" s="186" t="s">
        <v>12084</v>
      </c>
      <c r="C6572" s="190" t="s">
        <v>12085</v>
      </c>
      <c r="D6572" s="191">
        <v>2317.12</v>
      </c>
      <c r="E6572" s="191">
        <v>895.21</v>
      </c>
      <c r="F6572" s="191"/>
      <c r="G6572" s="191">
        <v>1421.91</v>
      </c>
      <c r="H6572" s="192">
        <v>15111.79</v>
      </c>
      <c r="I6572" s="192">
        <v>10294.89</v>
      </c>
      <c r="J6572" s="192"/>
      <c r="K6572" s="192">
        <v>4816.8999999999996</v>
      </c>
      <c r="L6572" s="43">
        <v>6.5217986120701568</v>
      </c>
      <c r="M6572" s="43">
        <v>11.499972073591669</v>
      </c>
      <c r="N6572" s="43" t="s">
        <v>1690</v>
      </c>
      <c r="O6572" s="43">
        <v>3.3876265023806003</v>
      </c>
      <c r="P6572" s="193"/>
      <c r="Q6572" s="193"/>
      <c r="R6572" s="193">
        <v>2</v>
      </c>
    </row>
    <row r="6573" spans="1:18" ht="36">
      <c r="A6573" s="189">
        <v>1368</v>
      </c>
      <c r="B6573" s="186" t="s">
        <v>12086</v>
      </c>
      <c r="C6573" s="190" t="s">
        <v>12087</v>
      </c>
      <c r="D6573" s="191">
        <v>2672.44</v>
      </c>
      <c r="E6573" s="191">
        <v>1265.1500000000001</v>
      </c>
      <c r="F6573" s="191"/>
      <c r="G6573" s="191">
        <v>1407.29</v>
      </c>
      <c r="H6573" s="192">
        <v>19602.09</v>
      </c>
      <c r="I6573" s="192">
        <v>14549.25</v>
      </c>
      <c r="J6573" s="192"/>
      <c r="K6573" s="192">
        <v>5052.84</v>
      </c>
      <c r="L6573" s="43">
        <v>7.3349036835251678</v>
      </c>
      <c r="M6573" s="43">
        <v>11.500019760502706</v>
      </c>
      <c r="N6573" s="43" t="s">
        <v>1690</v>
      </c>
      <c r="O6573" s="43">
        <v>3.590475310703551</v>
      </c>
      <c r="P6573" s="193"/>
      <c r="Q6573" s="193"/>
      <c r="R6573" s="193">
        <v>2</v>
      </c>
    </row>
    <row r="6574" spans="1:18" ht="36">
      <c r="A6574" s="189">
        <v>1369</v>
      </c>
      <c r="B6574" s="186" t="s">
        <v>12088</v>
      </c>
      <c r="C6574" s="190" t="s">
        <v>12089</v>
      </c>
      <c r="D6574" s="191">
        <v>2753.51</v>
      </c>
      <c r="E6574" s="191">
        <v>1323.04</v>
      </c>
      <c r="F6574" s="191"/>
      <c r="G6574" s="191">
        <v>1430.47</v>
      </c>
      <c r="H6574" s="192">
        <v>20130.349999999999</v>
      </c>
      <c r="I6574" s="192">
        <v>15215.01</v>
      </c>
      <c r="J6574" s="192"/>
      <c r="K6574" s="192">
        <v>4915.34</v>
      </c>
      <c r="L6574" s="43">
        <v>7.310796038510845</v>
      </c>
      <c r="M6574" s="43">
        <v>11.500037791752328</v>
      </c>
      <c r="N6574" s="43" t="s">
        <v>1690</v>
      </c>
      <c r="O6574" s="43">
        <v>3.4361713283046833</v>
      </c>
      <c r="P6574" s="193"/>
      <c r="Q6574" s="193"/>
      <c r="R6574" s="193">
        <v>2</v>
      </c>
    </row>
    <row r="6575" spans="1:18" ht="36">
      <c r="A6575" s="189">
        <v>1370</v>
      </c>
      <c r="B6575" s="186" t="s">
        <v>12090</v>
      </c>
      <c r="C6575" s="190" t="s">
        <v>12091</v>
      </c>
      <c r="D6575" s="191">
        <v>3024.9</v>
      </c>
      <c r="E6575" s="191">
        <v>1609.68</v>
      </c>
      <c r="F6575" s="191"/>
      <c r="G6575" s="191">
        <v>1415.22</v>
      </c>
      <c r="H6575" s="192">
        <v>23647.56</v>
      </c>
      <c r="I6575" s="192">
        <v>18511.32</v>
      </c>
      <c r="J6575" s="192"/>
      <c r="K6575" s="192">
        <v>5136.24</v>
      </c>
      <c r="L6575" s="43">
        <v>7.8176336407815139</v>
      </c>
      <c r="M6575" s="43">
        <v>11.5</v>
      </c>
      <c r="N6575" s="43" t="s">
        <v>1690</v>
      </c>
      <c r="O6575" s="43">
        <v>3.6292873192860471</v>
      </c>
      <c r="P6575" s="193"/>
      <c r="Q6575" s="193"/>
      <c r="R6575" s="193">
        <v>2</v>
      </c>
    </row>
    <row r="6576" spans="1:18" ht="12.75" customHeight="1">
      <c r="A6576" s="628" t="s">
        <v>12092</v>
      </c>
      <c r="B6576" s="629"/>
      <c r="C6576" s="629"/>
      <c r="D6576" s="629"/>
      <c r="E6576" s="629"/>
      <c r="F6576" s="629"/>
      <c r="G6576" s="629"/>
      <c r="H6576" s="629"/>
      <c r="I6576" s="629"/>
      <c r="J6576" s="629"/>
      <c r="K6576" s="629"/>
      <c r="L6576" s="629"/>
      <c r="M6576" s="629"/>
      <c r="N6576" s="629"/>
      <c r="O6576" s="629"/>
      <c r="P6576" s="629"/>
      <c r="Q6576" s="629"/>
      <c r="R6576" s="629"/>
    </row>
    <row r="6577" spans="1:18" ht="36">
      <c r="A6577" s="189">
        <v>1371</v>
      </c>
      <c r="B6577" s="186" t="s">
        <v>12093</v>
      </c>
      <c r="C6577" s="190" t="s">
        <v>12094</v>
      </c>
      <c r="D6577" s="191">
        <v>561.03</v>
      </c>
      <c r="E6577" s="191">
        <v>174.2</v>
      </c>
      <c r="F6577" s="191"/>
      <c r="G6577" s="191">
        <v>386.83</v>
      </c>
      <c r="H6577" s="192">
        <v>3437.35</v>
      </c>
      <c r="I6577" s="192">
        <v>2003.32</v>
      </c>
      <c r="J6577" s="192"/>
      <c r="K6577" s="192">
        <v>1434.03</v>
      </c>
      <c r="L6577" s="43">
        <v>6.1268559613567906</v>
      </c>
      <c r="M6577" s="43">
        <v>11.500114810562572</v>
      </c>
      <c r="N6577" s="43" t="s">
        <v>1690</v>
      </c>
      <c r="O6577" s="43">
        <v>3.7071323320321588</v>
      </c>
      <c r="P6577" s="193"/>
      <c r="Q6577" s="193"/>
      <c r="R6577" s="193">
        <v>3</v>
      </c>
    </row>
    <row r="6578" spans="1:18" ht="36">
      <c r="A6578" s="189">
        <v>1372</v>
      </c>
      <c r="B6578" s="186" t="s">
        <v>12095</v>
      </c>
      <c r="C6578" s="190" t="s">
        <v>12096</v>
      </c>
      <c r="D6578" s="191">
        <v>714.65</v>
      </c>
      <c r="E6578" s="191">
        <v>193.16</v>
      </c>
      <c r="F6578" s="191"/>
      <c r="G6578" s="191">
        <v>521.49</v>
      </c>
      <c r="H6578" s="192">
        <v>4249.87</v>
      </c>
      <c r="I6578" s="192">
        <v>2221.36</v>
      </c>
      <c r="J6578" s="192"/>
      <c r="K6578" s="192">
        <v>2028.51</v>
      </c>
      <c r="L6578" s="43">
        <v>5.9467851395788145</v>
      </c>
      <c r="M6578" s="43">
        <v>11.500103541105819</v>
      </c>
      <c r="N6578" s="43" t="s">
        <v>1690</v>
      </c>
      <c r="O6578" s="43">
        <v>3.8898348961629177</v>
      </c>
      <c r="P6578" s="193"/>
      <c r="Q6578" s="193"/>
      <c r="R6578" s="193">
        <v>3</v>
      </c>
    </row>
    <row r="6579" spans="1:18" ht="48">
      <c r="A6579" s="189">
        <v>1373</v>
      </c>
      <c r="B6579" s="186" t="s">
        <v>12097</v>
      </c>
      <c r="C6579" s="190" t="s">
        <v>12098</v>
      </c>
      <c r="D6579" s="191">
        <v>2230.85</v>
      </c>
      <c r="E6579" s="191">
        <v>927.01</v>
      </c>
      <c r="F6579" s="191"/>
      <c r="G6579" s="191">
        <v>1303.8399999999999</v>
      </c>
      <c r="H6579" s="192">
        <v>14886.59</v>
      </c>
      <c r="I6579" s="192">
        <v>10660.94</v>
      </c>
      <c r="J6579" s="192"/>
      <c r="K6579" s="192">
        <v>4225.6499999999996</v>
      </c>
      <c r="L6579" s="43">
        <v>6.6730573548199121</v>
      </c>
      <c r="M6579" s="43">
        <v>11.500350589529779</v>
      </c>
      <c r="N6579" s="43" t="s">
        <v>1690</v>
      </c>
      <c r="O6579" s="43">
        <v>3.2409268008344583</v>
      </c>
      <c r="P6579" s="193"/>
      <c r="Q6579" s="193"/>
      <c r="R6579" s="193">
        <v>3</v>
      </c>
    </row>
    <row r="6580" spans="1:18" ht="48">
      <c r="A6580" s="189">
        <v>1374</v>
      </c>
      <c r="B6580" s="186" t="s">
        <v>12099</v>
      </c>
      <c r="C6580" s="190" t="s">
        <v>12100</v>
      </c>
      <c r="D6580" s="191">
        <v>2575.6</v>
      </c>
      <c r="E6580" s="191">
        <v>1288.6300000000001</v>
      </c>
      <c r="F6580" s="191"/>
      <c r="G6580" s="191">
        <v>1286.97</v>
      </c>
      <c r="H6580" s="192">
        <v>19263.05</v>
      </c>
      <c r="I6580" s="192">
        <v>14819.69</v>
      </c>
      <c r="J6580" s="192"/>
      <c r="K6580" s="192">
        <v>4443.3599999999997</v>
      </c>
      <c r="L6580" s="43">
        <v>7.4790534244447899</v>
      </c>
      <c r="M6580" s="43">
        <v>11.500345327983982</v>
      </c>
      <c r="N6580" s="43" t="s">
        <v>1690</v>
      </c>
      <c r="O6580" s="43">
        <v>3.4525746520897922</v>
      </c>
      <c r="P6580" s="193"/>
      <c r="Q6580" s="193"/>
      <c r="R6580" s="193">
        <v>3</v>
      </c>
    </row>
    <row r="6581" spans="1:18" ht="48">
      <c r="A6581" s="189">
        <v>1375</v>
      </c>
      <c r="B6581" s="186" t="s">
        <v>12101</v>
      </c>
      <c r="C6581" s="190" t="s">
        <v>12102</v>
      </c>
      <c r="D6581" s="191">
        <v>2230.85</v>
      </c>
      <c r="E6581" s="191">
        <v>927.01</v>
      </c>
      <c r="F6581" s="191"/>
      <c r="G6581" s="191">
        <v>1303.8399999999999</v>
      </c>
      <c r="H6581" s="192">
        <v>14886.59</v>
      </c>
      <c r="I6581" s="192">
        <v>10660.94</v>
      </c>
      <c r="J6581" s="192"/>
      <c r="K6581" s="192">
        <v>4225.6499999999996</v>
      </c>
      <c r="L6581" s="43">
        <v>6.6730573548199121</v>
      </c>
      <c r="M6581" s="43">
        <v>11.500350589529779</v>
      </c>
      <c r="N6581" s="43" t="s">
        <v>1690</v>
      </c>
      <c r="O6581" s="43">
        <v>3.2409268008344583</v>
      </c>
      <c r="P6581" s="193"/>
      <c r="Q6581" s="193"/>
      <c r="R6581" s="193">
        <v>3</v>
      </c>
    </row>
    <row r="6582" spans="1:18" ht="48">
      <c r="A6582" s="189">
        <v>1376</v>
      </c>
      <c r="B6582" s="186" t="s">
        <v>12103</v>
      </c>
      <c r="C6582" s="190" t="s">
        <v>12104</v>
      </c>
      <c r="D6582" s="191">
        <v>2575.6</v>
      </c>
      <c r="E6582" s="191">
        <v>1288.6300000000001</v>
      </c>
      <c r="F6582" s="191"/>
      <c r="G6582" s="191">
        <v>1286.97</v>
      </c>
      <c r="H6582" s="192">
        <v>19263.05</v>
      </c>
      <c r="I6582" s="192">
        <v>14819.69</v>
      </c>
      <c r="J6582" s="192"/>
      <c r="K6582" s="192">
        <v>4443.3599999999997</v>
      </c>
      <c r="L6582" s="43">
        <v>7.4790534244447899</v>
      </c>
      <c r="M6582" s="43">
        <v>11.500345327983982</v>
      </c>
      <c r="N6582" s="43" t="s">
        <v>1690</v>
      </c>
      <c r="O6582" s="43">
        <v>3.4525746520897922</v>
      </c>
      <c r="P6582" s="193"/>
      <c r="Q6582" s="193"/>
      <c r="R6582" s="193">
        <v>3</v>
      </c>
    </row>
    <row r="6583" spans="1:18" ht="18.75" customHeight="1">
      <c r="A6583" s="628" t="s">
        <v>12105</v>
      </c>
      <c r="B6583" s="629"/>
      <c r="C6583" s="629"/>
      <c r="D6583" s="629"/>
      <c r="E6583" s="629"/>
      <c r="F6583" s="629"/>
      <c r="G6583" s="629"/>
      <c r="H6583" s="629"/>
      <c r="I6583" s="629"/>
      <c r="J6583" s="629"/>
      <c r="K6583" s="629"/>
      <c r="L6583" s="629"/>
      <c r="M6583" s="629"/>
      <c r="N6583" s="629"/>
      <c r="O6583" s="629"/>
      <c r="P6583" s="629"/>
      <c r="Q6583" s="629"/>
      <c r="R6583" s="629"/>
    </row>
    <row r="6584" spans="1:18" ht="36">
      <c r="A6584" s="189">
        <v>1377</v>
      </c>
      <c r="B6584" s="186" t="s">
        <v>12106</v>
      </c>
      <c r="C6584" s="190" t="s">
        <v>12107</v>
      </c>
      <c r="D6584" s="191">
        <v>343.12</v>
      </c>
      <c r="E6584" s="191">
        <v>124.43</v>
      </c>
      <c r="F6584" s="191"/>
      <c r="G6584" s="191">
        <v>218.69</v>
      </c>
      <c r="H6584" s="192">
        <v>2103.56</v>
      </c>
      <c r="I6584" s="192">
        <v>1430.94</v>
      </c>
      <c r="J6584" s="192"/>
      <c r="K6584" s="192">
        <v>672.62</v>
      </c>
      <c r="L6584" s="43">
        <v>6.1306831429237585</v>
      </c>
      <c r="M6584" s="43">
        <v>11.499959816764445</v>
      </c>
      <c r="N6584" s="43" t="s">
        <v>1690</v>
      </c>
      <c r="O6584" s="43">
        <v>3.0756779002240613</v>
      </c>
      <c r="P6584" s="193"/>
      <c r="Q6584" s="193"/>
      <c r="R6584" s="193">
        <v>4</v>
      </c>
    </row>
    <row r="6585" spans="1:18" ht="36">
      <c r="A6585" s="189">
        <v>1378</v>
      </c>
      <c r="B6585" s="186" t="s">
        <v>12108</v>
      </c>
      <c r="C6585" s="190" t="s">
        <v>12109</v>
      </c>
      <c r="D6585" s="191">
        <v>392.12</v>
      </c>
      <c r="E6585" s="191">
        <v>149.31</v>
      </c>
      <c r="F6585" s="191"/>
      <c r="G6585" s="191">
        <v>242.81</v>
      </c>
      <c r="H6585" s="192">
        <v>2449.61</v>
      </c>
      <c r="I6585" s="192">
        <v>1717.13</v>
      </c>
      <c r="J6585" s="192"/>
      <c r="K6585" s="192">
        <v>732.48</v>
      </c>
      <c r="L6585" s="43">
        <v>6.2470927267163114</v>
      </c>
      <c r="M6585" s="43">
        <v>11.500435335878374</v>
      </c>
      <c r="N6585" s="43" t="s">
        <v>1690</v>
      </c>
      <c r="O6585" s="43">
        <v>3.0166797084139865</v>
      </c>
      <c r="P6585" s="193"/>
      <c r="Q6585" s="193"/>
      <c r="R6585" s="193">
        <v>4</v>
      </c>
    </row>
    <row r="6586" spans="1:18" ht="36">
      <c r="A6586" s="189">
        <v>1379</v>
      </c>
      <c r="B6586" s="186" t="s">
        <v>12110</v>
      </c>
      <c r="C6586" s="190" t="s">
        <v>12111</v>
      </c>
      <c r="D6586" s="191">
        <v>432.88</v>
      </c>
      <c r="E6586" s="191">
        <v>156.41999999999999</v>
      </c>
      <c r="F6586" s="191"/>
      <c r="G6586" s="191">
        <v>276.45999999999998</v>
      </c>
      <c r="H6586" s="192">
        <v>2648.91</v>
      </c>
      <c r="I6586" s="192">
        <v>1798.9</v>
      </c>
      <c r="J6586" s="192"/>
      <c r="K6586" s="192">
        <v>850.01</v>
      </c>
      <c r="L6586" s="43">
        <v>6.1192709295878762</v>
      </c>
      <c r="M6586" s="43">
        <v>11.500447513105742</v>
      </c>
      <c r="N6586" s="43" t="s">
        <v>1690</v>
      </c>
      <c r="O6586" s="43">
        <v>3.0746220068002605</v>
      </c>
      <c r="P6586" s="193"/>
      <c r="Q6586" s="193"/>
      <c r="R6586" s="193">
        <v>4</v>
      </c>
    </row>
    <row r="6587" spans="1:18" ht="48">
      <c r="A6587" s="189">
        <v>1380</v>
      </c>
      <c r="B6587" s="186" t="s">
        <v>12112</v>
      </c>
      <c r="C6587" s="190" t="s">
        <v>12113</v>
      </c>
      <c r="D6587" s="191">
        <v>737.17</v>
      </c>
      <c r="E6587" s="191">
        <v>308.52999999999997</v>
      </c>
      <c r="F6587" s="191"/>
      <c r="G6587" s="191">
        <v>428.64</v>
      </c>
      <c r="H6587" s="192">
        <v>4882.53</v>
      </c>
      <c r="I6587" s="192">
        <v>3548.15</v>
      </c>
      <c r="J6587" s="192"/>
      <c r="K6587" s="192">
        <v>1334.38</v>
      </c>
      <c r="L6587" s="43">
        <v>6.6233433265054193</v>
      </c>
      <c r="M6587" s="43">
        <v>11.500178264674425</v>
      </c>
      <c r="N6587" s="43" t="s">
        <v>1690</v>
      </c>
      <c r="O6587" s="43">
        <v>3.1130552444942148</v>
      </c>
      <c r="P6587" s="193"/>
      <c r="Q6587" s="193"/>
      <c r="R6587" s="193">
        <v>4</v>
      </c>
    </row>
    <row r="6588" spans="1:18" ht="48">
      <c r="A6588" s="189">
        <v>1381</v>
      </c>
      <c r="B6588" s="186" t="s">
        <v>12114</v>
      </c>
      <c r="C6588" s="190" t="s">
        <v>12115</v>
      </c>
      <c r="D6588" s="191">
        <v>1885.96</v>
      </c>
      <c r="E6588" s="191">
        <v>889.7</v>
      </c>
      <c r="F6588" s="191"/>
      <c r="G6588" s="191">
        <v>996.26</v>
      </c>
      <c r="H6588" s="192">
        <v>13297.47</v>
      </c>
      <c r="I6588" s="192">
        <v>10231.86</v>
      </c>
      <c r="J6588" s="192"/>
      <c r="K6588" s="192">
        <v>3065.61</v>
      </c>
      <c r="L6588" s="43">
        <v>7.0507698996797386</v>
      </c>
      <c r="M6588" s="43">
        <v>11.50034843205575</v>
      </c>
      <c r="N6588" s="43" t="s">
        <v>1690</v>
      </c>
      <c r="O6588" s="43">
        <v>3.0771184229016524</v>
      </c>
      <c r="P6588" s="193"/>
      <c r="Q6588" s="193"/>
      <c r="R6588" s="193">
        <v>4</v>
      </c>
    </row>
    <row r="6589" spans="1:18" ht="48">
      <c r="A6589" s="189">
        <v>1382</v>
      </c>
      <c r="B6589" s="186" t="s">
        <v>12116</v>
      </c>
      <c r="C6589" s="190" t="s">
        <v>12117</v>
      </c>
      <c r="D6589" s="191">
        <v>2440.4299999999998</v>
      </c>
      <c r="E6589" s="191">
        <v>1235.54</v>
      </c>
      <c r="F6589" s="191"/>
      <c r="G6589" s="191">
        <v>1204.8900000000001</v>
      </c>
      <c r="H6589" s="192">
        <v>17927.919999999998</v>
      </c>
      <c r="I6589" s="192">
        <v>14209.08</v>
      </c>
      <c r="J6589" s="192"/>
      <c r="K6589" s="192">
        <v>3718.84</v>
      </c>
      <c r="L6589" s="43">
        <v>7.3462135771155079</v>
      </c>
      <c r="M6589" s="43">
        <v>11.500299464201888</v>
      </c>
      <c r="N6589" s="43" t="s">
        <v>1690</v>
      </c>
      <c r="O6589" s="43">
        <v>3.0864560250313304</v>
      </c>
      <c r="P6589" s="193"/>
      <c r="Q6589" s="193"/>
      <c r="R6589" s="193">
        <v>4</v>
      </c>
    </row>
    <row r="6590" spans="1:18" ht="48">
      <c r="A6590" s="189">
        <v>1383</v>
      </c>
      <c r="B6590" s="186" t="s">
        <v>12118</v>
      </c>
      <c r="C6590" s="190" t="s">
        <v>12119</v>
      </c>
      <c r="D6590" s="191">
        <v>807.43</v>
      </c>
      <c r="E6590" s="191">
        <v>377.41</v>
      </c>
      <c r="F6590" s="191"/>
      <c r="G6590" s="191">
        <v>430.02</v>
      </c>
      <c r="H6590" s="192">
        <v>5690.54</v>
      </c>
      <c r="I6590" s="192">
        <v>4340.29</v>
      </c>
      <c r="J6590" s="192"/>
      <c r="K6590" s="192">
        <v>1350.25</v>
      </c>
      <c r="L6590" s="43">
        <v>7.0477193069368242</v>
      </c>
      <c r="M6590" s="43">
        <v>11.500198722874327</v>
      </c>
      <c r="N6590" s="43" t="s">
        <v>1690</v>
      </c>
      <c r="O6590" s="43">
        <v>3.1399702339426074</v>
      </c>
      <c r="P6590" s="193"/>
      <c r="Q6590" s="193"/>
      <c r="R6590" s="193">
        <v>4</v>
      </c>
    </row>
    <row r="6591" spans="1:18" ht="48">
      <c r="A6591" s="189">
        <v>1384</v>
      </c>
      <c r="B6591" s="186" t="s">
        <v>12120</v>
      </c>
      <c r="C6591" s="190" t="s">
        <v>12121</v>
      </c>
      <c r="D6591" s="191">
        <v>2346.9499999999998</v>
      </c>
      <c r="E6591" s="191">
        <v>1341.73</v>
      </c>
      <c r="F6591" s="191"/>
      <c r="G6591" s="191">
        <v>1005.22</v>
      </c>
      <c r="H6591" s="192">
        <v>18599.490000000002</v>
      </c>
      <c r="I6591" s="192">
        <v>15430.31</v>
      </c>
      <c r="J6591" s="192"/>
      <c r="K6591" s="192">
        <v>3169.18</v>
      </c>
      <c r="L6591" s="43">
        <v>7.9249621849634648</v>
      </c>
      <c r="M6591" s="43">
        <v>11.500309302169587</v>
      </c>
      <c r="N6591" s="43" t="s">
        <v>1690</v>
      </c>
      <c r="O6591" s="43">
        <v>3.1527227870515904</v>
      </c>
      <c r="P6591" s="193"/>
      <c r="Q6591" s="193"/>
      <c r="R6591" s="193">
        <v>4</v>
      </c>
    </row>
    <row r="6592" spans="1:18" ht="48">
      <c r="A6592" s="189">
        <v>1385</v>
      </c>
      <c r="B6592" s="186" t="s">
        <v>12122</v>
      </c>
      <c r="C6592" s="190" t="s">
        <v>12123</v>
      </c>
      <c r="D6592" s="191">
        <v>2834.16</v>
      </c>
      <c r="E6592" s="191">
        <v>1621.55</v>
      </c>
      <c r="F6592" s="191"/>
      <c r="G6592" s="191">
        <v>1212.6099999999999</v>
      </c>
      <c r="H6592" s="192">
        <v>22456.01</v>
      </c>
      <c r="I6592" s="192">
        <v>18648.39</v>
      </c>
      <c r="J6592" s="192"/>
      <c r="K6592" s="192">
        <v>3807.62</v>
      </c>
      <c r="L6592" s="43">
        <v>7.9233388376097329</v>
      </c>
      <c r="M6592" s="43">
        <v>11.500348432055748</v>
      </c>
      <c r="N6592" s="43" t="s">
        <v>1690</v>
      </c>
      <c r="O6592" s="43">
        <v>3.1400202868193401</v>
      </c>
      <c r="P6592" s="193"/>
      <c r="Q6592" s="193"/>
      <c r="R6592" s="193">
        <v>4</v>
      </c>
    </row>
    <row r="6593" spans="1:18" ht="12.75" customHeight="1">
      <c r="A6593" s="628" t="s">
        <v>12124</v>
      </c>
      <c r="B6593" s="629"/>
      <c r="C6593" s="629"/>
      <c r="D6593" s="629"/>
      <c r="E6593" s="629"/>
      <c r="F6593" s="629"/>
      <c r="G6593" s="629"/>
      <c r="H6593" s="629"/>
      <c r="I6593" s="629"/>
      <c r="J6593" s="629"/>
      <c r="K6593" s="629"/>
      <c r="L6593" s="629"/>
      <c r="M6593" s="629"/>
      <c r="N6593" s="629"/>
      <c r="O6593" s="629"/>
      <c r="P6593" s="629"/>
      <c r="Q6593" s="629"/>
      <c r="R6593" s="629"/>
    </row>
    <row r="6594" spans="1:18" ht="36">
      <c r="A6594" s="189">
        <v>1386</v>
      </c>
      <c r="B6594" s="186" t="s">
        <v>12125</v>
      </c>
      <c r="C6594" s="190" t="s">
        <v>12126</v>
      </c>
      <c r="D6594" s="191">
        <v>871.43</v>
      </c>
      <c r="E6594" s="191">
        <v>331.06</v>
      </c>
      <c r="F6594" s="191"/>
      <c r="G6594" s="191">
        <v>540.37</v>
      </c>
      <c r="H6594" s="192">
        <v>6065.59</v>
      </c>
      <c r="I6594" s="192">
        <v>3807.29</v>
      </c>
      <c r="J6594" s="192"/>
      <c r="K6594" s="192">
        <v>2258.3000000000002</v>
      </c>
      <c r="L6594" s="43">
        <v>6.9605017040955675</v>
      </c>
      <c r="M6594" s="43">
        <v>11.500302060049538</v>
      </c>
      <c r="N6594" s="43" t="s">
        <v>1690</v>
      </c>
      <c r="O6594" s="43">
        <v>4.1791735292484784</v>
      </c>
      <c r="P6594" s="193"/>
      <c r="Q6594" s="193"/>
      <c r="R6594" s="193">
        <v>5</v>
      </c>
    </row>
    <row r="6595" spans="1:18" ht="36">
      <c r="A6595" s="189">
        <v>1387</v>
      </c>
      <c r="B6595" s="186" t="s">
        <v>12127</v>
      </c>
      <c r="C6595" s="190" t="s">
        <v>12128</v>
      </c>
      <c r="D6595" s="191">
        <v>1032.97</v>
      </c>
      <c r="E6595" s="191">
        <v>360.27</v>
      </c>
      <c r="F6595" s="191"/>
      <c r="G6595" s="191">
        <v>672.7</v>
      </c>
      <c r="H6595" s="192">
        <v>6953.35</v>
      </c>
      <c r="I6595" s="192">
        <v>4143.22</v>
      </c>
      <c r="J6595" s="192"/>
      <c r="K6595" s="192">
        <v>2810.13</v>
      </c>
      <c r="L6595" s="43">
        <v>6.7314152395519713</v>
      </c>
      <c r="M6595" s="43">
        <v>11.500319205040665</v>
      </c>
      <c r="N6595" s="43" t="s">
        <v>1690</v>
      </c>
      <c r="O6595" s="43">
        <v>4.1773896239036716</v>
      </c>
      <c r="P6595" s="193"/>
      <c r="Q6595" s="193"/>
      <c r="R6595" s="193">
        <v>5</v>
      </c>
    </row>
    <row r="6596" spans="1:18" ht="36">
      <c r="A6596" s="189">
        <v>1388</v>
      </c>
      <c r="B6596" s="186" t="s">
        <v>12129</v>
      </c>
      <c r="C6596" s="190" t="s">
        <v>12130</v>
      </c>
      <c r="D6596" s="191">
        <v>1522.46</v>
      </c>
      <c r="E6596" s="191">
        <v>389.48</v>
      </c>
      <c r="F6596" s="191"/>
      <c r="G6596" s="191">
        <v>1132.98</v>
      </c>
      <c r="H6596" s="192">
        <v>8717.17</v>
      </c>
      <c r="I6596" s="192">
        <v>4479.16</v>
      </c>
      <c r="J6596" s="192"/>
      <c r="K6596" s="192">
        <v>4238.01</v>
      </c>
      <c r="L6596" s="43">
        <v>5.725713647649199</v>
      </c>
      <c r="M6596" s="43">
        <v>11.50035945363048</v>
      </c>
      <c r="N6596" s="43" t="s">
        <v>1690</v>
      </c>
      <c r="O6596" s="43">
        <v>3.7405867711698355</v>
      </c>
      <c r="P6596" s="193"/>
      <c r="Q6596" s="193"/>
      <c r="R6596" s="193">
        <v>5</v>
      </c>
    </row>
    <row r="6597" spans="1:18" ht="12.75" customHeight="1">
      <c r="A6597" s="628" t="s">
        <v>12131</v>
      </c>
      <c r="B6597" s="629"/>
      <c r="C6597" s="629"/>
      <c r="D6597" s="629"/>
      <c r="E6597" s="629"/>
      <c r="F6597" s="629"/>
      <c r="G6597" s="629"/>
      <c r="H6597" s="629"/>
      <c r="I6597" s="629"/>
      <c r="J6597" s="629"/>
      <c r="K6597" s="629"/>
      <c r="L6597" s="629"/>
      <c r="M6597" s="629"/>
      <c r="N6597" s="629"/>
      <c r="O6597" s="629"/>
      <c r="P6597" s="629"/>
      <c r="Q6597" s="629"/>
      <c r="R6597" s="629"/>
    </row>
    <row r="6598" spans="1:18" ht="48">
      <c r="A6598" s="189">
        <v>1389</v>
      </c>
      <c r="B6598" s="186" t="s">
        <v>12132</v>
      </c>
      <c r="C6598" s="190" t="s">
        <v>12133</v>
      </c>
      <c r="D6598" s="191">
        <v>2543.37</v>
      </c>
      <c r="E6598" s="191">
        <v>768.08</v>
      </c>
      <c r="F6598" s="191"/>
      <c r="G6598" s="191">
        <v>1775.29</v>
      </c>
      <c r="H6598" s="192">
        <v>16355.33</v>
      </c>
      <c r="I6598" s="192">
        <v>8832.9</v>
      </c>
      <c r="J6598" s="192"/>
      <c r="K6598" s="192">
        <v>7522.43</v>
      </c>
      <c r="L6598" s="43">
        <v>6.4305743953887955</v>
      </c>
      <c r="M6598" s="43">
        <v>11.499973961045724</v>
      </c>
      <c r="N6598" s="43" t="s">
        <v>1690</v>
      </c>
      <c r="O6598" s="43">
        <v>4.2372964417081151</v>
      </c>
      <c r="P6598" s="193"/>
      <c r="Q6598" s="193"/>
      <c r="R6598" s="193">
        <v>6</v>
      </c>
    </row>
    <row r="6599" spans="1:18" ht="48">
      <c r="A6599" s="189">
        <v>1390</v>
      </c>
      <c r="B6599" s="186" t="s">
        <v>12134</v>
      </c>
      <c r="C6599" s="190" t="s">
        <v>12135</v>
      </c>
      <c r="D6599" s="191">
        <v>2733.51</v>
      </c>
      <c r="E6599" s="191">
        <v>805.34</v>
      </c>
      <c r="F6599" s="191"/>
      <c r="G6599" s="191">
        <v>1928.17</v>
      </c>
      <c r="H6599" s="192">
        <v>17827.11</v>
      </c>
      <c r="I6599" s="192">
        <v>9261.41</v>
      </c>
      <c r="J6599" s="192"/>
      <c r="K6599" s="192">
        <v>8565.7000000000007</v>
      </c>
      <c r="L6599" s="43">
        <v>6.5216918906460917</v>
      </c>
      <c r="M6599" s="43">
        <v>11.5</v>
      </c>
      <c r="N6599" s="43" t="s">
        <v>1690</v>
      </c>
      <c r="O6599" s="43">
        <v>4.4423987511474614</v>
      </c>
      <c r="P6599" s="193"/>
      <c r="Q6599" s="193"/>
      <c r="R6599" s="193">
        <v>6</v>
      </c>
    </row>
    <row r="6600" spans="1:18" ht="48">
      <c r="A6600" s="189">
        <v>1391</v>
      </c>
      <c r="B6600" s="186" t="s">
        <v>12136</v>
      </c>
      <c r="C6600" s="190" t="s">
        <v>12137</v>
      </c>
      <c r="D6600" s="191">
        <v>2735.46</v>
      </c>
      <c r="E6600" s="191">
        <v>810.15</v>
      </c>
      <c r="F6600" s="191"/>
      <c r="G6600" s="191">
        <v>1925.31</v>
      </c>
      <c r="H6600" s="192">
        <v>17445.060000000001</v>
      </c>
      <c r="I6600" s="192">
        <v>9316.7000000000007</v>
      </c>
      <c r="J6600" s="192"/>
      <c r="K6600" s="192">
        <v>8128.36</v>
      </c>
      <c r="L6600" s="43">
        <v>6.3773771139040605</v>
      </c>
      <c r="M6600" s="43">
        <v>11.499969141517004</v>
      </c>
      <c r="N6600" s="43" t="s">
        <v>1690</v>
      </c>
      <c r="O6600" s="43">
        <v>4.2218447938254098</v>
      </c>
      <c r="P6600" s="193"/>
      <c r="Q6600" s="193"/>
      <c r="R6600" s="193">
        <v>6</v>
      </c>
    </row>
    <row r="6601" spans="1:18" ht="48">
      <c r="A6601" s="189">
        <v>1392</v>
      </c>
      <c r="B6601" s="186" t="s">
        <v>12138</v>
      </c>
      <c r="C6601" s="190" t="s">
        <v>12139</v>
      </c>
      <c r="D6601" s="191">
        <v>2985.87</v>
      </c>
      <c r="E6601" s="191">
        <v>854.62</v>
      </c>
      <c r="F6601" s="191"/>
      <c r="G6601" s="191">
        <v>2131.25</v>
      </c>
      <c r="H6601" s="192">
        <v>19153.580000000002</v>
      </c>
      <c r="I6601" s="192">
        <v>9828.15</v>
      </c>
      <c r="J6601" s="192"/>
      <c r="K6601" s="192">
        <v>9325.43</v>
      </c>
      <c r="L6601" s="43">
        <v>6.4147400925023534</v>
      </c>
      <c r="M6601" s="43">
        <v>11.500023402213849</v>
      </c>
      <c r="N6601" s="43" t="s">
        <v>1690</v>
      </c>
      <c r="O6601" s="43">
        <v>4.3755683284457483</v>
      </c>
      <c r="P6601" s="193"/>
      <c r="Q6601" s="193"/>
      <c r="R6601" s="193">
        <v>6</v>
      </c>
    </row>
    <row r="6602" spans="1:18" ht="48">
      <c r="A6602" s="189">
        <v>1393</v>
      </c>
      <c r="B6602" s="186" t="s">
        <v>12140</v>
      </c>
      <c r="C6602" s="190" t="s">
        <v>12141</v>
      </c>
      <c r="D6602" s="191">
        <v>3099.89</v>
      </c>
      <c r="E6602" s="191">
        <v>915.92</v>
      </c>
      <c r="F6602" s="191"/>
      <c r="G6602" s="191">
        <v>2183.9699999999998</v>
      </c>
      <c r="H6602" s="192">
        <v>21030</v>
      </c>
      <c r="I6602" s="192">
        <v>10533.13</v>
      </c>
      <c r="J6602" s="192"/>
      <c r="K6602" s="192">
        <v>10496.87</v>
      </c>
      <c r="L6602" s="43">
        <v>6.7841116942859268</v>
      </c>
      <c r="M6602" s="43">
        <v>11.500054589920516</v>
      </c>
      <c r="N6602" s="43" t="s">
        <v>1690</v>
      </c>
      <c r="O6602" s="43">
        <v>4.8063251784594119</v>
      </c>
      <c r="P6602" s="193"/>
      <c r="Q6602" s="193"/>
      <c r="R6602" s="193">
        <v>6</v>
      </c>
    </row>
    <row r="6603" spans="1:18" ht="12.75" customHeight="1">
      <c r="A6603" s="628" t="s">
        <v>12142</v>
      </c>
      <c r="B6603" s="629"/>
      <c r="C6603" s="629"/>
      <c r="D6603" s="629"/>
      <c r="E6603" s="629"/>
      <c r="F6603" s="629"/>
      <c r="G6603" s="629"/>
      <c r="H6603" s="629"/>
      <c r="I6603" s="629"/>
      <c r="J6603" s="629"/>
      <c r="K6603" s="629"/>
      <c r="L6603" s="629"/>
      <c r="M6603" s="629"/>
      <c r="N6603" s="629"/>
      <c r="O6603" s="629"/>
      <c r="P6603" s="629"/>
      <c r="Q6603" s="629"/>
      <c r="R6603" s="629"/>
    </row>
    <row r="6604" spans="1:18" ht="48">
      <c r="A6604" s="189">
        <v>1394</v>
      </c>
      <c r="B6604" s="186" t="s">
        <v>12143</v>
      </c>
      <c r="C6604" s="190" t="s">
        <v>12144</v>
      </c>
      <c r="D6604" s="191">
        <v>2470.94</v>
      </c>
      <c r="E6604" s="191">
        <v>829.38</v>
      </c>
      <c r="F6604" s="191"/>
      <c r="G6604" s="191">
        <v>1641.56</v>
      </c>
      <c r="H6604" s="192">
        <v>16027.7</v>
      </c>
      <c r="I6604" s="192">
        <v>9537.8700000000008</v>
      </c>
      <c r="J6604" s="192"/>
      <c r="K6604" s="192">
        <v>6489.83</v>
      </c>
      <c r="L6604" s="43">
        <v>6.486478829918978</v>
      </c>
      <c r="M6604" s="43">
        <v>11.500000000000002</v>
      </c>
      <c r="N6604" s="43" t="s">
        <v>1690</v>
      </c>
      <c r="O6604" s="43">
        <v>3.9534528131777091</v>
      </c>
      <c r="P6604" s="193"/>
      <c r="Q6604" s="193"/>
      <c r="R6604" s="193">
        <v>7</v>
      </c>
    </row>
    <row r="6605" spans="1:18" ht="48">
      <c r="A6605" s="189">
        <v>1395</v>
      </c>
      <c r="B6605" s="186" t="s">
        <v>12145</v>
      </c>
      <c r="C6605" s="190" t="s">
        <v>12146</v>
      </c>
      <c r="D6605" s="191">
        <v>2779.31</v>
      </c>
      <c r="E6605" s="191">
        <v>878.66</v>
      </c>
      <c r="F6605" s="191"/>
      <c r="G6605" s="191">
        <v>1900.65</v>
      </c>
      <c r="H6605" s="192">
        <v>17571.669999999998</v>
      </c>
      <c r="I6605" s="192">
        <v>10104.61</v>
      </c>
      <c r="J6605" s="192"/>
      <c r="K6605" s="192">
        <v>7467.06</v>
      </c>
      <c r="L6605" s="43">
        <v>6.3223138117014646</v>
      </c>
      <c r="M6605" s="43">
        <v>11.500022761932945</v>
      </c>
      <c r="N6605" s="43" t="s">
        <v>1690</v>
      </c>
      <c r="O6605" s="43">
        <v>3.928687554257754</v>
      </c>
      <c r="P6605" s="193"/>
      <c r="Q6605" s="193"/>
      <c r="R6605" s="193">
        <v>7</v>
      </c>
    </row>
    <row r="6606" spans="1:18" ht="48">
      <c r="A6606" s="189">
        <v>1396</v>
      </c>
      <c r="B6606" s="186" t="s">
        <v>12147</v>
      </c>
      <c r="C6606" s="190" t="s">
        <v>12148</v>
      </c>
      <c r="D6606" s="191">
        <v>2883.14</v>
      </c>
      <c r="E6606" s="191">
        <v>878.66</v>
      </c>
      <c r="F6606" s="191"/>
      <c r="G6606" s="191">
        <v>2004.48</v>
      </c>
      <c r="H6606" s="192">
        <v>18013.88</v>
      </c>
      <c r="I6606" s="192">
        <v>10104.61</v>
      </c>
      <c r="J6606" s="192"/>
      <c r="K6606" s="192">
        <v>7909.27</v>
      </c>
      <c r="L6606" s="43">
        <v>6.248007380841722</v>
      </c>
      <c r="M6606" s="43">
        <v>11.500022761932945</v>
      </c>
      <c r="N6606" s="43" t="s">
        <v>1690</v>
      </c>
      <c r="O6606" s="43">
        <v>3.9457964160280974</v>
      </c>
      <c r="P6606" s="193"/>
      <c r="Q6606" s="193"/>
      <c r="R6606" s="193">
        <v>7</v>
      </c>
    </row>
    <row r="6607" spans="1:18" ht="48">
      <c r="A6607" s="189">
        <v>1397</v>
      </c>
      <c r="B6607" s="186" t="s">
        <v>12149</v>
      </c>
      <c r="C6607" s="190" t="s">
        <v>12150</v>
      </c>
      <c r="D6607" s="191">
        <v>3078.94</v>
      </c>
      <c r="E6607" s="191">
        <v>929.15</v>
      </c>
      <c r="F6607" s="191"/>
      <c r="G6607" s="191">
        <v>2149.79</v>
      </c>
      <c r="H6607" s="192">
        <v>19206.98</v>
      </c>
      <c r="I6607" s="192">
        <v>10685.18</v>
      </c>
      <c r="J6607" s="192"/>
      <c r="K6607" s="192">
        <v>8521.7999999999993</v>
      </c>
      <c r="L6607" s="43">
        <v>6.2381793734207225</v>
      </c>
      <c r="M6607" s="43">
        <v>11.499951568638004</v>
      </c>
      <c r="N6607" s="43" t="s">
        <v>1690</v>
      </c>
      <c r="O6607" s="43">
        <v>3.9640150898459847</v>
      </c>
      <c r="P6607" s="193"/>
      <c r="Q6607" s="193"/>
      <c r="R6607" s="193">
        <v>7</v>
      </c>
    </row>
    <row r="6608" spans="1:18" ht="48">
      <c r="A6608" s="189">
        <v>1398</v>
      </c>
      <c r="B6608" s="186" t="s">
        <v>12151</v>
      </c>
      <c r="C6608" s="190" t="s">
        <v>12152</v>
      </c>
      <c r="D6608" s="191">
        <v>3832.92</v>
      </c>
      <c r="E6608" s="191">
        <v>1015.69</v>
      </c>
      <c r="F6608" s="191"/>
      <c r="G6608" s="191">
        <v>2817.23</v>
      </c>
      <c r="H6608" s="192">
        <v>21872.23</v>
      </c>
      <c r="I6608" s="192">
        <v>11680.44</v>
      </c>
      <c r="J6608" s="192"/>
      <c r="K6608" s="192">
        <v>10191.790000000001</v>
      </c>
      <c r="L6608" s="43">
        <v>5.706414430773405</v>
      </c>
      <c r="M6608" s="43">
        <v>11.500004922761866</v>
      </c>
      <c r="N6608" s="43" t="s">
        <v>1690</v>
      </c>
      <c r="O6608" s="43">
        <v>3.6176634495586093</v>
      </c>
      <c r="P6608" s="193"/>
      <c r="Q6608" s="193"/>
      <c r="R6608" s="193">
        <v>7</v>
      </c>
    </row>
    <row r="6609" spans="1:18" ht="20.25" customHeight="1">
      <c r="A6609" s="628" t="s">
        <v>12153</v>
      </c>
      <c r="B6609" s="629"/>
      <c r="C6609" s="629"/>
      <c r="D6609" s="629"/>
      <c r="E6609" s="629"/>
      <c r="F6609" s="629"/>
      <c r="G6609" s="629"/>
      <c r="H6609" s="629"/>
      <c r="I6609" s="629"/>
      <c r="J6609" s="629"/>
      <c r="K6609" s="629"/>
      <c r="L6609" s="629"/>
      <c r="M6609" s="629"/>
      <c r="N6609" s="629"/>
      <c r="O6609" s="629"/>
      <c r="P6609" s="629"/>
      <c r="Q6609" s="629"/>
      <c r="R6609" s="629"/>
    </row>
    <row r="6610" spans="1:18" ht="48">
      <c r="A6610" s="189">
        <v>1399</v>
      </c>
      <c r="B6610" s="186" t="s">
        <v>12154</v>
      </c>
      <c r="C6610" s="190" t="s">
        <v>12155</v>
      </c>
      <c r="D6610" s="191">
        <v>2358.2600000000002</v>
      </c>
      <c r="E6610" s="191">
        <v>807.74</v>
      </c>
      <c r="F6610" s="191"/>
      <c r="G6610" s="191">
        <v>1550.52</v>
      </c>
      <c r="H6610" s="192">
        <v>16037.05</v>
      </c>
      <c r="I6610" s="192">
        <v>9289.06</v>
      </c>
      <c r="J6610" s="192"/>
      <c r="K6610" s="192">
        <v>6747.99</v>
      </c>
      <c r="L6610" s="43">
        <v>6.800374004562685</v>
      </c>
      <c r="M6610" s="43">
        <v>11.500061901106791</v>
      </c>
      <c r="N6610" s="43" t="s">
        <v>1690</v>
      </c>
      <c r="O6610" s="43">
        <v>4.3520818822072593</v>
      </c>
      <c r="P6610" s="193"/>
      <c r="Q6610" s="193"/>
      <c r="R6610" s="193">
        <v>8</v>
      </c>
    </row>
    <row r="6611" spans="1:18" ht="48">
      <c r="A6611" s="189">
        <v>1400</v>
      </c>
      <c r="B6611" s="186" t="s">
        <v>12156</v>
      </c>
      <c r="C6611" s="190" t="s">
        <v>12157</v>
      </c>
      <c r="D6611" s="191">
        <v>2557.4</v>
      </c>
      <c r="E6611" s="191">
        <v>846.21</v>
      </c>
      <c r="F6611" s="191"/>
      <c r="G6611" s="191">
        <v>1711.19</v>
      </c>
      <c r="H6611" s="192">
        <v>17179.669999999998</v>
      </c>
      <c r="I6611" s="192">
        <v>9731.39</v>
      </c>
      <c r="J6611" s="192"/>
      <c r="K6611" s="192">
        <v>7448.28</v>
      </c>
      <c r="L6611" s="43">
        <v>6.7176311879252353</v>
      </c>
      <c r="M6611" s="43">
        <v>11.499970456506068</v>
      </c>
      <c r="N6611" s="43" t="s">
        <v>1690</v>
      </c>
      <c r="O6611" s="43">
        <v>4.3526902331126287</v>
      </c>
      <c r="P6611" s="193"/>
      <c r="Q6611" s="193"/>
      <c r="R6611" s="193">
        <v>8</v>
      </c>
    </row>
    <row r="6612" spans="1:18" ht="48">
      <c r="A6612" s="189">
        <v>1401</v>
      </c>
      <c r="B6612" s="186" t="s">
        <v>12158</v>
      </c>
      <c r="C6612" s="190" t="s">
        <v>12159</v>
      </c>
      <c r="D6612" s="191">
        <v>2595.92</v>
      </c>
      <c r="E6612" s="191">
        <v>839</v>
      </c>
      <c r="F6612" s="191"/>
      <c r="G6612" s="191">
        <v>1756.92</v>
      </c>
      <c r="H6612" s="192">
        <v>17295.240000000002</v>
      </c>
      <c r="I6612" s="192">
        <v>9648.4500000000007</v>
      </c>
      <c r="J6612" s="192"/>
      <c r="K6612" s="192">
        <v>7646.79</v>
      </c>
      <c r="L6612" s="43">
        <v>6.66247033806897</v>
      </c>
      <c r="M6612" s="43">
        <v>11.49994040524434</v>
      </c>
      <c r="N6612" s="43" t="s">
        <v>1690</v>
      </c>
      <c r="O6612" s="43">
        <v>4.3523837169592241</v>
      </c>
      <c r="P6612" s="193"/>
      <c r="Q6612" s="193"/>
      <c r="R6612" s="193">
        <v>8</v>
      </c>
    </row>
    <row r="6613" spans="1:18" ht="48">
      <c r="A6613" s="189">
        <v>1402</v>
      </c>
      <c r="B6613" s="186" t="s">
        <v>12160</v>
      </c>
      <c r="C6613" s="190" t="s">
        <v>12161</v>
      </c>
      <c r="D6613" s="191">
        <v>2779.41</v>
      </c>
      <c r="E6613" s="191">
        <v>877.46</v>
      </c>
      <c r="F6613" s="191"/>
      <c r="G6613" s="191">
        <v>1901.95</v>
      </c>
      <c r="H6613" s="192">
        <v>18390.09</v>
      </c>
      <c r="I6613" s="192">
        <v>10090.790000000001</v>
      </c>
      <c r="J6613" s="192"/>
      <c r="K6613" s="192">
        <v>8299.2999999999993</v>
      </c>
      <c r="L6613" s="43">
        <v>6.6165445184409641</v>
      </c>
      <c r="M6613" s="43">
        <v>11.5</v>
      </c>
      <c r="N6613" s="43" t="s">
        <v>1690</v>
      </c>
      <c r="O6613" s="43">
        <v>4.3635742264517994</v>
      </c>
      <c r="P6613" s="193"/>
      <c r="Q6613" s="193"/>
      <c r="R6613" s="193">
        <v>8</v>
      </c>
    </row>
    <row r="6614" spans="1:18" ht="48">
      <c r="A6614" s="189">
        <v>1403</v>
      </c>
      <c r="B6614" s="186" t="s">
        <v>12162</v>
      </c>
      <c r="C6614" s="190" t="s">
        <v>12163</v>
      </c>
      <c r="D6614" s="191">
        <v>3759.08</v>
      </c>
      <c r="E6614" s="191">
        <v>921.93</v>
      </c>
      <c r="F6614" s="191"/>
      <c r="G6614" s="191">
        <v>2837.15</v>
      </c>
      <c r="H6614" s="192">
        <v>22091.07</v>
      </c>
      <c r="I6614" s="192">
        <v>10602.24</v>
      </c>
      <c r="J6614" s="192"/>
      <c r="K6614" s="192">
        <v>11488.83</v>
      </c>
      <c r="L6614" s="43">
        <v>5.8767224959298554</v>
      </c>
      <c r="M6614" s="43">
        <v>11.500048810647229</v>
      </c>
      <c r="N6614" s="43" t="s">
        <v>1690</v>
      </c>
      <c r="O6614" s="43">
        <v>4.0494263609608234</v>
      </c>
      <c r="P6614" s="193"/>
      <c r="Q6614" s="193"/>
      <c r="R6614" s="193">
        <v>8</v>
      </c>
    </row>
    <row r="6615" spans="1:18" ht="12.75" customHeight="1">
      <c r="A6615" s="628" t="s">
        <v>12164</v>
      </c>
      <c r="B6615" s="629"/>
      <c r="C6615" s="629"/>
      <c r="D6615" s="629"/>
      <c r="E6615" s="629"/>
      <c r="F6615" s="629"/>
      <c r="G6615" s="629"/>
      <c r="H6615" s="629"/>
      <c r="I6615" s="629"/>
      <c r="J6615" s="629"/>
      <c r="K6615" s="629"/>
      <c r="L6615" s="629"/>
      <c r="M6615" s="629"/>
      <c r="N6615" s="629"/>
      <c r="O6615" s="629"/>
      <c r="P6615" s="629"/>
      <c r="Q6615" s="629"/>
      <c r="R6615" s="629"/>
    </row>
    <row r="6616" spans="1:18" ht="24">
      <c r="A6616" s="189">
        <v>1404</v>
      </c>
      <c r="B6616" s="186" t="s">
        <v>12165</v>
      </c>
      <c r="C6616" s="190" t="s">
        <v>12166</v>
      </c>
      <c r="D6616" s="191">
        <v>2433.3200000000002</v>
      </c>
      <c r="E6616" s="191">
        <v>284.87</v>
      </c>
      <c r="F6616" s="191"/>
      <c r="G6616" s="191">
        <v>2148.4499999999998</v>
      </c>
      <c r="H6616" s="192">
        <v>9399.9500000000007</v>
      </c>
      <c r="I6616" s="192">
        <v>3276.05</v>
      </c>
      <c r="J6616" s="192"/>
      <c r="K6616" s="192">
        <v>6123.9</v>
      </c>
      <c r="L6616" s="43">
        <v>3.8630143178866736</v>
      </c>
      <c r="M6616" s="43">
        <v>11.500157966791871</v>
      </c>
      <c r="N6616" s="43" t="s">
        <v>1690</v>
      </c>
      <c r="O6616" s="43">
        <v>2.8503805068770509</v>
      </c>
      <c r="P6616" s="193"/>
      <c r="Q6616" s="193"/>
      <c r="R6616" s="193">
        <v>9</v>
      </c>
    </row>
    <row r="6617" spans="1:18" ht="24">
      <c r="A6617" s="189">
        <v>1405</v>
      </c>
      <c r="B6617" s="186" t="s">
        <v>12167</v>
      </c>
      <c r="C6617" s="190" t="s">
        <v>12168</v>
      </c>
      <c r="D6617" s="191">
        <v>4149.75</v>
      </c>
      <c r="E6617" s="191">
        <v>322.14</v>
      </c>
      <c r="F6617" s="191"/>
      <c r="G6617" s="191">
        <v>3827.61</v>
      </c>
      <c r="H6617" s="192">
        <v>14660.63</v>
      </c>
      <c r="I6617" s="192">
        <v>3704.56</v>
      </c>
      <c r="J6617" s="192"/>
      <c r="K6617" s="192">
        <v>10956.07</v>
      </c>
      <c r="L6617" s="43">
        <v>3.5328947526959453</v>
      </c>
      <c r="M6617" s="43">
        <v>11.499844787980381</v>
      </c>
      <c r="N6617" s="43" t="s">
        <v>1690</v>
      </c>
      <c r="O6617" s="43">
        <v>2.8623788735006959</v>
      </c>
      <c r="P6617" s="193"/>
      <c r="Q6617" s="193"/>
      <c r="R6617" s="193">
        <v>9</v>
      </c>
    </row>
    <row r="6618" spans="1:18" ht="12.75" customHeight="1">
      <c r="A6618" s="628" t="s">
        <v>12169</v>
      </c>
      <c r="B6618" s="629"/>
      <c r="C6618" s="629"/>
      <c r="D6618" s="629"/>
      <c r="E6618" s="629"/>
      <c r="F6618" s="629"/>
      <c r="G6618" s="629"/>
      <c r="H6618" s="629"/>
      <c r="I6618" s="629"/>
      <c r="J6618" s="629"/>
      <c r="K6618" s="629"/>
      <c r="L6618" s="629"/>
      <c r="M6618" s="629"/>
      <c r="N6618" s="629"/>
      <c r="O6618" s="629"/>
      <c r="P6618" s="629"/>
      <c r="Q6618" s="629"/>
      <c r="R6618" s="629"/>
    </row>
    <row r="6619" spans="1:18" ht="24">
      <c r="A6619" s="189">
        <v>1406</v>
      </c>
      <c r="B6619" s="186" t="s">
        <v>12170</v>
      </c>
      <c r="C6619" s="190" t="s">
        <v>12171</v>
      </c>
      <c r="D6619" s="191">
        <v>3350.96</v>
      </c>
      <c r="E6619" s="191">
        <v>705.57</v>
      </c>
      <c r="F6619" s="191"/>
      <c r="G6619" s="191">
        <v>2645.39</v>
      </c>
      <c r="H6619" s="192">
        <v>17335.46</v>
      </c>
      <c r="I6619" s="192">
        <v>8114.1</v>
      </c>
      <c r="J6619" s="192"/>
      <c r="K6619" s="192">
        <v>9221.36</v>
      </c>
      <c r="L6619" s="43">
        <v>5.1732816864420936</v>
      </c>
      <c r="M6619" s="43">
        <v>11.500063778221863</v>
      </c>
      <c r="N6619" s="43" t="s">
        <v>1690</v>
      </c>
      <c r="O6619" s="43">
        <v>3.4858225063223194</v>
      </c>
      <c r="P6619" s="193"/>
      <c r="Q6619" s="193"/>
      <c r="R6619" s="193">
        <v>10</v>
      </c>
    </row>
    <row r="6620" spans="1:18" ht="24">
      <c r="A6620" s="189">
        <v>1407</v>
      </c>
      <c r="B6620" s="186" t="s">
        <v>12172</v>
      </c>
      <c r="C6620" s="190" t="s">
        <v>12173</v>
      </c>
      <c r="D6620" s="191">
        <v>4945.04</v>
      </c>
      <c r="E6620" s="191">
        <v>1298.1600000000001</v>
      </c>
      <c r="F6620" s="191"/>
      <c r="G6620" s="191">
        <v>3646.88</v>
      </c>
      <c r="H6620" s="192">
        <v>28546.560000000001</v>
      </c>
      <c r="I6620" s="192">
        <v>14928.84</v>
      </c>
      <c r="J6620" s="192"/>
      <c r="K6620" s="192">
        <v>13617.72</v>
      </c>
      <c r="L6620" s="43">
        <v>5.7727662465824343</v>
      </c>
      <c r="M6620" s="43">
        <v>11.5</v>
      </c>
      <c r="N6620" s="43" t="s">
        <v>1690</v>
      </c>
      <c r="O6620" s="43">
        <v>3.7340740578247704</v>
      </c>
      <c r="P6620" s="193"/>
      <c r="Q6620" s="193"/>
      <c r="R6620" s="193">
        <v>10</v>
      </c>
    </row>
    <row r="6621" spans="1:18" ht="12.75" customHeight="1">
      <c r="A6621" s="628" t="s">
        <v>12174</v>
      </c>
      <c r="B6621" s="629"/>
      <c r="C6621" s="629"/>
      <c r="D6621" s="629"/>
      <c r="E6621" s="629"/>
      <c r="F6621" s="629"/>
      <c r="G6621" s="629"/>
      <c r="H6621" s="629"/>
      <c r="I6621" s="629"/>
      <c r="J6621" s="629"/>
      <c r="K6621" s="629"/>
      <c r="L6621" s="629"/>
      <c r="M6621" s="629"/>
      <c r="N6621" s="629"/>
      <c r="O6621" s="629"/>
      <c r="P6621" s="629"/>
      <c r="Q6621" s="629"/>
      <c r="R6621" s="629"/>
    </row>
    <row r="6622" spans="1:18" ht="24">
      <c r="A6622" s="189">
        <v>1408</v>
      </c>
      <c r="B6622" s="186" t="s">
        <v>12175</v>
      </c>
      <c r="C6622" s="190" t="s">
        <v>12176</v>
      </c>
      <c r="D6622" s="191">
        <v>2613.4</v>
      </c>
      <c r="E6622" s="191">
        <v>581.86</v>
      </c>
      <c r="F6622" s="191"/>
      <c r="G6622" s="191">
        <v>2031.54</v>
      </c>
      <c r="H6622" s="192">
        <v>14231.36</v>
      </c>
      <c r="I6622" s="192">
        <v>6691.34</v>
      </c>
      <c r="J6622" s="192"/>
      <c r="K6622" s="192">
        <v>7540.02</v>
      </c>
      <c r="L6622" s="43">
        <v>5.4455345526899821</v>
      </c>
      <c r="M6622" s="43">
        <v>11.499914068676313</v>
      </c>
      <c r="N6622" s="43" t="s">
        <v>1690</v>
      </c>
      <c r="O6622" s="43">
        <v>3.7114799610147968</v>
      </c>
      <c r="P6622" s="193"/>
      <c r="Q6622" s="193"/>
      <c r="R6622" s="193">
        <v>11</v>
      </c>
    </row>
    <row r="6623" spans="1:18" ht="24">
      <c r="A6623" s="189">
        <v>1409</v>
      </c>
      <c r="B6623" s="186" t="s">
        <v>12177</v>
      </c>
      <c r="C6623" s="190" t="s">
        <v>12178</v>
      </c>
      <c r="D6623" s="191">
        <v>3991.01</v>
      </c>
      <c r="E6623" s="191">
        <v>891.59</v>
      </c>
      <c r="F6623" s="191"/>
      <c r="G6623" s="191">
        <v>3099.42</v>
      </c>
      <c r="H6623" s="192">
        <v>22668.6</v>
      </c>
      <c r="I6623" s="192">
        <v>10253.33</v>
      </c>
      <c r="J6623" s="192"/>
      <c r="K6623" s="192">
        <v>12415.27</v>
      </c>
      <c r="L6623" s="43">
        <v>5.6799156103342252</v>
      </c>
      <c r="M6623" s="43">
        <v>11.500050471629336</v>
      </c>
      <c r="N6623" s="43" t="s">
        <v>1690</v>
      </c>
      <c r="O6623" s="43">
        <v>4.0056752553703596</v>
      </c>
      <c r="P6623" s="193"/>
      <c r="Q6623" s="193"/>
      <c r="R6623" s="193">
        <v>11</v>
      </c>
    </row>
    <row r="6624" spans="1:18" ht="12.75" customHeight="1">
      <c r="A6624" s="628" t="s">
        <v>12179</v>
      </c>
      <c r="B6624" s="629"/>
      <c r="C6624" s="629"/>
      <c r="D6624" s="629"/>
      <c r="E6624" s="629"/>
      <c r="F6624" s="629"/>
      <c r="G6624" s="629"/>
      <c r="H6624" s="629"/>
      <c r="I6624" s="629"/>
      <c r="J6624" s="629"/>
      <c r="K6624" s="629"/>
      <c r="L6624" s="629"/>
      <c r="M6624" s="629"/>
      <c r="N6624" s="629"/>
      <c r="O6624" s="629"/>
      <c r="P6624" s="629"/>
      <c r="Q6624" s="629"/>
      <c r="R6624" s="629"/>
    </row>
    <row r="6625" spans="1:18" ht="24">
      <c r="A6625" s="189">
        <v>1410</v>
      </c>
      <c r="B6625" s="186" t="s">
        <v>12180</v>
      </c>
      <c r="C6625" s="190" t="s">
        <v>12181</v>
      </c>
      <c r="D6625" s="191">
        <v>1595.68</v>
      </c>
      <c r="E6625" s="191">
        <v>153.38999999999999</v>
      </c>
      <c r="F6625" s="191"/>
      <c r="G6625" s="191">
        <v>1442.29</v>
      </c>
      <c r="H6625" s="192">
        <v>6019.6</v>
      </c>
      <c r="I6625" s="192">
        <v>1764.02</v>
      </c>
      <c r="J6625" s="192"/>
      <c r="K6625" s="192">
        <v>4255.58</v>
      </c>
      <c r="L6625" s="43">
        <v>3.7724355760553494</v>
      </c>
      <c r="M6625" s="43">
        <v>11.500228176543452</v>
      </c>
      <c r="N6625" s="43" t="s">
        <v>1690</v>
      </c>
      <c r="O6625" s="43">
        <v>2.9505716603457004</v>
      </c>
      <c r="P6625" s="193"/>
      <c r="Q6625" s="193"/>
      <c r="R6625" s="193">
        <v>12</v>
      </c>
    </row>
    <row r="6626" spans="1:18" ht="24">
      <c r="A6626" s="189">
        <v>1411</v>
      </c>
      <c r="B6626" s="186" t="s">
        <v>12182</v>
      </c>
      <c r="C6626" s="190" t="s">
        <v>12183</v>
      </c>
      <c r="D6626" s="191">
        <v>1800.94</v>
      </c>
      <c r="E6626" s="191">
        <v>191.74</v>
      </c>
      <c r="F6626" s="191"/>
      <c r="G6626" s="191">
        <v>1609.2</v>
      </c>
      <c r="H6626" s="192">
        <v>6978.34</v>
      </c>
      <c r="I6626" s="192">
        <v>2205.0300000000002</v>
      </c>
      <c r="J6626" s="192"/>
      <c r="K6626" s="192">
        <v>4773.3100000000004</v>
      </c>
      <c r="L6626" s="43">
        <v>3.8748320321609824</v>
      </c>
      <c r="M6626" s="43">
        <v>11.500104307916972</v>
      </c>
      <c r="N6626" s="43" t="s">
        <v>1690</v>
      </c>
      <c r="O6626" s="43">
        <v>2.9662627392493164</v>
      </c>
      <c r="P6626" s="193"/>
      <c r="Q6626" s="193"/>
      <c r="R6626" s="193">
        <v>12</v>
      </c>
    </row>
    <row r="6627" spans="1:18" ht="24">
      <c r="A6627" s="189">
        <v>1412</v>
      </c>
      <c r="B6627" s="186" t="s">
        <v>12184</v>
      </c>
      <c r="C6627" s="190" t="s">
        <v>12185</v>
      </c>
      <c r="D6627" s="191">
        <v>2308.19</v>
      </c>
      <c r="E6627" s="191">
        <v>242.45</v>
      </c>
      <c r="F6627" s="191"/>
      <c r="G6627" s="191">
        <v>2065.7399999999998</v>
      </c>
      <c r="H6627" s="192">
        <v>8129.34</v>
      </c>
      <c r="I6627" s="192">
        <v>2788.3</v>
      </c>
      <c r="J6627" s="192"/>
      <c r="K6627" s="192">
        <v>5341.04</v>
      </c>
      <c r="L6627" s="43">
        <v>3.521954431827536</v>
      </c>
      <c r="M6627" s="43">
        <v>11.500515570220665</v>
      </c>
      <c r="N6627" s="43" t="s">
        <v>1690</v>
      </c>
      <c r="O6627" s="43">
        <v>2.5855335134140796</v>
      </c>
      <c r="P6627" s="193"/>
      <c r="Q6627" s="193"/>
      <c r="R6627" s="193">
        <v>12</v>
      </c>
    </row>
    <row r="6628" spans="1:18" ht="12.75" customHeight="1">
      <c r="A6628" s="628" t="s">
        <v>12186</v>
      </c>
      <c r="B6628" s="629"/>
      <c r="C6628" s="629"/>
      <c r="D6628" s="629"/>
      <c r="E6628" s="629"/>
      <c r="F6628" s="629"/>
      <c r="G6628" s="629"/>
      <c r="H6628" s="629"/>
      <c r="I6628" s="629"/>
      <c r="J6628" s="629"/>
      <c r="K6628" s="629"/>
      <c r="L6628" s="629"/>
      <c r="M6628" s="629"/>
      <c r="N6628" s="629"/>
      <c r="O6628" s="629"/>
      <c r="P6628" s="629"/>
      <c r="Q6628" s="629"/>
      <c r="R6628" s="629"/>
    </row>
    <row r="6629" spans="1:18" ht="36">
      <c r="A6629" s="189">
        <v>1413</v>
      </c>
      <c r="B6629" s="186" t="s">
        <v>12187</v>
      </c>
      <c r="C6629" s="190" t="s">
        <v>12188</v>
      </c>
      <c r="D6629" s="191">
        <v>805.72</v>
      </c>
      <c r="E6629" s="191">
        <v>90.15</v>
      </c>
      <c r="F6629" s="191"/>
      <c r="G6629" s="191">
        <v>715.57</v>
      </c>
      <c r="H6629" s="192">
        <v>3547.71</v>
      </c>
      <c r="I6629" s="192">
        <v>1036.73</v>
      </c>
      <c r="J6629" s="192"/>
      <c r="K6629" s="192">
        <v>2510.98</v>
      </c>
      <c r="L6629" s="43">
        <v>4.403154942163531</v>
      </c>
      <c r="M6629" s="43">
        <v>11.500055463117027</v>
      </c>
      <c r="N6629" s="43" t="s">
        <v>1690</v>
      </c>
      <c r="O6629" s="43">
        <v>3.5090627052559498</v>
      </c>
      <c r="P6629" s="193"/>
      <c r="Q6629" s="193"/>
      <c r="R6629" s="193">
        <v>13</v>
      </c>
    </row>
    <row r="6630" spans="1:18" ht="25.5" customHeight="1">
      <c r="A6630" s="628" t="s">
        <v>12189</v>
      </c>
      <c r="B6630" s="629"/>
      <c r="C6630" s="629"/>
      <c r="D6630" s="629"/>
      <c r="E6630" s="629"/>
      <c r="F6630" s="629"/>
      <c r="G6630" s="629"/>
      <c r="H6630" s="629"/>
      <c r="I6630" s="629"/>
      <c r="J6630" s="629"/>
      <c r="K6630" s="629"/>
      <c r="L6630" s="629"/>
      <c r="M6630" s="629"/>
      <c r="N6630" s="629"/>
      <c r="O6630" s="629"/>
      <c r="P6630" s="629"/>
      <c r="Q6630" s="629"/>
      <c r="R6630" s="629"/>
    </row>
    <row r="6631" spans="1:18" ht="48">
      <c r="A6631" s="189">
        <v>1414</v>
      </c>
      <c r="B6631" s="186" t="s">
        <v>12190</v>
      </c>
      <c r="C6631" s="190" t="s">
        <v>12191</v>
      </c>
      <c r="D6631" s="191">
        <v>10457.83</v>
      </c>
      <c r="E6631" s="191">
        <v>3085.8</v>
      </c>
      <c r="F6631" s="191">
        <v>7245.85</v>
      </c>
      <c r="G6631" s="191">
        <v>126.18</v>
      </c>
      <c r="H6631" s="192">
        <v>73170.06</v>
      </c>
      <c r="I6631" s="192">
        <v>35486.699999999997</v>
      </c>
      <c r="J6631" s="192">
        <v>36671.21</v>
      </c>
      <c r="K6631" s="192">
        <v>1012.15</v>
      </c>
      <c r="L6631" s="43">
        <v>6.9966771309153044</v>
      </c>
      <c r="M6631" s="43">
        <v>11.499999999999998</v>
      </c>
      <c r="N6631" s="43">
        <v>5.060994914330271</v>
      </c>
      <c r="O6631" s="43">
        <v>8.0214772547154851</v>
      </c>
      <c r="P6631" s="193"/>
      <c r="Q6631" s="193"/>
      <c r="R6631" s="193">
        <v>14</v>
      </c>
    </row>
    <row r="6632" spans="1:18" ht="48">
      <c r="A6632" s="189">
        <v>1415</v>
      </c>
      <c r="B6632" s="186" t="s">
        <v>12192</v>
      </c>
      <c r="C6632" s="190" t="s">
        <v>12193</v>
      </c>
      <c r="D6632" s="191">
        <v>6424.43</v>
      </c>
      <c r="E6632" s="191">
        <v>2619.6</v>
      </c>
      <c r="F6632" s="191">
        <v>3687.98</v>
      </c>
      <c r="G6632" s="191">
        <v>116.85</v>
      </c>
      <c r="H6632" s="192">
        <v>49694.81</v>
      </c>
      <c r="I6632" s="192">
        <v>30125.4</v>
      </c>
      <c r="J6632" s="192">
        <v>18664.55</v>
      </c>
      <c r="K6632" s="192">
        <v>904.86</v>
      </c>
      <c r="L6632" s="43">
        <v>7.7352870215723408</v>
      </c>
      <c r="M6632" s="43">
        <v>11.500000000000002</v>
      </c>
      <c r="N6632" s="43">
        <v>5.0609141047402639</v>
      </c>
      <c r="O6632" s="43">
        <v>7.7437740693196409</v>
      </c>
      <c r="P6632" s="193"/>
      <c r="Q6632" s="193"/>
      <c r="R6632" s="193">
        <v>14</v>
      </c>
    </row>
    <row r="6633" spans="1:18" ht="48">
      <c r="A6633" s="189">
        <v>1416</v>
      </c>
      <c r="B6633" s="186" t="s">
        <v>12194</v>
      </c>
      <c r="C6633" s="190" t="s">
        <v>12195</v>
      </c>
      <c r="D6633" s="191">
        <v>10631.8</v>
      </c>
      <c r="E6633" s="191">
        <v>3152.4</v>
      </c>
      <c r="F6633" s="191">
        <v>7351.89</v>
      </c>
      <c r="G6633" s="191">
        <v>127.51</v>
      </c>
      <c r="H6633" s="192">
        <v>74487.070000000007</v>
      </c>
      <c r="I6633" s="192">
        <v>36252.6</v>
      </c>
      <c r="J6633" s="192">
        <v>37207.019999999997</v>
      </c>
      <c r="K6633" s="192">
        <v>1027.45</v>
      </c>
      <c r="L6633" s="43">
        <v>7.0060638838202385</v>
      </c>
      <c r="M6633" s="43">
        <v>11.5</v>
      </c>
      <c r="N6633" s="43">
        <v>5.0608782231507812</v>
      </c>
      <c r="O6633" s="43">
        <v>8.0577993882832715</v>
      </c>
      <c r="P6633" s="193"/>
      <c r="Q6633" s="193"/>
      <c r="R6633" s="193">
        <v>14</v>
      </c>
    </row>
    <row r="6634" spans="1:18" ht="48">
      <c r="A6634" s="189">
        <v>1417</v>
      </c>
      <c r="B6634" s="186" t="s">
        <v>12196</v>
      </c>
      <c r="C6634" s="190" t="s">
        <v>12197</v>
      </c>
      <c r="D6634" s="191">
        <v>6469.72</v>
      </c>
      <c r="E6634" s="191">
        <v>2664</v>
      </c>
      <c r="F6634" s="191">
        <v>3687.98</v>
      </c>
      <c r="G6634" s="191">
        <v>117.74</v>
      </c>
      <c r="H6634" s="192">
        <v>50215.64</v>
      </c>
      <c r="I6634" s="192">
        <v>30636</v>
      </c>
      <c r="J6634" s="192">
        <v>18664.55</v>
      </c>
      <c r="K6634" s="192">
        <v>915.09</v>
      </c>
      <c r="L6634" s="43">
        <v>7.7616403801091849</v>
      </c>
      <c r="M6634" s="43">
        <v>11.5</v>
      </c>
      <c r="N6634" s="43">
        <v>5.0609141047402639</v>
      </c>
      <c r="O6634" s="43">
        <v>7.7721250212332267</v>
      </c>
      <c r="P6634" s="193"/>
      <c r="Q6634" s="193"/>
      <c r="R6634" s="193">
        <v>14</v>
      </c>
    </row>
    <row r="6635" spans="1:18" ht="48">
      <c r="A6635" s="189">
        <v>1418</v>
      </c>
      <c r="B6635" s="186" t="s">
        <v>12198</v>
      </c>
      <c r="C6635" s="190" t="s">
        <v>12199</v>
      </c>
      <c r="D6635" s="191">
        <v>7041.95</v>
      </c>
      <c r="E6635" s="191">
        <v>1999.36</v>
      </c>
      <c r="F6635" s="191">
        <v>4938.1400000000003</v>
      </c>
      <c r="G6635" s="191">
        <v>104.45</v>
      </c>
      <c r="H6635" s="192">
        <v>48747.19</v>
      </c>
      <c r="I6635" s="192">
        <v>22992.639999999999</v>
      </c>
      <c r="J6635" s="192">
        <v>24992.29</v>
      </c>
      <c r="K6635" s="192">
        <v>762.26</v>
      </c>
      <c r="L6635" s="43">
        <v>6.9223993354113569</v>
      </c>
      <c r="M6635" s="43">
        <v>11.5</v>
      </c>
      <c r="N6635" s="43">
        <v>5.0610736026115095</v>
      </c>
      <c r="O6635" s="43">
        <v>7.2978458592628046</v>
      </c>
      <c r="P6635" s="193"/>
      <c r="Q6635" s="193"/>
      <c r="R6635" s="193">
        <v>14</v>
      </c>
    </row>
    <row r="6636" spans="1:18" ht="48">
      <c r="A6636" s="189">
        <v>1419</v>
      </c>
      <c r="B6636" s="186" t="s">
        <v>12200</v>
      </c>
      <c r="C6636" s="190" t="s">
        <v>12201</v>
      </c>
      <c r="D6636" s="191">
        <v>4355.34</v>
      </c>
      <c r="E6636" s="191">
        <v>1840.32</v>
      </c>
      <c r="F6636" s="191">
        <v>2413.75</v>
      </c>
      <c r="G6636" s="191">
        <v>101.27</v>
      </c>
      <c r="H6636" s="192">
        <v>34104.11</v>
      </c>
      <c r="I6636" s="192">
        <v>21163.68</v>
      </c>
      <c r="J6636" s="192">
        <v>12214.74</v>
      </c>
      <c r="K6636" s="192">
        <v>725.69</v>
      </c>
      <c r="L6636" s="43">
        <v>7.8304127806325106</v>
      </c>
      <c r="M6636" s="43">
        <v>11.5</v>
      </c>
      <c r="N6636" s="43">
        <v>5.0604826514759189</v>
      </c>
      <c r="O6636" s="43">
        <v>7.1658931569072788</v>
      </c>
      <c r="P6636" s="193"/>
      <c r="Q6636" s="193"/>
      <c r="R6636" s="193">
        <v>14</v>
      </c>
    </row>
    <row r="6637" spans="1:18" ht="12.75" customHeight="1">
      <c r="A6637" s="628" t="s">
        <v>12202</v>
      </c>
      <c r="B6637" s="629"/>
      <c r="C6637" s="629"/>
      <c r="D6637" s="629"/>
      <c r="E6637" s="629"/>
      <c r="F6637" s="629"/>
      <c r="G6637" s="629"/>
      <c r="H6637" s="629"/>
      <c r="I6637" s="629"/>
      <c r="J6637" s="629"/>
      <c r="K6637" s="629"/>
      <c r="L6637" s="629"/>
      <c r="M6637" s="629"/>
      <c r="N6637" s="629"/>
      <c r="O6637" s="629"/>
      <c r="P6637" s="629"/>
      <c r="Q6637" s="629"/>
      <c r="R6637" s="629"/>
    </row>
    <row r="6638" spans="1:18" ht="36">
      <c r="A6638" s="189">
        <v>1420</v>
      </c>
      <c r="B6638" s="186" t="s">
        <v>12203</v>
      </c>
      <c r="C6638" s="190" t="s">
        <v>12204</v>
      </c>
      <c r="D6638" s="191">
        <v>8028</v>
      </c>
      <c r="E6638" s="191">
        <v>7462.97</v>
      </c>
      <c r="F6638" s="191"/>
      <c r="G6638" s="191">
        <v>565.03</v>
      </c>
      <c r="H6638" s="192">
        <v>90245.759999999995</v>
      </c>
      <c r="I6638" s="192">
        <v>85827.01</v>
      </c>
      <c r="J6638" s="192"/>
      <c r="K6638" s="192">
        <v>4418.75</v>
      </c>
      <c r="L6638" s="43">
        <v>11.241375186846039</v>
      </c>
      <c r="M6638" s="43">
        <v>11.500382555470543</v>
      </c>
      <c r="N6638" s="43" t="s">
        <v>1690</v>
      </c>
      <c r="O6638" s="43">
        <v>7.8203812186963528</v>
      </c>
      <c r="P6638" s="193"/>
      <c r="Q6638" s="193"/>
      <c r="R6638" s="193">
        <v>15</v>
      </c>
    </row>
    <row r="6639" spans="1:18" ht="36">
      <c r="A6639" s="189">
        <v>1421</v>
      </c>
      <c r="B6639" s="186" t="s">
        <v>12205</v>
      </c>
      <c r="C6639" s="190" t="s">
        <v>12206</v>
      </c>
      <c r="D6639" s="191">
        <v>4948.45</v>
      </c>
      <c r="E6639" s="191">
        <v>4443.8</v>
      </c>
      <c r="F6639" s="191"/>
      <c r="G6639" s="191">
        <v>504.65</v>
      </c>
      <c r="H6639" s="192">
        <v>54829.78</v>
      </c>
      <c r="I6639" s="192">
        <v>51105.4</v>
      </c>
      <c r="J6639" s="192"/>
      <c r="K6639" s="192">
        <v>3724.38</v>
      </c>
      <c r="L6639" s="43">
        <v>11.080192787640575</v>
      </c>
      <c r="M6639" s="43">
        <v>11.500382555470543</v>
      </c>
      <c r="N6639" s="43" t="s">
        <v>1690</v>
      </c>
      <c r="O6639" s="43">
        <v>7.3801248389973253</v>
      </c>
      <c r="P6639" s="193"/>
      <c r="Q6639" s="193"/>
      <c r="R6639" s="193">
        <v>15</v>
      </c>
    </row>
    <row r="6640" spans="1:18" ht="12.75" customHeight="1">
      <c r="A6640" s="628" t="s">
        <v>12207</v>
      </c>
      <c r="B6640" s="629"/>
      <c r="C6640" s="629"/>
      <c r="D6640" s="629"/>
      <c r="E6640" s="629"/>
      <c r="F6640" s="629"/>
      <c r="G6640" s="629"/>
      <c r="H6640" s="629"/>
      <c r="I6640" s="629"/>
      <c r="J6640" s="629"/>
      <c r="K6640" s="629"/>
      <c r="L6640" s="629"/>
      <c r="M6640" s="629"/>
      <c r="N6640" s="629"/>
      <c r="O6640" s="629"/>
      <c r="P6640" s="629"/>
      <c r="Q6640" s="629"/>
      <c r="R6640" s="629"/>
    </row>
    <row r="6641" spans="1:18" ht="36">
      <c r="A6641" s="189">
        <v>1422</v>
      </c>
      <c r="B6641" s="186" t="s">
        <v>12208</v>
      </c>
      <c r="C6641" s="190" t="s">
        <v>12209</v>
      </c>
      <c r="D6641" s="191">
        <v>1844.61</v>
      </c>
      <c r="E6641" s="191">
        <v>497.93</v>
      </c>
      <c r="F6641" s="191">
        <v>1223.1300000000001</v>
      </c>
      <c r="G6641" s="191">
        <v>123.55</v>
      </c>
      <c r="H6641" s="192">
        <v>13149.6</v>
      </c>
      <c r="I6641" s="192">
        <v>5726.22</v>
      </c>
      <c r="J6641" s="192">
        <v>6735.17</v>
      </c>
      <c r="K6641" s="192">
        <v>688.21</v>
      </c>
      <c r="L6641" s="43">
        <v>7.1286613430481243</v>
      </c>
      <c r="M6641" s="43">
        <v>11.500050207860543</v>
      </c>
      <c r="N6641" s="43">
        <v>5.5065038058096842</v>
      </c>
      <c r="O6641" s="43">
        <v>5.5702954269526508</v>
      </c>
      <c r="P6641" s="193"/>
      <c r="Q6641" s="193"/>
      <c r="R6641" s="193">
        <v>16</v>
      </c>
    </row>
    <row r="6642" spans="1:18" ht="36">
      <c r="A6642" s="189">
        <v>1423</v>
      </c>
      <c r="B6642" s="186" t="s">
        <v>12210</v>
      </c>
      <c r="C6642" s="190" t="s">
        <v>12211</v>
      </c>
      <c r="D6642" s="191">
        <v>8683.18</v>
      </c>
      <c r="E6642" s="191">
        <v>2382.88</v>
      </c>
      <c r="F6642" s="191">
        <v>2446.27</v>
      </c>
      <c r="G6642" s="191">
        <v>3854.03</v>
      </c>
      <c r="H6642" s="192">
        <v>58059.87</v>
      </c>
      <c r="I6642" s="192">
        <v>27403.119999999999</v>
      </c>
      <c r="J6642" s="192">
        <v>13470.33</v>
      </c>
      <c r="K6642" s="192">
        <v>17186.419999999998</v>
      </c>
      <c r="L6642" s="43">
        <v>6.686475461754795</v>
      </c>
      <c r="M6642" s="43">
        <v>11.499999999999998</v>
      </c>
      <c r="N6642" s="43">
        <v>5.506477208157726</v>
      </c>
      <c r="O6642" s="43">
        <v>4.4593373689358922</v>
      </c>
      <c r="P6642" s="193"/>
      <c r="Q6642" s="193"/>
      <c r="R6642" s="193">
        <v>16</v>
      </c>
    </row>
    <row r="6643" spans="1:18" ht="24.75" customHeight="1">
      <c r="A6643" s="628" t="s">
        <v>12212</v>
      </c>
      <c r="B6643" s="629"/>
      <c r="C6643" s="629"/>
      <c r="D6643" s="629"/>
      <c r="E6643" s="629"/>
      <c r="F6643" s="629"/>
      <c r="G6643" s="629"/>
      <c r="H6643" s="629"/>
      <c r="I6643" s="629"/>
      <c r="J6643" s="629"/>
      <c r="K6643" s="629"/>
      <c r="L6643" s="629"/>
      <c r="M6643" s="629"/>
      <c r="N6643" s="629"/>
      <c r="O6643" s="629"/>
      <c r="P6643" s="629"/>
      <c r="Q6643" s="629"/>
      <c r="R6643" s="629"/>
    </row>
    <row r="6644" spans="1:18" ht="36">
      <c r="A6644" s="189">
        <v>1424</v>
      </c>
      <c r="B6644" s="186" t="s">
        <v>12213</v>
      </c>
      <c r="C6644" s="190" t="s">
        <v>12214</v>
      </c>
      <c r="D6644" s="191">
        <v>35332.99</v>
      </c>
      <c r="E6644" s="191">
        <v>1404.16</v>
      </c>
      <c r="F6644" s="191">
        <v>2048.4</v>
      </c>
      <c r="G6644" s="191">
        <v>31880.43</v>
      </c>
      <c r="H6644" s="192">
        <v>152771.42000000001</v>
      </c>
      <c r="I6644" s="192">
        <v>16148.48</v>
      </c>
      <c r="J6644" s="192">
        <v>12668.39</v>
      </c>
      <c r="K6644" s="192">
        <v>123954.55</v>
      </c>
      <c r="L6644" s="43">
        <v>4.3237614478706732</v>
      </c>
      <c r="M6644" s="43">
        <v>11.500455788514129</v>
      </c>
      <c r="N6644" s="43">
        <v>6.1845293887912511</v>
      </c>
      <c r="O6644" s="43">
        <v>3.8881078454713442</v>
      </c>
      <c r="P6644" s="193"/>
      <c r="Q6644" s="193"/>
      <c r="R6644" s="193">
        <v>17</v>
      </c>
    </row>
    <row r="6645" spans="1:18" ht="12.75" customHeight="1">
      <c r="A6645" s="628" t="s">
        <v>12215</v>
      </c>
      <c r="B6645" s="629"/>
      <c r="C6645" s="629"/>
      <c r="D6645" s="629"/>
      <c r="E6645" s="629"/>
      <c r="F6645" s="629"/>
      <c r="G6645" s="629"/>
      <c r="H6645" s="629"/>
      <c r="I6645" s="629"/>
      <c r="J6645" s="629"/>
      <c r="K6645" s="629"/>
      <c r="L6645" s="629"/>
      <c r="M6645" s="629"/>
      <c r="N6645" s="629"/>
      <c r="O6645" s="629"/>
      <c r="P6645" s="629"/>
      <c r="Q6645" s="629"/>
      <c r="R6645" s="629"/>
    </row>
    <row r="6646" spans="1:18" ht="36">
      <c r="A6646" s="189">
        <v>1425</v>
      </c>
      <c r="B6646" s="186" t="s">
        <v>12216</v>
      </c>
      <c r="C6646" s="190" t="s">
        <v>12217</v>
      </c>
      <c r="D6646" s="191">
        <v>2203.11</v>
      </c>
      <c r="E6646" s="191">
        <v>435.42</v>
      </c>
      <c r="F6646" s="191">
        <v>1198.6300000000001</v>
      </c>
      <c r="G6646" s="191">
        <v>569.05999999999995</v>
      </c>
      <c r="H6646" s="192">
        <v>14292.31</v>
      </c>
      <c r="I6646" s="192">
        <v>5007.55</v>
      </c>
      <c r="J6646" s="192">
        <v>7330.62</v>
      </c>
      <c r="K6646" s="192">
        <v>1954.14</v>
      </c>
      <c r="L6646" s="43">
        <v>6.4873338144713601</v>
      </c>
      <c r="M6646" s="43">
        <v>11.500505259289881</v>
      </c>
      <c r="N6646" s="43">
        <v>6.1158322418093984</v>
      </c>
      <c r="O6646" s="43">
        <v>3.4339788423013395</v>
      </c>
      <c r="P6646" s="193"/>
      <c r="Q6646" s="193"/>
      <c r="R6646" s="193">
        <v>18</v>
      </c>
    </row>
    <row r="6647" spans="1:18" ht="12.75" customHeight="1">
      <c r="A6647" s="628" t="s">
        <v>12218</v>
      </c>
      <c r="B6647" s="629"/>
      <c r="C6647" s="629"/>
      <c r="D6647" s="629"/>
      <c r="E6647" s="629"/>
      <c r="F6647" s="629"/>
      <c r="G6647" s="629"/>
      <c r="H6647" s="629"/>
      <c r="I6647" s="629"/>
      <c r="J6647" s="629"/>
      <c r="K6647" s="629"/>
      <c r="L6647" s="629"/>
      <c r="M6647" s="629"/>
      <c r="N6647" s="629"/>
      <c r="O6647" s="629"/>
      <c r="P6647" s="629"/>
      <c r="Q6647" s="629"/>
      <c r="R6647" s="629"/>
    </row>
    <row r="6648" spans="1:18" ht="60">
      <c r="A6648" s="189">
        <v>1426</v>
      </c>
      <c r="B6648" s="186" t="s">
        <v>12219</v>
      </c>
      <c r="C6648" s="190" t="s">
        <v>12220</v>
      </c>
      <c r="D6648" s="191">
        <v>552.34</v>
      </c>
      <c r="E6648" s="191">
        <v>120.2</v>
      </c>
      <c r="F6648" s="191"/>
      <c r="G6648" s="191">
        <v>432.14</v>
      </c>
      <c r="H6648" s="192">
        <v>2944.93</v>
      </c>
      <c r="I6648" s="192">
        <v>1382.36</v>
      </c>
      <c r="J6648" s="192"/>
      <c r="K6648" s="192">
        <v>1562.57</v>
      </c>
      <c r="L6648" s="43">
        <v>5.3317340768367307</v>
      </c>
      <c r="M6648" s="43">
        <v>11.500499168053244</v>
      </c>
      <c r="N6648" s="43" t="s">
        <v>1690</v>
      </c>
      <c r="O6648" s="43">
        <v>3.6158883695098809</v>
      </c>
      <c r="P6648" s="193"/>
      <c r="Q6648" s="193"/>
      <c r="R6648" s="193">
        <v>19</v>
      </c>
    </row>
    <row r="6649" spans="1:18" ht="60">
      <c r="A6649" s="189">
        <v>1427</v>
      </c>
      <c r="B6649" s="186" t="s">
        <v>12221</v>
      </c>
      <c r="C6649" s="190" t="s">
        <v>12222</v>
      </c>
      <c r="D6649" s="191">
        <v>614.25</v>
      </c>
      <c r="E6649" s="191">
        <v>180.89</v>
      </c>
      <c r="F6649" s="191"/>
      <c r="G6649" s="191">
        <v>433.36</v>
      </c>
      <c r="H6649" s="192">
        <v>3656.86</v>
      </c>
      <c r="I6649" s="192">
        <v>2080.2600000000002</v>
      </c>
      <c r="J6649" s="192"/>
      <c r="K6649" s="192">
        <v>1576.6</v>
      </c>
      <c r="L6649" s="43">
        <v>5.9533740333740335</v>
      </c>
      <c r="M6649" s="43">
        <v>11.50013820553928</v>
      </c>
      <c r="N6649" s="43" t="s">
        <v>1690</v>
      </c>
      <c r="O6649" s="43">
        <v>3.6380838102270627</v>
      </c>
      <c r="P6649" s="193"/>
      <c r="Q6649" s="193"/>
      <c r="R6649" s="193">
        <v>19</v>
      </c>
    </row>
    <row r="6650" spans="1:18" ht="60">
      <c r="A6650" s="189">
        <v>1428</v>
      </c>
      <c r="B6650" s="186" t="s">
        <v>12223</v>
      </c>
      <c r="C6650" s="190" t="s">
        <v>12224</v>
      </c>
      <c r="D6650" s="191">
        <v>626.15</v>
      </c>
      <c r="E6650" s="191">
        <v>192.56</v>
      </c>
      <c r="F6650" s="191"/>
      <c r="G6650" s="191">
        <v>433.59</v>
      </c>
      <c r="H6650" s="192">
        <v>3793.72</v>
      </c>
      <c r="I6650" s="192">
        <v>2214.4699999999998</v>
      </c>
      <c r="J6650" s="192"/>
      <c r="K6650" s="192">
        <v>1579.25</v>
      </c>
      <c r="L6650" s="43">
        <v>6.0588038010061487</v>
      </c>
      <c r="M6650" s="43">
        <v>11.500155795596177</v>
      </c>
      <c r="N6650" s="43" t="s">
        <v>1690</v>
      </c>
      <c r="O6650" s="43">
        <v>3.6422657349108607</v>
      </c>
      <c r="P6650" s="193"/>
      <c r="Q6650" s="193"/>
      <c r="R6650" s="193">
        <v>19</v>
      </c>
    </row>
    <row r="6651" spans="1:18" ht="60">
      <c r="A6651" s="189">
        <v>1429</v>
      </c>
      <c r="B6651" s="186" t="s">
        <v>12225</v>
      </c>
      <c r="C6651" s="190" t="s">
        <v>12226</v>
      </c>
      <c r="D6651" s="191">
        <v>649.96</v>
      </c>
      <c r="E6651" s="191">
        <v>215.9</v>
      </c>
      <c r="F6651" s="191"/>
      <c r="G6651" s="191">
        <v>434.06</v>
      </c>
      <c r="H6651" s="192">
        <v>4067.54</v>
      </c>
      <c r="I6651" s="192">
        <v>2482.89</v>
      </c>
      <c r="J6651" s="192"/>
      <c r="K6651" s="192">
        <v>1584.65</v>
      </c>
      <c r="L6651" s="43">
        <v>6.2581389623976857</v>
      </c>
      <c r="M6651" s="43">
        <v>11.500185270958776</v>
      </c>
      <c r="N6651" s="43" t="s">
        <v>1690</v>
      </c>
      <c r="O6651" s="43">
        <v>3.6507625673869972</v>
      </c>
      <c r="P6651" s="193"/>
      <c r="Q6651" s="193"/>
      <c r="R6651" s="193">
        <v>19</v>
      </c>
    </row>
    <row r="6652" spans="1:18" ht="12.75" customHeight="1">
      <c r="A6652" s="628" t="s">
        <v>12227</v>
      </c>
      <c r="B6652" s="629"/>
      <c r="C6652" s="629"/>
      <c r="D6652" s="629"/>
      <c r="E6652" s="629"/>
      <c r="F6652" s="629"/>
      <c r="G6652" s="629"/>
      <c r="H6652" s="629"/>
      <c r="I6652" s="629"/>
      <c r="J6652" s="629"/>
      <c r="K6652" s="629"/>
      <c r="L6652" s="629"/>
      <c r="M6652" s="629"/>
      <c r="N6652" s="629"/>
      <c r="O6652" s="629"/>
      <c r="P6652" s="629"/>
      <c r="Q6652" s="629"/>
      <c r="R6652" s="629"/>
    </row>
    <row r="6653" spans="1:18" ht="24">
      <c r="A6653" s="189">
        <v>1430</v>
      </c>
      <c r="B6653" s="186" t="s">
        <v>12228</v>
      </c>
      <c r="C6653" s="190" t="s">
        <v>12229</v>
      </c>
      <c r="D6653" s="191">
        <v>16329.3</v>
      </c>
      <c r="E6653" s="191">
        <v>1107.04</v>
      </c>
      <c r="F6653" s="191">
        <v>590.1</v>
      </c>
      <c r="G6653" s="191">
        <v>14632.16</v>
      </c>
      <c r="H6653" s="192">
        <v>69678.149999999994</v>
      </c>
      <c r="I6653" s="192">
        <v>12730.98</v>
      </c>
      <c r="J6653" s="192">
        <v>3239.81</v>
      </c>
      <c r="K6653" s="192">
        <v>53707.360000000001</v>
      </c>
      <c r="L6653" s="43">
        <v>4.2670628869577998</v>
      </c>
      <c r="M6653" s="43">
        <v>11.500018066194537</v>
      </c>
      <c r="N6653" s="43">
        <v>5.4902728351126928</v>
      </c>
      <c r="O6653" s="43">
        <v>3.6705011426884342</v>
      </c>
      <c r="P6653" s="193"/>
      <c r="Q6653" s="193"/>
      <c r="R6653" s="193">
        <v>20</v>
      </c>
    </row>
    <row r="6654" spans="1:18" ht="24">
      <c r="A6654" s="189">
        <v>1431</v>
      </c>
      <c r="B6654" s="186" t="s">
        <v>12230</v>
      </c>
      <c r="C6654" s="190" t="s">
        <v>12231</v>
      </c>
      <c r="D6654" s="191">
        <v>17222</v>
      </c>
      <c r="E6654" s="191">
        <v>1310.18</v>
      </c>
      <c r="F6654" s="191">
        <v>696.98</v>
      </c>
      <c r="G6654" s="191">
        <v>15214.84</v>
      </c>
      <c r="H6654" s="192">
        <v>85267.51</v>
      </c>
      <c r="I6654" s="192">
        <v>15067.07</v>
      </c>
      <c r="J6654" s="192">
        <v>3826.59</v>
      </c>
      <c r="K6654" s="192">
        <v>66373.850000000006</v>
      </c>
      <c r="L6654" s="43">
        <v>4.9510805945883174</v>
      </c>
      <c r="M6654" s="43">
        <v>11.5</v>
      </c>
      <c r="N6654" s="43">
        <v>5.4902436224855808</v>
      </c>
      <c r="O6654" s="43">
        <v>4.3624415373411756</v>
      </c>
      <c r="P6654" s="193"/>
      <c r="Q6654" s="193"/>
      <c r="R6654" s="193">
        <v>20</v>
      </c>
    </row>
    <row r="6655" spans="1:18" ht="24">
      <c r="A6655" s="189">
        <v>1432</v>
      </c>
      <c r="B6655" s="186" t="s">
        <v>12232</v>
      </c>
      <c r="C6655" s="190" t="s">
        <v>12233</v>
      </c>
      <c r="D6655" s="191">
        <v>22366.9</v>
      </c>
      <c r="E6655" s="191">
        <v>2452.08</v>
      </c>
      <c r="F6655" s="191">
        <v>1307.55</v>
      </c>
      <c r="G6655" s="191">
        <v>18607.27</v>
      </c>
      <c r="H6655" s="192">
        <v>117884.03</v>
      </c>
      <c r="I6655" s="192">
        <v>28198.92</v>
      </c>
      <c r="J6655" s="192">
        <v>7178.77</v>
      </c>
      <c r="K6655" s="192">
        <v>82506.34</v>
      </c>
      <c r="L6655" s="43">
        <v>5.270467968292432</v>
      </c>
      <c r="M6655" s="43">
        <v>11.5</v>
      </c>
      <c r="N6655" s="43">
        <v>5.4902451149095644</v>
      </c>
      <c r="O6655" s="43">
        <v>4.4340916211781733</v>
      </c>
      <c r="P6655" s="193"/>
      <c r="Q6655" s="193"/>
      <c r="R6655" s="193">
        <v>20</v>
      </c>
    </row>
    <row r="6656" spans="1:18" ht="12.75" customHeight="1">
      <c r="A6656" s="628" t="s">
        <v>12234</v>
      </c>
      <c r="B6656" s="629"/>
      <c r="C6656" s="629"/>
      <c r="D6656" s="629"/>
      <c r="E6656" s="629"/>
      <c r="F6656" s="629"/>
      <c r="G6656" s="629"/>
      <c r="H6656" s="629"/>
      <c r="I6656" s="629"/>
      <c r="J6656" s="629"/>
      <c r="K6656" s="629"/>
      <c r="L6656" s="629"/>
      <c r="M6656" s="629"/>
      <c r="N6656" s="629"/>
      <c r="O6656" s="629"/>
      <c r="P6656" s="629"/>
      <c r="Q6656" s="629"/>
      <c r="R6656" s="629"/>
    </row>
    <row r="6657" spans="1:18" ht="36">
      <c r="A6657" s="189">
        <v>1433</v>
      </c>
      <c r="B6657" s="186" t="s">
        <v>12235</v>
      </c>
      <c r="C6657" s="190" t="s">
        <v>12236</v>
      </c>
      <c r="D6657" s="191">
        <v>26551.759999999998</v>
      </c>
      <c r="E6657" s="191">
        <v>3317.52</v>
      </c>
      <c r="F6657" s="191">
        <v>5378.75</v>
      </c>
      <c r="G6657" s="191">
        <v>17855.490000000002</v>
      </c>
      <c r="H6657" s="192">
        <v>135161.01</v>
      </c>
      <c r="I6657" s="192">
        <v>38151.480000000003</v>
      </c>
      <c r="J6657" s="192">
        <v>28467.57</v>
      </c>
      <c r="K6657" s="192">
        <v>68541.960000000006</v>
      </c>
      <c r="L6657" s="43">
        <v>5.0904727219589221</v>
      </c>
      <c r="M6657" s="43">
        <v>11.500000000000002</v>
      </c>
      <c r="N6657" s="43">
        <v>5.2925995816871954</v>
      </c>
      <c r="O6657" s="43">
        <v>3.8387050705413293</v>
      </c>
      <c r="P6657" s="193"/>
      <c r="Q6657" s="193"/>
      <c r="R6657" s="193">
        <v>21</v>
      </c>
    </row>
    <row r="6658" spans="1:18" ht="36">
      <c r="A6658" s="189">
        <v>1434</v>
      </c>
      <c r="B6658" s="186" t="s">
        <v>12237</v>
      </c>
      <c r="C6658" s="190" t="s">
        <v>12238</v>
      </c>
      <c r="D6658" s="191">
        <v>27851.1</v>
      </c>
      <c r="E6658" s="191">
        <v>3533.88</v>
      </c>
      <c r="F6658" s="191">
        <v>5760.01</v>
      </c>
      <c r="G6658" s="191">
        <v>18557.21</v>
      </c>
      <c r="H6658" s="192">
        <v>155462.54999999999</v>
      </c>
      <c r="I6658" s="192">
        <v>40639.620000000003</v>
      </c>
      <c r="J6658" s="192">
        <v>30484.87</v>
      </c>
      <c r="K6658" s="192">
        <v>84338.06</v>
      </c>
      <c r="L6658" s="43">
        <v>5.5819177698546918</v>
      </c>
      <c r="M6658" s="43">
        <v>11.5</v>
      </c>
      <c r="N6658" s="43">
        <v>5.2925029644045756</v>
      </c>
      <c r="O6658" s="43">
        <v>4.5447596917855648</v>
      </c>
      <c r="P6658" s="193"/>
      <c r="Q6658" s="193"/>
      <c r="R6658" s="193">
        <v>21</v>
      </c>
    </row>
    <row r="6659" spans="1:18" ht="36">
      <c r="A6659" s="189">
        <v>1435</v>
      </c>
      <c r="B6659" s="186" t="s">
        <v>12239</v>
      </c>
      <c r="C6659" s="190" t="s">
        <v>12240</v>
      </c>
      <c r="D6659" s="191">
        <v>33956.5</v>
      </c>
      <c r="E6659" s="191">
        <v>4279.12</v>
      </c>
      <c r="F6659" s="191">
        <v>6909.73</v>
      </c>
      <c r="G6659" s="191">
        <v>22767.65</v>
      </c>
      <c r="H6659" s="192">
        <v>190131.42</v>
      </c>
      <c r="I6659" s="192">
        <v>49209.88</v>
      </c>
      <c r="J6659" s="192">
        <v>36570.19</v>
      </c>
      <c r="K6659" s="192">
        <v>104351.35</v>
      </c>
      <c r="L6659" s="43">
        <v>5.5992643529221215</v>
      </c>
      <c r="M6659" s="43">
        <v>11.5</v>
      </c>
      <c r="N6659" s="43">
        <v>5.2925642535960167</v>
      </c>
      <c r="O6659" s="43">
        <v>4.5833166795870453</v>
      </c>
      <c r="P6659" s="193"/>
      <c r="Q6659" s="193"/>
      <c r="R6659" s="193">
        <v>21</v>
      </c>
    </row>
    <row r="6660" spans="1:18" ht="19.5" customHeight="1">
      <c r="A6660" s="628" t="s">
        <v>12241</v>
      </c>
      <c r="B6660" s="629"/>
      <c r="C6660" s="629"/>
      <c r="D6660" s="629"/>
      <c r="E6660" s="629"/>
      <c r="F6660" s="629"/>
      <c r="G6660" s="629"/>
      <c r="H6660" s="629"/>
      <c r="I6660" s="629"/>
      <c r="J6660" s="629"/>
      <c r="K6660" s="629"/>
      <c r="L6660" s="629"/>
      <c r="M6660" s="629"/>
      <c r="N6660" s="629"/>
      <c r="O6660" s="629"/>
      <c r="P6660" s="629"/>
      <c r="Q6660" s="629"/>
      <c r="R6660" s="629"/>
    </row>
    <row r="6661" spans="1:18" ht="48">
      <c r="A6661" s="189">
        <v>1436</v>
      </c>
      <c r="B6661" s="186" t="s">
        <v>12242</v>
      </c>
      <c r="C6661" s="190" t="s">
        <v>12243</v>
      </c>
      <c r="D6661" s="191">
        <v>59215.58</v>
      </c>
      <c r="E6661" s="191">
        <v>1622.7</v>
      </c>
      <c r="F6661" s="191">
        <v>31821.57</v>
      </c>
      <c r="G6661" s="191">
        <v>25771.31</v>
      </c>
      <c r="H6661" s="192">
        <v>291651.75</v>
      </c>
      <c r="I6661" s="192">
        <v>18661.05</v>
      </c>
      <c r="J6661" s="192">
        <v>189707.85</v>
      </c>
      <c r="K6661" s="192">
        <v>83282.850000000006</v>
      </c>
      <c r="L6661" s="43">
        <v>4.9252536241306766</v>
      </c>
      <c r="M6661" s="43">
        <v>11.5</v>
      </c>
      <c r="N6661" s="43">
        <v>5.9616118877855495</v>
      </c>
      <c r="O6661" s="43">
        <v>3.2316110434432708</v>
      </c>
      <c r="P6661" s="193"/>
      <c r="Q6661" s="193"/>
      <c r="R6661" s="193">
        <v>22</v>
      </c>
    </row>
    <row r="6662" spans="1:18" ht="48">
      <c r="A6662" s="189">
        <v>1437</v>
      </c>
      <c r="B6662" s="186" t="s">
        <v>12244</v>
      </c>
      <c r="C6662" s="190" t="s">
        <v>12245</v>
      </c>
      <c r="D6662" s="191">
        <v>82250.009999999995</v>
      </c>
      <c r="E6662" s="191">
        <v>2512.1799999999998</v>
      </c>
      <c r="F6662" s="191">
        <v>42293.96</v>
      </c>
      <c r="G6662" s="191">
        <v>37443.870000000003</v>
      </c>
      <c r="H6662" s="192">
        <v>401063.74</v>
      </c>
      <c r="I6662" s="192">
        <v>28890.07</v>
      </c>
      <c r="J6662" s="192">
        <v>252137.27</v>
      </c>
      <c r="K6662" s="192">
        <v>120036.4</v>
      </c>
      <c r="L6662" s="43">
        <v>4.876154300771514</v>
      </c>
      <c r="M6662" s="43">
        <v>11.5</v>
      </c>
      <c r="N6662" s="43">
        <v>5.9615432085337954</v>
      </c>
      <c r="O6662" s="43">
        <v>3.2057690617983661</v>
      </c>
      <c r="P6662" s="193"/>
      <c r="Q6662" s="193"/>
      <c r="R6662" s="193">
        <v>22</v>
      </c>
    </row>
    <row r="6663" spans="1:18" ht="48">
      <c r="A6663" s="189">
        <v>1438</v>
      </c>
      <c r="B6663" s="186" t="s">
        <v>12246</v>
      </c>
      <c r="C6663" s="190" t="s">
        <v>12247</v>
      </c>
      <c r="D6663" s="191">
        <v>135493.4</v>
      </c>
      <c r="E6663" s="191">
        <v>4555.58</v>
      </c>
      <c r="F6663" s="191">
        <v>81798.320000000007</v>
      </c>
      <c r="G6663" s="191">
        <v>49139.5</v>
      </c>
      <c r="H6663" s="192">
        <v>697473.01</v>
      </c>
      <c r="I6663" s="192">
        <v>52389.17</v>
      </c>
      <c r="J6663" s="192">
        <v>488028.45</v>
      </c>
      <c r="K6663" s="192">
        <v>157055.39000000001</v>
      </c>
      <c r="L6663" s="43">
        <v>5.1476530222136283</v>
      </c>
      <c r="M6663" s="43">
        <v>11.5</v>
      </c>
      <c r="N6663" s="43">
        <v>5.9662405046949614</v>
      </c>
      <c r="O6663" s="43">
        <v>3.1961129030616919</v>
      </c>
      <c r="P6663" s="193"/>
      <c r="Q6663" s="193"/>
      <c r="R6663" s="193">
        <v>22</v>
      </c>
    </row>
    <row r="6664" spans="1:18" ht="48">
      <c r="A6664" s="189">
        <v>1439</v>
      </c>
      <c r="B6664" s="186" t="s">
        <v>12248</v>
      </c>
      <c r="C6664" s="190" t="s">
        <v>12249</v>
      </c>
      <c r="D6664" s="191">
        <v>74485.13</v>
      </c>
      <c r="E6664" s="191">
        <v>3449.74</v>
      </c>
      <c r="F6664" s="191">
        <v>45227.54</v>
      </c>
      <c r="G6664" s="191">
        <v>25807.85</v>
      </c>
      <c r="H6664" s="192">
        <v>393008.58</v>
      </c>
      <c r="I6664" s="192">
        <v>39672.01</v>
      </c>
      <c r="J6664" s="192">
        <v>269633.51</v>
      </c>
      <c r="K6664" s="192">
        <v>83703.06</v>
      </c>
      <c r="L6664" s="43">
        <v>5.2763360955401435</v>
      </c>
      <c r="M6664" s="43">
        <v>11.500000000000002</v>
      </c>
      <c r="N6664" s="43">
        <v>5.961710718734647</v>
      </c>
      <c r="O6664" s="43">
        <v>3.2433178277152108</v>
      </c>
      <c r="P6664" s="193"/>
      <c r="Q6664" s="193"/>
      <c r="R6664" s="193">
        <v>22</v>
      </c>
    </row>
    <row r="6665" spans="1:18" ht="48">
      <c r="A6665" s="189">
        <v>1440</v>
      </c>
      <c r="B6665" s="186" t="s">
        <v>12250</v>
      </c>
      <c r="C6665" s="190" t="s">
        <v>12251</v>
      </c>
      <c r="D6665" s="191">
        <v>107360.13</v>
      </c>
      <c r="E6665" s="191">
        <v>4964.26</v>
      </c>
      <c r="F6665" s="191">
        <v>64902.95</v>
      </c>
      <c r="G6665" s="191">
        <v>37492.92</v>
      </c>
      <c r="H6665" s="192">
        <v>564778.75</v>
      </c>
      <c r="I6665" s="192">
        <v>57088.99</v>
      </c>
      <c r="J6665" s="192">
        <v>387089.28</v>
      </c>
      <c r="K6665" s="192">
        <v>120600.48</v>
      </c>
      <c r="L6665" s="43">
        <v>5.2606004668585999</v>
      </c>
      <c r="M6665" s="43">
        <v>11.499999999999998</v>
      </c>
      <c r="N6665" s="43">
        <v>5.9641245890980308</v>
      </c>
      <c r="O6665" s="43">
        <v>3.2166200978744786</v>
      </c>
      <c r="P6665" s="193"/>
      <c r="Q6665" s="193"/>
      <c r="R6665" s="193">
        <v>22</v>
      </c>
    </row>
    <row r="6666" spans="1:18" ht="48">
      <c r="A6666" s="189">
        <v>1441</v>
      </c>
      <c r="B6666" s="186" t="s">
        <v>12252</v>
      </c>
      <c r="C6666" s="190" t="s">
        <v>12253</v>
      </c>
      <c r="D6666" s="191">
        <v>190969.37</v>
      </c>
      <c r="E6666" s="191">
        <v>9303.48</v>
      </c>
      <c r="F6666" s="191">
        <v>132431.43</v>
      </c>
      <c r="G6666" s="191">
        <v>49234.46</v>
      </c>
      <c r="H6666" s="192">
        <v>1055489.31</v>
      </c>
      <c r="I6666" s="192">
        <v>106990.02</v>
      </c>
      <c r="J6666" s="192">
        <v>790351.86</v>
      </c>
      <c r="K6666" s="192">
        <v>158147.43</v>
      </c>
      <c r="L6666" s="43">
        <v>5.5270083888321988</v>
      </c>
      <c r="M6666" s="43">
        <v>11.500000000000002</v>
      </c>
      <c r="N6666" s="43">
        <v>5.9680081986579774</v>
      </c>
      <c r="O6666" s="43">
        <v>3.2121288625893327</v>
      </c>
      <c r="P6666" s="193"/>
      <c r="Q6666" s="193"/>
      <c r="R6666" s="193">
        <v>22</v>
      </c>
    </row>
    <row r="6667" spans="1:18" ht="25.5" customHeight="1">
      <c r="A6667" s="628" t="s">
        <v>12254</v>
      </c>
      <c r="B6667" s="629"/>
      <c r="C6667" s="629"/>
      <c r="D6667" s="629"/>
      <c r="E6667" s="629"/>
      <c r="F6667" s="629"/>
      <c r="G6667" s="629"/>
      <c r="H6667" s="629"/>
      <c r="I6667" s="629"/>
      <c r="J6667" s="629"/>
      <c r="K6667" s="629"/>
      <c r="L6667" s="629"/>
      <c r="M6667" s="629"/>
      <c r="N6667" s="629"/>
      <c r="O6667" s="629"/>
      <c r="P6667" s="629"/>
      <c r="Q6667" s="629"/>
      <c r="R6667" s="629"/>
    </row>
    <row r="6668" spans="1:18" ht="36">
      <c r="A6668" s="189">
        <v>1442</v>
      </c>
      <c r="B6668" s="186" t="s">
        <v>12255</v>
      </c>
      <c r="C6668" s="190" t="s">
        <v>12256</v>
      </c>
      <c r="D6668" s="191">
        <v>48312.32</v>
      </c>
      <c r="E6668" s="191">
        <v>1464</v>
      </c>
      <c r="F6668" s="191">
        <v>18602.43</v>
      </c>
      <c r="G6668" s="191">
        <v>28245.89</v>
      </c>
      <c r="H6668" s="192">
        <v>222031.56</v>
      </c>
      <c r="I6668" s="192">
        <v>16836</v>
      </c>
      <c r="J6668" s="192">
        <v>104803.62</v>
      </c>
      <c r="K6668" s="192">
        <v>100391.94</v>
      </c>
      <c r="L6668" s="43">
        <v>4.595754457662145</v>
      </c>
      <c r="M6668" s="43">
        <v>11.5</v>
      </c>
      <c r="N6668" s="43">
        <v>5.6338671883189448</v>
      </c>
      <c r="O6668" s="43">
        <v>3.5542140821195582</v>
      </c>
      <c r="P6668" s="193"/>
      <c r="Q6668" s="193"/>
      <c r="R6668" s="193">
        <v>23</v>
      </c>
    </row>
    <row r="6669" spans="1:18" ht="36">
      <c r="A6669" s="189">
        <v>1443</v>
      </c>
      <c r="B6669" s="186" t="s">
        <v>12257</v>
      </c>
      <c r="C6669" s="190" t="s">
        <v>12258</v>
      </c>
      <c r="D6669" s="191">
        <v>50778.33</v>
      </c>
      <c r="E6669" s="191">
        <v>1659.2</v>
      </c>
      <c r="F6669" s="191">
        <v>19799.04</v>
      </c>
      <c r="G6669" s="191">
        <v>29320.09</v>
      </c>
      <c r="H6669" s="192">
        <v>236956.86</v>
      </c>
      <c r="I6669" s="192">
        <v>19080.8</v>
      </c>
      <c r="J6669" s="192">
        <v>111277.25</v>
      </c>
      <c r="K6669" s="192">
        <v>106598.81</v>
      </c>
      <c r="L6669" s="43">
        <v>4.6664957276066383</v>
      </c>
      <c r="M6669" s="43">
        <v>11.5</v>
      </c>
      <c r="N6669" s="43">
        <v>5.6203356324347036</v>
      </c>
      <c r="O6669" s="43">
        <v>3.635691773115294</v>
      </c>
      <c r="P6669" s="193"/>
      <c r="Q6669" s="193"/>
      <c r="R6669" s="193">
        <v>23</v>
      </c>
    </row>
    <row r="6670" spans="1:18" ht="48">
      <c r="A6670" s="189">
        <v>1444</v>
      </c>
      <c r="B6670" s="186" t="s">
        <v>12259</v>
      </c>
      <c r="C6670" s="190" t="s">
        <v>12260</v>
      </c>
      <c r="D6670" s="191">
        <v>51404.86</v>
      </c>
      <c r="E6670" s="191">
        <v>1500.6</v>
      </c>
      <c r="F6670" s="191">
        <v>19309.060000000001</v>
      </c>
      <c r="G6670" s="191">
        <v>30595.200000000001</v>
      </c>
      <c r="H6670" s="192">
        <v>241084.09</v>
      </c>
      <c r="I6670" s="192">
        <v>17256.900000000001</v>
      </c>
      <c r="J6670" s="192">
        <v>108650.53</v>
      </c>
      <c r="K6670" s="192">
        <v>115176.66</v>
      </c>
      <c r="L6670" s="43">
        <v>4.6899085028147143</v>
      </c>
      <c r="M6670" s="43">
        <v>11.500000000000002</v>
      </c>
      <c r="N6670" s="43">
        <v>5.6269196946925426</v>
      </c>
      <c r="O6670" s="43">
        <v>3.7645336523376218</v>
      </c>
      <c r="P6670" s="193"/>
      <c r="Q6670" s="193"/>
      <c r="R6670" s="193">
        <v>23</v>
      </c>
    </row>
    <row r="6671" spans="1:18" ht="48">
      <c r="A6671" s="189">
        <v>1445</v>
      </c>
      <c r="B6671" s="186" t="s">
        <v>12261</v>
      </c>
      <c r="C6671" s="190" t="s">
        <v>12262</v>
      </c>
      <c r="D6671" s="191">
        <v>54080.42</v>
      </c>
      <c r="E6671" s="191">
        <v>1683.6</v>
      </c>
      <c r="F6671" s="191">
        <v>20231.93</v>
      </c>
      <c r="G6671" s="191">
        <v>32164.89</v>
      </c>
      <c r="H6671" s="192">
        <v>257188.07</v>
      </c>
      <c r="I6671" s="192">
        <v>19361.400000000001</v>
      </c>
      <c r="J6671" s="192">
        <v>113684.37</v>
      </c>
      <c r="K6671" s="192">
        <v>124142.3</v>
      </c>
      <c r="L6671" s="43">
        <v>4.7556596269037854</v>
      </c>
      <c r="M6671" s="43">
        <v>11.500000000000002</v>
      </c>
      <c r="N6671" s="43">
        <v>5.6190571042900999</v>
      </c>
      <c r="O6671" s="43">
        <v>3.8595592896478119</v>
      </c>
      <c r="P6671" s="193"/>
      <c r="Q6671" s="193"/>
      <c r="R6671" s="193">
        <v>23</v>
      </c>
    </row>
    <row r="6672" spans="1:18" ht="26.25" customHeight="1">
      <c r="A6672" s="628" t="s">
        <v>12263</v>
      </c>
      <c r="B6672" s="629"/>
      <c r="C6672" s="629"/>
      <c r="D6672" s="629"/>
      <c r="E6672" s="629"/>
      <c r="F6672" s="629"/>
      <c r="G6672" s="629"/>
      <c r="H6672" s="629"/>
      <c r="I6672" s="629"/>
      <c r="J6672" s="629"/>
      <c r="K6672" s="629"/>
      <c r="L6672" s="629"/>
      <c r="M6672" s="629"/>
      <c r="N6672" s="629"/>
      <c r="O6672" s="629"/>
      <c r="P6672" s="629"/>
      <c r="Q6672" s="629"/>
      <c r="R6672" s="629"/>
    </row>
    <row r="6673" spans="1:18" ht="48">
      <c r="A6673" s="189">
        <v>1446</v>
      </c>
      <c r="B6673" s="186" t="s">
        <v>12264</v>
      </c>
      <c r="C6673" s="190" t="s">
        <v>12265</v>
      </c>
      <c r="D6673" s="191">
        <v>22832.77</v>
      </c>
      <c r="E6673" s="191">
        <v>4166.1899999999996</v>
      </c>
      <c r="F6673" s="191">
        <v>7869.66</v>
      </c>
      <c r="G6673" s="191">
        <v>10796.92</v>
      </c>
      <c r="H6673" s="192">
        <v>153622.13</v>
      </c>
      <c r="I6673" s="192">
        <v>47912.97</v>
      </c>
      <c r="J6673" s="192">
        <v>47859.19</v>
      </c>
      <c r="K6673" s="192">
        <v>57849.97</v>
      </c>
      <c r="L6673" s="43">
        <v>6.7281424899388034</v>
      </c>
      <c r="M6673" s="43">
        <v>11.500428449014569</v>
      </c>
      <c r="N6673" s="43">
        <v>6.0814812838165819</v>
      </c>
      <c r="O6673" s="43">
        <v>5.3580067278446073</v>
      </c>
      <c r="P6673" s="193"/>
      <c r="Q6673" s="193"/>
      <c r="R6673" s="193">
        <v>24</v>
      </c>
    </row>
    <row r="6674" spans="1:18" ht="48">
      <c r="A6674" s="189">
        <v>1447</v>
      </c>
      <c r="B6674" s="186" t="s">
        <v>12266</v>
      </c>
      <c r="C6674" s="190" t="s">
        <v>12267</v>
      </c>
      <c r="D6674" s="191">
        <v>22326.62</v>
      </c>
      <c r="E6674" s="191">
        <v>4376.25</v>
      </c>
      <c r="F6674" s="191">
        <v>7962.3</v>
      </c>
      <c r="G6674" s="191">
        <v>9988.07</v>
      </c>
      <c r="H6674" s="192">
        <v>152221.31</v>
      </c>
      <c r="I6674" s="192">
        <v>50328.75</v>
      </c>
      <c r="J6674" s="192">
        <v>48416.72</v>
      </c>
      <c r="K6674" s="192">
        <v>53475.839999999997</v>
      </c>
      <c r="L6674" s="43">
        <v>6.8179290013445835</v>
      </c>
      <c r="M6674" s="43">
        <v>11.500428449014567</v>
      </c>
      <c r="N6674" s="43">
        <v>6.0807455132311015</v>
      </c>
      <c r="O6674" s="43">
        <v>5.3539712877462815</v>
      </c>
      <c r="P6674" s="193"/>
      <c r="Q6674" s="193"/>
      <c r="R6674" s="193">
        <v>24</v>
      </c>
    </row>
    <row r="6675" spans="1:18" ht="48">
      <c r="A6675" s="189">
        <v>1448</v>
      </c>
      <c r="B6675" s="186" t="s">
        <v>12268</v>
      </c>
      <c r="C6675" s="190" t="s">
        <v>12269</v>
      </c>
      <c r="D6675" s="191">
        <v>24141.57</v>
      </c>
      <c r="E6675" s="191">
        <v>4446.2700000000004</v>
      </c>
      <c r="F6675" s="191">
        <v>10272.31</v>
      </c>
      <c r="G6675" s="191">
        <v>9422.99</v>
      </c>
      <c r="H6675" s="192">
        <v>163956.91</v>
      </c>
      <c r="I6675" s="192">
        <v>51134.01</v>
      </c>
      <c r="J6675" s="192">
        <v>62459.6</v>
      </c>
      <c r="K6675" s="192">
        <v>50363.3</v>
      </c>
      <c r="L6675" s="43">
        <v>6.7914766935207611</v>
      </c>
      <c r="M6675" s="43">
        <v>11.500428449014567</v>
      </c>
      <c r="N6675" s="43">
        <v>6.0803850351089483</v>
      </c>
      <c r="O6675" s="43">
        <v>5.3447260370646692</v>
      </c>
      <c r="P6675" s="193"/>
      <c r="Q6675" s="193"/>
      <c r="R6675" s="193">
        <v>24</v>
      </c>
    </row>
    <row r="6676" spans="1:18" ht="48">
      <c r="A6676" s="189">
        <v>1449</v>
      </c>
      <c r="B6676" s="186" t="s">
        <v>12270</v>
      </c>
      <c r="C6676" s="190" t="s">
        <v>12271</v>
      </c>
      <c r="D6676" s="191">
        <v>25478.62</v>
      </c>
      <c r="E6676" s="191">
        <v>4539.63</v>
      </c>
      <c r="F6676" s="191">
        <v>9028.99</v>
      </c>
      <c r="G6676" s="191">
        <v>11910</v>
      </c>
      <c r="H6676" s="192">
        <v>171907.76</v>
      </c>
      <c r="I6676" s="192">
        <v>52207.69</v>
      </c>
      <c r="J6676" s="192">
        <v>54905.13</v>
      </c>
      <c r="K6676" s="192">
        <v>64794.94</v>
      </c>
      <c r="L6676" s="43">
        <v>6.7471377963170696</v>
      </c>
      <c r="M6676" s="43">
        <v>11.500428449014567</v>
      </c>
      <c r="N6676" s="43">
        <v>6.0809824797679477</v>
      </c>
      <c r="O6676" s="43">
        <v>5.4403811922753986</v>
      </c>
      <c r="P6676" s="193"/>
      <c r="Q6676" s="193"/>
      <c r="R6676" s="193">
        <v>24</v>
      </c>
    </row>
    <row r="6677" spans="1:18" ht="48">
      <c r="A6677" s="189">
        <v>1450</v>
      </c>
      <c r="B6677" s="186" t="s">
        <v>12272</v>
      </c>
      <c r="C6677" s="190" t="s">
        <v>12273</v>
      </c>
      <c r="D6677" s="191">
        <v>25240.68</v>
      </c>
      <c r="E6677" s="191">
        <v>5018.1000000000004</v>
      </c>
      <c r="F6677" s="191">
        <v>9084.43</v>
      </c>
      <c r="G6677" s="191">
        <v>11138.15</v>
      </c>
      <c r="H6677" s="192">
        <v>173563.03</v>
      </c>
      <c r="I6677" s="192">
        <v>57710.3</v>
      </c>
      <c r="J6677" s="192">
        <v>55236.55</v>
      </c>
      <c r="K6677" s="192">
        <v>60616.18</v>
      </c>
      <c r="L6677" s="43">
        <v>6.8763214778682666</v>
      </c>
      <c r="M6677" s="43">
        <v>11.500428449014567</v>
      </c>
      <c r="N6677" s="43">
        <v>6.0803539682731884</v>
      </c>
      <c r="O6677" s="43">
        <v>5.4422125756970416</v>
      </c>
      <c r="P6677" s="193"/>
      <c r="Q6677" s="193"/>
      <c r="R6677" s="193">
        <v>24</v>
      </c>
    </row>
    <row r="6678" spans="1:18" ht="48">
      <c r="A6678" s="189">
        <v>1451</v>
      </c>
      <c r="B6678" s="186" t="s">
        <v>12274</v>
      </c>
      <c r="C6678" s="190" t="s">
        <v>12275</v>
      </c>
      <c r="D6678" s="191">
        <v>27029.61</v>
      </c>
      <c r="E6678" s="191">
        <v>5111.46</v>
      </c>
      <c r="F6678" s="191">
        <v>11310.86</v>
      </c>
      <c r="G6678" s="191">
        <v>10607.29</v>
      </c>
      <c r="H6678" s="192">
        <v>185273.24</v>
      </c>
      <c r="I6678" s="192">
        <v>58783.98</v>
      </c>
      <c r="J6678" s="192">
        <v>68773.64</v>
      </c>
      <c r="K6678" s="192">
        <v>57715.62</v>
      </c>
      <c r="L6678" s="43">
        <v>6.8544547997547873</v>
      </c>
      <c r="M6678" s="43">
        <v>11.500428449014567</v>
      </c>
      <c r="N6678" s="43">
        <v>6.0803192683845433</v>
      </c>
      <c r="O6678" s="43">
        <v>5.4411277527059214</v>
      </c>
      <c r="P6678" s="193"/>
      <c r="Q6678" s="193"/>
      <c r="R6678" s="193">
        <v>24</v>
      </c>
    </row>
    <row r="6679" spans="1:18" ht="48">
      <c r="A6679" s="189">
        <v>1452</v>
      </c>
      <c r="B6679" s="186" t="s">
        <v>12276</v>
      </c>
      <c r="C6679" s="190" t="s">
        <v>12277</v>
      </c>
      <c r="D6679" s="191">
        <v>28088.82</v>
      </c>
      <c r="E6679" s="191">
        <v>4936.41</v>
      </c>
      <c r="F6679" s="191">
        <v>10123.15</v>
      </c>
      <c r="G6679" s="191">
        <v>13029.26</v>
      </c>
      <c r="H6679" s="192">
        <v>190050.49</v>
      </c>
      <c r="I6679" s="192">
        <v>56770.83</v>
      </c>
      <c r="J6679" s="192">
        <v>61515.25</v>
      </c>
      <c r="K6679" s="192">
        <v>71764.41</v>
      </c>
      <c r="L6679" s="43">
        <v>6.7660546082035484</v>
      </c>
      <c r="M6679" s="43">
        <v>11.500428449014567</v>
      </c>
      <c r="N6679" s="43">
        <v>6.0766905558052589</v>
      </c>
      <c r="O6679" s="43">
        <v>5.5079421241114233</v>
      </c>
      <c r="P6679" s="193"/>
      <c r="Q6679" s="193"/>
      <c r="R6679" s="193">
        <v>24</v>
      </c>
    </row>
    <row r="6680" spans="1:18" ht="48">
      <c r="A6680" s="189">
        <v>1453</v>
      </c>
      <c r="B6680" s="186" t="s">
        <v>12278</v>
      </c>
      <c r="C6680" s="190" t="s">
        <v>12279</v>
      </c>
      <c r="D6680" s="191">
        <v>28188.880000000001</v>
      </c>
      <c r="E6680" s="191">
        <v>5648.28</v>
      </c>
      <c r="F6680" s="191">
        <v>10272.31</v>
      </c>
      <c r="G6680" s="191">
        <v>12268.29</v>
      </c>
      <c r="H6680" s="192">
        <v>195086.66</v>
      </c>
      <c r="I6680" s="192">
        <v>64957.64</v>
      </c>
      <c r="J6680" s="192">
        <v>62459.6</v>
      </c>
      <c r="K6680" s="192">
        <v>67669.42</v>
      </c>
      <c r="L6680" s="43">
        <v>6.9206956785796381</v>
      </c>
      <c r="M6680" s="43">
        <v>11.500428449014567</v>
      </c>
      <c r="N6680" s="43">
        <v>6.0803850351089483</v>
      </c>
      <c r="O6680" s="43">
        <v>5.5157988603138657</v>
      </c>
      <c r="P6680" s="193"/>
      <c r="Q6680" s="193"/>
      <c r="R6680" s="193">
        <v>24</v>
      </c>
    </row>
    <row r="6681" spans="1:18" ht="48">
      <c r="A6681" s="189">
        <v>1454</v>
      </c>
      <c r="B6681" s="186" t="s">
        <v>12280</v>
      </c>
      <c r="C6681" s="190" t="s">
        <v>12281</v>
      </c>
      <c r="D6681" s="191">
        <v>30632.86</v>
      </c>
      <c r="E6681" s="191">
        <v>5858.34</v>
      </c>
      <c r="F6681" s="191">
        <v>12512.44</v>
      </c>
      <c r="G6681" s="191">
        <v>12262.08</v>
      </c>
      <c r="H6681" s="192">
        <v>210905.18</v>
      </c>
      <c r="I6681" s="192">
        <v>67373.42</v>
      </c>
      <c r="J6681" s="192">
        <v>76082.95</v>
      </c>
      <c r="K6681" s="192">
        <v>67448.81</v>
      </c>
      <c r="L6681" s="43">
        <v>6.8849327160441431</v>
      </c>
      <c r="M6681" s="43">
        <v>11.500428449014567</v>
      </c>
      <c r="N6681" s="43">
        <v>6.0805846022038859</v>
      </c>
      <c r="O6681" s="43">
        <v>5.5006010399540699</v>
      </c>
      <c r="P6681" s="193"/>
      <c r="Q6681" s="193"/>
      <c r="R6681" s="193">
        <v>24</v>
      </c>
    </row>
    <row r="6682" spans="1:18" ht="12.75" customHeight="1">
      <c r="A6682" s="628" t="s">
        <v>12282</v>
      </c>
      <c r="B6682" s="629"/>
      <c r="C6682" s="629"/>
      <c r="D6682" s="629"/>
      <c r="E6682" s="629"/>
      <c r="F6682" s="629"/>
      <c r="G6682" s="629"/>
      <c r="H6682" s="629"/>
      <c r="I6682" s="629"/>
      <c r="J6682" s="629"/>
      <c r="K6682" s="629"/>
      <c r="L6682" s="629"/>
      <c r="M6682" s="629"/>
      <c r="N6682" s="629"/>
      <c r="O6682" s="629"/>
      <c r="P6682" s="629"/>
      <c r="Q6682" s="629"/>
      <c r="R6682" s="629"/>
    </row>
    <row r="6683" spans="1:18" ht="36">
      <c r="A6683" s="189">
        <v>1455</v>
      </c>
      <c r="B6683" s="186" t="s">
        <v>12283</v>
      </c>
      <c r="C6683" s="190" t="s">
        <v>12284</v>
      </c>
      <c r="D6683" s="191">
        <v>66234.100000000006</v>
      </c>
      <c r="E6683" s="191">
        <v>6685.6</v>
      </c>
      <c r="F6683" s="191">
        <v>8689.06</v>
      </c>
      <c r="G6683" s="191">
        <v>50859.44</v>
      </c>
      <c r="H6683" s="192">
        <v>277682.89</v>
      </c>
      <c r="I6683" s="192">
        <v>76884.399999999994</v>
      </c>
      <c r="J6683" s="192">
        <v>49952.04</v>
      </c>
      <c r="K6683" s="192">
        <v>150846.45000000001</v>
      </c>
      <c r="L6683" s="43">
        <v>4.1924460361052684</v>
      </c>
      <c r="M6683" s="43">
        <v>11.499999999999998</v>
      </c>
      <c r="N6683" s="43">
        <v>5.7488427977249561</v>
      </c>
      <c r="O6683" s="43">
        <v>2.9659479144874581</v>
      </c>
      <c r="P6683" s="193"/>
      <c r="Q6683" s="193"/>
      <c r="R6683" s="193">
        <v>25</v>
      </c>
    </row>
    <row r="6684" spans="1:18" ht="36">
      <c r="A6684" s="189">
        <v>1456</v>
      </c>
      <c r="B6684" s="186" t="s">
        <v>12285</v>
      </c>
      <c r="C6684" s="190" t="s">
        <v>12286</v>
      </c>
      <c r="D6684" s="191">
        <v>67385.8</v>
      </c>
      <c r="E6684" s="191">
        <v>6758.8</v>
      </c>
      <c r="F6684" s="191">
        <v>9750.83</v>
      </c>
      <c r="G6684" s="191">
        <v>50876.17</v>
      </c>
      <c r="H6684" s="192">
        <v>284747.77</v>
      </c>
      <c r="I6684" s="192">
        <v>77726.2</v>
      </c>
      <c r="J6684" s="192">
        <v>56058.83</v>
      </c>
      <c r="K6684" s="192">
        <v>150962.74</v>
      </c>
      <c r="L6684" s="43">
        <v>4.2256346292542348</v>
      </c>
      <c r="M6684" s="43">
        <v>11.5</v>
      </c>
      <c r="N6684" s="43">
        <v>5.7491341762701227</v>
      </c>
      <c r="O6684" s="43">
        <v>2.9672583451152081</v>
      </c>
      <c r="P6684" s="193"/>
      <c r="Q6684" s="193"/>
      <c r="R6684" s="193">
        <v>25</v>
      </c>
    </row>
    <row r="6685" spans="1:18" ht="36">
      <c r="A6685" s="189">
        <v>1457</v>
      </c>
      <c r="B6685" s="186" t="s">
        <v>12287</v>
      </c>
      <c r="C6685" s="190" t="s">
        <v>12288</v>
      </c>
      <c r="D6685" s="191">
        <v>68728.92</v>
      </c>
      <c r="E6685" s="191">
        <v>6966.2</v>
      </c>
      <c r="F6685" s="191">
        <v>10846.1</v>
      </c>
      <c r="G6685" s="191">
        <v>50916.62</v>
      </c>
      <c r="H6685" s="192">
        <v>293685.84999999998</v>
      </c>
      <c r="I6685" s="192">
        <v>80111.3</v>
      </c>
      <c r="J6685" s="192">
        <v>62358.239999999998</v>
      </c>
      <c r="K6685" s="192">
        <v>151216.31</v>
      </c>
      <c r="L6685" s="43">
        <v>4.27310439331798</v>
      </c>
      <c r="M6685" s="43">
        <v>11.5</v>
      </c>
      <c r="N6685" s="43">
        <v>5.7493698195664793</v>
      </c>
      <c r="O6685" s="43">
        <v>2.9698811507912346</v>
      </c>
      <c r="P6685" s="193"/>
      <c r="Q6685" s="193"/>
      <c r="R6685" s="193">
        <v>25</v>
      </c>
    </row>
    <row r="6686" spans="1:18" ht="36">
      <c r="A6686" s="189">
        <v>1458</v>
      </c>
      <c r="B6686" s="186" t="s">
        <v>12289</v>
      </c>
      <c r="C6686" s="190" t="s">
        <v>12290</v>
      </c>
      <c r="D6686" s="191">
        <v>95515.09</v>
      </c>
      <c r="E6686" s="191">
        <v>7234.6</v>
      </c>
      <c r="F6686" s="191">
        <v>12531.99</v>
      </c>
      <c r="G6686" s="191">
        <v>75748.5</v>
      </c>
      <c r="H6686" s="192">
        <v>381433.03</v>
      </c>
      <c r="I6686" s="192">
        <v>83197.899999999994</v>
      </c>
      <c r="J6686" s="192">
        <v>72048.100000000006</v>
      </c>
      <c r="K6686" s="192">
        <v>226187.03</v>
      </c>
      <c r="L6686" s="43">
        <v>3.9934321372675252</v>
      </c>
      <c r="M6686" s="43">
        <v>11.499999999999998</v>
      </c>
      <c r="N6686" s="43">
        <v>5.7491348141835417</v>
      </c>
      <c r="O6686" s="43">
        <v>2.9860265219773328</v>
      </c>
      <c r="P6686" s="193"/>
      <c r="Q6686" s="193"/>
      <c r="R6686" s="193">
        <v>25</v>
      </c>
    </row>
    <row r="6687" spans="1:18" ht="36">
      <c r="A6687" s="189">
        <v>1459</v>
      </c>
      <c r="B6687" s="186" t="s">
        <v>12291</v>
      </c>
      <c r="C6687" s="190" t="s">
        <v>12292</v>
      </c>
      <c r="D6687" s="191">
        <v>67494.92</v>
      </c>
      <c r="E6687" s="191">
        <v>7027.2</v>
      </c>
      <c r="F6687" s="191">
        <v>9137.19</v>
      </c>
      <c r="G6687" s="191">
        <v>51330.53</v>
      </c>
      <c r="H6687" s="192">
        <v>287766.3</v>
      </c>
      <c r="I6687" s="192">
        <v>80812.800000000003</v>
      </c>
      <c r="J6687" s="192">
        <v>52533.51</v>
      </c>
      <c r="K6687" s="192">
        <v>154419.99</v>
      </c>
      <c r="L6687" s="43">
        <v>4.2635253142014244</v>
      </c>
      <c r="M6687" s="43">
        <v>11.5</v>
      </c>
      <c r="N6687" s="43">
        <v>5.7494163960692513</v>
      </c>
      <c r="O6687" s="43">
        <v>3.0083459103188686</v>
      </c>
      <c r="P6687" s="193"/>
      <c r="Q6687" s="193"/>
      <c r="R6687" s="193">
        <v>25</v>
      </c>
    </row>
    <row r="6688" spans="1:18" ht="36">
      <c r="A6688" s="189">
        <v>1460</v>
      </c>
      <c r="B6688" s="186" t="s">
        <v>12293</v>
      </c>
      <c r="C6688" s="190" t="s">
        <v>12294</v>
      </c>
      <c r="D6688" s="191">
        <v>68662.7</v>
      </c>
      <c r="E6688" s="191">
        <v>7259</v>
      </c>
      <c r="F6688" s="191">
        <v>10049.89</v>
      </c>
      <c r="G6688" s="191">
        <v>51353.81</v>
      </c>
      <c r="H6688" s="192">
        <v>295836.59000000003</v>
      </c>
      <c r="I6688" s="192">
        <v>83478.5</v>
      </c>
      <c r="J6688" s="192">
        <v>57777.18</v>
      </c>
      <c r="K6688" s="192">
        <v>154580.91</v>
      </c>
      <c r="L6688" s="43">
        <v>4.3085487462625274</v>
      </c>
      <c r="M6688" s="43">
        <v>11.5</v>
      </c>
      <c r="N6688" s="43">
        <v>5.7490360591011447</v>
      </c>
      <c r="O6688" s="43">
        <v>3.0101157051443703</v>
      </c>
      <c r="P6688" s="193"/>
      <c r="Q6688" s="193"/>
      <c r="R6688" s="193">
        <v>25</v>
      </c>
    </row>
    <row r="6689" spans="1:18" ht="36">
      <c r="A6689" s="189">
        <v>1461</v>
      </c>
      <c r="B6689" s="186" t="s">
        <v>12295</v>
      </c>
      <c r="C6689" s="190" t="s">
        <v>12296</v>
      </c>
      <c r="D6689" s="191">
        <v>70012.639999999999</v>
      </c>
      <c r="E6689" s="191">
        <v>7588.4</v>
      </c>
      <c r="F6689" s="191">
        <v>11024.13</v>
      </c>
      <c r="G6689" s="191">
        <v>51400.11</v>
      </c>
      <c r="H6689" s="192">
        <v>305516.65000000002</v>
      </c>
      <c r="I6689" s="192">
        <v>87266.6</v>
      </c>
      <c r="J6689" s="192">
        <v>63379.21</v>
      </c>
      <c r="K6689" s="192">
        <v>154870.84</v>
      </c>
      <c r="L6689" s="43">
        <v>4.3637356054563865</v>
      </c>
      <c r="M6689" s="43">
        <v>11.500000000000002</v>
      </c>
      <c r="N6689" s="43">
        <v>5.7491348523647678</v>
      </c>
      <c r="O6689" s="43">
        <v>3.0130449137171107</v>
      </c>
      <c r="P6689" s="193"/>
      <c r="Q6689" s="193"/>
      <c r="R6689" s="193">
        <v>25</v>
      </c>
    </row>
    <row r="6690" spans="1:18" ht="36">
      <c r="A6690" s="194">
        <v>1462</v>
      </c>
      <c r="B6690" s="195" t="s">
        <v>12297</v>
      </c>
      <c r="C6690" s="196" t="s">
        <v>12298</v>
      </c>
      <c r="D6690" s="197">
        <v>96785.94</v>
      </c>
      <c r="E6690" s="197">
        <v>8015.4</v>
      </c>
      <c r="F6690" s="197">
        <v>12531.99</v>
      </c>
      <c r="G6690" s="197">
        <v>76238.55</v>
      </c>
      <c r="H6690" s="198">
        <v>394111.39</v>
      </c>
      <c r="I6690" s="198">
        <v>92177.1</v>
      </c>
      <c r="J6690" s="198">
        <v>72048.100000000006</v>
      </c>
      <c r="K6690" s="198">
        <v>229886.19</v>
      </c>
      <c r="L6690" s="611">
        <v>4.0719901051743674</v>
      </c>
      <c r="M6690" s="611">
        <v>11.500000000000002</v>
      </c>
      <c r="N6690" s="611">
        <v>5.7491348141835417</v>
      </c>
      <c r="O6690" s="611">
        <v>3.0153536498267606</v>
      </c>
      <c r="P6690" s="199"/>
      <c r="Q6690" s="199"/>
      <c r="R6690" s="199">
        <v>25</v>
      </c>
    </row>
    <row r="6691" spans="1:18" ht="30" customHeight="1">
      <c r="A6691" s="630" t="s">
        <v>12299</v>
      </c>
      <c r="B6691" s="631"/>
      <c r="C6691" s="631"/>
      <c r="D6691" s="631"/>
      <c r="E6691" s="631"/>
      <c r="F6691" s="631"/>
      <c r="G6691" s="631"/>
      <c r="H6691" s="631"/>
      <c r="I6691" s="631"/>
      <c r="J6691" s="631"/>
      <c r="K6691" s="631"/>
      <c r="L6691" s="631"/>
      <c r="M6691" s="631"/>
      <c r="N6691" s="631"/>
      <c r="O6691" s="631"/>
      <c r="P6691" s="631"/>
      <c r="Q6691" s="631"/>
      <c r="R6691" s="631"/>
    </row>
    <row r="6692" spans="1:18" ht="12.75" customHeight="1">
      <c r="A6692" s="628" t="s">
        <v>12300</v>
      </c>
      <c r="B6692" s="629"/>
      <c r="C6692" s="629"/>
      <c r="D6692" s="629"/>
      <c r="E6692" s="629"/>
      <c r="F6692" s="629"/>
      <c r="G6692" s="629"/>
      <c r="H6692" s="629"/>
      <c r="I6692" s="629"/>
      <c r="J6692" s="629"/>
      <c r="K6692" s="629"/>
      <c r="L6692" s="629"/>
      <c r="M6692" s="629"/>
      <c r="N6692" s="629"/>
      <c r="O6692" s="629"/>
      <c r="P6692" s="629"/>
      <c r="Q6692" s="629"/>
      <c r="R6692" s="629"/>
    </row>
    <row r="6693" spans="1:18" ht="12.75" customHeight="1">
      <c r="A6693" s="628" t="s">
        <v>12301</v>
      </c>
      <c r="B6693" s="629"/>
      <c r="C6693" s="629"/>
      <c r="D6693" s="629"/>
      <c r="E6693" s="629"/>
      <c r="F6693" s="629"/>
      <c r="G6693" s="629"/>
      <c r="H6693" s="629"/>
      <c r="I6693" s="629"/>
      <c r="J6693" s="629"/>
      <c r="K6693" s="629"/>
      <c r="L6693" s="629"/>
      <c r="M6693" s="629"/>
      <c r="N6693" s="629"/>
      <c r="O6693" s="629"/>
      <c r="P6693" s="629"/>
      <c r="Q6693" s="629"/>
      <c r="R6693" s="629"/>
    </row>
    <row r="6694" spans="1:18" ht="24">
      <c r="A6694" s="189">
        <v>1463</v>
      </c>
      <c r="B6694" s="186" t="s">
        <v>12302</v>
      </c>
      <c r="C6694" s="190" t="s">
        <v>12303</v>
      </c>
      <c r="D6694" s="191">
        <v>96.69</v>
      </c>
      <c r="E6694" s="191">
        <v>86.54</v>
      </c>
      <c r="F6694" s="191">
        <v>0.35</v>
      </c>
      <c r="G6694" s="191">
        <v>9.8000000000000007</v>
      </c>
      <c r="H6694" s="192">
        <v>1055.19</v>
      </c>
      <c r="I6694" s="192">
        <v>995.26</v>
      </c>
      <c r="J6694" s="192">
        <v>1.84</v>
      </c>
      <c r="K6694" s="192">
        <v>58.09</v>
      </c>
      <c r="L6694" s="43">
        <v>10.913124418243873</v>
      </c>
      <c r="M6694" s="43">
        <v>11.500577767506355</v>
      </c>
      <c r="N6694" s="43">
        <v>5.257142857142858</v>
      </c>
      <c r="O6694" s="43">
        <v>5.9275510204081634</v>
      </c>
      <c r="P6694" s="193"/>
      <c r="Q6694" s="193"/>
      <c r="R6694" s="193">
        <v>1</v>
      </c>
    </row>
    <row r="6695" spans="1:18" ht="24">
      <c r="A6695" s="189">
        <v>1464</v>
      </c>
      <c r="B6695" s="186" t="s">
        <v>12304</v>
      </c>
      <c r="C6695" s="190" t="s">
        <v>12305</v>
      </c>
      <c r="D6695" s="191">
        <v>155.22</v>
      </c>
      <c r="E6695" s="191">
        <v>140.63</v>
      </c>
      <c r="F6695" s="191">
        <v>0.35</v>
      </c>
      <c r="G6695" s="191">
        <v>14.24</v>
      </c>
      <c r="H6695" s="192">
        <v>1711.06</v>
      </c>
      <c r="I6695" s="192">
        <v>1617.29</v>
      </c>
      <c r="J6695" s="192">
        <v>1.84</v>
      </c>
      <c r="K6695" s="192">
        <v>91.93</v>
      </c>
      <c r="L6695" s="43">
        <v>11.023450586264657</v>
      </c>
      <c r="M6695" s="43">
        <v>11.500319988622627</v>
      </c>
      <c r="N6695" s="43">
        <v>5.257142857142858</v>
      </c>
      <c r="O6695" s="43">
        <v>6.4557584269662929</v>
      </c>
      <c r="P6695" s="193"/>
      <c r="Q6695" s="193"/>
      <c r="R6695" s="193">
        <v>1</v>
      </c>
    </row>
    <row r="6696" spans="1:18" ht="24">
      <c r="A6696" s="189">
        <v>1465</v>
      </c>
      <c r="B6696" s="186" t="s">
        <v>12306</v>
      </c>
      <c r="C6696" s="190" t="s">
        <v>12307</v>
      </c>
      <c r="D6696" s="191">
        <v>78.58</v>
      </c>
      <c r="E6696" s="191">
        <v>63.99</v>
      </c>
      <c r="F6696" s="191">
        <v>0.35</v>
      </c>
      <c r="G6696" s="191">
        <v>14.24</v>
      </c>
      <c r="H6696" s="192">
        <v>821.82</v>
      </c>
      <c r="I6696" s="192">
        <v>735.91</v>
      </c>
      <c r="J6696" s="192">
        <v>1.84</v>
      </c>
      <c r="K6696" s="192">
        <v>84.07</v>
      </c>
      <c r="L6696" s="43">
        <v>10.458386357851872</v>
      </c>
      <c r="M6696" s="43">
        <v>11.500390686044694</v>
      </c>
      <c r="N6696" s="43">
        <v>5.257142857142858</v>
      </c>
      <c r="O6696" s="43">
        <v>5.9037921348314599</v>
      </c>
      <c r="P6696" s="193"/>
      <c r="Q6696" s="193"/>
      <c r="R6696" s="193">
        <v>1</v>
      </c>
    </row>
    <row r="6697" spans="1:18" ht="24">
      <c r="A6697" s="189">
        <v>1466</v>
      </c>
      <c r="B6697" s="186" t="s">
        <v>12308</v>
      </c>
      <c r="C6697" s="190" t="s">
        <v>12309</v>
      </c>
      <c r="D6697" s="191">
        <v>47.43</v>
      </c>
      <c r="E6697" s="191">
        <v>40.82</v>
      </c>
      <c r="F6697" s="191">
        <v>0.64</v>
      </c>
      <c r="G6697" s="191">
        <v>5.97</v>
      </c>
      <c r="H6697" s="192">
        <v>505.13</v>
      </c>
      <c r="I6697" s="192">
        <v>469.46</v>
      </c>
      <c r="J6697" s="192">
        <v>3.34</v>
      </c>
      <c r="K6697" s="192">
        <v>32.33</v>
      </c>
      <c r="L6697" s="43">
        <v>10.650010541851149</v>
      </c>
      <c r="M6697" s="43">
        <v>11.500734933855952</v>
      </c>
      <c r="N6697" s="43">
        <v>5.21875</v>
      </c>
      <c r="O6697" s="43">
        <v>5.4154103852596318</v>
      </c>
      <c r="P6697" s="193"/>
      <c r="Q6697" s="193"/>
      <c r="R6697" s="193">
        <v>1</v>
      </c>
    </row>
    <row r="6698" spans="1:18" ht="24">
      <c r="A6698" s="189">
        <v>1467</v>
      </c>
      <c r="B6698" s="186" t="s">
        <v>12310</v>
      </c>
      <c r="C6698" s="190" t="s">
        <v>12311</v>
      </c>
      <c r="D6698" s="191">
        <v>25.91</v>
      </c>
      <c r="E6698" s="191">
        <v>21.01</v>
      </c>
      <c r="F6698" s="191">
        <v>0.28999999999999998</v>
      </c>
      <c r="G6698" s="191">
        <v>4.6100000000000003</v>
      </c>
      <c r="H6698" s="192">
        <v>264.63</v>
      </c>
      <c r="I6698" s="192">
        <v>241.58</v>
      </c>
      <c r="J6698" s="192">
        <v>1.5</v>
      </c>
      <c r="K6698" s="192">
        <v>21.55</v>
      </c>
      <c r="L6698" s="43">
        <v>10.213431107680432</v>
      </c>
      <c r="M6698" s="43">
        <v>11.498334126606377</v>
      </c>
      <c r="N6698" s="43">
        <v>5.1724137931034484</v>
      </c>
      <c r="O6698" s="43">
        <v>4.674620390455531</v>
      </c>
      <c r="P6698" s="193"/>
      <c r="Q6698" s="193"/>
      <c r="R6698" s="193">
        <v>1</v>
      </c>
    </row>
    <row r="6699" spans="1:18" ht="24">
      <c r="A6699" s="189">
        <v>1468</v>
      </c>
      <c r="B6699" s="186" t="s">
        <v>12312</v>
      </c>
      <c r="C6699" s="190" t="s">
        <v>12313</v>
      </c>
      <c r="D6699" s="191">
        <v>65.28</v>
      </c>
      <c r="E6699" s="191">
        <v>57.7</v>
      </c>
      <c r="F6699" s="191">
        <v>0.35</v>
      </c>
      <c r="G6699" s="191">
        <v>7.23</v>
      </c>
      <c r="H6699" s="192">
        <v>704.1</v>
      </c>
      <c r="I6699" s="192">
        <v>663.5</v>
      </c>
      <c r="J6699" s="192">
        <v>1.84</v>
      </c>
      <c r="K6699" s="192">
        <v>38.76</v>
      </c>
      <c r="L6699" s="43">
        <v>10.785845588235293</v>
      </c>
      <c r="M6699" s="43">
        <v>11.499133448873483</v>
      </c>
      <c r="N6699" s="43">
        <v>5.257142857142858</v>
      </c>
      <c r="O6699" s="43">
        <v>5.3609958506224062</v>
      </c>
      <c r="P6699" s="193"/>
      <c r="Q6699" s="193"/>
      <c r="R6699" s="193">
        <v>1</v>
      </c>
    </row>
    <row r="6700" spans="1:18" ht="24">
      <c r="A6700" s="189">
        <v>1469</v>
      </c>
      <c r="B6700" s="186" t="s">
        <v>12314</v>
      </c>
      <c r="C6700" s="190" t="s">
        <v>12315</v>
      </c>
      <c r="D6700" s="191">
        <v>52.81</v>
      </c>
      <c r="E6700" s="191">
        <v>46.22</v>
      </c>
      <c r="F6700" s="191">
        <v>0.35</v>
      </c>
      <c r="G6700" s="191">
        <v>6.24</v>
      </c>
      <c r="H6700" s="192">
        <v>564.58000000000004</v>
      </c>
      <c r="I6700" s="192">
        <v>531.49</v>
      </c>
      <c r="J6700" s="192">
        <v>1.84</v>
      </c>
      <c r="K6700" s="192">
        <v>31.25</v>
      </c>
      <c r="L6700" s="43">
        <v>10.690778261692861</v>
      </c>
      <c r="M6700" s="43">
        <v>11.499134573777585</v>
      </c>
      <c r="N6700" s="43">
        <v>5.257142857142858</v>
      </c>
      <c r="O6700" s="43">
        <v>5.0080128205128203</v>
      </c>
      <c r="P6700" s="193"/>
      <c r="Q6700" s="193"/>
      <c r="R6700" s="193">
        <v>1</v>
      </c>
    </row>
    <row r="6701" spans="1:18" ht="24">
      <c r="A6701" s="189">
        <v>1470</v>
      </c>
      <c r="B6701" s="186" t="s">
        <v>12316</v>
      </c>
      <c r="C6701" s="190" t="s">
        <v>12317</v>
      </c>
      <c r="D6701" s="191">
        <v>35.229999999999997</v>
      </c>
      <c r="E6701" s="191">
        <v>30.1</v>
      </c>
      <c r="F6701" s="191">
        <v>0.28999999999999998</v>
      </c>
      <c r="G6701" s="191">
        <v>4.84</v>
      </c>
      <c r="H6701" s="192">
        <v>371.57</v>
      </c>
      <c r="I6701" s="192">
        <v>346.1</v>
      </c>
      <c r="J6701" s="192">
        <v>1.5</v>
      </c>
      <c r="K6701" s="192">
        <v>23.97</v>
      </c>
      <c r="L6701" s="43">
        <v>10.546977008231622</v>
      </c>
      <c r="M6701" s="43">
        <v>11.498338870431894</v>
      </c>
      <c r="N6701" s="43">
        <v>5.1724137931034484</v>
      </c>
      <c r="O6701" s="43">
        <v>4.9524793388429753</v>
      </c>
      <c r="P6701" s="193"/>
      <c r="Q6701" s="193"/>
      <c r="R6701" s="193">
        <v>1</v>
      </c>
    </row>
    <row r="6702" spans="1:18" ht="24">
      <c r="A6702" s="189">
        <v>1471</v>
      </c>
      <c r="B6702" s="186" t="s">
        <v>12318</v>
      </c>
      <c r="C6702" s="190" t="s">
        <v>12319</v>
      </c>
      <c r="D6702" s="191">
        <v>76.14</v>
      </c>
      <c r="E6702" s="191">
        <v>70.510000000000005</v>
      </c>
      <c r="F6702" s="191">
        <v>0.28999999999999998</v>
      </c>
      <c r="G6702" s="191">
        <v>5.34</v>
      </c>
      <c r="H6702" s="192">
        <v>843.72</v>
      </c>
      <c r="I6702" s="192">
        <v>810.88</v>
      </c>
      <c r="J6702" s="192">
        <v>1.5</v>
      </c>
      <c r="K6702" s="192">
        <v>31.34</v>
      </c>
      <c r="L6702" s="43">
        <v>11.081166272655635</v>
      </c>
      <c r="M6702" s="43">
        <v>11.500212735782158</v>
      </c>
      <c r="N6702" s="43">
        <v>5.1724137931034484</v>
      </c>
      <c r="O6702" s="43">
        <v>5.868913857677903</v>
      </c>
      <c r="P6702" s="193"/>
      <c r="Q6702" s="193"/>
      <c r="R6702" s="193">
        <v>1</v>
      </c>
    </row>
    <row r="6703" spans="1:18" ht="24">
      <c r="A6703" s="189">
        <v>1472</v>
      </c>
      <c r="B6703" s="186" t="s">
        <v>12320</v>
      </c>
      <c r="C6703" s="190" t="s">
        <v>12321</v>
      </c>
      <c r="D6703" s="191">
        <v>43.96</v>
      </c>
      <c r="E6703" s="191">
        <v>39.11</v>
      </c>
      <c r="F6703" s="191">
        <v>0.28999999999999998</v>
      </c>
      <c r="G6703" s="191">
        <v>4.5599999999999996</v>
      </c>
      <c r="H6703" s="192">
        <v>474.33</v>
      </c>
      <c r="I6703" s="192">
        <v>449.72</v>
      </c>
      <c r="J6703" s="192">
        <v>1.5</v>
      </c>
      <c r="K6703" s="192">
        <v>23.11</v>
      </c>
      <c r="L6703" s="43">
        <v>10.790036396724295</v>
      </c>
      <c r="M6703" s="43">
        <v>11.498849399130657</v>
      </c>
      <c r="N6703" s="43">
        <v>5.1724137931034484</v>
      </c>
      <c r="O6703" s="43">
        <v>5.067982456140351</v>
      </c>
      <c r="P6703" s="193"/>
      <c r="Q6703" s="193"/>
      <c r="R6703" s="193">
        <v>1</v>
      </c>
    </row>
    <row r="6704" spans="1:18" ht="24">
      <c r="A6704" s="189">
        <v>1473</v>
      </c>
      <c r="B6704" s="186" t="s">
        <v>12322</v>
      </c>
      <c r="C6704" s="190" t="s">
        <v>12323</v>
      </c>
      <c r="D6704" s="191">
        <v>59.2</v>
      </c>
      <c r="E6704" s="191">
        <v>51.95</v>
      </c>
      <c r="F6704" s="191">
        <v>0.28999999999999998</v>
      </c>
      <c r="G6704" s="191">
        <v>6.96</v>
      </c>
      <c r="H6704" s="192">
        <v>638.73</v>
      </c>
      <c r="I6704" s="192">
        <v>597.49</v>
      </c>
      <c r="J6704" s="192">
        <v>1.5</v>
      </c>
      <c r="K6704" s="192">
        <v>39.74</v>
      </c>
      <c r="L6704" s="43">
        <v>10.789358108108107</v>
      </c>
      <c r="M6704" s="43">
        <v>11.501251203079883</v>
      </c>
      <c r="N6704" s="43">
        <v>5.1724137931034484</v>
      </c>
      <c r="O6704" s="43">
        <v>5.7097701149425291</v>
      </c>
      <c r="P6704" s="193"/>
      <c r="Q6704" s="193"/>
      <c r="R6704" s="193">
        <v>1</v>
      </c>
    </row>
    <row r="6705" spans="1:18" ht="24">
      <c r="A6705" s="189">
        <v>1474</v>
      </c>
      <c r="B6705" s="186" t="s">
        <v>12324</v>
      </c>
      <c r="C6705" s="190" t="s">
        <v>12325</v>
      </c>
      <c r="D6705" s="191">
        <v>34.65</v>
      </c>
      <c r="E6705" s="191">
        <v>29.69</v>
      </c>
      <c r="F6705" s="191">
        <v>0.28999999999999998</v>
      </c>
      <c r="G6705" s="191">
        <v>4.67</v>
      </c>
      <c r="H6705" s="192">
        <v>365.8</v>
      </c>
      <c r="I6705" s="192">
        <v>341.42</v>
      </c>
      <c r="J6705" s="192">
        <v>1.5</v>
      </c>
      <c r="K6705" s="192">
        <v>22.88</v>
      </c>
      <c r="L6705" s="43">
        <v>10.556998556998558</v>
      </c>
      <c r="M6705" s="43">
        <v>11.499494779387</v>
      </c>
      <c r="N6705" s="43">
        <v>5.1724137931034484</v>
      </c>
      <c r="O6705" s="43">
        <v>4.8993576017130618</v>
      </c>
      <c r="P6705" s="193"/>
      <c r="Q6705" s="193"/>
      <c r="R6705" s="193">
        <v>1</v>
      </c>
    </row>
    <row r="6706" spans="1:18" ht="24">
      <c r="A6706" s="189">
        <v>1475</v>
      </c>
      <c r="B6706" s="186" t="s">
        <v>12326</v>
      </c>
      <c r="C6706" s="190" t="s">
        <v>12327</v>
      </c>
      <c r="D6706" s="191">
        <v>18.7</v>
      </c>
      <c r="E6706" s="191">
        <v>14.64</v>
      </c>
      <c r="F6706" s="191">
        <v>0.28999999999999998</v>
      </c>
      <c r="G6706" s="191">
        <v>3.77</v>
      </c>
      <c r="H6706" s="192">
        <v>185.4</v>
      </c>
      <c r="I6706" s="192">
        <v>168.36</v>
      </c>
      <c r="J6706" s="192">
        <v>1.5</v>
      </c>
      <c r="K6706" s="192">
        <v>15.54</v>
      </c>
      <c r="L6706" s="43">
        <v>9.9144385026737982</v>
      </c>
      <c r="M6706" s="43">
        <v>11.5</v>
      </c>
      <c r="N6706" s="43">
        <v>5.1724137931034484</v>
      </c>
      <c r="O6706" s="43">
        <v>4.1220159151193627</v>
      </c>
      <c r="P6706" s="193"/>
      <c r="Q6706" s="193"/>
      <c r="R6706" s="193">
        <v>1</v>
      </c>
    </row>
    <row r="6707" spans="1:18" ht="12.75" customHeight="1">
      <c r="A6707" s="628" t="s">
        <v>12328</v>
      </c>
      <c r="B6707" s="629"/>
      <c r="C6707" s="629"/>
      <c r="D6707" s="629"/>
      <c r="E6707" s="629"/>
      <c r="F6707" s="629"/>
      <c r="G6707" s="629"/>
      <c r="H6707" s="629"/>
      <c r="I6707" s="629"/>
      <c r="J6707" s="629"/>
      <c r="K6707" s="629"/>
      <c r="L6707" s="629"/>
      <c r="M6707" s="629"/>
      <c r="N6707" s="629"/>
      <c r="O6707" s="629"/>
      <c r="P6707" s="629"/>
      <c r="Q6707" s="629"/>
      <c r="R6707" s="629"/>
    </row>
    <row r="6708" spans="1:18" ht="36">
      <c r="A6708" s="189">
        <v>1476</v>
      </c>
      <c r="B6708" s="186" t="s">
        <v>12329</v>
      </c>
      <c r="C6708" s="190" t="s">
        <v>12330</v>
      </c>
      <c r="D6708" s="191">
        <v>11.25</v>
      </c>
      <c r="E6708" s="191">
        <v>9.65</v>
      </c>
      <c r="F6708" s="191">
        <v>0.13</v>
      </c>
      <c r="G6708" s="191">
        <v>1.47</v>
      </c>
      <c r="H6708" s="192">
        <v>118.4</v>
      </c>
      <c r="I6708" s="192">
        <v>111</v>
      </c>
      <c r="J6708" s="192">
        <v>0.69</v>
      </c>
      <c r="K6708" s="192">
        <v>6.71</v>
      </c>
      <c r="L6708" s="43">
        <v>10.524444444444445</v>
      </c>
      <c r="M6708" s="43">
        <v>11.50259067357513</v>
      </c>
      <c r="N6708" s="43">
        <v>5.3076923076923075</v>
      </c>
      <c r="O6708" s="43">
        <v>4.5646258503401365</v>
      </c>
      <c r="P6708" s="193"/>
      <c r="Q6708" s="193"/>
      <c r="R6708" s="193">
        <v>2</v>
      </c>
    </row>
    <row r="6709" spans="1:18" ht="36">
      <c r="A6709" s="189">
        <v>1477</v>
      </c>
      <c r="B6709" s="186" t="s">
        <v>12331</v>
      </c>
      <c r="C6709" s="190" t="s">
        <v>12332</v>
      </c>
      <c r="D6709" s="191">
        <v>22.8</v>
      </c>
      <c r="E6709" s="191">
        <v>19.3</v>
      </c>
      <c r="F6709" s="191">
        <v>0.35</v>
      </c>
      <c r="G6709" s="191">
        <v>3.15</v>
      </c>
      <c r="H6709" s="192">
        <v>237.65</v>
      </c>
      <c r="I6709" s="192">
        <v>222</v>
      </c>
      <c r="J6709" s="192">
        <v>1.84</v>
      </c>
      <c r="K6709" s="192">
        <v>13.81</v>
      </c>
      <c r="L6709" s="43">
        <v>10.423245614035087</v>
      </c>
      <c r="M6709" s="43">
        <v>11.50259067357513</v>
      </c>
      <c r="N6709" s="43">
        <v>5.257142857142858</v>
      </c>
      <c r="O6709" s="43">
        <v>4.3841269841269845</v>
      </c>
      <c r="P6709" s="193"/>
      <c r="Q6709" s="193"/>
      <c r="R6709" s="193">
        <v>2</v>
      </c>
    </row>
    <row r="6710" spans="1:18" ht="36">
      <c r="A6710" s="189">
        <v>1478</v>
      </c>
      <c r="B6710" s="186" t="s">
        <v>12333</v>
      </c>
      <c r="C6710" s="190" t="s">
        <v>12334</v>
      </c>
      <c r="D6710" s="191">
        <v>27.78</v>
      </c>
      <c r="E6710" s="191">
        <v>23.72</v>
      </c>
      <c r="F6710" s="191">
        <v>0.42</v>
      </c>
      <c r="G6710" s="191">
        <v>3.64</v>
      </c>
      <c r="H6710" s="192">
        <v>290.64999999999998</v>
      </c>
      <c r="I6710" s="192">
        <v>272.8</v>
      </c>
      <c r="J6710" s="192">
        <v>2.19</v>
      </c>
      <c r="K6710" s="192">
        <v>15.66</v>
      </c>
      <c r="L6710" s="43">
        <v>10.462562994960402</v>
      </c>
      <c r="M6710" s="43">
        <v>11.500843170320406</v>
      </c>
      <c r="N6710" s="43">
        <v>5.2142857142857144</v>
      </c>
      <c r="O6710" s="43">
        <v>4.302197802197802</v>
      </c>
      <c r="P6710" s="193"/>
      <c r="Q6710" s="193"/>
      <c r="R6710" s="193">
        <v>2</v>
      </c>
    </row>
    <row r="6711" spans="1:18" ht="24">
      <c r="A6711" s="189">
        <v>1479</v>
      </c>
      <c r="B6711" s="186" t="s">
        <v>12335</v>
      </c>
      <c r="C6711" s="190" t="s">
        <v>12336</v>
      </c>
      <c r="D6711" s="191">
        <v>11.81</v>
      </c>
      <c r="E6711" s="191">
        <v>9.65</v>
      </c>
      <c r="F6711" s="191"/>
      <c r="G6711" s="191">
        <v>2.16</v>
      </c>
      <c r="H6711" s="192">
        <v>121.59</v>
      </c>
      <c r="I6711" s="192">
        <v>111</v>
      </c>
      <c r="J6711" s="192"/>
      <c r="K6711" s="192">
        <v>10.59</v>
      </c>
      <c r="L6711" s="43">
        <v>10.295512277730737</v>
      </c>
      <c r="M6711" s="43">
        <v>11.50259067357513</v>
      </c>
      <c r="N6711" s="43" t="s">
        <v>1690</v>
      </c>
      <c r="O6711" s="43">
        <v>4.9027777777777777</v>
      </c>
      <c r="P6711" s="193"/>
      <c r="Q6711" s="193"/>
      <c r="R6711" s="193">
        <v>2</v>
      </c>
    </row>
    <row r="6712" spans="1:18" ht="48">
      <c r="A6712" s="189">
        <v>1480</v>
      </c>
      <c r="B6712" s="186" t="s">
        <v>12337</v>
      </c>
      <c r="C6712" s="190" t="s">
        <v>12338</v>
      </c>
      <c r="D6712" s="191">
        <v>12.02</v>
      </c>
      <c r="E6712" s="191">
        <v>9.65</v>
      </c>
      <c r="F6712" s="191"/>
      <c r="G6712" s="191">
        <v>2.37</v>
      </c>
      <c r="H6712" s="192">
        <v>121.03</v>
      </c>
      <c r="I6712" s="192">
        <v>111</v>
      </c>
      <c r="J6712" s="192"/>
      <c r="K6712" s="192">
        <v>10.029999999999999</v>
      </c>
      <c r="L6712" s="43">
        <v>10.069051580698837</v>
      </c>
      <c r="M6712" s="43">
        <v>11.50259067357513</v>
      </c>
      <c r="N6712" s="43" t="s">
        <v>1690</v>
      </c>
      <c r="O6712" s="43">
        <v>4.2320675105485224</v>
      </c>
      <c r="P6712" s="193"/>
      <c r="Q6712" s="193"/>
      <c r="R6712" s="193">
        <v>2</v>
      </c>
    </row>
    <row r="6713" spans="1:18" ht="24">
      <c r="A6713" s="189">
        <v>1481</v>
      </c>
      <c r="B6713" s="186" t="s">
        <v>12339</v>
      </c>
      <c r="C6713" s="190" t="s">
        <v>12340</v>
      </c>
      <c r="D6713" s="191">
        <v>6.5</v>
      </c>
      <c r="E6713" s="191">
        <v>4.0199999999999996</v>
      </c>
      <c r="F6713" s="191">
        <v>1.06</v>
      </c>
      <c r="G6713" s="191">
        <v>1.42</v>
      </c>
      <c r="H6713" s="192">
        <v>59.23</v>
      </c>
      <c r="I6713" s="192">
        <v>46.25</v>
      </c>
      <c r="J6713" s="192">
        <v>5.59</v>
      </c>
      <c r="K6713" s="192">
        <v>7.39</v>
      </c>
      <c r="L6713" s="43">
        <v>9.1123076923076916</v>
      </c>
      <c r="M6713" s="43">
        <v>11.504975124378111</v>
      </c>
      <c r="N6713" s="43">
        <v>5.2735849056603765</v>
      </c>
      <c r="O6713" s="43">
        <v>5.204225352112676</v>
      </c>
      <c r="P6713" s="193"/>
      <c r="Q6713" s="193"/>
      <c r="R6713" s="193">
        <v>2</v>
      </c>
    </row>
    <row r="6714" spans="1:18" ht="12.75" customHeight="1">
      <c r="A6714" s="628" t="s">
        <v>12341</v>
      </c>
      <c r="B6714" s="629"/>
      <c r="C6714" s="629"/>
      <c r="D6714" s="629"/>
      <c r="E6714" s="629"/>
      <c r="F6714" s="629"/>
      <c r="G6714" s="629"/>
      <c r="H6714" s="629"/>
      <c r="I6714" s="629"/>
      <c r="J6714" s="629"/>
      <c r="K6714" s="629"/>
      <c r="L6714" s="629"/>
      <c r="M6714" s="629"/>
      <c r="N6714" s="629"/>
      <c r="O6714" s="629"/>
      <c r="P6714" s="629"/>
      <c r="Q6714" s="629"/>
      <c r="R6714" s="629"/>
    </row>
    <row r="6715" spans="1:18" ht="24">
      <c r="A6715" s="189">
        <v>1482</v>
      </c>
      <c r="B6715" s="186" t="s">
        <v>12342</v>
      </c>
      <c r="C6715" s="190" t="s">
        <v>12343</v>
      </c>
      <c r="D6715" s="191">
        <v>98.96</v>
      </c>
      <c r="E6715" s="191">
        <v>92.43</v>
      </c>
      <c r="F6715" s="191">
        <v>0.28999999999999998</v>
      </c>
      <c r="G6715" s="191">
        <v>6.24</v>
      </c>
      <c r="H6715" s="192">
        <v>1103.76</v>
      </c>
      <c r="I6715" s="192">
        <v>1062.94</v>
      </c>
      <c r="J6715" s="192">
        <v>1.5</v>
      </c>
      <c r="K6715" s="192">
        <v>39.32</v>
      </c>
      <c r="L6715" s="43">
        <v>11.1535974130962</v>
      </c>
      <c r="M6715" s="43">
        <v>11.499945905009195</v>
      </c>
      <c r="N6715" s="43">
        <v>5.1724137931034484</v>
      </c>
      <c r="O6715" s="43">
        <v>6.3012820512820511</v>
      </c>
      <c r="P6715" s="193"/>
      <c r="Q6715" s="193"/>
      <c r="R6715" s="193">
        <v>3</v>
      </c>
    </row>
    <row r="6716" spans="1:18" ht="24">
      <c r="A6716" s="189">
        <v>1483</v>
      </c>
      <c r="B6716" s="186" t="s">
        <v>12344</v>
      </c>
      <c r="C6716" s="190" t="s">
        <v>12345</v>
      </c>
      <c r="D6716" s="191">
        <v>47.37</v>
      </c>
      <c r="E6716" s="191">
        <v>43.92</v>
      </c>
      <c r="F6716" s="191">
        <v>0.2</v>
      </c>
      <c r="G6716" s="191">
        <v>3.25</v>
      </c>
      <c r="H6716" s="192">
        <v>524.72</v>
      </c>
      <c r="I6716" s="192">
        <v>505.08</v>
      </c>
      <c r="J6716" s="192">
        <v>1.04</v>
      </c>
      <c r="K6716" s="192">
        <v>18.600000000000001</v>
      </c>
      <c r="L6716" s="43">
        <v>11.077052987122652</v>
      </c>
      <c r="M6716" s="43">
        <v>11.5</v>
      </c>
      <c r="N6716" s="43">
        <v>5.2</v>
      </c>
      <c r="O6716" s="43">
        <v>5.7230769230769232</v>
      </c>
      <c r="P6716" s="193"/>
      <c r="Q6716" s="193"/>
      <c r="R6716" s="193">
        <v>3</v>
      </c>
    </row>
    <row r="6717" spans="1:18" ht="24">
      <c r="A6717" s="189">
        <v>1484</v>
      </c>
      <c r="B6717" s="186" t="s">
        <v>12346</v>
      </c>
      <c r="C6717" s="190" t="s">
        <v>12347</v>
      </c>
      <c r="D6717" s="191">
        <v>49.17</v>
      </c>
      <c r="E6717" s="191">
        <v>43.92</v>
      </c>
      <c r="F6717" s="191">
        <v>0.28999999999999998</v>
      </c>
      <c r="G6717" s="191">
        <v>4.96</v>
      </c>
      <c r="H6717" s="192">
        <v>532.79</v>
      </c>
      <c r="I6717" s="192">
        <v>505.08</v>
      </c>
      <c r="J6717" s="192">
        <v>1.5</v>
      </c>
      <c r="K6717" s="192">
        <v>26.21</v>
      </c>
      <c r="L6717" s="43">
        <v>10.835672157819808</v>
      </c>
      <c r="M6717" s="43">
        <v>11.5</v>
      </c>
      <c r="N6717" s="43">
        <v>5.1724137931034484</v>
      </c>
      <c r="O6717" s="43">
        <v>5.284274193548387</v>
      </c>
      <c r="P6717" s="193"/>
      <c r="Q6717" s="193"/>
      <c r="R6717" s="193">
        <v>3</v>
      </c>
    </row>
    <row r="6718" spans="1:18" ht="24">
      <c r="A6718" s="189">
        <v>1485</v>
      </c>
      <c r="B6718" s="186" t="s">
        <v>12348</v>
      </c>
      <c r="C6718" s="190" t="s">
        <v>12349</v>
      </c>
      <c r="D6718" s="191">
        <v>45.87</v>
      </c>
      <c r="E6718" s="191">
        <v>41.36</v>
      </c>
      <c r="F6718" s="191">
        <v>0.28999999999999998</v>
      </c>
      <c r="G6718" s="191">
        <v>4.22</v>
      </c>
      <c r="H6718" s="192">
        <v>498.46</v>
      </c>
      <c r="I6718" s="192">
        <v>475.7</v>
      </c>
      <c r="J6718" s="192">
        <v>1.5</v>
      </c>
      <c r="K6718" s="192">
        <v>21.26</v>
      </c>
      <c r="L6718" s="43">
        <v>10.866797471114017</v>
      </c>
      <c r="M6718" s="43">
        <v>11.501450676982591</v>
      </c>
      <c r="N6718" s="43">
        <v>5.1724137931034484</v>
      </c>
      <c r="O6718" s="43">
        <v>5.0379146919431284</v>
      </c>
      <c r="P6718" s="193"/>
      <c r="Q6718" s="193"/>
      <c r="R6718" s="193">
        <v>3</v>
      </c>
    </row>
    <row r="6719" spans="1:18" ht="36">
      <c r="A6719" s="189">
        <v>1486</v>
      </c>
      <c r="B6719" s="186" t="s">
        <v>12350</v>
      </c>
      <c r="C6719" s="190" t="s">
        <v>12351</v>
      </c>
      <c r="D6719" s="191">
        <v>71.569999999999993</v>
      </c>
      <c r="E6719" s="191">
        <v>66.180000000000007</v>
      </c>
      <c r="F6719" s="191">
        <v>0.28999999999999998</v>
      </c>
      <c r="G6719" s="191">
        <v>5.0999999999999996</v>
      </c>
      <c r="H6719" s="192">
        <v>791.95</v>
      </c>
      <c r="I6719" s="192">
        <v>761.13</v>
      </c>
      <c r="J6719" s="192">
        <v>1.5</v>
      </c>
      <c r="K6719" s="192">
        <v>29.32</v>
      </c>
      <c r="L6719" s="43">
        <v>11.065390526757023</v>
      </c>
      <c r="M6719" s="43">
        <v>11.500906618313689</v>
      </c>
      <c r="N6719" s="43">
        <v>5.1724137931034484</v>
      </c>
      <c r="O6719" s="43">
        <v>5.7490196078431381</v>
      </c>
      <c r="P6719" s="193"/>
      <c r="Q6719" s="193"/>
      <c r="R6719" s="193">
        <v>3</v>
      </c>
    </row>
    <row r="6720" spans="1:18" ht="24">
      <c r="A6720" s="189">
        <v>1487</v>
      </c>
      <c r="B6720" s="186" t="s">
        <v>12352</v>
      </c>
      <c r="C6720" s="190" t="s">
        <v>12353</v>
      </c>
      <c r="D6720" s="191">
        <v>79.77</v>
      </c>
      <c r="E6720" s="191">
        <v>71.25</v>
      </c>
      <c r="F6720" s="191">
        <v>0.38</v>
      </c>
      <c r="G6720" s="191">
        <v>8.14</v>
      </c>
      <c r="H6720" s="192">
        <v>867.36</v>
      </c>
      <c r="I6720" s="192">
        <v>819.42</v>
      </c>
      <c r="J6720" s="192">
        <v>1.96</v>
      </c>
      <c r="K6720" s="192">
        <v>45.98</v>
      </c>
      <c r="L6720" s="43">
        <v>10.873260624294849</v>
      </c>
      <c r="M6720" s="43">
        <v>11.500631578947369</v>
      </c>
      <c r="N6720" s="43">
        <v>5.1578947368421053</v>
      </c>
      <c r="O6720" s="43">
        <v>5.6486486486486482</v>
      </c>
      <c r="P6720" s="193"/>
      <c r="Q6720" s="193"/>
      <c r="R6720" s="193">
        <v>3</v>
      </c>
    </row>
    <row r="6721" spans="1:18" ht="36">
      <c r="A6721" s="189">
        <v>1488</v>
      </c>
      <c r="B6721" s="186" t="s">
        <v>12354</v>
      </c>
      <c r="C6721" s="190" t="s">
        <v>12355</v>
      </c>
      <c r="D6721" s="191">
        <v>84.79</v>
      </c>
      <c r="E6721" s="191">
        <v>74.459999999999994</v>
      </c>
      <c r="F6721" s="191">
        <v>0.77</v>
      </c>
      <c r="G6721" s="191">
        <v>9.56</v>
      </c>
      <c r="H6721" s="192">
        <v>902.41</v>
      </c>
      <c r="I6721" s="192">
        <v>856.27</v>
      </c>
      <c r="J6721" s="192">
        <v>4.03</v>
      </c>
      <c r="K6721" s="192">
        <v>42.11</v>
      </c>
      <c r="L6721" s="43">
        <v>10.642882415379171</v>
      </c>
      <c r="M6721" s="43">
        <v>11.499731399409079</v>
      </c>
      <c r="N6721" s="43">
        <v>5.2337662337662341</v>
      </c>
      <c r="O6721" s="43">
        <v>4.4048117154811717</v>
      </c>
      <c r="P6721" s="193"/>
      <c r="Q6721" s="193"/>
      <c r="R6721" s="193">
        <v>3</v>
      </c>
    </row>
    <row r="6722" spans="1:18" ht="24">
      <c r="A6722" s="189">
        <v>1489</v>
      </c>
      <c r="B6722" s="186" t="s">
        <v>12356</v>
      </c>
      <c r="C6722" s="190" t="s">
        <v>12357</v>
      </c>
      <c r="D6722" s="191">
        <v>10.54</v>
      </c>
      <c r="E6722" s="191">
        <v>8.27</v>
      </c>
      <c r="F6722" s="191">
        <v>0.2</v>
      </c>
      <c r="G6722" s="191">
        <v>2.0699999999999998</v>
      </c>
      <c r="H6722" s="192">
        <v>103.65</v>
      </c>
      <c r="I6722" s="192">
        <v>95.14</v>
      </c>
      <c r="J6722" s="192">
        <v>1.04</v>
      </c>
      <c r="K6722" s="192">
        <v>7.47</v>
      </c>
      <c r="L6722" s="43">
        <v>9.8339658444022788</v>
      </c>
      <c r="M6722" s="43">
        <v>11.504232164449819</v>
      </c>
      <c r="N6722" s="43">
        <v>5.2</v>
      </c>
      <c r="O6722" s="43">
        <v>3.6086956521739131</v>
      </c>
      <c r="P6722" s="193"/>
      <c r="Q6722" s="193"/>
      <c r="R6722" s="193">
        <v>3</v>
      </c>
    </row>
    <row r="6723" spans="1:18" ht="24">
      <c r="A6723" s="189">
        <v>1490</v>
      </c>
      <c r="B6723" s="186" t="s">
        <v>12358</v>
      </c>
      <c r="C6723" s="190" t="s">
        <v>12359</v>
      </c>
      <c r="D6723" s="191">
        <v>27.92</v>
      </c>
      <c r="E6723" s="191">
        <v>24.28</v>
      </c>
      <c r="F6723" s="191">
        <v>0.28999999999999998</v>
      </c>
      <c r="G6723" s="191">
        <v>3.35</v>
      </c>
      <c r="H6723" s="192">
        <v>294.61</v>
      </c>
      <c r="I6723" s="192">
        <v>279.2</v>
      </c>
      <c r="J6723" s="192">
        <v>1.5</v>
      </c>
      <c r="K6723" s="192">
        <v>13.91</v>
      </c>
      <c r="L6723" s="43">
        <v>10.551934097421203</v>
      </c>
      <c r="M6723" s="43">
        <v>11.499176276771005</v>
      </c>
      <c r="N6723" s="43">
        <v>5.1724137931034484</v>
      </c>
      <c r="O6723" s="43">
        <v>4.1522388059701489</v>
      </c>
      <c r="P6723" s="193"/>
      <c r="Q6723" s="193"/>
      <c r="R6723" s="193">
        <v>3</v>
      </c>
    </row>
    <row r="6724" spans="1:18" ht="12.75" customHeight="1">
      <c r="A6724" s="628" t="s">
        <v>12360</v>
      </c>
      <c r="B6724" s="629"/>
      <c r="C6724" s="629"/>
      <c r="D6724" s="629"/>
      <c r="E6724" s="629"/>
      <c r="F6724" s="629"/>
      <c r="G6724" s="629"/>
      <c r="H6724" s="629"/>
      <c r="I6724" s="629"/>
      <c r="J6724" s="629"/>
      <c r="K6724" s="629"/>
      <c r="L6724" s="629"/>
      <c r="M6724" s="629"/>
      <c r="N6724" s="629"/>
      <c r="O6724" s="629"/>
      <c r="P6724" s="629"/>
      <c r="Q6724" s="629"/>
      <c r="R6724" s="629"/>
    </row>
    <row r="6725" spans="1:18" ht="24">
      <c r="A6725" s="189">
        <v>1491</v>
      </c>
      <c r="B6725" s="186" t="s">
        <v>12361</v>
      </c>
      <c r="C6725" s="190" t="s">
        <v>12362</v>
      </c>
      <c r="D6725" s="191">
        <v>708.2</v>
      </c>
      <c r="E6725" s="191">
        <v>525.15</v>
      </c>
      <c r="F6725" s="191"/>
      <c r="G6725" s="191">
        <v>183.05</v>
      </c>
      <c r="H6725" s="192">
        <v>6895.62</v>
      </c>
      <c r="I6725" s="192">
        <v>6039.45</v>
      </c>
      <c r="J6725" s="192"/>
      <c r="K6725" s="192">
        <v>856.17</v>
      </c>
      <c r="L6725" s="43">
        <v>9.7368257554363158</v>
      </c>
      <c r="M6725" s="43">
        <v>11.500428449014567</v>
      </c>
      <c r="N6725" s="43" t="s">
        <v>1690</v>
      </c>
      <c r="O6725" s="43">
        <v>4.6772466539196937</v>
      </c>
      <c r="P6725" s="193"/>
      <c r="Q6725" s="193"/>
      <c r="R6725" s="193">
        <v>4</v>
      </c>
    </row>
    <row r="6726" spans="1:18" ht="36">
      <c r="A6726" s="189">
        <v>1492</v>
      </c>
      <c r="B6726" s="186" t="s">
        <v>12363</v>
      </c>
      <c r="C6726" s="190" t="s">
        <v>12364</v>
      </c>
      <c r="D6726" s="191">
        <v>36.159999999999997</v>
      </c>
      <c r="E6726" s="191">
        <v>22.48</v>
      </c>
      <c r="F6726" s="191">
        <v>1.1100000000000001</v>
      </c>
      <c r="G6726" s="191">
        <v>12.57</v>
      </c>
      <c r="H6726" s="192">
        <v>352.66</v>
      </c>
      <c r="I6726" s="192">
        <v>258.52</v>
      </c>
      <c r="J6726" s="192">
        <v>5.76</v>
      </c>
      <c r="K6726" s="192">
        <v>88.38</v>
      </c>
      <c r="L6726" s="43">
        <v>9.7527654867256661</v>
      </c>
      <c r="M6726" s="43">
        <v>11.499999999999998</v>
      </c>
      <c r="N6726" s="43">
        <v>5.1891891891891886</v>
      </c>
      <c r="O6726" s="43">
        <v>7.0310262529832928</v>
      </c>
      <c r="P6726" s="193"/>
      <c r="Q6726" s="193"/>
      <c r="R6726" s="193">
        <v>4</v>
      </c>
    </row>
    <row r="6727" spans="1:18" ht="24">
      <c r="A6727" s="189">
        <v>1493</v>
      </c>
      <c r="B6727" s="186" t="s">
        <v>12365</v>
      </c>
      <c r="C6727" s="190" t="s">
        <v>12366</v>
      </c>
      <c r="D6727" s="191">
        <v>48.28</v>
      </c>
      <c r="E6727" s="191">
        <v>33.72</v>
      </c>
      <c r="F6727" s="191">
        <v>1.77</v>
      </c>
      <c r="G6727" s="191">
        <v>12.79</v>
      </c>
      <c r="H6727" s="192">
        <v>487.91</v>
      </c>
      <c r="I6727" s="192">
        <v>387.78</v>
      </c>
      <c r="J6727" s="192">
        <v>9.2200000000000006</v>
      </c>
      <c r="K6727" s="192">
        <v>90.91</v>
      </c>
      <c r="L6727" s="43">
        <v>10.105840927920465</v>
      </c>
      <c r="M6727" s="43">
        <v>11.5</v>
      </c>
      <c r="N6727" s="43">
        <v>5.2090395480225995</v>
      </c>
      <c r="O6727" s="43">
        <v>7.1078967943706024</v>
      </c>
      <c r="P6727" s="193"/>
      <c r="Q6727" s="193"/>
      <c r="R6727" s="193">
        <v>4</v>
      </c>
    </row>
    <row r="6728" spans="1:18" ht="24">
      <c r="A6728" s="189">
        <v>1494</v>
      </c>
      <c r="B6728" s="186" t="s">
        <v>12367</v>
      </c>
      <c r="C6728" s="190" t="s">
        <v>12368</v>
      </c>
      <c r="D6728" s="191">
        <v>52.69</v>
      </c>
      <c r="E6728" s="191">
        <v>44.96</v>
      </c>
      <c r="F6728" s="191">
        <v>0.73</v>
      </c>
      <c r="G6728" s="191">
        <v>7</v>
      </c>
      <c r="H6728" s="192">
        <v>570.08000000000004</v>
      </c>
      <c r="I6728" s="192">
        <v>517.04</v>
      </c>
      <c r="J6728" s="192">
        <v>3.8</v>
      </c>
      <c r="K6728" s="192">
        <v>49.24</v>
      </c>
      <c r="L6728" s="43">
        <v>10.819510343518695</v>
      </c>
      <c r="M6728" s="43">
        <v>11.499999999999998</v>
      </c>
      <c r="N6728" s="43">
        <v>5.205479452054794</v>
      </c>
      <c r="O6728" s="43">
        <v>7.0342857142857147</v>
      </c>
      <c r="P6728" s="193"/>
      <c r="Q6728" s="193"/>
      <c r="R6728" s="193">
        <v>4</v>
      </c>
    </row>
    <row r="6729" spans="1:18" ht="12.75" customHeight="1">
      <c r="A6729" s="628" t="s">
        <v>12369</v>
      </c>
      <c r="B6729" s="629"/>
      <c r="C6729" s="629"/>
      <c r="D6729" s="629"/>
      <c r="E6729" s="629"/>
      <c r="F6729" s="629"/>
      <c r="G6729" s="629"/>
      <c r="H6729" s="629"/>
      <c r="I6729" s="629"/>
      <c r="J6729" s="629"/>
      <c r="K6729" s="629"/>
      <c r="L6729" s="629"/>
      <c r="M6729" s="629"/>
      <c r="N6729" s="629"/>
      <c r="O6729" s="629"/>
      <c r="P6729" s="629"/>
      <c r="Q6729" s="629"/>
      <c r="R6729" s="629"/>
    </row>
    <row r="6730" spans="1:18" ht="36">
      <c r="A6730" s="189">
        <v>1495</v>
      </c>
      <c r="B6730" s="186" t="s">
        <v>12370</v>
      </c>
      <c r="C6730" s="190" t="s">
        <v>12371</v>
      </c>
      <c r="D6730" s="191">
        <v>184.12</v>
      </c>
      <c r="E6730" s="191">
        <v>119.24</v>
      </c>
      <c r="F6730" s="191"/>
      <c r="G6730" s="191">
        <v>64.88</v>
      </c>
      <c r="H6730" s="192">
        <v>1922.56</v>
      </c>
      <c r="I6730" s="192">
        <v>1371.26</v>
      </c>
      <c r="J6730" s="192"/>
      <c r="K6730" s="192">
        <v>551.29999999999995</v>
      </c>
      <c r="L6730" s="43">
        <v>10.441885726699978</v>
      </c>
      <c r="M6730" s="43">
        <v>11.5</v>
      </c>
      <c r="N6730" s="43" t="s">
        <v>1690</v>
      </c>
      <c r="O6730" s="43">
        <v>8.4972256473489516</v>
      </c>
      <c r="P6730" s="193"/>
      <c r="Q6730" s="193"/>
      <c r="R6730" s="193">
        <v>5</v>
      </c>
    </row>
    <row r="6731" spans="1:18" ht="36">
      <c r="A6731" s="189">
        <v>1496</v>
      </c>
      <c r="B6731" s="186" t="s">
        <v>12372</v>
      </c>
      <c r="C6731" s="190" t="s">
        <v>12373</v>
      </c>
      <c r="D6731" s="191">
        <v>1213.8900000000001</v>
      </c>
      <c r="E6731" s="191">
        <v>325.95999999999998</v>
      </c>
      <c r="F6731" s="191">
        <v>12.73</v>
      </c>
      <c r="G6731" s="191">
        <v>875.2</v>
      </c>
      <c r="H6731" s="192">
        <v>6783</v>
      </c>
      <c r="I6731" s="192">
        <v>3748.54</v>
      </c>
      <c r="J6731" s="192">
        <v>66.36</v>
      </c>
      <c r="K6731" s="192">
        <v>2968.1</v>
      </c>
      <c r="L6731" s="43">
        <v>5.5878209722462495</v>
      </c>
      <c r="M6731" s="43">
        <v>11.5</v>
      </c>
      <c r="N6731" s="43">
        <v>5.2128829536527883</v>
      </c>
      <c r="O6731" s="43">
        <v>3.3913391224862885</v>
      </c>
      <c r="P6731" s="193"/>
      <c r="Q6731" s="193"/>
      <c r="R6731" s="193">
        <v>5</v>
      </c>
    </row>
    <row r="6732" spans="1:18" ht="48">
      <c r="A6732" s="189">
        <v>1497</v>
      </c>
      <c r="B6732" s="186" t="s">
        <v>12374</v>
      </c>
      <c r="C6732" s="190" t="s">
        <v>12375</v>
      </c>
      <c r="D6732" s="191">
        <v>1426.49</v>
      </c>
      <c r="E6732" s="191">
        <v>390.66</v>
      </c>
      <c r="F6732" s="191">
        <v>22.1</v>
      </c>
      <c r="G6732" s="191">
        <v>1013.73</v>
      </c>
      <c r="H6732" s="192">
        <v>8114.26</v>
      </c>
      <c r="I6732" s="192">
        <v>4492.76</v>
      </c>
      <c r="J6732" s="192">
        <v>115.2</v>
      </c>
      <c r="K6732" s="192">
        <v>3506.3</v>
      </c>
      <c r="L6732" s="43">
        <v>5.6882698091118762</v>
      </c>
      <c r="M6732" s="43">
        <v>11.500435161009573</v>
      </c>
      <c r="N6732" s="43">
        <v>5.2126696832579187</v>
      </c>
      <c r="O6732" s="43">
        <v>3.4588105314038256</v>
      </c>
      <c r="P6732" s="193"/>
      <c r="Q6732" s="193"/>
      <c r="R6732" s="193">
        <v>5</v>
      </c>
    </row>
    <row r="6733" spans="1:18" ht="24">
      <c r="A6733" s="600">
        <v>1498</v>
      </c>
      <c r="B6733" s="597" t="s">
        <v>12376</v>
      </c>
      <c r="C6733" s="601" t="s">
        <v>12377</v>
      </c>
      <c r="D6733" s="602">
        <v>15.34</v>
      </c>
      <c r="E6733" s="602">
        <v>2.33</v>
      </c>
      <c r="F6733" s="602"/>
      <c r="G6733" s="602">
        <v>13.01</v>
      </c>
      <c r="H6733" s="603">
        <v>70.819999999999993</v>
      </c>
      <c r="I6733" s="603">
        <v>26.26</v>
      </c>
      <c r="J6733" s="603"/>
      <c r="K6733" s="603">
        <v>44.56</v>
      </c>
      <c r="L6733" s="43">
        <v>4.6166883963494127</v>
      </c>
      <c r="M6733" s="43">
        <v>11.500435161009573</v>
      </c>
      <c r="N6733" s="43" t="s">
        <v>1690</v>
      </c>
      <c r="O6733" s="43">
        <v>3.4250576479631056</v>
      </c>
      <c r="P6733" s="193"/>
      <c r="Q6733" s="193"/>
      <c r="R6733" s="193">
        <v>5</v>
      </c>
    </row>
    <row r="6734" spans="1:18" ht="12.75" customHeight="1">
      <c r="A6734" s="628" t="s">
        <v>12378</v>
      </c>
      <c r="B6734" s="629"/>
      <c r="C6734" s="629"/>
      <c r="D6734" s="629"/>
      <c r="E6734" s="629"/>
      <c r="F6734" s="629"/>
      <c r="G6734" s="629"/>
      <c r="H6734" s="629"/>
      <c r="I6734" s="629"/>
      <c r="J6734" s="629"/>
      <c r="K6734" s="629"/>
      <c r="L6734" s="629"/>
      <c r="M6734" s="629"/>
      <c r="N6734" s="629"/>
      <c r="O6734" s="629"/>
      <c r="P6734" s="629"/>
      <c r="Q6734" s="629"/>
      <c r="R6734" s="629"/>
    </row>
    <row r="6735" spans="1:18" ht="12.75" customHeight="1">
      <c r="A6735" s="628" t="s">
        <v>12379</v>
      </c>
      <c r="B6735" s="629"/>
      <c r="C6735" s="629"/>
      <c r="D6735" s="629"/>
      <c r="E6735" s="629"/>
      <c r="F6735" s="629"/>
      <c r="G6735" s="629"/>
      <c r="H6735" s="629"/>
      <c r="I6735" s="629"/>
      <c r="J6735" s="629"/>
      <c r="K6735" s="629"/>
      <c r="L6735" s="629"/>
      <c r="M6735" s="629"/>
      <c r="N6735" s="629"/>
      <c r="O6735" s="629"/>
      <c r="P6735" s="629"/>
      <c r="Q6735" s="629"/>
      <c r="R6735" s="629"/>
    </row>
    <row r="6736" spans="1:18" ht="24">
      <c r="A6736" s="189">
        <v>1499</v>
      </c>
      <c r="B6736" s="186" t="s">
        <v>12380</v>
      </c>
      <c r="C6736" s="190" t="s">
        <v>12381</v>
      </c>
      <c r="D6736" s="191">
        <v>38.729999999999997</v>
      </c>
      <c r="E6736" s="191">
        <v>37.619999999999997</v>
      </c>
      <c r="F6736" s="191"/>
      <c r="G6736" s="191">
        <v>1.1100000000000001</v>
      </c>
      <c r="H6736" s="192">
        <v>442.9</v>
      </c>
      <c r="I6736" s="192">
        <v>432.63</v>
      </c>
      <c r="J6736" s="192"/>
      <c r="K6736" s="192">
        <v>10.27</v>
      </c>
      <c r="L6736" s="43">
        <v>11.435579654014976</v>
      </c>
      <c r="M6736" s="43">
        <v>11.5</v>
      </c>
      <c r="N6736" s="43" t="s">
        <v>1690</v>
      </c>
      <c r="O6736" s="43">
        <v>9.2522522522522515</v>
      </c>
      <c r="P6736" s="193"/>
      <c r="Q6736" s="193"/>
      <c r="R6736" s="193">
        <v>1</v>
      </c>
    </row>
    <row r="6737" spans="1:18" ht="12.75" customHeight="1">
      <c r="A6737" s="628" t="s">
        <v>12382</v>
      </c>
      <c r="B6737" s="629"/>
      <c r="C6737" s="629"/>
      <c r="D6737" s="629"/>
      <c r="E6737" s="629"/>
      <c r="F6737" s="629"/>
      <c r="G6737" s="629"/>
      <c r="H6737" s="629"/>
      <c r="I6737" s="629"/>
      <c r="J6737" s="629"/>
      <c r="K6737" s="629"/>
      <c r="L6737" s="629"/>
      <c r="M6737" s="629"/>
      <c r="N6737" s="629"/>
      <c r="O6737" s="629"/>
      <c r="P6737" s="629"/>
      <c r="Q6737" s="629"/>
      <c r="R6737" s="629"/>
    </row>
    <row r="6738" spans="1:18" ht="24">
      <c r="A6738" s="189">
        <v>1500</v>
      </c>
      <c r="B6738" s="186" t="s">
        <v>12383</v>
      </c>
      <c r="C6738" s="190" t="s">
        <v>12384</v>
      </c>
      <c r="D6738" s="191">
        <v>22.64</v>
      </c>
      <c r="E6738" s="191">
        <v>21.68</v>
      </c>
      <c r="F6738" s="191"/>
      <c r="G6738" s="191">
        <v>0.96</v>
      </c>
      <c r="H6738" s="192">
        <v>256.45</v>
      </c>
      <c r="I6738" s="192">
        <v>249.32</v>
      </c>
      <c r="J6738" s="192"/>
      <c r="K6738" s="192">
        <v>7.13</v>
      </c>
      <c r="L6738" s="43">
        <v>11.327296819787986</v>
      </c>
      <c r="M6738" s="43">
        <v>11.5</v>
      </c>
      <c r="N6738" s="43" t="s">
        <v>1690</v>
      </c>
      <c r="O6738" s="43">
        <v>7.4270833333333339</v>
      </c>
      <c r="P6738" s="193"/>
      <c r="Q6738" s="193"/>
      <c r="R6738" s="193">
        <v>2</v>
      </c>
    </row>
    <row r="6739" spans="1:18" ht="36">
      <c r="A6739" s="189">
        <v>1501</v>
      </c>
      <c r="B6739" s="186" t="s">
        <v>12385</v>
      </c>
      <c r="C6739" s="190" t="s">
        <v>12386</v>
      </c>
      <c r="D6739" s="191">
        <v>27.04</v>
      </c>
      <c r="E6739" s="191">
        <v>22.72</v>
      </c>
      <c r="F6739" s="191"/>
      <c r="G6739" s="191">
        <v>4.32</v>
      </c>
      <c r="H6739" s="192">
        <v>281.58999999999997</v>
      </c>
      <c r="I6739" s="192">
        <v>261.27999999999997</v>
      </c>
      <c r="J6739" s="192"/>
      <c r="K6739" s="192">
        <v>20.309999999999999</v>
      </c>
      <c r="L6739" s="43">
        <v>10.413831360946745</v>
      </c>
      <c r="M6739" s="43">
        <v>11.5</v>
      </c>
      <c r="N6739" s="43" t="s">
        <v>1690</v>
      </c>
      <c r="O6739" s="43">
        <v>4.7013888888888884</v>
      </c>
      <c r="P6739" s="193"/>
      <c r="Q6739" s="193"/>
      <c r="R6739" s="193">
        <v>2</v>
      </c>
    </row>
    <row r="6740" spans="1:18" ht="36">
      <c r="A6740" s="189">
        <v>1502</v>
      </c>
      <c r="B6740" s="186" t="s">
        <v>12387</v>
      </c>
      <c r="C6740" s="190" t="s">
        <v>12388</v>
      </c>
      <c r="D6740" s="191">
        <v>35.79</v>
      </c>
      <c r="E6740" s="191">
        <v>22.72</v>
      </c>
      <c r="F6740" s="191">
        <v>5.0999999999999996</v>
      </c>
      <c r="G6740" s="191">
        <v>7.97</v>
      </c>
      <c r="H6740" s="192">
        <v>332.71</v>
      </c>
      <c r="I6740" s="192">
        <v>261.27999999999997</v>
      </c>
      <c r="J6740" s="192">
        <v>27.03</v>
      </c>
      <c r="K6740" s="192">
        <v>44.4</v>
      </c>
      <c r="L6740" s="43">
        <v>9.2961721151159544</v>
      </c>
      <c r="M6740" s="43">
        <v>11.5</v>
      </c>
      <c r="N6740" s="43">
        <v>5.3000000000000007</v>
      </c>
      <c r="O6740" s="43">
        <v>5.5708908406524467</v>
      </c>
      <c r="P6740" s="193"/>
      <c r="Q6740" s="193"/>
      <c r="R6740" s="193">
        <v>2</v>
      </c>
    </row>
    <row r="6741" spans="1:18" ht="36">
      <c r="A6741" s="189">
        <v>1503</v>
      </c>
      <c r="B6741" s="186" t="s">
        <v>12389</v>
      </c>
      <c r="C6741" s="190" t="s">
        <v>12390</v>
      </c>
      <c r="D6741" s="191">
        <v>91.34</v>
      </c>
      <c r="E6741" s="191">
        <v>22.98</v>
      </c>
      <c r="F6741" s="191"/>
      <c r="G6741" s="191">
        <v>68.36</v>
      </c>
      <c r="H6741" s="192">
        <v>484.62</v>
      </c>
      <c r="I6741" s="192">
        <v>264.27999999999997</v>
      </c>
      <c r="J6741" s="192"/>
      <c r="K6741" s="192">
        <v>220.34</v>
      </c>
      <c r="L6741" s="43">
        <v>5.3056711188964307</v>
      </c>
      <c r="M6741" s="43">
        <v>11.500435161009571</v>
      </c>
      <c r="N6741" s="43" t="s">
        <v>1690</v>
      </c>
      <c r="O6741" s="43">
        <v>3.2232299590403746</v>
      </c>
      <c r="P6741" s="193"/>
      <c r="Q6741" s="193"/>
      <c r="R6741" s="193">
        <v>2</v>
      </c>
    </row>
    <row r="6742" spans="1:18" ht="36">
      <c r="A6742" s="189">
        <v>1504</v>
      </c>
      <c r="B6742" s="186" t="s">
        <v>12391</v>
      </c>
      <c r="C6742" s="190" t="s">
        <v>12392</v>
      </c>
      <c r="D6742" s="191">
        <v>29.82</v>
      </c>
      <c r="E6742" s="191">
        <v>25.44</v>
      </c>
      <c r="F6742" s="191"/>
      <c r="G6742" s="191">
        <v>4.38</v>
      </c>
      <c r="H6742" s="192">
        <v>313.56</v>
      </c>
      <c r="I6742" s="192">
        <v>292.56</v>
      </c>
      <c r="J6742" s="192"/>
      <c r="K6742" s="192">
        <v>21</v>
      </c>
      <c r="L6742" s="43">
        <v>10.515090543259557</v>
      </c>
      <c r="M6742" s="43">
        <v>11.5</v>
      </c>
      <c r="N6742" s="43" t="s">
        <v>1690</v>
      </c>
      <c r="O6742" s="43">
        <v>4.794520547945206</v>
      </c>
      <c r="P6742" s="193"/>
      <c r="Q6742" s="193"/>
      <c r="R6742" s="193">
        <v>2</v>
      </c>
    </row>
    <row r="6743" spans="1:18" ht="36">
      <c r="A6743" s="189">
        <v>1505</v>
      </c>
      <c r="B6743" s="186" t="s">
        <v>12393</v>
      </c>
      <c r="C6743" s="190" t="s">
        <v>12394</v>
      </c>
      <c r="D6743" s="191">
        <v>38.57</v>
      </c>
      <c r="E6743" s="191">
        <v>25.44</v>
      </c>
      <c r="F6743" s="191">
        <v>5.0999999999999996</v>
      </c>
      <c r="G6743" s="191">
        <v>8.0299999999999994</v>
      </c>
      <c r="H6743" s="192">
        <v>364.68</v>
      </c>
      <c r="I6743" s="192">
        <v>292.56</v>
      </c>
      <c r="J6743" s="192">
        <v>27.03</v>
      </c>
      <c r="K6743" s="192">
        <v>45.09</v>
      </c>
      <c r="L6743" s="43">
        <v>9.4550168524760174</v>
      </c>
      <c r="M6743" s="43">
        <v>11.5</v>
      </c>
      <c r="N6743" s="43">
        <v>5.3000000000000007</v>
      </c>
      <c r="O6743" s="43">
        <v>5.6151930261519309</v>
      </c>
      <c r="P6743" s="193"/>
      <c r="Q6743" s="193"/>
      <c r="R6743" s="193">
        <v>2</v>
      </c>
    </row>
    <row r="6744" spans="1:18" ht="36">
      <c r="A6744" s="189">
        <v>1506</v>
      </c>
      <c r="B6744" s="186" t="s">
        <v>12395</v>
      </c>
      <c r="C6744" s="190" t="s">
        <v>12396</v>
      </c>
      <c r="D6744" s="191">
        <v>94.56</v>
      </c>
      <c r="E6744" s="191">
        <v>26.14</v>
      </c>
      <c r="F6744" s="191"/>
      <c r="G6744" s="191">
        <v>68.42</v>
      </c>
      <c r="H6744" s="192">
        <v>521.65</v>
      </c>
      <c r="I6744" s="192">
        <v>300.62</v>
      </c>
      <c r="J6744" s="192"/>
      <c r="K6744" s="192">
        <v>221.03</v>
      </c>
      <c r="L6744" s="43">
        <v>5.5166032148900168</v>
      </c>
      <c r="M6744" s="43">
        <v>11.500382555470543</v>
      </c>
      <c r="N6744" s="43" t="s">
        <v>1690</v>
      </c>
      <c r="O6744" s="43">
        <v>3.2304881613563285</v>
      </c>
      <c r="P6744" s="193"/>
      <c r="Q6744" s="193"/>
      <c r="R6744" s="193">
        <v>2</v>
      </c>
    </row>
    <row r="6745" spans="1:18" ht="12.75" customHeight="1">
      <c r="A6745" s="628" t="s">
        <v>12397</v>
      </c>
      <c r="B6745" s="629"/>
      <c r="C6745" s="629"/>
      <c r="D6745" s="629"/>
      <c r="E6745" s="629"/>
      <c r="F6745" s="629"/>
      <c r="G6745" s="629"/>
      <c r="H6745" s="629"/>
      <c r="I6745" s="629"/>
      <c r="J6745" s="629"/>
      <c r="K6745" s="629"/>
      <c r="L6745" s="629"/>
      <c r="M6745" s="629"/>
      <c r="N6745" s="629"/>
      <c r="O6745" s="629"/>
      <c r="P6745" s="629"/>
      <c r="Q6745" s="629"/>
      <c r="R6745" s="629"/>
    </row>
    <row r="6746" spans="1:18" ht="24">
      <c r="A6746" s="189">
        <v>1507</v>
      </c>
      <c r="B6746" s="186" t="s">
        <v>12398</v>
      </c>
      <c r="C6746" s="190" t="s">
        <v>12399</v>
      </c>
      <c r="D6746" s="191">
        <v>809.6</v>
      </c>
      <c r="E6746" s="191">
        <v>51.25</v>
      </c>
      <c r="F6746" s="191">
        <v>756.51</v>
      </c>
      <c r="G6746" s="191">
        <v>1.84</v>
      </c>
      <c r="H6746" s="192">
        <v>3870.6</v>
      </c>
      <c r="I6746" s="192">
        <v>589.42999999999995</v>
      </c>
      <c r="J6746" s="192">
        <v>3265.82</v>
      </c>
      <c r="K6746" s="192">
        <v>15.35</v>
      </c>
      <c r="L6746" s="43">
        <v>4.7808794466403164</v>
      </c>
      <c r="M6746" s="43">
        <v>11.501073170731706</v>
      </c>
      <c r="N6746" s="43">
        <v>4.3169554929875353</v>
      </c>
      <c r="O6746" s="43">
        <v>8.3423913043478262</v>
      </c>
      <c r="P6746" s="193"/>
      <c r="Q6746" s="193"/>
      <c r="R6746" s="193">
        <v>3</v>
      </c>
    </row>
    <row r="6747" spans="1:18" ht="36">
      <c r="A6747" s="189">
        <v>1508</v>
      </c>
      <c r="B6747" s="186" t="s">
        <v>12400</v>
      </c>
      <c r="C6747" s="190" t="s">
        <v>12401</v>
      </c>
      <c r="D6747" s="191">
        <v>452.59</v>
      </c>
      <c r="E6747" s="191">
        <v>39.299999999999997</v>
      </c>
      <c r="F6747" s="191">
        <v>408.63</v>
      </c>
      <c r="G6747" s="191">
        <v>4.66</v>
      </c>
      <c r="H6747" s="192">
        <v>2240.16</v>
      </c>
      <c r="I6747" s="192">
        <v>451.92</v>
      </c>
      <c r="J6747" s="192">
        <v>1764.02</v>
      </c>
      <c r="K6747" s="192">
        <v>24.22</v>
      </c>
      <c r="L6747" s="43">
        <v>4.9496453744006716</v>
      </c>
      <c r="M6747" s="43">
        <v>11.499236641221374</v>
      </c>
      <c r="N6747" s="43">
        <v>4.3169126104299735</v>
      </c>
      <c r="O6747" s="43">
        <v>5.1974248927038627</v>
      </c>
      <c r="P6747" s="193"/>
      <c r="Q6747" s="193"/>
      <c r="R6747" s="193">
        <v>3</v>
      </c>
    </row>
    <row r="6748" spans="1:18" ht="36">
      <c r="A6748" s="189">
        <v>1509</v>
      </c>
      <c r="B6748" s="186" t="s">
        <v>12402</v>
      </c>
      <c r="C6748" s="190" t="s">
        <v>12403</v>
      </c>
      <c r="D6748" s="191">
        <v>461.34</v>
      </c>
      <c r="E6748" s="191">
        <v>39.299999999999997</v>
      </c>
      <c r="F6748" s="191">
        <v>413.73</v>
      </c>
      <c r="G6748" s="191">
        <v>8.31</v>
      </c>
      <c r="H6748" s="192">
        <v>2291.2800000000002</v>
      </c>
      <c r="I6748" s="192">
        <v>451.92</v>
      </c>
      <c r="J6748" s="192">
        <v>1791.05</v>
      </c>
      <c r="K6748" s="192">
        <v>48.31</v>
      </c>
      <c r="L6748" s="43">
        <v>4.9665756275198341</v>
      </c>
      <c r="M6748" s="43">
        <v>11.499236641221374</v>
      </c>
      <c r="N6748" s="43">
        <v>4.3290310105624439</v>
      </c>
      <c r="O6748" s="43">
        <v>5.8134777376654636</v>
      </c>
      <c r="P6748" s="193"/>
      <c r="Q6748" s="193"/>
      <c r="R6748" s="193">
        <v>3</v>
      </c>
    </row>
    <row r="6749" spans="1:18" ht="36">
      <c r="A6749" s="189">
        <v>1510</v>
      </c>
      <c r="B6749" s="186" t="s">
        <v>12404</v>
      </c>
      <c r="C6749" s="190" t="s">
        <v>12405</v>
      </c>
      <c r="D6749" s="191">
        <v>517.24</v>
      </c>
      <c r="E6749" s="191">
        <v>39.909999999999997</v>
      </c>
      <c r="F6749" s="191">
        <v>408.63</v>
      </c>
      <c r="G6749" s="191">
        <v>68.7</v>
      </c>
      <c r="H6749" s="192">
        <v>2447.27</v>
      </c>
      <c r="I6749" s="192">
        <v>459</v>
      </c>
      <c r="J6749" s="192">
        <v>1764.02</v>
      </c>
      <c r="K6749" s="192">
        <v>224.25</v>
      </c>
      <c r="L6749" s="43">
        <v>4.7314012837367567</v>
      </c>
      <c r="M6749" s="43">
        <v>11.500876973189678</v>
      </c>
      <c r="N6749" s="43">
        <v>4.3169126104299735</v>
      </c>
      <c r="O6749" s="43">
        <v>3.2641921397379909</v>
      </c>
      <c r="P6749" s="193"/>
      <c r="Q6749" s="193"/>
      <c r="R6749" s="193">
        <v>3</v>
      </c>
    </row>
    <row r="6750" spans="1:18" ht="36">
      <c r="A6750" s="189">
        <v>1511</v>
      </c>
      <c r="B6750" s="186" t="s">
        <v>12406</v>
      </c>
      <c r="C6750" s="190" t="s">
        <v>12407</v>
      </c>
      <c r="D6750" s="191">
        <v>454.89</v>
      </c>
      <c r="E6750" s="191">
        <v>52.39</v>
      </c>
      <c r="F6750" s="191">
        <v>397.58</v>
      </c>
      <c r="G6750" s="191">
        <v>4.92</v>
      </c>
      <c r="H6750" s="192">
        <v>2346.11</v>
      </c>
      <c r="I6750" s="192">
        <v>602.55999999999995</v>
      </c>
      <c r="J6750" s="192">
        <v>1716.34</v>
      </c>
      <c r="K6750" s="192">
        <v>27.21</v>
      </c>
      <c r="L6750" s="43">
        <v>5.1575325902965554</v>
      </c>
      <c r="M6750" s="43">
        <v>11.501431570910478</v>
      </c>
      <c r="N6750" s="43">
        <v>4.3169676543085664</v>
      </c>
      <c r="O6750" s="43">
        <v>5.5304878048780495</v>
      </c>
      <c r="P6750" s="193"/>
      <c r="Q6750" s="193"/>
      <c r="R6750" s="193">
        <v>3</v>
      </c>
    </row>
    <row r="6751" spans="1:18" ht="36">
      <c r="A6751" s="189">
        <v>1512</v>
      </c>
      <c r="B6751" s="186" t="s">
        <v>12408</v>
      </c>
      <c r="C6751" s="190" t="s">
        <v>12409</v>
      </c>
      <c r="D6751" s="191">
        <v>462.94</v>
      </c>
      <c r="E6751" s="191">
        <v>52.39</v>
      </c>
      <c r="F6751" s="191">
        <v>401.98</v>
      </c>
      <c r="G6751" s="191">
        <v>8.57</v>
      </c>
      <c r="H6751" s="192">
        <v>2393.5100000000002</v>
      </c>
      <c r="I6751" s="192">
        <v>602.55999999999995</v>
      </c>
      <c r="J6751" s="192">
        <v>1739.65</v>
      </c>
      <c r="K6751" s="192">
        <v>51.3</v>
      </c>
      <c r="L6751" s="43">
        <v>5.1702380438069735</v>
      </c>
      <c r="M6751" s="43">
        <v>11.501431570910478</v>
      </c>
      <c r="N6751" s="43">
        <v>4.3277028707895919</v>
      </c>
      <c r="O6751" s="43">
        <v>5.9859976662777123</v>
      </c>
      <c r="P6751" s="193"/>
      <c r="Q6751" s="193"/>
      <c r="R6751" s="193">
        <v>3</v>
      </c>
    </row>
    <row r="6752" spans="1:18" ht="36">
      <c r="A6752" s="189">
        <v>1513</v>
      </c>
      <c r="B6752" s="186" t="s">
        <v>12410</v>
      </c>
      <c r="C6752" s="190" t="s">
        <v>12411</v>
      </c>
      <c r="D6752" s="191">
        <v>518.91999999999996</v>
      </c>
      <c r="E6752" s="191">
        <v>52.39</v>
      </c>
      <c r="F6752" s="191">
        <v>397.58</v>
      </c>
      <c r="G6752" s="191">
        <v>68.95</v>
      </c>
      <c r="H6752" s="192">
        <v>2546.0300000000002</v>
      </c>
      <c r="I6752" s="192">
        <v>602.55999999999995</v>
      </c>
      <c r="J6752" s="192">
        <v>1716.34</v>
      </c>
      <c r="K6752" s="192">
        <v>227.13</v>
      </c>
      <c r="L6752" s="43">
        <v>4.9064017574963392</v>
      </c>
      <c r="M6752" s="43">
        <v>11.501431570910478</v>
      </c>
      <c r="N6752" s="43">
        <v>4.3169676543085664</v>
      </c>
      <c r="O6752" s="43">
        <v>3.2941261783901377</v>
      </c>
      <c r="P6752" s="193"/>
      <c r="Q6752" s="193"/>
      <c r="R6752" s="193">
        <v>3</v>
      </c>
    </row>
    <row r="6753" spans="1:18" ht="12.75" customHeight="1">
      <c r="A6753" s="628" t="s">
        <v>12412</v>
      </c>
      <c r="B6753" s="629"/>
      <c r="C6753" s="629"/>
      <c r="D6753" s="629"/>
      <c r="E6753" s="629"/>
      <c r="F6753" s="629"/>
      <c r="G6753" s="629"/>
      <c r="H6753" s="629"/>
      <c r="I6753" s="629"/>
      <c r="J6753" s="629"/>
      <c r="K6753" s="629"/>
      <c r="L6753" s="629"/>
      <c r="M6753" s="629"/>
      <c r="N6753" s="629"/>
      <c r="O6753" s="629"/>
      <c r="P6753" s="629"/>
      <c r="Q6753" s="629"/>
      <c r="R6753" s="629"/>
    </row>
    <row r="6754" spans="1:18" ht="24">
      <c r="A6754" s="189">
        <v>1514</v>
      </c>
      <c r="B6754" s="186" t="s">
        <v>12413</v>
      </c>
      <c r="C6754" s="190" t="s">
        <v>12414</v>
      </c>
      <c r="D6754" s="191">
        <v>11.99</v>
      </c>
      <c r="E6754" s="191">
        <v>9.81</v>
      </c>
      <c r="F6754" s="191"/>
      <c r="G6754" s="191">
        <v>2.1800000000000002</v>
      </c>
      <c r="H6754" s="192">
        <v>124.73</v>
      </c>
      <c r="I6754" s="192">
        <v>112.76</v>
      </c>
      <c r="J6754" s="192"/>
      <c r="K6754" s="192">
        <v>11.97</v>
      </c>
      <c r="L6754" s="43">
        <v>10.402835696413678</v>
      </c>
      <c r="M6754" s="43">
        <v>11.5</v>
      </c>
      <c r="N6754" s="43" t="s">
        <v>1690</v>
      </c>
      <c r="O6754" s="43">
        <v>5.4908256880733948</v>
      </c>
      <c r="P6754" s="193"/>
      <c r="Q6754" s="193"/>
      <c r="R6754" s="193">
        <v>4</v>
      </c>
    </row>
    <row r="6755" spans="1:18" ht="24">
      <c r="A6755" s="189">
        <v>1515</v>
      </c>
      <c r="B6755" s="186" t="s">
        <v>12415</v>
      </c>
      <c r="C6755" s="190" t="s">
        <v>12416</v>
      </c>
      <c r="D6755" s="191">
        <v>943.46</v>
      </c>
      <c r="E6755" s="191">
        <v>118.35</v>
      </c>
      <c r="F6755" s="191">
        <v>732.75</v>
      </c>
      <c r="G6755" s="191">
        <v>92.36</v>
      </c>
      <c r="H6755" s="192">
        <v>4888.45</v>
      </c>
      <c r="I6755" s="192">
        <v>1361.04</v>
      </c>
      <c r="J6755" s="192">
        <v>3183.25</v>
      </c>
      <c r="K6755" s="192">
        <v>344.16</v>
      </c>
      <c r="L6755" s="43">
        <v>5.1814067369045844</v>
      </c>
      <c r="M6755" s="43">
        <v>11.500126742712295</v>
      </c>
      <c r="N6755" s="43">
        <v>4.3442511088365743</v>
      </c>
      <c r="O6755" s="43">
        <v>3.7262884365526205</v>
      </c>
      <c r="P6755" s="193"/>
      <c r="Q6755" s="193"/>
      <c r="R6755" s="193">
        <v>4</v>
      </c>
    </row>
    <row r="6756" spans="1:18" ht="12.75" customHeight="1">
      <c r="A6756" s="628" t="s">
        <v>12417</v>
      </c>
      <c r="B6756" s="629"/>
      <c r="C6756" s="629"/>
      <c r="D6756" s="629"/>
      <c r="E6756" s="629"/>
      <c r="F6756" s="629"/>
      <c r="G6756" s="629"/>
      <c r="H6756" s="629"/>
      <c r="I6756" s="629"/>
      <c r="J6756" s="629"/>
      <c r="K6756" s="629"/>
      <c r="L6756" s="629"/>
      <c r="M6756" s="629"/>
      <c r="N6756" s="629"/>
      <c r="O6756" s="629"/>
      <c r="P6756" s="629"/>
      <c r="Q6756" s="629"/>
      <c r="R6756" s="629"/>
    </row>
    <row r="6757" spans="1:18" ht="24">
      <c r="A6757" s="189">
        <v>1516</v>
      </c>
      <c r="B6757" s="186" t="s">
        <v>12418</v>
      </c>
      <c r="C6757" s="190" t="s">
        <v>12419</v>
      </c>
      <c r="D6757" s="191">
        <v>6.31</v>
      </c>
      <c r="E6757" s="191">
        <v>5.84</v>
      </c>
      <c r="F6757" s="191"/>
      <c r="G6757" s="191">
        <v>0.47</v>
      </c>
      <c r="H6757" s="192">
        <v>69.84</v>
      </c>
      <c r="I6757" s="192">
        <v>67.11</v>
      </c>
      <c r="J6757" s="192"/>
      <c r="K6757" s="192">
        <v>2.73</v>
      </c>
      <c r="L6757" s="43">
        <v>11.068145800316959</v>
      </c>
      <c r="M6757" s="43">
        <v>11.5</v>
      </c>
      <c r="N6757" s="43" t="s">
        <v>1690</v>
      </c>
      <c r="O6757" s="43">
        <v>5.8085106382978724</v>
      </c>
      <c r="P6757" s="193"/>
      <c r="Q6757" s="193"/>
      <c r="R6757" s="193">
        <v>5</v>
      </c>
    </row>
    <row r="6758" spans="1:18" ht="24">
      <c r="A6758" s="189">
        <v>1517</v>
      </c>
      <c r="B6758" s="186" t="s">
        <v>12420</v>
      </c>
      <c r="C6758" s="190" t="s">
        <v>12421</v>
      </c>
      <c r="D6758" s="191">
        <v>13.16</v>
      </c>
      <c r="E6758" s="191">
        <v>9.19</v>
      </c>
      <c r="F6758" s="191"/>
      <c r="G6758" s="191">
        <v>3.97</v>
      </c>
      <c r="H6758" s="192">
        <v>118.71</v>
      </c>
      <c r="I6758" s="192">
        <v>105.71</v>
      </c>
      <c r="J6758" s="192"/>
      <c r="K6758" s="192">
        <v>13</v>
      </c>
      <c r="L6758" s="43">
        <v>9.0205167173252274</v>
      </c>
      <c r="M6758" s="43">
        <v>11.502720348204571</v>
      </c>
      <c r="N6758" s="43" t="s">
        <v>1690</v>
      </c>
      <c r="O6758" s="43">
        <v>3.2745591939546599</v>
      </c>
      <c r="P6758" s="193"/>
      <c r="Q6758" s="193"/>
      <c r="R6758" s="193">
        <v>5</v>
      </c>
    </row>
    <row r="6759" spans="1:18" ht="24">
      <c r="A6759" s="189">
        <v>1518</v>
      </c>
      <c r="B6759" s="186" t="s">
        <v>12422</v>
      </c>
      <c r="C6759" s="190" t="s">
        <v>12423</v>
      </c>
      <c r="D6759" s="191">
        <v>16.02</v>
      </c>
      <c r="E6759" s="191">
        <v>12.16</v>
      </c>
      <c r="F6759" s="191"/>
      <c r="G6759" s="191">
        <v>3.86</v>
      </c>
      <c r="H6759" s="192">
        <v>160.27000000000001</v>
      </c>
      <c r="I6759" s="192">
        <v>139.79</v>
      </c>
      <c r="J6759" s="192"/>
      <c r="K6759" s="192">
        <v>20.48</v>
      </c>
      <c r="L6759" s="43">
        <v>10.004369538077404</v>
      </c>
      <c r="M6759" s="43">
        <v>11.495888157894736</v>
      </c>
      <c r="N6759" s="43" t="s">
        <v>1690</v>
      </c>
      <c r="O6759" s="43">
        <v>5.3056994818652852</v>
      </c>
      <c r="P6759" s="193"/>
      <c r="Q6759" s="193"/>
      <c r="R6759" s="193">
        <v>5</v>
      </c>
    </row>
    <row r="6760" spans="1:18" ht="24">
      <c r="A6760" s="189">
        <v>1519</v>
      </c>
      <c r="B6760" s="186" t="s">
        <v>12424</v>
      </c>
      <c r="C6760" s="190" t="s">
        <v>12425</v>
      </c>
      <c r="D6760" s="191">
        <v>7.86</v>
      </c>
      <c r="E6760" s="191">
        <v>6.74</v>
      </c>
      <c r="F6760" s="191"/>
      <c r="G6760" s="191">
        <v>1.1200000000000001</v>
      </c>
      <c r="H6760" s="192">
        <v>83.89</v>
      </c>
      <c r="I6760" s="192">
        <v>77.56</v>
      </c>
      <c r="J6760" s="192"/>
      <c r="K6760" s="192">
        <v>6.33</v>
      </c>
      <c r="L6760" s="43">
        <v>10.673027989821882</v>
      </c>
      <c r="M6760" s="43">
        <v>11.5021951219512</v>
      </c>
      <c r="N6760" s="43" t="s">
        <v>1690</v>
      </c>
      <c r="O6760" s="43">
        <v>5.6517857142857135</v>
      </c>
      <c r="P6760" s="193"/>
      <c r="Q6760" s="193"/>
      <c r="R6760" s="193">
        <v>5</v>
      </c>
    </row>
    <row r="6761" spans="1:18" ht="12.75" customHeight="1">
      <c r="A6761" s="628" t="s">
        <v>12426</v>
      </c>
      <c r="B6761" s="629"/>
      <c r="C6761" s="629"/>
      <c r="D6761" s="629"/>
      <c r="E6761" s="629"/>
      <c r="F6761" s="629"/>
      <c r="G6761" s="629"/>
      <c r="H6761" s="629"/>
      <c r="I6761" s="629"/>
      <c r="J6761" s="629"/>
      <c r="K6761" s="629"/>
      <c r="L6761" s="629"/>
      <c r="M6761" s="629"/>
      <c r="N6761" s="629"/>
      <c r="O6761" s="629"/>
      <c r="P6761" s="629"/>
      <c r="Q6761" s="629"/>
      <c r="R6761" s="629"/>
    </row>
    <row r="6762" spans="1:18" ht="24">
      <c r="A6762" s="194">
        <v>1520</v>
      </c>
      <c r="B6762" s="195" t="s">
        <v>12427</v>
      </c>
      <c r="C6762" s="196" t="s">
        <v>12428</v>
      </c>
      <c r="D6762" s="197">
        <v>23.46</v>
      </c>
      <c r="E6762" s="197">
        <v>22.48</v>
      </c>
      <c r="F6762" s="197"/>
      <c r="G6762" s="197">
        <v>0.98</v>
      </c>
      <c r="H6762" s="198">
        <v>265.88</v>
      </c>
      <c r="I6762" s="198">
        <v>258.52</v>
      </c>
      <c r="J6762" s="198"/>
      <c r="K6762" s="198">
        <v>7.36</v>
      </c>
      <c r="L6762" s="611">
        <v>11.333333333333332</v>
      </c>
      <c r="M6762" s="611">
        <v>11.499999999999998</v>
      </c>
      <c r="N6762" s="611" t="s">
        <v>1690</v>
      </c>
      <c r="O6762" s="611">
        <v>7.5102040816326534</v>
      </c>
      <c r="P6762" s="199"/>
      <c r="Q6762" s="199"/>
      <c r="R6762" s="199">
        <v>6</v>
      </c>
    </row>
    <row r="6763" spans="1:18" ht="12.75" customHeight="1">
      <c r="A6763" s="630" t="s">
        <v>12429</v>
      </c>
      <c r="B6763" s="631"/>
      <c r="C6763" s="631"/>
      <c r="D6763" s="631"/>
      <c r="E6763" s="631"/>
      <c r="F6763" s="631"/>
      <c r="G6763" s="631"/>
      <c r="H6763" s="631"/>
      <c r="I6763" s="631"/>
      <c r="J6763" s="631"/>
      <c r="K6763" s="631"/>
      <c r="L6763" s="631"/>
      <c r="M6763" s="631"/>
      <c r="N6763" s="631"/>
      <c r="O6763" s="631"/>
      <c r="P6763" s="631"/>
      <c r="Q6763" s="631"/>
      <c r="R6763" s="631"/>
    </row>
    <row r="6764" spans="1:18" ht="12.75" customHeight="1">
      <c r="A6764" s="628" t="s">
        <v>12430</v>
      </c>
      <c r="B6764" s="629"/>
      <c r="C6764" s="629"/>
      <c r="D6764" s="629"/>
      <c r="E6764" s="629"/>
      <c r="F6764" s="629"/>
      <c r="G6764" s="629"/>
      <c r="H6764" s="629"/>
      <c r="I6764" s="629"/>
      <c r="J6764" s="629"/>
      <c r="K6764" s="629"/>
      <c r="L6764" s="629"/>
      <c r="M6764" s="629"/>
      <c r="N6764" s="629"/>
      <c r="O6764" s="629"/>
      <c r="P6764" s="629"/>
      <c r="Q6764" s="629"/>
      <c r="R6764" s="629"/>
    </row>
    <row r="6765" spans="1:18" ht="24">
      <c r="A6765" s="189">
        <v>1521</v>
      </c>
      <c r="B6765" s="186" t="s">
        <v>12431</v>
      </c>
      <c r="C6765" s="190" t="s">
        <v>12432</v>
      </c>
      <c r="D6765" s="191">
        <v>415.26</v>
      </c>
      <c r="E6765" s="191">
        <v>321.62</v>
      </c>
      <c r="F6765" s="191"/>
      <c r="G6765" s="191">
        <v>93.64</v>
      </c>
      <c r="H6765" s="192">
        <v>4155.8</v>
      </c>
      <c r="I6765" s="192">
        <v>3698.76</v>
      </c>
      <c r="J6765" s="192"/>
      <c r="K6765" s="192">
        <v>457.04</v>
      </c>
      <c r="L6765" s="43">
        <v>10.007706015508356</v>
      </c>
      <c r="M6765" s="43">
        <v>11.500404203718675</v>
      </c>
      <c r="N6765" s="43" t="s">
        <v>1690</v>
      </c>
      <c r="O6765" s="43">
        <v>4.8808201623237935</v>
      </c>
      <c r="P6765" s="193"/>
      <c r="Q6765" s="193"/>
      <c r="R6765" s="193">
        <v>1</v>
      </c>
    </row>
    <row r="6766" spans="1:18" ht="24">
      <c r="A6766" s="189">
        <v>1522</v>
      </c>
      <c r="B6766" s="186" t="s">
        <v>12433</v>
      </c>
      <c r="C6766" s="190" t="s">
        <v>12434</v>
      </c>
      <c r="D6766" s="191">
        <v>248.35</v>
      </c>
      <c r="E6766" s="191">
        <v>185.55</v>
      </c>
      <c r="F6766" s="191"/>
      <c r="G6766" s="191">
        <v>62.8</v>
      </c>
      <c r="H6766" s="192">
        <v>2424.5500000000002</v>
      </c>
      <c r="I6766" s="192">
        <v>2133.9</v>
      </c>
      <c r="J6766" s="192"/>
      <c r="K6766" s="192">
        <v>290.64999999999998</v>
      </c>
      <c r="L6766" s="43">
        <v>9.7626333803100476</v>
      </c>
      <c r="M6766" s="43">
        <v>11.500404203718674</v>
      </c>
      <c r="N6766" s="43" t="s">
        <v>1690</v>
      </c>
      <c r="O6766" s="43">
        <v>4.6281847133757958</v>
      </c>
      <c r="P6766" s="193"/>
      <c r="Q6766" s="193"/>
      <c r="R6766" s="193">
        <v>1</v>
      </c>
    </row>
    <row r="6767" spans="1:18" ht="12.75">
      <c r="A6767" s="632" t="s">
        <v>18</v>
      </c>
      <c r="B6767" s="632"/>
      <c r="C6767" s="632"/>
      <c r="D6767" s="187">
        <v>11373260.279999999</v>
      </c>
      <c r="E6767" s="187">
        <v>5733656.0300000003</v>
      </c>
      <c r="F6767" s="187">
        <v>3928961.86</v>
      </c>
      <c r="G6767" s="187">
        <v>1710642.39</v>
      </c>
      <c r="H6767" s="188">
        <v>94338185.939999998</v>
      </c>
      <c r="I6767" s="188">
        <v>65937384.560000002</v>
      </c>
      <c r="J6767" s="188">
        <v>21353094.73</v>
      </c>
      <c r="K6767" s="188">
        <v>7047706.6500000004</v>
      </c>
      <c r="L6767" s="612">
        <v>8.2947355127266995</v>
      </c>
      <c r="M6767" s="612">
        <v>11.500059336485869</v>
      </c>
      <c r="N6767" s="612">
        <v>5.4347930804296487</v>
      </c>
      <c r="O6767" s="612">
        <v>4.119918161270399</v>
      </c>
      <c r="P6767" s="185"/>
      <c r="Q6767" s="185"/>
      <c r="R6767" s="185"/>
    </row>
    <row r="6768" spans="1:18" ht="18">
      <c r="A6768" s="616" t="s">
        <v>12435</v>
      </c>
      <c r="B6768" s="626"/>
      <c r="C6768" s="626"/>
      <c r="D6768" s="626"/>
      <c r="E6768" s="626"/>
      <c r="F6768" s="626"/>
      <c r="G6768" s="626"/>
      <c r="H6768" s="626"/>
      <c r="I6768" s="626"/>
      <c r="J6768" s="626"/>
      <c r="K6768" s="626"/>
      <c r="L6768" s="626"/>
      <c r="M6768" s="626"/>
      <c r="N6768" s="626"/>
      <c r="O6768" s="626"/>
      <c r="P6768" s="626"/>
      <c r="Q6768" s="626"/>
      <c r="R6768" s="627"/>
    </row>
    <row r="6769" spans="1:18" ht="23.25" customHeight="1">
      <c r="A6769" s="630" t="s">
        <v>12436</v>
      </c>
      <c r="B6769" s="631"/>
      <c r="C6769" s="631"/>
      <c r="D6769" s="631"/>
      <c r="E6769" s="631"/>
      <c r="F6769" s="631"/>
      <c r="G6769" s="631"/>
      <c r="H6769" s="631"/>
      <c r="I6769" s="631"/>
      <c r="J6769" s="631"/>
      <c r="K6769" s="631"/>
      <c r="L6769" s="631"/>
      <c r="M6769" s="631"/>
      <c r="N6769" s="631"/>
      <c r="O6769" s="631"/>
      <c r="P6769" s="631"/>
      <c r="Q6769" s="631"/>
      <c r="R6769" s="631"/>
    </row>
    <row r="6770" spans="1:18" ht="12.75" customHeight="1">
      <c r="A6770" s="628" t="s">
        <v>12437</v>
      </c>
      <c r="B6770" s="629"/>
      <c r="C6770" s="629"/>
      <c r="D6770" s="629"/>
      <c r="E6770" s="629"/>
      <c r="F6770" s="629"/>
      <c r="G6770" s="629"/>
      <c r="H6770" s="629"/>
      <c r="I6770" s="629"/>
      <c r="J6770" s="629"/>
      <c r="K6770" s="629"/>
      <c r="L6770" s="629"/>
      <c r="M6770" s="629"/>
      <c r="N6770" s="629"/>
      <c r="O6770" s="629"/>
      <c r="P6770" s="629"/>
      <c r="Q6770" s="629"/>
      <c r="R6770" s="629"/>
    </row>
    <row r="6771" spans="1:18" ht="24">
      <c r="A6771" s="204">
        <v>1</v>
      </c>
      <c r="B6771" s="201" t="s">
        <v>12438</v>
      </c>
      <c r="C6771" s="205" t="s">
        <v>12439</v>
      </c>
      <c r="D6771" s="206">
        <v>39.28</v>
      </c>
      <c r="E6771" s="206">
        <v>5.43</v>
      </c>
      <c r="F6771" s="206">
        <v>7.02</v>
      </c>
      <c r="G6771" s="206">
        <v>26.83</v>
      </c>
      <c r="H6771" s="207">
        <v>230.77</v>
      </c>
      <c r="I6771" s="207">
        <v>62.49</v>
      </c>
      <c r="J6771" s="207">
        <v>40.520000000000003</v>
      </c>
      <c r="K6771" s="207">
        <v>127.76</v>
      </c>
      <c r="L6771" s="43">
        <f>IF(39.28=0, "-", 232.04/39.28)</f>
        <v>5.9073319755600808</v>
      </c>
      <c r="M6771" s="43">
        <v>11.500404203718674</v>
      </c>
      <c r="N6771" s="43">
        <f>IF(7.02=0, "-", 40.52/7.02)</f>
        <v>5.7720797720797732</v>
      </c>
      <c r="O6771" s="43">
        <f>IF(26.83=0, "-", 129.03/26.83)</f>
        <v>4.8091688408497957</v>
      </c>
      <c r="P6771" s="208"/>
      <c r="Q6771" s="208"/>
      <c r="R6771" s="208">
        <v>1</v>
      </c>
    </row>
    <row r="6772" spans="1:18" ht="24">
      <c r="A6772" s="204">
        <v>2</v>
      </c>
      <c r="B6772" s="201" t="s">
        <v>12440</v>
      </c>
      <c r="C6772" s="205" t="s">
        <v>12441</v>
      </c>
      <c r="D6772" s="206">
        <v>49.4</v>
      </c>
      <c r="E6772" s="206">
        <v>5.43</v>
      </c>
      <c r="F6772" s="206">
        <v>7.85</v>
      </c>
      <c r="G6772" s="206">
        <v>36.119999999999997</v>
      </c>
      <c r="H6772" s="207">
        <v>277.83</v>
      </c>
      <c r="I6772" s="207">
        <v>62.49</v>
      </c>
      <c r="J6772" s="207">
        <v>44.83</v>
      </c>
      <c r="K6772" s="207">
        <v>170.51</v>
      </c>
      <c r="L6772" s="43">
        <f>IF(49.4=0, "-", 279.1/49.4)</f>
        <v>5.6497975708502031</v>
      </c>
      <c r="M6772" s="43">
        <v>11.500404203718674</v>
      </c>
      <c r="N6772" s="43">
        <f>IF(7.85=0, "-", 44.83/7.85)</f>
        <v>5.7108280254777073</v>
      </c>
      <c r="O6772" s="43">
        <f>IF(36.12=0, "-", 171.78/36.12)</f>
        <v>4.7558139534883725</v>
      </c>
      <c r="P6772" s="208"/>
      <c r="Q6772" s="208"/>
      <c r="R6772" s="208">
        <v>1</v>
      </c>
    </row>
    <row r="6773" spans="1:18" ht="24">
      <c r="A6773" s="204">
        <v>3</v>
      </c>
      <c r="B6773" s="201" t="s">
        <v>12442</v>
      </c>
      <c r="C6773" s="205" t="s">
        <v>12443</v>
      </c>
      <c r="D6773" s="206">
        <v>62.62</v>
      </c>
      <c r="E6773" s="206">
        <v>10.76</v>
      </c>
      <c r="F6773" s="206">
        <v>8.6199999999999992</v>
      </c>
      <c r="G6773" s="206">
        <v>43.24</v>
      </c>
      <c r="H6773" s="207">
        <v>412.31</v>
      </c>
      <c r="I6773" s="207">
        <v>123.79</v>
      </c>
      <c r="J6773" s="207">
        <v>48.84</v>
      </c>
      <c r="K6773" s="207">
        <v>239.68</v>
      </c>
      <c r="L6773" s="43">
        <f>IF(62.62=0, "-", 414.84/62.62)</f>
        <v>6.6247205365697859</v>
      </c>
      <c r="M6773" s="43">
        <v>11.500404203718674</v>
      </c>
      <c r="N6773" s="43">
        <f>IF(8.62=0, "-", 48.84/8.62)</f>
        <v>5.6658932714617176</v>
      </c>
      <c r="O6773" s="43">
        <f>IF(43.24=0, "-", 242.21/43.24)</f>
        <v>5.6015263644773361</v>
      </c>
      <c r="P6773" s="208"/>
      <c r="Q6773" s="208"/>
      <c r="R6773" s="208">
        <v>1</v>
      </c>
    </row>
    <row r="6774" spans="1:18" ht="24">
      <c r="A6774" s="204">
        <v>4</v>
      </c>
      <c r="B6774" s="201" t="s">
        <v>12444</v>
      </c>
      <c r="C6774" s="205" t="s">
        <v>12445</v>
      </c>
      <c r="D6774" s="206">
        <v>79.59</v>
      </c>
      <c r="E6774" s="206">
        <v>10.76</v>
      </c>
      <c r="F6774" s="206">
        <v>14.62</v>
      </c>
      <c r="G6774" s="206">
        <v>54.21</v>
      </c>
      <c r="H6774" s="207">
        <v>494.54</v>
      </c>
      <c r="I6774" s="207">
        <v>123.79</v>
      </c>
      <c r="J6774" s="207">
        <v>84.21</v>
      </c>
      <c r="K6774" s="207">
        <v>286.54000000000002</v>
      </c>
      <c r="L6774" s="43">
        <f>IF(79.59=0, "-", 497.07/79.59)</f>
        <v>6.2453825857519787</v>
      </c>
      <c r="M6774" s="43">
        <v>11.500404203718674</v>
      </c>
      <c r="N6774" s="43">
        <f>IF(14.62=0, "-", 84.21/14.62)</f>
        <v>5.7599179206566342</v>
      </c>
      <c r="O6774" s="43">
        <f>IF(54.21=0, "-", 289.07/54.21)</f>
        <v>5.3324109942814975</v>
      </c>
      <c r="P6774" s="208"/>
      <c r="Q6774" s="208"/>
      <c r="R6774" s="208">
        <v>1</v>
      </c>
    </row>
    <row r="6775" spans="1:18" ht="24">
      <c r="A6775" s="204">
        <v>5</v>
      </c>
      <c r="B6775" s="201" t="s">
        <v>12446</v>
      </c>
      <c r="C6775" s="205" t="s">
        <v>12447</v>
      </c>
      <c r="D6775" s="206">
        <v>103.12</v>
      </c>
      <c r="E6775" s="206">
        <v>13.27</v>
      </c>
      <c r="F6775" s="206">
        <v>25.02</v>
      </c>
      <c r="G6775" s="206">
        <v>64.83</v>
      </c>
      <c r="H6775" s="207">
        <v>590.29</v>
      </c>
      <c r="I6775" s="207">
        <v>152.63</v>
      </c>
      <c r="J6775" s="207">
        <v>146.91</v>
      </c>
      <c r="K6775" s="207">
        <v>290.75</v>
      </c>
      <c r="L6775" s="43">
        <f>IF(103.12=0, "-", 593.4/103.12)</f>
        <v>5.7544608223429012</v>
      </c>
      <c r="M6775" s="43">
        <v>11.500404203718674</v>
      </c>
      <c r="N6775" s="43">
        <f>IF(25.02=0, "-", 146.91/25.02)</f>
        <v>5.8717026378896886</v>
      </c>
      <c r="O6775" s="43">
        <f>IF(64.83=0, "-", 293.86/64.83)</f>
        <v>4.5327780348604048</v>
      </c>
      <c r="P6775" s="208"/>
      <c r="Q6775" s="208"/>
      <c r="R6775" s="208">
        <v>1</v>
      </c>
    </row>
    <row r="6776" spans="1:18" ht="24">
      <c r="A6776" s="204">
        <v>6</v>
      </c>
      <c r="B6776" s="201" t="s">
        <v>12448</v>
      </c>
      <c r="C6776" s="205" t="s">
        <v>12449</v>
      </c>
      <c r="D6776" s="206">
        <v>296.68</v>
      </c>
      <c r="E6776" s="206">
        <v>26.66</v>
      </c>
      <c r="F6776" s="206">
        <v>41.51</v>
      </c>
      <c r="G6776" s="206">
        <v>228.51</v>
      </c>
      <c r="H6776" s="207">
        <v>1572.85</v>
      </c>
      <c r="I6776" s="207">
        <v>306.63</v>
      </c>
      <c r="J6776" s="207">
        <v>245.44</v>
      </c>
      <c r="K6776" s="207">
        <v>1020.78</v>
      </c>
      <c r="L6776" s="43">
        <f>IF(296.68=0, "-", 1578.95/296.68)</f>
        <v>5.322064176890926</v>
      </c>
      <c r="M6776" s="43">
        <v>11.500404203718674</v>
      </c>
      <c r="N6776" s="43">
        <f>IF(41.51=0, "-", 245.44/41.51)</f>
        <v>5.912792098289569</v>
      </c>
      <c r="O6776" s="43">
        <f>IF(228.51=0, "-", 1026.88/228.51)</f>
        <v>4.493807710822284</v>
      </c>
      <c r="P6776" s="208"/>
      <c r="Q6776" s="208"/>
      <c r="R6776" s="208">
        <v>1</v>
      </c>
    </row>
    <row r="6777" spans="1:18" ht="24">
      <c r="A6777" s="204">
        <v>7</v>
      </c>
      <c r="B6777" s="201" t="s">
        <v>12450</v>
      </c>
      <c r="C6777" s="205" t="s">
        <v>12451</v>
      </c>
      <c r="D6777" s="206">
        <v>369.8</v>
      </c>
      <c r="E6777" s="206">
        <v>26.66</v>
      </c>
      <c r="F6777" s="206">
        <v>58.92</v>
      </c>
      <c r="G6777" s="206">
        <v>284.22000000000003</v>
      </c>
      <c r="H6777" s="207">
        <v>1921.6</v>
      </c>
      <c r="I6777" s="207">
        <v>306.63</v>
      </c>
      <c r="J6777" s="207">
        <v>347.62</v>
      </c>
      <c r="K6777" s="207">
        <v>1267.3499999999999</v>
      </c>
      <c r="L6777" s="43">
        <f>IF(369.8=0, "-", 1927.7/369.8)</f>
        <v>5.2128177393185506</v>
      </c>
      <c r="M6777" s="43">
        <v>11.500404203718674</v>
      </c>
      <c r="N6777" s="43">
        <f>IF(58.92=0, "-", 347.62/58.92)</f>
        <v>5.8998642226748128</v>
      </c>
      <c r="O6777" s="43">
        <f>IF(284.22=0, "-", 1273.45/284.22)</f>
        <v>4.4805080571388363</v>
      </c>
      <c r="P6777" s="208"/>
      <c r="Q6777" s="208"/>
      <c r="R6777" s="208">
        <v>1</v>
      </c>
    </row>
    <row r="6778" spans="1:18" ht="24">
      <c r="A6778" s="204">
        <v>8</v>
      </c>
      <c r="B6778" s="201" t="s">
        <v>12452</v>
      </c>
      <c r="C6778" s="205" t="s">
        <v>12453</v>
      </c>
      <c r="D6778" s="206">
        <v>114</v>
      </c>
      <c r="E6778" s="206">
        <v>13.27</v>
      </c>
      <c r="F6778" s="206">
        <v>18.149999999999999</v>
      </c>
      <c r="G6778" s="206">
        <v>82.58</v>
      </c>
      <c r="H6778" s="207">
        <v>634.16999999999996</v>
      </c>
      <c r="I6778" s="207">
        <v>152.63</v>
      </c>
      <c r="J6778" s="207">
        <v>105.91</v>
      </c>
      <c r="K6778" s="207">
        <v>375.63</v>
      </c>
      <c r="L6778" s="43">
        <f>IF(114=0, "-", 637.28/114)</f>
        <v>5.590175438596491</v>
      </c>
      <c r="M6778" s="43">
        <v>11.500404203718674</v>
      </c>
      <c r="N6778" s="43">
        <f>IF(18.15=0, "-", 105.91/18.15)</f>
        <v>5.8352617079889813</v>
      </c>
      <c r="O6778" s="43">
        <f>IF(82.58=0, "-", 378.74/82.58)</f>
        <v>4.586340518285299</v>
      </c>
      <c r="P6778" s="208"/>
      <c r="Q6778" s="208"/>
      <c r="R6778" s="208">
        <v>1</v>
      </c>
    </row>
    <row r="6779" spans="1:18" ht="12.75" customHeight="1">
      <c r="A6779" s="628" t="s">
        <v>12454</v>
      </c>
      <c r="B6779" s="629"/>
      <c r="C6779" s="629"/>
      <c r="D6779" s="629"/>
      <c r="E6779" s="629"/>
      <c r="F6779" s="629"/>
      <c r="G6779" s="629"/>
      <c r="H6779" s="629"/>
      <c r="I6779" s="629"/>
      <c r="J6779" s="629"/>
      <c r="K6779" s="629"/>
      <c r="L6779" s="629"/>
      <c r="M6779" s="629"/>
      <c r="N6779" s="629"/>
      <c r="O6779" s="629"/>
      <c r="P6779" s="629"/>
      <c r="Q6779" s="629"/>
      <c r="R6779" s="629"/>
    </row>
    <row r="6780" spans="1:18" ht="36">
      <c r="A6780" s="204">
        <v>9</v>
      </c>
      <c r="B6780" s="201" t="s">
        <v>12455</v>
      </c>
      <c r="C6780" s="205" t="s">
        <v>12456</v>
      </c>
      <c r="D6780" s="206">
        <v>313.66000000000003</v>
      </c>
      <c r="E6780" s="206">
        <v>26.66</v>
      </c>
      <c r="F6780" s="206">
        <v>64.38</v>
      </c>
      <c r="G6780" s="206">
        <v>222.62</v>
      </c>
      <c r="H6780" s="207">
        <v>1760.95</v>
      </c>
      <c r="I6780" s="207">
        <v>306.63</v>
      </c>
      <c r="J6780" s="207">
        <v>383.26</v>
      </c>
      <c r="K6780" s="207">
        <v>1071.06</v>
      </c>
      <c r="L6780" s="43">
        <f>IF(313.66=0, "-", 1767.05/313.66)</f>
        <v>5.6336478989989152</v>
      </c>
      <c r="M6780" s="43">
        <v>11.500404203718674</v>
      </c>
      <c r="N6780" s="43">
        <f>IF(64.38=0, "-", 383.26/64.38)</f>
        <v>5.9530910220565394</v>
      </c>
      <c r="O6780" s="43">
        <f>IF(222.62=0, "-", 1077.16/222.62)</f>
        <v>4.8385589794268267</v>
      </c>
      <c r="P6780" s="208"/>
      <c r="Q6780" s="208"/>
      <c r="R6780" s="208">
        <v>2</v>
      </c>
    </row>
    <row r="6781" spans="1:18" ht="36">
      <c r="A6781" s="204">
        <v>10</v>
      </c>
      <c r="B6781" s="201" t="s">
        <v>12457</v>
      </c>
      <c r="C6781" s="205" t="s">
        <v>12458</v>
      </c>
      <c r="D6781" s="206">
        <v>362.29</v>
      </c>
      <c r="E6781" s="206">
        <v>26.66</v>
      </c>
      <c r="F6781" s="206">
        <v>65.430000000000007</v>
      </c>
      <c r="G6781" s="206">
        <v>270.2</v>
      </c>
      <c r="H6781" s="207">
        <v>2017.02</v>
      </c>
      <c r="I6781" s="207">
        <v>306.63</v>
      </c>
      <c r="J6781" s="207">
        <v>389.03</v>
      </c>
      <c r="K6781" s="207">
        <v>1321.36</v>
      </c>
      <c r="L6781" s="43">
        <f>IF(362.29=0, "-", 2023.12/362.29)</f>
        <v>5.5842557067542566</v>
      </c>
      <c r="M6781" s="43">
        <v>11.500404203718674</v>
      </c>
      <c r="N6781" s="43">
        <f>IF(65.43=0, "-", 389.03/65.43)</f>
        <v>5.9457435427174072</v>
      </c>
      <c r="O6781" s="43">
        <f>IF(270.2=0, "-", 1327.46/270.2)</f>
        <v>4.9128793486306446</v>
      </c>
      <c r="P6781" s="208"/>
      <c r="Q6781" s="208"/>
      <c r="R6781" s="208">
        <v>2</v>
      </c>
    </row>
    <row r="6782" spans="1:18" ht="36">
      <c r="A6782" s="204">
        <v>11</v>
      </c>
      <c r="B6782" s="201" t="s">
        <v>12459</v>
      </c>
      <c r="C6782" s="205" t="s">
        <v>12460</v>
      </c>
      <c r="D6782" s="206">
        <v>420.94</v>
      </c>
      <c r="E6782" s="206">
        <v>26.66</v>
      </c>
      <c r="F6782" s="206">
        <v>65.430000000000007</v>
      </c>
      <c r="G6782" s="206">
        <v>328.85</v>
      </c>
      <c r="H6782" s="207">
        <v>2269.31</v>
      </c>
      <c r="I6782" s="207">
        <v>306.63</v>
      </c>
      <c r="J6782" s="207">
        <v>389.03</v>
      </c>
      <c r="K6782" s="207">
        <v>1573.65</v>
      </c>
      <c r="L6782" s="43">
        <f>IF(420.94=0, "-", 2275.41/420.94)</f>
        <v>5.4055447332161348</v>
      </c>
      <c r="M6782" s="43">
        <v>11.500404203718674</v>
      </c>
      <c r="N6782" s="43">
        <f>IF(65.43=0, "-", 389.03/65.43)</f>
        <v>5.9457435427174072</v>
      </c>
      <c r="O6782" s="43">
        <f>IF(328.85=0, "-", 1579.75/328.85)</f>
        <v>4.8038619431351677</v>
      </c>
      <c r="P6782" s="208"/>
      <c r="Q6782" s="208"/>
      <c r="R6782" s="208">
        <v>2</v>
      </c>
    </row>
    <row r="6783" spans="1:18" ht="36">
      <c r="A6783" s="204">
        <v>12</v>
      </c>
      <c r="B6783" s="201" t="s">
        <v>12461</v>
      </c>
      <c r="C6783" s="205" t="s">
        <v>12462</v>
      </c>
      <c r="D6783" s="206">
        <v>318.60000000000002</v>
      </c>
      <c r="E6783" s="206">
        <v>13.27</v>
      </c>
      <c r="F6783" s="206">
        <v>112.82</v>
      </c>
      <c r="G6783" s="206">
        <v>192.51</v>
      </c>
      <c r="H6783" s="207">
        <v>1682</v>
      </c>
      <c r="I6783" s="207">
        <v>152.63</v>
      </c>
      <c r="J6783" s="207">
        <v>671.56</v>
      </c>
      <c r="K6783" s="207">
        <v>857.81</v>
      </c>
      <c r="L6783" s="43">
        <f>IF(318.6=0, "-", 1685.11/318.6)</f>
        <v>5.289108600125549</v>
      </c>
      <c r="M6783" s="43">
        <v>11.500404203718674</v>
      </c>
      <c r="N6783" s="43">
        <f>IF(112.82=0, "-", 671.56/112.82)</f>
        <v>5.9524906931395138</v>
      </c>
      <c r="O6783" s="43">
        <f>IF(192.51=0, "-", 860.92/192.51)</f>
        <v>4.4720793725001302</v>
      </c>
      <c r="P6783" s="208"/>
      <c r="Q6783" s="208"/>
      <c r="R6783" s="208">
        <v>2</v>
      </c>
    </row>
    <row r="6784" spans="1:18" ht="36">
      <c r="A6784" s="204">
        <v>13</v>
      </c>
      <c r="B6784" s="201" t="s">
        <v>12463</v>
      </c>
      <c r="C6784" s="205" t="s">
        <v>12464</v>
      </c>
      <c r="D6784" s="206">
        <v>387.51</v>
      </c>
      <c r="E6784" s="206">
        <v>26.66</v>
      </c>
      <c r="F6784" s="206">
        <v>114.38</v>
      </c>
      <c r="G6784" s="206">
        <v>246.47</v>
      </c>
      <c r="H6784" s="207">
        <v>2082.3000000000002</v>
      </c>
      <c r="I6784" s="207">
        <v>306.63</v>
      </c>
      <c r="J6784" s="207">
        <v>679.96</v>
      </c>
      <c r="K6784" s="207">
        <v>1095.71</v>
      </c>
      <c r="L6784" s="43">
        <f>IF(387.51=0, "-", 2088.4/387.51)</f>
        <v>5.389280276638023</v>
      </c>
      <c r="M6784" s="43">
        <v>11.500404203718674</v>
      </c>
      <c r="N6784" s="43">
        <f>IF(114.38=0, "-", 679.96/114.38)</f>
        <v>5.9447455848924644</v>
      </c>
      <c r="O6784" s="43">
        <f>IF(246.47=0, "-", 1101.81/246.47)</f>
        <v>4.4703615044427307</v>
      </c>
      <c r="P6784" s="208"/>
      <c r="Q6784" s="208"/>
      <c r="R6784" s="208">
        <v>2</v>
      </c>
    </row>
    <row r="6785" spans="1:18" ht="36">
      <c r="A6785" s="209">
        <v>14</v>
      </c>
      <c r="B6785" s="210" t="s">
        <v>12465</v>
      </c>
      <c r="C6785" s="211" t="s">
        <v>12466</v>
      </c>
      <c r="D6785" s="212">
        <v>420.16</v>
      </c>
      <c r="E6785" s="212">
        <v>26.66</v>
      </c>
      <c r="F6785" s="212">
        <v>116.81</v>
      </c>
      <c r="G6785" s="212">
        <v>276.69</v>
      </c>
      <c r="H6785" s="213">
        <v>2281.17</v>
      </c>
      <c r="I6785" s="213">
        <v>306.63</v>
      </c>
      <c r="J6785" s="213">
        <v>692.56</v>
      </c>
      <c r="K6785" s="213">
        <v>1281.98</v>
      </c>
      <c r="L6785" s="611">
        <f>IF(420.16=0, "-", 2287.27/420.16)</f>
        <v>5.4438071210967243</v>
      </c>
      <c r="M6785" s="43">
        <v>11.500404203718674</v>
      </c>
      <c r="N6785" s="611">
        <f>IF(116.81=0, "-", 692.56/116.81)</f>
        <v>5.9289444396883821</v>
      </c>
      <c r="O6785" s="611">
        <f>IF(276.69=0, "-", 1288.08/276.69)</f>
        <v>4.6553182261736961</v>
      </c>
      <c r="P6785" s="214"/>
      <c r="Q6785" s="214"/>
      <c r="R6785" s="214">
        <v>2</v>
      </c>
    </row>
    <row r="6786" spans="1:18" ht="27" customHeight="1">
      <c r="A6786" s="630" t="s">
        <v>12467</v>
      </c>
      <c r="B6786" s="631"/>
      <c r="C6786" s="631"/>
      <c r="D6786" s="631"/>
      <c r="E6786" s="631"/>
      <c r="F6786" s="631"/>
      <c r="G6786" s="631"/>
      <c r="H6786" s="631"/>
      <c r="I6786" s="631"/>
      <c r="J6786" s="631"/>
      <c r="K6786" s="631"/>
      <c r="L6786" s="631"/>
      <c r="M6786" s="631"/>
      <c r="N6786" s="631"/>
      <c r="O6786" s="631"/>
      <c r="P6786" s="631"/>
      <c r="Q6786" s="631"/>
      <c r="R6786" s="631"/>
    </row>
    <row r="6787" spans="1:18" ht="12.75" customHeight="1">
      <c r="A6787" s="628" t="s">
        <v>12468</v>
      </c>
      <c r="B6787" s="629"/>
      <c r="C6787" s="629"/>
      <c r="D6787" s="629"/>
      <c r="E6787" s="629"/>
      <c r="F6787" s="629"/>
      <c r="G6787" s="629"/>
      <c r="H6787" s="629"/>
      <c r="I6787" s="629"/>
      <c r="J6787" s="629"/>
      <c r="K6787" s="629"/>
      <c r="L6787" s="629"/>
      <c r="M6787" s="629"/>
      <c r="N6787" s="629"/>
      <c r="O6787" s="629"/>
      <c r="P6787" s="629"/>
      <c r="Q6787" s="629"/>
      <c r="R6787" s="629"/>
    </row>
    <row r="6788" spans="1:18" ht="12.75" customHeight="1">
      <c r="A6788" s="628" t="s">
        <v>12469</v>
      </c>
      <c r="B6788" s="629"/>
      <c r="C6788" s="629"/>
      <c r="D6788" s="629"/>
      <c r="E6788" s="629"/>
      <c r="F6788" s="629"/>
      <c r="G6788" s="629"/>
      <c r="H6788" s="629"/>
      <c r="I6788" s="629"/>
      <c r="J6788" s="629"/>
      <c r="K6788" s="629"/>
      <c r="L6788" s="629"/>
      <c r="M6788" s="629"/>
      <c r="N6788" s="629"/>
      <c r="O6788" s="629"/>
      <c r="P6788" s="629"/>
      <c r="Q6788" s="629"/>
      <c r="R6788" s="629"/>
    </row>
    <row r="6789" spans="1:18" ht="24">
      <c r="A6789" s="204">
        <v>15</v>
      </c>
      <c r="B6789" s="201" t="s">
        <v>12470</v>
      </c>
      <c r="C6789" s="205" t="s">
        <v>12471</v>
      </c>
      <c r="D6789" s="206">
        <v>13.69</v>
      </c>
      <c r="E6789" s="206">
        <v>12.21</v>
      </c>
      <c r="F6789" s="206"/>
      <c r="G6789" s="206">
        <v>1.48</v>
      </c>
      <c r="H6789" s="207">
        <v>147.1</v>
      </c>
      <c r="I6789" s="207">
        <v>140.37</v>
      </c>
      <c r="J6789" s="207"/>
      <c r="K6789" s="207">
        <v>6.73</v>
      </c>
      <c r="L6789" s="43">
        <f>IF(13.69=0, "-", 149.86/13.69)</f>
        <v>10.946676406135866</v>
      </c>
      <c r="M6789" s="43">
        <v>11.500404203718674</v>
      </c>
      <c r="N6789" s="43" t="str">
        <f>IF(0=0, "-", 0/0)</f>
        <v>-</v>
      </c>
      <c r="O6789" s="43">
        <f>IF(1.48=0, "-", 9.49/1.48)</f>
        <v>6.4121621621621623</v>
      </c>
      <c r="P6789" s="208"/>
      <c r="Q6789" s="208"/>
      <c r="R6789" s="208">
        <v>1</v>
      </c>
    </row>
    <row r="6790" spans="1:18" ht="24">
      <c r="A6790" s="204">
        <v>16</v>
      </c>
      <c r="B6790" s="201" t="s">
        <v>12472</v>
      </c>
      <c r="C6790" s="205" t="s">
        <v>12473</v>
      </c>
      <c r="D6790" s="206">
        <v>20.100000000000001</v>
      </c>
      <c r="E6790" s="206">
        <v>18.489999999999998</v>
      </c>
      <c r="F6790" s="206"/>
      <c r="G6790" s="206">
        <v>1.61</v>
      </c>
      <c r="H6790" s="207">
        <v>219.33</v>
      </c>
      <c r="I6790" s="207">
        <v>212.6</v>
      </c>
      <c r="J6790" s="207"/>
      <c r="K6790" s="207">
        <v>6.73</v>
      </c>
      <c r="L6790" s="43">
        <f>IF(20.1=0, "-", 223.59/20.1)</f>
        <v>11.123880597014924</v>
      </c>
      <c r="M6790" s="43">
        <v>11.500404203718674</v>
      </c>
      <c r="N6790" s="43" t="str">
        <f>IF(0=0, "-", 0/0)</f>
        <v>-</v>
      </c>
      <c r="O6790" s="43">
        <f>IF(1.61=0, "-", 10.99/1.61)</f>
        <v>6.8260869565217392</v>
      </c>
      <c r="P6790" s="208"/>
      <c r="Q6790" s="208"/>
      <c r="R6790" s="208">
        <v>1</v>
      </c>
    </row>
    <row r="6791" spans="1:18" ht="24">
      <c r="A6791" s="204">
        <v>17</v>
      </c>
      <c r="B6791" s="201" t="s">
        <v>12474</v>
      </c>
      <c r="C6791" s="205" t="s">
        <v>12475</v>
      </c>
      <c r="D6791" s="206">
        <v>26.14</v>
      </c>
      <c r="E6791" s="206">
        <v>24.41</v>
      </c>
      <c r="F6791" s="206"/>
      <c r="G6791" s="206">
        <v>1.73</v>
      </c>
      <c r="H6791" s="207">
        <v>287.47000000000003</v>
      </c>
      <c r="I6791" s="207">
        <v>280.74</v>
      </c>
      <c r="J6791" s="207"/>
      <c r="K6791" s="207">
        <v>6.73</v>
      </c>
      <c r="L6791" s="43">
        <f>IF(26.14=0, "-", 293.11/26.14)</f>
        <v>11.213083397092579</v>
      </c>
      <c r="M6791" s="43">
        <v>11.500404203718674</v>
      </c>
      <c r="N6791" s="43" t="str">
        <f>IF(0=0, "-", 0/0)</f>
        <v>-</v>
      </c>
      <c r="O6791" s="43">
        <f>IF(1.73=0, "-", 12.37/1.73)</f>
        <v>7.1502890173410405</v>
      </c>
      <c r="P6791" s="208"/>
      <c r="Q6791" s="208"/>
      <c r="R6791" s="208">
        <v>1</v>
      </c>
    </row>
    <row r="6792" spans="1:18" ht="12.75" customHeight="1">
      <c r="A6792" s="628" t="s">
        <v>12476</v>
      </c>
      <c r="B6792" s="629"/>
      <c r="C6792" s="629"/>
      <c r="D6792" s="629"/>
      <c r="E6792" s="629"/>
      <c r="F6792" s="629"/>
      <c r="G6792" s="629"/>
      <c r="H6792" s="629"/>
      <c r="I6792" s="629"/>
      <c r="J6792" s="629"/>
      <c r="K6792" s="629"/>
      <c r="L6792" s="629"/>
      <c r="M6792" s="629"/>
      <c r="N6792" s="629"/>
      <c r="O6792" s="629"/>
      <c r="P6792" s="629"/>
      <c r="Q6792" s="629"/>
      <c r="R6792" s="629"/>
    </row>
    <row r="6793" spans="1:18" ht="24">
      <c r="A6793" s="204">
        <v>18</v>
      </c>
      <c r="B6793" s="201" t="s">
        <v>12477</v>
      </c>
      <c r="C6793" s="205" t="s">
        <v>12478</v>
      </c>
      <c r="D6793" s="206">
        <v>27.27</v>
      </c>
      <c r="E6793" s="206">
        <v>24.41</v>
      </c>
      <c r="F6793" s="206"/>
      <c r="G6793" s="206">
        <v>2.86</v>
      </c>
      <c r="H6793" s="207">
        <v>290.73</v>
      </c>
      <c r="I6793" s="207">
        <v>280.74</v>
      </c>
      <c r="J6793" s="207"/>
      <c r="K6793" s="207">
        <v>9.99</v>
      </c>
      <c r="L6793" s="43">
        <f>IF(27.27=0, "-", 296.37/27.27)</f>
        <v>10.867986798679869</v>
      </c>
      <c r="M6793" s="43">
        <v>11.500404203718674</v>
      </c>
      <c r="N6793" s="43" t="str">
        <f>IF(0=0, "-", 0/0)</f>
        <v>-</v>
      </c>
      <c r="O6793" s="43">
        <f>IF(2.86=0, "-", 15.63/2.86)</f>
        <v>5.4650349650349659</v>
      </c>
      <c r="P6793" s="208"/>
      <c r="Q6793" s="208"/>
      <c r="R6793" s="208">
        <v>2</v>
      </c>
    </row>
    <row r="6794" spans="1:18" ht="24">
      <c r="A6794" s="204">
        <v>19</v>
      </c>
      <c r="B6794" s="201" t="s">
        <v>12479</v>
      </c>
      <c r="C6794" s="205" t="s">
        <v>12480</v>
      </c>
      <c r="D6794" s="206">
        <v>39.99</v>
      </c>
      <c r="E6794" s="206">
        <v>36.5</v>
      </c>
      <c r="F6794" s="206"/>
      <c r="G6794" s="206">
        <v>3.49</v>
      </c>
      <c r="H6794" s="207">
        <v>430.85</v>
      </c>
      <c r="I6794" s="207">
        <v>419.74</v>
      </c>
      <c r="J6794" s="207"/>
      <c r="K6794" s="207">
        <v>11.11</v>
      </c>
      <c r="L6794" s="43">
        <f>IF(39.99=0, "-", 439.25/39.99)</f>
        <v>10.983995998999749</v>
      </c>
      <c r="M6794" s="43">
        <v>11.500404203718674</v>
      </c>
      <c r="N6794" s="43" t="str">
        <f>IF(0=0, "-", 0/0)</f>
        <v>-</v>
      </c>
      <c r="O6794" s="43">
        <f>IF(3.49=0, "-", 19.51/3.49)</f>
        <v>5.5902578796561606</v>
      </c>
      <c r="P6794" s="208"/>
      <c r="Q6794" s="208"/>
      <c r="R6794" s="208">
        <v>2</v>
      </c>
    </row>
    <row r="6795" spans="1:18" ht="24">
      <c r="A6795" s="204">
        <v>20</v>
      </c>
      <c r="B6795" s="201" t="s">
        <v>12481</v>
      </c>
      <c r="C6795" s="205" t="s">
        <v>12482</v>
      </c>
      <c r="D6795" s="206">
        <v>52.94</v>
      </c>
      <c r="E6795" s="206">
        <v>48.82</v>
      </c>
      <c r="F6795" s="206"/>
      <c r="G6795" s="206">
        <v>4.12</v>
      </c>
      <c r="H6795" s="207">
        <v>573.70000000000005</v>
      </c>
      <c r="I6795" s="207">
        <v>561.47</v>
      </c>
      <c r="J6795" s="207"/>
      <c r="K6795" s="207">
        <v>12.23</v>
      </c>
      <c r="L6795" s="43">
        <f>IF(52.94=0, "-", 584.97/52.94)</f>
        <v>11.049678881752929</v>
      </c>
      <c r="M6795" s="43">
        <v>11.500404203718674</v>
      </c>
      <c r="N6795" s="43" t="str">
        <f>IF(0=0, "-", 0/0)</f>
        <v>-</v>
      </c>
      <c r="O6795" s="43">
        <f>IF(4.12=0, "-", 23.5/4.12)</f>
        <v>5.7038834951456305</v>
      </c>
      <c r="P6795" s="208"/>
      <c r="Q6795" s="208"/>
      <c r="R6795" s="208">
        <v>2</v>
      </c>
    </row>
    <row r="6796" spans="1:18" ht="12.75" customHeight="1">
      <c r="A6796" s="628" t="s">
        <v>12483</v>
      </c>
      <c r="B6796" s="629"/>
      <c r="C6796" s="629"/>
      <c r="D6796" s="629"/>
      <c r="E6796" s="629"/>
      <c r="F6796" s="629"/>
      <c r="G6796" s="629"/>
      <c r="H6796" s="629"/>
      <c r="I6796" s="629"/>
      <c r="J6796" s="629"/>
      <c r="K6796" s="629"/>
      <c r="L6796" s="629"/>
      <c r="M6796" s="629"/>
      <c r="N6796" s="629"/>
      <c r="O6796" s="629"/>
      <c r="P6796" s="629"/>
      <c r="Q6796" s="629"/>
      <c r="R6796" s="629"/>
    </row>
    <row r="6797" spans="1:18" ht="12.75" customHeight="1">
      <c r="A6797" s="628" t="s">
        <v>12484</v>
      </c>
      <c r="B6797" s="629"/>
      <c r="C6797" s="629"/>
      <c r="D6797" s="629"/>
      <c r="E6797" s="629"/>
      <c r="F6797" s="629"/>
      <c r="G6797" s="629"/>
      <c r="H6797" s="629"/>
      <c r="I6797" s="629"/>
      <c r="J6797" s="629"/>
      <c r="K6797" s="629"/>
      <c r="L6797" s="629"/>
      <c r="M6797" s="629"/>
      <c r="N6797" s="629"/>
      <c r="O6797" s="629"/>
      <c r="P6797" s="629"/>
      <c r="Q6797" s="629"/>
      <c r="R6797" s="629"/>
    </row>
    <row r="6798" spans="1:18" ht="24">
      <c r="A6798" s="204">
        <v>21</v>
      </c>
      <c r="B6798" s="201" t="s">
        <v>12485</v>
      </c>
      <c r="C6798" s="205" t="s">
        <v>12486</v>
      </c>
      <c r="D6798" s="206">
        <v>99.21</v>
      </c>
      <c r="E6798" s="206">
        <v>11.58</v>
      </c>
      <c r="F6798" s="206"/>
      <c r="G6798" s="206">
        <v>87.63</v>
      </c>
      <c r="H6798" s="207">
        <v>534.9</v>
      </c>
      <c r="I6798" s="207">
        <v>133.13999999999999</v>
      </c>
      <c r="J6798" s="207"/>
      <c r="K6798" s="207">
        <v>401.76</v>
      </c>
      <c r="L6798" s="43">
        <f>IF(99.21=0, "-", 537.55/99.21)</f>
        <v>5.4183046063904845</v>
      </c>
      <c r="M6798" s="43">
        <v>11.500404203718674</v>
      </c>
      <c r="N6798" s="43" t="str">
        <f>IF(0=0, "-", 0/0)</f>
        <v>-</v>
      </c>
      <c r="O6798" s="43">
        <f>IF(87.63=0, "-", 404.41/87.63)</f>
        <v>4.6149720415382864</v>
      </c>
      <c r="P6798" s="208"/>
      <c r="Q6798" s="208"/>
      <c r="R6798" s="208">
        <v>1</v>
      </c>
    </row>
    <row r="6799" spans="1:18" ht="24">
      <c r="A6799" s="204">
        <v>22</v>
      </c>
      <c r="B6799" s="201" t="s">
        <v>12487</v>
      </c>
      <c r="C6799" s="205" t="s">
        <v>12488</v>
      </c>
      <c r="D6799" s="206">
        <v>199.46</v>
      </c>
      <c r="E6799" s="206">
        <v>23.15</v>
      </c>
      <c r="F6799" s="206">
        <v>1.05</v>
      </c>
      <c r="G6799" s="206">
        <v>175.26</v>
      </c>
      <c r="H6799" s="207">
        <v>1075.58</v>
      </c>
      <c r="I6799" s="207">
        <v>266.27999999999997</v>
      </c>
      <c r="J6799" s="207">
        <v>5.78</v>
      </c>
      <c r="K6799" s="207">
        <v>803.52</v>
      </c>
      <c r="L6799" s="43">
        <f>IF(199.46=0, "-", 1080.87/199.46)</f>
        <v>5.4189812493733074</v>
      </c>
      <c r="M6799" s="43">
        <v>11.500404203718674</v>
      </c>
      <c r="N6799" s="43">
        <f>IF(1.05=0, "-", 5.78/1.05)</f>
        <v>5.5047619047619047</v>
      </c>
      <c r="O6799" s="43">
        <f>IF(175.26=0, "-", 808.81/175.26)</f>
        <v>4.6149149834531551</v>
      </c>
      <c r="P6799" s="208"/>
      <c r="Q6799" s="208"/>
      <c r="R6799" s="208">
        <v>1</v>
      </c>
    </row>
    <row r="6800" spans="1:18" ht="24">
      <c r="A6800" s="204">
        <v>23</v>
      </c>
      <c r="B6800" s="201" t="s">
        <v>12489</v>
      </c>
      <c r="C6800" s="205" t="s">
        <v>12490</v>
      </c>
      <c r="D6800" s="206">
        <v>411.84</v>
      </c>
      <c r="E6800" s="206">
        <v>57.89</v>
      </c>
      <c r="F6800" s="206">
        <v>3.15</v>
      </c>
      <c r="G6800" s="206">
        <v>350.8</v>
      </c>
      <c r="H6800" s="207">
        <v>2290.16</v>
      </c>
      <c r="I6800" s="207">
        <v>665.69</v>
      </c>
      <c r="J6800" s="207">
        <v>17.329999999999998</v>
      </c>
      <c r="K6800" s="207">
        <v>1607.14</v>
      </c>
      <c r="L6800" s="43">
        <f>IF(411.84=0, "-", 2303.5/411.84)</f>
        <v>5.5931915306915307</v>
      </c>
      <c r="M6800" s="43">
        <v>11.500404203718674</v>
      </c>
      <c r="N6800" s="43">
        <f>IF(3.15=0, "-", 17.33/3.15)</f>
        <v>5.5015873015873016</v>
      </c>
      <c r="O6800" s="43">
        <f>IF(350.8=0, "-", 1620.48/350.8)</f>
        <v>4.6193842645381986</v>
      </c>
      <c r="P6800" s="208"/>
      <c r="Q6800" s="208"/>
      <c r="R6800" s="208">
        <v>1</v>
      </c>
    </row>
    <row r="6801" spans="1:18" ht="36">
      <c r="A6801" s="204">
        <v>24</v>
      </c>
      <c r="B6801" s="201" t="s">
        <v>12491</v>
      </c>
      <c r="C6801" s="205" t="s">
        <v>12492</v>
      </c>
      <c r="D6801" s="206">
        <v>2952.45</v>
      </c>
      <c r="E6801" s="206">
        <v>119.55</v>
      </c>
      <c r="F6801" s="206">
        <v>5.25</v>
      </c>
      <c r="G6801" s="206">
        <v>2827.65</v>
      </c>
      <c r="H6801" s="207">
        <v>10776.1</v>
      </c>
      <c r="I6801" s="207">
        <v>1374.87</v>
      </c>
      <c r="J6801" s="207">
        <v>28.88</v>
      </c>
      <c r="K6801" s="207">
        <v>9372.35</v>
      </c>
      <c r="L6801" s="43">
        <f>IF(2952.45=0, "-", 10803.59/2952.45)</f>
        <v>3.6591949059255877</v>
      </c>
      <c r="M6801" s="43">
        <v>11.500404203718674</v>
      </c>
      <c r="N6801" s="43">
        <f>IF(5.25=0, "-", 28.88/5.25)</f>
        <v>5.5009523809523806</v>
      </c>
      <c r="O6801" s="43">
        <f>IF(2827.65=0, "-", 9399.84/2827.65)</f>
        <v>3.3242586600180362</v>
      </c>
      <c r="P6801" s="208"/>
      <c r="Q6801" s="208"/>
      <c r="R6801" s="208">
        <v>1</v>
      </c>
    </row>
    <row r="6802" spans="1:18" ht="36">
      <c r="A6802" s="204">
        <v>25</v>
      </c>
      <c r="B6802" s="201" t="s">
        <v>12493</v>
      </c>
      <c r="C6802" s="205" t="s">
        <v>12494</v>
      </c>
      <c r="D6802" s="206">
        <v>5584.02</v>
      </c>
      <c r="E6802" s="206">
        <v>228.53</v>
      </c>
      <c r="F6802" s="206">
        <v>15.74</v>
      </c>
      <c r="G6802" s="206">
        <v>5339.75</v>
      </c>
      <c r="H6802" s="207">
        <v>19951.63</v>
      </c>
      <c r="I6802" s="207">
        <v>2628.07</v>
      </c>
      <c r="J6802" s="207">
        <v>86.64</v>
      </c>
      <c r="K6802" s="207">
        <v>17236.919999999998</v>
      </c>
      <c r="L6802" s="43">
        <f>IF(5584.02=0, "-", 20004.19/5584.02)</f>
        <v>3.5823994183401915</v>
      </c>
      <c r="M6802" s="43">
        <v>11.500404203718674</v>
      </c>
      <c r="N6802" s="43">
        <f>IF(15.74=0, "-", 86.64/15.74)</f>
        <v>5.504447268106734</v>
      </c>
      <c r="O6802" s="43">
        <f>IF(5339.75=0, "-", 17289.48/5339.75)</f>
        <v>3.2378819233110163</v>
      </c>
      <c r="P6802" s="208"/>
      <c r="Q6802" s="208"/>
      <c r="R6802" s="208">
        <v>1</v>
      </c>
    </row>
    <row r="6803" spans="1:18" ht="12.75" customHeight="1">
      <c r="A6803" s="628" t="s">
        <v>12495</v>
      </c>
      <c r="B6803" s="629"/>
      <c r="C6803" s="629"/>
      <c r="D6803" s="629"/>
      <c r="E6803" s="629"/>
      <c r="F6803" s="629"/>
      <c r="G6803" s="629"/>
      <c r="H6803" s="629"/>
      <c r="I6803" s="629"/>
      <c r="J6803" s="629"/>
      <c r="K6803" s="629"/>
      <c r="L6803" s="629"/>
      <c r="M6803" s="629"/>
      <c r="N6803" s="629"/>
      <c r="O6803" s="629"/>
      <c r="P6803" s="629"/>
      <c r="Q6803" s="629"/>
      <c r="R6803" s="629"/>
    </row>
    <row r="6804" spans="1:18" ht="27" customHeight="1">
      <c r="A6804" s="628" t="s">
        <v>12496</v>
      </c>
      <c r="B6804" s="629"/>
      <c r="C6804" s="629"/>
      <c r="D6804" s="629"/>
      <c r="E6804" s="629"/>
      <c r="F6804" s="629"/>
      <c r="G6804" s="629"/>
      <c r="H6804" s="629"/>
      <c r="I6804" s="629"/>
      <c r="J6804" s="629"/>
      <c r="K6804" s="629"/>
      <c r="L6804" s="629"/>
      <c r="M6804" s="629"/>
      <c r="N6804" s="629"/>
      <c r="O6804" s="629"/>
      <c r="P6804" s="629"/>
      <c r="Q6804" s="629"/>
      <c r="R6804" s="629"/>
    </row>
    <row r="6805" spans="1:18" ht="48">
      <c r="A6805" s="204">
        <v>26</v>
      </c>
      <c r="B6805" s="201" t="s">
        <v>12497</v>
      </c>
      <c r="C6805" s="205" t="s">
        <v>12498</v>
      </c>
      <c r="D6805" s="206">
        <v>10.98</v>
      </c>
      <c r="E6805" s="206">
        <v>10.76</v>
      </c>
      <c r="F6805" s="206"/>
      <c r="G6805" s="206">
        <v>0.22</v>
      </c>
      <c r="H6805" s="207">
        <v>123.79</v>
      </c>
      <c r="I6805" s="207">
        <v>123.79</v>
      </c>
      <c r="J6805" s="207"/>
      <c r="K6805" s="207"/>
      <c r="L6805" s="43">
        <v>11.500404203718674</v>
      </c>
      <c r="M6805" s="43">
        <v>11.500404203718674</v>
      </c>
      <c r="N6805" s="43" t="str">
        <f>IF(0=0, "-", 0/0)</f>
        <v>-</v>
      </c>
      <c r="O6805" s="43">
        <f>IF(0.22=0, "-", 2.53/0.22)</f>
        <v>11.499999999999998</v>
      </c>
      <c r="P6805" s="208"/>
      <c r="Q6805" s="208"/>
      <c r="R6805" s="208">
        <v>1</v>
      </c>
    </row>
    <row r="6806" spans="1:18" ht="36">
      <c r="A6806" s="204">
        <v>27</v>
      </c>
      <c r="B6806" s="201" t="s">
        <v>12499</v>
      </c>
      <c r="C6806" s="205" t="s">
        <v>12500</v>
      </c>
      <c r="D6806" s="206">
        <v>17.04</v>
      </c>
      <c r="E6806" s="206">
        <v>10.76</v>
      </c>
      <c r="F6806" s="206"/>
      <c r="G6806" s="206">
        <v>6.28</v>
      </c>
      <c r="H6806" s="207">
        <v>141.38999999999999</v>
      </c>
      <c r="I6806" s="207">
        <v>123.79</v>
      </c>
      <c r="J6806" s="207"/>
      <c r="K6806" s="207">
        <v>17.600000000000001</v>
      </c>
      <c r="L6806" s="43">
        <f>IF(17.04=0, "-", 143.92/17.04)</f>
        <v>8.4460093896713619</v>
      </c>
      <c r="M6806" s="43">
        <v>11.500404203718674</v>
      </c>
      <c r="N6806" s="43" t="str">
        <f>IF(0=0, "-", 0/0)</f>
        <v>-</v>
      </c>
      <c r="O6806" s="43">
        <f>IF(6.28=0, "-", 20.13/6.28)</f>
        <v>3.2054140127388533</v>
      </c>
      <c r="P6806" s="208"/>
      <c r="Q6806" s="208"/>
      <c r="R6806" s="208">
        <v>1</v>
      </c>
    </row>
    <row r="6807" spans="1:18" ht="36">
      <c r="A6807" s="204">
        <v>28</v>
      </c>
      <c r="B6807" s="201" t="s">
        <v>12501</v>
      </c>
      <c r="C6807" s="205" t="s">
        <v>12502</v>
      </c>
      <c r="D6807" s="206">
        <v>19.91</v>
      </c>
      <c r="E6807" s="206">
        <v>10.76</v>
      </c>
      <c r="F6807" s="206"/>
      <c r="G6807" s="206">
        <v>9.15</v>
      </c>
      <c r="H6807" s="207">
        <v>149.80000000000001</v>
      </c>
      <c r="I6807" s="207">
        <v>123.79</v>
      </c>
      <c r="J6807" s="207"/>
      <c r="K6807" s="207">
        <v>26.01</v>
      </c>
      <c r="L6807" s="43">
        <f>IF(19.91=0, "-", 152.33/19.91)</f>
        <v>7.6509291813159219</v>
      </c>
      <c r="M6807" s="43">
        <v>11.500404203718674</v>
      </c>
      <c r="N6807" s="43" t="str">
        <f>IF(0=0, "-", 0/0)</f>
        <v>-</v>
      </c>
      <c r="O6807" s="43">
        <f>IF(9.15=0, "-", 28.54/9.15)</f>
        <v>3.1191256830601093</v>
      </c>
      <c r="P6807" s="208"/>
      <c r="Q6807" s="208"/>
      <c r="R6807" s="208">
        <v>1</v>
      </c>
    </row>
    <row r="6808" spans="1:18" ht="36">
      <c r="A6808" s="204">
        <v>29</v>
      </c>
      <c r="B6808" s="201" t="s">
        <v>12503</v>
      </c>
      <c r="C6808" s="205" t="s">
        <v>12504</v>
      </c>
      <c r="D6808" s="206">
        <v>56.66</v>
      </c>
      <c r="E6808" s="206">
        <v>32.29</v>
      </c>
      <c r="F6808" s="206">
        <v>11.54</v>
      </c>
      <c r="G6808" s="206">
        <v>12.83</v>
      </c>
      <c r="H6808" s="207">
        <v>470.41</v>
      </c>
      <c r="I6808" s="207">
        <v>371.36</v>
      </c>
      <c r="J6808" s="207">
        <v>63.54</v>
      </c>
      <c r="K6808" s="207">
        <v>35.51</v>
      </c>
      <c r="L6808" s="43">
        <f>IF(56.66=0, "-", 477.89/56.66)</f>
        <v>8.4343452170843634</v>
      </c>
      <c r="M6808" s="43">
        <v>11.500404203718674</v>
      </c>
      <c r="N6808" s="43">
        <f>IF(11.54=0, "-", 63.54/11.54)</f>
        <v>5.5060658578856154</v>
      </c>
      <c r="O6808" s="43">
        <f>IF(12.83=0, "-", 42.99/12.83)</f>
        <v>3.3507404520654718</v>
      </c>
      <c r="P6808" s="208"/>
      <c r="Q6808" s="208"/>
      <c r="R6808" s="208">
        <v>1</v>
      </c>
    </row>
    <row r="6809" spans="1:18" ht="36">
      <c r="A6809" s="204">
        <v>30</v>
      </c>
      <c r="B6809" s="201" t="s">
        <v>12505</v>
      </c>
      <c r="C6809" s="205" t="s">
        <v>12506</v>
      </c>
      <c r="D6809" s="206">
        <v>85.47</v>
      </c>
      <c r="E6809" s="206">
        <v>43.05</v>
      </c>
      <c r="F6809" s="206">
        <v>16.78</v>
      </c>
      <c r="G6809" s="206">
        <v>25.64</v>
      </c>
      <c r="H6809" s="207">
        <v>715.97</v>
      </c>
      <c r="I6809" s="207">
        <v>495.14</v>
      </c>
      <c r="J6809" s="207">
        <v>92.42</v>
      </c>
      <c r="K6809" s="207">
        <v>128.41</v>
      </c>
      <c r="L6809" s="43">
        <f>IF(85.47=0, "-", 725.86/85.47)</f>
        <v>8.4925704925704935</v>
      </c>
      <c r="M6809" s="43">
        <v>11.500404203718674</v>
      </c>
      <c r="N6809" s="43">
        <f>IF(16.78=0, "-", 92.42/16.78)</f>
        <v>5.5077473182359951</v>
      </c>
      <c r="O6809" s="43">
        <f>IF(25.64=0, "-", 138.3/25.64)</f>
        <v>5.3939157566302658</v>
      </c>
      <c r="P6809" s="208"/>
      <c r="Q6809" s="208"/>
      <c r="R6809" s="208">
        <v>1</v>
      </c>
    </row>
    <row r="6810" spans="1:18" ht="36">
      <c r="A6810" s="204">
        <v>31</v>
      </c>
      <c r="B6810" s="201" t="s">
        <v>12507</v>
      </c>
      <c r="C6810" s="205" t="s">
        <v>12508</v>
      </c>
      <c r="D6810" s="206">
        <v>123.35</v>
      </c>
      <c r="E6810" s="206">
        <v>64.58</v>
      </c>
      <c r="F6810" s="206">
        <v>32.520000000000003</v>
      </c>
      <c r="G6810" s="206">
        <v>26.25</v>
      </c>
      <c r="H6810" s="207">
        <v>1051.1500000000001</v>
      </c>
      <c r="I6810" s="207">
        <v>742.71</v>
      </c>
      <c r="J6810" s="207">
        <v>179.07</v>
      </c>
      <c r="K6810" s="207">
        <v>129.37</v>
      </c>
      <c r="L6810" s="43">
        <f>IF(123.35=0, "-", 1065.99/123.35)</f>
        <v>8.6419943250912041</v>
      </c>
      <c r="M6810" s="43">
        <v>11.500404203718674</v>
      </c>
      <c r="N6810" s="43">
        <f>IF(32.52=0, "-", 179.07/32.52)</f>
        <v>5.5064575645756451</v>
      </c>
      <c r="O6810" s="43">
        <f>IF(26.25=0, "-", 144.21/26.25)</f>
        <v>5.4937142857142858</v>
      </c>
      <c r="P6810" s="208"/>
      <c r="Q6810" s="208"/>
      <c r="R6810" s="208">
        <v>1</v>
      </c>
    </row>
    <row r="6811" spans="1:18" ht="36">
      <c r="A6811" s="204">
        <v>32</v>
      </c>
      <c r="B6811" s="201" t="s">
        <v>12509</v>
      </c>
      <c r="C6811" s="205" t="s">
        <v>12510</v>
      </c>
      <c r="D6811" s="206">
        <v>151.38</v>
      </c>
      <c r="E6811" s="206">
        <v>73.47</v>
      </c>
      <c r="F6811" s="206">
        <v>51.33</v>
      </c>
      <c r="G6811" s="206">
        <v>26.58</v>
      </c>
      <c r="H6811" s="207">
        <v>1253.78</v>
      </c>
      <c r="I6811" s="207">
        <v>844.94</v>
      </c>
      <c r="J6811" s="207">
        <v>278.67</v>
      </c>
      <c r="K6811" s="207">
        <v>130.16999999999999</v>
      </c>
      <c r="L6811" s="43">
        <f>IF(151.38=0, "-", 1270.69/151.38)</f>
        <v>8.3940414850046245</v>
      </c>
      <c r="M6811" s="43">
        <v>11.500404203718674</v>
      </c>
      <c r="N6811" s="43">
        <f>IF(51.33=0, "-", 278.67/51.33)</f>
        <v>5.4289888953828171</v>
      </c>
      <c r="O6811" s="43">
        <f>IF(26.58=0, "-", 147.08/26.58)</f>
        <v>5.5334838224228751</v>
      </c>
      <c r="P6811" s="208"/>
      <c r="Q6811" s="208"/>
      <c r="R6811" s="208">
        <v>1</v>
      </c>
    </row>
    <row r="6812" spans="1:18" ht="36">
      <c r="A6812" s="204">
        <v>33</v>
      </c>
      <c r="B6812" s="201" t="s">
        <v>12511</v>
      </c>
      <c r="C6812" s="205" t="s">
        <v>12512</v>
      </c>
      <c r="D6812" s="206">
        <v>211.54</v>
      </c>
      <c r="E6812" s="206">
        <v>104.96</v>
      </c>
      <c r="F6812" s="206">
        <v>76.989999999999995</v>
      </c>
      <c r="G6812" s="206">
        <v>29.59</v>
      </c>
      <c r="H6812" s="207">
        <v>1767.63</v>
      </c>
      <c r="I6812" s="207">
        <v>1207.06</v>
      </c>
      <c r="J6812" s="207">
        <v>418</v>
      </c>
      <c r="K6812" s="207">
        <v>142.57</v>
      </c>
      <c r="L6812" s="43">
        <f>IF(211.54=0, "-", 1791.78/211.54)</f>
        <v>8.4701711260281751</v>
      </c>
      <c r="M6812" s="43">
        <v>11.500404203718674</v>
      </c>
      <c r="N6812" s="43">
        <f>IF(76.99=0, "-", 418/76.99)</f>
        <v>5.4292765294194059</v>
      </c>
      <c r="O6812" s="43">
        <f>IF(29.59=0, "-", 166.72/29.59)</f>
        <v>5.6343359242987496</v>
      </c>
      <c r="P6812" s="208"/>
      <c r="Q6812" s="208"/>
      <c r="R6812" s="208">
        <v>1</v>
      </c>
    </row>
    <row r="6813" spans="1:18" ht="36">
      <c r="A6813" s="204">
        <v>34</v>
      </c>
      <c r="B6813" s="201" t="s">
        <v>12513</v>
      </c>
      <c r="C6813" s="205" t="s">
        <v>12514</v>
      </c>
      <c r="D6813" s="206">
        <v>239.82</v>
      </c>
      <c r="E6813" s="206">
        <v>115.15</v>
      </c>
      <c r="F6813" s="206">
        <v>76.989999999999995</v>
      </c>
      <c r="G6813" s="206">
        <v>47.68</v>
      </c>
      <c r="H6813" s="207">
        <v>1977.46</v>
      </c>
      <c r="I6813" s="207">
        <v>1324.25</v>
      </c>
      <c r="J6813" s="207">
        <v>418</v>
      </c>
      <c r="K6813" s="207">
        <v>235.21</v>
      </c>
      <c r="L6813" s="43">
        <f>IF(239.82=0, "-", 2003.91/239.82)</f>
        <v>8.3558919189392054</v>
      </c>
      <c r="M6813" s="43">
        <v>11.500404203718674</v>
      </c>
      <c r="N6813" s="43">
        <f>IF(76.99=0, "-", 418/76.99)</f>
        <v>5.4292765294194059</v>
      </c>
      <c r="O6813" s="43">
        <f>IF(47.68=0, "-", 261.66/47.68)</f>
        <v>5.487835570469799</v>
      </c>
      <c r="P6813" s="208"/>
      <c r="Q6813" s="208"/>
      <c r="R6813" s="208">
        <v>1</v>
      </c>
    </row>
    <row r="6814" spans="1:18" ht="36">
      <c r="A6814" s="204">
        <v>35</v>
      </c>
      <c r="B6814" s="201" t="s">
        <v>12515</v>
      </c>
      <c r="C6814" s="205" t="s">
        <v>12516</v>
      </c>
      <c r="D6814" s="206">
        <v>324.3</v>
      </c>
      <c r="E6814" s="206">
        <v>146.74</v>
      </c>
      <c r="F6814" s="206">
        <v>94.96</v>
      </c>
      <c r="G6814" s="206">
        <v>82.6</v>
      </c>
      <c r="H6814" s="207">
        <v>2604.3200000000002</v>
      </c>
      <c r="I6814" s="207">
        <v>1687.54</v>
      </c>
      <c r="J6814" s="207">
        <v>515.53</v>
      </c>
      <c r="K6814" s="207">
        <v>401.25</v>
      </c>
      <c r="L6814" s="43">
        <f>IF(324.3=0, "-", 2638.02/324.3)</f>
        <v>8.1345050878815908</v>
      </c>
      <c r="M6814" s="43">
        <v>11.500404203718674</v>
      </c>
      <c r="N6814" s="43">
        <f>IF(94.96=0, "-", 515.53/94.96)</f>
        <v>5.4289174389216512</v>
      </c>
      <c r="O6814" s="43">
        <f>IF(82.6=0, "-", 434.95/82.6)</f>
        <v>5.2657384987893465</v>
      </c>
      <c r="P6814" s="208"/>
      <c r="Q6814" s="208"/>
      <c r="R6814" s="208">
        <v>1</v>
      </c>
    </row>
    <row r="6815" spans="1:18" ht="36">
      <c r="A6815" s="204">
        <v>36</v>
      </c>
      <c r="B6815" s="201" t="s">
        <v>12517</v>
      </c>
      <c r="C6815" s="205" t="s">
        <v>12518</v>
      </c>
      <c r="D6815" s="206">
        <v>345.73</v>
      </c>
      <c r="E6815" s="206">
        <v>156.55000000000001</v>
      </c>
      <c r="F6815" s="206">
        <v>94.96</v>
      </c>
      <c r="G6815" s="206">
        <v>94.22</v>
      </c>
      <c r="H6815" s="207">
        <v>2774.56</v>
      </c>
      <c r="I6815" s="207">
        <v>1800.33</v>
      </c>
      <c r="J6815" s="207">
        <v>515.53</v>
      </c>
      <c r="K6815" s="207">
        <v>458.7</v>
      </c>
      <c r="L6815" s="43">
        <f>IF(345.73=0, "-", 2810.56/345.73)</f>
        <v>8.1293494923784451</v>
      </c>
      <c r="M6815" s="43">
        <v>11.500404203718674</v>
      </c>
      <c r="N6815" s="43">
        <f>IF(94.96=0, "-", 515.53/94.96)</f>
        <v>5.4289174389216512</v>
      </c>
      <c r="O6815" s="43">
        <f>IF(94.22=0, "-", 494.7/94.22)</f>
        <v>5.2504776056039058</v>
      </c>
      <c r="P6815" s="208"/>
      <c r="Q6815" s="208"/>
      <c r="R6815" s="208">
        <v>1</v>
      </c>
    </row>
    <row r="6816" spans="1:18" ht="36">
      <c r="A6816" s="204">
        <v>37</v>
      </c>
      <c r="B6816" s="201" t="s">
        <v>12519</v>
      </c>
      <c r="C6816" s="205" t="s">
        <v>12520</v>
      </c>
      <c r="D6816" s="206">
        <v>465.67</v>
      </c>
      <c r="E6816" s="206">
        <v>218.16</v>
      </c>
      <c r="F6816" s="206">
        <v>143.72</v>
      </c>
      <c r="G6816" s="206">
        <v>103.79</v>
      </c>
      <c r="H6816" s="207">
        <v>3793.04</v>
      </c>
      <c r="I6816" s="207">
        <v>2508.84</v>
      </c>
      <c r="J6816" s="207">
        <v>780.27</v>
      </c>
      <c r="K6816" s="207">
        <v>503.93</v>
      </c>
      <c r="L6816" s="43">
        <f>IF(465.67=0, "-", 3843.18/465.67)</f>
        <v>8.253011789464642</v>
      </c>
      <c r="M6816" s="43">
        <v>11.500404203718674</v>
      </c>
      <c r="N6816" s="43">
        <f>IF(143.72=0, "-", 780.27/143.72)</f>
        <v>5.429098246590593</v>
      </c>
      <c r="O6816" s="43">
        <f>IF(103.79=0, "-", 554.07/103.79)</f>
        <v>5.3383755660468255</v>
      </c>
      <c r="P6816" s="208"/>
      <c r="Q6816" s="208"/>
      <c r="R6816" s="208">
        <v>1</v>
      </c>
    </row>
    <row r="6817" spans="1:18" ht="36">
      <c r="A6817" s="204">
        <v>38</v>
      </c>
      <c r="B6817" s="201" t="s">
        <v>12521</v>
      </c>
      <c r="C6817" s="205" t="s">
        <v>12522</v>
      </c>
      <c r="D6817" s="206">
        <v>503.55</v>
      </c>
      <c r="E6817" s="206">
        <v>239.37</v>
      </c>
      <c r="F6817" s="206">
        <v>146.28</v>
      </c>
      <c r="G6817" s="206">
        <v>117.9</v>
      </c>
      <c r="H6817" s="207">
        <v>4115.8900000000003</v>
      </c>
      <c r="I6817" s="207">
        <v>2752.76</v>
      </c>
      <c r="J6817" s="207">
        <v>794.2</v>
      </c>
      <c r="K6817" s="207">
        <v>568.92999999999995</v>
      </c>
      <c r="L6817" s="43">
        <f>IF(503.55=0, "-", 4170.98/503.55)</f>
        <v>8.2831496375732296</v>
      </c>
      <c r="M6817" s="43">
        <v>11.500404203718674</v>
      </c>
      <c r="N6817" s="43">
        <f>IF(146.28=0, "-", 794.2/146.28)</f>
        <v>5.4293136450642603</v>
      </c>
      <c r="O6817" s="43">
        <f>IF(117.9=0, "-", 624.02/117.9)</f>
        <v>5.2927905004240881</v>
      </c>
      <c r="P6817" s="208"/>
      <c r="Q6817" s="208"/>
      <c r="R6817" s="208">
        <v>1</v>
      </c>
    </row>
    <row r="6818" spans="1:18" ht="36">
      <c r="A6818" s="204">
        <v>39</v>
      </c>
      <c r="B6818" s="201" t="s">
        <v>12523</v>
      </c>
      <c r="C6818" s="205" t="s">
        <v>12524</v>
      </c>
      <c r="D6818" s="206">
        <v>568.19000000000005</v>
      </c>
      <c r="E6818" s="206">
        <v>249.47</v>
      </c>
      <c r="F6818" s="206">
        <v>148.85</v>
      </c>
      <c r="G6818" s="206">
        <v>169.87</v>
      </c>
      <c r="H6818" s="207">
        <v>4512.6000000000004</v>
      </c>
      <c r="I6818" s="207">
        <v>2868.91</v>
      </c>
      <c r="J6818" s="207">
        <v>808.14</v>
      </c>
      <c r="K6818" s="207">
        <v>835.55</v>
      </c>
      <c r="L6818" s="43">
        <f>IF(568.19=0, "-", 4569.99/568.19)</f>
        <v>8.0430665798412484</v>
      </c>
      <c r="M6818" s="43">
        <v>11.500404203718674</v>
      </c>
      <c r="N6818" s="43">
        <f>IF(148.85=0, "-", 808.14/148.85)</f>
        <v>5.429224051058112</v>
      </c>
      <c r="O6818" s="43">
        <f>IF(169.87=0, "-", 892.94/169.87)</f>
        <v>5.2566079943486201</v>
      </c>
      <c r="P6818" s="208"/>
      <c r="Q6818" s="208"/>
      <c r="R6818" s="208">
        <v>1</v>
      </c>
    </row>
    <row r="6819" spans="1:18" ht="12.75" customHeight="1">
      <c r="A6819" s="628" t="s">
        <v>12525</v>
      </c>
      <c r="B6819" s="629"/>
      <c r="C6819" s="629"/>
      <c r="D6819" s="629"/>
      <c r="E6819" s="629"/>
      <c r="F6819" s="629"/>
      <c r="G6819" s="629"/>
      <c r="H6819" s="629"/>
      <c r="I6819" s="629"/>
      <c r="J6819" s="629"/>
      <c r="K6819" s="629"/>
      <c r="L6819" s="629"/>
      <c r="M6819" s="629"/>
      <c r="N6819" s="629"/>
      <c r="O6819" s="629"/>
      <c r="P6819" s="629"/>
      <c r="Q6819" s="629"/>
      <c r="R6819" s="629"/>
    </row>
    <row r="6820" spans="1:18" ht="12.75" customHeight="1">
      <c r="A6820" s="628" t="s">
        <v>12526</v>
      </c>
      <c r="B6820" s="629"/>
      <c r="C6820" s="629"/>
      <c r="D6820" s="629"/>
      <c r="E6820" s="629"/>
      <c r="F6820" s="629"/>
      <c r="G6820" s="629"/>
      <c r="H6820" s="629"/>
      <c r="I6820" s="629"/>
      <c r="J6820" s="629"/>
      <c r="K6820" s="629"/>
      <c r="L6820" s="629"/>
      <c r="M6820" s="629"/>
      <c r="N6820" s="629"/>
      <c r="O6820" s="629"/>
      <c r="P6820" s="629"/>
      <c r="Q6820" s="629"/>
      <c r="R6820" s="629"/>
    </row>
    <row r="6821" spans="1:18" ht="36">
      <c r="A6821" s="204">
        <v>40</v>
      </c>
      <c r="B6821" s="201" t="s">
        <v>12527</v>
      </c>
      <c r="C6821" s="205" t="s">
        <v>12528</v>
      </c>
      <c r="D6821" s="206">
        <v>106.33</v>
      </c>
      <c r="E6821" s="206">
        <v>26.66</v>
      </c>
      <c r="F6821" s="206">
        <v>56.9</v>
      </c>
      <c r="G6821" s="206">
        <v>22.77</v>
      </c>
      <c r="H6821" s="207">
        <v>722.59</v>
      </c>
      <c r="I6821" s="207">
        <v>306.63</v>
      </c>
      <c r="J6821" s="207">
        <v>308.87</v>
      </c>
      <c r="K6821" s="207">
        <v>107.09</v>
      </c>
      <c r="L6821" s="43">
        <f>IF(106.33=0, "-", 728.69/106.33)</f>
        <v>6.8530988432239264</v>
      </c>
      <c r="M6821" s="43">
        <v>11.500404203718674</v>
      </c>
      <c r="N6821" s="43">
        <f>IF(56.9=0, "-", 308.87/56.9)</f>
        <v>5.4282952548330403</v>
      </c>
      <c r="O6821" s="43">
        <f>IF(22.77=0, "-", 113.19/22.77)</f>
        <v>4.9710144927536231</v>
      </c>
      <c r="P6821" s="208"/>
      <c r="Q6821" s="208"/>
      <c r="R6821" s="208">
        <v>1</v>
      </c>
    </row>
    <row r="6822" spans="1:18" ht="36">
      <c r="A6822" s="204">
        <v>41</v>
      </c>
      <c r="B6822" s="201" t="s">
        <v>12529</v>
      </c>
      <c r="C6822" s="205" t="s">
        <v>12530</v>
      </c>
      <c r="D6822" s="206">
        <v>148.91999999999999</v>
      </c>
      <c r="E6822" s="206">
        <v>39.93</v>
      </c>
      <c r="F6822" s="206">
        <v>85.48</v>
      </c>
      <c r="G6822" s="206">
        <v>23.51</v>
      </c>
      <c r="H6822" s="207">
        <v>1032.83</v>
      </c>
      <c r="I6822" s="207">
        <v>459.26</v>
      </c>
      <c r="J6822" s="207">
        <v>463.99</v>
      </c>
      <c r="K6822" s="207">
        <v>109.58</v>
      </c>
      <c r="L6822" s="43">
        <f>IF(148.92=0, "-", 1042.03/148.92)</f>
        <v>6.9972468439430573</v>
      </c>
      <c r="M6822" s="43">
        <v>11.500404203718674</v>
      </c>
      <c r="N6822" s="43">
        <f>IF(85.48=0, "-", 463.99/85.48)</f>
        <v>5.428053345811886</v>
      </c>
      <c r="O6822" s="43">
        <f>IF(23.51=0, "-", 118.78/23.51)</f>
        <v>5.052318162484049</v>
      </c>
      <c r="P6822" s="208"/>
      <c r="Q6822" s="208"/>
      <c r="R6822" s="208">
        <v>1</v>
      </c>
    </row>
    <row r="6823" spans="1:18" ht="36">
      <c r="A6823" s="204">
        <v>42</v>
      </c>
      <c r="B6823" s="201" t="s">
        <v>12531</v>
      </c>
      <c r="C6823" s="205" t="s">
        <v>12532</v>
      </c>
      <c r="D6823" s="206">
        <v>249.33</v>
      </c>
      <c r="E6823" s="206">
        <v>66.48</v>
      </c>
      <c r="F6823" s="206">
        <v>157.87</v>
      </c>
      <c r="G6823" s="206">
        <v>24.98</v>
      </c>
      <c r="H6823" s="207">
        <v>1736.03</v>
      </c>
      <c r="I6823" s="207">
        <v>764.53</v>
      </c>
      <c r="J6823" s="207">
        <v>856.92</v>
      </c>
      <c r="K6823" s="207">
        <v>114.58</v>
      </c>
      <c r="L6823" s="43">
        <f>IF(249.33=0, "-", 1751.33/249.33)</f>
        <v>7.0241447078169488</v>
      </c>
      <c r="M6823" s="43">
        <v>11.500404203718674</v>
      </c>
      <c r="N6823" s="43">
        <f>IF(157.87=0, "-", 856.92/157.87)</f>
        <v>5.4280103882941653</v>
      </c>
      <c r="O6823" s="43">
        <f>IF(24.98=0, "-", 129.88/24.98)</f>
        <v>5.1993594875900717</v>
      </c>
      <c r="P6823" s="208"/>
      <c r="Q6823" s="208"/>
      <c r="R6823" s="208">
        <v>1</v>
      </c>
    </row>
    <row r="6824" spans="1:18" ht="36">
      <c r="A6824" s="204">
        <v>43</v>
      </c>
      <c r="B6824" s="201" t="s">
        <v>12533</v>
      </c>
      <c r="C6824" s="205" t="s">
        <v>12534</v>
      </c>
      <c r="D6824" s="206">
        <v>108.1</v>
      </c>
      <c r="E6824" s="206">
        <v>26.66</v>
      </c>
      <c r="F6824" s="206">
        <v>56.46</v>
      </c>
      <c r="G6824" s="206">
        <v>24.98</v>
      </c>
      <c r="H6824" s="207">
        <v>739.67</v>
      </c>
      <c r="I6824" s="207">
        <v>306.63</v>
      </c>
      <c r="J6824" s="207">
        <v>306.54000000000002</v>
      </c>
      <c r="K6824" s="207">
        <v>126.5</v>
      </c>
      <c r="L6824" s="43">
        <f>IF(108.1=0, "-", 745.77/108.1)</f>
        <v>6.8988899167437561</v>
      </c>
      <c r="M6824" s="43">
        <v>11.500404203718674</v>
      </c>
      <c r="N6824" s="43">
        <f>IF(56.46=0, "-", 306.54/56.46)</f>
        <v>5.4293304994686507</v>
      </c>
      <c r="O6824" s="43">
        <f>IF(24.98=0, "-", 132.6/24.98)</f>
        <v>5.3082465972778223</v>
      </c>
      <c r="P6824" s="208"/>
      <c r="Q6824" s="208"/>
      <c r="R6824" s="208">
        <v>1</v>
      </c>
    </row>
    <row r="6825" spans="1:18" ht="36">
      <c r="A6825" s="204">
        <v>44</v>
      </c>
      <c r="B6825" s="201" t="s">
        <v>12535</v>
      </c>
      <c r="C6825" s="205" t="s">
        <v>12536</v>
      </c>
      <c r="D6825" s="206">
        <v>170.33</v>
      </c>
      <c r="E6825" s="206">
        <v>39.93</v>
      </c>
      <c r="F6825" s="206">
        <v>84.69</v>
      </c>
      <c r="G6825" s="206">
        <v>45.71</v>
      </c>
      <c r="H6825" s="207">
        <v>1144.98</v>
      </c>
      <c r="I6825" s="207">
        <v>459.26</v>
      </c>
      <c r="J6825" s="207">
        <v>459.8</v>
      </c>
      <c r="K6825" s="207">
        <v>225.92</v>
      </c>
      <c r="L6825" s="43">
        <f>IF(170.33=0, "-", 1154.18/170.33)</f>
        <v>6.7761404332765807</v>
      </c>
      <c r="M6825" s="43">
        <v>11.500404203718674</v>
      </c>
      <c r="N6825" s="43">
        <f>IF(84.69=0, "-", 459.8/84.69)</f>
        <v>5.4292124217735269</v>
      </c>
      <c r="O6825" s="43">
        <f>IF(45.71=0, "-", 235.12/45.71)</f>
        <v>5.1437322248960839</v>
      </c>
      <c r="P6825" s="208"/>
      <c r="Q6825" s="208"/>
      <c r="R6825" s="208">
        <v>1</v>
      </c>
    </row>
    <row r="6826" spans="1:18" ht="36">
      <c r="A6826" s="204">
        <v>45</v>
      </c>
      <c r="B6826" s="201" t="s">
        <v>12537</v>
      </c>
      <c r="C6826" s="205" t="s">
        <v>12538</v>
      </c>
      <c r="D6826" s="206">
        <v>300.77</v>
      </c>
      <c r="E6826" s="206">
        <v>66.48</v>
      </c>
      <c r="F6826" s="206">
        <v>156.55000000000001</v>
      </c>
      <c r="G6826" s="206">
        <v>77.739999999999995</v>
      </c>
      <c r="H6826" s="207">
        <v>2001.55</v>
      </c>
      <c r="I6826" s="207">
        <v>764.53</v>
      </c>
      <c r="J6826" s="207">
        <v>849.93</v>
      </c>
      <c r="K6826" s="207">
        <v>387.09</v>
      </c>
      <c r="L6826" s="43">
        <f>IF(300.77=0, "-", 2016.85/300.77)</f>
        <v>6.7056222362602655</v>
      </c>
      <c r="M6826" s="43">
        <v>11.500404203718674</v>
      </c>
      <c r="N6826" s="43">
        <f>IF(156.55=0, "-", 849.93/156.55)</f>
        <v>5.4291280740977319</v>
      </c>
      <c r="O6826" s="43">
        <f>IF(77.74=0, "-", 402.39/77.74)</f>
        <v>5.1760998199125288</v>
      </c>
      <c r="P6826" s="208"/>
      <c r="Q6826" s="208"/>
      <c r="R6826" s="208">
        <v>1</v>
      </c>
    </row>
    <row r="6827" spans="1:18" ht="12.75" customHeight="1">
      <c r="A6827" s="628" t="s">
        <v>12539</v>
      </c>
      <c r="B6827" s="629"/>
      <c r="C6827" s="629"/>
      <c r="D6827" s="629"/>
      <c r="E6827" s="629"/>
      <c r="F6827" s="629"/>
      <c r="G6827" s="629"/>
      <c r="H6827" s="629"/>
      <c r="I6827" s="629"/>
      <c r="J6827" s="629"/>
      <c r="K6827" s="629"/>
      <c r="L6827" s="629"/>
      <c r="M6827" s="629"/>
      <c r="N6827" s="629"/>
      <c r="O6827" s="629"/>
      <c r="P6827" s="629"/>
      <c r="Q6827" s="629"/>
      <c r="R6827" s="629"/>
    </row>
    <row r="6828" spans="1:18" ht="12.75" customHeight="1">
      <c r="A6828" s="628" t="s">
        <v>12540</v>
      </c>
      <c r="B6828" s="629"/>
      <c r="C6828" s="629"/>
      <c r="D6828" s="629"/>
      <c r="E6828" s="629"/>
      <c r="F6828" s="629"/>
      <c r="G6828" s="629"/>
      <c r="H6828" s="629"/>
      <c r="I6828" s="629"/>
      <c r="J6828" s="629"/>
      <c r="K6828" s="629"/>
      <c r="L6828" s="629"/>
      <c r="M6828" s="629"/>
      <c r="N6828" s="629"/>
      <c r="O6828" s="629"/>
      <c r="P6828" s="629"/>
      <c r="Q6828" s="629"/>
      <c r="R6828" s="629"/>
    </row>
    <row r="6829" spans="1:18" ht="24">
      <c r="A6829" s="204">
        <v>46</v>
      </c>
      <c r="B6829" s="201" t="s">
        <v>12541</v>
      </c>
      <c r="C6829" s="205" t="s">
        <v>12542</v>
      </c>
      <c r="D6829" s="206">
        <v>67.819999999999993</v>
      </c>
      <c r="E6829" s="206">
        <v>11.7</v>
      </c>
      <c r="F6829" s="206">
        <v>48.76</v>
      </c>
      <c r="G6829" s="206">
        <v>7.36</v>
      </c>
      <c r="H6829" s="207">
        <v>421.35</v>
      </c>
      <c r="I6829" s="207">
        <v>134.6</v>
      </c>
      <c r="J6829" s="207">
        <v>264.73</v>
      </c>
      <c r="K6829" s="207">
        <v>22.02</v>
      </c>
      <c r="L6829" s="43">
        <f>IF(67.82=0, "-", 424/67.82)</f>
        <v>6.2518431141256272</v>
      </c>
      <c r="M6829" s="43">
        <v>11.500404203718674</v>
      </c>
      <c r="N6829" s="43">
        <f>IF(48.76=0, "-", 264.73/48.76)</f>
        <v>5.4292452830188687</v>
      </c>
      <c r="O6829" s="43">
        <f>IF(7.36=0, "-", 24.67/7.36)</f>
        <v>3.3519021739130435</v>
      </c>
      <c r="P6829" s="208"/>
      <c r="Q6829" s="208"/>
      <c r="R6829" s="208">
        <v>1</v>
      </c>
    </row>
    <row r="6830" spans="1:18" ht="24">
      <c r="A6830" s="204">
        <v>47</v>
      </c>
      <c r="B6830" s="201" t="s">
        <v>12543</v>
      </c>
      <c r="C6830" s="205" t="s">
        <v>12544</v>
      </c>
      <c r="D6830" s="206">
        <v>70.69</v>
      </c>
      <c r="E6830" s="206">
        <v>11.7</v>
      </c>
      <c r="F6830" s="206">
        <v>51.33</v>
      </c>
      <c r="G6830" s="206">
        <v>7.66</v>
      </c>
      <c r="H6830" s="207">
        <v>437.93</v>
      </c>
      <c r="I6830" s="207">
        <v>134.6</v>
      </c>
      <c r="J6830" s="207">
        <v>278.67</v>
      </c>
      <c r="K6830" s="207">
        <v>24.66</v>
      </c>
      <c r="L6830" s="43">
        <f>IF(70.69=0, "-", 440.58/70.69)</f>
        <v>6.2325647191964917</v>
      </c>
      <c r="M6830" s="43">
        <v>11.500404203718674</v>
      </c>
      <c r="N6830" s="43">
        <f>IF(51.33=0, "-", 278.67/51.33)</f>
        <v>5.4289888953828171</v>
      </c>
      <c r="O6830" s="43">
        <f>IF(7.66=0, "-", 27.31/7.66)</f>
        <v>3.5652741514360309</v>
      </c>
      <c r="P6830" s="208"/>
      <c r="Q6830" s="208"/>
      <c r="R6830" s="208">
        <v>1</v>
      </c>
    </row>
    <row r="6831" spans="1:18" ht="24">
      <c r="A6831" s="204">
        <v>48</v>
      </c>
      <c r="B6831" s="201" t="s">
        <v>12545</v>
      </c>
      <c r="C6831" s="205" t="s">
        <v>12546</v>
      </c>
      <c r="D6831" s="206">
        <v>71.81</v>
      </c>
      <c r="E6831" s="206">
        <v>11.7</v>
      </c>
      <c r="F6831" s="206">
        <v>51.33</v>
      </c>
      <c r="G6831" s="206">
        <v>8.7799999999999994</v>
      </c>
      <c r="H6831" s="207">
        <v>443.51</v>
      </c>
      <c r="I6831" s="207">
        <v>134.6</v>
      </c>
      <c r="J6831" s="207">
        <v>278.67</v>
      </c>
      <c r="K6831" s="207">
        <v>30.24</v>
      </c>
      <c r="L6831" s="43">
        <f>IF(71.81=0, "-", 446.16/71.81)</f>
        <v>6.2130622475978274</v>
      </c>
      <c r="M6831" s="43">
        <v>11.500404203718674</v>
      </c>
      <c r="N6831" s="43">
        <f>IF(51.33=0, "-", 278.67/51.33)</f>
        <v>5.4289888953828171</v>
      </c>
      <c r="O6831" s="43">
        <f>IF(8.78=0, "-", 32.89/8.78)</f>
        <v>3.7460136674259683</v>
      </c>
      <c r="P6831" s="208"/>
      <c r="Q6831" s="208"/>
      <c r="R6831" s="208">
        <v>1</v>
      </c>
    </row>
    <row r="6832" spans="1:18" ht="24">
      <c r="A6832" s="204">
        <v>49</v>
      </c>
      <c r="B6832" s="201" t="s">
        <v>12547</v>
      </c>
      <c r="C6832" s="205" t="s">
        <v>12548</v>
      </c>
      <c r="D6832" s="206">
        <v>170.11</v>
      </c>
      <c r="E6832" s="206">
        <v>23.51</v>
      </c>
      <c r="F6832" s="206">
        <v>61.59</v>
      </c>
      <c r="G6832" s="206">
        <v>85.01</v>
      </c>
      <c r="H6832" s="207">
        <v>996.3</v>
      </c>
      <c r="I6832" s="207">
        <v>270.41000000000003</v>
      </c>
      <c r="J6832" s="207">
        <v>334.4</v>
      </c>
      <c r="K6832" s="207">
        <v>391.49</v>
      </c>
      <c r="L6832" s="43">
        <f>IF(170.11=0, "-", 1001.71/170.11)</f>
        <v>5.8886014931514898</v>
      </c>
      <c r="M6832" s="43">
        <v>11.500404203718674</v>
      </c>
      <c r="N6832" s="43">
        <f>IF(61.59=0, "-", 334.4/61.59)</f>
        <v>5.4294528332521503</v>
      </c>
      <c r="O6832" s="43">
        <f>IF(85.01=0, "-", 396.9/85.01)</f>
        <v>4.6688624867662618</v>
      </c>
      <c r="P6832" s="208"/>
      <c r="Q6832" s="208"/>
      <c r="R6832" s="208">
        <v>1</v>
      </c>
    </row>
    <row r="6833" spans="1:18" ht="24">
      <c r="A6833" s="204">
        <v>50</v>
      </c>
      <c r="B6833" s="201" t="s">
        <v>12549</v>
      </c>
      <c r="C6833" s="205" t="s">
        <v>12550</v>
      </c>
      <c r="D6833" s="206">
        <v>167.76</v>
      </c>
      <c r="E6833" s="206">
        <v>23.51</v>
      </c>
      <c r="F6833" s="206">
        <v>61.59</v>
      </c>
      <c r="G6833" s="206">
        <v>82.66</v>
      </c>
      <c r="H6833" s="207">
        <v>1005.8</v>
      </c>
      <c r="I6833" s="207">
        <v>270.41000000000003</v>
      </c>
      <c r="J6833" s="207">
        <v>334.4</v>
      </c>
      <c r="K6833" s="207">
        <v>400.99</v>
      </c>
      <c r="L6833" s="43">
        <f>IF(167.76=0, "-", 1011.21/167.76)</f>
        <v>6.0277181688125898</v>
      </c>
      <c r="M6833" s="43">
        <v>11.500404203718674</v>
      </c>
      <c r="N6833" s="43">
        <f>IF(61.59=0, "-", 334.4/61.59)</f>
        <v>5.4294528332521503</v>
      </c>
      <c r="O6833" s="43">
        <f>IF(82.66=0, "-", 406.4/82.66)</f>
        <v>4.9165255262521175</v>
      </c>
      <c r="P6833" s="208"/>
      <c r="Q6833" s="208"/>
      <c r="R6833" s="208">
        <v>1</v>
      </c>
    </row>
    <row r="6834" spans="1:18" ht="24">
      <c r="A6834" s="204">
        <v>51</v>
      </c>
      <c r="B6834" s="201" t="s">
        <v>12551</v>
      </c>
      <c r="C6834" s="205" t="s">
        <v>12552</v>
      </c>
      <c r="D6834" s="206">
        <v>241.88</v>
      </c>
      <c r="E6834" s="206">
        <v>35.22</v>
      </c>
      <c r="F6834" s="206">
        <v>100.09</v>
      </c>
      <c r="G6834" s="206">
        <v>106.57</v>
      </c>
      <c r="H6834" s="207">
        <v>1461.81</v>
      </c>
      <c r="I6834" s="207">
        <v>405.01</v>
      </c>
      <c r="J6834" s="207">
        <v>543.41</v>
      </c>
      <c r="K6834" s="207">
        <v>513.39</v>
      </c>
      <c r="L6834" s="43">
        <f>IF(241.88=0, "-", 1469.86/241.88)</f>
        <v>6.0768149495617658</v>
      </c>
      <c r="M6834" s="43">
        <v>11.500404203718674</v>
      </c>
      <c r="N6834" s="43">
        <f>IF(100.09=0, "-", 543.41/100.09)</f>
        <v>5.4292137076631031</v>
      </c>
      <c r="O6834" s="43">
        <f>IF(106.57=0, "-", 521.44/106.57)</f>
        <v>4.8929342216383604</v>
      </c>
      <c r="P6834" s="208"/>
      <c r="Q6834" s="208"/>
      <c r="R6834" s="208">
        <v>1</v>
      </c>
    </row>
    <row r="6835" spans="1:18" ht="24">
      <c r="A6835" s="204">
        <v>52</v>
      </c>
      <c r="B6835" s="201" t="s">
        <v>12553</v>
      </c>
      <c r="C6835" s="205" t="s">
        <v>12554</v>
      </c>
      <c r="D6835" s="206">
        <v>192.99</v>
      </c>
      <c r="E6835" s="206">
        <v>35.22</v>
      </c>
      <c r="F6835" s="206">
        <v>100.09</v>
      </c>
      <c r="G6835" s="206">
        <v>57.68</v>
      </c>
      <c r="H6835" s="207">
        <v>1227.54</v>
      </c>
      <c r="I6835" s="207">
        <v>405.01</v>
      </c>
      <c r="J6835" s="207">
        <v>543.41</v>
      </c>
      <c r="K6835" s="207">
        <v>279.12</v>
      </c>
      <c r="L6835" s="43">
        <f>IF(192.99=0, "-", 1235.59/192.99)</f>
        <v>6.4023524534949994</v>
      </c>
      <c r="M6835" s="43">
        <v>11.500404203718674</v>
      </c>
      <c r="N6835" s="43">
        <f>IF(100.09=0, "-", 543.41/100.09)</f>
        <v>5.4292137076631031</v>
      </c>
      <c r="O6835" s="43">
        <f>IF(57.68=0, "-", 287.17/57.68)</f>
        <v>4.9786754507628297</v>
      </c>
      <c r="P6835" s="208"/>
      <c r="Q6835" s="208"/>
      <c r="R6835" s="208">
        <v>1</v>
      </c>
    </row>
    <row r="6836" spans="1:18" ht="24">
      <c r="A6836" s="204">
        <v>53</v>
      </c>
      <c r="B6836" s="201" t="s">
        <v>12555</v>
      </c>
      <c r="C6836" s="205" t="s">
        <v>12556</v>
      </c>
      <c r="D6836" s="206">
        <v>257.14999999999998</v>
      </c>
      <c r="E6836" s="206">
        <v>47.23</v>
      </c>
      <c r="F6836" s="206">
        <v>148.85</v>
      </c>
      <c r="G6836" s="206">
        <v>61.07</v>
      </c>
      <c r="H6836" s="207">
        <v>1644.05</v>
      </c>
      <c r="I6836" s="207">
        <v>543.21</v>
      </c>
      <c r="J6836" s="207">
        <v>808.14</v>
      </c>
      <c r="K6836" s="207">
        <v>292.7</v>
      </c>
      <c r="L6836" s="43">
        <f>IF(257.15=0, "-", 1654.86/257.15)</f>
        <v>6.4353879058915036</v>
      </c>
      <c r="M6836" s="43">
        <v>11.500404203718674</v>
      </c>
      <c r="N6836" s="43">
        <f>IF(148.85=0, "-", 808.14/148.85)</f>
        <v>5.429224051058112</v>
      </c>
      <c r="O6836" s="43">
        <f>IF(61.07=0, "-", 303.51/61.07)</f>
        <v>4.9698706402488941</v>
      </c>
      <c r="P6836" s="208"/>
      <c r="Q6836" s="208"/>
      <c r="R6836" s="208">
        <v>1</v>
      </c>
    </row>
    <row r="6837" spans="1:18" ht="24">
      <c r="A6837" s="204">
        <v>54</v>
      </c>
      <c r="B6837" s="201" t="s">
        <v>12557</v>
      </c>
      <c r="C6837" s="205" t="s">
        <v>12558</v>
      </c>
      <c r="D6837" s="206">
        <v>287.83</v>
      </c>
      <c r="E6837" s="206">
        <v>70.430000000000007</v>
      </c>
      <c r="F6837" s="206">
        <v>100.09</v>
      </c>
      <c r="G6837" s="206">
        <v>117.31</v>
      </c>
      <c r="H6837" s="207">
        <v>2086.63</v>
      </c>
      <c r="I6837" s="207">
        <v>810.01</v>
      </c>
      <c r="J6837" s="207">
        <v>543.41</v>
      </c>
      <c r="K6837" s="207">
        <v>733.21</v>
      </c>
      <c r="L6837" s="43">
        <f>IF(287.83=0, "-", 2102.85/287.83)</f>
        <v>7.3058749956571587</v>
      </c>
      <c r="M6837" s="43">
        <v>11.500404203718674</v>
      </c>
      <c r="N6837" s="43">
        <f>IF(100.09=0, "-", 543.41/100.09)</f>
        <v>5.4292137076631031</v>
      </c>
      <c r="O6837" s="43">
        <f>IF(117.31=0, "-", 749.43/117.31)</f>
        <v>6.3884579319751085</v>
      </c>
      <c r="P6837" s="208"/>
      <c r="Q6837" s="208"/>
      <c r="R6837" s="208">
        <v>1</v>
      </c>
    </row>
    <row r="6838" spans="1:18" ht="24">
      <c r="A6838" s="204">
        <v>55</v>
      </c>
      <c r="B6838" s="201" t="s">
        <v>12559</v>
      </c>
      <c r="C6838" s="205" t="s">
        <v>12560</v>
      </c>
      <c r="D6838" s="206">
        <v>386.18</v>
      </c>
      <c r="E6838" s="206">
        <v>82.14</v>
      </c>
      <c r="F6838" s="206">
        <v>148.85</v>
      </c>
      <c r="G6838" s="206">
        <v>155.19</v>
      </c>
      <c r="H6838" s="207">
        <v>2767.31</v>
      </c>
      <c r="I6838" s="207">
        <v>944.61</v>
      </c>
      <c r="J6838" s="207">
        <v>808.14</v>
      </c>
      <c r="K6838" s="207">
        <v>1014.56</v>
      </c>
      <c r="L6838" s="43">
        <f>IF(386.18=0, "-", 2786.17/386.18)</f>
        <v>7.2146926303796155</v>
      </c>
      <c r="M6838" s="43">
        <v>11.500404203718674</v>
      </c>
      <c r="N6838" s="43">
        <f>IF(148.85=0, "-", 808.14/148.85)</f>
        <v>5.429224051058112</v>
      </c>
      <c r="O6838" s="43">
        <f>IF(155.19=0, "-", 1033.42/155.19)</f>
        <v>6.6590630839615956</v>
      </c>
      <c r="P6838" s="208"/>
      <c r="Q6838" s="208"/>
      <c r="R6838" s="208">
        <v>1</v>
      </c>
    </row>
    <row r="6839" spans="1:18" ht="24">
      <c r="A6839" s="204">
        <v>56</v>
      </c>
      <c r="B6839" s="201" t="s">
        <v>12561</v>
      </c>
      <c r="C6839" s="205" t="s">
        <v>12562</v>
      </c>
      <c r="D6839" s="206">
        <v>799.14</v>
      </c>
      <c r="E6839" s="206">
        <v>117.04</v>
      </c>
      <c r="F6839" s="206">
        <v>251.51</v>
      </c>
      <c r="G6839" s="206">
        <v>430.59</v>
      </c>
      <c r="H6839" s="207">
        <v>5047.22</v>
      </c>
      <c r="I6839" s="207">
        <v>1346.02</v>
      </c>
      <c r="J6839" s="207">
        <v>1365.48</v>
      </c>
      <c r="K6839" s="207">
        <v>2335.7199999999998</v>
      </c>
      <c r="L6839" s="43">
        <f>IF(799.14=0, "-", 5074.13/799.14)</f>
        <v>6.3494881998148012</v>
      </c>
      <c r="M6839" s="43">
        <v>11.500404203718674</v>
      </c>
      <c r="N6839" s="43">
        <f>IF(251.51=0, "-", 1365.48/251.51)</f>
        <v>5.4291280664784702</v>
      </c>
      <c r="O6839" s="43">
        <f>IF(430.59=0, "-", 2362.63/430.59)</f>
        <v>5.4869597528971878</v>
      </c>
      <c r="P6839" s="208"/>
      <c r="Q6839" s="208"/>
      <c r="R6839" s="208">
        <v>1</v>
      </c>
    </row>
    <row r="6840" spans="1:18" ht="24">
      <c r="A6840" s="204">
        <v>57</v>
      </c>
      <c r="B6840" s="201" t="s">
        <v>12563</v>
      </c>
      <c r="C6840" s="205" t="s">
        <v>12564</v>
      </c>
      <c r="D6840" s="206">
        <v>159.78</v>
      </c>
      <c r="E6840" s="206">
        <v>11.7</v>
      </c>
      <c r="F6840" s="206">
        <v>48.76</v>
      </c>
      <c r="G6840" s="206">
        <v>99.32</v>
      </c>
      <c r="H6840" s="207">
        <v>845.26</v>
      </c>
      <c r="I6840" s="207">
        <v>134.6</v>
      </c>
      <c r="J6840" s="207">
        <v>264.73</v>
      </c>
      <c r="K6840" s="207">
        <v>445.93</v>
      </c>
      <c r="L6840" s="43">
        <f>IF(159.78=0, "-", 847.91/159.78)</f>
        <v>5.3067342596069595</v>
      </c>
      <c r="M6840" s="43">
        <v>11.500404203718674</v>
      </c>
      <c r="N6840" s="43">
        <f>IF(48.76=0, "-", 264.73/48.76)</f>
        <v>5.4292452830188687</v>
      </c>
      <c r="O6840" s="43">
        <f>IF(99.32=0, "-", 448.58/99.32)</f>
        <v>4.5165122835279901</v>
      </c>
      <c r="P6840" s="208"/>
      <c r="Q6840" s="208"/>
      <c r="R6840" s="208">
        <v>1</v>
      </c>
    </row>
    <row r="6841" spans="1:18" ht="24">
      <c r="A6841" s="204">
        <v>58</v>
      </c>
      <c r="B6841" s="201" t="s">
        <v>12565</v>
      </c>
      <c r="C6841" s="205" t="s">
        <v>12566</v>
      </c>
      <c r="D6841" s="206">
        <v>172.98</v>
      </c>
      <c r="E6841" s="206">
        <v>11.7</v>
      </c>
      <c r="F6841" s="206">
        <v>51.33</v>
      </c>
      <c r="G6841" s="206">
        <v>109.95</v>
      </c>
      <c r="H6841" s="207">
        <v>945.34</v>
      </c>
      <c r="I6841" s="207">
        <v>134.6</v>
      </c>
      <c r="J6841" s="207">
        <v>278.67</v>
      </c>
      <c r="K6841" s="207">
        <v>532.07000000000005</v>
      </c>
      <c r="L6841" s="43">
        <f>IF(172.98=0, "-", 947.99/172.98)</f>
        <v>5.4803445485027176</v>
      </c>
      <c r="M6841" s="43">
        <v>11.500404203718674</v>
      </c>
      <c r="N6841" s="43">
        <f>IF(51.33=0, "-", 278.67/51.33)</f>
        <v>5.4289888953828171</v>
      </c>
      <c r="O6841" s="43">
        <f>IF(109.95=0, "-", 534.72/109.95)</f>
        <v>4.8633015006821285</v>
      </c>
      <c r="P6841" s="208"/>
      <c r="Q6841" s="208"/>
      <c r="R6841" s="208">
        <v>1</v>
      </c>
    </row>
    <row r="6842" spans="1:18" ht="24">
      <c r="A6842" s="204">
        <v>59</v>
      </c>
      <c r="B6842" s="201" t="s">
        <v>12567</v>
      </c>
      <c r="C6842" s="205" t="s">
        <v>12568</v>
      </c>
      <c r="D6842" s="206">
        <v>172.98</v>
      </c>
      <c r="E6842" s="206">
        <v>11.7</v>
      </c>
      <c r="F6842" s="206">
        <v>51.33</v>
      </c>
      <c r="G6842" s="206">
        <v>109.95</v>
      </c>
      <c r="H6842" s="207">
        <v>945.34</v>
      </c>
      <c r="I6842" s="207">
        <v>134.6</v>
      </c>
      <c r="J6842" s="207">
        <v>278.67</v>
      </c>
      <c r="K6842" s="207">
        <v>532.07000000000005</v>
      </c>
      <c r="L6842" s="43">
        <f>IF(172.98=0, "-", 947.99/172.98)</f>
        <v>5.4803445485027176</v>
      </c>
      <c r="M6842" s="43">
        <v>11.500404203718674</v>
      </c>
      <c r="N6842" s="43">
        <f>IF(51.33=0, "-", 278.67/51.33)</f>
        <v>5.4289888953828171</v>
      </c>
      <c r="O6842" s="43">
        <f>IF(109.95=0, "-", 534.72/109.95)</f>
        <v>4.8633015006821285</v>
      </c>
      <c r="P6842" s="208"/>
      <c r="Q6842" s="208"/>
      <c r="R6842" s="208">
        <v>1</v>
      </c>
    </row>
    <row r="6843" spans="1:18" ht="24">
      <c r="A6843" s="204">
        <v>60</v>
      </c>
      <c r="B6843" s="201" t="s">
        <v>12569</v>
      </c>
      <c r="C6843" s="205" t="s">
        <v>12570</v>
      </c>
      <c r="D6843" s="206">
        <v>289.58</v>
      </c>
      <c r="E6843" s="206">
        <v>23.51</v>
      </c>
      <c r="F6843" s="206">
        <v>61.59</v>
      </c>
      <c r="G6843" s="206">
        <v>204.48</v>
      </c>
      <c r="H6843" s="207">
        <v>1864.89</v>
      </c>
      <c r="I6843" s="207">
        <v>270.41000000000003</v>
      </c>
      <c r="J6843" s="207">
        <v>334.4</v>
      </c>
      <c r="K6843" s="207">
        <v>1260.08</v>
      </c>
      <c r="L6843" s="43">
        <f>IF(289.58=0, "-", 1870.3/289.58)</f>
        <v>6.4586642723945022</v>
      </c>
      <c r="M6843" s="43">
        <v>11.500404203718674</v>
      </c>
      <c r="N6843" s="43">
        <f>IF(61.59=0, "-", 334.4/61.59)</f>
        <v>5.4294528332521503</v>
      </c>
      <c r="O6843" s="43">
        <f>IF(204.48=0, "-", 1265.49/204.48)</f>
        <v>6.1888204225352119</v>
      </c>
      <c r="P6843" s="208"/>
      <c r="Q6843" s="208"/>
      <c r="R6843" s="208">
        <v>1</v>
      </c>
    </row>
    <row r="6844" spans="1:18" ht="24">
      <c r="A6844" s="204">
        <v>61</v>
      </c>
      <c r="B6844" s="201" t="s">
        <v>12571</v>
      </c>
      <c r="C6844" s="205" t="s">
        <v>12572</v>
      </c>
      <c r="D6844" s="206">
        <v>277.82</v>
      </c>
      <c r="E6844" s="206">
        <v>23.51</v>
      </c>
      <c r="F6844" s="206">
        <v>61.59</v>
      </c>
      <c r="G6844" s="206">
        <v>192.72</v>
      </c>
      <c r="H6844" s="207">
        <v>1789.09</v>
      </c>
      <c r="I6844" s="207">
        <v>270.41000000000003</v>
      </c>
      <c r="J6844" s="207">
        <v>334.4</v>
      </c>
      <c r="K6844" s="207">
        <v>1184.28</v>
      </c>
      <c r="L6844" s="43">
        <f>IF(277.82=0, "-", 1794.5/277.82)</f>
        <v>6.4592181988337778</v>
      </c>
      <c r="M6844" s="43">
        <v>11.500404203718674</v>
      </c>
      <c r="N6844" s="43">
        <f>IF(61.59=0, "-", 334.4/61.59)</f>
        <v>5.4294528332521503</v>
      </c>
      <c r="O6844" s="43">
        <f>IF(192.72=0, "-", 1189.69/192.72)</f>
        <v>6.1731527604815275</v>
      </c>
      <c r="P6844" s="208"/>
      <c r="Q6844" s="208"/>
      <c r="R6844" s="208">
        <v>1</v>
      </c>
    </row>
    <row r="6845" spans="1:18" ht="24">
      <c r="A6845" s="204">
        <v>62</v>
      </c>
      <c r="B6845" s="201" t="s">
        <v>12573</v>
      </c>
      <c r="C6845" s="205" t="s">
        <v>12574</v>
      </c>
      <c r="D6845" s="206">
        <v>389.98</v>
      </c>
      <c r="E6845" s="206">
        <v>23.51</v>
      </c>
      <c r="F6845" s="206">
        <v>61.59</v>
      </c>
      <c r="G6845" s="206">
        <v>304.88</v>
      </c>
      <c r="H6845" s="207">
        <v>2743.13</v>
      </c>
      <c r="I6845" s="207">
        <v>270.41000000000003</v>
      </c>
      <c r="J6845" s="207">
        <v>334.4</v>
      </c>
      <c r="K6845" s="207">
        <v>2138.3200000000002</v>
      </c>
      <c r="L6845" s="43">
        <f>IF(389.98=0, "-", 2748.54/389.98)</f>
        <v>7.0478998923021692</v>
      </c>
      <c r="M6845" s="43">
        <v>11.500404203718674</v>
      </c>
      <c r="N6845" s="43">
        <f>IF(61.59=0, "-", 334.4/61.59)</f>
        <v>5.4294528332521503</v>
      </c>
      <c r="O6845" s="43">
        <f>IF(304.88=0, "-", 2143.73/304.88)</f>
        <v>7.0313893991078462</v>
      </c>
      <c r="P6845" s="208"/>
      <c r="Q6845" s="208"/>
      <c r="R6845" s="208">
        <v>1</v>
      </c>
    </row>
    <row r="6846" spans="1:18" ht="24">
      <c r="A6846" s="209">
        <v>63</v>
      </c>
      <c r="B6846" s="210" t="s">
        <v>12575</v>
      </c>
      <c r="C6846" s="211" t="s">
        <v>12576</v>
      </c>
      <c r="D6846" s="212">
        <v>521.19000000000005</v>
      </c>
      <c r="E6846" s="212">
        <v>35.22</v>
      </c>
      <c r="F6846" s="212">
        <v>100.09</v>
      </c>
      <c r="G6846" s="212">
        <v>385.88</v>
      </c>
      <c r="H6846" s="213">
        <v>3985.43</v>
      </c>
      <c r="I6846" s="213">
        <v>405.01</v>
      </c>
      <c r="J6846" s="213">
        <v>543.41</v>
      </c>
      <c r="K6846" s="213">
        <v>3037.01</v>
      </c>
      <c r="L6846" s="611">
        <f>IF(521.19=0, "-", 3993.48/521.19)</f>
        <v>7.6622345018131579</v>
      </c>
      <c r="M6846" s="43">
        <v>11.500404203718674</v>
      </c>
      <c r="N6846" s="611">
        <f>IF(100.09=0, "-", 543.41/100.09)</f>
        <v>5.4292137076631031</v>
      </c>
      <c r="O6846" s="611">
        <f>IF(385.88=0, "-", 3045.06/385.88)</f>
        <v>7.8912097024981858</v>
      </c>
      <c r="P6846" s="214"/>
      <c r="Q6846" s="214"/>
      <c r="R6846" s="214">
        <v>1</v>
      </c>
    </row>
    <row r="6847" spans="1:18" ht="28.5" customHeight="1">
      <c r="A6847" s="630" t="s">
        <v>12577</v>
      </c>
      <c r="B6847" s="631"/>
      <c r="C6847" s="631"/>
      <c r="D6847" s="631"/>
      <c r="E6847" s="631"/>
      <c r="F6847" s="631"/>
      <c r="G6847" s="631"/>
      <c r="H6847" s="631"/>
      <c r="I6847" s="631"/>
      <c r="J6847" s="631"/>
      <c r="K6847" s="631"/>
      <c r="L6847" s="631"/>
      <c r="M6847" s="631"/>
      <c r="N6847" s="631"/>
      <c r="O6847" s="631"/>
      <c r="P6847" s="631"/>
      <c r="Q6847" s="631"/>
      <c r="R6847" s="631"/>
    </row>
    <row r="6848" spans="1:18" ht="12.75" customHeight="1">
      <c r="A6848" s="628" t="s">
        <v>12578</v>
      </c>
      <c r="B6848" s="629"/>
      <c r="C6848" s="629"/>
      <c r="D6848" s="629"/>
      <c r="E6848" s="629"/>
      <c r="F6848" s="629"/>
      <c r="G6848" s="629"/>
      <c r="H6848" s="629"/>
      <c r="I6848" s="629"/>
      <c r="J6848" s="629"/>
      <c r="K6848" s="629"/>
      <c r="L6848" s="629"/>
      <c r="M6848" s="629"/>
      <c r="N6848" s="629"/>
      <c r="O6848" s="629"/>
      <c r="P6848" s="629"/>
      <c r="Q6848" s="629"/>
      <c r="R6848" s="629"/>
    </row>
    <row r="6849" spans="1:18" ht="12.75" customHeight="1">
      <c r="A6849" s="628" t="s">
        <v>12579</v>
      </c>
      <c r="B6849" s="629"/>
      <c r="C6849" s="629"/>
      <c r="D6849" s="629"/>
      <c r="E6849" s="629"/>
      <c r="F6849" s="629"/>
      <c r="G6849" s="629"/>
      <c r="H6849" s="629"/>
      <c r="I6849" s="629"/>
      <c r="J6849" s="629"/>
      <c r="K6849" s="629"/>
      <c r="L6849" s="629"/>
      <c r="M6849" s="629"/>
      <c r="N6849" s="629"/>
      <c r="O6849" s="629"/>
      <c r="P6849" s="629"/>
      <c r="Q6849" s="629"/>
      <c r="R6849" s="629"/>
    </row>
    <row r="6850" spans="1:18" ht="36">
      <c r="A6850" s="204">
        <v>64</v>
      </c>
      <c r="B6850" s="201" t="s">
        <v>12580</v>
      </c>
      <c r="C6850" s="205" t="s">
        <v>12581</v>
      </c>
      <c r="D6850" s="206">
        <v>7.41</v>
      </c>
      <c r="E6850" s="206">
        <v>6.16</v>
      </c>
      <c r="F6850" s="206"/>
      <c r="G6850" s="206">
        <v>1.25</v>
      </c>
      <c r="H6850" s="207">
        <v>74.13</v>
      </c>
      <c r="I6850" s="207">
        <v>70.87</v>
      </c>
      <c r="J6850" s="207"/>
      <c r="K6850" s="207">
        <v>3.26</v>
      </c>
      <c r="L6850" s="43">
        <f>IF(7.41=0, "-", 75.51/7.41)</f>
        <v>10.190283400809717</v>
      </c>
      <c r="M6850" s="43">
        <v>11.500404203718674</v>
      </c>
      <c r="N6850" s="43" t="str">
        <f>IF(0=0, "-", 0/0)</f>
        <v>-</v>
      </c>
      <c r="O6850" s="43">
        <f>IF(1.25=0, "-", 4.64/1.25)</f>
        <v>3.7119999999999997</v>
      </c>
      <c r="P6850" s="208"/>
      <c r="Q6850" s="208"/>
      <c r="R6850" s="208">
        <v>1</v>
      </c>
    </row>
    <row r="6851" spans="1:18" ht="36">
      <c r="A6851" s="204">
        <v>65</v>
      </c>
      <c r="B6851" s="201" t="s">
        <v>12582</v>
      </c>
      <c r="C6851" s="205" t="s">
        <v>12583</v>
      </c>
      <c r="D6851" s="206">
        <v>14.99</v>
      </c>
      <c r="E6851" s="206">
        <v>12.21</v>
      </c>
      <c r="F6851" s="206"/>
      <c r="G6851" s="206">
        <v>2.78</v>
      </c>
      <c r="H6851" s="207">
        <v>147.72999999999999</v>
      </c>
      <c r="I6851" s="207">
        <v>140.37</v>
      </c>
      <c r="J6851" s="207"/>
      <c r="K6851" s="207">
        <v>7.36</v>
      </c>
      <c r="L6851" s="43">
        <f>IF(14.99=0, "-", 150.49/14.99)</f>
        <v>10.039359573048699</v>
      </c>
      <c r="M6851" s="43">
        <v>11.500404203718674</v>
      </c>
      <c r="N6851" s="43" t="str">
        <f>IF(0=0, "-", 0/0)</f>
        <v>-</v>
      </c>
      <c r="O6851" s="43">
        <f>IF(2.78=0, "-", 10.12/2.78)</f>
        <v>3.6402877697841727</v>
      </c>
      <c r="P6851" s="208"/>
      <c r="Q6851" s="208"/>
      <c r="R6851" s="208">
        <v>1</v>
      </c>
    </row>
    <row r="6852" spans="1:18" ht="24">
      <c r="A6852" s="204">
        <v>66</v>
      </c>
      <c r="B6852" s="201" t="s">
        <v>12584</v>
      </c>
      <c r="C6852" s="205" t="s">
        <v>12585</v>
      </c>
      <c r="D6852" s="206">
        <v>14.28</v>
      </c>
      <c r="E6852" s="206">
        <v>12.21</v>
      </c>
      <c r="F6852" s="206"/>
      <c r="G6852" s="206">
        <v>2.0699999999999998</v>
      </c>
      <c r="H6852" s="207">
        <v>145.68</v>
      </c>
      <c r="I6852" s="207">
        <v>140.37</v>
      </c>
      <c r="J6852" s="207"/>
      <c r="K6852" s="207">
        <v>5.31</v>
      </c>
      <c r="L6852" s="43">
        <f>IF(14.28=0, "-", 148.44/14.28)</f>
        <v>10.394957983193278</v>
      </c>
      <c r="M6852" s="43">
        <v>11.500404203718674</v>
      </c>
      <c r="N6852" s="43" t="str">
        <f>IF(0=0, "-", 0/0)</f>
        <v>-</v>
      </c>
      <c r="O6852" s="43">
        <f>IF(2.07=0, "-", 8.07/2.07)</f>
        <v>3.8985507246376816</v>
      </c>
      <c r="P6852" s="208"/>
      <c r="Q6852" s="208"/>
      <c r="R6852" s="208">
        <v>1</v>
      </c>
    </row>
    <row r="6853" spans="1:18" ht="23.25" customHeight="1">
      <c r="A6853" s="628" t="s">
        <v>12586</v>
      </c>
      <c r="B6853" s="629"/>
      <c r="C6853" s="629"/>
      <c r="D6853" s="629"/>
      <c r="E6853" s="629"/>
      <c r="F6853" s="629"/>
      <c r="G6853" s="629"/>
      <c r="H6853" s="629"/>
      <c r="I6853" s="629"/>
      <c r="J6853" s="629"/>
      <c r="K6853" s="629"/>
      <c r="L6853" s="629"/>
      <c r="M6853" s="629"/>
      <c r="N6853" s="629"/>
      <c r="O6853" s="629"/>
      <c r="P6853" s="629"/>
      <c r="Q6853" s="629"/>
      <c r="R6853" s="629"/>
    </row>
    <row r="6854" spans="1:18" ht="12.75" customHeight="1">
      <c r="A6854" s="628" t="s">
        <v>12587</v>
      </c>
      <c r="B6854" s="629"/>
      <c r="C6854" s="629"/>
      <c r="D6854" s="629"/>
      <c r="E6854" s="629"/>
      <c r="F6854" s="629"/>
      <c r="G6854" s="629"/>
      <c r="H6854" s="629"/>
      <c r="I6854" s="629"/>
      <c r="J6854" s="629"/>
      <c r="K6854" s="629"/>
      <c r="L6854" s="629"/>
      <c r="M6854" s="629"/>
      <c r="N6854" s="629"/>
      <c r="O6854" s="629"/>
      <c r="P6854" s="629"/>
      <c r="Q6854" s="629"/>
      <c r="R6854" s="629"/>
    </row>
    <row r="6855" spans="1:18" ht="24">
      <c r="A6855" s="204">
        <v>67</v>
      </c>
      <c r="B6855" s="201" t="s">
        <v>12588</v>
      </c>
      <c r="C6855" s="205" t="s">
        <v>12589</v>
      </c>
      <c r="D6855" s="206">
        <v>103.13</v>
      </c>
      <c r="E6855" s="206">
        <v>52.4</v>
      </c>
      <c r="F6855" s="206">
        <v>38.5</v>
      </c>
      <c r="G6855" s="206">
        <v>12.23</v>
      </c>
      <c r="H6855" s="207">
        <v>843.98</v>
      </c>
      <c r="I6855" s="207">
        <v>602.6</v>
      </c>
      <c r="J6855" s="207">
        <v>209</v>
      </c>
      <c r="K6855" s="207">
        <v>32.380000000000003</v>
      </c>
      <c r="L6855" s="43">
        <f>IF(103.13=0, "-", 856.06/103.13)</f>
        <v>8.300785416464656</v>
      </c>
      <c r="M6855" s="43">
        <v>11.500404203718674</v>
      </c>
      <c r="N6855" s="43">
        <f>IF(38.5=0, "-", 209/38.5)</f>
        <v>5.4285714285714288</v>
      </c>
      <c r="O6855" s="43">
        <f>IF(12.23=0, "-", 44.46/12.23)</f>
        <v>3.6353229762878168</v>
      </c>
      <c r="P6855" s="208"/>
      <c r="Q6855" s="208"/>
      <c r="R6855" s="208">
        <v>1</v>
      </c>
    </row>
    <row r="6856" spans="1:18" ht="24">
      <c r="A6856" s="204">
        <v>68</v>
      </c>
      <c r="B6856" s="201" t="s">
        <v>12590</v>
      </c>
      <c r="C6856" s="205" t="s">
        <v>12591</v>
      </c>
      <c r="D6856" s="206">
        <v>186.01</v>
      </c>
      <c r="E6856" s="206">
        <v>106.41</v>
      </c>
      <c r="F6856" s="206">
        <v>56.46</v>
      </c>
      <c r="G6856" s="206">
        <v>23.14</v>
      </c>
      <c r="H6856" s="207">
        <v>1591.18</v>
      </c>
      <c r="I6856" s="207">
        <v>1223.79</v>
      </c>
      <c r="J6856" s="207">
        <v>306.54000000000002</v>
      </c>
      <c r="K6856" s="207">
        <v>60.85</v>
      </c>
      <c r="L6856" s="43">
        <f>IF(186.01=0, "-", 1615.68/186.01)</f>
        <v>8.6859846244825558</v>
      </c>
      <c r="M6856" s="43">
        <v>11.500404203718674</v>
      </c>
      <c r="N6856" s="43">
        <f>IF(56.46=0, "-", 306.54/56.46)</f>
        <v>5.4293304994686507</v>
      </c>
      <c r="O6856" s="43">
        <f>IF(23.14=0, "-", 85.35/23.14)</f>
        <v>3.6884183232497838</v>
      </c>
      <c r="P6856" s="208"/>
      <c r="Q6856" s="208"/>
      <c r="R6856" s="208">
        <v>1</v>
      </c>
    </row>
    <row r="6857" spans="1:18" ht="24">
      <c r="A6857" s="209">
        <v>69</v>
      </c>
      <c r="B6857" s="210" t="s">
        <v>12592</v>
      </c>
      <c r="C6857" s="211" t="s">
        <v>12593</v>
      </c>
      <c r="D6857" s="212">
        <v>288.26</v>
      </c>
      <c r="E6857" s="212">
        <v>145.76</v>
      </c>
      <c r="F6857" s="212">
        <v>112.92</v>
      </c>
      <c r="G6857" s="212">
        <v>29.58</v>
      </c>
      <c r="H6857" s="213">
        <v>2366.5300000000002</v>
      </c>
      <c r="I6857" s="213">
        <v>1676.24</v>
      </c>
      <c r="J6857" s="213">
        <v>613.07000000000005</v>
      </c>
      <c r="K6857" s="213">
        <v>77.22</v>
      </c>
      <c r="L6857" s="611">
        <f>IF(288.26=0, "-", 2400.11/288.26)</f>
        <v>8.3261985707347534</v>
      </c>
      <c r="M6857" s="43">
        <v>11.500404203718674</v>
      </c>
      <c r="N6857" s="611">
        <f>IF(112.92=0, "-", 613.07/112.92)</f>
        <v>5.4292419411973079</v>
      </c>
      <c r="O6857" s="611">
        <f>IF(29.58=0, "-", 110.8/29.58)</f>
        <v>3.7457741717376609</v>
      </c>
      <c r="P6857" s="214"/>
      <c r="Q6857" s="214"/>
      <c r="R6857" s="214">
        <v>1</v>
      </c>
    </row>
    <row r="6858" spans="1:18" ht="20.25" customHeight="1">
      <c r="A6858" s="630" t="s">
        <v>12594</v>
      </c>
      <c r="B6858" s="631"/>
      <c r="C6858" s="631"/>
      <c r="D6858" s="631"/>
      <c r="E6858" s="631"/>
      <c r="F6858" s="631"/>
      <c r="G6858" s="631"/>
      <c r="H6858" s="631"/>
      <c r="I6858" s="631"/>
      <c r="J6858" s="631"/>
      <c r="K6858" s="631"/>
      <c r="L6858" s="631"/>
      <c r="M6858" s="631"/>
      <c r="N6858" s="631"/>
      <c r="O6858" s="631"/>
      <c r="P6858" s="631"/>
      <c r="Q6858" s="631"/>
      <c r="R6858" s="631"/>
    </row>
    <row r="6859" spans="1:18" ht="12.75" customHeight="1">
      <c r="A6859" s="628" t="s">
        <v>12595</v>
      </c>
      <c r="B6859" s="629"/>
      <c r="C6859" s="629"/>
      <c r="D6859" s="629"/>
      <c r="E6859" s="629"/>
      <c r="F6859" s="629"/>
      <c r="G6859" s="629"/>
      <c r="H6859" s="629"/>
      <c r="I6859" s="629"/>
      <c r="J6859" s="629"/>
      <c r="K6859" s="629"/>
      <c r="L6859" s="629"/>
      <c r="M6859" s="629"/>
      <c r="N6859" s="629"/>
      <c r="O6859" s="629"/>
      <c r="P6859" s="629"/>
      <c r="Q6859" s="629"/>
      <c r="R6859" s="629"/>
    </row>
    <row r="6860" spans="1:18" ht="12.75" customHeight="1">
      <c r="A6860" s="628" t="s">
        <v>12596</v>
      </c>
      <c r="B6860" s="629"/>
      <c r="C6860" s="629"/>
      <c r="D6860" s="629"/>
      <c r="E6860" s="629"/>
      <c r="F6860" s="629"/>
      <c r="G6860" s="629"/>
      <c r="H6860" s="629"/>
      <c r="I6860" s="629"/>
      <c r="J6860" s="629"/>
      <c r="K6860" s="629"/>
      <c r="L6860" s="629"/>
      <c r="M6860" s="629"/>
      <c r="N6860" s="629"/>
      <c r="O6860" s="629"/>
      <c r="P6860" s="629"/>
      <c r="Q6860" s="629"/>
      <c r="R6860" s="629"/>
    </row>
    <row r="6861" spans="1:18" ht="24">
      <c r="A6861" s="204">
        <v>70</v>
      </c>
      <c r="B6861" s="201" t="s">
        <v>12597</v>
      </c>
      <c r="C6861" s="205" t="s">
        <v>12598</v>
      </c>
      <c r="D6861" s="206">
        <v>41.31</v>
      </c>
      <c r="E6861" s="206">
        <v>23.67</v>
      </c>
      <c r="F6861" s="206">
        <v>2.1</v>
      </c>
      <c r="G6861" s="206">
        <v>15.54</v>
      </c>
      <c r="H6861" s="207">
        <v>334.23</v>
      </c>
      <c r="I6861" s="207">
        <v>272.20999999999998</v>
      </c>
      <c r="J6861" s="207">
        <v>11.55</v>
      </c>
      <c r="K6861" s="207">
        <v>50.47</v>
      </c>
      <c r="L6861" s="43">
        <f>IF(41.31=0, "-", 339.64/41.31)</f>
        <v>8.2217380779472276</v>
      </c>
      <c r="M6861" s="43">
        <v>11.500404203718674</v>
      </c>
      <c r="N6861" s="43">
        <f>IF(2.1=0, "-", 11.55/2.1)</f>
        <v>5.5</v>
      </c>
      <c r="O6861" s="43">
        <f>IF(15.54=0, "-", 55.88/15.54)</f>
        <v>3.5958815958815964</v>
      </c>
      <c r="P6861" s="208"/>
      <c r="Q6861" s="208"/>
      <c r="R6861" s="208">
        <v>1</v>
      </c>
    </row>
    <row r="6862" spans="1:18" ht="24">
      <c r="A6862" s="204">
        <v>71</v>
      </c>
      <c r="B6862" s="201" t="s">
        <v>12599</v>
      </c>
      <c r="C6862" s="205" t="s">
        <v>12600</v>
      </c>
      <c r="D6862" s="206">
        <v>55.4</v>
      </c>
      <c r="E6862" s="206">
        <v>35.5</v>
      </c>
      <c r="F6862" s="206">
        <v>3.15</v>
      </c>
      <c r="G6862" s="206">
        <v>16.75</v>
      </c>
      <c r="H6862" s="207">
        <v>479.27</v>
      </c>
      <c r="I6862" s="207">
        <v>408.31</v>
      </c>
      <c r="J6862" s="207">
        <v>17.329999999999998</v>
      </c>
      <c r="K6862" s="207">
        <v>53.63</v>
      </c>
      <c r="L6862" s="43">
        <f>IF(55.4=0, "-", 487.44/55.4)</f>
        <v>8.7985559566787011</v>
      </c>
      <c r="M6862" s="43">
        <v>11.500404203718674</v>
      </c>
      <c r="N6862" s="43">
        <f>IF(3.15=0, "-", 17.33/3.15)</f>
        <v>5.5015873015873016</v>
      </c>
      <c r="O6862" s="43">
        <f>IF(16.75=0, "-", 61.8/16.75)</f>
        <v>3.6895522388059701</v>
      </c>
      <c r="P6862" s="208"/>
      <c r="Q6862" s="208"/>
      <c r="R6862" s="208">
        <v>1</v>
      </c>
    </row>
    <row r="6863" spans="1:18" ht="24">
      <c r="A6863" s="204">
        <v>72</v>
      </c>
      <c r="B6863" s="201" t="s">
        <v>12601</v>
      </c>
      <c r="C6863" s="205" t="s">
        <v>12602</v>
      </c>
      <c r="D6863" s="206">
        <v>69.819999999999993</v>
      </c>
      <c r="E6863" s="206">
        <v>47.34</v>
      </c>
      <c r="F6863" s="206">
        <v>4.2</v>
      </c>
      <c r="G6863" s="206">
        <v>18.28</v>
      </c>
      <c r="H6863" s="207">
        <v>625.38</v>
      </c>
      <c r="I6863" s="207">
        <v>544.41999999999996</v>
      </c>
      <c r="J6863" s="207">
        <v>23.11</v>
      </c>
      <c r="K6863" s="207">
        <v>57.85</v>
      </c>
      <c r="L6863" s="43">
        <f>IF(69.82=0, "-", 636.31/69.82)</f>
        <v>9.1135777714122028</v>
      </c>
      <c r="M6863" s="43">
        <v>11.500404203718674</v>
      </c>
      <c r="N6863" s="43">
        <f>IF(4.2=0, "-", 23.11/4.2)</f>
        <v>5.5023809523809524</v>
      </c>
      <c r="O6863" s="43">
        <f>IF(18.28=0, "-", 68.78/18.28)</f>
        <v>3.762582056892779</v>
      </c>
      <c r="P6863" s="208"/>
      <c r="Q6863" s="208"/>
      <c r="R6863" s="208">
        <v>1</v>
      </c>
    </row>
    <row r="6864" spans="1:18" ht="24">
      <c r="A6864" s="204">
        <v>73</v>
      </c>
      <c r="B6864" s="201" t="s">
        <v>12603</v>
      </c>
      <c r="C6864" s="205" t="s">
        <v>12604</v>
      </c>
      <c r="D6864" s="206">
        <v>95.15</v>
      </c>
      <c r="E6864" s="206">
        <v>59.17</v>
      </c>
      <c r="F6864" s="206">
        <v>15.54</v>
      </c>
      <c r="G6864" s="206">
        <v>20.440000000000001</v>
      </c>
      <c r="H6864" s="207">
        <v>828.87</v>
      </c>
      <c r="I6864" s="207">
        <v>680.52</v>
      </c>
      <c r="J6864" s="207">
        <v>84.18</v>
      </c>
      <c r="K6864" s="207">
        <v>64.17</v>
      </c>
      <c r="L6864" s="43">
        <f>IF(95.15=0, "-", 842.44/95.15)</f>
        <v>8.8538097740409878</v>
      </c>
      <c r="M6864" s="43">
        <v>11.500404203718674</v>
      </c>
      <c r="N6864" s="43">
        <f>IF(15.54=0, "-", 84.18/15.54)</f>
        <v>5.4169884169884179</v>
      </c>
      <c r="O6864" s="43">
        <f>IF(20.44=0, "-", 77.74/20.44)</f>
        <v>3.8033268101761246</v>
      </c>
      <c r="P6864" s="208"/>
      <c r="Q6864" s="208"/>
      <c r="R6864" s="208">
        <v>1</v>
      </c>
    </row>
    <row r="6865" spans="1:18" ht="24">
      <c r="A6865" s="204">
        <v>74</v>
      </c>
      <c r="B6865" s="201" t="s">
        <v>12605</v>
      </c>
      <c r="C6865" s="205" t="s">
        <v>12606</v>
      </c>
      <c r="D6865" s="206">
        <v>113.93</v>
      </c>
      <c r="E6865" s="206">
        <v>71.010000000000005</v>
      </c>
      <c r="F6865" s="206">
        <v>19.66</v>
      </c>
      <c r="G6865" s="206">
        <v>23.26</v>
      </c>
      <c r="H6865" s="207">
        <v>995.68</v>
      </c>
      <c r="I6865" s="207">
        <v>816.63</v>
      </c>
      <c r="J6865" s="207">
        <v>106.44</v>
      </c>
      <c r="K6865" s="207">
        <v>72.61</v>
      </c>
      <c r="L6865" s="43">
        <f>IF(113.93=0, "-", 1012.01/113.93)</f>
        <v>8.8827350127271121</v>
      </c>
      <c r="M6865" s="43">
        <v>11.500404203718674</v>
      </c>
      <c r="N6865" s="43">
        <f>IF(19.66=0, "-", 106.44/19.66)</f>
        <v>5.4140386571719228</v>
      </c>
      <c r="O6865" s="43">
        <f>IF(23.26=0, "-", 88.94/23.26)</f>
        <v>3.8237317282889078</v>
      </c>
      <c r="P6865" s="208"/>
      <c r="Q6865" s="208"/>
      <c r="R6865" s="208">
        <v>1</v>
      </c>
    </row>
    <row r="6866" spans="1:18" ht="24">
      <c r="A6866" s="204">
        <v>75</v>
      </c>
      <c r="B6866" s="201" t="s">
        <v>12607</v>
      </c>
      <c r="C6866" s="205" t="s">
        <v>12608</v>
      </c>
      <c r="D6866" s="206">
        <v>140.87</v>
      </c>
      <c r="E6866" s="206">
        <v>82.84</v>
      </c>
      <c r="F6866" s="206">
        <v>30.02</v>
      </c>
      <c r="G6866" s="206">
        <v>28.01</v>
      </c>
      <c r="H6866" s="207">
        <v>1202.69</v>
      </c>
      <c r="I6866" s="207">
        <v>952.73</v>
      </c>
      <c r="J6866" s="207">
        <v>162.59</v>
      </c>
      <c r="K6866" s="207">
        <v>87.37</v>
      </c>
      <c r="L6866" s="43">
        <f>IF(140.87=0, "-", 1221.78/140.87)</f>
        <v>8.6731028607936391</v>
      </c>
      <c r="M6866" s="43">
        <v>11.500404203718674</v>
      </c>
      <c r="N6866" s="43">
        <f>IF(30.02=0, "-", 162.59/30.02)</f>
        <v>5.416055962691539</v>
      </c>
      <c r="O6866" s="43">
        <f>IF(28.01=0, "-", 106.46/28.01)</f>
        <v>3.800785433773652</v>
      </c>
      <c r="P6866" s="208"/>
      <c r="Q6866" s="208"/>
      <c r="R6866" s="208">
        <v>1</v>
      </c>
    </row>
    <row r="6867" spans="1:18" ht="24">
      <c r="A6867" s="204">
        <v>76</v>
      </c>
      <c r="B6867" s="201" t="s">
        <v>12609</v>
      </c>
      <c r="C6867" s="205" t="s">
        <v>12610</v>
      </c>
      <c r="D6867" s="206">
        <v>154.88</v>
      </c>
      <c r="E6867" s="206">
        <v>94.68</v>
      </c>
      <c r="F6867" s="206">
        <v>30.02</v>
      </c>
      <c r="G6867" s="206">
        <v>30.18</v>
      </c>
      <c r="H6867" s="207">
        <v>1345.11</v>
      </c>
      <c r="I6867" s="207">
        <v>1088.83</v>
      </c>
      <c r="J6867" s="207">
        <v>162.59</v>
      </c>
      <c r="K6867" s="207">
        <v>93.69</v>
      </c>
      <c r="L6867" s="43">
        <f>IF(154.88=0, "-", 1366.85/154.88)</f>
        <v>8.825219524793388</v>
      </c>
      <c r="M6867" s="43">
        <v>11.500404203718674</v>
      </c>
      <c r="N6867" s="43">
        <f>IF(30.02=0, "-", 162.59/30.02)</f>
        <v>5.416055962691539</v>
      </c>
      <c r="O6867" s="43">
        <f>IF(30.18=0, "-", 115.43/30.18)</f>
        <v>3.824718356527502</v>
      </c>
      <c r="P6867" s="208"/>
      <c r="Q6867" s="208"/>
      <c r="R6867" s="208">
        <v>1</v>
      </c>
    </row>
    <row r="6868" spans="1:18" ht="12.75" customHeight="1">
      <c r="A6868" s="628" t="s">
        <v>12611</v>
      </c>
      <c r="B6868" s="629"/>
      <c r="C6868" s="629"/>
      <c r="D6868" s="629"/>
      <c r="E6868" s="629"/>
      <c r="F6868" s="629"/>
      <c r="G6868" s="629"/>
      <c r="H6868" s="629"/>
      <c r="I6868" s="629"/>
      <c r="J6868" s="629"/>
      <c r="K6868" s="629"/>
      <c r="L6868" s="629"/>
      <c r="M6868" s="629"/>
      <c r="N6868" s="629"/>
      <c r="O6868" s="629"/>
      <c r="P6868" s="629"/>
      <c r="Q6868" s="629"/>
      <c r="R6868" s="629"/>
    </row>
    <row r="6869" spans="1:18" ht="24">
      <c r="A6869" s="204">
        <v>77</v>
      </c>
      <c r="B6869" s="201" t="s">
        <v>12612</v>
      </c>
      <c r="C6869" s="205" t="s">
        <v>12613</v>
      </c>
      <c r="D6869" s="206">
        <v>27.49</v>
      </c>
      <c r="E6869" s="206">
        <v>10.5</v>
      </c>
      <c r="F6869" s="206">
        <v>16.78</v>
      </c>
      <c r="G6869" s="206">
        <v>0.21</v>
      </c>
      <c r="H6869" s="207">
        <v>213.13</v>
      </c>
      <c r="I6869" s="207">
        <v>120.71</v>
      </c>
      <c r="J6869" s="207">
        <v>92.42</v>
      </c>
      <c r="K6869" s="207"/>
      <c r="L6869" s="43">
        <f>IF(27.49=0, "-", 215.55/27.49)</f>
        <v>7.8410331029465272</v>
      </c>
      <c r="M6869" s="43">
        <v>11.500404203718674</v>
      </c>
      <c r="N6869" s="43">
        <f>IF(16.78=0, "-", 92.42/16.78)</f>
        <v>5.5077473182359951</v>
      </c>
      <c r="O6869" s="43">
        <v>11.500404203718674</v>
      </c>
      <c r="P6869" s="208"/>
      <c r="Q6869" s="208"/>
      <c r="R6869" s="208">
        <v>2</v>
      </c>
    </row>
    <row r="6870" spans="1:18" ht="24">
      <c r="A6870" s="204">
        <v>78</v>
      </c>
      <c r="B6870" s="201" t="s">
        <v>12614</v>
      </c>
      <c r="C6870" s="205" t="s">
        <v>12615</v>
      </c>
      <c r="D6870" s="206">
        <v>65.69</v>
      </c>
      <c r="E6870" s="206">
        <v>31.49</v>
      </c>
      <c r="F6870" s="206">
        <v>33.57</v>
      </c>
      <c r="G6870" s="206">
        <v>0.63</v>
      </c>
      <c r="H6870" s="207">
        <v>546.96</v>
      </c>
      <c r="I6870" s="207">
        <v>362.12</v>
      </c>
      <c r="J6870" s="207">
        <v>184.84</v>
      </c>
      <c r="K6870" s="207"/>
      <c r="L6870" s="43">
        <f>IF(65.69=0, "-", 554.21/65.69)</f>
        <v>8.4367483635256519</v>
      </c>
      <c r="M6870" s="43">
        <v>11.500404203718674</v>
      </c>
      <c r="N6870" s="43">
        <f>IF(33.57=0, "-", 184.84/33.57)</f>
        <v>5.5061066428358654</v>
      </c>
      <c r="O6870" s="43">
        <v>11.500404203718674</v>
      </c>
      <c r="P6870" s="208"/>
      <c r="Q6870" s="208"/>
      <c r="R6870" s="208">
        <v>2</v>
      </c>
    </row>
    <row r="6871" spans="1:18" ht="24">
      <c r="A6871" s="204">
        <v>79</v>
      </c>
      <c r="B6871" s="201" t="s">
        <v>12616</v>
      </c>
      <c r="C6871" s="205" t="s">
        <v>12617</v>
      </c>
      <c r="D6871" s="206">
        <v>225.76</v>
      </c>
      <c r="E6871" s="206">
        <v>92.67</v>
      </c>
      <c r="F6871" s="206">
        <v>115.51</v>
      </c>
      <c r="G6871" s="206">
        <v>17.579999999999998</v>
      </c>
      <c r="H6871" s="207">
        <v>1737.47</v>
      </c>
      <c r="I6871" s="207">
        <v>1065.75</v>
      </c>
      <c r="J6871" s="207">
        <v>626.32000000000005</v>
      </c>
      <c r="K6871" s="207">
        <v>45.4</v>
      </c>
      <c r="L6871" s="43">
        <f>IF(225.76=0, "-", 1758.75/225.76)</f>
        <v>7.7903525868178596</v>
      </c>
      <c r="M6871" s="43">
        <v>11.500404203718674</v>
      </c>
      <c r="N6871" s="43">
        <f>IF(115.51=0, "-", 626.32/115.51)</f>
        <v>5.42221452688079</v>
      </c>
      <c r="O6871" s="43">
        <f>IF(17.58=0, "-", 66.68/17.58)</f>
        <v>3.792946530147896</v>
      </c>
      <c r="P6871" s="208"/>
      <c r="Q6871" s="208"/>
      <c r="R6871" s="208">
        <v>2</v>
      </c>
    </row>
    <row r="6872" spans="1:18" ht="24">
      <c r="A6872" s="204">
        <v>80</v>
      </c>
      <c r="B6872" s="201" t="s">
        <v>12618</v>
      </c>
      <c r="C6872" s="205" t="s">
        <v>12619</v>
      </c>
      <c r="D6872" s="206">
        <v>253.59</v>
      </c>
      <c r="E6872" s="206">
        <v>119.95</v>
      </c>
      <c r="F6872" s="206">
        <v>115.51</v>
      </c>
      <c r="G6872" s="206">
        <v>18.13</v>
      </c>
      <c r="H6872" s="207">
        <v>2051.2199999999998</v>
      </c>
      <c r="I6872" s="207">
        <v>1379.5</v>
      </c>
      <c r="J6872" s="207">
        <v>626.32000000000005</v>
      </c>
      <c r="K6872" s="207">
        <v>45.4</v>
      </c>
      <c r="L6872" s="43">
        <f>IF(253.59=0, "-", 2078.82/253.59)</f>
        <v>8.1975629953862548</v>
      </c>
      <c r="M6872" s="43">
        <v>11.500404203718674</v>
      </c>
      <c r="N6872" s="43">
        <f>IF(115.51=0, "-", 626.32/115.51)</f>
        <v>5.42221452688079</v>
      </c>
      <c r="O6872" s="43">
        <f>IF(18.13=0, "-", 73/18.13)</f>
        <v>4.0264754550468842</v>
      </c>
      <c r="P6872" s="208"/>
      <c r="Q6872" s="208"/>
      <c r="R6872" s="208">
        <v>2</v>
      </c>
    </row>
    <row r="6873" spans="1:18" ht="12.75" customHeight="1">
      <c r="A6873" s="628" t="s">
        <v>12620</v>
      </c>
      <c r="B6873" s="629"/>
      <c r="C6873" s="629"/>
      <c r="D6873" s="629"/>
      <c r="E6873" s="629"/>
      <c r="F6873" s="629"/>
      <c r="G6873" s="629"/>
      <c r="H6873" s="629"/>
      <c r="I6873" s="629"/>
      <c r="J6873" s="629"/>
      <c r="K6873" s="629"/>
      <c r="L6873" s="629"/>
      <c r="M6873" s="629"/>
      <c r="N6873" s="629"/>
      <c r="O6873" s="629"/>
      <c r="P6873" s="629"/>
      <c r="Q6873" s="629"/>
      <c r="R6873" s="629"/>
    </row>
    <row r="6874" spans="1:18" ht="24">
      <c r="A6874" s="204">
        <v>81</v>
      </c>
      <c r="B6874" s="201" t="s">
        <v>12621</v>
      </c>
      <c r="C6874" s="205" t="s">
        <v>12622</v>
      </c>
      <c r="D6874" s="206">
        <v>246.48</v>
      </c>
      <c r="E6874" s="206">
        <v>118.5</v>
      </c>
      <c r="F6874" s="206">
        <v>115.51</v>
      </c>
      <c r="G6874" s="206">
        <v>12.47</v>
      </c>
      <c r="H6874" s="207">
        <v>2018.11</v>
      </c>
      <c r="I6874" s="207">
        <v>1362.7</v>
      </c>
      <c r="J6874" s="207">
        <v>626.32000000000005</v>
      </c>
      <c r="K6874" s="207">
        <v>29.09</v>
      </c>
      <c r="L6874" s="43">
        <f>IF(246.48=0, "-", 2045.37/246.48)</f>
        <v>8.2983203505355405</v>
      </c>
      <c r="M6874" s="43">
        <f>IF(118.5=0, "-", 1362.7/118.5)</f>
        <v>11.49957805907173</v>
      </c>
      <c r="N6874" s="43">
        <f>IF(115.51=0, "-", 626.32/115.51)</f>
        <v>5.42221452688079</v>
      </c>
      <c r="O6874" s="43">
        <f>IF(12.47=0, "-", 56.35/12.47)</f>
        <v>4.5188452285485159</v>
      </c>
      <c r="P6874" s="208"/>
      <c r="Q6874" s="208"/>
      <c r="R6874" s="208">
        <v>3</v>
      </c>
    </row>
    <row r="6875" spans="1:18" ht="24">
      <c r="A6875" s="204">
        <v>82</v>
      </c>
      <c r="B6875" s="201" t="s">
        <v>12623</v>
      </c>
      <c r="C6875" s="205" t="s">
        <v>12624</v>
      </c>
      <c r="D6875" s="206">
        <v>307.99</v>
      </c>
      <c r="E6875" s="206">
        <v>178.8</v>
      </c>
      <c r="F6875" s="206">
        <v>115.51</v>
      </c>
      <c r="G6875" s="206">
        <v>13.68</v>
      </c>
      <c r="H6875" s="207">
        <v>2711.63</v>
      </c>
      <c r="I6875" s="207">
        <v>2056.2199999999998</v>
      </c>
      <c r="J6875" s="207">
        <v>626.32000000000005</v>
      </c>
      <c r="K6875" s="207">
        <v>29.09</v>
      </c>
      <c r="L6875" s="43">
        <f>IF(307.99=0, "-", 2752.8/307.99)</f>
        <v>8.9379525309263297</v>
      </c>
      <c r="M6875" s="43">
        <f>IF(178.8=0, "-", 2056.22/178.8)</f>
        <v>11.500111856823265</v>
      </c>
      <c r="N6875" s="43">
        <f>IF(115.51=0, "-", 626.32/115.51)</f>
        <v>5.42221452688079</v>
      </c>
      <c r="O6875" s="43">
        <f>IF(13.68=0, "-", 70.26/13.68)</f>
        <v>5.1359649122807021</v>
      </c>
      <c r="P6875" s="208"/>
      <c r="Q6875" s="208"/>
      <c r="R6875" s="208">
        <v>3</v>
      </c>
    </row>
    <row r="6876" spans="1:18" ht="24">
      <c r="A6876" s="204">
        <v>83</v>
      </c>
      <c r="B6876" s="201" t="s">
        <v>12625</v>
      </c>
      <c r="C6876" s="205" t="s">
        <v>12626</v>
      </c>
      <c r="D6876" s="206">
        <v>379.66</v>
      </c>
      <c r="E6876" s="206">
        <v>248.63</v>
      </c>
      <c r="F6876" s="206">
        <v>115.96</v>
      </c>
      <c r="G6876" s="206">
        <v>15.07</v>
      </c>
      <c r="H6876" s="207">
        <v>3516.57</v>
      </c>
      <c r="I6876" s="207">
        <v>2859.25</v>
      </c>
      <c r="J6876" s="207">
        <v>628.23</v>
      </c>
      <c r="K6876" s="207">
        <v>29.09</v>
      </c>
      <c r="L6876" s="43">
        <f>IF(379.66=0, "-", 3573.73/379.66)</f>
        <v>9.4129747668966957</v>
      </c>
      <c r="M6876" s="43">
        <f>IF(248.63=0, "-", 2859.25/248.63)</f>
        <v>11.500020110203918</v>
      </c>
      <c r="N6876" s="43">
        <f>IF(115.96=0, "-", 628.23/115.96)</f>
        <v>5.4176440151776477</v>
      </c>
      <c r="O6876" s="43">
        <f>IF(15.07=0, "-", 86.25/15.07)</f>
        <v>5.7232913072329126</v>
      </c>
      <c r="P6876" s="208"/>
      <c r="Q6876" s="208"/>
      <c r="R6876" s="208">
        <v>3</v>
      </c>
    </row>
    <row r="6877" spans="1:18" ht="24">
      <c r="A6877" s="204">
        <v>84</v>
      </c>
      <c r="B6877" s="201" t="s">
        <v>12627</v>
      </c>
      <c r="C6877" s="205" t="s">
        <v>12628</v>
      </c>
      <c r="D6877" s="206">
        <v>390.09</v>
      </c>
      <c r="E6877" s="206">
        <v>254.74</v>
      </c>
      <c r="F6877" s="206">
        <v>120.16</v>
      </c>
      <c r="G6877" s="206">
        <v>15.19</v>
      </c>
      <c r="H6877" s="207">
        <v>3609.93</v>
      </c>
      <c r="I6877" s="207">
        <v>2929.51</v>
      </c>
      <c r="J6877" s="207">
        <v>651.33000000000004</v>
      </c>
      <c r="K6877" s="207">
        <v>29.09</v>
      </c>
      <c r="L6877" s="43">
        <f>IF(390.09=0, "-", 3668.47/390.09)</f>
        <v>9.4041631418390637</v>
      </c>
      <c r="M6877" s="43">
        <f>IF(254.74=0, "-", 2929.51/254.74)</f>
        <v>11.5</v>
      </c>
      <c r="N6877" s="43">
        <f>IF(120.16=0, "-", 651.33/120.16)</f>
        <v>5.4205226364846872</v>
      </c>
      <c r="O6877" s="43">
        <f>IF(15.19=0, "-", 87.63/15.19)</f>
        <v>5.7689269256089535</v>
      </c>
      <c r="P6877" s="208"/>
      <c r="Q6877" s="208"/>
      <c r="R6877" s="208">
        <v>3</v>
      </c>
    </row>
    <row r="6878" spans="1:18" ht="24">
      <c r="A6878" s="204">
        <v>85</v>
      </c>
      <c r="B6878" s="201" t="s">
        <v>12629</v>
      </c>
      <c r="C6878" s="205" t="s">
        <v>12630</v>
      </c>
      <c r="D6878" s="206">
        <v>462.89</v>
      </c>
      <c r="E6878" s="206">
        <v>316.52999999999997</v>
      </c>
      <c r="F6878" s="206">
        <v>120.16</v>
      </c>
      <c r="G6878" s="206">
        <v>26.2</v>
      </c>
      <c r="H6878" s="207">
        <v>4348.6499999999996</v>
      </c>
      <c r="I6878" s="207">
        <v>3640.07</v>
      </c>
      <c r="J6878" s="207">
        <v>651.33000000000004</v>
      </c>
      <c r="K6878" s="207">
        <v>57.25</v>
      </c>
      <c r="L6878" s="43">
        <f>IF(462.89=0, "-", 4421.45/462.89)</f>
        <v>9.5518373695694443</v>
      </c>
      <c r="M6878" s="43">
        <f>IF(316.53=0, "-", 3640.07/316.53)</f>
        <v>11.499921018544848</v>
      </c>
      <c r="N6878" s="43">
        <f>IF(120.16=0, "-", 651.33/120.16)</f>
        <v>5.4205226364846872</v>
      </c>
      <c r="O6878" s="43">
        <f>IF(26.2=0, "-", 130.05/26.2)</f>
        <v>4.963740458015268</v>
      </c>
      <c r="P6878" s="208"/>
      <c r="Q6878" s="208"/>
      <c r="R6878" s="208">
        <v>3</v>
      </c>
    </row>
    <row r="6879" spans="1:18" ht="12.75" customHeight="1">
      <c r="A6879" s="628" t="s">
        <v>12631</v>
      </c>
      <c r="B6879" s="629"/>
      <c r="C6879" s="629"/>
      <c r="D6879" s="629"/>
      <c r="E6879" s="629"/>
      <c r="F6879" s="629"/>
      <c r="G6879" s="629"/>
      <c r="H6879" s="629"/>
      <c r="I6879" s="629"/>
      <c r="J6879" s="629"/>
      <c r="K6879" s="629"/>
      <c r="L6879" s="629"/>
      <c r="M6879" s="629"/>
      <c r="N6879" s="629"/>
      <c r="O6879" s="629"/>
      <c r="P6879" s="629"/>
      <c r="Q6879" s="629"/>
      <c r="R6879" s="629"/>
    </row>
    <row r="6880" spans="1:18" ht="24">
      <c r="A6880" s="204">
        <v>86</v>
      </c>
      <c r="B6880" s="201" t="s">
        <v>12632</v>
      </c>
      <c r="C6880" s="205" t="s">
        <v>12633</v>
      </c>
      <c r="D6880" s="206">
        <v>259.36</v>
      </c>
      <c r="E6880" s="206">
        <v>112.11</v>
      </c>
      <c r="F6880" s="206">
        <v>115.51</v>
      </c>
      <c r="G6880" s="206">
        <v>31.74</v>
      </c>
      <c r="H6880" s="207">
        <v>1998.39</v>
      </c>
      <c r="I6880" s="207">
        <v>1289.27</v>
      </c>
      <c r="J6880" s="207">
        <v>626.32000000000005</v>
      </c>
      <c r="K6880" s="207">
        <v>82.8</v>
      </c>
      <c r="L6880" s="43">
        <f>IF(259.36=0, "-", 2024.15/259.36)</f>
        <v>7.8044031462060452</v>
      </c>
      <c r="M6880" s="43">
        <f>IF(112.11=0, "-", 1289.27/112.11)</f>
        <v>11.500044599054499</v>
      </c>
      <c r="N6880" s="43">
        <f>IF(115.51=0, "-", 626.32/115.51)</f>
        <v>5.42221452688079</v>
      </c>
      <c r="O6880" s="43">
        <f>IF(31.74=0, "-", 108.56/31.74)</f>
        <v>3.4202898550724639</v>
      </c>
      <c r="P6880" s="208"/>
      <c r="Q6880" s="208"/>
      <c r="R6880" s="208">
        <v>4</v>
      </c>
    </row>
    <row r="6881" spans="1:18" ht="12.75" customHeight="1">
      <c r="A6881" s="628" t="s">
        <v>12634</v>
      </c>
      <c r="B6881" s="629"/>
      <c r="C6881" s="629"/>
      <c r="D6881" s="629"/>
      <c r="E6881" s="629"/>
      <c r="F6881" s="629"/>
      <c r="G6881" s="629"/>
      <c r="H6881" s="629"/>
      <c r="I6881" s="629"/>
      <c r="J6881" s="629"/>
      <c r="K6881" s="629"/>
      <c r="L6881" s="629"/>
      <c r="M6881" s="629"/>
      <c r="N6881" s="629"/>
      <c r="O6881" s="629"/>
      <c r="P6881" s="629"/>
      <c r="Q6881" s="629"/>
      <c r="R6881" s="629"/>
    </row>
    <row r="6882" spans="1:18" ht="24">
      <c r="A6882" s="204">
        <v>87</v>
      </c>
      <c r="B6882" s="201" t="s">
        <v>12635</v>
      </c>
      <c r="C6882" s="205" t="s">
        <v>12636</v>
      </c>
      <c r="D6882" s="206">
        <v>391.04</v>
      </c>
      <c r="E6882" s="206">
        <v>216.34</v>
      </c>
      <c r="F6882" s="206">
        <v>121.03</v>
      </c>
      <c r="G6882" s="206">
        <v>53.67</v>
      </c>
      <c r="H6882" s="207">
        <v>3286.16</v>
      </c>
      <c r="I6882" s="207">
        <v>2488.0300000000002</v>
      </c>
      <c r="J6882" s="207">
        <v>656.36</v>
      </c>
      <c r="K6882" s="207">
        <v>141.77000000000001</v>
      </c>
      <c r="L6882" s="43">
        <f>IF(391.04=0, "-", 3335.96/391.04)</f>
        <v>8.5309942716857599</v>
      </c>
      <c r="M6882" s="43">
        <v>11.500404203718674</v>
      </c>
      <c r="N6882" s="43">
        <f>IF(121.03=0, "-", 656.36/121.03)</f>
        <v>5.4231182351483103</v>
      </c>
      <c r="O6882" s="43">
        <f>IF(53.67=0, "-", 191.57/53.67)</f>
        <v>3.5694056269796905</v>
      </c>
      <c r="P6882" s="208"/>
      <c r="Q6882" s="208"/>
      <c r="R6882" s="208">
        <v>5</v>
      </c>
    </row>
    <row r="6883" spans="1:18" ht="24">
      <c r="A6883" s="204">
        <v>88</v>
      </c>
      <c r="B6883" s="201" t="s">
        <v>12637</v>
      </c>
      <c r="C6883" s="205" t="s">
        <v>12638</v>
      </c>
      <c r="D6883" s="206">
        <v>479.44</v>
      </c>
      <c r="E6883" s="206">
        <v>300.95</v>
      </c>
      <c r="F6883" s="206">
        <v>123.13</v>
      </c>
      <c r="G6883" s="206">
        <v>55.36</v>
      </c>
      <c r="H6883" s="207">
        <v>4270.76</v>
      </c>
      <c r="I6883" s="207">
        <v>3461.08</v>
      </c>
      <c r="J6883" s="207">
        <v>667.91</v>
      </c>
      <c r="K6883" s="207">
        <v>141.77000000000001</v>
      </c>
      <c r="L6883" s="43">
        <f>IF(479.44=0, "-", 4339.99/479.44)</f>
        <v>9.0522067411980647</v>
      </c>
      <c r="M6883" s="43">
        <v>11.500404203718674</v>
      </c>
      <c r="N6883" s="43">
        <f>IF(123.13=0, "-", 667.91/123.13)</f>
        <v>5.4244294647933078</v>
      </c>
      <c r="O6883" s="43">
        <f>IF(55.36=0, "-", 211/55.36)</f>
        <v>3.8114161849710984</v>
      </c>
      <c r="P6883" s="208"/>
      <c r="Q6883" s="208"/>
      <c r="R6883" s="208">
        <v>5</v>
      </c>
    </row>
    <row r="6884" spans="1:18" ht="24">
      <c r="A6884" s="204">
        <v>89</v>
      </c>
      <c r="B6884" s="201" t="s">
        <v>12639</v>
      </c>
      <c r="C6884" s="205" t="s">
        <v>12640</v>
      </c>
      <c r="D6884" s="206">
        <v>998.86</v>
      </c>
      <c r="E6884" s="206">
        <v>644.98</v>
      </c>
      <c r="F6884" s="206">
        <v>240.07</v>
      </c>
      <c r="G6884" s="206">
        <v>113.81</v>
      </c>
      <c r="H6884" s="207">
        <v>9005.67</v>
      </c>
      <c r="I6884" s="207">
        <v>7417.27</v>
      </c>
      <c r="J6884" s="207">
        <v>1299.1500000000001</v>
      </c>
      <c r="K6884" s="207">
        <v>289.25</v>
      </c>
      <c r="L6884" s="43">
        <f>IF(998.86=0, "-", 9154.02/998.86)</f>
        <v>9.1644674929419541</v>
      </c>
      <c r="M6884" s="43">
        <v>11.500404203718674</v>
      </c>
      <c r="N6884" s="43">
        <f>IF(240.07=0, "-", 1299.15/240.07)</f>
        <v>5.4115466322322661</v>
      </c>
      <c r="O6884" s="43">
        <f>IF(113.81=0, "-", 437.6/113.81)</f>
        <v>3.8450048326157633</v>
      </c>
      <c r="P6884" s="208"/>
      <c r="Q6884" s="208"/>
      <c r="R6884" s="208">
        <v>5</v>
      </c>
    </row>
    <row r="6885" spans="1:18" ht="12.75" customHeight="1">
      <c r="A6885" s="628" t="s">
        <v>12641</v>
      </c>
      <c r="B6885" s="629"/>
      <c r="C6885" s="629"/>
      <c r="D6885" s="629"/>
      <c r="E6885" s="629"/>
      <c r="F6885" s="629"/>
      <c r="G6885" s="629"/>
      <c r="H6885" s="629"/>
      <c r="I6885" s="629"/>
      <c r="J6885" s="629"/>
      <c r="K6885" s="629"/>
      <c r="L6885" s="629"/>
      <c r="M6885" s="629"/>
      <c r="N6885" s="629"/>
      <c r="O6885" s="629"/>
      <c r="P6885" s="629"/>
      <c r="Q6885" s="629"/>
      <c r="R6885" s="629"/>
    </row>
    <row r="6886" spans="1:18" ht="24">
      <c r="A6886" s="204">
        <v>90</v>
      </c>
      <c r="B6886" s="201" t="s">
        <v>12642</v>
      </c>
      <c r="C6886" s="205" t="s">
        <v>12643</v>
      </c>
      <c r="D6886" s="206">
        <v>2117.23</v>
      </c>
      <c r="E6886" s="206">
        <v>1188.81</v>
      </c>
      <c r="F6886" s="206">
        <v>742.27</v>
      </c>
      <c r="G6886" s="206">
        <v>186.15</v>
      </c>
      <c r="H6886" s="207">
        <v>18298.84</v>
      </c>
      <c r="I6886" s="207">
        <v>13671.87</v>
      </c>
      <c r="J6886" s="207">
        <v>4021.95</v>
      </c>
      <c r="K6886" s="207">
        <v>605.02</v>
      </c>
      <c r="L6886" s="43">
        <f>IF(2117.23=0, "-", 18572.31/2117.23)</f>
        <v>8.7719850937309598</v>
      </c>
      <c r="M6886" s="43">
        <f>IF(1188.81=0, "-", 13671.87/1188.81)</f>
        <v>11.500466853408032</v>
      </c>
      <c r="N6886" s="43">
        <f>IF(742.27=0, "-", 4021.95/742.27)</f>
        <v>5.4184461179894106</v>
      </c>
      <c r="O6886" s="43">
        <f>IF(186.15=0, "-", 878.49/186.15)</f>
        <v>4.7192586623690573</v>
      </c>
      <c r="P6886" s="208"/>
      <c r="Q6886" s="208"/>
      <c r="R6886" s="208">
        <v>6</v>
      </c>
    </row>
    <row r="6887" spans="1:18" ht="24">
      <c r="A6887" s="204">
        <v>91</v>
      </c>
      <c r="B6887" s="201" t="s">
        <v>12644</v>
      </c>
      <c r="C6887" s="205" t="s">
        <v>12645</v>
      </c>
      <c r="D6887" s="206">
        <v>2979.27</v>
      </c>
      <c r="E6887" s="206">
        <v>1595.79</v>
      </c>
      <c r="F6887" s="206">
        <v>1189.19</v>
      </c>
      <c r="G6887" s="206">
        <v>194.29</v>
      </c>
      <c r="H6887" s="207">
        <v>25371.59</v>
      </c>
      <c r="I6887" s="207">
        <v>18352.330000000002</v>
      </c>
      <c r="J6887" s="207">
        <v>6414.24</v>
      </c>
      <c r="K6887" s="207">
        <v>605.02</v>
      </c>
      <c r="L6887" s="43">
        <f>IF(2979.27=0, "-", 25738.67/2979.27)</f>
        <v>8.6392539111930091</v>
      </c>
      <c r="M6887" s="43">
        <f>IF(1595.79=0, "-", 18352.33/1595.79)</f>
        <v>11.500466853408032</v>
      </c>
      <c r="N6887" s="43">
        <f>IF(1189.19=0, "-", 6414.24/1189.19)</f>
        <v>5.3937890496892837</v>
      </c>
      <c r="O6887" s="43">
        <f>IF(194.29=0, "-", 972.1/194.29)</f>
        <v>5.0033455144371821</v>
      </c>
      <c r="P6887" s="208"/>
      <c r="Q6887" s="208"/>
      <c r="R6887" s="208">
        <v>6</v>
      </c>
    </row>
    <row r="6888" spans="1:18" ht="24">
      <c r="A6888" s="204">
        <v>92</v>
      </c>
      <c r="B6888" s="201" t="s">
        <v>12646</v>
      </c>
      <c r="C6888" s="205" t="s">
        <v>12647</v>
      </c>
      <c r="D6888" s="206">
        <v>3599.66</v>
      </c>
      <c r="E6888" s="206">
        <v>1959.93</v>
      </c>
      <c r="F6888" s="206">
        <v>1438.16</v>
      </c>
      <c r="G6888" s="206">
        <v>201.57</v>
      </c>
      <c r="H6888" s="207">
        <v>30900.47</v>
      </c>
      <c r="I6888" s="207">
        <v>22540.11</v>
      </c>
      <c r="J6888" s="207">
        <v>7755.34</v>
      </c>
      <c r="K6888" s="207">
        <v>605.02</v>
      </c>
      <c r="L6888" s="43">
        <f>IF(3599.66=0, "-", 31351.27/3599.66)</f>
        <v>8.709508675819384</v>
      </c>
      <c r="M6888" s="43">
        <f>IF(1959.93=0, "-", 22540.11/1959.93)</f>
        <v>11.50046685340803</v>
      </c>
      <c r="N6888" s="43">
        <f>IF(1438.16=0, "-", 7755.34/1438.16)</f>
        <v>5.39254324970796</v>
      </c>
      <c r="O6888" s="43">
        <f>IF(201.57=0, "-", 1055.82/201.57)</f>
        <v>5.2379818425360911</v>
      </c>
      <c r="P6888" s="208"/>
      <c r="Q6888" s="208"/>
      <c r="R6888" s="208">
        <v>6</v>
      </c>
    </row>
    <row r="6889" spans="1:18" ht="12.75" customHeight="1">
      <c r="A6889" s="628" t="s">
        <v>3518</v>
      </c>
      <c r="B6889" s="629"/>
      <c r="C6889" s="629"/>
      <c r="D6889" s="629"/>
      <c r="E6889" s="629"/>
      <c r="F6889" s="629"/>
      <c r="G6889" s="629"/>
      <c r="H6889" s="629"/>
      <c r="I6889" s="629"/>
      <c r="J6889" s="629"/>
      <c r="K6889" s="629"/>
      <c r="L6889" s="629"/>
      <c r="M6889" s="629"/>
      <c r="N6889" s="629"/>
      <c r="O6889" s="629"/>
      <c r="P6889" s="629"/>
      <c r="Q6889" s="629"/>
      <c r="R6889" s="629"/>
    </row>
    <row r="6890" spans="1:18" ht="24">
      <c r="A6890" s="204">
        <v>93</v>
      </c>
      <c r="B6890" s="201" t="s">
        <v>12648</v>
      </c>
      <c r="C6890" s="205" t="s">
        <v>12649</v>
      </c>
      <c r="D6890" s="206">
        <v>2786.54</v>
      </c>
      <c r="E6890" s="206">
        <v>1929.72</v>
      </c>
      <c r="F6890" s="206">
        <v>818.23</v>
      </c>
      <c r="G6890" s="206">
        <v>38.590000000000003</v>
      </c>
      <c r="H6890" s="207">
        <v>26622.55</v>
      </c>
      <c r="I6890" s="207">
        <v>22192.560000000001</v>
      </c>
      <c r="J6890" s="207">
        <v>4429.99</v>
      </c>
      <c r="K6890" s="207"/>
      <c r="L6890" s="43">
        <f>IF(2786.54=0, "-", 27066.34/2786.54)</f>
        <v>9.7132429464497196</v>
      </c>
      <c r="M6890" s="43">
        <f>IF(1929.72=0, "-", 22192.56/1929.72)</f>
        <v>11.500404203718675</v>
      </c>
      <c r="N6890" s="43">
        <f>IF(818.23=0, "-", 4429.99/818.23)</f>
        <v>5.4141133911003019</v>
      </c>
      <c r="O6890" s="43">
        <f>IF(38.59=0, "-", 443.79/38.59)</f>
        <v>11.5001295672454</v>
      </c>
      <c r="P6890" s="208"/>
      <c r="Q6890" s="208"/>
      <c r="R6890" s="208">
        <v>7</v>
      </c>
    </row>
    <row r="6891" spans="1:18" ht="24">
      <c r="A6891" s="204">
        <v>94</v>
      </c>
      <c r="B6891" s="201" t="s">
        <v>12650</v>
      </c>
      <c r="C6891" s="205" t="s">
        <v>12651</v>
      </c>
      <c r="D6891" s="206">
        <v>5084.3100000000004</v>
      </c>
      <c r="E6891" s="206">
        <v>4172.16</v>
      </c>
      <c r="F6891" s="206">
        <v>828.71</v>
      </c>
      <c r="G6891" s="206">
        <v>83.44</v>
      </c>
      <c r="H6891" s="207">
        <v>52465.01</v>
      </c>
      <c r="I6891" s="207">
        <v>47979.839999999997</v>
      </c>
      <c r="J6891" s="207">
        <v>4485.17</v>
      </c>
      <c r="K6891" s="207"/>
      <c r="L6891" s="43">
        <f>IF(5084.31=0, "-", 53424.57/5084.31)</f>
        <v>10.507732612684906</v>
      </c>
      <c r="M6891" s="43">
        <f>IF(4172.16=0, "-", 47979.84/4172.16)</f>
        <v>11.5</v>
      </c>
      <c r="N6891" s="43">
        <f>IF(828.71=0, "-", 4485.17/828.71)</f>
        <v>5.4122310579092803</v>
      </c>
      <c r="O6891" s="43">
        <f>IF(83.44=0, "-", 959.56/83.44)</f>
        <v>11.5</v>
      </c>
      <c r="P6891" s="208"/>
      <c r="Q6891" s="208"/>
      <c r="R6891" s="208">
        <v>7</v>
      </c>
    </row>
    <row r="6892" spans="1:18" ht="36">
      <c r="A6892" s="204">
        <v>95</v>
      </c>
      <c r="B6892" s="201" t="s">
        <v>12652</v>
      </c>
      <c r="C6892" s="205" t="s">
        <v>12653</v>
      </c>
      <c r="D6892" s="206">
        <v>2389.86</v>
      </c>
      <c r="E6892" s="206">
        <v>1415.2</v>
      </c>
      <c r="F6892" s="206">
        <v>936.13</v>
      </c>
      <c r="G6892" s="206">
        <v>38.53</v>
      </c>
      <c r="H6892" s="207">
        <v>21372.92</v>
      </c>
      <c r="I6892" s="207">
        <v>16274.8</v>
      </c>
      <c r="J6892" s="207">
        <v>5068.24</v>
      </c>
      <c r="K6892" s="207">
        <v>29.88</v>
      </c>
      <c r="L6892" s="43">
        <f>IF(2389.86=0, "-", 21698.37/2389.86)</f>
        <v>9.0793477442193264</v>
      </c>
      <c r="M6892" s="43">
        <f>IF(1415.2=0, "-", 16274.8/1415.2)</f>
        <v>11.5</v>
      </c>
      <c r="N6892" s="43">
        <f>IF(936.13=0, "-", 5068.24/936.13)</f>
        <v>5.4140343755674953</v>
      </c>
      <c r="O6892" s="43">
        <f>IF(38.53=0, "-", 355.33/38.53)</f>
        <v>9.22216454710615</v>
      </c>
      <c r="P6892" s="208"/>
      <c r="Q6892" s="208"/>
      <c r="R6892" s="208">
        <v>7</v>
      </c>
    </row>
    <row r="6893" spans="1:18" ht="12.75" customHeight="1">
      <c r="A6893" s="628" t="s">
        <v>12654</v>
      </c>
      <c r="B6893" s="629"/>
      <c r="C6893" s="629"/>
      <c r="D6893" s="629"/>
      <c r="E6893" s="629"/>
      <c r="F6893" s="629"/>
      <c r="G6893" s="629"/>
      <c r="H6893" s="629"/>
      <c r="I6893" s="629"/>
      <c r="J6893" s="629"/>
      <c r="K6893" s="629"/>
      <c r="L6893" s="629"/>
      <c r="M6893" s="629"/>
      <c r="N6893" s="629"/>
      <c r="O6893" s="629"/>
      <c r="P6893" s="629"/>
      <c r="Q6893" s="629"/>
      <c r="R6893" s="629"/>
    </row>
    <row r="6894" spans="1:18" ht="24">
      <c r="A6894" s="204">
        <v>96</v>
      </c>
      <c r="B6894" s="201" t="s">
        <v>12655</v>
      </c>
      <c r="C6894" s="205" t="s">
        <v>12656</v>
      </c>
      <c r="D6894" s="206">
        <v>11.89</v>
      </c>
      <c r="E6894" s="206">
        <v>10.63</v>
      </c>
      <c r="F6894" s="206">
        <v>1.05</v>
      </c>
      <c r="G6894" s="206">
        <v>0.21</v>
      </c>
      <c r="H6894" s="207">
        <v>128.02000000000001</v>
      </c>
      <c r="I6894" s="207">
        <v>122.24</v>
      </c>
      <c r="J6894" s="207">
        <v>5.78</v>
      </c>
      <c r="K6894" s="207"/>
      <c r="L6894" s="43">
        <f>IF(11.89=0, "-", 130.44/11.89)</f>
        <v>10.970563498738436</v>
      </c>
      <c r="M6894" s="43">
        <v>11.500404203718674</v>
      </c>
      <c r="N6894" s="43">
        <f>IF(1.05=0, "-", 5.78/1.05)</f>
        <v>5.5047619047619047</v>
      </c>
      <c r="O6894" s="43">
        <v>11.500404203718674</v>
      </c>
      <c r="P6894" s="208"/>
      <c r="Q6894" s="208"/>
      <c r="R6894" s="208">
        <v>8</v>
      </c>
    </row>
    <row r="6895" spans="1:18" ht="24">
      <c r="A6895" s="204">
        <v>97</v>
      </c>
      <c r="B6895" s="201" t="s">
        <v>12657</v>
      </c>
      <c r="C6895" s="205" t="s">
        <v>12658</v>
      </c>
      <c r="D6895" s="206">
        <v>22.74</v>
      </c>
      <c r="E6895" s="206">
        <v>21.26</v>
      </c>
      <c r="F6895" s="206">
        <v>1.05</v>
      </c>
      <c r="G6895" s="206">
        <v>0.43</v>
      </c>
      <c r="H6895" s="207">
        <v>250.26</v>
      </c>
      <c r="I6895" s="207">
        <v>244.48</v>
      </c>
      <c r="J6895" s="207">
        <v>5.78</v>
      </c>
      <c r="K6895" s="207"/>
      <c r="L6895" s="43">
        <f>IF(22.74=0, "-", 255.21/22.74)</f>
        <v>11.222955145118735</v>
      </c>
      <c r="M6895" s="43">
        <v>11.500404203718674</v>
      </c>
      <c r="N6895" s="43">
        <f>IF(1.05=0, "-", 5.78/1.05)</f>
        <v>5.5047619047619047</v>
      </c>
      <c r="O6895" s="43">
        <v>11.500404203718674</v>
      </c>
      <c r="P6895" s="208"/>
      <c r="Q6895" s="208"/>
      <c r="R6895" s="208">
        <v>8</v>
      </c>
    </row>
    <row r="6896" spans="1:18" ht="24">
      <c r="A6896" s="204">
        <v>98</v>
      </c>
      <c r="B6896" s="201" t="s">
        <v>12659</v>
      </c>
      <c r="C6896" s="205" t="s">
        <v>12660</v>
      </c>
      <c r="D6896" s="206">
        <v>34.630000000000003</v>
      </c>
      <c r="E6896" s="206">
        <v>31.89</v>
      </c>
      <c r="F6896" s="206">
        <v>2.1</v>
      </c>
      <c r="G6896" s="206">
        <v>0.64</v>
      </c>
      <c r="H6896" s="207">
        <v>378.27</v>
      </c>
      <c r="I6896" s="207">
        <v>366.72</v>
      </c>
      <c r="J6896" s="207">
        <v>11.55</v>
      </c>
      <c r="K6896" s="207"/>
      <c r="L6896" s="43">
        <f>IF(34.63=0, "-", 385.63/34.63)</f>
        <v>11.135720473577821</v>
      </c>
      <c r="M6896" s="43">
        <v>11.500404203718674</v>
      </c>
      <c r="N6896" s="43">
        <f>IF(2.1=0, "-", 11.55/2.1)</f>
        <v>5.5</v>
      </c>
      <c r="O6896" s="43">
        <v>11.500404203718674</v>
      </c>
      <c r="P6896" s="208"/>
      <c r="Q6896" s="208"/>
      <c r="R6896" s="208">
        <v>8</v>
      </c>
    </row>
    <row r="6897" spans="1:18" ht="24">
      <c r="A6897" s="204">
        <v>99</v>
      </c>
      <c r="B6897" s="201" t="s">
        <v>12661</v>
      </c>
      <c r="C6897" s="205" t="s">
        <v>12662</v>
      </c>
      <c r="D6897" s="206">
        <v>35.68</v>
      </c>
      <c r="E6897" s="206">
        <v>31.89</v>
      </c>
      <c r="F6897" s="206">
        <v>3.15</v>
      </c>
      <c r="G6897" s="206">
        <v>0.64</v>
      </c>
      <c r="H6897" s="207">
        <v>384.05</v>
      </c>
      <c r="I6897" s="207">
        <v>366.72</v>
      </c>
      <c r="J6897" s="207">
        <v>17.329999999999998</v>
      </c>
      <c r="K6897" s="207"/>
      <c r="L6897" s="43">
        <f>IF(35.68=0, "-", 391.41/35.68)</f>
        <v>10.970011210762333</v>
      </c>
      <c r="M6897" s="43">
        <v>11.500404203718674</v>
      </c>
      <c r="N6897" s="43">
        <f>IF(3.15=0, "-", 17.33/3.15)</f>
        <v>5.5015873015873016</v>
      </c>
      <c r="O6897" s="43">
        <v>11.500404203718674</v>
      </c>
      <c r="P6897" s="208"/>
      <c r="Q6897" s="208"/>
      <c r="R6897" s="208">
        <v>8</v>
      </c>
    </row>
    <row r="6898" spans="1:18" ht="24">
      <c r="A6898" s="204">
        <v>100</v>
      </c>
      <c r="B6898" s="201" t="s">
        <v>12663</v>
      </c>
      <c r="C6898" s="205" t="s">
        <v>12664</v>
      </c>
      <c r="D6898" s="206">
        <v>162.78</v>
      </c>
      <c r="E6898" s="206">
        <v>46.34</v>
      </c>
      <c r="F6898" s="206">
        <v>115.51</v>
      </c>
      <c r="G6898" s="206">
        <v>0.93</v>
      </c>
      <c r="H6898" s="207">
        <v>1159.19</v>
      </c>
      <c r="I6898" s="207">
        <v>532.87</v>
      </c>
      <c r="J6898" s="207">
        <v>626.32000000000005</v>
      </c>
      <c r="K6898" s="207"/>
      <c r="L6898" s="43">
        <f>IF(162.78=0, "-", 1169.89/162.78)</f>
        <v>7.18693942744809</v>
      </c>
      <c r="M6898" s="43">
        <v>11.500404203718674</v>
      </c>
      <c r="N6898" s="43">
        <f>IF(115.51=0, "-", 626.32/115.51)</f>
        <v>5.42221452688079</v>
      </c>
      <c r="O6898" s="43">
        <v>11.500404203718674</v>
      </c>
      <c r="P6898" s="208"/>
      <c r="Q6898" s="208"/>
      <c r="R6898" s="208">
        <v>8</v>
      </c>
    </row>
    <row r="6899" spans="1:18" ht="24">
      <c r="A6899" s="204">
        <v>101</v>
      </c>
      <c r="B6899" s="201" t="s">
        <v>12665</v>
      </c>
      <c r="C6899" s="205" t="s">
        <v>12666</v>
      </c>
      <c r="D6899" s="206">
        <v>162.78</v>
      </c>
      <c r="E6899" s="206">
        <v>46.34</v>
      </c>
      <c r="F6899" s="206">
        <v>115.51</v>
      </c>
      <c r="G6899" s="206">
        <v>0.93</v>
      </c>
      <c r="H6899" s="207">
        <v>1159.19</v>
      </c>
      <c r="I6899" s="207">
        <v>532.87</v>
      </c>
      <c r="J6899" s="207">
        <v>626.32000000000005</v>
      </c>
      <c r="K6899" s="207"/>
      <c r="L6899" s="43">
        <f>IF(162.78=0, "-", 1169.89/162.78)</f>
        <v>7.18693942744809</v>
      </c>
      <c r="M6899" s="43">
        <v>11.500404203718674</v>
      </c>
      <c r="N6899" s="43">
        <f>IF(115.51=0, "-", 626.32/115.51)</f>
        <v>5.42221452688079</v>
      </c>
      <c r="O6899" s="43">
        <v>11.500404203718674</v>
      </c>
      <c r="P6899" s="208"/>
      <c r="Q6899" s="208"/>
      <c r="R6899" s="208">
        <v>8</v>
      </c>
    </row>
    <row r="6900" spans="1:18" ht="24">
      <c r="A6900" s="204">
        <v>102</v>
      </c>
      <c r="B6900" s="201" t="s">
        <v>12667</v>
      </c>
      <c r="C6900" s="205" t="s">
        <v>12668</v>
      </c>
      <c r="D6900" s="206">
        <v>186.46</v>
      </c>
      <c r="E6900" s="206">
        <v>69.56</v>
      </c>
      <c r="F6900" s="206">
        <v>115.51</v>
      </c>
      <c r="G6900" s="206">
        <v>1.39</v>
      </c>
      <c r="H6900" s="207">
        <v>1426.22</v>
      </c>
      <c r="I6900" s="207">
        <v>799.9</v>
      </c>
      <c r="J6900" s="207">
        <v>626.32000000000005</v>
      </c>
      <c r="K6900" s="207"/>
      <c r="L6900" s="43">
        <f>IF(186.46=0, "-", 1442.21/186.46)</f>
        <v>7.7346884050198437</v>
      </c>
      <c r="M6900" s="43">
        <v>11.500404203718674</v>
      </c>
      <c r="N6900" s="43">
        <f>IF(115.51=0, "-", 626.32/115.51)</f>
        <v>5.42221452688079</v>
      </c>
      <c r="O6900" s="43">
        <v>11.500404203718674</v>
      </c>
      <c r="P6900" s="208"/>
      <c r="Q6900" s="208"/>
      <c r="R6900" s="208">
        <v>8</v>
      </c>
    </row>
    <row r="6901" spans="1:18" ht="12.75" customHeight="1">
      <c r="A6901" s="628" t="s">
        <v>12669</v>
      </c>
      <c r="B6901" s="629"/>
      <c r="C6901" s="629"/>
      <c r="D6901" s="629"/>
      <c r="E6901" s="629"/>
      <c r="F6901" s="629"/>
      <c r="G6901" s="629"/>
      <c r="H6901" s="629"/>
      <c r="I6901" s="629"/>
      <c r="J6901" s="629"/>
      <c r="K6901" s="629"/>
      <c r="L6901" s="629"/>
      <c r="M6901" s="629"/>
      <c r="N6901" s="629"/>
      <c r="O6901" s="629"/>
      <c r="P6901" s="629"/>
      <c r="Q6901" s="629"/>
      <c r="R6901" s="629"/>
    </row>
    <row r="6902" spans="1:18" ht="12.75" customHeight="1">
      <c r="A6902" s="628" t="s">
        <v>12670</v>
      </c>
      <c r="B6902" s="629"/>
      <c r="C6902" s="629"/>
      <c r="D6902" s="629"/>
      <c r="E6902" s="629"/>
      <c r="F6902" s="629"/>
      <c r="G6902" s="629"/>
      <c r="H6902" s="629"/>
      <c r="I6902" s="629"/>
      <c r="J6902" s="629"/>
      <c r="K6902" s="629"/>
      <c r="L6902" s="629"/>
      <c r="M6902" s="629"/>
      <c r="N6902" s="629"/>
      <c r="O6902" s="629"/>
      <c r="P6902" s="629"/>
      <c r="Q6902" s="629"/>
      <c r="R6902" s="629"/>
    </row>
    <row r="6903" spans="1:18" ht="48">
      <c r="A6903" s="204">
        <v>103</v>
      </c>
      <c r="B6903" s="201" t="s">
        <v>12671</v>
      </c>
      <c r="C6903" s="205" t="s">
        <v>12672</v>
      </c>
      <c r="D6903" s="206">
        <v>30.21</v>
      </c>
      <c r="E6903" s="206">
        <v>23.15</v>
      </c>
      <c r="F6903" s="206"/>
      <c r="G6903" s="206">
        <v>7.06</v>
      </c>
      <c r="H6903" s="207">
        <v>287.95</v>
      </c>
      <c r="I6903" s="207">
        <v>266.27999999999997</v>
      </c>
      <c r="J6903" s="207"/>
      <c r="K6903" s="207">
        <v>21.67</v>
      </c>
      <c r="L6903" s="43">
        <f>IF(30.21=0, "-", 293.24/30.21)</f>
        <v>9.7067196292618334</v>
      </c>
      <c r="M6903" s="43">
        <v>11.500404203718674</v>
      </c>
      <c r="N6903" s="43" t="str">
        <f t="shared" ref="N6903:N6909" si="0">IF(0=0, "-", 0/0)</f>
        <v>-</v>
      </c>
      <c r="O6903" s="43">
        <f>IF(7.06=0, "-", 26.96/7.06)</f>
        <v>3.8186968838526916</v>
      </c>
      <c r="P6903" s="208"/>
      <c r="Q6903" s="208"/>
      <c r="R6903" s="208">
        <v>1</v>
      </c>
    </row>
    <row r="6904" spans="1:18" ht="48">
      <c r="A6904" s="204">
        <v>104</v>
      </c>
      <c r="B6904" s="201" t="s">
        <v>12673</v>
      </c>
      <c r="C6904" s="205" t="s">
        <v>12674</v>
      </c>
      <c r="D6904" s="206">
        <v>43.06</v>
      </c>
      <c r="E6904" s="206">
        <v>34.729999999999997</v>
      </c>
      <c r="F6904" s="206"/>
      <c r="G6904" s="206">
        <v>8.33</v>
      </c>
      <c r="H6904" s="207">
        <v>425.23</v>
      </c>
      <c r="I6904" s="207">
        <v>399.41</v>
      </c>
      <c r="J6904" s="207"/>
      <c r="K6904" s="207">
        <v>25.82</v>
      </c>
      <c r="L6904" s="43">
        <f>IF(43.06=0, "-", 433.17/43.06)</f>
        <v>10.059684161634928</v>
      </c>
      <c r="M6904" s="43">
        <v>11.500404203718674</v>
      </c>
      <c r="N6904" s="43" t="str">
        <f t="shared" si="0"/>
        <v>-</v>
      </c>
      <c r="O6904" s="43">
        <f>IF(8.33=0, "-", 33.76/8.33)</f>
        <v>4.05282112845138</v>
      </c>
      <c r="P6904" s="208"/>
      <c r="Q6904" s="208"/>
      <c r="R6904" s="208">
        <v>1</v>
      </c>
    </row>
    <row r="6905" spans="1:18" ht="48">
      <c r="A6905" s="204">
        <v>105</v>
      </c>
      <c r="B6905" s="201" t="s">
        <v>12675</v>
      </c>
      <c r="C6905" s="205" t="s">
        <v>12676</v>
      </c>
      <c r="D6905" s="206">
        <v>57.11</v>
      </c>
      <c r="E6905" s="206">
        <v>47.34</v>
      </c>
      <c r="F6905" s="206"/>
      <c r="G6905" s="206">
        <v>9.77</v>
      </c>
      <c r="H6905" s="207">
        <v>574.32000000000005</v>
      </c>
      <c r="I6905" s="207">
        <v>544.41999999999996</v>
      </c>
      <c r="J6905" s="207"/>
      <c r="K6905" s="207">
        <v>29.9</v>
      </c>
      <c r="L6905" s="43">
        <f>IF(57.11=0, "-", 585.25/57.11)</f>
        <v>10.247767466293119</v>
      </c>
      <c r="M6905" s="43">
        <v>11.500404203718674</v>
      </c>
      <c r="N6905" s="43" t="str">
        <f t="shared" si="0"/>
        <v>-</v>
      </c>
      <c r="O6905" s="43">
        <f>IF(9.77=0, "-", 40.83/9.77)</f>
        <v>4.1791197543500509</v>
      </c>
      <c r="P6905" s="208"/>
      <c r="Q6905" s="208"/>
      <c r="R6905" s="208">
        <v>1</v>
      </c>
    </row>
    <row r="6906" spans="1:18" ht="48">
      <c r="A6906" s="204">
        <v>106</v>
      </c>
      <c r="B6906" s="201" t="s">
        <v>12677</v>
      </c>
      <c r="C6906" s="205" t="s">
        <v>12678</v>
      </c>
      <c r="D6906" s="206">
        <v>71.34</v>
      </c>
      <c r="E6906" s="206">
        <v>61.03</v>
      </c>
      <c r="F6906" s="206"/>
      <c r="G6906" s="206">
        <v>10.31</v>
      </c>
      <c r="H6906" s="207">
        <v>732.91</v>
      </c>
      <c r="I6906" s="207">
        <v>701.84</v>
      </c>
      <c r="J6906" s="207"/>
      <c r="K6906" s="207">
        <v>31.07</v>
      </c>
      <c r="L6906" s="43">
        <f>IF(71.34=0, "-", 746.94/71.34)</f>
        <v>10.470142977291841</v>
      </c>
      <c r="M6906" s="43">
        <v>11.500404203718674</v>
      </c>
      <c r="N6906" s="43" t="str">
        <f t="shared" si="0"/>
        <v>-</v>
      </c>
      <c r="O6906" s="43">
        <f>IF(10.31=0, "-", 45.1/10.31)</f>
        <v>4.3743937924345291</v>
      </c>
      <c r="P6906" s="208"/>
      <c r="Q6906" s="208"/>
      <c r="R6906" s="208">
        <v>1</v>
      </c>
    </row>
    <row r="6907" spans="1:18" ht="48">
      <c r="A6907" s="204">
        <v>107</v>
      </c>
      <c r="B6907" s="201" t="s">
        <v>12679</v>
      </c>
      <c r="C6907" s="205" t="s">
        <v>12680</v>
      </c>
      <c r="D6907" s="206">
        <v>87.68</v>
      </c>
      <c r="E6907" s="206">
        <v>76.45</v>
      </c>
      <c r="F6907" s="206"/>
      <c r="G6907" s="206">
        <v>11.23</v>
      </c>
      <c r="H6907" s="207">
        <v>912.41</v>
      </c>
      <c r="I6907" s="207">
        <v>879.17</v>
      </c>
      <c r="J6907" s="207"/>
      <c r="K6907" s="207">
        <v>33.24</v>
      </c>
      <c r="L6907" s="43">
        <f>IF(87.68=0, "-", 930.01/87.68)</f>
        <v>10.606865875912408</v>
      </c>
      <c r="M6907" s="43">
        <v>11.500404203718674</v>
      </c>
      <c r="N6907" s="43" t="str">
        <f t="shared" si="0"/>
        <v>-</v>
      </c>
      <c r="O6907" s="43">
        <f>IF(11.23=0, "-", 50.84/11.23)</f>
        <v>4.5271593944790745</v>
      </c>
      <c r="P6907" s="208"/>
      <c r="Q6907" s="208"/>
      <c r="R6907" s="208">
        <v>1</v>
      </c>
    </row>
    <row r="6908" spans="1:18" ht="48">
      <c r="A6908" s="204">
        <v>108</v>
      </c>
      <c r="B6908" s="201" t="s">
        <v>12681</v>
      </c>
      <c r="C6908" s="205" t="s">
        <v>12682</v>
      </c>
      <c r="D6908" s="206">
        <v>128.30000000000001</v>
      </c>
      <c r="E6908" s="206">
        <v>114.67</v>
      </c>
      <c r="F6908" s="206"/>
      <c r="G6908" s="206">
        <v>13.63</v>
      </c>
      <c r="H6908" s="207">
        <v>1357.74</v>
      </c>
      <c r="I6908" s="207">
        <v>1318.75</v>
      </c>
      <c r="J6908" s="207"/>
      <c r="K6908" s="207">
        <v>38.99</v>
      </c>
      <c r="L6908" s="43">
        <f>IF(128.3=0, "-", 1384.08/128.3)</f>
        <v>10.787840997661728</v>
      </c>
      <c r="M6908" s="43">
        <v>11.500404203718674</v>
      </c>
      <c r="N6908" s="43" t="str">
        <f t="shared" si="0"/>
        <v>-</v>
      </c>
      <c r="O6908" s="43">
        <f>IF(13.63=0, "-", 65.33/13.63)</f>
        <v>4.7931034482758621</v>
      </c>
      <c r="P6908" s="208"/>
      <c r="Q6908" s="208"/>
      <c r="R6908" s="208">
        <v>1</v>
      </c>
    </row>
    <row r="6909" spans="1:18" ht="48">
      <c r="A6909" s="204">
        <v>109</v>
      </c>
      <c r="B6909" s="201" t="s">
        <v>12683</v>
      </c>
      <c r="C6909" s="205" t="s">
        <v>12684</v>
      </c>
      <c r="D6909" s="206">
        <v>163.13999999999999</v>
      </c>
      <c r="E6909" s="206">
        <v>139.78</v>
      </c>
      <c r="F6909" s="206"/>
      <c r="G6909" s="206">
        <v>23.36</v>
      </c>
      <c r="H6909" s="207">
        <v>1672.64</v>
      </c>
      <c r="I6909" s="207">
        <v>1607.54</v>
      </c>
      <c r="J6909" s="207"/>
      <c r="K6909" s="207">
        <v>65.099999999999994</v>
      </c>
      <c r="L6909" s="43">
        <f>IF(163.14=0, "-", 1704.84/163.14)</f>
        <v>10.450165502022802</v>
      </c>
      <c r="M6909" s="43">
        <v>11.500404203718674</v>
      </c>
      <c r="N6909" s="43" t="str">
        <f t="shared" si="0"/>
        <v>-</v>
      </c>
      <c r="O6909" s="43">
        <f>IF(23.36=0, "-", 97.3/23.36)</f>
        <v>4.165239726027397</v>
      </c>
      <c r="P6909" s="208"/>
      <c r="Q6909" s="208"/>
      <c r="R6909" s="208">
        <v>1</v>
      </c>
    </row>
    <row r="6910" spans="1:18" ht="25.5" customHeight="1">
      <c r="A6910" s="628" t="s">
        <v>12685</v>
      </c>
      <c r="B6910" s="629"/>
      <c r="C6910" s="629"/>
      <c r="D6910" s="629"/>
      <c r="E6910" s="629"/>
      <c r="F6910" s="629"/>
      <c r="G6910" s="629"/>
      <c r="H6910" s="629"/>
      <c r="I6910" s="629"/>
      <c r="J6910" s="629"/>
      <c r="K6910" s="629"/>
      <c r="L6910" s="629"/>
      <c r="M6910" s="629"/>
      <c r="N6910" s="629"/>
      <c r="O6910" s="629"/>
      <c r="P6910" s="629"/>
      <c r="Q6910" s="629"/>
      <c r="R6910" s="629"/>
    </row>
    <row r="6911" spans="1:18" ht="48">
      <c r="A6911" s="204">
        <v>110</v>
      </c>
      <c r="B6911" s="201" t="s">
        <v>12686</v>
      </c>
      <c r="C6911" s="205" t="s">
        <v>12687</v>
      </c>
      <c r="D6911" s="206">
        <v>24.75</v>
      </c>
      <c r="E6911" s="206">
        <v>23.15</v>
      </c>
      <c r="F6911" s="206"/>
      <c r="G6911" s="206">
        <v>1.6</v>
      </c>
      <c r="H6911" s="207">
        <v>270.04000000000002</v>
      </c>
      <c r="I6911" s="207">
        <v>266.27999999999997</v>
      </c>
      <c r="J6911" s="207"/>
      <c r="K6911" s="207">
        <v>3.76</v>
      </c>
      <c r="L6911" s="43">
        <f>IF(24.75=0, "-", 275.33/24.75)</f>
        <v>11.124444444444444</v>
      </c>
      <c r="M6911" s="43">
        <v>11.500404203718674</v>
      </c>
      <c r="N6911" s="43" t="str">
        <f t="shared" ref="N6911:N6917" si="1">IF(0=0, "-", 0/0)</f>
        <v>-</v>
      </c>
      <c r="O6911" s="43">
        <f>IF(1.6=0, "-", 9.05/1.6)</f>
        <v>5.65625</v>
      </c>
      <c r="P6911" s="208"/>
      <c r="Q6911" s="208"/>
      <c r="R6911" s="208">
        <v>2</v>
      </c>
    </row>
    <row r="6912" spans="1:18" ht="48">
      <c r="A6912" s="204">
        <v>111</v>
      </c>
      <c r="B6912" s="201" t="s">
        <v>12688</v>
      </c>
      <c r="C6912" s="205" t="s">
        <v>12689</v>
      </c>
      <c r="D6912" s="206">
        <v>25.27</v>
      </c>
      <c r="E6912" s="206">
        <v>23.15</v>
      </c>
      <c r="F6912" s="206"/>
      <c r="G6912" s="206">
        <v>2.12</v>
      </c>
      <c r="H6912" s="207">
        <v>271.89</v>
      </c>
      <c r="I6912" s="207">
        <v>266.27999999999997</v>
      </c>
      <c r="J6912" s="207"/>
      <c r="K6912" s="207">
        <v>5.61</v>
      </c>
      <c r="L6912" s="43">
        <f>IF(25.27=0, "-", 277.18/25.27)</f>
        <v>10.968737633557579</v>
      </c>
      <c r="M6912" s="43">
        <v>11.500404203718674</v>
      </c>
      <c r="N6912" s="43" t="str">
        <f t="shared" si="1"/>
        <v>-</v>
      </c>
      <c r="O6912" s="43">
        <f>IF(2.12=0, "-", 10.9/2.12)</f>
        <v>5.1415094339622645</v>
      </c>
      <c r="P6912" s="208"/>
      <c r="Q6912" s="208"/>
      <c r="R6912" s="208">
        <v>2</v>
      </c>
    </row>
    <row r="6913" spans="1:18" ht="48">
      <c r="A6913" s="204">
        <v>112</v>
      </c>
      <c r="B6913" s="201" t="s">
        <v>12690</v>
      </c>
      <c r="C6913" s="205" t="s">
        <v>12691</v>
      </c>
      <c r="D6913" s="206">
        <v>51.25</v>
      </c>
      <c r="E6913" s="206">
        <v>47.34</v>
      </c>
      <c r="F6913" s="206"/>
      <c r="G6913" s="206">
        <v>3.91</v>
      </c>
      <c r="H6913" s="207">
        <v>554.59</v>
      </c>
      <c r="I6913" s="207">
        <v>544.41999999999996</v>
      </c>
      <c r="J6913" s="207"/>
      <c r="K6913" s="207">
        <v>10.17</v>
      </c>
      <c r="L6913" s="43">
        <f>IF(51.25=0, "-", 565.52/51.25)</f>
        <v>11.034536585365853</v>
      </c>
      <c r="M6913" s="43">
        <v>11.500404203718674</v>
      </c>
      <c r="N6913" s="43" t="str">
        <f t="shared" si="1"/>
        <v>-</v>
      </c>
      <c r="O6913" s="43">
        <f>IF(3.91=0, "-", 21.1/3.91)</f>
        <v>5.3964194373401533</v>
      </c>
      <c r="P6913" s="208"/>
      <c r="Q6913" s="208"/>
      <c r="R6913" s="208">
        <v>2</v>
      </c>
    </row>
    <row r="6914" spans="1:18" ht="48">
      <c r="A6914" s="204">
        <v>113</v>
      </c>
      <c r="B6914" s="201" t="s">
        <v>12692</v>
      </c>
      <c r="C6914" s="205" t="s">
        <v>12693</v>
      </c>
      <c r="D6914" s="206">
        <v>65.31</v>
      </c>
      <c r="E6914" s="206">
        <v>61.03</v>
      </c>
      <c r="F6914" s="206"/>
      <c r="G6914" s="206">
        <v>4.28</v>
      </c>
      <c r="H6914" s="207">
        <v>712.34</v>
      </c>
      <c r="I6914" s="207">
        <v>701.84</v>
      </c>
      <c r="J6914" s="207"/>
      <c r="K6914" s="207">
        <v>10.5</v>
      </c>
      <c r="L6914" s="43">
        <f>IF(65.31=0, "-", 726.37/65.31)</f>
        <v>11.121880263359362</v>
      </c>
      <c r="M6914" s="43">
        <v>11.500404203718674</v>
      </c>
      <c r="N6914" s="43" t="str">
        <f t="shared" si="1"/>
        <v>-</v>
      </c>
      <c r="O6914" s="43">
        <f>IF(4.28=0, "-", 24.53/4.28)</f>
        <v>5.731308411214953</v>
      </c>
      <c r="P6914" s="208"/>
      <c r="Q6914" s="208"/>
      <c r="R6914" s="208">
        <v>2</v>
      </c>
    </row>
    <row r="6915" spans="1:18" ht="48">
      <c r="A6915" s="204">
        <v>114</v>
      </c>
      <c r="B6915" s="201" t="s">
        <v>12694</v>
      </c>
      <c r="C6915" s="205" t="s">
        <v>12695</v>
      </c>
      <c r="D6915" s="206">
        <v>81.510000000000005</v>
      </c>
      <c r="E6915" s="206">
        <v>76.45</v>
      </c>
      <c r="F6915" s="206"/>
      <c r="G6915" s="206">
        <v>5.0599999999999996</v>
      </c>
      <c r="H6915" s="207">
        <v>891.32</v>
      </c>
      <c r="I6915" s="207">
        <v>879.17</v>
      </c>
      <c r="J6915" s="207"/>
      <c r="K6915" s="207">
        <v>12.15</v>
      </c>
      <c r="L6915" s="43">
        <f>IF(81.51=0, "-", 908.92/81.51)</f>
        <v>11.151024414182308</v>
      </c>
      <c r="M6915" s="43">
        <v>11.500404203718674</v>
      </c>
      <c r="N6915" s="43" t="str">
        <f t="shared" si="1"/>
        <v>-</v>
      </c>
      <c r="O6915" s="43">
        <f>IF(5.06=0, "-", 29.75/5.06)</f>
        <v>5.879446640316206</v>
      </c>
      <c r="P6915" s="208"/>
      <c r="Q6915" s="208"/>
      <c r="R6915" s="208">
        <v>2</v>
      </c>
    </row>
    <row r="6916" spans="1:18" ht="48">
      <c r="A6916" s="204">
        <v>115</v>
      </c>
      <c r="B6916" s="201" t="s">
        <v>12696</v>
      </c>
      <c r="C6916" s="205" t="s">
        <v>12697</v>
      </c>
      <c r="D6916" s="206">
        <v>122.07</v>
      </c>
      <c r="E6916" s="206">
        <v>114.67</v>
      </c>
      <c r="F6916" s="206"/>
      <c r="G6916" s="206">
        <v>7.4</v>
      </c>
      <c r="H6916" s="207">
        <v>1336.41</v>
      </c>
      <c r="I6916" s="207">
        <v>1318.75</v>
      </c>
      <c r="J6916" s="207"/>
      <c r="K6916" s="207">
        <v>17.66</v>
      </c>
      <c r="L6916" s="43">
        <f>IF(122.07=0, "-", 1362.75/122.07)</f>
        <v>11.163676579012042</v>
      </c>
      <c r="M6916" s="43">
        <v>11.500404203718674</v>
      </c>
      <c r="N6916" s="43" t="str">
        <f t="shared" si="1"/>
        <v>-</v>
      </c>
      <c r="O6916" s="43">
        <f>IF(7.4=0, "-", 44/7.4)</f>
        <v>5.9459459459459456</v>
      </c>
      <c r="P6916" s="208"/>
      <c r="Q6916" s="208"/>
      <c r="R6916" s="208">
        <v>2</v>
      </c>
    </row>
    <row r="6917" spans="1:18" ht="48">
      <c r="A6917" s="204">
        <v>116</v>
      </c>
      <c r="B6917" s="201" t="s">
        <v>12698</v>
      </c>
      <c r="C6917" s="205" t="s">
        <v>12699</v>
      </c>
      <c r="D6917" s="206">
        <v>135.97</v>
      </c>
      <c r="E6917" s="206">
        <v>127.41</v>
      </c>
      <c r="F6917" s="206"/>
      <c r="G6917" s="206">
        <v>8.56</v>
      </c>
      <c r="H6917" s="207">
        <v>1486.09</v>
      </c>
      <c r="I6917" s="207">
        <v>1465.28</v>
      </c>
      <c r="J6917" s="207"/>
      <c r="K6917" s="207">
        <v>20.81</v>
      </c>
      <c r="L6917" s="43">
        <f>IF(135.97=0, "-", 1515.42/135.97)</f>
        <v>11.145252629256454</v>
      </c>
      <c r="M6917" s="43">
        <v>11.500404203718674</v>
      </c>
      <c r="N6917" s="43" t="str">
        <f t="shared" si="1"/>
        <v>-</v>
      </c>
      <c r="O6917" s="43">
        <f>IF(8.56=0, "-", 50.14/8.56)</f>
        <v>5.8574766355140184</v>
      </c>
      <c r="P6917" s="208"/>
      <c r="Q6917" s="208"/>
      <c r="R6917" s="208">
        <v>2</v>
      </c>
    </row>
    <row r="6918" spans="1:18" ht="12.75" customHeight="1">
      <c r="A6918" s="628" t="s">
        <v>12700</v>
      </c>
      <c r="B6918" s="629"/>
      <c r="C6918" s="629"/>
      <c r="D6918" s="629"/>
      <c r="E6918" s="629"/>
      <c r="F6918" s="629"/>
      <c r="G6918" s="629"/>
      <c r="H6918" s="629"/>
      <c r="I6918" s="629"/>
      <c r="J6918" s="629"/>
      <c r="K6918" s="629"/>
      <c r="L6918" s="629"/>
      <c r="M6918" s="629"/>
      <c r="N6918" s="629"/>
      <c r="O6918" s="629"/>
      <c r="P6918" s="629"/>
      <c r="Q6918" s="629"/>
      <c r="R6918" s="629"/>
    </row>
    <row r="6919" spans="1:18" ht="36">
      <c r="A6919" s="204">
        <v>117</v>
      </c>
      <c r="B6919" s="201" t="s">
        <v>12701</v>
      </c>
      <c r="C6919" s="205" t="s">
        <v>12702</v>
      </c>
      <c r="D6919" s="206">
        <v>34.130000000000003</v>
      </c>
      <c r="E6919" s="206">
        <v>26.92</v>
      </c>
      <c r="F6919" s="206"/>
      <c r="G6919" s="206">
        <v>7.21</v>
      </c>
      <c r="H6919" s="207">
        <v>331.71</v>
      </c>
      <c r="I6919" s="207">
        <v>309.64</v>
      </c>
      <c r="J6919" s="207"/>
      <c r="K6919" s="207">
        <v>22.07</v>
      </c>
      <c r="L6919" s="43">
        <f>IF(34.13=0, "-", 337.92/34.13)</f>
        <v>9.900966891297978</v>
      </c>
      <c r="M6919" s="43">
        <v>11.500404203718674</v>
      </c>
      <c r="N6919" s="43" t="str">
        <f t="shared" ref="N6919:N6925" si="2">IF(0=0, "-", 0/0)</f>
        <v>-</v>
      </c>
      <c r="O6919" s="43">
        <f>IF(7.21=0, "-", 28.28/7.21)</f>
        <v>3.9223300970873787</v>
      </c>
      <c r="P6919" s="208"/>
      <c r="Q6919" s="208"/>
      <c r="R6919" s="208">
        <v>3</v>
      </c>
    </row>
    <row r="6920" spans="1:18" ht="36">
      <c r="A6920" s="204">
        <v>118</v>
      </c>
      <c r="B6920" s="201" t="s">
        <v>12703</v>
      </c>
      <c r="C6920" s="205" t="s">
        <v>12704</v>
      </c>
      <c r="D6920" s="206">
        <v>49.15</v>
      </c>
      <c r="E6920" s="206">
        <v>40.39</v>
      </c>
      <c r="F6920" s="206"/>
      <c r="G6920" s="206">
        <v>8.76</v>
      </c>
      <c r="H6920" s="207">
        <v>492.03</v>
      </c>
      <c r="I6920" s="207">
        <v>464.46</v>
      </c>
      <c r="J6920" s="207"/>
      <c r="K6920" s="207">
        <v>27.57</v>
      </c>
      <c r="L6920" s="43">
        <f>IF(49.15=0, "-", 501.35/49.15)</f>
        <v>10.200406917599187</v>
      </c>
      <c r="M6920" s="43">
        <v>11.500404203718674</v>
      </c>
      <c r="N6920" s="43" t="str">
        <f t="shared" si="2"/>
        <v>-</v>
      </c>
      <c r="O6920" s="43">
        <f>IF(8.76=0, "-", 36.89/8.76)</f>
        <v>4.2111872146118721</v>
      </c>
      <c r="P6920" s="208"/>
      <c r="Q6920" s="208"/>
      <c r="R6920" s="208">
        <v>3</v>
      </c>
    </row>
    <row r="6921" spans="1:18" ht="36">
      <c r="A6921" s="204">
        <v>119</v>
      </c>
      <c r="B6921" s="201" t="s">
        <v>12705</v>
      </c>
      <c r="C6921" s="205" t="s">
        <v>12706</v>
      </c>
      <c r="D6921" s="206">
        <v>78.760000000000005</v>
      </c>
      <c r="E6921" s="206">
        <v>68.239999999999995</v>
      </c>
      <c r="F6921" s="206"/>
      <c r="G6921" s="206">
        <v>10.52</v>
      </c>
      <c r="H6921" s="207">
        <v>816.67</v>
      </c>
      <c r="I6921" s="207">
        <v>784.76</v>
      </c>
      <c r="J6921" s="207"/>
      <c r="K6921" s="207">
        <v>31.91</v>
      </c>
      <c r="L6921" s="43">
        <f>IF(78.76=0, "-", 832.31/78.76)</f>
        <v>10.567673946165565</v>
      </c>
      <c r="M6921" s="43">
        <v>11.500404203718674</v>
      </c>
      <c r="N6921" s="43" t="str">
        <f t="shared" si="2"/>
        <v>-</v>
      </c>
      <c r="O6921" s="43">
        <f>IF(10.52=0, "-", 47.55/10.52)</f>
        <v>4.5199619771863118</v>
      </c>
      <c r="P6921" s="208"/>
      <c r="Q6921" s="208"/>
      <c r="R6921" s="208">
        <v>3</v>
      </c>
    </row>
    <row r="6922" spans="1:18" ht="36">
      <c r="A6922" s="204">
        <v>120</v>
      </c>
      <c r="B6922" s="201" t="s">
        <v>12707</v>
      </c>
      <c r="C6922" s="205" t="s">
        <v>12708</v>
      </c>
      <c r="D6922" s="206">
        <v>93.02</v>
      </c>
      <c r="E6922" s="206">
        <v>81.89</v>
      </c>
      <c r="F6922" s="206"/>
      <c r="G6922" s="206">
        <v>11.13</v>
      </c>
      <c r="H6922" s="207">
        <v>975.04</v>
      </c>
      <c r="I6922" s="207">
        <v>941.71</v>
      </c>
      <c r="J6922" s="207"/>
      <c r="K6922" s="207">
        <v>33.33</v>
      </c>
      <c r="L6922" s="43">
        <f>IF(93.02=0, "-", 993.9/93.02)</f>
        <v>10.684798967963879</v>
      </c>
      <c r="M6922" s="43">
        <v>11.500404203718674</v>
      </c>
      <c r="N6922" s="43" t="str">
        <f t="shared" si="2"/>
        <v>-</v>
      </c>
      <c r="O6922" s="43">
        <f>IF(11.13=0, "-", 52.19/11.13)</f>
        <v>4.689128481581311</v>
      </c>
      <c r="P6922" s="208"/>
      <c r="Q6922" s="208"/>
      <c r="R6922" s="208">
        <v>3</v>
      </c>
    </row>
    <row r="6923" spans="1:18" ht="36">
      <c r="A6923" s="204">
        <v>121</v>
      </c>
      <c r="B6923" s="201" t="s">
        <v>12709</v>
      </c>
      <c r="C6923" s="205" t="s">
        <v>12710</v>
      </c>
      <c r="D6923" s="206">
        <v>107.5</v>
      </c>
      <c r="E6923" s="206">
        <v>95.53</v>
      </c>
      <c r="F6923" s="206"/>
      <c r="G6923" s="206">
        <v>11.97</v>
      </c>
      <c r="H6923" s="207">
        <v>1134.1099999999999</v>
      </c>
      <c r="I6923" s="207">
        <v>1098.6600000000001</v>
      </c>
      <c r="J6923" s="207"/>
      <c r="K6923" s="207">
        <v>35.450000000000003</v>
      </c>
      <c r="L6923" s="43">
        <f>IF(107.5=0, "-", 1156.08/107.5)</f>
        <v>10.754232558139535</v>
      </c>
      <c r="M6923" s="43">
        <v>11.500404203718674</v>
      </c>
      <c r="N6923" s="43" t="str">
        <f t="shared" si="2"/>
        <v>-</v>
      </c>
      <c r="O6923" s="43">
        <f>IF(11.97=0, "-", 57.42/11.97)</f>
        <v>4.7969924812030076</v>
      </c>
      <c r="P6923" s="208"/>
      <c r="Q6923" s="208"/>
      <c r="R6923" s="208">
        <v>3</v>
      </c>
    </row>
    <row r="6924" spans="1:18" ht="36">
      <c r="A6924" s="204">
        <v>122</v>
      </c>
      <c r="B6924" s="201" t="s">
        <v>12711</v>
      </c>
      <c r="C6924" s="205" t="s">
        <v>12712</v>
      </c>
      <c r="D6924" s="206">
        <v>150.19</v>
      </c>
      <c r="E6924" s="206">
        <v>136.47999999999999</v>
      </c>
      <c r="F6924" s="206"/>
      <c r="G6924" s="206">
        <v>13.71</v>
      </c>
      <c r="H6924" s="207">
        <v>1607.39</v>
      </c>
      <c r="I6924" s="207">
        <v>1569.51</v>
      </c>
      <c r="J6924" s="207"/>
      <c r="K6924" s="207">
        <v>37.880000000000003</v>
      </c>
      <c r="L6924" s="43">
        <f>IF(150.19=0, "-", 1638.79/150.19)</f>
        <v>10.911445502363673</v>
      </c>
      <c r="M6924" s="43">
        <v>11.500404203718674</v>
      </c>
      <c r="N6924" s="43" t="str">
        <f t="shared" si="2"/>
        <v>-</v>
      </c>
      <c r="O6924" s="43">
        <f>IF(13.71=0, "-", 69.28/13.71)</f>
        <v>5.0532458059810352</v>
      </c>
      <c r="P6924" s="208"/>
      <c r="Q6924" s="208"/>
      <c r="R6924" s="208">
        <v>3</v>
      </c>
    </row>
    <row r="6925" spans="1:18" ht="36">
      <c r="A6925" s="204">
        <v>123</v>
      </c>
      <c r="B6925" s="201" t="s">
        <v>12713</v>
      </c>
      <c r="C6925" s="205" t="s">
        <v>12714</v>
      </c>
      <c r="D6925" s="206">
        <v>179.11</v>
      </c>
      <c r="E6925" s="206">
        <v>164.3</v>
      </c>
      <c r="F6925" s="206"/>
      <c r="G6925" s="206">
        <v>14.81</v>
      </c>
      <c r="H6925" s="207">
        <v>1928.81</v>
      </c>
      <c r="I6925" s="207">
        <v>1889.51</v>
      </c>
      <c r="J6925" s="207"/>
      <c r="K6925" s="207">
        <v>39.299999999999997</v>
      </c>
      <c r="L6925" s="43">
        <f>IF(179.11=0, "-", 1966.65/179.11)</f>
        <v>10.980123946178326</v>
      </c>
      <c r="M6925" s="43">
        <v>11.500404203718674</v>
      </c>
      <c r="N6925" s="43" t="str">
        <f t="shared" si="2"/>
        <v>-</v>
      </c>
      <c r="O6925" s="43">
        <f>IF(14.81=0, "-", 77.14/14.81)</f>
        <v>5.2086428089128969</v>
      </c>
      <c r="P6925" s="208"/>
      <c r="Q6925" s="208"/>
      <c r="R6925" s="208">
        <v>3</v>
      </c>
    </row>
    <row r="6926" spans="1:18" ht="24.75" customHeight="1">
      <c r="A6926" s="628" t="s">
        <v>12715</v>
      </c>
      <c r="B6926" s="629"/>
      <c r="C6926" s="629"/>
      <c r="D6926" s="629"/>
      <c r="E6926" s="629"/>
      <c r="F6926" s="629"/>
      <c r="G6926" s="629"/>
      <c r="H6926" s="629"/>
      <c r="I6926" s="629"/>
      <c r="J6926" s="629"/>
      <c r="K6926" s="629"/>
      <c r="L6926" s="629"/>
      <c r="M6926" s="629"/>
      <c r="N6926" s="629"/>
      <c r="O6926" s="629"/>
      <c r="P6926" s="629"/>
      <c r="Q6926" s="629"/>
      <c r="R6926" s="629"/>
    </row>
    <row r="6927" spans="1:18" ht="48">
      <c r="A6927" s="204">
        <v>124</v>
      </c>
      <c r="B6927" s="201" t="s">
        <v>12716</v>
      </c>
      <c r="C6927" s="205" t="s">
        <v>12717</v>
      </c>
      <c r="D6927" s="206">
        <v>28.98</v>
      </c>
      <c r="E6927" s="206">
        <v>27.3</v>
      </c>
      <c r="F6927" s="206"/>
      <c r="G6927" s="206">
        <v>1.68</v>
      </c>
      <c r="H6927" s="207">
        <v>317.54000000000002</v>
      </c>
      <c r="I6927" s="207">
        <v>313.89999999999998</v>
      </c>
      <c r="J6927" s="207"/>
      <c r="K6927" s="207">
        <v>3.64</v>
      </c>
      <c r="L6927" s="43">
        <f>IF(28.98=0, "-", 323.87/28.98)</f>
        <v>11.175638371290546</v>
      </c>
      <c r="M6927" s="43">
        <v>11.500404203718674</v>
      </c>
      <c r="N6927" s="43" t="str">
        <f t="shared" ref="N6927:N6933" si="3">IF(0=0, "-", 0/0)</f>
        <v>-</v>
      </c>
      <c r="O6927" s="43">
        <f>IF(1.68=0, "-", 9.97/1.68)</f>
        <v>5.9345238095238102</v>
      </c>
      <c r="P6927" s="208"/>
      <c r="Q6927" s="208"/>
      <c r="R6927" s="208">
        <v>4</v>
      </c>
    </row>
    <row r="6928" spans="1:18" ht="48">
      <c r="A6928" s="204">
        <v>125</v>
      </c>
      <c r="B6928" s="201" t="s">
        <v>12718</v>
      </c>
      <c r="C6928" s="205" t="s">
        <v>12719</v>
      </c>
      <c r="D6928" s="206">
        <v>43.49</v>
      </c>
      <c r="E6928" s="206">
        <v>40.94</v>
      </c>
      <c r="F6928" s="206"/>
      <c r="G6928" s="206">
        <v>2.5499999999999998</v>
      </c>
      <c r="H6928" s="207">
        <v>476.63</v>
      </c>
      <c r="I6928" s="207">
        <v>470.85</v>
      </c>
      <c r="J6928" s="207"/>
      <c r="K6928" s="207">
        <v>5.78</v>
      </c>
      <c r="L6928" s="43">
        <f>IF(43.49=0, "-", 486.06/43.49)</f>
        <v>11.176362382156817</v>
      </c>
      <c r="M6928" s="43">
        <v>11.500404203718674</v>
      </c>
      <c r="N6928" s="43" t="str">
        <f t="shared" si="3"/>
        <v>-</v>
      </c>
      <c r="O6928" s="43">
        <f>IF(2.55=0, "-", 15.21/2.55)</f>
        <v>5.9647058823529422</v>
      </c>
      <c r="P6928" s="208"/>
      <c r="Q6928" s="208"/>
      <c r="R6928" s="208">
        <v>4</v>
      </c>
    </row>
    <row r="6929" spans="1:18" ht="48">
      <c r="A6929" s="204">
        <v>126</v>
      </c>
      <c r="B6929" s="201" t="s">
        <v>12720</v>
      </c>
      <c r="C6929" s="205" t="s">
        <v>12721</v>
      </c>
      <c r="D6929" s="206">
        <v>72.540000000000006</v>
      </c>
      <c r="E6929" s="206">
        <v>68.239999999999995</v>
      </c>
      <c r="F6929" s="206"/>
      <c r="G6929" s="206">
        <v>4.3</v>
      </c>
      <c r="H6929" s="207">
        <v>794.88</v>
      </c>
      <c r="I6929" s="207">
        <v>784.76</v>
      </c>
      <c r="J6929" s="207"/>
      <c r="K6929" s="207">
        <v>10.119999999999999</v>
      </c>
      <c r="L6929" s="43">
        <f>IF(72.54=0, "-", 810.52/72.54)</f>
        <v>11.173421560518333</v>
      </c>
      <c r="M6929" s="43">
        <v>11.500404203718674</v>
      </c>
      <c r="N6929" s="43" t="str">
        <f t="shared" si="3"/>
        <v>-</v>
      </c>
      <c r="O6929" s="43">
        <f>IF(4.3=0, "-", 25.76/4.3)</f>
        <v>5.9906976744186053</v>
      </c>
      <c r="P6929" s="208"/>
      <c r="Q6929" s="208"/>
      <c r="R6929" s="208">
        <v>4</v>
      </c>
    </row>
    <row r="6930" spans="1:18" ht="48">
      <c r="A6930" s="204">
        <v>127</v>
      </c>
      <c r="B6930" s="201" t="s">
        <v>12722</v>
      </c>
      <c r="C6930" s="205" t="s">
        <v>12723</v>
      </c>
      <c r="D6930" s="206">
        <v>86.51</v>
      </c>
      <c r="E6930" s="206">
        <v>81.89</v>
      </c>
      <c r="F6930" s="206"/>
      <c r="G6930" s="206">
        <v>4.62</v>
      </c>
      <c r="H6930" s="207">
        <v>951.93</v>
      </c>
      <c r="I6930" s="207">
        <v>941.71</v>
      </c>
      <c r="J6930" s="207"/>
      <c r="K6930" s="207">
        <v>10.220000000000001</v>
      </c>
      <c r="L6930" s="43">
        <f>IF(86.51=0, "-", 970.79/86.51)</f>
        <v>11.221708473008899</v>
      </c>
      <c r="M6930" s="43">
        <v>11.500404203718674</v>
      </c>
      <c r="N6930" s="43" t="str">
        <f t="shared" si="3"/>
        <v>-</v>
      </c>
      <c r="O6930" s="43">
        <f>IF(4.62=0, "-", 29.08/4.62)</f>
        <v>6.2943722943722937</v>
      </c>
      <c r="P6930" s="208"/>
      <c r="Q6930" s="208"/>
      <c r="R6930" s="208">
        <v>4</v>
      </c>
    </row>
    <row r="6931" spans="1:18" ht="48">
      <c r="A6931" s="204">
        <v>128</v>
      </c>
      <c r="B6931" s="201" t="s">
        <v>12724</v>
      </c>
      <c r="C6931" s="205" t="s">
        <v>12725</v>
      </c>
      <c r="D6931" s="206">
        <v>100.99</v>
      </c>
      <c r="E6931" s="206">
        <v>95.53</v>
      </c>
      <c r="F6931" s="206"/>
      <c r="G6931" s="206">
        <v>5.46</v>
      </c>
      <c r="H6931" s="207">
        <v>1110.9000000000001</v>
      </c>
      <c r="I6931" s="207">
        <v>1098.6600000000001</v>
      </c>
      <c r="J6931" s="207"/>
      <c r="K6931" s="207">
        <v>12.24</v>
      </c>
      <c r="L6931" s="43">
        <f>IF(100.99=0, "-", 1132.87/100.99)</f>
        <v>11.217645311416971</v>
      </c>
      <c r="M6931" s="43">
        <v>11.500404203718674</v>
      </c>
      <c r="N6931" s="43" t="str">
        <f t="shared" si="3"/>
        <v>-</v>
      </c>
      <c r="O6931" s="43">
        <f>IF(5.46=0, "-", 34.21/5.46)</f>
        <v>6.2655677655677655</v>
      </c>
      <c r="P6931" s="208"/>
      <c r="Q6931" s="208"/>
      <c r="R6931" s="208">
        <v>4</v>
      </c>
    </row>
    <row r="6932" spans="1:18" ht="48">
      <c r="A6932" s="204">
        <v>129</v>
      </c>
      <c r="B6932" s="201" t="s">
        <v>12726</v>
      </c>
      <c r="C6932" s="205" t="s">
        <v>12727</v>
      </c>
      <c r="D6932" s="206">
        <v>144.38</v>
      </c>
      <c r="E6932" s="206">
        <v>136.47999999999999</v>
      </c>
      <c r="F6932" s="206"/>
      <c r="G6932" s="206">
        <v>7.9</v>
      </c>
      <c r="H6932" s="207">
        <v>1587.43</v>
      </c>
      <c r="I6932" s="207">
        <v>1569.51</v>
      </c>
      <c r="J6932" s="207"/>
      <c r="K6932" s="207">
        <v>17.920000000000002</v>
      </c>
      <c r="L6932" s="43">
        <f>IF(144.38=0, "-", 1618.83/144.38)</f>
        <v>11.212287020362931</v>
      </c>
      <c r="M6932" s="43">
        <v>11.500404203718674</v>
      </c>
      <c r="N6932" s="43" t="str">
        <f t="shared" si="3"/>
        <v>-</v>
      </c>
      <c r="O6932" s="43">
        <f>IF(7.9=0, "-", 49.32/7.9)</f>
        <v>6.2430379746835438</v>
      </c>
      <c r="P6932" s="208"/>
      <c r="Q6932" s="208"/>
      <c r="R6932" s="208">
        <v>4</v>
      </c>
    </row>
    <row r="6933" spans="1:18" ht="48">
      <c r="A6933" s="204">
        <v>130</v>
      </c>
      <c r="B6933" s="201" t="s">
        <v>12728</v>
      </c>
      <c r="C6933" s="205" t="s">
        <v>12729</v>
      </c>
      <c r="D6933" s="206">
        <v>173.59</v>
      </c>
      <c r="E6933" s="206">
        <v>164.3</v>
      </c>
      <c r="F6933" s="206"/>
      <c r="G6933" s="206">
        <v>9.2899999999999991</v>
      </c>
      <c r="H6933" s="207">
        <v>1910.2</v>
      </c>
      <c r="I6933" s="207">
        <v>1889.51</v>
      </c>
      <c r="J6933" s="207"/>
      <c r="K6933" s="207">
        <v>20.69</v>
      </c>
      <c r="L6933" s="43">
        <f>IF(173.59=0, "-", 1948.04/173.59)</f>
        <v>11.222075004320525</v>
      </c>
      <c r="M6933" s="43">
        <v>11.500404203718674</v>
      </c>
      <c r="N6933" s="43" t="str">
        <f t="shared" si="3"/>
        <v>-</v>
      </c>
      <c r="O6933" s="43">
        <f>IF(9.29=0, "-", 58.53/9.29)</f>
        <v>6.3003229278794413</v>
      </c>
      <c r="P6933" s="208"/>
      <c r="Q6933" s="208"/>
      <c r="R6933" s="208">
        <v>4</v>
      </c>
    </row>
    <row r="6934" spans="1:18" ht="12.75" customHeight="1">
      <c r="A6934" s="628" t="s">
        <v>12730</v>
      </c>
      <c r="B6934" s="629"/>
      <c r="C6934" s="629"/>
      <c r="D6934" s="629"/>
      <c r="E6934" s="629"/>
      <c r="F6934" s="629"/>
      <c r="G6934" s="629"/>
      <c r="H6934" s="629"/>
      <c r="I6934" s="629"/>
      <c r="J6934" s="629"/>
      <c r="K6934" s="629"/>
      <c r="L6934" s="629"/>
      <c r="M6934" s="629"/>
      <c r="N6934" s="629"/>
      <c r="O6934" s="629"/>
      <c r="P6934" s="629"/>
      <c r="Q6934" s="629"/>
      <c r="R6934" s="629"/>
    </row>
    <row r="6935" spans="1:18" ht="48">
      <c r="A6935" s="204">
        <v>131</v>
      </c>
      <c r="B6935" s="201" t="s">
        <v>12731</v>
      </c>
      <c r="C6935" s="205" t="s">
        <v>12732</v>
      </c>
      <c r="D6935" s="206">
        <v>46.22</v>
      </c>
      <c r="E6935" s="206">
        <v>38.75</v>
      </c>
      <c r="F6935" s="206"/>
      <c r="G6935" s="206">
        <v>7.47</v>
      </c>
      <c r="H6935" s="207">
        <v>467.95</v>
      </c>
      <c r="I6935" s="207">
        <v>445.61</v>
      </c>
      <c r="J6935" s="207"/>
      <c r="K6935" s="207">
        <v>22.34</v>
      </c>
      <c r="L6935" s="43">
        <f>IF(46.22=0, "-", 476.81/46.22)</f>
        <v>10.316096927736911</v>
      </c>
      <c r="M6935" s="43">
        <v>11.500404203718674</v>
      </c>
      <c r="N6935" s="43" t="str">
        <f t="shared" ref="N6935:N6941" si="4">IF(0=0, "-", 0/0)</f>
        <v>-</v>
      </c>
      <c r="O6935" s="43">
        <f>IF(7.47=0, "-", 31.2/7.47)</f>
        <v>4.1767068273092374</v>
      </c>
      <c r="P6935" s="208"/>
      <c r="Q6935" s="208"/>
      <c r="R6935" s="208">
        <v>5</v>
      </c>
    </row>
    <row r="6936" spans="1:18" ht="48">
      <c r="A6936" s="204">
        <v>132</v>
      </c>
      <c r="B6936" s="201" t="s">
        <v>12733</v>
      </c>
      <c r="C6936" s="205" t="s">
        <v>12734</v>
      </c>
      <c r="D6936" s="206">
        <v>60.57</v>
      </c>
      <c r="E6936" s="206">
        <v>51.66</v>
      </c>
      <c r="F6936" s="206"/>
      <c r="G6936" s="206">
        <v>8.91</v>
      </c>
      <c r="H6936" s="207">
        <v>621.41999999999996</v>
      </c>
      <c r="I6936" s="207">
        <v>594.15</v>
      </c>
      <c r="J6936" s="207"/>
      <c r="K6936" s="207">
        <v>27.27</v>
      </c>
      <c r="L6936" s="43">
        <f>IF(60.57=0, "-", 633.27/60.57)</f>
        <v>10.455175829618623</v>
      </c>
      <c r="M6936" s="43">
        <v>11.500404203718674</v>
      </c>
      <c r="N6936" s="43" t="str">
        <f t="shared" si="4"/>
        <v>-</v>
      </c>
      <c r="O6936" s="43">
        <f>IF(8.91=0, "-", 39.12/8.91)</f>
        <v>4.3905723905723901</v>
      </c>
      <c r="P6936" s="208"/>
      <c r="Q6936" s="208"/>
      <c r="R6936" s="208">
        <v>5</v>
      </c>
    </row>
    <row r="6937" spans="1:18" ht="48">
      <c r="A6937" s="204">
        <v>133</v>
      </c>
      <c r="B6937" s="201" t="s">
        <v>12735</v>
      </c>
      <c r="C6937" s="205" t="s">
        <v>12736</v>
      </c>
      <c r="D6937" s="206">
        <v>88.18</v>
      </c>
      <c r="E6937" s="206">
        <v>77.5</v>
      </c>
      <c r="F6937" s="206"/>
      <c r="G6937" s="206">
        <v>10.68</v>
      </c>
      <c r="H6937" s="207">
        <v>922.88</v>
      </c>
      <c r="I6937" s="207">
        <v>891.22</v>
      </c>
      <c r="J6937" s="207"/>
      <c r="K6937" s="207">
        <v>31.66</v>
      </c>
      <c r="L6937" s="43">
        <f>IF(88.18=0, "-", 940.71/88.18)</f>
        <v>10.668065320934453</v>
      </c>
      <c r="M6937" s="43">
        <v>11.500404203718674</v>
      </c>
      <c r="N6937" s="43" t="str">
        <f t="shared" si="4"/>
        <v>-</v>
      </c>
      <c r="O6937" s="43">
        <f>IF(10.68=0, "-", 49.49/10.68)</f>
        <v>4.6338951310861427</v>
      </c>
      <c r="P6937" s="208"/>
      <c r="Q6937" s="208"/>
      <c r="R6937" s="208">
        <v>5</v>
      </c>
    </row>
    <row r="6938" spans="1:18" ht="48">
      <c r="A6938" s="204">
        <v>134</v>
      </c>
      <c r="B6938" s="201" t="s">
        <v>12737</v>
      </c>
      <c r="C6938" s="205" t="s">
        <v>12738</v>
      </c>
      <c r="D6938" s="206">
        <v>102.89</v>
      </c>
      <c r="E6938" s="206">
        <v>91.71</v>
      </c>
      <c r="F6938" s="206"/>
      <c r="G6938" s="206">
        <v>11.18</v>
      </c>
      <c r="H6938" s="207">
        <v>1087.1199999999999</v>
      </c>
      <c r="I6938" s="207">
        <v>1054.68</v>
      </c>
      <c r="J6938" s="207"/>
      <c r="K6938" s="207">
        <v>32.44</v>
      </c>
      <c r="L6938" s="43">
        <f>IF(102.89=0, "-", 1108.17/102.89)</f>
        <v>10.770434444552436</v>
      </c>
      <c r="M6938" s="43">
        <v>11.500404203718674</v>
      </c>
      <c r="N6938" s="43" t="str">
        <f t="shared" si="4"/>
        <v>-</v>
      </c>
      <c r="O6938" s="43">
        <f>IF(11.18=0, "-", 53.49/11.18)</f>
        <v>4.78443649373882</v>
      </c>
      <c r="P6938" s="208"/>
      <c r="Q6938" s="208"/>
      <c r="R6938" s="208">
        <v>5</v>
      </c>
    </row>
    <row r="6939" spans="1:18" ht="48">
      <c r="A6939" s="204">
        <v>135</v>
      </c>
      <c r="B6939" s="201" t="s">
        <v>12739</v>
      </c>
      <c r="C6939" s="205" t="s">
        <v>12740</v>
      </c>
      <c r="D6939" s="206">
        <v>119.89</v>
      </c>
      <c r="E6939" s="206">
        <v>107.7</v>
      </c>
      <c r="F6939" s="206"/>
      <c r="G6939" s="206">
        <v>12.19</v>
      </c>
      <c r="H6939" s="207">
        <v>1273.8599999999999</v>
      </c>
      <c r="I6939" s="207">
        <v>1238.55</v>
      </c>
      <c r="J6939" s="207"/>
      <c r="K6939" s="207">
        <v>35.31</v>
      </c>
      <c r="L6939" s="43">
        <f>IF(119.89=0, "-", 1298.59/119.89)</f>
        <v>10.831512219534572</v>
      </c>
      <c r="M6939" s="43">
        <v>11.500404203718674</v>
      </c>
      <c r="N6939" s="43" t="str">
        <f t="shared" si="4"/>
        <v>-</v>
      </c>
      <c r="O6939" s="43">
        <f>IF(12.19=0, "-", 60.04/12.19)</f>
        <v>4.9253486464315017</v>
      </c>
      <c r="P6939" s="208"/>
      <c r="Q6939" s="208"/>
      <c r="R6939" s="208">
        <v>5</v>
      </c>
    </row>
    <row r="6940" spans="1:18" ht="48">
      <c r="A6940" s="204">
        <v>136</v>
      </c>
      <c r="B6940" s="201" t="s">
        <v>12741</v>
      </c>
      <c r="C6940" s="205" t="s">
        <v>12742</v>
      </c>
      <c r="D6940" s="206">
        <v>176.95</v>
      </c>
      <c r="E6940" s="206">
        <v>162.07</v>
      </c>
      <c r="F6940" s="206"/>
      <c r="G6940" s="206">
        <v>14.88</v>
      </c>
      <c r="H6940" s="207">
        <v>1904.75</v>
      </c>
      <c r="I6940" s="207">
        <v>1863.84</v>
      </c>
      <c r="J6940" s="207"/>
      <c r="K6940" s="207">
        <v>40.909999999999997</v>
      </c>
      <c r="L6940" s="43">
        <f>IF(176.95=0, "-", 1942.01/176.95)</f>
        <v>10.97490816614863</v>
      </c>
      <c r="M6940" s="43">
        <v>11.500404203718674</v>
      </c>
      <c r="N6940" s="43" t="str">
        <f t="shared" si="4"/>
        <v>-</v>
      </c>
      <c r="O6940" s="43">
        <f>IF(14.88=0, "-", 78.17/14.88)</f>
        <v>5.253360215053763</v>
      </c>
      <c r="P6940" s="208"/>
      <c r="Q6940" s="208"/>
      <c r="R6940" s="208">
        <v>5</v>
      </c>
    </row>
    <row r="6941" spans="1:18" ht="48">
      <c r="A6941" s="204">
        <v>137</v>
      </c>
      <c r="B6941" s="201" t="s">
        <v>12743</v>
      </c>
      <c r="C6941" s="205" t="s">
        <v>12744</v>
      </c>
      <c r="D6941" s="206">
        <v>204.48</v>
      </c>
      <c r="E6941" s="206">
        <v>188.21</v>
      </c>
      <c r="F6941" s="206"/>
      <c r="G6941" s="206">
        <v>16.27</v>
      </c>
      <c r="H6941" s="207">
        <v>2208.42</v>
      </c>
      <c r="I6941" s="207">
        <v>2164.46</v>
      </c>
      <c r="J6941" s="207"/>
      <c r="K6941" s="207">
        <v>43.96</v>
      </c>
      <c r="L6941" s="43">
        <f>IF(204.48=0, "-", 2251.66/204.48)</f>
        <v>11.011639280125195</v>
      </c>
      <c r="M6941" s="43">
        <v>11.500404203718674</v>
      </c>
      <c r="N6941" s="43" t="str">
        <f t="shared" si="4"/>
        <v>-</v>
      </c>
      <c r="O6941" s="43">
        <f>IF(16.27=0, "-", 87.2/16.27)</f>
        <v>5.3595574677320226</v>
      </c>
      <c r="P6941" s="208"/>
      <c r="Q6941" s="208"/>
      <c r="R6941" s="208">
        <v>5</v>
      </c>
    </row>
    <row r="6942" spans="1:18" ht="26.25" customHeight="1">
      <c r="A6942" s="628" t="s">
        <v>12745</v>
      </c>
      <c r="B6942" s="629"/>
      <c r="C6942" s="629"/>
      <c r="D6942" s="629"/>
      <c r="E6942" s="629"/>
      <c r="F6942" s="629"/>
      <c r="G6942" s="629"/>
      <c r="H6942" s="629"/>
      <c r="I6942" s="629"/>
      <c r="J6942" s="629"/>
      <c r="K6942" s="629"/>
      <c r="L6942" s="629"/>
      <c r="M6942" s="629"/>
      <c r="N6942" s="629"/>
      <c r="O6942" s="629"/>
      <c r="P6942" s="629"/>
      <c r="Q6942" s="629"/>
      <c r="R6942" s="629"/>
    </row>
    <row r="6943" spans="1:18" ht="48">
      <c r="A6943" s="204">
        <v>138</v>
      </c>
      <c r="B6943" s="201" t="s">
        <v>12746</v>
      </c>
      <c r="C6943" s="205" t="s">
        <v>12747</v>
      </c>
      <c r="D6943" s="206">
        <v>27.86</v>
      </c>
      <c r="E6943" s="206">
        <v>26.2</v>
      </c>
      <c r="F6943" s="206"/>
      <c r="G6943" s="206">
        <v>1.66</v>
      </c>
      <c r="H6943" s="207">
        <v>305.10000000000002</v>
      </c>
      <c r="I6943" s="207">
        <v>301.33999999999997</v>
      </c>
      <c r="J6943" s="207"/>
      <c r="K6943" s="207">
        <v>3.76</v>
      </c>
      <c r="L6943" s="43">
        <f>IF(27.86=0, "-", 311.08/27.86)</f>
        <v>11.165829145728642</v>
      </c>
      <c r="M6943" s="43">
        <v>11.500404203718674</v>
      </c>
      <c r="N6943" s="43" t="str">
        <f t="shared" ref="N6943:N6949" si="5">IF(0=0, "-", 0/0)</f>
        <v>-</v>
      </c>
      <c r="O6943" s="43">
        <f>IF(1.66=0, "-", 9.74/1.66)</f>
        <v>5.8674698795180724</v>
      </c>
      <c r="P6943" s="208"/>
      <c r="Q6943" s="208"/>
      <c r="R6943" s="208">
        <v>6</v>
      </c>
    </row>
    <row r="6944" spans="1:18" ht="48">
      <c r="A6944" s="204">
        <v>139</v>
      </c>
      <c r="B6944" s="201" t="s">
        <v>12748</v>
      </c>
      <c r="C6944" s="205" t="s">
        <v>12749</v>
      </c>
      <c r="D6944" s="206">
        <v>55.17</v>
      </c>
      <c r="E6944" s="206">
        <v>52.41</v>
      </c>
      <c r="F6944" s="206"/>
      <c r="G6944" s="206">
        <v>2.76</v>
      </c>
      <c r="H6944" s="207">
        <v>608.45000000000005</v>
      </c>
      <c r="I6944" s="207">
        <v>602.66999999999996</v>
      </c>
      <c r="J6944" s="207"/>
      <c r="K6944" s="207">
        <v>5.78</v>
      </c>
      <c r="L6944" s="43">
        <f>IF(55.17=0, "-", 620.53/55.17)</f>
        <v>11.247598332427042</v>
      </c>
      <c r="M6944" s="43">
        <v>11.500404203718674</v>
      </c>
      <c r="N6944" s="43" t="str">
        <f t="shared" si="5"/>
        <v>-</v>
      </c>
      <c r="O6944" s="43">
        <f>IF(2.76=0, "-", 17.86/2.76)</f>
        <v>6.4710144927536231</v>
      </c>
      <c r="P6944" s="208"/>
      <c r="Q6944" s="208"/>
      <c r="R6944" s="208">
        <v>6</v>
      </c>
    </row>
    <row r="6945" spans="1:18" ht="48">
      <c r="A6945" s="204">
        <v>140</v>
      </c>
      <c r="B6945" s="201" t="s">
        <v>12750</v>
      </c>
      <c r="C6945" s="205" t="s">
        <v>12751</v>
      </c>
      <c r="D6945" s="206">
        <v>83.14</v>
      </c>
      <c r="E6945" s="206">
        <v>78.61</v>
      </c>
      <c r="F6945" s="206"/>
      <c r="G6945" s="206">
        <v>4.53</v>
      </c>
      <c r="H6945" s="207">
        <v>914.18</v>
      </c>
      <c r="I6945" s="207">
        <v>904.01</v>
      </c>
      <c r="J6945" s="207"/>
      <c r="K6945" s="207">
        <v>10.17</v>
      </c>
      <c r="L6945" s="43">
        <f>IF(83.14=0, "-", 932.24/83.14)</f>
        <v>11.212893913880203</v>
      </c>
      <c r="M6945" s="43">
        <v>11.500404203718674</v>
      </c>
      <c r="N6945" s="43" t="str">
        <f t="shared" si="5"/>
        <v>-</v>
      </c>
      <c r="O6945" s="43">
        <f>IF(4.53=0, "-", 28.23/4.53)</f>
        <v>6.2317880794701983</v>
      </c>
      <c r="P6945" s="208"/>
      <c r="Q6945" s="208"/>
      <c r="R6945" s="208">
        <v>6</v>
      </c>
    </row>
    <row r="6946" spans="1:18" ht="48">
      <c r="A6946" s="204">
        <v>141</v>
      </c>
      <c r="B6946" s="201" t="s">
        <v>12752</v>
      </c>
      <c r="C6946" s="205" t="s">
        <v>12753</v>
      </c>
      <c r="D6946" s="206">
        <v>96.76</v>
      </c>
      <c r="E6946" s="206">
        <v>91.71</v>
      </c>
      <c r="F6946" s="206"/>
      <c r="G6946" s="206">
        <v>5.05</v>
      </c>
      <c r="H6946" s="207">
        <v>1065.57</v>
      </c>
      <c r="I6946" s="207">
        <v>1054.68</v>
      </c>
      <c r="J6946" s="207"/>
      <c r="K6946" s="207">
        <v>10.89</v>
      </c>
      <c r="L6946" s="43">
        <f>IF(96.76=0, "-", 1086.62/96.76)</f>
        <v>11.230053741215377</v>
      </c>
      <c r="M6946" s="43">
        <v>11.500404203718674</v>
      </c>
      <c r="N6946" s="43" t="str">
        <f t="shared" si="5"/>
        <v>-</v>
      </c>
      <c r="O6946" s="43">
        <f>IF(5.05=0, "-", 31.94/5.05)</f>
        <v>6.324752475247525</v>
      </c>
      <c r="P6946" s="208"/>
      <c r="Q6946" s="208"/>
      <c r="R6946" s="208">
        <v>6</v>
      </c>
    </row>
    <row r="6947" spans="1:18" ht="48">
      <c r="A6947" s="204">
        <v>142</v>
      </c>
      <c r="B6947" s="201" t="s">
        <v>12754</v>
      </c>
      <c r="C6947" s="205" t="s">
        <v>12755</v>
      </c>
      <c r="D6947" s="206">
        <v>110.42</v>
      </c>
      <c r="E6947" s="206">
        <v>104.81</v>
      </c>
      <c r="F6947" s="206"/>
      <c r="G6947" s="206">
        <v>5.61</v>
      </c>
      <c r="H6947" s="207">
        <v>1217.4000000000001</v>
      </c>
      <c r="I6947" s="207">
        <v>1205.3499999999999</v>
      </c>
      <c r="J6947" s="207"/>
      <c r="K6947" s="207">
        <v>12.05</v>
      </c>
      <c r="L6947" s="43">
        <f>IF(110.42=0, "-", 1241.55/110.42)</f>
        <v>11.243886976996921</v>
      </c>
      <c r="M6947" s="43">
        <v>11.500404203718674</v>
      </c>
      <c r="N6947" s="43" t="str">
        <f t="shared" si="5"/>
        <v>-</v>
      </c>
      <c r="O6947" s="43">
        <f>IF(5.61=0, "-", 36.2/5.61)</f>
        <v>6.452762923351159</v>
      </c>
      <c r="P6947" s="208"/>
      <c r="Q6947" s="208"/>
      <c r="R6947" s="208">
        <v>6</v>
      </c>
    </row>
    <row r="6948" spans="1:18" ht="48">
      <c r="A6948" s="204">
        <v>143</v>
      </c>
      <c r="B6948" s="201" t="s">
        <v>12756</v>
      </c>
      <c r="C6948" s="205" t="s">
        <v>12757</v>
      </c>
      <c r="D6948" s="206">
        <v>166</v>
      </c>
      <c r="E6948" s="206">
        <v>157.72999999999999</v>
      </c>
      <c r="F6948" s="206"/>
      <c r="G6948" s="206">
        <v>8.27</v>
      </c>
      <c r="H6948" s="207">
        <v>1831.55</v>
      </c>
      <c r="I6948" s="207">
        <v>1813.87</v>
      </c>
      <c r="J6948" s="207"/>
      <c r="K6948" s="207">
        <v>17.68</v>
      </c>
      <c r="L6948" s="43">
        <f>IF(166=0, "-", 1867.78/166)</f>
        <v>11.251686746987952</v>
      </c>
      <c r="M6948" s="43">
        <v>11.500404203718674</v>
      </c>
      <c r="N6948" s="43" t="str">
        <f t="shared" si="5"/>
        <v>-</v>
      </c>
      <c r="O6948" s="43">
        <f>IF(8.27=0, "-", 53.91/8.27)</f>
        <v>6.5187424425634823</v>
      </c>
      <c r="P6948" s="208"/>
      <c r="Q6948" s="208"/>
      <c r="R6948" s="208">
        <v>6</v>
      </c>
    </row>
    <row r="6949" spans="1:18" ht="48">
      <c r="A6949" s="204">
        <v>144</v>
      </c>
      <c r="B6949" s="201" t="s">
        <v>12758</v>
      </c>
      <c r="C6949" s="205" t="s">
        <v>12759</v>
      </c>
      <c r="D6949" s="206">
        <v>195.34</v>
      </c>
      <c r="E6949" s="206">
        <v>185.62</v>
      </c>
      <c r="F6949" s="206"/>
      <c r="G6949" s="206">
        <v>9.7200000000000006</v>
      </c>
      <c r="H6949" s="207">
        <v>2155.4699999999998</v>
      </c>
      <c r="I6949" s="207">
        <v>2134.66</v>
      </c>
      <c r="J6949" s="207"/>
      <c r="K6949" s="207">
        <v>20.81</v>
      </c>
      <c r="L6949" s="43">
        <f>IF(195.34=0, "-", 2198.14/195.34)</f>
        <v>11.2528923927511</v>
      </c>
      <c r="M6949" s="43">
        <v>11.500404203718674</v>
      </c>
      <c r="N6949" s="43" t="str">
        <f t="shared" si="5"/>
        <v>-</v>
      </c>
      <c r="O6949" s="43">
        <f>IF(9.72=0, "-", 63.48/9.72)</f>
        <v>6.5308641975308639</v>
      </c>
      <c r="P6949" s="208"/>
      <c r="Q6949" s="208"/>
      <c r="R6949" s="208">
        <v>6</v>
      </c>
    </row>
    <row r="6950" spans="1:18" ht="12.75" customHeight="1">
      <c r="A6950" s="628" t="s">
        <v>12760</v>
      </c>
      <c r="B6950" s="629"/>
      <c r="C6950" s="629"/>
      <c r="D6950" s="629"/>
      <c r="E6950" s="629"/>
      <c r="F6950" s="629"/>
      <c r="G6950" s="629"/>
      <c r="H6950" s="629"/>
      <c r="I6950" s="629"/>
      <c r="J6950" s="629"/>
      <c r="K6950" s="629"/>
      <c r="L6950" s="629"/>
      <c r="M6950" s="629"/>
      <c r="N6950" s="629"/>
      <c r="O6950" s="629"/>
      <c r="P6950" s="629"/>
      <c r="Q6950" s="629"/>
      <c r="R6950" s="629"/>
    </row>
    <row r="6951" spans="1:18" ht="36">
      <c r="A6951" s="204">
        <v>145</v>
      </c>
      <c r="B6951" s="201" t="s">
        <v>12761</v>
      </c>
      <c r="C6951" s="205" t="s">
        <v>12762</v>
      </c>
      <c r="D6951" s="206">
        <v>18.440000000000001</v>
      </c>
      <c r="E6951" s="206">
        <v>11.83</v>
      </c>
      <c r="F6951" s="206"/>
      <c r="G6951" s="206">
        <v>6.61</v>
      </c>
      <c r="H6951" s="207">
        <v>156.87</v>
      </c>
      <c r="I6951" s="207">
        <v>136.1</v>
      </c>
      <c r="J6951" s="207"/>
      <c r="K6951" s="207">
        <v>20.77</v>
      </c>
      <c r="L6951" s="43">
        <f>IF(18.44=0, "-", 159.63/18.44)</f>
        <v>8.6567245119305856</v>
      </c>
      <c r="M6951" s="43">
        <v>11.500404203718674</v>
      </c>
      <c r="N6951" s="43" t="str">
        <f>IF(0=0, "-", 0/0)</f>
        <v>-</v>
      </c>
      <c r="O6951" s="43">
        <f>IF(6.61=0, "-", 23.53/6.61)</f>
        <v>3.5597579425113466</v>
      </c>
      <c r="P6951" s="208"/>
      <c r="Q6951" s="208"/>
      <c r="R6951" s="208">
        <v>7</v>
      </c>
    </row>
    <row r="6952" spans="1:18" ht="36">
      <c r="A6952" s="204">
        <v>146</v>
      </c>
      <c r="B6952" s="201" t="s">
        <v>12763</v>
      </c>
      <c r="C6952" s="205" t="s">
        <v>12764</v>
      </c>
      <c r="D6952" s="206">
        <v>20.260000000000002</v>
      </c>
      <c r="E6952" s="206">
        <v>12.74</v>
      </c>
      <c r="F6952" s="206"/>
      <c r="G6952" s="206">
        <v>7.52</v>
      </c>
      <c r="H6952" s="207">
        <v>170.26</v>
      </c>
      <c r="I6952" s="207">
        <v>146.53</v>
      </c>
      <c r="J6952" s="207"/>
      <c r="K6952" s="207">
        <v>23.73</v>
      </c>
      <c r="L6952" s="43">
        <f>IF(20.26=0, "-", 173.14/20.26)</f>
        <v>8.5459032576505418</v>
      </c>
      <c r="M6952" s="43">
        <v>11.500404203718674</v>
      </c>
      <c r="N6952" s="43" t="str">
        <f>IF(0=0, "-", 0/0)</f>
        <v>-</v>
      </c>
      <c r="O6952" s="43">
        <f>IF(7.52=0, "-", 26.61/7.52)</f>
        <v>3.5385638297872344</v>
      </c>
      <c r="P6952" s="208"/>
      <c r="Q6952" s="208"/>
      <c r="R6952" s="208">
        <v>7</v>
      </c>
    </row>
    <row r="6953" spans="1:18" ht="48">
      <c r="A6953" s="204">
        <v>147</v>
      </c>
      <c r="B6953" s="201" t="s">
        <v>12765</v>
      </c>
      <c r="C6953" s="205" t="s">
        <v>12766</v>
      </c>
      <c r="D6953" s="206">
        <v>15.45</v>
      </c>
      <c r="E6953" s="206">
        <v>13.65</v>
      </c>
      <c r="F6953" s="206"/>
      <c r="G6953" s="206">
        <v>1.8</v>
      </c>
      <c r="H6953" s="207">
        <v>163.18</v>
      </c>
      <c r="I6953" s="207">
        <v>156.94999999999999</v>
      </c>
      <c r="J6953" s="207"/>
      <c r="K6953" s="207">
        <v>6.23</v>
      </c>
      <c r="L6953" s="43">
        <f>IF(15.45=0, "-", 166.29/15.45)</f>
        <v>10.763106796116505</v>
      </c>
      <c r="M6953" s="43">
        <v>11.500404203718674</v>
      </c>
      <c r="N6953" s="43" t="str">
        <f>IF(0=0, "-", 0/0)</f>
        <v>-</v>
      </c>
      <c r="O6953" s="43">
        <f>IF(1.8=0, "-", 9.34/1.8)</f>
        <v>5.1888888888888891</v>
      </c>
      <c r="P6953" s="208"/>
      <c r="Q6953" s="208"/>
      <c r="R6953" s="208">
        <v>7</v>
      </c>
    </row>
    <row r="6954" spans="1:18" ht="12.75" customHeight="1">
      <c r="A6954" s="628" t="s">
        <v>12767</v>
      </c>
      <c r="B6954" s="629"/>
      <c r="C6954" s="629"/>
      <c r="D6954" s="629"/>
      <c r="E6954" s="629"/>
      <c r="F6954" s="629"/>
      <c r="G6954" s="629"/>
      <c r="H6954" s="629"/>
      <c r="I6954" s="629"/>
      <c r="J6954" s="629"/>
      <c r="K6954" s="629"/>
      <c r="L6954" s="629"/>
      <c r="M6954" s="629"/>
      <c r="N6954" s="629"/>
      <c r="O6954" s="629"/>
      <c r="P6954" s="629"/>
      <c r="Q6954" s="629"/>
      <c r="R6954" s="629"/>
    </row>
    <row r="6955" spans="1:18" ht="36">
      <c r="A6955" s="204">
        <v>148</v>
      </c>
      <c r="B6955" s="201" t="s">
        <v>12768</v>
      </c>
      <c r="C6955" s="205" t="s">
        <v>12769</v>
      </c>
      <c r="D6955" s="206">
        <v>6.79</v>
      </c>
      <c r="E6955" s="206">
        <v>5.8</v>
      </c>
      <c r="F6955" s="206"/>
      <c r="G6955" s="206">
        <v>0.99</v>
      </c>
      <c r="H6955" s="207">
        <v>69.540000000000006</v>
      </c>
      <c r="I6955" s="207">
        <v>66.709999999999994</v>
      </c>
      <c r="J6955" s="207"/>
      <c r="K6955" s="207">
        <v>2.83</v>
      </c>
      <c r="L6955" s="43">
        <f>IF(6.79=0, "-", 70.92/6.79)</f>
        <v>10.444771723122239</v>
      </c>
      <c r="M6955" s="43">
        <v>11.500404203718674</v>
      </c>
      <c r="N6955" s="43" t="str">
        <f>IF(0=0, "-", 0/0)</f>
        <v>-</v>
      </c>
      <c r="O6955" s="43">
        <f>IF(0.99=0, "-", 4.21/0.99)</f>
        <v>4.2525252525252526</v>
      </c>
      <c r="P6955" s="208"/>
      <c r="Q6955" s="208"/>
      <c r="R6955" s="208">
        <v>8</v>
      </c>
    </row>
    <row r="6956" spans="1:18" ht="36">
      <c r="A6956" s="204">
        <v>149</v>
      </c>
      <c r="B6956" s="201" t="s">
        <v>12770</v>
      </c>
      <c r="C6956" s="205" t="s">
        <v>12771</v>
      </c>
      <c r="D6956" s="206">
        <v>14.93</v>
      </c>
      <c r="E6956" s="206">
        <v>13.28</v>
      </c>
      <c r="F6956" s="206"/>
      <c r="G6956" s="206">
        <v>1.65</v>
      </c>
      <c r="H6956" s="207">
        <v>157.29</v>
      </c>
      <c r="I6956" s="207">
        <v>152.69</v>
      </c>
      <c r="J6956" s="207"/>
      <c r="K6956" s="207">
        <v>4.5999999999999996</v>
      </c>
      <c r="L6956" s="43">
        <f>IF(14.93=0, "-", 160.4/14.93)</f>
        <v>10.743469524447422</v>
      </c>
      <c r="M6956" s="43">
        <v>11.500404203718674</v>
      </c>
      <c r="N6956" s="43" t="str">
        <f>IF(0=0, "-", 0/0)</f>
        <v>-</v>
      </c>
      <c r="O6956" s="43">
        <f>IF(1.65=0, "-", 7.71/1.65)</f>
        <v>4.6727272727272728</v>
      </c>
      <c r="P6956" s="208"/>
      <c r="Q6956" s="208"/>
      <c r="R6956" s="208">
        <v>8</v>
      </c>
    </row>
    <row r="6957" spans="1:18" ht="48">
      <c r="A6957" s="204">
        <v>150</v>
      </c>
      <c r="B6957" s="201" t="s">
        <v>12772</v>
      </c>
      <c r="C6957" s="205" t="s">
        <v>12773</v>
      </c>
      <c r="D6957" s="206">
        <v>14.9</v>
      </c>
      <c r="E6957" s="206">
        <v>13.65</v>
      </c>
      <c r="F6957" s="206"/>
      <c r="G6957" s="206">
        <v>1.25</v>
      </c>
      <c r="H6957" s="207">
        <v>161.16999999999999</v>
      </c>
      <c r="I6957" s="207">
        <v>156.94999999999999</v>
      </c>
      <c r="J6957" s="207"/>
      <c r="K6957" s="207">
        <v>4.22</v>
      </c>
      <c r="L6957" s="43">
        <f>IF(14.9=0, "-", 164.28/14.9)</f>
        <v>11.025503355704698</v>
      </c>
      <c r="M6957" s="43">
        <v>11.500404203718674</v>
      </c>
      <c r="N6957" s="43" t="str">
        <f>IF(0=0, "-", 0/0)</f>
        <v>-</v>
      </c>
      <c r="O6957" s="43">
        <f>IF(1.25=0, "-", 7.33/1.25)</f>
        <v>5.8639999999999999</v>
      </c>
      <c r="P6957" s="208"/>
      <c r="Q6957" s="208"/>
      <c r="R6957" s="208">
        <v>8</v>
      </c>
    </row>
    <row r="6958" spans="1:18" ht="12.75" customHeight="1">
      <c r="A6958" s="628" t="s">
        <v>12774</v>
      </c>
      <c r="B6958" s="629"/>
      <c r="C6958" s="629"/>
      <c r="D6958" s="629"/>
      <c r="E6958" s="629"/>
      <c r="F6958" s="629"/>
      <c r="G6958" s="629"/>
      <c r="H6958" s="629"/>
      <c r="I6958" s="629"/>
      <c r="J6958" s="629"/>
      <c r="K6958" s="629"/>
      <c r="L6958" s="629"/>
      <c r="M6958" s="629"/>
      <c r="N6958" s="629"/>
      <c r="O6958" s="629"/>
      <c r="P6958" s="629"/>
      <c r="Q6958" s="629"/>
      <c r="R6958" s="629"/>
    </row>
    <row r="6959" spans="1:18" ht="24">
      <c r="A6959" s="204">
        <v>151</v>
      </c>
      <c r="B6959" s="201" t="s">
        <v>12775</v>
      </c>
      <c r="C6959" s="205" t="s">
        <v>12776</v>
      </c>
      <c r="D6959" s="206">
        <v>2.52</v>
      </c>
      <c r="E6959" s="206">
        <v>2.4700000000000002</v>
      </c>
      <c r="F6959" s="206"/>
      <c r="G6959" s="206">
        <v>0.05</v>
      </c>
      <c r="H6959" s="207">
        <v>28.44</v>
      </c>
      <c r="I6959" s="207">
        <v>28.44</v>
      </c>
      <c r="J6959" s="207"/>
      <c r="K6959" s="207"/>
      <c r="L6959" s="43">
        <v>11.500404203718674</v>
      </c>
      <c r="M6959" s="43">
        <v>11.500404203718674</v>
      </c>
      <c r="N6959" s="43" t="str">
        <f t="shared" ref="N6959:N6965" si="6">IF(0=0, "-", 0/0)</f>
        <v>-</v>
      </c>
      <c r="O6959" s="43">
        <v>11.500404203718674</v>
      </c>
      <c r="P6959" s="208"/>
      <c r="Q6959" s="208"/>
      <c r="R6959" s="208">
        <v>9</v>
      </c>
    </row>
    <row r="6960" spans="1:18" ht="24">
      <c r="A6960" s="204">
        <v>152</v>
      </c>
      <c r="B6960" s="201" t="s">
        <v>12777</v>
      </c>
      <c r="C6960" s="205" t="s">
        <v>12778</v>
      </c>
      <c r="D6960" s="206">
        <v>3.09</v>
      </c>
      <c r="E6960" s="206">
        <v>3.03</v>
      </c>
      <c r="F6960" s="206"/>
      <c r="G6960" s="206">
        <v>0.06</v>
      </c>
      <c r="H6960" s="207">
        <v>34.9</v>
      </c>
      <c r="I6960" s="207">
        <v>34.9</v>
      </c>
      <c r="J6960" s="207"/>
      <c r="K6960" s="207"/>
      <c r="L6960" s="43">
        <v>11.500404203718674</v>
      </c>
      <c r="M6960" s="43">
        <v>11.500404203718674</v>
      </c>
      <c r="N6960" s="43" t="str">
        <f t="shared" si="6"/>
        <v>-</v>
      </c>
      <c r="O6960" s="43">
        <v>11.500404203718674</v>
      </c>
      <c r="P6960" s="208"/>
      <c r="Q6960" s="208"/>
      <c r="R6960" s="208">
        <v>9</v>
      </c>
    </row>
    <row r="6961" spans="1:18" ht="24">
      <c r="A6961" s="204">
        <v>153</v>
      </c>
      <c r="B6961" s="201" t="s">
        <v>12779</v>
      </c>
      <c r="C6961" s="205" t="s">
        <v>12780</v>
      </c>
      <c r="D6961" s="206">
        <v>4.28</v>
      </c>
      <c r="E6961" s="206">
        <v>4.2</v>
      </c>
      <c r="F6961" s="206"/>
      <c r="G6961" s="206">
        <v>0.08</v>
      </c>
      <c r="H6961" s="207">
        <v>48.32</v>
      </c>
      <c r="I6961" s="207">
        <v>48.32</v>
      </c>
      <c r="J6961" s="207"/>
      <c r="K6961" s="207"/>
      <c r="L6961" s="43">
        <v>11.500404203718674</v>
      </c>
      <c r="M6961" s="43">
        <v>11.500404203718674</v>
      </c>
      <c r="N6961" s="43" t="str">
        <f t="shared" si="6"/>
        <v>-</v>
      </c>
      <c r="O6961" s="43">
        <v>11.500404203718674</v>
      </c>
      <c r="P6961" s="208"/>
      <c r="Q6961" s="208"/>
      <c r="R6961" s="208">
        <v>9</v>
      </c>
    </row>
    <row r="6962" spans="1:18" ht="24">
      <c r="A6962" s="204">
        <v>154</v>
      </c>
      <c r="B6962" s="201" t="s">
        <v>12781</v>
      </c>
      <c r="C6962" s="205" t="s">
        <v>12782</v>
      </c>
      <c r="D6962" s="206">
        <v>5.56</v>
      </c>
      <c r="E6962" s="206">
        <v>5.45</v>
      </c>
      <c r="F6962" s="206"/>
      <c r="G6962" s="206">
        <v>0.11</v>
      </c>
      <c r="H6962" s="207">
        <v>62.69</v>
      </c>
      <c r="I6962" s="207">
        <v>62.69</v>
      </c>
      <c r="J6962" s="207"/>
      <c r="K6962" s="207"/>
      <c r="L6962" s="43">
        <v>11.500404203718674</v>
      </c>
      <c r="M6962" s="43">
        <v>11.500404203718674</v>
      </c>
      <c r="N6962" s="43" t="str">
        <f t="shared" si="6"/>
        <v>-</v>
      </c>
      <c r="O6962" s="43">
        <v>11.500404203718674</v>
      </c>
      <c r="P6962" s="208"/>
      <c r="Q6962" s="208"/>
      <c r="R6962" s="208">
        <v>9</v>
      </c>
    </row>
    <row r="6963" spans="1:18" ht="24">
      <c r="A6963" s="204">
        <v>155</v>
      </c>
      <c r="B6963" s="201" t="s">
        <v>12783</v>
      </c>
      <c r="C6963" s="205" t="s">
        <v>12784</v>
      </c>
      <c r="D6963" s="206">
        <v>6.53</v>
      </c>
      <c r="E6963" s="206">
        <v>6.4</v>
      </c>
      <c r="F6963" s="206"/>
      <c r="G6963" s="206">
        <v>0.13</v>
      </c>
      <c r="H6963" s="207">
        <v>73.59</v>
      </c>
      <c r="I6963" s="207">
        <v>73.59</v>
      </c>
      <c r="J6963" s="207"/>
      <c r="K6963" s="207"/>
      <c r="L6963" s="43">
        <v>11.500404203718674</v>
      </c>
      <c r="M6963" s="43">
        <v>11.500404203718674</v>
      </c>
      <c r="N6963" s="43" t="str">
        <f t="shared" si="6"/>
        <v>-</v>
      </c>
      <c r="O6963" s="43">
        <v>11.500404203718674</v>
      </c>
      <c r="P6963" s="208"/>
      <c r="Q6963" s="208"/>
      <c r="R6963" s="208">
        <v>9</v>
      </c>
    </row>
    <row r="6964" spans="1:18" ht="24">
      <c r="A6964" s="204">
        <v>156</v>
      </c>
      <c r="B6964" s="201" t="s">
        <v>12785</v>
      </c>
      <c r="C6964" s="205" t="s">
        <v>12786</v>
      </c>
      <c r="D6964" s="206">
        <v>9.3000000000000007</v>
      </c>
      <c r="E6964" s="206">
        <v>9.1199999999999992</v>
      </c>
      <c r="F6964" s="206"/>
      <c r="G6964" s="206">
        <v>0.18</v>
      </c>
      <c r="H6964" s="207">
        <v>104.94</v>
      </c>
      <c r="I6964" s="207">
        <v>104.94</v>
      </c>
      <c r="J6964" s="207"/>
      <c r="K6964" s="207"/>
      <c r="L6964" s="43">
        <v>11.500404203718674</v>
      </c>
      <c r="M6964" s="43">
        <v>11.500404203718674</v>
      </c>
      <c r="N6964" s="43" t="str">
        <f t="shared" si="6"/>
        <v>-</v>
      </c>
      <c r="O6964" s="43">
        <v>11.500404203718674</v>
      </c>
      <c r="P6964" s="208"/>
      <c r="Q6964" s="208"/>
      <c r="R6964" s="208">
        <v>9</v>
      </c>
    </row>
    <row r="6965" spans="1:18" ht="24">
      <c r="A6965" s="204">
        <v>157</v>
      </c>
      <c r="B6965" s="201" t="s">
        <v>12787</v>
      </c>
      <c r="C6965" s="205" t="s">
        <v>12788</v>
      </c>
      <c r="D6965" s="206">
        <v>11</v>
      </c>
      <c r="E6965" s="206">
        <v>10.78</v>
      </c>
      <c r="F6965" s="206"/>
      <c r="G6965" s="206">
        <v>0.22</v>
      </c>
      <c r="H6965" s="207">
        <v>124.01</v>
      </c>
      <c r="I6965" s="207">
        <v>124.01</v>
      </c>
      <c r="J6965" s="207"/>
      <c r="K6965" s="207"/>
      <c r="L6965" s="43">
        <v>11.500404203718674</v>
      </c>
      <c r="M6965" s="43">
        <v>11.500404203718674</v>
      </c>
      <c r="N6965" s="43" t="str">
        <f t="shared" si="6"/>
        <v>-</v>
      </c>
      <c r="O6965" s="43">
        <v>11.500404203718674</v>
      </c>
      <c r="P6965" s="208"/>
      <c r="Q6965" s="208"/>
      <c r="R6965" s="208">
        <v>9</v>
      </c>
    </row>
    <row r="6966" spans="1:18" ht="12.75" customHeight="1">
      <c r="A6966" s="628" t="s">
        <v>11323</v>
      </c>
      <c r="B6966" s="629"/>
      <c r="C6966" s="629"/>
      <c r="D6966" s="629"/>
      <c r="E6966" s="629"/>
      <c r="F6966" s="629"/>
      <c r="G6966" s="629"/>
      <c r="H6966" s="629"/>
      <c r="I6966" s="629"/>
      <c r="J6966" s="629"/>
      <c r="K6966" s="629"/>
      <c r="L6966" s="629"/>
      <c r="M6966" s="629"/>
      <c r="N6966" s="629"/>
      <c r="O6966" s="629"/>
      <c r="P6966" s="629"/>
      <c r="Q6966" s="629"/>
      <c r="R6966" s="629"/>
    </row>
    <row r="6967" spans="1:18" ht="24">
      <c r="A6967" s="204">
        <v>158</v>
      </c>
      <c r="B6967" s="201" t="s">
        <v>12789</v>
      </c>
      <c r="C6967" s="205" t="s">
        <v>12790</v>
      </c>
      <c r="D6967" s="206">
        <v>4.5599999999999996</v>
      </c>
      <c r="E6967" s="206">
        <v>2.92</v>
      </c>
      <c r="F6967" s="206"/>
      <c r="G6967" s="206">
        <v>1.64</v>
      </c>
      <c r="H6967" s="207">
        <v>37.86</v>
      </c>
      <c r="I6967" s="207">
        <v>33.549999999999997</v>
      </c>
      <c r="J6967" s="207"/>
      <c r="K6967" s="207">
        <v>4.3099999999999996</v>
      </c>
      <c r="L6967" s="43">
        <f>IF(4.56=0, "-", 38.55/4.56)</f>
        <v>8.4539473684210531</v>
      </c>
      <c r="M6967" s="43">
        <v>11.500404203718674</v>
      </c>
      <c r="N6967" s="43" t="str">
        <f t="shared" ref="N6967:N6976" si="7">IF(0=0, "-", 0/0)</f>
        <v>-</v>
      </c>
      <c r="O6967" s="43">
        <f>IF(1.64=0, "-", 5/1.64)</f>
        <v>3.0487804878048781</v>
      </c>
      <c r="P6967" s="208"/>
      <c r="Q6967" s="208"/>
      <c r="R6967" s="208">
        <v>10</v>
      </c>
    </row>
    <row r="6968" spans="1:18" ht="24">
      <c r="A6968" s="204">
        <v>159</v>
      </c>
      <c r="B6968" s="201" t="s">
        <v>12791</v>
      </c>
      <c r="C6968" s="205" t="s">
        <v>12792</v>
      </c>
      <c r="D6968" s="206">
        <v>9.8699999999999992</v>
      </c>
      <c r="E6968" s="206">
        <v>6.42</v>
      </c>
      <c r="F6968" s="206"/>
      <c r="G6968" s="206">
        <v>3.45</v>
      </c>
      <c r="H6968" s="207">
        <v>82.81</v>
      </c>
      <c r="I6968" s="207">
        <v>73.819999999999993</v>
      </c>
      <c r="J6968" s="207"/>
      <c r="K6968" s="207">
        <v>8.99</v>
      </c>
      <c r="L6968" s="43">
        <f>IF(9.87=0, "-", 84.31/9.87)</f>
        <v>8.5420466058763935</v>
      </c>
      <c r="M6968" s="43">
        <v>11.500404203718674</v>
      </c>
      <c r="N6968" s="43" t="str">
        <f t="shared" si="7"/>
        <v>-</v>
      </c>
      <c r="O6968" s="43">
        <f>IF(3.45=0, "-", 10.49/3.45)</f>
        <v>3.0405797101449274</v>
      </c>
      <c r="P6968" s="208"/>
      <c r="Q6968" s="208"/>
      <c r="R6968" s="208">
        <v>10</v>
      </c>
    </row>
    <row r="6969" spans="1:18" ht="24">
      <c r="A6969" s="204">
        <v>160</v>
      </c>
      <c r="B6969" s="201" t="s">
        <v>12793</v>
      </c>
      <c r="C6969" s="205" t="s">
        <v>12794</v>
      </c>
      <c r="D6969" s="206">
        <v>18</v>
      </c>
      <c r="E6969" s="206">
        <v>12.84</v>
      </c>
      <c r="F6969" s="206"/>
      <c r="G6969" s="206">
        <v>5.16</v>
      </c>
      <c r="H6969" s="207">
        <v>160.4</v>
      </c>
      <c r="I6969" s="207">
        <v>147.63</v>
      </c>
      <c r="J6969" s="207"/>
      <c r="K6969" s="207">
        <v>12.77</v>
      </c>
      <c r="L6969" s="43">
        <f>IF(18=0, "-", 163.39/18)</f>
        <v>9.0772222222222219</v>
      </c>
      <c r="M6969" s="43">
        <v>11.500404203718674</v>
      </c>
      <c r="N6969" s="43" t="str">
        <f t="shared" si="7"/>
        <v>-</v>
      </c>
      <c r="O6969" s="43">
        <f>IF(5.16=0, "-", 15.76/5.16)</f>
        <v>3.054263565891473</v>
      </c>
      <c r="P6969" s="208"/>
      <c r="Q6969" s="208"/>
      <c r="R6969" s="208">
        <v>10</v>
      </c>
    </row>
    <row r="6970" spans="1:18" ht="24">
      <c r="A6970" s="204">
        <v>161</v>
      </c>
      <c r="B6970" s="201" t="s">
        <v>12795</v>
      </c>
      <c r="C6970" s="205" t="s">
        <v>12796</v>
      </c>
      <c r="D6970" s="206">
        <v>29.33</v>
      </c>
      <c r="E6970" s="206">
        <v>22.24</v>
      </c>
      <c r="F6970" s="206"/>
      <c r="G6970" s="206">
        <v>7.09</v>
      </c>
      <c r="H6970" s="207">
        <v>273.22000000000003</v>
      </c>
      <c r="I6970" s="207">
        <v>255.73</v>
      </c>
      <c r="J6970" s="207"/>
      <c r="K6970" s="207">
        <v>17.489999999999998</v>
      </c>
      <c r="L6970" s="43">
        <f>IF(29.33=0, "-", 278.28/29.33)</f>
        <v>9.4878963518581649</v>
      </c>
      <c r="M6970" s="43">
        <v>11.500404203718674</v>
      </c>
      <c r="N6970" s="43" t="str">
        <f t="shared" si="7"/>
        <v>-</v>
      </c>
      <c r="O6970" s="43">
        <f>IF(7.09=0, "-", 22.55/7.09)</f>
        <v>3.1805359661495065</v>
      </c>
      <c r="P6970" s="208"/>
      <c r="Q6970" s="208"/>
      <c r="R6970" s="208">
        <v>10</v>
      </c>
    </row>
    <row r="6971" spans="1:18" ht="24">
      <c r="A6971" s="204">
        <v>162</v>
      </c>
      <c r="B6971" s="201" t="s">
        <v>12797</v>
      </c>
      <c r="C6971" s="205" t="s">
        <v>12798</v>
      </c>
      <c r="D6971" s="206">
        <v>47.53</v>
      </c>
      <c r="E6971" s="206">
        <v>38.22</v>
      </c>
      <c r="F6971" s="206"/>
      <c r="G6971" s="206">
        <v>9.31</v>
      </c>
      <c r="H6971" s="207">
        <v>462.19</v>
      </c>
      <c r="I6971" s="207">
        <v>439.58</v>
      </c>
      <c r="J6971" s="207"/>
      <c r="K6971" s="207">
        <v>22.61</v>
      </c>
      <c r="L6971" s="43">
        <f>IF(47.53=0, "-", 470.93/47.53)</f>
        <v>9.9080580685882591</v>
      </c>
      <c r="M6971" s="43">
        <v>11.500404203718674</v>
      </c>
      <c r="N6971" s="43" t="str">
        <f t="shared" si="7"/>
        <v>-</v>
      </c>
      <c r="O6971" s="43">
        <f>IF(9.31=0, "-", 31.35/9.31)</f>
        <v>3.3673469387755102</v>
      </c>
      <c r="P6971" s="208"/>
      <c r="Q6971" s="208"/>
      <c r="R6971" s="208">
        <v>10</v>
      </c>
    </row>
    <row r="6972" spans="1:18" ht="36">
      <c r="A6972" s="204">
        <v>163</v>
      </c>
      <c r="B6972" s="201" t="s">
        <v>12799</v>
      </c>
      <c r="C6972" s="205" t="s">
        <v>12800</v>
      </c>
      <c r="D6972" s="206">
        <v>5.15</v>
      </c>
      <c r="E6972" s="206">
        <v>3.5</v>
      </c>
      <c r="F6972" s="206"/>
      <c r="G6972" s="206">
        <v>1.65</v>
      </c>
      <c r="H6972" s="207">
        <v>44.57</v>
      </c>
      <c r="I6972" s="207">
        <v>40.26</v>
      </c>
      <c r="J6972" s="207"/>
      <c r="K6972" s="207">
        <v>4.3099999999999996</v>
      </c>
      <c r="L6972" s="43">
        <f>IF(5.15=0, "-", 45.38/5.15)</f>
        <v>8.8116504854368927</v>
      </c>
      <c r="M6972" s="43">
        <v>11.500404203718674</v>
      </c>
      <c r="N6972" s="43" t="str">
        <f t="shared" si="7"/>
        <v>-</v>
      </c>
      <c r="O6972" s="43">
        <f>IF(1.65=0, "-", 5.12/1.65)</f>
        <v>3.1030303030303035</v>
      </c>
      <c r="P6972" s="208"/>
      <c r="Q6972" s="208"/>
      <c r="R6972" s="208">
        <v>10</v>
      </c>
    </row>
    <row r="6973" spans="1:18" ht="36">
      <c r="A6973" s="204">
        <v>164</v>
      </c>
      <c r="B6973" s="201" t="s">
        <v>12801</v>
      </c>
      <c r="C6973" s="205" t="s">
        <v>12802</v>
      </c>
      <c r="D6973" s="206">
        <v>10.58</v>
      </c>
      <c r="E6973" s="206">
        <v>7.12</v>
      </c>
      <c r="F6973" s="206"/>
      <c r="G6973" s="206">
        <v>3.46</v>
      </c>
      <c r="H6973" s="207">
        <v>90.86</v>
      </c>
      <c r="I6973" s="207">
        <v>81.87</v>
      </c>
      <c r="J6973" s="207"/>
      <c r="K6973" s="207">
        <v>8.99</v>
      </c>
      <c r="L6973" s="43">
        <f>IF(10.58=0, "-", 92.47/10.58)</f>
        <v>8.7400756143667291</v>
      </c>
      <c r="M6973" s="43">
        <v>11.500404203718674</v>
      </c>
      <c r="N6973" s="43" t="str">
        <f t="shared" si="7"/>
        <v>-</v>
      </c>
      <c r="O6973" s="43">
        <f>IF(3.46=0, "-", 10.6/3.46)</f>
        <v>3.0635838150289016</v>
      </c>
      <c r="P6973" s="208"/>
      <c r="Q6973" s="208"/>
      <c r="R6973" s="208">
        <v>10</v>
      </c>
    </row>
    <row r="6974" spans="1:18" ht="36">
      <c r="A6974" s="204">
        <v>165</v>
      </c>
      <c r="B6974" s="201" t="s">
        <v>12803</v>
      </c>
      <c r="C6974" s="205" t="s">
        <v>12804</v>
      </c>
      <c r="D6974" s="206">
        <v>19.07</v>
      </c>
      <c r="E6974" s="206">
        <v>13.89</v>
      </c>
      <c r="F6974" s="206"/>
      <c r="G6974" s="206">
        <v>5.18</v>
      </c>
      <c r="H6974" s="207">
        <v>172.48</v>
      </c>
      <c r="I6974" s="207">
        <v>159.71</v>
      </c>
      <c r="J6974" s="207"/>
      <c r="K6974" s="207">
        <v>12.77</v>
      </c>
      <c r="L6974" s="43">
        <f>IF(19.07=0, "-", 175.7/19.07)</f>
        <v>9.2134242265338226</v>
      </c>
      <c r="M6974" s="43">
        <v>11.500404203718674</v>
      </c>
      <c r="N6974" s="43" t="str">
        <f t="shared" si="7"/>
        <v>-</v>
      </c>
      <c r="O6974" s="43">
        <f>IF(5.18=0, "-", 15.99/5.18)</f>
        <v>3.086872586872587</v>
      </c>
      <c r="P6974" s="208"/>
      <c r="Q6974" s="208"/>
      <c r="R6974" s="208">
        <v>10</v>
      </c>
    </row>
    <row r="6975" spans="1:18" ht="36">
      <c r="A6975" s="204">
        <v>166</v>
      </c>
      <c r="B6975" s="201" t="s">
        <v>12805</v>
      </c>
      <c r="C6975" s="205" t="s">
        <v>12806</v>
      </c>
      <c r="D6975" s="206">
        <v>29.98</v>
      </c>
      <c r="E6975" s="206">
        <v>22.87</v>
      </c>
      <c r="F6975" s="206"/>
      <c r="G6975" s="206">
        <v>7.11</v>
      </c>
      <c r="H6975" s="207">
        <v>280.54000000000002</v>
      </c>
      <c r="I6975" s="207">
        <v>263.05</v>
      </c>
      <c r="J6975" s="207"/>
      <c r="K6975" s="207">
        <v>17.489999999999998</v>
      </c>
      <c r="L6975" s="43">
        <f>IF(29.98=0, "-", 285.83/29.98)</f>
        <v>9.5340226817878584</v>
      </c>
      <c r="M6975" s="43">
        <v>11.500404203718674</v>
      </c>
      <c r="N6975" s="43" t="str">
        <f t="shared" si="7"/>
        <v>-</v>
      </c>
      <c r="O6975" s="43">
        <f>IF(7.11=0, "-", 22.78/7.11)</f>
        <v>3.2039381153305202</v>
      </c>
      <c r="P6975" s="208"/>
      <c r="Q6975" s="208"/>
      <c r="R6975" s="208">
        <v>10</v>
      </c>
    </row>
    <row r="6976" spans="1:18" ht="36">
      <c r="A6976" s="209">
        <v>167</v>
      </c>
      <c r="B6976" s="210" t="s">
        <v>12807</v>
      </c>
      <c r="C6976" s="211" t="s">
        <v>12808</v>
      </c>
      <c r="D6976" s="212">
        <v>45.33</v>
      </c>
      <c r="E6976" s="212">
        <v>36.06</v>
      </c>
      <c r="F6976" s="212"/>
      <c r="G6976" s="212">
        <v>9.27</v>
      </c>
      <c r="H6976" s="213">
        <v>437.32</v>
      </c>
      <c r="I6976" s="213">
        <v>414.71</v>
      </c>
      <c r="J6976" s="213"/>
      <c r="K6976" s="213">
        <v>22.61</v>
      </c>
      <c r="L6976" s="611">
        <f>IF(45.33=0, "-", 445.6/45.33)</f>
        <v>9.8301345687182895</v>
      </c>
      <c r="M6976" s="43">
        <v>11.500404203718674</v>
      </c>
      <c r="N6976" s="611" t="str">
        <f t="shared" si="7"/>
        <v>-</v>
      </c>
      <c r="O6976" s="611">
        <f>IF(9.27=0, "-", 30.89/9.27)</f>
        <v>3.3322545846817695</v>
      </c>
      <c r="P6976" s="214"/>
      <c r="Q6976" s="214"/>
      <c r="R6976" s="214">
        <v>10</v>
      </c>
    </row>
    <row r="6977" spans="1:18" ht="12.75" customHeight="1">
      <c r="A6977" s="630" t="s">
        <v>12809</v>
      </c>
      <c r="B6977" s="631"/>
      <c r="C6977" s="631"/>
      <c r="D6977" s="631"/>
      <c r="E6977" s="631"/>
      <c r="F6977" s="631"/>
      <c r="G6977" s="631"/>
      <c r="H6977" s="631"/>
      <c r="I6977" s="631"/>
      <c r="J6977" s="631"/>
      <c r="K6977" s="631"/>
      <c r="L6977" s="631"/>
      <c r="M6977" s="631"/>
      <c r="N6977" s="631"/>
      <c r="O6977" s="631"/>
      <c r="P6977" s="631"/>
      <c r="Q6977" s="631"/>
      <c r="R6977" s="631"/>
    </row>
    <row r="6978" spans="1:18" ht="12.75" customHeight="1">
      <c r="A6978" s="628" t="s">
        <v>12810</v>
      </c>
      <c r="B6978" s="629"/>
      <c r="C6978" s="629"/>
      <c r="D6978" s="629"/>
      <c r="E6978" s="629"/>
      <c r="F6978" s="629"/>
      <c r="G6978" s="629"/>
      <c r="H6978" s="629"/>
      <c r="I6978" s="629"/>
      <c r="J6978" s="629"/>
      <c r="K6978" s="629"/>
      <c r="L6978" s="629"/>
      <c r="M6978" s="629"/>
      <c r="N6978" s="629"/>
      <c r="O6978" s="629"/>
      <c r="P6978" s="629"/>
      <c r="Q6978" s="629"/>
      <c r="R6978" s="629"/>
    </row>
    <row r="6979" spans="1:18" ht="12.75" customHeight="1">
      <c r="A6979" s="628" t="s">
        <v>12811</v>
      </c>
      <c r="B6979" s="629"/>
      <c r="C6979" s="629"/>
      <c r="D6979" s="629"/>
      <c r="E6979" s="629"/>
      <c r="F6979" s="629"/>
      <c r="G6979" s="629"/>
      <c r="H6979" s="629"/>
      <c r="I6979" s="629"/>
      <c r="J6979" s="629"/>
      <c r="K6979" s="629"/>
      <c r="L6979" s="629"/>
      <c r="M6979" s="629"/>
      <c r="N6979" s="629"/>
      <c r="O6979" s="629"/>
      <c r="P6979" s="629"/>
      <c r="Q6979" s="629"/>
      <c r="R6979" s="629"/>
    </row>
    <row r="6980" spans="1:18" ht="24">
      <c r="A6980" s="204">
        <v>168</v>
      </c>
      <c r="B6980" s="201" t="s">
        <v>12812</v>
      </c>
      <c r="C6980" s="205" t="s">
        <v>12813</v>
      </c>
      <c r="D6980" s="206">
        <v>56.78</v>
      </c>
      <c r="E6980" s="206">
        <v>6.01</v>
      </c>
      <c r="F6980" s="206">
        <v>41.25</v>
      </c>
      <c r="G6980" s="206">
        <v>9.52</v>
      </c>
      <c r="H6980" s="207">
        <v>307.33</v>
      </c>
      <c r="I6980" s="207">
        <v>69.14</v>
      </c>
      <c r="J6980" s="207">
        <v>210.97</v>
      </c>
      <c r="K6980" s="207">
        <v>27.22</v>
      </c>
      <c r="L6980" s="43">
        <f>IF(56.78=0, "-", 308.71/56.78)</f>
        <v>5.436949630151461</v>
      </c>
      <c r="M6980" s="43">
        <v>11.500404203718674</v>
      </c>
      <c r="N6980" s="43">
        <f>IF(41.25=0, "-", 210.97/41.25)</f>
        <v>5.1144242424242421</v>
      </c>
      <c r="O6980" s="43">
        <f>IF(9.52=0, "-", 28.6/9.52)</f>
        <v>3.0042016806722693</v>
      </c>
      <c r="P6980" s="208"/>
      <c r="Q6980" s="208"/>
      <c r="R6980" s="208">
        <v>1</v>
      </c>
    </row>
    <row r="6981" spans="1:18" ht="24">
      <c r="A6981" s="204">
        <v>169</v>
      </c>
      <c r="B6981" s="201" t="s">
        <v>12814</v>
      </c>
      <c r="C6981" s="205" t="s">
        <v>12815</v>
      </c>
      <c r="D6981" s="206">
        <v>83.81</v>
      </c>
      <c r="E6981" s="206">
        <v>11.92</v>
      </c>
      <c r="F6981" s="206">
        <v>62.25</v>
      </c>
      <c r="G6981" s="206">
        <v>9.64</v>
      </c>
      <c r="H6981" s="207">
        <v>489.15</v>
      </c>
      <c r="I6981" s="207">
        <v>137.11000000000001</v>
      </c>
      <c r="J6981" s="207">
        <v>324.82</v>
      </c>
      <c r="K6981" s="207">
        <v>27.22</v>
      </c>
      <c r="L6981" s="43">
        <f>IF(83.81=0, "-", 491.91/83.81)</f>
        <v>5.8693473332537884</v>
      </c>
      <c r="M6981" s="43">
        <v>11.500404203718674</v>
      </c>
      <c r="N6981" s="43">
        <f>IF(62.25=0, "-", 324.82/62.25)</f>
        <v>5.2179919678714857</v>
      </c>
      <c r="O6981" s="43">
        <f>IF(9.64=0, "-", 29.98/9.64)</f>
        <v>3.1099585062240664</v>
      </c>
      <c r="P6981" s="208"/>
      <c r="Q6981" s="208"/>
      <c r="R6981" s="208">
        <v>1</v>
      </c>
    </row>
    <row r="6982" spans="1:18" ht="24">
      <c r="A6982" s="204">
        <v>170</v>
      </c>
      <c r="B6982" s="201" t="s">
        <v>12816</v>
      </c>
      <c r="C6982" s="205" t="s">
        <v>12817</v>
      </c>
      <c r="D6982" s="206">
        <v>172.8</v>
      </c>
      <c r="E6982" s="206">
        <v>24.05</v>
      </c>
      <c r="F6982" s="206">
        <v>133.88</v>
      </c>
      <c r="G6982" s="206">
        <v>14.87</v>
      </c>
      <c r="H6982" s="207">
        <v>1016.44</v>
      </c>
      <c r="I6982" s="207">
        <v>276.52</v>
      </c>
      <c r="J6982" s="207">
        <v>698.25</v>
      </c>
      <c r="K6982" s="207">
        <v>41.67</v>
      </c>
      <c r="L6982" s="43">
        <f>IF(172.8=0, "-", 1021.96/172.8)</f>
        <v>5.9141203703703704</v>
      </c>
      <c r="M6982" s="43">
        <v>11.500404203718674</v>
      </c>
      <c r="N6982" s="43">
        <f>IF(133.88=0, "-", 698.25/133.88)</f>
        <v>5.2154914849118619</v>
      </c>
      <c r="O6982" s="43">
        <f>IF(14.87=0, "-", 47.19/14.87)</f>
        <v>3.1735036987222598</v>
      </c>
      <c r="P6982" s="208"/>
      <c r="Q6982" s="208"/>
      <c r="R6982" s="208">
        <v>1</v>
      </c>
    </row>
    <row r="6983" spans="1:18" ht="24">
      <c r="A6983" s="204">
        <v>171</v>
      </c>
      <c r="B6983" s="201" t="s">
        <v>12818</v>
      </c>
      <c r="C6983" s="205" t="s">
        <v>12819</v>
      </c>
      <c r="D6983" s="206">
        <v>249.17</v>
      </c>
      <c r="E6983" s="206">
        <v>30.31</v>
      </c>
      <c r="F6983" s="206">
        <v>197.1</v>
      </c>
      <c r="G6983" s="206">
        <v>21.76</v>
      </c>
      <c r="H6983" s="207">
        <v>1445.51</v>
      </c>
      <c r="I6983" s="207">
        <v>348.52</v>
      </c>
      <c r="J6983" s="207">
        <v>1035.75</v>
      </c>
      <c r="K6983" s="207">
        <v>61.24</v>
      </c>
      <c r="L6983" s="43">
        <f>IF(249.17=0, "-", 1452.53/249.17)</f>
        <v>5.8294738531925994</v>
      </c>
      <c r="M6983" s="43">
        <v>11.500404203718674</v>
      </c>
      <c r="N6983" s="43">
        <f>IF(197.1=0, "-", 1035.75/197.1)</f>
        <v>5.2549467275494672</v>
      </c>
      <c r="O6983" s="43">
        <f>IF(21.76=0, "-", 68.26/21.76)</f>
        <v>3.1369485294117645</v>
      </c>
      <c r="P6983" s="208"/>
      <c r="Q6983" s="208"/>
      <c r="R6983" s="208">
        <v>1</v>
      </c>
    </row>
    <row r="6984" spans="1:18" ht="24">
      <c r="A6984" s="204">
        <v>172</v>
      </c>
      <c r="B6984" s="201" t="s">
        <v>12820</v>
      </c>
      <c r="C6984" s="205" t="s">
        <v>12821</v>
      </c>
      <c r="D6984" s="206">
        <v>354.1</v>
      </c>
      <c r="E6984" s="206">
        <v>36.159999999999997</v>
      </c>
      <c r="F6984" s="206">
        <v>296.07</v>
      </c>
      <c r="G6984" s="206">
        <v>21.87</v>
      </c>
      <c r="H6984" s="207">
        <v>2032.41</v>
      </c>
      <c r="I6984" s="207">
        <v>415.82</v>
      </c>
      <c r="J6984" s="207">
        <v>1555.35</v>
      </c>
      <c r="K6984" s="207">
        <v>61.24</v>
      </c>
      <c r="L6984" s="43">
        <f>IF(354.1=0, "-", 2040.69/354.1)</f>
        <v>5.7630330415136966</v>
      </c>
      <c r="M6984" s="43">
        <v>11.500404203718674</v>
      </c>
      <c r="N6984" s="43">
        <f>IF(296.07=0, "-", 1555.35/296.07)</f>
        <v>5.2533184719829764</v>
      </c>
      <c r="O6984" s="43">
        <f>IF(21.87=0, "-", 69.52/21.87)</f>
        <v>3.1787837219935984</v>
      </c>
      <c r="P6984" s="208"/>
      <c r="Q6984" s="208"/>
      <c r="R6984" s="208">
        <v>1</v>
      </c>
    </row>
    <row r="6985" spans="1:18" ht="12.75" customHeight="1">
      <c r="A6985" s="628" t="s">
        <v>12822</v>
      </c>
      <c r="B6985" s="629"/>
      <c r="C6985" s="629"/>
      <c r="D6985" s="629"/>
      <c r="E6985" s="629"/>
      <c r="F6985" s="629"/>
      <c r="G6985" s="629"/>
      <c r="H6985" s="629"/>
      <c r="I6985" s="629"/>
      <c r="J6985" s="629"/>
      <c r="K6985" s="629"/>
      <c r="L6985" s="629"/>
      <c r="M6985" s="629"/>
      <c r="N6985" s="629"/>
      <c r="O6985" s="629"/>
      <c r="P6985" s="629"/>
      <c r="Q6985" s="629"/>
      <c r="R6985" s="629"/>
    </row>
    <row r="6986" spans="1:18" ht="36">
      <c r="A6986" s="204">
        <v>173</v>
      </c>
      <c r="B6986" s="201" t="s">
        <v>12823</v>
      </c>
      <c r="C6986" s="205" t="s">
        <v>12824</v>
      </c>
      <c r="D6986" s="206">
        <v>92.29</v>
      </c>
      <c r="E6986" s="206">
        <v>13.44</v>
      </c>
      <c r="F6986" s="206">
        <v>57.91</v>
      </c>
      <c r="G6986" s="206">
        <v>20.94</v>
      </c>
      <c r="H6986" s="207">
        <v>615.72</v>
      </c>
      <c r="I6986" s="207">
        <v>154.6</v>
      </c>
      <c r="J6986" s="207">
        <v>363.45</v>
      </c>
      <c r="K6986" s="207">
        <v>97.67</v>
      </c>
      <c r="L6986" s="43">
        <f>IF(92.29=0, "-", 618.83/92.29)</f>
        <v>6.7052768447285729</v>
      </c>
      <c r="M6986" s="43">
        <v>11.500404203718674</v>
      </c>
      <c r="N6986" s="43">
        <f>IF(57.91=0, "-", 363.45/57.91)</f>
        <v>6.2761181143153166</v>
      </c>
      <c r="O6986" s="43">
        <f>IF(20.94=0, "-", 100.78/20.94)</f>
        <v>4.8127984718242596</v>
      </c>
      <c r="P6986" s="208"/>
      <c r="Q6986" s="208"/>
      <c r="R6986" s="208">
        <v>2</v>
      </c>
    </row>
    <row r="6987" spans="1:18" ht="36">
      <c r="A6987" s="204">
        <v>174</v>
      </c>
      <c r="B6987" s="201" t="s">
        <v>12825</v>
      </c>
      <c r="C6987" s="205" t="s">
        <v>12826</v>
      </c>
      <c r="D6987" s="206">
        <v>106.12</v>
      </c>
      <c r="E6987" s="206">
        <v>27</v>
      </c>
      <c r="F6987" s="206">
        <v>57.91</v>
      </c>
      <c r="G6987" s="206">
        <v>21.21</v>
      </c>
      <c r="H6987" s="207">
        <v>771.65</v>
      </c>
      <c r="I6987" s="207">
        <v>310.52999999999997</v>
      </c>
      <c r="J6987" s="207">
        <v>363.45</v>
      </c>
      <c r="K6987" s="207">
        <v>97.67</v>
      </c>
      <c r="L6987" s="43">
        <f>IF(106.12=0, "-", 777.86/106.12)</f>
        <v>7.3300037693177531</v>
      </c>
      <c r="M6987" s="43">
        <v>11.500404203718674</v>
      </c>
      <c r="N6987" s="43">
        <f>IF(57.91=0, "-", 363.45/57.91)</f>
        <v>6.2761181143153166</v>
      </c>
      <c r="O6987" s="43">
        <f>IF(21.21=0, "-", 103.88/21.21)</f>
        <v>4.897689768976897</v>
      </c>
      <c r="P6987" s="208"/>
      <c r="Q6987" s="208"/>
      <c r="R6987" s="208">
        <v>2</v>
      </c>
    </row>
    <row r="6988" spans="1:18" ht="36">
      <c r="A6988" s="209">
        <v>175</v>
      </c>
      <c r="B6988" s="210" t="s">
        <v>12827</v>
      </c>
      <c r="C6988" s="211" t="s">
        <v>12828</v>
      </c>
      <c r="D6988" s="212">
        <v>119.83</v>
      </c>
      <c r="E6988" s="212">
        <v>40.44</v>
      </c>
      <c r="F6988" s="212">
        <v>57.91</v>
      </c>
      <c r="G6988" s="212">
        <v>21.48</v>
      </c>
      <c r="H6988" s="213">
        <v>926.25</v>
      </c>
      <c r="I6988" s="213">
        <v>465.13</v>
      </c>
      <c r="J6988" s="213">
        <v>363.45</v>
      </c>
      <c r="K6988" s="213">
        <v>97.67</v>
      </c>
      <c r="L6988" s="611">
        <f>IF(119.83=0, "-", 935.57/119.83)</f>
        <v>7.8074772594508897</v>
      </c>
      <c r="M6988" s="43">
        <v>11.500404203718674</v>
      </c>
      <c r="N6988" s="611">
        <f>IF(57.91=0, "-", 363.45/57.91)</f>
        <v>6.2761181143153166</v>
      </c>
      <c r="O6988" s="611">
        <f>IF(21.48=0, "-", 106.99/21.48)</f>
        <v>4.9809124767225326</v>
      </c>
      <c r="P6988" s="214"/>
      <c r="Q6988" s="214"/>
      <c r="R6988" s="214">
        <v>2</v>
      </c>
    </row>
    <row r="6989" spans="1:18" ht="12.75" customHeight="1">
      <c r="A6989" s="630" t="s">
        <v>12829</v>
      </c>
      <c r="B6989" s="631"/>
      <c r="C6989" s="631"/>
      <c r="D6989" s="631"/>
      <c r="E6989" s="631"/>
      <c r="F6989" s="631"/>
      <c r="G6989" s="631"/>
      <c r="H6989" s="631"/>
      <c r="I6989" s="631"/>
      <c r="J6989" s="631"/>
      <c r="K6989" s="631"/>
      <c r="L6989" s="631"/>
      <c r="M6989" s="631"/>
      <c r="N6989" s="631"/>
      <c r="O6989" s="631"/>
      <c r="P6989" s="631"/>
      <c r="Q6989" s="631"/>
      <c r="R6989" s="631"/>
    </row>
    <row r="6990" spans="1:18" ht="12.75" customHeight="1">
      <c r="A6990" s="628" t="s">
        <v>12830</v>
      </c>
      <c r="B6990" s="629"/>
      <c r="C6990" s="629"/>
      <c r="D6990" s="629"/>
      <c r="E6990" s="629"/>
      <c r="F6990" s="629"/>
      <c r="G6990" s="629"/>
      <c r="H6990" s="629"/>
      <c r="I6990" s="629"/>
      <c r="J6990" s="629"/>
      <c r="K6990" s="629"/>
      <c r="L6990" s="629"/>
      <c r="M6990" s="629"/>
      <c r="N6990" s="629"/>
      <c r="O6990" s="629"/>
      <c r="P6990" s="629"/>
      <c r="Q6990" s="629"/>
      <c r="R6990" s="629"/>
    </row>
    <row r="6991" spans="1:18" ht="24">
      <c r="A6991" s="204">
        <v>176</v>
      </c>
      <c r="B6991" s="201" t="s">
        <v>12831</v>
      </c>
      <c r="C6991" s="205" t="s">
        <v>12832</v>
      </c>
      <c r="D6991" s="206">
        <v>179.02</v>
      </c>
      <c r="E6991" s="206">
        <v>54.49</v>
      </c>
      <c r="F6991" s="206">
        <v>12.67</v>
      </c>
      <c r="G6991" s="206">
        <v>111.86</v>
      </c>
      <c r="H6991" s="207">
        <v>1111.8399999999999</v>
      </c>
      <c r="I6991" s="207">
        <v>626.6</v>
      </c>
      <c r="J6991" s="207">
        <v>68.040000000000006</v>
      </c>
      <c r="K6991" s="207">
        <v>417.2</v>
      </c>
      <c r="L6991" s="43">
        <f>IF(179.02=0, "-", 1124.38/179.02)</f>
        <v>6.2807507541056866</v>
      </c>
      <c r="M6991" s="43">
        <v>11.500404203718674</v>
      </c>
      <c r="N6991" s="43">
        <f>IF(12.67=0, "-", 68.04/12.67)</f>
        <v>5.3701657458563545</v>
      </c>
      <c r="O6991" s="43">
        <f>IF(111.86=0, "-", 429.74/111.86)</f>
        <v>3.8417664938315754</v>
      </c>
      <c r="P6991" s="208"/>
      <c r="Q6991" s="208"/>
      <c r="R6991" s="208">
        <v>1</v>
      </c>
    </row>
    <row r="6992" spans="1:18" ht="24">
      <c r="A6992" s="204">
        <v>177</v>
      </c>
      <c r="B6992" s="201" t="s">
        <v>12833</v>
      </c>
      <c r="C6992" s="205" t="s">
        <v>12834</v>
      </c>
      <c r="D6992" s="206">
        <v>317.64999999999998</v>
      </c>
      <c r="E6992" s="206">
        <v>83.16</v>
      </c>
      <c r="F6992" s="206">
        <v>22.29</v>
      </c>
      <c r="G6992" s="206">
        <v>212.2</v>
      </c>
      <c r="H6992" s="207">
        <v>1876.57</v>
      </c>
      <c r="I6992" s="207">
        <v>956.33</v>
      </c>
      <c r="J6992" s="207">
        <v>119.71</v>
      </c>
      <c r="K6992" s="207">
        <v>800.53</v>
      </c>
      <c r="L6992" s="43">
        <f>IF(317.65=0, "-", 1895.66/317.65)</f>
        <v>5.9677632614512834</v>
      </c>
      <c r="M6992" s="43">
        <v>11.500404203718674</v>
      </c>
      <c r="N6992" s="43">
        <f>IF(22.29=0, "-", 119.71/22.29)</f>
        <v>5.3705697622252133</v>
      </c>
      <c r="O6992" s="43">
        <f>IF(212.2=0, "-", 819.62/212.2)</f>
        <v>3.8624882186616403</v>
      </c>
      <c r="P6992" s="208"/>
      <c r="Q6992" s="208"/>
      <c r="R6992" s="208">
        <v>1</v>
      </c>
    </row>
    <row r="6993" spans="1:18" ht="24">
      <c r="A6993" s="204">
        <v>178</v>
      </c>
      <c r="B6993" s="201" t="s">
        <v>12835</v>
      </c>
      <c r="C6993" s="205" t="s">
        <v>12836</v>
      </c>
      <c r="D6993" s="206">
        <v>474.52</v>
      </c>
      <c r="E6993" s="206">
        <v>108.17</v>
      </c>
      <c r="F6993" s="206">
        <v>34.24</v>
      </c>
      <c r="G6993" s="206">
        <v>332.11</v>
      </c>
      <c r="H6993" s="207">
        <v>2679.93</v>
      </c>
      <c r="I6993" s="207">
        <v>1244.02</v>
      </c>
      <c r="J6993" s="207">
        <v>184.21</v>
      </c>
      <c r="K6993" s="207">
        <v>1251.7</v>
      </c>
      <c r="L6993" s="43">
        <f>IF(474.52=0, "-", 2704.77/474.52)</f>
        <v>5.7000126443564021</v>
      </c>
      <c r="M6993" s="43">
        <v>11.500404203718674</v>
      </c>
      <c r="N6993" s="43">
        <f>IF(34.24=0, "-", 184.21/34.24)</f>
        <v>5.3799649532710276</v>
      </c>
      <c r="O6993" s="43">
        <f>IF(332.11=0, "-", 1276.54/332.11)</f>
        <v>3.8437264761675345</v>
      </c>
      <c r="P6993" s="208"/>
      <c r="Q6993" s="208"/>
      <c r="R6993" s="208">
        <v>1</v>
      </c>
    </row>
    <row r="6994" spans="1:18" ht="24">
      <c r="A6994" s="204">
        <v>179</v>
      </c>
      <c r="B6994" s="201" t="s">
        <v>12837</v>
      </c>
      <c r="C6994" s="205" t="s">
        <v>12838</v>
      </c>
      <c r="D6994" s="206">
        <v>687.11</v>
      </c>
      <c r="E6994" s="206">
        <v>164.1</v>
      </c>
      <c r="F6994" s="206">
        <v>53.78</v>
      </c>
      <c r="G6994" s="206">
        <v>469.23</v>
      </c>
      <c r="H6994" s="207">
        <v>3943.56</v>
      </c>
      <c r="I6994" s="207">
        <v>1887.2</v>
      </c>
      <c r="J6994" s="207">
        <v>289.22000000000003</v>
      </c>
      <c r="K6994" s="207">
        <v>1767.14</v>
      </c>
      <c r="L6994" s="43">
        <f>IF(687.11=0, "-", 3981.28/687.11)</f>
        <v>5.7942396413965742</v>
      </c>
      <c r="M6994" s="43">
        <v>11.500404203718674</v>
      </c>
      <c r="N6994" s="43">
        <f>IF(53.78=0, "-", 289.22/53.78)</f>
        <v>5.3778356266269993</v>
      </c>
      <c r="O6994" s="43">
        <f>IF(469.23=0, "-", 1804.86/469.23)</f>
        <v>3.8464292564414038</v>
      </c>
      <c r="P6994" s="208"/>
      <c r="Q6994" s="208"/>
      <c r="R6994" s="208">
        <v>1</v>
      </c>
    </row>
    <row r="6995" spans="1:18" ht="24">
      <c r="A6995" s="204">
        <v>180</v>
      </c>
      <c r="B6995" s="201" t="s">
        <v>12839</v>
      </c>
      <c r="C6995" s="205" t="s">
        <v>12840</v>
      </c>
      <c r="D6995" s="206">
        <v>901.57</v>
      </c>
      <c r="E6995" s="206">
        <v>214.68</v>
      </c>
      <c r="F6995" s="206">
        <v>72.19</v>
      </c>
      <c r="G6995" s="206">
        <v>614.70000000000005</v>
      </c>
      <c r="H6995" s="207">
        <v>5175.38</v>
      </c>
      <c r="I6995" s="207">
        <v>2468.87</v>
      </c>
      <c r="J6995" s="207">
        <v>388.91</v>
      </c>
      <c r="K6995" s="207">
        <v>2317.6</v>
      </c>
      <c r="L6995" s="43">
        <f>IF(901.57=0, "-", 5224.72/901.57)</f>
        <v>5.7951351531217767</v>
      </c>
      <c r="M6995" s="43">
        <v>11.500404203718674</v>
      </c>
      <c r="N6995" s="43">
        <f>IF(72.19=0, "-", 388.91/72.19)</f>
        <v>5.3873112619476391</v>
      </c>
      <c r="O6995" s="43">
        <f>IF(614.7=0, "-", 2366.94/614.7)</f>
        <v>3.8505612493899459</v>
      </c>
      <c r="P6995" s="208"/>
      <c r="Q6995" s="208"/>
      <c r="R6995" s="208">
        <v>1</v>
      </c>
    </row>
    <row r="6996" spans="1:18" ht="12.75" customHeight="1">
      <c r="A6996" s="628" t="s">
        <v>12841</v>
      </c>
      <c r="B6996" s="629"/>
      <c r="C6996" s="629"/>
      <c r="D6996" s="629"/>
      <c r="E6996" s="629"/>
      <c r="F6996" s="629"/>
      <c r="G6996" s="629"/>
      <c r="H6996" s="629"/>
      <c r="I6996" s="629"/>
      <c r="J6996" s="629"/>
      <c r="K6996" s="629"/>
      <c r="L6996" s="629"/>
      <c r="M6996" s="629"/>
      <c r="N6996" s="629"/>
      <c r="O6996" s="629"/>
      <c r="P6996" s="629"/>
      <c r="Q6996" s="629"/>
      <c r="R6996" s="629"/>
    </row>
    <row r="6997" spans="1:18" ht="24">
      <c r="A6997" s="204">
        <v>181</v>
      </c>
      <c r="B6997" s="201" t="s">
        <v>12842</v>
      </c>
      <c r="C6997" s="205" t="s">
        <v>12843</v>
      </c>
      <c r="D6997" s="206">
        <v>139.38999999999999</v>
      </c>
      <c r="E6997" s="206">
        <v>122.83</v>
      </c>
      <c r="F6997" s="206"/>
      <c r="G6997" s="206">
        <v>16.559999999999999</v>
      </c>
      <c r="H6997" s="207">
        <v>1468.68</v>
      </c>
      <c r="I6997" s="207">
        <v>1412.56</v>
      </c>
      <c r="J6997" s="207"/>
      <c r="K6997" s="207">
        <v>56.12</v>
      </c>
      <c r="L6997" s="43">
        <f>IF(139.39=0, "-", 1496.97/139.39)</f>
        <v>10.73943611449889</v>
      </c>
      <c r="M6997" s="43">
        <f>IF(122.83=0, "-", 1412.56/122.83)</f>
        <v>11.500122120003256</v>
      </c>
      <c r="N6997" s="43" t="str">
        <f>IF(0=0, "-", 0/0)</f>
        <v>-</v>
      </c>
      <c r="O6997" s="43">
        <f>IF(16.56=0, "-", 84.41/16.56)</f>
        <v>5.0972222222222223</v>
      </c>
      <c r="P6997" s="208"/>
      <c r="Q6997" s="208"/>
      <c r="R6997" s="208">
        <v>2</v>
      </c>
    </row>
    <row r="6998" spans="1:18" ht="24">
      <c r="A6998" s="204">
        <v>182</v>
      </c>
      <c r="B6998" s="201" t="s">
        <v>12844</v>
      </c>
      <c r="C6998" s="205" t="s">
        <v>12845</v>
      </c>
      <c r="D6998" s="206">
        <v>175.51</v>
      </c>
      <c r="E6998" s="206">
        <v>164.3</v>
      </c>
      <c r="F6998" s="206"/>
      <c r="G6998" s="206">
        <v>11.21</v>
      </c>
      <c r="H6998" s="207">
        <v>1920.6</v>
      </c>
      <c r="I6998" s="207">
        <v>1889.51</v>
      </c>
      <c r="J6998" s="207"/>
      <c r="K6998" s="207">
        <v>31.09</v>
      </c>
      <c r="L6998" s="43">
        <f>IF(175.51=0, "-", 1958.44/175.51)</f>
        <v>11.158566463449377</v>
      </c>
      <c r="M6998" s="43">
        <f>IF(164.3=0, "-", 1889.51/164.3)</f>
        <v>11.500365185636031</v>
      </c>
      <c r="N6998" s="43" t="str">
        <f>IF(0=0, "-", 0/0)</f>
        <v>-</v>
      </c>
      <c r="O6998" s="43">
        <f>IF(11.21=0, "-", 68.93/11.21)</f>
        <v>6.1489741302408563</v>
      </c>
      <c r="P6998" s="208"/>
      <c r="Q6998" s="208"/>
      <c r="R6998" s="208">
        <v>2</v>
      </c>
    </row>
    <row r="6999" spans="1:18" ht="24">
      <c r="A6999" s="204">
        <v>183</v>
      </c>
      <c r="B6999" s="201" t="s">
        <v>12846</v>
      </c>
      <c r="C6999" s="205" t="s">
        <v>12847</v>
      </c>
      <c r="D6999" s="206">
        <v>790.88</v>
      </c>
      <c r="E6999" s="206">
        <v>576.39</v>
      </c>
      <c r="F6999" s="206">
        <v>63.89</v>
      </c>
      <c r="G6999" s="206">
        <v>150.6</v>
      </c>
      <c r="H6999" s="207">
        <v>7722.36</v>
      </c>
      <c r="I6999" s="207">
        <v>6628.67</v>
      </c>
      <c r="J6999" s="207">
        <v>336.98</v>
      </c>
      <c r="K6999" s="207">
        <v>756.71</v>
      </c>
      <c r="L6999" s="43">
        <f>IF(790.88=0, "-", 7854.96/790.88)</f>
        <v>9.9319239328343105</v>
      </c>
      <c r="M6999" s="43">
        <f>IF(576.39=0, "-", 6628.67/576.39)</f>
        <v>11.500320963236698</v>
      </c>
      <c r="N6999" s="43">
        <f>IF(63.89=0, "-", 336.98/63.89)</f>
        <v>5.2743778369071848</v>
      </c>
      <c r="O6999" s="43">
        <f>IF(150.6=0, "-", 889.31/150.6)</f>
        <v>5.9051128818061089</v>
      </c>
      <c r="P6999" s="208"/>
      <c r="Q6999" s="208"/>
      <c r="R6999" s="208">
        <v>2</v>
      </c>
    </row>
    <row r="7000" spans="1:18" ht="24">
      <c r="A7000" s="204">
        <v>184</v>
      </c>
      <c r="B7000" s="201" t="s">
        <v>12848</v>
      </c>
      <c r="C7000" s="205" t="s">
        <v>12849</v>
      </c>
      <c r="D7000" s="206">
        <v>969.79</v>
      </c>
      <c r="E7000" s="206">
        <v>846.68</v>
      </c>
      <c r="F7000" s="206">
        <v>90.52</v>
      </c>
      <c r="G7000" s="206">
        <v>32.590000000000003</v>
      </c>
      <c r="H7000" s="207">
        <v>10289.799999999999</v>
      </c>
      <c r="I7000" s="207">
        <v>9737.08</v>
      </c>
      <c r="J7000" s="207">
        <v>478.93</v>
      </c>
      <c r="K7000" s="207">
        <v>73.790000000000006</v>
      </c>
      <c r="L7000" s="43">
        <f>IF(969.79=0, "-", 10484.5/969.79)</f>
        <v>10.811103434764227</v>
      </c>
      <c r="M7000" s="43">
        <f>IF(846.68=0, "-", 9737.08/846.68)</f>
        <v>11.50030708177824</v>
      </c>
      <c r="N7000" s="43">
        <f>IF(90.52=0, "-", 478.93/90.52)</f>
        <v>5.2908749447635888</v>
      </c>
      <c r="O7000" s="43">
        <f>IF(32.59=0, "-", 268.49/32.59)</f>
        <v>8.238416692236882</v>
      </c>
      <c r="P7000" s="208"/>
      <c r="Q7000" s="208"/>
      <c r="R7000" s="208">
        <v>2</v>
      </c>
    </row>
    <row r="7001" spans="1:18" ht="24">
      <c r="A7001" s="209">
        <v>185</v>
      </c>
      <c r="B7001" s="210" t="s">
        <v>12850</v>
      </c>
      <c r="C7001" s="211" t="s">
        <v>12851</v>
      </c>
      <c r="D7001" s="212">
        <v>602.77</v>
      </c>
      <c r="E7001" s="212">
        <v>307.39999999999998</v>
      </c>
      <c r="F7001" s="212">
        <v>185.03</v>
      </c>
      <c r="G7001" s="212">
        <v>110.34</v>
      </c>
      <c r="H7001" s="213">
        <v>4837.1899999999996</v>
      </c>
      <c r="I7001" s="213">
        <v>3535.22</v>
      </c>
      <c r="J7001" s="213">
        <v>945.74</v>
      </c>
      <c r="K7001" s="213">
        <v>356.23</v>
      </c>
      <c r="L7001" s="611">
        <f>IF(602.77=0, "-", 4907.92/602.77)</f>
        <v>8.1422764902035603</v>
      </c>
      <c r="M7001" s="611">
        <f>IF(307.4=0, "-", 3535.22/307.4)</f>
        <v>11.50039037085231</v>
      </c>
      <c r="N7001" s="611">
        <f>IF(185.03=0, "-", 945.74/185.03)</f>
        <v>5.1112792520131869</v>
      </c>
      <c r="O7001" s="611">
        <f>IF(110.34=0, "-", 426.96/110.34)</f>
        <v>3.8694942903752034</v>
      </c>
      <c r="P7001" s="214"/>
      <c r="Q7001" s="214"/>
      <c r="R7001" s="214">
        <v>2</v>
      </c>
    </row>
    <row r="7002" spans="1:18" ht="12.75" customHeight="1">
      <c r="A7002" s="630" t="s">
        <v>12852</v>
      </c>
      <c r="B7002" s="631"/>
      <c r="C7002" s="631"/>
      <c r="D7002" s="631"/>
      <c r="E7002" s="631"/>
      <c r="F7002" s="631"/>
      <c r="G7002" s="631"/>
      <c r="H7002" s="631"/>
      <c r="I7002" s="631"/>
      <c r="J7002" s="631"/>
      <c r="K7002" s="631"/>
      <c r="L7002" s="631"/>
      <c r="M7002" s="631"/>
      <c r="N7002" s="631"/>
      <c r="O7002" s="631"/>
      <c r="P7002" s="631"/>
      <c r="Q7002" s="631"/>
      <c r="R7002" s="631"/>
    </row>
    <row r="7003" spans="1:18" ht="12.75" customHeight="1">
      <c r="A7003" s="628" t="s">
        <v>12853</v>
      </c>
      <c r="B7003" s="629"/>
      <c r="C7003" s="629"/>
      <c r="D7003" s="629"/>
      <c r="E7003" s="629"/>
      <c r="F7003" s="629"/>
      <c r="G7003" s="629"/>
      <c r="H7003" s="629"/>
      <c r="I7003" s="629"/>
      <c r="J7003" s="629"/>
      <c r="K7003" s="629"/>
      <c r="L7003" s="629"/>
      <c r="M7003" s="629"/>
      <c r="N7003" s="629"/>
      <c r="O7003" s="629"/>
      <c r="P7003" s="629"/>
      <c r="Q7003" s="629"/>
      <c r="R7003" s="629"/>
    </row>
    <row r="7004" spans="1:18" ht="24">
      <c r="A7004" s="204">
        <v>186</v>
      </c>
      <c r="B7004" s="201" t="s">
        <v>12854</v>
      </c>
      <c r="C7004" s="205" t="s">
        <v>12855</v>
      </c>
      <c r="D7004" s="206">
        <v>102.83</v>
      </c>
      <c r="E7004" s="206">
        <v>14.67</v>
      </c>
      <c r="F7004" s="206">
        <v>87.52</v>
      </c>
      <c r="G7004" s="206">
        <v>0.64</v>
      </c>
      <c r="H7004" s="207">
        <v>618.55999999999995</v>
      </c>
      <c r="I7004" s="207">
        <v>168.73</v>
      </c>
      <c r="J7004" s="207">
        <v>447.96</v>
      </c>
      <c r="K7004" s="207">
        <v>1.87</v>
      </c>
      <c r="L7004" s="43">
        <f>IF(102.83=0, "-", 621.9/102.83)</f>
        <v>6.0478459593503837</v>
      </c>
      <c r="M7004" s="43">
        <v>11.500404203718674</v>
      </c>
      <c r="N7004" s="43">
        <f>IF(87.52=0, "-", 447.96/87.52)</f>
        <v>5.1183729433272394</v>
      </c>
      <c r="O7004" s="43">
        <f>IF(0.64=0, "-", 5.21/0.64)</f>
        <v>8.140625</v>
      </c>
      <c r="P7004" s="208"/>
      <c r="Q7004" s="208"/>
      <c r="R7004" s="208">
        <v>1</v>
      </c>
    </row>
    <row r="7005" spans="1:18" ht="24">
      <c r="A7005" s="204">
        <v>187</v>
      </c>
      <c r="B7005" s="201" t="s">
        <v>12856</v>
      </c>
      <c r="C7005" s="205" t="s">
        <v>12857</v>
      </c>
      <c r="D7005" s="206">
        <v>29.45</v>
      </c>
      <c r="E7005" s="206">
        <v>25.83</v>
      </c>
      <c r="F7005" s="206">
        <v>2.98</v>
      </c>
      <c r="G7005" s="206">
        <v>0.64</v>
      </c>
      <c r="H7005" s="207">
        <v>313.89999999999998</v>
      </c>
      <c r="I7005" s="207">
        <v>297.07</v>
      </c>
      <c r="J7005" s="207">
        <v>16.21</v>
      </c>
      <c r="K7005" s="207">
        <v>0.62</v>
      </c>
      <c r="L7005" s="43">
        <f>IF(29.45=0, "-", 319.88/29.45)</f>
        <v>10.861799660441426</v>
      </c>
      <c r="M7005" s="43">
        <v>11.500404203718674</v>
      </c>
      <c r="N7005" s="43">
        <f>IF(2.98=0, "-", 16.21/2.98)</f>
        <v>5.4395973154362416</v>
      </c>
      <c r="O7005" s="43">
        <f>IF(0.64=0, "-", 6.6/0.64)</f>
        <v>10.3125</v>
      </c>
      <c r="P7005" s="208"/>
      <c r="Q7005" s="208"/>
      <c r="R7005" s="208">
        <v>1</v>
      </c>
    </row>
    <row r="7006" spans="1:18" ht="24">
      <c r="A7006" s="204">
        <v>188</v>
      </c>
      <c r="B7006" s="201" t="s">
        <v>12858</v>
      </c>
      <c r="C7006" s="205" t="s">
        <v>12859</v>
      </c>
      <c r="D7006" s="206">
        <v>16.43</v>
      </c>
      <c r="E7006" s="206">
        <v>12.92</v>
      </c>
      <c r="F7006" s="206">
        <v>2.5499999999999998</v>
      </c>
      <c r="G7006" s="206">
        <v>0.96</v>
      </c>
      <c r="H7006" s="207">
        <v>165.99</v>
      </c>
      <c r="I7006" s="207">
        <v>148.54</v>
      </c>
      <c r="J7006" s="207">
        <v>13.7</v>
      </c>
      <c r="K7006" s="207">
        <v>3.75</v>
      </c>
      <c r="L7006" s="43">
        <f>IF(16.43=0, "-", 168.98/16.43)</f>
        <v>10.284844796104686</v>
      </c>
      <c r="M7006" s="43">
        <v>11.500404203718674</v>
      </c>
      <c r="N7006" s="43">
        <f>IF(2.55=0, "-", 13.7/2.55)</f>
        <v>5.3725490196078436</v>
      </c>
      <c r="O7006" s="43">
        <f>IF(0.96=0, "-", 6.74/0.96)</f>
        <v>7.0208333333333339</v>
      </c>
      <c r="P7006" s="208"/>
      <c r="Q7006" s="208"/>
      <c r="R7006" s="208">
        <v>1</v>
      </c>
    </row>
    <row r="7007" spans="1:18" ht="24">
      <c r="A7007" s="209">
        <v>189</v>
      </c>
      <c r="B7007" s="210" t="s">
        <v>12860</v>
      </c>
      <c r="C7007" s="211" t="s">
        <v>12861</v>
      </c>
      <c r="D7007" s="212">
        <v>223.77</v>
      </c>
      <c r="E7007" s="212">
        <v>13.46</v>
      </c>
      <c r="F7007" s="212"/>
      <c r="G7007" s="212">
        <v>210.31</v>
      </c>
      <c r="H7007" s="213">
        <v>1324.6</v>
      </c>
      <c r="I7007" s="213">
        <v>154.82</v>
      </c>
      <c r="J7007" s="213"/>
      <c r="K7007" s="213">
        <v>1169.78</v>
      </c>
      <c r="L7007" s="611">
        <f>IF(223.77=0, "-", 1327.71/223.77)</f>
        <v>5.9333690843276576</v>
      </c>
      <c r="M7007" s="43">
        <v>11.500404203718674</v>
      </c>
      <c r="N7007" s="611" t="str">
        <f>IF(0=0, "-", 0/0)</f>
        <v>-</v>
      </c>
      <c r="O7007" s="611">
        <f>IF(210.31=0, "-", 1172.89/210.31)</f>
        <v>5.5769578241643289</v>
      </c>
      <c r="P7007" s="214"/>
      <c r="Q7007" s="214"/>
      <c r="R7007" s="214">
        <v>1</v>
      </c>
    </row>
    <row r="7008" spans="1:18" ht="12.75" customHeight="1">
      <c r="A7008" s="630" t="s">
        <v>12862</v>
      </c>
      <c r="B7008" s="631"/>
      <c r="C7008" s="631"/>
      <c r="D7008" s="631"/>
      <c r="E7008" s="631"/>
      <c r="F7008" s="631"/>
      <c r="G7008" s="631"/>
      <c r="H7008" s="631"/>
      <c r="I7008" s="631"/>
      <c r="J7008" s="631"/>
      <c r="K7008" s="631"/>
      <c r="L7008" s="631"/>
      <c r="M7008" s="631"/>
      <c r="N7008" s="631"/>
      <c r="O7008" s="631"/>
      <c r="P7008" s="631"/>
      <c r="Q7008" s="631"/>
      <c r="R7008" s="631"/>
    </row>
    <row r="7009" spans="1:18" ht="12.75" customHeight="1">
      <c r="A7009" s="628" t="s">
        <v>12863</v>
      </c>
      <c r="B7009" s="629"/>
      <c r="C7009" s="629"/>
      <c r="D7009" s="629"/>
      <c r="E7009" s="629"/>
      <c r="F7009" s="629"/>
      <c r="G7009" s="629"/>
      <c r="H7009" s="629"/>
      <c r="I7009" s="629"/>
      <c r="J7009" s="629"/>
      <c r="K7009" s="629"/>
      <c r="L7009" s="629"/>
      <c r="M7009" s="629"/>
      <c r="N7009" s="629"/>
      <c r="O7009" s="629"/>
      <c r="P7009" s="629"/>
      <c r="Q7009" s="629"/>
      <c r="R7009" s="629"/>
    </row>
    <row r="7010" spans="1:18" ht="36">
      <c r="A7010" s="204">
        <v>190</v>
      </c>
      <c r="B7010" s="201" t="s">
        <v>12864</v>
      </c>
      <c r="C7010" s="205" t="s">
        <v>12865</v>
      </c>
      <c r="D7010" s="206">
        <v>186.93</v>
      </c>
      <c r="E7010" s="206">
        <v>135.83000000000001</v>
      </c>
      <c r="F7010" s="206"/>
      <c r="G7010" s="206">
        <v>51.1</v>
      </c>
      <c r="H7010" s="207">
        <v>1749.76</v>
      </c>
      <c r="I7010" s="207">
        <v>1562</v>
      </c>
      <c r="J7010" s="207"/>
      <c r="K7010" s="207">
        <v>187.76</v>
      </c>
      <c r="L7010" s="43">
        <f>IF(186.93=0, "-", 1781.04/186.93)</f>
        <v>9.5278446477290952</v>
      </c>
      <c r="M7010" s="43">
        <v>11.500404203718674</v>
      </c>
      <c r="N7010" s="43" t="str">
        <f>IF(0=0, "-", 0/0)</f>
        <v>-</v>
      </c>
      <c r="O7010" s="43">
        <f>IF(51.1=0, "-", 219.04/51.1)</f>
        <v>4.2864970645792564</v>
      </c>
      <c r="P7010" s="208"/>
      <c r="Q7010" s="208"/>
      <c r="R7010" s="208">
        <v>1</v>
      </c>
    </row>
    <row r="7011" spans="1:18" ht="24">
      <c r="A7011" s="204">
        <v>191</v>
      </c>
      <c r="B7011" s="201" t="s">
        <v>12866</v>
      </c>
      <c r="C7011" s="205" t="s">
        <v>12867</v>
      </c>
      <c r="D7011" s="206">
        <v>158.72</v>
      </c>
      <c r="E7011" s="206">
        <v>108.18</v>
      </c>
      <c r="F7011" s="206"/>
      <c r="G7011" s="206">
        <v>50.54</v>
      </c>
      <c r="H7011" s="207">
        <v>1431.89</v>
      </c>
      <c r="I7011" s="207">
        <v>1244.1300000000001</v>
      </c>
      <c r="J7011" s="207"/>
      <c r="K7011" s="207">
        <v>187.76</v>
      </c>
      <c r="L7011" s="43">
        <f>IF(158.72=0, "-", 1456.73/158.72)</f>
        <v>9.177986391129032</v>
      </c>
      <c r="M7011" s="43">
        <v>11.500404203718674</v>
      </c>
      <c r="N7011" s="43" t="str">
        <f>IF(0=0, "-", 0/0)</f>
        <v>-</v>
      </c>
      <c r="O7011" s="43">
        <f>IF(50.54=0, "-", 212.6/50.54)</f>
        <v>4.2065690542144836</v>
      </c>
      <c r="P7011" s="208"/>
      <c r="Q7011" s="208"/>
      <c r="R7011" s="208">
        <v>1</v>
      </c>
    </row>
    <row r="7012" spans="1:18" ht="36">
      <c r="A7012" s="204">
        <v>192</v>
      </c>
      <c r="B7012" s="201" t="s">
        <v>12868</v>
      </c>
      <c r="C7012" s="205" t="s">
        <v>12869</v>
      </c>
      <c r="D7012" s="206">
        <v>176.55</v>
      </c>
      <c r="E7012" s="206">
        <v>125.66</v>
      </c>
      <c r="F7012" s="206"/>
      <c r="G7012" s="206">
        <v>50.89</v>
      </c>
      <c r="H7012" s="207">
        <v>1632.85</v>
      </c>
      <c r="I7012" s="207">
        <v>1445.09</v>
      </c>
      <c r="J7012" s="207"/>
      <c r="K7012" s="207">
        <v>187.76</v>
      </c>
      <c r="L7012" s="43">
        <f>IF(176.55=0, "-", 1661.72/176.55)</f>
        <v>9.4121778532993474</v>
      </c>
      <c r="M7012" s="43">
        <v>11.500404203718674</v>
      </c>
      <c r="N7012" s="43" t="str">
        <f>IF(0=0, "-", 0/0)</f>
        <v>-</v>
      </c>
      <c r="O7012" s="43">
        <f>IF(50.89=0, "-", 216.63/50.89)</f>
        <v>4.2568284535272154</v>
      </c>
      <c r="P7012" s="208"/>
      <c r="Q7012" s="208"/>
      <c r="R7012" s="208">
        <v>1</v>
      </c>
    </row>
    <row r="7013" spans="1:18" ht="24">
      <c r="A7013" s="204">
        <v>193</v>
      </c>
      <c r="B7013" s="201" t="s">
        <v>12870</v>
      </c>
      <c r="C7013" s="205" t="s">
        <v>12871</v>
      </c>
      <c r="D7013" s="206">
        <v>186.73</v>
      </c>
      <c r="E7013" s="206">
        <v>125.66</v>
      </c>
      <c r="F7013" s="206"/>
      <c r="G7013" s="206">
        <v>61.07</v>
      </c>
      <c r="H7013" s="207">
        <v>1683.56</v>
      </c>
      <c r="I7013" s="207">
        <v>1445.09</v>
      </c>
      <c r="J7013" s="207"/>
      <c r="K7013" s="207">
        <v>238.47</v>
      </c>
      <c r="L7013" s="43">
        <f>IF(186.73=0, "-", 1712.43/186.73)</f>
        <v>9.1706206822685168</v>
      </c>
      <c r="M7013" s="43">
        <v>11.500404203718674</v>
      </c>
      <c r="N7013" s="43" t="str">
        <f>IF(0=0, "-", 0/0)</f>
        <v>-</v>
      </c>
      <c r="O7013" s="43">
        <f>IF(61.07=0, "-", 267.34/61.07)</f>
        <v>4.3775994760111345</v>
      </c>
      <c r="P7013" s="208"/>
      <c r="Q7013" s="208"/>
      <c r="R7013" s="208">
        <v>1</v>
      </c>
    </row>
    <row r="7014" spans="1:18" ht="12.75" customHeight="1">
      <c r="A7014" s="628" t="s">
        <v>12872</v>
      </c>
      <c r="B7014" s="629"/>
      <c r="C7014" s="629"/>
      <c r="D7014" s="629"/>
      <c r="E7014" s="629"/>
      <c r="F7014" s="629"/>
      <c r="G7014" s="629"/>
      <c r="H7014" s="629"/>
      <c r="I7014" s="629"/>
      <c r="J7014" s="629"/>
      <c r="K7014" s="629"/>
      <c r="L7014" s="629"/>
      <c r="M7014" s="629"/>
      <c r="N7014" s="629"/>
      <c r="O7014" s="629"/>
      <c r="P7014" s="629"/>
      <c r="Q7014" s="629"/>
      <c r="R7014" s="629"/>
    </row>
    <row r="7015" spans="1:18" ht="36">
      <c r="A7015" s="204">
        <v>194</v>
      </c>
      <c r="B7015" s="201" t="s">
        <v>12873</v>
      </c>
      <c r="C7015" s="205" t="s">
        <v>12874</v>
      </c>
      <c r="D7015" s="206">
        <v>50.53</v>
      </c>
      <c r="E7015" s="206">
        <v>37.700000000000003</v>
      </c>
      <c r="F7015" s="206">
        <v>10.210000000000001</v>
      </c>
      <c r="G7015" s="206">
        <v>2.62</v>
      </c>
      <c r="H7015" s="207">
        <v>497.59</v>
      </c>
      <c r="I7015" s="207">
        <v>433.53</v>
      </c>
      <c r="J7015" s="207">
        <v>54.07</v>
      </c>
      <c r="K7015" s="207">
        <v>9.99</v>
      </c>
      <c r="L7015" s="43">
        <f>IF(50.53=0, "-", 506.22/50.53)</f>
        <v>10.018207005739166</v>
      </c>
      <c r="M7015" s="43">
        <v>11.500404203718674</v>
      </c>
      <c r="N7015" s="43">
        <f>IF(10.21=0, "-", 54.07/10.21)</f>
        <v>5.2957884427032313</v>
      </c>
      <c r="O7015" s="43">
        <f>IF(2.62=0, "-", 18.62/2.62)</f>
        <v>7.106870229007634</v>
      </c>
      <c r="P7015" s="208"/>
      <c r="Q7015" s="208"/>
      <c r="R7015" s="208">
        <v>2</v>
      </c>
    </row>
    <row r="7016" spans="1:18" ht="36">
      <c r="A7016" s="204">
        <v>195</v>
      </c>
      <c r="B7016" s="201" t="s">
        <v>12875</v>
      </c>
      <c r="C7016" s="205" t="s">
        <v>12876</v>
      </c>
      <c r="D7016" s="206">
        <v>77.930000000000007</v>
      </c>
      <c r="E7016" s="206">
        <v>62.83</v>
      </c>
      <c r="F7016" s="206">
        <v>10.210000000000001</v>
      </c>
      <c r="G7016" s="206">
        <v>4.8899999999999997</v>
      </c>
      <c r="H7016" s="207">
        <v>795.97</v>
      </c>
      <c r="I7016" s="207">
        <v>722.55</v>
      </c>
      <c r="J7016" s="207">
        <v>54.07</v>
      </c>
      <c r="K7016" s="207">
        <v>19.350000000000001</v>
      </c>
      <c r="L7016" s="43">
        <f>IF(77.93=0, "-", 810.46/77.93)</f>
        <v>10.399846015655074</v>
      </c>
      <c r="M7016" s="43">
        <v>11.500404203718674</v>
      </c>
      <c r="N7016" s="43">
        <f>IF(10.21=0, "-", 54.07/10.21)</f>
        <v>5.2957884427032313</v>
      </c>
      <c r="O7016" s="43">
        <f>IF(4.89=0, "-", 33.84/4.89)</f>
        <v>6.920245398773007</v>
      </c>
      <c r="P7016" s="208"/>
      <c r="Q7016" s="208"/>
      <c r="R7016" s="208">
        <v>2</v>
      </c>
    </row>
    <row r="7017" spans="1:18" ht="36">
      <c r="A7017" s="204">
        <v>196</v>
      </c>
      <c r="B7017" s="201" t="s">
        <v>12877</v>
      </c>
      <c r="C7017" s="205" t="s">
        <v>12878</v>
      </c>
      <c r="D7017" s="206">
        <v>41.04</v>
      </c>
      <c r="E7017" s="206">
        <v>26.4</v>
      </c>
      <c r="F7017" s="206">
        <v>13.29</v>
      </c>
      <c r="G7017" s="206">
        <v>1.35</v>
      </c>
      <c r="H7017" s="207">
        <v>378.37</v>
      </c>
      <c r="I7017" s="207">
        <v>303.62</v>
      </c>
      <c r="J7017" s="207">
        <v>70.38</v>
      </c>
      <c r="K7017" s="207">
        <v>4.37</v>
      </c>
      <c r="L7017" s="43">
        <f>IF(41.04=0, "-", 384.47/41.04)</f>
        <v>9.3681773879142316</v>
      </c>
      <c r="M7017" s="43">
        <v>11.500404203718674</v>
      </c>
      <c r="N7017" s="43">
        <f>IF(13.29=0, "-", 70.38/13.29)</f>
        <v>5.2957110609480811</v>
      </c>
      <c r="O7017" s="43">
        <f>IF(1.35=0, "-", 10.47/1.35)</f>
        <v>7.7555555555555555</v>
      </c>
      <c r="P7017" s="208"/>
      <c r="Q7017" s="208"/>
      <c r="R7017" s="208">
        <v>2</v>
      </c>
    </row>
    <row r="7018" spans="1:18" ht="36">
      <c r="A7018" s="204">
        <v>197</v>
      </c>
      <c r="B7018" s="201" t="s">
        <v>12879</v>
      </c>
      <c r="C7018" s="205" t="s">
        <v>12880</v>
      </c>
      <c r="D7018" s="206">
        <v>57.59</v>
      </c>
      <c r="E7018" s="206">
        <v>37.85</v>
      </c>
      <c r="F7018" s="206">
        <v>17.34</v>
      </c>
      <c r="G7018" s="206">
        <v>2.4</v>
      </c>
      <c r="H7018" s="207">
        <v>535.86</v>
      </c>
      <c r="I7018" s="207">
        <v>435.3</v>
      </c>
      <c r="J7018" s="207">
        <v>91.82</v>
      </c>
      <c r="K7018" s="207">
        <v>8.74</v>
      </c>
      <c r="L7018" s="43">
        <f>IF(57.59=0, "-", 544.6/57.59)</f>
        <v>9.4565028650807434</v>
      </c>
      <c r="M7018" s="43">
        <v>11.500404203718674</v>
      </c>
      <c r="N7018" s="43">
        <f>IF(17.34=0, "-", 91.82/17.34)</f>
        <v>5.2952710495963089</v>
      </c>
      <c r="O7018" s="43">
        <f>IF(2.4=0, "-", 17.48/2.4)</f>
        <v>7.2833333333333341</v>
      </c>
      <c r="P7018" s="208"/>
      <c r="Q7018" s="208"/>
      <c r="R7018" s="208">
        <v>2</v>
      </c>
    </row>
    <row r="7019" spans="1:18" ht="36">
      <c r="A7019" s="204">
        <v>198</v>
      </c>
      <c r="B7019" s="201" t="s">
        <v>12881</v>
      </c>
      <c r="C7019" s="205" t="s">
        <v>12882</v>
      </c>
      <c r="D7019" s="206">
        <v>7.14</v>
      </c>
      <c r="E7019" s="206">
        <v>7</v>
      </c>
      <c r="F7019" s="206"/>
      <c r="G7019" s="206">
        <v>0.14000000000000001</v>
      </c>
      <c r="H7019" s="207">
        <v>80.55</v>
      </c>
      <c r="I7019" s="207">
        <v>80.55</v>
      </c>
      <c r="J7019" s="207"/>
      <c r="K7019" s="207"/>
      <c r="L7019" s="43">
        <v>11.500404203718674</v>
      </c>
      <c r="M7019" s="43">
        <v>11.500404203718674</v>
      </c>
      <c r="N7019" s="43" t="str">
        <f>IF(0=0, "-", 0/0)</f>
        <v>-</v>
      </c>
      <c r="O7019" s="43">
        <f>IF(0.14=0, "-", 1.61/0.14)</f>
        <v>11.5</v>
      </c>
      <c r="P7019" s="208"/>
      <c r="Q7019" s="208"/>
      <c r="R7019" s="208">
        <v>2</v>
      </c>
    </row>
    <row r="7020" spans="1:18" ht="36">
      <c r="A7020" s="204">
        <v>199</v>
      </c>
      <c r="B7020" s="201" t="s">
        <v>12883</v>
      </c>
      <c r="C7020" s="205" t="s">
        <v>12884</v>
      </c>
      <c r="D7020" s="206">
        <v>7.14</v>
      </c>
      <c r="E7020" s="206">
        <v>7</v>
      </c>
      <c r="F7020" s="206"/>
      <c r="G7020" s="206">
        <v>0.14000000000000001</v>
      </c>
      <c r="H7020" s="207">
        <v>80.55</v>
      </c>
      <c r="I7020" s="207">
        <v>80.55</v>
      </c>
      <c r="J7020" s="207"/>
      <c r="K7020" s="207"/>
      <c r="L7020" s="43">
        <v>11.500404203718674</v>
      </c>
      <c r="M7020" s="43">
        <v>11.500404203718674</v>
      </c>
      <c r="N7020" s="43" t="str">
        <f>IF(0=0, "-", 0/0)</f>
        <v>-</v>
      </c>
      <c r="O7020" s="43">
        <f>IF(0.14=0, "-", 1.61/0.14)</f>
        <v>11.5</v>
      </c>
      <c r="P7020" s="208"/>
      <c r="Q7020" s="208"/>
      <c r="R7020" s="208">
        <v>2</v>
      </c>
    </row>
    <row r="7021" spans="1:18" ht="36">
      <c r="A7021" s="204">
        <v>200</v>
      </c>
      <c r="B7021" s="201" t="s">
        <v>12885</v>
      </c>
      <c r="C7021" s="205" t="s">
        <v>12886</v>
      </c>
      <c r="D7021" s="206">
        <v>7.14</v>
      </c>
      <c r="E7021" s="206">
        <v>7</v>
      </c>
      <c r="F7021" s="206"/>
      <c r="G7021" s="206">
        <v>0.14000000000000001</v>
      </c>
      <c r="H7021" s="207">
        <v>80.55</v>
      </c>
      <c r="I7021" s="207">
        <v>80.55</v>
      </c>
      <c r="J7021" s="207"/>
      <c r="K7021" s="207"/>
      <c r="L7021" s="43">
        <v>11.500404203718674</v>
      </c>
      <c r="M7021" s="43">
        <v>11.500404203718674</v>
      </c>
      <c r="N7021" s="43" t="str">
        <f>IF(0=0, "-", 0/0)</f>
        <v>-</v>
      </c>
      <c r="O7021" s="43">
        <f>IF(0.14=0, "-", 1.61/0.14)</f>
        <v>11.5</v>
      </c>
      <c r="P7021" s="208"/>
      <c r="Q7021" s="208"/>
      <c r="R7021" s="208">
        <v>2</v>
      </c>
    </row>
    <row r="7022" spans="1:18" ht="12.75">
      <c r="A7022" s="632" t="s">
        <v>18</v>
      </c>
      <c r="B7022" s="632"/>
      <c r="C7022" s="632"/>
      <c r="D7022" s="202">
        <v>59136.07</v>
      </c>
      <c r="E7022" s="202">
        <v>26603.35</v>
      </c>
      <c r="F7022" s="202">
        <v>13469.92</v>
      </c>
      <c r="G7022" s="202">
        <v>19062.8</v>
      </c>
      <c r="H7022" s="203">
        <v>454407.36</v>
      </c>
      <c r="I7022" s="203">
        <v>305945.78000000003</v>
      </c>
      <c r="J7022" s="203">
        <v>73218.61</v>
      </c>
      <c r="K7022" s="203">
        <v>75242.97</v>
      </c>
      <c r="L7022" s="612">
        <v>7.79</v>
      </c>
      <c r="M7022" s="612">
        <f>IF(I7022&lt;&gt;0,I7022/E7022,"-")</f>
        <v>11.500272710015846</v>
      </c>
      <c r="N7022" s="612">
        <f>IF(J7022&lt;&gt;0,J7022/F7022,"-")</f>
        <v>5.4357123130649629</v>
      </c>
      <c r="O7022" s="612">
        <v>4.2699999999999996</v>
      </c>
      <c r="P7022" s="200"/>
      <c r="Q7022" s="200"/>
      <c r="R7022" s="200"/>
    </row>
    <row r="7023" spans="1:18" ht="18">
      <c r="A7023" s="616" t="s">
        <v>12887</v>
      </c>
      <c r="B7023" s="626"/>
      <c r="C7023" s="626"/>
      <c r="D7023" s="626"/>
      <c r="E7023" s="626"/>
      <c r="F7023" s="626"/>
      <c r="G7023" s="626"/>
      <c r="H7023" s="626"/>
      <c r="I7023" s="626"/>
      <c r="J7023" s="626"/>
      <c r="K7023" s="626"/>
      <c r="L7023" s="626"/>
      <c r="M7023" s="626"/>
      <c r="N7023" s="626"/>
      <c r="O7023" s="626"/>
      <c r="P7023" s="626"/>
      <c r="Q7023" s="626"/>
      <c r="R7023" s="627"/>
    </row>
    <row r="7024" spans="1:18" ht="12.75" customHeight="1">
      <c r="A7024" s="630" t="s">
        <v>12888</v>
      </c>
      <c r="B7024" s="631"/>
      <c r="C7024" s="631"/>
      <c r="D7024" s="631"/>
      <c r="E7024" s="631"/>
      <c r="F7024" s="631"/>
      <c r="G7024" s="631"/>
      <c r="H7024" s="631"/>
      <c r="I7024" s="631"/>
      <c r="J7024" s="631"/>
      <c r="K7024" s="631"/>
      <c r="L7024" s="631"/>
      <c r="M7024" s="631"/>
      <c r="N7024" s="631"/>
      <c r="O7024" s="631"/>
      <c r="P7024" s="631"/>
      <c r="Q7024" s="631"/>
      <c r="R7024" s="631"/>
    </row>
    <row r="7025" spans="1:18" ht="12.75" customHeight="1">
      <c r="A7025" s="628" t="s">
        <v>12889</v>
      </c>
      <c r="B7025" s="629"/>
      <c r="C7025" s="629"/>
      <c r="D7025" s="629"/>
      <c r="E7025" s="629"/>
      <c r="F7025" s="629"/>
      <c r="G7025" s="629"/>
      <c r="H7025" s="629"/>
      <c r="I7025" s="629"/>
      <c r="J7025" s="629"/>
      <c r="K7025" s="629"/>
      <c r="L7025" s="629"/>
      <c r="M7025" s="629"/>
      <c r="N7025" s="629"/>
      <c r="O7025" s="629"/>
      <c r="P7025" s="629"/>
      <c r="Q7025" s="629"/>
      <c r="R7025" s="629"/>
    </row>
    <row r="7026" spans="1:18" ht="12.75" customHeight="1">
      <c r="A7026" s="628" t="s">
        <v>12890</v>
      </c>
      <c r="B7026" s="629"/>
      <c r="C7026" s="629"/>
      <c r="D7026" s="629"/>
      <c r="E7026" s="629"/>
      <c r="F7026" s="629"/>
      <c r="G7026" s="629"/>
      <c r="H7026" s="629"/>
      <c r="I7026" s="629"/>
      <c r="J7026" s="629"/>
      <c r="K7026" s="629"/>
      <c r="L7026" s="629"/>
      <c r="M7026" s="629"/>
      <c r="N7026" s="629"/>
      <c r="O7026" s="629"/>
      <c r="P7026" s="629"/>
      <c r="Q7026" s="629"/>
      <c r="R7026" s="629"/>
    </row>
    <row r="7027" spans="1:18" ht="36">
      <c r="A7027" s="219">
        <v>1</v>
      </c>
      <c r="B7027" s="216" t="s">
        <v>12891</v>
      </c>
      <c r="C7027" s="220" t="s">
        <v>12892</v>
      </c>
      <c r="D7027" s="221">
        <v>1634.44</v>
      </c>
      <c r="E7027" s="221">
        <v>1309.8599999999999</v>
      </c>
      <c r="F7027" s="221">
        <v>286.74</v>
      </c>
      <c r="G7027" s="221">
        <v>37.840000000000003</v>
      </c>
      <c r="H7027" s="222">
        <v>17111.41</v>
      </c>
      <c r="I7027" s="222">
        <v>15063.96</v>
      </c>
      <c r="J7027" s="222">
        <v>1654.92</v>
      </c>
      <c r="K7027" s="222">
        <v>392.53</v>
      </c>
      <c r="L7027" s="43">
        <v>10.469279998042142</v>
      </c>
      <c r="M7027" s="43">
        <v>11.500435161009573</v>
      </c>
      <c r="N7027" s="43">
        <v>5.7715003138731955</v>
      </c>
      <c r="O7027" s="43">
        <v>10.373414376321351</v>
      </c>
      <c r="P7027" s="223"/>
      <c r="Q7027" s="223"/>
      <c r="R7027" s="223">
        <v>1</v>
      </c>
    </row>
    <row r="7028" spans="1:18" ht="36">
      <c r="A7028" s="219">
        <v>2</v>
      </c>
      <c r="B7028" s="216" t="s">
        <v>12893</v>
      </c>
      <c r="C7028" s="220" t="s">
        <v>12894</v>
      </c>
      <c r="D7028" s="221">
        <v>3223.92</v>
      </c>
      <c r="E7028" s="221">
        <v>2619.7199999999998</v>
      </c>
      <c r="F7028" s="221">
        <v>537.98</v>
      </c>
      <c r="G7028" s="221">
        <v>66.22</v>
      </c>
      <c r="H7028" s="222">
        <v>34049.86</v>
      </c>
      <c r="I7028" s="222">
        <v>30127.919999999998</v>
      </c>
      <c r="J7028" s="222">
        <v>3208.65</v>
      </c>
      <c r="K7028" s="222">
        <v>713.29</v>
      </c>
      <c r="L7028" s="43">
        <v>10.561633043003548</v>
      </c>
      <c r="M7028" s="43">
        <v>11.500435161009573</v>
      </c>
      <c r="N7028" s="43">
        <v>5.9642551767723706</v>
      </c>
      <c r="O7028" s="43">
        <v>10.771519178495922</v>
      </c>
      <c r="P7028" s="223"/>
      <c r="Q7028" s="223"/>
      <c r="R7028" s="223">
        <v>1</v>
      </c>
    </row>
    <row r="7029" spans="1:18" ht="36">
      <c r="A7029" s="219">
        <v>3</v>
      </c>
      <c r="B7029" s="216" t="s">
        <v>12895</v>
      </c>
      <c r="C7029" s="220" t="s">
        <v>12896</v>
      </c>
      <c r="D7029" s="221">
        <v>3445.03</v>
      </c>
      <c r="E7029" s="221">
        <v>2608.23</v>
      </c>
      <c r="F7029" s="221">
        <v>753.87</v>
      </c>
      <c r="G7029" s="221">
        <v>82.93</v>
      </c>
      <c r="H7029" s="222">
        <v>35225.22</v>
      </c>
      <c r="I7029" s="222">
        <v>29995.78</v>
      </c>
      <c r="J7029" s="222">
        <v>4405.33</v>
      </c>
      <c r="K7029" s="222">
        <v>824.11</v>
      </c>
      <c r="L7029" s="43">
        <v>10.224938534642659</v>
      </c>
      <c r="M7029" s="43">
        <v>11.500435161009573</v>
      </c>
      <c r="N7029" s="43">
        <v>5.8436202528287371</v>
      </c>
      <c r="O7029" s="43">
        <v>9.9374170987579884</v>
      </c>
      <c r="P7029" s="223"/>
      <c r="Q7029" s="223"/>
      <c r="R7029" s="223">
        <v>1</v>
      </c>
    </row>
    <row r="7030" spans="1:18" ht="36">
      <c r="A7030" s="219">
        <v>4</v>
      </c>
      <c r="B7030" s="216" t="s">
        <v>12897</v>
      </c>
      <c r="C7030" s="220" t="s">
        <v>12898</v>
      </c>
      <c r="D7030" s="221">
        <v>3706.47</v>
      </c>
      <c r="E7030" s="221">
        <v>2596.7399999999998</v>
      </c>
      <c r="F7030" s="221">
        <v>1015.66</v>
      </c>
      <c r="G7030" s="221">
        <v>94.07</v>
      </c>
      <c r="H7030" s="222">
        <v>36702.29</v>
      </c>
      <c r="I7030" s="222">
        <v>29863.64</v>
      </c>
      <c r="J7030" s="222">
        <v>5912.42</v>
      </c>
      <c r="K7030" s="222">
        <v>926.23</v>
      </c>
      <c r="L7030" s="43">
        <v>9.9022223301416172</v>
      </c>
      <c r="M7030" s="43">
        <v>11.500435161009575</v>
      </c>
      <c r="N7030" s="43">
        <v>5.821259082763917</v>
      </c>
      <c r="O7030" s="43">
        <v>9.8461783778037635</v>
      </c>
      <c r="P7030" s="223"/>
      <c r="Q7030" s="223"/>
      <c r="R7030" s="223">
        <v>1</v>
      </c>
    </row>
    <row r="7031" spans="1:18" ht="36">
      <c r="A7031" s="219">
        <v>5</v>
      </c>
      <c r="B7031" s="216" t="s">
        <v>12899</v>
      </c>
      <c r="C7031" s="220" t="s">
        <v>12900</v>
      </c>
      <c r="D7031" s="221">
        <v>5454.49</v>
      </c>
      <c r="E7031" s="221">
        <v>4021.5</v>
      </c>
      <c r="F7031" s="221">
        <v>1302.43</v>
      </c>
      <c r="G7031" s="221">
        <v>130.56</v>
      </c>
      <c r="H7031" s="222">
        <v>55086.239999999998</v>
      </c>
      <c r="I7031" s="222">
        <v>46249</v>
      </c>
      <c r="J7031" s="222">
        <v>7544.98</v>
      </c>
      <c r="K7031" s="222">
        <v>1292.26</v>
      </c>
      <c r="L7031" s="43">
        <v>10.099246675674536</v>
      </c>
      <c r="M7031" s="43">
        <v>11.500435161009573</v>
      </c>
      <c r="N7031" s="43">
        <v>5.7930023110647015</v>
      </c>
      <c r="O7031" s="43">
        <v>9.8978247549019613</v>
      </c>
      <c r="P7031" s="223"/>
      <c r="Q7031" s="223"/>
      <c r="R7031" s="223">
        <v>1</v>
      </c>
    </row>
    <row r="7032" spans="1:18" ht="36">
      <c r="A7032" s="219">
        <v>6</v>
      </c>
      <c r="B7032" s="216" t="s">
        <v>12901</v>
      </c>
      <c r="C7032" s="220" t="s">
        <v>12902</v>
      </c>
      <c r="D7032" s="221">
        <v>5706.09</v>
      </c>
      <c r="E7032" s="221">
        <v>4032.99</v>
      </c>
      <c r="F7032" s="221">
        <v>1542.31</v>
      </c>
      <c r="G7032" s="221">
        <v>130.79</v>
      </c>
      <c r="H7032" s="222">
        <v>56687.13</v>
      </c>
      <c r="I7032" s="222">
        <v>46381.14</v>
      </c>
      <c r="J7032" s="222">
        <v>9011.09</v>
      </c>
      <c r="K7032" s="222">
        <v>1294.9000000000001</v>
      </c>
      <c r="L7032" s="43">
        <v>9.9344963013201681</v>
      </c>
      <c r="M7032" s="43">
        <v>11.500435161009573</v>
      </c>
      <c r="N7032" s="43">
        <v>5.842593252977677</v>
      </c>
      <c r="O7032" s="43">
        <v>9.9006040217141997</v>
      </c>
      <c r="P7032" s="223"/>
      <c r="Q7032" s="223"/>
      <c r="R7032" s="223">
        <v>1</v>
      </c>
    </row>
    <row r="7033" spans="1:18" ht="25.5" customHeight="1">
      <c r="A7033" s="628" t="s">
        <v>12903</v>
      </c>
      <c r="B7033" s="629"/>
      <c r="C7033" s="629"/>
      <c r="D7033" s="629"/>
      <c r="E7033" s="629"/>
      <c r="F7033" s="629"/>
      <c r="G7033" s="629"/>
      <c r="H7033" s="629"/>
      <c r="I7033" s="629"/>
      <c r="J7033" s="629"/>
      <c r="K7033" s="629"/>
      <c r="L7033" s="629"/>
      <c r="M7033" s="629"/>
      <c r="N7033" s="629"/>
      <c r="O7033" s="629"/>
      <c r="P7033" s="629"/>
      <c r="Q7033" s="629"/>
      <c r="R7033" s="629"/>
    </row>
    <row r="7034" spans="1:18" ht="48">
      <c r="A7034" s="219">
        <v>7</v>
      </c>
      <c r="B7034" s="216" t="s">
        <v>12904</v>
      </c>
      <c r="C7034" s="220" t="s">
        <v>12905</v>
      </c>
      <c r="D7034" s="221">
        <v>3823.44</v>
      </c>
      <c r="E7034" s="221">
        <v>870.94</v>
      </c>
      <c r="F7034" s="221">
        <v>2924.75</v>
      </c>
      <c r="G7034" s="221">
        <v>27.75</v>
      </c>
      <c r="H7034" s="222">
        <v>26256.89</v>
      </c>
      <c r="I7034" s="222">
        <v>10016.209999999999</v>
      </c>
      <c r="J7034" s="222">
        <v>15975.03</v>
      </c>
      <c r="K7034" s="222">
        <v>265.64999999999998</v>
      </c>
      <c r="L7034" s="43">
        <v>6.8673472056577323</v>
      </c>
      <c r="M7034" s="43">
        <v>11.500459273887982</v>
      </c>
      <c r="N7034" s="43">
        <v>5.4620155568852038</v>
      </c>
      <c r="O7034" s="43">
        <v>9.5729729729729716</v>
      </c>
      <c r="P7034" s="223"/>
      <c r="Q7034" s="223"/>
      <c r="R7034" s="223">
        <v>2</v>
      </c>
    </row>
    <row r="7035" spans="1:18" ht="48">
      <c r="A7035" s="219">
        <v>8</v>
      </c>
      <c r="B7035" s="216" t="s">
        <v>12906</v>
      </c>
      <c r="C7035" s="220" t="s">
        <v>12907</v>
      </c>
      <c r="D7035" s="221">
        <v>3844.86</v>
      </c>
      <c r="E7035" s="221">
        <v>870.94</v>
      </c>
      <c r="F7035" s="221">
        <v>2943.11</v>
      </c>
      <c r="G7035" s="221">
        <v>30.81</v>
      </c>
      <c r="H7035" s="222">
        <v>26373.39</v>
      </c>
      <c r="I7035" s="222">
        <v>10016.209999999999</v>
      </c>
      <c r="J7035" s="222">
        <v>16072.5</v>
      </c>
      <c r="K7035" s="222">
        <v>284.68</v>
      </c>
      <c r="L7035" s="43">
        <v>6.8593888984254301</v>
      </c>
      <c r="M7035" s="43">
        <v>11.500459273887982</v>
      </c>
      <c r="N7035" s="43">
        <v>5.461059899222251</v>
      </c>
      <c r="O7035" s="43">
        <v>9.2398571892242778</v>
      </c>
      <c r="P7035" s="223"/>
      <c r="Q7035" s="223"/>
      <c r="R7035" s="223">
        <v>2</v>
      </c>
    </row>
    <row r="7036" spans="1:18" ht="48">
      <c r="A7036" s="219">
        <v>9</v>
      </c>
      <c r="B7036" s="216" t="s">
        <v>12908</v>
      </c>
      <c r="C7036" s="220" t="s">
        <v>12909</v>
      </c>
      <c r="D7036" s="221">
        <v>3910.89</v>
      </c>
      <c r="E7036" s="221">
        <v>908.86</v>
      </c>
      <c r="F7036" s="221">
        <v>2966.17</v>
      </c>
      <c r="G7036" s="221">
        <v>35.86</v>
      </c>
      <c r="H7036" s="222">
        <v>26968.02</v>
      </c>
      <c r="I7036" s="222">
        <v>10452.27</v>
      </c>
      <c r="J7036" s="222">
        <v>16194.62</v>
      </c>
      <c r="K7036" s="222">
        <v>321.13</v>
      </c>
      <c r="L7036" s="43">
        <v>6.8956222240973286</v>
      </c>
      <c r="M7036" s="43">
        <v>11.500418106198975</v>
      </c>
      <c r="N7036" s="43">
        <v>5.459774726330588</v>
      </c>
      <c r="O7036" s="43">
        <v>8.9551031790295585</v>
      </c>
      <c r="P7036" s="223"/>
      <c r="Q7036" s="223"/>
      <c r="R7036" s="223">
        <v>2</v>
      </c>
    </row>
    <row r="7037" spans="1:18" ht="48">
      <c r="A7037" s="219">
        <v>10</v>
      </c>
      <c r="B7037" s="216" t="s">
        <v>12910</v>
      </c>
      <c r="C7037" s="220" t="s">
        <v>12911</v>
      </c>
      <c r="D7037" s="221">
        <v>3964.07</v>
      </c>
      <c r="E7037" s="221">
        <v>935.29</v>
      </c>
      <c r="F7037" s="221">
        <v>2989.37</v>
      </c>
      <c r="G7037" s="221">
        <v>39.409999999999997</v>
      </c>
      <c r="H7037" s="222">
        <v>27419.97</v>
      </c>
      <c r="I7037" s="222">
        <v>10756.2</v>
      </c>
      <c r="J7037" s="222">
        <v>16317.73</v>
      </c>
      <c r="K7037" s="222">
        <v>346.04</v>
      </c>
      <c r="L7037" s="43">
        <v>6.9171255805270846</v>
      </c>
      <c r="M7037" s="43">
        <v>11.500390253290425</v>
      </c>
      <c r="N7037" s="43">
        <v>5.4585849192304732</v>
      </c>
      <c r="O7037" s="43">
        <v>8.7805125602638938</v>
      </c>
      <c r="P7037" s="223"/>
      <c r="Q7037" s="223"/>
      <c r="R7037" s="223">
        <v>2</v>
      </c>
    </row>
    <row r="7038" spans="1:18" ht="48">
      <c r="A7038" s="219">
        <v>11</v>
      </c>
      <c r="B7038" s="216" t="s">
        <v>12912</v>
      </c>
      <c r="C7038" s="220" t="s">
        <v>12913</v>
      </c>
      <c r="D7038" s="221">
        <v>4180.7700000000004</v>
      </c>
      <c r="E7038" s="221">
        <v>984.69</v>
      </c>
      <c r="F7038" s="221">
        <v>3152.42</v>
      </c>
      <c r="G7038" s="221">
        <v>43.66</v>
      </c>
      <c r="H7038" s="222">
        <v>28894.91</v>
      </c>
      <c r="I7038" s="222">
        <v>11324.4</v>
      </c>
      <c r="J7038" s="222">
        <v>17193.11</v>
      </c>
      <c r="K7038" s="222">
        <v>377.4</v>
      </c>
      <c r="L7038" s="43">
        <v>6.9113847449154093</v>
      </c>
      <c r="M7038" s="43">
        <v>11.500472229838831</v>
      </c>
      <c r="N7038" s="43">
        <v>5.4539401475691696</v>
      </c>
      <c r="O7038" s="43">
        <v>8.6440677966101696</v>
      </c>
      <c r="P7038" s="223"/>
      <c r="Q7038" s="223"/>
      <c r="R7038" s="223">
        <v>2</v>
      </c>
    </row>
    <row r="7039" spans="1:18" ht="48">
      <c r="A7039" s="219">
        <v>12</v>
      </c>
      <c r="B7039" s="216" t="s">
        <v>12914</v>
      </c>
      <c r="C7039" s="220" t="s">
        <v>12915</v>
      </c>
      <c r="D7039" s="221">
        <v>4221.33</v>
      </c>
      <c r="E7039" s="221">
        <v>1009.97</v>
      </c>
      <c r="F7039" s="221">
        <v>3163.68</v>
      </c>
      <c r="G7039" s="221">
        <v>47.68</v>
      </c>
      <c r="H7039" s="222">
        <v>29272.63</v>
      </c>
      <c r="I7039" s="222">
        <v>11615.11</v>
      </c>
      <c r="J7039" s="222">
        <v>17251.669999999998</v>
      </c>
      <c r="K7039" s="222">
        <v>405.85</v>
      </c>
      <c r="L7039" s="43">
        <v>6.9344566759765289</v>
      </c>
      <c r="M7039" s="43">
        <v>11.500450508430944</v>
      </c>
      <c r="N7039" s="43">
        <v>5.4530388661305818</v>
      </c>
      <c r="O7039" s="43">
        <v>8.5119546979865781</v>
      </c>
      <c r="P7039" s="223"/>
      <c r="Q7039" s="223"/>
      <c r="R7039" s="223">
        <v>2</v>
      </c>
    </row>
    <row r="7040" spans="1:18" ht="48">
      <c r="A7040" s="219">
        <v>13</v>
      </c>
      <c r="B7040" s="216" t="s">
        <v>12916</v>
      </c>
      <c r="C7040" s="220" t="s">
        <v>12917</v>
      </c>
      <c r="D7040" s="221">
        <v>4284.42</v>
      </c>
      <c r="E7040" s="221">
        <v>1047.8900000000001</v>
      </c>
      <c r="F7040" s="221">
        <v>3173.53</v>
      </c>
      <c r="G7040" s="221">
        <v>63</v>
      </c>
      <c r="H7040" s="222">
        <v>29853.040000000001</v>
      </c>
      <c r="I7040" s="222">
        <v>12051.17</v>
      </c>
      <c r="J7040" s="222">
        <v>17300.57</v>
      </c>
      <c r="K7040" s="222">
        <v>501.3</v>
      </c>
      <c r="L7040" s="43">
        <v>6.9678136130444726</v>
      </c>
      <c r="M7040" s="43">
        <v>11.500415119907624</v>
      </c>
      <c r="N7040" s="43">
        <v>5.4515224371598814</v>
      </c>
      <c r="O7040" s="43">
        <v>7.9571428571428573</v>
      </c>
      <c r="P7040" s="223"/>
      <c r="Q7040" s="223"/>
      <c r="R7040" s="223">
        <v>2</v>
      </c>
    </row>
    <row r="7041" spans="1:18" ht="48">
      <c r="A7041" s="219">
        <v>14</v>
      </c>
      <c r="B7041" s="216" t="s">
        <v>12918</v>
      </c>
      <c r="C7041" s="220" t="s">
        <v>12919</v>
      </c>
      <c r="D7041" s="221">
        <v>4860.79</v>
      </c>
      <c r="E7041" s="221">
        <v>1114.53</v>
      </c>
      <c r="F7041" s="221">
        <v>3679.03</v>
      </c>
      <c r="G7041" s="221">
        <v>67.23</v>
      </c>
      <c r="H7041" s="222">
        <v>33404.269999999997</v>
      </c>
      <c r="I7041" s="222">
        <v>12817.58</v>
      </c>
      <c r="J7041" s="222">
        <v>20073.95</v>
      </c>
      <c r="K7041" s="222">
        <v>512.74</v>
      </c>
      <c r="L7041" s="43">
        <v>6.8721895000606894</v>
      </c>
      <c r="M7041" s="43">
        <v>11.500435161009573</v>
      </c>
      <c r="N7041" s="43">
        <v>5.456315931101404</v>
      </c>
      <c r="O7041" s="43">
        <v>7.6266547672170155</v>
      </c>
      <c r="P7041" s="223"/>
      <c r="Q7041" s="223"/>
      <c r="R7041" s="223">
        <v>2</v>
      </c>
    </row>
    <row r="7042" spans="1:18" ht="48">
      <c r="A7042" s="219">
        <v>15</v>
      </c>
      <c r="B7042" s="216" t="s">
        <v>12920</v>
      </c>
      <c r="C7042" s="220" t="s">
        <v>12921</v>
      </c>
      <c r="D7042" s="221">
        <v>4918.24</v>
      </c>
      <c r="E7042" s="221">
        <v>1127.17</v>
      </c>
      <c r="F7042" s="221">
        <v>3703.9</v>
      </c>
      <c r="G7042" s="221">
        <v>87.17</v>
      </c>
      <c r="H7042" s="222">
        <v>33792.92</v>
      </c>
      <c r="I7042" s="222">
        <v>12962.93</v>
      </c>
      <c r="J7042" s="222">
        <v>20204.830000000002</v>
      </c>
      <c r="K7042" s="222">
        <v>625.16</v>
      </c>
      <c r="L7042" s="43">
        <v>6.870937571163668</v>
      </c>
      <c r="M7042" s="43">
        <v>11.50042140937037</v>
      </c>
      <c r="N7042" s="43">
        <v>5.4550149842058371</v>
      </c>
      <c r="O7042" s="43">
        <v>7.1717333945164619</v>
      </c>
      <c r="P7042" s="223"/>
      <c r="Q7042" s="223"/>
      <c r="R7042" s="223">
        <v>2</v>
      </c>
    </row>
    <row r="7043" spans="1:18" ht="48">
      <c r="A7043" s="219">
        <v>16</v>
      </c>
      <c r="B7043" s="216" t="s">
        <v>12922</v>
      </c>
      <c r="C7043" s="220" t="s">
        <v>12923</v>
      </c>
      <c r="D7043" s="221">
        <v>5111.63</v>
      </c>
      <c r="E7043" s="221">
        <v>1206.45</v>
      </c>
      <c r="F7043" s="221">
        <v>3777.85</v>
      </c>
      <c r="G7043" s="221">
        <v>127.33</v>
      </c>
      <c r="H7043" s="222">
        <v>35328.42</v>
      </c>
      <c r="I7043" s="222">
        <v>13874.7</v>
      </c>
      <c r="J7043" s="222">
        <v>20592.32</v>
      </c>
      <c r="K7043" s="222">
        <v>861.4</v>
      </c>
      <c r="L7043" s="43">
        <v>6.9113805185430079</v>
      </c>
      <c r="M7043" s="43">
        <v>11.500435161009573</v>
      </c>
      <c r="N7043" s="43">
        <v>5.4508040287465089</v>
      </c>
      <c r="O7043" s="43">
        <v>6.7650985627896016</v>
      </c>
      <c r="P7043" s="223"/>
      <c r="Q7043" s="223"/>
      <c r="R7043" s="223">
        <v>2</v>
      </c>
    </row>
    <row r="7044" spans="1:18" ht="48">
      <c r="A7044" s="219">
        <v>17</v>
      </c>
      <c r="B7044" s="216" t="s">
        <v>12924</v>
      </c>
      <c r="C7044" s="220" t="s">
        <v>12925</v>
      </c>
      <c r="D7044" s="221">
        <v>5741.51</v>
      </c>
      <c r="E7044" s="221">
        <v>1309.8599999999999</v>
      </c>
      <c r="F7044" s="221">
        <v>4290.93</v>
      </c>
      <c r="G7044" s="221">
        <v>140.72</v>
      </c>
      <c r="H7044" s="222">
        <v>39443.58</v>
      </c>
      <c r="I7044" s="222">
        <v>15063.96</v>
      </c>
      <c r="J7044" s="222">
        <v>23432.25</v>
      </c>
      <c r="K7044" s="222">
        <v>947.37</v>
      </c>
      <c r="L7044" s="43">
        <v>6.8698965951465727</v>
      </c>
      <c r="M7044" s="43">
        <v>11.500435161009573</v>
      </c>
      <c r="N7044" s="43">
        <v>5.4608791101229803</v>
      </c>
      <c r="O7044" s="43">
        <v>6.73230528709494</v>
      </c>
      <c r="P7044" s="223"/>
      <c r="Q7044" s="223"/>
      <c r="R7044" s="223">
        <v>2</v>
      </c>
    </row>
    <row r="7045" spans="1:18" ht="48">
      <c r="A7045" s="219">
        <v>18</v>
      </c>
      <c r="B7045" s="216" t="s">
        <v>12926</v>
      </c>
      <c r="C7045" s="220" t="s">
        <v>12927</v>
      </c>
      <c r="D7045" s="221">
        <v>6113.67</v>
      </c>
      <c r="E7045" s="221">
        <v>1390.29</v>
      </c>
      <c r="F7045" s="221">
        <v>4509.92</v>
      </c>
      <c r="G7045" s="221">
        <v>213.46</v>
      </c>
      <c r="H7045" s="222">
        <v>41971.06</v>
      </c>
      <c r="I7045" s="222">
        <v>15988.94</v>
      </c>
      <c r="J7045" s="222">
        <v>24597.03</v>
      </c>
      <c r="K7045" s="222">
        <v>1385.09</v>
      </c>
      <c r="L7045" s="43">
        <v>6.8651170246349569</v>
      </c>
      <c r="M7045" s="43">
        <v>11.500435161009575</v>
      </c>
      <c r="N7045" s="43">
        <v>5.4539836626813774</v>
      </c>
      <c r="O7045" s="43">
        <v>6.4887566757237884</v>
      </c>
      <c r="P7045" s="223"/>
      <c r="Q7045" s="223"/>
      <c r="R7045" s="223">
        <v>2</v>
      </c>
    </row>
    <row r="7046" spans="1:18" ht="48">
      <c r="A7046" s="219">
        <v>19</v>
      </c>
      <c r="B7046" s="216" t="s">
        <v>12928</v>
      </c>
      <c r="C7046" s="220" t="s">
        <v>12929</v>
      </c>
      <c r="D7046" s="221">
        <v>7063.55</v>
      </c>
      <c r="E7046" s="221">
        <v>1815.42</v>
      </c>
      <c r="F7046" s="221">
        <v>4799.99</v>
      </c>
      <c r="G7046" s="221">
        <v>448.14</v>
      </c>
      <c r="H7046" s="222">
        <v>49749.81</v>
      </c>
      <c r="I7046" s="222">
        <v>20878.12</v>
      </c>
      <c r="J7046" s="222">
        <v>26112.3</v>
      </c>
      <c r="K7046" s="222">
        <v>2759.39</v>
      </c>
      <c r="L7046" s="43">
        <v>7.043173758237713</v>
      </c>
      <c r="M7046" s="43">
        <v>11.500435161009573</v>
      </c>
      <c r="N7046" s="43">
        <v>5.440073833487153</v>
      </c>
      <c r="O7046" s="43">
        <v>6.1574284821707499</v>
      </c>
      <c r="P7046" s="223"/>
      <c r="Q7046" s="223"/>
      <c r="R7046" s="223">
        <v>2</v>
      </c>
    </row>
    <row r="7047" spans="1:18" ht="48">
      <c r="A7047" s="219">
        <v>20</v>
      </c>
      <c r="B7047" s="216" t="s">
        <v>12930</v>
      </c>
      <c r="C7047" s="220" t="s">
        <v>12931</v>
      </c>
      <c r="D7047" s="221">
        <v>7881.31</v>
      </c>
      <c r="E7047" s="221">
        <v>2022.24</v>
      </c>
      <c r="F7047" s="221">
        <v>4910.6099999999997</v>
      </c>
      <c r="G7047" s="221">
        <v>948.46</v>
      </c>
      <c r="H7047" s="222">
        <v>55472.08</v>
      </c>
      <c r="I7047" s="222">
        <v>23256.639999999999</v>
      </c>
      <c r="J7047" s="222">
        <v>26680.45</v>
      </c>
      <c r="K7047" s="222">
        <v>5534.99</v>
      </c>
      <c r="L7047" s="43">
        <v>7.0384339659269841</v>
      </c>
      <c r="M7047" s="43">
        <v>11.500435161009573</v>
      </c>
      <c r="N7047" s="43">
        <v>5.4332252001278869</v>
      </c>
      <c r="O7047" s="43">
        <v>5.8357653459291896</v>
      </c>
      <c r="P7047" s="223"/>
      <c r="Q7047" s="223"/>
      <c r="R7047" s="223">
        <v>2</v>
      </c>
    </row>
    <row r="7048" spans="1:18" ht="48">
      <c r="A7048" s="219">
        <v>21</v>
      </c>
      <c r="B7048" s="216" t="s">
        <v>12932</v>
      </c>
      <c r="C7048" s="220" t="s">
        <v>12933</v>
      </c>
      <c r="D7048" s="221">
        <v>8409.18</v>
      </c>
      <c r="E7048" s="221">
        <v>2298</v>
      </c>
      <c r="F7048" s="221">
        <v>4980.88</v>
      </c>
      <c r="G7048" s="221">
        <v>1130.3</v>
      </c>
      <c r="H7048" s="222">
        <v>60066.92</v>
      </c>
      <c r="I7048" s="222">
        <v>26428</v>
      </c>
      <c r="J7048" s="222">
        <v>27038.31</v>
      </c>
      <c r="K7048" s="222">
        <v>6600.61</v>
      </c>
      <c r="L7048" s="43">
        <v>7.1430175118144685</v>
      </c>
      <c r="M7048" s="43">
        <v>11.500435161009573</v>
      </c>
      <c r="N7048" s="43">
        <v>5.4284202791474598</v>
      </c>
      <c r="O7048" s="43">
        <v>5.8396974254622664</v>
      </c>
      <c r="P7048" s="223"/>
      <c r="Q7048" s="223"/>
      <c r="R7048" s="223">
        <v>2</v>
      </c>
    </row>
    <row r="7049" spans="1:18" ht="48">
      <c r="A7049" s="219">
        <v>22</v>
      </c>
      <c r="B7049" s="216" t="s">
        <v>12934</v>
      </c>
      <c r="C7049" s="220" t="s">
        <v>12935</v>
      </c>
      <c r="D7049" s="221">
        <v>9113.7000000000007</v>
      </c>
      <c r="E7049" s="221">
        <v>2504.8200000000002</v>
      </c>
      <c r="F7049" s="221">
        <v>5304.1</v>
      </c>
      <c r="G7049" s="221">
        <v>1304.78</v>
      </c>
      <c r="H7049" s="222">
        <v>65154.239999999998</v>
      </c>
      <c r="I7049" s="222">
        <v>28806.52</v>
      </c>
      <c r="J7049" s="222">
        <v>28752.07</v>
      </c>
      <c r="K7049" s="222">
        <v>7595.65</v>
      </c>
      <c r="L7049" s="43">
        <v>7.1490437473254547</v>
      </c>
      <c r="M7049" s="43">
        <v>11.500435161009573</v>
      </c>
      <c r="N7049" s="43">
        <v>5.4207254765181645</v>
      </c>
      <c r="O7049" s="43">
        <v>5.8214028418583972</v>
      </c>
      <c r="P7049" s="223"/>
      <c r="Q7049" s="223"/>
      <c r="R7049" s="223">
        <v>2</v>
      </c>
    </row>
    <row r="7050" spans="1:18" ht="48">
      <c r="A7050" s="219">
        <v>23</v>
      </c>
      <c r="B7050" s="216" t="s">
        <v>12936</v>
      </c>
      <c r="C7050" s="220" t="s">
        <v>12937</v>
      </c>
      <c r="D7050" s="221">
        <v>9776.73</v>
      </c>
      <c r="E7050" s="221">
        <v>2619.7199999999998</v>
      </c>
      <c r="F7050" s="221">
        <v>5818.36</v>
      </c>
      <c r="G7050" s="221">
        <v>1338.65</v>
      </c>
      <c r="H7050" s="222">
        <v>69421.73</v>
      </c>
      <c r="I7050" s="222">
        <v>30127.919999999998</v>
      </c>
      <c r="J7050" s="222">
        <v>31482.01</v>
      </c>
      <c r="K7050" s="222">
        <v>7811.8</v>
      </c>
      <c r="L7050" s="43">
        <v>7.1007105647798392</v>
      </c>
      <c r="M7050" s="43">
        <v>11.500435161009573</v>
      </c>
      <c r="N7050" s="43">
        <v>5.4108047628541378</v>
      </c>
      <c r="O7050" s="43">
        <v>5.8355806222687034</v>
      </c>
      <c r="P7050" s="223"/>
      <c r="Q7050" s="223"/>
      <c r="R7050" s="223">
        <v>2</v>
      </c>
    </row>
    <row r="7051" spans="1:18" ht="48">
      <c r="A7051" s="219">
        <v>24</v>
      </c>
      <c r="B7051" s="216" t="s">
        <v>12938</v>
      </c>
      <c r="C7051" s="220" t="s">
        <v>12939</v>
      </c>
      <c r="D7051" s="221">
        <v>10537.96</v>
      </c>
      <c r="E7051" s="221">
        <v>2815.05</v>
      </c>
      <c r="F7051" s="221">
        <v>6336.59</v>
      </c>
      <c r="G7051" s="221">
        <v>1386.32</v>
      </c>
      <c r="H7051" s="222">
        <v>74811.399999999994</v>
      </c>
      <c r="I7051" s="222">
        <v>32374.3</v>
      </c>
      <c r="J7051" s="222">
        <v>34318.629999999997</v>
      </c>
      <c r="K7051" s="222">
        <v>8118.47</v>
      </c>
      <c r="L7051" s="43">
        <v>7.0992298319598861</v>
      </c>
      <c r="M7051" s="43">
        <v>11.500435161009573</v>
      </c>
      <c r="N7051" s="43">
        <v>5.4159461161287057</v>
      </c>
      <c r="O7051" s="43">
        <v>5.8561298978590806</v>
      </c>
      <c r="P7051" s="223"/>
      <c r="Q7051" s="223"/>
      <c r="R7051" s="223">
        <v>2</v>
      </c>
    </row>
    <row r="7052" spans="1:18" ht="48">
      <c r="A7052" s="219">
        <v>25</v>
      </c>
      <c r="B7052" s="216" t="s">
        <v>12940</v>
      </c>
      <c r="C7052" s="220" t="s">
        <v>12941</v>
      </c>
      <c r="D7052" s="221">
        <v>11123.12</v>
      </c>
      <c r="E7052" s="221">
        <v>3010.38</v>
      </c>
      <c r="F7052" s="221">
        <v>6579.35</v>
      </c>
      <c r="G7052" s="221">
        <v>1533.39</v>
      </c>
      <c r="H7052" s="222">
        <v>79140</v>
      </c>
      <c r="I7052" s="222">
        <v>34620.68</v>
      </c>
      <c r="J7052" s="222">
        <v>35581.730000000003</v>
      </c>
      <c r="K7052" s="222">
        <v>8937.59</v>
      </c>
      <c r="L7052" s="43">
        <v>7.1149102050503812</v>
      </c>
      <c r="M7052" s="43">
        <v>11.500435161009573</v>
      </c>
      <c r="N7052" s="43">
        <v>5.4080919847705324</v>
      </c>
      <c r="O7052" s="43">
        <v>5.8286476369351563</v>
      </c>
      <c r="P7052" s="223"/>
      <c r="Q7052" s="223"/>
      <c r="R7052" s="223">
        <v>2</v>
      </c>
    </row>
    <row r="7053" spans="1:18" ht="48">
      <c r="A7053" s="219">
        <v>26</v>
      </c>
      <c r="B7053" s="216" t="s">
        <v>12942</v>
      </c>
      <c r="C7053" s="220" t="s">
        <v>12943</v>
      </c>
      <c r="D7053" s="221">
        <v>13003.5</v>
      </c>
      <c r="E7053" s="221">
        <v>3435.51</v>
      </c>
      <c r="F7053" s="221">
        <v>7385.18</v>
      </c>
      <c r="G7053" s="221">
        <v>2182.81</v>
      </c>
      <c r="H7053" s="222">
        <v>91884.01</v>
      </c>
      <c r="I7053" s="222">
        <v>39509.86</v>
      </c>
      <c r="J7053" s="222">
        <v>39925.1</v>
      </c>
      <c r="K7053" s="222">
        <v>12449.05</v>
      </c>
      <c r="L7053" s="43">
        <v>7.0660983581343482</v>
      </c>
      <c r="M7053" s="43">
        <v>11.500435161009573</v>
      </c>
      <c r="N7053" s="43">
        <v>5.4061106161258081</v>
      </c>
      <c r="O7053" s="43">
        <v>5.703221993668711</v>
      </c>
      <c r="P7053" s="223"/>
      <c r="Q7053" s="223"/>
      <c r="R7053" s="223">
        <v>2</v>
      </c>
    </row>
    <row r="7054" spans="1:18" ht="48">
      <c r="A7054" s="219">
        <v>27</v>
      </c>
      <c r="B7054" s="216" t="s">
        <v>12944</v>
      </c>
      <c r="C7054" s="220" t="s">
        <v>12945</v>
      </c>
      <c r="D7054" s="221">
        <v>15045.06</v>
      </c>
      <c r="E7054" s="221">
        <v>3895.11</v>
      </c>
      <c r="F7054" s="221">
        <v>8542.4500000000007</v>
      </c>
      <c r="G7054" s="221">
        <v>2607.5</v>
      </c>
      <c r="H7054" s="222">
        <v>105712.37</v>
      </c>
      <c r="I7054" s="222">
        <v>44795.46</v>
      </c>
      <c r="J7054" s="222">
        <v>46146.91</v>
      </c>
      <c r="K7054" s="222">
        <v>14770</v>
      </c>
      <c r="L7054" s="43">
        <v>7.02638407557032</v>
      </c>
      <c r="M7054" s="43">
        <v>11.500435161009573</v>
      </c>
      <c r="N7054" s="43">
        <v>5.402069663855217</v>
      </c>
      <c r="O7054" s="43">
        <v>5.6644295302013425</v>
      </c>
      <c r="P7054" s="223"/>
      <c r="Q7054" s="223"/>
      <c r="R7054" s="223">
        <v>2</v>
      </c>
    </row>
    <row r="7055" spans="1:18" ht="48">
      <c r="A7055" s="219">
        <v>28</v>
      </c>
      <c r="B7055" s="216" t="s">
        <v>12946</v>
      </c>
      <c r="C7055" s="220" t="s">
        <v>12947</v>
      </c>
      <c r="D7055" s="221">
        <v>16591.78</v>
      </c>
      <c r="E7055" s="221">
        <v>4354.71</v>
      </c>
      <c r="F7055" s="221">
        <v>9203.43</v>
      </c>
      <c r="G7055" s="221">
        <v>3033.64</v>
      </c>
      <c r="H7055" s="222">
        <v>116785.76</v>
      </c>
      <c r="I7055" s="222">
        <v>50081.06</v>
      </c>
      <c r="J7055" s="222">
        <v>49595.7</v>
      </c>
      <c r="K7055" s="222">
        <v>17109</v>
      </c>
      <c r="L7055" s="43">
        <v>7.0387722112998121</v>
      </c>
      <c r="M7055" s="43">
        <v>11.500435161009573</v>
      </c>
      <c r="N7055" s="43">
        <v>5.388827860917071</v>
      </c>
      <c r="O7055" s="43">
        <v>5.6397594968420774</v>
      </c>
      <c r="P7055" s="223"/>
      <c r="Q7055" s="223"/>
      <c r="R7055" s="223">
        <v>2</v>
      </c>
    </row>
    <row r="7056" spans="1:18" ht="48">
      <c r="A7056" s="219">
        <v>29</v>
      </c>
      <c r="B7056" s="216" t="s">
        <v>12948</v>
      </c>
      <c r="C7056" s="220" t="s">
        <v>12949</v>
      </c>
      <c r="D7056" s="221">
        <v>19626.349999999999</v>
      </c>
      <c r="E7056" s="221">
        <v>5170.5</v>
      </c>
      <c r="F7056" s="221">
        <v>10507.18</v>
      </c>
      <c r="G7056" s="221">
        <v>3948.67</v>
      </c>
      <c r="H7056" s="222">
        <v>138218.23999999999</v>
      </c>
      <c r="I7056" s="222">
        <v>59463</v>
      </c>
      <c r="J7056" s="222">
        <v>56538.53</v>
      </c>
      <c r="K7056" s="222">
        <v>22216.71</v>
      </c>
      <c r="L7056" s="43">
        <v>7.042483192239005</v>
      </c>
      <c r="M7056" s="43">
        <v>11.500435161009573</v>
      </c>
      <c r="N7056" s="43">
        <v>5.3809423651255619</v>
      </c>
      <c r="O7056" s="43">
        <v>5.6263779956289079</v>
      </c>
      <c r="P7056" s="223"/>
      <c r="Q7056" s="223"/>
      <c r="R7056" s="223">
        <v>2</v>
      </c>
    </row>
    <row r="7057" spans="1:18" ht="22.5" customHeight="1">
      <c r="A7057" s="628" t="s">
        <v>12950</v>
      </c>
      <c r="B7057" s="629"/>
      <c r="C7057" s="629"/>
      <c r="D7057" s="629"/>
      <c r="E7057" s="629"/>
      <c r="F7057" s="629"/>
      <c r="G7057" s="629"/>
      <c r="H7057" s="629"/>
      <c r="I7057" s="629"/>
      <c r="J7057" s="629"/>
      <c r="K7057" s="629"/>
      <c r="L7057" s="629"/>
      <c r="M7057" s="629"/>
      <c r="N7057" s="629"/>
      <c r="O7057" s="629"/>
      <c r="P7057" s="629"/>
      <c r="Q7057" s="629"/>
      <c r="R7057" s="629"/>
    </row>
    <row r="7058" spans="1:18" ht="48">
      <c r="A7058" s="219">
        <v>30</v>
      </c>
      <c r="B7058" s="216" t="s">
        <v>12951</v>
      </c>
      <c r="C7058" s="220" t="s">
        <v>12952</v>
      </c>
      <c r="D7058" s="221">
        <v>4091.03</v>
      </c>
      <c r="E7058" s="221">
        <v>907.71</v>
      </c>
      <c r="F7058" s="221">
        <v>3150.92</v>
      </c>
      <c r="G7058" s="221">
        <v>32.4</v>
      </c>
      <c r="H7058" s="222">
        <v>27927.95</v>
      </c>
      <c r="I7058" s="222">
        <v>10439.06</v>
      </c>
      <c r="J7058" s="222">
        <v>17190.259999999998</v>
      </c>
      <c r="K7058" s="222">
        <v>298.63</v>
      </c>
      <c r="L7058" s="43">
        <v>6.8266304573664822</v>
      </c>
      <c r="M7058" s="43">
        <v>11.500435161009573</v>
      </c>
      <c r="N7058" s="43">
        <v>5.4556320058903429</v>
      </c>
      <c r="O7058" s="43">
        <v>9.2169753086419757</v>
      </c>
      <c r="P7058" s="223"/>
      <c r="Q7058" s="223"/>
      <c r="R7058" s="223">
        <v>3</v>
      </c>
    </row>
    <row r="7059" spans="1:18" ht="48">
      <c r="A7059" s="219">
        <v>31</v>
      </c>
      <c r="B7059" s="216" t="s">
        <v>12953</v>
      </c>
      <c r="C7059" s="220" t="s">
        <v>12954</v>
      </c>
      <c r="D7059" s="221">
        <v>4094.37</v>
      </c>
      <c r="E7059" s="221">
        <v>907.71</v>
      </c>
      <c r="F7059" s="221">
        <v>3150.92</v>
      </c>
      <c r="G7059" s="221">
        <v>35.74</v>
      </c>
      <c r="H7059" s="222">
        <v>27949.68</v>
      </c>
      <c r="I7059" s="222">
        <v>10439.06</v>
      </c>
      <c r="J7059" s="222">
        <v>17190.259999999998</v>
      </c>
      <c r="K7059" s="222">
        <v>320.36</v>
      </c>
      <c r="L7059" s="43">
        <v>6.8263688919174381</v>
      </c>
      <c r="M7059" s="43">
        <v>11.500435161009573</v>
      </c>
      <c r="N7059" s="43">
        <v>5.4556320058903429</v>
      </c>
      <c r="O7059" s="43">
        <v>8.9636261891438167</v>
      </c>
      <c r="P7059" s="223"/>
      <c r="Q7059" s="223"/>
      <c r="R7059" s="223">
        <v>3</v>
      </c>
    </row>
    <row r="7060" spans="1:18" ht="48">
      <c r="A7060" s="219">
        <v>32</v>
      </c>
      <c r="B7060" s="216" t="s">
        <v>12955</v>
      </c>
      <c r="C7060" s="220" t="s">
        <v>12956</v>
      </c>
      <c r="D7060" s="221">
        <v>4164.75</v>
      </c>
      <c r="E7060" s="221">
        <v>932.99</v>
      </c>
      <c r="F7060" s="221">
        <v>3190.41</v>
      </c>
      <c r="G7060" s="221">
        <v>41.35</v>
      </c>
      <c r="H7060" s="222">
        <v>28486.84</v>
      </c>
      <c r="I7060" s="222">
        <v>10729.77</v>
      </c>
      <c r="J7060" s="222">
        <v>17399.599999999999</v>
      </c>
      <c r="K7060" s="222">
        <v>357.47</v>
      </c>
      <c r="L7060" s="43">
        <v>6.8399879944774593</v>
      </c>
      <c r="M7060" s="43">
        <v>11.500412651796911</v>
      </c>
      <c r="N7060" s="43">
        <v>5.4537191144711805</v>
      </c>
      <c r="O7060" s="43">
        <v>8.644981862152358</v>
      </c>
      <c r="P7060" s="223"/>
      <c r="Q7060" s="223"/>
      <c r="R7060" s="223">
        <v>3</v>
      </c>
    </row>
    <row r="7061" spans="1:18" ht="48">
      <c r="A7061" s="219">
        <v>33</v>
      </c>
      <c r="B7061" s="216" t="s">
        <v>12957</v>
      </c>
      <c r="C7061" s="220" t="s">
        <v>12958</v>
      </c>
      <c r="D7061" s="221">
        <v>4275.5</v>
      </c>
      <c r="E7061" s="221">
        <v>997.33</v>
      </c>
      <c r="F7061" s="221">
        <v>3230.3</v>
      </c>
      <c r="G7061" s="221">
        <v>47.87</v>
      </c>
      <c r="H7061" s="222">
        <v>29488.6</v>
      </c>
      <c r="I7061" s="222">
        <v>11469.75</v>
      </c>
      <c r="J7061" s="222">
        <v>17612.46</v>
      </c>
      <c r="K7061" s="222">
        <v>406.39</v>
      </c>
      <c r="L7061" s="43">
        <v>6.8971114489533383</v>
      </c>
      <c r="M7061" s="43">
        <v>11.500456218102332</v>
      </c>
      <c r="N7061" s="43">
        <v>5.4522675912453948</v>
      </c>
      <c r="O7061" s="43">
        <v>8.48945059536244</v>
      </c>
      <c r="P7061" s="223"/>
      <c r="Q7061" s="223"/>
      <c r="R7061" s="223">
        <v>3</v>
      </c>
    </row>
    <row r="7062" spans="1:18" ht="48">
      <c r="A7062" s="219">
        <v>34</v>
      </c>
      <c r="B7062" s="216" t="s">
        <v>12959</v>
      </c>
      <c r="C7062" s="220" t="s">
        <v>12960</v>
      </c>
      <c r="D7062" s="221">
        <v>4609.96</v>
      </c>
      <c r="E7062" s="221">
        <v>1070.8699999999999</v>
      </c>
      <c r="F7062" s="221">
        <v>3487.23</v>
      </c>
      <c r="G7062" s="221">
        <v>51.86</v>
      </c>
      <c r="H7062" s="222">
        <v>31753.29</v>
      </c>
      <c r="I7062" s="222">
        <v>12315.45</v>
      </c>
      <c r="J7062" s="222">
        <v>18992.86</v>
      </c>
      <c r="K7062" s="222">
        <v>444.98</v>
      </c>
      <c r="L7062" s="43">
        <v>6.8879751668127271</v>
      </c>
      <c r="M7062" s="43">
        <v>11.500415549973388</v>
      </c>
      <c r="N7062" s="43">
        <v>5.4464030190150927</v>
      </c>
      <c r="O7062" s="43">
        <v>8.5804087929039721</v>
      </c>
      <c r="P7062" s="223"/>
      <c r="Q7062" s="223"/>
      <c r="R7062" s="223">
        <v>3</v>
      </c>
    </row>
    <row r="7063" spans="1:18" ht="48">
      <c r="A7063" s="219">
        <v>35</v>
      </c>
      <c r="B7063" s="216" t="s">
        <v>12961</v>
      </c>
      <c r="C7063" s="220" t="s">
        <v>12962</v>
      </c>
      <c r="D7063" s="221">
        <v>4629.3999999999996</v>
      </c>
      <c r="E7063" s="221">
        <v>1070.8699999999999</v>
      </c>
      <c r="F7063" s="221">
        <v>3498.49</v>
      </c>
      <c r="G7063" s="221">
        <v>60.04</v>
      </c>
      <c r="H7063" s="222">
        <v>31857.42</v>
      </c>
      <c r="I7063" s="222">
        <v>12315.45</v>
      </c>
      <c r="J7063" s="222">
        <v>19051.419999999998</v>
      </c>
      <c r="K7063" s="222">
        <v>490.55</v>
      </c>
      <c r="L7063" s="43">
        <v>6.8815440445846114</v>
      </c>
      <c r="M7063" s="43">
        <v>11.500415549973388</v>
      </c>
      <c r="N7063" s="43">
        <v>5.4456122498563664</v>
      </c>
      <c r="O7063" s="43">
        <v>8.170386409060626</v>
      </c>
      <c r="P7063" s="223"/>
      <c r="Q7063" s="223"/>
      <c r="R7063" s="223">
        <v>3</v>
      </c>
    </row>
    <row r="7064" spans="1:18" ht="48">
      <c r="A7064" s="219">
        <v>36</v>
      </c>
      <c r="B7064" s="216" t="s">
        <v>12963</v>
      </c>
      <c r="C7064" s="220" t="s">
        <v>12964</v>
      </c>
      <c r="D7064" s="221">
        <v>4688.5</v>
      </c>
      <c r="E7064" s="221">
        <v>1108.79</v>
      </c>
      <c r="F7064" s="221">
        <v>3506.59</v>
      </c>
      <c r="G7064" s="221">
        <v>73.12</v>
      </c>
      <c r="H7064" s="222">
        <v>32422.49</v>
      </c>
      <c r="I7064" s="222">
        <v>12751.51</v>
      </c>
      <c r="J7064" s="222">
        <v>19092.099999999999</v>
      </c>
      <c r="K7064" s="222">
        <v>578.88</v>
      </c>
      <c r="L7064" s="43">
        <v>6.9153225978457931</v>
      </c>
      <c r="M7064" s="43">
        <v>11.500383300715194</v>
      </c>
      <c r="N7064" s="43">
        <v>5.4446342458057533</v>
      </c>
      <c r="O7064" s="43">
        <v>7.9168490153172861</v>
      </c>
      <c r="P7064" s="223"/>
      <c r="Q7064" s="223"/>
      <c r="R7064" s="223">
        <v>3</v>
      </c>
    </row>
    <row r="7065" spans="1:18" ht="48">
      <c r="A7065" s="219">
        <v>37</v>
      </c>
      <c r="B7065" s="216" t="s">
        <v>12965</v>
      </c>
      <c r="C7065" s="220" t="s">
        <v>12966</v>
      </c>
      <c r="D7065" s="221">
        <v>5515.6</v>
      </c>
      <c r="E7065" s="221">
        <v>1298.3699999999999</v>
      </c>
      <c r="F7065" s="221">
        <v>4132.3500000000004</v>
      </c>
      <c r="G7065" s="221">
        <v>84.88</v>
      </c>
      <c r="H7065" s="222">
        <v>38078.550000000003</v>
      </c>
      <c r="I7065" s="222">
        <v>14931.82</v>
      </c>
      <c r="J7065" s="222">
        <v>22509.57</v>
      </c>
      <c r="K7065" s="222">
        <v>637.16</v>
      </c>
      <c r="L7065" s="43">
        <v>6.903791065341939</v>
      </c>
      <c r="M7065" s="43">
        <v>11.500435161009575</v>
      </c>
      <c r="N7065" s="43">
        <v>5.4471596065192927</v>
      </c>
      <c r="O7065" s="43">
        <v>7.5065975494816213</v>
      </c>
      <c r="P7065" s="223"/>
      <c r="Q7065" s="223"/>
      <c r="R7065" s="223">
        <v>3</v>
      </c>
    </row>
    <row r="7066" spans="1:18" ht="48">
      <c r="A7066" s="219">
        <v>38</v>
      </c>
      <c r="B7066" s="216" t="s">
        <v>12967</v>
      </c>
      <c r="C7066" s="220" t="s">
        <v>12968</v>
      </c>
      <c r="D7066" s="221">
        <v>5676.54</v>
      </c>
      <c r="E7066" s="221">
        <v>1344.33</v>
      </c>
      <c r="F7066" s="221">
        <v>4224.05</v>
      </c>
      <c r="G7066" s="221">
        <v>108.16</v>
      </c>
      <c r="H7066" s="222">
        <v>39229.360000000001</v>
      </c>
      <c r="I7066" s="222">
        <v>15460.38</v>
      </c>
      <c r="J7066" s="222">
        <v>22998.47</v>
      </c>
      <c r="K7066" s="222">
        <v>770.51</v>
      </c>
      <c r="L7066" s="43">
        <v>6.9107872048818475</v>
      </c>
      <c r="M7066" s="43">
        <v>11.500435161009573</v>
      </c>
      <c r="N7066" s="43">
        <v>5.444649092695399</v>
      </c>
      <c r="O7066" s="43">
        <v>7.1237980769230766</v>
      </c>
      <c r="P7066" s="223"/>
      <c r="Q7066" s="223"/>
      <c r="R7066" s="223">
        <v>3</v>
      </c>
    </row>
    <row r="7067" spans="1:18" ht="48">
      <c r="A7067" s="219">
        <v>39</v>
      </c>
      <c r="B7067" s="216" t="s">
        <v>12969</v>
      </c>
      <c r="C7067" s="220" t="s">
        <v>12970</v>
      </c>
      <c r="D7067" s="221">
        <v>5871.02</v>
      </c>
      <c r="E7067" s="221">
        <v>1390.29</v>
      </c>
      <c r="F7067" s="221">
        <v>4347.8999999999996</v>
      </c>
      <c r="G7067" s="221">
        <v>132.83000000000001</v>
      </c>
      <c r="H7067" s="222">
        <v>40561.08</v>
      </c>
      <c r="I7067" s="222">
        <v>15988.94</v>
      </c>
      <c r="J7067" s="222">
        <v>23657.52</v>
      </c>
      <c r="K7067" s="222">
        <v>914.62</v>
      </c>
      <c r="L7067" s="43">
        <v>6.908693889647795</v>
      </c>
      <c r="M7067" s="43">
        <v>11.500435161009575</v>
      </c>
      <c r="N7067" s="43">
        <v>5.4411371006692892</v>
      </c>
      <c r="O7067" s="43">
        <v>6.8856433034706006</v>
      </c>
      <c r="P7067" s="223"/>
      <c r="Q7067" s="223"/>
      <c r="R7067" s="223">
        <v>3</v>
      </c>
    </row>
    <row r="7068" spans="1:18" ht="48">
      <c r="A7068" s="219">
        <v>40</v>
      </c>
      <c r="B7068" s="216" t="s">
        <v>12971</v>
      </c>
      <c r="C7068" s="220" t="s">
        <v>12972</v>
      </c>
      <c r="D7068" s="221">
        <v>7108.77</v>
      </c>
      <c r="E7068" s="221">
        <v>1700.52</v>
      </c>
      <c r="F7068" s="221">
        <v>5217.7</v>
      </c>
      <c r="G7068" s="221">
        <v>190.55</v>
      </c>
      <c r="H7068" s="222">
        <v>49229.87</v>
      </c>
      <c r="I7068" s="222">
        <v>19556.72</v>
      </c>
      <c r="J7068" s="222">
        <v>28398.47</v>
      </c>
      <c r="K7068" s="222">
        <v>1274.68</v>
      </c>
      <c r="L7068" s="43">
        <v>6.9252303844406278</v>
      </c>
      <c r="M7068" s="43">
        <v>11.500435161009575</v>
      </c>
      <c r="N7068" s="43">
        <v>5.4427180558483625</v>
      </c>
      <c r="O7068" s="43">
        <v>6.6894778273419053</v>
      </c>
      <c r="P7068" s="223"/>
      <c r="Q7068" s="223"/>
      <c r="R7068" s="223">
        <v>3</v>
      </c>
    </row>
    <row r="7069" spans="1:18" ht="48">
      <c r="A7069" s="219">
        <v>41</v>
      </c>
      <c r="B7069" s="216" t="s">
        <v>12973</v>
      </c>
      <c r="C7069" s="220" t="s">
        <v>12974</v>
      </c>
      <c r="D7069" s="221">
        <v>7608.06</v>
      </c>
      <c r="E7069" s="221">
        <v>1872.87</v>
      </c>
      <c r="F7069" s="221">
        <v>5436.28</v>
      </c>
      <c r="G7069" s="221">
        <v>298.91000000000003</v>
      </c>
      <c r="H7069" s="222">
        <v>53027.93</v>
      </c>
      <c r="I7069" s="222">
        <v>21538.82</v>
      </c>
      <c r="J7069" s="222">
        <v>29556.99</v>
      </c>
      <c r="K7069" s="222">
        <v>1932.12</v>
      </c>
      <c r="L7069" s="43">
        <v>6.9699673767031278</v>
      </c>
      <c r="M7069" s="43">
        <v>11.500435161009573</v>
      </c>
      <c r="N7069" s="43">
        <v>5.4369881610218762</v>
      </c>
      <c r="O7069" s="43">
        <v>6.4638854504700403</v>
      </c>
      <c r="P7069" s="223"/>
      <c r="Q7069" s="223"/>
      <c r="R7069" s="223">
        <v>3</v>
      </c>
    </row>
    <row r="7070" spans="1:18" ht="48">
      <c r="A7070" s="219">
        <v>42</v>
      </c>
      <c r="B7070" s="216" t="s">
        <v>12975</v>
      </c>
      <c r="C7070" s="220" t="s">
        <v>12976</v>
      </c>
      <c r="D7070" s="221">
        <v>8196.8700000000008</v>
      </c>
      <c r="E7070" s="221">
        <v>2148.63</v>
      </c>
      <c r="F7070" s="221">
        <v>5593.44</v>
      </c>
      <c r="G7070" s="221">
        <v>454.8</v>
      </c>
      <c r="H7070" s="222">
        <v>57926.5</v>
      </c>
      <c r="I7070" s="222">
        <v>24710.18</v>
      </c>
      <c r="J7070" s="222">
        <v>30380.34</v>
      </c>
      <c r="K7070" s="222">
        <v>2835.98</v>
      </c>
      <c r="L7070" s="43">
        <v>7.0669048063468125</v>
      </c>
      <c r="M7070" s="43">
        <v>11.500435161009573</v>
      </c>
      <c r="N7070" s="43">
        <v>5.431423238650992</v>
      </c>
      <c r="O7070" s="43">
        <v>6.2356640281442388</v>
      </c>
      <c r="P7070" s="223"/>
      <c r="Q7070" s="223"/>
      <c r="R7070" s="223">
        <v>3</v>
      </c>
    </row>
    <row r="7071" spans="1:18" ht="48">
      <c r="A7071" s="219">
        <v>43</v>
      </c>
      <c r="B7071" s="216" t="s">
        <v>12977</v>
      </c>
      <c r="C7071" s="220" t="s">
        <v>12978</v>
      </c>
      <c r="D7071" s="221">
        <v>9716.31</v>
      </c>
      <c r="E7071" s="221">
        <v>2665.68</v>
      </c>
      <c r="F7071" s="221">
        <v>5850.48</v>
      </c>
      <c r="G7071" s="221">
        <v>1200.1500000000001</v>
      </c>
      <c r="H7071" s="222">
        <v>69386.58</v>
      </c>
      <c r="I7071" s="222">
        <v>30656.48</v>
      </c>
      <c r="J7071" s="222">
        <v>31704.74</v>
      </c>
      <c r="K7071" s="222">
        <v>7025.36</v>
      </c>
      <c r="L7071" s="43">
        <v>7.1412480663955771</v>
      </c>
      <c r="M7071" s="43">
        <v>11.500435161009575</v>
      </c>
      <c r="N7071" s="43">
        <v>5.4191690254474851</v>
      </c>
      <c r="O7071" s="43">
        <v>5.853734949797941</v>
      </c>
      <c r="P7071" s="223"/>
      <c r="Q7071" s="223"/>
      <c r="R7071" s="223">
        <v>3</v>
      </c>
    </row>
    <row r="7072" spans="1:18" ht="48">
      <c r="A7072" s="219">
        <v>44</v>
      </c>
      <c r="B7072" s="216" t="s">
        <v>12979</v>
      </c>
      <c r="C7072" s="220" t="s">
        <v>12980</v>
      </c>
      <c r="D7072" s="221">
        <v>10555.73</v>
      </c>
      <c r="E7072" s="221">
        <v>2975.91</v>
      </c>
      <c r="F7072" s="221">
        <v>6149.52</v>
      </c>
      <c r="G7072" s="221">
        <v>1430.3</v>
      </c>
      <c r="H7072" s="222">
        <v>75878.710000000006</v>
      </c>
      <c r="I7072" s="222">
        <v>34224.26</v>
      </c>
      <c r="J7072" s="222">
        <v>33288.97</v>
      </c>
      <c r="K7072" s="222">
        <v>8365.48</v>
      </c>
      <c r="L7072" s="43">
        <v>7.1883905708084619</v>
      </c>
      <c r="M7072" s="43">
        <v>11.500435161009575</v>
      </c>
      <c r="N7072" s="43">
        <v>5.4132631489937424</v>
      </c>
      <c r="O7072" s="43">
        <v>5.8487590016080544</v>
      </c>
      <c r="P7072" s="223"/>
      <c r="Q7072" s="223"/>
      <c r="R7072" s="223">
        <v>3</v>
      </c>
    </row>
    <row r="7073" spans="1:18" ht="48">
      <c r="A7073" s="219">
        <v>45</v>
      </c>
      <c r="B7073" s="216" t="s">
        <v>12981</v>
      </c>
      <c r="C7073" s="220" t="s">
        <v>12982</v>
      </c>
      <c r="D7073" s="221">
        <v>11669.49</v>
      </c>
      <c r="E7073" s="221">
        <v>3240.18</v>
      </c>
      <c r="F7073" s="221">
        <v>6700.06</v>
      </c>
      <c r="G7073" s="221">
        <v>1729.25</v>
      </c>
      <c r="H7073" s="222">
        <v>83531.14</v>
      </c>
      <c r="I7073" s="222">
        <v>37263.480000000003</v>
      </c>
      <c r="J7073" s="222">
        <v>36211.49</v>
      </c>
      <c r="K7073" s="222">
        <v>10056.17</v>
      </c>
      <c r="L7073" s="43">
        <v>7.1580797447017819</v>
      </c>
      <c r="M7073" s="43">
        <v>11.500435161009575</v>
      </c>
      <c r="N7073" s="43">
        <v>5.4046516001349234</v>
      </c>
      <c r="O7073" s="43">
        <v>5.8153361283793554</v>
      </c>
      <c r="P7073" s="223"/>
      <c r="Q7073" s="223"/>
      <c r="R7073" s="223">
        <v>3</v>
      </c>
    </row>
    <row r="7074" spans="1:18" ht="48">
      <c r="A7074" s="219">
        <v>46</v>
      </c>
      <c r="B7074" s="216" t="s">
        <v>12983</v>
      </c>
      <c r="C7074" s="220" t="s">
        <v>12984</v>
      </c>
      <c r="D7074" s="221">
        <v>12319.62</v>
      </c>
      <c r="E7074" s="221">
        <v>3561.9</v>
      </c>
      <c r="F7074" s="221">
        <v>6882.84</v>
      </c>
      <c r="G7074" s="221">
        <v>1874.88</v>
      </c>
      <c r="H7074" s="222">
        <v>88976.08</v>
      </c>
      <c r="I7074" s="222">
        <v>40963.4</v>
      </c>
      <c r="J7074" s="222">
        <v>37142.99</v>
      </c>
      <c r="K7074" s="222">
        <v>10869.69</v>
      </c>
      <c r="L7074" s="43">
        <v>7.2223071815526776</v>
      </c>
      <c r="M7074" s="43">
        <v>11.500435161009573</v>
      </c>
      <c r="N7074" s="43">
        <v>5.3964627973336583</v>
      </c>
      <c r="O7074" s="43">
        <v>5.7975390424987197</v>
      </c>
      <c r="P7074" s="223"/>
      <c r="Q7074" s="223"/>
      <c r="R7074" s="223">
        <v>3</v>
      </c>
    </row>
    <row r="7075" spans="1:18" ht="25.5" customHeight="1">
      <c r="A7075" s="628" t="s">
        <v>12985</v>
      </c>
      <c r="B7075" s="629"/>
      <c r="C7075" s="629"/>
      <c r="D7075" s="629"/>
      <c r="E7075" s="629"/>
      <c r="F7075" s="629"/>
      <c r="G7075" s="629"/>
      <c r="H7075" s="629"/>
      <c r="I7075" s="629"/>
      <c r="J7075" s="629"/>
      <c r="K7075" s="629"/>
      <c r="L7075" s="629"/>
      <c r="M7075" s="629"/>
      <c r="N7075" s="629"/>
      <c r="O7075" s="629"/>
      <c r="P7075" s="629"/>
      <c r="Q7075" s="629"/>
      <c r="R7075" s="629"/>
    </row>
    <row r="7076" spans="1:18" ht="48">
      <c r="A7076" s="219">
        <v>47</v>
      </c>
      <c r="B7076" s="216" t="s">
        <v>12986</v>
      </c>
      <c r="C7076" s="220" t="s">
        <v>12987</v>
      </c>
      <c r="D7076" s="221">
        <v>5866.18</v>
      </c>
      <c r="E7076" s="221">
        <v>1516.68</v>
      </c>
      <c r="F7076" s="221">
        <v>4265.45</v>
      </c>
      <c r="G7076" s="221">
        <v>84.05</v>
      </c>
      <c r="H7076" s="222">
        <v>41300.57</v>
      </c>
      <c r="I7076" s="222">
        <v>17442.48</v>
      </c>
      <c r="J7076" s="222">
        <v>23159.33</v>
      </c>
      <c r="K7076" s="222">
        <v>698.76</v>
      </c>
      <c r="L7076" s="43">
        <v>7.0404539240186965</v>
      </c>
      <c r="M7076" s="43">
        <v>11.500435161009573</v>
      </c>
      <c r="N7076" s="43">
        <v>5.4295162292372439</v>
      </c>
      <c r="O7076" s="43">
        <v>8.3136228435455095</v>
      </c>
      <c r="P7076" s="223"/>
      <c r="Q7076" s="223"/>
      <c r="R7076" s="223">
        <v>4</v>
      </c>
    </row>
    <row r="7077" spans="1:18" ht="48">
      <c r="A7077" s="219">
        <v>48</v>
      </c>
      <c r="B7077" s="216" t="s">
        <v>12988</v>
      </c>
      <c r="C7077" s="220" t="s">
        <v>12989</v>
      </c>
      <c r="D7077" s="221">
        <v>5883.53</v>
      </c>
      <c r="E7077" s="221">
        <v>1516.68</v>
      </c>
      <c r="F7077" s="221">
        <v>4267.12</v>
      </c>
      <c r="G7077" s="221">
        <v>99.73</v>
      </c>
      <c r="H7077" s="222">
        <v>41412.78</v>
      </c>
      <c r="I7077" s="222">
        <v>17442.48</v>
      </c>
      <c r="J7077" s="222">
        <v>23167.08</v>
      </c>
      <c r="K7077" s="222">
        <v>803.22</v>
      </c>
      <c r="L7077" s="43">
        <v>7.0387641432949266</v>
      </c>
      <c r="M7077" s="43">
        <v>11.500435161009573</v>
      </c>
      <c r="N7077" s="43">
        <v>5.4292075217008202</v>
      </c>
      <c r="O7077" s="43">
        <v>8.0539456532638116</v>
      </c>
      <c r="P7077" s="223"/>
      <c r="Q7077" s="223"/>
      <c r="R7077" s="223">
        <v>4</v>
      </c>
    </row>
    <row r="7078" spans="1:18" ht="48">
      <c r="A7078" s="219">
        <v>49</v>
      </c>
      <c r="B7078" s="216" t="s">
        <v>12990</v>
      </c>
      <c r="C7078" s="220" t="s">
        <v>12991</v>
      </c>
      <c r="D7078" s="221">
        <v>6117.02</v>
      </c>
      <c r="E7078" s="221">
        <v>1643.07</v>
      </c>
      <c r="F7078" s="221">
        <v>4348.6099999999997</v>
      </c>
      <c r="G7078" s="221">
        <v>125.34</v>
      </c>
      <c r="H7078" s="222">
        <v>43474.04</v>
      </c>
      <c r="I7078" s="222">
        <v>18896.02</v>
      </c>
      <c r="J7078" s="222">
        <v>23598.69</v>
      </c>
      <c r="K7078" s="222">
        <v>979.33</v>
      </c>
      <c r="L7078" s="43">
        <v>7.1070619353868381</v>
      </c>
      <c r="M7078" s="43">
        <v>11.500435161009575</v>
      </c>
      <c r="N7078" s="43">
        <v>5.4267202623367012</v>
      </c>
      <c r="O7078" s="43">
        <v>7.8133875857667148</v>
      </c>
      <c r="P7078" s="223"/>
      <c r="Q7078" s="223"/>
      <c r="R7078" s="223">
        <v>4</v>
      </c>
    </row>
    <row r="7079" spans="1:18" ht="48">
      <c r="A7079" s="219">
        <v>50</v>
      </c>
      <c r="B7079" s="216" t="s">
        <v>12992</v>
      </c>
      <c r="C7079" s="220" t="s">
        <v>12993</v>
      </c>
      <c r="D7079" s="221">
        <v>6298.24</v>
      </c>
      <c r="E7079" s="221">
        <v>1700.52</v>
      </c>
      <c r="F7079" s="221">
        <v>4456.24</v>
      </c>
      <c r="G7079" s="221">
        <v>141.47999999999999</v>
      </c>
      <c r="H7079" s="222">
        <v>44822.12</v>
      </c>
      <c r="I7079" s="222">
        <v>19556.72</v>
      </c>
      <c r="J7079" s="222">
        <v>24174.17</v>
      </c>
      <c r="K7079" s="222">
        <v>1091.23</v>
      </c>
      <c r="L7079" s="43">
        <v>7.1166103546387571</v>
      </c>
      <c r="M7079" s="43">
        <v>11.500435161009575</v>
      </c>
      <c r="N7079" s="43">
        <v>5.4247908550706425</v>
      </c>
      <c r="O7079" s="43">
        <v>7.7129629629629637</v>
      </c>
      <c r="P7079" s="223"/>
      <c r="Q7079" s="223"/>
      <c r="R7079" s="223">
        <v>4</v>
      </c>
    </row>
    <row r="7080" spans="1:18" ht="48">
      <c r="A7080" s="219">
        <v>51</v>
      </c>
      <c r="B7080" s="216" t="s">
        <v>12994</v>
      </c>
      <c r="C7080" s="220" t="s">
        <v>12995</v>
      </c>
      <c r="D7080" s="221">
        <v>7224.2</v>
      </c>
      <c r="E7080" s="221">
        <v>1941.81</v>
      </c>
      <c r="F7080" s="221">
        <v>5117.38</v>
      </c>
      <c r="G7080" s="221">
        <v>165.01</v>
      </c>
      <c r="H7080" s="222">
        <v>51319.76</v>
      </c>
      <c r="I7080" s="222">
        <v>22331.66</v>
      </c>
      <c r="J7080" s="222">
        <v>27721.79</v>
      </c>
      <c r="K7080" s="222">
        <v>1266.31</v>
      </c>
      <c r="L7080" s="43">
        <v>7.1038675562692069</v>
      </c>
      <c r="M7080" s="43">
        <v>11.500435161009573</v>
      </c>
      <c r="N7080" s="43">
        <v>5.4171841840942045</v>
      </c>
      <c r="O7080" s="43">
        <v>7.6741409611538698</v>
      </c>
      <c r="P7080" s="223"/>
      <c r="Q7080" s="223"/>
      <c r="R7080" s="223">
        <v>4</v>
      </c>
    </row>
    <row r="7081" spans="1:18" ht="48">
      <c r="A7081" s="219">
        <v>52</v>
      </c>
      <c r="B7081" s="216" t="s">
        <v>12996</v>
      </c>
      <c r="C7081" s="220" t="s">
        <v>12997</v>
      </c>
      <c r="D7081" s="221">
        <v>7345.91</v>
      </c>
      <c r="E7081" s="221">
        <v>1999.26</v>
      </c>
      <c r="F7081" s="221">
        <v>5167.01</v>
      </c>
      <c r="G7081" s="221">
        <v>179.64</v>
      </c>
      <c r="H7081" s="222">
        <v>52338.86</v>
      </c>
      <c r="I7081" s="222">
        <v>22992.36</v>
      </c>
      <c r="J7081" s="222">
        <v>27983.57</v>
      </c>
      <c r="K7081" s="222">
        <v>1362.93</v>
      </c>
      <c r="L7081" s="43">
        <v>7.1248980725328792</v>
      </c>
      <c r="M7081" s="43">
        <v>11.500435161009573</v>
      </c>
      <c r="N7081" s="43">
        <v>5.4158149490711258</v>
      </c>
      <c r="O7081" s="43">
        <v>7.5870073480293927</v>
      </c>
      <c r="P7081" s="223"/>
      <c r="Q7081" s="223"/>
      <c r="R7081" s="223">
        <v>4</v>
      </c>
    </row>
    <row r="7082" spans="1:18" ht="48">
      <c r="A7082" s="219">
        <v>53</v>
      </c>
      <c r="B7082" s="216" t="s">
        <v>12998</v>
      </c>
      <c r="C7082" s="220" t="s">
        <v>12999</v>
      </c>
      <c r="D7082" s="221">
        <v>7519.94</v>
      </c>
      <c r="E7082" s="221">
        <v>2091.1799999999998</v>
      </c>
      <c r="F7082" s="221">
        <v>5181.6099999999997</v>
      </c>
      <c r="G7082" s="221">
        <v>247.15</v>
      </c>
      <c r="H7082" s="222">
        <v>54005.67</v>
      </c>
      <c r="I7082" s="222">
        <v>24049.48</v>
      </c>
      <c r="J7082" s="222">
        <v>28057.63</v>
      </c>
      <c r="K7082" s="222">
        <v>1898.56</v>
      </c>
      <c r="L7082" s="43">
        <v>7.1816623536889921</v>
      </c>
      <c r="M7082" s="43">
        <v>11.500435161009575</v>
      </c>
      <c r="N7082" s="43">
        <v>5.4148478947662992</v>
      </c>
      <c r="O7082" s="43">
        <v>7.6818126643738616</v>
      </c>
      <c r="P7082" s="223"/>
      <c r="Q7082" s="223"/>
      <c r="R7082" s="223">
        <v>4</v>
      </c>
    </row>
    <row r="7083" spans="1:18" ht="48">
      <c r="A7083" s="219">
        <v>54</v>
      </c>
      <c r="B7083" s="216" t="s">
        <v>13000</v>
      </c>
      <c r="C7083" s="220" t="s">
        <v>13001</v>
      </c>
      <c r="D7083" s="221">
        <v>8483.2999999999993</v>
      </c>
      <c r="E7083" s="221">
        <v>2217.5700000000002</v>
      </c>
      <c r="F7083" s="221">
        <v>5983.48</v>
      </c>
      <c r="G7083" s="221">
        <v>282.25</v>
      </c>
      <c r="H7083" s="222">
        <v>59637.1</v>
      </c>
      <c r="I7083" s="222">
        <v>25503.02</v>
      </c>
      <c r="J7083" s="222">
        <v>32421.42</v>
      </c>
      <c r="K7083" s="222">
        <v>1712.66</v>
      </c>
      <c r="L7083" s="43">
        <v>7.0299411785507999</v>
      </c>
      <c r="M7083" s="43">
        <v>11.500435161009573</v>
      </c>
      <c r="N7083" s="43">
        <v>5.4184889061215218</v>
      </c>
      <c r="O7083" s="43">
        <v>6.0678830823737826</v>
      </c>
      <c r="P7083" s="223"/>
      <c r="Q7083" s="223"/>
      <c r="R7083" s="223">
        <v>4</v>
      </c>
    </row>
    <row r="7084" spans="1:18" ht="48">
      <c r="A7084" s="219">
        <v>55</v>
      </c>
      <c r="B7084" s="216" t="s">
        <v>13002</v>
      </c>
      <c r="C7084" s="220" t="s">
        <v>13003</v>
      </c>
      <c r="D7084" s="221">
        <v>8715.41</v>
      </c>
      <c r="E7084" s="221">
        <v>2309.4899999999998</v>
      </c>
      <c r="F7084" s="221">
        <v>6081.05</v>
      </c>
      <c r="G7084" s="221">
        <v>324.87</v>
      </c>
      <c r="H7084" s="222">
        <v>61472.53</v>
      </c>
      <c r="I7084" s="222">
        <v>26560.14</v>
      </c>
      <c r="J7084" s="222">
        <v>32942.44</v>
      </c>
      <c r="K7084" s="222">
        <v>1969.95</v>
      </c>
      <c r="L7084" s="43">
        <v>7.0533147608660984</v>
      </c>
      <c r="M7084" s="43">
        <v>11.500435161009575</v>
      </c>
      <c r="N7084" s="43">
        <v>5.4172289325034333</v>
      </c>
      <c r="O7084" s="43">
        <v>6.0638101394403918</v>
      </c>
      <c r="P7084" s="223"/>
      <c r="Q7084" s="223"/>
      <c r="R7084" s="223">
        <v>4</v>
      </c>
    </row>
    <row r="7085" spans="1:18" ht="48">
      <c r="A7085" s="219">
        <v>56</v>
      </c>
      <c r="B7085" s="216" t="s">
        <v>13004</v>
      </c>
      <c r="C7085" s="220" t="s">
        <v>13005</v>
      </c>
      <c r="D7085" s="221">
        <v>9421.02</v>
      </c>
      <c r="E7085" s="221">
        <v>2654.19</v>
      </c>
      <c r="F7085" s="221">
        <v>6256.81</v>
      </c>
      <c r="G7085" s="221">
        <v>510.02</v>
      </c>
      <c r="H7085" s="222">
        <v>67359.31</v>
      </c>
      <c r="I7085" s="222">
        <v>30524.34</v>
      </c>
      <c r="J7085" s="222">
        <v>33872.21</v>
      </c>
      <c r="K7085" s="222">
        <v>2962.76</v>
      </c>
      <c r="L7085" s="43">
        <v>7.1498956588564715</v>
      </c>
      <c r="M7085" s="43">
        <v>11.500435161009573</v>
      </c>
      <c r="N7085" s="43">
        <v>5.4136548816409631</v>
      </c>
      <c r="O7085" s="43">
        <v>5.8091055252735195</v>
      </c>
      <c r="P7085" s="223"/>
      <c r="Q7085" s="223"/>
      <c r="R7085" s="223">
        <v>4</v>
      </c>
    </row>
    <row r="7086" spans="1:18" ht="48">
      <c r="A7086" s="219">
        <v>57</v>
      </c>
      <c r="B7086" s="216" t="s">
        <v>13006</v>
      </c>
      <c r="C7086" s="220" t="s">
        <v>13007</v>
      </c>
      <c r="D7086" s="221">
        <v>10140.39</v>
      </c>
      <c r="E7086" s="221">
        <v>2734.62</v>
      </c>
      <c r="F7086" s="221">
        <v>6884.21</v>
      </c>
      <c r="G7086" s="221">
        <v>521.55999999999995</v>
      </c>
      <c r="H7086" s="222">
        <v>71790.03</v>
      </c>
      <c r="I7086" s="222">
        <v>31449.32</v>
      </c>
      <c r="J7086" s="222">
        <v>37326.35</v>
      </c>
      <c r="K7086" s="222">
        <v>3014.36</v>
      </c>
      <c r="L7086" s="43">
        <v>7.0796123226029772</v>
      </c>
      <c r="M7086" s="43">
        <v>11.500435161009573</v>
      </c>
      <c r="N7086" s="43">
        <v>5.4220237325706213</v>
      </c>
      <c r="O7086" s="43">
        <v>5.7795076309532947</v>
      </c>
      <c r="P7086" s="223"/>
      <c r="Q7086" s="223"/>
      <c r="R7086" s="223">
        <v>4</v>
      </c>
    </row>
    <row r="7087" spans="1:18" ht="48">
      <c r="A7087" s="219">
        <v>58</v>
      </c>
      <c r="B7087" s="216" t="s">
        <v>13008</v>
      </c>
      <c r="C7087" s="220" t="s">
        <v>13009</v>
      </c>
      <c r="D7087" s="221">
        <v>11189.66</v>
      </c>
      <c r="E7087" s="221">
        <v>2895.48</v>
      </c>
      <c r="F7087" s="221">
        <v>7510.17</v>
      </c>
      <c r="G7087" s="221">
        <v>784.01</v>
      </c>
      <c r="H7087" s="222">
        <v>78361.83</v>
      </c>
      <c r="I7087" s="222">
        <v>33299.279999999999</v>
      </c>
      <c r="J7087" s="222">
        <v>40668.42</v>
      </c>
      <c r="K7087" s="222">
        <v>4394.13</v>
      </c>
      <c r="L7087" s="43">
        <v>7.0030572868165795</v>
      </c>
      <c r="M7087" s="43">
        <v>11.500435161009573</v>
      </c>
      <c r="N7087" s="43">
        <v>5.4151131066274125</v>
      </c>
      <c r="O7087" s="43">
        <v>5.604686164717287</v>
      </c>
      <c r="P7087" s="223"/>
      <c r="Q7087" s="223"/>
      <c r="R7087" s="223">
        <v>4</v>
      </c>
    </row>
    <row r="7088" spans="1:18" ht="48">
      <c r="A7088" s="219">
        <v>59</v>
      </c>
      <c r="B7088" s="216" t="s">
        <v>13010</v>
      </c>
      <c r="C7088" s="220" t="s">
        <v>13011</v>
      </c>
      <c r="D7088" s="221">
        <v>13680.89</v>
      </c>
      <c r="E7088" s="221">
        <v>3826.17</v>
      </c>
      <c r="F7088" s="221">
        <v>8126.03</v>
      </c>
      <c r="G7088" s="221">
        <v>1728.69</v>
      </c>
      <c r="H7088" s="222">
        <v>97118.27</v>
      </c>
      <c r="I7088" s="222">
        <v>44002.62</v>
      </c>
      <c r="J7088" s="222">
        <v>43908.959999999999</v>
      </c>
      <c r="K7088" s="222">
        <v>9206.69</v>
      </c>
      <c r="L7088" s="43">
        <v>7.0988269038052358</v>
      </c>
      <c r="M7088" s="43">
        <v>11.500435161009573</v>
      </c>
      <c r="N7088" s="43">
        <v>5.4034946954416858</v>
      </c>
      <c r="O7088" s="43">
        <v>5.3258189727481504</v>
      </c>
      <c r="P7088" s="223"/>
      <c r="Q7088" s="223"/>
      <c r="R7088" s="223">
        <v>4</v>
      </c>
    </row>
    <row r="7089" spans="1:18" ht="48">
      <c r="A7089" s="219">
        <v>60</v>
      </c>
      <c r="B7089" s="216" t="s">
        <v>13012</v>
      </c>
      <c r="C7089" s="220" t="s">
        <v>13013</v>
      </c>
      <c r="D7089" s="221">
        <v>14959.17</v>
      </c>
      <c r="E7089" s="221">
        <v>4021.5</v>
      </c>
      <c r="F7089" s="221">
        <v>8285.4500000000007</v>
      </c>
      <c r="G7089" s="221">
        <v>2652.22</v>
      </c>
      <c r="H7089" s="222">
        <v>104969.96</v>
      </c>
      <c r="I7089" s="222">
        <v>46249</v>
      </c>
      <c r="J7089" s="222">
        <v>44743.07</v>
      </c>
      <c r="K7089" s="222">
        <v>13977.89</v>
      </c>
      <c r="L7089" s="43">
        <v>7.0170978737456693</v>
      </c>
      <c r="M7089" s="43">
        <v>11.500435161009573</v>
      </c>
      <c r="N7089" s="43">
        <v>5.4001979373480014</v>
      </c>
      <c r="O7089" s="43">
        <v>5.270260385639201</v>
      </c>
      <c r="P7089" s="223"/>
      <c r="Q7089" s="223"/>
      <c r="R7089" s="223">
        <v>4</v>
      </c>
    </row>
    <row r="7090" spans="1:18" ht="48">
      <c r="A7090" s="219">
        <v>61</v>
      </c>
      <c r="B7090" s="216" t="s">
        <v>13014</v>
      </c>
      <c r="C7090" s="220" t="s">
        <v>13015</v>
      </c>
      <c r="D7090" s="221">
        <v>16297.01</v>
      </c>
      <c r="E7090" s="221">
        <v>4538.55</v>
      </c>
      <c r="F7090" s="221">
        <v>8777.3700000000008</v>
      </c>
      <c r="G7090" s="221">
        <v>2981.09</v>
      </c>
      <c r="H7090" s="222">
        <v>115397.2</v>
      </c>
      <c r="I7090" s="222">
        <v>52195.3</v>
      </c>
      <c r="J7090" s="222">
        <v>47358.27</v>
      </c>
      <c r="K7090" s="222">
        <v>15843.63</v>
      </c>
      <c r="L7090" s="43">
        <v>7.0808817077488442</v>
      </c>
      <c r="M7090" s="43">
        <v>11.500435161009573</v>
      </c>
      <c r="N7090" s="43">
        <v>5.3954966009180421</v>
      </c>
      <c r="O7090" s="43">
        <v>5.3147103911656473</v>
      </c>
      <c r="P7090" s="223"/>
      <c r="Q7090" s="223"/>
      <c r="R7090" s="223">
        <v>4</v>
      </c>
    </row>
    <row r="7091" spans="1:18" ht="48">
      <c r="A7091" s="219">
        <v>62</v>
      </c>
      <c r="B7091" s="216" t="s">
        <v>13016</v>
      </c>
      <c r="C7091" s="220" t="s">
        <v>13017</v>
      </c>
      <c r="D7091" s="221">
        <v>17582.5</v>
      </c>
      <c r="E7091" s="221">
        <v>4917.72</v>
      </c>
      <c r="F7091" s="221">
        <v>9375.49</v>
      </c>
      <c r="G7091" s="221">
        <v>3289.29</v>
      </c>
      <c r="H7091" s="222">
        <v>124589.05</v>
      </c>
      <c r="I7091" s="222">
        <v>56555.92</v>
      </c>
      <c r="J7091" s="222">
        <v>50545.35</v>
      </c>
      <c r="K7091" s="222">
        <v>17487.78</v>
      </c>
      <c r="L7091" s="43">
        <v>7.0859690032702973</v>
      </c>
      <c r="M7091" s="43">
        <v>11.500435161009573</v>
      </c>
      <c r="N7091" s="43">
        <v>5.3912222187853649</v>
      </c>
      <c r="O7091" s="43">
        <v>5.3165819979387647</v>
      </c>
      <c r="P7091" s="223"/>
      <c r="Q7091" s="223"/>
      <c r="R7091" s="223">
        <v>4</v>
      </c>
    </row>
    <row r="7092" spans="1:18" ht="48">
      <c r="A7092" s="219">
        <v>63</v>
      </c>
      <c r="B7092" s="216" t="s">
        <v>13018</v>
      </c>
      <c r="C7092" s="220" t="s">
        <v>13019</v>
      </c>
      <c r="D7092" s="221">
        <v>18332.259999999998</v>
      </c>
      <c r="E7092" s="221">
        <v>5067.09</v>
      </c>
      <c r="F7092" s="221">
        <v>9735.9599999999991</v>
      </c>
      <c r="G7092" s="221">
        <v>3529.21</v>
      </c>
      <c r="H7092" s="222">
        <v>129547.57</v>
      </c>
      <c r="I7092" s="222">
        <v>58273.74</v>
      </c>
      <c r="J7092" s="222">
        <v>52446.97</v>
      </c>
      <c r="K7092" s="222">
        <v>18826.86</v>
      </c>
      <c r="L7092" s="43">
        <v>7.0666448108416535</v>
      </c>
      <c r="M7092" s="43">
        <v>11.500435161009573</v>
      </c>
      <c r="N7092" s="43">
        <v>5.3869335946326817</v>
      </c>
      <c r="O7092" s="43">
        <v>5.3345819602687286</v>
      </c>
      <c r="P7092" s="223"/>
      <c r="Q7092" s="223"/>
      <c r="R7092" s="223">
        <v>4</v>
      </c>
    </row>
    <row r="7093" spans="1:18" ht="48">
      <c r="A7093" s="219">
        <v>64</v>
      </c>
      <c r="B7093" s="216" t="s">
        <v>13020</v>
      </c>
      <c r="C7093" s="220" t="s">
        <v>13021</v>
      </c>
      <c r="D7093" s="221">
        <v>19441.330000000002</v>
      </c>
      <c r="E7093" s="221">
        <v>5308.38</v>
      </c>
      <c r="F7093" s="221">
        <v>10368.18</v>
      </c>
      <c r="G7093" s="221">
        <v>3764.77</v>
      </c>
      <c r="H7093" s="222">
        <v>137035.56</v>
      </c>
      <c r="I7093" s="222">
        <v>61048.68</v>
      </c>
      <c r="J7093" s="222">
        <v>55893.72</v>
      </c>
      <c r="K7093" s="222">
        <v>20093.16</v>
      </c>
      <c r="L7093" s="43">
        <v>7.0486720815911248</v>
      </c>
      <c r="M7093" s="43">
        <v>11.500435161009573</v>
      </c>
      <c r="N7093" s="43">
        <v>5.3908902044524689</v>
      </c>
      <c r="O7093" s="43">
        <v>5.337154726583563</v>
      </c>
      <c r="P7093" s="223"/>
      <c r="Q7093" s="223"/>
      <c r="R7093" s="223">
        <v>4</v>
      </c>
    </row>
    <row r="7094" spans="1:18" ht="48">
      <c r="A7094" s="219">
        <v>65</v>
      </c>
      <c r="B7094" s="216" t="s">
        <v>13022</v>
      </c>
      <c r="C7094" s="220" t="s">
        <v>13023</v>
      </c>
      <c r="D7094" s="221">
        <v>20030.13</v>
      </c>
      <c r="E7094" s="221">
        <v>5503.71</v>
      </c>
      <c r="F7094" s="221">
        <v>10554.5</v>
      </c>
      <c r="G7094" s="221">
        <v>3971.92</v>
      </c>
      <c r="H7094" s="222">
        <v>141390.51</v>
      </c>
      <c r="I7094" s="222">
        <v>63295.06</v>
      </c>
      <c r="J7094" s="222">
        <v>56851.53</v>
      </c>
      <c r="K7094" s="222">
        <v>21243.919999999998</v>
      </c>
      <c r="L7094" s="43">
        <v>7.0588912802862485</v>
      </c>
      <c r="M7094" s="43">
        <v>11.500435161009573</v>
      </c>
      <c r="N7094" s="43">
        <v>5.386473068359467</v>
      </c>
      <c r="O7094" s="43">
        <v>5.3485266571330738</v>
      </c>
      <c r="P7094" s="223"/>
      <c r="Q7094" s="223"/>
      <c r="R7094" s="223">
        <v>4</v>
      </c>
    </row>
    <row r="7095" spans="1:18" ht="48">
      <c r="A7095" s="219">
        <v>66</v>
      </c>
      <c r="B7095" s="216" t="s">
        <v>13024</v>
      </c>
      <c r="C7095" s="220" t="s">
        <v>13025</v>
      </c>
      <c r="D7095" s="221">
        <v>22721.71</v>
      </c>
      <c r="E7095" s="221">
        <v>5584.14</v>
      </c>
      <c r="F7095" s="221">
        <v>11843.4</v>
      </c>
      <c r="G7095" s="221">
        <v>5294.17</v>
      </c>
      <c r="H7095" s="222">
        <v>155526.12</v>
      </c>
      <c r="I7095" s="222">
        <v>64220.04</v>
      </c>
      <c r="J7095" s="222">
        <v>63793.29</v>
      </c>
      <c r="K7095" s="222">
        <v>27512.79</v>
      </c>
      <c r="L7095" s="43">
        <v>6.8448246192738136</v>
      </c>
      <c r="M7095" s="43">
        <v>11.500435161009573</v>
      </c>
      <c r="N7095" s="43">
        <v>5.3864000202644515</v>
      </c>
      <c r="O7095" s="43">
        <v>5.1968089426671229</v>
      </c>
      <c r="P7095" s="223"/>
      <c r="Q7095" s="223"/>
      <c r="R7095" s="223">
        <v>4</v>
      </c>
    </row>
    <row r="7096" spans="1:18" ht="48">
      <c r="A7096" s="219">
        <v>67</v>
      </c>
      <c r="B7096" s="216" t="s">
        <v>13026</v>
      </c>
      <c r="C7096" s="220" t="s">
        <v>13027</v>
      </c>
      <c r="D7096" s="221">
        <v>24491.88</v>
      </c>
      <c r="E7096" s="221">
        <v>5641.59</v>
      </c>
      <c r="F7096" s="221">
        <v>12894.84</v>
      </c>
      <c r="G7096" s="221">
        <v>5955.45</v>
      </c>
      <c r="H7096" s="222">
        <v>165253.85999999999</v>
      </c>
      <c r="I7096" s="222">
        <v>64880.74</v>
      </c>
      <c r="J7096" s="222">
        <v>69448.800000000003</v>
      </c>
      <c r="K7096" s="222">
        <v>30924.32</v>
      </c>
      <c r="L7096" s="43">
        <v>6.7472917554716085</v>
      </c>
      <c r="M7096" s="43">
        <v>11.500435161009573</v>
      </c>
      <c r="N7096" s="43">
        <v>5.3857822198646899</v>
      </c>
      <c r="O7096" s="43">
        <v>5.1926084510826218</v>
      </c>
      <c r="P7096" s="223"/>
      <c r="Q7096" s="223"/>
      <c r="R7096" s="223">
        <v>4</v>
      </c>
    </row>
    <row r="7097" spans="1:18" ht="48">
      <c r="A7097" s="219">
        <v>68</v>
      </c>
      <c r="B7097" s="216" t="s">
        <v>13028</v>
      </c>
      <c r="C7097" s="220" t="s">
        <v>13029</v>
      </c>
      <c r="D7097" s="221">
        <v>26395.51</v>
      </c>
      <c r="E7097" s="221">
        <v>5986.29</v>
      </c>
      <c r="F7097" s="221">
        <v>13459.9</v>
      </c>
      <c r="G7097" s="221">
        <v>6949.32</v>
      </c>
      <c r="H7097" s="222">
        <v>177212.19</v>
      </c>
      <c r="I7097" s="222">
        <v>68844.94</v>
      </c>
      <c r="J7097" s="222">
        <v>72389.52</v>
      </c>
      <c r="K7097" s="222">
        <v>35977.730000000003</v>
      </c>
      <c r="L7097" s="43">
        <v>6.7137247963763542</v>
      </c>
      <c r="M7097" s="43">
        <v>11.500435161009573</v>
      </c>
      <c r="N7097" s="43">
        <v>5.3781617991218367</v>
      </c>
      <c r="O7097" s="43">
        <v>5.1771583406721815</v>
      </c>
      <c r="P7097" s="223"/>
      <c r="Q7097" s="223"/>
      <c r="R7097" s="223">
        <v>4</v>
      </c>
    </row>
    <row r="7098" spans="1:18" ht="48">
      <c r="A7098" s="219">
        <v>69</v>
      </c>
      <c r="B7098" s="216" t="s">
        <v>13030</v>
      </c>
      <c r="C7098" s="220" t="s">
        <v>13031</v>
      </c>
      <c r="D7098" s="221">
        <v>30502.3</v>
      </c>
      <c r="E7098" s="221">
        <v>6744.63</v>
      </c>
      <c r="F7098" s="221">
        <v>15182.92</v>
      </c>
      <c r="G7098" s="221">
        <v>8574.75</v>
      </c>
      <c r="H7098" s="222">
        <v>203838.04</v>
      </c>
      <c r="I7098" s="222">
        <v>77566.179999999993</v>
      </c>
      <c r="J7098" s="222">
        <v>81602.83</v>
      </c>
      <c r="K7098" s="222">
        <v>44669.03</v>
      </c>
      <c r="L7098" s="43">
        <v>6.6827104841274272</v>
      </c>
      <c r="M7098" s="43">
        <v>11.500435161009573</v>
      </c>
      <c r="N7098" s="43">
        <v>5.3746466424113413</v>
      </c>
      <c r="O7098" s="43">
        <v>5.2093682031546109</v>
      </c>
      <c r="P7098" s="223"/>
      <c r="Q7098" s="223"/>
      <c r="R7098" s="223">
        <v>4</v>
      </c>
    </row>
    <row r="7099" spans="1:18" ht="25.5" customHeight="1">
      <c r="A7099" s="628" t="s">
        <v>13032</v>
      </c>
      <c r="B7099" s="629"/>
      <c r="C7099" s="629"/>
      <c r="D7099" s="629"/>
      <c r="E7099" s="629"/>
      <c r="F7099" s="629"/>
      <c r="G7099" s="629"/>
      <c r="H7099" s="629"/>
      <c r="I7099" s="629"/>
      <c r="J7099" s="629"/>
      <c r="K7099" s="629"/>
      <c r="L7099" s="629"/>
      <c r="M7099" s="629"/>
      <c r="N7099" s="629"/>
      <c r="O7099" s="629"/>
      <c r="P7099" s="629"/>
      <c r="Q7099" s="629"/>
      <c r="R7099" s="629"/>
    </row>
    <row r="7100" spans="1:18" ht="48">
      <c r="A7100" s="219">
        <v>70</v>
      </c>
      <c r="B7100" s="216" t="s">
        <v>13033</v>
      </c>
      <c r="C7100" s="220" t="s">
        <v>13034</v>
      </c>
      <c r="D7100" s="221">
        <v>6827.39</v>
      </c>
      <c r="E7100" s="221">
        <v>1654.56</v>
      </c>
      <c r="F7100" s="221">
        <v>5065.33</v>
      </c>
      <c r="G7100" s="221">
        <v>107.5</v>
      </c>
      <c r="H7100" s="222">
        <v>47356.69</v>
      </c>
      <c r="I7100" s="222">
        <v>19028.16</v>
      </c>
      <c r="J7100" s="222">
        <v>27460.28</v>
      </c>
      <c r="K7100" s="222">
        <v>868.25</v>
      </c>
      <c r="L7100" s="43">
        <v>6.9362801890619989</v>
      </c>
      <c r="M7100" s="43">
        <v>11.500435161009573</v>
      </c>
      <c r="N7100" s="43">
        <v>5.4212223093066001</v>
      </c>
      <c r="O7100" s="43">
        <v>8.0767441860465112</v>
      </c>
      <c r="P7100" s="223"/>
      <c r="Q7100" s="223"/>
      <c r="R7100" s="223">
        <v>5</v>
      </c>
    </row>
    <row r="7101" spans="1:18" ht="48">
      <c r="A7101" s="219">
        <v>71</v>
      </c>
      <c r="B7101" s="216" t="s">
        <v>13035</v>
      </c>
      <c r="C7101" s="220" t="s">
        <v>13036</v>
      </c>
      <c r="D7101" s="221">
        <v>6844.73</v>
      </c>
      <c r="E7101" s="221">
        <v>1654.56</v>
      </c>
      <c r="F7101" s="221">
        <v>5065.33</v>
      </c>
      <c r="G7101" s="221">
        <v>124.84</v>
      </c>
      <c r="H7101" s="222">
        <v>47464.42</v>
      </c>
      <c r="I7101" s="222">
        <v>19028.16</v>
      </c>
      <c r="J7101" s="222">
        <v>27460.28</v>
      </c>
      <c r="K7101" s="222">
        <v>975.98</v>
      </c>
      <c r="L7101" s="43">
        <v>6.9344473777636226</v>
      </c>
      <c r="M7101" s="43">
        <v>11.500435161009573</v>
      </c>
      <c r="N7101" s="43">
        <v>5.4212223093066001</v>
      </c>
      <c r="O7101" s="43">
        <v>7.8178468439602691</v>
      </c>
      <c r="P7101" s="223"/>
      <c r="Q7101" s="223"/>
      <c r="R7101" s="223">
        <v>5</v>
      </c>
    </row>
    <row r="7102" spans="1:18" ht="48">
      <c r="A7102" s="219">
        <v>72</v>
      </c>
      <c r="B7102" s="216" t="s">
        <v>13037</v>
      </c>
      <c r="C7102" s="220" t="s">
        <v>13038</v>
      </c>
      <c r="D7102" s="221">
        <v>7077.72</v>
      </c>
      <c r="E7102" s="221">
        <v>1780.95</v>
      </c>
      <c r="F7102" s="221">
        <v>5143.7299999999996</v>
      </c>
      <c r="G7102" s="221">
        <v>153.04</v>
      </c>
      <c r="H7102" s="222">
        <v>49531.06</v>
      </c>
      <c r="I7102" s="222">
        <v>20481.7</v>
      </c>
      <c r="J7102" s="222">
        <v>27874.47</v>
      </c>
      <c r="K7102" s="222">
        <v>1174.8900000000001</v>
      </c>
      <c r="L7102" s="43">
        <v>6.9981660760809969</v>
      </c>
      <c r="M7102" s="43">
        <v>11.500435161009573</v>
      </c>
      <c r="N7102" s="43">
        <v>5.4191160889082441</v>
      </c>
      <c r="O7102" s="43">
        <v>7.677012545739677</v>
      </c>
      <c r="P7102" s="223"/>
      <c r="Q7102" s="223"/>
      <c r="R7102" s="223">
        <v>5</v>
      </c>
    </row>
    <row r="7103" spans="1:18" ht="48">
      <c r="A7103" s="219">
        <v>73</v>
      </c>
      <c r="B7103" s="216" t="s">
        <v>13039</v>
      </c>
      <c r="C7103" s="220" t="s">
        <v>13040</v>
      </c>
      <c r="D7103" s="221">
        <v>7375.11</v>
      </c>
      <c r="E7103" s="221">
        <v>1861.38</v>
      </c>
      <c r="F7103" s="221">
        <v>5329.98</v>
      </c>
      <c r="G7103" s="221">
        <v>183.75</v>
      </c>
      <c r="H7103" s="222">
        <v>51662.5</v>
      </c>
      <c r="I7103" s="222">
        <v>21406.68</v>
      </c>
      <c r="J7103" s="222">
        <v>28872.97</v>
      </c>
      <c r="K7103" s="222">
        <v>1382.85</v>
      </c>
      <c r="L7103" s="43">
        <v>7.0049802647011372</v>
      </c>
      <c r="M7103" s="43">
        <v>11.500435161009573</v>
      </c>
      <c r="N7103" s="43">
        <v>5.4170878689976325</v>
      </c>
      <c r="O7103" s="43">
        <v>7.5257142857142849</v>
      </c>
      <c r="P7103" s="223"/>
      <c r="Q7103" s="223"/>
      <c r="R7103" s="223">
        <v>5</v>
      </c>
    </row>
    <row r="7104" spans="1:18" ht="48">
      <c r="A7104" s="219">
        <v>74</v>
      </c>
      <c r="B7104" s="216" t="s">
        <v>13041</v>
      </c>
      <c r="C7104" s="220" t="s">
        <v>13042</v>
      </c>
      <c r="D7104" s="221">
        <v>8808.98</v>
      </c>
      <c r="E7104" s="221">
        <v>2194.59</v>
      </c>
      <c r="F7104" s="221">
        <v>6403.85</v>
      </c>
      <c r="G7104" s="221">
        <v>210.54</v>
      </c>
      <c r="H7104" s="222">
        <v>61469.09</v>
      </c>
      <c r="I7104" s="222">
        <v>25238.74</v>
      </c>
      <c r="J7104" s="222">
        <v>34639.32</v>
      </c>
      <c r="K7104" s="222">
        <v>1591.03</v>
      </c>
      <c r="L7104" s="43">
        <v>6.9780031286255619</v>
      </c>
      <c r="M7104" s="43">
        <v>11.500435161009573</v>
      </c>
      <c r="N7104" s="43">
        <v>5.4091398143304419</v>
      </c>
      <c r="O7104" s="43">
        <v>7.5569013014154081</v>
      </c>
      <c r="P7104" s="223"/>
      <c r="Q7104" s="223"/>
      <c r="R7104" s="223">
        <v>5</v>
      </c>
    </row>
    <row r="7105" spans="1:18" ht="48">
      <c r="A7105" s="219">
        <v>75</v>
      </c>
      <c r="B7105" s="216" t="s">
        <v>13043</v>
      </c>
      <c r="C7105" s="220" t="s">
        <v>13044</v>
      </c>
      <c r="D7105" s="221">
        <v>8936.2800000000007</v>
      </c>
      <c r="E7105" s="221">
        <v>2263.5300000000002</v>
      </c>
      <c r="F7105" s="221">
        <v>6429.55</v>
      </c>
      <c r="G7105" s="221">
        <v>243.2</v>
      </c>
      <c r="H7105" s="222">
        <v>62608.85</v>
      </c>
      <c r="I7105" s="222">
        <v>26031.58</v>
      </c>
      <c r="J7105" s="222">
        <v>34774.31</v>
      </c>
      <c r="K7105" s="222">
        <v>1802.96</v>
      </c>
      <c r="L7105" s="43">
        <v>7.006142376917464</v>
      </c>
      <c r="M7105" s="43">
        <v>11.500435161009573</v>
      </c>
      <c r="N7105" s="43">
        <v>5.4085138151192531</v>
      </c>
      <c r="O7105" s="43">
        <v>7.4134868421052635</v>
      </c>
      <c r="P7105" s="223"/>
      <c r="Q7105" s="223"/>
      <c r="R7105" s="223">
        <v>5</v>
      </c>
    </row>
    <row r="7106" spans="1:18" ht="48">
      <c r="A7106" s="219">
        <v>76</v>
      </c>
      <c r="B7106" s="216" t="s">
        <v>13045</v>
      </c>
      <c r="C7106" s="220" t="s">
        <v>13046</v>
      </c>
      <c r="D7106" s="221">
        <v>9493.51</v>
      </c>
      <c r="E7106" s="221">
        <v>2401.41</v>
      </c>
      <c r="F7106" s="221">
        <v>6779.7</v>
      </c>
      <c r="G7106" s="221">
        <v>312.39999999999998</v>
      </c>
      <c r="H7106" s="222">
        <v>66543.23</v>
      </c>
      <c r="I7106" s="222">
        <v>27617.26</v>
      </c>
      <c r="J7106" s="222">
        <v>36651.81</v>
      </c>
      <c r="K7106" s="222">
        <v>2274.16</v>
      </c>
      <c r="L7106" s="43">
        <v>7.0093390115984491</v>
      </c>
      <c r="M7106" s="43">
        <v>11.500435161009573</v>
      </c>
      <c r="N7106" s="43">
        <v>5.4061108898623829</v>
      </c>
      <c r="O7106" s="43">
        <v>7.2796414852752882</v>
      </c>
      <c r="P7106" s="223"/>
      <c r="Q7106" s="223"/>
      <c r="R7106" s="223">
        <v>5</v>
      </c>
    </row>
    <row r="7107" spans="1:18" ht="48">
      <c r="A7107" s="219">
        <v>77</v>
      </c>
      <c r="B7107" s="216" t="s">
        <v>13047</v>
      </c>
      <c r="C7107" s="220" t="s">
        <v>13048</v>
      </c>
      <c r="D7107" s="221">
        <v>10773.51</v>
      </c>
      <c r="E7107" s="221">
        <v>2757.6</v>
      </c>
      <c r="F7107" s="221">
        <v>7671.54</v>
      </c>
      <c r="G7107" s="221">
        <v>344.37</v>
      </c>
      <c r="H7107" s="222">
        <v>75291.03</v>
      </c>
      <c r="I7107" s="222">
        <v>31713.599999999999</v>
      </c>
      <c r="J7107" s="222">
        <v>41497.629999999997</v>
      </c>
      <c r="K7107" s="222">
        <v>2079.8000000000002</v>
      </c>
      <c r="L7107" s="43">
        <v>6.9885329850717177</v>
      </c>
      <c r="M7107" s="43">
        <v>11.500435161009573</v>
      </c>
      <c r="N7107" s="43">
        <v>5.4092959171170323</v>
      </c>
      <c r="O7107" s="43">
        <v>6.0394343293550543</v>
      </c>
      <c r="P7107" s="223"/>
      <c r="Q7107" s="223"/>
      <c r="R7107" s="223">
        <v>5</v>
      </c>
    </row>
    <row r="7108" spans="1:18" ht="48">
      <c r="A7108" s="219">
        <v>78</v>
      </c>
      <c r="B7108" s="216" t="s">
        <v>13049</v>
      </c>
      <c r="C7108" s="220" t="s">
        <v>13050</v>
      </c>
      <c r="D7108" s="221">
        <v>11145.02</v>
      </c>
      <c r="E7108" s="221">
        <v>2792.07</v>
      </c>
      <c r="F7108" s="221">
        <v>7939.41</v>
      </c>
      <c r="G7108" s="221">
        <v>413.54</v>
      </c>
      <c r="H7108" s="222">
        <v>77530.47</v>
      </c>
      <c r="I7108" s="222">
        <v>32110.02</v>
      </c>
      <c r="J7108" s="222">
        <v>42932.52</v>
      </c>
      <c r="K7108" s="222">
        <v>2487.9299999999998</v>
      </c>
      <c r="L7108" s="43">
        <v>6.9565124154106499</v>
      </c>
      <c r="M7108" s="43">
        <v>11.500435161009573</v>
      </c>
      <c r="N7108" s="43">
        <v>5.4075202061614149</v>
      </c>
      <c r="O7108" s="43">
        <v>6.0161773951733801</v>
      </c>
      <c r="P7108" s="223"/>
      <c r="Q7108" s="223"/>
      <c r="R7108" s="223">
        <v>5</v>
      </c>
    </row>
    <row r="7109" spans="1:18" ht="48">
      <c r="A7109" s="219">
        <v>79</v>
      </c>
      <c r="B7109" s="216" t="s">
        <v>13051</v>
      </c>
      <c r="C7109" s="220" t="s">
        <v>13052</v>
      </c>
      <c r="D7109" s="221">
        <v>11864.14</v>
      </c>
      <c r="E7109" s="221">
        <v>3021.87</v>
      </c>
      <c r="F7109" s="221">
        <v>8326.2000000000007</v>
      </c>
      <c r="G7109" s="221">
        <v>516.07000000000005</v>
      </c>
      <c r="H7109" s="222">
        <v>82785.45</v>
      </c>
      <c r="I7109" s="222">
        <v>34752.82</v>
      </c>
      <c r="J7109" s="222">
        <v>44996.38</v>
      </c>
      <c r="K7109" s="222">
        <v>3036.25</v>
      </c>
      <c r="L7109" s="43">
        <v>6.9777876862545449</v>
      </c>
      <c r="M7109" s="43">
        <v>11.500435161009573</v>
      </c>
      <c r="N7109" s="43">
        <v>5.4041915879993265</v>
      </c>
      <c r="O7109" s="43">
        <v>5.8834072897087601</v>
      </c>
      <c r="P7109" s="223"/>
      <c r="Q7109" s="223"/>
      <c r="R7109" s="223">
        <v>5</v>
      </c>
    </row>
    <row r="7110" spans="1:18" ht="48">
      <c r="A7110" s="219">
        <v>80</v>
      </c>
      <c r="B7110" s="216" t="s">
        <v>13053</v>
      </c>
      <c r="C7110" s="220" t="s">
        <v>13054</v>
      </c>
      <c r="D7110" s="221">
        <v>14530.54</v>
      </c>
      <c r="E7110" s="221">
        <v>3791.7</v>
      </c>
      <c r="F7110" s="221">
        <v>9970.31</v>
      </c>
      <c r="G7110" s="221">
        <v>768.53</v>
      </c>
      <c r="H7110" s="222">
        <v>101879.96</v>
      </c>
      <c r="I7110" s="222">
        <v>43606.2</v>
      </c>
      <c r="J7110" s="222">
        <v>53877.09</v>
      </c>
      <c r="K7110" s="222">
        <v>4396.67</v>
      </c>
      <c r="L7110" s="43">
        <v>7.0114366018055767</v>
      </c>
      <c r="M7110" s="43">
        <v>11.500435161009573</v>
      </c>
      <c r="N7110" s="43">
        <v>5.4037527418906732</v>
      </c>
      <c r="O7110" s="43">
        <v>5.7208827241617115</v>
      </c>
      <c r="P7110" s="223"/>
      <c r="Q7110" s="223"/>
      <c r="R7110" s="223">
        <v>5</v>
      </c>
    </row>
    <row r="7111" spans="1:18" ht="48">
      <c r="A7111" s="219">
        <v>81</v>
      </c>
      <c r="B7111" s="216" t="s">
        <v>13055</v>
      </c>
      <c r="C7111" s="220" t="s">
        <v>13056</v>
      </c>
      <c r="D7111" s="221">
        <v>15840.2</v>
      </c>
      <c r="E7111" s="221">
        <v>4113.42</v>
      </c>
      <c r="F7111" s="221">
        <v>10608.88</v>
      </c>
      <c r="G7111" s="221">
        <v>1117.9000000000001</v>
      </c>
      <c r="H7111" s="222">
        <v>110836.31</v>
      </c>
      <c r="I7111" s="222">
        <v>47306.12</v>
      </c>
      <c r="J7111" s="222">
        <v>57291.360000000001</v>
      </c>
      <c r="K7111" s="222">
        <v>6238.83</v>
      </c>
      <c r="L7111" s="43">
        <v>6.997153445032259</v>
      </c>
      <c r="M7111" s="43">
        <v>11.500435161009573</v>
      </c>
      <c r="N7111" s="43">
        <v>5.4003212403194309</v>
      </c>
      <c r="O7111" s="43">
        <v>5.5808480186063152</v>
      </c>
      <c r="P7111" s="223"/>
      <c r="Q7111" s="223"/>
      <c r="R7111" s="223">
        <v>5</v>
      </c>
    </row>
    <row r="7112" spans="1:18" ht="48">
      <c r="A7112" s="219">
        <v>82</v>
      </c>
      <c r="B7112" s="216" t="s">
        <v>13057</v>
      </c>
      <c r="C7112" s="220" t="s">
        <v>13058</v>
      </c>
      <c r="D7112" s="221">
        <v>17026.37</v>
      </c>
      <c r="E7112" s="221">
        <v>4481.1000000000004</v>
      </c>
      <c r="F7112" s="221">
        <v>10803.48</v>
      </c>
      <c r="G7112" s="221">
        <v>1741.79</v>
      </c>
      <c r="H7112" s="222">
        <v>119204.74</v>
      </c>
      <c r="I7112" s="222">
        <v>51534.6</v>
      </c>
      <c r="J7112" s="222">
        <v>58312.800000000003</v>
      </c>
      <c r="K7112" s="222">
        <v>9357.34</v>
      </c>
      <c r="L7112" s="43">
        <v>7.0011834583648787</v>
      </c>
      <c r="M7112" s="43">
        <v>11.500435161009571</v>
      </c>
      <c r="N7112" s="43">
        <v>5.3975941085650181</v>
      </c>
      <c r="O7112" s="43">
        <v>5.3722549790732526</v>
      </c>
      <c r="P7112" s="223"/>
      <c r="Q7112" s="223"/>
      <c r="R7112" s="223">
        <v>5</v>
      </c>
    </row>
    <row r="7113" spans="1:18" ht="48">
      <c r="A7113" s="219">
        <v>83</v>
      </c>
      <c r="B7113" s="216" t="s">
        <v>13059</v>
      </c>
      <c r="C7113" s="220" t="s">
        <v>13060</v>
      </c>
      <c r="D7113" s="221">
        <v>20010.86</v>
      </c>
      <c r="E7113" s="221">
        <v>5273.91</v>
      </c>
      <c r="F7113" s="221">
        <v>11348.52</v>
      </c>
      <c r="G7113" s="221">
        <v>3388.43</v>
      </c>
      <c r="H7113" s="222">
        <v>139674.44</v>
      </c>
      <c r="I7113" s="222">
        <v>60652.26</v>
      </c>
      <c r="J7113" s="222">
        <v>61165.21</v>
      </c>
      <c r="K7113" s="222">
        <v>17856.97</v>
      </c>
      <c r="L7113" s="43">
        <v>6.9799318969799398</v>
      </c>
      <c r="M7113" s="43">
        <v>11.500435161009575</v>
      </c>
      <c r="N7113" s="43">
        <v>5.3897080852833668</v>
      </c>
      <c r="O7113" s="43">
        <v>5.2699834436597488</v>
      </c>
      <c r="P7113" s="223"/>
      <c r="Q7113" s="223"/>
      <c r="R7113" s="223">
        <v>5</v>
      </c>
    </row>
    <row r="7114" spans="1:18" ht="48">
      <c r="A7114" s="219">
        <v>84</v>
      </c>
      <c r="B7114" s="216" t="s">
        <v>13061</v>
      </c>
      <c r="C7114" s="220" t="s">
        <v>13062</v>
      </c>
      <c r="D7114" s="221">
        <v>21071.18</v>
      </c>
      <c r="E7114" s="221">
        <v>5767.98</v>
      </c>
      <c r="F7114" s="221">
        <v>11538.54</v>
      </c>
      <c r="G7114" s="221">
        <v>3764.66</v>
      </c>
      <c r="H7114" s="222">
        <v>148478.66</v>
      </c>
      <c r="I7114" s="222">
        <v>66334.28</v>
      </c>
      <c r="J7114" s="222">
        <v>62159.09</v>
      </c>
      <c r="K7114" s="222">
        <v>19985.29</v>
      </c>
      <c r="L7114" s="43">
        <v>7.046528006499873</v>
      </c>
      <c r="M7114" s="43">
        <v>11.500435161009575</v>
      </c>
      <c r="N7114" s="43">
        <v>5.3870845011587249</v>
      </c>
      <c r="O7114" s="43">
        <v>5.3086573555115208</v>
      </c>
      <c r="P7114" s="223"/>
      <c r="Q7114" s="223"/>
      <c r="R7114" s="223">
        <v>5</v>
      </c>
    </row>
    <row r="7115" spans="1:18" ht="48">
      <c r="A7115" s="219">
        <v>85</v>
      </c>
      <c r="B7115" s="216" t="s">
        <v>13063</v>
      </c>
      <c r="C7115" s="220" t="s">
        <v>13064</v>
      </c>
      <c r="D7115" s="221">
        <v>23122.03</v>
      </c>
      <c r="E7115" s="221">
        <v>6147.15</v>
      </c>
      <c r="F7115" s="221">
        <v>12605.85</v>
      </c>
      <c r="G7115" s="221">
        <v>4369.03</v>
      </c>
      <c r="H7115" s="222">
        <v>161748.32</v>
      </c>
      <c r="I7115" s="222">
        <v>70694.899999999994</v>
      </c>
      <c r="J7115" s="222">
        <v>67854.929999999993</v>
      </c>
      <c r="K7115" s="222">
        <v>23198.49</v>
      </c>
      <c r="L7115" s="43">
        <v>6.9954203848018537</v>
      </c>
      <c r="M7115" s="43">
        <v>11.500435161009573</v>
      </c>
      <c r="N7115" s="43">
        <v>5.3828127417032565</v>
      </c>
      <c r="O7115" s="43">
        <v>5.3097575434364153</v>
      </c>
      <c r="P7115" s="223"/>
      <c r="Q7115" s="223"/>
      <c r="R7115" s="223">
        <v>5</v>
      </c>
    </row>
    <row r="7116" spans="1:18" ht="48">
      <c r="A7116" s="219">
        <v>86</v>
      </c>
      <c r="B7116" s="216" t="s">
        <v>13065</v>
      </c>
      <c r="C7116" s="220" t="s">
        <v>13066</v>
      </c>
      <c r="D7116" s="221">
        <v>24754.17</v>
      </c>
      <c r="E7116" s="221">
        <v>6687.18</v>
      </c>
      <c r="F7116" s="221">
        <v>13141.38</v>
      </c>
      <c r="G7116" s="221">
        <v>4925.6099999999997</v>
      </c>
      <c r="H7116" s="222">
        <v>174010.57</v>
      </c>
      <c r="I7116" s="222">
        <v>76905.48</v>
      </c>
      <c r="J7116" s="222">
        <v>70665.710000000006</v>
      </c>
      <c r="K7116" s="222">
        <v>26439.38</v>
      </c>
      <c r="L7116" s="43">
        <v>7.029545729063023</v>
      </c>
      <c r="M7116" s="43">
        <v>11.500435161009573</v>
      </c>
      <c r="N7116" s="43">
        <v>5.3773431709607369</v>
      </c>
      <c r="O7116" s="43">
        <v>5.367737193971915</v>
      </c>
      <c r="P7116" s="223"/>
      <c r="Q7116" s="223"/>
      <c r="R7116" s="223">
        <v>5</v>
      </c>
    </row>
    <row r="7117" spans="1:18" ht="24.75" customHeight="1">
      <c r="A7117" s="628" t="s">
        <v>13067</v>
      </c>
      <c r="B7117" s="629"/>
      <c r="C7117" s="629"/>
      <c r="D7117" s="629"/>
      <c r="E7117" s="629"/>
      <c r="F7117" s="629"/>
      <c r="G7117" s="629"/>
      <c r="H7117" s="629"/>
      <c r="I7117" s="629"/>
      <c r="J7117" s="629"/>
      <c r="K7117" s="629"/>
      <c r="L7117" s="629"/>
      <c r="M7117" s="629"/>
      <c r="N7117" s="629"/>
      <c r="O7117" s="629"/>
      <c r="P7117" s="629"/>
      <c r="Q7117" s="629"/>
      <c r="R7117" s="629"/>
    </row>
    <row r="7118" spans="1:18" ht="60">
      <c r="A7118" s="219">
        <v>87</v>
      </c>
      <c r="B7118" s="216" t="s">
        <v>13068</v>
      </c>
      <c r="C7118" s="220" t="s">
        <v>13069</v>
      </c>
      <c r="D7118" s="221">
        <v>4147.42</v>
      </c>
      <c r="E7118" s="221">
        <v>1049.04</v>
      </c>
      <c r="F7118" s="221">
        <v>3066.17</v>
      </c>
      <c r="G7118" s="221">
        <v>32.21</v>
      </c>
      <c r="H7118" s="222">
        <v>29109.85</v>
      </c>
      <c r="I7118" s="222">
        <v>12064.38</v>
      </c>
      <c r="J7118" s="222">
        <v>16733.11</v>
      </c>
      <c r="K7118" s="222">
        <v>312.36</v>
      </c>
      <c r="L7118" s="43">
        <v>7.0187851724686672</v>
      </c>
      <c r="M7118" s="43">
        <v>11.500400366048959</v>
      </c>
      <c r="N7118" s="43">
        <v>5.457332763675856</v>
      </c>
      <c r="O7118" s="43">
        <v>9.6976094380627131</v>
      </c>
      <c r="P7118" s="223"/>
      <c r="Q7118" s="223"/>
      <c r="R7118" s="223">
        <v>6</v>
      </c>
    </row>
    <row r="7119" spans="1:18" ht="60">
      <c r="A7119" s="219">
        <v>88</v>
      </c>
      <c r="B7119" s="216" t="s">
        <v>13070</v>
      </c>
      <c r="C7119" s="220" t="s">
        <v>13071</v>
      </c>
      <c r="D7119" s="221">
        <v>4152.99</v>
      </c>
      <c r="E7119" s="221">
        <v>1049.04</v>
      </c>
      <c r="F7119" s="221">
        <v>3067.84</v>
      </c>
      <c r="G7119" s="221">
        <v>36.11</v>
      </c>
      <c r="H7119" s="222">
        <v>29141.85</v>
      </c>
      <c r="I7119" s="222">
        <v>12064.38</v>
      </c>
      <c r="J7119" s="222">
        <v>16740.86</v>
      </c>
      <c r="K7119" s="222">
        <v>336.61</v>
      </c>
      <c r="L7119" s="43">
        <v>7.0170768530624921</v>
      </c>
      <c r="M7119" s="43">
        <v>11.500400366048959</v>
      </c>
      <c r="N7119" s="43">
        <v>5.456888234066966</v>
      </c>
      <c r="O7119" s="43">
        <v>9.3217945167543625</v>
      </c>
      <c r="P7119" s="223"/>
      <c r="Q7119" s="223"/>
      <c r="R7119" s="223">
        <v>6</v>
      </c>
    </row>
    <row r="7120" spans="1:18" ht="60">
      <c r="A7120" s="219">
        <v>89</v>
      </c>
      <c r="B7120" s="216" t="s">
        <v>13072</v>
      </c>
      <c r="C7120" s="220" t="s">
        <v>13073</v>
      </c>
      <c r="D7120" s="221">
        <v>4226.4399999999996</v>
      </c>
      <c r="E7120" s="221">
        <v>1086.95</v>
      </c>
      <c r="F7120" s="221">
        <v>3096.62</v>
      </c>
      <c r="G7120" s="221">
        <v>42.87</v>
      </c>
      <c r="H7120" s="222">
        <v>29776.17</v>
      </c>
      <c r="I7120" s="222">
        <v>12500.44</v>
      </c>
      <c r="J7120" s="222">
        <v>16893.27</v>
      </c>
      <c r="K7120" s="222">
        <v>382.46</v>
      </c>
      <c r="L7120" s="43">
        <v>7.0452129924948661</v>
      </c>
      <c r="M7120" s="43">
        <v>11.500473802842818</v>
      </c>
      <c r="N7120" s="43">
        <v>5.4553900704639258</v>
      </c>
      <c r="O7120" s="43">
        <v>8.9213902495917896</v>
      </c>
      <c r="P7120" s="223"/>
      <c r="Q7120" s="223"/>
      <c r="R7120" s="223">
        <v>6</v>
      </c>
    </row>
    <row r="7121" spans="1:18" ht="60">
      <c r="A7121" s="219">
        <v>90</v>
      </c>
      <c r="B7121" s="216" t="s">
        <v>13074</v>
      </c>
      <c r="C7121" s="220" t="s">
        <v>13075</v>
      </c>
      <c r="D7121" s="221">
        <v>4412.9799999999996</v>
      </c>
      <c r="E7121" s="221">
        <v>1206.45</v>
      </c>
      <c r="F7121" s="221">
        <v>3156.44</v>
      </c>
      <c r="G7121" s="221">
        <v>50.09</v>
      </c>
      <c r="H7121" s="222">
        <v>31527.86</v>
      </c>
      <c r="I7121" s="222">
        <v>13874.7</v>
      </c>
      <c r="J7121" s="222">
        <v>17212.86</v>
      </c>
      <c r="K7121" s="222">
        <v>440.3</v>
      </c>
      <c r="L7121" s="43">
        <v>7.1443469039062046</v>
      </c>
      <c r="M7121" s="43">
        <v>11.500435161009573</v>
      </c>
      <c r="N7121" s="43">
        <v>5.4532511310210241</v>
      </c>
      <c r="O7121" s="43">
        <v>8.7901776801756828</v>
      </c>
      <c r="P7121" s="223"/>
      <c r="Q7121" s="223"/>
      <c r="R7121" s="223">
        <v>6</v>
      </c>
    </row>
    <row r="7122" spans="1:18" ht="60">
      <c r="A7122" s="219">
        <v>91</v>
      </c>
      <c r="B7122" s="216" t="s">
        <v>13076</v>
      </c>
      <c r="C7122" s="220" t="s">
        <v>13077</v>
      </c>
      <c r="D7122" s="221">
        <v>4623</v>
      </c>
      <c r="E7122" s="221">
        <v>1229.43</v>
      </c>
      <c r="F7122" s="221">
        <v>3337.94</v>
      </c>
      <c r="G7122" s="221">
        <v>55.63</v>
      </c>
      <c r="H7122" s="222">
        <v>32802.39</v>
      </c>
      <c r="I7122" s="222">
        <v>14138.98</v>
      </c>
      <c r="J7122" s="222">
        <v>18186.18</v>
      </c>
      <c r="K7122" s="222">
        <v>477.23</v>
      </c>
      <c r="L7122" s="43">
        <v>7.0954769630110315</v>
      </c>
      <c r="M7122" s="43">
        <v>11.500435161009573</v>
      </c>
      <c r="N7122" s="43">
        <v>5.4483244156575612</v>
      </c>
      <c r="O7122" s="43">
        <v>8.5786446162142731</v>
      </c>
      <c r="P7122" s="223"/>
      <c r="Q7122" s="223"/>
      <c r="R7122" s="223">
        <v>6</v>
      </c>
    </row>
    <row r="7123" spans="1:18" ht="60">
      <c r="A7123" s="219">
        <v>92</v>
      </c>
      <c r="B7123" s="216" t="s">
        <v>13078</v>
      </c>
      <c r="C7123" s="220" t="s">
        <v>13079</v>
      </c>
      <c r="D7123" s="221">
        <v>4657.72</v>
      </c>
      <c r="E7123" s="221">
        <v>1252.4100000000001</v>
      </c>
      <c r="F7123" s="221">
        <v>3342.69</v>
      </c>
      <c r="G7123" s="221">
        <v>62.62</v>
      </c>
      <c r="H7123" s="222">
        <v>33138.53</v>
      </c>
      <c r="I7123" s="222">
        <v>14403.26</v>
      </c>
      <c r="J7123" s="222">
        <v>18211.349999999999</v>
      </c>
      <c r="K7123" s="222">
        <v>523.91999999999996</v>
      </c>
      <c r="L7123" s="43">
        <v>7.1147535704164264</v>
      </c>
      <c r="M7123" s="43">
        <v>11.500435161009573</v>
      </c>
      <c r="N7123" s="43">
        <v>5.4481121491972031</v>
      </c>
      <c r="O7123" s="43">
        <v>8.3666560204407538</v>
      </c>
      <c r="P7123" s="223"/>
      <c r="Q7123" s="223"/>
      <c r="R7123" s="223">
        <v>6</v>
      </c>
    </row>
    <row r="7124" spans="1:18" ht="60">
      <c r="A7124" s="219">
        <v>93</v>
      </c>
      <c r="B7124" s="216" t="s">
        <v>13080</v>
      </c>
      <c r="C7124" s="220" t="s">
        <v>13081</v>
      </c>
      <c r="D7124" s="221">
        <v>4743.18</v>
      </c>
      <c r="E7124" s="221">
        <v>1309.8599999999999</v>
      </c>
      <c r="F7124" s="221">
        <v>3352.54</v>
      </c>
      <c r="G7124" s="221">
        <v>80.78</v>
      </c>
      <c r="H7124" s="222">
        <v>33970.26</v>
      </c>
      <c r="I7124" s="222">
        <v>15063.96</v>
      </c>
      <c r="J7124" s="222">
        <v>18260.240000000002</v>
      </c>
      <c r="K7124" s="222">
        <v>646.05999999999995</v>
      </c>
      <c r="L7124" s="43">
        <v>7.1619166888037142</v>
      </c>
      <c r="M7124" s="43">
        <v>11.500435161009573</v>
      </c>
      <c r="N7124" s="43">
        <v>5.4466881826913331</v>
      </c>
      <c r="O7124" s="43">
        <v>7.9977717256746708</v>
      </c>
      <c r="P7124" s="223"/>
      <c r="Q7124" s="223"/>
      <c r="R7124" s="223">
        <v>6</v>
      </c>
    </row>
    <row r="7125" spans="1:18" ht="60">
      <c r="A7125" s="219">
        <v>94</v>
      </c>
      <c r="B7125" s="216" t="s">
        <v>13082</v>
      </c>
      <c r="C7125" s="220" t="s">
        <v>13083</v>
      </c>
      <c r="D7125" s="221">
        <v>5366.61</v>
      </c>
      <c r="E7125" s="221">
        <v>1436.25</v>
      </c>
      <c r="F7125" s="221">
        <v>3843.69</v>
      </c>
      <c r="G7125" s="221">
        <v>86.67</v>
      </c>
      <c r="H7125" s="222">
        <v>38139.24</v>
      </c>
      <c r="I7125" s="222">
        <v>16517.5</v>
      </c>
      <c r="J7125" s="222">
        <v>20956.3</v>
      </c>
      <c r="K7125" s="222">
        <v>665.44</v>
      </c>
      <c r="L7125" s="43">
        <v>7.1067657236132309</v>
      </c>
      <c r="M7125" s="43">
        <v>11.500435161009573</v>
      </c>
      <c r="N7125" s="43">
        <v>5.452130634884707</v>
      </c>
      <c r="O7125" s="43">
        <v>7.6778585439021585</v>
      </c>
      <c r="P7125" s="223"/>
      <c r="Q7125" s="223"/>
      <c r="R7125" s="223">
        <v>6</v>
      </c>
    </row>
    <row r="7126" spans="1:18" ht="60">
      <c r="A7126" s="219">
        <v>95</v>
      </c>
      <c r="B7126" s="216" t="s">
        <v>13084</v>
      </c>
      <c r="C7126" s="220" t="s">
        <v>13085</v>
      </c>
      <c r="D7126" s="221">
        <v>5495.21</v>
      </c>
      <c r="E7126" s="221">
        <v>1447.74</v>
      </c>
      <c r="F7126" s="221">
        <v>3938.56</v>
      </c>
      <c r="G7126" s="221">
        <v>108.91</v>
      </c>
      <c r="H7126" s="222">
        <v>38900.22</v>
      </c>
      <c r="I7126" s="222">
        <v>16649.64</v>
      </c>
      <c r="J7126" s="222">
        <v>21463.11</v>
      </c>
      <c r="K7126" s="222">
        <v>787.47</v>
      </c>
      <c r="L7126" s="43">
        <v>7.0789323792903271</v>
      </c>
      <c r="M7126" s="43">
        <v>11.500435161009573</v>
      </c>
      <c r="N7126" s="43">
        <v>5.4494815363990901</v>
      </c>
      <c r="O7126" s="43">
        <v>7.2304655219906353</v>
      </c>
      <c r="P7126" s="223"/>
      <c r="Q7126" s="223"/>
      <c r="R7126" s="223">
        <v>6</v>
      </c>
    </row>
    <row r="7127" spans="1:18" ht="60">
      <c r="A7127" s="219">
        <v>96</v>
      </c>
      <c r="B7127" s="216" t="s">
        <v>13086</v>
      </c>
      <c r="C7127" s="220" t="s">
        <v>13087</v>
      </c>
      <c r="D7127" s="221">
        <v>5709.09</v>
      </c>
      <c r="E7127" s="221">
        <v>1562.64</v>
      </c>
      <c r="F7127" s="221">
        <v>3988.72</v>
      </c>
      <c r="G7127" s="221">
        <v>157.72999999999999</v>
      </c>
      <c r="H7127" s="222">
        <v>40769.300000000003</v>
      </c>
      <c r="I7127" s="222">
        <v>17971.04</v>
      </c>
      <c r="J7127" s="222">
        <v>21721.93</v>
      </c>
      <c r="K7127" s="222">
        <v>1076.33</v>
      </c>
      <c r="L7127" s="43">
        <v>7.1411205638727013</v>
      </c>
      <c r="M7127" s="43">
        <v>11.500435161009573</v>
      </c>
      <c r="N7127" s="43">
        <v>5.4458397681461728</v>
      </c>
      <c r="O7127" s="43">
        <v>6.8238762442147971</v>
      </c>
      <c r="P7127" s="223"/>
      <c r="Q7127" s="223"/>
      <c r="R7127" s="223">
        <v>6</v>
      </c>
    </row>
    <row r="7128" spans="1:18" ht="60">
      <c r="A7128" s="219">
        <v>97</v>
      </c>
      <c r="B7128" s="216" t="s">
        <v>13088</v>
      </c>
      <c r="C7128" s="220" t="s">
        <v>13089</v>
      </c>
      <c r="D7128" s="221">
        <v>6314.68</v>
      </c>
      <c r="E7128" s="221">
        <v>1631.58</v>
      </c>
      <c r="F7128" s="221">
        <v>4512.07</v>
      </c>
      <c r="G7128" s="221">
        <v>171.03</v>
      </c>
      <c r="H7128" s="222">
        <v>44539.63</v>
      </c>
      <c r="I7128" s="222">
        <v>18763.88</v>
      </c>
      <c r="J7128" s="222">
        <v>24616.16</v>
      </c>
      <c r="K7128" s="222">
        <v>1159.5899999999999</v>
      </c>
      <c r="L7128" s="43">
        <v>7.053347121310976</v>
      </c>
      <c r="M7128" s="43">
        <v>11.500435161009575</v>
      </c>
      <c r="N7128" s="43">
        <v>5.4556245802924161</v>
      </c>
      <c r="O7128" s="43">
        <v>6.7800385897211006</v>
      </c>
      <c r="P7128" s="223"/>
      <c r="Q7128" s="223"/>
      <c r="R7128" s="223">
        <v>6</v>
      </c>
    </row>
    <row r="7129" spans="1:18" ht="60">
      <c r="A7129" s="219">
        <v>98</v>
      </c>
      <c r="B7129" s="216" t="s">
        <v>13090</v>
      </c>
      <c r="C7129" s="220" t="s">
        <v>13091</v>
      </c>
      <c r="D7129" s="221">
        <v>6926.63</v>
      </c>
      <c r="E7129" s="221">
        <v>1918.83</v>
      </c>
      <c r="F7129" s="221">
        <v>4741.24</v>
      </c>
      <c r="G7129" s="221">
        <v>266.56</v>
      </c>
      <c r="H7129" s="222">
        <v>49654.78</v>
      </c>
      <c r="I7129" s="222">
        <v>22067.38</v>
      </c>
      <c r="J7129" s="222">
        <v>25834.78</v>
      </c>
      <c r="K7129" s="222">
        <v>1752.62</v>
      </c>
      <c r="L7129" s="43">
        <v>7.1686779862646048</v>
      </c>
      <c r="M7129" s="43">
        <v>11.500435161009575</v>
      </c>
      <c r="N7129" s="43">
        <v>5.448950063696417</v>
      </c>
      <c r="O7129" s="43">
        <v>6.5749549819927964</v>
      </c>
      <c r="P7129" s="223"/>
      <c r="Q7129" s="223"/>
      <c r="R7129" s="223">
        <v>6</v>
      </c>
    </row>
    <row r="7130" spans="1:18" ht="60">
      <c r="A7130" s="219">
        <v>99</v>
      </c>
      <c r="B7130" s="216" t="s">
        <v>13092</v>
      </c>
      <c r="C7130" s="220" t="s">
        <v>13093</v>
      </c>
      <c r="D7130" s="221">
        <v>8288.11</v>
      </c>
      <c r="E7130" s="221">
        <v>2631.21</v>
      </c>
      <c r="F7130" s="221">
        <v>5099.8</v>
      </c>
      <c r="G7130" s="221">
        <v>557.1</v>
      </c>
      <c r="H7130" s="222">
        <v>61450.3</v>
      </c>
      <c r="I7130" s="222">
        <v>30260.06</v>
      </c>
      <c r="J7130" s="222">
        <v>27709.360000000001</v>
      </c>
      <c r="K7130" s="222">
        <v>3480.88</v>
      </c>
      <c r="L7130" s="43">
        <v>7.4142717700416618</v>
      </c>
      <c r="M7130" s="43">
        <v>11.500435161009573</v>
      </c>
      <c r="N7130" s="43">
        <v>5.4334209184673909</v>
      </c>
      <c r="O7130" s="43">
        <v>6.2482139651768085</v>
      </c>
      <c r="P7130" s="223"/>
      <c r="Q7130" s="223"/>
      <c r="R7130" s="223">
        <v>6</v>
      </c>
    </row>
    <row r="7131" spans="1:18" ht="60">
      <c r="A7131" s="219">
        <v>100</v>
      </c>
      <c r="B7131" s="216" t="s">
        <v>13094</v>
      </c>
      <c r="C7131" s="220" t="s">
        <v>13095</v>
      </c>
      <c r="D7131" s="221">
        <v>9196.99</v>
      </c>
      <c r="E7131" s="221">
        <v>2826.54</v>
      </c>
      <c r="F7131" s="221">
        <v>5232.33</v>
      </c>
      <c r="G7131" s="221">
        <v>1138.1199999999999</v>
      </c>
      <c r="H7131" s="222">
        <v>67602.28</v>
      </c>
      <c r="I7131" s="222">
        <v>32506.44</v>
      </c>
      <c r="J7131" s="222">
        <v>28404.400000000001</v>
      </c>
      <c r="K7131" s="222">
        <v>6691.44</v>
      </c>
      <c r="L7131" s="43">
        <v>7.3504787979545485</v>
      </c>
      <c r="M7131" s="43">
        <v>11.500435161009573</v>
      </c>
      <c r="N7131" s="43">
        <v>5.4286331328490371</v>
      </c>
      <c r="O7131" s="43">
        <v>5.8793800302252839</v>
      </c>
      <c r="P7131" s="223"/>
      <c r="Q7131" s="223"/>
      <c r="R7131" s="223">
        <v>6</v>
      </c>
    </row>
    <row r="7132" spans="1:18" ht="60">
      <c r="A7132" s="219">
        <v>101</v>
      </c>
      <c r="B7132" s="216" t="s">
        <v>13096</v>
      </c>
      <c r="C7132" s="220" t="s">
        <v>13097</v>
      </c>
      <c r="D7132" s="221">
        <v>9971.58</v>
      </c>
      <c r="E7132" s="221">
        <v>3217.2</v>
      </c>
      <c r="F7132" s="221">
        <v>5396.24</v>
      </c>
      <c r="G7132" s="221">
        <v>1358.14</v>
      </c>
      <c r="H7132" s="222">
        <v>74260.679999999993</v>
      </c>
      <c r="I7132" s="222">
        <v>36999.199999999997</v>
      </c>
      <c r="J7132" s="222">
        <v>29264.73</v>
      </c>
      <c r="K7132" s="222">
        <v>7996.75</v>
      </c>
      <c r="L7132" s="43">
        <v>7.4472330362891332</v>
      </c>
      <c r="M7132" s="43">
        <v>11.500435161009573</v>
      </c>
      <c r="N7132" s="43">
        <v>5.4231705780321118</v>
      </c>
      <c r="O7132" s="43">
        <v>5.8880159630082316</v>
      </c>
      <c r="P7132" s="223"/>
      <c r="Q7132" s="223"/>
      <c r="R7132" s="223">
        <v>6</v>
      </c>
    </row>
    <row r="7133" spans="1:18" ht="60">
      <c r="A7133" s="219">
        <v>102</v>
      </c>
      <c r="B7133" s="216" t="s">
        <v>13098</v>
      </c>
      <c r="C7133" s="220" t="s">
        <v>13099</v>
      </c>
      <c r="D7133" s="221">
        <v>10586.28</v>
      </c>
      <c r="E7133" s="221">
        <v>3447</v>
      </c>
      <c r="F7133" s="221">
        <v>5576.18</v>
      </c>
      <c r="G7133" s="221">
        <v>1563.1</v>
      </c>
      <c r="H7133" s="222">
        <v>79008.350000000006</v>
      </c>
      <c r="I7133" s="222">
        <v>39642</v>
      </c>
      <c r="J7133" s="222">
        <v>30206.1</v>
      </c>
      <c r="K7133" s="222">
        <v>9160.25</v>
      </c>
      <c r="L7133" s="43">
        <v>7.4632779408819721</v>
      </c>
      <c r="M7133" s="43">
        <v>11.500435161009573</v>
      </c>
      <c r="N7133" s="43">
        <v>5.4169879738458944</v>
      </c>
      <c r="O7133" s="43">
        <v>5.8603096410978184</v>
      </c>
      <c r="P7133" s="223"/>
      <c r="Q7133" s="223"/>
      <c r="R7133" s="223">
        <v>6</v>
      </c>
    </row>
    <row r="7134" spans="1:18" ht="60">
      <c r="A7134" s="219">
        <v>103</v>
      </c>
      <c r="B7134" s="216" t="s">
        <v>13100</v>
      </c>
      <c r="C7134" s="220" t="s">
        <v>13101</v>
      </c>
      <c r="D7134" s="221">
        <v>11668.11</v>
      </c>
      <c r="E7134" s="221">
        <v>3849.15</v>
      </c>
      <c r="F7134" s="221">
        <v>6214.28</v>
      </c>
      <c r="G7134" s="221">
        <v>1604.68</v>
      </c>
      <c r="H7134" s="222">
        <v>87324.06</v>
      </c>
      <c r="I7134" s="222">
        <v>44266.9</v>
      </c>
      <c r="J7134" s="222">
        <v>33597.910000000003</v>
      </c>
      <c r="K7134" s="222">
        <v>9459.25</v>
      </c>
      <c r="L7134" s="43">
        <v>7.483993551654895</v>
      </c>
      <c r="M7134" s="43">
        <v>11.500435161009573</v>
      </c>
      <c r="N7134" s="43">
        <v>5.4065652014392667</v>
      </c>
      <c r="O7134" s="43">
        <v>5.8947889921978209</v>
      </c>
      <c r="P7134" s="223"/>
      <c r="Q7134" s="223"/>
      <c r="R7134" s="223">
        <v>6</v>
      </c>
    </row>
    <row r="7135" spans="1:18" ht="60">
      <c r="A7135" s="219">
        <v>104</v>
      </c>
      <c r="B7135" s="216" t="s">
        <v>13102</v>
      </c>
      <c r="C7135" s="220" t="s">
        <v>13103</v>
      </c>
      <c r="D7135" s="221">
        <v>12481.29</v>
      </c>
      <c r="E7135" s="221">
        <v>4090.44</v>
      </c>
      <c r="F7135" s="221">
        <v>6741.51</v>
      </c>
      <c r="G7135" s="221">
        <v>1649.34</v>
      </c>
      <c r="H7135" s="222">
        <v>93267.199999999997</v>
      </c>
      <c r="I7135" s="222">
        <v>47041.84</v>
      </c>
      <c r="J7135" s="222">
        <v>36482.31</v>
      </c>
      <c r="K7135" s="222">
        <v>9743.0499999999993</v>
      </c>
      <c r="L7135" s="43">
        <v>7.4725609291988242</v>
      </c>
      <c r="M7135" s="43">
        <v>11.500435161009573</v>
      </c>
      <c r="N7135" s="43">
        <v>5.4115932483968718</v>
      </c>
      <c r="O7135" s="43">
        <v>5.9072416845526083</v>
      </c>
      <c r="P7135" s="223"/>
      <c r="Q7135" s="223"/>
      <c r="R7135" s="223">
        <v>6</v>
      </c>
    </row>
    <row r="7136" spans="1:18" ht="27.75" customHeight="1">
      <c r="A7136" s="628" t="s">
        <v>13104</v>
      </c>
      <c r="B7136" s="629"/>
      <c r="C7136" s="629"/>
      <c r="D7136" s="629"/>
      <c r="E7136" s="629"/>
      <c r="F7136" s="629"/>
      <c r="G7136" s="629"/>
      <c r="H7136" s="629"/>
      <c r="I7136" s="629"/>
      <c r="J7136" s="629"/>
      <c r="K7136" s="629"/>
      <c r="L7136" s="629"/>
      <c r="M7136" s="629"/>
      <c r="N7136" s="629"/>
      <c r="O7136" s="629"/>
      <c r="P7136" s="629"/>
      <c r="Q7136" s="629"/>
      <c r="R7136" s="629"/>
    </row>
    <row r="7137" spans="1:18" ht="60">
      <c r="A7137" s="219">
        <v>105</v>
      </c>
      <c r="B7137" s="216" t="s">
        <v>13105</v>
      </c>
      <c r="C7137" s="220" t="s">
        <v>13106</v>
      </c>
      <c r="D7137" s="221">
        <v>4748.6899999999996</v>
      </c>
      <c r="E7137" s="221">
        <v>1146.7</v>
      </c>
      <c r="F7137" s="221">
        <v>3564.03</v>
      </c>
      <c r="G7137" s="221">
        <v>37.96</v>
      </c>
      <c r="H7137" s="222">
        <v>32954.160000000003</v>
      </c>
      <c r="I7137" s="222">
        <v>13187.57</v>
      </c>
      <c r="J7137" s="222">
        <v>19408.23</v>
      </c>
      <c r="K7137" s="222">
        <v>358.36</v>
      </c>
      <c r="L7137" s="43">
        <v>6.9396317721308414</v>
      </c>
      <c r="M7137" s="43">
        <v>11.500453475189675</v>
      </c>
      <c r="N7137" s="43">
        <v>5.4455854748697394</v>
      </c>
      <c r="O7137" s="43">
        <v>9.4404636459430975</v>
      </c>
      <c r="P7137" s="223"/>
      <c r="Q7137" s="223"/>
      <c r="R7137" s="223">
        <v>7</v>
      </c>
    </row>
    <row r="7138" spans="1:18" ht="60">
      <c r="A7138" s="219">
        <v>106</v>
      </c>
      <c r="B7138" s="216" t="s">
        <v>13107</v>
      </c>
      <c r="C7138" s="220" t="s">
        <v>13108</v>
      </c>
      <c r="D7138" s="221">
        <v>4753.5600000000004</v>
      </c>
      <c r="E7138" s="221">
        <v>1146.7</v>
      </c>
      <c r="F7138" s="221">
        <v>3564.03</v>
      </c>
      <c r="G7138" s="221">
        <v>42.83</v>
      </c>
      <c r="H7138" s="222">
        <v>32984.730000000003</v>
      </c>
      <c r="I7138" s="222">
        <v>13187.57</v>
      </c>
      <c r="J7138" s="222">
        <v>19408.23</v>
      </c>
      <c r="K7138" s="222">
        <v>388.93</v>
      </c>
      <c r="L7138" s="43">
        <v>6.9389531214500293</v>
      </c>
      <c r="M7138" s="43">
        <v>11.500453475189675</v>
      </c>
      <c r="N7138" s="43">
        <v>5.4455854748697394</v>
      </c>
      <c r="O7138" s="43">
        <v>9.080784496848004</v>
      </c>
      <c r="P7138" s="223"/>
      <c r="Q7138" s="223"/>
      <c r="R7138" s="223">
        <v>7</v>
      </c>
    </row>
    <row r="7139" spans="1:18" ht="60">
      <c r="A7139" s="219">
        <v>107</v>
      </c>
      <c r="B7139" s="216" t="s">
        <v>13109</v>
      </c>
      <c r="C7139" s="220" t="s">
        <v>13110</v>
      </c>
      <c r="D7139" s="221">
        <v>4829.07</v>
      </c>
      <c r="E7139" s="221">
        <v>1183.47</v>
      </c>
      <c r="F7139" s="221">
        <v>3594.48</v>
      </c>
      <c r="G7139" s="221">
        <v>51.12</v>
      </c>
      <c r="H7139" s="222">
        <v>33623.78</v>
      </c>
      <c r="I7139" s="222">
        <v>13610.42</v>
      </c>
      <c r="J7139" s="222">
        <v>19568.39</v>
      </c>
      <c r="K7139" s="222">
        <v>444.97</v>
      </c>
      <c r="L7139" s="43">
        <v>6.9627857951945202</v>
      </c>
      <c r="M7139" s="43">
        <v>11.500435161009573</v>
      </c>
      <c r="N7139" s="43">
        <v>5.4440113729941464</v>
      </c>
      <c r="O7139" s="43">
        <v>8.7044209702660424</v>
      </c>
      <c r="P7139" s="223"/>
      <c r="Q7139" s="223"/>
      <c r="R7139" s="223">
        <v>7</v>
      </c>
    </row>
    <row r="7140" spans="1:18" ht="60">
      <c r="A7140" s="219">
        <v>108</v>
      </c>
      <c r="B7140" s="216" t="s">
        <v>13111</v>
      </c>
      <c r="C7140" s="220" t="s">
        <v>13112</v>
      </c>
      <c r="D7140" s="221">
        <v>5517.92</v>
      </c>
      <c r="E7140" s="221">
        <v>1436.25</v>
      </c>
      <c r="F7140" s="221">
        <v>4018.48</v>
      </c>
      <c r="G7140" s="221">
        <v>63.19</v>
      </c>
      <c r="H7140" s="222">
        <v>38910.300000000003</v>
      </c>
      <c r="I7140" s="222">
        <v>16517.5</v>
      </c>
      <c r="J7140" s="222">
        <v>21845.69</v>
      </c>
      <c r="K7140" s="222">
        <v>547.11</v>
      </c>
      <c r="L7140" s="43">
        <v>7.0516245251834029</v>
      </c>
      <c r="M7140" s="43">
        <v>11.500435161009573</v>
      </c>
      <c r="N7140" s="43">
        <v>5.4363067627560664</v>
      </c>
      <c r="O7140" s="43">
        <v>8.6581737616711507</v>
      </c>
      <c r="P7140" s="223"/>
      <c r="Q7140" s="223"/>
      <c r="R7140" s="223">
        <v>7</v>
      </c>
    </row>
    <row r="7141" spans="1:18" ht="60">
      <c r="A7141" s="219">
        <v>109</v>
      </c>
      <c r="B7141" s="216" t="s">
        <v>13113</v>
      </c>
      <c r="C7141" s="220" t="s">
        <v>13114</v>
      </c>
      <c r="D7141" s="221">
        <v>5648.64</v>
      </c>
      <c r="E7141" s="221">
        <v>1459.23</v>
      </c>
      <c r="F7141" s="221">
        <v>4118.04</v>
      </c>
      <c r="G7141" s="221">
        <v>71.37</v>
      </c>
      <c r="H7141" s="222">
        <v>39760.99</v>
      </c>
      <c r="I7141" s="222">
        <v>16781.78</v>
      </c>
      <c r="J7141" s="222">
        <v>22378.53</v>
      </c>
      <c r="K7141" s="222">
        <v>600.67999999999995</v>
      </c>
      <c r="L7141" s="43">
        <v>7.0390377152730563</v>
      </c>
      <c r="M7141" s="43">
        <v>11.500435161009573</v>
      </c>
      <c r="N7141" s="43">
        <v>5.4342672727802546</v>
      </c>
      <c r="O7141" s="43">
        <v>8.4164214656017915</v>
      </c>
      <c r="P7141" s="223"/>
      <c r="Q7141" s="223"/>
      <c r="R7141" s="223">
        <v>7</v>
      </c>
    </row>
    <row r="7142" spans="1:18" ht="60">
      <c r="A7142" s="219">
        <v>110</v>
      </c>
      <c r="B7142" s="216" t="s">
        <v>13115</v>
      </c>
      <c r="C7142" s="220" t="s">
        <v>13116</v>
      </c>
      <c r="D7142" s="221">
        <v>5688.01</v>
      </c>
      <c r="E7142" s="221">
        <v>1482.21</v>
      </c>
      <c r="F7142" s="221">
        <v>4126.13</v>
      </c>
      <c r="G7142" s="221">
        <v>79.67</v>
      </c>
      <c r="H7142" s="222">
        <v>40123.35</v>
      </c>
      <c r="I7142" s="222">
        <v>17046.060000000001</v>
      </c>
      <c r="J7142" s="222">
        <v>22419.21</v>
      </c>
      <c r="K7142" s="222">
        <v>658.08</v>
      </c>
      <c r="L7142" s="43">
        <v>7.0540224085400691</v>
      </c>
      <c r="M7142" s="43">
        <v>11.500435161009575</v>
      </c>
      <c r="N7142" s="43">
        <v>5.4334715580943884</v>
      </c>
      <c r="O7142" s="43">
        <v>8.2600728003012431</v>
      </c>
      <c r="P7142" s="223"/>
      <c r="Q7142" s="223"/>
      <c r="R7142" s="223">
        <v>7</v>
      </c>
    </row>
    <row r="7143" spans="1:18" ht="60">
      <c r="A7143" s="219">
        <v>111</v>
      </c>
      <c r="B7143" s="216" t="s">
        <v>13117</v>
      </c>
      <c r="C7143" s="220" t="s">
        <v>13118</v>
      </c>
      <c r="D7143" s="221">
        <v>5976.97</v>
      </c>
      <c r="E7143" s="221">
        <v>1585.62</v>
      </c>
      <c r="F7143" s="221">
        <v>4296.37</v>
      </c>
      <c r="G7143" s="221">
        <v>94.98</v>
      </c>
      <c r="H7143" s="222">
        <v>42333.18</v>
      </c>
      <c r="I7143" s="222">
        <v>18235.32</v>
      </c>
      <c r="J7143" s="222">
        <v>23333.96</v>
      </c>
      <c r="K7143" s="222">
        <v>763.9</v>
      </c>
      <c r="L7143" s="43">
        <v>7.0827158242387025</v>
      </c>
      <c r="M7143" s="43">
        <v>11.500435161009575</v>
      </c>
      <c r="N7143" s="43">
        <v>5.4310871735907291</v>
      </c>
      <c r="O7143" s="43">
        <v>8.0427458412297312</v>
      </c>
      <c r="P7143" s="223"/>
      <c r="Q7143" s="223"/>
      <c r="R7143" s="223">
        <v>7</v>
      </c>
    </row>
    <row r="7144" spans="1:18" ht="60">
      <c r="A7144" s="219">
        <v>112</v>
      </c>
      <c r="B7144" s="216" t="s">
        <v>13119</v>
      </c>
      <c r="C7144" s="220" t="s">
        <v>13120</v>
      </c>
      <c r="D7144" s="221">
        <v>6741.79</v>
      </c>
      <c r="E7144" s="221">
        <v>1792.44</v>
      </c>
      <c r="F7144" s="221">
        <v>4841.08</v>
      </c>
      <c r="G7144" s="221">
        <v>108.27</v>
      </c>
      <c r="H7144" s="222">
        <v>47757.32</v>
      </c>
      <c r="I7144" s="222">
        <v>20613.84</v>
      </c>
      <c r="J7144" s="222">
        <v>26314.31</v>
      </c>
      <c r="K7144" s="222">
        <v>829.17</v>
      </c>
      <c r="L7144" s="43">
        <v>7.0837744871910875</v>
      </c>
      <c r="M7144" s="43">
        <v>11.500435161009573</v>
      </c>
      <c r="N7144" s="43">
        <v>5.4356280003635558</v>
      </c>
      <c r="O7144" s="43">
        <v>7.6583541147132168</v>
      </c>
      <c r="P7144" s="223"/>
      <c r="Q7144" s="223"/>
      <c r="R7144" s="223">
        <v>7</v>
      </c>
    </row>
    <row r="7145" spans="1:18" ht="60">
      <c r="A7145" s="219">
        <v>113</v>
      </c>
      <c r="B7145" s="216" t="s">
        <v>13121</v>
      </c>
      <c r="C7145" s="220" t="s">
        <v>13122</v>
      </c>
      <c r="D7145" s="221">
        <v>6782.76</v>
      </c>
      <c r="E7145" s="221">
        <v>1792.44</v>
      </c>
      <c r="F7145" s="221">
        <v>4854.01</v>
      </c>
      <c r="G7145" s="221">
        <v>136.31</v>
      </c>
      <c r="H7145" s="222">
        <v>47976.55</v>
      </c>
      <c r="I7145" s="222">
        <v>20613.84</v>
      </c>
      <c r="J7145" s="222">
        <v>26380.62</v>
      </c>
      <c r="K7145" s="222">
        <v>982.09</v>
      </c>
      <c r="L7145" s="43">
        <v>7.0733079159516183</v>
      </c>
      <c r="M7145" s="43">
        <v>11.500435161009573</v>
      </c>
      <c r="N7145" s="43">
        <v>5.434809569819592</v>
      </c>
      <c r="O7145" s="43">
        <v>7.2048272320446047</v>
      </c>
      <c r="P7145" s="223"/>
      <c r="Q7145" s="223"/>
      <c r="R7145" s="223">
        <v>7</v>
      </c>
    </row>
    <row r="7146" spans="1:18" ht="60">
      <c r="A7146" s="219">
        <v>114</v>
      </c>
      <c r="B7146" s="216" t="s">
        <v>13123</v>
      </c>
      <c r="C7146" s="220" t="s">
        <v>13124</v>
      </c>
      <c r="D7146" s="221">
        <v>7402.06</v>
      </c>
      <c r="E7146" s="221">
        <v>2033.73</v>
      </c>
      <c r="F7146" s="221">
        <v>5197.6499999999996</v>
      </c>
      <c r="G7146" s="221">
        <v>170.68</v>
      </c>
      <c r="H7146" s="222">
        <v>52811.519999999997</v>
      </c>
      <c r="I7146" s="222">
        <v>23388.78</v>
      </c>
      <c r="J7146" s="222">
        <v>28217.21</v>
      </c>
      <c r="K7146" s="222">
        <v>1205.53</v>
      </c>
      <c r="L7146" s="43">
        <v>7.1347057440766477</v>
      </c>
      <c r="M7146" s="43">
        <v>11.500435161009573</v>
      </c>
      <c r="N7146" s="43">
        <v>5.4288399565188117</v>
      </c>
      <c r="O7146" s="43">
        <v>7.0631005390203887</v>
      </c>
      <c r="P7146" s="223"/>
      <c r="Q7146" s="223"/>
      <c r="R7146" s="223">
        <v>7</v>
      </c>
    </row>
    <row r="7147" spans="1:18" ht="60">
      <c r="A7147" s="219">
        <v>115</v>
      </c>
      <c r="B7147" s="216" t="s">
        <v>13125</v>
      </c>
      <c r="C7147" s="220" t="s">
        <v>13126</v>
      </c>
      <c r="D7147" s="221">
        <v>8962.69</v>
      </c>
      <c r="E7147" s="221">
        <v>2470.35</v>
      </c>
      <c r="F7147" s="221">
        <v>6248.94</v>
      </c>
      <c r="G7147" s="221">
        <v>243.4</v>
      </c>
      <c r="H7147" s="222">
        <v>64008.41</v>
      </c>
      <c r="I7147" s="222">
        <v>28410.1</v>
      </c>
      <c r="J7147" s="222">
        <v>33930</v>
      </c>
      <c r="K7147" s="222">
        <v>1668.31</v>
      </c>
      <c r="L7147" s="43">
        <v>7.1416516693091028</v>
      </c>
      <c r="M7147" s="43">
        <v>11.500435161009573</v>
      </c>
      <c r="N7147" s="43">
        <v>5.4297208806613604</v>
      </c>
      <c r="O7147" s="43">
        <v>6.8541906327033688</v>
      </c>
      <c r="P7147" s="223"/>
      <c r="Q7147" s="223"/>
      <c r="R7147" s="223">
        <v>7</v>
      </c>
    </row>
    <row r="7148" spans="1:18" ht="60">
      <c r="A7148" s="219">
        <v>116</v>
      </c>
      <c r="B7148" s="216" t="s">
        <v>13127</v>
      </c>
      <c r="C7148" s="220" t="s">
        <v>13128</v>
      </c>
      <c r="D7148" s="221">
        <v>9858.25</v>
      </c>
      <c r="E7148" s="221">
        <v>2769.09</v>
      </c>
      <c r="F7148" s="221">
        <v>6720.78</v>
      </c>
      <c r="G7148" s="221">
        <v>368.38</v>
      </c>
      <c r="H7148" s="222">
        <v>70733.33</v>
      </c>
      <c r="I7148" s="222">
        <v>31845.74</v>
      </c>
      <c r="J7148" s="222">
        <v>36449.360000000001</v>
      </c>
      <c r="K7148" s="222">
        <v>2438.23</v>
      </c>
      <c r="L7148" s="43">
        <v>7.1750391803819138</v>
      </c>
      <c r="M7148" s="43">
        <v>11.500435161009573</v>
      </c>
      <c r="N7148" s="43">
        <v>5.4233824050184651</v>
      </c>
      <c r="O7148" s="43">
        <v>6.6187903794994298</v>
      </c>
      <c r="P7148" s="223"/>
      <c r="Q7148" s="223"/>
      <c r="R7148" s="223">
        <v>7</v>
      </c>
    </row>
    <row r="7149" spans="1:18" ht="60">
      <c r="A7149" s="219">
        <v>117</v>
      </c>
      <c r="B7149" s="216" t="s">
        <v>13129</v>
      </c>
      <c r="C7149" s="220" t="s">
        <v>13130</v>
      </c>
      <c r="D7149" s="221">
        <v>10692.04</v>
      </c>
      <c r="E7149" s="221">
        <v>3286.14</v>
      </c>
      <c r="F7149" s="221">
        <v>6835.7</v>
      </c>
      <c r="G7149" s="221">
        <v>570.20000000000005</v>
      </c>
      <c r="H7149" s="222">
        <v>78464.649999999994</v>
      </c>
      <c r="I7149" s="222">
        <v>37792.04</v>
      </c>
      <c r="J7149" s="222">
        <v>37041.08</v>
      </c>
      <c r="K7149" s="222">
        <v>3631.53</v>
      </c>
      <c r="L7149" s="43">
        <v>7.338604232681508</v>
      </c>
      <c r="M7149" s="43">
        <v>11.500435161009575</v>
      </c>
      <c r="N7149" s="43">
        <v>5.4187691092353383</v>
      </c>
      <c r="O7149" s="43">
        <v>6.368870571729218</v>
      </c>
      <c r="P7149" s="223"/>
      <c r="Q7149" s="223"/>
      <c r="R7149" s="223">
        <v>7</v>
      </c>
    </row>
    <row r="7150" spans="1:18" ht="60">
      <c r="A7150" s="219">
        <v>118</v>
      </c>
      <c r="B7150" s="216" t="s">
        <v>13131</v>
      </c>
      <c r="C7150" s="220" t="s">
        <v>13132</v>
      </c>
      <c r="D7150" s="221">
        <v>12603.89</v>
      </c>
      <c r="E7150" s="221">
        <v>4032.99</v>
      </c>
      <c r="F7150" s="221">
        <v>7108.5</v>
      </c>
      <c r="G7150" s="221">
        <v>1462.4</v>
      </c>
      <c r="H7150" s="222">
        <v>93486.2</v>
      </c>
      <c r="I7150" s="222">
        <v>46381.14</v>
      </c>
      <c r="J7150" s="222">
        <v>38455.300000000003</v>
      </c>
      <c r="K7150" s="222">
        <v>8649.76</v>
      </c>
      <c r="L7150" s="43">
        <v>7.4172497538458364</v>
      </c>
      <c r="M7150" s="43">
        <v>11.500435161009573</v>
      </c>
      <c r="N7150" s="43">
        <v>5.4097629598368151</v>
      </c>
      <c r="O7150" s="43">
        <v>5.9147702407002187</v>
      </c>
      <c r="P7150" s="223"/>
      <c r="Q7150" s="223"/>
      <c r="R7150" s="223">
        <v>7</v>
      </c>
    </row>
    <row r="7151" spans="1:18" ht="60">
      <c r="A7151" s="219">
        <v>119</v>
      </c>
      <c r="B7151" s="216" t="s">
        <v>13133</v>
      </c>
      <c r="C7151" s="220" t="s">
        <v>13134</v>
      </c>
      <c r="D7151" s="221">
        <v>13096.67</v>
      </c>
      <c r="E7151" s="221">
        <v>4216.83</v>
      </c>
      <c r="F7151" s="221">
        <v>7153.28</v>
      </c>
      <c r="G7151" s="221">
        <v>1726.56</v>
      </c>
      <c r="H7151" s="222">
        <v>97344.41</v>
      </c>
      <c r="I7151" s="222">
        <v>48495.38</v>
      </c>
      <c r="J7151" s="222">
        <v>38670.269999999997</v>
      </c>
      <c r="K7151" s="222">
        <v>10178.76</v>
      </c>
      <c r="L7151" s="43">
        <v>7.4327603887094966</v>
      </c>
      <c r="M7151" s="43">
        <v>11.500435161009573</v>
      </c>
      <c r="N7151" s="43">
        <v>5.4059494385792251</v>
      </c>
      <c r="O7151" s="43">
        <v>5.8953989435640812</v>
      </c>
      <c r="P7151" s="223"/>
      <c r="Q7151" s="223"/>
      <c r="R7151" s="223">
        <v>7</v>
      </c>
    </row>
    <row r="7152" spans="1:18" ht="60">
      <c r="A7152" s="219">
        <v>120</v>
      </c>
      <c r="B7152" s="216" t="s">
        <v>13135</v>
      </c>
      <c r="C7152" s="220" t="s">
        <v>13136</v>
      </c>
      <c r="D7152" s="221">
        <v>13914.6</v>
      </c>
      <c r="E7152" s="221">
        <v>4527.0600000000004</v>
      </c>
      <c r="F7152" s="221">
        <v>7310.85</v>
      </c>
      <c r="G7152" s="221">
        <v>2076.69</v>
      </c>
      <c r="H7152" s="222">
        <v>103711.74</v>
      </c>
      <c r="I7152" s="222">
        <v>52063.16</v>
      </c>
      <c r="J7152" s="222">
        <v>39478.699999999997</v>
      </c>
      <c r="K7152" s="222">
        <v>12169.88</v>
      </c>
      <c r="L7152" s="43">
        <v>7.4534474580656287</v>
      </c>
      <c r="M7152" s="43">
        <v>11.500435161009573</v>
      </c>
      <c r="N7152" s="43">
        <v>5.4000150461300667</v>
      </c>
      <c r="O7152" s="43">
        <v>5.8602294998290541</v>
      </c>
      <c r="P7152" s="223"/>
      <c r="Q7152" s="223"/>
      <c r="R7152" s="223">
        <v>7</v>
      </c>
    </row>
    <row r="7153" spans="1:18" ht="60">
      <c r="A7153" s="219">
        <v>121</v>
      </c>
      <c r="B7153" s="216" t="s">
        <v>13137</v>
      </c>
      <c r="C7153" s="220" t="s">
        <v>13138</v>
      </c>
      <c r="D7153" s="221">
        <v>16102.93</v>
      </c>
      <c r="E7153" s="221">
        <v>5641.59</v>
      </c>
      <c r="F7153" s="221">
        <v>8306.66</v>
      </c>
      <c r="G7153" s="221">
        <v>2154.6799999999998</v>
      </c>
      <c r="H7153" s="222">
        <v>122385.64</v>
      </c>
      <c r="I7153" s="222">
        <v>64880.74</v>
      </c>
      <c r="J7153" s="222">
        <v>44774.91</v>
      </c>
      <c r="K7153" s="222">
        <v>12729.99</v>
      </c>
      <c r="L7153" s="43">
        <v>7.6002094028850644</v>
      </c>
      <c r="M7153" s="43">
        <v>11.500435161009573</v>
      </c>
      <c r="N7153" s="43">
        <v>5.3902422875138747</v>
      </c>
      <c r="O7153" s="43">
        <v>5.9080652347448348</v>
      </c>
      <c r="P7153" s="223"/>
      <c r="Q7153" s="223"/>
      <c r="R7153" s="223">
        <v>7</v>
      </c>
    </row>
    <row r="7154" spans="1:18" ht="30.75" customHeight="1">
      <c r="A7154" s="628" t="s">
        <v>13139</v>
      </c>
      <c r="B7154" s="629"/>
      <c r="C7154" s="629"/>
      <c r="D7154" s="629"/>
      <c r="E7154" s="629"/>
      <c r="F7154" s="629"/>
      <c r="G7154" s="629"/>
      <c r="H7154" s="629"/>
      <c r="I7154" s="629"/>
      <c r="J7154" s="629"/>
      <c r="K7154" s="629"/>
      <c r="L7154" s="629"/>
      <c r="M7154" s="629"/>
      <c r="N7154" s="629"/>
      <c r="O7154" s="629"/>
      <c r="P7154" s="629"/>
      <c r="Q7154" s="629"/>
      <c r="R7154" s="629"/>
    </row>
    <row r="7155" spans="1:18" ht="60">
      <c r="A7155" s="219">
        <v>122</v>
      </c>
      <c r="B7155" s="216" t="s">
        <v>13140</v>
      </c>
      <c r="C7155" s="220" t="s">
        <v>13141</v>
      </c>
      <c r="D7155" s="221">
        <v>7933.47</v>
      </c>
      <c r="E7155" s="221">
        <v>2114.16</v>
      </c>
      <c r="F7155" s="221">
        <v>5714.9</v>
      </c>
      <c r="G7155" s="221">
        <v>104.41</v>
      </c>
      <c r="H7155" s="222">
        <v>56141.08</v>
      </c>
      <c r="I7155" s="222">
        <v>24313.759999999998</v>
      </c>
      <c r="J7155" s="222">
        <v>30939.49</v>
      </c>
      <c r="K7155" s="222">
        <v>887.83</v>
      </c>
      <c r="L7155" s="43">
        <v>7.0764848168581969</v>
      </c>
      <c r="M7155" s="43">
        <v>11.500435161009573</v>
      </c>
      <c r="N7155" s="43">
        <v>5.4138287634079338</v>
      </c>
      <c r="O7155" s="43">
        <v>8.5033042811991191</v>
      </c>
      <c r="P7155" s="223"/>
      <c r="Q7155" s="223"/>
      <c r="R7155" s="223">
        <v>8</v>
      </c>
    </row>
    <row r="7156" spans="1:18" ht="60">
      <c r="A7156" s="219">
        <v>123</v>
      </c>
      <c r="B7156" s="216" t="s">
        <v>13142</v>
      </c>
      <c r="C7156" s="220" t="s">
        <v>13143</v>
      </c>
      <c r="D7156" s="221">
        <v>7955.47</v>
      </c>
      <c r="E7156" s="221">
        <v>2114.16</v>
      </c>
      <c r="F7156" s="221">
        <v>5716.57</v>
      </c>
      <c r="G7156" s="221">
        <v>124.74</v>
      </c>
      <c r="H7156" s="222">
        <v>56283.08</v>
      </c>
      <c r="I7156" s="222">
        <v>24313.759999999998</v>
      </c>
      <c r="J7156" s="222">
        <v>30947.24</v>
      </c>
      <c r="K7156" s="222">
        <v>1022.08</v>
      </c>
      <c r="L7156" s="43">
        <v>7.0747649101812966</v>
      </c>
      <c r="M7156" s="43">
        <v>11.500435161009573</v>
      </c>
      <c r="N7156" s="43">
        <v>5.4136029122358345</v>
      </c>
      <c r="O7156" s="43">
        <v>8.1936828603495275</v>
      </c>
      <c r="P7156" s="223"/>
      <c r="Q7156" s="223"/>
      <c r="R7156" s="223">
        <v>8</v>
      </c>
    </row>
    <row r="7157" spans="1:18" ht="60">
      <c r="A7157" s="219">
        <v>124</v>
      </c>
      <c r="B7157" s="216" t="s">
        <v>13144</v>
      </c>
      <c r="C7157" s="220" t="s">
        <v>13145</v>
      </c>
      <c r="D7157" s="221">
        <v>8346.0499999999993</v>
      </c>
      <c r="E7157" s="221">
        <v>2275.02</v>
      </c>
      <c r="F7157" s="221">
        <v>5908.77</v>
      </c>
      <c r="G7157" s="221">
        <v>162.26</v>
      </c>
      <c r="H7157" s="222">
        <v>59418.39</v>
      </c>
      <c r="I7157" s="222">
        <v>26163.72</v>
      </c>
      <c r="J7157" s="222">
        <v>31971.74</v>
      </c>
      <c r="K7157" s="222">
        <v>1282.93</v>
      </c>
      <c r="L7157" s="43">
        <v>7.1193426830656428</v>
      </c>
      <c r="M7157" s="43">
        <v>11.500435161009575</v>
      </c>
      <c r="N7157" s="43">
        <v>5.4108960071216172</v>
      </c>
      <c r="O7157" s="43">
        <v>7.9066313324294351</v>
      </c>
      <c r="P7157" s="223"/>
      <c r="Q7157" s="223"/>
      <c r="R7157" s="223">
        <v>8</v>
      </c>
    </row>
    <row r="7158" spans="1:18" ht="60">
      <c r="A7158" s="219">
        <v>125</v>
      </c>
      <c r="B7158" s="216" t="s">
        <v>13146</v>
      </c>
      <c r="C7158" s="220" t="s">
        <v>13147</v>
      </c>
      <c r="D7158" s="221">
        <v>8471.9599999999991</v>
      </c>
      <c r="E7158" s="221">
        <v>2332.4699999999998</v>
      </c>
      <c r="F7158" s="221">
        <v>5948.81</v>
      </c>
      <c r="G7158" s="221">
        <v>190.68</v>
      </c>
      <c r="H7158" s="222">
        <v>60488.09</v>
      </c>
      <c r="I7158" s="222">
        <v>26824.42</v>
      </c>
      <c r="J7158" s="222">
        <v>32182.71</v>
      </c>
      <c r="K7158" s="222">
        <v>1480.96</v>
      </c>
      <c r="L7158" s="43">
        <v>7.1397988186913066</v>
      </c>
      <c r="M7158" s="43">
        <v>11.500435161009573</v>
      </c>
      <c r="N7158" s="43">
        <v>5.40994081169175</v>
      </c>
      <c r="O7158" s="43">
        <v>7.766729599328718</v>
      </c>
      <c r="P7158" s="223"/>
      <c r="Q7158" s="223"/>
      <c r="R7158" s="223">
        <v>8</v>
      </c>
    </row>
    <row r="7159" spans="1:18" ht="60">
      <c r="A7159" s="219">
        <v>126</v>
      </c>
      <c r="B7159" s="216" t="s">
        <v>13148</v>
      </c>
      <c r="C7159" s="220" t="s">
        <v>13149</v>
      </c>
      <c r="D7159" s="221">
        <v>9761.9</v>
      </c>
      <c r="E7159" s="221">
        <v>2700.15</v>
      </c>
      <c r="F7159" s="221">
        <v>6835.02</v>
      </c>
      <c r="G7159" s="221">
        <v>226.73</v>
      </c>
      <c r="H7159" s="222">
        <v>69744.45</v>
      </c>
      <c r="I7159" s="222">
        <v>31052.9</v>
      </c>
      <c r="J7159" s="222">
        <v>36940.92</v>
      </c>
      <c r="K7159" s="222">
        <v>1750.63</v>
      </c>
      <c r="L7159" s="43">
        <v>7.1445568997838533</v>
      </c>
      <c r="M7159" s="43">
        <v>11.500435161009573</v>
      </c>
      <c r="N7159" s="43">
        <v>5.4046542658251173</v>
      </c>
      <c r="O7159" s="43">
        <v>7.7212102500771849</v>
      </c>
      <c r="P7159" s="223"/>
      <c r="Q7159" s="223"/>
      <c r="R7159" s="223">
        <v>8</v>
      </c>
    </row>
    <row r="7160" spans="1:18" ht="60">
      <c r="A7160" s="219">
        <v>127</v>
      </c>
      <c r="B7160" s="216" t="s">
        <v>13150</v>
      </c>
      <c r="C7160" s="220" t="s">
        <v>13151</v>
      </c>
      <c r="D7160" s="221">
        <v>9930.16</v>
      </c>
      <c r="E7160" s="221">
        <v>2723.13</v>
      </c>
      <c r="F7160" s="221">
        <v>6947.25</v>
      </c>
      <c r="G7160" s="221">
        <v>259.77999999999997</v>
      </c>
      <c r="H7160" s="222">
        <v>70822.28</v>
      </c>
      <c r="I7160" s="222">
        <v>31317.18</v>
      </c>
      <c r="J7160" s="222">
        <v>37541.980000000003</v>
      </c>
      <c r="K7160" s="222">
        <v>1963.12</v>
      </c>
      <c r="L7160" s="43">
        <v>7.1320381544708242</v>
      </c>
      <c r="M7160" s="43">
        <v>11.500435161009573</v>
      </c>
      <c r="N7160" s="43">
        <v>5.4038619597682542</v>
      </c>
      <c r="O7160" s="43">
        <v>7.5568558010624383</v>
      </c>
      <c r="P7160" s="223"/>
      <c r="Q7160" s="223"/>
      <c r="R7160" s="223">
        <v>8</v>
      </c>
    </row>
    <row r="7161" spans="1:18" ht="60">
      <c r="A7161" s="219">
        <v>128</v>
      </c>
      <c r="B7161" s="216" t="s">
        <v>13152</v>
      </c>
      <c r="C7161" s="220" t="s">
        <v>13153</v>
      </c>
      <c r="D7161" s="221">
        <v>10331.17</v>
      </c>
      <c r="E7161" s="221">
        <v>2906.97</v>
      </c>
      <c r="F7161" s="221">
        <v>7062.98</v>
      </c>
      <c r="G7161" s="221">
        <v>361.22</v>
      </c>
      <c r="H7161" s="222">
        <v>74231.28</v>
      </c>
      <c r="I7161" s="222">
        <v>33431.42</v>
      </c>
      <c r="J7161" s="222">
        <v>38158.129999999997</v>
      </c>
      <c r="K7161" s="222">
        <v>2641.73</v>
      </c>
      <c r="L7161" s="43">
        <v>7.1851765095337701</v>
      </c>
      <c r="M7161" s="43">
        <v>11.500435161009573</v>
      </c>
      <c r="N7161" s="43">
        <v>5.4025538795239401</v>
      </c>
      <c r="O7161" s="43">
        <v>7.3133547422623328</v>
      </c>
      <c r="P7161" s="223"/>
      <c r="Q7161" s="223"/>
      <c r="R7161" s="223">
        <v>8</v>
      </c>
    </row>
    <row r="7162" spans="1:18" ht="60">
      <c r="A7162" s="219">
        <v>129</v>
      </c>
      <c r="B7162" s="216" t="s">
        <v>13154</v>
      </c>
      <c r="C7162" s="220" t="s">
        <v>13155</v>
      </c>
      <c r="D7162" s="221">
        <v>11959.78</v>
      </c>
      <c r="E7162" s="221">
        <v>3159.75</v>
      </c>
      <c r="F7162" s="221">
        <v>8455.85</v>
      </c>
      <c r="G7162" s="221">
        <v>344.18</v>
      </c>
      <c r="H7162" s="222">
        <v>84214.45</v>
      </c>
      <c r="I7162" s="222">
        <v>36338.5</v>
      </c>
      <c r="J7162" s="222">
        <v>45697.83</v>
      </c>
      <c r="K7162" s="222">
        <v>2178.12</v>
      </c>
      <c r="L7162" s="43">
        <v>7.0414714986396065</v>
      </c>
      <c r="M7162" s="43">
        <v>11.500435161009573</v>
      </c>
      <c r="N7162" s="43">
        <v>5.4042857903108494</v>
      </c>
      <c r="O7162" s="43">
        <v>6.3284327967923755</v>
      </c>
      <c r="P7162" s="223"/>
      <c r="Q7162" s="223"/>
      <c r="R7162" s="223">
        <v>8</v>
      </c>
    </row>
    <row r="7163" spans="1:18" ht="60">
      <c r="A7163" s="219">
        <v>130</v>
      </c>
      <c r="B7163" s="216" t="s">
        <v>13156</v>
      </c>
      <c r="C7163" s="220" t="s">
        <v>13157</v>
      </c>
      <c r="D7163" s="221">
        <v>12302.08</v>
      </c>
      <c r="E7163" s="221">
        <v>3309.12</v>
      </c>
      <c r="F7163" s="221">
        <v>8558.1200000000008</v>
      </c>
      <c r="G7163" s="221">
        <v>434.84</v>
      </c>
      <c r="H7163" s="222">
        <v>86964.51</v>
      </c>
      <c r="I7163" s="222">
        <v>38056.32</v>
      </c>
      <c r="J7163" s="222">
        <v>46243.07</v>
      </c>
      <c r="K7163" s="222">
        <v>2665.12</v>
      </c>
      <c r="L7163" s="43">
        <v>7.0690899425137861</v>
      </c>
      <c r="M7163" s="43">
        <v>11.500435161009573</v>
      </c>
      <c r="N7163" s="43">
        <v>5.4034145349679594</v>
      </c>
      <c r="O7163" s="43">
        <v>6.1289669763591208</v>
      </c>
      <c r="P7163" s="223"/>
      <c r="Q7163" s="223"/>
      <c r="R7163" s="223">
        <v>8</v>
      </c>
    </row>
    <row r="7164" spans="1:18" ht="60">
      <c r="A7164" s="219">
        <v>131</v>
      </c>
      <c r="B7164" s="216" t="s">
        <v>13158</v>
      </c>
      <c r="C7164" s="220" t="s">
        <v>13159</v>
      </c>
      <c r="D7164" s="221">
        <v>13123.91</v>
      </c>
      <c r="E7164" s="221">
        <v>3630.84</v>
      </c>
      <c r="F7164" s="221">
        <v>8825.75</v>
      </c>
      <c r="G7164" s="221">
        <v>667.32</v>
      </c>
      <c r="H7164" s="222">
        <v>93320.36</v>
      </c>
      <c r="I7164" s="222">
        <v>41756.239999999998</v>
      </c>
      <c r="J7164" s="222">
        <v>47666.22</v>
      </c>
      <c r="K7164" s="222">
        <v>3897.9</v>
      </c>
      <c r="L7164" s="43">
        <v>7.1107131944671975</v>
      </c>
      <c r="M7164" s="43">
        <v>11.500435161009573</v>
      </c>
      <c r="N7164" s="43">
        <v>5.4008123955471206</v>
      </c>
      <c r="O7164" s="43">
        <v>5.8411256968171186</v>
      </c>
      <c r="P7164" s="223"/>
      <c r="Q7164" s="223"/>
      <c r="R7164" s="223">
        <v>8</v>
      </c>
    </row>
    <row r="7165" spans="1:18" ht="60">
      <c r="A7165" s="219">
        <v>132</v>
      </c>
      <c r="B7165" s="216" t="s">
        <v>13160</v>
      </c>
      <c r="C7165" s="220" t="s">
        <v>13161</v>
      </c>
      <c r="D7165" s="221">
        <v>15015.05</v>
      </c>
      <c r="E7165" s="221">
        <v>3929.58</v>
      </c>
      <c r="F7165" s="221">
        <v>10358.18</v>
      </c>
      <c r="G7165" s="221">
        <v>727.29</v>
      </c>
      <c r="H7165" s="222">
        <v>105408.7</v>
      </c>
      <c r="I7165" s="222">
        <v>45191.88</v>
      </c>
      <c r="J7165" s="222">
        <v>55983.27</v>
      </c>
      <c r="K7165" s="222">
        <v>4233.55</v>
      </c>
      <c r="L7165" s="43">
        <v>7.0202030629268632</v>
      </c>
      <c r="M7165" s="43">
        <v>11.500435161009573</v>
      </c>
      <c r="N7165" s="43">
        <v>5.404740021895738</v>
      </c>
      <c r="O7165" s="43">
        <v>5.820993001416217</v>
      </c>
      <c r="P7165" s="223"/>
      <c r="Q7165" s="223"/>
      <c r="R7165" s="223">
        <v>8</v>
      </c>
    </row>
    <row r="7166" spans="1:18" ht="60">
      <c r="A7166" s="219">
        <v>133</v>
      </c>
      <c r="B7166" s="216" t="s">
        <v>13162</v>
      </c>
      <c r="C7166" s="220" t="s">
        <v>13163</v>
      </c>
      <c r="D7166" s="221">
        <v>16067.32</v>
      </c>
      <c r="E7166" s="221">
        <v>4182.3599999999997</v>
      </c>
      <c r="F7166" s="221">
        <v>10813.39</v>
      </c>
      <c r="G7166" s="221">
        <v>1071.57</v>
      </c>
      <c r="H7166" s="222">
        <v>112496.55</v>
      </c>
      <c r="I7166" s="222">
        <v>48098.96</v>
      </c>
      <c r="J7166" s="222">
        <v>58402.720000000001</v>
      </c>
      <c r="K7166" s="222">
        <v>5994.87</v>
      </c>
      <c r="L7166" s="43">
        <v>7.0015752471476267</v>
      </c>
      <c r="M7166" s="43">
        <v>11.500435161009575</v>
      </c>
      <c r="N7166" s="43">
        <v>5.400963065236712</v>
      </c>
      <c r="O7166" s="43">
        <v>5.594473529494107</v>
      </c>
      <c r="P7166" s="223"/>
      <c r="Q7166" s="223"/>
      <c r="R7166" s="223">
        <v>8</v>
      </c>
    </row>
    <row r="7167" spans="1:18" ht="60">
      <c r="A7167" s="219">
        <v>134</v>
      </c>
      <c r="B7167" s="216" t="s">
        <v>13164</v>
      </c>
      <c r="C7167" s="220" t="s">
        <v>13165</v>
      </c>
      <c r="D7167" s="221">
        <v>19545.099999999999</v>
      </c>
      <c r="E7167" s="221">
        <v>5607.12</v>
      </c>
      <c r="F7167" s="221">
        <v>11568.61</v>
      </c>
      <c r="G7167" s="221">
        <v>2369.37</v>
      </c>
      <c r="H7167" s="222">
        <v>139483.87</v>
      </c>
      <c r="I7167" s="222">
        <v>64484.32</v>
      </c>
      <c r="J7167" s="222">
        <v>62384.33</v>
      </c>
      <c r="K7167" s="222">
        <v>12615.22</v>
      </c>
      <c r="L7167" s="43">
        <v>7.1365134995472017</v>
      </c>
      <c r="M7167" s="43">
        <v>11.500435161009573</v>
      </c>
      <c r="N7167" s="43">
        <v>5.3925519141884806</v>
      </c>
      <c r="O7167" s="43">
        <v>5.3242929555113809</v>
      </c>
      <c r="P7167" s="223"/>
      <c r="Q7167" s="223"/>
      <c r="R7167" s="223">
        <v>8</v>
      </c>
    </row>
    <row r="7168" spans="1:18" ht="60">
      <c r="A7168" s="219">
        <v>135</v>
      </c>
      <c r="B7168" s="216" t="s">
        <v>13166</v>
      </c>
      <c r="C7168" s="220" t="s">
        <v>13167</v>
      </c>
      <c r="D7168" s="221">
        <v>20670.419999999998</v>
      </c>
      <c r="E7168" s="221">
        <v>5595.63</v>
      </c>
      <c r="F7168" s="221">
        <v>11591.61</v>
      </c>
      <c r="G7168" s="221">
        <v>3483.18</v>
      </c>
      <c r="H7168" s="222">
        <v>145136.65</v>
      </c>
      <c r="I7168" s="222">
        <v>64352.18</v>
      </c>
      <c r="J7168" s="222">
        <v>62492.52</v>
      </c>
      <c r="K7168" s="222">
        <v>18291.95</v>
      </c>
      <c r="L7168" s="43">
        <v>7.0214659402179542</v>
      </c>
      <c r="M7168" s="43">
        <v>11.500435161009573</v>
      </c>
      <c r="N7168" s="43">
        <v>5.3911855212520088</v>
      </c>
      <c r="O7168" s="43">
        <v>5.2515086788509358</v>
      </c>
      <c r="P7168" s="223"/>
      <c r="Q7168" s="223"/>
      <c r="R7168" s="223">
        <v>8</v>
      </c>
    </row>
    <row r="7169" spans="1:18" ht="60">
      <c r="A7169" s="219">
        <v>136</v>
      </c>
      <c r="B7169" s="216" t="s">
        <v>13168</v>
      </c>
      <c r="C7169" s="220" t="s">
        <v>13169</v>
      </c>
      <c r="D7169" s="221">
        <v>22216.61</v>
      </c>
      <c r="E7169" s="221">
        <v>6135.66</v>
      </c>
      <c r="F7169" s="221">
        <v>12208.38</v>
      </c>
      <c r="G7169" s="221">
        <v>3872.57</v>
      </c>
      <c r="H7169" s="222">
        <v>156857.39000000001</v>
      </c>
      <c r="I7169" s="222">
        <v>70562.759999999995</v>
      </c>
      <c r="J7169" s="222">
        <v>65783.88</v>
      </c>
      <c r="K7169" s="222">
        <v>20510.75</v>
      </c>
      <c r="L7169" s="43">
        <v>7.0603656453437322</v>
      </c>
      <c r="M7169" s="43">
        <v>11.500435161009573</v>
      </c>
      <c r="N7169" s="43">
        <v>5.3884200852201527</v>
      </c>
      <c r="O7169" s="43">
        <v>5.2964181409245024</v>
      </c>
      <c r="P7169" s="223"/>
      <c r="Q7169" s="223"/>
      <c r="R7169" s="223">
        <v>8</v>
      </c>
    </row>
    <row r="7170" spans="1:18" ht="60">
      <c r="A7170" s="219">
        <v>137</v>
      </c>
      <c r="B7170" s="216" t="s">
        <v>13170</v>
      </c>
      <c r="C7170" s="220" t="s">
        <v>13171</v>
      </c>
      <c r="D7170" s="221">
        <v>23425.93</v>
      </c>
      <c r="E7170" s="221">
        <v>6308.01</v>
      </c>
      <c r="F7170" s="221">
        <v>12802.79</v>
      </c>
      <c r="G7170" s="221">
        <v>4315.13</v>
      </c>
      <c r="H7170" s="222">
        <v>164150.31</v>
      </c>
      <c r="I7170" s="222">
        <v>72544.86</v>
      </c>
      <c r="J7170" s="222">
        <v>68950.42</v>
      </c>
      <c r="K7170" s="222">
        <v>22655.03</v>
      </c>
      <c r="L7170" s="43">
        <v>7.0072056904464413</v>
      </c>
      <c r="M7170" s="43">
        <v>11.500435161009573</v>
      </c>
      <c r="N7170" s="43">
        <v>5.3855776748661812</v>
      </c>
      <c r="O7170" s="43">
        <v>5.2501384662802737</v>
      </c>
      <c r="P7170" s="223"/>
      <c r="Q7170" s="223"/>
      <c r="R7170" s="223">
        <v>8</v>
      </c>
    </row>
    <row r="7171" spans="1:18" ht="60">
      <c r="A7171" s="219">
        <v>138</v>
      </c>
      <c r="B7171" s="216" t="s">
        <v>13172</v>
      </c>
      <c r="C7171" s="220" t="s">
        <v>13173</v>
      </c>
      <c r="D7171" s="221">
        <v>26020.41</v>
      </c>
      <c r="E7171" s="221">
        <v>7273.17</v>
      </c>
      <c r="F7171" s="221">
        <v>14302.97</v>
      </c>
      <c r="G7171" s="221">
        <v>4444.2700000000004</v>
      </c>
      <c r="H7171" s="222">
        <v>184048</v>
      </c>
      <c r="I7171" s="222">
        <v>83644.62</v>
      </c>
      <c r="J7171" s="222">
        <v>76944.52</v>
      </c>
      <c r="K7171" s="222">
        <v>23458.86</v>
      </c>
      <c r="L7171" s="43">
        <v>7.0732167556160723</v>
      </c>
      <c r="M7171" s="43">
        <v>11.500435161009573</v>
      </c>
      <c r="N7171" s="43">
        <v>5.3796183589841835</v>
      </c>
      <c r="O7171" s="43">
        <v>5.2784506791891577</v>
      </c>
      <c r="P7171" s="223"/>
      <c r="Q7171" s="223"/>
      <c r="R7171" s="223">
        <v>8</v>
      </c>
    </row>
    <row r="7172" spans="1:18" ht="60">
      <c r="A7172" s="219">
        <v>139</v>
      </c>
      <c r="B7172" s="216" t="s">
        <v>13174</v>
      </c>
      <c r="C7172" s="220" t="s">
        <v>13175</v>
      </c>
      <c r="D7172" s="221">
        <v>27398.6</v>
      </c>
      <c r="E7172" s="221">
        <v>7422.54</v>
      </c>
      <c r="F7172" s="221">
        <v>15256.33</v>
      </c>
      <c r="G7172" s="221">
        <v>4719.7299999999996</v>
      </c>
      <c r="H7172" s="222">
        <v>192267.24</v>
      </c>
      <c r="I7172" s="222">
        <v>85362.44</v>
      </c>
      <c r="J7172" s="222">
        <v>82112.19</v>
      </c>
      <c r="K7172" s="222">
        <v>24792.61</v>
      </c>
      <c r="L7172" s="43">
        <v>7.0174111085967894</v>
      </c>
      <c r="M7172" s="43">
        <v>11.500435161009573</v>
      </c>
      <c r="N7172" s="43">
        <v>5.3821718591561671</v>
      </c>
      <c r="O7172" s="43">
        <v>5.2529720979801819</v>
      </c>
      <c r="P7172" s="223"/>
      <c r="Q7172" s="223"/>
      <c r="R7172" s="223">
        <v>8</v>
      </c>
    </row>
    <row r="7173" spans="1:18" ht="30.75" customHeight="1">
      <c r="A7173" s="628" t="s">
        <v>13176</v>
      </c>
      <c r="B7173" s="629"/>
      <c r="C7173" s="629"/>
      <c r="D7173" s="629"/>
      <c r="E7173" s="629"/>
      <c r="F7173" s="629"/>
      <c r="G7173" s="629"/>
      <c r="H7173" s="629"/>
      <c r="I7173" s="629"/>
      <c r="J7173" s="629"/>
      <c r="K7173" s="629"/>
      <c r="L7173" s="629"/>
      <c r="M7173" s="629"/>
      <c r="N7173" s="629"/>
      <c r="O7173" s="629"/>
      <c r="P7173" s="629"/>
      <c r="Q7173" s="629"/>
      <c r="R7173" s="629"/>
    </row>
    <row r="7174" spans="1:18" ht="60">
      <c r="A7174" s="219">
        <v>140</v>
      </c>
      <c r="B7174" s="216" t="s">
        <v>13177</v>
      </c>
      <c r="C7174" s="220" t="s">
        <v>13178</v>
      </c>
      <c r="D7174" s="221">
        <v>9491.1</v>
      </c>
      <c r="E7174" s="221">
        <v>2355.4499999999998</v>
      </c>
      <c r="F7174" s="221">
        <v>7006.12</v>
      </c>
      <c r="G7174" s="221">
        <v>129.53</v>
      </c>
      <c r="H7174" s="222">
        <v>66048.289999999994</v>
      </c>
      <c r="I7174" s="222">
        <v>27088.7</v>
      </c>
      <c r="J7174" s="222">
        <v>37882.18</v>
      </c>
      <c r="K7174" s="222">
        <v>1077.4100000000001</v>
      </c>
      <c r="L7174" s="43">
        <v>6.9589710360232209</v>
      </c>
      <c r="M7174" s="43">
        <v>11.500435161009575</v>
      </c>
      <c r="N7174" s="43">
        <v>5.4070127260166823</v>
      </c>
      <c r="O7174" s="43">
        <v>8.3178414266965195</v>
      </c>
      <c r="P7174" s="223"/>
      <c r="Q7174" s="223"/>
      <c r="R7174" s="223">
        <v>9</v>
      </c>
    </row>
    <row r="7175" spans="1:18" ht="60">
      <c r="A7175" s="219">
        <v>141</v>
      </c>
      <c r="B7175" s="216" t="s">
        <v>13179</v>
      </c>
      <c r="C7175" s="220" t="s">
        <v>13180</v>
      </c>
      <c r="D7175" s="221">
        <v>9516.1299999999992</v>
      </c>
      <c r="E7175" s="221">
        <v>2355.4499999999998</v>
      </c>
      <c r="F7175" s="221">
        <v>7006.12</v>
      </c>
      <c r="G7175" s="221">
        <v>154.56</v>
      </c>
      <c r="H7175" s="222">
        <v>66212.789999999994</v>
      </c>
      <c r="I7175" s="222">
        <v>27088.7</v>
      </c>
      <c r="J7175" s="222">
        <v>37882.18</v>
      </c>
      <c r="K7175" s="222">
        <v>1241.9100000000001</v>
      </c>
      <c r="L7175" s="43">
        <v>6.9579534958013394</v>
      </c>
      <c r="M7175" s="43">
        <v>11.500435161009575</v>
      </c>
      <c r="N7175" s="43">
        <v>5.4070127260166823</v>
      </c>
      <c r="O7175" s="43">
        <v>8.0351319875776408</v>
      </c>
      <c r="P7175" s="223"/>
      <c r="Q7175" s="223"/>
      <c r="R7175" s="223">
        <v>9</v>
      </c>
    </row>
    <row r="7176" spans="1:18" ht="60">
      <c r="A7176" s="219">
        <v>142</v>
      </c>
      <c r="B7176" s="216" t="s">
        <v>13181</v>
      </c>
      <c r="C7176" s="220" t="s">
        <v>13182</v>
      </c>
      <c r="D7176" s="221">
        <v>9901.44</v>
      </c>
      <c r="E7176" s="221">
        <v>2516.31</v>
      </c>
      <c r="F7176" s="221">
        <v>7185.66</v>
      </c>
      <c r="G7176" s="221">
        <v>199.47</v>
      </c>
      <c r="H7176" s="222">
        <v>69321.740000000005</v>
      </c>
      <c r="I7176" s="222">
        <v>28938.66</v>
      </c>
      <c r="J7176" s="222">
        <v>38838.46</v>
      </c>
      <c r="K7176" s="222">
        <v>1544.62</v>
      </c>
      <c r="L7176" s="43">
        <v>7.001177606489561</v>
      </c>
      <c r="M7176" s="43">
        <v>11.500435161009573</v>
      </c>
      <c r="N7176" s="43">
        <v>5.4049955049362204</v>
      </c>
      <c r="O7176" s="43">
        <v>7.7436205945756251</v>
      </c>
      <c r="P7176" s="223"/>
      <c r="Q7176" s="223"/>
      <c r="R7176" s="223">
        <v>9</v>
      </c>
    </row>
    <row r="7177" spans="1:18" ht="60">
      <c r="A7177" s="219">
        <v>143</v>
      </c>
      <c r="B7177" s="216" t="s">
        <v>13183</v>
      </c>
      <c r="C7177" s="220" t="s">
        <v>13184</v>
      </c>
      <c r="D7177" s="221">
        <v>10010.27</v>
      </c>
      <c r="E7177" s="221">
        <v>2550.7800000000002</v>
      </c>
      <c r="F7177" s="221">
        <v>7216.1</v>
      </c>
      <c r="G7177" s="221">
        <v>243.39</v>
      </c>
      <c r="H7177" s="222">
        <v>70179.08</v>
      </c>
      <c r="I7177" s="222">
        <v>29335.08</v>
      </c>
      <c r="J7177" s="222">
        <v>38998.639999999999</v>
      </c>
      <c r="K7177" s="222">
        <v>1845.36</v>
      </c>
      <c r="L7177" s="43">
        <v>7.0107080028810413</v>
      </c>
      <c r="M7177" s="43">
        <v>11.500435161009573</v>
      </c>
      <c r="N7177" s="43">
        <v>5.4043929546430896</v>
      </c>
      <c r="O7177" s="43">
        <v>7.581905583631209</v>
      </c>
      <c r="P7177" s="223"/>
      <c r="Q7177" s="223"/>
      <c r="R7177" s="223">
        <v>9</v>
      </c>
    </row>
    <row r="7178" spans="1:18" ht="60">
      <c r="A7178" s="219">
        <v>144</v>
      </c>
      <c r="B7178" s="216" t="s">
        <v>13185</v>
      </c>
      <c r="C7178" s="220" t="s">
        <v>13186</v>
      </c>
      <c r="D7178" s="221">
        <v>12469.92</v>
      </c>
      <c r="E7178" s="221">
        <v>3159.75</v>
      </c>
      <c r="F7178" s="221">
        <v>9012.75</v>
      </c>
      <c r="G7178" s="221">
        <v>297.42</v>
      </c>
      <c r="H7178" s="222">
        <v>87241.57</v>
      </c>
      <c r="I7178" s="222">
        <v>36338.5</v>
      </c>
      <c r="J7178" s="222">
        <v>48651.09</v>
      </c>
      <c r="K7178" s="222">
        <v>2251.98</v>
      </c>
      <c r="L7178" s="43">
        <v>6.9961611622207682</v>
      </c>
      <c r="M7178" s="43">
        <v>11.500435161009573</v>
      </c>
      <c r="N7178" s="43">
        <v>5.3980294582674544</v>
      </c>
      <c r="O7178" s="43">
        <v>7.5717167641718781</v>
      </c>
      <c r="P7178" s="223"/>
      <c r="Q7178" s="223"/>
      <c r="R7178" s="223">
        <v>9</v>
      </c>
    </row>
    <row r="7179" spans="1:18" ht="60">
      <c r="A7179" s="219">
        <v>145</v>
      </c>
      <c r="B7179" s="216" t="s">
        <v>13187</v>
      </c>
      <c r="C7179" s="220" t="s">
        <v>13188</v>
      </c>
      <c r="D7179" s="221">
        <v>12539.08</v>
      </c>
      <c r="E7179" s="221">
        <v>3159.75</v>
      </c>
      <c r="F7179" s="221">
        <v>9035.27</v>
      </c>
      <c r="G7179" s="221">
        <v>344.06</v>
      </c>
      <c r="H7179" s="222">
        <v>87668.83</v>
      </c>
      <c r="I7179" s="222">
        <v>36338.5</v>
      </c>
      <c r="J7179" s="222">
        <v>48768.21</v>
      </c>
      <c r="K7179" s="222">
        <v>2562.12</v>
      </c>
      <c r="L7179" s="43">
        <v>6.9916477125913543</v>
      </c>
      <c r="M7179" s="43">
        <v>11.500435161009573</v>
      </c>
      <c r="N7179" s="43">
        <v>5.3975376496773197</v>
      </c>
      <c r="O7179" s="43">
        <v>7.4467244085333952</v>
      </c>
      <c r="P7179" s="223"/>
      <c r="Q7179" s="223"/>
      <c r="R7179" s="223">
        <v>9</v>
      </c>
    </row>
    <row r="7180" spans="1:18" ht="60">
      <c r="A7180" s="219">
        <v>146</v>
      </c>
      <c r="B7180" s="216" t="s">
        <v>13189</v>
      </c>
      <c r="C7180" s="220" t="s">
        <v>13190</v>
      </c>
      <c r="D7180" s="221">
        <v>13249.52</v>
      </c>
      <c r="E7180" s="221">
        <v>3607.86</v>
      </c>
      <c r="F7180" s="221">
        <v>9219.86</v>
      </c>
      <c r="G7180" s="221">
        <v>421.8</v>
      </c>
      <c r="H7180" s="222">
        <v>94363.83</v>
      </c>
      <c r="I7180" s="222">
        <v>41491.96</v>
      </c>
      <c r="J7180" s="222">
        <v>49758.94</v>
      </c>
      <c r="K7180" s="222">
        <v>3112.93</v>
      </c>
      <c r="L7180" s="43">
        <v>7.1220564971410285</v>
      </c>
      <c r="M7180" s="43">
        <v>11.500435161009573</v>
      </c>
      <c r="N7180" s="43">
        <v>5.3969301052293632</v>
      </c>
      <c r="O7180" s="43">
        <v>7.3801090564248453</v>
      </c>
      <c r="P7180" s="223"/>
      <c r="Q7180" s="223"/>
      <c r="R7180" s="223">
        <v>9</v>
      </c>
    </row>
    <row r="7181" spans="1:18" ht="60">
      <c r="A7181" s="219">
        <v>147</v>
      </c>
      <c r="B7181" s="216" t="s">
        <v>13191</v>
      </c>
      <c r="C7181" s="220" t="s">
        <v>13192</v>
      </c>
      <c r="D7181" s="221">
        <v>14734.97</v>
      </c>
      <c r="E7181" s="221">
        <v>3987.03</v>
      </c>
      <c r="F7181" s="221">
        <v>10289.89</v>
      </c>
      <c r="G7181" s="221">
        <v>458.05</v>
      </c>
      <c r="H7181" s="222">
        <v>104232.93</v>
      </c>
      <c r="I7181" s="222">
        <v>45852.58</v>
      </c>
      <c r="J7181" s="222">
        <v>55558.79</v>
      </c>
      <c r="K7181" s="222">
        <v>2821.56</v>
      </c>
      <c r="L7181" s="43">
        <v>7.0738474526924726</v>
      </c>
      <c r="M7181" s="43">
        <v>11.500435161009573</v>
      </c>
      <c r="N7181" s="43">
        <v>5.3993570388021643</v>
      </c>
      <c r="O7181" s="43">
        <v>6.1599388713022591</v>
      </c>
      <c r="P7181" s="223"/>
      <c r="Q7181" s="223"/>
      <c r="R7181" s="223">
        <v>9</v>
      </c>
    </row>
    <row r="7182" spans="1:18" ht="60">
      <c r="A7182" s="219">
        <v>148</v>
      </c>
      <c r="B7182" s="216" t="s">
        <v>13193</v>
      </c>
      <c r="C7182" s="220" t="s">
        <v>13194</v>
      </c>
      <c r="D7182" s="221">
        <v>15593.83</v>
      </c>
      <c r="E7182" s="221">
        <v>3987.03</v>
      </c>
      <c r="F7182" s="221">
        <v>11068.47</v>
      </c>
      <c r="G7182" s="221">
        <v>538.33000000000004</v>
      </c>
      <c r="H7182" s="222">
        <v>108899.25</v>
      </c>
      <c r="I7182" s="222">
        <v>45852.58</v>
      </c>
      <c r="J7182" s="222">
        <v>59738.83</v>
      </c>
      <c r="K7182" s="222">
        <v>3307.84</v>
      </c>
      <c r="L7182" s="43">
        <v>6.9834832109879352</v>
      </c>
      <c r="M7182" s="43">
        <v>11.500435161009573</v>
      </c>
      <c r="N7182" s="43">
        <v>5.3972075634663152</v>
      </c>
      <c r="O7182" s="43">
        <v>6.144632474504486</v>
      </c>
      <c r="P7182" s="223"/>
      <c r="Q7182" s="223"/>
      <c r="R7182" s="223">
        <v>9</v>
      </c>
    </row>
    <row r="7183" spans="1:18" ht="60">
      <c r="A7183" s="219">
        <v>149</v>
      </c>
      <c r="B7183" s="216" t="s">
        <v>13195</v>
      </c>
      <c r="C7183" s="220" t="s">
        <v>13196</v>
      </c>
      <c r="D7183" s="221">
        <v>17888.349999999999</v>
      </c>
      <c r="E7183" s="221">
        <v>4618.9799999999996</v>
      </c>
      <c r="F7183" s="221">
        <v>12571.89</v>
      </c>
      <c r="G7183" s="221">
        <v>697.48</v>
      </c>
      <c r="H7183" s="222">
        <v>125077.06</v>
      </c>
      <c r="I7183" s="222">
        <v>53120.28</v>
      </c>
      <c r="J7183" s="222">
        <v>67799.679999999993</v>
      </c>
      <c r="K7183" s="222">
        <v>4157.1000000000004</v>
      </c>
      <c r="L7183" s="43">
        <v>6.9920959730774506</v>
      </c>
      <c r="M7183" s="43">
        <v>11.500435161009575</v>
      </c>
      <c r="N7183" s="43">
        <v>5.392958417548992</v>
      </c>
      <c r="O7183" s="43">
        <v>5.9601709009577339</v>
      </c>
      <c r="P7183" s="223"/>
      <c r="Q7183" s="223"/>
      <c r="R7183" s="223">
        <v>9</v>
      </c>
    </row>
    <row r="7184" spans="1:18" ht="60">
      <c r="A7184" s="219">
        <v>150</v>
      </c>
      <c r="B7184" s="216" t="s">
        <v>13197</v>
      </c>
      <c r="C7184" s="220" t="s">
        <v>13198</v>
      </c>
      <c r="D7184" s="221">
        <v>19952.849999999999</v>
      </c>
      <c r="E7184" s="221">
        <v>5227.95</v>
      </c>
      <c r="F7184" s="221">
        <v>13716.95</v>
      </c>
      <c r="G7184" s="221">
        <v>1007.95</v>
      </c>
      <c r="H7184" s="222">
        <v>139947.59</v>
      </c>
      <c r="I7184" s="222">
        <v>60123.7</v>
      </c>
      <c r="J7184" s="222">
        <v>73991.08</v>
      </c>
      <c r="K7184" s="222">
        <v>5832.81</v>
      </c>
      <c r="L7184" s="43">
        <v>7.0139148041507857</v>
      </c>
      <c r="M7184" s="43">
        <v>11.500435161009573</v>
      </c>
      <c r="N7184" s="43">
        <v>5.3941349935663538</v>
      </c>
      <c r="O7184" s="43">
        <v>5.7868049010367582</v>
      </c>
      <c r="P7184" s="223"/>
      <c r="Q7184" s="223"/>
      <c r="R7184" s="223">
        <v>9</v>
      </c>
    </row>
    <row r="7185" spans="1:18" ht="60">
      <c r="A7185" s="219">
        <v>151</v>
      </c>
      <c r="B7185" s="216" t="s">
        <v>13199</v>
      </c>
      <c r="C7185" s="220" t="s">
        <v>13200</v>
      </c>
      <c r="D7185" s="221">
        <v>24133.58</v>
      </c>
      <c r="E7185" s="221">
        <v>6147.15</v>
      </c>
      <c r="F7185" s="221">
        <v>16473.12</v>
      </c>
      <c r="G7185" s="221">
        <v>1513.31</v>
      </c>
      <c r="H7185" s="222">
        <v>167966.95</v>
      </c>
      <c r="I7185" s="222">
        <v>70694.899999999994</v>
      </c>
      <c r="J7185" s="222">
        <v>88784.48</v>
      </c>
      <c r="K7185" s="222">
        <v>8487.57</v>
      </c>
      <c r="L7185" s="43">
        <v>6.9598853547629487</v>
      </c>
      <c r="M7185" s="43">
        <v>11.500435161009573</v>
      </c>
      <c r="N7185" s="43">
        <v>5.3896578183124992</v>
      </c>
      <c r="O7185" s="43">
        <v>5.6086129081285394</v>
      </c>
      <c r="P7185" s="223"/>
      <c r="Q7185" s="223"/>
      <c r="R7185" s="223">
        <v>9</v>
      </c>
    </row>
    <row r="7186" spans="1:18" ht="60">
      <c r="A7186" s="219">
        <v>152</v>
      </c>
      <c r="B7186" s="216" t="s">
        <v>13201</v>
      </c>
      <c r="C7186" s="220" t="s">
        <v>13202</v>
      </c>
      <c r="D7186" s="221">
        <v>26592.5</v>
      </c>
      <c r="E7186" s="221">
        <v>6744.63</v>
      </c>
      <c r="F7186" s="221">
        <v>17455.75</v>
      </c>
      <c r="G7186" s="221">
        <v>2392.12</v>
      </c>
      <c r="H7186" s="222">
        <v>184480.19</v>
      </c>
      <c r="I7186" s="222">
        <v>77566.179999999993</v>
      </c>
      <c r="J7186" s="222">
        <v>94037.16</v>
      </c>
      <c r="K7186" s="222">
        <v>12876.85</v>
      </c>
      <c r="L7186" s="43">
        <v>6.9373014947823632</v>
      </c>
      <c r="M7186" s="43">
        <v>11.500435161009573</v>
      </c>
      <c r="N7186" s="43">
        <v>5.3871738538876874</v>
      </c>
      <c r="O7186" s="43">
        <v>5.3830284433891284</v>
      </c>
      <c r="P7186" s="223"/>
      <c r="Q7186" s="223"/>
      <c r="R7186" s="223">
        <v>9</v>
      </c>
    </row>
    <row r="7187" spans="1:18" ht="60">
      <c r="A7187" s="219">
        <v>153</v>
      </c>
      <c r="B7187" s="216" t="s">
        <v>13203</v>
      </c>
      <c r="C7187" s="220" t="s">
        <v>13204</v>
      </c>
      <c r="D7187" s="221">
        <v>30384.92</v>
      </c>
      <c r="E7187" s="221">
        <v>7675.32</v>
      </c>
      <c r="F7187" s="221">
        <v>18255.63</v>
      </c>
      <c r="G7187" s="221">
        <v>4453.97</v>
      </c>
      <c r="H7187" s="222">
        <v>209968.91</v>
      </c>
      <c r="I7187" s="222">
        <v>88269.52</v>
      </c>
      <c r="J7187" s="222">
        <v>98261.85</v>
      </c>
      <c r="K7187" s="222">
        <v>23437.54</v>
      </c>
      <c r="L7187" s="43">
        <v>6.9102999119299975</v>
      </c>
      <c r="M7187" s="43">
        <v>11.500435161009575</v>
      </c>
      <c r="N7187" s="43">
        <v>5.3825504789481382</v>
      </c>
      <c r="O7187" s="43">
        <v>5.262168357667429</v>
      </c>
      <c r="P7187" s="223"/>
      <c r="Q7187" s="223"/>
      <c r="R7187" s="223">
        <v>9</v>
      </c>
    </row>
    <row r="7188" spans="1:18" ht="60">
      <c r="A7188" s="219">
        <v>154</v>
      </c>
      <c r="B7188" s="216" t="s">
        <v>13205</v>
      </c>
      <c r="C7188" s="220" t="s">
        <v>13206</v>
      </c>
      <c r="D7188" s="221">
        <v>31287.16</v>
      </c>
      <c r="E7188" s="221">
        <v>7732.77</v>
      </c>
      <c r="F7188" s="221">
        <v>18646.55</v>
      </c>
      <c r="G7188" s="221">
        <v>4907.84</v>
      </c>
      <c r="H7188" s="222">
        <v>215258.18</v>
      </c>
      <c r="I7188" s="222">
        <v>88930.22</v>
      </c>
      <c r="J7188" s="222">
        <v>100339.48</v>
      </c>
      <c r="K7188" s="222">
        <v>25988.48</v>
      </c>
      <c r="L7188" s="43">
        <v>6.8800805186536582</v>
      </c>
      <c r="M7188" s="43">
        <v>11.500435161009573</v>
      </c>
      <c r="N7188" s="43">
        <v>5.3811284124945367</v>
      </c>
      <c r="O7188" s="43">
        <v>5.295298950251027</v>
      </c>
      <c r="P7188" s="223"/>
      <c r="Q7188" s="223"/>
      <c r="R7188" s="223">
        <v>9</v>
      </c>
    </row>
    <row r="7189" spans="1:18" ht="60">
      <c r="A7189" s="219">
        <v>155</v>
      </c>
      <c r="B7189" s="216" t="s">
        <v>13207</v>
      </c>
      <c r="C7189" s="220" t="s">
        <v>13208</v>
      </c>
      <c r="D7189" s="221">
        <v>32634.94</v>
      </c>
      <c r="E7189" s="221">
        <v>7939.59</v>
      </c>
      <c r="F7189" s="221">
        <v>19049.330000000002</v>
      </c>
      <c r="G7189" s="221">
        <v>5646.02</v>
      </c>
      <c r="H7189" s="222">
        <v>223641.9</v>
      </c>
      <c r="I7189" s="222">
        <v>91308.74</v>
      </c>
      <c r="J7189" s="222">
        <v>102463.69</v>
      </c>
      <c r="K7189" s="222">
        <v>29869.47</v>
      </c>
      <c r="L7189" s="43">
        <v>6.8528362546399659</v>
      </c>
      <c r="M7189" s="43">
        <v>11.500435161009573</v>
      </c>
      <c r="N7189" s="43">
        <v>5.3788605688494027</v>
      </c>
      <c r="O7189" s="43">
        <v>5.2903585180357133</v>
      </c>
      <c r="P7189" s="223"/>
      <c r="Q7189" s="223"/>
      <c r="R7189" s="223">
        <v>9</v>
      </c>
    </row>
    <row r="7190" spans="1:18" ht="60">
      <c r="A7190" s="219">
        <v>156</v>
      </c>
      <c r="B7190" s="216" t="s">
        <v>13209</v>
      </c>
      <c r="C7190" s="220" t="s">
        <v>13210</v>
      </c>
      <c r="D7190" s="221">
        <v>36083.019999999997</v>
      </c>
      <c r="E7190" s="221">
        <v>9789.48</v>
      </c>
      <c r="F7190" s="221">
        <v>20078.419999999998</v>
      </c>
      <c r="G7190" s="221">
        <v>6215.12</v>
      </c>
      <c r="H7190" s="222">
        <v>253590.7</v>
      </c>
      <c r="I7190" s="222">
        <v>112583.28</v>
      </c>
      <c r="J7190" s="222">
        <v>107902.08</v>
      </c>
      <c r="K7190" s="222">
        <v>33105.339999999997</v>
      </c>
      <c r="L7190" s="43">
        <v>7.0279788110862125</v>
      </c>
      <c r="M7190" s="43">
        <v>11.500435161009573</v>
      </c>
      <c r="N7190" s="43">
        <v>5.3740324188855499</v>
      </c>
      <c r="O7190" s="43">
        <v>5.3265809831507678</v>
      </c>
      <c r="P7190" s="223"/>
      <c r="Q7190" s="223"/>
      <c r="R7190" s="223">
        <v>9</v>
      </c>
    </row>
    <row r="7191" spans="1:18" ht="27" customHeight="1">
      <c r="A7191" s="628" t="s">
        <v>13211</v>
      </c>
      <c r="B7191" s="629"/>
      <c r="C7191" s="629"/>
      <c r="D7191" s="629"/>
      <c r="E7191" s="629"/>
      <c r="F7191" s="629"/>
      <c r="G7191" s="629"/>
      <c r="H7191" s="629"/>
      <c r="I7191" s="629"/>
      <c r="J7191" s="629"/>
      <c r="K7191" s="629"/>
      <c r="L7191" s="629"/>
      <c r="M7191" s="629"/>
      <c r="N7191" s="629"/>
      <c r="O7191" s="629"/>
      <c r="P7191" s="629"/>
      <c r="Q7191" s="629"/>
      <c r="R7191" s="629"/>
    </row>
    <row r="7192" spans="1:18" ht="48">
      <c r="A7192" s="219">
        <v>157</v>
      </c>
      <c r="B7192" s="216" t="s">
        <v>13212</v>
      </c>
      <c r="C7192" s="220" t="s">
        <v>13213</v>
      </c>
      <c r="D7192" s="221">
        <v>1747.87</v>
      </c>
      <c r="E7192" s="221">
        <v>1321.35</v>
      </c>
      <c r="F7192" s="221">
        <v>372.4</v>
      </c>
      <c r="G7192" s="221">
        <v>54.12</v>
      </c>
      <c r="H7192" s="222">
        <v>18029.939999999999</v>
      </c>
      <c r="I7192" s="222">
        <v>15196.1</v>
      </c>
      <c r="J7192" s="222">
        <v>2382.38</v>
      </c>
      <c r="K7192" s="222">
        <v>451.46</v>
      </c>
      <c r="L7192" s="43">
        <v>10.315378145971954</v>
      </c>
      <c r="M7192" s="43">
        <v>11.500435161009575</v>
      </c>
      <c r="N7192" s="43">
        <v>6.397368421052632</v>
      </c>
      <c r="O7192" s="43">
        <v>8.3418329637841833</v>
      </c>
      <c r="P7192" s="223"/>
      <c r="Q7192" s="223"/>
      <c r="R7192" s="223">
        <v>10</v>
      </c>
    </row>
    <row r="7193" spans="1:18" ht="48">
      <c r="A7193" s="219">
        <v>158</v>
      </c>
      <c r="B7193" s="216" t="s">
        <v>13214</v>
      </c>
      <c r="C7193" s="220" t="s">
        <v>13215</v>
      </c>
      <c r="D7193" s="221">
        <v>1891.76</v>
      </c>
      <c r="E7193" s="221">
        <v>1321.35</v>
      </c>
      <c r="F7193" s="221">
        <v>516.29</v>
      </c>
      <c r="G7193" s="221">
        <v>54.12</v>
      </c>
      <c r="H7193" s="222">
        <v>18943.330000000002</v>
      </c>
      <c r="I7193" s="222">
        <v>15196.1</v>
      </c>
      <c r="J7193" s="222">
        <v>3295.77</v>
      </c>
      <c r="K7193" s="222">
        <v>451.46</v>
      </c>
      <c r="L7193" s="43">
        <v>10.013601091047491</v>
      </c>
      <c r="M7193" s="43">
        <v>11.500435161009575</v>
      </c>
      <c r="N7193" s="43">
        <v>6.3835635011330849</v>
      </c>
      <c r="O7193" s="43">
        <v>8.3418329637841833</v>
      </c>
      <c r="P7193" s="223"/>
      <c r="Q7193" s="223"/>
      <c r="R7193" s="223">
        <v>10</v>
      </c>
    </row>
    <row r="7194" spans="1:18" ht="48">
      <c r="A7194" s="219">
        <v>159</v>
      </c>
      <c r="B7194" s="216" t="s">
        <v>13216</v>
      </c>
      <c r="C7194" s="220" t="s">
        <v>13217</v>
      </c>
      <c r="D7194" s="221">
        <v>3433.05</v>
      </c>
      <c r="E7194" s="221">
        <v>2619.7199999999998</v>
      </c>
      <c r="F7194" s="221">
        <v>733.25</v>
      </c>
      <c r="G7194" s="221">
        <v>80.08</v>
      </c>
      <c r="H7194" s="222">
        <v>35475.980000000003</v>
      </c>
      <c r="I7194" s="222">
        <v>30127.919999999998</v>
      </c>
      <c r="J7194" s="222">
        <v>4598.0600000000004</v>
      </c>
      <c r="K7194" s="222">
        <v>750</v>
      </c>
      <c r="L7194" s="43">
        <v>10.333662486710068</v>
      </c>
      <c r="M7194" s="43">
        <v>11.500435161009573</v>
      </c>
      <c r="N7194" s="43">
        <v>6.2707944084555072</v>
      </c>
      <c r="O7194" s="43">
        <v>9.3656343656343655</v>
      </c>
      <c r="P7194" s="223"/>
      <c r="Q7194" s="223"/>
      <c r="R7194" s="223">
        <v>10</v>
      </c>
    </row>
    <row r="7195" spans="1:18" ht="48">
      <c r="A7195" s="219">
        <v>160</v>
      </c>
      <c r="B7195" s="216" t="s">
        <v>13218</v>
      </c>
      <c r="C7195" s="220" t="s">
        <v>13219</v>
      </c>
      <c r="D7195" s="221">
        <v>3735.73</v>
      </c>
      <c r="E7195" s="221">
        <v>2619.7199999999998</v>
      </c>
      <c r="F7195" s="221">
        <v>1022.62</v>
      </c>
      <c r="G7195" s="221">
        <v>93.39</v>
      </c>
      <c r="H7195" s="222">
        <v>37337.25</v>
      </c>
      <c r="I7195" s="222">
        <v>30127.919999999998</v>
      </c>
      <c r="J7195" s="222">
        <v>6390.34</v>
      </c>
      <c r="K7195" s="222">
        <v>818.99</v>
      </c>
      <c r="L7195" s="43">
        <v>9.9946329097659632</v>
      </c>
      <c r="M7195" s="43">
        <v>11.500435161009573</v>
      </c>
      <c r="N7195" s="43">
        <v>6.2489878938413099</v>
      </c>
      <c r="O7195" s="43">
        <v>8.7695684762822577</v>
      </c>
      <c r="P7195" s="223"/>
      <c r="Q7195" s="223"/>
      <c r="R7195" s="223">
        <v>10</v>
      </c>
    </row>
    <row r="7196" spans="1:18" ht="48">
      <c r="A7196" s="219">
        <v>161</v>
      </c>
      <c r="B7196" s="216" t="s">
        <v>13220</v>
      </c>
      <c r="C7196" s="220" t="s">
        <v>13221</v>
      </c>
      <c r="D7196" s="221">
        <v>5714.74</v>
      </c>
      <c r="E7196" s="221">
        <v>4055.97</v>
      </c>
      <c r="F7196" s="221">
        <v>1536.65</v>
      </c>
      <c r="G7196" s="221">
        <v>122.12</v>
      </c>
      <c r="H7196" s="222">
        <v>57372.84</v>
      </c>
      <c r="I7196" s="222">
        <v>46645.42</v>
      </c>
      <c r="J7196" s="222">
        <v>9578.0400000000009</v>
      </c>
      <c r="K7196" s="222">
        <v>1149.3800000000001</v>
      </c>
      <c r="L7196" s="43">
        <v>10.039448863815327</v>
      </c>
      <c r="M7196" s="43">
        <v>11.500435161009573</v>
      </c>
      <c r="N7196" s="43">
        <v>6.2330654345491823</v>
      </c>
      <c r="O7196" s="43">
        <v>9.4118899443170658</v>
      </c>
      <c r="P7196" s="223"/>
      <c r="Q7196" s="223"/>
      <c r="R7196" s="223">
        <v>10</v>
      </c>
    </row>
    <row r="7197" spans="1:18" ht="48">
      <c r="A7197" s="219">
        <v>162</v>
      </c>
      <c r="B7197" s="216" t="s">
        <v>13222</v>
      </c>
      <c r="C7197" s="220" t="s">
        <v>13223</v>
      </c>
      <c r="D7197" s="221">
        <v>6135.12</v>
      </c>
      <c r="E7197" s="221">
        <v>4032.99</v>
      </c>
      <c r="F7197" s="221">
        <v>1980.47</v>
      </c>
      <c r="G7197" s="221">
        <v>121.66</v>
      </c>
      <c r="H7197" s="222">
        <v>59641.01</v>
      </c>
      <c r="I7197" s="222">
        <v>46381.14</v>
      </c>
      <c r="J7197" s="222">
        <v>12115.78</v>
      </c>
      <c r="K7197" s="222">
        <v>1144.0899999999999</v>
      </c>
      <c r="L7197" s="43">
        <v>9.7212458762012819</v>
      </c>
      <c r="M7197" s="43">
        <v>11.500435161009573</v>
      </c>
      <c r="N7197" s="43">
        <v>6.1176286437057872</v>
      </c>
      <c r="O7197" s="43">
        <v>9.4039947394377776</v>
      </c>
      <c r="P7197" s="223"/>
      <c r="Q7197" s="223"/>
      <c r="R7197" s="223">
        <v>10</v>
      </c>
    </row>
    <row r="7198" spans="1:18" ht="48">
      <c r="A7198" s="219">
        <v>163</v>
      </c>
      <c r="B7198" s="216" t="s">
        <v>13224</v>
      </c>
      <c r="C7198" s="220" t="s">
        <v>13225</v>
      </c>
      <c r="D7198" s="221">
        <v>8900.9500000000007</v>
      </c>
      <c r="E7198" s="221">
        <v>5331.36</v>
      </c>
      <c r="F7198" s="221">
        <v>3427.41</v>
      </c>
      <c r="G7198" s="221">
        <v>142.18</v>
      </c>
      <c r="H7198" s="222">
        <v>82993.789999999994</v>
      </c>
      <c r="I7198" s="222">
        <v>61312.959999999999</v>
      </c>
      <c r="J7198" s="222">
        <v>20267.150000000001</v>
      </c>
      <c r="K7198" s="222">
        <v>1413.68</v>
      </c>
      <c r="L7198" s="43">
        <v>9.3241496694173076</v>
      </c>
      <c r="M7198" s="43">
        <v>11.500435161009575</v>
      </c>
      <c r="N7198" s="43">
        <v>5.9132551985318367</v>
      </c>
      <c r="O7198" s="43">
        <v>9.9428892952595298</v>
      </c>
      <c r="P7198" s="223"/>
      <c r="Q7198" s="223"/>
      <c r="R7198" s="223">
        <v>10</v>
      </c>
    </row>
    <row r="7199" spans="1:18" ht="48">
      <c r="A7199" s="219">
        <v>164</v>
      </c>
      <c r="B7199" s="216" t="s">
        <v>13226</v>
      </c>
      <c r="C7199" s="220" t="s">
        <v>13227</v>
      </c>
      <c r="D7199" s="221">
        <v>12843.69</v>
      </c>
      <c r="E7199" s="221">
        <v>6721.65</v>
      </c>
      <c r="F7199" s="221">
        <v>5944.57</v>
      </c>
      <c r="G7199" s="221">
        <v>177.47</v>
      </c>
      <c r="H7199" s="222">
        <v>113372.5</v>
      </c>
      <c r="I7199" s="222">
        <v>77301.899999999994</v>
      </c>
      <c r="J7199" s="222">
        <v>34298.410000000003</v>
      </c>
      <c r="K7199" s="222">
        <v>1772.19</v>
      </c>
      <c r="L7199" s="43">
        <v>8.827097197145056</v>
      </c>
      <c r="M7199" s="43">
        <v>11.500435161009573</v>
      </c>
      <c r="N7199" s="43">
        <v>5.7697041165298764</v>
      </c>
      <c r="O7199" s="43">
        <v>9.9858567645235823</v>
      </c>
      <c r="P7199" s="223"/>
      <c r="Q7199" s="223"/>
      <c r="R7199" s="223">
        <v>10</v>
      </c>
    </row>
    <row r="7200" spans="1:18" ht="48">
      <c r="A7200" s="219">
        <v>165</v>
      </c>
      <c r="B7200" s="216" t="s">
        <v>13228</v>
      </c>
      <c r="C7200" s="220" t="s">
        <v>13229</v>
      </c>
      <c r="D7200" s="221">
        <v>16264.2</v>
      </c>
      <c r="E7200" s="221">
        <v>7997.04</v>
      </c>
      <c r="F7200" s="221">
        <v>8029.24</v>
      </c>
      <c r="G7200" s="221">
        <v>237.92</v>
      </c>
      <c r="H7200" s="222">
        <v>140315.23000000001</v>
      </c>
      <c r="I7200" s="222">
        <v>91969.44</v>
      </c>
      <c r="J7200" s="222">
        <v>46099.14</v>
      </c>
      <c r="K7200" s="222">
        <v>2246.65</v>
      </c>
      <c r="L7200" s="43">
        <v>8.6272445001906028</v>
      </c>
      <c r="M7200" s="43">
        <v>11.500435161009573</v>
      </c>
      <c r="N7200" s="43">
        <v>5.7414076550208986</v>
      </c>
      <c r="O7200" s="43">
        <v>9.4428799596503037</v>
      </c>
      <c r="P7200" s="223"/>
      <c r="Q7200" s="223"/>
      <c r="R7200" s="223">
        <v>10</v>
      </c>
    </row>
    <row r="7201" spans="1:18" ht="27.75" customHeight="1">
      <c r="A7201" s="628" t="s">
        <v>13230</v>
      </c>
      <c r="B7201" s="629"/>
      <c r="C7201" s="629"/>
      <c r="D7201" s="629"/>
      <c r="E7201" s="629"/>
      <c r="F7201" s="629"/>
      <c r="G7201" s="629"/>
      <c r="H7201" s="629"/>
      <c r="I7201" s="629"/>
      <c r="J7201" s="629"/>
      <c r="K7201" s="629"/>
      <c r="L7201" s="629"/>
      <c r="M7201" s="629"/>
      <c r="N7201" s="629"/>
      <c r="O7201" s="629"/>
      <c r="P7201" s="629"/>
      <c r="Q7201" s="629"/>
      <c r="R7201" s="629"/>
    </row>
    <row r="7202" spans="1:18" ht="72">
      <c r="A7202" s="219">
        <v>166</v>
      </c>
      <c r="B7202" s="216" t="s">
        <v>13231</v>
      </c>
      <c r="C7202" s="220" t="s">
        <v>13232</v>
      </c>
      <c r="D7202" s="221">
        <v>146.88999999999999</v>
      </c>
      <c r="E7202" s="221">
        <v>128.69</v>
      </c>
      <c r="F7202" s="221">
        <v>15.32</v>
      </c>
      <c r="G7202" s="221">
        <v>2.88</v>
      </c>
      <c r="H7202" s="222">
        <v>1586.46</v>
      </c>
      <c r="I7202" s="222">
        <v>1479.97</v>
      </c>
      <c r="J7202" s="222">
        <v>75.31</v>
      </c>
      <c r="K7202" s="222">
        <v>31.18</v>
      </c>
      <c r="L7202" s="43">
        <v>10.80032677513786</v>
      </c>
      <c r="M7202" s="43">
        <v>11.50027197140415</v>
      </c>
      <c r="N7202" s="43">
        <v>4.9157963446475197</v>
      </c>
      <c r="O7202" s="43">
        <v>10.826388888888889</v>
      </c>
      <c r="P7202" s="223"/>
      <c r="Q7202" s="223"/>
      <c r="R7202" s="223">
        <v>11</v>
      </c>
    </row>
    <row r="7203" spans="1:18" ht="72">
      <c r="A7203" s="219">
        <v>167</v>
      </c>
      <c r="B7203" s="216" t="s">
        <v>13233</v>
      </c>
      <c r="C7203" s="220" t="s">
        <v>13234</v>
      </c>
      <c r="D7203" s="221">
        <v>212.82</v>
      </c>
      <c r="E7203" s="221">
        <v>128.69</v>
      </c>
      <c r="F7203" s="221">
        <v>80.19</v>
      </c>
      <c r="G7203" s="221">
        <v>3.94</v>
      </c>
      <c r="H7203" s="222">
        <v>1936.12</v>
      </c>
      <c r="I7203" s="222">
        <v>1479.97</v>
      </c>
      <c r="J7203" s="222">
        <v>419.48</v>
      </c>
      <c r="K7203" s="222">
        <v>36.67</v>
      </c>
      <c r="L7203" s="43">
        <v>9.0974532468752933</v>
      </c>
      <c r="M7203" s="43">
        <v>11.50027197140415</v>
      </c>
      <c r="N7203" s="43">
        <v>5.231076194039157</v>
      </c>
      <c r="O7203" s="43">
        <v>9.3071065989847721</v>
      </c>
      <c r="P7203" s="223"/>
      <c r="Q7203" s="223"/>
      <c r="R7203" s="223">
        <v>11</v>
      </c>
    </row>
    <row r="7204" spans="1:18" ht="72">
      <c r="A7204" s="219">
        <v>168</v>
      </c>
      <c r="B7204" s="216" t="s">
        <v>13235</v>
      </c>
      <c r="C7204" s="220" t="s">
        <v>13236</v>
      </c>
      <c r="D7204" s="221">
        <v>238.49</v>
      </c>
      <c r="E7204" s="221">
        <v>128.69</v>
      </c>
      <c r="F7204" s="221">
        <v>105.86</v>
      </c>
      <c r="G7204" s="221">
        <v>3.94</v>
      </c>
      <c r="H7204" s="222">
        <v>2075.4499999999998</v>
      </c>
      <c r="I7204" s="222">
        <v>1479.97</v>
      </c>
      <c r="J7204" s="222">
        <v>558.80999999999995</v>
      </c>
      <c r="K7204" s="222">
        <v>36.67</v>
      </c>
      <c r="L7204" s="43">
        <v>8.7024613191328761</v>
      </c>
      <c r="M7204" s="43">
        <v>11.50027197140415</v>
      </c>
      <c r="N7204" s="43">
        <v>5.2787644058190057</v>
      </c>
      <c r="O7204" s="43">
        <v>9.3071065989847721</v>
      </c>
      <c r="P7204" s="223"/>
      <c r="Q7204" s="223"/>
      <c r="R7204" s="223">
        <v>11</v>
      </c>
    </row>
    <row r="7205" spans="1:18" ht="72">
      <c r="A7205" s="219">
        <v>169</v>
      </c>
      <c r="B7205" s="216" t="s">
        <v>13237</v>
      </c>
      <c r="C7205" s="220" t="s">
        <v>13238</v>
      </c>
      <c r="D7205" s="221">
        <v>531.55999999999995</v>
      </c>
      <c r="E7205" s="221">
        <v>258.52999999999997</v>
      </c>
      <c r="F7205" s="221">
        <v>266.49</v>
      </c>
      <c r="G7205" s="221">
        <v>6.54</v>
      </c>
      <c r="H7205" s="222">
        <v>4463.07</v>
      </c>
      <c r="I7205" s="222">
        <v>2973.15</v>
      </c>
      <c r="J7205" s="222">
        <v>1423.35</v>
      </c>
      <c r="K7205" s="222">
        <v>66.569999999999993</v>
      </c>
      <c r="L7205" s="43">
        <v>8.3961735269771989</v>
      </c>
      <c r="M7205" s="43">
        <v>11.500212741267939</v>
      </c>
      <c r="N7205" s="43">
        <v>5.3411009793988509</v>
      </c>
      <c r="O7205" s="43">
        <v>10.178899082568806</v>
      </c>
      <c r="P7205" s="223"/>
      <c r="Q7205" s="223"/>
      <c r="R7205" s="223">
        <v>11</v>
      </c>
    </row>
    <row r="7206" spans="1:18" ht="72">
      <c r="A7206" s="219">
        <v>170</v>
      </c>
      <c r="B7206" s="216" t="s">
        <v>13239</v>
      </c>
      <c r="C7206" s="220" t="s">
        <v>13240</v>
      </c>
      <c r="D7206" s="221">
        <v>909.22</v>
      </c>
      <c r="E7206" s="221">
        <v>513.6</v>
      </c>
      <c r="F7206" s="221">
        <v>383.23</v>
      </c>
      <c r="G7206" s="221">
        <v>12.39</v>
      </c>
      <c r="H7206" s="222">
        <v>8083.22</v>
      </c>
      <c r="I7206" s="222">
        <v>5906.66</v>
      </c>
      <c r="J7206" s="222">
        <v>2047.45</v>
      </c>
      <c r="K7206" s="222">
        <v>129.11000000000001</v>
      </c>
      <c r="L7206" s="43">
        <v>8.8902795802995982</v>
      </c>
      <c r="M7206" s="43">
        <v>11.500506230529595</v>
      </c>
      <c r="N7206" s="43">
        <v>5.3426140959736967</v>
      </c>
      <c r="O7206" s="43">
        <v>10.420500403551252</v>
      </c>
      <c r="P7206" s="223"/>
      <c r="Q7206" s="223"/>
      <c r="R7206" s="223">
        <v>11</v>
      </c>
    </row>
    <row r="7207" spans="1:18" ht="72">
      <c r="A7207" s="219">
        <v>171</v>
      </c>
      <c r="B7207" s="216" t="s">
        <v>13241</v>
      </c>
      <c r="C7207" s="220" t="s">
        <v>13242</v>
      </c>
      <c r="D7207" s="221">
        <v>1390</v>
      </c>
      <c r="E7207" s="221">
        <v>651.48</v>
      </c>
      <c r="F7207" s="221">
        <v>719.87</v>
      </c>
      <c r="G7207" s="221">
        <v>18.649999999999999</v>
      </c>
      <c r="H7207" s="222">
        <v>11528.46</v>
      </c>
      <c r="I7207" s="222">
        <v>7492.34</v>
      </c>
      <c r="J7207" s="222">
        <v>3857.16</v>
      </c>
      <c r="K7207" s="222">
        <v>178.96</v>
      </c>
      <c r="L7207" s="43">
        <v>8.2938561151079124</v>
      </c>
      <c r="M7207" s="43">
        <v>11.500491189292074</v>
      </c>
      <c r="N7207" s="43">
        <v>5.3581341075471958</v>
      </c>
      <c r="O7207" s="43">
        <v>9.5957104557640758</v>
      </c>
      <c r="P7207" s="223"/>
      <c r="Q7207" s="223"/>
      <c r="R7207" s="223">
        <v>11</v>
      </c>
    </row>
    <row r="7208" spans="1:18" ht="72">
      <c r="A7208" s="219">
        <v>172</v>
      </c>
      <c r="B7208" s="216" t="s">
        <v>13243</v>
      </c>
      <c r="C7208" s="220" t="s">
        <v>13244</v>
      </c>
      <c r="D7208" s="221">
        <v>2143.67</v>
      </c>
      <c r="E7208" s="221">
        <v>1027.21</v>
      </c>
      <c r="F7208" s="221">
        <v>1086.81</v>
      </c>
      <c r="G7208" s="221">
        <v>29.65</v>
      </c>
      <c r="H7208" s="222">
        <v>17935.61</v>
      </c>
      <c r="I7208" s="222">
        <v>11813.32</v>
      </c>
      <c r="J7208" s="222">
        <v>5838.86</v>
      </c>
      <c r="K7208" s="222">
        <v>283.43</v>
      </c>
      <c r="L7208" s="43">
        <v>8.3667775357214502</v>
      </c>
      <c r="M7208" s="43">
        <v>11.500394271862618</v>
      </c>
      <c r="N7208" s="43">
        <v>5.3724754096852259</v>
      </c>
      <c r="O7208" s="43">
        <v>9.5591905564924122</v>
      </c>
      <c r="P7208" s="223"/>
      <c r="Q7208" s="223"/>
      <c r="R7208" s="223">
        <v>11</v>
      </c>
    </row>
    <row r="7209" spans="1:18" ht="72">
      <c r="A7209" s="219">
        <v>173</v>
      </c>
      <c r="B7209" s="216" t="s">
        <v>13245</v>
      </c>
      <c r="C7209" s="220" t="s">
        <v>13246</v>
      </c>
      <c r="D7209" s="221">
        <v>2808.79</v>
      </c>
      <c r="E7209" s="221">
        <v>1286.8800000000001</v>
      </c>
      <c r="F7209" s="221">
        <v>1484.94</v>
      </c>
      <c r="G7209" s="221">
        <v>36.97</v>
      </c>
      <c r="H7209" s="222">
        <v>23140.69</v>
      </c>
      <c r="I7209" s="222">
        <v>14799.68</v>
      </c>
      <c r="J7209" s="222">
        <v>7986.79</v>
      </c>
      <c r="K7209" s="222">
        <v>354.22</v>
      </c>
      <c r="L7209" s="43">
        <v>8.2386686081907143</v>
      </c>
      <c r="M7209" s="43">
        <v>11.500435161009573</v>
      </c>
      <c r="N7209" s="43">
        <v>5.3785270785351598</v>
      </c>
      <c r="O7209" s="43">
        <v>9.581282120638356</v>
      </c>
      <c r="P7209" s="223"/>
      <c r="Q7209" s="223"/>
      <c r="R7209" s="223">
        <v>11</v>
      </c>
    </row>
    <row r="7210" spans="1:18" ht="72">
      <c r="A7210" s="219">
        <v>174</v>
      </c>
      <c r="B7210" s="216" t="s">
        <v>13247</v>
      </c>
      <c r="C7210" s="220" t="s">
        <v>13248</v>
      </c>
      <c r="D7210" s="221">
        <v>5202.18</v>
      </c>
      <c r="E7210" s="221">
        <v>2585.25</v>
      </c>
      <c r="F7210" s="221">
        <v>2543.38</v>
      </c>
      <c r="G7210" s="221">
        <v>73.55</v>
      </c>
      <c r="H7210" s="222">
        <v>44171.59</v>
      </c>
      <c r="I7210" s="222">
        <v>29731.5</v>
      </c>
      <c r="J7210" s="222">
        <v>13732.23</v>
      </c>
      <c r="K7210" s="222">
        <v>707.86</v>
      </c>
      <c r="L7210" s="43">
        <v>8.4909768597011244</v>
      </c>
      <c r="M7210" s="43">
        <v>11.500435161009573</v>
      </c>
      <c r="N7210" s="43">
        <v>5.3992049949280085</v>
      </c>
      <c r="O7210" s="43">
        <v>9.6242012236573764</v>
      </c>
      <c r="P7210" s="223"/>
      <c r="Q7210" s="223"/>
      <c r="R7210" s="223">
        <v>11</v>
      </c>
    </row>
    <row r="7211" spans="1:18" ht="72">
      <c r="A7211" s="219">
        <v>175</v>
      </c>
      <c r="B7211" s="216" t="s">
        <v>13249</v>
      </c>
      <c r="C7211" s="220" t="s">
        <v>13250</v>
      </c>
      <c r="D7211" s="221">
        <v>6996.15</v>
      </c>
      <c r="E7211" s="221">
        <v>2964.42</v>
      </c>
      <c r="F7211" s="221">
        <v>3934.13</v>
      </c>
      <c r="G7211" s="221">
        <v>97.6</v>
      </c>
      <c r="H7211" s="222">
        <v>56254.3</v>
      </c>
      <c r="I7211" s="222">
        <v>34092.120000000003</v>
      </c>
      <c r="J7211" s="222">
        <v>21281.77</v>
      </c>
      <c r="K7211" s="222">
        <v>880.41</v>
      </c>
      <c r="L7211" s="43">
        <v>8.04075098447003</v>
      </c>
      <c r="M7211" s="43">
        <v>11.500435161009575</v>
      </c>
      <c r="N7211" s="43">
        <v>5.4095238337319813</v>
      </c>
      <c r="O7211" s="43">
        <v>9.0205942622950825</v>
      </c>
      <c r="P7211" s="223"/>
      <c r="Q7211" s="223"/>
      <c r="R7211" s="223">
        <v>11</v>
      </c>
    </row>
    <row r="7212" spans="1:18" ht="27" customHeight="1">
      <c r="A7212" s="628" t="s">
        <v>13251</v>
      </c>
      <c r="B7212" s="629"/>
      <c r="C7212" s="629"/>
      <c r="D7212" s="629"/>
      <c r="E7212" s="629"/>
      <c r="F7212" s="629"/>
      <c r="G7212" s="629"/>
      <c r="H7212" s="629"/>
      <c r="I7212" s="629"/>
      <c r="J7212" s="629"/>
      <c r="K7212" s="629"/>
      <c r="L7212" s="629"/>
      <c r="M7212" s="629"/>
      <c r="N7212" s="629"/>
      <c r="O7212" s="629"/>
      <c r="P7212" s="629"/>
      <c r="Q7212" s="629"/>
      <c r="R7212" s="629"/>
    </row>
    <row r="7213" spans="1:18" ht="48">
      <c r="A7213" s="219">
        <v>176</v>
      </c>
      <c r="B7213" s="216" t="s">
        <v>13252</v>
      </c>
      <c r="C7213" s="220" t="s">
        <v>13253</v>
      </c>
      <c r="D7213" s="221">
        <v>36853.050000000003</v>
      </c>
      <c r="E7213" s="221">
        <v>13328.4</v>
      </c>
      <c r="F7213" s="221">
        <v>23258.080000000002</v>
      </c>
      <c r="G7213" s="221">
        <v>266.57</v>
      </c>
      <c r="H7213" s="222">
        <v>291940.2</v>
      </c>
      <c r="I7213" s="222">
        <v>153282.4</v>
      </c>
      <c r="J7213" s="222">
        <v>135592.24</v>
      </c>
      <c r="K7213" s="222">
        <v>3065.56</v>
      </c>
      <c r="L7213" s="43">
        <v>7.9217378208859239</v>
      </c>
      <c r="M7213" s="43">
        <v>11.500435161009573</v>
      </c>
      <c r="N7213" s="43">
        <v>5.8298982547140596</v>
      </c>
      <c r="O7213" s="43">
        <v>11.50001875679934</v>
      </c>
      <c r="P7213" s="223"/>
      <c r="Q7213" s="223"/>
      <c r="R7213" s="223">
        <v>12</v>
      </c>
    </row>
    <row r="7214" spans="1:18" ht="48">
      <c r="A7214" s="219">
        <v>177</v>
      </c>
      <c r="B7214" s="216" t="s">
        <v>13254</v>
      </c>
      <c r="C7214" s="220" t="s">
        <v>13255</v>
      </c>
      <c r="D7214" s="221">
        <v>55991.17</v>
      </c>
      <c r="E7214" s="221">
        <v>13328.4</v>
      </c>
      <c r="F7214" s="221">
        <v>42396.2</v>
      </c>
      <c r="G7214" s="221">
        <v>266.57</v>
      </c>
      <c r="H7214" s="222">
        <v>404382.81</v>
      </c>
      <c r="I7214" s="222">
        <v>153282.4</v>
      </c>
      <c r="J7214" s="222">
        <v>248034.85</v>
      </c>
      <c r="K7214" s="222">
        <v>3065.56</v>
      </c>
      <c r="L7214" s="43">
        <v>7.222260402845663</v>
      </c>
      <c r="M7214" s="43">
        <v>11.500435161009573</v>
      </c>
      <c r="N7214" s="43">
        <v>5.8504028662946217</v>
      </c>
      <c r="O7214" s="43">
        <v>11.50001875679934</v>
      </c>
      <c r="P7214" s="223"/>
      <c r="Q7214" s="223"/>
      <c r="R7214" s="223">
        <v>12</v>
      </c>
    </row>
    <row r="7215" spans="1:18" ht="48">
      <c r="A7215" s="219">
        <v>178</v>
      </c>
      <c r="B7215" s="216" t="s">
        <v>13256</v>
      </c>
      <c r="C7215" s="220" t="s">
        <v>13257</v>
      </c>
      <c r="D7215" s="221">
        <v>64759.48</v>
      </c>
      <c r="E7215" s="221">
        <v>13328.4</v>
      </c>
      <c r="F7215" s="221">
        <v>51164.51</v>
      </c>
      <c r="G7215" s="221">
        <v>266.57</v>
      </c>
      <c r="H7215" s="222">
        <v>461645.78</v>
      </c>
      <c r="I7215" s="222">
        <v>153282.4</v>
      </c>
      <c r="J7215" s="222">
        <v>305297.82</v>
      </c>
      <c r="K7215" s="222">
        <v>3065.56</v>
      </c>
      <c r="L7215" s="43">
        <v>7.1286208598339575</v>
      </c>
      <c r="M7215" s="43">
        <v>11.500435161009573</v>
      </c>
      <c r="N7215" s="43">
        <v>5.9669841458464079</v>
      </c>
      <c r="O7215" s="43">
        <v>11.50001875679934</v>
      </c>
      <c r="P7215" s="223"/>
      <c r="Q7215" s="223"/>
      <c r="R7215" s="223">
        <v>12</v>
      </c>
    </row>
    <row r="7216" spans="1:18" ht="48">
      <c r="A7216" s="219">
        <v>179</v>
      </c>
      <c r="B7216" s="216" t="s">
        <v>13258</v>
      </c>
      <c r="C7216" s="220" t="s">
        <v>13259</v>
      </c>
      <c r="D7216" s="221">
        <v>110017.92</v>
      </c>
      <c r="E7216" s="221">
        <v>13328.4</v>
      </c>
      <c r="F7216" s="221">
        <v>96422.95</v>
      </c>
      <c r="G7216" s="221">
        <v>266.57</v>
      </c>
      <c r="H7216" s="222">
        <v>712293.94</v>
      </c>
      <c r="I7216" s="222">
        <v>153282.4</v>
      </c>
      <c r="J7216" s="222">
        <v>555945.98</v>
      </c>
      <c r="K7216" s="222">
        <v>3065.56</v>
      </c>
      <c r="L7216" s="43">
        <v>6.4743447249320836</v>
      </c>
      <c r="M7216" s="43">
        <v>11.500435161009573</v>
      </c>
      <c r="N7216" s="43">
        <v>5.7657018375811981</v>
      </c>
      <c r="O7216" s="43">
        <v>11.50001875679934</v>
      </c>
      <c r="P7216" s="223"/>
      <c r="Q7216" s="223"/>
      <c r="R7216" s="223">
        <v>12</v>
      </c>
    </row>
    <row r="7217" spans="1:18" ht="27.75" customHeight="1">
      <c r="A7217" s="628" t="s">
        <v>13260</v>
      </c>
      <c r="B7217" s="629"/>
      <c r="C7217" s="629"/>
      <c r="D7217" s="629"/>
      <c r="E7217" s="629"/>
      <c r="F7217" s="629"/>
      <c r="G7217" s="629"/>
      <c r="H7217" s="629"/>
      <c r="I7217" s="629"/>
      <c r="J7217" s="629"/>
      <c r="K7217" s="629"/>
      <c r="L7217" s="629"/>
      <c r="M7217" s="629"/>
      <c r="N7217" s="629"/>
      <c r="O7217" s="629"/>
      <c r="P7217" s="629"/>
      <c r="Q7217" s="629"/>
      <c r="R7217" s="629"/>
    </row>
    <row r="7218" spans="1:18" ht="60">
      <c r="A7218" s="219">
        <v>180</v>
      </c>
      <c r="B7218" s="216" t="s">
        <v>13261</v>
      </c>
      <c r="C7218" s="220" t="s">
        <v>13262</v>
      </c>
      <c r="D7218" s="221">
        <v>600.51</v>
      </c>
      <c r="E7218" s="221">
        <v>388.36</v>
      </c>
      <c r="F7218" s="221">
        <v>204.38</v>
      </c>
      <c r="G7218" s="221">
        <v>7.77</v>
      </c>
      <c r="H7218" s="222">
        <v>5667.71</v>
      </c>
      <c r="I7218" s="222">
        <v>4466.33</v>
      </c>
      <c r="J7218" s="222">
        <v>1112.02</v>
      </c>
      <c r="K7218" s="222">
        <v>89.36</v>
      </c>
      <c r="L7218" s="43">
        <v>9.4381608965712473</v>
      </c>
      <c r="M7218" s="43">
        <v>11.500489236790607</v>
      </c>
      <c r="N7218" s="43">
        <v>5.4409433408356982</v>
      </c>
      <c r="O7218" s="43">
        <v>11.500643500643502</v>
      </c>
      <c r="P7218" s="223"/>
      <c r="Q7218" s="223"/>
      <c r="R7218" s="223">
        <v>13</v>
      </c>
    </row>
    <row r="7219" spans="1:18" ht="60">
      <c r="A7219" s="219">
        <v>181</v>
      </c>
      <c r="B7219" s="216" t="s">
        <v>13263</v>
      </c>
      <c r="C7219" s="220" t="s">
        <v>13264</v>
      </c>
      <c r="D7219" s="221">
        <v>775.93</v>
      </c>
      <c r="E7219" s="221">
        <v>526.24</v>
      </c>
      <c r="F7219" s="221">
        <v>239.17</v>
      </c>
      <c r="G7219" s="221">
        <v>10.52</v>
      </c>
      <c r="H7219" s="222">
        <v>7475.34</v>
      </c>
      <c r="I7219" s="222">
        <v>6052.01</v>
      </c>
      <c r="J7219" s="222">
        <v>1302.3499999999999</v>
      </c>
      <c r="K7219" s="222">
        <v>120.98</v>
      </c>
      <c r="L7219" s="43">
        <v>9.6340391530163814</v>
      </c>
      <c r="M7219" s="43">
        <v>11.500475068409852</v>
      </c>
      <c r="N7219" s="43">
        <v>5.4452899611155248</v>
      </c>
      <c r="O7219" s="43">
        <v>11.5</v>
      </c>
      <c r="P7219" s="223"/>
      <c r="Q7219" s="223"/>
      <c r="R7219" s="223">
        <v>13</v>
      </c>
    </row>
    <row r="7220" spans="1:18" ht="60">
      <c r="A7220" s="219">
        <v>182</v>
      </c>
      <c r="B7220" s="216" t="s">
        <v>13265</v>
      </c>
      <c r="C7220" s="220" t="s">
        <v>13266</v>
      </c>
      <c r="D7220" s="221">
        <v>1072.93</v>
      </c>
      <c r="E7220" s="221">
        <v>651.48</v>
      </c>
      <c r="F7220" s="221">
        <v>408.42</v>
      </c>
      <c r="G7220" s="221">
        <v>13.03</v>
      </c>
      <c r="H7220" s="222">
        <v>9863.52</v>
      </c>
      <c r="I7220" s="222">
        <v>7492.34</v>
      </c>
      <c r="J7220" s="222">
        <v>2221.33</v>
      </c>
      <c r="K7220" s="222">
        <v>149.85</v>
      </c>
      <c r="L7220" s="43">
        <v>9.1930694453505826</v>
      </c>
      <c r="M7220" s="43">
        <v>11.500491189292074</v>
      </c>
      <c r="N7220" s="43">
        <v>5.4388374712305954</v>
      </c>
      <c r="O7220" s="43">
        <v>11.500383729854184</v>
      </c>
      <c r="P7220" s="223"/>
      <c r="Q7220" s="223"/>
      <c r="R7220" s="223">
        <v>13</v>
      </c>
    </row>
    <row r="7221" spans="1:18" ht="60">
      <c r="A7221" s="219">
        <v>183</v>
      </c>
      <c r="B7221" s="216" t="s">
        <v>13267</v>
      </c>
      <c r="C7221" s="220" t="s">
        <v>13268</v>
      </c>
      <c r="D7221" s="221">
        <v>1667.63</v>
      </c>
      <c r="E7221" s="221">
        <v>901.97</v>
      </c>
      <c r="F7221" s="221">
        <v>747.62</v>
      </c>
      <c r="G7221" s="221">
        <v>18.04</v>
      </c>
      <c r="H7221" s="222">
        <v>14645.2</v>
      </c>
      <c r="I7221" s="222">
        <v>10372.99</v>
      </c>
      <c r="J7221" s="222">
        <v>4064.75</v>
      </c>
      <c r="K7221" s="222">
        <v>207.46</v>
      </c>
      <c r="L7221" s="43">
        <v>8.782043978580381</v>
      </c>
      <c r="M7221" s="43">
        <v>11.500371409248643</v>
      </c>
      <c r="N7221" s="43">
        <v>5.4369198255798397</v>
      </c>
      <c r="O7221" s="43">
        <v>11.500000000000002</v>
      </c>
      <c r="P7221" s="223"/>
      <c r="Q7221" s="223"/>
      <c r="R7221" s="223">
        <v>13</v>
      </c>
    </row>
    <row r="7222" spans="1:18" ht="60">
      <c r="A7222" s="219">
        <v>184</v>
      </c>
      <c r="B7222" s="216" t="s">
        <v>13269</v>
      </c>
      <c r="C7222" s="220" t="s">
        <v>13270</v>
      </c>
      <c r="D7222" s="221">
        <v>1910.76</v>
      </c>
      <c r="E7222" s="221">
        <v>1551.15</v>
      </c>
      <c r="F7222" s="221">
        <v>328.59</v>
      </c>
      <c r="G7222" s="221">
        <v>31.02</v>
      </c>
      <c r="H7222" s="222">
        <v>20036.080000000002</v>
      </c>
      <c r="I7222" s="222">
        <v>17838.900000000001</v>
      </c>
      <c r="J7222" s="222">
        <v>1840.45</v>
      </c>
      <c r="K7222" s="222">
        <v>356.73</v>
      </c>
      <c r="L7222" s="43">
        <v>10.485921832150559</v>
      </c>
      <c r="M7222" s="43">
        <v>11.500435161009573</v>
      </c>
      <c r="N7222" s="43">
        <v>5.6010529839617762</v>
      </c>
      <c r="O7222" s="43">
        <v>11.5</v>
      </c>
      <c r="P7222" s="223"/>
      <c r="Q7222" s="223"/>
      <c r="R7222" s="223">
        <v>13</v>
      </c>
    </row>
    <row r="7223" spans="1:18" ht="60">
      <c r="A7223" s="219">
        <v>185</v>
      </c>
      <c r="B7223" s="216" t="s">
        <v>13271</v>
      </c>
      <c r="C7223" s="220" t="s">
        <v>13272</v>
      </c>
      <c r="D7223" s="221">
        <v>2987.21</v>
      </c>
      <c r="E7223" s="221">
        <v>2068.1999999999998</v>
      </c>
      <c r="F7223" s="221">
        <v>877.65</v>
      </c>
      <c r="G7223" s="221">
        <v>41.36</v>
      </c>
      <c r="H7223" s="222">
        <v>29468.7</v>
      </c>
      <c r="I7223" s="222">
        <v>23785.200000000001</v>
      </c>
      <c r="J7223" s="222">
        <v>5207.8599999999997</v>
      </c>
      <c r="K7223" s="222">
        <v>475.64</v>
      </c>
      <c r="L7223" s="43">
        <v>9.8649576025789951</v>
      </c>
      <c r="M7223" s="43">
        <v>11.500435161009575</v>
      </c>
      <c r="N7223" s="43">
        <v>5.9338688543268958</v>
      </c>
      <c r="O7223" s="43">
        <v>11.5</v>
      </c>
      <c r="P7223" s="223"/>
      <c r="Q7223" s="223"/>
      <c r="R7223" s="223">
        <v>13</v>
      </c>
    </row>
    <row r="7224" spans="1:18" ht="60">
      <c r="A7224" s="219">
        <v>186</v>
      </c>
      <c r="B7224" s="216" t="s">
        <v>13273</v>
      </c>
      <c r="C7224" s="220" t="s">
        <v>13274</v>
      </c>
      <c r="D7224" s="221">
        <v>3927.99</v>
      </c>
      <c r="E7224" s="221">
        <v>2964.42</v>
      </c>
      <c r="F7224" s="221">
        <v>904.28</v>
      </c>
      <c r="G7224" s="221">
        <v>59.29</v>
      </c>
      <c r="H7224" s="222">
        <v>40188.18</v>
      </c>
      <c r="I7224" s="222">
        <v>34092.120000000003</v>
      </c>
      <c r="J7224" s="222">
        <v>5414.22</v>
      </c>
      <c r="K7224" s="222">
        <v>681.84</v>
      </c>
      <c r="L7224" s="43">
        <v>10.231232767904196</v>
      </c>
      <c r="M7224" s="43">
        <v>11.500435161009575</v>
      </c>
      <c r="N7224" s="43">
        <v>5.9873269341354449</v>
      </c>
      <c r="O7224" s="43">
        <v>11.500084331253163</v>
      </c>
      <c r="P7224" s="223"/>
      <c r="Q7224" s="223"/>
      <c r="R7224" s="223">
        <v>13</v>
      </c>
    </row>
    <row r="7225" spans="1:18" ht="26.25" customHeight="1">
      <c r="A7225" s="628" t="s">
        <v>13275</v>
      </c>
      <c r="B7225" s="629"/>
      <c r="C7225" s="629"/>
      <c r="D7225" s="629"/>
      <c r="E7225" s="629"/>
      <c r="F7225" s="629"/>
      <c r="G7225" s="629"/>
      <c r="H7225" s="629"/>
      <c r="I7225" s="629"/>
      <c r="J7225" s="629"/>
      <c r="K7225" s="629"/>
      <c r="L7225" s="629"/>
      <c r="M7225" s="629"/>
      <c r="N7225" s="629"/>
      <c r="O7225" s="629"/>
      <c r="P7225" s="629"/>
      <c r="Q7225" s="629"/>
      <c r="R7225" s="629"/>
    </row>
    <row r="7226" spans="1:18" ht="36">
      <c r="A7226" s="219">
        <v>187</v>
      </c>
      <c r="B7226" s="216" t="s">
        <v>13276</v>
      </c>
      <c r="C7226" s="220" t="s">
        <v>13277</v>
      </c>
      <c r="D7226" s="221">
        <v>272.37</v>
      </c>
      <c r="E7226" s="221">
        <v>236.69</v>
      </c>
      <c r="F7226" s="221">
        <v>20.22</v>
      </c>
      <c r="G7226" s="221">
        <v>15.46</v>
      </c>
      <c r="H7226" s="222">
        <v>2944.31</v>
      </c>
      <c r="I7226" s="222">
        <v>2722.08</v>
      </c>
      <c r="J7226" s="222">
        <v>106.65</v>
      </c>
      <c r="K7226" s="222">
        <v>115.58</v>
      </c>
      <c r="L7226" s="43">
        <v>10.809964386679884</v>
      </c>
      <c r="M7226" s="43">
        <v>11.500612615657611</v>
      </c>
      <c r="N7226" s="43">
        <v>5.2744807121661728</v>
      </c>
      <c r="O7226" s="43">
        <v>7.4760672703751609</v>
      </c>
      <c r="P7226" s="223"/>
      <c r="Q7226" s="223"/>
      <c r="R7226" s="223">
        <v>14</v>
      </c>
    </row>
    <row r="7227" spans="1:18" ht="36">
      <c r="A7227" s="219">
        <v>188</v>
      </c>
      <c r="B7227" s="216" t="s">
        <v>13278</v>
      </c>
      <c r="C7227" s="220" t="s">
        <v>13279</v>
      </c>
      <c r="D7227" s="221">
        <v>407.91</v>
      </c>
      <c r="E7227" s="221">
        <v>356.19</v>
      </c>
      <c r="F7227" s="221">
        <v>27.35</v>
      </c>
      <c r="G7227" s="221">
        <v>24.37</v>
      </c>
      <c r="H7227" s="222">
        <v>4419.8100000000004</v>
      </c>
      <c r="I7227" s="222">
        <v>4096.34</v>
      </c>
      <c r="J7227" s="222">
        <v>144.41</v>
      </c>
      <c r="K7227" s="222">
        <v>179.06</v>
      </c>
      <c r="L7227" s="43">
        <v>10.835257777450909</v>
      </c>
      <c r="M7227" s="43">
        <v>11.500435161009573</v>
      </c>
      <c r="N7227" s="43">
        <v>5.2800731261425957</v>
      </c>
      <c r="O7227" s="43">
        <v>7.3475584735330326</v>
      </c>
      <c r="P7227" s="223"/>
      <c r="Q7227" s="223"/>
      <c r="R7227" s="223">
        <v>14</v>
      </c>
    </row>
    <row r="7228" spans="1:18" ht="36">
      <c r="A7228" s="219">
        <v>189</v>
      </c>
      <c r="B7228" s="216" t="s">
        <v>13280</v>
      </c>
      <c r="C7228" s="220" t="s">
        <v>13281</v>
      </c>
      <c r="D7228" s="221">
        <v>420.95</v>
      </c>
      <c r="E7228" s="221">
        <v>356.19</v>
      </c>
      <c r="F7228" s="221">
        <v>33.51</v>
      </c>
      <c r="G7228" s="221">
        <v>31.25</v>
      </c>
      <c r="H7228" s="222">
        <v>4490.58</v>
      </c>
      <c r="I7228" s="222">
        <v>4096.34</v>
      </c>
      <c r="J7228" s="222">
        <v>177.03</v>
      </c>
      <c r="K7228" s="222">
        <v>217.21</v>
      </c>
      <c r="L7228" s="43">
        <v>10.667727758641169</v>
      </c>
      <c r="M7228" s="43">
        <v>11.500435161009573</v>
      </c>
      <c r="N7228" s="43">
        <v>5.2829006266786038</v>
      </c>
      <c r="O7228" s="43">
        <v>6.9507200000000005</v>
      </c>
      <c r="P7228" s="223"/>
      <c r="Q7228" s="223"/>
      <c r="R7228" s="223">
        <v>14</v>
      </c>
    </row>
    <row r="7229" spans="1:18" ht="36">
      <c r="A7229" s="219">
        <v>190</v>
      </c>
      <c r="B7229" s="216" t="s">
        <v>13282</v>
      </c>
      <c r="C7229" s="220" t="s">
        <v>13283</v>
      </c>
      <c r="D7229" s="221">
        <v>664.23</v>
      </c>
      <c r="E7229" s="221">
        <v>471.09</v>
      </c>
      <c r="F7229" s="221">
        <v>64.13</v>
      </c>
      <c r="G7229" s="221">
        <v>129.01</v>
      </c>
      <c r="H7229" s="222">
        <v>6509.35</v>
      </c>
      <c r="I7229" s="222">
        <v>5417.74</v>
      </c>
      <c r="J7229" s="222">
        <v>339.24</v>
      </c>
      <c r="K7229" s="222">
        <v>752.37</v>
      </c>
      <c r="L7229" s="43">
        <v>9.7998434277283479</v>
      </c>
      <c r="M7229" s="43">
        <v>11.500435161009573</v>
      </c>
      <c r="N7229" s="43">
        <v>5.2898799313893656</v>
      </c>
      <c r="O7229" s="43">
        <v>5.8318734981784361</v>
      </c>
      <c r="P7229" s="223"/>
      <c r="Q7229" s="223"/>
      <c r="R7229" s="223">
        <v>14</v>
      </c>
    </row>
    <row r="7230" spans="1:18" ht="36">
      <c r="A7230" s="219">
        <v>191</v>
      </c>
      <c r="B7230" s="216" t="s">
        <v>13284</v>
      </c>
      <c r="C7230" s="220" t="s">
        <v>13285</v>
      </c>
      <c r="D7230" s="221">
        <v>796.87</v>
      </c>
      <c r="E7230" s="221">
        <v>597.48</v>
      </c>
      <c r="F7230" s="221">
        <v>86.57</v>
      </c>
      <c r="G7230" s="221">
        <v>112.82</v>
      </c>
      <c r="H7230" s="222">
        <v>8023.76</v>
      </c>
      <c r="I7230" s="222">
        <v>6871.28</v>
      </c>
      <c r="J7230" s="222">
        <v>458.09</v>
      </c>
      <c r="K7230" s="222">
        <v>694.39</v>
      </c>
      <c r="L7230" s="43">
        <v>10.069095335500144</v>
      </c>
      <c r="M7230" s="43">
        <v>11.500435161009573</v>
      </c>
      <c r="N7230" s="43">
        <v>5.2915559662700709</v>
      </c>
      <c r="O7230" s="43">
        <v>6.1548484311292331</v>
      </c>
      <c r="P7230" s="223"/>
      <c r="Q7230" s="223"/>
      <c r="R7230" s="223">
        <v>14</v>
      </c>
    </row>
    <row r="7231" spans="1:18" ht="36">
      <c r="A7231" s="219">
        <v>192</v>
      </c>
      <c r="B7231" s="216" t="s">
        <v>13286</v>
      </c>
      <c r="C7231" s="220" t="s">
        <v>13287</v>
      </c>
      <c r="D7231" s="221">
        <v>1337.98</v>
      </c>
      <c r="E7231" s="221">
        <v>942.18</v>
      </c>
      <c r="F7231" s="221">
        <v>144.74</v>
      </c>
      <c r="G7231" s="221">
        <v>251.06</v>
      </c>
      <c r="H7231" s="222">
        <v>13075.23</v>
      </c>
      <c r="I7231" s="222">
        <v>10835.48</v>
      </c>
      <c r="J7231" s="222">
        <v>766.18</v>
      </c>
      <c r="K7231" s="222">
        <v>1473.57</v>
      </c>
      <c r="L7231" s="43">
        <v>9.7723658051689863</v>
      </c>
      <c r="M7231" s="43">
        <v>11.500435161009573</v>
      </c>
      <c r="N7231" s="43">
        <v>5.293491778361199</v>
      </c>
      <c r="O7231" s="43">
        <v>5.8693937704134465</v>
      </c>
      <c r="P7231" s="223"/>
      <c r="Q7231" s="223"/>
      <c r="R7231" s="223">
        <v>14</v>
      </c>
    </row>
    <row r="7232" spans="1:18" ht="36">
      <c r="A7232" s="219">
        <v>193</v>
      </c>
      <c r="B7232" s="216" t="s">
        <v>13288</v>
      </c>
      <c r="C7232" s="220" t="s">
        <v>13289</v>
      </c>
      <c r="D7232" s="221">
        <v>1512.41</v>
      </c>
      <c r="E7232" s="221">
        <v>1068.57</v>
      </c>
      <c r="F7232" s="221">
        <v>162.97999999999999</v>
      </c>
      <c r="G7232" s="221">
        <v>280.86</v>
      </c>
      <c r="H7232" s="222">
        <v>14799.75</v>
      </c>
      <c r="I7232" s="222">
        <v>12289.02</v>
      </c>
      <c r="J7232" s="222">
        <v>862.71</v>
      </c>
      <c r="K7232" s="222">
        <v>1648.02</v>
      </c>
      <c r="L7232" s="43">
        <v>9.7855409578090597</v>
      </c>
      <c r="M7232" s="43">
        <v>11.500435161009575</v>
      </c>
      <c r="N7232" s="43">
        <v>5.2933488771628427</v>
      </c>
      <c r="O7232" s="43">
        <v>5.8677632984405035</v>
      </c>
      <c r="P7232" s="223"/>
      <c r="Q7232" s="223"/>
      <c r="R7232" s="223">
        <v>14</v>
      </c>
    </row>
    <row r="7233" spans="1:18" ht="48">
      <c r="A7233" s="219">
        <v>194</v>
      </c>
      <c r="B7233" s="216" t="s">
        <v>13290</v>
      </c>
      <c r="C7233" s="220" t="s">
        <v>13291</v>
      </c>
      <c r="D7233" s="221">
        <v>2011.62</v>
      </c>
      <c r="E7233" s="221">
        <v>1424.76</v>
      </c>
      <c r="F7233" s="221">
        <v>190.39</v>
      </c>
      <c r="G7233" s="221">
        <v>396.47</v>
      </c>
      <c r="H7233" s="222">
        <v>19719.36</v>
      </c>
      <c r="I7233" s="222">
        <v>16385.36</v>
      </c>
      <c r="J7233" s="222">
        <v>1007.57</v>
      </c>
      <c r="K7233" s="222">
        <v>2326.4299999999998</v>
      </c>
      <c r="L7233" s="43">
        <v>9.8027261610045642</v>
      </c>
      <c r="M7233" s="43">
        <v>11.500435161009573</v>
      </c>
      <c r="N7233" s="43">
        <v>5.2921371920794167</v>
      </c>
      <c r="O7233" s="43">
        <v>5.8678588543899908</v>
      </c>
      <c r="P7233" s="223"/>
      <c r="Q7233" s="223"/>
      <c r="R7233" s="223">
        <v>14</v>
      </c>
    </row>
    <row r="7234" spans="1:18" ht="36">
      <c r="A7234" s="219">
        <v>195</v>
      </c>
      <c r="B7234" s="216" t="s">
        <v>13292</v>
      </c>
      <c r="C7234" s="220" t="s">
        <v>13293</v>
      </c>
      <c r="D7234" s="221">
        <v>2356.9299999999998</v>
      </c>
      <c r="E7234" s="221">
        <v>1654.56</v>
      </c>
      <c r="F7234" s="221">
        <v>221.95</v>
      </c>
      <c r="G7234" s="221">
        <v>480.42</v>
      </c>
      <c r="H7234" s="222">
        <v>23020.91</v>
      </c>
      <c r="I7234" s="222">
        <v>19028.16</v>
      </c>
      <c r="J7234" s="222">
        <v>1174.6099999999999</v>
      </c>
      <c r="K7234" s="222">
        <v>2818.14</v>
      </c>
      <c r="L7234" s="43">
        <v>9.7673286860449835</v>
      </c>
      <c r="M7234" s="43">
        <v>11.500435161009573</v>
      </c>
      <c r="N7234" s="43">
        <v>5.2922279792746112</v>
      </c>
      <c r="O7234" s="43">
        <v>5.8659922567753213</v>
      </c>
      <c r="P7234" s="223"/>
      <c r="Q7234" s="223"/>
      <c r="R7234" s="223">
        <v>14</v>
      </c>
    </row>
    <row r="7235" spans="1:18" ht="36">
      <c r="A7235" s="219">
        <v>196</v>
      </c>
      <c r="B7235" s="216" t="s">
        <v>13294</v>
      </c>
      <c r="C7235" s="220" t="s">
        <v>13295</v>
      </c>
      <c r="D7235" s="221">
        <v>3004.89</v>
      </c>
      <c r="E7235" s="221">
        <v>2125.65</v>
      </c>
      <c r="F7235" s="221">
        <v>249.12</v>
      </c>
      <c r="G7235" s="221">
        <v>630.12</v>
      </c>
      <c r="H7235" s="222">
        <v>29492.48</v>
      </c>
      <c r="I7235" s="222">
        <v>24445.9</v>
      </c>
      <c r="J7235" s="222">
        <v>1318.26</v>
      </c>
      <c r="K7235" s="222">
        <v>3728.32</v>
      </c>
      <c r="L7235" s="43">
        <v>9.8148284962178316</v>
      </c>
      <c r="M7235" s="43">
        <v>11.500435161009573</v>
      </c>
      <c r="N7235" s="43">
        <v>5.291666666666667</v>
      </c>
      <c r="O7235" s="43">
        <v>5.9168412365898559</v>
      </c>
      <c r="P7235" s="223"/>
      <c r="Q7235" s="223"/>
      <c r="R7235" s="223">
        <v>14</v>
      </c>
    </row>
    <row r="7236" spans="1:18" ht="36">
      <c r="A7236" s="219">
        <v>197</v>
      </c>
      <c r="B7236" s="216" t="s">
        <v>13296</v>
      </c>
      <c r="C7236" s="220" t="s">
        <v>13297</v>
      </c>
      <c r="D7236" s="221">
        <v>3672.67</v>
      </c>
      <c r="E7236" s="221">
        <v>2723.13</v>
      </c>
      <c r="F7236" s="221">
        <v>266.13</v>
      </c>
      <c r="G7236" s="221">
        <v>683.41</v>
      </c>
      <c r="H7236" s="222">
        <v>36775.589999999997</v>
      </c>
      <c r="I7236" s="222">
        <v>31317.18</v>
      </c>
      <c r="J7236" s="222">
        <v>1408.13</v>
      </c>
      <c r="K7236" s="222">
        <v>4050.28</v>
      </c>
      <c r="L7236" s="43">
        <v>10.013311841249008</v>
      </c>
      <c r="M7236" s="43">
        <v>11.500435161009573</v>
      </c>
      <c r="N7236" s="43">
        <v>5.2911359110209304</v>
      </c>
      <c r="O7236" s="43">
        <v>5.9265740916872751</v>
      </c>
      <c r="P7236" s="223"/>
      <c r="Q7236" s="223"/>
      <c r="R7236" s="223">
        <v>14</v>
      </c>
    </row>
    <row r="7237" spans="1:18" ht="36">
      <c r="A7237" s="219">
        <v>198</v>
      </c>
      <c r="B7237" s="216" t="s">
        <v>13298</v>
      </c>
      <c r="C7237" s="220" t="s">
        <v>13299</v>
      </c>
      <c r="D7237" s="221">
        <v>5370.97</v>
      </c>
      <c r="E7237" s="221">
        <v>3906.6</v>
      </c>
      <c r="F7237" s="221">
        <v>391.28</v>
      </c>
      <c r="G7237" s="221">
        <v>1073.0899999999999</v>
      </c>
      <c r="H7237" s="222">
        <v>53356.09</v>
      </c>
      <c r="I7237" s="222">
        <v>44927.6</v>
      </c>
      <c r="J7237" s="222">
        <v>2070.2800000000002</v>
      </c>
      <c r="K7237" s="222">
        <v>6358.21</v>
      </c>
      <c r="L7237" s="43">
        <v>9.9341627303820346</v>
      </c>
      <c r="M7237" s="43">
        <v>11.500435161009573</v>
      </c>
      <c r="N7237" s="43">
        <v>5.2910447761194037</v>
      </c>
      <c r="O7237" s="43">
        <v>5.9251414140472844</v>
      </c>
      <c r="P7237" s="223"/>
      <c r="Q7237" s="223"/>
      <c r="R7237" s="223">
        <v>14</v>
      </c>
    </row>
    <row r="7238" spans="1:18" ht="36">
      <c r="A7238" s="219">
        <v>199</v>
      </c>
      <c r="B7238" s="216" t="s">
        <v>13300</v>
      </c>
      <c r="C7238" s="220" t="s">
        <v>13301</v>
      </c>
      <c r="D7238" s="221">
        <v>6287.3</v>
      </c>
      <c r="E7238" s="221">
        <v>4618.9799999999996</v>
      </c>
      <c r="F7238" s="221">
        <v>442.69</v>
      </c>
      <c r="G7238" s="221">
        <v>1225.6300000000001</v>
      </c>
      <c r="H7238" s="222">
        <v>62837.64</v>
      </c>
      <c r="I7238" s="222">
        <v>53120.28</v>
      </c>
      <c r="J7238" s="222">
        <v>2341.73</v>
      </c>
      <c r="K7238" s="222">
        <v>7375.63</v>
      </c>
      <c r="L7238" s="43">
        <v>9.9943759642453838</v>
      </c>
      <c r="M7238" s="43">
        <v>11.500435161009575</v>
      </c>
      <c r="N7238" s="43">
        <v>5.2897738824007767</v>
      </c>
      <c r="O7238" s="43">
        <v>6.0178275662312437</v>
      </c>
      <c r="P7238" s="223"/>
      <c r="Q7238" s="223"/>
      <c r="R7238" s="223">
        <v>14</v>
      </c>
    </row>
    <row r="7239" spans="1:18" ht="36">
      <c r="A7239" s="219">
        <v>200</v>
      </c>
      <c r="B7239" s="216" t="s">
        <v>13302</v>
      </c>
      <c r="C7239" s="220" t="s">
        <v>13303</v>
      </c>
      <c r="D7239" s="221">
        <v>7183.85</v>
      </c>
      <c r="E7239" s="221">
        <v>5331.36</v>
      </c>
      <c r="F7239" s="221">
        <v>522.71</v>
      </c>
      <c r="G7239" s="221">
        <v>1329.78</v>
      </c>
      <c r="H7239" s="222">
        <v>72020.59</v>
      </c>
      <c r="I7239" s="222">
        <v>61312.959999999999</v>
      </c>
      <c r="J7239" s="222">
        <v>2765.24</v>
      </c>
      <c r="K7239" s="222">
        <v>7942.39</v>
      </c>
      <c r="L7239" s="43">
        <v>10.025347132804832</v>
      </c>
      <c r="M7239" s="43">
        <v>11.500435161009575</v>
      </c>
      <c r="N7239" s="43">
        <v>5.2901991544068405</v>
      </c>
      <c r="O7239" s="43">
        <v>5.9727097715411572</v>
      </c>
      <c r="P7239" s="223"/>
      <c r="Q7239" s="223"/>
      <c r="R7239" s="223">
        <v>14</v>
      </c>
    </row>
    <row r="7240" spans="1:18" ht="30.75" customHeight="1">
      <c r="A7240" s="628" t="s">
        <v>13304</v>
      </c>
      <c r="B7240" s="629"/>
      <c r="C7240" s="629"/>
      <c r="D7240" s="629"/>
      <c r="E7240" s="629"/>
      <c r="F7240" s="629"/>
      <c r="G7240" s="629"/>
      <c r="H7240" s="629"/>
      <c r="I7240" s="629"/>
      <c r="J7240" s="629"/>
      <c r="K7240" s="629"/>
      <c r="L7240" s="629"/>
      <c r="M7240" s="629"/>
      <c r="N7240" s="629"/>
      <c r="O7240" s="629"/>
      <c r="P7240" s="629"/>
      <c r="Q7240" s="629"/>
      <c r="R7240" s="629"/>
    </row>
    <row r="7241" spans="1:18" ht="72">
      <c r="A7241" s="219">
        <v>201</v>
      </c>
      <c r="B7241" s="216" t="s">
        <v>13305</v>
      </c>
      <c r="C7241" s="220" t="s">
        <v>13306</v>
      </c>
      <c r="D7241" s="221">
        <v>1691.77</v>
      </c>
      <c r="E7241" s="221">
        <v>1286.8800000000001</v>
      </c>
      <c r="F7241" s="221">
        <v>376.03</v>
      </c>
      <c r="G7241" s="221">
        <v>28.86</v>
      </c>
      <c r="H7241" s="222">
        <v>17067.45</v>
      </c>
      <c r="I7241" s="222">
        <v>14799.68</v>
      </c>
      <c r="J7241" s="222">
        <v>1955.59</v>
      </c>
      <c r="K7241" s="222">
        <v>312.18</v>
      </c>
      <c r="L7241" s="43">
        <v>10.088516760552558</v>
      </c>
      <c r="M7241" s="43">
        <v>11.500435161009573</v>
      </c>
      <c r="N7241" s="43">
        <v>5.200622290774672</v>
      </c>
      <c r="O7241" s="43">
        <v>10.817047817047818</v>
      </c>
      <c r="P7241" s="223"/>
      <c r="Q7241" s="223"/>
      <c r="R7241" s="223">
        <v>15</v>
      </c>
    </row>
    <row r="7242" spans="1:18" ht="72">
      <c r="A7242" s="219">
        <v>202</v>
      </c>
      <c r="B7242" s="216" t="s">
        <v>13307</v>
      </c>
      <c r="C7242" s="220" t="s">
        <v>13308</v>
      </c>
      <c r="D7242" s="221">
        <v>2463.9699999999998</v>
      </c>
      <c r="E7242" s="221">
        <v>1286.8800000000001</v>
      </c>
      <c r="F7242" s="221">
        <v>1137.6199999999999</v>
      </c>
      <c r="G7242" s="221">
        <v>39.47</v>
      </c>
      <c r="H7242" s="222">
        <v>21184.33</v>
      </c>
      <c r="I7242" s="222">
        <v>14799.68</v>
      </c>
      <c r="J7242" s="222">
        <v>6017.49</v>
      </c>
      <c r="K7242" s="222">
        <v>367.16</v>
      </c>
      <c r="L7242" s="43">
        <v>8.5976412050471414</v>
      </c>
      <c r="M7242" s="43">
        <v>11.500435161009573</v>
      </c>
      <c r="N7242" s="43">
        <v>5.2895430811694597</v>
      </c>
      <c r="O7242" s="43">
        <v>9.3022548771218663</v>
      </c>
      <c r="P7242" s="223"/>
      <c r="Q7242" s="223"/>
      <c r="R7242" s="223">
        <v>15</v>
      </c>
    </row>
    <row r="7243" spans="1:18" ht="72">
      <c r="A7243" s="219">
        <v>203</v>
      </c>
      <c r="B7243" s="216" t="s">
        <v>13309</v>
      </c>
      <c r="C7243" s="220" t="s">
        <v>13310</v>
      </c>
      <c r="D7243" s="221">
        <v>4937.62</v>
      </c>
      <c r="E7243" s="221">
        <v>2585.25</v>
      </c>
      <c r="F7243" s="221">
        <v>2286.9299999999998</v>
      </c>
      <c r="G7243" s="221">
        <v>65.44</v>
      </c>
      <c r="H7243" s="222">
        <v>42593</v>
      </c>
      <c r="I7243" s="222">
        <v>29731.5</v>
      </c>
      <c r="J7243" s="222">
        <v>12195.68</v>
      </c>
      <c r="K7243" s="222">
        <v>665.82</v>
      </c>
      <c r="L7243" s="43">
        <v>8.6262207298253006</v>
      </c>
      <c r="M7243" s="43">
        <v>11.500435161009573</v>
      </c>
      <c r="N7243" s="43">
        <v>5.3327736310249989</v>
      </c>
      <c r="O7243" s="43">
        <v>10.174511002444989</v>
      </c>
      <c r="P7243" s="223"/>
      <c r="Q7243" s="223"/>
      <c r="R7243" s="223">
        <v>15</v>
      </c>
    </row>
    <row r="7244" spans="1:18" ht="72">
      <c r="A7244" s="219">
        <v>204</v>
      </c>
      <c r="B7244" s="216" t="s">
        <v>13311</v>
      </c>
      <c r="C7244" s="220" t="s">
        <v>13312</v>
      </c>
      <c r="D7244" s="221">
        <v>12101.55</v>
      </c>
      <c r="E7244" s="221">
        <v>6445.89</v>
      </c>
      <c r="F7244" s="221">
        <v>5505.52</v>
      </c>
      <c r="G7244" s="221">
        <v>150.13999999999999</v>
      </c>
      <c r="H7244" s="222">
        <v>105200.15</v>
      </c>
      <c r="I7244" s="222">
        <v>74130.539999999994</v>
      </c>
      <c r="J7244" s="222">
        <v>29477.07</v>
      </c>
      <c r="K7244" s="222">
        <v>1592.54</v>
      </c>
      <c r="L7244" s="43">
        <v>8.6931136920477137</v>
      </c>
      <c r="M7244" s="43">
        <v>11.500435161009571</v>
      </c>
      <c r="N7244" s="43">
        <v>5.3540937095860146</v>
      </c>
      <c r="O7244" s="43">
        <v>10.607033435460238</v>
      </c>
      <c r="P7244" s="223"/>
      <c r="Q7244" s="223"/>
      <c r="R7244" s="223">
        <v>15</v>
      </c>
    </row>
    <row r="7245" spans="1:18" ht="60">
      <c r="A7245" s="219">
        <v>205</v>
      </c>
      <c r="B7245" s="216" t="s">
        <v>13313</v>
      </c>
      <c r="C7245" s="220" t="s">
        <v>13314</v>
      </c>
      <c r="D7245" s="221">
        <v>19562.53</v>
      </c>
      <c r="E7245" s="221">
        <v>9031.14</v>
      </c>
      <c r="F7245" s="221">
        <v>10294.61</v>
      </c>
      <c r="G7245" s="221">
        <v>236.78</v>
      </c>
      <c r="H7245" s="222">
        <v>161469.67000000001</v>
      </c>
      <c r="I7245" s="222">
        <v>103862.04</v>
      </c>
      <c r="J7245" s="222">
        <v>55239.44</v>
      </c>
      <c r="K7245" s="222">
        <v>2368.19</v>
      </c>
      <c r="L7245" s="43">
        <v>8.2540279810433521</v>
      </c>
      <c r="M7245" s="43">
        <v>11.500435161009573</v>
      </c>
      <c r="N7245" s="43">
        <v>5.3658603871346271</v>
      </c>
      <c r="O7245" s="43">
        <v>10.001647098572514</v>
      </c>
      <c r="P7245" s="223"/>
      <c r="Q7245" s="223"/>
      <c r="R7245" s="223">
        <v>15</v>
      </c>
    </row>
    <row r="7246" spans="1:18" ht="60">
      <c r="A7246" s="219">
        <v>206</v>
      </c>
      <c r="B7246" s="216" t="s">
        <v>13315</v>
      </c>
      <c r="C7246" s="220" t="s">
        <v>13316</v>
      </c>
      <c r="D7246" s="221">
        <v>19562.53</v>
      </c>
      <c r="E7246" s="221">
        <v>9031.14</v>
      </c>
      <c r="F7246" s="221">
        <v>10294.61</v>
      </c>
      <c r="G7246" s="221">
        <v>236.78</v>
      </c>
      <c r="H7246" s="222">
        <v>161469.67000000001</v>
      </c>
      <c r="I7246" s="222">
        <v>103862.04</v>
      </c>
      <c r="J7246" s="222">
        <v>55239.44</v>
      </c>
      <c r="K7246" s="222">
        <v>2368.19</v>
      </c>
      <c r="L7246" s="43">
        <v>8.2540279810433521</v>
      </c>
      <c r="M7246" s="43">
        <v>11.500435161009573</v>
      </c>
      <c r="N7246" s="43">
        <v>5.3658603871346271</v>
      </c>
      <c r="O7246" s="43">
        <v>10.001647098572514</v>
      </c>
      <c r="P7246" s="223"/>
      <c r="Q7246" s="223"/>
      <c r="R7246" s="223">
        <v>15</v>
      </c>
    </row>
    <row r="7247" spans="1:18" ht="72">
      <c r="A7247" s="219">
        <v>207</v>
      </c>
      <c r="B7247" s="216" t="s">
        <v>13317</v>
      </c>
      <c r="C7247" s="220" t="s">
        <v>13318</v>
      </c>
      <c r="D7247" s="221">
        <v>30118.81</v>
      </c>
      <c r="E7247" s="221">
        <v>14132.7</v>
      </c>
      <c r="F7247" s="221">
        <v>15591.14</v>
      </c>
      <c r="G7247" s="221">
        <v>394.97</v>
      </c>
      <c r="H7247" s="222">
        <v>249953.71</v>
      </c>
      <c r="I7247" s="222">
        <v>162532.20000000001</v>
      </c>
      <c r="J7247" s="222">
        <v>83588.91</v>
      </c>
      <c r="K7247" s="222">
        <v>3832.6</v>
      </c>
      <c r="L7247" s="43">
        <v>8.2989238286638809</v>
      </c>
      <c r="M7247" s="43">
        <v>11.500435161009573</v>
      </c>
      <c r="N7247" s="43">
        <v>5.3613084097763224</v>
      </c>
      <c r="O7247" s="43">
        <v>9.703521786464794</v>
      </c>
      <c r="P7247" s="223"/>
      <c r="Q7247" s="223"/>
      <c r="R7247" s="223">
        <v>15</v>
      </c>
    </row>
    <row r="7248" spans="1:18" ht="29.25" customHeight="1">
      <c r="A7248" s="628" t="s">
        <v>13319</v>
      </c>
      <c r="B7248" s="629"/>
      <c r="C7248" s="629"/>
      <c r="D7248" s="629"/>
      <c r="E7248" s="629"/>
      <c r="F7248" s="629"/>
      <c r="G7248" s="629"/>
      <c r="H7248" s="629"/>
      <c r="I7248" s="629"/>
      <c r="J7248" s="629"/>
      <c r="K7248" s="629"/>
      <c r="L7248" s="629"/>
      <c r="M7248" s="629"/>
      <c r="N7248" s="629"/>
      <c r="O7248" s="629"/>
      <c r="P7248" s="629"/>
      <c r="Q7248" s="629"/>
      <c r="R7248" s="629"/>
    </row>
    <row r="7249" spans="1:18" ht="48">
      <c r="A7249" s="219">
        <v>208</v>
      </c>
      <c r="B7249" s="216" t="s">
        <v>13320</v>
      </c>
      <c r="C7249" s="220" t="s">
        <v>13321</v>
      </c>
      <c r="D7249" s="221">
        <v>5281.71</v>
      </c>
      <c r="E7249" s="221">
        <v>1355.82</v>
      </c>
      <c r="F7249" s="221">
        <v>3898.77</v>
      </c>
      <c r="G7249" s="221">
        <v>27.12</v>
      </c>
      <c r="H7249" s="222">
        <v>42937.93</v>
      </c>
      <c r="I7249" s="222">
        <v>15592.52</v>
      </c>
      <c r="J7249" s="222">
        <v>27033.53</v>
      </c>
      <c r="K7249" s="222">
        <v>311.88</v>
      </c>
      <c r="L7249" s="43">
        <v>8.129550846222152</v>
      </c>
      <c r="M7249" s="43">
        <v>11.500435161009575</v>
      </c>
      <c r="N7249" s="43">
        <v>6.9338611921195659</v>
      </c>
      <c r="O7249" s="43">
        <v>11.5</v>
      </c>
      <c r="P7249" s="223"/>
      <c r="Q7249" s="223"/>
      <c r="R7249" s="223">
        <v>16</v>
      </c>
    </row>
    <row r="7250" spans="1:18" ht="48">
      <c r="A7250" s="219">
        <v>209</v>
      </c>
      <c r="B7250" s="216" t="s">
        <v>13322</v>
      </c>
      <c r="C7250" s="220" t="s">
        <v>13323</v>
      </c>
      <c r="D7250" s="221">
        <v>6475.78</v>
      </c>
      <c r="E7250" s="221">
        <v>1355.82</v>
      </c>
      <c r="F7250" s="221">
        <v>5092.84</v>
      </c>
      <c r="G7250" s="221">
        <v>27.12</v>
      </c>
      <c r="H7250" s="222">
        <v>50817.59</v>
      </c>
      <c r="I7250" s="222">
        <v>15592.52</v>
      </c>
      <c r="J7250" s="222">
        <v>34913.19</v>
      </c>
      <c r="K7250" s="222">
        <v>311.88</v>
      </c>
      <c r="L7250" s="43">
        <v>7.8473311323114743</v>
      </c>
      <c r="M7250" s="43">
        <v>11.500435161009575</v>
      </c>
      <c r="N7250" s="43">
        <v>6.8553479001892859</v>
      </c>
      <c r="O7250" s="43">
        <v>11.5</v>
      </c>
      <c r="P7250" s="223"/>
      <c r="Q7250" s="223"/>
      <c r="R7250" s="223">
        <v>16</v>
      </c>
    </row>
    <row r="7251" spans="1:18" ht="48">
      <c r="A7251" s="219">
        <v>210</v>
      </c>
      <c r="B7251" s="216" t="s">
        <v>13324</v>
      </c>
      <c r="C7251" s="220" t="s">
        <v>13325</v>
      </c>
      <c r="D7251" s="221">
        <v>10372.370000000001</v>
      </c>
      <c r="E7251" s="221">
        <v>2792.07</v>
      </c>
      <c r="F7251" s="221">
        <v>7524.46</v>
      </c>
      <c r="G7251" s="221">
        <v>55.84</v>
      </c>
      <c r="H7251" s="222">
        <v>82899.839999999997</v>
      </c>
      <c r="I7251" s="222">
        <v>32110.02</v>
      </c>
      <c r="J7251" s="222">
        <v>50147.66</v>
      </c>
      <c r="K7251" s="222">
        <v>642.16</v>
      </c>
      <c r="L7251" s="43">
        <v>7.9923720422622786</v>
      </c>
      <c r="M7251" s="43">
        <v>11.500435161009573</v>
      </c>
      <c r="N7251" s="43">
        <v>6.6646191221695652</v>
      </c>
      <c r="O7251" s="43">
        <v>11.499999999999998</v>
      </c>
      <c r="P7251" s="223"/>
      <c r="Q7251" s="223"/>
      <c r="R7251" s="223">
        <v>16</v>
      </c>
    </row>
    <row r="7252" spans="1:18" ht="48">
      <c r="A7252" s="219">
        <v>211</v>
      </c>
      <c r="B7252" s="216" t="s">
        <v>13326</v>
      </c>
      <c r="C7252" s="220" t="s">
        <v>13327</v>
      </c>
      <c r="D7252" s="221">
        <v>11830.17</v>
      </c>
      <c r="E7252" s="221">
        <v>2792.07</v>
      </c>
      <c r="F7252" s="221">
        <v>8982.26</v>
      </c>
      <c r="G7252" s="221">
        <v>55.84</v>
      </c>
      <c r="H7252" s="222">
        <v>92602.559999999998</v>
      </c>
      <c r="I7252" s="222">
        <v>32110.02</v>
      </c>
      <c r="J7252" s="222">
        <v>59850.38</v>
      </c>
      <c r="K7252" s="222">
        <v>642.16</v>
      </c>
      <c r="L7252" s="43">
        <v>7.8276609719048835</v>
      </c>
      <c r="M7252" s="43">
        <v>11.500435161009573</v>
      </c>
      <c r="N7252" s="43">
        <v>6.6631760826339912</v>
      </c>
      <c r="O7252" s="43">
        <v>11.499999999999998</v>
      </c>
      <c r="P7252" s="223"/>
      <c r="Q7252" s="223"/>
      <c r="R7252" s="223">
        <v>16</v>
      </c>
    </row>
    <row r="7253" spans="1:18" ht="48">
      <c r="A7253" s="219">
        <v>212</v>
      </c>
      <c r="B7253" s="216" t="s">
        <v>13328</v>
      </c>
      <c r="C7253" s="220" t="s">
        <v>13329</v>
      </c>
      <c r="D7253" s="221">
        <v>20512.03</v>
      </c>
      <c r="E7253" s="221">
        <v>5561.16</v>
      </c>
      <c r="F7253" s="221">
        <v>14839.65</v>
      </c>
      <c r="G7253" s="221">
        <v>111.22</v>
      </c>
      <c r="H7253" s="222">
        <v>164854.87</v>
      </c>
      <c r="I7253" s="222">
        <v>63955.76</v>
      </c>
      <c r="J7253" s="222">
        <v>99620.08</v>
      </c>
      <c r="K7253" s="222">
        <v>1279.03</v>
      </c>
      <c r="L7253" s="43">
        <v>8.036984637795479</v>
      </c>
      <c r="M7253" s="43">
        <v>11.500435161009575</v>
      </c>
      <c r="N7253" s="43">
        <v>6.7131017240972666</v>
      </c>
      <c r="O7253" s="43">
        <v>11.5</v>
      </c>
      <c r="P7253" s="223"/>
      <c r="Q7253" s="223"/>
      <c r="R7253" s="223">
        <v>16</v>
      </c>
    </row>
    <row r="7254" spans="1:18" ht="24.75" customHeight="1">
      <c r="A7254" s="628" t="s">
        <v>13330</v>
      </c>
      <c r="B7254" s="629"/>
      <c r="C7254" s="629"/>
      <c r="D7254" s="629"/>
      <c r="E7254" s="629"/>
      <c r="F7254" s="629"/>
      <c r="G7254" s="629"/>
      <c r="H7254" s="629"/>
      <c r="I7254" s="629"/>
      <c r="J7254" s="629"/>
      <c r="K7254" s="629"/>
      <c r="L7254" s="629"/>
      <c r="M7254" s="629"/>
      <c r="N7254" s="629"/>
      <c r="O7254" s="629"/>
      <c r="P7254" s="629"/>
      <c r="Q7254" s="629"/>
      <c r="R7254" s="629"/>
    </row>
    <row r="7255" spans="1:18" ht="48">
      <c r="A7255" s="219">
        <v>213</v>
      </c>
      <c r="B7255" s="216" t="s">
        <v>13331</v>
      </c>
      <c r="C7255" s="220" t="s">
        <v>13332</v>
      </c>
      <c r="D7255" s="221">
        <v>695.86</v>
      </c>
      <c r="E7255" s="221">
        <v>423.98</v>
      </c>
      <c r="F7255" s="221">
        <v>263.39999999999998</v>
      </c>
      <c r="G7255" s="221">
        <v>8.48</v>
      </c>
      <c r="H7255" s="222">
        <v>6398.87</v>
      </c>
      <c r="I7255" s="222">
        <v>4875.97</v>
      </c>
      <c r="J7255" s="222">
        <v>1425.38</v>
      </c>
      <c r="K7255" s="222">
        <v>97.52</v>
      </c>
      <c r="L7255" s="43">
        <v>9.1956284310062362</v>
      </c>
      <c r="M7255" s="43">
        <v>11.500471720364168</v>
      </c>
      <c r="N7255" s="43">
        <v>5.411465451784359</v>
      </c>
      <c r="O7255" s="43">
        <v>11.499999999999998</v>
      </c>
      <c r="P7255" s="223"/>
      <c r="Q7255" s="223"/>
      <c r="R7255" s="223">
        <v>17</v>
      </c>
    </row>
    <row r="7256" spans="1:18" ht="60">
      <c r="A7256" s="219">
        <v>214</v>
      </c>
      <c r="B7256" s="216" t="s">
        <v>13333</v>
      </c>
      <c r="C7256" s="220" t="s">
        <v>13334</v>
      </c>
      <c r="D7256" s="221">
        <v>835.32</v>
      </c>
      <c r="E7256" s="221">
        <v>560.71</v>
      </c>
      <c r="F7256" s="221">
        <v>263.39999999999998</v>
      </c>
      <c r="G7256" s="221">
        <v>11.21</v>
      </c>
      <c r="H7256" s="222">
        <v>8002.73</v>
      </c>
      <c r="I7256" s="222">
        <v>6448.43</v>
      </c>
      <c r="J7256" s="222">
        <v>1425.38</v>
      </c>
      <c r="K7256" s="222">
        <v>128.91999999999999</v>
      </c>
      <c r="L7256" s="43">
        <v>9.580436240003829</v>
      </c>
      <c r="M7256" s="43">
        <v>11.500472615077312</v>
      </c>
      <c r="N7256" s="43">
        <v>5.411465451784359</v>
      </c>
      <c r="O7256" s="43">
        <v>11.50044603033006</v>
      </c>
      <c r="P7256" s="223"/>
      <c r="Q7256" s="223"/>
      <c r="R7256" s="223">
        <v>17</v>
      </c>
    </row>
    <row r="7257" spans="1:18" ht="48">
      <c r="A7257" s="219">
        <v>215</v>
      </c>
      <c r="B7257" s="216" t="s">
        <v>13335</v>
      </c>
      <c r="C7257" s="220" t="s">
        <v>13336</v>
      </c>
      <c r="D7257" s="221">
        <v>988.85</v>
      </c>
      <c r="E7257" s="221">
        <v>711.23</v>
      </c>
      <c r="F7257" s="221">
        <v>263.39999999999998</v>
      </c>
      <c r="G7257" s="221">
        <v>14.22</v>
      </c>
      <c r="H7257" s="222">
        <v>9768.3799999999992</v>
      </c>
      <c r="I7257" s="222">
        <v>8179.47</v>
      </c>
      <c r="J7257" s="222">
        <v>1425.38</v>
      </c>
      <c r="K7257" s="222">
        <v>163.53</v>
      </c>
      <c r="L7257" s="43">
        <v>9.8785255599939319</v>
      </c>
      <c r="M7257" s="43">
        <v>11.500456954852861</v>
      </c>
      <c r="N7257" s="43">
        <v>5.411465451784359</v>
      </c>
      <c r="O7257" s="43">
        <v>11.5</v>
      </c>
      <c r="P7257" s="223"/>
      <c r="Q7257" s="223"/>
      <c r="R7257" s="223">
        <v>17</v>
      </c>
    </row>
    <row r="7258" spans="1:18" ht="48">
      <c r="A7258" s="219">
        <v>216</v>
      </c>
      <c r="B7258" s="216" t="s">
        <v>13337</v>
      </c>
      <c r="C7258" s="220" t="s">
        <v>13338</v>
      </c>
      <c r="D7258" s="221">
        <v>1387.86</v>
      </c>
      <c r="E7258" s="221">
        <v>847.96</v>
      </c>
      <c r="F7258" s="221">
        <v>522.94000000000005</v>
      </c>
      <c r="G7258" s="221">
        <v>16.96</v>
      </c>
      <c r="H7258" s="222">
        <v>12767.86</v>
      </c>
      <c r="I7258" s="222">
        <v>9751.93</v>
      </c>
      <c r="J7258" s="222">
        <v>2820.89</v>
      </c>
      <c r="K7258" s="222">
        <v>195.04</v>
      </c>
      <c r="L7258" s="43">
        <v>9.1996743187353207</v>
      </c>
      <c r="M7258" s="43">
        <v>11.500459927355063</v>
      </c>
      <c r="N7258" s="43">
        <v>5.3942899759054566</v>
      </c>
      <c r="O7258" s="43">
        <v>11.499999999999998</v>
      </c>
      <c r="P7258" s="223"/>
      <c r="Q7258" s="223"/>
      <c r="R7258" s="223">
        <v>17</v>
      </c>
    </row>
    <row r="7259" spans="1:18" ht="48">
      <c r="A7259" s="219">
        <v>217</v>
      </c>
      <c r="B7259" s="216" t="s">
        <v>13339</v>
      </c>
      <c r="C7259" s="220" t="s">
        <v>13340</v>
      </c>
      <c r="D7259" s="221">
        <v>1613.81</v>
      </c>
      <c r="E7259" s="221">
        <v>984.69</v>
      </c>
      <c r="F7259" s="221">
        <v>609.42999999999995</v>
      </c>
      <c r="G7259" s="221">
        <v>19.690000000000001</v>
      </c>
      <c r="H7259" s="222">
        <v>14839.54</v>
      </c>
      <c r="I7259" s="222">
        <v>11324.4</v>
      </c>
      <c r="J7259" s="222">
        <v>3288.7</v>
      </c>
      <c r="K7259" s="222">
        <v>226.44</v>
      </c>
      <c r="L7259" s="43">
        <v>9.1953451769415242</v>
      </c>
      <c r="M7259" s="43">
        <v>11.500472229838831</v>
      </c>
      <c r="N7259" s="43">
        <v>5.3963539701032115</v>
      </c>
      <c r="O7259" s="43">
        <v>11.500253936008125</v>
      </c>
      <c r="P7259" s="223"/>
      <c r="Q7259" s="223"/>
      <c r="R7259" s="223">
        <v>17</v>
      </c>
    </row>
    <row r="7260" spans="1:18" ht="48">
      <c r="A7260" s="219">
        <v>218</v>
      </c>
      <c r="B7260" s="216" t="s">
        <v>13341</v>
      </c>
      <c r="C7260" s="220" t="s">
        <v>13342</v>
      </c>
      <c r="D7260" s="221">
        <v>1933.3</v>
      </c>
      <c r="E7260" s="221">
        <v>1121.42</v>
      </c>
      <c r="F7260" s="221">
        <v>789.45</v>
      </c>
      <c r="G7260" s="221">
        <v>22.43</v>
      </c>
      <c r="H7260" s="222">
        <v>17429.490000000002</v>
      </c>
      <c r="I7260" s="222">
        <v>12896.86</v>
      </c>
      <c r="J7260" s="222">
        <v>4274.68</v>
      </c>
      <c r="K7260" s="222">
        <v>257.95</v>
      </c>
      <c r="L7260" s="43">
        <v>9.0154088863601114</v>
      </c>
      <c r="M7260" s="43">
        <v>11.500472615077312</v>
      </c>
      <c r="N7260" s="43">
        <v>5.4147571093799485</v>
      </c>
      <c r="O7260" s="43">
        <v>11.500222915737851</v>
      </c>
      <c r="P7260" s="223"/>
      <c r="Q7260" s="223"/>
      <c r="R7260" s="223">
        <v>17</v>
      </c>
    </row>
    <row r="7261" spans="1:18" ht="48">
      <c r="A7261" s="219">
        <v>219</v>
      </c>
      <c r="B7261" s="216" t="s">
        <v>13343</v>
      </c>
      <c r="C7261" s="220" t="s">
        <v>13344</v>
      </c>
      <c r="D7261" s="221">
        <v>2408.9499999999998</v>
      </c>
      <c r="E7261" s="221">
        <v>1413.27</v>
      </c>
      <c r="F7261" s="221">
        <v>967.41</v>
      </c>
      <c r="G7261" s="221">
        <v>28.27</v>
      </c>
      <c r="H7261" s="222">
        <v>21818.7</v>
      </c>
      <c r="I7261" s="222">
        <v>16253.22</v>
      </c>
      <c r="J7261" s="222">
        <v>5240.37</v>
      </c>
      <c r="K7261" s="222">
        <v>325.11</v>
      </c>
      <c r="L7261" s="43">
        <v>9.0573486373731296</v>
      </c>
      <c r="M7261" s="43">
        <v>11.500435161009573</v>
      </c>
      <c r="N7261" s="43">
        <v>5.416906999100692</v>
      </c>
      <c r="O7261" s="43">
        <v>11.500176865935622</v>
      </c>
      <c r="P7261" s="223"/>
      <c r="Q7261" s="223"/>
      <c r="R7261" s="223">
        <v>17</v>
      </c>
    </row>
    <row r="7262" spans="1:18" ht="48">
      <c r="A7262" s="219">
        <v>220</v>
      </c>
      <c r="B7262" s="216" t="s">
        <v>13345</v>
      </c>
      <c r="C7262" s="220" t="s">
        <v>13346</v>
      </c>
      <c r="D7262" s="221">
        <v>2838.57</v>
      </c>
      <c r="E7262" s="221">
        <v>1826.91</v>
      </c>
      <c r="F7262" s="221">
        <v>975.12</v>
      </c>
      <c r="G7262" s="221">
        <v>36.54</v>
      </c>
      <c r="H7262" s="222">
        <v>26730.58</v>
      </c>
      <c r="I7262" s="222">
        <v>21010.26</v>
      </c>
      <c r="J7262" s="222">
        <v>5300.11</v>
      </c>
      <c r="K7262" s="222">
        <v>420.21</v>
      </c>
      <c r="L7262" s="43">
        <v>9.4169176733355169</v>
      </c>
      <c r="M7262" s="43">
        <v>11.500435161009571</v>
      </c>
      <c r="N7262" s="43">
        <v>5.4353412913282462</v>
      </c>
      <c r="O7262" s="43">
        <v>11.5</v>
      </c>
      <c r="P7262" s="223"/>
      <c r="Q7262" s="223"/>
      <c r="R7262" s="223">
        <v>17</v>
      </c>
    </row>
    <row r="7263" spans="1:18" ht="48">
      <c r="A7263" s="219">
        <v>221</v>
      </c>
      <c r="B7263" s="216" t="s">
        <v>13347</v>
      </c>
      <c r="C7263" s="220" t="s">
        <v>13348</v>
      </c>
      <c r="D7263" s="221">
        <v>3131.56</v>
      </c>
      <c r="E7263" s="221">
        <v>2114.16</v>
      </c>
      <c r="F7263" s="221">
        <v>975.12</v>
      </c>
      <c r="G7263" s="221">
        <v>42.28</v>
      </c>
      <c r="H7263" s="222">
        <v>30100.09</v>
      </c>
      <c r="I7263" s="222">
        <v>24313.759999999998</v>
      </c>
      <c r="J7263" s="222">
        <v>5300.11</v>
      </c>
      <c r="K7263" s="222">
        <v>486.22</v>
      </c>
      <c r="L7263" s="43">
        <v>9.6118516011189321</v>
      </c>
      <c r="M7263" s="43">
        <v>11.500435161009573</v>
      </c>
      <c r="N7263" s="43">
        <v>5.4353412913282462</v>
      </c>
      <c r="O7263" s="43">
        <v>11.5</v>
      </c>
      <c r="P7263" s="223"/>
      <c r="Q7263" s="223"/>
      <c r="R7263" s="223">
        <v>17</v>
      </c>
    </row>
    <row r="7264" spans="1:18" ht="48">
      <c r="A7264" s="219">
        <v>222</v>
      </c>
      <c r="B7264" s="216" t="s">
        <v>13349</v>
      </c>
      <c r="C7264" s="220" t="s">
        <v>13350</v>
      </c>
      <c r="D7264" s="221">
        <v>3140.67</v>
      </c>
      <c r="E7264" s="221">
        <v>2114.16</v>
      </c>
      <c r="F7264" s="221">
        <v>984.23</v>
      </c>
      <c r="G7264" s="221">
        <v>42.28</v>
      </c>
      <c r="H7264" s="222">
        <v>30170.69</v>
      </c>
      <c r="I7264" s="222">
        <v>24313.759999999998</v>
      </c>
      <c r="J7264" s="222">
        <v>5370.71</v>
      </c>
      <c r="K7264" s="222">
        <v>486.22</v>
      </c>
      <c r="L7264" s="43">
        <v>9.6064502160367056</v>
      </c>
      <c r="M7264" s="43">
        <v>11.500435161009573</v>
      </c>
      <c r="N7264" s="43">
        <v>5.4567631549536184</v>
      </c>
      <c r="O7264" s="43">
        <v>11.5</v>
      </c>
      <c r="P7264" s="223"/>
      <c r="Q7264" s="223"/>
      <c r="R7264" s="223">
        <v>17</v>
      </c>
    </row>
    <row r="7265" spans="1:18" ht="60">
      <c r="A7265" s="219">
        <v>223</v>
      </c>
      <c r="B7265" s="216" t="s">
        <v>13351</v>
      </c>
      <c r="C7265" s="220" t="s">
        <v>13352</v>
      </c>
      <c r="D7265" s="221">
        <v>3865.03</v>
      </c>
      <c r="E7265" s="221">
        <v>2815.05</v>
      </c>
      <c r="F7265" s="221">
        <v>993.68</v>
      </c>
      <c r="G7265" s="221">
        <v>56.3</v>
      </c>
      <c r="H7265" s="222">
        <v>38465.769999999997</v>
      </c>
      <c r="I7265" s="222">
        <v>32374.3</v>
      </c>
      <c r="J7265" s="222">
        <v>5444.02</v>
      </c>
      <c r="K7265" s="222">
        <v>647.45000000000005</v>
      </c>
      <c r="L7265" s="43">
        <v>9.9522565154733584</v>
      </c>
      <c r="M7265" s="43">
        <v>11.500435161009573</v>
      </c>
      <c r="N7265" s="43">
        <v>5.4786450366315123</v>
      </c>
      <c r="O7265" s="43">
        <v>11.500000000000002</v>
      </c>
      <c r="P7265" s="223"/>
      <c r="Q7265" s="223"/>
      <c r="R7265" s="223">
        <v>17</v>
      </c>
    </row>
    <row r="7266" spans="1:18" ht="21" customHeight="1">
      <c r="A7266" s="628" t="s">
        <v>13353</v>
      </c>
      <c r="B7266" s="629"/>
      <c r="C7266" s="629"/>
      <c r="D7266" s="629"/>
      <c r="E7266" s="629"/>
      <c r="F7266" s="629"/>
      <c r="G7266" s="629"/>
      <c r="H7266" s="629"/>
      <c r="I7266" s="629"/>
      <c r="J7266" s="629"/>
      <c r="K7266" s="629"/>
      <c r="L7266" s="629"/>
      <c r="M7266" s="629"/>
      <c r="N7266" s="629"/>
      <c r="O7266" s="629"/>
      <c r="P7266" s="629"/>
      <c r="Q7266" s="629"/>
      <c r="R7266" s="629"/>
    </row>
    <row r="7267" spans="1:18" ht="36">
      <c r="A7267" s="219">
        <v>224</v>
      </c>
      <c r="B7267" s="216" t="s">
        <v>13354</v>
      </c>
      <c r="C7267" s="220" t="s">
        <v>13355</v>
      </c>
      <c r="D7267" s="221">
        <v>272.98</v>
      </c>
      <c r="E7267" s="221">
        <v>236.69</v>
      </c>
      <c r="F7267" s="221">
        <v>20.83</v>
      </c>
      <c r="G7267" s="221">
        <v>15.46</v>
      </c>
      <c r="H7267" s="222">
        <v>2947.57</v>
      </c>
      <c r="I7267" s="222">
        <v>2722.08</v>
      </c>
      <c r="J7267" s="222">
        <v>109.91</v>
      </c>
      <c r="K7267" s="222">
        <v>115.58</v>
      </c>
      <c r="L7267" s="43">
        <v>10.797750750970767</v>
      </c>
      <c r="M7267" s="43">
        <v>11.500612615657611</v>
      </c>
      <c r="N7267" s="43">
        <v>5.2765242438790212</v>
      </c>
      <c r="O7267" s="43">
        <v>7.4760672703751609</v>
      </c>
      <c r="P7267" s="223"/>
      <c r="Q7267" s="223"/>
      <c r="R7267" s="223">
        <v>18</v>
      </c>
    </row>
    <row r="7268" spans="1:18" ht="36">
      <c r="A7268" s="219">
        <v>225</v>
      </c>
      <c r="B7268" s="216" t="s">
        <v>13356</v>
      </c>
      <c r="C7268" s="220" t="s">
        <v>13357</v>
      </c>
      <c r="D7268" s="221">
        <v>285.58</v>
      </c>
      <c r="E7268" s="221">
        <v>236.69</v>
      </c>
      <c r="F7268" s="221">
        <v>26.91</v>
      </c>
      <c r="G7268" s="221">
        <v>21.98</v>
      </c>
      <c r="H7268" s="222">
        <v>3015.74</v>
      </c>
      <c r="I7268" s="222">
        <v>2722.08</v>
      </c>
      <c r="J7268" s="222">
        <v>142.08000000000001</v>
      </c>
      <c r="K7268" s="222">
        <v>151.58000000000001</v>
      </c>
      <c r="L7268" s="43">
        <v>10.560053225015757</v>
      </c>
      <c r="M7268" s="43">
        <v>11.500612615657611</v>
      </c>
      <c r="N7268" s="43">
        <v>5.2798216276477152</v>
      </c>
      <c r="O7268" s="43">
        <v>6.896269335759782</v>
      </c>
      <c r="P7268" s="223"/>
      <c r="Q7268" s="223"/>
      <c r="R7268" s="223">
        <v>18</v>
      </c>
    </row>
    <row r="7269" spans="1:18" ht="36">
      <c r="A7269" s="219">
        <v>226</v>
      </c>
      <c r="B7269" s="216" t="s">
        <v>13358</v>
      </c>
      <c r="C7269" s="220" t="s">
        <v>13359</v>
      </c>
      <c r="D7269" s="221">
        <v>298.11</v>
      </c>
      <c r="E7269" s="221">
        <v>236.69</v>
      </c>
      <c r="F7269" s="221">
        <v>32.979999999999997</v>
      </c>
      <c r="G7269" s="221">
        <v>28.44</v>
      </c>
      <c r="H7269" s="222">
        <v>3082.32</v>
      </c>
      <c r="I7269" s="222">
        <v>2722.08</v>
      </c>
      <c r="J7269" s="222">
        <v>174.24</v>
      </c>
      <c r="K7269" s="222">
        <v>186</v>
      </c>
      <c r="L7269" s="43">
        <v>10.339539096306732</v>
      </c>
      <c r="M7269" s="43">
        <v>11.500612615657611</v>
      </c>
      <c r="N7269" s="43">
        <v>5.2832019405700432</v>
      </c>
      <c r="O7269" s="43">
        <v>6.5400843881856536</v>
      </c>
      <c r="P7269" s="223"/>
      <c r="Q7269" s="223"/>
      <c r="R7269" s="223">
        <v>18</v>
      </c>
    </row>
    <row r="7270" spans="1:18" ht="36">
      <c r="A7270" s="219">
        <v>227</v>
      </c>
      <c r="B7270" s="216" t="s">
        <v>13360</v>
      </c>
      <c r="C7270" s="220" t="s">
        <v>13361</v>
      </c>
      <c r="D7270" s="221">
        <v>544.48</v>
      </c>
      <c r="E7270" s="221">
        <v>356.19</v>
      </c>
      <c r="F7270" s="221">
        <v>61.58</v>
      </c>
      <c r="G7270" s="221">
        <v>126.71</v>
      </c>
      <c r="H7270" s="222">
        <v>5147.9799999999996</v>
      </c>
      <c r="I7270" s="222">
        <v>4096.34</v>
      </c>
      <c r="J7270" s="222">
        <v>325.72000000000003</v>
      </c>
      <c r="K7270" s="222">
        <v>725.92</v>
      </c>
      <c r="L7270" s="43">
        <v>9.4548560094034659</v>
      </c>
      <c r="M7270" s="43">
        <v>11.500435161009573</v>
      </c>
      <c r="N7270" s="43">
        <v>5.2893796687236119</v>
      </c>
      <c r="O7270" s="43">
        <v>5.7289874516612738</v>
      </c>
      <c r="P7270" s="223"/>
      <c r="Q7270" s="223"/>
      <c r="R7270" s="223">
        <v>18</v>
      </c>
    </row>
    <row r="7271" spans="1:18" ht="36">
      <c r="A7271" s="219">
        <v>228</v>
      </c>
      <c r="B7271" s="216" t="s">
        <v>13362</v>
      </c>
      <c r="C7271" s="220" t="s">
        <v>13363</v>
      </c>
      <c r="D7271" s="221">
        <v>699.58</v>
      </c>
      <c r="E7271" s="221">
        <v>471.09</v>
      </c>
      <c r="F7271" s="221">
        <v>94.23</v>
      </c>
      <c r="G7271" s="221">
        <v>134.26</v>
      </c>
      <c r="H7271" s="222">
        <v>6709.42</v>
      </c>
      <c r="I7271" s="222">
        <v>5417.74</v>
      </c>
      <c r="J7271" s="222">
        <v>498.64</v>
      </c>
      <c r="K7271" s="222">
        <v>793.04</v>
      </c>
      <c r="L7271" s="43">
        <v>9.5906400983447213</v>
      </c>
      <c r="M7271" s="43">
        <v>11.500435161009573</v>
      </c>
      <c r="N7271" s="43">
        <v>5.2917329937387239</v>
      </c>
      <c r="O7271" s="43">
        <v>5.9067481007001339</v>
      </c>
      <c r="P7271" s="223"/>
      <c r="Q7271" s="223"/>
      <c r="R7271" s="223">
        <v>18</v>
      </c>
    </row>
    <row r="7272" spans="1:18" ht="48">
      <c r="A7272" s="219">
        <v>229</v>
      </c>
      <c r="B7272" s="216" t="s">
        <v>13364</v>
      </c>
      <c r="C7272" s="220" t="s">
        <v>13365</v>
      </c>
      <c r="D7272" s="221">
        <v>1015.94</v>
      </c>
      <c r="E7272" s="221">
        <v>712.38</v>
      </c>
      <c r="F7272" s="221">
        <v>123.12</v>
      </c>
      <c r="G7272" s="221">
        <v>180.44</v>
      </c>
      <c r="H7272" s="222">
        <v>9913.15</v>
      </c>
      <c r="I7272" s="222">
        <v>8192.68</v>
      </c>
      <c r="J7272" s="222">
        <v>651.57000000000005</v>
      </c>
      <c r="K7272" s="222">
        <v>1068.9000000000001</v>
      </c>
      <c r="L7272" s="43">
        <v>9.757613638600704</v>
      </c>
      <c r="M7272" s="43">
        <v>11.500435161009573</v>
      </c>
      <c r="N7272" s="43">
        <v>5.2921539961013648</v>
      </c>
      <c r="O7272" s="43">
        <v>5.9238528042562635</v>
      </c>
      <c r="P7272" s="223"/>
      <c r="Q7272" s="223"/>
      <c r="R7272" s="223">
        <v>18</v>
      </c>
    </row>
    <row r="7273" spans="1:18" ht="36">
      <c r="A7273" s="219">
        <v>230</v>
      </c>
      <c r="B7273" s="216" t="s">
        <v>13366</v>
      </c>
      <c r="C7273" s="220" t="s">
        <v>13367</v>
      </c>
      <c r="D7273" s="221">
        <v>1514.06</v>
      </c>
      <c r="E7273" s="221">
        <v>1068.57</v>
      </c>
      <c r="F7273" s="221">
        <v>163.81</v>
      </c>
      <c r="G7273" s="221">
        <v>281.68</v>
      </c>
      <c r="H7273" s="222">
        <v>14826.68</v>
      </c>
      <c r="I7273" s="222">
        <v>12289.02</v>
      </c>
      <c r="J7273" s="222">
        <v>866.95</v>
      </c>
      <c r="K7273" s="222">
        <v>1670.71</v>
      </c>
      <c r="L7273" s="43">
        <v>9.7926634347383867</v>
      </c>
      <c r="M7273" s="43">
        <v>11.500435161009575</v>
      </c>
      <c r="N7273" s="43">
        <v>5.2924119406629631</v>
      </c>
      <c r="O7273" s="43">
        <v>5.9312340244248789</v>
      </c>
      <c r="P7273" s="223"/>
      <c r="Q7273" s="223"/>
      <c r="R7273" s="223">
        <v>18</v>
      </c>
    </row>
    <row r="7274" spans="1:18" ht="36">
      <c r="A7274" s="219">
        <v>231</v>
      </c>
      <c r="B7274" s="216" t="s">
        <v>13368</v>
      </c>
      <c r="C7274" s="220" t="s">
        <v>13369</v>
      </c>
      <c r="D7274" s="221">
        <v>2128.81</v>
      </c>
      <c r="E7274" s="221">
        <v>1539.66</v>
      </c>
      <c r="F7274" s="221">
        <v>190.39</v>
      </c>
      <c r="G7274" s="221">
        <v>398.76</v>
      </c>
      <c r="H7274" s="222">
        <v>21067.1</v>
      </c>
      <c r="I7274" s="222">
        <v>17706.759999999998</v>
      </c>
      <c r="J7274" s="222">
        <v>1007.57</v>
      </c>
      <c r="K7274" s="222">
        <v>2352.77</v>
      </c>
      <c r="L7274" s="43">
        <v>9.8961861321583413</v>
      </c>
      <c r="M7274" s="43">
        <v>11.500435161009571</v>
      </c>
      <c r="N7274" s="43">
        <v>5.2921371920794167</v>
      </c>
      <c r="O7274" s="43">
        <v>5.9002156685725753</v>
      </c>
      <c r="P7274" s="223"/>
      <c r="Q7274" s="223"/>
      <c r="R7274" s="223">
        <v>18</v>
      </c>
    </row>
    <row r="7275" spans="1:18" ht="48">
      <c r="A7275" s="219">
        <v>232</v>
      </c>
      <c r="B7275" s="216" t="s">
        <v>13370</v>
      </c>
      <c r="C7275" s="220" t="s">
        <v>13371</v>
      </c>
      <c r="D7275" s="221">
        <v>2738.46</v>
      </c>
      <c r="E7275" s="221">
        <v>2010.75</v>
      </c>
      <c r="F7275" s="221">
        <v>237.26</v>
      </c>
      <c r="G7275" s="221">
        <v>490.45</v>
      </c>
      <c r="H7275" s="222">
        <v>27306.05</v>
      </c>
      <c r="I7275" s="222">
        <v>23124.5</v>
      </c>
      <c r="J7275" s="222">
        <v>1255.71</v>
      </c>
      <c r="K7275" s="222">
        <v>2925.84</v>
      </c>
      <c r="L7275" s="43">
        <v>9.9713159951213459</v>
      </c>
      <c r="M7275" s="43">
        <v>11.500435161009573</v>
      </c>
      <c r="N7275" s="43">
        <v>5.2925482592936026</v>
      </c>
      <c r="O7275" s="43">
        <v>5.9656234070751353</v>
      </c>
      <c r="P7275" s="223"/>
      <c r="Q7275" s="223"/>
      <c r="R7275" s="223">
        <v>18</v>
      </c>
    </row>
    <row r="7276" spans="1:18" ht="48">
      <c r="A7276" s="219">
        <v>233</v>
      </c>
      <c r="B7276" s="216" t="s">
        <v>13372</v>
      </c>
      <c r="C7276" s="220" t="s">
        <v>13373</v>
      </c>
      <c r="D7276" s="221">
        <v>3424.86</v>
      </c>
      <c r="E7276" s="221">
        <v>2481.84</v>
      </c>
      <c r="F7276" s="221">
        <v>264.43</v>
      </c>
      <c r="G7276" s="221">
        <v>678.59</v>
      </c>
      <c r="H7276" s="222">
        <v>33936.449999999997</v>
      </c>
      <c r="I7276" s="222">
        <v>28542.240000000002</v>
      </c>
      <c r="J7276" s="222">
        <v>1399.36</v>
      </c>
      <c r="K7276" s="222">
        <v>3994.85</v>
      </c>
      <c r="L7276" s="43">
        <v>9.9088575883393766</v>
      </c>
      <c r="M7276" s="43">
        <v>11.500435161009573</v>
      </c>
      <c r="N7276" s="43">
        <v>5.2919865370797563</v>
      </c>
      <c r="O7276" s="43">
        <v>5.8869862509026065</v>
      </c>
      <c r="P7276" s="223"/>
      <c r="Q7276" s="223"/>
      <c r="R7276" s="223">
        <v>18</v>
      </c>
    </row>
    <row r="7277" spans="1:18" ht="30.75" customHeight="1">
      <c r="A7277" s="628" t="s">
        <v>13374</v>
      </c>
      <c r="B7277" s="629"/>
      <c r="C7277" s="629"/>
      <c r="D7277" s="629"/>
      <c r="E7277" s="629"/>
      <c r="F7277" s="629"/>
      <c r="G7277" s="629"/>
      <c r="H7277" s="629"/>
      <c r="I7277" s="629"/>
      <c r="J7277" s="629"/>
      <c r="K7277" s="629"/>
      <c r="L7277" s="629"/>
      <c r="M7277" s="629"/>
      <c r="N7277" s="629"/>
      <c r="O7277" s="629"/>
      <c r="P7277" s="629"/>
      <c r="Q7277" s="629"/>
      <c r="R7277" s="629"/>
    </row>
    <row r="7278" spans="1:18" ht="48">
      <c r="A7278" s="219">
        <v>234</v>
      </c>
      <c r="B7278" s="216" t="s">
        <v>13375</v>
      </c>
      <c r="C7278" s="220" t="s">
        <v>13376</v>
      </c>
      <c r="D7278" s="221">
        <v>5636.17</v>
      </c>
      <c r="E7278" s="221">
        <v>5009.6400000000003</v>
      </c>
      <c r="F7278" s="221">
        <v>445.19</v>
      </c>
      <c r="G7278" s="221">
        <v>181.34</v>
      </c>
      <c r="H7278" s="222">
        <v>61451.38</v>
      </c>
      <c r="I7278" s="222">
        <v>57613.04</v>
      </c>
      <c r="J7278" s="222">
        <v>2295.63</v>
      </c>
      <c r="K7278" s="222">
        <v>1542.71</v>
      </c>
      <c r="L7278" s="43">
        <v>10.903038765686627</v>
      </c>
      <c r="M7278" s="43">
        <v>11.500435161009573</v>
      </c>
      <c r="N7278" s="43">
        <v>5.1565174419910607</v>
      </c>
      <c r="O7278" s="43">
        <v>8.5072791441491127</v>
      </c>
      <c r="P7278" s="223"/>
      <c r="Q7278" s="223"/>
      <c r="R7278" s="223">
        <v>19</v>
      </c>
    </row>
    <row r="7279" spans="1:18" ht="48">
      <c r="A7279" s="219">
        <v>235</v>
      </c>
      <c r="B7279" s="216" t="s">
        <v>13377</v>
      </c>
      <c r="C7279" s="220" t="s">
        <v>13378</v>
      </c>
      <c r="D7279" s="221">
        <v>7097.21</v>
      </c>
      <c r="E7279" s="221">
        <v>6262.05</v>
      </c>
      <c r="F7279" s="221">
        <v>618.71</v>
      </c>
      <c r="G7279" s="221">
        <v>216.45</v>
      </c>
      <c r="H7279" s="222">
        <v>77091.539999999994</v>
      </c>
      <c r="I7279" s="222">
        <v>72016.3</v>
      </c>
      <c r="J7279" s="222">
        <v>3192.28</v>
      </c>
      <c r="K7279" s="222">
        <v>1882.96</v>
      </c>
      <c r="L7279" s="43">
        <v>10.862231778403062</v>
      </c>
      <c r="M7279" s="43">
        <v>11.500435161009573</v>
      </c>
      <c r="N7279" s="43">
        <v>5.1595739522554993</v>
      </c>
      <c r="O7279" s="43">
        <v>8.6992838992839001</v>
      </c>
      <c r="P7279" s="223"/>
      <c r="Q7279" s="223"/>
      <c r="R7279" s="223">
        <v>19</v>
      </c>
    </row>
    <row r="7280" spans="1:18" ht="48">
      <c r="A7280" s="219">
        <v>236</v>
      </c>
      <c r="B7280" s="216" t="s">
        <v>13379</v>
      </c>
      <c r="C7280" s="220" t="s">
        <v>13380</v>
      </c>
      <c r="D7280" s="221">
        <v>7939.19</v>
      </c>
      <c r="E7280" s="221">
        <v>6767.61</v>
      </c>
      <c r="F7280" s="221">
        <v>888.69</v>
      </c>
      <c r="G7280" s="221">
        <v>282.89</v>
      </c>
      <c r="H7280" s="222">
        <v>84801.98</v>
      </c>
      <c r="I7280" s="222">
        <v>77830.460000000006</v>
      </c>
      <c r="J7280" s="222">
        <v>4702.1499999999996</v>
      </c>
      <c r="K7280" s="222">
        <v>2269.37</v>
      </c>
      <c r="L7280" s="43">
        <v>10.681439794235937</v>
      </c>
      <c r="M7280" s="43">
        <v>11.500435161009575</v>
      </c>
      <c r="N7280" s="43">
        <v>5.291102634214405</v>
      </c>
      <c r="O7280" s="43">
        <v>8.0220933931916996</v>
      </c>
      <c r="P7280" s="223"/>
      <c r="Q7280" s="223"/>
      <c r="R7280" s="223">
        <v>19</v>
      </c>
    </row>
    <row r="7281" spans="1:18" ht="48">
      <c r="A7281" s="219">
        <v>237</v>
      </c>
      <c r="B7281" s="216" t="s">
        <v>13381</v>
      </c>
      <c r="C7281" s="220" t="s">
        <v>13382</v>
      </c>
      <c r="D7281" s="221">
        <v>9855.9699999999993</v>
      </c>
      <c r="E7281" s="221">
        <v>8020.02</v>
      </c>
      <c r="F7281" s="221">
        <v>1479.88</v>
      </c>
      <c r="G7281" s="221">
        <v>356.07</v>
      </c>
      <c r="H7281" s="222">
        <v>102800.21</v>
      </c>
      <c r="I7281" s="222">
        <v>92233.72</v>
      </c>
      <c r="J7281" s="222">
        <v>7775.13</v>
      </c>
      <c r="K7281" s="222">
        <v>2791.36</v>
      </c>
      <c r="L7281" s="43">
        <v>10.430247859926522</v>
      </c>
      <c r="M7281" s="43">
        <v>11.500435161009573</v>
      </c>
      <c r="N7281" s="43">
        <v>5.2538922074762819</v>
      </c>
      <c r="O7281" s="43">
        <v>7.8393574297188762</v>
      </c>
      <c r="P7281" s="223"/>
      <c r="Q7281" s="223"/>
      <c r="R7281" s="223">
        <v>19</v>
      </c>
    </row>
    <row r="7282" spans="1:18" ht="48">
      <c r="A7282" s="219">
        <v>238</v>
      </c>
      <c r="B7282" s="216" t="s">
        <v>13383</v>
      </c>
      <c r="C7282" s="220" t="s">
        <v>13384</v>
      </c>
      <c r="D7282" s="221">
        <v>13648.04</v>
      </c>
      <c r="E7282" s="221">
        <v>10145.67</v>
      </c>
      <c r="F7282" s="221">
        <v>2786.04</v>
      </c>
      <c r="G7282" s="221">
        <v>716.33</v>
      </c>
      <c r="H7282" s="222">
        <v>136335.20000000001</v>
      </c>
      <c r="I7282" s="222">
        <v>116679.62</v>
      </c>
      <c r="J7282" s="222">
        <v>14775.17</v>
      </c>
      <c r="K7282" s="222">
        <v>4880.41</v>
      </c>
      <c r="L7282" s="43">
        <v>9.9893611097271116</v>
      </c>
      <c r="M7282" s="43">
        <v>11.500435161009573</v>
      </c>
      <c r="N7282" s="43">
        <v>5.3032871028413089</v>
      </c>
      <c r="O7282" s="43">
        <v>6.8130749794089311</v>
      </c>
      <c r="P7282" s="223"/>
      <c r="Q7282" s="223"/>
      <c r="R7282" s="223">
        <v>19</v>
      </c>
    </row>
    <row r="7283" spans="1:18" ht="48">
      <c r="A7283" s="219">
        <v>239</v>
      </c>
      <c r="B7283" s="216" t="s">
        <v>13385</v>
      </c>
      <c r="C7283" s="220" t="s">
        <v>13386</v>
      </c>
      <c r="D7283" s="221">
        <v>17760.55</v>
      </c>
      <c r="E7283" s="221">
        <v>12064.5</v>
      </c>
      <c r="F7283" s="221">
        <v>4758.96</v>
      </c>
      <c r="G7283" s="221">
        <v>937.09</v>
      </c>
      <c r="H7283" s="222">
        <v>170414.2</v>
      </c>
      <c r="I7283" s="222">
        <v>138747</v>
      </c>
      <c r="J7283" s="222">
        <v>25470.67</v>
      </c>
      <c r="K7283" s="222">
        <v>6196.53</v>
      </c>
      <c r="L7283" s="43">
        <v>9.595096998685289</v>
      </c>
      <c r="M7283" s="43">
        <v>11.500435161009573</v>
      </c>
      <c r="N7283" s="43">
        <v>5.3521504698505549</v>
      </c>
      <c r="O7283" s="43">
        <v>6.6125238771089219</v>
      </c>
      <c r="P7283" s="223"/>
      <c r="Q7283" s="223"/>
      <c r="R7283" s="223">
        <v>19</v>
      </c>
    </row>
    <row r="7284" spans="1:18" ht="48">
      <c r="A7284" s="219">
        <v>240</v>
      </c>
      <c r="B7284" s="216" t="s">
        <v>13387</v>
      </c>
      <c r="C7284" s="220" t="s">
        <v>13388</v>
      </c>
      <c r="D7284" s="221">
        <v>19369.61</v>
      </c>
      <c r="E7284" s="221">
        <v>12294.3</v>
      </c>
      <c r="F7284" s="221">
        <v>5901.84</v>
      </c>
      <c r="G7284" s="221">
        <v>1173.47</v>
      </c>
      <c r="H7284" s="222">
        <v>180392.8</v>
      </c>
      <c r="I7284" s="222">
        <v>141389.79999999999</v>
      </c>
      <c r="J7284" s="222">
        <v>31578.19</v>
      </c>
      <c r="K7284" s="222">
        <v>7424.81</v>
      </c>
      <c r="L7284" s="43">
        <v>9.313186997569904</v>
      </c>
      <c r="M7284" s="43">
        <v>11.500435161009573</v>
      </c>
      <c r="N7284" s="43">
        <v>5.3505669418350887</v>
      </c>
      <c r="O7284" s="43">
        <v>6.3272260901429096</v>
      </c>
      <c r="P7284" s="223"/>
      <c r="Q7284" s="223"/>
      <c r="R7284" s="223">
        <v>19</v>
      </c>
    </row>
    <row r="7285" spans="1:18" ht="48">
      <c r="A7285" s="219">
        <v>241</v>
      </c>
      <c r="B7285" s="216" t="s">
        <v>13389</v>
      </c>
      <c r="C7285" s="220" t="s">
        <v>13390</v>
      </c>
      <c r="D7285" s="221">
        <v>23145.54</v>
      </c>
      <c r="E7285" s="221">
        <v>13558.2</v>
      </c>
      <c r="F7285" s="221">
        <v>8318.8700000000008</v>
      </c>
      <c r="G7285" s="221">
        <v>1268.47</v>
      </c>
      <c r="H7285" s="222">
        <v>208763.36</v>
      </c>
      <c r="I7285" s="222">
        <v>155925.20000000001</v>
      </c>
      <c r="J7285" s="222">
        <v>44788.28</v>
      </c>
      <c r="K7285" s="222">
        <v>8049.88</v>
      </c>
      <c r="L7285" s="43">
        <v>9.0195934076284239</v>
      </c>
      <c r="M7285" s="43">
        <v>11.500435161009573</v>
      </c>
      <c r="N7285" s="43">
        <v>5.3839379627281101</v>
      </c>
      <c r="O7285" s="43">
        <v>6.346133530946731</v>
      </c>
      <c r="P7285" s="223"/>
      <c r="Q7285" s="223"/>
      <c r="R7285" s="223">
        <v>19</v>
      </c>
    </row>
    <row r="7286" spans="1:18" ht="48">
      <c r="A7286" s="219">
        <v>242</v>
      </c>
      <c r="B7286" s="216" t="s">
        <v>13391</v>
      </c>
      <c r="C7286" s="220" t="s">
        <v>13392</v>
      </c>
      <c r="D7286" s="221">
        <v>28884.85</v>
      </c>
      <c r="E7286" s="221">
        <v>15741.3</v>
      </c>
      <c r="F7286" s="221">
        <v>11491.03</v>
      </c>
      <c r="G7286" s="221">
        <v>1652.52</v>
      </c>
      <c r="H7286" s="222">
        <v>253309.44</v>
      </c>
      <c r="I7286" s="222">
        <v>181031.8</v>
      </c>
      <c r="J7286" s="222">
        <v>61996.74</v>
      </c>
      <c r="K7286" s="222">
        <v>10280.9</v>
      </c>
      <c r="L7286" s="43">
        <v>8.7696297540059938</v>
      </c>
      <c r="M7286" s="43">
        <v>11.500435161009573</v>
      </c>
      <c r="N7286" s="43">
        <v>5.3952291483008912</v>
      </c>
      <c r="O7286" s="43">
        <v>6.2213467915668188</v>
      </c>
      <c r="P7286" s="223"/>
      <c r="Q7286" s="223"/>
      <c r="R7286" s="223">
        <v>19</v>
      </c>
    </row>
    <row r="7287" spans="1:18" ht="27.75" customHeight="1">
      <c r="A7287" s="628" t="s">
        <v>13393</v>
      </c>
      <c r="B7287" s="629"/>
      <c r="C7287" s="629"/>
      <c r="D7287" s="629"/>
      <c r="E7287" s="629"/>
      <c r="F7287" s="629"/>
      <c r="G7287" s="629"/>
      <c r="H7287" s="629"/>
      <c r="I7287" s="629"/>
      <c r="J7287" s="629"/>
      <c r="K7287" s="629"/>
      <c r="L7287" s="629"/>
      <c r="M7287" s="629"/>
      <c r="N7287" s="629"/>
      <c r="O7287" s="629"/>
      <c r="P7287" s="629"/>
      <c r="Q7287" s="629"/>
      <c r="R7287" s="629"/>
    </row>
    <row r="7288" spans="1:18" ht="48">
      <c r="A7288" s="219">
        <v>243</v>
      </c>
      <c r="B7288" s="216" t="s">
        <v>13394</v>
      </c>
      <c r="C7288" s="220" t="s">
        <v>13395</v>
      </c>
      <c r="D7288" s="221">
        <v>4485.13</v>
      </c>
      <c r="E7288" s="221">
        <v>4078.95</v>
      </c>
      <c r="F7288" s="221">
        <v>229.38</v>
      </c>
      <c r="G7288" s="221">
        <v>176.8</v>
      </c>
      <c r="H7288" s="222">
        <v>49818.080000000002</v>
      </c>
      <c r="I7288" s="222">
        <v>46909.7</v>
      </c>
      <c r="J7288" s="222">
        <v>1456.38</v>
      </c>
      <c r="K7288" s="222">
        <v>1452</v>
      </c>
      <c r="L7288" s="43">
        <v>11.107388191646619</v>
      </c>
      <c r="M7288" s="43">
        <v>11.500435161009573</v>
      </c>
      <c r="N7288" s="43">
        <v>6.3492021972273092</v>
      </c>
      <c r="O7288" s="43">
        <v>8.2126696832579178</v>
      </c>
      <c r="P7288" s="223"/>
      <c r="Q7288" s="223"/>
      <c r="R7288" s="223">
        <v>20</v>
      </c>
    </row>
    <row r="7289" spans="1:18" ht="48">
      <c r="A7289" s="219">
        <v>244</v>
      </c>
      <c r="B7289" s="216" t="s">
        <v>13396</v>
      </c>
      <c r="C7289" s="220" t="s">
        <v>13397</v>
      </c>
      <c r="D7289" s="221">
        <v>4717.09</v>
      </c>
      <c r="E7289" s="221">
        <v>4078.95</v>
      </c>
      <c r="F7289" s="221">
        <v>461.34</v>
      </c>
      <c r="G7289" s="221">
        <v>176.8</v>
      </c>
      <c r="H7289" s="222">
        <v>51361.599999999999</v>
      </c>
      <c r="I7289" s="222">
        <v>46909.7</v>
      </c>
      <c r="J7289" s="222">
        <v>2999.9</v>
      </c>
      <c r="K7289" s="222">
        <v>1452</v>
      </c>
      <c r="L7289" s="43">
        <v>10.88840789554577</v>
      </c>
      <c r="M7289" s="43">
        <v>11.500435161009573</v>
      </c>
      <c r="N7289" s="43">
        <v>6.5025794424936061</v>
      </c>
      <c r="O7289" s="43">
        <v>8.2126696832579178</v>
      </c>
      <c r="P7289" s="223"/>
      <c r="Q7289" s="223"/>
      <c r="R7289" s="223">
        <v>20</v>
      </c>
    </row>
    <row r="7290" spans="1:18" ht="48">
      <c r="A7290" s="219">
        <v>245</v>
      </c>
      <c r="B7290" s="216" t="s">
        <v>13398</v>
      </c>
      <c r="C7290" s="220" t="s">
        <v>13399</v>
      </c>
      <c r="D7290" s="221">
        <v>6317.72</v>
      </c>
      <c r="E7290" s="221">
        <v>5354.34</v>
      </c>
      <c r="F7290" s="221">
        <v>753.96</v>
      </c>
      <c r="G7290" s="221">
        <v>209.42</v>
      </c>
      <c r="H7290" s="222">
        <v>68004.66</v>
      </c>
      <c r="I7290" s="222">
        <v>61577.24</v>
      </c>
      <c r="J7290" s="222">
        <v>4645.88</v>
      </c>
      <c r="K7290" s="222">
        <v>1781.54</v>
      </c>
      <c r="L7290" s="43">
        <v>10.764114269071754</v>
      </c>
      <c r="M7290" s="43">
        <v>11.500435161009573</v>
      </c>
      <c r="N7290" s="43">
        <v>6.1619714573717435</v>
      </c>
      <c r="O7290" s="43">
        <v>8.5070193868780439</v>
      </c>
      <c r="P7290" s="223"/>
      <c r="Q7290" s="223"/>
      <c r="R7290" s="223">
        <v>20</v>
      </c>
    </row>
    <row r="7291" spans="1:18" ht="48">
      <c r="A7291" s="219">
        <v>246</v>
      </c>
      <c r="B7291" s="216" t="s">
        <v>13400</v>
      </c>
      <c r="C7291" s="220" t="s">
        <v>13401</v>
      </c>
      <c r="D7291" s="221">
        <v>6908.85</v>
      </c>
      <c r="E7291" s="221">
        <v>5331.36</v>
      </c>
      <c r="F7291" s="221">
        <v>1301.3699999999999</v>
      </c>
      <c r="G7291" s="221">
        <v>276.12</v>
      </c>
      <c r="H7291" s="222">
        <v>71310.28</v>
      </c>
      <c r="I7291" s="222">
        <v>61312.959999999999</v>
      </c>
      <c r="J7291" s="222">
        <v>7859.87</v>
      </c>
      <c r="K7291" s="222">
        <v>2137.4499999999998</v>
      </c>
      <c r="L7291" s="43">
        <v>10.321584634201061</v>
      </c>
      <c r="M7291" s="43">
        <v>11.500435161009575</v>
      </c>
      <c r="N7291" s="43">
        <v>6.0396889431906375</v>
      </c>
      <c r="O7291" s="43">
        <v>7.741018397798058</v>
      </c>
      <c r="P7291" s="223"/>
      <c r="Q7291" s="223"/>
      <c r="R7291" s="223">
        <v>20</v>
      </c>
    </row>
    <row r="7292" spans="1:18" ht="48">
      <c r="A7292" s="219">
        <v>247</v>
      </c>
      <c r="B7292" s="216" t="s">
        <v>13402</v>
      </c>
      <c r="C7292" s="220" t="s">
        <v>13403</v>
      </c>
      <c r="D7292" s="221">
        <v>8753.93</v>
      </c>
      <c r="E7292" s="221">
        <v>6549.3</v>
      </c>
      <c r="F7292" s="221">
        <v>1756</v>
      </c>
      <c r="G7292" s="221">
        <v>448.63</v>
      </c>
      <c r="H7292" s="222">
        <v>89087.08</v>
      </c>
      <c r="I7292" s="222">
        <v>75319.8</v>
      </c>
      <c r="J7292" s="222">
        <v>10549.09</v>
      </c>
      <c r="K7292" s="222">
        <v>3218.19</v>
      </c>
      <c r="L7292" s="43">
        <v>10.176809730029827</v>
      </c>
      <c r="M7292" s="43">
        <v>11.500435161009573</v>
      </c>
      <c r="N7292" s="43">
        <v>6.0074544419134401</v>
      </c>
      <c r="O7292" s="43">
        <v>7.1733722666785553</v>
      </c>
      <c r="P7292" s="223"/>
      <c r="Q7292" s="223"/>
      <c r="R7292" s="223">
        <v>20</v>
      </c>
    </row>
    <row r="7293" spans="1:18" ht="48">
      <c r="A7293" s="219">
        <v>248</v>
      </c>
      <c r="B7293" s="216" t="s">
        <v>13404</v>
      </c>
      <c r="C7293" s="220" t="s">
        <v>13405</v>
      </c>
      <c r="D7293" s="221">
        <v>10376.620000000001</v>
      </c>
      <c r="E7293" s="221">
        <v>6491.85</v>
      </c>
      <c r="F7293" s="221">
        <v>3422.02</v>
      </c>
      <c r="G7293" s="221">
        <v>462.75</v>
      </c>
      <c r="H7293" s="222">
        <v>97770.01</v>
      </c>
      <c r="I7293" s="222">
        <v>74659.100000000006</v>
      </c>
      <c r="J7293" s="222">
        <v>19826.82</v>
      </c>
      <c r="K7293" s="222">
        <v>3284.09</v>
      </c>
      <c r="L7293" s="43">
        <v>9.4221442049530566</v>
      </c>
      <c r="M7293" s="43">
        <v>11.500435161009573</v>
      </c>
      <c r="N7293" s="43">
        <v>5.7938936651451485</v>
      </c>
      <c r="O7293" s="43">
        <v>7.0968989735278232</v>
      </c>
      <c r="P7293" s="223"/>
      <c r="Q7293" s="223"/>
      <c r="R7293" s="223">
        <v>20</v>
      </c>
    </row>
    <row r="7294" spans="1:18" ht="22.5" customHeight="1">
      <c r="A7294" s="628" t="s">
        <v>13406</v>
      </c>
      <c r="B7294" s="629"/>
      <c r="C7294" s="629"/>
      <c r="D7294" s="629"/>
      <c r="E7294" s="629"/>
      <c r="F7294" s="629"/>
      <c r="G7294" s="629"/>
      <c r="H7294" s="629"/>
      <c r="I7294" s="629"/>
      <c r="J7294" s="629"/>
      <c r="K7294" s="629"/>
      <c r="L7294" s="629"/>
      <c r="M7294" s="629"/>
      <c r="N7294" s="629"/>
      <c r="O7294" s="629"/>
      <c r="P7294" s="629"/>
      <c r="Q7294" s="629"/>
      <c r="R7294" s="629"/>
    </row>
    <row r="7295" spans="1:18" ht="36">
      <c r="A7295" s="219">
        <v>249</v>
      </c>
      <c r="B7295" s="216" t="s">
        <v>13407</v>
      </c>
      <c r="C7295" s="220" t="s">
        <v>13408</v>
      </c>
      <c r="D7295" s="221">
        <v>457.92</v>
      </c>
      <c r="E7295" s="221">
        <v>388.36</v>
      </c>
      <c r="F7295" s="221">
        <v>51.49</v>
      </c>
      <c r="G7295" s="221">
        <v>18.07</v>
      </c>
      <c r="H7295" s="222">
        <v>4883.21</v>
      </c>
      <c r="I7295" s="222">
        <v>4466.33</v>
      </c>
      <c r="J7295" s="222">
        <v>273.97000000000003</v>
      </c>
      <c r="K7295" s="222">
        <v>142.91</v>
      </c>
      <c r="L7295" s="43">
        <v>10.663893256464011</v>
      </c>
      <c r="M7295" s="43">
        <v>11.500489236790607</v>
      </c>
      <c r="N7295" s="43">
        <v>5.320838997863663</v>
      </c>
      <c r="O7295" s="43">
        <v>7.9086884338682895</v>
      </c>
      <c r="P7295" s="223"/>
      <c r="Q7295" s="223"/>
      <c r="R7295" s="223">
        <v>21</v>
      </c>
    </row>
    <row r="7296" spans="1:18" ht="36">
      <c r="A7296" s="219">
        <v>250</v>
      </c>
      <c r="B7296" s="216" t="s">
        <v>13409</v>
      </c>
      <c r="C7296" s="220" t="s">
        <v>13410</v>
      </c>
      <c r="D7296" s="221">
        <v>603.62</v>
      </c>
      <c r="E7296" s="221">
        <v>513.6</v>
      </c>
      <c r="F7296" s="221">
        <v>69.45</v>
      </c>
      <c r="G7296" s="221">
        <v>20.57</v>
      </c>
      <c r="H7296" s="222">
        <v>6449.82</v>
      </c>
      <c r="I7296" s="222">
        <v>5906.66</v>
      </c>
      <c r="J7296" s="222">
        <v>371.5</v>
      </c>
      <c r="K7296" s="222">
        <v>171.66</v>
      </c>
      <c r="L7296" s="43">
        <v>10.685232430999635</v>
      </c>
      <c r="M7296" s="43">
        <v>11.500506230529595</v>
      </c>
      <c r="N7296" s="43">
        <v>5.3491720662347007</v>
      </c>
      <c r="O7296" s="43">
        <v>8.3451628585318414</v>
      </c>
      <c r="P7296" s="223"/>
      <c r="Q7296" s="223"/>
      <c r="R7296" s="223">
        <v>21</v>
      </c>
    </row>
    <row r="7297" spans="1:18" ht="36">
      <c r="A7297" s="219">
        <v>251</v>
      </c>
      <c r="B7297" s="216" t="s">
        <v>13411</v>
      </c>
      <c r="C7297" s="220" t="s">
        <v>13412</v>
      </c>
      <c r="D7297" s="221">
        <v>675.53</v>
      </c>
      <c r="E7297" s="221">
        <v>513.6</v>
      </c>
      <c r="F7297" s="221">
        <v>131.13</v>
      </c>
      <c r="G7297" s="221">
        <v>30.8</v>
      </c>
      <c r="H7297" s="222">
        <v>6834.8</v>
      </c>
      <c r="I7297" s="222">
        <v>5906.66</v>
      </c>
      <c r="J7297" s="222">
        <v>703.51</v>
      </c>
      <c r="K7297" s="222">
        <v>224.63</v>
      </c>
      <c r="L7297" s="43">
        <v>10.117685372966411</v>
      </c>
      <c r="M7297" s="43">
        <v>11.500506230529595</v>
      </c>
      <c r="N7297" s="43">
        <v>5.3649813162510487</v>
      </c>
      <c r="O7297" s="43">
        <v>7.293181818181818</v>
      </c>
      <c r="P7297" s="223"/>
      <c r="Q7297" s="223"/>
      <c r="R7297" s="223">
        <v>21</v>
      </c>
    </row>
    <row r="7298" spans="1:18" ht="28.5" customHeight="1">
      <c r="A7298" s="628" t="s">
        <v>13413</v>
      </c>
      <c r="B7298" s="629"/>
      <c r="C7298" s="629"/>
      <c r="D7298" s="629"/>
      <c r="E7298" s="629"/>
      <c r="F7298" s="629"/>
      <c r="G7298" s="629"/>
      <c r="H7298" s="629"/>
      <c r="I7298" s="629"/>
      <c r="J7298" s="629"/>
      <c r="K7298" s="629"/>
      <c r="L7298" s="629"/>
      <c r="M7298" s="629"/>
      <c r="N7298" s="629"/>
      <c r="O7298" s="629"/>
      <c r="P7298" s="629"/>
      <c r="Q7298" s="629"/>
      <c r="R7298" s="629"/>
    </row>
    <row r="7299" spans="1:18" ht="48">
      <c r="A7299" s="219">
        <v>252</v>
      </c>
      <c r="B7299" s="216" t="s">
        <v>13414</v>
      </c>
      <c r="C7299" s="220" t="s">
        <v>13415</v>
      </c>
      <c r="D7299" s="221">
        <v>417.94</v>
      </c>
      <c r="E7299" s="221">
        <v>388.36</v>
      </c>
      <c r="F7299" s="221">
        <v>16.11</v>
      </c>
      <c r="G7299" s="221">
        <v>13.47</v>
      </c>
      <c r="H7299" s="222">
        <v>4666.9799999999996</v>
      </c>
      <c r="I7299" s="222">
        <v>4466.33</v>
      </c>
      <c r="J7299" s="222">
        <v>83.81</v>
      </c>
      <c r="K7299" s="222">
        <v>116.84</v>
      </c>
      <c r="L7299" s="43">
        <v>11.166626788534238</v>
      </c>
      <c r="M7299" s="43">
        <v>11.500489236790607</v>
      </c>
      <c r="N7299" s="43">
        <v>5.2023587833643701</v>
      </c>
      <c r="O7299" s="43">
        <v>8.6740905716406829</v>
      </c>
      <c r="P7299" s="223"/>
      <c r="Q7299" s="223"/>
      <c r="R7299" s="223">
        <v>22</v>
      </c>
    </row>
    <row r="7300" spans="1:18" ht="48">
      <c r="A7300" s="219">
        <v>253</v>
      </c>
      <c r="B7300" s="216" t="s">
        <v>13416</v>
      </c>
      <c r="C7300" s="220" t="s">
        <v>13417</v>
      </c>
      <c r="D7300" s="221">
        <v>438.01</v>
      </c>
      <c r="E7300" s="221">
        <v>388.36</v>
      </c>
      <c r="F7300" s="221">
        <v>36.18</v>
      </c>
      <c r="G7300" s="221">
        <v>13.47</v>
      </c>
      <c r="H7300" s="222">
        <v>4767.17</v>
      </c>
      <c r="I7300" s="222">
        <v>4466.33</v>
      </c>
      <c r="J7300" s="222">
        <v>184</v>
      </c>
      <c r="K7300" s="222">
        <v>116.84</v>
      </c>
      <c r="L7300" s="43">
        <v>10.883701285358782</v>
      </c>
      <c r="M7300" s="43">
        <v>11.500489236790607</v>
      </c>
      <c r="N7300" s="43">
        <v>5.0856826976229961</v>
      </c>
      <c r="O7300" s="43">
        <v>8.6740905716406829</v>
      </c>
      <c r="P7300" s="223"/>
      <c r="Q7300" s="223"/>
      <c r="R7300" s="223">
        <v>22</v>
      </c>
    </row>
    <row r="7301" spans="1:18" ht="48">
      <c r="A7301" s="219">
        <v>254</v>
      </c>
      <c r="B7301" s="216" t="s">
        <v>13418</v>
      </c>
      <c r="C7301" s="220" t="s">
        <v>13419</v>
      </c>
      <c r="D7301" s="221">
        <v>609.16999999999996</v>
      </c>
      <c r="E7301" s="221">
        <v>513.6</v>
      </c>
      <c r="F7301" s="221">
        <v>74.569999999999993</v>
      </c>
      <c r="G7301" s="221">
        <v>21</v>
      </c>
      <c r="H7301" s="222">
        <v>6469.39</v>
      </c>
      <c r="I7301" s="222">
        <v>5906.66</v>
      </c>
      <c r="J7301" s="222">
        <v>392.64</v>
      </c>
      <c r="K7301" s="222">
        <v>170.09</v>
      </c>
      <c r="L7301" s="43">
        <v>10.62000755125827</v>
      </c>
      <c r="M7301" s="43">
        <v>11.500506230529595</v>
      </c>
      <c r="N7301" s="43">
        <v>5.2653882258280813</v>
      </c>
      <c r="O7301" s="43">
        <v>8.0995238095238093</v>
      </c>
      <c r="P7301" s="223"/>
      <c r="Q7301" s="223"/>
      <c r="R7301" s="223">
        <v>22</v>
      </c>
    </row>
    <row r="7302" spans="1:18" ht="48">
      <c r="A7302" s="219">
        <v>255</v>
      </c>
      <c r="B7302" s="216" t="s">
        <v>13420</v>
      </c>
      <c r="C7302" s="220" t="s">
        <v>13421</v>
      </c>
      <c r="D7302" s="221">
        <v>780.3</v>
      </c>
      <c r="E7302" s="221">
        <v>644.59</v>
      </c>
      <c r="F7302" s="221">
        <v>109.15</v>
      </c>
      <c r="G7302" s="221">
        <v>26.56</v>
      </c>
      <c r="H7302" s="222">
        <v>8197.2800000000007</v>
      </c>
      <c r="I7302" s="222">
        <v>7413.05</v>
      </c>
      <c r="J7302" s="222">
        <v>569.61</v>
      </c>
      <c r="K7302" s="222">
        <v>214.62</v>
      </c>
      <c r="L7302" s="43">
        <v>10.505292836088685</v>
      </c>
      <c r="M7302" s="43">
        <v>11.500411114041484</v>
      </c>
      <c r="N7302" s="43">
        <v>5.2185982592762254</v>
      </c>
      <c r="O7302" s="43">
        <v>8.0805722891566276</v>
      </c>
      <c r="P7302" s="223"/>
      <c r="Q7302" s="223"/>
      <c r="R7302" s="223">
        <v>22</v>
      </c>
    </row>
    <row r="7303" spans="1:18" ht="48">
      <c r="A7303" s="219">
        <v>256</v>
      </c>
      <c r="B7303" s="216" t="s">
        <v>13422</v>
      </c>
      <c r="C7303" s="220" t="s">
        <v>13423</v>
      </c>
      <c r="D7303" s="221">
        <v>819.38</v>
      </c>
      <c r="E7303" s="221">
        <v>644.59</v>
      </c>
      <c r="F7303" s="221">
        <v>147.16</v>
      </c>
      <c r="G7303" s="221">
        <v>27.63</v>
      </c>
      <c r="H7303" s="222">
        <v>8406.35</v>
      </c>
      <c r="I7303" s="222">
        <v>7413.05</v>
      </c>
      <c r="J7303" s="222">
        <v>773.54</v>
      </c>
      <c r="K7303" s="222">
        <v>219.76</v>
      </c>
      <c r="L7303" s="43">
        <v>10.259403451390076</v>
      </c>
      <c r="M7303" s="43">
        <v>11.500411114041484</v>
      </c>
      <c r="N7303" s="43">
        <v>5.2564555585756993</v>
      </c>
      <c r="O7303" s="43">
        <v>7.9536735432500905</v>
      </c>
      <c r="P7303" s="223"/>
      <c r="Q7303" s="223"/>
      <c r="R7303" s="223">
        <v>22</v>
      </c>
    </row>
    <row r="7304" spans="1:18" ht="48">
      <c r="A7304" s="219">
        <v>257</v>
      </c>
      <c r="B7304" s="216" t="s">
        <v>13424</v>
      </c>
      <c r="C7304" s="220" t="s">
        <v>13425</v>
      </c>
      <c r="D7304" s="221">
        <v>1025.05</v>
      </c>
      <c r="E7304" s="221">
        <v>776.72</v>
      </c>
      <c r="F7304" s="221">
        <v>204.65</v>
      </c>
      <c r="G7304" s="221">
        <v>43.68</v>
      </c>
      <c r="H7304" s="222">
        <v>10328.08</v>
      </c>
      <c r="I7304" s="222">
        <v>8932.66</v>
      </c>
      <c r="J7304" s="222">
        <v>1078.27</v>
      </c>
      <c r="K7304" s="222">
        <v>317.14999999999998</v>
      </c>
      <c r="L7304" s="43">
        <v>10.0756841129701</v>
      </c>
      <c r="M7304" s="43">
        <v>11.500489236790607</v>
      </c>
      <c r="N7304" s="43">
        <v>5.2688492548253114</v>
      </c>
      <c r="O7304" s="43">
        <v>7.260760073260073</v>
      </c>
      <c r="P7304" s="223"/>
      <c r="Q7304" s="223"/>
      <c r="R7304" s="223">
        <v>22</v>
      </c>
    </row>
    <row r="7305" spans="1:18" ht="48">
      <c r="A7305" s="219">
        <v>258</v>
      </c>
      <c r="B7305" s="216" t="s">
        <v>13426</v>
      </c>
      <c r="C7305" s="220" t="s">
        <v>13427</v>
      </c>
      <c r="D7305" s="221">
        <v>1234.05</v>
      </c>
      <c r="E7305" s="221">
        <v>901.97</v>
      </c>
      <c r="F7305" s="221">
        <v>281.06</v>
      </c>
      <c r="G7305" s="221">
        <v>51.02</v>
      </c>
      <c r="H7305" s="222">
        <v>12233.01</v>
      </c>
      <c r="I7305" s="222">
        <v>10372.99</v>
      </c>
      <c r="J7305" s="222">
        <v>1490.85</v>
      </c>
      <c r="K7305" s="222">
        <v>369.17</v>
      </c>
      <c r="L7305" s="43">
        <v>9.9128965601069652</v>
      </c>
      <c r="M7305" s="43">
        <v>11.500371409248643</v>
      </c>
      <c r="N7305" s="43">
        <v>5.3043834056785029</v>
      </c>
      <c r="O7305" s="43">
        <v>7.2357898863190906</v>
      </c>
      <c r="P7305" s="223"/>
      <c r="Q7305" s="223"/>
      <c r="R7305" s="223">
        <v>22</v>
      </c>
    </row>
    <row r="7306" spans="1:18" ht="48">
      <c r="A7306" s="219">
        <v>259</v>
      </c>
      <c r="B7306" s="216" t="s">
        <v>13428</v>
      </c>
      <c r="C7306" s="220" t="s">
        <v>13429</v>
      </c>
      <c r="D7306" s="221">
        <v>2024.77</v>
      </c>
      <c r="E7306" s="221">
        <v>1286.8800000000001</v>
      </c>
      <c r="F7306" s="221">
        <v>575.65</v>
      </c>
      <c r="G7306" s="221">
        <v>162.24</v>
      </c>
      <c r="H7306" s="222">
        <v>18859.04</v>
      </c>
      <c r="I7306" s="222">
        <v>14799.68</v>
      </c>
      <c r="J7306" s="222">
        <v>3078.91</v>
      </c>
      <c r="K7306" s="222">
        <v>980.45</v>
      </c>
      <c r="L7306" s="43">
        <v>9.314164077895267</v>
      </c>
      <c r="M7306" s="43">
        <v>11.500435161009573</v>
      </c>
      <c r="N7306" s="43">
        <v>5.3485798662381656</v>
      </c>
      <c r="O7306" s="43">
        <v>6.0432075936883631</v>
      </c>
      <c r="P7306" s="223"/>
      <c r="Q7306" s="223"/>
      <c r="R7306" s="223">
        <v>22</v>
      </c>
    </row>
    <row r="7307" spans="1:18" ht="12.75" customHeight="1">
      <c r="A7307" s="628" t="s">
        <v>13430</v>
      </c>
      <c r="B7307" s="629"/>
      <c r="C7307" s="629"/>
      <c r="D7307" s="629"/>
      <c r="E7307" s="629"/>
      <c r="F7307" s="629"/>
      <c r="G7307" s="629"/>
      <c r="H7307" s="629"/>
      <c r="I7307" s="629"/>
      <c r="J7307" s="629"/>
      <c r="K7307" s="629"/>
      <c r="L7307" s="629"/>
      <c r="M7307" s="629"/>
      <c r="N7307" s="629"/>
      <c r="O7307" s="629"/>
      <c r="P7307" s="629"/>
      <c r="Q7307" s="629"/>
      <c r="R7307" s="629"/>
    </row>
    <row r="7308" spans="1:18" ht="24.75" customHeight="1">
      <c r="A7308" s="628" t="s">
        <v>13431</v>
      </c>
      <c r="B7308" s="629"/>
      <c r="C7308" s="629"/>
      <c r="D7308" s="629"/>
      <c r="E7308" s="629"/>
      <c r="F7308" s="629"/>
      <c r="G7308" s="629"/>
      <c r="H7308" s="629"/>
      <c r="I7308" s="629"/>
      <c r="J7308" s="629"/>
      <c r="K7308" s="629"/>
      <c r="L7308" s="629"/>
      <c r="M7308" s="629"/>
      <c r="N7308" s="629"/>
      <c r="O7308" s="629"/>
      <c r="P7308" s="629"/>
      <c r="Q7308" s="629"/>
      <c r="R7308" s="629"/>
    </row>
    <row r="7309" spans="1:18" ht="60">
      <c r="A7309" s="219">
        <v>260</v>
      </c>
      <c r="B7309" s="216" t="s">
        <v>13432</v>
      </c>
      <c r="C7309" s="220" t="s">
        <v>13433</v>
      </c>
      <c r="D7309" s="221">
        <v>4150.09</v>
      </c>
      <c r="E7309" s="221">
        <v>972.05</v>
      </c>
      <c r="F7309" s="221">
        <v>3147.74</v>
      </c>
      <c r="G7309" s="221">
        <v>30.3</v>
      </c>
      <c r="H7309" s="222">
        <v>28628.92</v>
      </c>
      <c r="I7309" s="222">
        <v>11179.04</v>
      </c>
      <c r="J7309" s="222">
        <v>17168.560000000001</v>
      </c>
      <c r="K7309" s="222">
        <v>281.32</v>
      </c>
      <c r="L7309" s="43">
        <v>6.8983853362216232</v>
      </c>
      <c r="M7309" s="43">
        <v>11.500478370454196</v>
      </c>
      <c r="N7309" s="43">
        <v>5.4542497156690208</v>
      </c>
      <c r="O7309" s="43">
        <v>9.2844884488448844</v>
      </c>
      <c r="P7309" s="223"/>
      <c r="Q7309" s="223"/>
      <c r="R7309" s="223">
        <v>1</v>
      </c>
    </row>
    <row r="7310" spans="1:18" ht="60">
      <c r="A7310" s="219">
        <v>261</v>
      </c>
      <c r="B7310" s="216" t="s">
        <v>13434</v>
      </c>
      <c r="C7310" s="220" t="s">
        <v>13435</v>
      </c>
      <c r="D7310" s="221">
        <v>4186.92</v>
      </c>
      <c r="E7310" s="221">
        <v>997.33</v>
      </c>
      <c r="F7310" s="221">
        <v>3154.25</v>
      </c>
      <c r="G7310" s="221">
        <v>35.340000000000003</v>
      </c>
      <c r="H7310" s="222">
        <v>28983.03</v>
      </c>
      <c r="I7310" s="222">
        <v>11469.75</v>
      </c>
      <c r="J7310" s="222">
        <v>17201.96</v>
      </c>
      <c r="K7310" s="222">
        <v>311.32</v>
      </c>
      <c r="L7310" s="43">
        <v>6.9222793843684611</v>
      </c>
      <c r="M7310" s="43">
        <v>11.500456218102332</v>
      </c>
      <c r="N7310" s="43">
        <v>5.4535816755171593</v>
      </c>
      <c r="O7310" s="43">
        <v>8.8092812676853409</v>
      </c>
      <c r="P7310" s="223"/>
      <c r="Q7310" s="223"/>
      <c r="R7310" s="223">
        <v>1</v>
      </c>
    </row>
    <row r="7311" spans="1:18" ht="60">
      <c r="A7311" s="219">
        <v>262</v>
      </c>
      <c r="B7311" s="216" t="s">
        <v>13436</v>
      </c>
      <c r="C7311" s="220" t="s">
        <v>13437</v>
      </c>
      <c r="D7311" s="221">
        <v>4829.5600000000004</v>
      </c>
      <c r="E7311" s="221">
        <v>1139.81</v>
      </c>
      <c r="F7311" s="221">
        <v>3642.11</v>
      </c>
      <c r="G7311" s="221">
        <v>47.64</v>
      </c>
      <c r="H7311" s="222">
        <v>33383.360000000001</v>
      </c>
      <c r="I7311" s="222">
        <v>13108.29</v>
      </c>
      <c r="J7311" s="222">
        <v>19880.77</v>
      </c>
      <c r="K7311" s="222">
        <v>394.3</v>
      </c>
      <c r="L7311" s="43">
        <v>6.9122984288423783</v>
      </c>
      <c r="M7311" s="43">
        <v>11.500416736122688</v>
      </c>
      <c r="N7311" s="43">
        <v>5.4585858197583272</v>
      </c>
      <c r="O7311" s="43">
        <v>8.2766582703610414</v>
      </c>
      <c r="P7311" s="223"/>
      <c r="Q7311" s="223"/>
      <c r="R7311" s="223">
        <v>1</v>
      </c>
    </row>
    <row r="7312" spans="1:18" ht="60">
      <c r="A7312" s="219">
        <v>263</v>
      </c>
      <c r="B7312" s="216" t="s">
        <v>13438</v>
      </c>
      <c r="C7312" s="220" t="s">
        <v>13439</v>
      </c>
      <c r="D7312" s="221">
        <v>4936.1400000000003</v>
      </c>
      <c r="E7312" s="221">
        <v>1165.0899999999999</v>
      </c>
      <c r="F7312" s="221">
        <v>3709.28</v>
      </c>
      <c r="G7312" s="221">
        <v>61.77</v>
      </c>
      <c r="H7312" s="222">
        <v>34107.46</v>
      </c>
      <c r="I7312" s="222">
        <v>13399</v>
      </c>
      <c r="J7312" s="222">
        <v>20235.900000000001</v>
      </c>
      <c r="K7312" s="222">
        <v>472.56</v>
      </c>
      <c r="L7312" s="43">
        <v>6.9097432406698349</v>
      </c>
      <c r="M7312" s="43">
        <v>11.500399110798309</v>
      </c>
      <c r="N7312" s="43">
        <v>5.4554792304706039</v>
      </c>
      <c r="O7312" s="43">
        <v>7.6503156872268088</v>
      </c>
      <c r="P7312" s="223"/>
      <c r="Q7312" s="223"/>
      <c r="R7312" s="223">
        <v>1</v>
      </c>
    </row>
    <row r="7313" spans="1:18" ht="60">
      <c r="A7313" s="219">
        <v>264</v>
      </c>
      <c r="B7313" s="216" t="s">
        <v>13440</v>
      </c>
      <c r="C7313" s="220" t="s">
        <v>13441</v>
      </c>
      <c r="D7313" s="221">
        <v>5279.81</v>
      </c>
      <c r="E7313" s="221">
        <v>1240.92</v>
      </c>
      <c r="F7313" s="221">
        <v>3949.95</v>
      </c>
      <c r="G7313" s="221">
        <v>88.94</v>
      </c>
      <c r="H7313" s="222">
        <v>36416.019999999997</v>
      </c>
      <c r="I7313" s="222">
        <v>14271.12</v>
      </c>
      <c r="J7313" s="222">
        <v>21518.34</v>
      </c>
      <c r="K7313" s="222">
        <v>626.55999999999995</v>
      </c>
      <c r="L7313" s="43">
        <v>6.8972216803256163</v>
      </c>
      <c r="M7313" s="43">
        <v>11.500435161009573</v>
      </c>
      <c r="N7313" s="43">
        <v>5.4477499715186273</v>
      </c>
      <c r="O7313" s="43">
        <v>7.0447492691702269</v>
      </c>
      <c r="P7313" s="223"/>
      <c r="Q7313" s="223"/>
      <c r="R7313" s="223">
        <v>1</v>
      </c>
    </row>
    <row r="7314" spans="1:18" ht="60">
      <c r="A7314" s="219">
        <v>265</v>
      </c>
      <c r="B7314" s="216" t="s">
        <v>13442</v>
      </c>
      <c r="C7314" s="220" t="s">
        <v>13443</v>
      </c>
      <c r="D7314" s="221">
        <v>6039.11</v>
      </c>
      <c r="E7314" s="221">
        <v>1344.33</v>
      </c>
      <c r="F7314" s="221">
        <v>4571.63</v>
      </c>
      <c r="G7314" s="221">
        <v>123.15</v>
      </c>
      <c r="H7314" s="222">
        <v>41215.97</v>
      </c>
      <c r="I7314" s="222">
        <v>15460.38</v>
      </c>
      <c r="J7314" s="222">
        <v>24934.23</v>
      </c>
      <c r="K7314" s="222">
        <v>821.36</v>
      </c>
      <c r="L7314" s="43">
        <v>6.8248417399252546</v>
      </c>
      <c r="M7314" s="43">
        <v>11.500435161009573</v>
      </c>
      <c r="N7314" s="43">
        <v>5.4541224902277738</v>
      </c>
      <c r="O7314" s="43">
        <v>6.6695899309784812</v>
      </c>
      <c r="P7314" s="223"/>
      <c r="Q7314" s="223"/>
      <c r="R7314" s="223">
        <v>1</v>
      </c>
    </row>
    <row r="7315" spans="1:18" ht="60">
      <c r="A7315" s="219">
        <v>266</v>
      </c>
      <c r="B7315" s="216" t="s">
        <v>13444</v>
      </c>
      <c r="C7315" s="220" t="s">
        <v>13445</v>
      </c>
      <c r="D7315" s="221">
        <v>6496.91</v>
      </c>
      <c r="E7315" s="221">
        <v>1562.64</v>
      </c>
      <c r="F7315" s="221">
        <v>4764.07</v>
      </c>
      <c r="G7315" s="221">
        <v>170.2</v>
      </c>
      <c r="H7315" s="222">
        <v>45031.71</v>
      </c>
      <c r="I7315" s="222">
        <v>17971.04</v>
      </c>
      <c r="J7315" s="222">
        <v>25962.04</v>
      </c>
      <c r="K7315" s="222">
        <v>1098.6300000000001</v>
      </c>
      <c r="L7315" s="43">
        <v>6.93125039441827</v>
      </c>
      <c r="M7315" s="43">
        <v>11.500435161009573</v>
      </c>
      <c r="N7315" s="43">
        <v>5.4495504893924736</v>
      </c>
      <c r="O7315" s="43">
        <v>6.4549353701527625</v>
      </c>
      <c r="P7315" s="223"/>
      <c r="Q7315" s="223"/>
      <c r="R7315" s="223">
        <v>1</v>
      </c>
    </row>
    <row r="7316" spans="1:18" ht="60">
      <c r="A7316" s="219">
        <v>267</v>
      </c>
      <c r="B7316" s="216" t="s">
        <v>13446</v>
      </c>
      <c r="C7316" s="220" t="s">
        <v>13447</v>
      </c>
      <c r="D7316" s="221">
        <v>7248.06</v>
      </c>
      <c r="E7316" s="221">
        <v>1780.95</v>
      </c>
      <c r="F7316" s="221">
        <v>5013.75</v>
      </c>
      <c r="G7316" s="221">
        <v>453.36</v>
      </c>
      <c r="H7316" s="222">
        <v>50371.31</v>
      </c>
      <c r="I7316" s="222">
        <v>20481.7</v>
      </c>
      <c r="J7316" s="222">
        <v>27256.11</v>
      </c>
      <c r="K7316" s="222">
        <v>2633.5</v>
      </c>
      <c r="L7316" s="43">
        <v>6.9496265207517594</v>
      </c>
      <c r="M7316" s="43">
        <v>11.500435161009573</v>
      </c>
      <c r="N7316" s="43">
        <v>5.4362722513089006</v>
      </c>
      <c r="O7316" s="43">
        <v>5.8088494794423857</v>
      </c>
      <c r="P7316" s="223"/>
      <c r="Q7316" s="223"/>
      <c r="R7316" s="223">
        <v>1</v>
      </c>
    </row>
    <row r="7317" spans="1:18" ht="60">
      <c r="A7317" s="219">
        <v>268</v>
      </c>
      <c r="B7317" s="216" t="s">
        <v>13448</v>
      </c>
      <c r="C7317" s="220" t="s">
        <v>13449</v>
      </c>
      <c r="D7317" s="221">
        <v>8285.1200000000008</v>
      </c>
      <c r="E7317" s="221">
        <v>2194.59</v>
      </c>
      <c r="F7317" s="221">
        <v>5361.77</v>
      </c>
      <c r="G7317" s="221">
        <v>728.76</v>
      </c>
      <c r="H7317" s="222">
        <v>58474.559999999998</v>
      </c>
      <c r="I7317" s="222">
        <v>25238.74</v>
      </c>
      <c r="J7317" s="222">
        <v>29084.98</v>
      </c>
      <c r="K7317" s="222">
        <v>4150.84</v>
      </c>
      <c r="L7317" s="43">
        <v>7.0577806959947464</v>
      </c>
      <c r="M7317" s="43">
        <v>11.500435161009573</v>
      </c>
      <c r="N7317" s="43">
        <v>5.4245109357544239</v>
      </c>
      <c r="O7317" s="43">
        <v>5.695757176573907</v>
      </c>
      <c r="P7317" s="223"/>
      <c r="Q7317" s="223"/>
      <c r="R7317" s="223">
        <v>1</v>
      </c>
    </row>
    <row r="7318" spans="1:18" ht="60">
      <c r="A7318" s="219">
        <v>269</v>
      </c>
      <c r="B7318" s="216" t="s">
        <v>13450</v>
      </c>
      <c r="C7318" s="220" t="s">
        <v>13451</v>
      </c>
      <c r="D7318" s="221">
        <v>9054.39</v>
      </c>
      <c r="E7318" s="221">
        <v>2412.9</v>
      </c>
      <c r="F7318" s="221">
        <v>5625.64</v>
      </c>
      <c r="G7318" s="221">
        <v>1015.85</v>
      </c>
      <c r="H7318" s="222">
        <v>63921.760000000002</v>
      </c>
      <c r="I7318" s="222">
        <v>27749.4</v>
      </c>
      <c r="J7318" s="222">
        <v>30466.07</v>
      </c>
      <c r="K7318" s="222">
        <v>5706.29</v>
      </c>
      <c r="L7318" s="43">
        <v>7.0597533351225215</v>
      </c>
      <c r="M7318" s="43">
        <v>11.500435161009573</v>
      </c>
      <c r="N7318" s="43">
        <v>5.4155740502413945</v>
      </c>
      <c r="O7318" s="43">
        <v>5.6172564847172319</v>
      </c>
      <c r="P7318" s="223"/>
      <c r="Q7318" s="223"/>
      <c r="R7318" s="223">
        <v>1</v>
      </c>
    </row>
    <row r="7319" spans="1:18" ht="60">
      <c r="A7319" s="219">
        <v>270</v>
      </c>
      <c r="B7319" s="216" t="s">
        <v>13452</v>
      </c>
      <c r="C7319" s="220" t="s">
        <v>13453</v>
      </c>
      <c r="D7319" s="221">
        <v>10342.1</v>
      </c>
      <c r="E7319" s="221">
        <v>2769.09</v>
      </c>
      <c r="F7319" s="221">
        <v>6119.39</v>
      </c>
      <c r="G7319" s="221">
        <v>1453.62</v>
      </c>
      <c r="H7319" s="222">
        <v>72978.75</v>
      </c>
      <c r="I7319" s="222">
        <v>31845.74</v>
      </c>
      <c r="J7319" s="222">
        <v>33049.910000000003</v>
      </c>
      <c r="K7319" s="222">
        <v>8083.1</v>
      </c>
      <c r="L7319" s="43">
        <v>7.056473056729291</v>
      </c>
      <c r="M7319" s="43">
        <v>11.500435161009573</v>
      </c>
      <c r="N7319" s="43">
        <v>5.4008504115606293</v>
      </c>
      <c r="O7319" s="43">
        <v>5.5606692257949124</v>
      </c>
      <c r="P7319" s="223"/>
      <c r="Q7319" s="223"/>
      <c r="R7319" s="223">
        <v>1</v>
      </c>
    </row>
    <row r="7320" spans="1:18" ht="60">
      <c r="A7320" s="219">
        <v>271</v>
      </c>
      <c r="B7320" s="216" t="s">
        <v>13454</v>
      </c>
      <c r="C7320" s="220" t="s">
        <v>13455</v>
      </c>
      <c r="D7320" s="221">
        <v>10644.62</v>
      </c>
      <c r="E7320" s="221">
        <v>2883.99</v>
      </c>
      <c r="F7320" s="221">
        <v>6281</v>
      </c>
      <c r="G7320" s="221">
        <v>1479.63</v>
      </c>
      <c r="H7320" s="222">
        <v>75311.55</v>
      </c>
      <c r="I7320" s="222">
        <v>33167.14</v>
      </c>
      <c r="J7320" s="222">
        <v>33911.97</v>
      </c>
      <c r="K7320" s="222">
        <v>8232.44</v>
      </c>
      <c r="L7320" s="43">
        <v>7.0750811207915358</v>
      </c>
      <c r="M7320" s="43">
        <v>11.500435161009575</v>
      </c>
      <c r="N7320" s="43">
        <v>5.3991354879796214</v>
      </c>
      <c r="O7320" s="43">
        <v>5.5638504220649754</v>
      </c>
      <c r="P7320" s="223"/>
      <c r="Q7320" s="223"/>
      <c r="R7320" s="223">
        <v>1</v>
      </c>
    </row>
    <row r="7321" spans="1:18" ht="60">
      <c r="A7321" s="219">
        <v>272</v>
      </c>
      <c r="B7321" s="216" t="s">
        <v>13456</v>
      </c>
      <c r="C7321" s="220" t="s">
        <v>13457</v>
      </c>
      <c r="D7321" s="221">
        <v>11997.05</v>
      </c>
      <c r="E7321" s="221">
        <v>3447</v>
      </c>
      <c r="F7321" s="221">
        <v>6925.39</v>
      </c>
      <c r="G7321" s="221">
        <v>1624.66</v>
      </c>
      <c r="H7321" s="222">
        <v>86146.83</v>
      </c>
      <c r="I7321" s="222">
        <v>39642</v>
      </c>
      <c r="J7321" s="222">
        <v>37434.93</v>
      </c>
      <c r="K7321" s="222">
        <v>9069.9</v>
      </c>
      <c r="L7321" s="43">
        <v>7.1806677474879246</v>
      </c>
      <c r="M7321" s="43">
        <v>11.500435161009573</v>
      </c>
      <c r="N7321" s="43">
        <v>5.4054616418714323</v>
      </c>
      <c r="O7321" s="43">
        <v>5.5826449841813055</v>
      </c>
      <c r="P7321" s="223"/>
      <c r="Q7321" s="223"/>
      <c r="R7321" s="223">
        <v>1</v>
      </c>
    </row>
    <row r="7322" spans="1:18" ht="30.75" customHeight="1">
      <c r="A7322" s="628" t="s">
        <v>13458</v>
      </c>
      <c r="B7322" s="629"/>
      <c r="C7322" s="629"/>
      <c r="D7322" s="629"/>
      <c r="E7322" s="629"/>
      <c r="F7322" s="629"/>
      <c r="G7322" s="629"/>
      <c r="H7322" s="629"/>
      <c r="I7322" s="629"/>
      <c r="J7322" s="629"/>
      <c r="K7322" s="629"/>
      <c r="L7322" s="629"/>
      <c r="M7322" s="629"/>
      <c r="N7322" s="629"/>
      <c r="O7322" s="629"/>
      <c r="P7322" s="629"/>
      <c r="Q7322" s="629"/>
      <c r="R7322" s="629"/>
    </row>
    <row r="7323" spans="1:18" ht="60">
      <c r="A7323" s="219">
        <v>273</v>
      </c>
      <c r="B7323" s="216" t="s">
        <v>13459</v>
      </c>
      <c r="C7323" s="220" t="s">
        <v>13460</v>
      </c>
      <c r="D7323" s="221">
        <v>4362.5200000000004</v>
      </c>
      <c r="E7323" s="221">
        <v>1008.82</v>
      </c>
      <c r="F7323" s="221">
        <v>3319.65</v>
      </c>
      <c r="G7323" s="221">
        <v>34.049999999999997</v>
      </c>
      <c r="H7323" s="222">
        <v>29998.87</v>
      </c>
      <c r="I7323" s="222">
        <v>11601.89</v>
      </c>
      <c r="J7323" s="222">
        <v>18091.080000000002</v>
      </c>
      <c r="K7323" s="222">
        <v>305.89999999999998</v>
      </c>
      <c r="L7323" s="43">
        <v>6.8765002796548771</v>
      </c>
      <c r="M7323" s="43">
        <v>11.500455978271644</v>
      </c>
      <c r="N7323" s="43">
        <v>5.4496949979666534</v>
      </c>
      <c r="O7323" s="43">
        <v>8.9838472834067549</v>
      </c>
      <c r="P7323" s="223"/>
      <c r="Q7323" s="223"/>
      <c r="R7323" s="223">
        <v>2</v>
      </c>
    </row>
    <row r="7324" spans="1:18" ht="60">
      <c r="A7324" s="219">
        <v>274</v>
      </c>
      <c r="B7324" s="216" t="s">
        <v>13461</v>
      </c>
      <c r="C7324" s="220" t="s">
        <v>13462</v>
      </c>
      <c r="D7324" s="221">
        <v>4385.7299999999996</v>
      </c>
      <c r="E7324" s="221">
        <v>1021.46</v>
      </c>
      <c r="F7324" s="221">
        <v>3324.14</v>
      </c>
      <c r="G7324" s="221">
        <v>40.130000000000003</v>
      </c>
      <c r="H7324" s="222">
        <v>30200.78</v>
      </c>
      <c r="I7324" s="222">
        <v>11747.25</v>
      </c>
      <c r="J7324" s="222">
        <v>18113.740000000002</v>
      </c>
      <c r="K7324" s="222">
        <v>339.79</v>
      </c>
      <c r="L7324" s="43">
        <v>6.8861466620152179</v>
      </c>
      <c r="M7324" s="43">
        <v>11.500450335793863</v>
      </c>
      <c r="N7324" s="43">
        <v>5.4491507577899858</v>
      </c>
      <c r="O7324" s="43">
        <v>8.4672314976326941</v>
      </c>
      <c r="P7324" s="223"/>
      <c r="Q7324" s="223"/>
      <c r="R7324" s="223">
        <v>2</v>
      </c>
    </row>
    <row r="7325" spans="1:18" ht="60">
      <c r="A7325" s="219">
        <v>275</v>
      </c>
      <c r="B7325" s="216" t="s">
        <v>13463</v>
      </c>
      <c r="C7325" s="220" t="s">
        <v>13464</v>
      </c>
      <c r="D7325" s="221">
        <v>5108.6099999999997</v>
      </c>
      <c r="E7325" s="221">
        <v>1183.47</v>
      </c>
      <c r="F7325" s="221">
        <v>3868.02</v>
      </c>
      <c r="G7325" s="221">
        <v>57.12</v>
      </c>
      <c r="H7325" s="222">
        <v>35151.629999999997</v>
      </c>
      <c r="I7325" s="222">
        <v>13610.42</v>
      </c>
      <c r="J7325" s="222">
        <v>21091</v>
      </c>
      <c r="K7325" s="222">
        <v>450.21</v>
      </c>
      <c r="L7325" s="43">
        <v>6.8808599599499667</v>
      </c>
      <c r="M7325" s="43">
        <v>11.500435161009573</v>
      </c>
      <c r="N7325" s="43">
        <v>5.4526605343302261</v>
      </c>
      <c r="O7325" s="43">
        <v>7.8818277310924367</v>
      </c>
      <c r="P7325" s="223"/>
      <c r="Q7325" s="223"/>
      <c r="R7325" s="223">
        <v>2</v>
      </c>
    </row>
    <row r="7326" spans="1:18" ht="60">
      <c r="A7326" s="219">
        <v>276</v>
      </c>
      <c r="B7326" s="216" t="s">
        <v>13465</v>
      </c>
      <c r="C7326" s="220" t="s">
        <v>13466</v>
      </c>
      <c r="D7326" s="221">
        <v>5156.25</v>
      </c>
      <c r="E7326" s="221">
        <v>1183.47</v>
      </c>
      <c r="F7326" s="221">
        <v>3904.9</v>
      </c>
      <c r="G7326" s="221">
        <v>67.88</v>
      </c>
      <c r="H7326" s="222">
        <v>35401.949999999997</v>
      </c>
      <c r="I7326" s="222">
        <v>13610.42</v>
      </c>
      <c r="J7326" s="222">
        <v>21284.11</v>
      </c>
      <c r="K7326" s="222">
        <v>507.42</v>
      </c>
      <c r="L7326" s="43">
        <v>6.8658327272727266</v>
      </c>
      <c r="M7326" s="43">
        <v>11.500435161009573</v>
      </c>
      <c r="N7326" s="43">
        <v>5.4506158928525696</v>
      </c>
      <c r="O7326" s="43">
        <v>7.4752504419563941</v>
      </c>
      <c r="P7326" s="223"/>
      <c r="Q7326" s="223"/>
      <c r="R7326" s="223">
        <v>2</v>
      </c>
    </row>
    <row r="7327" spans="1:18" ht="60">
      <c r="A7327" s="219">
        <v>277</v>
      </c>
      <c r="B7327" s="216" t="s">
        <v>13467</v>
      </c>
      <c r="C7327" s="220" t="s">
        <v>13468</v>
      </c>
      <c r="D7327" s="221">
        <v>5501.68</v>
      </c>
      <c r="E7327" s="221">
        <v>1286.8800000000001</v>
      </c>
      <c r="F7327" s="221">
        <v>4124.9399999999996</v>
      </c>
      <c r="G7327" s="221">
        <v>89.86</v>
      </c>
      <c r="H7327" s="222">
        <v>37895.089999999997</v>
      </c>
      <c r="I7327" s="222">
        <v>14799.68</v>
      </c>
      <c r="J7327" s="222">
        <v>22458.27</v>
      </c>
      <c r="K7327" s="222">
        <v>637.14</v>
      </c>
      <c r="L7327" s="43">
        <v>6.8879124194791403</v>
      </c>
      <c r="M7327" s="43">
        <v>11.500435161009573</v>
      </c>
      <c r="N7327" s="43">
        <v>5.4445082837568552</v>
      </c>
      <c r="O7327" s="43">
        <v>7.0903627865568657</v>
      </c>
      <c r="P7327" s="223"/>
      <c r="Q7327" s="223"/>
      <c r="R7327" s="223">
        <v>2</v>
      </c>
    </row>
    <row r="7328" spans="1:18" ht="60">
      <c r="A7328" s="219">
        <v>278</v>
      </c>
      <c r="B7328" s="216" t="s">
        <v>13469</v>
      </c>
      <c r="C7328" s="220" t="s">
        <v>13470</v>
      </c>
      <c r="D7328" s="221">
        <v>6321.33</v>
      </c>
      <c r="E7328" s="221">
        <v>1447.74</v>
      </c>
      <c r="F7328" s="221">
        <v>4748.38</v>
      </c>
      <c r="G7328" s="221">
        <v>125.21</v>
      </c>
      <c r="H7328" s="222">
        <v>43377.93</v>
      </c>
      <c r="I7328" s="222">
        <v>16649.64</v>
      </c>
      <c r="J7328" s="222">
        <v>25883.24</v>
      </c>
      <c r="K7328" s="222">
        <v>845.05</v>
      </c>
      <c r="L7328" s="43">
        <v>6.862152426783604</v>
      </c>
      <c r="M7328" s="43">
        <v>11.500435161009573</v>
      </c>
      <c r="N7328" s="43">
        <v>5.4509622229054964</v>
      </c>
      <c r="O7328" s="43">
        <v>6.7490615765513935</v>
      </c>
      <c r="P7328" s="223"/>
      <c r="Q7328" s="223"/>
      <c r="R7328" s="223">
        <v>2</v>
      </c>
    </row>
    <row r="7329" spans="1:18" ht="60">
      <c r="A7329" s="219">
        <v>279</v>
      </c>
      <c r="B7329" s="216" t="s">
        <v>13471</v>
      </c>
      <c r="C7329" s="220" t="s">
        <v>13472</v>
      </c>
      <c r="D7329" s="221">
        <v>6859.42</v>
      </c>
      <c r="E7329" s="221">
        <v>1746.48</v>
      </c>
      <c r="F7329" s="221">
        <v>4939.0600000000004</v>
      </c>
      <c r="G7329" s="221">
        <v>173.88</v>
      </c>
      <c r="H7329" s="222">
        <v>48128.19</v>
      </c>
      <c r="I7329" s="222">
        <v>20085.28</v>
      </c>
      <c r="J7329" s="222">
        <v>26901.96</v>
      </c>
      <c r="K7329" s="222">
        <v>1140.95</v>
      </c>
      <c r="L7329" s="43">
        <v>7.016364357336335</v>
      </c>
      <c r="M7329" s="43">
        <v>11.500435161009573</v>
      </c>
      <c r="N7329" s="43">
        <v>5.4467773220005418</v>
      </c>
      <c r="O7329" s="43">
        <v>6.5617092247527031</v>
      </c>
      <c r="P7329" s="223"/>
      <c r="Q7329" s="223"/>
      <c r="R7329" s="223">
        <v>2</v>
      </c>
    </row>
    <row r="7330" spans="1:18" ht="60">
      <c r="A7330" s="219">
        <v>280</v>
      </c>
      <c r="B7330" s="216" t="s">
        <v>13473</v>
      </c>
      <c r="C7330" s="220" t="s">
        <v>13474</v>
      </c>
      <c r="D7330" s="221">
        <v>7703.81</v>
      </c>
      <c r="E7330" s="221">
        <v>1964.79</v>
      </c>
      <c r="F7330" s="221">
        <v>5281.98</v>
      </c>
      <c r="G7330" s="221">
        <v>457.04</v>
      </c>
      <c r="H7330" s="222">
        <v>53967.199999999997</v>
      </c>
      <c r="I7330" s="222">
        <v>22595.94</v>
      </c>
      <c r="J7330" s="222">
        <v>28695.439999999999</v>
      </c>
      <c r="K7330" s="222">
        <v>2675.82</v>
      </c>
      <c r="L7330" s="43">
        <v>7.0052610331770895</v>
      </c>
      <c r="M7330" s="43">
        <v>11.500435161009573</v>
      </c>
      <c r="N7330" s="43">
        <v>5.4327051598074965</v>
      </c>
      <c r="O7330" s="43">
        <v>5.8546735515490989</v>
      </c>
      <c r="P7330" s="223"/>
      <c r="Q7330" s="223"/>
      <c r="R7330" s="223">
        <v>2</v>
      </c>
    </row>
    <row r="7331" spans="1:18" ht="60">
      <c r="A7331" s="219">
        <v>281</v>
      </c>
      <c r="B7331" s="216" t="s">
        <v>13475</v>
      </c>
      <c r="C7331" s="220" t="s">
        <v>13476</v>
      </c>
      <c r="D7331" s="221">
        <v>8826.0300000000007</v>
      </c>
      <c r="E7331" s="221">
        <v>2401.41</v>
      </c>
      <c r="F7331" s="221">
        <v>5691.72</v>
      </c>
      <c r="G7331" s="221">
        <v>732.9</v>
      </c>
      <c r="H7331" s="222">
        <v>62667.01</v>
      </c>
      <c r="I7331" s="222">
        <v>27617.26</v>
      </c>
      <c r="J7331" s="222">
        <v>30851.3</v>
      </c>
      <c r="K7331" s="222">
        <v>4198.45</v>
      </c>
      <c r="L7331" s="43">
        <v>7.100248922788615</v>
      </c>
      <c r="M7331" s="43">
        <v>11.500435161009573</v>
      </c>
      <c r="N7331" s="43">
        <v>5.4203825908512711</v>
      </c>
      <c r="O7331" s="43">
        <v>5.7285441397189247</v>
      </c>
      <c r="P7331" s="223"/>
      <c r="Q7331" s="223"/>
      <c r="R7331" s="223">
        <v>2</v>
      </c>
    </row>
    <row r="7332" spans="1:18" ht="60">
      <c r="A7332" s="219">
        <v>282</v>
      </c>
      <c r="B7332" s="216" t="s">
        <v>13477</v>
      </c>
      <c r="C7332" s="220" t="s">
        <v>13478</v>
      </c>
      <c r="D7332" s="221">
        <v>9587.9599999999991</v>
      </c>
      <c r="E7332" s="221">
        <v>2654.19</v>
      </c>
      <c r="F7332" s="221">
        <v>5913.1</v>
      </c>
      <c r="G7332" s="221">
        <v>1020.67</v>
      </c>
      <c r="H7332" s="222">
        <v>68294.03</v>
      </c>
      <c r="I7332" s="222">
        <v>30524.34</v>
      </c>
      <c r="J7332" s="222">
        <v>32007.97</v>
      </c>
      <c r="K7332" s="222">
        <v>5761.72</v>
      </c>
      <c r="L7332" s="43">
        <v>7.1228947555058637</v>
      </c>
      <c r="M7332" s="43">
        <v>11.500435161009573</v>
      </c>
      <c r="N7332" s="43">
        <v>5.4130608310361739</v>
      </c>
      <c r="O7332" s="43">
        <v>5.6450370834843788</v>
      </c>
      <c r="P7332" s="223"/>
      <c r="Q7332" s="223"/>
      <c r="R7332" s="223">
        <v>2</v>
      </c>
    </row>
    <row r="7333" spans="1:18" ht="60">
      <c r="A7333" s="219">
        <v>283</v>
      </c>
      <c r="B7333" s="216" t="s">
        <v>13479</v>
      </c>
      <c r="C7333" s="220" t="s">
        <v>13480</v>
      </c>
      <c r="D7333" s="221">
        <v>11077.42</v>
      </c>
      <c r="E7333" s="221">
        <v>3044.85</v>
      </c>
      <c r="F7333" s="221">
        <v>6573.43</v>
      </c>
      <c r="G7333" s="221">
        <v>1459.14</v>
      </c>
      <c r="H7333" s="222">
        <v>78650.67</v>
      </c>
      <c r="I7333" s="222">
        <v>35017.1</v>
      </c>
      <c r="J7333" s="222">
        <v>35486.99</v>
      </c>
      <c r="K7333" s="222">
        <v>8146.58</v>
      </c>
      <c r="L7333" s="43">
        <v>7.1000891904432617</v>
      </c>
      <c r="M7333" s="43">
        <v>11.500435161009573</v>
      </c>
      <c r="N7333" s="43">
        <v>5.3985499199048288</v>
      </c>
      <c r="O7333" s="43">
        <v>5.5831380128020607</v>
      </c>
      <c r="P7333" s="223"/>
      <c r="Q7333" s="223"/>
      <c r="R7333" s="223">
        <v>2</v>
      </c>
    </row>
    <row r="7334" spans="1:18" ht="60">
      <c r="A7334" s="219">
        <v>284</v>
      </c>
      <c r="B7334" s="216" t="s">
        <v>13481</v>
      </c>
      <c r="C7334" s="220" t="s">
        <v>13482</v>
      </c>
      <c r="D7334" s="221">
        <v>11325.16</v>
      </c>
      <c r="E7334" s="221">
        <v>3171.24</v>
      </c>
      <c r="F7334" s="221">
        <v>6668.55</v>
      </c>
      <c r="G7334" s="221">
        <v>1485.37</v>
      </c>
      <c r="H7334" s="222">
        <v>80747.820000000007</v>
      </c>
      <c r="I7334" s="222">
        <v>36470.639999999999</v>
      </c>
      <c r="J7334" s="222">
        <v>35978.730000000003</v>
      </c>
      <c r="K7334" s="222">
        <v>8298.4500000000007</v>
      </c>
      <c r="L7334" s="43">
        <v>7.1299495989460642</v>
      </c>
      <c r="M7334" s="43">
        <v>11.500435161009575</v>
      </c>
      <c r="N7334" s="43">
        <v>5.3952853318937404</v>
      </c>
      <c r="O7334" s="43">
        <v>5.5867898234110029</v>
      </c>
      <c r="P7334" s="223"/>
      <c r="Q7334" s="223"/>
      <c r="R7334" s="223">
        <v>2</v>
      </c>
    </row>
    <row r="7335" spans="1:18" ht="33.75" customHeight="1">
      <c r="A7335" s="628" t="s">
        <v>13483</v>
      </c>
      <c r="B7335" s="629"/>
      <c r="C7335" s="629"/>
      <c r="D7335" s="629"/>
      <c r="E7335" s="629"/>
      <c r="F7335" s="629"/>
      <c r="G7335" s="629"/>
      <c r="H7335" s="629"/>
      <c r="I7335" s="629"/>
      <c r="J7335" s="629"/>
      <c r="K7335" s="629"/>
      <c r="L7335" s="629"/>
      <c r="M7335" s="629"/>
      <c r="N7335" s="629"/>
      <c r="O7335" s="629"/>
      <c r="P7335" s="629"/>
      <c r="Q7335" s="629"/>
      <c r="R7335" s="629"/>
    </row>
    <row r="7336" spans="1:18" ht="60">
      <c r="A7336" s="219">
        <v>285</v>
      </c>
      <c r="B7336" s="216" t="s">
        <v>13484</v>
      </c>
      <c r="C7336" s="220" t="s">
        <v>13485</v>
      </c>
      <c r="D7336" s="221">
        <v>4580.8999999999996</v>
      </c>
      <c r="E7336" s="221">
        <v>1058.23</v>
      </c>
      <c r="F7336" s="221">
        <v>3485.05</v>
      </c>
      <c r="G7336" s="221">
        <v>37.619999999999997</v>
      </c>
      <c r="H7336" s="222">
        <v>31481.23</v>
      </c>
      <c r="I7336" s="222">
        <v>12170.09</v>
      </c>
      <c r="J7336" s="222">
        <v>18980.2</v>
      </c>
      <c r="K7336" s="222">
        <v>330.94</v>
      </c>
      <c r="L7336" s="43">
        <v>6.8722805562225764</v>
      </c>
      <c r="M7336" s="43">
        <v>11.500420513498955</v>
      </c>
      <c r="N7336" s="43">
        <v>5.4461772427942208</v>
      </c>
      <c r="O7336" s="43">
        <v>8.7969165337586404</v>
      </c>
      <c r="P7336" s="223"/>
      <c r="Q7336" s="223"/>
      <c r="R7336" s="223">
        <v>3</v>
      </c>
    </row>
    <row r="7337" spans="1:18" ht="60">
      <c r="A7337" s="219">
        <v>286</v>
      </c>
      <c r="B7337" s="216" t="s">
        <v>13486</v>
      </c>
      <c r="C7337" s="220" t="s">
        <v>13487</v>
      </c>
      <c r="D7337" s="221">
        <v>4614.51</v>
      </c>
      <c r="E7337" s="221">
        <v>1070.8699999999999</v>
      </c>
      <c r="F7337" s="221">
        <v>3499.65</v>
      </c>
      <c r="G7337" s="221">
        <v>43.99</v>
      </c>
      <c r="H7337" s="222">
        <v>31736.18</v>
      </c>
      <c r="I7337" s="222">
        <v>12315.45</v>
      </c>
      <c r="J7337" s="222">
        <v>19054.259999999998</v>
      </c>
      <c r="K7337" s="222">
        <v>366.47</v>
      </c>
      <c r="L7337" s="43">
        <v>6.8774756149623686</v>
      </c>
      <c r="M7337" s="43">
        <v>11.500415549973388</v>
      </c>
      <c r="N7337" s="43">
        <v>5.4446187475890442</v>
      </c>
      <c r="O7337" s="43">
        <v>8.3307569902250513</v>
      </c>
      <c r="P7337" s="223"/>
      <c r="Q7337" s="223"/>
      <c r="R7337" s="223">
        <v>3</v>
      </c>
    </row>
    <row r="7338" spans="1:18" ht="60">
      <c r="A7338" s="219">
        <v>287</v>
      </c>
      <c r="B7338" s="216" t="s">
        <v>13488</v>
      </c>
      <c r="C7338" s="220" t="s">
        <v>13489</v>
      </c>
      <c r="D7338" s="221">
        <v>5553.14</v>
      </c>
      <c r="E7338" s="221">
        <v>1344.33</v>
      </c>
      <c r="F7338" s="221">
        <v>4144.16</v>
      </c>
      <c r="G7338" s="221">
        <v>64.650000000000006</v>
      </c>
      <c r="H7338" s="222">
        <v>38541.629999999997</v>
      </c>
      <c r="I7338" s="222">
        <v>15460.38</v>
      </c>
      <c r="J7338" s="222">
        <v>22571.07</v>
      </c>
      <c r="K7338" s="222">
        <v>510.18</v>
      </c>
      <c r="L7338" s="43">
        <v>6.9405111342411674</v>
      </c>
      <c r="M7338" s="43">
        <v>11.500435161009573</v>
      </c>
      <c r="N7338" s="43">
        <v>5.4464764873943095</v>
      </c>
      <c r="O7338" s="43">
        <v>7.8914153132250577</v>
      </c>
      <c r="P7338" s="223"/>
      <c r="Q7338" s="223"/>
      <c r="R7338" s="223">
        <v>3</v>
      </c>
    </row>
    <row r="7339" spans="1:18" ht="60">
      <c r="A7339" s="219">
        <v>288</v>
      </c>
      <c r="B7339" s="216" t="s">
        <v>13490</v>
      </c>
      <c r="C7339" s="220" t="s">
        <v>13491</v>
      </c>
      <c r="D7339" s="221">
        <v>5633.75</v>
      </c>
      <c r="E7339" s="221">
        <v>1401.78</v>
      </c>
      <c r="F7339" s="221">
        <v>4155.42</v>
      </c>
      <c r="G7339" s="221">
        <v>76.55</v>
      </c>
      <c r="H7339" s="222">
        <v>39331.33</v>
      </c>
      <c r="I7339" s="222">
        <v>16121.08</v>
      </c>
      <c r="J7339" s="222">
        <v>22629.63</v>
      </c>
      <c r="K7339" s="222">
        <v>580.62</v>
      </c>
      <c r="L7339" s="43">
        <v>6.9813765254049258</v>
      </c>
      <c r="M7339" s="43">
        <v>11.500435161009573</v>
      </c>
      <c r="N7339" s="43">
        <v>5.4458105317874006</v>
      </c>
      <c r="O7339" s="43">
        <v>7.5848465055519272</v>
      </c>
      <c r="P7339" s="223"/>
      <c r="Q7339" s="223"/>
      <c r="R7339" s="223">
        <v>3</v>
      </c>
    </row>
    <row r="7340" spans="1:18" ht="60">
      <c r="A7340" s="219">
        <v>289</v>
      </c>
      <c r="B7340" s="216" t="s">
        <v>13492</v>
      </c>
      <c r="C7340" s="220" t="s">
        <v>13493</v>
      </c>
      <c r="D7340" s="221">
        <v>6140.06</v>
      </c>
      <c r="E7340" s="221">
        <v>1597.11</v>
      </c>
      <c r="F7340" s="221">
        <v>4426.8</v>
      </c>
      <c r="G7340" s="221">
        <v>116.15</v>
      </c>
      <c r="H7340" s="222">
        <v>43251.66</v>
      </c>
      <c r="I7340" s="222">
        <v>18367.46</v>
      </c>
      <c r="J7340" s="222">
        <v>24068.66</v>
      </c>
      <c r="K7340" s="222">
        <v>815.54</v>
      </c>
      <c r="L7340" s="43">
        <v>7.0441754640834127</v>
      </c>
      <c r="M7340" s="43">
        <v>11.500435161009573</v>
      </c>
      <c r="N7340" s="43">
        <v>5.4370335230866536</v>
      </c>
      <c r="O7340" s="43">
        <v>7.0214377959535081</v>
      </c>
      <c r="P7340" s="223"/>
      <c r="Q7340" s="223"/>
      <c r="R7340" s="223">
        <v>3</v>
      </c>
    </row>
    <row r="7341" spans="1:18" ht="60">
      <c r="A7341" s="219">
        <v>290</v>
      </c>
      <c r="B7341" s="216" t="s">
        <v>13494</v>
      </c>
      <c r="C7341" s="220" t="s">
        <v>13495</v>
      </c>
      <c r="D7341" s="221">
        <v>7097.04</v>
      </c>
      <c r="E7341" s="221">
        <v>1746.48</v>
      </c>
      <c r="F7341" s="221">
        <v>5202.1400000000003</v>
      </c>
      <c r="G7341" s="221">
        <v>148.41999999999999</v>
      </c>
      <c r="H7341" s="222">
        <v>49399.11</v>
      </c>
      <c r="I7341" s="222">
        <v>20085.28</v>
      </c>
      <c r="J7341" s="222">
        <v>28308.22</v>
      </c>
      <c r="K7341" s="222">
        <v>1005.61</v>
      </c>
      <c r="L7341" s="43">
        <v>6.9605229785938931</v>
      </c>
      <c r="M7341" s="43">
        <v>11.500435161009573</v>
      </c>
      <c r="N7341" s="43">
        <v>5.441649013675141</v>
      </c>
      <c r="O7341" s="43">
        <v>6.7754345775501958</v>
      </c>
      <c r="P7341" s="223"/>
      <c r="Q7341" s="223"/>
      <c r="R7341" s="223">
        <v>3</v>
      </c>
    </row>
    <row r="7342" spans="1:18" ht="60">
      <c r="A7342" s="219">
        <v>291</v>
      </c>
      <c r="B7342" s="216" t="s">
        <v>13496</v>
      </c>
      <c r="C7342" s="220" t="s">
        <v>13497</v>
      </c>
      <c r="D7342" s="221">
        <v>7675.52</v>
      </c>
      <c r="E7342" s="221">
        <v>1953.3</v>
      </c>
      <c r="F7342" s="221">
        <v>5488.22</v>
      </c>
      <c r="G7342" s="221">
        <v>234</v>
      </c>
      <c r="H7342" s="222">
        <v>53781.49</v>
      </c>
      <c r="I7342" s="222">
        <v>22463.8</v>
      </c>
      <c r="J7342" s="222">
        <v>29830.79</v>
      </c>
      <c r="K7342" s="222">
        <v>1486.9</v>
      </c>
      <c r="L7342" s="43">
        <v>7.0068855269740675</v>
      </c>
      <c r="M7342" s="43">
        <v>11.500435161009573</v>
      </c>
      <c r="N7342" s="43">
        <v>5.4354216849907617</v>
      </c>
      <c r="O7342" s="43">
        <v>6.3542735042735048</v>
      </c>
      <c r="P7342" s="223"/>
      <c r="Q7342" s="223"/>
      <c r="R7342" s="223">
        <v>3</v>
      </c>
    </row>
    <row r="7343" spans="1:18" ht="60">
      <c r="A7343" s="219">
        <v>292</v>
      </c>
      <c r="B7343" s="216" t="s">
        <v>13498</v>
      </c>
      <c r="C7343" s="220" t="s">
        <v>13499</v>
      </c>
      <c r="D7343" s="221">
        <v>9324.73</v>
      </c>
      <c r="E7343" s="221">
        <v>2458.86</v>
      </c>
      <c r="F7343" s="221">
        <v>6162.09</v>
      </c>
      <c r="G7343" s="221">
        <v>703.78</v>
      </c>
      <c r="H7343" s="222">
        <v>65711.27</v>
      </c>
      <c r="I7343" s="222">
        <v>28277.96</v>
      </c>
      <c r="J7343" s="222">
        <v>33381.660000000003</v>
      </c>
      <c r="K7343" s="222">
        <v>4051.65</v>
      </c>
      <c r="L7343" s="43">
        <v>7.0469890281005467</v>
      </c>
      <c r="M7343" s="43">
        <v>11.500435161009573</v>
      </c>
      <c r="N7343" s="43">
        <v>5.4172626495231331</v>
      </c>
      <c r="O7343" s="43">
        <v>5.7569837165023161</v>
      </c>
      <c r="P7343" s="223"/>
      <c r="Q7343" s="223"/>
      <c r="R7343" s="223">
        <v>3</v>
      </c>
    </row>
    <row r="7344" spans="1:18" ht="60">
      <c r="A7344" s="219">
        <v>293</v>
      </c>
      <c r="B7344" s="216" t="s">
        <v>13500</v>
      </c>
      <c r="C7344" s="220" t="s">
        <v>13501</v>
      </c>
      <c r="D7344" s="221">
        <v>10380.86</v>
      </c>
      <c r="E7344" s="221">
        <v>2861.01</v>
      </c>
      <c r="F7344" s="221">
        <v>6418.89</v>
      </c>
      <c r="G7344" s="221">
        <v>1100.96</v>
      </c>
      <c r="H7344" s="222">
        <v>73845.58</v>
      </c>
      <c r="I7344" s="222">
        <v>32902.86</v>
      </c>
      <c r="J7344" s="222">
        <v>34726.15</v>
      </c>
      <c r="K7344" s="222">
        <v>6216.57</v>
      </c>
      <c r="L7344" s="43">
        <v>7.1136283506376152</v>
      </c>
      <c r="M7344" s="43">
        <v>11.500435161009573</v>
      </c>
      <c r="N7344" s="43">
        <v>5.4099930050211169</v>
      </c>
      <c r="O7344" s="43">
        <v>5.6464994186891433</v>
      </c>
      <c r="P7344" s="223"/>
      <c r="Q7344" s="223"/>
      <c r="R7344" s="223">
        <v>3</v>
      </c>
    </row>
    <row r="7345" spans="1:18" ht="60">
      <c r="A7345" s="219">
        <v>294</v>
      </c>
      <c r="B7345" s="216" t="s">
        <v>13502</v>
      </c>
      <c r="C7345" s="220" t="s">
        <v>13503</v>
      </c>
      <c r="D7345" s="221">
        <v>11709.75</v>
      </c>
      <c r="E7345" s="221">
        <v>3527.43</v>
      </c>
      <c r="F7345" s="221">
        <v>6684.82</v>
      </c>
      <c r="G7345" s="221">
        <v>1497.5</v>
      </c>
      <c r="H7345" s="222">
        <v>85053.65</v>
      </c>
      <c r="I7345" s="222">
        <v>40566.980000000003</v>
      </c>
      <c r="J7345" s="222">
        <v>36076.11</v>
      </c>
      <c r="K7345" s="222">
        <v>8410.56</v>
      </c>
      <c r="L7345" s="43">
        <v>7.2634898268536894</v>
      </c>
      <c r="M7345" s="43">
        <v>11.500435161009575</v>
      </c>
      <c r="N7345" s="43">
        <v>5.3967212280958954</v>
      </c>
      <c r="O7345" s="43">
        <v>5.6164006677796321</v>
      </c>
      <c r="P7345" s="223"/>
      <c r="Q7345" s="223"/>
      <c r="R7345" s="223">
        <v>3</v>
      </c>
    </row>
    <row r="7346" spans="1:18" ht="60">
      <c r="A7346" s="219">
        <v>295</v>
      </c>
      <c r="B7346" s="216" t="s">
        <v>13504</v>
      </c>
      <c r="C7346" s="220" t="s">
        <v>13505</v>
      </c>
      <c r="D7346" s="221">
        <v>13016.94</v>
      </c>
      <c r="E7346" s="221">
        <v>3860.64</v>
      </c>
      <c r="F7346" s="221">
        <v>7336.33</v>
      </c>
      <c r="G7346" s="221">
        <v>1819.97</v>
      </c>
      <c r="H7346" s="222">
        <v>94094.720000000001</v>
      </c>
      <c r="I7346" s="222">
        <v>44399.040000000001</v>
      </c>
      <c r="J7346" s="222">
        <v>39525.58</v>
      </c>
      <c r="K7346" s="222">
        <v>10170.1</v>
      </c>
      <c r="L7346" s="43">
        <v>7.2286359159679616</v>
      </c>
      <c r="M7346" s="43">
        <v>11.500435161009575</v>
      </c>
      <c r="N7346" s="43">
        <v>5.3876502283839471</v>
      </c>
      <c r="O7346" s="43">
        <v>5.5880591438320417</v>
      </c>
      <c r="P7346" s="223"/>
      <c r="Q7346" s="223"/>
      <c r="R7346" s="223">
        <v>3</v>
      </c>
    </row>
    <row r="7347" spans="1:18" ht="60">
      <c r="A7347" s="219">
        <v>296</v>
      </c>
      <c r="B7347" s="216" t="s">
        <v>13506</v>
      </c>
      <c r="C7347" s="220" t="s">
        <v>13507</v>
      </c>
      <c r="D7347" s="221">
        <v>13740.35</v>
      </c>
      <c r="E7347" s="221">
        <v>3998.52</v>
      </c>
      <c r="F7347" s="221">
        <v>7708.78</v>
      </c>
      <c r="G7347" s="221">
        <v>2033.05</v>
      </c>
      <c r="H7347" s="222">
        <v>98765.7</v>
      </c>
      <c r="I7347" s="222">
        <v>45984.72</v>
      </c>
      <c r="J7347" s="222">
        <v>41461.78</v>
      </c>
      <c r="K7347" s="222">
        <v>11319.2</v>
      </c>
      <c r="L7347" s="43">
        <v>7.188004672370063</v>
      </c>
      <c r="M7347" s="43">
        <v>11.500435161009573</v>
      </c>
      <c r="N7347" s="43">
        <v>5.3785138504406662</v>
      </c>
      <c r="O7347" s="43">
        <v>5.5675954846167093</v>
      </c>
      <c r="P7347" s="223"/>
      <c r="Q7347" s="223"/>
      <c r="R7347" s="223">
        <v>3</v>
      </c>
    </row>
    <row r="7348" spans="1:18" ht="24.75" customHeight="1">
      <c r="A7348" s="628" t="s">
        <v>13508</v>
      </c>
      <c r="B7348" s="629"/>
      <c r="C7348" s="629"/>
      <c r="D7348" s="629"/>
      <c r="E7348" s="629"/>
      <c r="F7348" s="629"/>
      <c r="G7348" s="629"/>
      <c r="H7348" s="629"/>
      <c r="I7348" s="629"/>
      <c r="J7348" s="629"/>
      <c r="K7348" s="629"/>
      <c r="L7348" s="629"/>
      <c r="M7348" s="629"/>
      <c r="N7348" s="629"/>
      <c r="O7348" s="629"/>
      <c r="P7348" s="629"/>
      <c r="Q7348" s="629"/>
      <c r="R7348" s="629"/>
    </row>
    <row r="7349" spans="1:18" ht="60">
      <c r="A7349" s="219">
        <v>297</v>
      </c>
      <c r="B7349" s="216" t="s">
        <v>13509</v>
      </c>
      <c r="C7349" s="220" t="s">
        <v>13510</v>
      </c>
      <c r="D7349" s="221">
        <v>6957.58</v>
      </c>
      <c r="E7349" s="221">
        <v>1723.5</v>
      </c>
      <c r="F7349" s="221">
        <v>5170.82</v>
      </c>
      <c r="G7349" s="221">
        <v>63.26</v>
      </c>
      <c r="H7349" s="222">
        <v>48388.59</v>
      </c>
      <c r="I7349" s="222">
        <v>19821</v>
      </c>
      <c r="J7349" s="222">
        <v>28017.75</v>
      </c>
      <c r="K7349" s="222">
        <v>549.84</v>
      </c>
      <c r="L7349" s="43">
        <v>6.9548018132741554</v>
      </c>
      <c r="M7349" s="43">
        <v>11.500435161009573</v>
      </c>
      <c r="N7349" s="43">
        <v>5.4184346003148436</v>
      </c>
      <c r="O7349" s="43">
        <v>8.6917483401833717</v>
      </c>
      <c r="P7349" s="223"/>
      <c r="Q7349" s="223"/>
      <c r="R7349" s="223">
        <v>4</v>
      </c>
    </row>
    <row r="7350" spans="1:18" ht="60">
      <c r="A7350" s="219">
        <v>298</v>
      </c>
      <c r="B7350" s="216" t="s">
        <v>13511</v>
      </c>
      <c r="C7350" s="220" t="s">
        <v>13512</v>
      </c>
      <c r="D7350" s="221">
        <v>7020.61</v>
      </c>
      <c r="E7350" s="221">
        <v>1769.46</v>
      </c>
      <c r="F7350" s="221">
        <v>5172.49</v>
      </c>
      <c r="G7350" s="221">
        <v>78.66</v>
      </c>
      <c r="H7350" s="222">
        <v>49012.62</v>
      </c>
      <c r="I7350" s="222">
        <v>20349.560000000001</v>
      </c>
      <c r="J7350" s="222">
        <v>28025.5</v>
      </c>
      <c r="K7350" s="222">
        <v>637.55999999999995</v>
      </c>
      <c r="L7350" s="43">
        <v>6.9812480681878073</v>
      </c>
      <c r="M7350" s="43">
        <v>11.500435161009573</v>
      </c>
      <c r="N7350" s="43">
        <v>5.4181835054296865</v>
      </c>
      <c r="O7350" s="43">
        <v>8.1052631578947363</v>
      </c>
      <c r="P7350" s="223"/>
      <c r="Q7350" s="223"/>
      <c r="R7350" s="223">
        <v>4</v>
      </c>
    </row>
    <row r="7351" spans="1:18" ht="60">
      <c r="A7351" s="219">
        <v>299</v>
      </c>
      <c r="B7351" s="216" t="s">
        <v>13513</v>
      </c>
      <c r="C7351" s="220" t="s">
        <v>13514</v>
      </c>
      <c r="D7351" s="221">
        <v>8342.9500000000007</v>
      </c>
      <c r="E7351" s="221">
        <v>2229.06</v>
      </c>
      <c r="F7351" s="221">
        <v>6002.82</v>
      </c>
      <c r="G7351" s="221">
        <v>111.07</v>
      </c>
      <c r="H7351" s="222">
        <v>58988.72</v>
      </c>
      <c r="I7351" s="222">
        <v>25635.16</v>
      </c>
      <c r="J7351" s="222">
        <v>32486.63</v>
      </c>
      <c r="K7351" s="222">
        <v>866.93</v>
      </c>
      <c r="L7351" s="43">
        <v>7.070487057935142</v>
      </c>
      <c r="M7351" s="43">
        <v>11.500435161009573</v>
      </c>
      <c r="N7351" s="43">
        <v>5.4118947428042157</v>
      </c>
      <c r="O7351" s="43">
        <v>7.8052579454398128</v>
      </c>
      <c r="P7351" s="223"/>
      <c r="Q7351" s="223"/>
      <c r="R7351" s="223">
        <v>4</v>
      </c>
    </row>
    <row r="7352" spans="1:18" ht="27" customHeight="1">
      <c r="A7352" s="628" t="s">
        <v>13515</v>
      </c>
      <c r="B7352" s="629"/>
      <c r="C7352" s="629"/>
      <c r="D7352" s="629"/>
      <c r="E7352" s="629"/>
      <c r="F7352" s="629"/>
      <c r="G7352" s="629"/>
      <c r="H7352" s="629"/>
      <c r="I7352" s="629"/>
      <c r="J7352" s="629"/>
      <c r="K7352" s="629"/>
      <c r="L7352" s="629"/>
      <c r="M7352" s="629"/>
      <c r="N7352" s="629"/>
      <c r="O7352" s="629"/>
      <c r="P7352" s="629"/>
      <c r="Q7352" s="629"/>
      <c r="R7352" s="629"/>
    </row>
    <row r="7353" spans="1:18" ht="60">
      <c r="A7353" s="219">
        <v>300</v>
      </c>
      <c r="B7353" s="216" t="s">
        <v>13516</v>
      </c>
      <c r="C7353" s="220" t="s">
        <v>13517</v>
      </c>
      <c r="D7353" s="221">
        <v>7095.77</v>
      </c>
      <c r="E7353" s="221">
        <v>1964.79</v>
      </c>
      <c r="F7353" s="221">
        <v>5047.95</v>
      </c>
      <c r="G7353" s="221">
        <v>83.03</v>
      </c>
      <c r="H7353" s="222">
        <v>50626.69</v>
      </c>
      <c r="I7353" s="222">
        <v>22595.94</v>
      </c>
      <c r="J7353" s="222">
        <v>27345.86</v>
      </c>
      <c r="K7353" s="222">
        <v>684.89</v>
      </c>
      <c r="L7353" s="43">
        <v>7.1347704336527258</v>
      </c>
      <c r="M7353" s="43">
        <v>11.500435161009573</v>
      </c>
      <c r="N7353" s="43">
        <v>5.4172208520290415</v>
      </c>
      <c r="O7353" s="43">
        <v>8.2487052872455742</v>
      </c>
      <c r="P7353" s="223"/>
      <c r="Q7353" s="223"/>
      <c r="R7353" s="223">
        <v>5</v>
      </c>
    </row>
    <row r="7354" spans="1:18" ht="60">
      <c r="A7354" s="219">
        <v>301</v>
      </c>
      <c r="B7354" s="216" t="s">
        <v>13518</v>
      </c>
      <c r="C7354" s="220" t="s">
        <v>13519</v>
      </c>
      <c r="D7354" s="221">
        <v>7302.06</v>
      </c>
      <c r="E7354" s="221">
        <v>2045.22</v>
      </c>
      <c r="F7354" s="221">
        <v>5135.95</v>
      </c>
      <c r="G7354" s="221">
        <v>120.89</v>
      </c>
      <c r="H7354" s="222">
        <v>52228.27</v>
      </c>
      <c r="I7354" s="222">
        <v>23520.92</v>
      </c>
      <c r="J7354" s="222">
        <v>27810.87</v>
      </c>
      <c r="K7354" s="222">
        <v>896.48</v>
      </c>
      <c r="L7354" s="43">
        <v>7.1525391464874284</v>
      </c>
      <c r="M7354" s="43">
        <v>11.500435161009573</v>
      </c>
      <c r="N7354" s="43">
        <v>5.414941734245855</v>
      </c>
      <c r="O7354" s="43">
        <v>7.4156671354123587</v>
      </c>
      <c r="P7354" s="223"/>
      <c r="Q7354" s="223"/>
      <c r="R7354" s="223">
        <v>5</v>
      </c>
    </row>
    <row r="7355" spans="1:18" ht="60">
      <c r="A7355" s="219">
        <v>302</v>
      </c>
      <c r="B7355" s="216" t="s">
        <v>13520</v>
      </c>
      <c r="C7355" s="220" t="s">
        <v>13521</v>
      </c>
      <c r="D7355" s="221">
        <v>8644.25</v>
      </c>
      <c r="E7355" s="221">
        <v>2435.88</v>
      </c>
      <c r="F7355" s="221">
        <v>6025.71</v>
      </c>
      <c r="G7355" s="221">
        <v>182.66</v>
      </c>
      <c r="H7355" s="222">
        <v>61935.71</v>
      </c>
      <c r="I7355" s="222">
        <v>28013.68</v>
      </c>
      <c r="J7355" s="222">
        <v>32648.27</v>
      </c>
      <c r="K7355" s="222">
        <v>1273.76</v>
      </c>
      <c r="L7355" s="43">
        <v>7.1649605228909392</v>
      </c>
      <c r="M7355" s="43">
        <v>11.500435161009573</v>
      </c>
      <c r="N7355" s="43">
        <v>5.4181615112575949</v>
      </c>
      <c r="O7355" s="43">
        <v>6.973393189532465</v>
      </c>
      <c r="P7355" s="223"/>
      <c r="Q7355" s="223"/>
      <c r="R7355" s="223">
        <v>5</v>
      </c>
    </row>
    <row r="7356" spans="1:18" ht="60">
      <c r="A7356" s="219">
        <v>303</v>
      </c>
      <c r="B7356" s="216" t="s">
        <v>13522</v>
      </c>
      <c r="C7356" s="220" t="s">
        <v>13523</v>
      </c>
      <c r="D7356" s="221">
        <v>8963.33</v>
      </c>
      <c r="E7356" s="221">
        <v>2539.29</v>
      </c>
      <c r="F7356" s="221">
        <v>6140.99</v>
      </c>
      <c r="G7356" s="221">
        <v>283.05</v>
      </c>
      <c r="H7356" s="222">
        <v>64279.91</v>
      </c>
      <c r="I7356" s="222">
        <v>29202.94</v>
      </c>
      <c r="J7356" s="222">
        <v>33255.550000000003</v>
      </c>
      <c r="K7356" s="222">
        <v>1821.42</v>
      </c>
      <c r="L7356" s="43">
        <v>7.1714318227712246</v>
      </c>
      <c r="M7356" s="43">
        <v>11.500435161009573</v>
      </c>
      <c r="N7356" s="43">
        <v>5.4153401975902913</v>
      </c>
      <c r="O7356" s="43">
        <v>6.4349761526232117</v>
      </c>
      <c r="P7356" s="223"/>
      <c r="Q7356" s="223"/>
      <c r="R7356" s="223">
        <v>5</v>
      </c>
    </row>
    <row r="7357" spans="1:18" ht="72">
      <c r="A7357" s="219">
        <v>304</v>
      </c>
      <c r="B7357" s="216" t="s">
        <v>13524</v>
      </c>
      <c r="C7357" s="220" t="s">
        <v>13525</v>
      </c>
      <c r="D7357" s="221">
        <v>10284.23</v>
      </c>
      <c r="E7357" s="221">
        <v>2723.13</v>
      </c>
      <c r="F7357" s="221">
        <v>7115.23</v>
      </c>
      <c r="G7357" s="221">
        <v>445.87</v>
      </c>
      <c r="H7357" s="222">
        <v>72502.86</v>
      </c>
      <c r="I7357" s="222">
        <v>31317.18</v>
      </c>
      <c r="J7357" s="222">
        <v>38474.11</v>
      </c>
      <c r="K7357" s="222">
        <v>2711.57</v>
      </c>
      <c r="L7357" s="43">
        <v>7.0499065073418237</v>
      </c>
      <c r="M7357" s="43">
        <v>11.500435161009573</v>
      </c>
      <c r="N7357" s="43">
        <v>5.4072897151602977</v>
      </c>
      <c r="O7357" s="43">
        <v>6.0815260053378788</v>
      </c>
      <c r="P7357" s="223"/>
      <c r="Q7357" s="223"/>
      <c r="R7357" s="223">
        <v>5</v>
      </c>
    </row>
    <row r="7358" spans="1:18" ht="72">
      <c r="A7358" s="219">
        <v>305</v>
      </c>
      <c r="B7358" s="216" t="s">
        <v>13526</v>
      </c>
      <c r="C7358" s="220" t="s">
        <v>13527</v>
      </c>
      <c r="D7358" s="221">
        <v>11615.04</v>
      </c>
      <c r="E7358" s="221">
        <v>2849.52</v>
      </c>
      <c r="F7358" s="221">
        <v>8171.58</v>
      </c>
      <c r="G7358" s="221">
        <v>593.94000000000005</v>
      </c>
      <c r="H7358" s="222">
        <v>80509.81</v>
      </c>
      <c r="I7358" s="222">
        <v>32770.720000000001</v>
      </c>
      <c r="J7358" s="222">
        <v>44223.1</v>
      </c>
      <c r="K7358" s="222">
        <v>3515.99</v>
      </c>
      <c r="L7358" s="43">
        <v>6.9315137959059969</v>
      </c>
      <c r="M7358" s="43">
        <v>11.500435161009573</v>
      </c>
      <c r="N7358" s="43">
        <v>5.4118175432413311</v>
      </c>
      <c r="O7358" s="43">
        <v>5.9197730410479164</v>
      </c>
      <c r="P7358" s="223"/>
      <c r="Q7358" s="223"/>
      <c r="R7358" s="223">
        <v>5</v>
      </c>
    </row>
    <row r="7359" spans="1:18" ht="72">
      <c r="A7359" s="219">
        <v>306</v>
      </c>
      <c r="B7359" s="216" t="s">
        <v>13528</v>
      </c>
      <c r="C7359" s="220" t="s">
        <v>13529</v>
      </c>
      <c r="D7359" s="221">
        <v>12219.44</v>
      </c>
      <c r="E7359" s="221">
        <v>2975.91</v>
      </c>
      <c r="F7359" s="221">
        <v>8544.08</v>
      </c>
      <c r="G7359" s="221">
        <v>699.45</v>
      </c>
      <c r="H7359" s="222">
        <v>84537.85</v>
      </c>
      <c r="I7359" s="222">
        <v>34224.26</v>
      </c>
      <c r="J7359" s="222">
        <v>46220.09</v>
      </c>
      <c r="K7359" s="222">
        <v>4093.5</v>
      </c>
      <c r="L7359" s="43">
        <v>6.9183080403029926</v>
      </c>
      <c r="M7359" s="43">
        <v>11.500435161009575</v>
      </c>
      <c r="N7359" s="43">
        <v>5.4096040767408544</v>
      </c>
      <c r="O7359" s="43">
        <v>5.8524555007505894</v>
      </c>
      <c r="P7359" s="223"/>
      <c r="Q7359" s="223"/>
      <c r="R7359" s="223">
        <v>5</v>
      </c>
    </row>
    <row r="7360" spans="1:18" ht="72">
      <c r="A7360" s="219">
        <v>307</v>
      </c>
      <c r="B7360" s="216" t="s">
        <v>13530</v>
      </c>
      <c r="C7360" s="220" t="s">
        <v>13531</v>
      </c>
      <c r="D7360" s="221">
        <v>14306.53</v>
      </c>
      <c r="E7360" s="221">
        <v>3734.25</v>
      </c>
      <c r="F7360" s="221">
        <v>9218.5499999999993</v>
      </c>
      <c r="G7360" s="221">
        <v>1353.73</v>
      </c>
      <c r="H7360" s="222">
        <v>100394.1</v>
      </c>
      <c r="I7360" s="222">
        <v>42945.5</v>
      </c>
      <c r="J7360" s="222">
        <v>49775.93</v>
      </c>
      <c r="K7360" s="222">
        <v>7672.67</v>
      </c>
      <c r="L7360" s="43">
        <v>7.0173620018271379</v>
      </c>
      <c r="M7360" s="43">
        <v>11.500435161009573</v>
      </c>
      <c r="N7360" s="43">
        <v>5.3995400578182036</v>
      </c>
      <c r="O7360" s="43">
        <v>5.667799339602432</v>
      </c>
      <c r="P7360" s="223"/>
      <c r="Q7360" s="223"/>
      <c r="R7360" s="223">
        <v>5</v>
      </c>
    </row>
    <row r="7361" spans="1:18" ht="72">
      <c r="A7361" s="219">
        <v>308</v>
      </c>
      <c r="B7361" s="216" t="s">
        <v>13532</v>
      </c>
      <c r="C7361" s="220" t="s">
        <v>13533</v>
      </c>
      <c r="D7361" s="221">
        <v>16050.51</v>
      </c>
      <c r="E7361" s="221">
        <v>4228.32</v>
      </c>
      <c r="F7361" s="221">
        <v>9861.2999999999993</v>
      </c>
      <c r="G7361" s="221">
        <v>1960.89</v>
      </c>
      <c r="H7361" s="222">
        <v>112759.73</v>
      </c>
      <c r="I7361" s="222">
        <v>48627.519999999997</v>
      </c>
      <c r="J7361" s="222">
        <v>53164.24</v>
      </c>
      <c r="K7361" s="222">
        <v>10967.97</v>
      </c>
      <c r="L7361" s="43">
        <v>7.0253051149153514</v>
      </c>
      <c r="M7361" s="43">
        <v>11.500435161009573</v>
      </c>
      <c r="N7361" s="43">
        <v>5.3911999432123556</v>
      </c>
      <c r="O7361" s="43">
        <v>5.5933632177225645</v>
      </c>
      <c r="P7361" s="223"/>
      <c r="Q7361" s="223"/>
      <c r="R7361" s="223">
        <v>5</v>
      </c>
    </row>
    <row r="7362" spans="1:18" ht="72">
      <c r="A7362" s="219">
        <v>309</v>
      </c>
      <c r="B7362" s="216" t="s">
        <v>13534</v>
      </c>
      <c r="C7362" s="220" t="s">
        <v>13535</v>
      </c>
      <c r="D7362" s="221">
        <v>17152.05</v>
      </c>
      <c r="E7362" s="221">
        <v>4664.9399999999996</v>
      </c>
      <c r="F7362" s="221">
        <v>10076.86</v>
      </c>
      <c r="G7362" s="221">
        <v>2410.25</v>
      </c>
      <c r="H7362" s="222">
        <v>121344.95</v>
      </c>
      <c r="I7362" s="222">
        <v>53648.84</v>
      </c>
      <c r="J7362" s="222">
        <v>54281.07</v>
      </c>
      <c r="K7362" s="222">
        <v>13415.04</v>
      </c>
      <c r="L7362" s="43">
        <v>7.0746616293679185</v>
      </c>
      <c r="M7362" s="43">
        <v>11.500435161009573</v>
      </c>
      <c r="N7362" s="43">
        <v>5.386704787007063</v>
      </c>
      <c r="O7362" s="43">
        <v>5.5658292708225288</v>
      </c>
      <c r="P7362" s="223"/>
      <c r="Q7362" s="223"/>
      <c r="R7362" s="223">
        <v>5</v>
      </c>
    </row>
    <row r="7363" spans="1:18" ht="72">
      <c r="A7363" s="219">
        <v>310</v>
      </c>
      <c r="B7363" s="216" t="s">
        <v>13536</v>
      </c>
      <c r="C7363" s="220" t="s">
        <v>13537</v>
      </c>
      <c r="D7363" s="221">
        <v>19394.490000000002</v>
      </c>
      <c r="E7363" s="221">
        <v>5044.1099999999997</v>
      </c>
      <c r="F7363" s="221">
        <v>10927.71</v>
      </c>
      <c r="G7363" s="221">
        <v>3422.67</v>
      </c>
      <c r="H7363" s="222">
        <v>135653.87</v>
      </c>
      <c r="I7363" s="222">
        <v>58009.46</v>
      </c>
      <c r="J7363" s="222">
        <v>58787.360000000001</v>
      </c>
      <c r="K7363" s="222">
        <v>18857.05</v>
      </c>
      <c r="L7363" s="43">
        <v>6.9944540949517098</v>
      </c>
      <c r="M7363" s="43">
        <v>11.500435161009575</v>
      </c>
      <c r="N7363" s="43">
        <v>5.3796595993122081</v>
      </c>
      <c r="O7363" s="43">
        <v>5.5094560679235798</v>
      </c>
      <c r="P7363" s="223"/>
      <c r="Q7363" s="223"/>
      <c r="R7363" s="223">
        <v>5</v>
      </c>
    </row>
    <row r="7364" spans="1:18" ht="72">
      <c r="A7364" s="219">
        <v>311</v>
      </c>
      <c r="B7364" s="216" t="s">
        <v>13538</v>
      </c>
      <c r="C7364" s="220" t="s">
        <v>13539</v>
      </c>
      <c r="D7364" s="221">
        <v>20589.25</v>
      </c>
      <c r="E7364" s="221">
        <v>5653.08</v>
      </c>
      <c r="F7364" s="221">
        <v>11477.61</v>
      </c>
      <c r="G7364" s="221">
        <v>3458.56</v>
      </c>
      <c r="H7364" s="222">
        <v>145851.82999999999</v>
      </c>
      <c r="I7364" s="222">
        <v>65012.88</v>
      </c>
      <c r="J7364" s="222">
        <v>61718.94</v>
      </c>
      <c r="K7364" s="222">
        <v>19120.009999999998</v>
      </c>
      <c r="L7364" s="43">
        <v>7.0838826086428588</v>
      </c>
      <c r="M7364" s="43">
        <v>11.500435161009573</v>
      </c>
      <c r="N7364" s="43">
        <v>5.3773337829042802</v>
      </c>
      <c r="O7364" s="43">
        <v>5.5283152525906729</v>
      </c>
      <c r="P7364" s="223"/>
      <c r="Q7364" s="223"/>
      <c r="R7364" s="223">
        <v>5</v>
      </c>
    </row>
    <row r="7365" spans="1:18" ht="72">
      <c r="A7365" s="219">
        <v>312</v>
      </c>
      <c r="B7365" s="216" t="s">
        <v>13540</v>
      </c>
      <c r="C7365" s="220" t="s">
        <v>13541</v>
      </c>
      <c r="D7365" s="221">
        <v>22000.04</v>
      </c>
      <c r="E7365" s="221">
        <v>6020.76</v>
      </c>
      <c r="F7365" s="221">
        <v>12437.01</v>
      </c>
      <c r="G7365" s="221">
        <v>3542.27</v>
      </c>
      <c r="H7365" s="222">
        <v>155795.85</v>
      </c>
      <c r="I7365" s="222">
        <v>69241.36</v>
      </c>
      <c r="J7365" s="222">
        <v>66947.87</v>
      </c>
      <c r="K7365" s="222">
        <v>19606.62</v>
      </c>
      <c r="L7365" s="43">
        <v>7.0816166697878735</v>
      </c>
      <c r="M7365" s="43">
        <v>11.500435161009573</v>
      </c>
      <c r="N7365" s="43">
        <v>5.3829553887952164</v>
      </c>
      <c r="O7365" s="43">
        <v>5.5350439125193729</v>
      </c>
      <c r="P7365" s="223"/>
      <c r="Q7365" s="223"/>
      <c r="R7365" s="223">
        <v>5</v>
      </c>
    </row>
    <row r="7366" spans="1:18" ht="27" customHeight="1">
      <c r="A7366" s="628" t="s">
        <v>13542</v>
      </c>
      <c r="B7366" s="629"/>
      <c r="C7366" s="629"/>
      <c r="D7366" s="629"/>
      <c r="E7366" s="629"/>
      <c r="F7366" s="629"/>
      <c r="G7366" s="629"/>
      <c r="H7366" s="629"/>
      <c r="I7366" s="629"/>
      <c r="J7366" s="629"/>
      <c r="K7366" s="629"/>
      <c r="L7366" s="629"/>
      <c r="M7366" s="629"/>
      <c r="N7366" s="629"/>
      <c r="O7366" s="629"/>
      <c r="P7366" s="629"/>
      <c r="Q7366" s="629"/>
      <c r="R7366" s="629"/>
    </row>
    <row r="7367" spans="1:18" ht="60">
      <c r="A7367" s="219">
        <v>313</v>
      </c>
      <c r="B7367" s="216" t="s">
        <v>13543</v>
      </c>
      <c r="C7367" s="220" t="s">
        <v>13544</v>
      </c>
      <c r="D7367" s="221">
        <v>7912.58</v>
      </c>
      <c r="E7367" s="221">
        <v>2102.67</v>
      </c>
      <c r="F7367" s="221">
        <v>5711.21</v>
      </c>
      <c r="G7367" s="221">
        <v>98.7</v>
      </c>
      <c r="H7367" s="222">
        <v>55877.11</v>
      </c>
      <c r="I7367" s="222">
        <v>24181.62</v>
      </c>
      <c r="J7367" s="222">
        <v>30910.12</v>
      </c>
      <c r="K7367" s="222">
        <v>785.37</v>
      </c>
      <c r="L7367" s="43">
        <v>7.0618066420813443</v>
      </c>
      <c r="M7367" s="43">
        <v>11.500435161009573</v>
      </c>
      <c r="N7367" s="43">
        <v>5.4121841080961826</v>
      </c>
      <c r="O7367" s="43">
        <v>7.9571428571428573</v>
      </c>
      <c r="P7367" s="223"/>
      <c r="Q7367" s="223"/>
      <c r="R7367" s="223">
        <v>6</v>
      </c>
    </row>
    <row r="7368" spans="1:18" ht="60">
      <c r="A7368" s="219">
        <v>314</v>
      </c>
      <c r="B7368" s="216" t="s">
        <v>13545</v>
      </c>
      <c r="C7368" s="220" t="s">
        <v>13546</v>
      </c>
      <c r="D7368" s="221">
        <v>8104.05</v>
      </c>
      <c r="E7368" s="221">
        <v>2160.12</v>
      </c>
      <c r="F7368" s="221">
        <v>5799.21</v>
      </c>
      <c r="G7368" s="221">
        <v>144.72</v>
      </c>
      <c r="H7368" s="222">
        <v>57255.11</v>
      </c>
      <c r="I7368" s="222">
        <v>24842.32</v>
      </c>
      <c r="J7368" s="222">
        <v>31375.119999999999</v>
      </c>
      <c r="K7368" s="222">
        <v>1037.67</v>
      </c>
      <c r="L7368" s="43">
        <v>7.0649995989659491</v>
      </c>
      <c r="M7368" s="43">
        <v>11.500435161009573</v>
      </c>
      <c r="N7368" s="43">
        <v>5.4102403603249405</v>
      </c>
      <c r="O7368" s="43">
        <v>7.1701907131011611</v>
      </c>
      <c r="P7368" s="223"/>
      <c r="Q7368" s="223"/>
      <c r="R7368" s="223">
        <v>6</v>
      </c>
    </row>
    <row r="7369" spans="1:18" ht="60">
      <c r="A7369" s="219">
        <v>315</v>
      </c>
      <c r="B7369" s="216" t="s">
        <v>13547</v>
      </c>
      <c r="C7369" s="220" t="s">
        <v>13548</v>
      </c>
      <c r="D7369" s="221">
        <v>9720</v>
      </c>
      <c r="E7369" s="221">
        <v>2573.7600000000002</v>
      </c>
      <c r="F7369" s="221">
        <v>6906.27</v>
      </c>
      <c r="G7369" s="221">
        <v>239.97</v>
      </c>
      <c r="H7369" s="222">
        <v>68573.73</v>
      </c>
      <c r="I7369" s="222">
        <v>29599.360000000001</v>
      </c>
      <c r="J7369" s="222">
        <v>37378.18</v>
      </c>
      <c r="K7369" s="222">
        <v>1596.19</v>
      </c>
      <c r="L7369" s="43">
        <v>7.0549104938271601</v>
      </c>
      <c r="M7369" s="43">
        <v>11.500435161009573</v>
      </c>
      <c r="N7369" s="43">
        <v>5.4122094850042064</v>
      </c>
      <c r="O7369" s="43">
        <v>6.6516231195566116</v>
      </c>
      <c r="P7369" s="223"/>
      <c r="Q7369" s="223"/>
      <c r="R7369" s="223">
        <v>6</v>
      </c>
    </row>
    <row r="7370" spans="1:18" ht="60">
      <c r="A7370" s="219">
        <v>316</v>
      </c>
      <c r="B7370" s="216" t="s">
        <v>13549</v>
      </c>
      <c r="C7370" s="220" t="s">
        <v>13550</v>
      </c>
      <c r="D7370" s="221">
        <v>10024.129999999999</v>
      </c>
      <c r="E7370" s="221">
        <v>2642.7</v>
      </c>
      <c r="F7370" s="221">
        <v>7053.26</v>
      </c>
      <c r="G7370" s="221">
        <v>328.17</v>
      </c>
      <c r="H7370" s="222">
        <v>70623.990000000005</v>
      </c>
      <c r="I7370" s="222">
        <v>30392.2</v>
      </c>
      <c r="J7370" s="222">
        <v>38157.18</v>
      </c>
      <c r="K7370" s="222">
        <v>2074.61</v>
      </c>
      <c r="L7370" s="43">
        <v>7.0453984535316296</v>
      </c>
      <c r="M7370" s="43">
        <v>11.500435161009575</v>
      </c>
      <c r="N7370" s="43">
        <v>5.4098643747713826</v>
      </c>
      <c r="O7370" s="43">
        <v>6.3217539689794924</v>
      </c>
      <c r="P7370" s="223"/>
      <c r="Q7370" s="223"/>
      <c r="R7370" s="223">
        <v>6</v>
      </c>
    </row>
    <row r="7371" spans="1:18" ht="60">
      <c r="A7371" s="219">
        <v>317</v>
      </c>
      <c r="B7371" s="216" t="s">
        <v>13551</v>
      </c>
      <c r="C7371" s="220" t="s">
        <v>13552</v>
      </c>
      <c r="D7371" s="221">
        <v>10730.81</v>
      </c>
      <c r="E7371" s="221">
        <v>2918.46</v>
      </c>
      <c r="F7371" s="221">
        <v>7362.57</v>
      </c>
      <c r="G7371" s="221">
        <v>449.78</v>
      </c>
      <c r="H7371" s="222">
        <v>76123.820000000007</v>
      </c>
      <c r="I7371" s="222">
        <v>33563.56</v>
      </c>
      <c r="J7371" s="222">
        <v>39803.72</v>
      </c>
      <c r="K7371" s="222">
        <v>2756.54</v>
      </c>
      <c r="L7371" s="43">
        <v>7.0939491054263391</v>
      </c>
      <c r="M7371" s="43">
        <v>11.500435161009573</v>
      </c>
      <c r="N7371" s="43">
        <v>5.4062263584590706</v>
      </c>
      <c r="O7371" s="43">
        <v>6.1286406687713999</v>
      </c>
      <c r="P7371" s="223"/>
      <c r="Q7371" s="223"/>
      <c r="R7371" s="223">
        <v>6</v>
      </c>
    </row>
    <row r="7372" spans="1:18" ht="60">
      <c r="A7372" s="219">
        <v>318</v>
      </c>
      <c r="B7372" s="216" t="s">
        <v>13553</v>
      </c>
      <c r="C7372" s="220" t="s">
        <v>13554</v>
      </c>
      <c r="D7372" s="221">
        <v>12332.58</v>
      </c>
      <c r="E7372" s="221">
        <v>3228.69</v>
      </c>
      <c r="F7372" s="221">
        <v>8502.3700000000008</v>
      </c>
      <c r="G7372" s="221">
        <v>601.52</v>
      </c>
      <c r="H7372" s="222">
        <v>86735.85</v>
      </c>
      <c r="I7372" s="222">
        <v>37131.339999999997</v>
      </c>
      <c r="J7372" s="222">
        <v>46001.35</v>
      </c>
      <c r="K7372" s="222">
        <v>3603.16</v>
      </c>
      <c r="L7372" s="43">
        <v>7.0330660737655872</v>
      </c>
      <c r="M7372" s="43">
        <v>11.500435161009571</v>
      </c>
      <c r="N7372" s="43">
        <v>5.4104149784119011</v>
      </c>
      <c r="O7372" s="43">
        <v>5.9900917675222765</v>
      </c>
      <c r="P7372" s="223"/>
      <c r="Q7372" s="223"/>
      <c r="R7372" s="223">
        <v>6</v>
      </c>
    </row>
    <row r="7373" spans="1:18" ht="60">
      <c r="A7373" s="219">
        <v>319</v>
      </c>
      <c r="B7373" s="216" t="s">
        <v>13555</v>
      </c>
      <c r="C7373" s="220" t="s">
        <v>13556</v>
      </c>
      <c r="D7373" s="221">
        <v>12786.55</v>
      </c>
      <c r="E7373" s="221">
        <v>3286.14</v>
      </c>
      <c r="F7373" s="221">
        <v>8794.76</v>
      </c>
      <c r="G7373" s="221">
        <v>705.65</v>
      </c>
      <c r="H7373" s="222">
        <v>89522.04</v>
      </c>
      <c r="I7373" s="222">
        <v>37792.04</v>
      </c>
      <c r="J7373" s="222">
        <v>47565.2</v>
      </c>
      <c r="K7373" s="222">
        <v>4164.8</v>
      </c>
      <c r="L7373" s="43">
        <v>7.001266174222132</v>
      </c>
      <c r="M7373" s="43">
        <v>11.500435161009575</v>
      </c>
      <c r="N7373" s="43">
        <v>5.4083567942729527</v>
      </c>
      <c r="O7373" s="43">
        <v>5.9020761000495998</v>
      </c>
      <c r="P7373" s="223"/>
      <c r="Q7373" s="223"/>
      <c r="R7373" s="223">
        <v>6</v>
      </c>
    </row>
    <row r="7374" spans="1:18" ht="60">
      <c r="A7374" s="219">
        <v>320</v>
      </c>
      <c r="B7374" s="216" t="s">
        <v>13557</v>
      </c>
      <c r="C7374" s="220" t="s">
        <v>13558</v>
      </c>
      <c r="D7374" s="221">
        <v>15262.78</v>
      </c>
      <c r="E7374" s="221">
        <v>4446.63</v>
      </c>
      <c r="F7374" s="221">
        <v>9448.18</v>
      </c>
      <c r="G7374" s="221">
        <v>1367.97</v>
      </c>
      <c r="H7374" s="222">
        <v>109975.52</v>
      </c>
      <c r="I7374" s="222">
        <v>51138.18</v>
      </c>
      <c r="J7374" s="222">
        <v>51000.91</v>
      </c>
      <c r="K7374" s="222">
        <v>7836.43</v>
      </c>
      <c r="L7374" s="43">
        <v>7.2054710871807099</v>
      </c>
      <c r="M7374" s="43">
        <v>11.500435161009573</v>
      </c>
      <c r="N7374" s="43">
        <v>5.3979613004832681</v>
      </c>
      <c r="O7374" s="43">
        <v>5.7285101281460848</v>
      </c>
      <c r="P7374" s="223"/>
      <c r="Q7374" s="223"/>
      <c r="R7374" s="223">
        <v>6</v>
      </c>
    </row>
    <row r="7375" spans="1:18" ht="60">
      <c r="A7375" s="219">
        <v>321</v>
      </c>
      <c r="B7375" s="216" t="s">
        <v>13559</v>
      </c>
      <c r="C7375" s="220" t="s">
        <v>13560</v>
      </c>
      <c r="D7375" s="221">
        <v>17155.22</v>
      </c>
      <c r="E7375" s="221">
        <v>5044.1099999999997</v>
      </c>
      <c r="F7375" s="221">
        <v>10133.91</v>
      </c>
      <c r="G7375" s="221">
        <v>1977.2</v>
      </c>
      <c r="H7375" s="222">
        <v>123780.3</v>
      </c>
      <c r="I7375" s="222">
        <v>58009.46</v>
      </c>
      <c r="J7375" s="222">
        <v>54615.31</v>
      </c>
      <c r="K7375" s="222">
        <v>11155.53</v>
      </c>
      <c r="L7375" s="43">
        <v>7.2153140560132716</v>
      </c>
      <c r="M7375" s="43">
        <v>11.500435161009575</v>
      </c>
      <c r="N7375" s="43">
        <v>5.3893620527516033</v>
      </c>
      <c r="O7375" s="43">
        <v>5.6420847663362332</v>
      </c>
      <c r="P7375" s="223"/>
      <c r="Q7375" s="223"/>
      <c r="R7375" s="223">
        <v>6</v>
      </c>
    </row>
    <row r="7376" spans="1:18" ht="60">
      <c r="A7376" s="219">
        <v>322</v>
      </c>
      <c r="B7376" s="216" t="s">
        <v>13561</v>
      </c>
      <c r="C7376" s="220" t="s">
        <v>13562</v>
      </c>
      <c r="D7376" s="221">
        <v>18365.64</v>
      </c>
      <c r="E7376" s="221">
        <v>5595.63</v>
      </c>
      <c r="F7376" s="221">
        <v>10341.15</v>
      </c>
      <c r="G7376" s="221">
        <v>2428.86</v>
      </c>
      <c r="H7376" s="222">
        <v>133669.98000000001</v>
      </c>
      <c r="I7376" s="222">
        <v>64352.18</v>
      </c>
      <c r="J7376" s="222">
        <v>55688.74</v>
      </c>
      <c r="K7376" s="222">
        <v>13629.06</v>
      </c>
      <c r="L7376" s="43">
        <v>7.2782641933523697</v>
      </c>
      <c r="M7376" s="43">
        <v>11.500435161009573</v>
      </c>
      <c r="N7376" s="43">
        <v>5.3851592907945438</v>
      </c>
      <c r="O7376" s="43">
        <v>5.6112991279859683</v>
      </c>
      <c r="P7376" s="223"/>
      <c r="Q7376" s="223"/>
      <c r="R7376" s="223">
        <v>6</v>
      </c>
    </row>
    <row r="7377" spans="1:18" ht="60">
      <c r="A7377" s="219">
        <v>323</v>
      </c>
      <c r="B7377" s="216" t="s">
        <v>13563</v>
      </c>
      <c r="C7377" s="220" t="s">
        <v>13564</v>
      </c>
      <c r="D7377" s="221">
        <v>21235.23</v>
      </c>
      <c r="E7377" s="221">
        <v>5986.29</v>
      </c>
      <c r="F7377" s="221">
        <v>11807.42</v>
      </c>
      <c r="G7377" s="221">
        <v>3441.52</v>
      </c>
      <c r="H7377" s="222">
        <v>151397.54999999999</v>
      </c>
      <c r="I7377" s="222">
        <v>68844.94</v>
      </c>
      <c r="J7377" s="222">
        <v>63478.78</v>
      </c>
      <c r="K7377" s="222">
        <v>19073.830000000002</v>
      </c>
      <c r="L7377" s="43">
        <v>7.1295460421196282</v>
      </c>
      <c r="M7377" s="43">
        <v>11.500435161009573</v>
      </c>
      <c r="N7377" s="43">
        <v>5.3761770141148535</v>
      </c>
      <c r="O7377" s="43">
        <v>5.5422691136474587</v>
      </c>
      <c r="P7377" s="223"/>
      <c r="Q7377" s="223"/>
      <c r="R7377" s="223">
        <v>6</v>
      </c>
    </row>
    <row r="7378" spans="1:18" ht="60">
      <c r="A7378" s="219">
        <v>324</v>
      </c>
      <c r="B7378" s="216" t="s">
        <v>13565</v>
      </c>
      <c r="C7378" s="220" t="s">
        <v>13566</v>
      </c>
      <c r="D7378" s="221">
        <v>22182.44</v>
      </c>
      <c r="E7378" s="221">
        <v>6664.2</v>
      </c>
      <c r="F7378" s="221">
        <v>12039.46</v>
      </c>
      <c r="G7378" s="221">
        <v>3478.78</v>
      </c>
      <c r="H7378" s="222">
        <v>160676.35</v>
      </c>
      <c r="I7378" s="222">
        <v>76641.2</v>
      </c>
      <c r="J7378" s="222">
        <v>64682.61</v>
      </c>
      <c r="K7378" s="222">
        <v>19352.54</v>
      </c>
      <c r="L7378" s="43">
        <v>7.2434028898534164</v>
      </c>
      <c r="M7378" s="43">
        <v>11.500435161009573</v>
      </c>
      <c r="N7378" s="43">
        <v>5.37255076224349</v>
      </c>
      <c r="O7378" s="43">
        <v>5.5630249685234476</v>
      </c>
      <c r="P7378" s="223"/>
      <c r="Q7378" s="223"/>
      <c r="R7378" s="223">
        <v>6</v>
      </c>
    </row>
    <row r="7379" spans="1:18" ht="30.75" customHeight="1">
      <c r="A7379" s="628" t="s">
        <v>13567</v>
      </c>
      <c r="B7379" s="629"/>
      <c r="C7379" s="629"/>
      <c r="D7379" s="629"/>
      <c r="E7379" s="629"/>
      <c r="F7379" s="629"/>
      <c r="G7379" s="629"/>
      <c r="H7379" s="629"/>
      <c r="I7379" s="629"/>
      <c r="J7379" s="629"/>
      <c r="K7379" s="629"/>
      <c r="L7379" s="629"/>
      <c r="M7379" s="629"/>
      <c r="N7379" s="629"/>
      <c r="O7379" s="629"/>
      <c r="P7379" s="629"/>
      <c r="Q7379" s="629"/>
      <c r="R7379" s="629"/>
    </row>
    <row r="7380" spans="1:18" ht="60">
      <c r="A7380" s="219">
        <v>325</v>
      </c>
      <c r="B7380" s="216" t="s">
        <v>13568</v>
      </c>
      <c r="C7380" s="220" t="s">
        <v>13569</v>
      </c>
      <c r="D7380" s="221">
        <v>8483.41</v>
      </c>
      <c r="E7380" s="221">
        <v>2240.5500000000002</v>
      </c>
      <c r="F7380" s="221">
        <v>6125.61</v>
      </c>
      <c r="G7380" s="221">
        <v>117.25</v>
      </c>
      <c r="H7380" s="222">
        <v>59805.16</v>
      </c>
      <c r="I7380" s="222">
        <v>25767.3</v>
      </c>
      <c r="J7380" s="222">
        <v>33136.6</v>
      </c>
      <c r="K7380" s="222">
        <v>901.26</v>
      </c>
      <c r="L7380" s="43">
        <v>7.0496604549349851</v>
      </c>
      <c r="M7380" s="43">
        <v>11.500435161009571</v>
      </c>
      <c r="N7380" s="43">
        <v>5.4095183989839377</v>
      </c>
      <c r="O7380" s="43">
        <v>7.6866524520255863</v>
      </c>
      <c r="P7380" s="223"/>
      <c r="Q7380" s="223"/>
      <c r="R7380" s="223">
        <v>7</v>
      </c>
    </row>
    <row r="7381" spans="1:18" ht="60">
      <c r="A7381" s="219">
        <v>326</v>
      </c>
      <c r="B7381" s="216" t="s">
        <v>13570</v>
      </c>
      <c r="C7381" s="220" t="s">
        <v>13571</v>
      </c>
      <c r="D7381" s="221">
        <v>8653.11</v>
      </c>
      <c r="E7381" s="221">
        <v>2275.02</v>
      </c>
      <c r="F7381" s="221">
        <v>6215.28</v>
      </c>
      <c r="G7381" s="221">
        <v>162.81</v>
      </c>
      <c r="H7381" s="222">
        <v>60921.35</v>
      </c>
      <c r="I7381" s="222">
        <v>26163.72</v>
      </c>
      <c r="J7381" s="222">
        <v>33609.360000000001</v>
      </c>
      <c r="K7381" s="222">
        <v>1148.27</v>
      </c>
      <c r="L7381" s="43">
        <v>7.0403993477489593</v>
      </c>
      <c r="M7381" s="43">
        <v>11.500435161009575</v>
      </c>
      <c r="N7381" s="43">
        <v>5.407537552612272</v>
      </c>
      <c r="O7381" s="43">
        <v>7.0528223082120265</v>
      </c>
      <c r="P7381" s="223"/>
      <c r="Q7381" s="223"/>
      <c r="R7381" s="223">
        <v>7</v>
      </c>
    </row>
    <row r="7382" spans="1:18" ht="60">
      <c r="A7382" s="219">
        <v>327</v>
      </c>
      <c r="B7382" s="216" t="s">
        <v>13572</v>
      </c>
      <c r="C7382" s="220" t="s">
        <v>13573</v>
      </c>
      <c r="D7382" s="221">
        <v>10885.8</v>
      </c>
      <c r="E7382" s="221">
        <v>2711.64</v>
      </c>
      <c r="F7382" s="221">
        <v>7909.91</v>
      </c>
      <c r="G7382" s="221">
        <v>264.25</v>
      </c>
      <c r="H7382" s="222">
        <v>75693.48</v>
      </c>
      <c r="I7382" s="222">
        <v>31185.040000000001</v>
      </c>
      <c r="J7382" s="222">
        <v>42765.87</v>
      </c>
      <c r="K7382" s="222">
        <v>1742.57</v>
      </c>
      <c r="L7382" s="43">
        <v>6.9534145400429921</v>
      </c>
      <c r="M7382" s="43">
        <v>11.500435161009575</v>
      </c>
      <c r="N7382" s="43">
        <v>5.4066190386489863</v>
      </c>
      <c r="O7382" s="43">
        <v>6.5943992431409644</v>
      </c>
      <c r="P7382" s="223"/>
      <c r="Q7382" s="223"/>
      <c r="R7382" s="223">
        <v>7</v>
      </c>
    </row>
    <row r="7383" spans="1:18" ht="60">
      <c r="A7383" s="219">
        <v>328</v>
      </c>
      <c r="B7383" s="216" t="s">
        <v>13574</v>
      </c>
      <c r="C7383" s="220" t="s">
        <v>13575</v>
      </c>
      <c r="D7383" s="221">
        <v>11232.48</v>
      </c>
      <c r="E7383" s="221">
        <v>2918.46</v>
      </c>
      <c r="F7383" s="221">
        <v>7951.62</v>
      </c>
      <c r="G7383" s="221">
        <v>362.4</v>
      </c>
      <c r="H7383" s="222">
        <v>78839.240000000005</v>
      </c>
      <c r="I7383" s="222">
        <v>33563.56</v>
      </c>
      <c r="J7383" s="222">
        <v>42984.6</v>
      </c>
      <c r="K7383" s="222">
        <v>2291.08</v>
      </c>
      <c r="L7383" s="43">
        <v>7.0188631539962687</v>
      </c>
      <c r="M7383" s="43">
        <v>11.500435161009573</v>
      </c>
      <c r="N7383" s="43">
        <v>5.4057663721354894</v>
      </c>
      <c r="O7383" s="43">
        <v>6.3219646799116997</v>
      </c>
      <c r="P7383" s="223"/>
      <c r="Q7383" s="223"/>
      <c r="R7383" s="223">
        <v>7</v>
      </c>
    </row>
    <row r="7384" spans="1:18" ht="60">
      <c r="A7384" s="219">
        <v>329</v>
      </c>
      <c r="B7384" s="216" t="s">
        <v>13576</v>
      </c>
      <c r="C7384" s="220" t="s">
        <v>13577</v>
      </c>
      <c r="D7384" s="221">
        <v>13181.13</v>
      </c>
      <c r="E7384" s="221">
        <v>3757.23</v>
      </c>
      <c r="F7384" s="221">
        <v>8820.98</v>
      </c>
      <c r="G7384" s="221">
        <v>602.91999999999996</v>
      </c>
      <c r="H7384" s="222">
        <v>94485.97</v>
      </c>
      <c r="I7384" s="222">
        <v>43209.78</v>
      </c>
      <c r="J7384" s="222">
        <v>47600.07</v>
      </c>
      <c r="K7384" s="222">
        <v>3676.12</v>
      </c>
      <c r="L7384" s="43">
        <v>7.1682754058263596</v>
      </c>
      <c r="M7384" s="43">
        <v>11.500435161009573</v>
      </c>
      <c r="N7384" s="43">
        <v>5.3962337518053554</v>
      </c>
      <c r="O7384" s="43">
        <v>6.0971936575333379</v>
      </c>
      <c r="P7384" s="223"/>
      <c r="Q7384" s="223"/>
      <c r="R7384" s="223">
        <v>7</v>
      </c>
    </row>
    <row r="7385" spans="1:18" ht="60">
      <c r="A7385" s="219">
        <v>330</v>
      </c>
      <c r="B7385" s="216" t="s">
        <v>13578</v>
      </c>
      <c r="C7385" s="220" t="s">
        <v>13579</v>
      </c>
      <c r="D7385" s="221">
        <v>15051.88</v>
      </c>
      <c r="E7385" s="221">
        <v>4159.38</v>
      </c>
      <c r="F7385" s="221">
        <v>10157.52</v>
      </c>
      <c r="G7385" s="221">
        <v>734.98</v>
      </c>
      <c r="H7385" s="222">
        <v>107124.74</v>
      </c>
      <c r="I7385" s="222">
        <v>47834.68</v>
      </c>
      <c r="J7385" s="222">
        <v>54860.79</v>
      </c>
      <c r="K7385" s="222">
        <v>4429.2700000000004</v>
      </c>
      <c r="L7385" s="43">
        <v>7.1170338854681283</v>
      </c>
      <c r="M7385" s="43">
        <v>11.500435161009573</v>
      </c>
      <c r="N7385" s="43">
        <v>5.4010024100370959</v>
      </c>
      <c r="O7385" s="43">
        <v>6.0263816702495312</v>
      </c>
      <c r="P7385" s="223"/>
      <c r="Q7385" s="223"/>
      <c r="R7385" s="223">
        <v>7</v>
      </c>
    </row>
    <row r="7386" spans="1:18" ht="60">
      <c r="A7386" s="219">
        <v>331</v>
      </c>
      <c r="B7386" s="216" t="s">
        <v>13580</v>
      </c>
      <c r="C7386" s="220" t="s">
        <v>13581</v>
      </c>
      <c r="D7386" s="221">
        <v>15333.18</v>
      </c>
      <c r="E7386" s="221">
        <v>4423.6499999999996</v>
      </c>
      <c r="F7386" s="221">
        <v>9922.74</v>
      </c>
      <c r="G7386" s="221">
        <v>986.79</v>
      </c>
      <c r="H7386" s="222">
        <v>110258.08</v>
      </c>
      <c r="I7386" s="222">
        <v>50873.9</v>
      </c>
      <c r="J7386" s="222">
        <v>53580.79</v>
      </c>
      <c r="K7386" s="222">
        <v>5803.39</v>
      </c>
      <c r="L7386" s="43">
        <v>7.190816255988647</v>
      </c>
      <c r="M7386" s="43">
        <v>11.500435161009575</v>
      </c>
      <c r="N7386" s="43">
        <v>5.3997978380971388</v>
      </c>
      <c r="O7386" s="43">
        <v>5.881079054307401</v>
      </c>
      <c r="P7386" s="223"/>
      <c r="Q7386" s="223"/>
      <c r="R7386" s="223">
        <v>7</v>
      </c>
    </row>
    <row r="7387" spans="1:18" ht="60">
      <c r="A7387" s="219">
        <v>332</v>
      </c>
      <c r="B7387" s="216" t="s">
        <v>13582</v>
      </c>
      <c r="C7387" s="220" t="s">
        <v>13583</v>
      </c>
      <c r="D7387" s="221">
        <v>17776.330000000002</v>
      </c>
      <c r="E7387" s="221">
        <v>5480.73</v>
      </c>
      <c r="F7387" s="221">
        <v>10505.02</v>
      </c>
      <c r="G7387" s="221">
        <v>1790.58</v>
      </c>
      <c r="H7387" s="222">
        <v>129872.21</v>
      </c>
      <c r="I7387" s="222">
        <v>63030.78</v>
      </c>
      <c r="J7387" s="222">
        <v>56625.24</v>
      </c>
      <c r="K7387" s="222">
        <v>10216.19</v>
      </c>
      <c r="L7387" s="43">
        <v>7.3059067872839893</v>
      </c>
      <c r="M7387" s="43">
        <v>11.500435161009575</v>
      </c>
      <c r="N7387" s="43">
        <v>5.3903029218411769</v>
      </c>
      <c r="O7387" s="43">
        <v>5.7055199991064356</v>
      </c>
      <c r="P7387" s="223"/>
      <c r="Q7387" s="223"/>
      <c r="R7387" s="223">
        <v>7</v>
      </c>
    </row>
    <row r="7388" spans="1:18" ht="60">
      <c r="A7388" s="219">
        <v>333</v>
      </c>
      <c r="B7388" s="216" t="s">
        <v>13584</v>
      </c>
      <c r="C7388" s="220" t="s">
        <v>13585</v>
      </c>
      <c r="D7388" s="221">
        <v>19693.09</v>
      </c>
      <c r="E7388" s="221">
        <v>6066.72</v>
      </c>
      <c r="F7388" s="221">
        <v>11011.46</v>
      </c>
      <c r="G7388" s="221">
        <v>2614.91</v>
      </c>
      <c r="H7388" s="222">
        <v>143731.49</v>
      </c>
      <c r="I7388" s="222">
        <v>69769.919999999998</v>
      </c>
      <c r="J7388" s="222">
        <v>59281.46</v>
      </c>
      <c r="K7388" s="222">
        <v>14680.11</v>
      </c>
      <c r="L7388" s="43">
        <v>7.2985747792753699</v>
      </c>
      <c r="M7388" s="43">
        <v>11.500435161009573</v>
      </c>
      <c r="N7388" s="43">
        <v>5.3836148884889017</v>
      </c>
      <c r="O7388" s="43">
        <v>5.6140020115415066</v>
      </c>
      <c r="P7388" s="223"/>
      <c r="Q7388" s="223"/>
      <c r="R7388" s="223">
        <v>7</v>
      </c>
    </row>
    <row r="7389" spans="1:18" ht="60">
      <c r="A7389" s="219">
        <v>334</v>
      </c>
      <c r="B7389" s="216" t="s">
        <v>13586</v>
      </c>
      <c r="C7389" s="220" t="s">
        <v>13587</v>
      </c>
      <c r="D7389" s="221">
        <v>23384.87</v>
      </c>
      <c r="E7389" s="221">
        <v>7123.8</v>
      </c>
      <c r="F7389" s="221">
        <v>12653.25</v>
      </c>
      <c r="G7389" s="221">
        <v>3607.82</v>
      </c>
      <c r="H7389" s="222">
        <v>170021.84</v>
      </c>
      <c r="I7389" s="222">
        <v>81926.8</v>
      </c>
      <c r="J7389" s="222">
        <v>67994.61</v>
      </c>
      <c r="K7389" s="222">
        <v>20100.43</v>
      </c>
      <c r="L7389" s="43">
        <v>7.2705916261240713</v>
      </c>
      <c r="M7389" s="43">
        <v>11.500435161009573</v>
      </c>
      <c r="N7389" s="43">
        <v>5.3736873925671267</v>
      </c>
      <c r="O7389" s="43">
        <v>5.5713505662699356</v>
      </c>
      <c r="P7389" s="223"/>
      <c r="Q7389" s="223"/>
      <c r="R7389" s="223">
        <v>7</v>
      </c>
    </row>
    <row r="7390" spans="1:18" ht="60">
      <c r="A7390" s="219">
        <v>335</v>
      </c>
      <c r="B7390" s="216" t="s">
        <v>13588</v>
      </c>
      <c r="C7390" s="220" t="s">
        <v>13589</v>
      </c>
      <c r="D7390" s="221">
        <v>25488.71</v>
      </c>
      <c r="E7390" s="221">
        <v>7502.97</v>
      </c>
      <c r="F7390" s="221">
        <v>14054.53</v>
      </c>
      <c r="G7390" s="221">
        <v>3931.21</v>
      </c>
      <c r="H7390" s="222">
        <v>183665.42</v>
      </c>
      <c r="I7390" s="222">
        <v>86287.42</v>
      </c>
      <c r="J7390" s="222">
        <v>75507.460000000006</v>
      </c>
      <c r="K7390" s="222">
        <v>21870.54</v>
      </c>
      <c r="L7390" s="43">
        <v>7.2057558032556379</v>
      </c>
      <c r="M7390" s="43">
        <v>11.500435161009573</v>
      </c>
      <c r="N7390" s="43">
        <v>5.3724642517394754</v>
      </c>
      <c r="O7390" s="43">
        <v>5.5633100241401507</v>
      </c>
      <c r="P7390" s="223"/>
      <c r="Q7390" s="223"/>
      <c r="R7390" s="223">
        <v>7</v>
      </c>
    </row>
    <row r="7391" spans="1:18" ht="60">
      <c r="A7391" s="219">
        <v>336</v>
      </c>
      <c r="B7391" s="216" t="s">
        <v>13590</v>
      </c>
      <c r="C7391" s="220" t="s">
        <v>13591</v>
      </c>
      <c r="D7391" s="221">
        <v>27983.58</v>
      </c>
      <c r="E7391" s="221">
        <v>8238.33</v>
      </c>
      <c r="F7391" s="221">
        <v>14684.65</v>
      </c>
      <c r="G7391" s="221">
        <v>5060.6000000000004</v>
      </c>
      <c r="H7391" s="222">
        <v>201477.27</v>
      </c>
      <c r="I7391" s="222">
        <v>94744.38</v>
      </c>
      <c r="J7391" s="222">
        <v>78756.460000000006</v>
      </c>
      <c r="K7391" s="222">
        <v>27976.43</v>
      </c>
      <c r="L7391" s="43">
        <v>7.1998389770000832</v>
      </c>
      <c r="M7391" s="43">
        <v>11.500435161009575</v>
      </c>
      <c r="N7391" s="43">
        <v>5.3631826431001084</v>
      </c>
      <c r="O7391" s="43">
        <v>5.5282832075247992</v>
      </c>
      <c r="P7391" s="223"/>
      <c r="Q7391" s="223"/>
      <c r="R7391" s="223">
        <v>7</v>
      </c>
    </row>
    <row r="7392" spans="1:18" ht="29.25" customHeight="1">
      <c r="A7392" s="628" t="s">
        <v>13592</v>
      </c>
      <c r="B7392" s="629"/>
      <c r="C7392" s="629"/>
      <c r="D7392" s="629"/>
      <c r="E7392" s="629"/>
      <c r="F7392" s="629"/>
      <c r="G7392" s="629"/>
      <c r="H7392" s="629"/>
      <c r="I7392" s="629"/>
      <c r="J7392" s="629"/>
      <c r="K7392" s="629"/>
      <c r="L7392" s="629"/>
      <c r="M7392" s="629"/>
      <c r="N7392" s="629"/>
      <c r="O7392" s="629"/>
      <c r="P7392" s="629"/>
      <c r="Q7392" s="629"/>
      <c r="R7392" s="629"/>
    </row>
    <row r="7393" spans="1:18" ht="60">
      <c r="A7393" s="219">
        <v>337</v>
      </c>
      <c r="B7393" s="216" t="s">
        <v>13593</v>
      </c>
      <c r="C7393" s="220" t="s">
        <v>13594</v>
      </c>
      <c r="D7393" s="221">
        <v>4573.9799999999996</v>
      </c>
      <c r="E7393" s="221">
        <v>1194.96</v>
      </c>
      <c r="F7393" s="221">
        <v>3340.1</v>
      </c>
      <c r="G7393" s="221">
        <v>38.92</v>
      </c>
      <c r="H7393" s="222">
        <v>32297.42</v>
      </c>
      <c r="I7393" s="222">
        <v>13742.56</v>
      </c>
      <c r="J7393" s="222">
        <v>18200.060000000001</v>
      </c>
      <c r="K7393" s="222">
        <v>354.8</v>
      </c>
      <c r="L7393" s="43">
        <v>7.0611196376022631</v>
      </c>
      <c r="M7393" s="43">
        <v>11.500435161009573</v>
      </c>
      <c r="N7393" s="43">
        <v>5.4489566180653277</v>
      </c>
      <c r="O7393" s="43">
        <v>9.1161356628982535</v>
      </c>
      <c r="P7393" s="223"/>
      <c r="Q7393" s="223"/>
      <c r="R7393" s="223">
        <v>8</v>
      </c>
    </row>
    <row r="7394" spans="1:18" ht="60">
      <c r="A7394" s="219">
        <v>338</v>
      </c>
      <c r="B7394" s="216" t="s">
        <v>13595</v>
      </c>
      <c r="C7394" s="220" t="s">
        <v>13596</v>
      </c>
      <c r="D7394" s="221">
        <v>4649.0200000000004</v>
      </c>
      <c r="E7394" s="221">
        <v>1229.43</v>
      </c>
      <c r="F7394" s="221">
        <v>3375.3</v>
      </c>
      <c r="G7394" s="221">
        <v>44.29</v>
      </c>
      <c r="H7394" s="222">
        <v>32912.01</v>
      </c>
      <c r="I7394" s="222">
        <v>14138.98</v>
      </c>
      <c r="J7394" s="222">
        <v>18385.400000000001</v>
      </c>
      <c r="K7394" s="222">
        <v>387.63</v>
      </c>
      <c r="L7394" s="43">
        <v>7.0793436035981774</v>
      </c>
      <c r="M7394" s="43">
        <v>11.500435161009573</v>
      </c>
      <c r="N7394" s="43">
        <v>5.4470417444375316</v>
      </c>
      <c r="O7394" s="43">
        <v>8.7520885075637835</v>
      </c>
      <c r="P7394" s="223"/>
      <c r="Q7394" s="223"/>
      <c r="R7394" s="223">
        <v>8</v>
      </c>
    </row>
    <row r="7395" spans="1:18" ht="60">
      <c r="A7395" s="219">
        <v>339</v>
      </c>
      <c r="B7395" s="216" t="s">
        <v>13597</v>
      </c>
      <c r="C7395" s="220" t="s">
        <v>13598</v>
      </c>
      <c r="D7395" s="221">
        <v>5433.49</v>
      </c>
      <c r="E7395" s="221">
        <v>1459.23</v>
      </c>
      <c r="F7395" s="221">
        <v>3914.5</v>
      </c>
      <c r="G7395" s="221">
        <v>59.76</v>
      </c>
      <c r="H7395" s="222">
        <v>38619.980000000003</v>
      </c>
      <c r="I7395" s="222">
        <v>16781.78</v>
      </c>
      <c r="J7395" s="222">
        <v>21339.93</v>
      </c>
      <c r="K7395" s="222">
        <v>498.27</v>
      </c>
      <c r="L7395" s="43">
        <v>7.1077668312631488</v>
      </c>
      <c r="M7395" s="43">
        <v>11.500435161009573</v>
      </c>
      <c r="N7395" s="43">
        <v>5.4515084940605441</v>
      </c>
      <c r="O7395" s="43">
        <v>8.3378514056224891</v>
      </c>
      <c r="P7395" s="223"/>
      <c r="Q7395" s="223"/>
      <c r="R7395" s="223">
        <v>8</v>
      </c>
    </row>
    <row r="7396" spans="1:18" ht="60">
      <c r="A7396" s="219">
        <v>340</v>
      </c>
      <c r="B7396" s="216" t="s">
        <v>13599</v>
      </c>
      <c r="C7396" s="220" t="s">
        <v>13600</v>
      </c>
      <c r="D7396" s="221">
        <v>5539.79</v>
      </c>
      <c r="E7396" s="221">
        <v>1493.7</v>
      </c>
      <c r="F7396" s="221">
        <v>3969.14</v>
      </c>
      <c r="G7396" s="221">
        <v>76.95</v>
      </c>
      <c r="H7396" s="222">
        <v>39397.19</v>
      </c>
      <c r="I7396" s="222">
        <v>17178.2</v>
      </c>
      <c r="J7396" s="222">
        <v>21624.97</v>
      </c>
      <c r="K7396" s="222">
        <v>594.02</v>
      </c>
      <c r="L7396" s="43">
        <v>7.1116757133393147</v>
      </c>
      <c r="M7396" s="43">
        <v>11.500435161009573</v>
      </c>
      <c r="N7396" s="43">
        <v>5.4482759489461197</v>
      </c>
      <c r="O7396" s="43">
        <v>7.7195581546458731</v>
      </c>
      <c r="P7396" s="223"/>
      <c r="Q7396" s="223"/>
      <c r="R7396" s="223">
        <v>8</v>
      </c>
    </row>
    <row r="7397" spans="1:18" ht="60">
      <c r="A7397" s="219">
        <v>341</v>
      </c>
      <c r="B7397" s="216" t="s">
        <v>13601</v>
      </c>
      <c r="C7397" s="220" t="s">
        <v>13602</v>
      </c>
      <c r="D7397" s="221">
        <v>6102.72</v>
      </c>
      <c r="E7397" s="221">
        <v>1700.52</v>
      </c>
      <c r="F7397" s="221">
        <v>4292.59</v>
      </c>
      <c r="G7397" s="221">
        <v>109.61</v>
      </c>
      <c r="H7397" s="222">
        <v>43700.22</v>
      </c>
      <c r="I7397" s="222">
        <v>19556.72</v>
      </c>
      <c r="J7397" s="222">
        <v>23350.05</v>
      </c>
      <c r="K7397" s="222">
        <v>793.45</v>
      </c>
      <c r="L7397" s="43">
        <v>7.1607774893817835</v>
      </c>
      <c r="M7397" s="43">
        <v>11.500435161009575</v>
      </c>
      <c r="N7397" s="43">
        <v>5.4396180394586944</v>
      </c>
      <c r="O7397" s="43">
        <v>7.2388468205455707</v>
      </c>
      <c r="P7397" s="223"/>
      <c r="Q7397" s="223"/>
      <c r="R7397" s="223">
        <v>8</v>
      </c>
    </row>
    <row r="7398" spans="1:18" ht="60">
      <c r="A7398" s="219">
        <v>342</v>
      </c>
      <c r="B7398" s="216" t="s">
        <v>13603</v>
      </c>
      <c r="C7398" s="220" t="s">
        <v>13604</v>
      </c>
      <c r="D7398" s="221">
        <v>6838.53</v>
      </c>
      <c r="E7398" s="221">
        <v>1861.38</v>
      </c>
      <c r="F7398" s="221">
        <v>4822.13</v>
      </c>
      <c r="G7398" s="221">
        <v>155.02000000000001</v>
      </c>
      <c r="H7398" s="222">
        <v>48735.28</v>
      </c>
      <c r="I7398" s="222">
        <v>21406.68</v>
      </c>
      <c r="J7398" s="222">
        <v>26273.59</v>
      </c>
      <c r="K7398" s="222">
        <v>1055.01</v>
      </c>
      <c r="L7398" s="43">
        <v>7.1265725236271535</v>
      </c>
      <c r="M7398" s="43">
        <v>11.500435161009573</v>
      </c>
      <c r="N7398" s="43">
        <v>5.448544522856082</v>
      </c>
      <c r="O7398" s="43">
        <v>6.8056379821958455</v>
      </c>
      <c r="P7398" s="223"/>
      <c r="Q7398" s="223"/>
      <c r="R7398" s="223">
        <v>8</v>
      </c>
    </row>
    <row r="7399" spans="1:18" ht="60">
      <c r="A7399" s="219">
        <v>343</v>
      </c>
      <c r="B7399" s="216" t="s">
        <v>13605</v>
      </c>
      <c r="C7399" s="220" t="s">
        <v>13606</v>
      </c>
      <c r="D7399" s="221">
        <v>7163.53</v>
      </c>
      <c r="E7399" s="221">
        <v>2022.24</v>
      </c>
      <c r="F7399" s="221">
        <v>4927.45</v>
      </c>
      <c r="G7399" s="221">
        <v>213.84</v>
      </c>
      <c r="H7399" s="222">
        <v>51477.72</v>
      </c>
      <c r="I7399" s="222">
        <v>23256.639999999999</v>
      </c>
      <c r="J7399" s="222">
        <v>26833.18</v>
      </c>
      <c r="K7399" s="222">
        <v>1387.9</v>
      </c>
      <c r="L7399" s="43">
        <v>7.1860828390472298</v>
      </c>
      <c r="M7399" s="43">
        <v>11.500435161009573</v>
      </c>
      <c r="N7399" s="43">
        <v>5.4456524165643492</v>
      </c>
      <c r="O7399" s="43">
        <v>6.4903666292555187</v>
      </c>
      <c r="P7399" s="223"/>
      <c r="Q7399" s="223"/>
      <c r="R7399" s="223">
        <v>8</v>
      </c>
    </row>
    <row r="7400" spans="1:18" ht="60">
      <c r="A7400" s="219">
        <v>344</v>
      </c>
      <c r="B7400" s="216" t="s">
        <v>13607</v>
      </c>
      <c r="C7400" s="220" t="s">
        <v>13608</v>
      </c>
      <c r="D7400" s="221">
        <v>8889.31</v>
      </c>
      <c r="E7400" s="221">
        <v>2987.4</v>
      </c>
      <c r="F7400" s="221">
        <v>5223.45</v>
      </c>
      <c r="G7400" s="221">
        <v>678.46</v>
      </c>
      <c r="H7400" s="222">
        <v>66707.22</v>
      </c>
      <c r="I7400" s="222">
        <v>34356.400000000001</v>
      </c>
      <c r="J7400" s="222">
        <v>28368.86</v>
      </c>
      <c r="K7400" s="222">
        <v>3981.96</v>
      </c>
      <c r="L7400" s="43">
        <v>7.5042067382057782</v>
      </c>
      <c r="M7400" s="43">
        <v>11.500435161009573</v>
      </c>
      <c r="N7400" s="43">
        <v>5.4310580172108471</v>
      </c>
      <c r="O7400" s="43">
        <v>5.8691153494679122</v>
      </c>
      <c r="P7400" s="223"/>
      <c r="Q7400" s="223"/>
      <c r="R7400" s="223">
        <v>8</v>
      </c>
    </row>
    <row r="7401" spans="1:18" ht="60">
      <c r="A7401" s="219">
        <v>345</v>
      </c>
      <c r="B7401" s="216" t="s">
        <v>13609</v>
      </c>
      <c r="C7401" s="220" t="s">
        <v>13610</v>
      </c>
      <c r="D7401" s="221">
        <v>9957.75</v>
      </c>
      <c r="E7401" s="221">
        <v>3561.9</v>
      </c>
      <c r="F7401" s="221">
        <v>5381.35</v>
      </c>
      <c r="G7401" s="221">
        <v>1014.5</v>
      </c>
      <c r="H7401" s="222">
        <v>75992.399999999994</v>
      </c>
      <c r="I7401" s="222">
        <v>40963.4</v>
      </c>
      <c r="J7401" s="222">
        <v>29186.69</v>
      </c>
      <c r="K7401" s="222">
        <v>5842.31</v>
      </c>
      <c r="L7401" s="43">
        <v>7.631483015741507</v>
      </c>
      <c r="M7401" s="43">
        <v>11.500435161009573</v>
      </c>
      <c r="N7401" s="43">
        <v>5.4236743568063766</v>
      </c>
      <c r="O7401" s="43">
        <v>5.7588072942336126</v>
      </c>
      <c r="P7401" s="223"/>
      <c r="Q7401" s="223"/>
      <c r="R7401" s="223">
        <v>8</v>
      </c>
    </row>
    <row r="7402" spans="1:18" ht="60">
      <c r="A7402" s="219">
        <v>346</v>
      </c>
      <c r="B7402" s="216" t="s">
        <v>13611</v>
      </c>
      <c r="C7402" s="220" t="s">
        <v>13612</v>
      </c>
      <c r="D7402" s="221">
        <v>10793.12</v>
      </c>
      <c r="E7402" s="221">
        <v>4044.48</v>
      </c>
      <c r="F7402" s="221">
        <v>5527.9</v>
      </c>
      <c r="G7402" s="221">
        <v>1220.74</v>
      </c>
      <c r="H7402" s="222">
        <v>83457.42</v>
      </c>
      <c r="I7402" s="222">
        <v>46513.279999999999</v>
      </c>
      <c r="J7402" s="222">
        <v>29944.63</v>
      </c>
      <c r="K7402" s="222">
        <v>6999.51</v>
      </c>
      <c r="L7402" s="43">
        <v>7.7324647553256138</v>
      </c>
      <c r="M7402" s="43">
        <v>11.500435161009573</v>
      </c>
      <c r="N7402" s="43">
        <v>5.4169992221277523</v>
      </c>
      <c r="O7402" s="43">
        <v>5.733825384602782</v>
      </c>
      <c r="P7402" s="223"/>
      <c r="Q7402" s="223"/>
      <c r="R7402" s="223">
        <v>8</v>
      </c>
    </row>
    <row r="7403" spans="1:18" ht="60">
      <c r="A7403" s="219">
        <v>347</v>
      </c>
      <c r="B7403" s="216" t="s">
        <v>13613</v>
      </c>
      <c r="C7403" s="220" t="s">
        <v>13614</v>
      </c>
      <c r="D7403" s="221">
        <v>11301.54</v>
      </c>
      <c r="E7403" s="221">
        <v>4182.3599999999997</v>
      </c>
      <c r="F7403" s="221">
        <v>5637.29</v>
      </c>
      <c r="G7403" s="221">
        <v>1481.89</v>
      </c>
      <c r="H7403" s="222">
        <v>86992.65</v>
      </c>
      <c r="I7403" s="222">
        <v>48098.96</v>
      </c>
      <c r="J7403" s="222">
        <v>30485.48</v>
      </c>
      <c r="K7403" s="222">
        <v>8408.2099999999991</v>
      </c>
      <c r="L7403" s="43">
        <v>7.6974155734528207</v>
      </c>
      <c r="M7403" s="43">
        <v>11.500435161009575</v>
      </c>
      <c r="N7403" s="43">
        <v>5.4078253912784335</v>
      </c>
      <c r="O7403" s="43">
        <v>5.673977150800666</v>
      </c>
      <c r="P7403" s="223"/>
      <c r="Q7403" s="223"/>
      <c r="R7403" s="223">
        <v>8</v>
      </c>
    </row>
    <row r="7404" spans="1:18" ht="60">
      <c r="A7404" s="219">
        <v>348</v>
      </c>
      <c r="B7404" s="216" t="s">
        <v>13615</v>
      </c>
      <c r="C7404" s="220" t="s">
        <v>13616</v>
      </c>
      <c r="D7404" s="221">
        <v>11901.15</v>
      </c>
      <c r="E7404" s="221">
        <v>4320.24</v>
      </c>
      <c r="F7404" s="221">
        <v>6072.56</v>
      </c>
      <c r="G7404" s="221">
        <v>1508.35</v>
      </c>
      <c r="H7404" s="222">
        <v>91014.43</v>
      </c>
      <c r="I7404" s="222">
        <v>49684.639999999999</v>
      </c>
      <c r="J7404" s="222">
        <v>32767.07</v>
      </c>
      <c r="K7404" s="222">
        <v>8562.7199999999993</v>
      </c>
      <c r="L7404" s="43">
        <v>7.6475323813244938</v>
      </c>
      <c r="M7404" s="43">
        <v>11.500435161009573</v>
      </c>
      <c r="N7404" s="43">
        <v>5.3959236302317306</v>
      </c>
      <c r="O7404" s="43">
        <v>5.6768787085225574</v>
      </c>
      <c r="P7404" s="223"/>
      <c r="Q7404" s="223"/>
      <c r="R7404" s="223">
        <v>8</v>
      </c>
    </row>
    <row r="7405" spans="1:18" ht="60">
      <c r="A7405" s="219">
        <v>349</v>
      </c>
      <c r="B7405" s="216" t="s">
        <v>13617</v>
      </c>
      <c r="C7405" s="220" t="s">
        <v>13618</v>
      </c>
      <c r="D7405" s="221">
        <v>12701.4</v>
      </c>
      <c r="E7405" s="221">
        <v>4492.59</v>
      </c>
      <c r="F7405" s="221">
        <v>6563.24</v>
      </c>
      <c r="G7405" s="221">
        <v>1645.57</v>
      </c>
      <c r="H7405" s="222">
        <v>96471.27</v>
      </c>
      <c r="I7405" s="222">
        <v>51666.74</v>
      </c>
      <c r="J7405" s="222">
        <v>35494.160000000003</v>
      </c>
      <c r="K7405" s="222">
        <v>9310.3700000000008</v>
      </c>
      <c r="L7405" s="43">
        <v>7.5953257121262228</v>
      </c>
      <c r="M7405" s="43">
        <v>11.500435161009573</v>
      </c>
      <c r="N7405" s="43">
        <v>5.4080240856650077</v>
      </c>
      <c r="O7405" s="43">
        <v>5.6578389251140946</v>
      </c>
      <c r="P7405" s="223"/>
      <c r="Q7405" s="223"/>
      <c r="R7405" s="223">
        <v>8</v>
      </c>
    </row>
    <row r="7406" spans="1:18" ht="30.75" customHeight="1">
      <c r="A7406" s="628" t="s">
        <v>13619</v>
      </c>
      <c r="B7406" s="629"/>
      <c r="C7406" s="629"/>
      <c r="D7406" s="629"/>
      <c r="E7406" s="629"/>
      <c r="F7406" s="629"/>
      <c r="G7406" s="629"/>
      <c r="H7406" s="629"/>
      <c r="I7406" s="629"/>
      <c r="J7406" s="629"/>
      <c r="K7406" s="629"/>
      <c r="L7406" s="629"/>
      <c r="M7406" s="629"/>
      <c r="N7406" s="629"/>
      <c r="O7406" s="629"/>
      <c r="P7406" s="629"/>
      <c r="Q7406" s="629"/>
      <c r="R7406" s="629"/>
    </row>
    <row r="7407" spans="1:18" ht="60">
      <c r="A7407" s="219">
        <v>350</v>
      </c>
      <c r="B7407" s="216" t="s">
        <v>13620</v>
      </c>
      <c r="C7407" s="220" t="s">
        <v>13621</v>
      </c>
      <c r="D7407" s="221">
        <v>5040.8500000000004</v>
      </c>
      <c r="E7407" s="221">
        <v>1321.35</v>
      </c>
      <c r="F7407" s="221">
        <v>3673.74</v>
      </c>
      <c r="G7407" s="221">
        <v>45.76</v>
      </c>
      <c r="H7407" s="222">
        <v>35595.08</v>
      </c>
      <c r="I7407" s="222">
        <v>15196.1</v>
      </c>
      <c r="J7407" s="222">
        <v>19992.13</v>
      </c>
      <c r="K7407" s="222">
        <v>406.85</v>
      </c>
      <c r="L7407" s="43">
        <v>7.061324974954621</v>
      </c>
      <c r="M7407" s="43">
        <v>11.500435161009575</v>
      </c>
      <c r="N7407" s="43">
        <v>5.441901168836119</v>
      </c>
      <c r="O7407" s="43">
        <v>8.8909527972027984</v>
      </c>
      <c r="P7407" s="223"/>
      <c r="Q7407" s="223"/>
      <c r="R7407" s="223">
        <v>9</v>
      </c>
    </row>
    <row r="7408" spans="1:18" ht="60">
      <c r="A7408" s="219">
        <v>351</v>
      </c>
      <c r="B7408" s="216" t="s">
        <v>13622</v>
      </c>
      <c r="C7408" s="220" t="s">
        <v>13623</v>
      </c>
      <c r="D7408" s="221">
        <v>5175.91</v>
      </c>
      <c r="E7408" s="221">
        <v>1332.84</v>
      </c>
      <c r="F7408" s="221">
        <v>3792.4</v>
      </c>
      <c r="G7408" s="221">
        <v>50.67</v>
      </c>
      <c r="H7408" s="222">
        <v>36388.720000000001</v>
      </c>
      <c r="I7408" s="222">
        <v>15328.24</v>
      </c>
      <c r="J7408" s="222">
        <v>20626.099999999999</v>
      </c>
      <c r="K7408" s="222">
        <v>434.38</v>
      </c>
      <c r="L7408" s="43">
        <v>7.0304004513216034</v>
      </c>
      <c r="M7408" s="43">
        <v>11.500435161009575</v>
      </c>
      <c r="N7408" s="43">
        <v>5.4387986499314414</v>
      </c>
      <c r="O7408" s="43">
        <v>8.5727254785869356</v>
      </c>
      <c r="P7408" s="223"/>
      <c r="Q7408" s="223"/>
      <c r="R7408" s="223">
        <v>9</v>
      </c>
    </row>
    <row r="7409" spans="1:18" ht="60">
      <c r="A7409" s="219">
        <v>352</v>
      </c>
      <c r="B7409" s="216" t="s">
        <v>13624</v>
      </c>
      <c r="C7409" s="220" t="s">
        <v>13625</v>
      </c>
      <c r="D7409" s="221">
        <v>6041.71</v>
      </c>
      <c r="E7409" s="221">
        <v>1631.58</v>
      </c>
      <c r="F7409" s="221">
        <v>4335.43</v>
      </c>
      <c r="G7409" s="221">
        <v>74.7</v>
      </c>
      <c r="H7409" s="222">
        <v>42960.86</v>
      </c>
      <c r="I7409" s="222">
        <v>18763.88</v>
      </c>
      <c r="J7409" s="222">
        <v>23597.84</v>
      </c>
      <c r="K7409" s="222">
        <v>599.14</v>
      </c>
      <c r="L7409" s="43">
        <v>7.1107120335136909</v>
      </c>
      <c r="M7409" s="43">
        <v>11.500435161009575</v>
      </c>
      <c r="N7409" s="43">
        <v>5.4430217994524188</v>
      </c>
      <c r="O7409" s="43">
        <v>8.0206157965194098</v>
      </c>
      <c r="P7409" s="223"/>
      <c r="Q7409" s="223"/>
      <c r="R7409" s="223">
        <v>9</v>
      </c>
    </row>
    <row r="7410" spans="1:18" ht="60">
      <c r="A7410" s="219">
        <v>353</v>
      </c>
      <c r="B7410" s="216" t="s">
        <v>13626</v>
      </c>
      <c r="C7410" s="220" t="s">
        <v>13627</v>
      </c>
      <c r="D7410" s="221">
        <v>6116.69</v>
      </c>
      <c r="E7410" s="221">
        <v>1643.07</v>
      </c>
      <c r="F7410" s="221">
        <v>4385.07</v>
      </c>
      <c r="G7410" s="221">
        <v>88.55</v>
      </c>
      <c r="H7410" s="222">
        <v>43429.94</v>
      </c>
      <c r="I7410" s="222">
        <v>18896.02</v>
      </c>
      <c r="J7410" s="222">
        <v>23859.62</v>
      </c>
      <c r="K7410" s="222">
        <v>674.3</v>
      </c>
      <c r="L7410" s="43">
        <v>7.1002355849323742</v>
      </c>
      <c r="M7410" s="43">
        <v>11.500435161009575</v>
      </c>
      <c r="N7410" s="43">
        <v>5.4411035627709481</v>
      </c>
      <c r="O7410" s="43">
        <v>7.6149068322981366</v>
      </c>
      <c r="P7410" s="223"/>
      <c r="Q7410" s="223"/>
      <c r="R7410" s="223">
        <v>9</v>
      </c>
    </row>
    <row r="7411" spans="1:18" ht="60">
      <c r="A7411" s="219">
        <v>354</v>
      </c>
      <c r="B7411" s="216" t="s">
        <v>13628</v>
      </c>
      <c r="C7411" s="220" t="s">
        <v>13629</v>
      </c>
      <c r="D7411" s="221">
        <v>6734.6</v>
      </c>
      <c r="E7411" s="221">
        <v>1976.28</v>
      </c>
      <c r="F7411" s="221">
        <v>4640.32</v>
      </c>
      <c r="G7411" s="221">
        <v>118</v>
      </c>
      <c r="H7411" s="222">
        <v>48819.26</v>
      </c>
      <c r="I7411" s="222">
        <v>22728.080000000002</v>
      </c>
      <c r="J7411" s="222">
        <v>25218.95</v>
      </c>
      <c r="K7411" s="222">
        <v>872.23</v>
      </c>
      <c r="L7411" s="43">
        <v>7.249021471208386</v>
      </c>
      <c r="M7411" s="43">
        <v>11.500435161009575</v>
      </c>
      <c r="N7411" s="43">
        <v>5.43474372457072</v>
      </c>
      <c r="O7411" s="43">
        <v>7.3917796610169493</v>
      </c>
      <c r="P7411" s="223"/>
      <c r="Q7411" s="223"/>
      <c r="R7411" s="223">
        <v>9</v>
      </c>
    </row>
    <row r="7412" spans="1:18" ht="60">
      <c r="A7412" s="219">
        <v>355</v>
      </c>
      <c r="B7412" s="216" t="s">
        <v>13630</v>
      </c>
      <c r="C7412" s="220" t="s">
        <v>13631</v>
      </c>
      <c r="D7412" s="221">
        <v>7679.61</v>
      </c>
      <c r="E7412" s="221">
        <v>2114.16</v>
      </c>
      <c r="F7412" s="221">
        <v>5402.51</v>
      </c>
      <c r="G7412" s="221">
        <v>162.94</v>
      </c>
      <c r="H7412" s="222">
        <v>54834.37</v>
      </c>
      <c r="I7412" s="222">
        <v>24313.759999999998</v>
      </c>
      <c r="J7412" s="222">
        <v>29392.23</v>
      </c>
      <c r="K7412" s="222">
        <v>1128.3800000000001</v>
      </c>
      <c r="L7412" s="43">
        <v>7.1402545181330828</v>
      </c>
      <c r="M7412" s="43">
        <v>11.500435161009573</v>
      </c>
      <c r="N7412" s="43">
        <v>5.4404767413665125</v>
      </c>
      <c r="O7412" s="43">
        <v>6.9251258131827678</v>
      </c>
      <c r="P7412" s="223"/>
      <c r="Q7412" s="223"/>
      <c r="R7412" s="223">
        <v>9</v>
      </c>
    </row>
    <row r="7413" spans="1:18" ht="60">
      <c r="A7413" s="219">
        <v>356</v>
      </c>
      <c r="B7413" s="216" t="s">
        <v>13632</v>
      </c>
      <c r="C7413" s="220" t="s">
        <v>13633</v>
      </c>
      <c r="D7413" s="221">
        <v>7975.05</v>
      </c>
      <c r="E7413" s="221">
        <v>2298</v>
      </c>
      <c r="F7413" s="221">
        <v>5457.69</v>
      </c>
      <c r="G7413" s="221">
        <v>219.36</v>
      </c>
      <c r="H7413" s="222">
        <v>57553.7</v>
      </c>
      <c r="I7413" s="222">
        <v>26428</v>
      </c>
      <c r="J7413" s="222">
        <v>29674.32</v>
      </c>
      <c r="K7413" s="222">
        <v>1451.38</v>
      </c>
      <c r="L7413" s="43">
        <v>7.2167196443909436</v>
      </c>
      <c r="M7413" s="43">
        <v>11.500435161009573</v>
      </c>
      <c r="N7413" s="43">
        <v>5.4371574787135222</v>
      </c>
      <c r="O7413" s="43">
        <v>6.6164296134208609</v>
      </c>
      <c r="P7413" s="223"/>
      <c r="Q7413" s="223"/>
      <c r="R7413" s="223">
        <v>9</v>
      </c>
    </row>
    <row r="7414" spans="1:18" ht="60">
      <c r="A7414" s="219">
        <v>357</v>
      </c>
      <c r="B7414" s="216" t="s">
        <v>13634</v>
      </c>
      <c r="C7414" s="220" t="s">
        <v>13635</v>
      </c>
      <c r="D7414" s="221">
        <v>9718.18</v>
      </c>
      <c r="E7414" s="221">
        <v>3113.79</v>
      </c>
      <c r="F7414" s="221">
        <v>5923.4</v>
      </c>
      <c r="G7414" s="221">
        <v>680.99</v>
      </c>
      <c r="H7414" s="222">
        <v>71949.570000000007</v>
      </c>
      <c r="I7414" s="222">
        <v>35809.94</v>
      </c>
      <c r="J7414" s="222">
        <v>32128.58</v>
      </c>
      <c r="K7414" s="222">
        <v>4011.05</v>
      </c>
      <c r="L7414" s="43">
        <v>7.4036054075968964</v>
      </c>
      <c r="M7414" s="43">
        <v>11.500435161009575</v>
      </c>
      <c r="N7414" s="43">
        <v>5.4240098592024859</v>
      </c>
      <c r="O7414" s="43">
        <v>5.8900277537115082</v>
      </c>
      <c r="P7414" s="223"/>
      <c r="Q7414" s="223"/>
      <c r="R7414" s="223">
        <v>9</v>
      </c>
    </row>
    <row r="7415" spans="1:18" ht="60">
      <c r="A7415" s="219">
        <v>358</v>
      </c>
      <c r="B7415" s="216" t="s">
        <v>13636</v>
      </c>
      <c r="C7415" s="220" t="s">
        <v>13637</v>
      </c>
      <c r="D7415" s="221">
        <v>10962.54</v>
      </c>
      <c r="E7415" s="221">
        <v>3596.37</v>
      </c>
      <c r="F7415" s="221">
        <v>6350.98</v>
      </c>
      <c r="G7415" s="221">
        <v>1015.19</v>
      </c>
      <c r="H7415" s="222">
        <v>81592.42</v>
      </c>
      <c r="I7415" s="222">
        <v>41359.82</v>
      </c>
      <c r="J7415" s="222">
        <v>34382.35</v>
      </c>
      <c r="K7415" s="222">
        <v>5850.25</v>
      </c>
      <c r="L7415" s="43">
        <v>7.4428389770983721</v>
      </c>
      <c r="M7415" s="43">
        <v>11.500435161009573</v>
      </c>
      <c r="N7415" s="43">
        <v>5.4137078057244707</v>
      </c>
      <c r="O7415" s="43">
        <v>5.7627143687388562</v>
      </c>
      <c r="P7415" s="223"/>
      <c r="Q7415" s="223"/>
      <c r="R7415" s="223">
        <v>9</v>
      </c>
    </row>
    <row r="7416" spans="1:18" ht="60">
      <c r="A7416" s="219">
        <v>359</v>
      </c>
      <c r="B7416" s="216" t="s">
        <v>13638</v>
      </c>
      <c r="C7416" s="220" t="s">
        <v>13639</v>
      </c>
      <c r="D7416" s="221">
        <v>11866.8</v>
      </c>
      <c r="E7416" s="221">
        <v>4205.34</v>
      </c>
      <c r="F7416" s="221">
        <v>6437.5</v>
      </c>
      <c r="G7416" s="221">
        <v>1223.96</v>
      </c>
      <c r="H7416" s="222">
        <v>90211.18</v>
      </c>
      <c r="I7416" s="222">
        <v>48363.24</v>
      </c>
      <c r="J7416" s="222">
        <v>34811.4</v>
      </c>
      <c r="K7416" s="222">
        <v>7036.54</v>
      </c>
      <c r="L7416" s="43">
        <v>7.601980314827923</v>
      </c>
      <c r="M7416" s="43">
        <v>11.500435161009573</v>
      </c>
      <c r="N7416" s="43">
        <v>5.4075961165048545</v>
      </c>
      <c r="O7416" s="43">
        <v>5.7489950651982085</v>
      </c>
      <c r="P7416" s="223"/>
      <c r="Q7416" s="223"/>
      <c r="R7416" s="223">
        <v>9</v>
      </c>
    </row>
    <row r="7417" spans="1:18" ht="60">
      <c r="A7417" s="219">
        <v>360</v>
      </c>
      <c r="B7417" s="216" t="s">
        <v>13640</v>
      </c>
      <c r="C7417" s="220" t="s">
        <v>13641</v>
      </c>
      <c r="D7417" s="221">
        <v>13226.47</v>
      </c>
      <c r="E7417" s="221">
        <v>4596</v>
      </c>
      <c r="F7417" s="221">
        <v>7140.31</v>
      </c>
      <c r="G7417" s="221">
        <v>1490.16</v>
      </c>
      <c r="H7417" s="222">
        <v>99874.14</v>
      </c>
      <c r="I7417" s="222">
        <v>52856</v>
      </c>
      <c r="J7417" s="222">
        <v>38514.83</v>
      </c>
      <c r="K7417" s="222">
        <v>8503.31</v>
      </c>
      <c r="L7417" s="43">
        <v>7.5510805226186584</v>
      </c>
      <c r="M7417" s="43">
        <v>11.500435161009573</v>
      </c>
      <c r="N7417" s="43">
        <v>5.3939997002931248</v>
      </c>
      <c r="O7417" s="43">
        <v>5.706306705320233</v>
      </c>
      <c r="P7417" s="223"/>
      <c r="Q7417" s="223"/>
      <c r="R7417" s="223">
        <v>9</v>
      </c>
    </row>
    <row r="7418" spans="1:18" ht="60">
      <c r="A7418" s="219">
        <v>361</v>
      </c>
      <c r="B7418" s="216" t="s">
        <v>13642</v>
      </c>
      <c r="C7418" s="220" t="s">
        <v>13643</v>
      </c>
      <c r="D7418" s="221">
        <v>14724.56</v>
      </c>
      <c r="E7418" s="221">
        <v>5457.75</v>
      </c>
      <c r="F7418" s="221">
        <v>7735.7</v>
      </c>
      <c r="G7418" s="221">
        <v>1531.11</v>
      </c>
      <c r="H7418" s="222">
        <v>113267.34</v>
      </c>
      <c r="I7418" s="222">
        <v>62766.5</v>
      </c>
      <c r="J7418" s="222">
        <v>41676.379999999997</v>
      </c>
      <c r="K7418" s="222">
        <v>8824.4599999999991</v>
      </c>
      <c r="L7418" s="43">
        <v>7.6924091449931273</v>
      </c>
      <c r="M7418" s="43">
        <v>11.500435161009573</v>
      </c>
      <c r="N7418" s="43">
        <v>5.3875382964696144</v>
      </c>
      <c r="O7418" s="43">
        <v>5.7634395961100111</v>
      </c>
      <c r="P7418" s="223"/>
      <c r="Q7418" s="223"/>
      <c r="R7418" s="223">
        <v>9</v>
      </c>
    </row>
    <row r="7419" spans="1:18" ht="31.5" customHeight="1">
      <c r="A7419" s="628" t="s">
        <v>13644</v>
      </c>
      <c r="B7419" s="629"/>
      <c r="C7419" s="629"/>
      <c r="D7419" s="629"/>
      <c r="E7419" s="629"/>
      <c r="F7419" s="629"/>
      <c r="G7419" s="629"/>
      <c r="H7419" s="629"/>
      <c r="I7419" s="629"/>
      <c r="J7419" s="629"/>
      <c r="K7419" s="629"/>
      <c r="L7419" s="629"/>
      <c r="M7419" s="629"/>
      <c r="N7419" s="629"/>
      <c r="O7419" s="629"/>
      <c r="P7419" s="629"/>
      <c r="Q7419" s="629"/>
      <c r="R7419" s="629"/>
    </row>
    <row r="7420" spans="1:18" ht="60">
      <c r="A7420" s="219">
        <v>362</v>
      </c>
      <c r="B7420" s="216" t="s">
        <v>13645</v>
      </c>
      <c r="C7420" s="220" t="s">
        <v>13646</v>
      </c>
      <c r="D7420" s="221">
        <v>5494.56</v>
      </c>
      <c r="E7420" s="221">
        <v>1436.25</v>
      </c>
      <c r="F7420" s="221">
        <v>4007.38</v>
      </c>
      <c r="G7420" s="221">
        <v>50.93</v>
      </c>
      <c r="H7420" s="222">
        <v>38750.269999999997</v>
      </c>
      <c r="I7420" s="222">
        <v>16517.5</v>
      </c>
      <c r="J7420" s="222">
        <v>21784.17</v>
      </c>
      <c r="K7420" s="222">
        <v>448.6</v>
      </c>
      <c r="L7420" s="43">
        <v>7.0524791794065393</v>
      </c>
      <c r="M7420" s="43">
        <v>11.500435161009573</v>
      </c>
      <c r="N7420" s="43">
        <v>5.4360130559118423</v>
      </c>
      <c r="O7420" s="43">
        <v>8.8081680738268222</v>
      </c>
      <c r="P7420" s="223"/>
      <c r="Q7420" s="223"/>
      <c r="R7420" s="223">
        <v>10</v>
      </c>
    </row>
    <row r="7421" spans="1:18" ht="60">
      <c r="A7421" s="219">
        <v>363</v>
      </c>
      <c r="B7421" s="216" t="s">
        <v>13647</v>
      </c>
      <c r="C7421" s="220" t="s">
        <v>13648</v>
      </c>
      <c r="D7421" s="221">
        <v>5805.03</v>
      </c>
      <c r="E7421" s="221">
        <v>1447.74</v>
      </c>
      <c r="F7421" s="221">
        <v>4301.46</v>
      </c>
      <c r="G7421" s="221">
        <v>55.83</v>
      </c>
      <c r="H7421" s="222">
        <v>40479.47</v>
      </c>
      <c r="I7421" s="222">
        <v>16649.64</v>
      </c>
      <c r="J7421" s="222">
        <v>23353.81</v>
      </c>
      <c r="K7421" s="222">
        <v>476.02</v>
      </c>
      <c r="L7421" s="43">
        <v>6.9731715426104603</v>
      </c>
      <c r="M7421" s="43">
        <v>11.500435161009573</v>
      </c>
      <c r="N7421" s="43">
        <v>5.4292751763354774</v>
      </c>
      <c r="O7421" s="43">
        <v>8.5262403725595561</v>
      </c>
      <c r="P7421" s="223"/>
      <c r="Q7421" s="223"/>
      <c r="R7421" s="223">
        <v>10</v>
      </c>
    </row>
    <row r="7422" spans="1:18" ht="60">
      <c r="A7422" s="219">
        <v>364</v>
      </c>
      <c r="B7422" s="216" t="s">
        <v>13649</v>
      </c>
      <c r="C7422" s="220" t="s">
        <v>13650</v>
      </c>
      <c r="D7422" s="221">
        <v>6796.77</v>
      </c>
      <c r="E7422" s="221">
        <v>1849.89</v>
      </c>
      <c r="F7422" s="221">
        <v>4862.07</v>
      </c>
      <c r="G7422" s="221">
        <v>84.81</v>
      </c>
      <c r="H7422" s="222">
        <v>48379.91</v>
      </c>
      <c r="I7422" s="222">
        <v>21274.54</v>
      </c>
      <c r="J7422" s="222">
        <v>26425.38</v>
      </c>
      <c r="K7422" s="222">
        <v>679.99</v>
      </c>
      <c r="L7422" s="43">
        <v>7.1180737320815624</v>
      </c>
      <c r="M7422" s="43">
        <v>11.500435161009573</v>
      </c>
      <c r="N7422" s="43">
        <v>5.435006077658282</v>
      </c>
      <c r="O7422" s="43">
        <v>8.0178045041858272</v>
      </c>
      <c r="P7422" s="223"/>
      <c r="Q7422" s="223"/>
      <c r="R7422" s="223">
        <v>10</v>
      </c>
    </row>
    <row r="7423" spans="1:18" ht="60">
      <c r="A7423" s="219">
        <v>365</v>
      </c>
      <c r="B7423" s="216" t="s">
        <v>13651</v>
      </c>
      <c r="C7423" s="220" t="s">
        <v>13652</v>
      </c>
      <c r="D7423" s="221">
        <v>6832.92</v>
      </c>
      <c r="E7423" s="221">
        <v>1849.89</v>
      </c>
      <c r="F7423" s="221">
        <v>4884.6000000000004</v>
      </c>
      <c r="G7423" s="221">
        <v>98.43</v>
      </c>
      <c r="H7423" s="222">
        <v>48569.54</v>
      </c>
      <c r="I7423" s="222">
        <v>21274.54</v>
      </c>
      <c r="J7423" s="222">
        <v>26542.49</v>
      </c>
      <c r="K7423" s="222">
        <v>752.51</v>
      </c>
      <c r="L7423" s="43">
        <v>7.1081675184255051</v>
      </c>
      <c r="M7423" s="43">
        <v>11.500435161009573</v>
      </c>
      <c r="N7423" s="43">
        <v>5.4339127052368665</v>
      </c>
      <c r="O7423" s="43">
        <v>7.6451285177283346</v>
      </c>
      <c r="P7423" s="223"/>
      <c r="Q7423" s="223"/>
      <c r="R7423" s="223">
        <v>10</v>
      </c>
    </row>
    <row r="7424" spans="1:18" ht="60">
      <c r="A7424" s="219">
        <v>366</v>
      </c>
      <c r="B7424" s="216" t="s">
        <v>13653</v>
      </c>
      <c r="C7424" s="220" t="s">
        <v>13654</v>
      </c>
      <c r="D7424" s="221">
        <v>7771.08</v>
      </c>
      <c r="E7424" s="221">
        <v>2275.02</v>
      </c>
      <c r="F7424" s="221">
        <v>5347.68</v>
      </c>
      <c r="G7424" s="221">
        <v>148.38</v>
      </c>
      <c r="H7424" s="222">
        <v>56238.99</v>
      </c>
      <c r="I7424" s="222">
        <v>26163.72</v>
      </c>
      <c r="J7424" s="222">
        <v>29004.35</v>
      </c>
      <c r="K7424" s="222">
        <v>1070.92</v>
      </c>
      <c r="L7424" s="43">
        <v>7.2369593415587019</v>
      </c>
      <c r="M7424" s="43">
        <v>11.500435161009575</v>
      </c>
      <c r="N7424" s="43">
        <v>5.4237258025910293</v>
      </c>
      <c r="O7424" s="43">
        <v>7.2174147459226319</v>
      </c>
      <c r="P7424" s="223"/>
      <c r="Q7424" s="223"/>
      <c r="R7424" s="223">
        <v>10</v>
      </c>
    </row>
    <row r="7425" spans="1:18" ht="60">
      <c r="A7425" s="219">
        <v>367</v>
      </c>
      <c r="B7425" s="216" t="s">
        <v>13655</v>
      </c>
      <c r="C7425" s="220" t="s">
        <v>13656</v>
      </c>
      <c r="D7425" s="221">
        <v>9069.81</v>
      </c>
      <c r="E7425" s="221">
        <v>2562.27</v>
      </c>
      <c r="F7425" s="221">
        <v>6314.09</v>
      </c>
      <c r="G7425" s="221">
        <v>193.45</v>
      </c>
      <c r="H7425" s="222">
        <v>65086.74</v>
      </c>
      <c r="I7425" s="222">
        <v>29467.22</v>
      </c>
      <c r="J7425" s="222">
        <v>34273.230000000003</v>
      </c>
      <c r="K7425" s="222">
        <v>1346.29</v>
      </c>
      <c r="L7425" s="43">
        <v>7.1761966347696369</v>
      </c>
      <c r="M7425" s="43">
        <v>11.500435161009573</v>
      </c>
      <c r="N7425" s="43">
        <v>5.4280553492268879</v>
      </c>
      <c r="O7425" s="43">
        <v>6.9593693460842596</v>
      </c>
      <c r="P7425" s="223"/>
      <c r="Q7425" s="223"/>
      <c r="R7425" s="223">
        <v>10</v>
      </c>
    </row>
    <row r="7426" spans="1:18" ht="60">
      <c r="A7426" s="219">
        <v>368</v>
      </c>
      <c r="B7426" s="216" t="s">
        <v>13657</v>
      </c>
      <c r="C7426" s="220" t="s">
        <v>13658</v>
      </c>
      <c r="D7426" s="221">
        <v>9891.48</v>
      </c>
      <c r="E7426" s="221">
        <v>2883.99</v>
      </c>
      <c r="F7426" s="221">
        <v>6711.81</v>
      </c>
      <c r="G7426" s="221">
        <v>295.68</v>
      </c>
      <c r="H7426" s="222">
        <v>71491.38</v>
      </c>
      <c r="I7426" s="222">
        <v>33167.14</v>
      </c>
      <c r="J7426" s="222">
        <v>36393.839999999997</v>
      </c>
      <c r="K7426" s="222">
        <v>1930.4</v>
      </c>
      <c r="L7426" s="43">
        <v>7.2275716070800335</v>
      </c>
      <c r="M7426" s="43">
        <v>11.500435161009575</v>
      </c>
      <c r="N7426" s="43">
        <v>5.4223584994211684</v>
      </c>
      <c r="O7426" s="43">
        <v>6.5286796536796539</v>
      </c>
      <c r="P7426" s="223"/>
      <c r="Q7426" s="223"/>
      <c r="R7426" s="223">
        <v>10</v>
      </c>
    </row>
    <row r="7427" spans="1:18" ht="60">
      <c r="A7427" s="219">
        <v>369</v>
      </c>
      <c r="B7427" s="216" t="s">
        <v>13659</v>
      </c>
      <c r="C7427" s="220" t="s">
        <v>13660</v>
      </c>
      <c r="D7427" s="221">
        <v>11585.72</v>
      </c>
      <c r="E7427" s="221">
        <v>3630.84</v>
      </c>
      <c r="F7427" s="221">
        <v>7091.29</v>
      </c>
      <c r="G7427" s="221">
        <v>863.59</v>
      </c>
      <c r="H7427" s="222">
        <v>85180.51</v>
      </c>
      <c r="I7427" s="222">
        <v>41756.239999999998</v>
      </c>
      <c r="J7427" s="222">
        <v>38376.33</v>
      </c>
      <c r="K7427" s="222">
        <v>5047.9399999999996</v>
      </c>
      <c r="L7427" s="43">
        <v>7.3521982233300998</v>
      </c>
      <c r="M7427" s="43">
        <v>11.500435161009573</v>
      </c>
      <c r="N7427" s="43">
        <v>5.4117558300393869</v>
      </c>
      <c r="O7427" s="43">
        <v>5.8452969580472205</v>
      </c>
      <c r="P7427" s="223"/>
      <c r="Q7427" s="223"/>
      <c r="R7427" s="223">
        <v>10</v>
      </c>
    </row>
    <row r="7428" spans="1:18" ht="60">
      <c r="A7428" s="219">
        <v>370</v>
      </c>
      <c r="B7428" s="216" t="s">
        <v>13661</v>
      </c>
      <c r="C7428" s="220" t="s">
        <v>13662</v>
      </c>
      <c r="D7428" s="221">
        <v>13195.35</v>
      </c>
      <c r="E7428" s="221">
        <v>4343.22</v>
      </c>
      <c r="F7428" s="221">
        <v>7434.43</v>
      </c>
      <c r="G7428" s="221">
        <v>1417.7</v>
      </c>
      <c r="H7428" s="222">
        <v>98191.23</v>
      </c>
      <c r="I7428" s="222">
        <v>49948.92</v>
      </c>
      <c r="J7428" s="222">
        <v>40154.93</v>
      </c>
      <c r="K7428" s="222">
        <v>8087.38</v>
      </c>
      <c r="L7428" s="43">
        <v>7.4413509304414047</v>
      </c>
      <c r="M7428" s="43">
        <v>11.500435161009573</v>
      </c>
      <c r="N7428" s="43">
        <v>5.4012116598044502</v>
      </c>
      <c r="O7428" s="43">
        <v>5.7045778373421738</v>
      </c>
      <c r="P7428" s="223"/>
      <c r="Q7428" s="223"/>
      <c r="R7428" s="223">
        <v>10</v>
      </c>
    </row>
    <row r="7429" spans="1:18" ht="60">
      <c r="A7429" s="219">
        <v>371</v>
      </c>
      <c r="B7429" s="216" t="s">
        <v>13663</v>
      </c>
      <c r="C7429" s="220" t="s">
        <v>13664</v>
      </c>
      <c r="D7429" s="221">
        <v>14586.02</v>
      </c>
      <c r="E7429" s="221">
        <v>4940.7</v>
      </c>
      <c r="F7429" s="221">
        <v>7846.82</v>
      </c>
      <c r="G7429" s="221">
        <v>1798.5</v>
      </c>
      <c r="H7429" s="222">
        <v>109310.24</v>
      </c>
      <c r="I7429" s="222">
        <v>56820.2</v>
      </c>
      <c r="J7429" s="222">
        <v>42301.03</v>
      </c>
      <c r="K7429" s="222">
        <v>10189.01</v>
      </c>
      <c r="L7429" s="43">
        <v>7.4941786724548578</v>
      </c>
      <c r="M7429" s="43">
        <v>11.500435161009573</v>
      </c>
      <c r="N7429" s="43">
        <v>5.3908500513583846</v>
      </c>
      <c r="O7429" s="43">
        <v>5.6652821795941062</v>
      </c>
      <c r="P7429" s="223"/>
      <c r="Q7429" s="223"/>
      <c r="R7429" s="223">
        <v>10</v>
      </c>
    </row>
    <row r="7430" spans="1:18" ht="60">
      <c r="A7430" s="219">
        <v>372</v>
      </c>
      <c r="B7430" s="216" t="s">
        <v>13665</v>
      </c>
      <c r="C7430" s="220" t="s">
        <v>13666</v>
      </c>
      <c r="D7430" s="221">
        <v>15512.33</v>
      </c>
      <c r="E7430" s="221">
        <v>5331.36</v>
      </c>
      <c r="F7430" s="221">
        <v>8001.42</v>
      </c>
      <c r="G7430" s="221">
        <v>2179.5500000000002</v>
      </c>
      <c r="H7430" s="222">
        <v>116672.13</v>
      </c>
      <c r="I7430" s="222">
        <v>61312.959999999999</v>
      </c>
      <c r="J7430" s="222">
        <v>43091.29</v>
      </c>
      <c r="K7430" s="222">
        <v>12267.88</v>
      </c>
      <c r="L7430" s="43">
        <v>7.5212511595614586</v>
      </c>
      <c r="M7430" s="43">
        <v>11.500435161009575</v>
      </c>
      <c r="N7430" s="43">
        <v>5.3854553316786271</v>
      </c>
      <c r="O7430" s="43">
        <v>5.6286297630244766</v>
      </c>
      <c r="P7430" s="223"/>
      <c r="Q7430" s="223"/>
      <c r="R7430" s="223">
        <v>10</v>
      </c>
    </row>
    <row r="7431" spans="1:18" ht="60">
      <c r="A7431" s="219">
        <v>373</v>
      </c>
      <c r="B7431" s="216" t="s">
        <v>13667</v>
      </c>
      <c r="C7431" s="220" t="s">
        <v>13668</v>
      </c>
      <c r="D7431" s="221">
        <v>17528.95</v>
      </c>
      <c r="E7431" s="221">
        <v>6158.64</v>
      </c>
      <c r="F7431" s="221">
        <v>8920.83</v>
      </c>
      <c r="G7431" s="221">
        <v>2449.48</v>
      </c>
      <c r="H7431" s="222">
        <v>132575.9</v>
      </c>
      <c r="I7431" s="222">
        <v>70827.039999999994</v>
      </c>
      <c r="J7431" s="222">
        <v>47943.92</v>
      </c>
      <c r="K7431" s="222">
        <v>13804.94</v>
      </c>
      <c r="L7431" s="43">
        <v>7.5632539313535601</v>
      </c>
      <c r="M7431" s="43">
        <v>11.500435161009571</v>
      </c>
      <c r="N7431" s="43">
        <v>5.3743788414306737</v>
      </c>
      <c r="O7431" s="43">
        <v>5.63586557146823</v>
      </c>
      <c r="P7431" s="223"/>
      <c r="Q7431" s="223"/>
      <c r="R7431" s="223">
        <v>10</v>
      </c>
    </row>
    <row r="7432" spans="1:18" ht="31.5" customHeight="1">
      <c r="A7432" s="628" t="s">
        <v>13669</v>
      </c>
      <c r="B7432" s="629"/>
      <c r="C7432" s="629"/>
      <c r="D7432" s="629"/>
      <c r="E7432" s="629"/>
      <c r="F7432" s="629"/>
      <c r="G7432" s="629"/>
      <c r="H7432" s="629"/>
      <c r="I7432" s="629"/>
      <c r="J7432" s="629"/>
      <c r="K7432" s="629"/>
      <c r="L7432" s="629"/>
      <c r="M7432" s="629"/>
      <c r="N7432" s="629"/>
      <c r="O7432" s="629"/>
      <c r="P7432" s="629"/>
      <c r="Q7432" s="629"/>
      <c r="R7432" s="629"/>
    </row>
    <row r="7433" spans="1:18" ht="60">
      <c r="A7433" s="219">
        <v>374</v>
      </c>
      <c r="B7433" s="216" t="s">
        <v>13670</v>
      </c>
      <c r="C7433" s="220" t="s">
        <v>13671</v>
      </c>
      <c r="D7433" s="221">
        <v>9796.83</v>
      </c>
      <c r="E7433" s="221">
        <v>2608.23</v>
      </c>
      <c r="F7433" s="221">
        <v>7104.78</v>
      </c>
      <c r="G7433" s="221">
        <v>83.82</v>
      </c>
      <c r="H7433" s="222">
        <v>69165.960000000006</v>
      </c>
      <c r="I7433" s="222">
        <v>29995.78</v>
      </c>
      <c r="J7433" s="222">
        <v>38401.61</v>
      </c>
      <c r="K7433" s="222">
        <v>768.57</v>
      </c>
      <c r="L7433" s="43">
        <v>7.0600347255183573</v>
      </c>
      <c r="M7433" s="43">
        <v>11.500435161009573</v>
      </c>
      <c r="N7433" s="43">
        <v>5.4050385796604541</v>
      </c>
      <c r="O7433" s="43">
        <v>9.1692913385826778</v>
      </c>
      <c r="P7433" s="223"/>
      <c r="Q7433" s="223"/>
      <c r="R7433" s="223">
        <v>11</v>
      </c>
    </row>
    <row r="7434" spans="1:18" ht="60">
      <c r="A7434" s="219">
        <v>375</v>
      </c>
      <c r="B7434" s="216" t="s">
        <v>13672</v>
      </c>
      <c r="C7434" s="220" t="s">
        <v>13673</v>
      </c>
      <c r="D7434" s="221">
        <v>9824.48</v>
      </c>
      <c r="E7434" s="221">
        <v>2608.23</v>
      </c>
      <c r="F7434" s="221">
        <v>7106.46</v>
      </c>
      <c r="G7434" s="221">
        <v>109.79</v>
      </c>
      <c r="H7434" s="222">
        <v>69312.05</v>
      </c>
      <c r="I7434" s="222">
        <v>29995.78</v>
      </c>
      <c r="J7434" s="222">
        <v>38409.360000000001</v>
      </c>
      <c r="K7434" s="222">
        <v>906.91</v>
      </c>
      <c r="L7434" s="43">
        <v>7.055034973861213</v>
      </c>
      <c r="M7434" s="43">
        <v>11.500435161009573</v>
      </c>
      <c r="N7434" s="43">
        <v>5.4048513605930379</v>
      </c>
      <c r="O7434" s="43">
        <v>8.2604062300755974</v>
      </c>
      <c r="P7434" s="223"/>
      <c r="Q7434" s="223"/>
      <c r="R7434" s="223">
        <v>11</v>
      </c>
    </row>
    <row r="7435" spans="1:18" ht="60">
      <c r="A7435" s="219">
        <v>376</v>
      </c>
      <c r="B7435" s="216" t="s">
        <v>13674</v>
      </c>
      <c r="C7435" s="220" t="s">
        <v>13675</v>
      </c>
      <c r="D7435" s="221">
        <v>12099.6</v>
      </c>
      <c r="E7435" s="221">
        <v>3182.73</v>
      </c>
      <c r="F7435" s="221">
        <v>8763.76</v>
      </c>
      <c r="G7435" s="221">
        <v>153.11000000000001</v>
      </c>
      <c r="H7435" s="222">
        <v>85127.53</v>
      </c>
      <c r="I7435" s="222">
        <v>36602.78</v>
      </c>
      <c r="J7435" s="222">
        <v>47316.11</v>
      </c>
      <c r="K7435" s="222">
        <v>1208.6400000000001</v>
      </c>
      <c r="L7435" s="43">
        <v>7.0355656385335053</v>
      </c>
      <c r="M7435" s="43">
        <v>11.500435161009573</v>
      </c>
      <c r="N7435" s="43">
        <v>5.3990650131906852</v>
      </c>
      <c r="O7435" s="43">
        <v>7.8939324668538955</v>
      </c>
      <c r="P7435" s="223"/>
      <c r="Q7435" s="223"/>
      <c r="R7435" s="223">
        <v>11</v>
      </c>
    </row>
    <row r="7436" spans="1:18" ht="28.5" customHeight="1">
      <c r="A7436" s="628" t="s">
        <v>13676</v>
      </c>
      <c r="B7436" s="629"/>
      <c r="C7436" s="629"/>
      <c r="D7436" s="629"/>
      <c r="E7436" s="629"/>
      <c r="F7436" s="629"/>
      <c r="G7436" s="629"/>
      <c r="H7436" s="629"/>
      <c r="I7436" s="629"/>
      <c r="J7436" s="629"/>
      <c r="K7436" s="629"/>
      <c r="L7436" s="629"/>
      <c r="M7436" s="629"/>
      <c r="N7436" s="629"/>
      <c r="O7436" s="629"/>
      <c r="P7436" s="629"/>
      <c r="Q7436" s="629"/>
      <c r="R7436" s="629"/>
    </row>
    <row r="7437" spans="1:18" ht="60">
      <c r="A7437" s="219">
        <v>377</v>
      </c>
      <c r="B7437" s="216" t="s">
        <v>13677</v>
      </c>
      <c r="C7437" s="220" t="s">
        <v>13678</v>
      </c>
      <c r="D7437" s="221">
        <v>9676.52</v>
      </c>
      <c r="E7437" s="221">
        <v>2780.58</v>
      </c>
      <c r="F7437" s="221">
        <v>6775.07</v>
      </c>
      <c r="G7437" s="221">
        <v>120.87</v>
      </c>
      <c r="H7437" s="222">
        <v>69585.06</v>
      </c>
      <c r="I7437" s="222">
        <v>31977.88</v>
      </c>
      <c r="J7437" s="222">
        <v>36619.97</v>
      </c>
      <c r="K7437" s="222">
        <v>987.21</v>
      </c>
      <c r="L7437" s="43">
        <v>7.1911244951697508</v>
      </c>
      <c r="M7437" s="43">
        <v>11.500435161009575</v>
      </c>
      <c r="N7437" s="43">
        <v>5.4051057775048825</v>
      </c>
      <c r="O7437" s="43">
        <v>8.1675353685778109</v>
      </c>
      <c r="P7437" s="223"/>
      <c r="Q7437" s="223"/>
      <c r="R7437" s="223">
        <v>12</v>
      </c>
    </row>
    <row r="7438" spans="1:18" ht="60">
      <c r="A7438" s="219">
        <v>378</v>
      </c>
      <c r="B7438" s="216" t="s">
        <v>13679</v>
      </c>
      <c r="C7438" s="220" t="s">
        <v>13680</v>
      </c>
      <c r="D7438" s="221">
        <v>9973.58</v>
      </c>
      <c r="E7438" s="221">
        <v>2906.97</v>
      </c>
      <c r="F7438" s="221">
        <v>6899.77</v>
      </c>
      <c r="G7438" s="221">
        <v>166.84</v>
      </c>
      <c r="H7438" s="222">
        <v>71959.58</v>
      </c>
      <c r="I7438" s="222">
        <v>33431.42</v>
      </c>
      <c r="J7438" s="222">
        <v>37280.43</v>
      </c>
      <c r="K7438" s="222">
        <v>1247.73</v>
      </c>
      <c r="L7438" s="43">
        <v>7.2150200830594429</v>
      </c>
      <c r="M7438" s="43">
        <v>11.500435161009573</v>
      </c>
      <c r="N7438" s="43">
        <v>5.4031409742643595</v>
      </c>
      <c r="O7438" s="43">
        <v>7.4786022536561978</v>
      </c>
      <c r="P7438" s="223"/>
      <c r="Q7438" s="223"/>
      <c r="R7438" s="223">
        <v>12</v>
      </c>
    </row>
    <row r="7439" spans="1:18" ht="60">
      <c r="A7439" s="219">
        <v>379</v>
      </c>
      <c r="B7439" s="216" t="s">
        <v>13681</v>
      </c>
      <c r="C7439" s="220" t="s">
        <v>13682</v>
      </c>
      <c r="D7439" s="221">
        <v>12346.94</v>
      </c>
      <c r="E7439" s="221">
        <v>3550.41</v>
      </c>
      <c r="F7439" s="221">
        <v>8537.0300000000007</v>
      </c>
      <c r="G7439" s="221">
        <v>259.5</v>
      </c>
      <c r="H7439" s="222">
        <v>88786.64</v>
      </c>
      <c r="I7439" s="222">
        <v>40831.26</v>
      </c>
      <c r="J7439" s="222">
        <v>46134.59</v>
      </c>
      <c r="K7439" s="222">
        <v>1820.79</v>
      </c>
      <c r="L7439" s="43">
        <v>7.1909833529603286</v>
      </c>
      <c r="M7439" s="43">
        <v>11.500435161009575</v>
      </c>
      <c r="N7439" s="43">
        <v>5.4040562115864645</v>
      </c>
      <c r="O7439" s="43">
        <v>7.0165317919075143</v>
      </c>
      <c r="P7439" s="223"/>
      <c r="Q7439" s="223"/>
      <c r="R7439" s="223">
        <v>12</v>
      </c>
    </row>
    <row r="7440" spans="1:18" ht="60">
      <c r="A7440" s="219">
        <v>380</v>
      </c>
      <c r="B7440" s="216" t="s">
        <v>13683</v>
      </c>
      <c r="C7440" s="220" t="s">
        <v>13684</v>
      </c>
      <c r="D7440" s="221">
        <v>12765.92</v>
      </c>
      <c r="E7440" s="221">
        <v>3676.8</v>
      </c>
      <c r="F7440" s="221">
        <v>8697.19</v>
      </c>
      <c r="G7440" s="221">
        <v>391.93</v>
      </c>
      <c r="H7440" s="222">
        <v>91805.32</v>
      </c>
      <c r="I7440" s="222">
        <v>42284.800000000003</v>
      </c>
      <c r="J7440" s="222">
        <v>46978.49</v>
      </c>
      <c r="K7440" s="222">
        <v>2542.0300000000002</v>
      </c>
      <c r="L7440" s="43">
        <v>7.1914378282176301</v>
      </c>
      <c r="M7440" s="43">
        <v>11.500435161009573</v>
      </c>
      <c r="N7440" s="43">
        <v>5.4015710821541205</v>
      </c>
      <c r="O7440" s="43">
        <v>6.4859286097007125</v>
      </c>
      <c r="P7440" s="223"/>
      <c r="Q7440" s="223"/>
      <c r="R7440" s="223">
        <v>12</v>
      </c>
    </row>
    <row r="7441" spans="1:18" ht="72">
      <c r="A7441" s="219">
        <v>381</v>
      </c>
      <c r="B7441" s="216" t="s">
        <v>13685</v>
      </c>
      <c r="C7441" s="220" t="s">
        <v>13686</v>
      </c>
      <c r="D7441" s="221">
        <v>15038.21</v>
      </c>
      <c r="E7441" s="221">
        <v>4228.32</v>
      </c>
      <c r="F7441" s="221">
        <v>10204.719999999999</v>
      </c>
      <c r="G7441" s="221">
        <v>605.16999999999996</v>
      </c>
      <c r="H7441" s="222">
        <v>107434.09</v>
      </c>
      <c r="I7441" s="222">
        <v>48627.519999999997</v>
      </c>
      <c r="J7441" s="222">
        <v>55060.25</v>
      </c>
      <c r="K7441" s="222">
        <v>3746.32</v>
      </c>
      <c r="L7441" s="43">
        <v>7.1440743279951535</v>
      </c>
      <c r="M7441" s="43">
        <v>11.500435161009573</v>
      </c>
      <c r="N7441" s="43">
        <v>5.3955669533314001</v>
      </c>
      <c r="O7441" s="43">
        <v>6.190524976452898</v>
      </c>
      <c r="P7441" s="223"/>
      <c r="Q7441" s="223"/>
      <c r="R7441" s="223">
        <v>12</v>
      </c>
    </row>
    <row r="7442" spans="1:18" ht="72">
      <c r="A7442" s="219">
        <v>382</v>
      </c>
      <c r="B7442" s="216" t="s">
        <v>13687</v>
      </c>
      <c r="C7442" s="220" t="s">
        <v>13688</v>
      </c>
      <c r="D7442" s="221">
        <v>16810.240000000002</v>
      </c>
      <c r="E7442" s="221">
        <v>4573.0200000000004</v>
      </c>
      <c r="F7442" s="221">
        <v>11436.55</v>
      </c>
      <c r="G7442" s="221">
        <v>800.67</v>
      </c>
      <c r="H7442" s="222">
        <v>119173.23</v>
      </c>
      <c r="I7442" s="222">
        <v>52591.72</v>
      </c>
      <c r="J7442" s="222">
        <v>61751.15</v>
      </c>
      <c r="K7442" s="222">
        <v>4830.3599999999997</v>
      </c>
      <c r="L7442" s="43">
        <v>7.0893235313713534</v>
      </c>
      <c r="M7442" s="43">
        <v>11.500435161009573</v>
      </c>
      <c r="N7442" s="43">
        <v>5.3994561296894608</v>
      </c>
      <c r="O7442" s="43">
        <v>6.0328974483869757</v>
      </c>
      <c r="P7442" s="223"/>
      <c r="Q7442" s="223"/>
      <c r="R7442" s="223">
        <v>12</v>
      </c>
    </row>
    <row r="7443" spans="1:18" ht="72">
      <c r="A7443" s="219">
        <v>383</v>
      </c>
      <c r="B7443" s="216" t="s">
        <v>13689</v>
      </c>
      <c r="C7443" s="220" t="s">
        <v>13690</v>
      </c>
      <c r="D7443" s="221">
        <v>18376.419999999998</v>
      </c>
      <c r="E7443" s="221">
        <v>4791.33</v>
      </c>
      <c r="F7443" s="221">
        <v>12634</v>
      </c>
      <c r="G7443" s="221">
        <v>951.09</v>
      </c>
      <c r="H7443" s="222">
        <v>128941.88</v>
      </c>
      <c r="I7443" s="222">
        <v>55102.38</v>
      </c>
      <c r="J7443" s="222">
        <v>68180.960000000006</v>
      </c>
      <c r="K7443" s="222">
        <v>5658.54</v>
      </c>
      <c r="L7443" s="43">
        <v>7.016702926903065</v>
      </c>
      <c r="M7443" s="43">
        <v>11.500435161009573</v>
      </c>
      <c r="N7443" s="43">
        <v>5.3966249802121267</v>
      </c>
      <c r="O7443" s="43">
        <v>5.9495315900703405</v>
      </c>
      <c r="P7443" s="223"/>
      <c r="Q7443" s="223"/>
      <c r="R7443" s="223">
        <v>12</v>
      </c>
    </row>
    <row r="7444" spans="1:18" ht="72">
      <c r="A7444" s="219">
        <v>384</v>
      </c>
      <c r="B7444" s="216" t="s">
        <v>13691</v>
      </c>
      <c r="C7444" s="220" t="s">
        <v>13692</v>
      </c>
      <c r="D7444" s="221">
        <v>22383.24</v>
      </c>
      <c r="E7444" s="221">
        <v>6124.17</v>
      </c>
      <c r="F7444" s="221">
        <v>14412.55</v>
      </c>
      <c r="G7444" s="221">
        <v>1846.52</v>
      </c>
      <c r="H7444" s="222">
        <v>158683.75</v>
      </c>
      <c r="I7444" s="222">
        <v>70430.62</v>
      </c>
      <c r="J7444" s="222">
        <v>77659.45</v>
      </c>
      <c r="K7444" s="222">
        <v>10593.68</v>
      </c>
      <c r="L7444" s="43">
        <v>7.0894003727789183</v>
      </c>
      <c r="M7444" s="43">
        <v>11.500435161009573</v>
      </c>
      <c r="N7444" s="43">
        <v>5.3883212894317802</v>
      </c>
      <c r="O7444" s="43">
        <v>5.7371054740809742</v>
      </c>
      <c r="P7444" s="223"/>
      <c r="Q7444" s="223"/>
      <c r="R7444" s="223">
        <v>12</v>
      </c>
    </row>
    <row r="7445" spans="1:18" ht="72">
      <c r="A7445" s="219">
        <v>385</v>
      </c>
      <c r="B7445" s="216" t="s">
        <v>13693</v>
      </c>
      <c r="C7445" s="220" t="s">
        <v>13694</v>
      </c>
      <c r="D7445" s="221">
        <v>24401.93</v>
      </c>
      <c r="E7445" s="221">
        <v>6652.71</v>
      </c>
      <c r="F7445" s="221">
        <v>15208.72</v>
      </c>
      <c r="G7445" s="221">
        <v>2540.5</v>
      </c>
      <c r="H7445" s="222">
        <v>172767.54</v>
      </c>
      <c r="I7445" s="222">
        <v>76509.06</v>
      </c>
      <c r="J7445" s="222">
        <v>81902.58</v>
      </c>
      <c r="K7445" s="222">
        <v>14355.9</v>
      </c>
      <c r="L7445" s="43">
        <v>7.0800768627727395</v>
      </c>
      <c r="M7445" s="43">
        <v>11.500435161009573</v>
      </c>
      <c r="N7445" s="43">
        <v>5.3852382054505581</v>
      </c>
      <c r="O7445" s="43">
        <v>5.6508167683526862</v>
      </c>
      <c r="P7445" s="223"/>
      <c r="Q7445" s="223"/>
      <c r="R7445" s="223">
        <v>12</v>
      </c>
    </row>
    <row r="7446" spans="1:18" ht="72">
      <c r="A7446" s="219">
        <v>386</v>
      </c>
      <c r="B7446" s="216" t="s">
        <v>13695</v>
      </c>
      <c r="C7446" s="220" t="s">
        <v>13696</v>
      </c>
      <c r="D7446" s="221">
        <v>25980.18</v>
      </c>
      <c r="E7446" s="221">
        <v>6985.92</v>
      </c>
      <c r="F7446" s="221">
        <v>15848.56</v>
      </c>
      <c r="G7446" s="221">
        <v>3145.7</v>
      </c>
      <c r="H7446" s="222">
        <v>183254.72</v>
      </c>
      <c r="I7446" s="222">
        <v>80341.119999999995</v>
      </c>
      <c r="J7446" s="222">
        <v>85292.84</v>
      </c>
      <c r="K7446" s="222">
        <v>17620.759999999998</v>
      </c>
      <c r="L7446" s="43">
        <v>7.0536355021404775</v>
      </c>
      <c r="M7446" s="43">
        <v>11.500435161009573</v>
      </c>
      <c r="N7446" s="43">
        <v>5.3817406754935462</v>
      </c>
      <c r="O7446" s="43">
        <v>5.6015386082588927</v>
      </c>
      <c r="P7446" s="223"/>
      <c r="Q7446" s="223"/>
      <c r="R7446" s="223">
        <v>12</v>
      </c>
    </row>
    <row r="7447" spans="1:18" ht="72">
      <c r="A7447" s="219">
        <v>387</v>
      </c>
      <c r="B7447" s="216" t="s">
        <v>13697</v>
      </c>
      <c r="C7447" s="220" t="s">
        <v>13698</v>
      </c>
      <c r="D7447" s="221">
        <v>27814.99</v>
      </c>
      <c r="E7447" s="221">
        <v>7307.64</v>
      </c>
      <c r="F7447" s="221">
        <v>16551.34</v>
      </c>
      <c r="G7447" s="221">
        <v>3956.01</v>
      </c>
      <c r="H7447" s="222">
        <v>194998.24</v>
      </c>
      <c r="I7447" s="222">
        <v>84041.04</v>
      </c>
      <c r="J7447" s="222">
        <v>88978.62</v>
      </c>
      <c r="K7447" s="222">
        <v>21978.58</v>
      </c>
      <c r="L7447" s="43">
        <v>7.0105450334513861</v>
      </c>
      <c r="M7447" s="43">
        <v>11.500435161009571</v>
      </c>
      <c r="N7447" s="43">
        <v>5.3759163910595751</v>
      </c>
      <c r="O7447" s="43">
        <v>5.555744297916335</v>
      </c>
      <c r="P7447" s="223"/>
      <c r="Q7447" s="223"/>
      <c r="R7447" s="223">
        <v>12</v>
      </c>
    </row>
    <row r="7448" spans="1:18" ht="72">
      <c r="A7448" s="219">
        <v>388</v>
      </c>
      <c r="B7448" s="216" t="s">
        <v>13699</v>
      </c>
      <c r="C7448" s="220" t="s">
        <v>13700</v>
      </c>
      <c r="D7448" s="221">
        <v>31002.05</v>
      </c>
      <c r="E7448" s="221">
        <v>8686.44</v>
      </c>
      <c r="F7448" s="221">
        <v>18308.310000000001</v>
      </c>
      <c r="G7448" s="221">
        <v>4007.3</v>
      </c>
      <c r="H7448" s="222">
        <v>220702.38</v>
      </c>
      <c r="I7448" s="222">
        <v>99897.84</v>
      </c>
      <c r="J7448" s="222">
        <v>98385.9</v>
      </c>
      <c r="K7448" s="222">
        <v>22418.639999999999</v>
      </c>
      <c r="L7448" s="43">
        <v>7.118960842912001</v>
      </c>
      <c r="M7448" s="43">
        <v>11.500435161009573</v>
      </c>
      <c r="N7448" s="43">
        <v>5.3738384372997832</v>
      </c>
      <c r="O7448" s="43">
        <v>5.5944501285154589</v>
      </c>
      <c r="P7448" s="223"/>
      <c r="Q7448" s="223"/>
      <c r="R7448" s="223">
        <v>12</v>
      </c>
    </row>
    <row r="7449" spans="1:18" ht="72">
      <c r="A7449" s="219">
        <v>389</v>
      </c>
      <c r="B7449" s="216" t="s">
        <v>13701</v>
      </c>
      <c r="C7449" s="220" t="s">
        <v>13702</v>
      </c>
      <c r="D7449" s="221">
        <v>35045.07</v>
      </c>
      <c r="E7449" s="221">
        <v>9582.66</v>
      </c>
      <c r="F7449" s="221">
        <v>21389.56</v>
      </c>
      <c r="G7449" s="221">
        <v>4072.85</v>
      </c>
      <c r="H7449" s="222">
        <v>248069.1</v>
      </c>
      <c r="I7449" s="222">
        <v>110204.76</v>
      </c>
      <c r="J7449" s="222">
        <v>114990.64</v>
      </c>
      <c r="K7449" s="222">
        <v>22873.7</v>
      </c>
      <c r="L7449" s="43">
        <v>7.0785733913500533</v>
      </c>
      <c r="M7449" s="43">
        <v>11.500435161009573</v>
      </c>
      <c r="N7449" s="43">
        <v>5.3760170849704245</v>
      </c>
      <c r="O7449" s="43">
        <v>5.616141031464454</v>
      </c>
      <c r="P7449" s="223"/>
      <c r="Q7449" s="223"/>
      <c r="R7449" s="223">
        <v>12</v>
      </c>
    </row>
    <row r="7450" spans="1:18" ht="30" customHeight="1">
      <c r="A7450" s="628" t="s">
        <v>13703</v>
      </c>
      <c r="B7450" s="629"/>
      <c r="C7450" s="629"/>
      <c r="D7450" s="629"/>
      <c r="E7450" s="629"/>
      <c r="F7450" s="629"/>
      <c r="G7450" s="629"/>
      <c r="H7450" s="629"/>
      <c r="I7450" s="629"/>
      <c r="J7450" s="629"/>
      <c r="K7450" s="629"/>
      <c r="L7450" s="629"/>
      <c r="M7450" s="629"/>
      <c r="N7450" s="629"/>
      <c r="O7450" s="629"/>
      <c r="P7450" s="629"/>
      <c r="Q7450" s="629"/>
      <c r="R7450" s="629"/>
    </row>
    <row r="7451" spans="1:18" ht="60">
      <c r="A7451" s="219">
        <v>390</v>
      </c>
      <c r="B7451" s="216" t="s">
        <v>13704</v>
      </c>
      <c r="C7451" s="220" t="s">
        <v>13705</v>
      </c>
      <c r="D7451" s="221">
        <v>10707.4</v>
      </c>
      <c r="E7451" s="221">
        <v>2941.44</v>
      </c>
      <c r="F7451" s="221">
        <v>7626.08</v>
      </c>
      <c r="G7451" s="221">
        <v>139.88</v>
      </c>
      <c r="H7451" s="222">
        <v>76129.06</v>
      </c>
      <c r="I7451" s="222">
        <v>33827.839999999997</v>
      </c>
      <c r="J7451" s="222">
        <v>41192.83</v>
      </c>
      <c r="K7451" s="222">
        <v>1108.3900000000001</v>
      </c>
      <c r="L7451" s="43">
        <v>7.1099482600818122</v>
      </c>
      <c r="M7451" s="43">
        <v>11.500435161009571</v>
      </c>
      <c r="N7451" s="43">
        <v>5.4015732853576148</v>
      </c>
      <c r="O7451" s="43">
        <v>7.9238633114097805</v>
      </c>
      <c r="P7451" s="223"/>
      <c r="Q7451" s="223"/>
      <c r="R7451" s="223">
        <v>13</v>
      </c>
    </row>
    <row r="7452" spans="1:18" ht="60">
      <c r="A7452" s="219">
        <v>391</v>
      </c>
      <c r="B7452" s="216" t="s">
        <v>13706</v>
      </c>
      <c r="C7452" s="220" t="s">
        <v>13707</v>
      </c>
      <c r="D7452" s="221">
        <v>10993.18</v>
      </c>
      <c r="E7452" s="221">
        <v>3044.85</v>
      </c>
      <c r="F7452" s="221">
        <v>7757.2</v>
      </c>
      <c r="G7452" s="221">
        <v>191.13</v>
      </c>
      <c r="H7452" s="222">
        <v>78297.53</v>
      </c>
      <c r="I7452" s="222">
        <v>35017.1</v>
      </c>
      <c r="J7452" s="222">
        <v>41886.21</v>
      </c>
      <c r="K7452" s="222">
        <v>1394.22</v>
      </c>
      <c r="L7452" s="43">
        <v>7.1223731440766</v>
      </c>
      <c r="M7452" s="43">
        <v>11.500435161009573</v>
      </c>
      <c r="N7452" s="43">
        <v>5.3996558036404885</v>
      </c>
      <c r="O7452" s="43">
        <v>7.2946162297912416</v>
      </c>
      <c r="P7452" s="223"/>
      <c r="Q7452" s="223"/>
      <c r="R7452" s="223">
        <v>13</v>
      </c>
    </row>
    <row r="7453" spans="1:18" ht="60">
      <c r="A7453" s="219">
        <v>392</v>
      </c>
      <c r="B7453" s="216" t="s">
        <v>13708</v>
      </c>
      <c r="C7453" s="220" t="s">
        <v>13709</v>
      </c>
      <c r="D7453" s="221">
        <v>13660.37</v>
      </c>
      <c r="E7453" s="221">
        <v>3768.72</v>
      </c>
      <c r="F7453" s="221">
        <v>9563.2000000000007</v>
      </c>
      <c r="G7453" s="221">
        <v>328.45</v>
      </c>
      <c r="H7453" s="222">
        <v>97202.09</v>
      </c>
      <c r="I7453" s="222">
        <v>43341.919999999998</v>
      </c>
      <c r="J7453" s="222">
        <v>51645</v>
      </c>
      <c r="K7453" s="222">
        <v>2215.17</v>
      </c>
      <c r="L7453" s="43">
        <v>7.1156264435004317</v>
      </c>
      <c r="M7453" s="43">
        <v>11.500435161009573</v>
      </c>
      <c r="N7453" s="43">
        <v>5.400388991132675</v>
      </c>
      <c r="O7453" s="43">
        <v>6.7443142030750503</v>
      </c>
      <c r="P7453" s="223"/>
      <c r="Q7453" s="223"/>
      <c r="R7453" s="223">
        <v>13</v>
      </c>
    </row>
    <row r="7454" spans="1:18" ht="60">
      <c r="A7454" s="219">
        <v>393</v>
      </c>
      <c r="B7454" s="216" t="s">
        <v>13710</v>
      </c>
      <c r="C7454" s="220" t="s">
        <v>13711</v>
      </c>
      <c r="D7454" s="221">
        <v>14026.5</v>
      </c>
      <c r="E7454" s="221">
        <v>3860.64</v>
      </c>
      <c r="F7454" s="221">
        <v>9720.02</v>
      </c>
      <c r="G7454" s="221">
        <v>445.84</v>
      </c>
      <c r="H7454" s="222">
        <v>99724.42</v>
      </c>
      <c r="I7454" s="222">
        <v>44399.040000000001</v>
      </c>
      <c r="J7454" s="222">
        <v>52473.4</v>
      </c>
      <c r="K7454" s="222">
        <v>2851.98</v>
      </c>
      <c r="L7454" s="43">
        <v>7.1097151819769717</v>
      </c>
      <c r="M7454" s="43">
        <v>11.500435161009575</v>
      </c>
      <c r="N7454" s="43">
        <v>5.3984868343892298</v>
      </c>
      <c r="O7454" s="43">
        <v>6.396868831867935</v>
      </c>
      <c r="P7454" s="223"/>
      <c r="Q7454" s="223"/>
      <c r="R7454" s="223">
        <v>13</v>
      </c>
    </row>
    <row r="7455" spans="1:18" ht="60">
      <c r="A7455" s="219">
        <v>394</v>
      </c>
      <c r="B7455" s="216" t="s">
        <v>13712</v>
      </c>
      <c r="C7455" s="220" t="s">
        <v>13713</v>
      </c>
      <c r="D7455" s="221">
        <v>15568.54</v>
      </c>
      <c r="E7455" s="221">
        <v>4377.6899999999996</v>
      </c>
      <c r="F7455" s="221">
        <v>10582.7</v>
      </c>
      <c r="G7455" s="221">
        <v>608.15</v>
      </c>
      <c r="H7455" s="222">
        <v>111213.05</v>
      </c>
      <c r="I7455" s="222">
        <v>50345.34</v>
      </c>
      <c r="J7455" s="222">
        <v>57087.12</v>
      </c>
      <c r="K7455" s="222">
        <v>3780.59</v>
      </c>
      <c r="L7455" s="43">
        <v>7.1434476193657206</v>
      </c>
      <c r="M7455" s="43">
        <v>11.500435161009573</v>
      </c>
      <c r="N7455" s="43">
        <v>5.3943813960520473</v>
      </c>
      <c r="O7455" s="43">
        <v>6.2165419715530712</v>
      </c>
      <c r="P7455" s="223"/>
      <c r="Q7455" s="223"/>
      <c r="R7455" s="223">
        <v>13</v>
      </c>
    </row>
    <row r="7456" spans="1:18" ht="60">
      <c r="A7456" s="219">
        <v>395</v>
      </c>
      <c r="B7456" s="216" t="s">
        <v>13714</v>
      </c>
      <c r="C7456" s="220" t="s">
        <v>13715</v>
      </c>
      <c r="D7456" s="221">
        <v>17697.72</v>
      </c>
      <c r="E7456" s="221">
        <v>4756.8599999999997</v>
      </c>
      <c r="F7456" s="221">
        <v>12136.51</v>
      </c>
      <c r="G7456" s="221">
        <v>804.35</v>
      </c>
      <c r="H7456" s="222">
        <v>125089.5</v>
      </c>
      <c r="I7456" s="222">
        <v>54705.96</v>
      </c>
      <c r="J7456" s="222">
        <v>65510.86</v>
      </c>
      <c r="K7456" s="222">
        <v>4872.68</v>
      </c>
      <c r="L7456" s="43">
        <v>7.0681138587343453</v>
      </c>
      <c r="M7456" s="43">
        <v>11.500435161009575</v>
      </c>
      <c r="N7456" s="43">
        <v>5.3978334793115978</v>
      </c>
      <c r="O7456" s="43">
        <v>6.0579101137564493</v>
      </c>
      <c r="P7456" s="223"/>
      <c r="Q7456" s="223"/>
      <c r="R7456" s="223">
        <v>13</v>
      </c>
    </row>
    <row r="7457" spans="1:18" ht="60">
      <c r="A7457" s="219">
        <v>396</v>
      </c>
      <c r="B7457" s="216" t="s">
        <v>13716</v>
      </c>
      <c r="C7457" s="220" t="s">
        <v>13717</v>
      </c>
      <c r="D7457" s="221">
        <v>18965.62</v>
      </c>
      <c r="E7457" s="221">
        <v>4963.68</v>
      </c>
      <c r="F7457" s="221">
        <v>13047.41</v>
      </c>
      <c r="G7457" s="221">
        <v>954.53</v>
      </c>
      <c r="H7457" s="222">
        <v>133178.49</v>
      </c>
      <c r="I7457" s="222">
        <v>57084.480000000003</v>
      </c>
      <c r="J7457" s="222">
        <v>70395.91</v>
      </c>
      <c r="K7457" s="222">
        <v>5698.1</v>
      </c>
      <c r="L7457" s="43">
        <v>7.0221005166190187</v>
      </c>
      <c r="M7457" s="43">
        <v>11.500435161009573</v>
      </c>
      <c r="N7457" s="43">
        <v>5.3953934152448646</v>
      </c>
      <c r="O7457" s="43">
        <v>5.9695347448482501</v>
      </c>
      <c r="P7457" s="223"/>
      <c r="Q7457" s="223"/>
      <c r="R7457" s="223">
        <v>13</v>
      </c>
    </row>
    <row r="7458" spans="1:18" ht="60">
      <c r="A7458" s="219">
        <v>397</v>
      </c>
      <c r="B7458" s="216" t="s">
        <v>13718</v>
      </c>
      <c r="C7458" s="220" t="s">
        <v>13719</v>
      </c>
      <c r="D7458" s="221">
        <v>23800.57</v>
      </c>
      <c r="E7458" s="221">
        <v>6687.18</v>
      </c>
      <c r="F7458" s="221">
        <v>15255.61</v>
      </c>
      <c r="G7458" s="221">
        <v>1857.78</v>
      </c>
      <c r="H7458" s="222">
        <v>169804.5</v>
      </c>
      <c r="I7458" s="222">
        <v>76905.48</v>
      </c>
      <c r="J7458" s="222">
        <v>82175.850000000006</v>
      </c>
      <c r="K7458" s="222">
        <v>10723.17</v>
      </c>
      <c r="L7458" s="43">
        <v>7.1344719895363848</v>
      </c>
      <c r="M7458" s="43">
        <v>11.500435161009573</v>
      </c>
      <c r="N7458" s="43">
        <v>5.3865987659621606</v>
      </c>
      <c r="O7458" s="43">
        <v>5.7720343635952593</v>
      </c>
      <c r="P7458" s="223"/>
      <c r="Q7458" s="223"/>
      <c r="R7458" s="223">
        <v>13</v>
      </c>
    </row>
    <row r="7459" spans="1:18" ht="60">
      <c r="A7459" s="219">
        <v>398</v>
      </c>
      <c r="B7459" s="216" t="s">
        <v>13720</v>
      </c>
      <c r="C7459" s="220" t="s">
        <v>13721</v>
      </c>
      <c r="D7459" s="221">
        <v>25614.5</v>
      </c>
      <c r="E7459" s="221">
        <v>7227.21</v>
      </c>
      <c r="F7459" s="221">
        <v>15835.3</v>
      </c>
      <c r="G7459" s="221">
        <v>2551.9899999999998</v>
      </c>
      <c r="H7459" s="222">
        <v>182838.15</v>
      </c>
      <c r="I7459" s="222">
        <v>83116.06</v>
      </c>
      <c r="J7459" s="222">
        <v>85234.06</v>
      </c>
      <c r="K7459" s="222">
        <v>14488.03</v>
      </c>
      <c r="L7459" s="43">
        <v>7.1380721856760818</v>
      </c>
      <c r="M7459" s="43">
        <v>11.500435161009573</v>
      </c>
      <c r="N7459" s="43">
        <v>5.382535221940854</v>
      </c>
      <c r="O7459" s="43">
        <v>5.6771499888322454</v>
      </c>
      <c r="P7459" s="223"/>
      <c r="Q7459" s="223"/>
      <c r="R7459" s="223">
        <v>13</v>
      </c>
    </row>
    <row r="7460" spans="1:18" ht="60">
      <c r="A7460" s="219">
        <v>399</v>
      </c>
      <c r="B7460" s="216" t="s">
        <v>13722</v>
      </c>
      <c r="C7460" s="220" t="s">
        <v>13723</v>
      </c>
      <c r="D7460" s="221">
        <v>26980.22</v>
      </c>
      <c r="E7460" s="221">
        <v>7560.42</v>
      </c>
      <c r="F7460" s="221">
        <v>16262.61</v>
      </c>
      <c r="G7460" s="221">
        <v>3157.19</v>
      </c>
      <c r="H7460" s="222">
        <v>192193.85</v>
      </c>
      <c r="I7460" s="222">
        <v>86948.12</v>
      </c>
      <c r="J7460" s="222">
        <v>87492.83</v>
      </c>
      <c r="K7460" s="222">
        <v>17752.900000000001</v>
      </c>
      <c r="L7460" s="43">
        <v>7.1235093709391544</v>
      </c>
      <c r="M7460" s="43">
        <v>11.500435161009573</v>
      </c>
      <c r="N7460" s="43">
        <v>5.3799992744092124</v>
      </c>
      <c r="O7460" s="43">
        <v>5.6230065342915694</v>
      </c>
      <c r="P7460" s="223"/>
      <c r="Q7460" s="223"/>
      <c r="R7460" s="223">
        <v>13</v>
      </c>
    </row>
    <row r="7461" spans="1:18" ht="60">
      <c r="A7461" s="219">
        <v>400</v>
      </c>
      <c r="B7461" s="216" t="s">
        <v>13724</v>
      </c>
      <c r="C7461" s="220" t="s">
        <v>13725</v>
      </c>
      <c r="D7461" s="221">
        <v>29726.52</v>
      </c>
      <c r="E7461" s="221">
        <v>8720.91</v>
      </c>
      <c r="F7461" s="221">
        <v>17021.330000000002</v>
      </c>
      <c r="G7461" s="221">
        <v>3984.28</v>
      </c>
      <c r="H7461" s="222">
        <v>214064.34</v>
      </c>
      <c r="I7461" s="222">
        <v>100294.26</v>
      </c>
      <c r="J7461" s="222">
        <v>91466.4</v>
      </c>
      <c r="K7461" s="222">
        <v>22303.68</v>
      </c>
      <c r="L7461" s="43">
        <v>7.2011234412908065</v>
      </c>
      <c r="M7461" s="43">
        <v>11.500435161009573</v>
      </c>
      <c r="N7461" s="43">
        <v>5.373634140222884</v>
      </c>
      <c r="O7461" s="43">
        <v>5.5979198249119033</v>
      </c>
      <c r="P7461" s="223"/>
      <c r="Q7461" s="223"/>
      <c r="R7461" s="223">
        <v>13</v>
      </c>
    </row>
    <row r="7462" spans="1:18" ht="60">
      <c r="A7462" s="219">
        <v>401</v>
      </c>
      <c r="B7462" s="216" t="s">
        <v>13726</v>
      </c>
      <c r="C7462" s="220" t="s">
        <v>13727</v>
      </c>
      <c r="D7462" s="221">
        <v>33919.93</v>
      </c>
      <c r="E7462" s="221">
        <v>10099.709999999999</v>
      </c>
      <c r="F7462" s="221">
        <v>19784.66</v>
      </c>
      <c r="G7462" s="221">
        <v>4035.56</v>
      </c>
      <c r="H7462" s="222">
        <v>245170.67</v>
      </c>
      <c r="I7462" s="222">
        <v>116151.06</v>
      </c>
      <c r="J7462" s="222">
        <v>106275.98</v>
      </c>
      <c r="K7462" s="222">
        <v>22743.63</v>
      </c>
      <c r="L7462" s="43">
        <v>7.22792381941826</v>
      </c>
      <c r="M7462" s="43">
        <v>11.500435161009575</v>
      </c>
      <c r="N7462" s="43">
        <v>5.3716353983338605</v>
      </c>
      <c r="O7462" s="43">
        <v>5.6358051918445025</v>
      </c>
      <c r="P7462" s="223"/>
      <c r="Q7462" s="223"/>
      <c r="R7462" s="223">
        <v>13</v>
      </c>
    </row>
    <row r="7463" spans="1:18" ht="30.75" customHeight="1">
      <c r="A7463" s="628" t="s">
        <v>13728</v>
      </c>
      <c r="B7463" s="629"/>
      <c r="C7463" s="629"/>
      <c r="D7463" s="629"/>
      <c r="E7463" s="629"/>
      <c r="F7463" s="629"/>
      <c r="G7463" s="629"/>
      <c r="H7463" s="629"/>
      <c r="I7463" s="629"/>
      <c r="J7463" s="629"/>
      <c r="K7463" s="629"/>
      <c r="L7463" s="629"/>
      <c r="M7463" s="629"/>
      <c r="N7463" s="629"/>
      <c r="O7463" s="629"/>
      <c r="P7463" s="629"/>
      <c r="Q7463" s="629"/>
      <c r="R7463" s="629"/>
    </row>
    <row r="7464" spans="1:18" ht="60">
      <c r="A7464" s="219">
        <v>402</v>
      </c>
      <c r="B7464" s="216" t="s">
        <v>13729</v>
      </c>
      <c r="C7464" s="220" t="s">
        <v>13730</v>
      </c>
      <c r="D7464" s="221">
        <v>12380.77</v>
      </c>
      <c r="E7464" s="221">
        <v>3251.67</v>
      </c>
      <c r="F7464" s="221">
        <v>8970.1</v>
      </c>
      <c r="G7464" s="221">
        <v>159</v>
      </c>
      <c r="H7464" s="222">
        <v>87059.34</v>
      </c>
      <c r="I7464" s="222">
        <v>37395.620000000003</v>
      </c>
      <c r="J7464" s="222">
        <v>48415.18</v>
      </c>
      <c r="K7464" s="222">
        <v>1248.54</v>
      </c>
      <c r="L7464" s="43">
        <v>7.0318195071873557</v>
      </c>
      <c r="M7464" s="43">
        <v>11.500435161009575</v>
      </c>
      <c r="N7464" s="43">
        <v>5.3973957926890446</v>
      </c>
      <c r="O7464" s="43">
        <v>7.8524528301886791</v>
      </c>
      <c r="P7464" s="223"/>
      <c r="Q7464" s="223"/>
      <c r="R7464" s="223">
        <v>14</v>
      </c>
    </row>
    <row r="7465" spans="1:18" ht="60">
      <c r="A7465" s="219">
        <v>403</v>
      </c>
      <c r="B7465" s="216" t="s">
        <v>13731</v>
      </c>
      <c r="C7465" s="220" t="s">
        <v>13732</v>
      </c>
      <c r="D7465" s="221">
        <v>12693.9</v>
      </c>
      <c r="E7465" s="221">
        <v>3343.59</v>
      </c>
      <c r="F7465" s="221">
        <v>9131.67</v>
      </c>
      <c r="G7465" s="221">
        <v>218.64</v>
      </c>
      <c r="H7465" s="222">
        <v>89299.11</v>
      </c>
      <c r="I7465" s="222">
        <v>38452.74</v>
      </c>
      <c r="J7465" s="222">
        <v>49268.74</v>
      </c>
      <c r="K7465" s="222">
        <v>1577.63</v>
      </c>
      <c r="L7465" s="43">
        <v>7.0348049062935747</v>
      </c>
      <c r="M7465" s="43">
        <v>11.500435161009573</v>
      </c>
      <c r="N7465" s="43">
        <v>5.39537017872963</v>
      </c>
      <c r="O7465" s="43">
        <v>7.2156512989388961</v>
      </c>
      <c r="P7465" s="223"/>
      <c r="Q7465" s="223"/>
      <c r="R7465" s="223">
        <v>14</v>
      </c>
    </row>
    <row r="7466" spans="1:18" ht="60">
      <c r="A7466" s="219">
        <v>404</v>
      </c>
      <c r="B7466" s="216" t="s">
        <v>13733</v>
      </c>
      <c r="C7466" s="220" t="s">
        <v>13734</v>
      </c>
      <c r="D7466" s="221">
        <v>16247.76</v>
      </c>
      <c r="E7466" s="221">
        <v>4389.18</v>
      </c>
      <c r="F7466" s="221">
        <v>11481.83</v>
      </c>
      <c r="G7466" s="221">
        <v>376.75</v>
      </c>
      <c r="H7466" s="222">
        <v>114975.54</v>
      </c>
      <c r="I7466" s="222">
        <v>50477.48</v>
      </c>
      <c r="J7466" s="222">
        <v>61948.94</v>
      </c>
      <c r="K7466" s="222">
        <v>2549.12</v>
      </c>
      <c r="L7466" s="43">
        <v>7.0763932997533194</v>
      </c>
      <c r="M7466" s="43">
        <v>11.500435161009573</v>
      </c>
      <c r="N7466" s="43">
        <v>5.3953890625449086</v>
      </c>
      <c r="O7466" s="43">
        <v>6.7660783012607828</v>
      </c>
      <c r="P7466" s="223"/>
      <c r="Q7466" s="223"/>
      <c r="R7466" s="223">
        <v>14</v>
      </c>
    </row>
    <row r="7467" spans="1:18" ht="60">
      <c r="A7467" s="219">
        <v>405</v>
      </c>
      <c r="B7467" s="216" t="s">
        <v>13735</v>
      </c>
      <c r="C7467" s="220" t="s">
        <v>13736</v>
      </c>
      <c r="D7467" s="221">
        <v>16673.53</v>
      </c>
      <c r="E7467" s="221">
        <v>4596</v>
      </c>
      <c r="F7467" s="221">
        <v>11581.09</v>
      </c>
      <c r="G7467" s="221">
        <v>496.44</v>
      </c>
      <c r="H7467" s="222">
        <v>118540.88</v>
      </c>
      <c r="I7467" s="222">
        <v>52856</v>
      </c>
      <c r="J7467" s="222">
        <v>62472.49</v>
      </c>
      <c r="K7467" s="222">
        <v>3212.39</v>
      </c>
      <c r="L7467" s="43">
        <v>7.1095250975648234</v>
      </c>
      <c r="M7467" s="43">
        <v>11.500435161009573</v>
      </c>
      <c r="N7467" s="43">
        <v>5.3943532085494539</v>
      </c>
      <c r="O7467" s="43">
        <v>6.4708524695834342</v>
      </c>
      <c r="P7467" s="223"/>
      <c r="Q7467" s="223"/>
      <c r="R7467" s="223">
        <v>14</v>
      </c>
    </row>
    <row r="7468" spans="1:18" ht="60">
      <c r="A7468" s="219">
        <v>406</v>
      </c>
      <c r="B7468" s="216" t="s">
        <v>13737</v>
      </c>
      <c r="C7468" s="220" t="s">
        <v>13738</v>
      </c>
      <c r="D7468" s="221">
        <v>18554.3</v>
      </c>
      <c r="E7468" s="221">
        <v>5549.67</v>
      </c>
      <c r="F7468" s="221">
        <v>12215.13</v>
      </c>
      <c r="G7468" s="221">
        <v>789.5</v>
      </c>
      <c r="H7468" s="222">
        <v>134533.9</v>
      </c>
      <c r="I7468" s="222">
        <v>63823.62</v>
      </c>
      <c r="J7468" s="222">
        <v>65818.66</v>
      </c>
      <c r="K7468" s="222">
        <v>4891.62</v>
      </c>
      <c r="L7468" s="43">
        <v>7.250820564505263</v>
      </c>
      <c r="M7468" s="43">
        <v>11.500435161009573</v>
      </c>
      <c r="N7468" s="43">
        <v>5.3882897685083995</v>
      </c>
      <c r="O7468" s="43">
        <v>6.1958454718176057</v>
      </c>
      <c r="P7468" s="223"/>
      <c r="Q7468" s="223"/>
      <c r="R7468" s="223">
        <v>14</v>
      </c>
    </row>
    <row r="7469" spans="1:18" ht="60">
      <c r="A7469" s="219">
        <v>407</v>
      </c>
      <c r="B7469" s="216" t="s">
        <v>13739</v>
      </c>
      <c r="C7469" s="220" t="s">
        <v>13740</v>
      </c>
      <c r="D7469" s="221">
        <v>21896.97</v>
      </c>
      <c r="E7469" s="221">
        <v>6112.68</v>
      </c>
      <c r="F7469" s="221">
        <v>14809.28</v>
      </c>
      <c r="G7469" s="221">
        <v>975.01</v>
      </c>
      <c r="H7469" s="222">
        <v>156079.07999999999</v>
      </c>
      <c r="I7469" s="222">
        <v>70298.48</v>
      </c>
      <c r="J7469" s="222">
        <v>79831.17</v>
      </c>
      <c r="K7469" s="222">
        <v>5949.43</v>
      </c>
      <c r="L7469" s="43">
        <v>7.1278848169404254</v>
      </c>
      <c r="M7469" s="43">
        <v>11.500435161009573</v>
      </c>
      <c r="N7469" s="43">
        <v>5.3906179098511204</v>
      </c>
      <c r="O7469" s="43">
        <v>6.1019169034163756</v>
      </c>
      <c r="P7469" s="223"/>
      <c r="Q7469" s="223"/>
      <c r="R7469" s="223">
        <v>14</v>
      </c>
    </row>
    <row r="7470" spans="1:18" ht="60">
      <c r="A7470" s="219">
        <v>408</v>
      </c>
      <c r="B7470" s="216" t="s">
        <v>13741</v>
      </c>
      <c r="C7470" s="220" t="s">
        <v>13742</v>
      </c>
      <c r="D7470" s="221">
        <v>24410.49</v>
      </c>
      <c r="E7470" s="221">
        <v>6652.71</v>
      </c>
      <c r="F7470" s="221">
        <v>16410.599999999999</v>
      </c>
      <c r="G7470" s="221">
        <v>1347.18</v>
      </c>
      <c r="H7470" s="222">
        <v>172923.91</v>
      </c>
      <c r="I7470" s="222">
        <v>76509.06</v>
      </c>
      <c r="J7470" s="222">
        <v>88415.84</v>
      </c>
      <c r="K7470" s="222">
        <v>7999.01</v>
      </c>
      <c r="L7470" s="43">
        <v>7.0839999524794459</v>
      </c>
      <c r="M7470" s="43">
        <v>11.500435161009573</v>
      </c>
      <c r="N7470" s="43">
        <v>5.3877274444566323</v>
      </c>
      <c r="O7470" s="43">
        <v>5.9375955700054925</v>
      </c>
      <c r="P7470" s="223"/>
      <c r="Q7470" s="223"/>
      <c r="R7470" s="223">
        <v>14</v>
      </c>
    </row>
    <row r="7471" spans="1:18" ht="60">
      <c r="A7471" s="219">
        <v>409</v>
      </c>
      <c r="B7471" s="216" t="s">
        <v>13743</v>
      </c>
      <c r="C7471" s="220" t="s">
        <v>13744</v>
      </c>
      <c r="D7471" s="221">
        <v>27507.22</v>
      </c>
      <c r="E7471" s="221">
        <v>7962.57</v>
      </c>
      <c r="F7471" s="221">
        <v>17202.009999999998</v>
      </c>
      <c r="G7471" s="221">
        <v>2342.64</v>
      </c>
      <c r="H7471" s="222">
        <v>197618.9</v>
      </c>
      <c r="I7471" s="222">
        <v>91573.02</v>
      </c>
      <c r="J7471" s="222">
        <v>92581.41</v>
      </c>
      <c r="K7471" s="222">
        <v>13464.47</v>
      </c>
      <c r="L7471" s="43">
        <v>7.1842556245233062</v>
      </c>
      <c r="M7471" s="43">
        <v>11.500435161009575</v>
      </c>
      <c r="N7471" s="43">
        <v>5.3820111719502552</v>
      </c>
      <c r="O7471" s="43">
        <v>5.7475625789707339</v>
      </c>
      <c r="P7471" s="223"/>
      <c r="Q7471" s="223"/>
      <c r="R7471" s="223">
        <v>14</v>
      </c>
    </row>
    <row r="7472" spans="1:18" ht="60">
      <c r="A7472" s="219">
        <v>410</v>
      </c>
      <c r="B7472" s="216" t="s">
        <v>13745</v>
      </c>
      <c r="C7472" s="220" t="s">
        <v>13746</v>
      </c>
      <c r="D7472" s="221">
        <v>30114.16</v>
      </c>
      <c r="E7472" s="221">
        <v>8789.85</v>
      </c>
      <c r="F7472" s="221">
        <v>17721.86</v>
      </c>
      <c r="G7472" s="221">
        <v>3602.45</v>
      </c>
      <c r="H7472" s="222">
        <v>216664.36</v>
      </c>
      <c r="I7472" s="222">
        <v>101087.1</v>
      </c>
      <c r="J7472" s="222">
        <v>95298.4</v>
      </c>
      <c r="K7472" s="222">
        <v>20278.86</v>
      </c>
      <c r="L7472" s="43">
        <v>7.19476684722403</v>
      </c>
      <c r="M7472" s="43">
        <v>11.500435161009573</v>
      </c>
      <c r="N7472" s="43">
        <v>5.3774490939438628</v>
      </c>
      <c r="O7472" s="43">
        <v>5.6291856930699948</v>
      </c>
      <c r="P7472" s="223"/>
      <c r="Q7472" s="223"/>
      <c r="R7472" s="223">
        <v>14</v>
      </c>
    </row>
    <row r="7473" spans="1:18" ht="60">
      <c r="A7473" s="219">
        <v>411</v>
      </c>
      <c r="B7473" s="216" t="s">
        <v>13747</v>
      </c>
      <c r="C7473" s="220" t="s">
        <v>13748</v>
      </c>
      <c r="D7473" s="221">
        <v>32778.269999999997</v>
      </c>
      <c r="E7473" s="221">
        <v>9732.0300000000007</v>
      </c>
      <c r="F7473" s="221">
        <v>18367.07</v>
      </c>
      <c r="G7473" s="221">
        <v>4679.17</v>
      </c>
      <c r="H7473" s="222">
        <v>236724.3</v>
      </c>
      <c r="I7473" s="222">
        <v>111922.58</v>
      </c>
      <c r="J7473" s="222">
        <v>98670.12</v>
      </c>
      <c r="K7473" s="222">
        <v>26131.599999999999</v>
      </c>
      <c r="L7473" s="43">
        <v>7.2219888358964646</v>
      </c>
      <c r="M7473" s="43">
        <v>11.500435161009573</v>
      </c>
      <c r="N7473" s="43">
        <v>5.3721208663112838</v>
      </c>
      <c r="O7473" s="43">
        <v>5.5846656565160053</v>
      </c>
      <c r="P7473" s="223"/>
      <c r="Q7473" s="223"/>
      <c r="R7473" s="223">
        <v>14</v>
      </c>
    </row>
    <row r="7474" spans="1:18" ht="60">
      <c r="A7474" s="219">
        <v>412</v>
      </c>
      <c r="B7474" s="216" t="s">
        <v>13749</v>
      </c>
      <c r="C7474" s="220" t="s">
        <v>13750</v>
      </c>
      <c r="D7474" s="221">
        <v>34427.86</v>
      </c>
      <c r="E7474" s="221">
        <v>10168.65</v>
      </c>
      <c r="F7474" s="221">
        <v>18638.240000000002</v>
      </c>
      <c r="G7474" s="221">
        <v>5620.97</v>
      </c>
      <c r="H7474" s="222">
        <v>248229.15</v>
      </c>
      <c r="I7474" s="222">
        <v>116943.9</v>
      </c>
      <c r="J7474" s="222">
        <v>100080.89</v>
      </c>
      <c r="K7474" s="222">
        <v>31204.36</v>
      </c>
      <c r="L7474" s="43">
        <v>7.2101243004938436</v>
      </c>
      <c r="M7474" s="43">
        <v>11.500435161009573</v>
      </c>
      <c r="N7474" s="43">
        <v>5.3696534651340464</v>
      </c>
      <c r="O7474" s="43">
        <v>5.5514190611229024</v>
      </c>
      <c r="P7474" s="223"/>
      <c r="Q7474" s="223"/>
      <c r="R7474" s="223">
        <v>14</v>
      </c>
    </row>
    <row r="7475" spans="1:18" ht="60">
      <c r="A7475" s="219">
        <v>413</v>
      </c>
      <c r="B7475" s="216" t="s">
        <v>13751</v>
      </c>
      <c r="C7475" s="220" t="s">
        <v>13752</v>
      </c>
      <c r="D7475" s="221">
        <v>39262.910000000003</v>
      </c>
      <c r="E7475" s="221">
        <v>11742.78</v>
      </c>
      <c r="F7475" s="221">
        <v>20939.599999999999</v>
      </c>
      <c r="G7475" s="221">
        <v>6580.53</v>
      </c>
      <c r="H7475" s="222">
        <v>283911.07</v>
      </c>
      <c r="I7475" s="222">
        <v>135047.07999999999</v>
      </c>
      <c r="J7475" s="222">
        <v>112355.26</v>
      </c>
      <c r="K7475" s="222">
        <v>36508.730000000003</v>
      </c>
      <c r="L7475" s="43">
        <v>7.2310246489625953</v>
      </c>
      <c r="M7475" s="43">
        <v>11.500435161009571</v>
      </c>
      <c r="N7475" s="43">
        <v>5.3656832031175385</v>
      </c>
      <c r="O7475" s="43">
        <v>5.5479923349639018</v>
      </c>
      <c r="P7475" s="223"/>
      <c r="Q7475" s="223"/>
      <c r="R7475" s="223">
        <v>14</v>
      </c>
    </row>
    <row r="7476" spans="1:18" ht="30" customHeight="1">
      <c r="A7476" s="628" t="s">
        <v>13753</v>
      </c>
      <c r="B7476" s="629"/>
      <c r="C7476" s="629"/>
      <c r="D7476" s="629"/>
      <c r="E7476" s="629"/>
      <c r="F7476" s="629"/>
      <c r="G7476" s="629"/>
      <c r="H7476" s="629"/>
      <c r="I7476" s="629"/>
      <c r="J7476" s="629"/>
      <c r="K7476" s="629"/>
      <c r="L7476" s="629"/>
      <c r="M7476" s="629"/>
      <c r="N7476" s="629"/>
      <c r="O7476" s="629"/>
      <c r="P7476" s="629"/>
      <c r="Q7476" s="629"/>
      <c r="R7476" s="629"/>
    </row>
    <row r="7477" spans="1:18" ht="60">
      <c r="A7477" s="219">
        <v>414</v>
      </c>
      <c r="B7477" s="216" t="s">
        <v>13754</v>
      </c>
      <c r="C7477" s="220" t="s">
        <v>13755</v>
      </c>
      <c r="D7477" s="221">
        <v>4390.03</v>
      </c>
      <c r="E7477" s="221">
        <v>1086.95</v>
      </c>
      <c r="F7477" s="221">
        <v>3261.99</v>
      </c>
      <c r="G7477" s="221">
        <v>41.09</v>
      </c>
      <c r="H7477" s="222">
        <v>30730.13</v>
      </c>
      <c r="I7477" s="222">
        <v>12500.44</v>
      </c>
      <c r="J7477" s="222">
        <v>17877.21</v>
      </c>
      <c r="K7477" s="222">
        <v>352.48</v>
      </c>
      <c r="L7477" s="43">
        <v>6.999981776889908</v>
      </c>
      <c r="M7477" s="43">
        <v>11.500473802842818</v>
      </c>
      <c r="N7477" s="43">
        <v>5.4804613134926843</v>
      </c>
      <c r="O7477" s="43">
        <v>8.5782428814796781</v>
      </c>
      <c r="P7477" s="223"/>
      <c r="Q7477" s="223"/>
      <c r="R7477" s="223">
        <v>15</v>
      </c>
    </row>
    <row r="7478" spans="1:18" ht="60">
      <c r="A7478" s="219">
        <v>415</v>
      </c>
      <c r="B7478" s="216" t="s">
        <v>13756</v>
      </c>
      <c r="C7478" s="220" t="s">
        <v>13757</v>
      </c>
      <c r="D7478" s="221">
        <v>4416.17</v>
      </c>
      <c r="E7478" s="221">
        <v>1086.95</v>
      </c>
      <c r="F7478" s="221">
        <v>3279.75</v>
      </c>
      <c r="G7478" s="221">
        <v>49.47</v>
      </c>
      <c r="H7478" s="222">
        <v>30874.93</v>
      </c>
      <c r="I7478" s="222">
        <v>12500.44</v>
      </c>
      <c r="J7478" s="222">
        <v>17977.939999999999</v>
      </c>
      <c r="K7478" s="222">
        <v>396.55</v>
      </c>
      <c r="L7478" s="43">
        <v>6.9913363842424543</v>
      </c>
      <c r="M7478" s="43">
        <v>11.500473802842818</v>
      </c>
      <c r="N7478" s="43">
        <v>5.4814970653251009</v>
      </c>
      <c r="O7478" s="43">
        <v>8.0159692743076612</v>
      </c>
      <c r="P7478" s="223"/>
      <c r="Q7478" s="223"/>
      <c r="R7478" s="223">
        <v>15</v>
      </c>
    </row>
    <row r="7479" spans="1:18" ht="60">
      <c r="A7479" s="219">
        <v>416</v>
      </c>
      <c r="B7479" s="216" t="s">
        <v>13758</v>
      </c>
      <c r="C7479" s="220" t="s">
        <v>13759</v>
      </c>
      <c r="D7479" s="221">
        <v>5313.25</v>
      </c>
      <c r="E7479" s="221">
        <v>1413.27</v>
      </c>
      <c r="F7479" s="221">
        <v>3828.11</v>
      </c>
      <c r="G7479" s="221">
        <v>71.87</v>
      </c>
      <c r="H7479" s="222">
        <v>37828.699999999997</v>
      </c>
      <c r="I7479" s="222">
        <v>16253.22</v>
      </c>
      <c r="J7479" s="222">
        <v>21021.19</v>
      </c>
      <c r="K7479" s="222">
        <v>554.29</v>
      </c>
      <c r="L7479" s="43">
        <v>7.1196913376935012</v>
      </c>
      <c r="M7479" s="43">
        <v>11.500435161009573</v>
      </c>
      <c r="N7479" s="43">
        <v>5.4912711494706263</v>
      </c>
      <c r="O7479" s="43">
        <v>7.712397384165854</v>
      </c>
      <c r="P7479" s="223"/>
      <c r="Q7479" s="223"/>
      <c r="R7479" s="223">
        <v>15</v>
      </c>
    </row>
    <row r="7480" spans="1:18" ht="60">
      <c r="A7480" s="219">
        <v>417</v>
      </c>
      <c r="B7480" s="216" t="s">
        <v>13760</v>
      </c>
      <c r="C7480" s="220" t="s">
        <v>13761</v>
      </c>
      <c r="D7480" s="221">
        <v>5393.78</v>
      </c>
      <c r="E7480" s="221">
        <v>1424.76</v>
      </c>
      <c r="F7480" s="221">
        <v>3873.87</v>
      </c>
      <c r="G7480" s="221">
        <v>95.15</v>
      </c>
      <c r="H7480" s="222">
        <v>38337.370000000003</v>
      </c>
      <c r="I7480" s="222">
        <v>16385.36</v>
      </c>
      <c r="J7480" s="222">
        <v>21273.21</v>
      </c>
      <c r="K7480" s="222">
        <v>678.8</v>
      </c>
      <c r="L7480" s="43">
        <v>7.1076999803477348</v>
      </c>
      <c r="M7480" s="43">
        <v>11.500435161009573</v>
      </c>
      <c r="N7480" s="43">
        <v>5.4914620263457472</v>
      </c>
      <c r="O7480" s="43">
        <v>7.1339989490278501</v>
      </c>
      <c r="P7480" s="223"/>
      <c r="Q7480" s="223"/>
      <c r="R7480" s="223">
        <v>15</v>
      </c>
    </row>
    <row r="7481" spans="1:18" ht="60">
      <c r="A7481" s="219">
        <v>418</v>
      </c>
      <c r="B7481" s="216" t="s">
        <v>13762</v>
      </c>
      <c r="C7481" s="220" t="s">
        <v>13763</v>
      </c>
      <c r="D7481" s="221">
        <v>5553.03</v>
      </c>
      <c r="E7481" s="221">
        <v>1459.23</v>
      </c>
      <c r="F7481" s="221">
        <v>3936.28</v>
      </c>
      <c r="G7481" s="221">
        <v>157.52000000000001</v>
      </c>
      <c r="H7481" s="222">
        <v>39419.879999999997</v>
      </c>
      <c r="I7481" s="222">
        <v>16781.78</v>
      </c>
      <c r="J7481" s="222">
        <v>21619.87</v>
      </c>
      <c r="K7481" s="222">
        <v>1018.23</v>
      </c>
      <c r="L7481" s="43">
        <v>7.0988055169880226</v>
      </c>
      <c r="M7481" s="43">
        <v>11.500435161009573</v>
      </c>
      <c r="N7481" s="43">
        <v>5.4924624264534021</v>
      </c>
      <c r="O7481" s="43">
        <v>6.4641315388522091</v>
      </c>
      <c r="P7481" s="223"/>
      <c r="Q7481" s="223"/>
      <c r="R7481" s="223">
        <v>15</v>
      </c>
    </row>
    <row r="7482" spans="1:18" ht="60">
      <c r="A7482" s="219">
        <v>419</v>
      </c>
      <c r="B7482" s="216" t="s">
        <v>13764</v>
      </c>
      <c r="C7482" s="220" t="s">
        <v>13765</v>
      </c>
      <c r="D7482" s="221">
        <v>6498.3</v>
      </c>
      <c r="E7482" s="221">
        <v>1608.6</v>
      </c>
      <c r="F7482" s="221">
        <v>4716.3900000000003</v>
      </c>
      <c r="G7482" s="221">
        <v>173.31</v>
      </c>
      <c r="H7482" s="222">
        <v>45512.29</v>
      </c>
      <c r="I7482" s="222">
        <v>18499.599999999999</v>
      </c>
      <c r="J7482" s="222">
        <v>25895.97</v>
      </c>
      <c r="K7482" s="222">
        <v>1116.72</v>
      </c>
      <c r="L7482" s="43">
        <v>7.0037225120416107</v>
      </c>
      <c r="M7482" s="43">
        <v>11.500435161009573</v>
      </c>
      <c r="N7482" s="43">
        <v>5.4906337262185696</v>
      </c>
      <c r="O7482" s="43">
        <v>6.4434827765276097</v>
      </c>
      <c r="P7482" s="223"/>
      <c r="Q7482" s="223"/>
      <c r="R7482" s="223">
        <v>15</v>
      </c>
    </row>
    <row r="7483" spans="1:18" ht="60">
      <c r="A7483" s="219">
        <v>420</v>
      </c>
      <c r="B7483" s="216" t="s">
        <v>13766</v>
      </c>
      <c r="C7483" s="220" t="s">
        <v>13767</v>
      </c>
      <c r="D7483" s="221">
        <v>7116.61</v>
      </c>
      <c r="E7483" s="221">
        <v>1746.48</v>
      </c>
      <c r="F7483" s="221">
        <v>5165.88</v>
      </c>
      <c r="G7483" s="221">
        <v>204.25</v>
      </c>
      <c r="H7483" s="222">
        <v>49815.97</v>
      </c>
      <c r="I7483" s="222">
        <v>20085.28</v>
      </c>
      <c r="J7483" s="222">
        <v>28406.67</v>
      </c>
      <c r="K7483" s="222">
        <v>1324.02</v>
      </c>
      <c r="L7483" s="43">
        <v>6.9999578450975966</v>
      </c>
      <c r="M7483" s="43">
        <v>11.500435161009573</v>
      </c>
      <c r="N7483" s="43">
        <v>5.4989024135287687</v>
      </c>
      <c r="O7483" s="43">
        <v>6.4823500611995106</v>
      </c>
      <c r="P7483" s="223"/>
      <c r="Q7483" s="223"/>
      <c r="R7483" s="223">
        <v>15</v>
      </c>
    </row>
    <row r="7484" spans="1:18" ht="60">
      <c r="A7484" s="219">
        <v>421</v>
      </c>
      <c r="B7484" s="216" t="s">
        <v>13768</v>
      </c>
      <c r="C7484" s="220" t="s">
        <v>13769</v>
      </c>
      <c r="D7484" s="221">
        <v>8438.69</v>
      </c>
      <c r="E7484" s="221">
        <v>1953.3</v>
      </c>
      <c r="F7484" s="221">
        <v>5886.89</v>
      </c>
      <c r="G7484" s="221">
        <v>598.5</v>
      </c>
      <c r="H7484" s="222">
        <v>58347.91</v>
      </c>
      <c r="I7484" s="222">
        <v>22463.8</v>
      </c>
      <c r="J7484" s="222">
        <v>32385.78</v>
      </c>
      <c r="K7484" s="222">
        <v>3498.33</v>
      </c>
      <c r="L7484" s="43">
        <v>6.9143326748583016</v>
      </c>
      <c r="M7484" s="43">
        <v>11.500435161009573</v>
      </c>
      <c r="N7484" s="43">
        <v>5.5013394169077383</v>
      </c>
      <c r="O7484" s="43">
        <v>5.8451629072681701</v>
      </c>
      <c r="P7484" s="223"/>
      <c r="Q7484" s="223"/>
      <c r="R7484" s="223">
        <v>15</v>
      </c>
    </row>
    <row r="7485" spans="1:18" ht="60">
      <c r="A7485" s="219">
        <v>422</v>
      </c>
      <c r="B7485" s="216" t="s">
        <v>13770</v>
      </c>
      <c r="C7485" s="220" t="s">
        <v>13771</v>
      </c>
      <c r="D7485" s="221">
        <v>9217.89</v>
      </c>
      <c r="E7485" s="221">
        <v>2137.14</v>
      </c>
      <c r="F7485" s="221">
        <v>6110.97</v>
      </c>
      <c r="G7485" s="221">
        <v>969.78</v>
      </c>
      <c r="H7485" s="222">
        <v>63729.39</v>
      </c>
      <c r="I7485" s="222">
        <v>24578.04</v>
      </c>
      <c r="J7485" s="222">
        <v>33624.699999999997</v>
      </c>
      <c r="K7485" s="222">
        <v>5526.65</v>
      </c>
      <c r="L7485" s="43">
        <v>6.9136635390528642</v>
      </c>
      <c r="M7485" s="43">
        <v>11.500435161009575</v>
      </c>
      <c r="N7485" s="43">
        <v>5.5023506906432198</v>
      </c>
      <c r="O7485" s="43">
        <v>5.6988698467693704</v>
      </c>
      <c r="P7485" s="223"/>
      <c r="Q7485" s="223"/>
      <c r="R7485" s="223">
        <v>15</v>
      </c>
    </row>
    <row r="7486" spans="1:18" ht="60">
      <c r="A7486" s="219">
        <v>423</v>
      </c>
      <c r="B7486" s="216" t="s">
        <v>13772</v>
      </c>
      <c r="C7486" s="220" t="s">
        <v>13773</v>
      </c>
      <c r="D7486" s="221">
        <v>10024.16</v>
      </c>
      <c r="E7486" s="221">
        <v>2320.98</v>
      </c>
      <c r="F7486" s="221">
        <v>6465.26</v>
      </c>
      <c r="G7486" s="221">
        <v>1237.92</v>
      </c>
      <c r="H7486" s="222">
        <v>69272.05</v>
      </c>
      <c r="I7486" s="222">
        <v>26692.28</v>
      </c>
      <c r="J7486" s="222">
        <v>35575.050000000003</v>
      </c>
      <c r="K7486" s="222">
        <v>7004.72</v>
      </c>
      <c r="L7486" s="43">
        <v>6.9105092097492467</v>
      </c>
      <c r="M7486" s="43">
        <v>11.500435161009573</v>
      </c>
      <c r="N7486" s="43">
        <v>5.5024933258677917</v>
      </c>
      <c r="O7486" s="43">
        <v>5.6584593511697037</v>
      </c>
      <c r="P7486" s="223"/>
      <c r="Q7486" s="223"/>
      <c r="R7486" s="223">
        <v>15</v>
      </c>
    </row>
    <row r="7487" spans="1:18" ht="28.5" customHeight="1">
      <c r="A7487" s="628" t="s">
        <v>13774</v>
      </c>
      <c r="B7487" s="629"/>
      <c r="C7487" s="629"/>
      <c r="D7487" s="629"/>
      <c r="E7487" s="629"/>
      <c r="F7487" s="629"/>
      <c r="G7487" s="629"/>
      <c r="H7487" s="629"/>
      <c r="I7487" s="629"/>
      <c r="J7487" s="629"/>
      <c r="K7487" s="629"/>
      <c r="L7487" s="629"/>
      <c r="M7487" s="629"/>
      <c r="N7487" s="629"/>
      <c r="O7487" s="629"/>
      <c r="P7487" s="629"/>
      <c r="Q7487" s="629"/>
      <c r="R7487" s="629"/>
    </row>
    <row r="7488" spans="1:18" ht="60">
      <c r="A7488" s="219">
        <v>424</v>
      </c>
      <c r="B7488" s="216" t="s">
        <v>13775</v>
      </c>
      <c r="C7488" s="220" t="s">
        <v>13776</v>
      </c>
      <c r="D7488" s="221">
        <v>4627.88</v>
      </c>
      <c r="E7488" s="221">
        <v>1111.08</v>
      </c>
      <c r="F7488" s="221">
        <v>3469.81</v>
      </c>
      <c r="G7488" s="221">
        <v>46.99</v>
      </c>
      <c r="H7488" s="222">
        <v>32167.38</v>
      </c>
      <c r="I7488" s="222">
        <v>12777.94</v>
      </c>
      <c r="J7488" s="222">
        <v>19002.86</v>
      </c>
      <c r="K7488" s="222">
        <v>386.58</v>
      </c>
      <c r="L7488" s="43">
        <v>6.9507809191249557</v>
      </c>
      <c r="M7488" s="43">
        <v>11.500468013104369</v>
      </c>
      <c r="N7488" s="43">
        <v>5.4766284032843302</v>
      </c>
      <c r="O7488" s="43">
        <v>8.2268567780378792</v>
      </c>
      <c r="P7488" s="223"/>
      <c r="Q7488" s="223"/>
      <c r="R7488" s="223">
        <v>16</v>
      </c>
    </row>
    <row r="7489" spans="1:18" ht="60">
      <c r="A7489" s="219">
        <v>425</v>
      </c>
      <c r="B7489" s="216" t="s">
        <v>13777</v>
      </c>
      <c r="C7489" s="220" t="s">
        <v>13778</v>
      </c>
      <c r="D7489" s="221">
        <v>4654.1499999999996</v>
      </c>
      <c r="E7489" s="221">
        <v>1111.08</v>
      </c>
      <c r="F7489" s="221">
        <v>3487.57</v>
      </c>
      <c r="G7489" s="221">
        <v>55.5</v>
      </c>
      <c r="H7489" s="222">
        <v>32311.83</v>
      </c>
      <c r="I7489" s="222">
        <v>12777.94</v>
      </c>
      <c r="J7489" s="222">
        <v>19103.580000000002</v>
      </c>
      <c r="K7489" s="222">
        <v>430.31</v>
      </c>
      <c r="L7489" s="43">
        <v>6.9425845750566708</v>
      </c>
      <c r="M7489" s="43">
        <v>11.500468013104369</v>
      </c>
      <c r="N7489" s="43">
        <v>5.4776190872154542</v>
      </c>
      <c r="O7489" s="43">
        <v>7.753333333333333</v>
      </c>
      <c r="P7489" s="223"/>
      <c r="Q7489" s="223"/>
      <c r="R7489" s="223">
        <v>16</v>
      </c>
    </row>
    <row r="7490" spans="1:18" ht="60">
      <c r="A7490" s="219">
        <v>426</v>
      </c>
      <c r="B7490" s="216" t="s">
        <v>13779</v>
      </c>
      <c r="C7490" s="220" t="s">
        <v>13780</v>
      </c>
      <c r="D7490" s="221">
        <v>5668.35</v>
      </c>
      <c r="E7490" s="221">
        <v>1447.74</v>
      </c>
      <c r="F7490" s="221">
        <v>4129.33</v>
      </c>
      <c r="G7490" s="221">
        <v>91.28</v>
      </c>
      <c r="H7490" s="222">
        <v>39961.31</v>
      </c>
      <c r="I7490" s="222">
        <v>16649.64</v>
      </c>
      <c r="J7490" s="222">
        <v>22649.73</v>
      </c>
      <c r="K7490" s="222">
        <v>661.94</v>
      </c>
      <c r="L7490" s="43">
        <v>7.0499016468637246</v>
      </c>
      <c r="M7490" s="43">
        <v>11.500435161009573</v>
      </c>
      <c r="N7490" s="43">
        <v>5.4850859582547287</v>
      </c>
      <c r="O7490" s="43">
        <v>7.251752848378616</v>
      </c>
      <c r="P7490" s="223"/>
      <c r="Q7490" s="223"/>
      <c r="R7490" s="223">
        <v>16</v>
      </c>
    </row>
    <row r="7491" spans="1:18" ht="60">
      <c r="A7491" s="219">
        <v>427</v>
      </c>
      <c r="B7491" s="216" t="s">
        <v>13781</v>
      </c>
      <c r="C7491" s="220" t="s">
        <v>13782</v>
      </c>
      <c r="D7491" s="221">
        <v>5805.32</v>
      </c>
      <c r="E7491" s="221">
        <v>1459.23</v>
      </c>
      <c r="F7491" s="221">
        <v>4240.1899999999996</v>
      </c>
      <c r="G7491" s="221">
        <v>105.9</v>
      </c>
      <c r="H7491" s="222">
        <v>40773.24</v>
      </c>
      <c r="I7491" s="222">
        <v>16781.78</v>
      </c>
      <c r="J7491" s="222">
        <v>23252.93</v>
      </c>
      <c r="K7491" s="222">
        <v>738.53</v>
      </c>
      <c r="L7491" s="43">
        <v>7.0234267878428751</v>
      </c>
      <c r="M7491" s="43">
        <v>11.500435161009573</v>
      </c>
      <c r="N7491" s="43">
        <v>5.4839358613647038</v>
      </c>
      <c r="O7491" s="43">
        <v>6.9738432483474968</v>
      </c>
      <c r="P7491" s="223"/>
      <c r="Q7491" s="223"/>
      <c r="R7491" s="223">
        <v>16</v>
      </c>
    </row>
    <row r="7492" spans="1:18" ht="60">
      <c r="A7492" s="219">
        <v>428</v>
      </c>
      <c r="B7492" s="216" t="s">
        <v>13783</v>
      </c>
      <c r="C7492" s="220" t="s">
        <v>13784</v>
      </c>
      <c r="D7492" s="221">
        <v>6076.12</v>
      </c>
      <c r="E7492" s="221">
        <v>1539.66</v>
      </c>
      <c r="F7492" s="221">
        <v>4377.08</v>
      </c>
      <c r="G7492" s="221">
        <v>159.38</v>
      </c>
      <c r="H7492" s="222">
        <v>42747.71</v>
      </c>
      <c r="I7492" s="222">
        <v>17706.759999999998</v>
      </c>
      <c r="J7492" s="222">
        <v>24003.360000000001</v>
      </c>
      <c r="K7492" s="222">
        <v>1037.5899999999999</v>
      </c>
      <c r="L7492" s="43">
        <v>7.0353630277216386</v>
      </c>
      <c r="M7492" s="43">
        <v>11.500435161009571</v>
      </c>
      <c r="N7492" s="43">
        <v>5.4838750948120669</v>
      </c>
      <c r="O7492" s="43">
        <v>6.5101643869996231</v>
      </c>
      <c r="P7492" s="223"/>
      <c r="Q7492" s="223"/>
      <c r="R7492" s="223">
        <v>16</v>
      </c>
    </row>
    <row r="7493" spans="1:18" ht="60">
      <c r="A7493" s="219">
        <v>429</v>
      </c>
      <c r="B7493" s="216" t="s">
        <v>13785</v>
      </c>
      <c r="C7493" s="220" t="s">
        <v>13786</v>
      </c>
      <c r="D7493" s="221">
        <v>6994.56</v>
      </c>
      <c r="E7493" s="221">
        <v>1723.5</v>
      </c>
      <c r="F7493" s="221">
        <v>5095.45</v>
      </c>
      <c r="G7493" s="221">
        <v>175.61</v>
      </c>
      <c r="H7493" s="222">
        <v>48917.32</v>
      </c>
      <c r="I7493" s="222">
        <v>19821</v>
      </c>
      <c r="J7493" s="222">
        <v>27953.15</v>
      </c>
      <c r="K7493" s="222">
        <v>1143.17</v>
      </c>
      <c r="L7493" s="43">
        <v>6.9936236160673433</v>
      </c>
      <c r="M7493" s="43">
        <v>11.500435161009573</v>
      </c>
      <c r="N7493" s="43">
        <v>5.485904090904631</v>
      </c>
      <c r="O7493" s="43">
        <v>6.5097090142930361</v>
      </c>
      <c r="P7493" s="223"/>
      <c r="Q7493" s="223"/>
      <c r="R7493" s="223">
        <v>16</v>
      </c>
    </row>
    <row r="7494" spans="1:18" ht="60">
      <c r="A7494" s="219">
        <v>430</v>
      </c>
      <c r="B7494" s="216" t="s">
        <v>13787</v>
      </c>
      <c r="C7494" s="220" t="s">
        <v>13788</v>
      </c>
      <c r="D7494" s="221">
        <v>7615.51</v>
      </c>
      <c r="E7494" s="221">
        <v>1884.36</v>
      </c>
      <c r="F7494" s="221">
        <v>5522.86</v>
      </c>
      <c r="G7494" s="221">
        <v>208.29</v>
      </c>
      <c r="H7494" s="222">
        <v>53412.26</v>
      </c>
      <c r="I7494" s="222">
        <v>21670.959999999999</v>
      </c>
      <c r="J7494" s="222">
        <v>30382.3</v>
      </c>
      <c r="K7494" s="222">
        <v>1359</v>
      </c>
      <c r="L7494" s="43">
        <v>7.013615634409252</v>
      </c>
      <c r="M7494" s="43">
        <v>11.500435161009573</v>
      </c>
      <c r="N7494" s="43">
        <v>5.501189601040041</v>
      </c>
      <c r="O7494" s="43">
        <v>6.5245571078784392</v>
      </c>
      <c r="P7494" s="223"/>
      <c r="Q7494" s="223"/>
      <c r="R7494" s="223">
        <v>16</v>
      </c>
    </row>
    <row r="7495" spans="1:18" ht="60">
      <c r="A7495" s="219">
        <v>431</v>
      </c>
      <c r="B7495" s="216" t="s">
        <v>13789</v>
      </c>
      <c r="C7495" s="220" t="s">
        <v>13790</v>
      </c>
      <c r="D7495" s="221">
        <v>9153.4500000000007</v>
      </c>
      <c r="E7495" s="221">
        <v>2389.92</v>
      </c>
      <c r="F7495" s="221">
        <v>6156.3</v>
      </c>
      <c r="G7495" s="221">
        <v>607.23</v>
      </c>
      <c r="H7495" s="222">
        <v>64975.44</v>
      </c>
      <c r="I7495" s="222">
        <v>27485.119999999999</v>
      </c>
      <c r="J7495" s="222">
        <v>33891.599999999999</v>
      </c>
      <c r="K7495" s="222">
        <v>3598.72</v>
      </c>
      <c r="L7495" s="43">
        <v>7.0984645133802005</v>
      </c>
      <c r="M7495" s="43">
        <v>11.500435161009573</v>
      </c>
      <c r="N7495" s="43">
        <v>5.5051898055650303</v>
      </c>
      <c r="O7495" s="43">
        <v>5.9264529091118678</v>
      </c>
      <c r="P7495" s="223"/>
      <c r="Q7495" s="223"/>
      <c r="R7495" s="223">
        <v>16</v>
      </c>
    </row>
    <row r="7496" spans="1:18" ht="60">
      <c r="A7496" s="219">
        <v>432</v>
      </c>
      <c r="B7496" s="216" t="s">
        <v>13791</v>
      </c>
      <c r="C7496" s="220" t="s">
        <v>13792</v>
      </c>
      <c r="D7496" s="221">
        <v>10107.450000000001</v>
      </c>
      <c r="E7496" s="221">
        <v>2688.66</v>
      </c>
      <c r="F7496" s="221">
        <v>6381.61</v>
      </c>
      <c r="G7496" s="221">
        <v>1037.18</v>
      </c>
      <c r="H7496" s="222">
        <v>72111.490000000005</v>
      </c>
      <c r="I7496" s="222">
        <v>30920.76</v>
      </c>
      <c r="J7496" s="222">
        <v>35142.82</v>
      </c>
      <c r="K7496" s="222">
        <v>6047.91</v>
      </c>
      <c r="L7496" s="43">
        <v>7.1344889165912271</v>
      </c>
      <c r="M7496" s="43">
        <v>11.500435161009573</v>
      </c>
      <c r="N7496" s="43">
        <v>5.5068893273014181</v>
      </c>
      <c r="O7496" s="43">
        <v>5.8311093542104544</v>
      </c>
      <c r="P7496" s="223"/>
      <c r="Q7496" s="223"/>
      <c r="R7496" s="223">
        <v>16</v>
      </c>
    </row>
    <row r="7497" spans="1:18" ht="60">
      <c r="A7497" s="219">
        <v>433</v>
      </c>
      <c r="B7497" s="216" t="s">
        <v>13793</v>
      </c>
      <c r="C7497" s="220" t="s">
        <v>13794</v>
      </c>
      <c r="D7497" s="221">
        <v>11055.65</v>
      </c>
      <c r="E7497" s="221">
        <v>3044.85</v>
      </c>
      <c r="F7497" s="221">
        <v>6758.4</v>
      </c>
      <c r="G7497" s="221">
        <v>1252.4000000000001</v>
      </c>
      <c r="H7497" s="222">
        <v>79387.990000000005</v>
      </c>
      <c r="I7497" s="222">
        <v>35017.1</v>
      </c>
      <c r="J7497" s="222">
        <v>37199.65</v>
      </c>
      <c r="K7497" s="222">
        <v>7171.24</v>
      </c>
      <c r="L7497" s="43">
        <v>7.1807618728885236</v>
      </c>
      <c r="M7497" s="43">
        <v>11.500435161009573</v>
      </c>
      <c r="N7497" s="43">
        <v>5.5042095762310614</v>
      </c>
      <c r="O7497" s="43">
        <v>5.7259980836793352</v>
      </c>
      <c r="P7497" s="223"/>
      <c r="Q7497" s="223"/>
      <c r="R7497" s="223">
        <v>16</v>
      </c>
    </row>
    <row r="7498" spans="1:18" ht="28.5" customHeight="1">
      <c r="A7498" s="628" t="s">
        <v>13795</v>
      </c>
      <c r="B7498" s="629"/>
      <c r="C7498" s="629"/>
      <c r="D7498" s="629"/>
      <c r="E7498" s="629"/>
      <c r="F7498" s="629"/>
      <c r="G7498" s="629"/>
      <c r="H7498" s="629"/>
      <c r="I7498" s="629"/>
      <c r="J7498" s="629"/>
      <c r="K7498" s="629"/>
      <c r="L7498" s="629"/>
      <c r="M7498" s="629"/>
      <c r="N7498" s="629"/>
      <c r="O7498" s="629"/>
      <c r="P7498" s="629"/>
      <c r="Q7498" s="629"/>
      <c r="R7498" s="629"/>
    </row>
    <row r="7499" spans="1:18" ht="60">
      <c r="A7499" s="219">
        <v>434</v>
      </c>
      <c r="B7499" s="216" t="s">
        <v>13796</v>
      </c>
      <c r="C7499" s="220" t="s">
        <v>13797</v>
      </c>
      <c r="D7499" s="221">
        <v>4895.83</v>
      </c>
      <c r="E7499" s="221">
        <v>1183.47</v>
      </c>
      <c r="F7499" s="221">
        <v>3659.41</v>
      </c>
      <c r="G7499" s="221">
        <v>52.95</v>
      </c>
      <c r="H7499" s="222">
        <v>34069.22</v>
      </c>
      <c r="I7499" s="222">
        <v>13610.42</v>
      </c>
      <c r="J7499" s="222">
        <v>20031.87</v>
      </c>
      <c r="K7499" s="222">
        <v>426.93</v>
      </c>
      <c r="L7499" s="43">
        <v>6.9588241421781394</v>
      </c>
      <c r="M7499" s="43">
        <v>11.500435161009573</v>
      </c>
      <c r="N7499" s="43">
        <v>5.4740709567935815</v>
      </c>
      <c r="O7499" s="43">
        <v>8.0628895184135967</v>
      </c>
      <c r="P7499" s="223"/>
      <c r="Q7499" s="223"/>
      <c r="R7499" s="223">
        <v>17</v>
      </c>
    </row>
    <row r="7500" spans="1:18" ht="60">
      <c r="A7500" s="219">
        <v>435</v>
      </c>
      <c r="B7500" s="216" t="s">
        <v>13798</v>
      </c>
      <c r="C7500" s="220" t="s">
        <v>13799</v>
      </c>
      <c r="D7500" s="221">
        <v>4994.13</v>
      </c>
      <c r="E7500" s="221">
        <v>1183.47</v>
      </c>
      <c r="F7500" s="221">
        <v>3747.88</v>
      </c>
      <c r="G7500" s="221">
        <v>62.78</v>
      </c>
      <c r="H7500" s="222">
        <v>34593.199999999997</v>
      </c>
      <c r="I7500" s="222">
        <v>13610.42</v>
      </c>
      <c r="J7500" s="222">
        <v>20503.77</v>
      </c>
      <c r="K7500" s="222">
        <v>479.01</v>
      </c>
      <c r="L7500" s="43">
        <v>6.9267720303636464</v>
      </c>
      <c r="M7500" s="43">
        <v>11.500435161009573</v>
      </c>
      <c r="N7500" s="43">
        <v>5.4707648057034914</v>
      </c>
      <c r="O7500" s="43">
        <v>7.629977699904428</v>
      </c>
      <c r="P7500" s="223"/>
      <c r="Q7500" s="223"/>
      <c r="R7500" s="223">
        <v>17</v>
      </c>
    </row>
    <row r="7501" spans="1:18" ht="60">
      <c r="A7501" s="219">
        <v>436</v>
      </c>
      <c r="B7501" s="216" t="s">
        <v>13800</v>
      </c>
      <c r="C7501" s="220" t="s">
        <v>13801</v>
      </c>
      <c r="D7501" s="221">
        <v>5814.57</v>
      </c>
      <c r="E7501" s="221">
        <v>1482.21</v>
      </c>
      <c r="F7501" s="221">
        <v>4258.13</v>
      </c>
      <c r="G7501" s="221">
        <v>74.23</v>
      </c>
      <c r="H7501" s="222">
        <v>40979.83</v>
      </c>
      <c r="I7501" s="222">
        <v>17046.060000000001</v>
      </c>
      <c r="J7501" s="222">
        <v>23369.83</v>
      </c>
      <c r="K7501" s="222">
        <v>563.94000000000005</v>
      </c>
      <c r="L7501" s="43">
        <v>7.0477834130468811</v>
      </c>
      <c r="M7501" s="43">
        <v>11.500435161009575</v>
      </c>
      <c r="N7501" s="43">
        <v>5.4882847634994709</v>
      </c>
      <c r="O7501" s="43">
        <v>7.5971978984238184</v>
      </c>
      <c r="P7501" s="223"/>
      <c r="Q7501" s="223"/>
      <c r="R7501" s="223">
        <v>17</v>
      </c>
    </row>
    <row r="7502" spans="1:18" ht="60">
      <c r="A7502" s="219">
        <v>437</v>
      </c>
      <c r="B7502" s="216" t="s">
        <v>13802</v>
      </c>
      <c r="C7502" s="220" t="s">
        <v>13803</v>
      </c>
      <c r="D7502" s="221">
        <v>6160.92</v>
      </c>
      <c r="E7502" s="221">
        <v>1585.62</v>
      </c>
      <c r="F7502" s="221">
        <v>4460.03</v>
      </c>
      <c r="G7502" s="221">
        <v>115.27</v>
      </c>
      <c r="H7502" s="222">
        <v>43526.97</v>
      </c>
      <c r="I7502" s="222">
        <v>18235.32</v>
      </c>
      <c r="J7502" s="222">
        <v>24488.87</v>
      </c>
      <c r="K7502" s="222">
        <v>802.78</v>
      </c>
      <c r="L7502" s="43">
        <v>7.0650113944021351</v>
      </c>
      <c r="M7502" s="43">
        <v>11.500435161009575</v>
      </c>
      <c r="N7502" s="43">
        <v>5.490741093669774</v>
      </c>
      <c r="O7502" s="43">
        <v>6.9643445822850696</v>
      </c>
      <c r="P7502" s="223"/>
      <c r="Q7502" s="223"/>
      <c r="R7502" s="223">
        <v>17</v>
      </c>
    </row>
    <row r="7503" spans="1:18" ht="60">
      <c r="A7503" s="219">
        <v>438</v>
      </c>
      <c r="B7503" s="216" t="s">
        <v>13804</v>
      </c>
      <c r="C7503" s="220" t="s">
        <v>13805</v>
      </c>
      <c r="D7503" s="221">
        <v>6706.83</v>
      </c>
      <c r="E7503" s="221">
        <v>1712.01</v>
      </c>
      <c r="F7503" s="221">
        <v>4791.8100000000004</v>
      </c>
      <c r="G7503" s="221">
        <v>203.01</v>
      </c>
      <c r="H7503" s="222">
        <v>47267.34</v>
      </c>
      <c r="I7503" s="222">
        <v>19688.86</v>
      </c>
      <c r="J7503" s="222">
        <v>26286.49</v>
      </c>
      <c r="K7503" s="222">
        <v>1291.99</v>
      </c>
      <c r="L7503" s="43">
        <v>7.04764247789194</v>
      </c>
      <c r="M7503" s="43">
        <v>11.500435161009573</v>
      </c>
      <c r="N7503" s="43">
        <v>5.4857120795690983</v>
      </c>
      <c r="O7503" s="43">
        <v>6.3641692527461702</v>
      </c>
      <c r="P7503" s="223"/>
      <c r="Q7503" s="223"/>
      <c r="R7503" s="223">
        <v>17</v>
      </c>
    </row>
    <row r="7504" spans="1:18" ht="60">
      <c r="A7504" s="219">
        <v>439</v>
      </c>
      <c r="B7504" s="216" t="s">
        <v>13806</v>
      </c>
      <c r="C7504" s="220" t="s">
        <v>13807</v>
      </c>
      <c r="D7504" s="221">
        <v>7761.46</v>
      </c>
      <c r="E7504" s="221">
        <v>1941.81</v>
      </c>
      <c r="F7504" s="221">
        <v>5608.21</v>
      </c>
      <c r="G7504" s="221">
        <v>211.44</v>
      </c>
      <c r="H7504" s="222">
        <v>54461.279999999999</v>
      </c>
      <c r="I7504" s="222">
        <v>22331.66</v>
      </c>
      <c r="J7504" s="222">
        <v>30769.75</v>
      </c>
      <c r="K7504" s="222">
        <v>1359.87</v>
      </c>
      <c r="L7504" s="43">
        <v>7.0168859982529055</v>
      </c>
      <c r="M7504" s="43">
        <v>11.500435161009573</v>
      </c>
      <c r="N7504" s="43">
        <v>5.4865545334429342</v>
      </c>
      <c r="O7504" s="43">
        <v>6.4314699205448349</v>
      </c>
      <c r="P7504" s="223"/>
      <c r="Q7504" s="223"/>
      <c r="R7504" s="223">
        <v>17</v>
      </c>
    </row>
    <row r="7505" spans="1:18" ht="60">
      <c r="A7505" s="219">
        <v>440</v>
      </c>
      <c r="B7505" s="216" t="s">
        <v>13808</v>
      </c>
      <c r="C7505" s="220" t="s">
        <v>13809</v>
      </c>
      <c r="D7505" s="221">
        <v>8441.24</v>
      </c>
      <c r="E7505" s="221">
        <v>2194.59</v>
      </c>
      <c r="F7505" s="221">
        <v>5970.06</v>
      </c>
      <c r="G7505" s="221">
        <v>276.58999999999997</v>
      </c>
      <c r="H7505" s="222">
        <v>59790.2</v>
      </c>
      <c r="I7505" s="222">
        <v>25238.74</v>
      </c>
      <c r="J7505" s="222">
        <v>32779.31</v>
      </c>
      <c r="K7505" s="222">
        <v>1772.15</v>
      </c>
      <c r="L7505" s="43">
        <v>7.0831062734858854</v>
      </c>
      <c r="M7505" s="43">
        <v>11.500435161009573</v>
      </c>
      <c r="N7505" s="43">
        <v>5.4906165097168191</v>
      </c>
      <c r="O7505" s="43">
        <v>6.4071369174590558</v>
      </c>
      <c r="P7505" s="223"/>
      <c r="Q7505" s="223"/>
      <c r="R7505" s="223">
        <v>17</v>
      </c>
    </row>
    <row r="7506" spans="1:18" ht="60">
      <c r="A7506" s="219">
        <v>441</v>
      </c>
      <c r="B7506" s="216" t="s">
        <v>13810</v>
      </c>
      <c r="C7506" s="220" t="s">
        <v>13811</v>
      </c>
      <c r="D7506" s="221">
        <v>10395.719999999999</v>
      </c>
      <c r="E7506" s="221">
        <v>2780.58</v>
      </c>
      <c r="F7506" s="221">
        <v>6817.91</v>
      </c>
      <c r="G7506" s="221">
        <v>797.23</v>
      </c>
      <c r="H7506" s="222">
        <v>74089.399999999994</v>
      </c>
      <c r="I7506" s="222">
        <v>31977.88</v>
      </c>
      <c r="J7506" s="222">
        <v>37445.599999999999</v>
      </c>
      <c r="K7506" s="222">
        <v>4665.92</v>
      </c>
      <c r="L7506" s="43">
        <v>7.1269137683585164</v>
      </c>
      <c r="M7506" s="43">
        <v>11.500435161009575</v>
      </c>
      <c r="N7506" s="43">
        <v>5.4922402906462535</v>
      </c>
      <c r="O7506" s="43">
        <v>5.852664852050224</v>
      </c>
      <c r="P7506" s="223"/>
      <c r="Q7506" s="223"/>
      <c r="R7506" s="223">
        <v>17</v>
      </c>
    </row>
    <row r="7507" spans="1:18" ht="60">
      <c r="A7507" s="219">
        <v>442</v>
      </c>
      <c r="B7507" s="216" t="s">
        <v>13812</v>
      </c>
      <c r="C7507" s="220" t="s">
        <v>13813</v>
      </c>
      <c r="D7507" s="221">
        <v>11690.49</v>
      </c>
      <c r="E7507" s="221">
        <v>3228.69</v>
      </c>
      <c r="F7507" s="221">
        <v>7172.65</v>
      </c>
      <c r="G7507" s="221">
        <v>1289.1500000000001</v>
      </c>
      <c r="H7507" s="222">
        <v>83949.07</v>
      </c>
      <c r="I7507" s="222">
        <v>37131.339999999997</v>
      </c>
      <c r="J7507" s="222">
        <v>39426.54</v>
      </c>
      <c r="K7507" s="222">
        <v>7391.19</v>
      </c>
      <c r="L7507" s="43">
        <v>7.1809710285881954</v>
      </c>
      <c r="M7507" s="43">
        <v>11.500435161009571</v>
      </c>
      <c r="N7507" s="43">
        <v>5.4967884951865775</v>
      </c>
      <c r="O7507" s="43">
        <v>5.7333824613117166</v>
      </c>
      <c r="P7507" s="223"/>
      <c r="Q7507" s="223"/>
      <c r="R7507" s="223">
        <v>17</v>
      </c>
    </row>
    <row r="7508" spans="1:18" ht="60">
      <c r="A7508" s="219">
        <v>443</v>
      </c>
      <c r="B7508" s="216" t="s">
        <v>13814</v>
      </c>
      <c r="C7508" s="220" t="s">
        <v>13815</v>
      </c>
      <c r="D7508" s="221">
        <v>13499.08</v>
      </c>
      <c r="E7508" s="221">
        <v>3941.07</v>
      </c>
      <c r="F7508" s="221">
        <v>7697.08</v>
      </c>
      <c r="G7508" s="221">
        <v>1860.93</v>
      </c>
      <c r="H7508" s="222">
        <v>98234.17</v>
      </c>
      <c r="I7508" s="222">
        <v>45324.02</v>
      </c>
      <c r="J7508" s="222">
        <v>42314.9</v>
      </c>
      <c r="K7508" s="222">
        <v>10595.25</v>
      </c>
      <c r="L7508" s="43">
        <v>7.2771011061494564</v>
      </c>
      <c r="M7508" s="43">
        <v>11.500435161009571</v>
      </c>
      <c r="N7508" s="43">
        <v>5.497526334661976</v>
      </c>
      <c r="O7508" s="43">
        <v>5.6935242056391155</v>
      </c>
      <c r="P7508" s="223"/>
      <c r="Q7508" s="223"/>
      <c r="R7508" s="223">
        <v>17</v>
      </c>
    </row>
    <row r="7509" spans="1:18" ht="30" customHeight="1">
      <c r="A7509" s="628" t="s">
        <v>13816</v>
      </c>
      <c r="B7509" s="629"/>
      <c r="C7509" s="629"/>
      <c r="D7509" s="629"/>
      <c r="E7509" s="629"/>
      <c r="F7509" s="629"/>
      <c r="G7509" s="629"/>
      <c r="H7509" s="629"/>
      <c r="I7509" s="629"/>
      <c r="J7509" s="629"/>
      <c r="K7509" s="629"/>
      <c r="L7509" s="629"/>
      <c r="M7509" s="629"/>
      <c r="N7509" s="629"/>
      <c r="O7509" s="629"/>
      <c r="P7509" s="629"/>
      <c r="Q7509" s="629"/>
      <c r="R7509" s="629"/>
    </row>
    <row r="7510" spans="1:18" ht="72">
      <c r="A7510" s="219">
        <v>444</v>
      </c>
      <c r="B7510" s="216" t="s">
        <v>13817</v>
      </c>
      <c r="C7510" s="220" t="s">
        <v>13818</v>
      </c>
      <c r="D7510" s="221">
        <v>7300.43</v>
      </c>
      <c r="E7510" s="221">
        <v>1815.42</v>
      </c>
      <c r="F7510" s="221">
        <v>5408.37</v>
      </c>
      <c r="G7510" s="221">
        <v>76.64</v>
      </c>
      <c r="H7510" s="222">
        <v>50997.64</v>
      </c>
      <c r="I7510" s="222">
        <v>20878.12</v>
      </c>
      <c r="J7510" s="222">
        <v>29492.91</v>
      </c>
      <c r="K7510" s="222">
        <v>626.61</v>
      </c>
      <c r="L7510" s="43">
        <v>6.9855666036110202</v>
      </c>
      <c r="M7510" s="43">
        <v>11.500435161009573</v>
      </c>
      <c r="N7510" s="43">
        <v>5.4531975438070992</v>
      </c>
      <c r="O7510" s="43">
        <v>8.1760177453027136</v>
      </c>
      <c r="P7510" s="223"/>
      <c r="Q7510" s="223"/>
      <c r="R7510" s="223">
        <v>18</v>
      </c>
    </row>
    <row r="7511" spans="1:18" ht="72">
      <c r="A7511" s="219">
        <v>445</v>
      </c>
      <c r="B7511" s="216" t="s">
        <v>13819</v>
      </c>
      <c r="C7511" s="220" t="s">
        <v>13820</v>
      </c>
      <c r="D7511" s="221">
        <v>9096.76</v>
      </c>
      <c r="E7511" s="221">
        <v>2033.73</v>
      </c>
      <c r="F7511" s="221">
        <v>6958.45</v>
      </c>
      <c r="G7511" s="221">
        <v>104.58</v>
      </c>
      <c r="H7511" s="222">
        <v>62103.15</v>
      </c>
      <c r="I7511" s="222">
        <v>23388.78</v>
      </c>
      <c r="J7511" s="222">
        <v>37915.32</v>
      </c>
      <c r="K7511" s="222">
        <v>799.05</v>
      </c>
      <c r="L7511" s="43">
        <v>6.8269526732594903</v>
      </c>
      <c r="M7511" s="43">
        <v>11.500435161009573</v>
      </c>
      <c r="N7511" s="43">
        <v>5.4488169060638505</v>
      </c>
      <c r="O7511" s="43">
        <v>7.6405622489959839</v>
      </c>
      <c r="P7511" s="223"/>
      <c r="Q7511" s="223"/>
      <c r="R7511" s="223">
        <v>18</v>
      </c>
    </row>
    <row r="7512" spans="1:18" ht="72">
      <c r="A7512" s="219">
        <v>446</v>
      </c>
      <c r="B7512" s="216" t="s">
        <v>13821</v>
      </c>
      <c r="C7512" s="220" t="s">
        <v>13822</v>
      </c>
      <c r="D7512" s="221">
        <v>9950.65</v>
      </c>
      <c r="E7512" s="221">
        <v>2573.7600000000002</v>
      </c>
      <c r="F7512" s="221">
        <v>7233.63</v>
      </c>
      <c r="G7512" s="221">
        <v>143.26</v>
      </c>
      <c r="H7512" s="222">
        <v>70169.11</v>
      </c>
      <c r="I7512" s="222">
        <v>29599.360000000001</v>
      </c>
      <c r="J7512" s="222">
        <v>39503.69</v>
      </c>
      <c r="K7512" s="222">
        <v>1066.06</v>
      </c>
      <c r="L7512" s="43">
        <v>7.0517111947460718</v>
      </c>
      <c r="M7512" s="43">
        <v>11.500435161009573</v>
      </c>
      <c r="N7512" s="43">
        <v>5.461115650095457</v>
      </c>
      <c r="O7512" s="43">
        <v>7.4414351528689098</v>
      </c>
      <c r="P7512" s="223"/>
      <c r="Q7512" s="223"/>
      <c r="R7512" s="223">
        <v>18</v>
      </c>
    </row>
    <row r="7513" spans="1:18" ht="33" customHeight="1">
      <c r="A7513" s="628" t="s">
        <v>13823</v>
      </c>
      <c r="B7513" s="629"/>
      <c r="C7513" s="629"/>
      <c r="D7513" s="629"/>
      <c r="E7513" s="629"/>
      <c r="F7513" s="629"/>
      <c r="G7513" s="629"/>
      <c r="H7513" s="629"/>
      <c r="I7513" s="629"/>
      <c r="J7513" s="629"/>
      <c r="K7513" s="629"/>
      <c r="L7513" s="629"/>
      <c r="M7513" s="629"/>
      <c r="N7513" s="629"/>
      <c r="O7513" s="629"/>
      <c r="P7513" s="629"/>
      <c r="Q7513" s="629"/>
      <c r="R7513" s="629"/>
    </row>
    <row r="7514" spans="1:18" ht="72">
      <c r="A7514" s="219">
        <v>447</v>
      </c>
      <c r="B7514" s="216" t="s">
        <v>13824</v>
      </c>
      <c r="C7514" s="220" t="s">
        <v>13825</v>
      </c>
      <c r="D7514" s="221">
        <v>8188.24</v>
      </c>
      <c r="E7514" s="221">
        <v>2401.41</v>
      </c>
      <c r="F7514" s="221">
        <v>5677.54</v>
      </c>
      <c r="G7514" s="221">
        <v>109.29</v>
      </c>
      <c r="H7514" s="222">
        <v>59632.95</v>
      </c>
      <c r="I7514" s="222">
        <v>27617.26</v>
      </c>
      <c r="J7514" s="222">
        <v>31146.31</v>
      </c>
      <c r="K7514" s="222">
        <v>869.38</v>
      </c>
      <c r="L7514" s="43">
        <v>7.2827555127841883</v>
      </c>
      <c r="M7514" s="43">
        <v>11.500435161009573</v>
      </c>
      <c r="N7514" s="43">
        <v>5.4858812091152158</v>
      </c>
      <c r="O7514" s="43">
        <v>7.9547991582029454</v>
      </c>
      <c r="P7514" s="223"/>
      <c r="Q7514" s="223"/>
      <c r="R7514" s="223">
        <v>19</v>
      </c>
    </row>
    <row r="7515" spans="1:18" ht="72">
      <c r="A7515" s="219">
        <v>448</v>
      </c>
      <c r="B7515" s="216" t="s">
        <v>13826</v>
      </c>
      <c r="C7515" s="220" t="s">
        <v>13827</v>
      </c>
      <c r="D7515" s="221">
        <v>8303.89</v>
      </c>
      <c r="E7515" s="221">
        <v>2401.41</v>
      </c>
      <c r="F7515" s="221">
        <v>5711.38</v>
      </c>
      <c r="G7515" s="221">
        <v>191.1</v>
      </c>
      <c r="H7515" s="222">
        <v>60259.49</v>
      </c>
      <c r="I7515" s="222">
        <v>27617.26</v>
      </c>
      <c r="J7515" s="222">
        <v>31340.02</v>
      </c>
      <c r="K7515" s="222">
        <v>1302.21</v>
      </c>
      <c r="L7515" s="43">
        <v>7.2567784496181913</v>
      </c>
      <c r="M7515" s="43">
        <v>11.500435161009573</v>
      </c>
      <c r="N7515" s="43">
        <v>5.4872937888916518</v>
      </c>
      <c r="O7515" s="43">
        <v>6.8142857142857149</v>
      </c>
      <c r="P7515" s="223"/>
      <c r="Q7515" s="223"/>
      <c r="R7515" s="223">
        <v>19</v>
      </c>
    </row>
    <row r="7516" spans="1:18" ht="72">
      <c r="A7516" s="219">
        <v>449</v>
      </c>
      <c r="B7516" s="216" t="s">
        <v>13828</v>
      </c>
      <c r="C7516" s="220" t="s">
        <v>13829</v>
      </c>
      <c r="D7516" s="221">
        <v>11221.29</v>
      </c>
      <c r="E7516" s="221">
        <v>3527.43</v>
      </c>
      <c r="F7516" s="221">
        <v>7384.48</v>
      </c>
      <c r="G7516" s="221">
        <v>309.38</v>
      </c>
      <c r="H7516" s="222">
        <v>83356.179999999993</v>
      </c>
      <c r="I7516" s="222">
        <v>40566.980000000003</v>
      </c>
      <c r="J7516" s="222">
        <v>40714.17</v>
      </c>
      <c r="K7516" s="222">
        <v>2075.0300000000002</v>
      </c>
      <c r="L7516" s="43">
        <v>7.4283954875063376</v>
      </c>
      <c r="M7516" s="43">
        <v>11.500435161009575</v>
      </c>
      <c r="N7516" s="43">
        <v>5.5134782679349126</v>
      </c>
      <c r="O7516" s="43">
        <v>6.7070592798500233</v>
      </c>
      <c r="P7516" s="223"/>
      <c r="Q7516" s="223"/>
      <c r="R7516" s="223">
        <v>19</v>
      </c>
    </row>
    <row r="7517" spans="1:18" ht="72">
      <c r="A7517" s="219">
        <v>450</v>
      </c>
      <c r="B7517" s="216" t="s">
        <v>13830</v>
      </c>
      <c r="C7517" s="220" t="s">
        <v>13831</v>
      </c>
      <c r="D7517" s="221">
        <v>11541.53</v>
      </c>
      <c r="E7517" s="221">
        <v>3584.88</v>
      </c>
      <c r="F7517" s="221">
        <v>7499.18</v>
      </c>
      <c r="G7517" s="221">
        <v>457.47</v>
      </c>
      <c r="H7517" s="222">
        <v>85456.66</v>
      </c>
      <c r="I7517" s="222">
        <v>41227.68</v>
      </c>
      <c r="J7517" s="222">
        <v>41373.129999999997</v>
      </c>
      <c r="K7517" s="222">
        <v>2855.85</v>
      </c>
      <c r="L7517" s="43">
        <v>7.4042748231820212</v>
      </c>
      <c r="M7517" s="43">
        <v>11.500435161009573</v>
      </c>
      <c r="N7517" s="43">
        <v>5.5170205275776816</v>
      </c>
      <c r="O7517" s="43">
        <v>6.2427044396353857</v>
      </c>
      <c r="P7517" s="223"/>
      <c r="Q7517" s="223"/>
      <c r="R7517" s="223">
        <v>19</v>
      </c>
    </row>
    <row r="7518" spans="1:18" ht="72">
      <c r="A7518" s="219">
        <v>451</v>
      </c>
      <c r="B7518" s="216" t="s">
        <v>13832</v>
      </c>
      <c r="C7518" s="220" t="s">
        <v>13833</v>
      </c>
      <c r="D7518" s="221">
        <v>13044.58</v>
      </c>
      <c r="E7518" s="221">
        <v>3757.23</v>
      </c>
      <c r="F7518" s="221">
        <v>8548.3799999999992</v>
      </c>
      <c r="G7518" s="221">
        <v>738.97</v>
      </c>
      <c r="H7518" s="222">
        <v>94641.88</v>
      </c>
      <c r="I7518" s="222">
        <v>43209.78</v>
      </c>
      <c r="J7518" s="222">
        <v>47047.42</v>
      </c>
      <c r="K7518" s="222">
        <v>4384.68</v>
      </c>
      <c r="L7518" s="43">
        <v>7.2552646386468558</v>
      </c>
      <c r="M7518" s="43">
        <v>11.500435161009573</v>
      </c>
      <c r="N7518" s="43">
        <v>5.5036650219105843</v>
      </c>
      <c r="O7518" s="43">
        <v>5.9335020366185365</v>
      </c>
      <c r="P7518" s="223"/>
      <c r="Q7518" s="223"/>
      <c r="R7518" s="223">
        <v>19</v>
      </c>
    </row>
    <row r="7519" spans="1:18" ht="72">
      <c r="A7519" s="219">
        <v>452</v>
      </c>
      <c r="B7519" s="216" t="s">
        <v>13834</v>
      </c>
      <c r="C7519" s="220" t="s">
        <v>13835</v>
      </c>
      <c r="D7519" s="221">
        <v>14812.06</v>
      </c>
      <c r="E7519" s="221">
        <v>4113.42</v>
      </c>
      <c r="F7519" s="221">
        <v>9813.0300000000007</v>
      </c>
      <c r="G7519" s="221">
        <v>885.61</v>
      </c>
      <c r="H7519" s="222">
        <v>106455.35</v>
      </c>
      <c r="I7519" s="222">
        <v>47306.12</v>
      </c>
      <c r="J7519" s="222">
        <v>53974.84</v>
      </c>
      <c r="K7519" s="222">
        <v>5174.3900000000003</v>
      </c>
      <c r="L7519" s="43">
        <v>7.1870725611427453</v>
      </c>
      <c r="M7519" s="43">
        <v>11.500435161009573</v>
      </c>
      <c r="N7519" s="43">
        <v>5.5003235494031903</v>
      </c>
      <c r="O7519" s="43">
        <v>5.8427411614593332</v>
      </c>
      <c r="P7519" s="223"/>
      <c r="Q7519" s="223"/>
      <c r="R7519" s="223">
        <v>19</v>
      </c>
    </row>
    <row r="7520" spans="1:18" ht="72">
      <c r="A7520" s="219">
        <v>453</v>
      </c>
      <c r="B7520" s="216" t="s">
        <v>13836</v>
      </c>
      <c r="C7520" s="220" t="s">
        <v>13837</v>
      </c>
      <c r="D7520" s="221">
        <v>15909.94</v>
      </c>
      <c r="E7520" s="221">
        <v>4504.08</v>
      </c>
      <c r="F7520" s="221">
        <v>10586.28</v>
      </c>
      <c r="G7520" s="221">
        <v>819.58</v>
      </c>
      <c r="H7520" s="222">
        <v>115102.28</v>
      </c>
      <c r="I7520" s="222">
        <v>51798.879999999997</v>
      </c>
      <c r="J7520" s="222">
        <v>58311.79</v>
      </c>
      <c r="K7520" s="222">
        <v>4991.6099999999997</v>
      </c>
      <c r="L7520" s="43">
        <v>7.2346143354406109</v>
      </c>
      <c r="M7520" s="43">
        <v>11.500435161009573</v>
      </c>
      <c r="N7520" s="43">
        <v>5.508241799763467</v>
      </c>
      <c r="O7520" s="43">
        <v>6.0904487664413471</v>
      </c>
      <c r="P7520" s="223"/>
      <c r="Q7520" s="223"/>
      <c r="R7520" s="223">
        <v>19</v>
      </c>
    </row>
    <row r="7521" spans="1:18" ht="72">
      <c r="A7521" s="219">
        <v>454</v>
      </c>
      <c r="B7521" s="216" t="s">
        <v>13838</v>
      </c>
      <c r="C7521" s="220" t="s">
        <v>13839</v>
      </c>
      <c r="D7521" s="221">
        <v>19622.73</v>
      </c>
      <c r="E7521" s="221">
        <v>5595.63</v>
      </c>
      <c r="F7521" s="221">
        <v>12167.41</v>
      </c>
      <c r="G7521" s="221">
        <v>1859.69</v>
      </c>
      <c r="H7521" s="222">
        <v>142254.91</v>
      </c>
      <c r="I7521" s="222">
        <v>64352.18</v>
      </c>
      <c r="J7521" s="222">
        <v>67108.850000000006</v>
      </c>
      <c r="K7521" s="222">
        <v>10793.88</v>
      </c>
      <c r="L7521" s="43">
        <v>7.2494963748673102</v>
      </c>
      <c r="M7521" s="43">
        <v>11.500435161009573</v>
      </c>
      <c r="N7521" s="43">
        <v>5.5154589185373064</v>
      </c>
      <c r="O7521" s="43">
        <v>5.8041286450967631</v>
      </c>
      <c r="P7521" s="223"/>
      <c r="Q7521" s="223"/>
      <c r="R7521" s="223">
        <v>19</v>
      </c>
    </row>
    <row r="7522" spans="1:18" ht="72">
      <c r="A7522" s="219">
        <v>455</v>
      </c>
      <c r="B7522" s="216" t="s">
        <v>13840</v>
      </c>
      <c r="C7522" s="220" t="s">
        <v>13841</v>
      </c>
      <c r="D7522" s="221">
        <v>20776.2</v>
      </c>
      <c r="E7522" s="221">
        <v>5733.51</v>
      </c>
      <c r="F7522" s="221">
        <v>12327.68</v>
      </c>
      <c r="G7522" s="221">
        <v>2715.01</v>
      </c>
      <c r="H7522" s="222">
        <v>149334.48000000001</v>
      </c>
      <c r="I7522" s="222">
        <v>65937.86</v>
      </c>
      <c r="J7522" s="222">
        <v>67932.179999999993</v>
      </c>
      <c r="K7522" s="222">
        <v>15464.44</v>
      </c>
      <c r="L7522" s="43">
        <v>7.1877667715944211</v>
      </c>
      <c r="M7522" s="43">
        <v>11.500435161009573</v>
      </c>
      <c r="N7522" s="43">
        <v>5.5105405072162803</v>
      </c>
      <c r="O7522" s="43">
        <v>5.6959053557813784</v>
      </c>
      <c r="P7522" s="223"/>
      <c r="Q7522" s="223"/>
      <c r="R7522" s="223">
        <v>19</v>
      </c>
    </row>
    <row r="7523" spans="1:18" ht="72">
      <c r="A7523" s="219">
        <v>456</v>
      </c>
      <c r="B7523" s="216" t="s">
        <v>13842</v>
      </c>
      <c r="C7523" s="220" t="s">
        <v>13843</v>
      </c>
      <c r="D7523" s="221">
        <v>22895.040000000001</v>
      </c>
      <c r="E7523" s="221">
        <v>6468.87</v>
      </c>
      <c r="F7523" s="221">
        <v>12949.58</v>
      </c>
      <c r="G7523" s="221">
        <v>3476.59</v>
      </c>
      <c r="H7523" s="222">
        <v>165571.25</v>
      </c>
      <c r="I7523" s="222">
        <v>74394.820000000007</v>
      </c>
      <c r="J7523" s="222">
        <v>71448.84</v>
      </c>
      <c r="K7523" s="222">
        <v>19727.59</v>
      </c>
      <c r="L7523" s="43">
        <v>7.2317519427788728</v>
      </c>
      <c r="M7523" s="43">
        <v>11.500435161009575</v>
      </c>
      <c r="N7523" s="43">
        <v>5.5174638868596508</v>
      </c>
      <c r="O7523" s="43">
        <v>5.6744079687279774</v>
      </c>
      <c r="P7523" s="223"/>
      <c r="Q7523" s="223"/>
      <c r="R7523" s="223">
        <v>19</v>
      </c>
    </row>
    <row r="7524" spans="1:18" ht="31.5" customHeight="1">
      <c r="A7524" s="628" t="s">
        <v>13844</v>
      </c>
      <c r="B7524" s="629"/>
      <c r="C7524" s="629"/>
      <c r="D7524" s="629"/>
      <c r="E7524" s="629"/>
      <c r="F7524" s="629"/>
      <c r="G7524" s="629"/>
      <c r="H7524" s="629"/>
      <c r="I7524" s="629"/>
      <c r="J7524" s="629"/>
      <c r="K7524" s="629"/>
      <c r="L7524" s="629"/>
      <c r="M7524" s="629"/>
      <c r="N7524" s="629"/>
      <c r="O7524" s="629"/>
      <c r="P7524" s="629"/>
      <c r="Q7524" s="629"/>
      <c r="R7524" s="629"/>
    </row>
    <row r="7525" spans="1:18" ht="72">
      <c r="A7525" s="219">
        <v>457</v>
      </c>
      <c r="B7525" s="216" t="s">
        <v>13845</v>
      </c>
      <c r="C7525" s="220" t="s">
        <v>13846</v>
      </c>
      <c r="D7525" s="221">
        <v>8910.76</v>
      </c>
      <c r="E7525" s="221">
        <v>2493.33</v>
      </c>
      <c r="F7525" s="221">
        <v>6289.51</v>
      </c>
      <c r="G7525" s="221">
        <v>127.92</v>
      </c>
      <c r="H7525" s="222">
        <v>64099.76</v>
      </c>
      <c r="I7525" s="222">
        <v>28674.38</v>
      </c>
      <c r="J7525" s="222">
        <v>34447.879999999997</v>
      </c>
      <c r="K7525" s="222">
        <v>977.5</v>
      </c>
      <c r="L7525" s="43">
        <v>7.1935233358321851</v>
      </c>
      <c r="M7525" s="43">
        <v>11.500435161009575</v>
      </c>
      <c r="N7525" s="43">
        <v>5.4770371618774751</v>
      </c>
      <c r="O7525" s="43">
        <v>7.6414946841776112</v>
      </c>
      <c r="P7525" s="223"/>
      <c r="Q7525" s="223"/>
      <c r="R7525" s="223">
        <v>20</v>
      </c>
    </row>
    <row r="7526" spans="1:18" ht="72">
      <c r="A7526" s="219">
        <v>458</v>
      </c>
      <c r="B7526" s="216" t="s">
        <v>13847</v>
      </c>
      <c r="C7526" s="220" t="s">
        <v>13848</v>
      </c>
      <c r="D7526" s="221">
        <v>9036.2099999999991</v>
      </c>
      <c r="E7526" s="221">
        <v>2493.33</v>
      </c>
      <c r="F7526" s="221">
        <v>6317.48</v>
      </c>
      <c r="G7526" s="221">
        <v>225.4</v>
      </c>
      <c r="H7526" s="222">
        <v>64778.879999999997</v>
      </c>
      <c r="I7526" s="222">
        <v>28674.38</v>
      </c>
      <c r="J7526" s="222">
        <v>34611.32</v>
      </c>
      <c r="K7526" s="222">
        <v>1493.18</v>
      </c>
      <c r="L7526" s="43">
        <v>7.1688108178096792</v>
      </c>
      <c r="M7526" s="43">
        <v>11.500435161009575</v>
      </c>
      <c r="N7526" s="43">
        <v>5.4786592122175302</v>
      </c>
      <c r="O7526" s="43">
        <v>6.6245785270629991</v>
      </c>
      <c r="P7526" s="223"/>
      <c r="Q7526" s="223"/>
      <c r="R7526" s="223">
        <v>20</v>
      </c>
    </row>
    <row r="7527" spans="1:18" ht="72">
      <c r="A7527" s="219">
        <v>459</v>
      </c>
      <c r="B7527" s="216" t="s">
        <v>13849</v>
      </c>
      <c r="C7527" s="220" t="s">
        <v>13850</v>
      </c>
      <c r="D7527" s="221">
        <v>12297.45</v>
      </c>
      <c r="E7527" s="221">
        <v>3561.9</v>
      </c>
      <c r="F7527" s="221">
        <v>8329.1</v>
      </c>
      <c r="G7527" s="221">
        <v>406.45</v>
      </c>
      <c r="H7527" s="222">
        <v>89386.31</v>
      </c>
      <c r="I7527" s="222">
        <v>40963.4</v>
      </c>
      <c r="J7527" s="222">
        <v>45833.89</v>
      </c>
      <c r="K7527" s="222">
        <v>2589.02</v>
      </c>
      <c r="L7527" s="43">
        <v>7.2686865976279629</v>
      </c>
      <c r="M7527" s="43">
        <v>11.500435161009573</v>
      </c>
      <c r="N7527" s="43">
        <v>5.502862254025044</v>
      </c>
      <c r="O7527" s="43">
        <v>6.3698363882396363</v>
      </c>
      <c r="P7527" s="223"/>
      <c r="Q7527" s="223"/>
      <c r="R7527" s="223">
        <v>20</v>
      </c>
    </row>
    <row r="7528" spans="1:18" ht="72">
      <c r="A7528" s="219">
        <v>460</v>
      </c>
      <c r="B7528" s="216" t="s">
        <v>13851</v>
      </c>
      <c r="C7528" s="220" t="s">
        <v>13852</v>
      </c>
      <c r="D7528" s="221">
        <v>12548.39</v>
      </c>
      <c r="E7528" s="221">
        <v>3584.88</v>
      </c>
      <c r="F7528" s="221">
        <v>8442.1200000000008</v>
      </c>
      <c r="G7528" s="221">
        <v>521.39</v>
      </c>
      <c r="H7528" s="222">
        <v>90904.9</v>
      </c>
      <c r="I7528" s="222">
        <v>41227.68</v>
      </c>
      <c r="J7528" s="222">
        <v>46485.11</v>
      </c>
      <c r="K7528" s="222">
        <v>3192.11</v>
      </c>
      <c r="L7528" s="43">
        <v>7.2443476812563201</v>
      </c>
      <c r="M7528" s="43">
        <v>11.500435161009573</v>
      </c>
      <c r="N7528" s="43">
        <v>5.5063313480500158</v>
      </c>
      <c r="O7528" s="43">
        <v>6.1223076775542307</v>
      </c>
      <c r="P7528" s="223"/>
      <c r="Q7528" s="223"/>
      <c r="R7528" s="223">
        <v>20</v>
      </c>
    </row>
    <row r="7529" spans="1:18" ht="72">
      <c r="A7529" s="219">
        <v>461</v>
      </c>
      <c r="B7529" s="216" t="s">
        <v>13853</v>
      </c>
      <c r="C7529" s="220" t="s">
        <v>13854</v>
      </c>
      <c r="D7529" s="221">
        <v>13316.68</v>
      </c>
      <c r="E7529" s="221">
        <v>3768.72</v>
      </c>
      <c r="F7529" s="221">
        <v>8808.76</v>
      </c>
      <c r="G7529" s="221">
        <v>739.2</v>
      </c>
      <c r="H7529" s="222">
        <v>96225.82</v>
      </c>
      <c r="I7529" s="222">
        <v>43341.919999999998</v>
      </c>
      <c r="J7529" s="222">
        <v>48496.57</v>
      </c>
      <c r="K7529" s="222">
        <v>4387.33</v>
      </c>
      <c r="L7529" s="43">
        <v>7.2259617261960196</v>
      </c>
      <c r="M7529" s="43">
        <v>11.500435161009573</v>
      </c>
      <c r="N7529" s="43">
        <v>5.5054933952111309</v>
      </c>
      <c r="O7529" s="43">
        <v>5.9352408008658006</v>
      </c>
      <c r="P7529" s="223"/>
      <c r="Q7529" s="223"/>
      <c r="R7529" s="223">
        <v>20</v>
      </c>
    </row>
    <row r="7530" spans="1:18" ht="72">
      <c r="A7530" s="219">
        <v>462</v>
      </c>
      <c r="B7530" s="216" t="s">
        <v>13855</v>
      </c>
      <c r="C7530" s="220" t="s">
        <v>13856</v>
      </c>
      <c r="D7530" s="221">
        <v>15034.19</v>
      </c>
      <c r="E7530" s="221">
        <v>4159.38</v>
      </c>
      <c r="F7530" s="221">
        <v>9988.2800000000007</v>
      </c>
      <c r="G7530" s="221">
        <v>886.53</v>
      </c>
      <c r="H7530" s="222">
        <v>107987.24</v>
      </c>
      <c r="I7530" s="222">
        <v>47834.68</v>
      </c>
      <c r="J7530" s="222">
        <v>54967.59</v>
      </c>
      <c r="K7530" s="222">
        <v>5184.97</v>
      </c>
      <c r="L7530" s="43">
        <v>7.1827773894037525</v>
      </c>
      <c r="M7530" s="43">
        <v>11.500435161009573</v>
      </c>
      <c r="N7530" s="43">
        <v>5.5032087606675013</v>
      </c>
      <c r="O7530" s="43">
        <v>5.8486120041058962</v>
      </c>
      <c r="P7530" s="223"/>
      <c r="Q7530" s="223"/>
      <c r="R7530" s="223">
        <v>20</v>
      </c>
    </row>
    <row r="7531" spans="1:18" ht="72">
      <c r="A7531" s="219">
        <v>463</v>
      </c>
      <c r="B7531" s="216" t="s">
        <v>13857</v>
      </c>
      <c r="C7531" s="220" t="s">
        <v>13858</v>
      </c>
      <c r="D7531" s="221">
        <v>16126.47</v>
      </c>
      <c r="E7531" s="221">
        <v>4550.04</v>
      </c>
      <c r="F7531" s="221">
        <v>10755.93</v>
      </c>
      <c r="G7531" s="221">
        <v>820.5</v>
      </c>
      <c r="H7531" s="222">
        <v>116594.35</v>
      </c>
      <c r="I7531" s="222">
        <v>52327.44</v>
      </c>
      <c r="J7531" s="222">
        <v>59264.72</v>
      </c>
      <c r="K7531" s="222">
        <v>5002.1899999999996</v>
      </c>
      <c r="L7531" s="43">
        <v>7.2299982575231905</v>
      </c>
      <c r="M7531" s="43">
        <v>11.500435161009575</v>
      </c>
      <c r="N7531" s="43">
        <v>5.509957762834083</v>
      </c>
      <c r="O7531" s="43">
        <v>6.096514320536258</v>
      </c>
      <c r="P7531" s="223"/>
      <c r="Q7531" s="223"/>
      <c r="R7531" s="223">
        <v>20</v>
      </c>
    </row>
    <row r="7532" spans="1:18" ht="72">
      <c r="A7532" s="219">
        <v>464</v>
      </c>
      <c r="B7532" s="216" t="s">
        <v>13859</v>
      </c>
      <c r="C7532" s="220" t="s">
        <v>13860</v>
      </c>
      <c r="D7532" s="221">
        <v>19874.38</v>
      </c>
      <c r="E7532" s="221">
        <v>5687.55</v>
      </c>
      <c r="F7532" s="221">
        <v>12325.3</v>
      </c>
      <c r="G7532" s="221">
        <v>1861.53</v>
      </c>
      <c r="H7532" s="222">
        <v>144225.57999999999</v>
      </c>
      <c r="I7532" s="222">
        <v>65409.3</v>
      </c>
      <c r="J7532" s="222">
        <v>68001.240000000005</v>
      </c>
      <c r="K7532" s="222">
        <v>10815.04</v>
      </c>
      <c r="L7532" s="43">
        <v>7.2568593334735461</v>
      </c>
      <c r="M7532" s="43">
        <v>11.500435161009573</v>
      </c>
      <c r="N7532" s="43">
        <v>5.5172076947417112</v>
      </c>
      <c r="O7532" s="43">
        <v>5.8097586393987743</v>
      </c>
      <c r="P7532" s="223"/>
      <c r="Q7532" s="223"/>
      <c r="R7532" s="223">
        <v>20</v>
      </c>
    </row>
    <row r="7533" spans="1:18" ht="72">
      <c r="A7533" s="219">
        <v>465</v>
      </c>
      <c r="B7533" s="216" t="s">
        <v>13861</v>
      </c>
      <c r="C7533" s="220" t="s">
        <v>13862</v>
      </c>
      <c r="D7533" s="221">
        <v>20925.37</v>
      </c>
      <c r="E7533" s="221">
        <v>5813.94</v>
      </c>
      <c r="F7533" s="221">
        <v>12394.81</v>
      </c>
      <c r="G7533" s="221">
        <v>2716.62</v>
      </c>
      <c r="H7533" s="222">
        <v>150684.48000000001</v>
      </c>
      <c r="I7533" s="222">
        <v>66862.84</v>
      </c>
      <c r="J7533" s="222">
        <v>68338.69</v>
      </c>
      <c r="K7533" s="222">
        <v>15482.95</v>
      </c>
      <c r="L7533" s="43">
        <v>7.20104256221037</v>
      </c>
      <c r="M7533" s="43">
        <v>11.500435161009573</v>
      </c>
      <c r="N7533" s="43">
        <v>5.5134923407458452</v>
      </c>
      <c r="O7533" s="43">
        <v>5.6993433016027275</v>
      </c>
      <c r="P7533" s="223"/>
      <c r="Q7533" s="223"/>
      <c r="R7533" s="223">
        <v>20</v>
      </c>
    </row>
    <row r="7534" spans="1:18" ht="72">
      <c r="A7534" s="219">
        <v>466</v>
      </c>
      <c r="B7534" s="216" t="s">
        <v>13863</v>
      </c>
      <c r="C7534" s="220" t="s">
        <v>13864</v>
      </c>
      <c r="D7534" s="221">
        <v>23236.83</v>
      </c>
      <c r="E7534" s="221">
        <v>6560.79</v>
      </c>
      <c r="F7534" s="221">
        <v>13197.61</v>
      </c>
      <c r="G7534" s="221">
        <v>3478.43</v>
      </c>
      <c r="H7534" s="222">
        <v>168021.59</v>
      </c>
      <c r="I7534" s="222">
        <v>75451.94</v>
      </c>
      <c r="J7534" s="222">
        <v>72820.899999999994</v>
      </c>
      <c r="K7534" s="222">
        <v>19748.75</v>
      </c>
      <c r="L7534" s="43">
        <v>7.2308309696288173</v>
      </c>
      <c r="M7534" s="43">
        <v>11.500435161009573</v>
      </c>
      <c r="N7534" s="43">
        <v>5.5177338927275459</v>
      </c>
      <c r="O7534" s="43">
        <v>5.6774895570702881</v>
      </c>
      <c r="P7534" s="223"/>
      <c r="Q7534" s="223"/>
      <c r="R7534" s="223">
        <v>20</v>
      </c>
    </row>
    <row r="7535" spans="1:18" ht="30.75" customHeight="1">
      <c r="A7535" s="628" t="s">
        <v>13865</v>
      </c>
      <c r="B7535" s="629"/>
      <c r="C7535" s="629"/>
      <c r="D7535" s="629"/>
      <c r="E7535" s="629"/>
      <c r="F7535" s="629"/>
      <c r="G7535" s="629"/>
      <c r="H7535" s="629"/>
      <c r="I7535" s="629"/>
      <c r="J7535" s="629"/>
      <c r="K7535" s="629"/>
      <c r="L7535" s="629"/>
      <c r="M7535" s="629"/>
      <c r="N7535" s="629"/>
      <c r="O7535" s="629"/>
      <c r="P7535" s="629"/>
      <c r="Q7535" s="629"/>
      <c r="R7535" s="629"/>
    </row>
    <row r="7536" spans="1:18" ht="72">
      <c r="A7536" s="219">
        <v>467</v>
      </c>
      <c r="B7536" s="216" t="s">
        <v>13866</v>
      </c>
      <c r="C7536" s="220" t="s">
        <v>13867</v>
      </c>
      <c r="D7536" s="221">
        <v>9702.4500000000007</v>
      </c>
      <c r="E7536" s="221">
        <v>2688.66</v>
      </c>
      <c r="F7536" s="221">
        <v>6866.15</v>
      </c>
      <c r="G7536" s="221">
        <v>147.63999999999999</v>
      </c>
      <c r="H7536" s="222">
        <v>69607.53</v>
      </c>
      <c r="I7536" s="222">
        <v>30920.76</v>
      </c>
      <c r="J7536" s="222">
        <v>37580.14</v>
      </c>
      <c r="K7536" s="222">
        <v>1106.6300000000001</v>
      </c>
      <c r="L7536" s="43">
        <v>7.1742219748620188</v>
      </c>
      <c r="M7536" s="43">
        <v>11.500435161009573</v>
      </c>
      <c r="N7536" s="43">
        <v>5.4732477443691154</v>
      </c>
      <c r="O7536" s="43">
        <v>7.4954619344351139</v>
      </c>
      <c r="P7536" s="223"/>
      <c r="Q7536" s="223"/>
      <c r="R7536" s="223">
        <v>21</v>
      </c>
    </row>
    <row r="7537" spans="1:18" ht="72">
      <c r="A7537" s="219">
        <v>468</v>
      </c>
      <c r="B7537" s="216" t="s">
        <v>13868</v>
      </c>
      <c r="C7537" s="220" t="s">
        <v>13869</v>
      </c>
      <c r="D7537" s="221">
        <v>9845</v>
      </c>
      <c r="E7537" s="221">
        <v>2688.66</v>
      </c>
      <c r="F7537" s="221">
        <v>6897.46</v>
      </c>
      <c r="G7537" s="221">
        <v>258.88</v>
      </c>
      <c r="H7537" s="222">
        <v>70371.17</v>
      </c>
      <c r="I7537" s="222">
        <v>30920.76</v>
      </c>
      <c r="J7537" s="222">
        <v>37759.08</v>
      </c>
      <c r="K7537" s="222">
        <v>1691.33</v>
      </c>
      <c r="L7537" s="43">
        <v>7.1479095987811068</v>
      </c>
      <c r="M7537" s="43">
        <v>11.500435161009573</v>
      </c>
      <c r="N7537" s="43">
        <v>5.4743456286807026</v>
      </c>
      <c r="O7537" s="43">
        <v>6.5332586526576018</v>
      </c>
      <c r="P7537" s="223"/>
      <c r="Q7537" s="223"/>
      <c r="R7537" s="223">
        <v>21</v>
      </c>
    </row>
    <row r="7538" spans="1:18" ht="72">
      <c r="A7538" s="219">
        <v>469</v>
      </c>
      <c r="B7538" s="216" t="s">
        <v>13870</v>
      </c>
      <c r="C7538" s="220" t="s">
        <v>13871</v>
      </c>
      <c r="D7538" s="221">
        <v>13088.25</v>
      </c>
      <c r="E7538" s="221">
        <v>3814.68</v>
      </c>
      <c r="F7538" s="221">
        <v>8977.2800000000007</v>
      </c>
      <c r="G7538" s="221">
        <v>296.29000000000002</v>
      </c>
      <c r="H7538" s="222">
        <v>95247.7</v>
      </c>
      <c r="I7538" s="222">
        <v>43870.48</v>
      </c>
      <c r="J7538" s="222">
        <v>49344.22</v>
      </c>
      <c r="K7538" s="222">
        <v>2033</v>
      </c>
      <c r="L7538" s="43">
        <v>7.2773441827593448</v>
      </c>
      <c r="M7538" s="43">
        <v>11.500435161009575</v>
      </c>
      <c r="N7538" s="43">
        <v>5.4965668888572035</v>
      </c>
      <c r="O7538" s="43">
        <v>6.861520807317155</v>
      </c>
      <c r="P7538" s="223"/>
      <c r="Q7538" s="223"/>
      <c r="R7538" s="223">
        <v>21</v>
      </c>
    </row>
    <row r="7539" spans="1:18" ht="72">
      <c r="A7539" s="219">
        <v>470</v>
      </c>
      <c r="B7539" s="216" t="s">
        <v>13872</v>
      </c>
      <c r="C7539" s="220" t="s">
        <v>13873</v>
      </c>
      <c r="D7539" s="221">
        <v>13581.41</v>
      </c>
      <c r="E7539" s="221">
        <v>3860.64</v>
      </c>
      <c r="F7539" s="221">
        <v>9134.61</v>
      </c>
      <c r="G7539" s="221">
        <v>586.16</v>
      </c>
      <c r="H7539" s="222">
        <v>98198.31</v>
      </c>
      <c r="I7539" s="222">
        <v>44399.040000000001</v>
      </c>
      <c r="J7539" s="222">
        <v>50220.19</v>
      </c>
      <c r="K7539" s="222">
        <v>3579.08</v>
      </c>
      <c r="L7539" s="43">
        <v>7.2303472172624197</v>
      </c>
      <c r="M7539" s="43">
        <v>11.500435161009575</v>
      </c>
      <c r="N7539" s="43">
        <v>5.4977924618566094</v>
      </c>
      <c r="O7539" s="43">
        <v>6.1059778899959056</v>
      </c>
      <c r="P7539" s="223"/>
      <c r="Q7539" s="223"/>
      <c r="R7539" s="223">
        <v>21</v>
      </c>
    </row>
    <row r="7540" spans="1:18" ht="72">
      <c r="A7540" s="219">
        <v>471</v>
      </c>
      <c r="B7540" s="216" t="s">
        <v>13874</v>
      </c>
      <c r="C7540" s="220" t="s">
        <v>13875</v>
      </c>
      <c r="D7540" s="221">
        <v>15122.45</v>
      </c>
      <c r="E7540" s="221">
        <v>4216.83</v>
      </c>
      <c r="F7540" s="221">
        <v>9934.23</v>
      </c>
      <c r="G7540" s="221">
        <v>971.39</v>
      </c>
      <c r="H7540" s="222">
        <v>108701.6</v>
      </c>
      <c r="I7540" s="222">
        <v>48495.38</v>
      </c>
      <c r="J7540" s="222">
        <v>54540.54</v>
      </c>
      <c r="K7540" s="222">
        <v>5665.68</v>
      </c>
      <c r="L7540" s="43">
        <v>7.188094521721017</v>
      </c>
      <c r="M7540" s="43">
        <v>11.500435161009573</v>
      </c>
      <c r="N7540" s="43">
        <v>5.4901628007404701</v>
      </c>
      <c r="O7540" s="43">
        <v>5.83254923357251</v>
      </c>
      <c r="P7540" s="223"/>
      <c r="Q7540" s="223"/>
      <c r="R7540" s="223">
        <v>21</v>
      </c>
    </row>
    <row r="7541" spans="1:18" ht="72">
      <c r="A7541" s="219">
        <v>472</v>
      </c>
      <c r="B7541" s="216" t="s">
        <v>13876</v>
      </c>
      <c r="C7541" s="220" t="s">
        <v>13877</v>
      </c>
      <c r="D7541" s="221">
        <v>17140.310000000001</v>
      </c>
      <c r="E7541" s="221">
        <v>4664.9399999999996</v>
      </c>
      <c r="F7541" s="221">
        <v>11398.86</v>
      </c>
      <c r="G7541" s="221">
        <v>1076.51</v>
      </c>
      <c r="H7541" s="222">
        <v>122451.61</v>
      </c>
      <c r="I7541" s="222">
        <v>53648.84</v>
      </c>
      <c r="J7541" s="222">
        <v>62566.94</v>
      </c>
      <c r="K7541" s="222">
        <v>6235.83</v>
      </c>
      <c r="L7541" s="43">
        <v>7.1440720733755683</v>
      </c>
      <c r="M7541" s="43">
        <v>11.500435161009573</v>
      </c>
      <c r="N7541" s="43">
        <v>5.4888769578712253</v>
      </c>
      <c r="O7541" s="43">
        <v>5.7926354608874977</v>
      </c>
      <c r="P7541" s="223"/>
      <c r="Q7541" s="223"/>
      <c r="R7541" s="223">
        <v>21</v>
      </c>
    </row>
    <row r="7542" spans="1:18" ht="72">
      <c r="A7542" s="219">
        <v>473</v>
      </c>
      <c r="B7542" s="216" t="s">
        <v>13878</v>
      </c>
      <c r="C7542" s="220" t="s">
        <v>13879</v>
      </c>
      <c r="D7542" s="221">
        <v>18846.98</v>
      </c>
      <c r="E7542" s="221">
        <v>5216.46</v>
      </c>
      <c r="F7542" s="221">
        <v>12488.31</v>
      </c>
      <c r="G7542" s="221">
        <v>1142.21</v>
      </c>
      <c r="H7542" s="222">
        <v>135400.04</v>
      </c>
      <c r="I7542" s="222">
        <v>59991.56</v>
      </c>
      <c r="J7542" s="222">
        <v>68580.73</v>
      </c>
      <c r="K7542" s="222">
        <v>6827.75</v>
      </c>
      <c r="L7542" s="43">
        <v>7.1841769875067527</v>
      </c>
      <c r="M7542" s="43">
        <v>11.500435161009573</v>
      </c>
      <c r="N7542" s="43">
        <v>5.491594138838642</v>
      </c>
      <c r="O7542" s="43">
        <v>5.9776661034310674</v>
      </c>
      <c r="P7542" s="223"/>
      <c r="Q7542" s="223"/>
      <c r="R7542" s="223">
        <v>21</v>
      </c>
    </row>
    <row r="7543" spans="1:18" ht="72">
      <c r="A7543" s="219">
        <v>474</v>
      </c>
      <c r="B7543" s="216" t="s">
        <v>13880</v>
      </c>
      <c r="C7543" s="220" t="s">
        <v>13881</v>
      </c>
      <c r="D7543" s="221">
        <v>23105.13</v>
      </c>
      <c r="E7543" s="221">
        <v>6434.4</v>
      </c>
      <c r="F7543" s="221">
        <v>14241.97</v>
      </c>
      <c r="G7543" s="221">
        <v>2428.7600000000002</v>
      </c>
      <c r="H7543" s="222">
        <v>166301.43</v>
      </c>
      <c r="I7543" s="222">
        <v>73998.399999999994</v>
      </c>
      <c r="J7543" s="222">
        <v>78320.539999999994</v>
      </c>
      <c r="K7543" s="222">
        <v>13982.49</v>
      </c>
      <c r="L7543" s="43">
        <v>7.1975976763601839</v>
      </c>
      <c r="M7543" s="43">
        <v>11.500435161009573</v>
      </c>
      <c r="N7543" s="43">
        <v>5.499277136519737</v>
      </c>
      <c r="O7543" s="43">
        <v>5.7570488644411135</v>
      </c>
      <c r="P7543" s="223"/>
      <c r="Q7543" s="223"/>
      <c r="R7543" s="223">
        <v>21</v>
      </c>
    </row>
    <row r="7544" spans="1:18" ht="72">
      <c r="A7544" s="219">
        <v>475</v>
      </c>
      <c r="B7544" s="216" t="s">
        <v>13882</v>
      </c>
      <c r="C7544" s="220" t="s">
        <v>13883</v>
      </c>
      <c r="D7544" s="221">
        <v>25131.24</v>
      </c>
      <c r="E7544" s="221">
        <v>6859.53</v>
      </c>
      <c r="F7544" s="221">
        <v>14680.46</v>
      </c>
      <c r="G7544" s="221">
        <v>3591.25</v>
      </c>
      <c r="H7544" s="222">
        <v>180045.25</v>
      </c>
      <c r="I7544" s="222">
        <v>78887.58</v>
      </c>
      <c r="J7544" s="222">
        <v>80773.279999999999</v>
      </c>
      <c r="K7544" s="222">
        <v>20384.39</v>
      </c>
      <c r="L7544" s="43">
        <v>7.1642008114203675</v>
      </c>
      <c r="M7544" s="43">
        <v>11.500435161009575</v>
      </c>
      <c r="N7544" s="43">
        <v>5.5020946210132387</v>
      </c>
      <c r="O7544" s="43">
        <v>5.6761266968325792</v>
      </c>
      <c r="P7544" s="223"/>
      <c r="Q7544" s="223"/>
      <c r="R7544" s="223">
        <v>21</v>
      </c>
    </row>
    <row r="7545" spans="1:18" ht="72">
      <c r="A7545" s="219">
        <v>476</v>
      </c>
      <c r="B7545" s="216" t="s">
        <v>13884</v>
      </c>
      <c r="C7545" s="220" t="s">
        <v>13885</v>
      </c>
      <c r="D7545" s="221">
        <v>29474.57</v>
      </c>
      <c r="E7545" s="221">
        <v>8433.66</v>
      </c>
      <c r="F7545" s="221">
        <v>15876.23</v>
      </c>
      <c r="G7545" s="221">
        <v>5164.68</v>
      </c>
      <c r="H7545" s="222">
        <v>213643.73</v>
      </c>
      <c r="I7545" s="222">
        <v>96990.76</v>
      </c>
      <c r="J7545" s="222">
        <v>87503.52</v>
      </c>
      <c r="K7545" s="222">
        <v>29149.45</v>
      </c>
      <c r="L7545" s="43">
        <v>7.2484087130024291</v>
      </c>
      <c r="M7545" s="43">
        <v>11.500435161009573</v>
      </c>
      <c r="N7545" s="43">
        <v>5.5116057149587787</v>
      </c>
      <c r="O7545" s="43">
        <v>5.6439992409984745</v>
      </c>
      <c r="P7545" s="223"/>
      <c r="Q7545" s="223"/>
      <c r="R7545" s="223">
        <v>21</v>
      </c>
    </row>
    <row r="7546" spans="1:18" ht="26.25" customHeight="1">
      <c r="A7546" s="628" t="s">
        <v>13886</v>
      </c>
      <c r="B7546" s="629"/>
      <c r="C7546" s="629"/>
      <c r="D7546" s="629"/>
      <c r="E7546" s="629"/>
      <c r="F7546" s="629"/>
      <c r="G7546" s="629"/>
      <c r="H7546" s="629"/>
      <c r="I7546" s="629"/>
      <c r="J7546" s="629"/>
      <c r="K7546" s="629"/>
      <c r="L7546" s="629"/>
      <c r="M7546" s="629"/>
      <c r="N7546" s="629"/>
      <c r="O7546" s="629"/>
      <c r="P7546" s="629"/>
      <c r="Q7546" s="629"/>
      <c r="R7546" s="629"/>
    </row>
    <row r="7547" spans="1:18" ht="60">
      <c r="A7547" s="219">
        <v>477</v>
      </c>
      <c r="B7547" s="216" t="s">
        <v>13887</v>
      </c>
      <c r="C7547" s="220" t="s">
        <v>13888</v>
      </c>
      <c r="D7547" s="221">
        <v>4983.8100000000004</v>
      </c>
      <c r="E7547" s="221">
        <v>1344.33</v>
      </c>
      <c r="F7547" s="221">
        <v>3584.87</v>
      </c>
      <c r="G7547" s="221">
        <v>54.61</v>
      </c>
      <c r="H7547" s="222">
        <v>35583.120000000003</v>
      </c>
      <c r="I7547" s="222">
        <v>15460.38</v>
      </c>
      <c r="J7547" s="222">
        <v>19667.12</v>
      </c>
      <c r="K7547" s="222">
        <v>455.62</v>
      </c>
      <c r="L7547" s="43">
        <v>7.1397424861702188</v>
      </c>
      <c r="M7547" s="43">
        <v>11.500435161009573</v>
      </c>
      <c r="N7547" s="43">
        <v>5.4861459411359403</v>
      </c>
      <c r="O7547" s="43">
        <v>8.3431605932979309</v>
      </c>
      <c r="P7547" s="223"/>
      <c r="Q7547" s="223"/>
      <c r="R7547" s="223">
        <v>22</v>
      </c>
    </row>
    <row r="7548" spans="1:18" ht="60">
      <c r="A7548" s="219">
        <v>478</v>
      </c>
      <c r="B7548" s="216" t="s">
        <v>13889</v>
      </c>
      <c r="C7548" s="220" t="s">
        <v>13890</v>
      </c>
      <c r="D7548" s="221">
        <v>4998.17</v>
      </c>
      <c r="E7548" s="221">
        <v>1344.33</v>
      </c>
      <c r="F7548" s="221">
        <v>3593.48</v>
      </c>
      <c r="G7548" s="221">
        <v>60.36</v>
      </c>
      <c r="H7548" s="222">
        <v>35660.6</v>
      </c>
      <c r="I7548" s="222">
        <v>15460.38</v>
      </c>
      <c r="J7548" s="222">
        <v>19715.740000000002</v>
      </c>
      <c r="K7548" s="222">
        <v>484.48</v>
      </c>
      <c r="L7548" s="43">
        <v>7.134731311660067</v>
      </c>
      <c r="M7548" s="43">
        <v>11.500435161009573</v>
      </c>
      <c r="N7548" s="43">
        <v>5.4865311619933887</v>
      </c>
      <c r="O7548" s="43">
        <v>8.0265076209410218</v>
      </c>
      <c r="P7548" s="223"/>
      <c r="Q7548" s="223"/>
      <c r="R7548" s="223">
        <v>22</v>
      </c>
    </row>
    <row r="7549" spans="1:18" ht="60">
      <c r="A7549" s="219">
        <v>479</v>
      </c>
      <c r="B7549" s="216" t="s">
        <v>13891</v>
      </c>
      <c r="C7549" s="220" t="s">
        <v>13892</v>
      </c>
      <c r="D7549" s="221">
        <v>6393.91</v>
      </c>
      <c r="E7549" s="221">
        <v>1826.91</v>
      </c>
      <c r="F7549" s="221">
        <v>4473.67</v>
      </c>
      <c r="G7549" s="221">
        <v>93.33</v>
      </c>
      <c r="H7549" s="222">
        <v>46371.47</v>
      </c>
      <c r="I7549" s="222">
        <v>21010.26</v>
      </c>
      <c r="J7549" s="222">
        <v>24643.21</v>
      </c>
      <c r="K7549" s="222">
        <v>718</v>
      </c>
      <c r="L7549" s="43">
        <v>7.2524433406163054</v>
      </c>
      <c r="M7549" s="43">
        <v>11.500435161009571</v>
      </c>
      <c r="N7549" s="43">
        <v>5.5084997328815044</v>
      </c>
      <c r="O7549" s="43">
        <v>7.6931318975677705</v>
      </c>
      <c r="P7549" s="223"/>
      <c r="Q7549" s="223"/>
      <c r="R7549" s="223">
        <v>22</v>
      </c>
    </row>
    <row r="7550" spans="1:18" ht="60">
      <c r="A7550" s="219">
        <v>480</v>
      </c>
      <c r="B7550" s="216" t="s">
        <v>13893</v>
      </c>
      <c r="C7550" s="220" t="s">
        <v>13894</v>
      </c>
      <c r="D7550" s="221">
        <v>6512.78</v>
      </c>
      <c r="E7550" s="221">
        <v>1849.89</v>
      </c>
      <c r="F7550" s="221">
        <v>4544.71</v>
      </c>
      <c r="G7550" s="221">
        <v>118.18</v>
      </c>
      <c r="H7550" s="222">
        <v>47169.46</v>
      </c>
      <c r="I7550" s="222">
        <v>21274.54</v>
      </c>
      <c r="J7550" s="222">
        <v>25046.14</v>
      </c>
      <c r="K7550" s="222">
        <v>848.78</v>
      </c>
      <c r="L7550" s="43">
        <v>7.2425999342830556</v>
      </c>
      <c r="M7550" s="43">
        <v>11.500435161009573</v>
      </c>
      <c r="N7550" s="43">
        <v>5.5110535105650307</v>
      </c>
      <c r="O7550" s="43">
        <v>7.182095109155525</v>
      </c>
      <c r="P7550" s="223"/>
      <c r="Q7550" s="223"/>
      <c r="R7550" s="223">
        <v>22</v>
      </c>
    </row>
    <row r="7551" spans="1:18" ht="60">
      <c r="A7551" s="219">
        <v>481</v>
      </c>
      <c r="B7551" s="216" t="s">
        <v>13895</v>
      </c>
      <c r="C7551" s="220" t="s">
        <v>13896</v>
      </c>
      <c r="D7551" s="221">
        <v>7139.62</v>
      </c>
      <c r="E7551" s="221">
        <v>2068.1999999999998</v>
      </c>
      <c r="F7551" s="221">
        <v>4873.7299999999996</v>
      </c>
      <c r="G7551" s="221">
        <v>197.69</v>
      </c>
      <c r="H7551" s="222">
        <v>51924.27</v>
      </c>
      <c r="I7551" s="222">
        <v>23785.200000000001</v>
      </c>
      <c r="J7551" s="222">
        <v>26831.279999999999</v>
      </c>
      <c r="K7551" s="222">
        <v>1307.79</v>
      </c>
      <c r="L7551" s="43">
        <v>7.2726937848232813</v>
      </c>
      <c r="M7551" s="43">
        <v>11.500435161009575</v>
      </c>
      <c r="N7551" s="43">
        <v>5.5052865054075628</v>
      </c>
      <c r="O7551" s="43">
        <v>6.6153573777125798</v>
      </c>
      <c r="P7551" s="223"/>
      <c r="Q7551" s="223"/>
      <c r="R7551" s="223">
        <v>22</v>
      </c>
    </row>
    <row r="7552" spans="1:18" ht="60">
      <c r="A7552" s="219">
        <v>482</v>
      </c>
      <c r="B7552" s="216" t="s">
        <v>13897</v>
      </c>
      <c r="C7552" s="220" t="s">
        <v>13898</v>
      </c>
      <c r="D7552" s="221">
        <v>8358.6200000000008</v>
      </c>
      <c r="E7552" s="221">
        <v>2332.4699999999998</v>
      </c>
      <c r="F7552" s="221">
        <v>5804.77</v>
      </c>
      <c r="G7552" s="221">
        <v>221.38</v>
      </c>
      <c r="H7552" s="222">
        <v>60233.84</v>
      </c>
      <c r="I7552" s="222">
        <v>26824.42</v>
      </c>
      <c r="J7552" s="222">
        <v>31945.74</v>
      </c>
      <c r="K7552" s="222">
        <v>1463.68</v>
      </c>
      <c r="L7552" s="43">
        <v>7.206194323943425</v>
      </c>
      <c r="M7552" s="43">
        <v>11.500435161009573</v>
      </c>
      <c r="N7552" s="43">
        <v>5.5033601675863126</v>
      </c>
      <c r="O7552" s="43">
        <v>6.6116180323425784</v>
      </c>
      <c r="P7552" s="223"/>
      <c r="Q7552" s="223"/>
      <c r="R7552" s="223">
        <v>22</v>
      </c>
    </row>
    <row r="7553" spans="1:18" ht="60">
      <c r="A7553" s="219">
        <v>483</v>
      </c>
      <c r="B7553" s="216" t="s">
        <v>13899</v>
      </c>
      <c r="C7553" s="220" t="s">
        <v>13900</v>
      </c>
      <c r="D7553" s="221">
        <v>9058.14</v>
      </c>
      <c r="E7553" s="221">
        <v>2642.7</v>
      </c>
      <c r="F7553" s="221">
        <v>6154.42</v>
      </c>
      <c r="G7553" s="221">
        <v>261.02</v>
      </c>
      <c r="H7553" s="222">
        <v>66022.960000000006</v>
      </c>
      <c r="I7553" s="222">
        <v>30392.2</v>
      </c>
      <c r="J7553" s="222">
        <v>33891.65</v>
      </c>
      <c r="K7553" s="222">
        <v>1739.11</v>
      </c>
      <c r="L7553" s="43">
        <v>7.2887988041695104</v>
      </c>
      <c r="M7553" s="43">
        <v>11.500435161009575</v>
      </c>
      <c r="N7553" s="43">
        <v>5.5068796084765097</v>
      </c>
      <c r="O7553" s="43">
        <v>6.662746149720328</v>
      </c>
      <c r="P7553" s="223"/>
      <c r="Q7553" s="223"/>
      <c r="R7553" s="223">
        <v>22</v>
      </c>
    </row>
    <row r="7554" spans="1:18" ht="60">
      <c r="A7554" s="219">
        <v>484</v>
      </c>
      <c r="B7554" s="216" t="s">
        <v>13901</v>
      </c>
      <c r="C7554" s="220" t="s">
        <v>13902</v>
      </c>
      <c r="D7554" s="221">
        <v>11743.93</v>
      </c>
      <c r="E7554" s="221">
        <v>3538.92</v>
      </c>
      <c r="F7554" s="221">
        <v>7441.18</v>
      </c>
      <c r="G7554" s="221">
        <v>763.83</v>
      </c>
      <c r="H7554" s="222">
        <v>86283.02</v>
      </c>
      <c r="I7554" s="222">
        <v>40699.120000000003</v>
      </c>
      <c r="J7554" s="222">
        <v>40998.17</v>
      </c>
      <c r="K7554" s="222">
        <v>4585.7299999999996</v>
      </c>
      <c r="L7554" s="43">
        <v>7.3470311897295026</v>
      </c>
      <c r="M7554" s="43">
        <v>11.500435161009573</v>
      </c>
      <c r="N7554" s="43">
        <v>5.5096328808065387</v>
      </c>
      <c r="O7554" s="43">
        <v>6.0036002775486681</v>
      </c>
      <c r="P7554" s="223"/>
      <c r="Q7554" s="223"/>
      <c r="R7554" s="223">
        <v>22</v>
      </c>
    </row>
    <row r="7555" spans="1:18" ht="60">
      <c r="A7555" s="219">
        <v>485</v>
      </c>
      <c r="B7555" s="216" t="s">
        <v>13903</v>
      </c>
      <c r="C7555" s="220" t="s">
        <v>13904</v>
      </c>
      <c r="D7555" s="221">
        <v>12894.78</v>
      </c>
      <c r="E7555" s="221">
        <v>3929.58</v>
      </c>
      <c r="F7555" s="221">
        <v>7779.12</v>
      </c>
      <c r="G7555" s="221">
        <v>1186.08</v>
      </c>
      <c r="H7555" s="222">
        <v>94991.31</v>
      </c>
      <c r="I7555" s="222">
        <v>45191.88</v>
      </c>
      <c r="J7555" s="222">
        <v>42870.74</v>
      </c>
      <c r="K7555" s="222">
        <v>6928.69</v>
      </c>
      <c r="L7555" s="43">
        <v>7.366648364687105</v>
      </c>
      <c r="M7555" s="43">
        <v>11.500435161009573</v>
      </c>
      <c r="N7555" s="43">
        <v>5.511001244356688</v>
      </c>
      <c r="O7555" s="43">
        <v>5.8416717253473625</v>
      </c>
      <c r="P7555" s="223"/>
      <c r="Q7555" s="223"/>
      <c r="R7555" s="223">
        <v>22</v>
      </c>
    </row>
    <row r="7556" spans="1:18" ht="60">
      <c r="A7556" s="219">
        <v>486</v>
      </c>
      <c r="B7556" s="216" t="s">
        <v>13905</v>
      </c>
      <c r="C7556" s="220" t="s">
        <v>13906</v>
      </c>
      <c r="D7556" s="221">
        <v>13618.36</v>
      </c>
      <c r="E7556" s="221">
        <v>4228.32</v>
      </c>
      <c r="F7556" s="221">
        <v>7866.51</v>
      </c>
      <c r="G7556" s="221">
        <v>1523.53</v>
      </c>
      <c r="H7556" s="222">
        <v>100754.88</v>
      </c>
      <c r="I7556" s="222">
        <v>48627.519999999997</v>
      </c>
      <c r="J7556" s="222">
        <v>43318.86</v>
      </c>
      <c r="K7556" s="222">
        <v>8808.5</v>
      </c>
      <c r="L7556" s="43">
        <v>7.3984591389858982</v>
      </c>
      <c r="M7556" s="43">
        <v>11.500435161009573</v>
      </c>
      <c r="N7556" s="43">
        <v>5.506744413977736</v>
      </c>
      <c r="O7556" s="43">
        <v>5.7816386943479943</v>
      </c>
      <c r="P7556" s="223"/>
      <c r="Q7556" s="223"/>
      <c r="R7556" s="223">
        <v>22</v>
      </c>
    </row>
    <row r="7557" spans="1:18" ht="27" customHeight="1">
      <c r="A7557" s="628" t="s">
        <v>13907</v>
      </c>
      <c r="B7557" s="629"/>
      <c r="C7557" s="629"/>
      <c r="D7557" s="629"/>
      <c r="E7557" s="629"/>
      <c r="F7557" s="629"/>
      <c r="G7557" s="629"/>
      <c r="H7557" s="629"/>
      <c r="I7557" s="629"/>
      <c r="J7557" s="629"/>
      <c r="K7557" s="629"/>
      <c r="L7557" s="629"/>
      <c r="M7557" s="629"/>
      <c r="N7557" s="629"/>
      <c r="O7557" s="629"/>
      <c r="P7557" s="629"/>
      <c r="Q7557" s="629"/>
      <c r="R7557" s="629"/>
    </row>
    <row r="7558" spans="1:18" ht="60">
      <c r="A7558" s="219">
        <v>487</v>
      </c>
      <c r="B7558" s="216" t="s">
        <v>13908</v>
      </c>
      <c r="C7558" s="220" t="s">
        <v>13909</v>
      </c>
      <c r="D7558" s="221">
        <v>5441.48</v>
      </c>
      <c r="E7558" s="221">
        <v>1459.23</v>
      </c>
      <c r="F7558" s="221">
        <v>3917.92</v>
      </c>
      <c r="G7558" s="221">
        <v>64.33</v>
      </c>
      <c r="H7558" s="222">
        <v>38760.42</v>
      </c>
      <c r="I7558" s="222">
        <v>16781.78</v>
      </c>
      <c r="J7558" s="222">
        <v>21456.15</v>
      </c>
      <c r="K7558" s="222">
        <v>522.49</v>
      </c>
      <c r="L7558" s="43">
        <v>7.1231392929864672</v>
      </c>
      <c r="M7558" s="43">
        <v>11.500435161009573</v>
      </c>
      <c r="N7558" s="43">
        <v>5.4764135051251683</v>
      </c>
      <c r="O7558" s="43">
        <v>8.1220270480335781</v>
      </c>
      <c r="P7558" s="223"/>
      <c r="Q7558" s="223"/>
      <c r="R7558" s="223">
        <v>23</v>
      </c>
    </row>
    <row r="7559" spans="1:18" ht="60">
      <c r="A7559" s="219">
        <v>488</v>
      </c>
      <c r="B7559" s="216" t="s">
        <v>13910</v>
      </c>
      <c r="C7559" s="220" t="s">
        <v>13911</v>
      </c>
      <c r="D7559" s="221">
        <v>5458.52</v>
      </c>
      <c r="E7559" s="221">
        <v>1459.23</v>
      </c>
      <c r="F7559" s="221">
        <v>3927.71</v>
      </c>
      <c r="G7559" s="221">
        <v>71.58</v>
      </c>
      <c r="H7559" s="222">
        <v>38852.120000000003</v>
      </c>
      <c r="I7559" s="222">
        <v>16781.78</v>
      </c>
      <c r="J7559" s="222">
        <v>21510.82</v>
      </c>
      <c r="K7559" s="222">
        <v>559.52</v>
      </c>
      <c r="L7559" s="43">
        <v>7.1177022343052698</v>
      </c>
      <c r="M7559" s="43">
        <v>11.500435161009573</v>
      </c>
      <c r="N7559" s="43">
        <v>5.4766823416189077</v>
      </c>
      <c r="O7559" s="43">
        <v>7.8167085778150325</v>
      </c>
      <c r="P7559" s="223"/>
      <c r="Q7559" s="223"/>
      <c r="R7559" s="223">
        <v>23</v>
      </c>
    </row>
    <row r="7560" spans="1:18" ht="60">
      <c r="A7560" s="219">
        <v>489</v>
      </c>
      <c r="B7560" s="216" t="s">
        <v>13912</v>
      </c>
      <c r="C7560" s="220" t="s">
        <v>13913</v>
      </c>
      <c r="D7560" s="221">
        <v>7078.16</v>
      </c>
      <c r="E7560" s="221">
        <v>1987.77</v>
      </c>
      <c r="F7560" s="221">
        <v>4974.87</v>
      </c>
      <c r="G7560" s="221">
        <v>115.52</v>
      </c>
      <c r="H7560" s="222">
        <v>51049.75</v>
      </c>
      <c r="I7560" s="222">
        <v>22860.22</v>
      </c>
      <c r="J7560" s="222">
        <v>27333.84</v>
      </c>
      <c r="K7560" s="222">
        <v>855.69</v>
      </c>
      <c r="L7560" s="43">
        <v>7.2122910473908473</v>
      </c>
      <c r="M7560" s="43">
        <v>11.500435161009575</v>
      </c>
      <c r="N7560" s="43">
        <v>5.4943827677909169</v>
      </c>
      <c r="O7560" s="43">
        <v>7.4072887811634356</v>
      </c>
      <c r="P7560" s="223"/>
      <c r="Q7560" s="223"/>
      <c r="R7560" s="223">
        <v>23</v>
      </c>
    </row>
    <row r="7561" spans="1:18" ht="60">
      <c r="A7561" s="219">
        <v>490</v>
      </c>
      <c r="B7561" s="216" t="s">
        <v>13914</v>
      </c>
      <c r="C7561" s="220" t="s">
        <v>13915</v>
      </c>
      <c r="D7561" s="221">
        <v>7179.74</v>
      </c>
      <c r="E7561" s="221">
        <v>1999.26</v>
      </c>
      <c r="F7561" s="221">
        <v>5044.24</v>
      </c>
      <c r="G7561" s="221">
        <v>136.24</v>
      </c>
      <c r="H7561" s="222">
        <v>51686.29</v>
      </c>
      <c r="I7561" s="222">
        <v>22992.36</v>
      </c>
      <c r="J7561" s="222">
        <v>27729.02</v>
      </c>
      <c r="K7561" s="222">
        <v>964.91</v>
      </c>
      <c r="L7561" s="43">
        <v>7.1989083170142658</v>
      </c>
      <c r="M7561" s="43">
        <v>11.500435161009573</v>
      </c>
      <c r="N7561" s="43">
        <v>5.4971650833425851</v>
      </c>
      <c r="O7561" s="43">
        <v>7.0824280681150906</v>
      </c>
      <c r="P7561" s="223"/>
      <c r="Q7561" s="223"/>
      <c r="R7561" s="223">
        <v>23</v>
      </c>
    </row>
    <row r="7562" spans="1:18" ht="60">
      <c r="A7562" s="219">
        <v>491</v>
      </c>
      <c r="B7562" s="216" t="s">
        <v>13916</v>
      </c>
      <c r="C7562" s="220" t="s">
        <v>13917</v>
      </c>
      <c r="D7562" s="221">
        <v>7607.52</v>
      </c>
      <c r="E7562" s="221">
        <v>2206.08</v>
      </c>
      <c r="F7562" s="221">
        <v>5200.99</v>
      </c>
      <c r="G7562" s="221">
        <v>200.45</v>
      </c>
      <c r="H7562" s="222">
        <v>55301.78</v>
      </c>
      <c r="I7562" s="222">
        <v>25370.880000000001</v>
      </c>
      <c r="J7562" s="222">
        <v>28591.37</v>
      </c>
      <c r="K7562" s="222">
        <v>1339.53</v>
      </c>
      <c r="L7562" s="43">
        <v>7.2693571623866902</v>
      </c>
      <c r="M7562" s="43">
        <v>11.500435161009575</v>
      </c>
      <c r="N7562" s="43">
        <v>5.4972937844525758</v>
      </c>
      <c r="O7562" s="43">
        <v>6.6826141182339738</v>
      </c>
      <c r="P7562" s="223"/>
      <c r="Q7562" s="223"/>
      <c r="R7562" s="223">
        <v>23</v>
      </c>
    </row>
    <row r="7563" spans="1:18" ht="60">
      <c r="A7563" s="219">
        <v>492</v>
      </c>
      <c r="B7563" s="216" t="s">
        <v>13918</v>
      </c>
      <c r="C7563" s="220" t="s">
        <v>13919</v>
      </c>
      <c r="D7563" s="221">
        <v>8907.7900000000009</v>
      </c>
      <c r="E7563" s="221">
        <v>2470.35</v>
      </c>
      <c r="F7563" s="221">
        <v>6213.3</v>
      </c>
      <c r="G7563" s="221">
        <v>224.14</v>
      </c>
      <c r="H7563" s="222">
        <v>64047.48</v>
      </c>
      <c r="I7563" s="222">
        <v>28410.1</v>
      </c>
      <c r="J7563" s="222">
        <v>34141.96</v>
      </c>
      <c r="K7563" s="222">
        <v>1495.42</v>
      </c>
      <c r="L7563" s="43">
        <v>7.1900527515803576</v>
      </c>
      <c r="M7563" s="43">
        <v>11.500435161009573</v>
      </c>
      <c r="N7563" s="43">
        <v>5.4949801232839226</v>
      </c>
      <c r="O7563" s="43">
        <v>6.671812260194522</v>
      </c>
      <c r="P7563" s="223"/>
      <c r="Q7563" s="223"/>
      <c r="R7563" s="223">
        <v>23</v>
      </c>
    </row>
    <row r="7564" spans="1:18" ht="60">
      <c r="A7564" s="219">
        <v>493</v>
      </c>
      <c r="B7564" s="216" t="s">
        <v>13920</v>
      </c>
      <c r="C7564" s="220" t="s">
        <v>13921</v>
      </c>
      <c r="D7564" s="221">
        <v>9621.1299999999992</v>
      </c>
      <c r="E7564" s="221">
        <v>2780.58</v>
      </c>
      <c r="F7564" s="221">
        <v>6576.77</v>
      </c>
      <c r="G7564" s="221">
        <v>263.77999999999997</v>
      </c>
      <c r="H7564" s="222">
        <v>69918.789999999994</v>
      </c>
      <c r="I7564" s="222">
        <v>31977.88</v>
      </c>
      <c r="J7564" s="222">
        <v>36170.06</v>
      </c>
      <c r="K7564" s="222">
        <v>1770.85</v>
      </c>
      <c r="L7564" s="43">
        <v>7.2672118555720582</v>
      </c>
      <c r="M7564" s="43">
        <v>11.500435161009575</v>
      </c>
      <c r="N7564" s="43">
        <v>5.4996692905483995</v>
      </c>
      <c r="O7564" s="43">
        <v>6.7133596178633717</v>
      </c>
      <c r="P7564" s="223"/>
      <c r="Q7564" s="223"/>
      <c r="R7564" s="223">
        <v>23</v>
      </c>
    </row>
    <row r="7565" spans="1:18" ht="60">
      <c r="A7565" s="219">
        <v>494</v>
      </c>
      <c r="B7565" s="216" t="s">
        <v>13922</v>
      </c>
      <c r="C7565" s="220" t="s">
        <v>13923</v>
      </c>
      <c r="D7565" s="221">
        <v>12301.04</v>
      </c>
      <c r="E7565" s="221">
        <v>3676.8</v>
      </c>
      <c r="F7565" s="221">
        <v>7857.65</v>
      </c>
      <c r="G7565" s="221">
        <v>766.59</v>
      </c>
      <c r="H7565" s="222">
        <v>90148.59</v>
      </c>
      <c r="I7565" s="222">
        <v>42284.800000000003</v>
      </c>
      <c r="J7565" s="222">
        <v>43246.32</v>
      </c>
      <c r="K7565" s="222">
        <v>4617.47</v>
      </c>
      <c r="L7565" s="43">
        <v>7.3285340101324756</v>
      </c>
      <c r="M7565" s="43">
        <v>11.500435161009573</v>
      </c>
      <c r="N7565" s="43">
        <v>5.503721850680547</v>
      </c>
      <c r="O7565" s="43">
        <v>6.0233892954512847</v>
      </c>
      <c r="P7565" s="223"/>
      <c r="Q7565" s="223"/>
      <c r="R7565" s="223">
        <v>23</v>
      </c>
    </row>
    <row r="7566" spans="1:18" ht="60">
      <c r="A7566" s="219">
        <v>495</v>
      </c>
      <c r="B7566" s="216" t="s">
        <v>13924</v>
      </c>
      <c r="C7566" s="220" t="s">
        <v>13925</v>
      </c>
      <c r="D7566" s="221">
        <v>13396.84</v>
      </c>
      <c r="E7566" s="221">
        <v>4067.46</v>
      </c>
      <c r="F7566" s="221">
        <v>8140.54</v>
      </c>
      <c r="G7566" s="221">
        <v>1188.8399999999999</v>
      </c>
      <c r="H7566" s="222">
        <v>98575.1</v>
      </c>
      <c r="I7566" s="222">
        <v>46777.56</v>
      </c>
      <c r="J7566" s="222">
        <v>44837.11</v>
      </c>
      <c r="K7566" s="222">
        <v>6960.43</v>
      </c>
      <c r="L7566" s="43">
        <v>7.3580859366835769</v>
      </c>
      <c r="M7566" s="43">
        <v>11.500435161009573</v>
      </c>
      <c r="N7566" s="43">
        <v>5.5078790841885183</v>
      </c>
      <c r="O7566" s="43">
        <v>5.8548080481814209</v>
      </c>
      <c r="P7566" s="223"/>
      <c r="Q7566" s="223"/>
      <c r="R7566" s="223">
        <v>23</v>
      </c>
    </row>
    <row r="7567" spans="1:18" ht="60">
      <c r="A7567" s="219">
        <v>496</v>
      </c>
      <c r="B7567" s="216" t="s">
        <v>13926</v>
      </c>
      <c r="C7567" s="220" t="s">
        <v>13927</v>
      </c>
      <c r="D7567" s="221">
        <v>14082.91</v>
      </c>
      <c r="E7567" s="221">
        <v>4366.2</v>
      </c>
      <c r="F7567" s="221">
        <v>8204.7800000000007</v>
      </c>
      <c r="G7567" s="221">
        <v>1511.93</v>
      </c>
      <c r="H7567" s="222">
        <v>104132.75</v>
      </c>
      <c r="I7567" s="222">
        <v>50213.2</v>
      </c>
      <c r="J7567" s="222">
        <v>45155.92</v>
      </c>
      <c r="K7567" s="222">
        <v>8763.6299999999992</v>
      </c>
      <c r="L7567" s="43">
        <v>7.3942636855593058</v>
      </c>
      <c r="M7567" s="43">
        <v>11.500435161009573</v>
      </c>
      <c r="N7567" s="43">
        <v>5.5036113095049464</v>
      </c>
      <c r="O7567" s="43">
        <v>5.7963199354467463</v>
      </c>
      <c r="P7567" s="223"/>
      <c r="Q7567" s="223"/>
      <c r="R7567" s="223">
        <v>23</v>
      </c>
    </row>
    <row r="7568" spans="1:18" ht="30" customHeight="1">
      <c r="A7568" s="628" t="s">
        <v>13928</v>
      </c>
      <c r="B7568" s="629"/>
      <c r="C7568" s="629"/>
      <c r="D7568" s="629"/>
      <c r="E7568" s="629"/>
      <c r="F7568" s="629"/>
      <c r="G7568" s="629"/>
      <c r="H7568" s="629"/>
      <c r="I7568" s="629"/>
      <c r="J7568" s="629"/>
      <c r="K7568" s="629"/>
      <c r="L7568" s="629"/>
      <c r="M7568" s="629"/>
      <c r="N7568" s="629"/>
      <c r="O7568" s="629"/>
      <c r="P7568" s="629"/>
      <c r="Q7568" s="629"/>
      <c r="R7568" s="629"/>
    </row>
    <row r="7569" spans="1:18" ht="60">
      <c r="A7569" s="219">
        <v>497</v>
      </c>
      <c r="B7569" s="216" t="s">
        <v>13929</v>
      </c>
      <c r="C7569" s="220" t="s">
        <v>13930</v>
      </c>
      <c r="D7569" s="221">
        <v>5950.38</v>
      </c>
      <c r="E7569" s="221">
        <v>1597.11</v>
      </c>
      <c r="F7569" s="221">
        <v>4281.9799999999996</v>
      </c>
      <c r="G7569" s="221">
        <v>71.290000000000006</v>
      </c>
      <c r="H7569" s="222">
        <v>42366.48</v>
      </c>
      <c r="I7569" s="222">
        <v>18367.46</v>
      </c>
      <c r="J7569" s="222">
        <v>23425.08</v>
      </c>
      <c r="K7569" s="222">
        <v>573.94000000000005</v>
      </c>
      <c r="L7569" s="43">
        <v>7.1199620864549829</v>
      </c>
      <c r="M7569" s="43">
        <v>11.500435161009573</v>
      </c>
      <c r="N7569" s="43">
        <v>5.4706187324555469</v>
      </c>
      <c r="O7569" s="43">
        <v>8.0507785103100016</v>
      </c>
      <c r="P7569" s="223"/>
      <c r="Q7569" s="223"/>
      <c r="R7569" s="223">
        <v>24</v>
      </c>
    </row>
    <row r="7570" spans="1:18" ht="60">
      <c r="A7570" s="219">
        <v>498</v>
      </c>
      <c r="B7570" s="216" t="s">
        <v>13931</v>
      </c>
      <c r="C7570" s="220" t="s">
        <v>13932</v>
      </c>
      <c r="D7570" s="221">
        <v>5963.55</v>
      </c>
      <c r="E7570" s="221">
        <v>1597.11</v>
      </c>
      <c r="F7570" s="221">
        <v>4285.32</v>
      </c>
      <c r="G7570" s="221">
        <v>81.12</v>
      </c>
      <c r="H7570" s="222">
        <v>42434.080000000002</v>
      </c>
      <c r="I7570" s="222">
        <v>18367.46</v>
      </c>
      <c r="J7570" s="222">
        <v>23440.59</v>
      </c>
      <c r="K7570" s="222">
        <v>626.03</v>
      </c>
      <c r="L7570" s="43">
        <v>7.1155737773641539</v>
      </c>
      <c r="M7570" s="43">
        <v>11.500435161009573</v>
      </c>
      <c r="N7570" s="43">
        <v>5.4699742376298621</v>
      </c>
      <c r="O7570" s="43">
        <v>7.7173323471400384</v>
      </c>
      <c r="P7570" s="223"/>
      <c r="Q7570" s="223"/>
      <c r="R7570" s="223">
        <v>24</v>
      </c>
    </row>
    <row r="7571" spans="1:18" ht="60">
      <c r="A7571" s="219">
        <v>499</v>
      </c>
      <c r="B7571" s="216" t="s">
        <v>13933</v>
      </c>
      <c r="C7571" s="220" t="s">
        <v>13934</v>
      </c>
      <c r="D7571" s="221">
        <v>7663.31</v>
      </c>
      <c r="E7571" s="221">
        <v>2160.12</v>
      </c>
      <c r="F7571" s="221">
        <v>5392.46</v>
      </c>
      <c r="G7571" s="221">
        <v>110.73</v>
      </c>
      <c r="H7571" s="222">
        <v>55235.27</v>
      </c>
      <c r="I7571" s="222">
        <v>24842.32</v>
      </c>
      <c r="J7571" s="222">
        <v>29576.25</v>
      </c>
      <c r="K7571" s="222">
        <v>816.7</v>
      </c>
      <c r="L7571" s="43">
        <v>7.2077561784659627</v>
      </c>
      <c r="M7571" s="43">
        <v>11.500435161009573</v>
      </c>
      <c r="N7571" s="43">
        <v>5.4847416577962562</v>
      </c>
      <c r="O7571" s="43">
        <v>7.3755983021764653</v>
      </c>
      <c r="P7571" s="223"/>
      <c r="Q7571" s="223"/>
      <c r="R7571" s="223">
        <v>24</v>
      </c>
    </row>
    <row r="7572" spans="1:18" ht="60">
      <c r="A7572" s="219">
        <v>500</v>
      </c>
      <c r="B7572" s="216" t="s">
        <v>13935</v>
      </c>
      <c r="C7572" s="220" t="s">
        <v>13936</v>
      </c>
      <c r="D7572" s="221">
        <v>7780.42</v>
      </c>
      <c r="E7572" s="221">
        <v>2171.61</v>
      </c>
      <c r="F7572" s="221">
        <v>5460.16</v>
      </c>
      <c r="G7572" s="221">
        <v>148.65</v>
      </c>
      <c r="H7572" s="222">
        <v>55991.71</v>
      </c>
      <c r="I7572" s="222">
        <v>24974.46</v>
      </c>
      <c r="J7572" s="222">
        <v>29963.66</v>
      </c>
      <c r="K7572" s="222">
        <v>1053.5899999999999</v>
      </c>
      <c r="L7572" s="43">
        <v>7.1964893926034836</v>
      </c>
      <c r="M7572" s="43">
        <v>11.500435161009573</v>
      </c>
      <c r="N7572" s="43">
        <v>5.48768900545039</v>
      </c>
      <c r="O7572" s="43">
        <v>7.0877228388832823</v>
      </c>
      <c r="P7572" s="223"/>
      <c r="Q7572" s="223"/>
      <c r="R7572" s="223">
        <v>24</v>
      </c>
    </row>
    <row r="7573" spans="1:18" ht="60">
      <c r="A7573" s="219">
        <v>501</v>
      </c>
      <c r="B7573" s="216" t="s">
        <v>13937</v>
      </c>
      <c r="C7573" s="220" t="s">
        <v>13938</v>
      </c>
      <c r="D7573" s="221">
        <v>8455.2800000000007</v>
      </c>
      <c r="E7573" s="221">
        <v>2412.9</v>
      </c>
      <c r="F7573" s="221">
        <v>5791.01</v>
      </c>
      <c r="G7573" s="221">
        <v>251.37</v>
      </c>
      <c r="H7573" s="222">
        <v>61141.73</v>
      </c>
      <c r="I7573" s="222">
        <v>27749.4</v>
      </c>
      <c r="J7573" s="222">
        <v>31756.15</v>
      </c>
      <c r="K7573" s="222">
        <v>1636.18</v>
      </c>
      <c r="L7573" s="43">
        <v>7.2311892687172987</v>
      </c>
      <c r="M7573" s="43">
        <v>11.500435161009573</v>
      </c>
      <c r="N7573" s="43">
        <v>5.4836980077741186</v>
      </c>
      <c r="O7573" s="43">
        <v>6.5090504037872456</v>
      </c>
      <c r="P7573" s="223"/>
      <c r="Q7573" s="223"/>
      <c r="R7573" s="223">
        <v>24</v>
      </c>
    </row>
    <row r="7574" spans="1:18" ht="60">
      <c r="A7574" s="219">
        <v>502</v>
      </c>
      <c r="B7574" s="216" t="s">
        <v>13939</v>
      </c>
      <c r="C7574" s="220" t="s">
        <v>13940</v>
      </c>
      <c r="D7574" s="221">
        <v>9792.48</v>
      </c>
      <c r="E7574" s="221">
        <v>2723.13</v>
      </c>
      <c r="F7574" s="221">
        <v>6804.24</v>
      </c>
      <c r="G7574" s="221">
        <v>265.11</v>
      </c>
      <c r="H7574" s="222">
        <v>70369.289999999994</v>
      </c>
      <c r="I7574" s="222">
        <v>31317.18</v>
      </c>
      <c r="J7574" s="222">
        <v>37311.870000000003</v>
      </c>
      <c r="K7574" s="222">
        <v>1740.24</v>
      </c>
      <c r="L7574" s="43">
        <v>7.1860539924513498</v>
      </c>
      <c r="M7574" s="43">
        <v>11.500435161009573</v>
      </c>
      <c r="N7574" s="43">
        <v>5.4836205072131499</v>
      </c>
      <c r="O7574" s="43">
        <v>6.5642186262306206</v>
      </c>
      <c r="P7574" s="223"/>
      <c r="Q7574" s="223"/>
      <c r="R7574" s="223">
        <v>24</v>
      </c>
    </row>
    <row r="7575" spans="1:18" ht="60">
      <c r="A7575" s="219">
        <v>503</v>
      </c>
      <c r="B7575" s="216" t="s">
        <v>13941</v>
      </c>
      <c r="C7575" s="220" t="s">
        <v>13942</v>
      </c>
      <c r="D7575" s="221">
        <v>11139.67</v>
      </c>
      <c r="E7575" s="221">
        <v>3148.26</v>
      </c>
      <c r="F7575" s="221">
        <v>7635.56</v>
      </c>
      <c r="G7575" s="221">
        <v>355.85</v>
      </c>
      <c r="H7575" s="222">
        <v>80355.19</v>
      </c>
      <c r="I7575" s="222">
        <v>36206.36</v>
      </c>
      <c r="J7575" s="222">
        <v>41833.07</v>
      </c>
      <c r="K7575" s="222">
        <v>2315.7600000000002</v>
      </c>
      <c r="L7575" s="43">
        <v>7.2134264300468507</v>
      </c>
      <c r="M7575" s="43">
        <v>11.500435161009573</v>
      </c>
      <c r="N7575" s="43">
        <v>5.4787166887562924</v>
      </c>
      <c r="O7575" s="43">
        <v>6.5076858226780949</v>
      </c>
      <c r="P7575" s="223"/>
      <c r="Q7575" s="223"/>
      <c r="R7575" s="223">
        <v>24</v>
      </c>
    </row>
    <row r="7576" spans="1:18" ht="60">
      <c r="A7576" s="219">
        <v>504</v>
      </c>
      <c r="B7576" s="216" t="s">
        <v>13943</v>
      </c>
      <c r="C7576" s="220" t="s">
        <v>13944</v>
      </c>
      <c r="D7576" s="221">
        <v>13521.1</v>
      </c>
      <c r="E7576" s="221">
        <v>3987.03</v>
      </c>
      <c r="F7576" s="221">
        <v>8578.75</v>
      </c>
      <c r="G7576" s="221">
        <v>955.32</v>
      </c>
      <c r="H7576" s="222">
        <v>98644.46</v>
      </c>
      <c r="I7576" s="222">
        <v>45852.58</v>
      </c>
      <c r="J7576" s="222">
        <v>47107.87</v>
      </c>
      <c r="K7576" s="222">
        <v>5684.01</v>
      </c>
      <c r="L7576" s="43">
        <v>7.2955942933637061</v>
      </c>
      <c r="M7576" s="43">
        <v>11.500435161009573</v>
      </c>
      <c r="N7576" s="43">
        <v>5.4912277429695475</v>
      </c>
      <c r="O7576" s="43">
        <v>5.9498492651676926</v>
      </c>
      <c r="P7576" s="223"/>
      <c r="Q7576" s="223"/>
      <c r="R7576" s="223">
        <v>24</v>
      </c>
    </row>
    <row r="7577" spans="1:18" ht="60">
      <c r="A7577" s="219">
        <v>505</v>
      </c>
      <c r="B7577" s="216" t="s">
        <v>13945</v>
      </c>
      <c r="C7577" s="220" t="s">
        <v>13946</v>
      </c>
      <c r="D7577" s="221">
        <v>16068.41</v>
      </c>
      <c r="E7577" s="221">
        <v>5009.6400000000003</v>
      </c>
      <c r="F7577" s="221">
        <v>9387.4699999999993</v>
      </c>
      <c r="G7577" s="221">
        <v>1671.3</v>
      </c>
      <c r="H7577" s="222">
        <v>118988.97</v>
      </c>
      <c r="I7577" s="222">
        <v>57613.04</v>
      </c>
      <c r="J7577" s="222">
        <v>51672.08</v>
      </c>
      <c r="K7577" s="222">
        <v>9703.85</v>
      </c>
      <c r="L7577" s="43">
        <v>7.405148984871559</v>
      </c>
      <c r="M7577" s="43">
        <v>11.500435161009573</v>
      </c>
      <c r="N7577" s="43">
        <v>5.5043669913192801</v>
      </c>
      <c r="O7577" s="43">
        <v>5.8061688505953457</v>
      </c>
      <c r="P7577" s="223"/>
      <c r="Q7577" s="223"/>
      <c r="R7577" s="223">
        <v>24</v>
      </c>
    </row>
    <row r="7578" spans="1:18" ht="60">
      <c r="A7578" s="219">
        <v>506</v>
      </c>
      <c r="B7578" s="216" t="s">
        <v>13947</v>
      </c>
      <c r="C7578" s="220" t="s">
        <v>13948</v>
      </c>
      <c r="D7578" s="221">
        <v>17175.849999999999</v>
      </c>
      <c r="E7578" s="221">
        <v>5423.28</v>
      </c>
      <c r="F7578" s="221">
        <v>9515.4599999999991</v>
      </c>
      <c r="G7578" s="221">
        <v>2237.11</v>
      </c>
      <c r="H7578" s="222">
        <v>127503.8</v>
      </c>
      <c r="I7578" s="222">
        <v>62370.080000000002</v>
      </c>
      <c r="J7578" s="222">
        <v>52294.47</v>
      </c>
      <c r="K7578" s="222">
        <v>12839.25</v>
      </c>
      <c r="L7578" s="43">
        <v>7.4234346480669089</v>
      </c>
      <c r="M7578" s="43">
        <v>11.500435161009575</v>
      </c>
      <c r="N7578" s="43">
        <v>5.4957374630338425</v>
      </c>
      <c r="O7578" s="43">
        <v>5.7392126448855887</v>
      </c>
      <c r="P7578" s="223"/>
      <c r="Q7578" s="223"/>
      <c r="R7578" s="223">
        <v>24</v>
      </c>
    </row>
    <row r="7579" spans="1:18" ht="33.75" customHeight="1">
      <c r="A7579" s="628" t="s">
        <v>13949</v>
      </c>
      <c r="B7579" s="629"/>
      <c r="C7579" s="629"/>
      <c r="D7579" s="629"/>
      <c r="E7579" s="629"/>
      <c r="F7579" s="629"/>
      <c r="G7579" s="629"/>
      <c r="H7579" s="629"/>
      <c r="I7579" s="629"/>
      <c r="J7579" s="629"/>
      <c r="K7579" s="629"/>
      <c r="L7579" s="629"/>
      <c r="M7579" s="629"/>
      <c r="N7579" s="629"/>
      <c r="O7579" s="629"/>
      <c r="P7579" s="629"/>
      <c r="Q7579" s="629"/>
      <c r="R7579" s="629"/>
    </row>
    <row r="7580" spans="1:18" ht="72">
      <c r="A7580" s="219">
        <v>507</v>
      </c>
      <c r="B7580" s="216" t="s">
        <v>13950</v>
      </c>
      <c r="C7580" s="220" t="s">
        <v>13951</v>
      </c>
      <c r="D7580" s="221">
        <v>10066.719999999999</v>
      </c>
      <c r="E7580" s="221">
        <v>2631.21</v>
      </c>
      <c r="F7580" s="221">
        <v>7341.26</v>
      </c>
      <c r="G7580" s="221">
        <v>94.25</v>
      </c>
      <c r="H7580" s="222">
        <v>71023.83</v>
      </c>
      <c r="I7580" s="222">
        <v>30260.06</v>
      </c>
      <c r="J7580" s="222">
        <v>39945.68</v>
      </c>
      <c r="K7580" s="222">
        <v>818.09</v>
      </c>
      <c r="L7580" s="43">
        <v>7.0553099718676995</v>
      </c>
      <c r="M7580" s="43">
        <v>11.500435161009573</v>
      </c>
      <c r="N7580" s="43">
        <v>5.4412566780089522</v>
      </c>
      <c r="O7580" s="43">
        <v>8.68</v>
      </c>
      <c r="P7580" s="223"/>
      <c r="Q7580" s="223"/>
      <c r="R7580" s="223">
        <v>25</v>
      </c>
    </row>
    <row r="7581" spans="1:18" ht="72">
      <c r="A7581" s="219">
        <v>508</v>
      </c>
      <c r="B7581" s="216" t="s">
        <v>13952</v>
      </c>
      <c r="C7581" s="220" t="s">
        <v>13953</v>
      </c>
      <c r="D7581" s="221">
        <v>10599.17</v>
      </c>
      <c r="E7581" s="221">
        <v>2838.03</v>
      </c>
      <c r="F7581" s="221">
        <v>7624.4</v>
      </c>
      <c r="G7581" s="221">
        <v>136.74</v>
      </c>
      <c r="H7581" s="222">
        <v>75287.88</v>
      </c>
      <c r="I7581" s="222">
        <v>32638.58</v>
      </c>
      <c r="J7581" s="222">
        <v>41580.1</v>
      </c>
      <c r="K7581" s="222">
        <v>1069.2</v>
      </c>
      <c r="L7581" s="43">
        <v>7.1031863815751617</v>
      </c>
      <c r="M7581" s="43">
        <v>11.500435161009573</v>
      </c>
      <c r="N7581" s="43">
        <v>5.4535570012066525</v>
      </c>
      <c r="O7581" s="43">
        <v>7.8192189556823166</v>
      </c>
      <c r="P7581" s="223"/>
      <c r="Q7581" s="223"/>
      <c r="R7581" s="223">
        <v>25</v>
      </c>
    </row>
    <row r="7582" spans="1:18" ht="72">
      <c r="A7582" s="219">
        <v>509</v>
      </c>
      <c r="B7582" s="216" t="s">
        <v>13954</v>
      </c>
      <c r="C7582" s="220" t="s">
        <v>13955</v>
      </c>
      <c r="D7582" s="221">
        <v>13770.98</v>
      </c>
      <c r="E7582" s="221">
        <v>3642.33</v>
      </c>
      <c r="F7582" s="221">
        <v>9934.27</v>
      </c>
      <c r="G7582" s="221">
        <v>194.38</v>
      </c>
      <c r="H7582" s="222">
        <v>97480.23</v>
      </c>
      <c r="I7582" s="222">
        <v>41888.379999999997</v>
      </c>
      <c r="J7582" s="222">
        <v>54124.63</v>
      </c>
      <c r="K7582" s="222">
        <v>1467.22</v>
      </c>
      <c r="L7582" s="43">
        <v>7.0786705085622081</v>
      </c>
      <c r="M7582" s="43">
        <v>11.500435161009573</v>
      </c>
      <c r="N7582" s="43">
        <v>5.4482745083433404</v>
      </c>
      <c r="O7582" s="43">
        <v>7.5482045477929836</v>
      </c>
      <c r="P7582" s="223"/>
      <c r="Q7582" s="223"/>
      <c r="R7582" s="223">
        <v>25</v>
      </c>
    </row>
    <row r="7583" spans="1:18" ht="12.75" customHeight="1">
      <c r="A7583" s="628" t="s">
        <v>13956</v>
      </c>
      <c r="B7583" s="629"/>
      <c r="C7583" s="629"/>
      <c r="D7583" s="629"/>
      <c r="E7583" s="629"/>
      <c r="F7583" s="629"/>
      <c r="G7583" s="629"/>
      <c r="H7583" s="629"/>
      <c r="I7583" s="629"/>
      <c r="J7583" s="629"/>
      <c r="K7583" s="629"/>
      <c r="L7583" s="629"/>
      <c r="M7583" s="629"/>
      <c r="N7583" s="629"/>
      <c r="O7583" s="629"/>
      <c r="P7583" s="629"/>
      <c r="Q7583" s="629"/>
      <c r="R7583" s="629"/>
    </row>
    <row r="7584" spans="1:18" ht="72">
      <c r="A7584" s="219">
        <v>510</v>
      </c>
      <c r="B7584" s="216" t="s">
        <v>13957</v>
      </c>
      <c r="C7584" s="220" t="s">
        <v>13958</v>
      </c>
      <c r="D7584" s="221">
        <v>10838.13</v>
      </c>
      <c r="E7584" s="221">
        <v>3148.26</v>
      </c>
      <c r="F7584" s="221">
        <v>7535.16</v>
      </c>
      <c r="G7584" s="221">
        <v>154.71</v>
      </c>
      <c r="H7584" s="222">
        <v>78569.53</v>
      </c>
      <c r="I7584" s="222">
        <v>36206.36</v>
      </c>
      <c r="J7584" s="222">
        <v>41164.730000000003</v>
      </c>
      <c r="K7584" s="222">
        <v>1198.44</v>
      </c>
      <c r="L7584" s="43">
        <v>7.2493622054727158</v>
      </c>
      <c r="M7584" s="43">
        <v>11.500435161009573</v>
      </c>
      <c r="N7584" s="43">
        <v>5.4630200287717852</v>
      </c>
      <c r="O7584" s="43">
        <v>7.7463641652123325</v>
      </c>
      <c r="P7584" s="223"/>
      <c r="Q7584" s="223"/>
      <c r="R7584" s="223">
        <v>26</v>
      </c>
    </row>
    <row r="7585" spans="1:18" ht="72">
      <c r="A7585" s="219">
        <v>511</v>
      </c>
      <c r="B7585" s="216" t="s">
        <v>13959</v>
      </c>
      <c r="C7585" s="220" t="s">
        <v>13960</v>
      </c>
      <c r="D7585" s="221">
        <v>11026.77</v>
      </c>
      <c r="E7585" s="221">
        <v>3159.75</v>
      </c>
      <c r="F7585" s="221">
        <v>7615.61</v>
      </c>
      <c r="G7585" s="221">
        <v>251.41</v>
      </c>
      <c r="H7585" s="222">
        <v>79681.509999999995</v>
      </c>
      <c r="I7585" s="222">
        <v>36338.5</v>
      </c>
      <c r="J7585" s="222">
        <v>41629.620000000003</v>
      </c>
      <c r="K7585" s="222">
        <v>1713.39</v>
      </c>
      <c r="L7585" s="43">
        <v>7.2261877231501153</v>
      </c>
      <c r="M7585" s="43">
        <v>11.500435161009573</v>
      </c>
      <c r="N7585" s="43">
        <v>5.4663539755843598</v>
      </c>
      <c r="O7585" s="43">
        <v>6.8151227079272907</v>
      </c>
      <c r="P7585" s="223"/>
      <c r="Q7585" s="223"/>
      <c r="R7585" s="223">
        <v>26</v>
      </c>
    </row>
    <row r="7586" spans="1:18" ht="72">
      <c r="A7586" s="219">
        <v>512</v>
      </c>
      <c r="B7586" s="216" t="s">
        <v>13961</v>
      </c>
      <c r="C7586" s="220" t="s">
        <v>13962</v>
      </c>
      <c r="D7586" s="221">
        <v>15127.51</v>
      </c>
      <c r="E7586" s="221">
        <v>4687.92</v>
      </c>
      <c r="F7586" s="221">
        <v>10020.52</v>
      </c>
      <c r="G7586" s="221">
        <v>419.07</v>
      </c>
      <c r="H7586" s="222">
        <v>111656.15</v>
      </c>
      <c r="I7586" s="222">
        <v>53913.120000000003</v>
      </c>
      <c r="J7586" s="222">
        <v>54962.45</v>
      </c>
      <c r="K7586" s="222">
        <v>2780.58</v>
      </c>
      <c r="L7586" s="43">
        <v>7.3809999134027997</v>
      </c>
      <c r="M7586" s="43">
        <v>11.500435161009573</v>
      </c>
      <c r="N7586" s="43">
        <v>5.4849898009284939</v>
      </c>
      <c r="O7586" s="43">
        <v>6.635120624239387</v>
      </c>
      <c r="P7586" s="223"/>
      <c r="Q7586" s="223"/>
      <c r="R7586" s="223">
        <v>26</v>
      </c>
    </row>
    <row r="7587" spans="1:18" ht="72">
      <c r="A7587" s="219">
        <v>513</v>
      </c>
      <c r="B7587" s="216" t="s">
        <v>13963</v>
      </c>
      <c r="C7587" s="220" t="s">
        <v>13964</v>
      </c>
      <c r="D7587" s="221">
        <v>15528.23</v>
      </c>
      <c r="E7587" s="221">
        <v>4745.37</v>
      </c>
      <c r="F7587" s="221">
        <v>10172</v>
      </c>
      <c r="G7587" s="221">
        <v>610.86</v>
      </c>
      <c r="H7587" s="222">
        <v>114205.68</v>
      </c>
      <c r="I7587" s="222">
        <v>54573.82</v>
      </c>
      <c r="J7587" s="222">
        <v>55830.26</v>
      </c>
      <c r="K7587" s="222">
        <v>3801.6</v>
      </c>
      <c r="L7587" s="43">
        <v>7.3547133189036993</v>
      </c>
      <c r="M7587" s="43">
        <v>11.500435161009573</v>
      </c>
      <c r="N7587" s="43">
        <v>5.4886217066456942</v>
      </c>
      <c r="O7587" s="43">
        <v>6.2233572340634513</v>
      </c>
      <c r="P7587" s="223"/>
      <c r="Q7587" s="223"/>
      <c r="R7587" s="223">
        <v>26</v>
      </c>
    </row>
    <row r="7588" spans="1:18" ht="72">
      <c r="A7588" s="219">
        <v>514</v>
      </c>
      <c r="B7588" s="216" t="s">
        <v>13965</v>
      </c>
      <c r="C7588" s="220" t="s">
        <v>13966</v>
      </c>
      <c r="D7588" s="221">
        <v>18423.97</v>
      </c>
      <c r="E7588" s="221">
        <v>5113.05</v>
      </c>
      <c r="F7588" s="221">
        <v>12340.9</v>
      </c>
      <c r="G7588" s="221">
        <v>970.02</v>
      </c>
      <c r="H7588" s="222">
        <v>132211.94</v>
      </c>
      <c r="I7588" s="222">
        <v>58802.3</v>
      </c>
      <c r="J7588" s="222">
        <v>67671.03</v>
      </c>
      <c r="K7588" s="222">
        <v>5738.61</v>
      </c>
      <c r="L7588" s="43">
        <v>7.176083113465773</v>
      </c>
      <c r="M7588" s="43">
        <v>11.500435161009573</v>
      </c>
      <c r="N7588" s="43">
        <v>5.4834760835919587</v>
      </c>
      <c r="O7588" s="43">
        <v>5.9159708047256752</v>
      </c>
      <c r="P7588" s="223"/>
      <c r="Q7588" s="223"/>
      <c r="R7588" s="223">
        <v>26</v>
      </c>
    </row>
    <row r="7589" spans="1:18" ht="72">
      <c r="A7589" s="219">
        <v>515</v>
      </c>
      <c r="B7589" s="216" t="s">
        <v>13967</v>
      </c>
      <c r="C7589" s="220" t="s">
        <v>13968</v>
      </c>
      <c r="D7589" s="221">
        <v>20751.310000000001</v>
      </c>
      <c r="E7589" s="221">
        <v>5618.61</v>
      </c>
      <c r="F7589" s="221">
        <v>13930.34</v>
      </c>
      <c r="G7589" s="221">
        <v>1202.3599999999999</v>
      </c>
      <c r="H7589" s="222">
        <v>147983.26999999999</v>
      </c>
      <c r="I7589" s="222">
        <v>64616.46</v>
      </c>
      <c r="J7589" s="222">
        <v>76336.5</v>
      </c>
      <c r="K7589" s="222">
        <v>7030.31</v>
      </c>
      <c r="L7589" s="43">
        <v>7.1312736400738066</v>
      </c>
      <c r="M7589" s="43">
        <v>11.500435161009573</v>
      </c>
      <c r="N7589" s="43">
        <v>5.4798734273535317</v>
      </c>
      <c r="O7589" s="43">
        <v>5.8470923849762144</v>
      </c>
      <c r="P7589" s="223"/>
      <c r="Q7589" s="223"/>
      <c r="R7589" s="223">
        <v>26</v>
      </c>
    </row>
    <row r="7590" spans="1:18" ht="72">
      <c r="A7590" s="219">
        <v>516</v>
      </c>
      <c r="B7590" s="216" t="s">
        <v>13969</v>
      </c>
      <c r="C7590" s="220" t="s">
        <v>13970</v>
      </c>
      <c r="D7590" s="221">
        <v>22786.74</v>
      </c>
      <c r="E7590" s="221">
        <v>6181.62</v>
      </c>
      <c r="F7590" s="221">
        <v>15492.22</v>
      </c>
      <c r="G7590" s="221">
        <v>1112.9000000000001</v>
      </c>
      <c r="H7590" s="222">
        <v>162840.37</v>
      </c>
      <c r="I7590" s="222">
        <v>71091.320000000007</v>
      </c>
      <c r="J7590" s="222">
        <v>84966.01</v>
      </c>
      <c r="K7590" s="222">
        <v>6783.04</v>
      </c>
      <c r="L7590" s="43">
        <v>7.1462776158414929</v>
      </c>
      <c r="M7590" s="43">
        <v>11.500435161009575</v>
      </c>
      <c r="N7590" s="43">
        <v>5.4844308949911635</v>
      </c>
      <c r="O7590" s="43">
        <v>6.0949231736903577</v>
      </c>
      <c r="P7590" s="223"/>
      <c r="Q7590" s="223"/>
      <c r="R7590" s="223">
        <v>26</v>
      </c>
    </row>
    <row r="7591" spans="1:18" ht="72">
      <c r="A7591" s="219">
        <v>517</v>
      </c>
      <c r="B7591" s="216" t="s">
        <v>13971</v>
      </c>
      <c r="C7591" s="220" t="s">
        <v>13972</v>
      </c>
      <c r="D7591" s="221">
        <v>27043.83</v>
      </c>
      <c r="E7591" s="221">
        <v>6595.26</v>
      </c>
      <c r="F7591" s="221">
        <v>17963.919999999998</v>
      </c>
      <c r="G7591" s="221">
        <v>2484.65</v>
      </c>
      <c r="H7591" s="222">
        <v>188698.55</v>
      </c>
      <c r="I7591" s="222">
        <v>75848.36</v>
      </c>
      <c r="J7591" s="222">
        <v>98531.88</v>
      </c>
      <c r="K7591" s="222">
        <v>14318.31</v>
      </c>
      <c r="L7591" s="43">
        <v>6.9775083632754669</v>
      </c>
      <c r="M7591" s="43">
        <v>11.500435161009573</v>
      </c>
      <c r="N7591" s="43">
        <v>5.4849876864292435</v>
      </c>
      <c r="O7591" s="43">
        <v>5.7627070211096125</v>
      </c>
      <c r="P7591" s="223"/>
      <c r="Q7591" s="223"/>
      <c r="R7591" s="223">
        <v>26</v>
      </c>
    </row>
    <row r="7592" spans="1:18" ht="72">
      <c r="A7592" s="219">
        <v>518</v>
      </c>
      <c r="B7592" s="216" t="s">
        <v>13973</v>
      </c>
      <c r="C7592" s="220" t="s">
        <v>13974</v>
      </c>
      <c r="D7592" s="221">
        <v>28160.13</v>
      </c>
      <c r="E7592" s="221">
        <v>6606.75</v>
      </c>
      <c r="F7592" s="221">
        <v>18045.89</v>
      </c>
      <c r="G7592" s="221">
        <v>3507.49</v>
      </c>
      <c r="H7592" s="222">
        <v>194817.27</v>
      </c>
      <c r="I7592" s="222">
        <v>75980.5</v>
      </c>
      <c r="J7592" s="222">
        <v>98956.35</v>
      </c>
      <c r="K7592" s="222">
        <v>19880.419999999998</v>
      </c>
      <c r="L7592" s="43">
        <v>6.9181949799237428</v>
      </c>
      <c r="M7592" s="43">
        <v>11.500435161009573</v>
      </c>
      <c r="N7592" s="43">
        <v>5.4835948794988782</v>
      </c>
      <c r="O7592" s="43">
        <v>5.667990500329295</v>
      </c>
      <c r="P7592" s="223"/>
      <c r="Q7592" s="223"/>
      <c r="R7592" s="223">
        <v>26</v>
      </c>
    </row>
    <row r="7593" spans="1:18" ht="72">
      <c r="A7593" s="219">
        <v>519</v>
      </c>
      <c r="B7593" s="216" t="s">
        <v>13975</v>
      </c>
      <c r="C7593" s="220" t="s">
        <v>13976</v>
      </c>
      <c r="D7593" s="221">
        <v>29685.57</v>
      </c>
      <c r="E7593" s="221">
        <v>7020.39</v>
      </c>
      <c r="F7593" s="221">
        <v>18172.830000000002</v>
      </c>
      <c r="G7593" s="221">
        <v>4492.3500000000004</v>
      </c>
      <c r="H7593" s="222">
        <v>205657.74</v>
      </c>
      <c r="I7593" s="222">
        <v>80737.539999999994</v>
      </c>
      <c r="J7593" s="222">
        <v>99612.26</v>
      </c>
      <c r="K7593" s="222">
        <v>25307.94</v>
      </c>
      <c r="L7593" s="43">
        <v>6.9278689949359231</v>
      </c>
      <c r="M7593" s="43">
        <v>11.500435161009571</v>
      </c>
      <c r="N7593" s="43">
        <v>5.4813840221913699</v>
      </c>
      <c r="O7593" s="43">
        <v>5.6335637249991644</v>
      </c>
      <c r="P7593" s="223"/>
      <c r="Q7593" s="223"/>
      <c r="R7593" s="223">
        <v>26</v>
      </c>
    </row>
    <row r="7594" spans="1:18" ht="31.5" customHeight="1">
      <c r="A7594" s="628" t="s">
        <v>13977</v>
      </c>
      <c r="B7594" s="629"/>
      <c r="C7594" s="629"/>
      <c r="D7594" s="629"/>
      <c r="E7594" s="629"/>
      <c r="F7594" s="629"/>
      <c r="G7594" s="629"/>
      <c r="H7594" s="629"/>
      <c r="I7594" s="629"/>
      <c r="J7594" s="629"/>
      <c r="K7594" s="629"/>
      <c r="L7594" s="629"/>
      <c r="M7594" s="629"/>
      <c r="N7594" s="629"/>
      <c r="O7594" s="629"/>
      <c r="P7594" s="629"/>
      <c r="Q7594" s="629"/>
      <c r="R7594" s="629"/>
    </row>
    <row r="7595" spans="1:18" ht="72">
      <c r="A7595" s="219">
        <v>520</v>
      </c>
      <c r="B7595" s="216" t="s">
        <v>13978</v>
      </c>
      <c r="C7595" s="220" t="s">
        <v>13979</v>
      </c>
      <c r="D7595" s="221">
        <v>11824.32</v>
      </c>
      <c r="E7595" s="221">
        <v>3240.18</v>
      </c>
      <c r="F7595" s="221">
        <v>8408.91</v>
      </c>
      <c r="G7595" s="221">
        <v>175.23</v>
      </c>
      <c r="H7595" s="222">
        <v>84497.43</v>
      </c>
      <c r="I7595" s="222">
        <v>37263.480000000003</v>
      </c>
      <c r="J7595" s="222">
        <v>45913.69</v>
      </c>
      <c r="K7595" s="222">
        <v>1320.26</v>
      </c>
      <c r="L7595" s="43">
        <v>7.1460709791345289</v>
      </c>
      <c r="M7595" s="43">
        <v>11.500435161009575</v>
      </c>
      <c r="N7595" s="43">
        <v>5.4601238448264997</v>
      </c>
      <c r="O7595" s="43">
        <v>7.5344404496946877</v>
      </c>
      <c r="P7595" s="223"/>
      <c r="Q7595" s="223"/>
      <c r="R7595" s="223">
        <v>27</v>
      </c>
    </row>
    <row r="7596" spans="1:18" ht="72">
      <c r="A7596" s="219">
        <v>521</v>
      </c>
      <c r="B7596" s="216" t="s">
        <v>13980</v>
      </c>
      <c r="C7596" s="220" t="s">
        <v>13981</v>
      </c>
      <c r="D7596" s="221">
        <v>12120.65</v>
      </c>
      <c r="E7596" s="221">
        <v>3251.67</v>
      </c>
      <c r="F7596" s="221">
        <v>8572.9699999999993</v>
      </c>
      <c r="G7596" s="221">
        <v>296.01</v>
      </c>
      <c r="H7596" s="222">
        <v>86178.75</v>
      </c>
      <c r="I7596" s="222">
        <v>37395.620000000003</v>
      </c>
      <c r="J7596" s="222">
        <v>46826.8</v>
      </c>
      <c r="K7596" s="222">
        <v>1956.33</v>
      </c>
      <c r="L7596" s="43">
        <v>7.1100766048025479</v>
      </c>
      <c r="M7596" s="43">
        <v>11.500435161009575</v>
      </c>
      <c r="N7596" s="43">
        <v>5.4621443910336795</v>
      </c>
      <c r="O7596" s="43">
        <v>6.6089996959562178</v>
      </c>
      <c r="P7596" s="223"/>
      <c r="Q7596" s="223"/>
      <c r="R7596" s="223">
        <v>27</v>
      </c>
    </row>
    <row r="7597" spans="1:18" ht="72">
      <c r="A7597" s="219">
        <v>522</v>
      </c>
      <c r="B7597" s="216" t="s">
        <v>13982</v>
      </c>
      <c r="C7597" s="220" t="s">
        <v>13983</v>
      </c>
      <c r="D7597" s="221">
        <v>16663.62</v>
      </c>
      <c r="E7597" s="221">
        <v>4779.84</v>
      </c>
      <c r="F7597" s="221">
        <v>11339.69</v>
      </c>
      <c r="G7597" s="221">
        <v>544.09</v>
      </c>
      <c r="H7597" s="222">
        <v>120611.83</v>
      </c>
      <c r="I7597" s="222">
        <v>54970.239999999998</v>
      </c>
      <c r="J7597" s="222">
        <v>62179.99</v>
      </c>
      <c r="K7597" s="222">
        <v>3461.6</v>
      </c>
      <c r="L7597" s="43">
        <v>7.23803291241639</v>
      </c>
      <c r="M7597" s="43">
        <v>11.500435161009573</v>
      </c>
      <c r="N7597" s="43">
        <v>5.4833941668599406</v>
      </c>
      <c r="O7597" s="43">
        <v>6.3621827271223506</v>
      </c>
      <c r="P7597" s="223"/>
      <c r="Q7597" s="223"/>
      <c r="R7597" s="223">
        <v>27</v>
      </c>
    </row>
    <row r="7598" spans="1:18" ht="72">
      <c r="A7598" s="219">
        <v>523</v>
      </c>
      <c r="B7598" s="216" t="s">
        <v>13984</v>
      </c>
      <c r="C7598" s="220" t="s">
        <v>13985</v>
      </c>
      <c r="D7598" s="221">
        <v>17028.21</v>
      </c>
      <c r="E7598" s="221">
        <v>4802.82</v>
      </c>
      <c r="F7598" s="221">
        <v>11521.67</v>
      </c>
      <c r="G7598" s="221">
        <v>703.72</v>
      </c>
      <c r="H7598" s="222">
        <v>122768.76</v>
      </c>
      <c r="I7598" s="222">
        <v>55234.52</v>
      </c>
      <c r="J7598" s="222">
        <v>63226</v>
      </c>
      <c r="K7598" s="222">
        <v>4308.24</v>
      </c>
      <c r="L7598" s="43">
        <v>7.2097278574788541</v>
      </c>
      <c r="M7598" s="43">
        <v>11.500435161009573</v>
      </c>
      <c r="N7598" s="43">
        <v>5.4875725480767983</v>
      </c>
      <c r="O7598" s="43">
        <v>6.1220940146649232</v>
      </c>
      <c r="P7598" s="223"/>
      <c r="Q7598" s="223"/>
      <c r="R7598" s="223">
        <v>27</v>
      </c>
    </row>
    <row r="7599" spans="1:18" ht="72">
      <c r="A7599" s="219">
        <v>524</v>
      </c>
      <c r="B7599" s="216" t="s">
        <v>13986</v>
      </c>
      <c r="C7599" s="220" t="s">
        <v>13987</v>
      </c>
      <c r="D7599" s="221">
        <v>18515.29</v>
      </c>
      <c r="E7599" s="221">
        <v>5181.99</v>
      </c>
      <c r="F7599" s="221">
        <v>12352.5</v>
      </c>
      <c r="G7599" s="221">
        <v>980.8</v>
      </c>
      <c r="H7599" s="222">
        <v>133166.39999999999</v>
      </c>
      <c r="I7599" s="222">
        <v>59595.14</v>
      </c>
      <c r="J7599" s="222">
        <v>67751.039999999994</v>
      </c>
      <c r="K7599" s="222">
        <v>5820.22</v>
      </c>
      <c r="L7599" s="43">
        <v>7.1922394950335633</v>
      </c>
      <c r="M7599" s="43">
        <v>11.500435161009573</v>
      </c>
      <c r="N7599" s="43">
        <v>5.4848038858530659</v>
      </c>
      <c r="O7599" s="43">
        <v>5.9341557911908653</v>
      </c>
      <c r="P7599" s="223"/>
      <c r="Q7599" s="223"/>
      <c r="R7599" s="223">
        <v>27</v>
      </c>
    </row>
    <row r="7600" spans="1:18" ht="72">
      <c r="A7600" s="219">
        <v>525</v>
      </c>
      <c r="B7600" s="216" t="s">
        <v>13988</v>
      </c>
      <c r="C7600" s="220" t="s">
        <v>13989</v>
      </c>
      <c r="D7600" s="221">
        <v>20824.330000000002</v>
      </c>
      <c r="E7600" s="221">
        <v>5664.57</v>
      </c>
      <c r="F7600" s="221">
        <v>13956.48</v>
      </c>
      <c r="G7600" s="221">
        <v>1203.28</v>
      </c>
      <c r="H7600" s="222">
        <v>148697.57</v>
      </c>
      <c r="I7600" s="222">
        <v>65145.02</v>
      </c>
      <c r="J7600" s="222">
        <v>76511.66</v>
      </c>
      <c r="K7600" s="222">
        <v>7040.89</v>
      </c>
      <c r="L7600" s="43">
        <v>7.1405692283977444</v>
      </c>
      <c r="M7600" s="43">
        <v>11.500435161009573</v>
      </c>
      <c r="N7600" s="43">
        <v>5.4821602581739812</v>
      </c>
      <c r="O7600" s="43">
        <v>5.8514144671231971</v>
      </c>
      <c r="P7600" s="223"/>
      <c r="Q7600" s="223"/>
      <c r="R7600" s="223">
        <v>27</v>
      </c>
    </row>
    <row r="7601" spans="1:18" ht="72">
      <c r="A7601" s="219">
        <v>526</v>
      </c>
      <c r="B7601" s="216" t="s">
        <v>13990</v>
      </c>
      <c r="C7601" s="220" t="s">
        <v>13991</v>
      </c>
      <c r="D7601" s="221">
        <v>22883.27</v>
      </c>
      <c r="E7601" s="221">
        <v>6227.58</v>
      </c>
      <c r="F7601" s="221">
        <v>15541.87</v>
      </c>
      <c r="G7601" s="221">
        <v>1113.82</v>
      </c>
      <c r="H7601" s="222">
        <v>163675.73000000001</v>
      </c>
      <c r="I7601" s="222">
        <v>71619.88</v>
      </c>
      <c r="J7601" s="222">
        <v>85262.23</v>
      </c>
      <c r="K7601" s="222">
        <v>6793.62</v>
      </c>
      <c r="L7601" s="43">
        <v>7.1526372760536416</v>
      </c>
      <c r="M7601" s="43">
        <v>11.500435161009575</v>
      </c>
      <c r="N7601" s="43">
        <v>5.4859698350327211</v>
      </c>
      <c r="O7601" s="43">
        <v>6.0993876928049415</v>
      </c>
      <c r="P7601" s="223"/>
      <c r="Q7601" s="223"/>
      <c r="R7601" s="223">
        <v>27</v>
      </c>
    </row>
    <row r="7602" spans="1:18" ht="72">
      <c r="A7602" s="219">
        <v>527</v>
      </c>
      <c r="B7602" s="216" t="s">
        <v>13992</v>
      </c>
      <c r="C7602" s="220" t="s">
        <v>13993</v>
      </c>
      <c r="D7602" s="221">
        <v>28704.42</v>
      </c>
      <c r="E7602" s="221">
        <v>7905.12</v>
      </c>
      <c r="F7602" s="221">
        <v>18288.46</v>
      </c>
      <c r="G7602" s="221">
        <v>2510.84</v>
      </c>
      <c r="H7602" s="222">
        <v>205957.83</v>
      </c>
      <c r="I7602" s="222">
        <v>90912.320000000007</v>
      </c>
      <c r="J7602" s="222">
        <v>100426.02</v>
      </c>
      <c r="K7602" s="222">
        <v>14619.49</v>
      </c>
      <c r="L7602" s="43">
        <v>7.1751259910494625</v>
      </c>
      <c r="M7602" s="43">
        <v>11.500435161009575</v>
      </c>
      <c r="N7602" s="43">
        <v>5.4912234272322555</v>
      </c>
      <c r="O7602" s="43">
        <v>5.8225494256902071</v>
      </c>
      <c r="P7602" s="223"/>
      <c r="Q7602" s="223"/>
      <c r="R7602" s="223">
        <v>27</v>
      </c>
    </row>
    <row r="7603" spans="1:18" ht="72">
      <c r="A7603" s="219">
        <v>528</v>
      </c>
      <c r="B7603" s="216" t="s">
        <v>13994</v>
      </c>
      <c r="C7603" s="220" t="s">
        <v>13995</v>
      </c>
      <c r="D7603" s="221">
        <v>29762.17</v>
      </c>
      <c r="E7603" s="221">
        <v>7893.63</v>
      </c>
      <c r="F7603" s="221">
        <v>18335.32</v>
      </c>
      <c r="G7603" s="221">
        <v>3533.22</v>
      </c>
      <c r="H7603" s="222">
        <v>211605.9</v>
      </c>
      <c r="I7603" s="222">
        <v>90780.18</v>
      </c>
      <c r="J7603" s="222">
        <v>100649.4</v>
      </c>
      <c r="K7603" s="222">
        <v>20176.32</v>
      </c>
      <c r="L7603" s="43">
        <v>7.1098948766168597</v>
      </c>
      <c r="M7603" s="43">
        <v>11.500435161009573</v>
      </c>
      <c r="N7603" s="43">
        <v>5.4893724243700133</v>
      </c>
      <c r="O7603" s="43">
        <v>5.7104624110584679</v>
      </c>
      <c r="P7603" s="223"/>
      <c r="Q7603" s="223"/>
      <c r="R7603" s="223">
        <v>27</v>
      </c>
    </row>
    <row r="7604" spans="1:18" ht="72">
      <c r="A7604" s="219">
        <v>529</v>
      </c>
      <c r="B7604" s="216" t="s">
        <v>13996</v>
      </c>
      <c r="C7604" s="220" t="s">
        <v>13997</v>
      </c>
      <c r="D7604" s="221">
        <v>31586.17</v>
      </c>
      <c r="E7604" s="221">
        <v>8295.7800000000007</v>
      </c>
      <c r="F7604" s="221">
        <v>18772.53</v>
      </c>
      <c r="G7604" s="221">
        <v>4517.8599999999997</v>
      </c>
      <c r="H7604" s="222">
        <v>223990.26</v>
      </c>
      <c r="I7604" s="222">
        <v>95405.08</v>
      </c>
      <c r="J7604" s="222">
        <v>102983.88</v>
      </c>
      <c r="K7604" s="222">
        <v>25601.3</v>
      </c>
      <c r="L7604" s="43">
        <v>7.0914029779488938</v>
      </c>
      <c r="M7604" s="43">
        <v>11.500435161009573</v>
      </c>
      <c r="N7604" s="43">
        <v>5.4858817644718112</v>
      </c>
      <c r="O7604" s="43">
        <v>5.66668732541513</v>
      </c>
      <c r="P7604" s="223"/>
      <c r="Q7604" s="223"/>
      <c r="R7604" s="223">
        <v>27</v>
      </c>
    </row>
    <row r="7605" spans="1:18" ht="12.75" customHeight="1">
      <c r="A7605" s="628" t="s">
        <v>13998</v>
      </c>
      <c r="B7605" s="629"/>
      <c r="C7605" s="629"/>
      <c r="D7605" s="629"/>
      <c r="E7605" s="629"/>
      <c r="F7605" s="629"/>
      <c r="G7605" s="629"/>
      <c r="H7605" s="629"/>
      <c r="I7605" s="629"/>
      <c r="J7605" s="629"/>
      <c r="K7605" s="629"/>
      <c r="L7605" s="629"/>
      <c r="M7605" s="629"/>
      <c r="N7605" s="629"/>
      <c r="O7605" s="629"/>
      <c r="P7605" s="629"/>
      <c r="Q7605" s="629"/>
      <c r="R7605" s="629"/>
    </row>
    <row r="7606" spans="1:18" ht="72">
      <c r="A7606" s="219">
        <v>530</v>
      </c>
      <c r="B7606" s="216" t="s">
        <v>13999</v>
      </c>
      <c r="C7606" s="220" t="s">
        <v>14000</v>
      </c>
      <c r="D7606" s="221">
        <v>13662.58</v>
      </c>
      <c r="E7606" s="221">
        <v>3630.84</v>
      </c>
      <c r="F7606" s="221">
        <v>9830.2900000000009</v>
      </c>
      <c r="G7606" s="221">
        <v>201.45</v>
      </c>
      <c r="H7606" s="222">
        <v>96850.17</v>
      </c>
      <c r="I7606" s="222">
        <v>41756.239999999998</v>
      </c>
      <c r="J7606" s="222">
        <v>53592.29</v>
      </c>
      <c r="K7606" s="222">
        <v>1501.64</v>
      </c>
      <c r="L7606" s="43">
        <v>7.0887175043073851</v>
      </c>
      <c r="M7606" s="43">
        <v>11.500435161009573</v>
      </c>
      <c r="N7606" s="43">
        <v>5.451750660458643</v>
      </c>
      <c r="O7606" s="43">
        <v>7.4541573591461914</v>
      </c>
      <c r="P7606" s="223"/>
      <c r="Q7606" s="223"/>
      <c r="R7606" s="223">
        <v>28</v>
      </c>
    </row>
    <row r="7607" spans="1:18" ht="72">
      <c r="A7607" s="219">
        <v>531</v>
      </c>
      <c r="B7607" s="216" t="s">
        <v>14001</v>
      </c>
      <c r="C7607" s="220" t="s">
        <v>14002</v>
      </c>
      <c r="D7607" s="221">
        <v>13822.55</v>
      </c>
      <c r="E7607" s="221">
        <v>3642.33</v>
      </c>
      <c r="F7607" s="221">
        <v>9833.6299999999992</v>
      </c>
      <c r="G7607" s="221">
        <v>346.59</v>
      </c>
      <c r="H7607" s="222">
        <v>97764.33</v>
      </c>
      <c r="I7607" s="222">
        <v>41888.379999999997</v>
      </c>
      <c r="J7607" s="222">
        <v>53607.8</v>
      </c>
      <c r="K7607" s="222">
        <v>2268.15</v>
      </c>
      <c r="L7607" s="43">
        <v>7.0728143504635543</v>
      </c>
      <c r="M7607" s="43">
        <v>11.500435161009573</v>
      </c>
      <c r="N7607" s="43">
        <v>5.4514762097007932</v>
      </c>
      <c r="O7607" s="43">
        <v>6.5441876568856578</v>
      </c>
      <c r="P7607" s="223"/>
      <c r="Q7607" s="223"/>
      <c r="R7607" s="223">
        <v>28</v>
      </c>
    </row>
    <row r="7608" spans="1:18" ht="72">
      <c r="A7608" s="219">
        <v>532</v>
      </c>
      <c r="B7608" s="216" t="s">
        <v>14003</v>
      </c>
      <c r="C7608" s="220" t="s">
        <v>14004</v>
      </c>
      <c r="D7608" s="221">
        <v>18513.740000000002</v>
      </c>
      <c r="E7608" s="221">
        <v>4917.72</v>
      </c>
      <c r="F7608" s="221">
        <v>12996.99</v>
      </c>
      <c r="G7608" s="221">
        <v>599.03</v>
      </c>
      <c r="H7608" s="222">
        <v>131400.1</v>
      </c>
      <c r="I7608" s="222">
        <v>56555.92</v>
      </c>
      <c r="J7608" s="222">
        <v>71086.75</v>
      </c>
      <c r="K7608" s="222">
        <v>3757.43</v>
      </c>
      <c r="L7608" s="43">
        <v>7.0974368225977029</v>
      </c>
      <c r="M7608" s="43">
        <v>11.500435161009573</v>
      </c>
      <c r="N7608" s="43">
        <v>5.469477932967556</v>
      </c>
      <c r="O7608" s="43">
        <v>6.2725239136604181</v>
      </c>
      <c r="P7608" s="223"/>
      <c r="Q7608" s="223"/>
      <c r="R7608" s="223">
        <v>28</v>
      </c>
    </row>
    <row r="7609" spans="1:18" ht="72">
      <c r="A7609" s="219">
        <v>533</v>
      </c>
      <c r="B7609" s="216" t="s">
        <v>14005</v>
      </c>
      <c r="C7609" s="220" t="s">
        <v>14006</v>
      </c>
      <c r="D7609" s="221">
        <v>19197.79</v>
      </c>
      <c r="E7609" s="221">
        <v>5239.4399999999996</v>
      </c>
      <c r="F7609" s="221">
        <v>13177.31</v>
      </c>
      <c r="G7609" s="221">
        <v>781.04</v>
      </c>
      <c r="H7609" s="222">
        <v>137138.35999999999</v>
      </c>
      <c r="I7609" s="222">
        <v>60255.839999999997</v>
      </c>
      <c r="J7609" s="222">
        <v>72124.990000000005</v>
      </c>
      <c r="K7609" s="222">
        <v>4757.53</v>
      </c>
      <c r="L7609" s="43">
        <v>7.1434451569685873</v>
      </c>
      <c r="M7609" s="43">
        <v>11.500435161009573</v>
      </c>
      <c r="N7609" s="43">
        <v>5.4734228761408819</v>
      </c>
      <c r="O7609" s="43">
        <v>6.0912757349175459</v>
      </c>
      <c r="P7609" s="223"/>
      <c r="Q7609" s="223"/>
      <c r="R7609" s="223">
        <v>28</v>
      </c>
    </row>
    <row r="7610" spans="1:18" ht="72">
      <c r="A7610" s="219">
        <v>534</v>
      </c>
      <c r="B7610" s="216" t="s">
        <v>14007</v>
      </c>
      <c r="C7610" s="220" t="s">
        <v>14008</v>
      </c>
      <c r="D7610" s="221">
        <v>21440.61</v>
      </c>
      <c r="E7610" s="221">
        <v>5779.47</v>
      </c>
      <c r="F7610" s="221">
        <v>14401.31</v>
      </c>
      <c r="G7610" s="221">
        <v>1259.83</v>
      </c>
      <c r="H7610" s="222">
        <v>152607.88</v>
      </c>
      <c r="I7610" s="222">
        <v>66466.42</v>
      </c>
      <c r="J7610" s="222">
        <v>78766.34</v>
      </c>
      <c r="K7610" s="222">
        <v>7375.12</v>
      </c>
      <c r="L7610" s="43">
        <v>7.1177023414912171</v>
      </c>
      <c r="M7610" s="43">
        <v>11.500435161009573</v>
      </c>
      <c r="N7610" s="43">
        <v>5.4693871599180905</v>
      </c>
      <c r="O7610" s="43">
        <v>5.8540596747180178</v>
      </c>
      <c r="P7610" s="223"/>
      <c r="Q7610" s="223"/>
      <c r="R7610" s="223">
        <v>28</v>
      </c>
    </row>
    <row r="7611" spans="1:18" ht="72">
      <c r="A7611" s="219">
        <v>535</v>
      </c>
      <c r="B7611" s="216" t="s">
        <v>14009</v>
      </c>
      <c r="C7611" s="220" t="s">
        <v>14010</v>
      </c>
      <c r="D7611" s="221">
        <v>24096.16</v>
      </c>
      <c r="E7611" s="221">
        <v>6365.46</v>
      </c>
      <c r="F7611" s="221">
        <v>16290.68</v>
      </c>
      <c r="G7611" s="221">
        <v>1440.02</v>
      </c>
      <c r="H7611" s="222">
        <v>170653.97</v>
      </c>
      <c r="I7611" s="222">
        <v>73205.56</v>
      </c>
      <c r="J7611" s="222">
        <v>89072.78</v>
      </c>
      <c r="K7611" s="222">
        <v>8375.6299999999992</v>
      </c>
      <c r="L7611" s="43">
        <v>7.0822060444485757</v>
      </c>
      <c r="M7611" s="43">
        <v>11.500435161009573</v>
      </c>
      <c r="N7611" s="43">
        <v>5.4677140549074688</v>
      </c>
      <c r="O7611" s="43">
        <v>5.8163289398758344</v>
      </c>
      <c r="P7611" s="223"/>
      <c r="Q7611" s="223"/>
      <c r="R7611" s="223">
        <v>28</v>
      </c>
    </row>
    <row r="7612" spans="1:18" ht="72">
      <c r="A7612" s="219">
        <v>536</v>
      </c>
      <c r="B7612" s="216" t="s">
        <v>14011</v>
      </c>
      <c r="C7612" s="220" t="s">
        <v>14012</v>
      </c>
      <c r="D7612" s="221">
        <v>27513.119999999999</v>
      </c>
      <c r="E7612" s="221">
        <v>7273.17</v>
      </c>
      <c r="F7612" s="221">
        <v>18695.849999999999</v>
      </c>
      <c r="G7612" s="221">
        <v>1544.1</v>
      </c>
      <c r="H7612" s="222">
        <v>195132.13</v>
      </c>
      <c r="I7612" s="222">
        <v>83644.62</v>
      </c>
      <c r="J7612" s="222">
        <v>102225.08</v>
      </c>
      <c r="K7612" s="222">
        <v>9262.43</v>
      </c>
      <c r="L7612" s="43">
        <v>7.0923301319515932</v>
      </c>
      <c r="M7612" s="43">
        <v>11.500435161009573</v>
      </c>
      <c r="N7612" s="43">
        <v>5.4677952593757446</v>
      </c>
      <c r="O7612" s="43">
        <v>5.998594650605531</v>
      </c>
      <c r="P7612" s="223"/>
      <c r="Q7612" s="223"/>
      <c r="R7612" s="223">
        <v>28</v>
      </c>
    </row>
    <row r="7613" spans="1:18" ht="72">
      <c r="A7613" s="219">
        <v>537</v>
      </c>
      <c r="B7613" s="216" t="s">
        <v>14013</v>
      </c>
      <c r="C7613" s="220" t="s">
        <v>14014</v>
      </c>
      <c r="D7613" s="221">
        <v>32493.65</v>
      </c>
      <c r="E7613" s="221">
        <v>8651.9699999999993</v>
      </c>
      <c r="F7613" s="221">
        <v>20681.72</v>
      </c>
      <c r="G7613" s="221">
        <v>3159.96</v>
      </c>
      <c r="H7613" s="222">
        <v>231013.88</v>
      </c>
      <c r="I7613" s="222">
        <v>99501.42</v>
      </c>
      <c r="J7613" s="222">
        <v>113272.06</v>
      </c>
      <c r="K7613" s="222">
        <v>18240.400000000001</v>
      </c>
      <c r="L7613" s="43">
        <v>7.1095084731939933</v>
      </c>
      <c r="M7613" s="43">
        <v>11.500435161009575</v>
      </c>
      <c r="N7613" s="43">
        <v>5.476916813495202</v>
      </c>
      <c r="O7613" s="43">
        <v>5.7723515487537824</v>
      </c>
      <c r="P7613" s="223"/>
      <c r="Q7613" s="223"/>
      <c r="R7613" s="223">
        <v>28</v>
      </c>
    </row>
    <row r="7614" spans="1:18" ht="72">
      <c r="A7614" s="219">
        <v>538</v>
      </c>
      <c r="B7614" s="216" t="s">
        <v>14015</v>
      </c>
      <c r="C7614" s="220" t="s">
        <v>14016</v>
      </c>
      <c r="D7614" s="221">
        <v>35685.54</v>
      </c>
      <c r="E7614" s="221">
        <v>9490.74</v>
      </c>
      <c r="F7614" s="221">
        <v>21205.09</v>
      </c>
      <c r="G7614" s="221">
        <v>4989.71</v>
      </c>
      <c r="H7614" s="222">
        <v>253631.71</v>
      </c>
      <c r="I7614" s="222">
        <v>109147.64</v>
      </c>
      <c r="J7614" s="222">
        <v>116196.39</v>
      </c>
      <c r="K7614" s="222">
        <v>28287.68</v>
      </c>
      <c r="L7614" s="43">
        <v>7.1074084909461925</v>
      </c>
      <c r="M7614" s="43">
        <v>11.500435161009573</v>
      </c>
      <c r="N7614" s="43">
        <v>5.4796461604265767</v>
      </c>
      <c r="O7614" s="43">
        <v>5.669203220227228</v>
      </c>
      <c r="P7614" s="223"/>
      <c r="Q7614" s="223"/>
      <c r="R7614" s="223">
        <v>28</v>
      </c>
    </row>
    <row r="7615" spans="1:18" ht="72">
      <c r="A7615" s="219">
        <v>539</v>
      </c>
      <c r="B7615" s="216" t="s">
        <v>14017</v>
      </c>
      <c r="C7615" s="220" t="s">
        <v>14018</v>
      </c>
      <c r="D7615" s="221">
        <v>39496.129999999997</v>
      </c>
      <c r="E7615" s="221">
        <v>10478.879999999999</v>
      </c>
      <c r="F7615" s="221">
        <v>22289.84</v>
      </c>
      <c r="G7615" s="221">
        <v>6727.41</v>
      </c>
      <c r="H7615" s="222">
        <v>280647.03000000003</v>
      </c>
      <c r="I7615" s="222">
        <v>120511.67999999999</v>
      </c>
      <c r="J7615" s="222">
        <v>122236.59</v>
      </c>
      <c r="K7615" s="222">
        <v>37898.76</v>
      </c>
      <c r="L7615" s="43">
        <v>7.105684278434369</v>
      </c>
      <c r="M7615" s="43">
        <v>11.500435161009573</v>
      </c>
      <c r="N7615" s="43">
        <v>5.4839599566439237</v>
      </c>
      <c r="O7615" s="43">
        <v>5.6334845059242715</v>
      </c>
      <c r="P7615" s="223"/>
      <c r="Q7615" s="223"/>
      <c r="R7615" s="223">
        <v>28</v>
      </c>
    </row>
    <row r="7616" spans="1:18" ht="12.75" customHeight="1">
      <c r="A7616" s="628" t="s">
        <v>14019</v>
      </c>
      <c r="B7616" s="629"/>
      <c r="C7616" s="629"/>
      <c r="D7616" s="629"/>
      <c r="E7616" s="629"/>
      <c r="F7616" s="629"/>
      <c r="G7616" s="629"/>
      <c r="H7616" s="629"/>
      <c r="I7616" s="629"/>
      <c r="J7616" s="629"/>
      <c r="K7616" s="629"/>
      <c r="L7616" s="629"/>
      <c r="M7616" s="629"/>
      <c r="N7616" s="629"/>
      <c r="O7616" s="629"/>
      <c r="P7616" s="629"/>
      <c r="Q7616" s="629"/>
      <c r="R7616" s="629"/>
    </row>
    <row r="7617" spans="1:18" ht="36">
      <c r="A7617" s="219">
        <v>540</v>
      </c>
      <c r="B7617" s="216" t="s">
        <v>14020</v>
      </c>
      <c r="C7617" s="220" t="s">
        <v>14021</v>
      </c>
      <c r="D7617" s="221">
        <v>1964.87</v>
      </c>
      <c r="E7617" s="221">
        <v>1344.33</v>
      </c>
      <c r="F7617" s="221">
        <v>548.41</v>
      </c>
      <c r="G7617" s="221">
        <v>72.13</v>
      </c>
      <c r="H7617" s="222">
        <v>19413.22</v>
      </c>
      <c r="I7617" s="222">
        <v>15460.38</v>
      </c>
      <c r="J7617" s="222">
        <v>3361.42</v>
      </c>
      <c r="K7617" s="222">
        <v>591.41999999999996</v>
      </c>
      <c r="L7617" s="43">
        <v>9.8801549211907158</v>
      </c>
      <c r="M7617" s="43">
        <v>11.500435161009573</v>
      </c>
      <c r="N7617" s="43">
        <v>6.1293922430298506</v>
      </c>
      <c r="O7617" s="43">
        <v>8.1993622625814506</v>
      </c>
      <c r="P7617" s="223"/>
      <c r="Q7617" s="223"/>
      <c r="R7617" s="223">
        <v>29</v>
      </c>
    </row>
    <row r="7618" spans="1:18" ht="36">
      <c r="A7618" s="219">
        <v>541</v>
      </c>
      <c r="B7618" s="216" t="s">
        <v>14022</v>
      </c>
      <c r="C7618" s="220" t="s">
        <v>14023</v>
      </c>
      <c r="D7618" s="221">
        <v>2030.31</v>
      </c>
      <c r="E7618" s="221">
        <v>1344.33</v>
      </c>
      <c r="F7618" s="221">
        <v>614.34</v>
      </c>
      <c r="G7618" s="221">
        <v>71.64</v>
      </c>
      <c r="H7618" s="222">
        <v>19855.21</v>
      </c>
      <c r="I7618" s="222">
        <v>15460.38</v>
      </c>
      <c r="J7618" s="222">
        <v>3792.88</v>
      </c>
      <c r="K7618" s="222">
        <v>601.95000000000005</v>
      </c>
      <c r="L7618" s="43">
        <v>9.7793982199762599</v>
      </c>
      <c r="M7618" s="43">
        <v>11.500435161009573</v>
      </c>
      <c r="N7618" s="43">
        <v>6.1739102125858647</v>
      </c>
      <c r="O7618" s="43">
        <v>8.4024288107202683</v>
      </c>
      <c r="P7618" s="223"/>
      <c r="Q7618" s="223"/>
      <c r="R7618" s="223">
        <v>29</v>
      </c>
    </row>
    <row r="7619" spans="1:18" ht="36">
      <c r="A7619" s="219">
        <v>542</v>
      </c>
      <c r="B7619" s="216" t="s">
        <v>14024</v>
      </c>
      <c r="C7619" s="220" t="s">
        <v>14025</v>
      </c>
      <c r="D7619" s="221">
        <v>2220.8000000000002</v>
      </c>
      <c r="E7619" s="221">
        <v>1344.33</v>
      </c>
      <c r="F7619" s="221">
        <v>770.63</v>
      </c>
      <c r="G7619" s="221">
        <v>105.84</v>
      </c>
      <c r="H7619" s="222">
        <v>20982.95</v>
      </c>
      <c r="I7619" s="222">
        <v>15460.38</v>
      </c>
      <c r="J7619" s="222">
        <v>4715.78</v>
      </c>
      <c r="K7619" s="222">
        <v>806.79</v>
      </c>
      <c r="L7619" s="43">
        <v>9.448374459654179</v>
      </c>
      <c r="M7619" s="43">
        <v>11.500435161009573</v>
      </c>
      <c r="N7619" s="43">
        <v>6.1193828426092933</v>
      </c>
      <c r="O7619" s="43">
        <v>7.6227324263038545</v>
      </c>
      <c r="P7619" s="223"/>
      <c r="Q7619" s="223"/>
      <c r="R7619" s="223">
        <v>29</v>
      </c>
    </row>
    <row r="7620" spans="1:18" ht="36">
      <c r="A7620" s="219">
        <v>543</v>
      </c>
      <c r="B7620" s="216" t="s">
        <v>14026</v>
      </c>
      <c r="C7620" s="220" t="s">
        <v>14027</v>
      </c>
      <c r="D7620" s="221">
        <v>4391.2299999999996</v>
      </c>
      <c r="E7620" s="221">
        <v>2769.09</v>
      </c>
      <c r="F7620" s="221">
        <v>1384.45</v>
      </c>
      <c r="G7620" s="221">
        <v>237.69</v>
      </c>
      <c r="H7620" s="222">
        <v>41919.22</v>
      </c>
      <c r="I7620" s="222">
        <v>31845.74</v>
      </c>
      <c r="J7620" s="222">
        <v>8284.36</v>
      </c>
      <c r="K7620" s="222">
        <v>1789.12</v>
      </c>
      <c r="L7620" s="43">
        <v>9.5461226125709668</v>
      </c>
      <c r="M7620" s="43">
        <v>11.500435161009573</v>
      </c>
      <c r="N7620" s="43">
        <v>5.9838636281555857</v>
      </c>
      <c r="O7620" s="43">
        <v>7.5271151499852742</v>
      </c>
      <c r="P7620" s="223"/>
      <c r="Q7620" s="223"/>
      <c r="R7620" s="223">
        <v>29</v>
      </c>
    </row>
    <row r="7621" spans="1:18" ht="36">
      <c r="A7621" s="219">
        <v>544</v>
      </c>
      <c r="B7621" s="216" t="s">
        <v>14028</v>
      </c>
      <c r="C7621" s="220" t="s">
        <v>14029</v>
      </c>
      <c r="D7621" s="221">
        <v>4955.57</v>
      </c>
      <c r="E7621" s="221">
        <v>2746.11</v>
      </c>
      <c r="F7621" s="221">
        <v>1957.62</v>
      </c>
      <c r="G7621" s="221">
        <v>251.84</v>
      </c>
      <c r="H7621" s="222">
        <v>45030.35</v>
      </c>
      <c r="I7621" s="222">
        <v>31581.46</v>
      </c>
      <c r="J7621" s="222">
        <v>11571.03</v>
      </c>
      <c r="K7621" s="222">
        <v>1877.86</v>
      </c>
      <c r="L7621" s="43">
        <v>9.0868154420177696</v>
      </c>
      <c r="M7621" s="43">
        <v>11.500435161009573</v>
      </c>
      <c r="N7621" s="43">
        <v>5.9107640910902024</v>
      </c>
      <c r="O7621" s="43">
        <v>7.4565597204574328</v>
      </c>
      <c r="P7621" s="223"/>
      <c r="Q7621" s="223"/>
      <c r="R7621" s="223">
        <v>29</v>
      </c>
    </row>
    <row r="7622" spans="1:18" ht="36">
      <c r="A7622" s="219">
        <v>545</v>
      </c>
      <c r="B7622" s="216" t="s">
        <v>14030</v>
      </c>
      <c r="C7622" s="220" t="s">
        <v>14031</v>
      </c>
      <c r="D7622" s="221">
        <v>6370.5</v>
      </c>
      <c r="E7622" s="221">
        <v>2700.15</v>
      </c>
      <c r="F7622" s="221">
        <v>3372.26</v>
      </c>
      <c r="G7622" s="221">
        <v>298.08999999999997</v>
      </c>
      <c r="H7622" s="222">
        <v>52472.25</v>
      </c>
      <c r="I7622" s="222">
        <v>31052.9</v>
      </c>
      <c r="J7622" s="222">
        <v>19254.810000000001</v>
      </c>
      <c r="K7622" s="222">
        <v>2164.54</v>
      </c>
      <c r="L7622" s="43">
        <v>8.2367553567223926</v>
      </c>
      <c r="M7622" s="43">
        <v>11.500435161009573</v>
      </c>
      <c r="N7622" s="43">
        <v>5.7097643716676654</v>
      </c>
      <c r="O7622" s="43">
        <v>7.2613640175785843</v>
      </c>
      <c r="P7622" s="223"/>
      <c r="Q7622" s="223"/>
      <c r="R7622" s="223">
        <v>29</v>
      </c>
    </row>
    <row r="7623" spans="1:18" ht="12.75" customHeight="1">
      <c r="A7623" s="628" t="s">
        <v>14032</v>
      </c>
      <c r="B7623" s="629"/>
      <c r="C7623" s="629"/>
      <c r="D7623" s="629"/>
      <c r="E7623" s="629"/>
      <c r="F7623" s="629"/>
      <c r="G7623" s="629"/>
      <c r="H7623" s="629"/>
      <c r="I7623" s="629"/>
      <c r="J7623" s="629"/>
      <c r="K7623" s="629"/>
      <c r="L7623" s="629"/>
      <c r="M7623" s="629"/>
      <c r="N7623" s="629"/>
      <c r="O7623" s="629"/>
      <c r="P7623" s="629"/>
      <c r="Q7623" s="629"/>
      <c r="R7623" s="629"/>
    </row>
    <row r="7624" spans="1:18" ht="48">
      <c r="A7624" s="219">
        <v>546</v>
      </c>
      <c r="B7624" s="216" t="s">
        <v>14033</v>
      </c>
      <c r="C7624" s="220" t="s">
        <v>14034</v>
      </c>
      <c r="D7624" s="221">
        <v>42780.25</v>
      </c>
      <c r="E7624" s="221">
        <v>20796.900000000001</v>
      </c>
      <c r="F7624" s="221">
        <v>9316.83</v>
      </c>
      <c r="G7624" s="221">
        <v>12666.52</v>
      </c>
      <c r="H7624" s="222">
        <v>346928.73</v>
      </c>
      <c r="I7624" s="222">
        <v>239173.4</v>
      </c>
      <c r="J7624" s="222">
        <v>50391.4</v>
      </c>
      <c r="K7624" s="222">
        <v>57363.93</v>
      </c>
      <c r="L7624" s="43">
        <v>8.1095535907340413</v>
      </c>
      <c r="M7624" s="43">
        <v>11.500435161009573</v>
      </c>
      <c r="N7624" s="43">
        <v>5.4086422098503464</v>
      </c>
      <c r="O7624" s="43">
        <v>4.5287837543382077</v>
      </c>
      <c r="P7624" s="223"/>
      <c r="Q7624" s="223"/>
      <c r="R7624" s="223">
        <v>30</v>
      </c>
    </row>
    <row r="7625" spans="1:18" ht="48">
      <c r="A7625" s="219">
        <v>547</v>
      </c>
      <c r="B7625" s="216" t="s">
        <v>14035</v>
      </c>
      <c r="C7625" s="220" t="s">
        <v>14036</v>
      </c>
      <c r="D7625" s="221">
        <v>42810.25</v>
      </c>
      <c r="E7625" s="221">
        <v>20796.900000000001</v>
      </c>
      <c r="F7625" s="221">
        <v>9346.83</v>
      </c>
      <c r="G7625" s="221">
        <v>12666.52</v>
      </c>
      <c r="H7625" s="222">
        <v>347092.23</v>
      </c>
      <c r="I7625" s="222">
        <v>239173.4</v>
      </c>
      <c r="J7625" s="222">
        <v>50554.9</v>
      </c>
      <c r="K7625" s="222">
        <v>57363.93</v>
      </c>
      <c r="L7625" s="43">
        <v>8.1076898639928512</v>
      </c>
      <c r="M7625" s="43">
        <v>11.500435161009573</v>
      </c>
      <c r="N7625" s="43">
        <v>5.4087749536473861</v>
      </c>
      <c r="O7625" s="43">
        <v>4.5287837543382077</v>
      </c>
      <c r="P7625" s="223"/>
      <c r="Q7625" s="223"/>
      <c r="R7625" s="223">
        <v>30</v>
      </c>
    </row>
    <row r="7626" spans="1:18" ht="48">
      <c r="A7626" s="219">
        <v>548</v>
      </c>
      <c r="B7626" s="216" t="s">
        <v>14037</v>
      </c>
      <c r="C7626" s="220" t="s">
        <v>14038</v>
      </c>
      <c r="D7626" s="221">
        <v>69219.98</v>
      </c>
      <c r="E7626" s="221">
        <v>34929.599999999999</v>
      </c>
      <c r="F7626" s="221">
        <v>18024.57</v>
      </c>
      <c r="G7626" s="221">
        <v>16265.81</v>
      </c>
      <c r="H7626" s="222">
        <v>579411.13</v>
      </c>
      <c r="I7626" s="222">
        <v>401705.6</v>
      </c>
      <c r="J7626" s="222">
        <v>99877.82</v>
      </c>
      <c r="K7626" s="222">
        <v>77827.710000000006</v>
      </c>
      <c r="L7626" s="43">
        <v>8.3705763856042719</v>
      </c>
      <c r="M7626" s="43">
        <v>11.500435161009573</v>
      </c>
      <c r="N7626" s="43">
        <v>5.5412040342709981</v>
      </c>
      <c r="O7626" s="43">
        <v>4.7847423522099426</v>
      </c>
      <c r="P7626" s="223"/>
      <c r="Q7626" s="223"/>
      <c r="R7626" s="223">
        <v>30</v>
      </c>
    </row>
    <row r="7627" spans="1:18" ht="48">
      <c r="A7627" s="219">
        <v>549</v>
      </c>
      <c r="B7627" s="216" t="s">
        <v>14039</v>
      </c>
      <c r="C7627" s="220" t="s">
        <v>14040</v>
      </c>
      <c r="D7627" s="221">
        <v>71764.34</v>
      </c>
      <c r="E7627" s="221">
        <v>35044.5</v>
      </c>
      <c r="F7627" s="221">
        <v>19594.919999999998</v>
      </c>
      <c r="G7627" s="221">
        <v>17124.919999999998</v>
      </c>
      <c r="H7627" s="222">
        <v>594063.98</v>
      </c>
      <c r="I7627" s="222">
        <v>403027</v>
      </c>
      <c r="J7627" s="222">
        <v>108178.67</v>
      </c>
      <c r="K7627" s="222">
        <v>82858.31</v>
      </c>
      <c r="L7627" s="43">
        <v>8.2779829090604053</v>
      </c>
      <c r="M7627" s="43">
        <v>11.500435161009573</v>
      </c>
      <c r="N7627" s="43">
        <v>5.5207507864283194</v>
      </c>
      <c r="O7627" s="43">
        <v>4.8384640628978124</v>
      </c>
      <c r="P7627" s="223"/>
      <c r="Q7627" s="223"/>
      <c r="R7627" s="223">
        <v>30</v>
      </c>
    </row>
    <row r="7628" spans="1:18" ht="48">
      <c r="A7628" s="219">
        <v>550</v>
      </c>
      <c r="B7628" s="216" t="s">
        <v>14041</v>
      </c>
      <c r="C7628" s="220" t="s">
        <v>14042</v>
      </c>
      <c r="D7628" s="221">
        <v>87245.53</v>
      </c>
      <c r="E7628" s="221">
        <v>45385.5</v>
      </c>
      <c r="F7628" s="221">
        <v>21944.68</v>
      </c>
      <c r="G7628" s="221">
        <v>19915.349999999999</v>
      </c>
      <c r="H7628" s="222">
        <v>743123.29</v>
      </c>
      <c r="I7628" s="222">
        <v>521953</v>
      </c>
      <c r="J7628" s="222">
        <v>121793.27</v>
      </c>
      <c r="K7628" s="222">
        <v>99377.02</v>
      </c>
      <c r="L7628" s="43">
        <v>8.5176087531361215</v>
      </c>
      <c r="M7628" s="43">
        <v>11.500435161009573</v>
      </c>
      <c r="N7628" s="43">
        <v>5.5500134884628078</v>
      </c>
      <c r="O7628" s="43">
        <v>4.9899710524796204</v>
      </c>
      <c r="P7628" s="223"/>
      <c r="Q7628" s="223"/>
      <c r="R7628" s="223">
        <v>30</v>
      </c>
    </row>
    <row r="7629" spans="1:18" ht="48">
      <c r="A7629" s="219">
        <v>551</v>
      </c>
      <c r="B7629" s="216" t="s">
        <v>14043</v>
      </c>
      <c r="C7629" s="220" t="s">
        <v>14044</v>
      </c>
      <c r="D7629" s="221">
        <v>116203.27</v>
      </c>
      <c r="E7629" s="221">
        <v>71582.7</v>
      </c>
      <c r="F7629" s="221">
        <v>20841.7</v>
      </c>
      <c r="G7629" s="221">
        <v>23778.87</v>
      </c>
      <c r="H7629" s="222">
        <v>1062825.8500000001</v>
      </c>
      <c r="I7629" s="222">
        <v>823232.2</v>
      </c>
      <c r="J7629" s="222">
        <v>116492.6</v>
      </c>
      <c r="K7629" s="222">
        <v>123101.05</v>
      </c>
      <c r="L7629" s="43">
        <v>9.1462645586479621</v>
      </c>
      <c r="M7629" s="43">
        <v>11.500435161009573</v>
      </c>
      <c r="N7629" s="43">
        <v>5.5894000969210769</v>
      </c>
      <c r="O7629" s="43">
        <v>5.1769091634716036</v>
      </c>
      <c r="P7629" s="223"/>
      <c r="Q7629" s="223"/>
      <c r="R7629" s="223">
        <v>30</v>
      </c>
    </row>
    <row r="7630" spans="1:18" ht="48">
      <c r="A7630" s="219">
        <v>552</v>
      </c>
      <c r="B7630" s="216" t="s">
        <v>14045</v>
      </c>
      <c r="C7630" s="220" t="s">
        <v>14046</v>
      </c>
      <c r="D7630" s="221">
        <v>112148.42</v>
      </c>
      <c r="E7630" s="221">
        <v>71467.8</v>
      </c>
      <c r="F7630" s="221">
        <v>16238.76</v>
      </c>
      <c r="G7630" s="221">
        <v>24441.86</v>
      </c>
      <c r="H7630" s="222">
        <v>1034312.31</v>
      </c>
      <c r="I7630" s="222">
        <v>821910.8</v>
      </c>
      <c r="J7630" s="222">
        <v>85639.87</v>
      </c>
      <c r="K7630" s="222">
        <v>126761.64</v>
      </c>
      <c r="L7630" s="43">
        <v>9.2227096021504362</v>
      </c>
      <c r="M7630" s="43">
        <v>11.500435161009573</v>
      </c>
      <c r="N7630" s="43">
        <v>5.2737936886806622</v>
      </c>
      <c r="O7630" s="43">
        <v>5.1862517828021266</v>
      </c>
      <c r="P7630" s="223"/>
      <c r="Q7630" s="223"/>
      <c r="R7630" s="223">
        <v>30</v>
      </c>
    </row>
    <row r="7631" spans="1:18" ht="48">
      <c r="A7631" s="219">
        <v>553</v>
      </c>
      <c r="B7631" s="216" t="s">
        <v>14047</v>
      </c>
      <c r="C7631" s="220" t="s">
        <v>14048</v>
      </c>
      <c r="D7631" s="221">
        <v>128211.65</v>
      </c>
      <c r="E7631" s="221">
        <v>86979.3</v>
      </c>
      <c r="F7631" s="221">
        <v>16390.169999999998</v>
      </c>
      <c r="G7631" s="221">
        <v>24842.18</v>
      </c>
      <c r="H7631" s="222">
        <v>1214849.33</v>
      </c>
      <c r="I7631" s="222">
        <v>1000299.8</v>
      </c>
      <c r="J7631" s="222">
        <v>86408.23</v>
      </c>
      <c r="K7631" s="222">
        <v>128141.3</v>
      </c>
      <c r="L7631" s="43">
        <v>9.4753427633136305</v>
      </c>
      <c r="M7631" s="43">
        <v>11.500435161009573</v>
      </c>
      <c r="N7631" s="43">
        <v>5.2719544702709005</v>
      </c>
      <c r="O7631" s="43">
        <v>5.1582147782521499</v>
      </c>
      <c r="P7631" s="223"/>
      <c r="Q7631" s="223"/>
      <c r="R7631" s="223">
        <v>30</v>
      </c>
    </row>
    <row r="7632" spans="1:18" ht="48">
      <c r="A7632" s="219">
        <v>554</v>
      </c>
      <c r="B7632" s="216" t="s">
        <v>14049</v>
      </c>
      <c r="C7632" s="220" t="s">
        <v>14050</v>
      </c>
      <c r="D7632" s="221">
        <v>131727.54</v>
      </c>
      <c r="E7632" s="221">
        <v>86979.3</v>
      </c>
      <c r="F7632" s="221">
        <v>18676.73</v>
      </c>
      <c r="G7632" s="221">
        <v>26071.51</v>
      </c>
      <c r="H7632" s="222">
        <v>1231817.48</v>
      </c>
      <c r="I7632" s="222">
        <v>1000299.8</v>
      </c>
      <c r="J7632" s="222">
        <v>98518.25</v>
      </c>
      <c r="K7632" s="222">
        <v>132999.43</v>
      </c>
      <c r="L7632" s="43">
        <v>9.351252441213127</v>
      </c>
      <c r="M7632" s="43">
        <v>11.500435161009573</v>
      </c>
      <c r="N7632" s="43">
        <v>5.2749196459979881</v>
      </c>
      <c r="O7632" s="43">
        <v>5.1013320670724482</v>
      </c>
      <c r="P7632" s="223"/>
      <c r="Q7632" s="223"/>
      <c r="R7632" s="223">
        <v>30</v>
      </c>
    </row>
    <row r="7633" spans="1:18" ht="48">
      <c r="A7633" s="219">
        <v>555</v>
      </c>
      <c r="B7633" s="216" t="s">
        <v>14051</v>
      </c>
      <c r="C7633" s="220" t="s">
        <v>14052</v>
      </c>
      <c r="D7633" s="221">
        <v>144048.88</v>
      </c>
      <c r="E7633" s="221">
        <v>95941.5</v>
      </c>
      <c r="F7633" s="221">
        <v>22672.42</v>
      </c>
      <c r="G7633" s="221">
        <v>25434.959999999999</v>
      </c>
      <c r="H7633" s="222">
        <v>1352752</v>
      </c>
      <c r="I7633" s="222">
        <v>1103369</v>
      </c>
      <c r="J7633" s="222">
        <v>119961.75</v>
      </c>
      <c r="K7633" s="222">
        <v>129421.25</v>
      </c>
      <c r="L7633" s="43">
        <v>9.3909234143299134</v>
      </c>
      <c r="M7633" s="43">
        <v>11.500435161009573</v>
      </c>
      <c r="N7633" s="43">
        <v>5.2910871446453447</v>
      </c>
      <c r="O7633" s="43">
        <v>5.0883213498271669</v>
      </c>
      <c r="P7633" s="223"/>
      <c r="Q7633" s="223"/>
      <c r="R7633" s="223">
        <v>30</v>
      </c>
    </row>
    <row r="7634" spans="1:18" ht="48">
      <c r="A7634" s="219">
        <v>556</v>
      </c>
      <c r="B7634" s="216" t="s">
        <v>14053</v>
      </c>
      <c r="C7634" s="220" t="s">
        <v>14054</v>
      </c>
      <c r="D7634" s="221">
        <v>149808.26</v>
      </c>
      <c r="E7634" s="221">
        <v>95941.5</v>
      </c>
      <c r="F7634" s="221">
        <v>26070.52</v>
      </c>
      <c r="G7634" s="221">
        <v>27796.240000000002</v>
      </c>
      <c r="H7634" s="222">
        <v>1381872.1</v>
      </c>
      <c r="I7634" s="222">
        <v>1103369</v>
      </c>
      <c r="J7634" s="222">
        <v>138142.69</v>
      </c>
      <c r="K7634" s="222">
        <v>140360.41</v>
      </c>
      <c r="L7634" s="43">
        <v>9.2242717457635521</v>
      </c>
      <c r="M7634" s="43">
        <v>11.500435161009573</v>
      </c>
      <c r="N7634" s="43">
        <v>5.2988083858703243</v>
      </c>
      <c r="O7634" s="43">
        <v>5.049618581505988</v>
      </c>
      <c r="P7634" s="223"/>
      <c r="Q7634" s="223"/>
      <c r="R7634" s="223">
        <v>30</v>
      </c>
    </row>
    <row r="7635" spans="1:18" ht="12.75" customHeight="1">
      <c r="A7635" s="628" t="s">
        <v>14055</v>
      </c>
      <c r="B7635" s="629"/>
      <c r="C7635" s="629"/>
      <c r="D7635" s="629"/>
      <c r="E7635" s="629"/>
      <c r="F7635" s="629"/>
      <c r="G7635" s="629"/>
      <c r="H7635" s="629"/>
      <c r="I7635" s="629"/>
      <c r="J7635" s="629"/>
      <c r="K7635" s="629"/>
      <c r="L7635" s="629"/>
      <c r="M7635" s="629"/>
      <c r="N7635" s="629"/>
      <c r="O7635" s="629"/>
      <c r="P7635" s="629"/>
      <c r="Q7635" s="629"/>
      <c r="R7635" s="629"/>
    </row>
    <row r="7636" spans="1:18" ht="36">
      <c r="A7636" s="219">
        <v>557</v>
      </c>
      <c r="B7636" s="216" t="s">
        <v>14056</v>
      </c>
      <c r="C7636" s="220" t="s">
        <v>14057</v>
      </c>
      <c r="D7636" s="221">
        <v>508.75</v>
      </c>
      <c r="E7636" s="221">
        <v>266.57</v>
      </c>
      <c r="F7636" s="221">
        <v>219.73</v>
      </c>
      <c r="G7636" s="221">
        <v>22.45</v>
      </c>
      <c r="H7636" s="222">
        <v>4315.12</v>
      </c>
      <c r="I7636" s="222">
        <v>3065.65</v>
      </c>
      <c r="J7636" s="222">
        <v>1104.8</v>
      </c>
      <c r="K7636" s="222">
        <v>144.66999999999999</v>
      </c>
      <c r="L7636" s="43">
        <v>8.4818083538083542</v>
      </c>
      <c r="M7636" s="43">
        <v>11.500356379187457</v>
      </c>
      <c r="N7636" s="43">
        <v>5.0279888954626131</v>
      </c>
      <c r="O7636" s="43">
        <v>6.4440979955456568</v>
      </c>
      <c r="P7636" s="223"/>
      <c r="Q7636" s="223"/>
      <c r="R7636" s="223">
        <v>31</v>
      </c>
    </row>
    <row r="7637" spans="1:18" ht="36">
      <c r="A7637" s="219">
        <v>558</v>
      </c>
      <c r="B7637" s="216" t="s">
        <v>14058</v>
      </c>
      <c r="C7637" s="220" t="s">
        <v>14059</v>
      </c>
      <c r="D7637" s="221">
        <v>548.34</v>
      </c>
      <c r="E7637" s="221">
        <v>266.57</v>
      </c>
      <c r="F7637" s="221">
        <v>256.49</v>
      </c>
      <c r="G7637" s="221">
        <v>25.28</v>
      </c>
      <c r="H7637" s="222">
        <v>4516.9799999999996</v>
      </c>
      <c r="I7637" s="222">
        <v>3065.65</v>
      </c>
      <c r="J7637" s="222">
        <v>1285.32</v>
      </c>
      <c r="K7637" s="222">
        <v>166.01</v>
      </c>
      <c r="L7637" s="43">
        <v>8.2375533428164989</v>
      </c>
      <c r="M7637" s="43">
        <v>11.500356379187457</v>
      </c>
      <c r="N7637" s="43">
        <v>5.0111895200592613</v>
      </c>
      <c r="O7637" s="43">
        <v>6.566851265822784</v>
      </c>
      <c r="P7637" s="223"/>
      <c r="Q7637" s="223"/>
      <c r="R7637" s="223">
        <v>31</v>
      </c>
    </row>
    <row r="7638" spans="1:18" ht="36">
      <c r="A7638" s="219">
        <v>559</v>
      </c>
      <c r="B7638" s="216" t="s">
        <v>14060</v>
      </c>
      <c r="C7638" s="220" t="s">
        <v>14061</v>
      </c>
      <c r="D7638" s="221">
        <v>879.03</v>
      </c>
      <c r="E7638" s="221">
        <v>533.14</v>
      </c>
      <c r="F7638" s="221">
        <v>304.74</v>
      </c>
      <c r="G7638" s="221">
        <v>41.15</v>
      </c>
      <c r="H7638" s="222">
        <v>7936.9</v>
      </c>
      <c r="I7638" s="222">
        <v>6131.3</v>
      </c>
      <c r="J7638" s="222">
        <v>1522.25</v>
      </c>
      <c r="K7638" s="222">
        <v>283.35000000000002</v>
      </c>
      <c r="L7638" s="43">
        <v>9.0291571391192562</v>
      </c>
      <c r="M7638" s="43">
        <v>11.500356379187457</v>
      </c>
      <c r="N7638" s="43">
        <v>4.9952418455076453</v>
      </c>
      <c r="O7638" s="43">
        <v>6.8857837181044967</v>
      </c>
      <c r="P7638" s="223"/>
      <c r="Q7638" s="223"/>
      <c r="R7638" s="223">
        <v>31</v>
      </c>
    </row>
    <row r="7639" spans="1:18" ht="36">
      <c r="A7639" s="219">
        <v>560</v>
      </c>
      <c r="B7639" s="216" t="s">
        <v>14062</v>
      </c>
      <c r="C7639" s="220" t="s">
        <v>14063</v>
      </c>
      <c r="D7639" s="221">
        <v>892.81</v>
      </c>
      <c r="E7639" s="221">
        <v>533.14</v>
      </c>
      <c r="F7639" s="221">
        <v>318.52</v>
      </c>
      <c r="G7639" s="221">
        <v>41.15</v>
      </c>
      <c r="H7639" s="222">
        <v>8004.6</v>
      </c>
      <c r="I7639" s="222">
        <v>6131.3</v>
      </c>
      <c r="J7639" s="222">
        <v>1589.95</v>
      </c>
      <c r="K7639" s="222">
        <v>283.35000000000002</v>
      </c>
      <c r="L7639" s="43">
        <v>8.9656253850203296</v>
      </c>
      <c r="M7639" s="43">
        <v>11.500356379187457</v>
      </c>
      <c r="N7639" s="43">
        <v>4.9916802712545527</v>
      </c>
      <c r="O7639" s="43">
        <v>6.8857837181044967</v>
      </c>
      <c r="P7639" s="223"/>
      <c r="Q7639" s="223"/>
      <c r="R7639" s="223">
        <v>31</v>
      </c>
    </row>
    <row r="7640" spans="1:18" ht="48">
      <c r="A7640" s="219">
        <v>561</v>
      </c>
      <c r="B7640" s="216" t="s">
        <v>14064</v>
      </c>
      <c r="C7640" s="220" t="s">
        <v>14065</v>
      </c>
      <c r="D7640" s="221">
        <v>1242.05</v>
      </c>
      <c r="E7640" s="221">
        <v>685.95</v>
      </c>
      <c r="F7640" s="221">
        <v>499.2</v>
      </c>
      <c r="G7640" s="221">
        <v>56.9</v>
      </c>
      <c r="H7640" s="222">
        <v>10830.1</v>
      </c>
      <c r="I7640" s="222">
        <v>7888.76</v>
      </c>
      <c r="J7640" s="222">
        <v>2502.9499999999998</v>
      </c>
      <c r="K7640" s="222">
        <v>438.39</v>
      </c>
      <c r="L7640" s="43">
        <v>8.7195362505535208</v>
      </c>
      <c r="M7640" s="43">
        <v>11.500488373788176</v>
      </c>
      <c r="N7640" s="43">
        <v>5.0139222756410255</v>
      </c>
      <c r="O7640" s="43">
        <v>7.7045694200351491</v>
      </c>
      <c r="P7640" s="223"/>
      <c r="Q7640" s="223"/>
      <c r="R7640" s="223">
        <v>31</v>
      </c>
    </row>
    <row r="7641" spans="1:18" ht="48">
      <c r="A7641" s="219">
        <v>562</v>
      </c>
      <c r="B7641" s="216" t="s">
        <v>14066</v>
      </c>
      <c r="C7641" s="220" t="s">
        <v>14067</v>
      </c>
      <c r="D7641" s="221">
        <v>1478.55</v>
      </c>
      <c r="E7641" s="221">
        <v>823.83</v>
      </c>
      <c r="F7641" s="221">
        <v>572.72</v>
      </c>
      <c r="G7641" s="221">
        <v>82</v>
      </c>
      <c r="H7641" s="222">
        <v>13005.87</v>
      </c>
      <c r="I7641" s="222">
        <v>9474.44</v>
      </c>
      <c r="J7641" s="222">
        <v>2863.99</v>
      </c>
      <c r="K7641" s="222">
        <v>667.44</v>
      </c>
      <c r="L7641" s="43">
        <v>8.7963680633052661</v>
      </c>
      <c r="M7641" s="43">
        <v>11.500479467851378</v>
      </c>
      <c r="N7641" s="43">
        <v>5.0006809610280758</v>
      </c>
      <c r="O7641" s="43">
        <v>8.1395121951219522</v>
      </c>
      <c r="P7641" s="223"/>
      <c r="Q7641" s="223"/>
      <c r="R7641" s="223">
        <v>31</v>
      </c>
    </row>
    <row r="7642" spans="1:18" ht="48">
      <c r="A7642" s="219">
        <v>563</v>
      </c>
      <c r="B7642" s="216" t="s">
        <v>14068</v>
      </c>
      <c r="C7642" s="220" t="s">
        <v>14069</v>
      </c>
      <c r="D7642" s="221">
        <v>1711.45</v>
      </c>
      <c r="E7642" s="221">
        <v>960.56</v>
      </c>
      <c r="F7642" s="221">
        <v>641.64</v>
      </c>
      <c r="G7642" s="221">
        <v>109.25</v>
      </c>
      <c r="H7642" s="222">
        <v>15196.53</v>
      </c>
      <c r="I7642" s="222">
        <v>11046.9</v>
      </c>
      <c r="J7642" s="222">
        <v>3202.47</v>
      </c>
      <c r="K7642" s="222">
        <v>947.16</v>
      </c>
      <c r="L7642" s="43">
        <v>8.8793303923573585</v>
      </c>
      <c r="M7642" s="43">
        <v>11.500478887315733</v>
      </c>
      <c r="N7642" s="43">
        <v>4.9910697587432207</v>
      </c>
      <c r="O7642" s="43">
        <v>8.6696567505720825</v>
      </c>
      <c r="P7642" s="223"/>
      <c r="Q7642" s="223"/>
      <c r="R7642" s="223">
        <v>31</v>
      </c>
    </row>
    <row r="7643" spans="1:18" ht="48">
      <c r="A7643" s="219">
        <v>564</v>
      </c>
      <c r="B7643" s="216" t="s">
        <v>14070</v>
      </c>
      <c r="C7643" s="220" t="s">
        <v>14071</v>
      </c>
      <c r="D7643" s="221">
        <v>2111.27</v>
      </c>
      <c r="E7643" s="221">
        <v>1240.92</v>
      </c>
      <c r="F7643" s="221">
        <v>719.76</v>
      </c>
      <c r="G7643" s="221">
        <v>150.59</v>
      </c>
      <c r="H7643" s="222">
        <v>19200.95</v>
      </c>
      <c r="I7643" s="222">
        <v>14271.12</v>
      </c>
      <c r="J7643" s="222">
        <v>3586.07</v>
      </c>
      <c r="K7643" s="222">
        <v>1343.76</v>
      </c>
      <c r="L7643" s="43">
        <v>9.0945023611380833</v>
      </c>
      <c r="M7643" s="43">
        <v>11.500435161009573</v>
      </c>
      <c r="N7643" s="43">
        <v>4.9823135489607653</v>
      </c>
      <c r="O7643" s="43">
        <v>8.9233016800584366</v>
      </c>
      <c r="P7643" s="223"/>
      <c r="Q7643" s="223"/>
      <c r="R7643" s="223">
        <v>31</v>
      </c>
    </row>
    <row r="7644" spans="1:18" ht="48">
      <c r="A7644" s="219">
        <v>565</v>
      </c>
      <c r="B7644" s="216" t="s">
        <v>14072</v>
      </c>
      <c r="C7644" s="220" t="s">
        <v>14073</v>
      </c>
      <c r="D7644" s="221">
        <v>2349.39</v>
      </c>
      <c r="E7644" s="221">
        <v>1367.31</v>
      </c>
      <c r="F7644" s="221">
        <v>793.28</v>
      </c>
      <c r="G7644" s="221">
        <v>188.8</v>
      </c>
      <c r="H7644" s="222">
        <v>21415.26</v>
      </c>
      <c r="I7644" s="222">
        <v>15724.66</v>
      </c>
      <c r="J7644" s="222">
        <v>3947.11</v>
      </c>
      <c r="K7644" s="222">
        <v>1743.49</v>
      </c>
      <c r="L7644" s="43">
        <v>9.1152426800148127</v>
      </c>
      <c r="M7644" s="43">
        <v>11.500435161009573</v>
      </c>
      <c r="N7644" s="43">
        <v>4.9756832392093591</v>
      </c>
      <c r="O7644" s="43">
        <v>9.2345868644067792</v>
      </c>
      <c r="P7644" s="223"/>
      <c r="Q7644" s="223"/>
      <c r="R7644" s="223">
        <v>31</v>
      </c>
    </row>
    <row r="7645" spans="1:18" ht="48">
      <c r="A7645" s="219">
        <v>566</v>
      </c>
      <c r="B7645" s="216" t="s">
        <v>14074</v>
      </c>
      <c r="C7645" s="220" t="s">
        <v>14075</v>
      </c>
      <c r="D7645" s="221">
        <v>3504.73</v>
      </c>
      <c r="E7645" s="221">
        <v>2068.1999999999998</v>
      </c>
      <c r="F7645" s="221">
        <v>1084.23</v>
      </c>
      <c r="G7645" s="221">
        <v>352.3</v>
      </c>
      <c r="H7645" s="222">
        <v>32631.65</v>
      </c>
      <c r="I7645" s="222">
        <v>23785.200000000001</v>
      </c>
      <c r="J7645" s="222">
        <v>5401.67</v>
      </c>
      <c r="K7645" s="222">
        <v>3444.78</v>
      </c>
      <c r="L7645" s="43">
        <v>9.3107457635823589</v>
      </c>
      <c r="M7645" s="43">
        <v>11.500435161009575</v>
      </c>
      <c r="N7645" s="43">
        <v>4.98203333241102</v>
      </c>
      <c r="O7645" s="43">
        <v>9.7779733181947215</v>
      </c>
      <c r="P7645" s="223"/>
      <c r="Q7645" s="223"/>
      <c r="R7645" s="223">
        <v>31</v>
      </c>
    </row>
    <row r="7646" spans="1:18" ht="48">
      <c r="A7646" s="219">
        <v>567</v>
      </c>
      <c r="B7646" s="216" t="s">
        <v>14076</v>
      </c>
      <c r="C7646" s="220" t="s">
        <v>14077</v>
      </c>
      <c r="D7646" s="221">
        <v>3599.29</v>
      </c>
      <c r="E7646" s="221">
        <v>2068.1999999999998</v>
      </c>
      <c r="F7646" s="221">
        <v>1171.54</v>
      </c>
      <c r="G7646" s="221">
        <v>359.55</v>
      </c>
      <c r="H7646" s="222">
        <v>33084.949999999997</v>
      </c>
      <c r="I7646" s="222">
        <v>23785.200000000001</v>
      </c>
      <c r="J7646" s="222">
        <v>5830.4</v>
      </c>
      <c r="K7646" s="222">
        <v>3469.35</v>
      </c>
      <c r="L7646" s="43">
        <v>9.1920767706964419</v>
      </c>
      <c r="M7646" s="43">
        <v>11.500435161009575</v>
      </c>
      <c r="N7646" s="43">
        <v>4.9766973385458453</v>
      </c>
      <c r="O7646" s="43">
        <v>9.6491447642886943</v>
      </c>
      <c r="P7646" s="223"/>
      <c r="Q7646" s="223"/>
      <c r="R7646" s="223">
        <v>31</v>
      </c>
    </row>
    <row r="7647" spans="1:18" ht="12.75" customHeight="1">
      <c r="A7647" s="628" t="s">
        <v>14078</v>
      </c>
      <c r="B7647" s="629"/>
      <c r="C7647" s="629"/>
      <c r="D7647" s="629"/>
      <c r="E7647" s="629"/>
      <c r="F7647" s="629"/>
      <c r="G7647" s="629"/>
      <c r="H7647" s="629"/>
      <c r="I7647" s="629"/>
      <c r="J7647" s="629"/>
      <c r="K7647" s="629"/>
      <c r="L7647" s="629"/>
      <c r="M7647" s="629"/>
      <c r="N7647" s="629"/>
      <c r="O7647" s="629"/>
      <c r="P7647" s="629"/>
      <c r="Q7647" s="629"/>
      <c r="R7647" s="629"/>
    </row>
    <row r="7648" spans="1:18" ht="48">
      <c r="A7648" s="219">
        <v>568</v>
      </c>
      <c r="B7648" s="216" t="s">
        <v>14079</v>
      </c>
      <c r="C7648" s="220" t="s">
        <v>14080</v>
      </c>
      <c r="D7648" s="221">
        <v>578.02</v>
      </c>
      <c r="E7648" s="221">
        <v>355.04</v>
      </c>
      <c r="F7648" s="221">
        <v>174.61</v>
      </c>
      <c r="G7648" s="221">
        <v>48.37</v>
      </c>
      <c r="H7648" s="222">
        <v>5363.46</v>
      </c>
      <c r="I7648" s="222">
        <v>4083.13</v>
      </c>
      <c r="J7648" s="222">
        <v>857.47</v>
      </c>
      <c r="K7648" s="222">
        <v>422.86</v>
      </c>
      <c r="L7648" s="43">
        <v>9.2790214871457746</v>
      </c>
      <c r="M7648" s="43">
        <v>11.500478819287967</v>
      </c>
      <c r="N7648" s="43">
        <v>4.9107725788900973</v>
      </c>
      <c r="O7648" s="43">
        <v>8.742195575770106</v>
      </c>
      <c r="P7648" s="223"/>
      <c r="Q7648" s="223"/>
      <c r="R7648" s="223">
        <v>32</v>
      </c>
    </row>
    <row r="7649" spans="1:18" ht="48">
      <c r="A7649" s="219">
        <v>569</v>
      </c>
      <c r="B7649" s="216" t="s">
        <v>14081</v>
      </c>
      <c r="C7649" s="220" t="s">
        <v>14082</v>
      </c>
      <c r="D7649" s="221">
        <v>914.69</v>
      </c>
      <c r="E7649" s="221">
        <v>591.74</v>
      </c>
      <c r="F7649" s="221">
        <v>261.92</v>
      </c>
      <c r="G7649" s="221">
        <v>61.03</v>
      </c>
      <c r="H7649" s="222">
        <v>8623.3799999999992</v>
      </c>
      <c r="I7649" s="222">
        <v>6805.21</v>
      </c>
      <c r="J7649" s="222">
        <v>1286.21</v>
      </c>
      <c r="K7649" s="222">
        <v>531.96</v>
      </c>
      <c r="L7649" s="43">
        <v>9.4276530846516291</v>
      </c>
      <c r="M7649" s="43">
        <v>11.500337986277756</v>
      </c>
      <c r="N7649" s="43">
        <v>4.9106979230299324</v>
      </c>
      <c r="O7649" s="43">
        <v>8.7163689988530244</v>
      </c>
      <c r="P7649" s="223"/>
      <c r="Q7649" s="223"/>
      <c r="R7649" s="223">
        <v>32</v>
      </c>
    </row>
    <row r="7650" spans="1:18" ht="48">
      <c r="A7650" s="219">
        <v>570</v>
      </c>
      <c r="B7650" s="216" t="s">
        <v>14083</v>
      </c>
      <c r="C7650" s="220" t="s">
        <v>14084</v>
      </c>
      <c r="D7650" s="221">
        <v>1289.72</v>
      </c>
      <c r="E7650" s="221">
        <v>828.43</v>
      </c>
      <c r="F7650" s="221">
        <v>344.63</v>
      </c>
      <c r="G7650" s="221">
        <v>116.66</v>
      </c>
      <c r="H7650" s="222">
        <v>12301.12</v>
      </c>
      <c r="I7650" s="222">
        <v>9527.2900000000009</v>
      </c>
      <c r="J7650" s="222">
        <v>1692.38</v>
      </c>
      <c r="K7650" s="222">
        <v>1081.45</v>
      </c>
      <c r="L7650" s="43">
        <v>9.5378221629500981</v>
      </c>
      <c r="M7650" s="43">
        <v>11.500416450394122</v>
      </c>
      <c r="N7650" s="43">
        <v>4.9107158401764215</v>
      </c>
      <c r="O7650" s="43">
        <v>9.2701011486370657</v>
      </c>
      <c r="P7650" s="223"/>
      <c r="Q7650" s="223"/>
      <c r="R7650" s="223">
        <v>32</v>
      </c>
    </row>
    <row r="7651" spans="1:18" ht="48">
      <c r="A7651" s="219">
        <v>571</v>
      </c>
      <c r="B7651" s="216" t="s">
        <v>14085</v>
      </c>
      <c r="C7651" s="220" t="s">
        <v>14086</v>
      </c>
      <c r="D7651" s="221">
        <v>1451.86</v>
      </c>
      <c r="E7651" s="221">
        <v>946.78</v>
      </c>
      <c r="F7651" s="221">
        <v>376.79</v>
      </c>
      <c r="G7651" s="221">
        <v>128.29</v>
      </c>
      <c r="H7651" s="222">
        <v>13914.13</v>
      </c>
      <c r="I7651" s="222">
        <v>10888.34</v>
      </c>
      <c r="J7651" s="222">
        <v>1850.33</v>
      </c>
      <c r="K7651" s="222">
        <v>1175.46</v>
      </c>
      <c r="L7651" s="43">
        <v>9.5836582039590592</v>
      </c>
      <c r="M7651" s="43">
        <v>11.500390798284712</v>
      </c>
      <c r="N7651" s="43">
        <v>4.9107725788900973</v>
      </c>
      <c r="O7651" s="43">
        <v>9.1625224101644722</v>
      </c>
      <c r="P7651" s="223"/>
      <c r="Q7651" s="223"/>
      <c r="R7651" s="223">
        <v>32</v>
      </c>
    </row>
    <row r="7652" spans="1:18" ht="48">
      <c r="A7652" s="219">
        <v>572</v>
      </c>
      <c r="B7652" s="216" t="s">
        <v>14087</v>
      </c>
      <c r="C7652" s="220" t="s">
        <v>14088</v>
      </c>
      <c r="D7652" s="221">
        <v>1472.21</v>
      </c>
      <c r="E7652" s="221">
        <v>946.78</v>
      </c>
      <c r="F7652" s="221">
        <v>395.17</v>
      </c>
      <c r="G7652" s="221">
        <v>130.26</v>
      </c>
      <c r="H7652" s="222">
        <v>14008.81</v>
      </c>
      <c r="I7652" s="222">
        <v>10888.34</v>
      </c>
      <c r="J7652" s="222">
        <v>1940.59</v>
      </c>
      <c r="K7652" s="222">
        <v>1179.8800000000001</v>
      </c>
      <c r="L7652" s="43">
        <v>9.5154971097873258</v>
      </c>
      <c r="M7652" s="43">
        <v>11.500390798284712</v>
      </c>
      <c r="N7652" s="43">
        <v>4.9107725788900973</v>
      </c>
      <c r="O7652" s="43">
        <v>9.0578842315369279</v>
      </c>
      <c r="P7652" s="223"/>
      <c r="Q7652" s="223"/>
      <c r="R7652" s="223">
        <v>32</v>
      </c>
    </row>
    <row r="7653" spans="1:18" ht="48">
      <c r="A7653" s="219">
        <v>573</v>
      </c>
      <c r="B7653" s="216" t="s">
        <v>14089</v>
      </c>
      <c r="C7653" s="220" t="s">
        <v>14090</v>
      </c>
      <c r="D7653" s="221">
        <v>1852.94</v>
      </c>
      <c r="E7653" s="221">
        <v>1183.47</v>
      </c>
      <c r="F7653" s="221">
        <v>519.24</v>
      </c>
      <c r="G7653" s="221">
        <v>150.22999999999999</v>
      </c>
      <c r="H7653" s="222">
        <v>17510.53</v>
      </c>
      <c r="I7653" s="222">
        <v>13610.42</v>
      </c>
      <c r="J7653" s="222">
        <v>2549.85</v>
      </c>
      <c r="K7653" s="222">
        <v>1350.26</v>
      </c>
      <c r="L7653" s="43">
        <v>9.4501333016719364</v>
      </c>
      <c r="M7653" s="43">
        <v>11.500435161009573</v>
      </c>
      <c r="N7653" s="43">
        <v>4.9107349202680837</v>
      </c>
      <c r="O7653" s="43">
        <v>8.9879518072289155</v>
      </c>
      <c r="P7653" s="223"/>
      <c r="Q7653" s="223"/>
      <c r="R7653" s="223">
        <v>32</v>
      </c>
    </row>
    <row r="7654" spans="1:18" ht="48">
      <c r="A7654" s="219">
        <v>574</v>
      </c>
      <c r="B7654" s="216" t="s">
        <v>14091</v>
      </c>
      <c r="C7654" s="220" t="s">
        <v>14092</v>
      </c>
      <c r="D7654" s="221">
        <v>2355.15</v>
      </c>
      <c r="E7654" s="221">
        <v>1539.66</v>
      </c>
      <c r="F7654" s="221">
        <v>643.29999999999995</v>
      </c>
      <c r="G7654" s="221">
        <v>172.19</v>
      </c>
      <c r="H7654" s="222">
        <v>22411.919999999998</v>
      </c>
      <c r="I7654" s="222">
        <v>17706.759999999998</v>
      </c>
      <c r="J7654" s="222">
        <v>3159.1</v>
      </c>
      <c r="K7654" s="222">
        <v>1546.06</v>
      </c>
      <c r="L7654" s="43">
        <v>9.5161327303993364</v>
      </c>
      <c r="M7654" s="43">
        <v>11.500435161009571</v>
      </c>
      <c r="N7654" s="43">
        <v>4.9107725788900982</v>
      </c>
      <c r="O7654" s="43">
        <v>8.9788024856263426</v>
      </c>
      <c r="P7654" s="223"/>
      <c r="Q7654" s="223"/>
      <c r="R7654" s="223">
        <v>32</v>
      </c>
    </row>
    <row r="7655" spans="1:18" ht="48">
      <c r="A7655" s="219">
        <v>575</v>
      </c>
      <c r="B7655" s="216" t="s">
        <v>14093</v>
      </c>
      <c r="C7655" s="220" t="s">
        <v>14094</v>
      </c>
      <c r="D7655" s="221">
        <v>2991.18</v>
      </c>
      <c r="E7655" s="221">
        <v>2010.75</v>
      </c>
      <c r="F7655" s="221">
        <v>771.96</v>
      </c>
      <c r="G7655" s="221">
        <v>208.47</v>
      </c>
      <c r="H7655" s="222">
        <v>28760.28</v>
      </c>
      <c r="I7655" s="222">
        <v>23124.5</v>
      </c>
      <c r="J7655" s="222">
        <v>3790.92</v>
      </c>
      <c r="K7655" s="222">
        <v>1844.86</v>
      </c>
      <c r="L7655" s="43">
        <v>9.6150281828576016</v>
      </c>
      <c r="M7655" s="43">
        <v>11.500435161009573</v>
      </c>
      <c r="N7655" s="43">
        <v>4.9107725788900982</v>
      </c>
      <c r="O7655" s="43">
        <v>8.849522713100205</v>
      </c>
      <c r="P7655" s="223"/>
      <c r="Q7655" s="223"/>
      <c r="R7655" s="223">
        <v>32</v>
      </c>
    </row>
    <row r="7656" spans="1:18" ht="48">
      <c r="A7656" s="219">
        <v>576</v>
      </c>
      <c r="B7656" s="216" t="s">
        <v>14095</v>
      </c>
      <c r="C7656" s="220" t="s">
        <v>14096</v>
      </c>
      <c r="D7656" s="221">
        <v>3110.65</v>
      </c>
      <c r="E7656" s="221">
        <v>2010.75</v>
      </c>
      <c r="F7656" s="221">
        <v>891.43</v>
      </c>
      <c r="G7656" s="221">
        <v>208.47</v>
      </c>
      <c r="H7656" s="222">
        <v>29346.97</v>
      </c>
      <c r="I7656" s="222">
        <v>23124.5</v>
      </c>
      <c r="J7656" s="222">
        <v>4377.6099999999997</v>
      </c>
      <c r="K7656" s="222">
        <v>1844.86</v>
      </c>
      <c r="L7656" s="43">
        <v>9.4343529487406173</v>
      </c>
      <c r="M7656" s="43">
        <v>11.500435161009573</v>
      </c>
      <c r="N7656" s="43">
        <v>4.9107725788900982</v>
      </c>
      <c r="O7656" s="43">
        <v>8.849522713100205</v>
      </c>
      <c r="P7656" s="223"/>
      <c r="Q7656" s="223"/>
      <c r="R7656" s="223">
        <v>32</v>
      </c>
    </row>
    <row r="7657" spans="1:18" ht="48">
      <c r="A7657" s="219">
        <v>577</v>
      </c>
      <c r="B7657" s="216" t="s">
        <v>14097</v>
      </c>
      <c r="C7657" s="220" t="s">
        <v>14098</v>
      </c>
      <c r="D7657" s="221">
        <v>4027.6</v>
      </c>
      <c r="E7657" s="221">
        <v>2608.23</v>
      </c>
      <c r="F7657" s="221">
        <v>1139.56</v>
      </c>
      <c r="G7657" s="221">
        <v>279.81</v>
      </c>
      <c r="H7657" s="222">
        <v>38076.720000000001</v>
      </c>
      <c r="I7657" s="222">
        <v>29995.78</v>
      </c>
      <c r="J7657" s="222">
        <v>5596.12</v>
      </c>
      <c r="K7657" s="222">
        <v>2484.8200000000002</v>
      </c>
      <c r="L7657" s="43">
        <v>9.4539477604528752</v>
      </c>
      <c r="M7657" s="43">
        <v>11.500435161009573</v>
      </c>
      <c r="N7657" s="43">
        <v>4.9107725788900982</v>
      </c>
      <c r="O7657" s="43">
        <v>8.8803831171151852</v>
      </c>
      <c r="P7657" s="223"/>
      <c r="Q7657" s="223"/>
      <c r="R7657" s="223">
        <v>32</v>
      </c>
    </row>
    <row r="7658" spans="1:18" ht="48">
      <c r="A7658" s="219">
        <v>578</v>
      </c>
      <c r="B7658" s="216" t="s">
        <v>14099</v>
      </c>
      <c r="C7658" s="220" t="s">
        <v>14100</v>
      </c>
      <c r="D7658" s="221">
        <v>4937.74</v>
      </c>
      <c r="E7658" s="221">
        <v>3194.22</v>
      </c>
      <c r="F7658" s="221">
        <v>1396.88</v>
      </c>
      <c r="G7658" s="221">
        <v>346.64</v>
      </c>
      <c r="H7658" s="222">
        <v>46683.360000000001</v>
      </c>
      <c r="I7658" s="222">
        <v>36734.92</v>
      </c>
      <c r="J7658" s="222">
        <v>6859.76</v>
      </c>
      <c r="K7658" s="222">
        <v>3088.68</v>
      </c>
      <c r="L7658" s="43">
        <v>9.4543981659625658</v>
      </c>
      <c r="M7658" s="43">
        <v>11.500435161009573</v>
      </c>
      <c r="N7658" s="43">
        <v>4.9107725788900973</v>
      </c>
      <c r="O7658" s="43">
        <v>8.9103392568659121</v>
      </c>
      <c r="P7658" s="223"/>
      <c r="Q7658" s="223"/>
      <c r="R7658" s="223">
        <v>32</v>
      </c>
    </row>
    <row r="7659" spans="1:18" ht="12.75" customHeight="1">
      <c r="A7659" s="628" t="s">
        <v>14101</v>
      </c>
      <c r="B7659" s="629"/>
      <c r="C7659" s="629"/>
      <c r="D7659" s="629"/>
      <c r="E7659" s="629"/>
      <c r="F7659" s="629"/>
      <c r="G7659" s="629"/>
      <c r="H7659" s="629"/>
      <c r="I7659" s="629"/>
      <c r="J7659" s="629"/>
      <c r="K7659" s="629"/>
      <c r="L7659" s="629"/>
      <c r="M7659" s="629"/>
      <c r="N7659" s="629"/>
      <c r="O7659" s="629"/>
      <c r="P7659" s="629"/>
      <c r="Q7659" s="629"/>
      <c r="R7659" s="629"/>
    </row>
    <row r="7660" spans="1:18" ht="48">
      <c r="A7660" s="219">
        <v>579</v>
      </c>
      <c r="B7660" s="216" t="s">
        <v>14102</v>
      </c>
      <c r="C7660" s="220" t="s">
        <v>14103</v>
      </c>
      <c r="D7660" s="221">
        <v>306.02</v>
      </c>
      <c r="E7660" s="221">
        <v>133.28</v>
      </c>
      <c r="F7660" s="221">
        <v>163.66999999999999</v>
      </c>
      <c r="G7660" s="221">
        <v>9.07</v>
      </c>
      <c r="H7660" s="222">
        <v>2439.9899999999998</v>
      </c>
      <c r="I7660" s="222">
        <v>1532.82</v>
      </c>
      <c r="J7660" s="222">
        <v>829.5</v>
      </c>
      <c r="K7660" s="222">
        <v>77.67</v>
      </c>
      <c r="L7660" s="43">
        <v>7.9733023985360427</v>
      </c>
      <c r="M7660" s="43">
        <v>11.500750300120048</v>
      </c>
      <c r="N7660" s="43">
        <v>5.0681248854402154</v>
      </c>
      <c r="O7660" s="43">
        <v>8.5633958103638363</v>
      </c>
      <c r="P7660" s="223"/>
      <c r="Q7660" s="223"/>
      <c r="R7660" s="223">
        <v>33</v>
      </c>
    </row>
    <row r="7661" spans="1:18" ht="48">
      <c r="A7661" s="219">
        <v>580</v>
      </c>
      <c r="B7661" s="216" t="s">
        <v>14104</v>
      </c>
      <c r="C7661" s="220" t="s">
        <v>14105</v>
      </c>
      <c r="D7661" s="221">
        <v>327.20999999999998</v>
      </c>
      <c r="E7661" s="221">
        <v>133.28</v>
      </c>
      <c r="F7661" s="221">
        <v>180.67</v>
      </c>
      <c r="G7661" s="221">
        <v>13.26</v>
      </c>
      <c r="H7661" s="222">
        <v>2553.31</v>
      </c>
      <c r="I7661" s="222">
        <v>1532.82</v>
      </c>
      <c r="J7661" s="222">
        <v>913</v>
      </c>
      <c r="K7661" s="222">
        <v>107.49</v>
      </c>
      <c r="L7661" s="43">
        <v>7.8032761834907252</v>
      </c>
      <c r="M7661" s="43">
        <v>11.500750300120048</v>
      </c>
      <c r="N7661" s="43">
        <v>5.0534122986660766</v>
      </c>
      <c r="O7661" s="43">
        <v>8.1063348416289589</v>
      </c>
      <c r="P7661" s="223"/>
      <c r="Q7661" s="223"/>
      <c r="R7661" s="223">
        <v>33</v>
      </c>
    </row>
    <row r="7662" spans="1:18" ht="48">
      <c r="A7662" s="219">
        <v>581</v>
      </c>
      <c r="B7662" s="216" t="s">
        <v>14106</v>
      </c>
      <c r="C7662" s="220" t="s">
        <v>14107</v>
      </c>
      <c r="D7662" s="221">
        <v>344.58</v>
      </c>
      <c r="E7662" s="221">
        <v>133.28</v>
      </c>
      <c r="F7662" s="221">
        <v>194.46</v>
      </c>
      <c r="G7662" s="221">
        <v>16.84</v>
      </c>
      <c r="H7662" s="222">
        <v>2649.28</v>
      </c>
      <c r="I7662" s="222">
        <v>1532.82</v>
      </c>
      <c r="J7662" s="222">
        <v>980.69</v>
      </c>
      <c r="K7662" s="222">
        <v>135.77000000000001</v>
      </c>
      <c r="L7662" s="43">
        <v>7.6884322943873711</v>
      </c>
      <c r="M7662" s="43">
        <v>11.500750300120048</v>
      </c>
      <c r="N7662" s="43">
        <v>5.0431451198189858</v>
      </c>
      <c r="O7662" s="43">
        <v>8.0623515439429934</v>
      </c>
      <c r="P7662" s="223"/>
      <c r="Q7662" s="223"/>
      <c r="R7662" s="223">
        <v>33</v>
      </c>
    </row>
    <row r="7663" spans="1:18" ht="48">
      <c r="A7663" s="219">
        <v>582</v>
      </c>
      <c r="B7663" s="216" t="s">
        <v>14108</v>
      </c>
      <c r="C7663" s="220" t="s">
        <v>14109</v>
      </c>
      <c r="D7663" s="221">
        <v>349.17</v>
      </c>
      <c r="E7663" s="221">
        <v>133.28</v>
      </c>
      <c r="F7663" s="221">
        <v>199.05</v>
      </c>
      <c r="G7663" s="221">
        <v>16.84</v>
      </c>
      <c r="H7663" s="222">
        <v>2671.85</v>
      </c>
      <c r="I7663" s="222">
        <v>1532.82</v>
      </c>
      <c r="J7663" s="222">
        <v>1003.26</v>
      </c>
      <c r="K7663" s="222">
        <v>135.77000000000001</v>
      </c>
      <c r="L7663" s="43">
        <v>7.6520033221639885</v>
      </c>
      <c r="M7663" s="43">
        <v>11.500750300120048</v>
      </c>
      <c r="N7663" s="43">
        <v>5.0402411454408433</v>
      </c>
      <c r="O7663" s="43">
        <v>8.0623515439429934</v>
      </c>
      <c r="P7663" s="223"/>
      <c r="Q7663" s="223"/>
      <c r="R7663" s="223">
        <v>33</v>
      </c>
    </row>
    <row r="7664" spans="1:18" ht="48">
      <c r="A7664" s="219">
        <v>583</v>
      </c>
      <c r="B7664" s="216" t="s">
        <v>14110</v>
      </c>
      <c r="C7664" s="220" t="s">
        <v>14111</v>
      </c>
      <c r="D7664" s="221">
        <v>641.54</v>
      </c>
      <c r="E7664" s="221">
        <v>266.57</v>
      </c>
      <c r="F7664" s="221">
        <v>347.56</v>
      </c>
      <c r="G7664" s="221">
        <v>27.41</v>
      </c>
      <c r="H7664" s="222">
        <v>5061.92</v>
      </c>
      <c r="I7664" s="222">
        <v>3065.65</v>
      </c>
      <c r="J7664" s="222">
        <v>1758.31</v>
      </c>
      <c r="K7664" s="222">
        <v>237.96</v>
      </c>
      <c r="L7664" s="43">
        <v>7.8902640521245759</v>
      </c>
      <c r="M7664" s="43">
        <v>11.500356379187457</v>
      </c>
      <c r="N7664" s="43">
        <v>5.0590113937161929</v>
      </c>
      <c r="O7664" s="43">
        <v>8.6815031010580075</v>
      </c>
      <c r="P7664" s="223"/>
      <c r="Q7664" s="223"/>
      <c r="R7664" s="223">
        <v>33</v>
      </c>
    </row>
    <row r="7665" spans="1:18" ht="48">
      <c r="A7665" s="219">
        <v>584</v>
      </c>
      <c r="B7665" s="216" t="s">
        <v>14112</v>
      </c>
      <c r="C7665" s="220" t="s">
        <v>14113</v>
      </c>
      <c r="D7665" s="221">
        <v>681.8</v>
      </c>
      <c r="E7665" s="221">
        <v>266.57</v>
      </c>
      <c r="F7665" s="221">
        <v>375.13</v>
      </c>
      <c r="G7665" s="221">
        <v>40.1</v>
      </c>
      <c r="H7665" s="222">
        <v>5313.75</v>
      </c>
      <c r="I7665" s="222">
        <v>3065.65</v>
      </c>
      <c r="J7665" s="222">
        <v>1893.7</v>
      </c>
      <c r="K7665" s="222">
        <v>354.4</v>
      </c>
      <c r="L7665" s="43">
        <v>7.7937078322088595</v>
      </c>
      <c r="M7665" s="43">
        <v>11.500356379187457</v>
      </c>
      <c r="N7665" s="43">
        <v>5.0481166528936638</v>
      </c>
      <c r="O7665" s="43">
        <v>8.83790523690773</v>
      </c>
      <c r="P7665" s="223"/>
      <c r="Q7665" s="223"/>
      <c r="R7665" s="223">
        <v>33</v>
      </c>
    </row>
    <row r="7666" spans="1:18" ht="48">
      <c r="A7666" s="219">
        <v>585</v>
      </c>
      <c r="B7666" s="216" t="s">
        <v>14114</v>
      </c>
      <c r="C7666" s="220" t="s">
        <v>14115</v>
      </c>
      <c r="D7666" s="221">
        <v>876.12</v>
      </c>
      <c r="E7666" s="221">
        <v>413.64</v>
      </c>
      <c r="F7666" s="221">
        <v>405</v>
      </c>
      <c r="G7666" s="221">
        <v>57.48</v>
      </c>
      <c r="H7666" s="222">
        <v>7324.82</v>
      </c>
      <c r="I7666" s="222">
        <v>4757.04</v>
      </c>
      <c r="J7666" s="222">
        <v>2040.37</v>
      </c>
      <c r="K7666" s="222">
        <v>527.41</v>
      </c>
      <c r="L7666" s="43">
        <v>8.3605213897639583</v>
      </c>
      <c r="M7666" s="43">
        <v>11.500435161009573</v>
      </c>
      <c r="N7666" s="43">
        <v>5.0379506172839505</v>
      </c>
      <c r="O7666" s="43">
        <v>9.1755393180236595</v>
      </c>
      <c r="P7666" s="223"/>
      <c r="Q7666" s="223"/>
      <c r="R7666" s="223">
        <v>33</v>
      </c>
    </row>
    <row r="7667" spans="1:18" ht="48">
      <c r="A7667" s="219">
        <v>586</v>
      </c>
      <c r="B7667" s="216" t="s">
        <v>14116</v>
      </c>
      <c r="C7667" s="220" t="s">
        <v>14117</v>
      </c>
      <c r="D7667" s="221">
        <v>922.36</v>
      </c>
      <c r="E7667" s="221">
        <v>413.64</v>
      </c>
      <c r="F7667" s="221">
        <v>432.57</v>
      </c>
      <c r="G7667" s="221">
        <v>76.150000000000006</v>
      </c>
      <c r="H7667" s="222">
        <v>7641.23</v>
      </c>
      <c r="I7667" s="222">
        <v>4757.04</v>
      </c>
      <c r="J7667" s="222">
        <v>2175.7600000000002</v>
      </c>
      <c r="K7667" s="222">
        <v>708.43</v>
      </c>
      <c r="L7667" s="43">
        <v>8.2844334099483934</v>
      </c>
      <c r="M7667" s="43">
        <v>11.500435161009573</v>
      </c>
      <c r="N7667" s="43">
        <v>5.0298448805973601</v>
      </c>
      <c r="O7667" s="43">
        <v>9.3030860144451726</v>
      </c>
      <c r="P7667" s="223"/>
      <c r="Q7667" s="223"/>
      <c r="R7667" s="223">
        <v>33</v>
      </c>
    </row>
    <row r="7668" spans="1:18" ht="48">
      <c r="A7668" s="219">
        <v>587</v>
      </c>
      <c r="B7668" s="216" t="s">
        <v>14118</v>
      </c>
      <c r="C7668" s="220" t="s">
        <v>14119</v>
      </c>
      <c r="D7668" s="221">
        <v>1142.47</v>
      </c>
      <c r="E7668" s="221">
        <v>546.91999999999996</v>
      </c>
      <c r="F7668" s="221">
        <v>457.84</v>
      </c>
      <c r="G7668" s="221">
        <v>137.71</v>
      </c>
      <c r="H7668" s="222">
        <v>9824</v>
      </c>
      <c r="I7668" s="222">
        <v>6289.86</v>
      </c>
      <c r="J7668" s="222">
        <v>2299.87</v>
      </c>
      <c r="K7668" s="222">
        <v>1234.27</v>
      </c>
      <c r="L7668" s="43">
        <v>8.5989128817386895</v>
      </c>
      <c r="M7668" s="43">
        <v>11.500511957873181</v>
      </c>
      <c r="N7668" s="43">
        <v>5.023305084745763</v>
      </c>
      <c r="O7668" s="43">
        <v>8.962820419722604</v>
      </c>
      <c r="P7668" s="223"/>
      <c r="Q7668" s="223"/>
      <c r="R7668" s="223">
        <v>33</v>
      </c>
    </row>
    <row r="7669" spans="1:18" ht="48">
      <c r="A7669" s="219">
        <v>588</v>
      </c>
      <c r="B7669" s="216" t="s">
        <v>14120</v>
      </c>
      <c r="C7669" s="220" t="s">
        <v>14121</v>
      </c>
      <c r="D7669" s="221">
        <v>1484.45</v>
      </c>
      <c r="E7669" s="221">
        <v>685.95</v>
      </c>
      <c r="F7669" s="221">
        <v>647.71</v>
      </c>
      <c r="G7669" s="221">
        <v>150.79</v>
      </c>
      <c r="H7669" s="222">
        <v>12616.37</v>
      </c>
      <c r="I7669" s="222">
        <v>7888.76</v>
      </c>
      <c r="J7669" s="222">
        <v>3257.99</v>
      </c>
      <c r="K7669" s="222">
        <v>1469.62</v>
      </c>
      <c r="L7669" s="43">
        <v>8.4990198389976079</v>
      </c>
      <c r="M7669" s="43">
        <v>11.500488373788176</v>
      </c>
      <c r="N7669" s="43">
        <v>5.0300134319371317</v>
      </c>
      <c r="O7669" s="43">
        <v>9.7461370117381794</v>
      </c>
      <c r="P7669" s="223"/>
      <c r="Q7669" s="223"/>
      <c r="R7669" s="223">
        <v>33</v>
      </c>
    </row>
    <row r="7670" spans="1:18" ht="48">
      <c r="A7670" s="219">
        <v>589</v>
      </c>
      <c r="B7670" s="216" t="s">
        <v>14122</v>
      </c>
      <c r="C7670" s="220" t="s">
        <v>14123</v>
      </c>
      <c r="D7670" s="221">
        <v>1757.84</v>
      </c>
      <c r="E7670" s="221">
        <v>823.83</v>
      </c>
      <c r="F7670" s="221">
        <v>716.63</v>
      </c>
      <c r="G7670" s="221">
        <v>217.38</v>
      </c>
      <c r="H7670" s="222">
        <v>15216.63</v>
      </c>
      <c r="I7670" s="222">
        <v>9474.44</v>
      </c>
      <c r="J7670" s="222">
        <v>3596.47</v>
      </c>
      <c r="K7670" s="222">
        <v>2145.7199999999998</v>
      </c>
      <c r="L7670" s="43">
        <v>8.6564363081964224</v>
      </c>
      <c r="M7670" s="43">
        <v>11.500479467851378</v>
      </c>
      <c r="N7670" s="43">
        <v>5.0185869974742889</v>
      </c>
      <c r="O7670" s="43">
        <v>9.8708252829147103</v>
      </c>
      <c r="P7670" s="223"/>
      <c r="Q7670" s="223"/>
      <c r="R7670" s="223">
        <v>33</v>
      </c>
    </row>
    <row r="7671" spans="1:18" ht="12.75" customHeight="1">
      <c r="A7671" s="628" t="s">
        <v>14124</v>
      </c>
      <c r="B7671" s="629"/>
      <c r="C7671" s="629"/>
      <c r="D7671" s="629"/>
      <c r="E7671" s="629"/>
      <c r="F7671" s="629"/>
      <c r="G7671" s="629"/>
      <c r="H7671" s="629"/>
      <c r="I7671" s="629"/>
      <c r="J7671" s="629"/>
      <c r="K7671" s="629"/>
      <c r="L7671" s="629"/>
      <c r="M7671" s="629"/>
      <c r="N7671" s="629"/>
      <c r="O7671" s="629"/>
      <c r="P7671" s="629"/>
      <c r="Q7671" s="629"/>
      <c r="R7671" s="629"/>
    </row>
    <row r="7672" spans="1:18" ht="48">
      <c r="A7672" s="219">
        <v>590</v>
      </c>
      <c r="B7672" s="216" t="s">
        <v>14125</v>
      </c>
      <c r="C7672" s="220" t="s">
        <v>14126</v>
      </c>
      <c r="D7672" s="221">
        <v>192.8</v>
      </c>
      <c r="E7672" s="221">
        <v>114.9</v>
      </c>
      <c r="F7672" s="221">
        <v>50.55</v>
      </c>
      <c r="G7672" s="221">
        <v>27.35</v>
      </c>
      <c r="H7672" s="222">
        <v>1786.01</v>
      </c>
      <c r="I7672" s="222">
        <v>1321.4</v>
      </c>
      <c r="J7672" s="222">
        <v>248.22</v>
      </c>
      <c r="K7672" s="222">
        <v>216.39</v>
      </c>
      <c r="L7672" s="43">
        <v>9.2635373443983404</v>
      </c>
      <c r="M7672" s="43">
        <v>11.500435161009573</v>
      </c>
      <c r="N7672" s="43">
        <v>4.9103857566765585</v>
      </c>
      <c r="O7672" s="43">
        <v>7.9118829981718459</v>
      </c>
      <c r="P7672" s="223"/>
      <c r="Q7672" s="223"/>
      <c r="R7672" s="223">
        <v>34</v>
      </c>
    </row>
    <row r="7673" spans="1:18" ht="48">
      <c r="A7673" s="219">
        <v>591</v>
      </c>
      <c r="B7673" s="216" t="s">
        <v>14127</v>
      </c>
      <c r="C7673" s="220" t="s">
        <v>14128</v>
      </c>
      <c r="D7673" s="221">
        <v>219.34</v>
      </c>
      <c r="E7673" s="221">
        <v>114.9</v>
      </c>
      <c r="F7673" s="221">
        <v>73.52</v>
      </c>
      <c r="G7673" s="221">
        <v>30.92</v>
      </c>
      <c r="H7673" s="222">
        <v>1923.45</v>
      </c>
      <c r="I7673" s="222">
        <v>1321.4</v>
      </c>
      <c r="J7673" s="222">
        <v>361.04</v>
      </c>
      <c r="K7673" s="222">
        <v>241.01</v>
      </c>
      <c r="L7673" s="43">
        <v>8.7692623324519019</v>
      </c>
      <c r="M7673" s="43">
        <v>11.500435161009573</v>
      </c>
      <c r="N7673" s="43">
        <v>4.9107725788900982</v>
      </c>
      <c r="O7673" s="43">
        <v>7.7946313065976707</v>
      </c>
      <c r="P7673" s="223"/>
      <c r="Q7673" s="223"/>
      <c r="R7673" s="223">
        <v>34</v>
      </c>
    </row>
    <row r="7674" spans="1:18" ht="48">
      <c r="A7674" s="219">
        <v>592</v>
      </c>
      <c r="B7674" s="216" t="s">
        <v>14129</v>
      </c>
      <c r="C7674" s="220" t="s">
        <v>14130</v>
      </c>
      <c r="D7674" s="221">
        <v>267.58</v>
      </c>
      <c r="E7674" s="221">
        <v>114.9</v>
      </c>
      <c r="F7674" s="221">
        <v>96.5</v>
      </c>
      <c r="G7674" s="221">
        <v>56.18</v>
      </c>
      <c r="H7674" s="222">
        <v>2279.46</v>
      </c>
      <c r="I7674" s="222">
        <v>1321.4</v>
      </c>
      <c r="J7674" s="222">
        <v>473.87</v>
      </c>
      <c r="K7674" s="222">
        <v>484.19</v>
      </c>
      <c r="L7674" s="43">
        <v>8.5187981164511548</v>
      </c>
      <c r="M7674" s="43">
        <v>11.500435161009573</v>
      </c>
      <c r="N7674" s="43">
        <v>4.9105699481865281</v>
      </c>
      <c r="O7674" s="43">
        <v>8.6185475258098965</v>
      </c>
      <c r="P7674" s="223"/>
      <c r="Q7674" s="223"/>
      <c r="R7674" s="223">
        <v>34</v>
      </c>
    </row>
    <row r="7675" spans="1:18" ht="48">
      <c r="A7675" s="219">
        <v>593</v>
      </c>
      <c r="B7675" s="216" t="s">
        <v>14131</v>
      </c>
      <c r="C7675" s="220" t="s">
        <v>14132</v>
      </c>
      <c r="D7675" s="221">
        <v>274.93</v>
      </c>
      <c r="E7675" s="221">
        <v>114.9</v>
      </c>
      <c r="F7675" s="221">
        <v>103.85</v>
      </c>
      <c r="G7675" s="221">
        <v>56.18</v>
      </c>
      <c r="H7675" s="222">
        <v>2315.56</v>
      </c>
      <c r="I7675" s="222">
        <v>1321.4</v>
      </c>
      <c r="J7675" s="222">
        <v>509.97</v>
      </c>
      <c r="K7675" s="222">
        <v>484.19</v>
      </c>
      <c r="L7675" s="43">
        <v>8.4223620557960199</v>
      </c>
      <c r="M7675" s="43">
        <v>11.500435161009573</v>
      </c>
      <c r="N7675" s="43">
        <v>4.9106403466538282</v>
      </c>
      <c r="O7675" s="43">
        <v>8.6185475258098965</v>
      </c>
      <c r="P7675" s="223"/>
      <c r="Q7675" s="223"/>
      <c r="R7675" s="223">
        <v>34</v>
      </c>
    </row>
    <row r="7676" spans="1:18" ht="48">
      <c r="A7676" s="219">
        <v>594</v>
      </c>
      <c r="B7676" s="216" t="s">
        <v>14133</v>
      </c>
      <c r="C7676" s="220" t="s">
        <v>14134</v>
      </c>
      <c r="D7676" s="221">
        <v>311.76</v>
      </c>
      <c r="E7676" s="221">
        <v>114.9</v>
      </c>
      <c r="F7676" s="221">
        <v>131.41999999999999</v>
      </c>
      <c r="G7676" s="221">
        <v>65.44</v>
      </c>
      <c r="H7676" s="222">
        <v>2511.6799999999998</v>
      </c>
      <c r="I7676" s="222">
        <v>1321.4</v>
      </c>
      <c r="J7676" s="222">
        <v>645.36</v>
      </c>
      <c r="K7676" s="222">
        <v>544.91999999999996</v>
      </c>
      <c r="L7676" s="43">
        <v>8.0564536823197326</v>
      </c>
      <c r="M7676" s="43">
        <v>11.500435161009573</v>
      </c>
      <c r="N7676" s="43">
        <v>4.9106680870491557</v>
      </c>
      <c r="O7676" s="43">
        <v>8.3270171149144243</v>
      </c>
      <c r="P7676" s="223"/>
      <c r="Q7676" s="223"/>
      <c r="R7676" s="223">
        <v>34</v>
      </c>
    </row>
    <row r="7677" spans="1:18" ht="48">
      <c r="A7677" s="219">
        <v>595</v>
      </c>
      <c r="B7677" s="216" t="s">
        <v>14135</v>
      </c>
      <c r="C7677" s="220" t="s">
        <v>14136</v>
      </c>
      <c r="D7677" s="221">
        <v>477.91</v>
      </c>
      <c r="E7677" s="221">
        <v>229.8</v>
      </c>
      <c r="F7677" s="221">
        <v>172.77</v>
      </c>
      <c r="G7677" s="221">
        <v>75.34</v>
      </c>
      <c r="H7677" s="222">
        <v>4115.0200000000004</v>
      </c>
      <c r="I7677" s="222">
        <v>2642.8</v>
      </c>
      <c r="J7677" s="222">
        <v>848.44</v>
      </c>
      <c r="K7677" s="222">
        <v>623.78</v>
      </c>
      <c r="L7677" s="43">
        <v>8.6104496662551533</v>
      </c>
      <c r="M7677" s="43">
        <v>11.500435161009573</v>
      </c>
      <c r="N7677" s="43">
        <v>4.9108062742374257</v>
      </c>
      <c r="O7677" s="43">
        <v>8.2795327847093176</v>
      </c>
      <c r="P7677" s="223"/>
      <c r="Q7677" s="223"/>
      <c r="R7677" s="223">
        <v>34</v>
      </c>
    </row>
    <row r="7678" spans="1:18" ht="48">
      <c r="A7678" s="219">
        <v>596</v>
      </c>
      <c r="B7678" s="216" t="s">
        <v>14137</v>
      </c>
      <c r="C7678" s="220" t="s">
        <v>14138</v>
      </c>
      <c r="D7678" s="221">
        <v>527.02</v>
      </c>
      <c r="E7678" s="221">
        <v>229.8</v>
      </c>
      <c r="F7678" s="221">
        <v>214.13</v>
      </c>
      <c r="G7678" s="221">
        <v>83.09</v>
      </c>
      <c r="H7678" s="222">
        <v>4373.3599999999997</v>
      </c>
      <c r="I7678" s="222">
        <v>2642.8</v>
      </c>
      <c r="J7678" s="222">
        <v>1051.53</v>
      </c>
      <c r="K7678" s="222">
        <v>679.03</v>
      </c>
      <c r="L7678" s="43">
        <v>8.2982809001555911</v>
      </c>
      <c r="M7678" s="43">
        <v>11.500435161009573</v>
      </c>
      <c r="N7678" s="43">
        <v>4.9107084481389807</v>
      </c>
      <c r="O7678" s="43">
        <v>8.1722228908412564</v>
      </c>
      <c r="P7678" s="223"/>
      <c r="Q7678" s="223"/>
      <c r="R7678" s="223">
        <v>34</v>
      </c>
    </row>
    <row r="7679" spans="1:18" ht="48">
      <c r="A7679" s="219">
        <v>597</v>
      </c>
      <c r="B7679" s="216" t="s">
        <v>14139</v>
      </c>
      <c r="C7679" s="220" t="s">
        <v>14140</v>
      </c>
      <c r="D7679" s="221">
        <v>575.69000000000005</v>
      </c>
      <c r="E7679" s="221">
        <v>229.8</v>
      </c>
      <c r="F7679" s="221">
        <v>252.73</v>
      </c>
      <c r="G7679" s="221">
        <v>93.16</v>
      </c>
      <c r="H7679" s="222">
        <v>4627.72</v>
      </c>
      <c r="I7679" s="222">
        <v>2642.8</v>
      </c>
      <c r="J7679" s="222">
        <v>1241.08</v>
      </c>
      <c r="K7679" s="222">
        <v>743.84</v>
      </c>
      <c r="L7679" s="43">
        <v>8.0385624207472777</v>
      </c>
      <c r="M7679" s="43">
        <v>11.500435161009573</v>
      </c>
      <c r="N7679" s="43">
        <v>4.9106952083250901</v>
      </c>
      <c r="O7679" s="43">
        <v>7.9845427221983689</v>
      </c>
      <c r="P7679" s="223"/>
      <c r="Q7679" s="223"/>
      <c r="R7679" s="223">
        <v>34</v>
      </c>
    </row>
    <row r="7680" spans="1:18" ht="48">
      <c r="A7680" s="219">
        <v>598</v>
      </c>
      <c r="B7680" s="216" t="s">
        <v>14141</v>
      </c>
      <c r="C7680" s="220" t="s">
        <v>14142</v>
      </c>
      <c r="D7680" s="221">
        <v>743.49</v>
      </c>
      <c r="E7680" s="221">
        <v>344.7</v>
      </c>
      <c r="F7680" s="221">
        <v>294.08</v>
      </c>
      <c r="G7680" s="221">
        <v>104.71</v>
      </c>
      <c r="H7680" s="222">
        <v>6247.59</v>
      </c>
      <c r="I7680" s="222">
        <v>3964.2</v>
      </c>
      <c r="J7680" s="222">
        <v>1444.16</v>
      </c>
      <c r="K7680" s="222">
        <v>839.23</v>
      </c>
      <c r="L7680" s="43">
        <v>8.4030585481983611</v>
      </c>
      <c r="M7680" s="43">
        <v>11.500435161009573</v>
      </c>
      <c r="N7680" s="43">
        <v>4.9107725788900982</v>
      </c>
      <c r="O7680" s="43">
        <v>8.0148027886543787</v>
      </c>
      <c r="P7680" s="223"/>
      <c r="Q7680" s="223"/>
      <c r="R7680" s="223">
        <v>34</v>
      </c>
    </row>
    <row r="7681" spans="1:18" ht="48">
      <c r="A7681" s="219">
        <v>599</v>
      </c>
      <c r="B7681" s="216" t="s">
        <v>14143</v>
      </c>
      <c r="C7681" s="220" t="s">
        <v>14144</v>
      </c>
      <c r="D7681" s="221">
        <v>974.99</v>
      </c>
      <c r="E7681" s="221">
        <v>471.09</v>
      </c>
      <c r="F7681" s="221">
        <v>376.79</v>
      </c>
      <c r="G7681" s="221">
        <v>127.11</v>
      </c>
      <c r="H7681" s="222">
        <v>8282.11</v>
      </c>
      <c r="I7681" s="222">
        <v>5417.74</v>
      </c>
      <c r="J7681" s="222">
        <v>1850.33</v>
      </c>
      <c r="K7681" s="222">
        <v>1014.04</v>
      </c>
      <c r="L7681" s="43">
        <v>8.494558918553011</v>
      </c>
      <c r="M7681" s="43">
        <v>11.500435161009573</v>
      </c>
      <c r="N7681" s="43">
        <v>4.9107725788900973</v>
      </c>
      <c r="O7681" s="43">
        <v>7.9776571473526863</v>
      </c>
      <c r="P7681" s="223"/>
      <c r="Q7681" s="223"/>
      <c r="R7681" s="223">
        <v>34</v>
      </c>
    </row>
    <row r="7682" spans="1:18" ht="48">
      <c r="A7682" s="219">
        <v>600</v>
      </c>
      <c r="B7682" s="216" t="s">
        <v>14145</v>
      </c>
      <c r="C7682" s="220" t="s">
        <v>14146</v>
      </c>
      <c r="D7682" s="221">
        <v>1229.46</v>
      </c>
      <c r="E7682" s="221">
        <v>585.99</v>
      </c>
      <c r="F7682" s="221">
        <v>477.88</v>
      </c>
      <c r="G7682" s="221">
        <v>165.59</v>
      </c>
      <c r="H7682" s="222">
        <v>10445.9</v>
      </c>
      <c r="I7682" s="222">
        <v>6739.14</v>
      </c>
      <c r="J7682" s="222">
        <v>2346.7600000000002</v>
      </c>
      <c r="K7682" s="222">
        <v>1360</v>
      </c>
      <c r="L7682" s="43">
        <v>8.4963317228702024</v>
      </c>
      <c r="M7682" s="43">
        <v>11.500435161009573</v>
      </c>
      <c r="N7682" s="43">
        <v>4.9107725788900982</v>
      </c>
      <c r="O7682" s="43">
        <v>8.2130563439821245</v>
      </c>
      <c r="P7682" s="223"/>
      <c r="Q7682" s="223"/>
      <c r="R7682" s="223">
        <v>34</v>
      </c>
    </row>
    <row r="7683" spans="1:18" ht="12.75" customHeight="1">
      <c r="A7683" s="628" t="s">
        <v>14147</v>
      </c>
      <c r="B7683" s="629"/>
      <c r="C7683" s="629"/>
      <c r="D7683" s="629"/>
      <c r="E7683" s="629"/>
      <c r="F7683" s="629"/>
      <c r="G7683" s="629"/>
      <c r="H7683" s="629"/>
      <c r="I7683" s="629"/>
      <c r="J7683" s="629"/>
      <c r="K7683" s="629"/>
      <c r="L7683" s="629"/>
      <c r="M7683" s="629"/>
      <c r="N7683" s="629"/>
      <c r="O7683" s="629"/>
      <c r="P7683" s="629"/>
      <c r="Q7683" s="629"/>
      <c r="R7683" s="629"/>
    </row>
    <row r="7684" spans="1:18" ht="48">
      <c r="A7684" s="219">
        <v>601</v>
      </c>
      <c r="B7684" s="216" t="s">
        <v>14148</v>
      </c>
      <c r="C7684" s="220" t="s">
        <v>14149</v>
      </c>
      <c r="D7684" s="221">
        <v>3776.76</v>
      </c>
      <c r="E7684" s="221">
        <v>546.91999999999996</v>
      </c>
      <c r="F7684" s="221">
        <v>3087.99</v>
      </c>
      <c r="G7684" s="221">
        <v>141.85</v>
      </c>
      <c r="H7684" s="222">
        <v>23076.51</v>
      </c>
      <c r="I7684" s="222">
        <v>6289.86</v>
      </c>
      <c r="J7684" s="222">
        <v>15730.95</v>
      </c>
      <c r="K7684" s="222">
        <v>1055.7</v>
      </c>
      <c r="L7684" s="43">
        <v>6.1101340831824098</v>
      </c>
      <c r="M7684" s="43">
        <v>11.500511957873181</v>
      </c>
      <c r="N7684" s="43">
        <v>5.094236056463914</v>
      </c>
      <c r="O7684" s="43">
        <v>7.4423686993302791</v>
      </c>
      <c r="P7684" s="223"/>
      <c r="Q7684" s="223"/>
      <c r="R7684" s="223">
        <v>35</v>
      </c>
    </row>
    <row r="7685" spans="1:18" ht="48">
      <c r="A7685" s="219">
        <v>602</v>
      </c>
      <c r="B7685" s="216" t="s">
        <v>14150</v>
      </c>
      <c r="C7685" s="220" t="s">
        <v>14151</v>
      </c>
      <c r="D7685" s="221">
        <v>3776.76</v>
      </c>
      <c r="E7685" s="221">
        <v>546.91999999999996</v>
      </c>
      <c r="F7685" s="221">
        <v>3087.99</v>
      </c>
      <c r="G7685" s="221">
        <v>141.85</v>
      </c>
      <c r="H7685" s="222">
        <v>23076.51</v>
      </c>
      <c r="I7685" s="222">
        <v>6289.86</v>
      </c>
      <c r="J7685" s="222">
        <v>15730.95</v>
      </c>
      <c r="K7685" s="222">
        <v>1055.7</v>
      </c>
      <c r="L7685" s="43">
        <v>6.1101340831824098</v>
      </c>
      <c r="M7685" s="43">
        <v>11.500511957873181</v>
      </c>
      <c r="N7685" s="43">
        <v>5.094236056463914</v>
      </c>
      <c r="O7685" s="43">
        <v>7.4423686993302791</v>
      </c>
      <c r="P7685" s="223"/>
      <c r="Q7685" s="223"/>
      <c r="R7685" s="223">
        <v>35</v>
      </c>
    </row>
    <row r="7686" spans="1:18" ht="48">
      <c r="A7686" s="219">
        <v>603</v>
      </c>
      <c r="B7686" s="216" t="s">
        <v>14152</v>
      </c>
      <c r="C7686" s="220" t="s">
        <v>14153</v>
      </c>
      <c r="D7686" s="221">
        <v>3777.1</v>
      </c>
      <c r="E7686" s="221">
        <v>546.91999999999996</v>
      </c>
      <c r="F7686" s="221">
        <v>3087.99</v>
      </c>
      <c r="G7686" s="221">
        <v>142.19</v>
      </c>
      <c r="H7686" s="222">
        <v>23079.13</v>
      </c>
      <c r="I7686" s="222">
        <v>6289.86</v>
      </c>
      <c r="J7686" s="222">
        <v>15730.95</v>
      </c>
      <c r="K7686" s="222">
        <v>1058.32</v>
      </c>
      <c r="L7686" s="43">
        <v>6.1102777262979542</v>
      </c>
      <c r="M7686" s="43">
        <v>11.500511957873181</v>
      </c>
      <c r="N7686" s="43">
        <v>5.094236056463914</v>
      </c>
      <c r="O7686" s="43">
        <v>7.4429988044166251</v>
      </c>
      <c r="P7686" s="223"/>
      <c r="Q7686" s="223"/>
      <c r="R7686" s="223">
        <v>35</v>
      </c>
    </row>
    <row r="7687" spans="1:18" ht="48">
      <c r="A7687" s="219">
        <v>604</v>
      </c>
      <c r="B7687" s="216" t="s">
        <v>14154</v>
      </c>
      <c r="C7687" s="220" t="s">
        <v>14155</v>
      </c>
      <c r="D7687" s="221">
        <v>3777.1</v>
      </c>
      <c r="E7687" s="221">
        <v>546.91999999999996</v>
      </c>
      <c r="F7687" s="221">
        <v>3087.99</v>
      </c>
      <c r="G7687" s="221">
        <v>142.19</v>
      </c>
      <c r="H7687" s="222">
        <v>23079.13</v>
      </c>
      <c r="I7687" s="222">
        <v>6289.86</v>
      </c>
      <c r="J7687" s="222">
        <v>15730.95</v>
      </c>
      <c r="K7687" s="222">
        <v>1058.32</v>
      </c>
      <c r="L7687" s="43">
        <v>6.1102777262979542</v>
      </c>
      <c r="M7687" s="43">
        <v>11.500511957873181</v>
      </c>
      <c r="N7687" s="43">
        <v>5.094236056463914</v>
      </c>
      <c r="O7687" s="43">
        <v>7.4429988044166251</v>
      </c>
      <c r="P7687" s="223"/>
      <c r="Q7687" s="223"/>
      <c r="R7687" s="223">
        <v>35</v>
      </c>
    </row>
    <row r="7688" spans="1:18" ht="48">
      <c r="A7688" s="219">
        <v>605</v>
      </c>
      <c r="B7688" s="216" t="s">
        <v>14156</v>
      </c>
      <c r="C7688" s="220" t="s">
        <v>14157</v>
      </c>
      <c r="D7688" s="221">
        <v>3777.1</v>
      </c>
      <c r="E7688" s="221">
        <v>546.91999999999996</v>
      </c>
      <c r="F7688" s="221">
        <v>3087.99</v>
      </c>
      <c r="G7688" s="221">
        <v>142.19</v>
      </c>
      <c r="H7688" s="222">
        <v>23079.13</v>
      </c>
      <c r="I7688" s="222">
        <v>6289.86</v>
      </c>
      <c r="J7688" s="222">
        <v>15730.95</v>
      </c>
      <c r="K7688" s="222">
        <v>1058.32</v>
      </c>
      <c r="L7688" s="43">
        <v>6.1102777262979542</v>
      </c>
      <c r="M7688" s="43">
        <v>11.500511957873181</v>
      </c>
      <c r="N7688" s="43">
        <v>5.094236056463914</v>
      </c>
      <c r="O7688" s="43">
        <v>7.4429988044166251</v>
      </c>
      <c r="P7688" s="223"/>
      <c r="Q7688" s="223"/>
      <c r="R7688" s="223">
        <v>35</v>
      </c>
    </row>
    <row r="7689" spans="1:18" ht="48">
      <c r="A7689" s="219">
        <v>606</v>
      </c>
      <c r="B7689" s="216" t="s">
        <v>14158</v>
      </c>
      <c r="C7689" s="220" t="s">
        <v>14159</v>
      </c>
      <c r="D7689" s="221">
        <v>3777.79</v>
      </c>
      <c r="E7689" s="221">
        <v>546.91999999999996</v>
      </c>
      <c r="F7689" s="221">
        <v>3087.99</v>
      </c>
      <c r="G7689" s="221">
        <v>142.88</v>
      </c>
      <c r="H7689" s="222">
        <v>23084.37</v>
      </c>
      <c r="I7689" s="222">
        <v>6289.86</v>
      </c>
      <c r="J7689" s="222">
        <v>15730.95</v>
      </c>
      <c r="K7689" s="222">
        <v>1063.56</v>
      </c>
      <c r="L7689" s="43">
        <v>6.1105487599893058</v>
      </c>
      <c r="M7689" s="43">
        <v>11.500511957873181</v>
      </c>
      <c r="N7689" s="43">
        <v>5.094236056463914</v>
      </c>
      <c r="O7689" s="43">
        <v>7.4437290033594623</v>
      </c>
      <c r="P7689" s="223"/>
      <c r="Q7689" s="223"/>
      <c r="R7689" s="223">
        <v>35</v>
      </c>
    </row>
    <row r="7690" spans="1:18" ht="48">
      <c r="A7690" s="219">
        <v>607</v>
      </c>
      <c r="B7690" s="216" t="s">
        <v>14160</v>
      </c>
      <c r="C7690" s="220" t="s">
        <v>14161</v>
      </c>
      <c r="D7690" s="221">
        <v>5739.03</v>
      </c>
      <c r="E7690" s="221">
        <v>959.42</v>
      </c>
      <c r="F7690" s="221">
        <v>4603.88</v>
      </c>
      <c r="G7690" s="221">
        <v>175.73</v>
      </c>
      <c r="H7690" s="222">
        <v>35815.03</v>
      </c>
      <c r="I7690" s="222">
        <v>11033.69</v>
      </c>
      <c r="J7690" s="222">
        <v>23453.32</v>
      </c>
      <c r="K7690" s="222">
        <v>1328.02</v>
      </c>
      <c r="L7690" s="43">
        <v>6.2406068621352393</v>
      </c>
      <c r="M7690" s="43">
        <v>11.500375226699465</v>
      </c>
      <c r="N7690" s="43">
        <v>5.0942509361668851</v>
      </c>
      <c r="O7690" s="43">
        <v>7.5571615546577142</v>
      </c>
      <c r="P7690" s="223"/>
      <c r="Q7690" s="223"/>
      <c r="R7690" s="223">
        <v>35</v>
      </c>
    </row>
    <row r="7691" spans="1:18" ht="48">
      <c r="A7691" s="219">
        <v>608</v>
      </c>
      <c r="B7691" s="216" t="s">
        <v>14162</v>
      </c>
      <c r="C7691" s="220" t="s">
        <v>14163</v>
      </c>
      <c r="D7691" s="221">
        <v>5740.24</v>
      </c>
      <c r="E7691" s="221">
        <v>959.42</v>
      </c>
      <c r="F7691" s="221">
        <v>4603.88</v>
      </c>
      <c r="G7691" s="221">
        <v>176.94</v>
      </c>
      <c r="H7691" s="222">
        <v>35824.19</v>
      </c>
      <c r="I7691" s="222">
        <v>11033.69</v>
      </c>
      <c r="J7691" s="222">
        <v>23453.32</v>
      </c>
      <c r="K7691" s="222">
        <v>1337.18</v>
      </c>
      <c r="L7691" s="43">
        <v>6.240887140607362</v>
      </c>
      <c r="M7691" s="43">
        <v>11.500375226699465</v>
      </c>
      <c r="N7691" s="43">
        <v>5.0942509361668851</v>
      </c>
      <c r="O7691" s="43">
        <v>7.5572510455521646</v>
      </c>
      <c r="P7691" s="223"/>
      <c r="Q7691" s="223"/>
      <c r="R7691" s="223">
        <v>35</v>
      </c>
    </row>
    <row r="7692" spans="1:18" ht="48">
      <c r="A7692" s="219">
        <v>609</v>
      </c>
      <c r="B7692" s="216" t="s">
        <v>14164</v>
      </c>
      <c r="C7692" s="220" t="s">
        <v>14165</v>
      </c>
      <c r="D7692" s="221">
        <v>5740.24</v>
      </c>
      <c r="E7692" s="221">
        <v>959.42</v>
      </c>
      <c r="F7692" s="221">
        <v>4603.88</v>
      </c>
      <c r="G7692" s="221">
        <v>176.94</v>
      </c>
      <c r="H7692" s="222">
        <v>35824.19</v>
      </c>
      <c r="I7692" s="222">
        <v>11033.69</v>
      </c>
      <c r="J7692" s="222">
        <v>23453.32</v>
      </c>
      <c r="K7692" s="222">
        <v>1337.18</v>
      </c>
      <c r="L7692" s="43">
        <v>6.240887140607362</v>
      </c>
      <c r="M7692" s="43">
        <v>11.500375226699465</v>
      </c>
      <c r="N7692" s="43">
        <v>5.0942509361668851</v>
      </c>
      <c r="O7692" s="43">
        <v>7.5572510455521646</v>
      </c>
      <c r="P7692" s="223"/>
      <c r="Q7692" s="223"/>
      <c r="R7692" s="223">
        <v>35</v>
      </c>
    </row>
    <row r="7693" spans="1:18" ht="48">
      <c r="A7693" s="219">
        <v>610</v>
      </c>
      <c r="B7693" s="216" t="s">
        <v>14166</v>
      </c>
      <c r="C7693" s="220" t="s">
        <v>14167</v>
      </c>
      <c r="D7693" s="221">
        <v>5740.93</v>
      </c>
      <c r="E7693" s="221">
        <v>959.42</v>
      </c>
      <c r="F7693" s="221">
        <v>4603.88</v>
      </c>
      <c r="G7693" s="221">
        <v>177.63</v>
      </c>
      <c r="H7693" s="222">
        <v>35829.43</v>
      </c>
      <c r="I7693" s="222">
        <v>11033.69</v>
      </c>
      <c r="J7693" s="222">
        <v>23453.32</v>
      </c>
      <c r="K7693" s="222">
        <v>1342.42</v>
      </c>
      <c r="L7693" s="43">
        <v>6.2410497950680464</v>
      </c>
      <c r="M7693" s="43">
        <v>11.500375226699465</v>
      </c>
      <c r="N7693" s="43">
        <v>5.0942509361668851</v>
      </c>
      <c r="O7693" s="43">
        <v>7.5573945842481569</v>
      </c>
      <c r="P7693" s="223"/>
      <c r="Q7693" s="223"/>
      <c r="R7693" s="223">
        <v>35</v>
      </c>
    </row>
    <row r="7694" spans="1:18" ht="48">
      <c r="A7694" s="219">
        <v>611</v>
      </c>
      <c r="B7694" s="216" t="s">
        <v>14168</v>
      </c>
      <c r="C7694" s="220" t="s">
        <v>14169</v>
      </c>
      <c r="D7694" s="221">
        <v>5741.79</v>
      </c>
      <c r="E7694" s="221">
        <v>959.42</v>
      </c>
      <c r="F7694" s="221">
        <v>4603.88</v>
      </c>
      <c r="G7694" s="221">
        <v>178.49</v>
      </c>
      <c r="H7694" s="222">
        <v>35835.980000000003</v>
      </c>
      <c r="I7694" s="222">
        <v>11033.69</v>
      </c>
      <c r="J7694" s="222">
        <v>23453.32</v>
      </c>
      <c r="K7694" s="222">
        <v>1348.97</v>
      </c>
      <c r="L7694" s="43">
        <v>6.241255775637911</v>
      </c>
      <c r="M7694" s="43">
        <v>11.500375226699465</v>
      </c>
      <c r="N7694" s="43">
        <v>5.0942509361668851</v>
      </c>
      <c r="O7694" s="43">
        <v>7.557678301305395</v>
      </c>
      <c r="P7694" s="223"/>
      <c r="Q7694" s="223"/>
      <c r="R7694" s="223">
        <v>35</v>
      </c>
    </row>
    <row r="7695" spans="1:18" ht="12.75" customHeight="1">
      <c r="A7695" s="628" t="s">
        <v>14170</v>
      </c>
      <c r="B7695" s="629"/>
      <c r="C7695" s="629"/>
      <c r="D7695" s="629"/>
      <c r="E7695" s="629"/>
      <c r="F7695" s="629"/>
      <c r="G7695" s="629"/>
      <c r="H7695" s="629"/>
      <c r="I7695" s="629"/>
      <c r="J7695" s="629"/>
      <c r="K7695" s="629"/>
      <c r="L7695" s="629"/>
      <c r="M7695" s="629"/>
      <c r="N7695" s="629"/>
      <c r="O7695" s="629"/>
      <c r="P7695" s="629"/>
      <c r="Q7695" s="629"/>
      <c r="R7695" s="629"/>
    </row>
    <row r="7696" spans="1:18" ht="48">
      <c r="A7696" s="219">
        <v>612</v>
      </c>
      <c r="B7696" s="216" t="s">
        <v>14171</v>
      </c>
      <c r="C7696" s="220" t="s">
        <v>14172</v>
      </c>
      <c r="D7696" s="221">
        <v>14473.3</v>
      </c>
      <c r="E7696" s="221">
        <v>12983.7</v>
      </c>
      <c r="F7696" s="221"/>
      <c r="G7696" s="221">
        <v>1489.6</v>
      </c>
      <c r="H7696" s="222">
        <v>160783.59</v>
      </c>
      <c r="I7696" s="222">
        <v>149318.20000000001</v>
      </c>
      <c r="J7696" s="222"/>
      <c r="K7696" s="222">
        <v>11465.39</v>
      </c>
      <c r="L7696" s="43">
        <v>11.108979292904866</v>
      </c>
      <c r="M7696" s="43">
        <v>11.500435161009573</v>
      </c>
      <c r="N7696" s="43" t="s">
        <v>1690</v>
      </c>
      <c r="O7696" s="43">
        <v>7.6969589151450055</v>
      </c>
      <c r="P7696" s="223"/>
      <c r="Q7696" s="223"/>
      <c r="R7696" s="223">
        <v>36</v>
      </c>
    </row>
    <row r="7697" spans="1:18" ht="48">
      <c r="A7697" s="219">
        <v>613</v>
      </c>
      <c r="B7697" s="216" t="s">
        <v>14173</v>
      </c>
      <c r="C7697" s="220" t="s">
        <v>14174</v>
      </c>
      <c r="D7697" s="221">
        <v>17113</v>
      </c>
      <c r="E7697" s="221">
        <v>15396.6</v>
      </c>
      <c r="F7697" s="221"/>
      <c r="G7697" s="221">
        <v>1716.4</v>
      </c>
      <c r="H7697" s="222">
        <v>190318.83</v>
      </c>
      <c r="I7697" s="222">
        <v>177067.6</v>
      </c>
      <c r="J7697" s="222"/>
      <c r="K7697" s="222">
        <v>13251.23</v>
      </c>
      <c r="L7697" s="43">
        <v>11.12130134985099</v>
      </c>
      <c r="M7697" s="43">
        <v>11.500435161009573</v>
      </c>
      <c r="N7697" s="43" t="s">
        <v>1690</v>
      </c>
      <c r="O7697" s="43">
        <v>7.7203623863901178</v>
      </c>
      <c r="P7697" s="223"/>
      <c r="Q7697" s="223"/>
      <c r="R7697" s="223">
        <v>36</v>
      </c>
    </row>
    <row r="7698" spans="1:18" ht="60">
      <c r="A7698" s="219">
        <v>614</v>
      </c>
      <c r="B7698" s="216" t="s">
        <v>14175</v>
      </c>
      <c r="C7698" s="220" t="s">
        <v>14176</v>
      </c>
      <c r="D7698" s="221">
        <v>18376.23</v>
      </c>
      <c r="E7698" s="221">
        <v>16545.599999999999</v>
      </c>
      <c r="F7698" s="221"/>
      <c r="G7698" s="221">
        <v>1830.63</v>
      </c>
      <c r="H7698" s="222">
        <v>204426.2</v>
      </c>
      <c r="I7698" s="222">
        <v>190281.60000000001</v>
      </c>
      <c r="J7698" s="222"/>
      <c r="K7698" s="222">
        <v>14144.6</v>
      </c>
      <c r="L7698" s="43">
        <v>11.124490714363066</v>
      </c>
      <c r="M7698" s="43">
        <v>11.500435161009575</v>
      </c>
      <c r="N7698" s="43" t="s">
        <v>1690</v>
      </c>
      <c r="O7698" s="43">
        <v>7.7266296302365847</v>
      </c>
      <c r="P7698" s="223"/>
      <c r="Q7698" s="223"/>
      <c r="R7698" s="223">
        <v>36</v>
      </c>
    </row>
    <row r="7699" spans="1:18" ht="12.75" customHeight="1">
      <c r="A7699" s="628" t="s">
        <v>14177</v>
      </c>
      <c r="B7699" s="629"/>
      <c r="C7699" s="629"/>
      <c r="D7699" s="629"/>
      <c r="E7699" s="629"/>
      <c r="F7699" s="629"/>
      <c r="G7699" s="629"/>
      <c r="H7699" s="629"/>
      <c r="I7699" s="629"/>
      <c r="J7699" s="629"/>
      <c r="K7699" s="629"/>
      <c r="L7699" s="629"/>
      <c r="M7699" s="629"/>
      <c r="N7699" s="629"/>
      <c r="O7699" s="629"/>
      <c r="P7699" s="629"/>
      <c r="Q7699" s="629"/>
      <c r="R7699" s="629"/>
    </row>
    <row r="7700" spans="1:18" ht="12.75" customHeight="1">
      <c r="A7700" s="628" t="s">
        <v>14178</v>
      </c>
      <c r="B7700" s="629"/>
      <c r="C7700" s="629"/>
      <c r="D7700" s="629"/>
      <c r="E7700" s="629"/>
      <c r="F7700" s="629"/>
      <c r="G7700" s="629"/>
      <c r="H7700" s="629"/>
      <c r="I7700" s="629"/>
      <c r="J7700" s="629"/>
      <c r="K7700" s="629"/>
      <c r="L7700" s="629"/>
      <c r="M7700" s="629"/>
      <c r="N7700" s="629"/>
      <c r="O7700" s="629"/>
      <c r="P7700" s="629"/>
      <c r="Q7700" s="629"/>
      <c r="R7700" s="629"/>
    </row>
    <row r="7701" spans="1:18" ht="24">
      <c r="A7701" s="219">
        <v>615</v>
      </c>
      <c r="B7701" s="216" t="s">
        <v>14179</v>
      </c>
      <c r="C7701" s="220" t="s">
        <v>14180</v>
      </c>
      <c r="D7701" s="221">
        <v>1128.8</v>
      </c>
      <c r="E7701" s="221">
        <v>913.46</v>
      </c>
      <c r="F7701" s="221">
        <v>152.61000000000001</v>
      </c>
      <c r="G7701" s="221">
        <v>62.73</v>
      </c>
      <c r="H7701" s="222">
        <v>11805.84</v>
      </c>
      <c r="I7701" s="222">
        <v>10505.13</v>
      </c>
      <c r="J7701" s="222">
        <v>843.29</v>
      </c>
      <c r="K7701" s="222">
        <v>457.42</v>
      </c>
      <c r="L7701" s="43">
        <v>10.458752657689583</v>
      </c>
      <c r="M7701" s="43">
        <v>11.500372211153197</v>
      </c>
      <c r="N7701" s="43">
        <v>5.5257846799030199</v>
      </c>
      <c r="O7701" s="43">
        <v>7.2918858600350713</v>
      </c>
      <c r="P7701" s="223"/>
      <c r="Q7701" s="223"/>
      <c r="R7701" s="223">
        <v>1</v>
      </c>
    </row>
    <row r="7702" spans="1:18" ht="24">
      <c r="A7702" s="219">
        <v>616</v>
      </c>
      <c r="B7702" s="216" t="s">
        <v>14181</v>
      </c>
      <c r="C7702" s="220" t="s">
        <v>14182</v>
      </c>
      <c r="D7702" s="221">
        <v>1482.23</v>
      </c>
      <c r="E7702" s="221">
        <v>1171.98</v>
      </c>
      <c r="F7702" s="221">
        <v>237.57</v>
      </c>
      <c r="G7702" s="221">
        <v>72.680000000000007</v>
      </c>
      <c r="H7702" s="222">
        <v>15328.83</v>
      </c>
      <c r="I7702" s="222">
        <v>13478.28</v>
      </c>
      <c r="J7702" s="222">
        <v>1305.97</v>
      </c>
      <c r="K7702" s="222">
        <v>544.58000000000004</v>
      </c>
      <c r="L7702" s="43">
        <v>10.341735088346613</v>
      </c>
      <c r="M7702" s="43">
        <v>11.500435161009573</v>
      </c>
      <c r="N7702" s="43">
        <v>5.497200825019994</v>
      </c>
      <c r="O7702" s="43">
        <v>7.4928453494771601</v>
      </c>
      <c r="P7702" s="223"/>
      <c r="Q7702" s="223"/>
      <c r="R7702" s="223">
        <v>1</v>
      </c>
    </row>
    <row r="7703" spans="1:18" ht="24">
      <c r="A7703" s="219">
        <v>617</v>
      </c>
      <c r="B7703" s="216" t="s">
        <v>14183</v>
      </c>
      <c r="C7703" s="220" t="s">
        <v>14184</v>
      </c>
      <c r="D7703" s="221">
        <v>1774.82</v>
      </c>
      <c r="E7703" s="221">
        <v>1309.8599999999999</v>
      </c>
      <c r="F7703" s="221">
        <v>374.15</v>
      </c>
      <c r="G7703" s="221">
        <v>90.81</v>
      </c>
      <c r="H7703" s="222">
        <v>17802.29</v>
      </c>
      <c r="I7703" s="222">
        <v>15063.96</v>
      </c>
      <c r="J7703" s="222">
        <v>2080.16</v>
      </c>
      <c r="K7703" s="222">
        <v>658.17</v>
      </c>
      <c r="L7703" s="43">
        <v>10.030476329994029</v>
      </c>
      <c r="M7703" s="43">
        <v>11.500435161009573</v>
      </c>
      <c r="N7703" s="43">
        <v>5.5596953093679007</v>
      </c>
      <c r="O7703" s="43">
        <v>7.2477700693756191</v>
      </c>
      <c r="P7703" s="223"/>
      <c r="Q7703" s="223"/>
      <c r="R7703" s="223">
        <v>1</v>
      </c>
    </row>
    <row r="7704" spans="1:18" ht="24">
      <c r="A7704" s="219">
        <v>618</v>
      </c>
      <c r="B7704" s="216" t="s">
        <v>14185</v>
      </c>
      <c r="C7704" s="220" t="s">
        <v>14186</v>
      </c>
      <c r="D7704" s="221">
        <v>3491.17</v>
      </c>
      <c r="E7704" s="221">
        <v>2631.21</v>
      </c>
      <c r="F7704" s="221">
        <v>703.84</v>
      </c>
      <c r="G7704" s="221">
        <v>156.12</v>
      </c>
      <c r="H7704" s="222">
        <v>35376.269999999997</v>
      </c>
      <c r="I7704" s="222">
        <v>30260.06</v>
      </c>
      <c r="J7704" s="222">
        <v>3939.09</v>
      </c>
      <c r="K7704" s="222">
        <v>1177.1199999999999</v>
      </c>
      <c r="L7704" s="43">
        <v>10.133070002320139</v>
      </c>
      <c r="M7704" s="43">
        <v>11.500435161009573</v>
      </c>
      <c r="N7704" s="43">
        <v>5.5965702432370996</v>
      </c>
      <c r="O7704" s="43">
        <v>7.5398411478349976</v>
      </c>
      <c r="P7704" s="223"/>
      <c r="Q7704" s="223"/>
      <c r="R7704" s="223">
        <v>1</v>
      </c>
    </row>
    <row r="7705" spans="1:18" ht="24">
      <c r="A7705" s="219">
        <v>619</v>
      </c>
      <c r="B7705" s="216" t="s">
        <v>14187</v>
      </c>
      <c r="C7705" s="220" t="s">
        <v>14188</v>
      </c>
      <c r="D7705" s="221">
        <v>3940.49</v>
      </c>
      <c r="E7705" s="221">
        <v>2631.21</v>
      </c>
      <c r="F7705" s="221">
        <v>1137.32</v>
      </c>
      <c r="G7705" s="221">
        <v>171.96</v>
      </c>
      <c r="H7705" s="222">
        <v>37947.9</v>
      </c>
      <c r="I7705" s="222">
        <v>30260.06</v>
      </c>
      <c r="J7705" s="222">
        <v>6423.65</v>
      </c>
      <c r="K7705" s="222">
        <v>1264.19</v>
      </c>
      <c r="L7705" s="43">
        <v>9.630249029942977</v>
      </c>
      <c r="M7705" s="43">
        <v>11.500435161009573</v>
      </c>
      <c r="N7705" s="43">
        <v>5.6480585938873844</v>
      </c>
      <c r="O7705" s="43">
        <v>7.3516515468713655</v>
      </c>
      <c r="P7705" s="223"/>
      <c r="Q7705" s="223"/>
      <c r="R7705" s="223">
        <v>1</v>
      </c>
    </row>
    <row r="7706" spans="1:18" ht="24">
      <c r="A7706" s="219">
        <v>620</v>
      </c>
      <c r="B7706" s="216" t="s">
        <v>14189</v>
      </c>
      <c r="C7706" s="220" t="s">
        <v>14190</v>
      </c>
      <c r="D7706" s="221">
        <v>5138.79</v>
      </c>
      <c r="E7706" s="221">
        <v>2642.7</v>
      </c>
      <c r="F7706" s="221">
        <v>2266.62</v>
      </c>
      <c r="G7706" s="221">
        <v>229.47</v>
      </c>
      <c r="H7706" s="222">
        <v>44907.02</v>
      </c>
      <c r="I7706" s="222">
        <v>30392.2</v>
      </c>
      <c r="J7706" s="222">
        <v>12906.3</v>
      </c>
      <c r="K7706" s="222">
        <v>1608.52</v>
      </c>
      <c r="L7706" s="43">
        <v>8.7388315148118512</v>
      </c>
      <c r="M7706" s="43">
        <v>11.500435161009575</v>
      </c>
      <c r="N7706" s="43">
        <v>5.6940731132699787</v>
      </c>
      <c r="O7706" s="43">
        <v>7.0097180459319297</v>
      </c>
      <c r="P7706" s="223"/>
      <c r="Q7706" s="223"/>
      <c r="R7706" s="223">
        <v>1</v>
      </c>
    </row>
    <row r="7707" spans="1:18" ht="24">
      <c r="A7707" s="219">
        <v>621</v>
      </c>
      <c r="B7707" s="216" t="s">
        <v>14191</v>
      </c>
      <c r="C7707" s="220" t="s">
        <v>14192</v>
      </c>
      <c r="D7707" s="221">
        <v>7755.59</v>
      </c>
      <c r="E7707" s="221">
        <v>4090.44</v>
      </c>
      <c r="F7707" s="221">
        <v>3311.23</v>
      </c>
      <c r="G7707" s="221">
        <v>353.92</v>
      </c>
      <c r="H7707" s="222">
        <v>68394.850000000006</v>
      </c>
      <c r="I7707" s="222">
        <v>47041.84</v>
      </c>
      <c r="J7707" s="222">
        <v>18907.62</v>
      </c>
      <c r="K7707" s="222">
        <v>2445.39</v>
      </c>
      <c r="L7707" s="43">
        <v>8.8187810340670421</v>
      </c>
      <c r="M7707" s="43">
        <v>11.500435161009573</v>
      </c>
      <c r="N7707" s="43">
        <v>5.7101500046810401</v>
      </c>
      <c r="O7707" s="43">
        <v>6.9094428119349001</v>
      </c>
      <c r="P7707" s="223"/>
      <c r="Q7707" s="223"/>
      <c r="R7707" s="223">
        <v>1</v>
      </c>
    </row>
    <row r="7708" spans="1:18" ht="12.75" customHeight="1">
      <c r="A7708" s="628" t="s">
        <v>14193</v>
      </c>
      <c r="B7708" s="629"/>
      <c r="C7708" s="629"/>
      <c r="D7708" s="629"/>
      <c r="E7708" s="629"/>
      <c r="F7708" s="629"/>
      <c r="G7708" s="629"/>
      <c r="H7708" s="629"/>
      <c r="I7708" s="629"/>
      <c r="J7708" s="629"/>
      <c r="K7708" s="629"/>
      <c r="L7708" s="629"/>
      <c r="M7708" s="629"/>
      <c r="N7708" s="629"/>
      <c r="O7708" s="629"/>
      <c r="P7708" s="629"/>
      <c r="Q7708" s="629"/>
      <c r="R7708" s="629"/>
    </row>
    <row r="7709" spans="1:18" ht="24">
      <c r="A7709" s="219">
        <v>622</v>
      </c>
      <c r="B7709" s="216" t="s">
        <v>14194</v>
      </c>
      <c r="C7709" s="220" t="s">
        <v>14195</v>
      </c>
      <c r="D7709" s="221">
        <v>3782.25</v>
      </c>
      <c r="E7709" s="221">
        <v>2803.56</v>
      </c>
      <c r="F7709" s="221">
        <v>547.28</v>
      </c>
      <c r="G7709" s="221">
        <v>431.41</v>
      </c>
      <c r="H7709" s="222">
        <v>37799.49</v>
      </c>
      <c r="I7709" s="222">
        <v>32242.16</v>
      </c>
      <c r="J7709" s="222">
        <v>2886.86</v>
      </c>
      <c r="K7709" s="222">
        <v>2670.47</v>
      </c>
      <c r="L7709" s="43">
        <v>9.9939163196510012</v>
      </c>
      <c r="M7709" s="43">
        <v>11.500435161009573</v>
      </c>
      <c r="N7709" s="43">
        <v>5.2749232568337971</v>
      </c>
      <c r="O7709" s="43">
        <v>6.1900975869822199</v>
      </c>
      <c r="P7709" s="223"/>
      <c r="Q7709" s="223"/>
      <c r="R7709" s="223">
        <v>2</v>
      </c>
    </row>
    <row r="7710" spans="1:18" ht="24">
      <c r="A7710" s="219">
        <v>623</v>
      </c>
      <c r="B7710" s="216" t="s">
        <v>14196</v>
      </c>
      <c r="C7710" s="220" t="s">
        <v>14197</v>
      </c>
      <c r="D7710" s="221">
        <v>15557.18</v>
      </c>
      <c r="E7710" s="221">
        <v>7468.5</v>
      </c>
      <c r="F7710" s="221">
        <v>4914.43</v>
      </c>
      <c r="G7710" s="221">
        <v>3174.25</v>
      </c>
      <c r="H7710" s="222">
        <v>130118.55</v>
      </c>
      <c r="I7710" s="222">
        <v>85891</v>
      </c>
      <c r="J7710" s="222">
        <v>26460.93</v>
      </c>
      <c r="K7710" s="222">
        <v>17766.62</v>
      </c>
      <c r="L7710" s="43">
        <v>8.3638904994349872</v>
      </c>
      <c r="M7710" s="43">
        <v>11.500435161009573</v>
      </c>
      <c r="N7710" s="43">
        <v>5.3843334832320329</v>
      </c>
      <c r="O7710" s="43">
        <v>5.5971079782625814</v>
      </c>
      <c r="P7710" s="223"/>
      <c r="Q7710" s="223"/>
      <c r="R7710" s="223">
        <v>2</v>
      </c>
    </row>
    <row r="7711" spans="1:18" ht="24">
      <c r="A7711" s="219">
        <v>624</v>
      </c>
      <c r="B7711" s="216" t="s">
        <v>14198</v>
      </c>
      <c r="C7711" s="220" t="s">
        <v>14199</v>
      </c>
      <c r="D7711" s="221">
        <v>26836.58</v>
      </c>
      <c r="E7711" s="221">
        <v>13512.24</v>
      </c>
      <c r="F7711" s="221">
        <v>7070.69</v>
      </c>
      <c r="G7711" s="221">
        <v>6253.65</v>
      </c>
      <c r="H7711" s="222">
        <v>228187.27</v>
      </c>
      <c r="I7711" s="222">
        <v>155396.64000000001</v>
      </c>
      <c r="J7711" s="222">
        <v>38114.51</v>
      </c>
      <c r="K7711" s="222">
        <v>34676.120000000003</v>
      </c>
      <c r="L7711" s="43">
        <v>8.5028446247621705</v>
      </c>
      <c r="M7711" s="43">
        <v>11.500435161009575</v>
      </c>
      <c r="N7711" s="43">
        <v>5.390493714191968</v>
      </c>
      <c r="O7711" s="43">
        <v>5.5449409544825832</v>
      </c>
      <c r="P7711" s="223"/>
      <c r="Q7711" s="223"/>
      <c r="R7711" s="223">
        <v>2</v>
      </c>
    </row>
    <row r="7712" spans="1:18" ht="24">
      <c r="A7712" s="219">
        <v>625</v>
      </c>
      <c r="B7712" s="216" t="s">
        <v>14200</v>
      </c>
      <c r="C7712" s="220" t="s">
        <v>14201</v>
      </c>
      <c r="D7712" s="221">
        <v>9765.75</v>
      </c>
      <c r="E7712" s="221">
        <v>7514.46</v>
      </c>
      <c r="F7712" s="221">
        <v>871.72</v>
      </c>
      <c r="G7712" s="221">
        <v>1379.57</v>
      </c>
      <c r="H7712" s="222">
        <v>99745.61</v>
      </c>
      <c r="I7712" s="222">
        <v>86419.56</v>
      </c>
      <c r="J7712" s="222">
        <v>4751.12</v>
      </c>
      <c r="K7712" s="222">
        <v>8574.93</v>
      </c>
      <c r="L7712" s="43">
        <v>10.213819727107493</v>
      </c>
      <c r="M7712" s="43">
        <v>11.500435161009573</v>
      </c>
      <c r="N7712" s="43">
        <v>5.4502822007066483</v>
      </c>
      <c r="O7712" s="43">
        <v>6.2156541531056781</v>
      </c>
      <c r="P7712" s="223"/>
      <c r="Q7712" s="223"/>
      <c r="R7712" s="223">
        <v>2</v>
      </c>
    </row>
    <row r="7713" spans="1:18" ht="24">
      <c r="A7713" s="219">
        <v>626</v>
      </c>
      <c r="B7713" s="216" t="s">
        <v>14202</v>
      </c>
      <c r="C7713" s="220" t="s">
        <v>14203</v>
      </c>
      <c r="D7713" s="221">
        <v>56745.79</v>
      </c>
      <c r="E7713" s="221">
        <v>28610.1</v>
      </c>
      <c r="F7713" s="221">
        <v>19524.91</v>
      </c>
      <c r="G7713" s="221">
        <v>8610.7800000000007</v>
      </c>
      <c r="H7713" s="222">
        <v>485542.02</v>
      </c>
      <c r="I7713" s="222">
        <v>329028.59999999998</v>
      </c>
      <c r="J7713" s="222">
        <v>105731.42</v>
      </c>
      <c r="K7713" s="222">
        <v>50782</v>
      </c>
      <c r="L7713" s="43">
        <v>8.5564412796085847</v>
      </c>
      <c r="M7713" s="43">
        <v>11.500435161009573</v>
      </c>
      <c r="N7713" s="43">
        <v>5.4152065233591342</v>
      </c>
      <c r="O7713" s="43">
        <v>5.8974912841809912</v>
      </c>
      <c r="P7713" s="223"/>
      <c r="Q7713" s="223"/>
      <c r="R7713" s="223">
        <v>2</v>
      </c>
    </row>
    <row r="7714" spans="1:18" ht="24">
      <c r="A7714" s="219">
        <v>627</v>
      </c>
      <c r="B7714" s="216" t="s">
        <v>14204</v>
      </c>
      <c r="C7714" s="220" t="s">
        <v>14205</v>
      </c>
      <c r="D7714" s="221">
        <v>97852.98</v>
      </c>
      <c r="E7714" s="221">
        <v>50487.06</v>
      </c>
      <c r="F7714" s="221">
        <v>31876.880000000001</v>
      </c>
      <c r="G7714" s="221">
        <v>15489.04</v>
      </c>
      <c r="H7714" s="222">
        <v>843031.18</v>
      </c>
      <c r="I7714" s="222">
        <v>580623.16</v>
      </c>
      <c r="J7714" s="222">
        <v>172736.95</v>
      </c>
      <c r="K7714" s="222">
        <v>89671.07</v>
      </c>
      <c r="L7714" s="43">
        <v>8.6152836633079559</v>
      </c>
      <c r="M7714" s="43">
        <v>11.500435161009575</v>
      </c>
      <c r="N7714" s="43">
        <v>5.4188788237744721</v>
      </c>
      <c r="O7714" s="43">
        <v>5.7893239348597465</v>
      </c>
      <c r="P7714" s="223"/>
      <c r="Q7714" s="223"/>
      <c r="R7714" s="223">
        <v>2</v>
      </c>
    </row>
    <row r="7715" spans="1:18" ht="12.75" customHeight="1">
      <c r="A7715" s="628" t="s">
        <v>14206</v>
      </c>
      <c r="B7715" s="629"/>
      <c r="C7715" s="629"/>
      <c r="D7715" s="629"/>
      <c r="E7715" s="629"/>
      <c r="F7715" s="629"/>
      <c r="G7715" s="629"/>
      <c r="H7715" s="629"/>
      <c r="I7715" s="629"/>
      <c r="J7715" s="629"/>
      <c r="K7715" s="629"/>
      <c r="L7715" s="629"/>
      <c r="M7715" s="629"/>
      <c r="N7715" s="629"/>
      <c r="O7715" s="629"/>
      <c r="P7715" s="629"/>
      <c r="Q7715" s="629"/>
      <c r="R7715" s="629"/>
    </row>
    <row r="7716" spans="1:18" ht="12.75" customHeight="1">
      <c r="A7716" s="628" t="s">
        <v>14207</v>
      </c>
      <c r="B7716" s="629"/>
      <c r="C7716" s="629"/>
      <c r="D7716" s="629"/>
      <c r="E7716" s="629"/>
      <c r="F7716" s="629"/>
      <c r="G7716" s="629"/>
      <c r="H7716" s="629"/>
      <c r="I7716" s="629"/>
      <c r="J7716" s="629"/>
      <c r="K7716" s="629"/>
      <c r="L7716" s="629"/>
      <c r="M7716" s="629"/>
      <c r="N7716" s="629"/>
      <c r="O7716" s="629"/>
      <c r="P7716" s="629"/>
      <c r="Q7716" s="629"/>
      <c r="R7716" s="629"/>
    </row>
    <row r="7717" spans="1:18" ht="36">
      <c r="A7717" s="219">
        <v>628</v>
      </c>
      <c r="B7717" s="216" t="s">
        <v>14208</v>
      </c>
      <c r="C7717" s="220" t="s">
        <v>14209</v>
      </c>
      <c r="D7717" s="221">
        <v>1422.49</v>
      </c>
      <c r="E7717" s="221">
        <v>1014.57</v>
      </c>
      <c r="F7717" s="221">
        <v>340.65</v>
      </c>
      <c r="G7717" s="221">
        <v>67.27</v>
      </c>
      <c r="H7717" s="222">
        <v>14082.42</v>
      </c>
      <c r="I7717" s="222">
        <v>11667.96</v>
      </c>
      <c r="J7717" s="222">
        <v>1834.74</v>
      </c>
      <c r="K7717" s="222">
        <v>579.72</v>
      </c>
      <c r="L7717" s="43">
        <v>9.8998376087002367</v>
      </c>
      <c r="M7717" s="43">
        <v>11.50039918389071</v>
      </c>
      <c r="N7717" s="43">
        <v>5.3859973579920748</v>
      </c>
      <c r="O7717" s="43">
        <v>8.6178088300877072</v>
      </c>
      <c r="P7717" s="223"/>
      <c r="Q7717" s="223"/>
      <c r="R7717" s="223">
        <v>1</v>
      </c>
    </row>
    <row r="7718" spans="1:18" ht="36">
      <c r="A7718" s="219">
        <v>629</v>
      </c>
      <c r="B7718" s="216" t="s">
        <v>14210</v>
      </c>
      <c r="C7718" s="220" t="s">
        <v>14211</v>
      </c>
      <c r="D7718" s="221">
        <v>1597.6</v>
      </c>
      <c r="E7718" s="221">
        <v>1286.8800000000001</v>
      </c>
      <c r="F7718" s="221">
        <v>169.6</v>
      </c>
      <c r="G7718" s="221">
        <v>141.12</v>
      </c>
      <c r="H7718" s="222">
        <v>16852.05</v>
      </c>
      <c r="I7718" s="222">
        <v>14799.68</v>
      </c>
      <c r="J7718" s="222">
        <v>905.13</v>
      </c>
      <c r="K7718" s="222">
        <v>1147.24</v>
      </c>
      <c r="L7718" s="43">
        <v>10.548353780671007</v>
      </c>
      <c r="M7718" s="43">
        <v>11.500435161009573</v>
      </c>
      <c r="N7718" s="43">
        <v>5.3368514150943396</v>
      </c>
      <c r="O7718" s="43">
        <v>8.1295351473922892</v>
      </c>
      <c r="P7718" s="223"/>
      <c r="Q7718" s="223"/>
      <c r="R7718" s="223">
        <v>1</v>
      </c>
    </row>
    <row r="7719" spans="1:18" ht="36">
      <c r="A7719" s="219">
        <v>630</v>
      </c>
      <c r="B7719" s="216" t="s">
        <v>14212</v>
      </c>
      <c r="C7719" s="220" t="s">
        <v>14213</v>
      </c>
      <c r="D7719" s="221">
        <v>1808.15</v>
      </c>
      <c r="E7719" s="221">
        <v>1286.8800000000001</v>
      </c>
      <c r="F7719" s="221">
        <v>223.15</v>
      </c>
      <c r="G7719" s="221">
        <v>298.12</v>
      </c>
      <c r="H7719" s="222">
        <v>18301.7</v>
      </c>
      <c r="I7719" s="222">
        <v>14799.68</v>
      </c>
      <c r="J7719" s="222">
        <v>1200.75</v>
      </c>
      <c r="K7719" s="222">
        <v>2301.27</v>
      </c>
      <c r="L7719" s="43">
        <v>10.121781931808755</v>
      </c>
      <c r="M7719" s="43">
        <v>11.500435161009573</v>
      </c>
      <c r="N7719" s="43">
        <v>5.3809097019941738</v>
      </c>
      <c r="O7719" s="43">
        <v>7.7192741178049102</v>
      </c>
      <c r="P7719" s="223"/>
      <c r="Q7719" s="223"/>
      <c r="R7719" s="223">
        <v>1</v>
      </c>
    </row>
    <row r="7720" spans="1:18" ht="36">
      <c r="A7720" s="219">
        <v>631</v>
      </c>
      <c r="B7720" s="216" t="s">
        <v>14214</v>
      </c>
      <c r="C7720" s="220" t="s">
        <v>14215</v>
      </c>
      <c r="D7720" s="221">
        <v>2140.83</v>
      </c>
      <c r="E7720" s="221">
        <v>1309.8599999999999</v>
      </c>
      <c r="F7720" s="221">
        <v>522.32000000000005</v>
      </c>
      <c r="G7720" s="221">
        <v>308.64999999999998</v>
      </c>
      <c r="H7720" s="222">
        <v>20340.21</v>
      </c>
      <c r="I7720" s="222">
        <v>15063.96</v>
      </c>
      <c r="J7720" s="222">
        <v>2917.51</v>
      </c>
      <c r="K7720" s="222">
        <v>2358.7399999999998</v>
      </c>
      <c r="L7720" s="43">
        <v>9.5010860273819038</v>
      </c>
      <c r="M7720" s="43">
        <v>11.500435161009573</v>
      </c>
      <c r="N7720" s="43">
        <v>5.5856754480012256</v>
      </c>
      <c r="O7720" s="43">
        <v>7.6421189049084726</v>
      </c>
      <c r="P7720" s="223"/>
      <c r="Q7720" s="223"/>
      <c r="R7720" s="223">
        <v>1</v>
      </c>
    </row>
    <row r="7721" spans="1:18" ht="36">
      <c r="A7721" s="219">
        <v>632</v>
      </c>
      <c r="B7721" s="216" t="s">
        <v>14216</v>
      </c>
      <c r="C7721" s="220" t="s">
        <v>14217</v>
      </c>
      <c r="D7721" s="221">
        <v>2730.01</v>
      </c>
      <c r="E7721" s="221">
        <v>1298.3699999999999</v>
      </c>
      <c r="F7721" s="221">
        <v>767.12</v>
      </c>
      <c r="G7721" s="221">
        <v>664.52</v>
      </c>
      <c r="H7721" s="222">
        <v>24126.6</v>
      </c>
      <c r="I7721" s="222">
        <v>14931.82</v>
      </c>
      <c r="J7721" s="222">
        <v>4276.4399999999996</v>
      </c>
      <c r="K7721" s="222">
        <v>4918.34</v>
      </c>
      <c r="L7721" s="43">
        <v>8.8375500456042282</v>
      </c>
      <c r="M7721" s="43">
        <v>11.500435161009575</v>
      </c>
      <c r="N7721" s="43">
        <v>5.5746688914381055</v>
      </c>
      <c r="O7721" s="43">
        <v>7.4013423222777348</v>
      </c>
      <c r="P7721" s="223"/>
      <c r="Q7721" s="223"/>
      <c r="R7721" s="223">
        <v>1</v>
      </c>
    </row>
    <row r="7722" spans="1:18" ht="36">
      <c r="A7722" s="219">
        <v>633</v>
      </c>
      <c r="B7722" s="216" t="s">
        <v>14218</v>
      </c>
      <c r="C7722" s="220" t="s">
        <v>14219</v>
      </c>
      <c r="D7722" s="221">
        <v>4808.93</v>
      </c>
      <c r="E7722" s="221">
        <v>2608.23</v>
      </c>
      <c r="F7722" s="221">
        <v>1202.23</v>
      </c>
      <c r="G7722" s="221">
        <v>998.47</v>
      </c>
      <c r="H7722" s="222">
        <v>44503.19</v>
      </c>
      <c r="I7722" s="222">
        <v>29995.78</v>
      </c>
      <c r="J7722" s="222">
        <v>6766.84</v>
      </c>
      <c r="K7722" s="222">
        <v>7740.57</v>
      </c>
      <c r="L7722" s="43">
        <v>9.2542810978741628</v>
      </c>
      <c r="M7722" s="43">
        <v>11.500435161009573</v>
      </c>
      <c r="N7722" s="43">
        <v>5.6285735674538149</v>
      </c>
      <c r="O7722" s="43">
        <v>7.7524312197662422</v>
      </c>
      <c r="P7722" s="223"/>
      <c r="Q7722" s="223"/>
      <c r="R7722" s="223">
        <v>1</v>
      </c>
    </row>
    <row r="7723" spans="1:18" ht="12.75" customHeight="1">
      <c r="A7723" s="628" t="s">
        <v>14220</v>
      </c>
      <c r="B7723" s="629"/>
      <c r="C7723" s="629"/>
      <c r="D7723" s="629"/>
      <c r="E7723" s="629"/>
      <c r="F7723" s="629"/>
      <c r="G7723" s="629"/>
      <c r="H7723" s="629"/>
      <c r="I7723" s="629"/>
      <c r="J7723" s="629"/>
      <c r="K7723" s="629"/>
      <c r="L7723" s="629"/>
      <c r="M7723" s="629"/>
      <c r="N7723" s="629"/>
      <c r="O7723" s="629"/>
      <c r="P7723" s="629"/>
      <c r="Q7723" s="629"/>
      <c r="R7723" s="629"/>
    </row>
    <row r="7724" spans="1:18" ht="36">
      <c r="A7724" s="219">
        <v>634</v>
      </c>
      <c r="B7724" s="216" t="s">
        <v>14221</v>
      </c>
      <c r="C7724" s="220" t="s">
        <v>14222</v>
      </c>
      <c r="D7724" s="221">
        <v>3188.79</v>
      </c>
      <c r="E7724" s="221">
        <v>2619.7199999999998</v>
      </c>
      <c r="F7724" s="221">
        <v>410.1</v>
      </c>
      <c r="G7724" s="221">
        <v>158.97</v>
      </c>
      <c r="H7724" s="222">
        <v>34098.26</v>
      </c>
      <c r="I7724" s="222">
        <v>30127.919999999998</v>
      </c>
      <c r="J7724" s="222">
        <v>2581.4899999999998</v>
      </c>
      <c r="K7724" s="222">
        <v>1388.85</v>
      </c>
      <c r="L7724" s="43">
        <v>10.69316574625485</v>
      </c>
      <c r="M7724" s="43">
        <v>11.500435161009573</v>
      </c>
      <c r="N7724" s="43">
        <v>6.2947817605462077</v>
      </c>
      <c r="O7724" s="43">
        <v>8.7365540668050574</v>
      </c>
      <c r="P7724" s="223"/>
      <c r="Q7724" s="223"/>
      <c r="R7724" s="223">
        <v>2</v>
      </c>
    </row>
    <row r="7725" spans="1:18" ht="12.75" customHeight="1">
      <c r="A7725" s="628" t="s">
        <v>14223</v>
      </c>
      <c r="B7725" s="629"/>
      <c r="C7725" s="629"/>
      <c r="D7725" s="629"/>
      <c r="E7725" s="629"/>
      <c r="F7725" s="629"/>
      <c r="G7725" s="629"/>
      <c r="H7725" s="629"/>
      <c r="I7725" s="629"/>
      <c r="J7725" s="629"/>
      <c r="K7725" s="629"/>
      <c r="L7725" s="629"/>
      <c r="M7725" s="629"/>
      <c r="N7725" s="629"/>
      <c r="O7725" s="629"/>
      <c r="P7725" s="629"/>
      <c r="Q7725" s="629"/>
      <c r="R7725" s="629"/>
    </row>
    <row r="7726" spans="1:18" ht="36">
      <c r="A7726" s="219">
        <v>635</v>
      </c>
      <c r="B7726" s="216" t="s">
        <v>14224</v>
      </c>
      <c r="C7726" s="220" t="s">
        <v>14225</v>
      </c>
      <c r="D7726" s="221">
        <v>999.35</v>
      </c>
      <c r="E7726" s="221">
        <v>751.45</v>
      </c>
      <c r="F7726" s="221">
        <v>134.25</v>
      </c>
      <c r="G7726" s="221">
        <v>113.65</v>
      </c>
      <c r="H7726" s="222">
        <v>10146.61</v>
      </c>
      <c r="I7726" s="222">
        <v>8641.9599999999991</v>
      </c>
      <c r="J7726" s="222">
        <v>706.28</v>
      </c>
      <c r="K7726" s="222">
        <v>798.37</v>
      </c>
      <c r="L7726" s="43">
        <v>10.15320958623105</v>
      </c>
      <c r="M7726" s="43">
        <v>11.500379266750945</v>
      </c>
      <c r="N7726" s="43">
        <v>5.2609310986964619</v>
      </c>
      <c r="O7726" s="43">
        <v>7.0248130224373071</v>
      </c>
      <c r="P7726" s="223"/>
      <c r="Q7726" s="223"/>
      <c r="R7726" s="223">
        <v>3</v>
      </c>
    </row>
    <row r="7727" spans="1:18" ht="36">
      <c r="A7727" s="219">
        <v>636</v>
      </c>
      <c r="B7727" s="216" t="s">
        <v>14226</v>
      </c>
      <c r="C7727" s="220" t="s">
        <v>14227</v>
      </c>
      <c r="D7727" s="221">
        <v>1498.06</v>
      </c>
      <c r="E7727" s="221">
        <v>1127.17</v>
      </c>
      <c r="F7727" s="221">
        <v>220.9</v>
      </c>
      <c r="G7727" s="221">
        <v>149.99</v>
      </c>
      <c r="H7727" s="222">
        <v>15219.05</v>
      </c>
      <c r="I7727" s="222">
        <v>12962.93</v>
      </c>
      <c r="J7727" s="222">
        <v>1172.9000000000001</v>
      </c>
      <c r="K7727" s="222">
        <v>1083.22</v>
      </c>
      <c r="L7727" s="43">
        <v>10.159172529805215</v>
      </c>
      <c r="M7727" s="43">
        <v>11.50042140937037</v>
      </c>
      <c r="N7727" s="43">
        <v>5.3096423721140793</v>
      </c>
      <c r="O7727" s="43">
        <v>7.221948129875325</v>
      </c>
      <c r="P7727" s="223"/>
      <c r="Q7727" s="223"/>
      <c r="R7727" s="223">
        <v>3</v>
      </c>
    </row>
    <row r="7728" spans="1:18" ht="36">
      <c r="A7728" s="219">
        <v>637</v>
      </c>
      <c r="B7728" s="216" t="s">
        <v>14228</v>
      </c>
      <c r="C7728" s="220" t="s">
        <v>14229</v>
      </c>
      <c r="D7728" s="221">
        <v>1804.71</v>
      </c>
      <c r="E7728" s="221">
        <v>1252.4100000000001</v>
      </c>
      <c r="F7728" s="221">
        <v>361.18</v>
      </c>
      <c r="G7728" s="221">
        <v>191.12</v>
      </c>
      <c r="H7728" s="222">
        <v>17675.91</v>
      </c>
      <c r="I7728" s="222">
        <v>14403.26</v>
      </c>
      <c r="J7728" s="222">
        <v>1910.46</v>
      </c>
      <c r="K7728" s="222">
        <v>1362.19</v>
      </c>
      <c r="L7728" s="43">
        <v>9.7943215253420206</v>
      </c>
      <c r="M7728" s="43">
        <v>11.500435161009573</v>
      </c>
      <c r="N7728" s="43">
        <v>5.2894955423888366</v>
      </c>
      <c r="O7728" s="43">
        <v>7.1274068647969866</v>
      </c>
      <c r="P7728" s="223"/>
      <c r="Q7728" s="223"/>
      <c r="R7728" s="223">
        <v>3</v>
      </c>
    </row>
    <row r="7729" spans="1:18" ht="36">
      <c r="A7729" s="219">
        <v>638</v>
      </c>
      <c r="B7729" s="216" t="s">
        <v>14230</v>
      </c>
      <c r="C7729" s="220" t="s">
        <v>14231</v>
      </c>
      <c r="D7729" s="221">
        <v>2076.63</v>
      </c>
      <c r="E7729" s="221">
        <v>1252.4100000000001</v>
      </c>
      <c r="F7729" s="221">
        <v>567.19000000000005</v>
      </c>
      <c r="G7729" s="221">
        <v>257.02999999999997</v>
      </c>
      <c r="H7729" s="222">
        <v>19201.759999999998</v>
      </c>
      <c r="I7729" s="222">
        <v>14403.26</v>
      </c>
      <c r="J7729" s="222">
        <v>3024.65</v>
      </c>
      <c r="K7729" s="222">
        <v>1773.85</v>
      </c>
      <c r="L7729" s="43">
        <v>9.2465966493790415</v>
      </c>
      <c r="M7729" s="43">
        <v>11.500435161009573</v>
      </c>
      <c r="N7729" s="43">
        <v>5.3326927484617146</v>
      </c>
      <c r="O7729" s="43">
        <v>6.901334474574953</v>
      </c>
      <c r="P7729" s="223"/>
      <c r="Q7729" s="223"/>
      <c r="R7729" s="223">
        <v>3</v>
      </c>
    </row>
    <row r="7730" spans="1:18" ht="12.75" customHeight="1">
      <c r="A7730" s="628" t="s">
        <v>14232</v>
      </c>
      <c r="B7730" s="629"/>
      <c r="C7730" s="629"/>
      <c r="D7730" s="629"/>
      <c r="E7730" s="629"/>
      <c r="F7730" s="629"/>
      <c r="G7730" s="629"/>
      <c r="H7730" s="629"/>
      <c r="I7730" s="629"/>
      <c r="J7730" s="629"/>
      <c r="K7730" s="629"/>
      <c r="L7730" s="629"/>
      <c r="M7730" s="629"/>
      <c r="N7730" s="629"/>
      <c r="O7730" s="629"/>
      <c r="P7730" s="629"/>
      <c r="Q7730" s="629"/>
      <c r="R7730" s="629"/>
    </row>
    <row r="7731" spans="1:18" ht="36">
      <c r="A7731" s="219">
        <v>639</v>
      </c>
      <c r="B7731" s="216" t="s">
        <v>14233</v>
      </c>
      <c r="C7731" s="220" t="s">
        <v>14234</v>
      </c>
      <c r="D7731" s="221">
        <v>1661.76</v>
      </c>
      <c r="E7731" s="221">
        <v>1321.35</v>
      </c>
      <c r="F7731" s="221">
        <v>283.08</v>
      </c>
      <c r="G7731" s="221">
        <v>57.33</v>
      </c>
      <c r="H7731" s="222">
        <v>17570.29</v>
      </c>
      <c r="I7731" s="222">
        <v>15196.1</v>
      </c>
      <c r="J7731" s="222">
        <v>1867.91</v>
      </c>
      <c r="K7731" s="222">
        <v>506.28</v>
      </c>
      <c r="L7731" s="43">
        <v>10.573301800500674</v>
      </c>
      <c r="M7731" s="43">
        <v>11.500435161009575</v>
      </c>
      <c r="N7731" s="43">
        <v>6.5985233856153744</v>
      </c>
      <c r="O7731" s="43">
        <v>8.8309785452642586</v>
      </c>
      <c r="P7731" s="223"/>
      <c r="Q7731" s="223"/>
      <c r="R7731" s="223">
        <v>4</v>
      </c>
    </row>
    <row r="7732" spans="1:18" ht="36">
      <c r="A7732" s="219">
        <v>640</v>
      </c>
      <c r="B7732" s="216" t="s">
        <v>14235</v>
      </c>
      <c r="C7732" s="220" t="s">
        <v>14236</v>
      </c>
      <c r="D7732" s="221">
        <v>1779.27</v>
      </c>
      <c r="E7732" s="221">
        <v>1309.8599999999999</v>
      </c>
      <c r="F7732" s="221">
        <v>383.17</v>
      </c>
      <c r="G7732" s="221">
        <v>86.24</v>
      </c>
      <c r="H7732" s="222">
        <v>18184.86</v>
      </c>
      <c r="I7732" s="222">
        <v>15063.96</v>
      </c>
      <c r="J7732" s="222">
        <v>2411.31</v>
      </c>
      <c r="K7732" s="222">
        <v>709.59</v>
      </c>
      <c r="L7732" s="43">
        <v>10.220404997555178</v>
      </c>
      <c r="M7732" s="43">
        <v>11.500435161009573</v>
      </c>
      <c r="N7732" s="43">
        <v>6.2930553018242552</v>
      </c>
      <c r="O7732" s="43">
        <v>8.2280844155844157</v>
      </c>
      <c r="P7732" s="223"/>
      <c r="Q7732" s="223"/>
      <c r="R7732" s="223">
        <v>4</v>
      </c>
    </row>
    <row r="7733" spans="1:18" ht="36">
      <c r="A7733" s="219">
        <v>641</v>
      </c>
      <c r="B7733" s="216" t="s">
        <v>14237</v>
      </c>
      <c r="C7733" s="220" t="s">
        <v>14238</v>
      </c>
      <c r="D7733" s="221">
        <v>3321.17</v>
      </c>
      <c r="E7733" s="221">
        <v>2608.23</v>
      </c>
      <c r="F7733" s="221">
        <v>513.1</v>
      </c>
      <c r="G7733" s="221">
        <v>199.84</v>
      </c>
      <c r="H7733" s="222">
        <v>34693.58</v>
      </c>
      <c r="I7733" s="222">
        <v>29995.78</v>
      </c>
      <c r="J7733" s="222">
        <v>3157.7</v>
      </c>
      <c r="K7733" s="222">
        <v>1540.1</v>
      </c>
      <c r="L7733" s="43">
        <v>10.446192155174231</v>
      </c>
      <c r="M7733" s="43">
        <v>11.500435161009573</v>
      </c>
      <c r="N7733" s="43">
        <v>6.1541609822646652</v>
      </c>
      <c r="O7733" s="43">
        <v>7.7066653322658123</v>
      </c>
      <c r="P7733" s="223"/>
      <c r="Q7733" s="223"/>
      <c r="R7733" s="223">
        <v>4</v>
      </c>
    </row>
    <row r="7734" spans="1:18" ht="36">
      <c r="A7734" s="219">
        <v>642</v>
      </c>
      <c r="B7734" s="216" t="s">
        <v>14239</v>
      </c>
      <c r="C7734" s="220" t="s">
        <v>14240</v>
      </c>
      <c r="D7734" s="221">
        <v>3728.01</v>
      </c>
      <c r="E7734" s="221">
        <v>2619.7199999999998</v>
      </c>
      <c r="F7734" s="221">
        <v>832</v>
      </c>
      <c r="G7734" s="221">
        <v>276.29000000000002</v>
      </c>
      <c r="H7734" s="222">
        <v>37356.22</v>
      </c>
      <c r="I7734" s="222">
        <v>30127.919999999998</v>
      </c>
      <c r="J7734" s="222">
        <v>5203.18</v>
      </c>
      <c r="K7734" s="222">
        <v>2025.12</v>
      </c>
      <c r="L7734" s="43">
        <v>10.020418400165235</v>
      </c>
      <c r="M7734" s="43">
        <v>11.500435161009573</v>
      </c>
      <c r="N7734" s="43">
        <v>6.2538221153846161</v>
      </c>
      <c r="O7734" s="43">
        <v>7.3296898186687889</v>
      </c>
      <c r="P7734" s="223"/>
      <c r="Q7734" s="223"/>
      <c r="R7734" s="223">
        <v>4</v>
      </c>
    </row>
    <row r="7735" spans="1:18" ht="12.75" customHeight="1">
      <c r="A7735" s="628" t="s">
        <v>14241</v>
      </c>
      <c r="B7735" s="629"/>
      <c r="C7735" s="629"/>
      <c r="D7735" s="629"/>
      <c r="E7735" s="629"/>
      <c r="F7735" s="629"/>
      <c r="G7735" s="629"/>
      <c r="H7735" s="629"/>
      <c r="I7735" s="629"/>
      <c r="J7735" s="629"/>
      <c r="K7735" s="629"/>
      <c r="L7735" s="629"/>
      <c r="M7735" s="629"/>
      <c r="N7735" s="629"/>
      <c r="O7735" s="629"/>
      <c r="P7735" s="629"/>
      <c r="Q7735" s="629"/>
      <c r="R7735" s="629"/>
    </row>
    <row r="7736" spans="1:18" ht="12.75" customHeight="1">
      <c r="A7736" s="628" t="s">
        <v>14242</v>
      </c>
      <c r="B7736" s="629"/>
      <c r="C7736" s="629"/>
      <c r="D7736" s="629"/>
      <c r="E7736" s="629"/>
      <c r="F7736" s="629"/>
      <c r="G7736" s="629"/>
      <c r="H7736" s="629"/>
      <c r="I7736" s="629"/>
      <c r="J7736" s="629"/>
      <c r="K7736" s="629"/>
      <c r="L7736" s="629"/>
      <c r="M7736" s="629"/>
      <c r="N7736" s="629"/>
      <c r="O7736" s="629"/>
      <c r="P7736" s="629"/>
      <c r="Q7736" s="629"/>
      <c r="R7736" s="629"/>
    </row>
    <row r="7737" spans="1:18" ht="24">
      <c r="A7737" s="219">
        <v>643</v>
      </c>
      <c r="B7737" s="216" t="s">
        <v>14243</v>
      </c>
      <c r="C7737" s="220" t="s">
        <v>14244</v>
      </c>
      <c r="D7737" s="221">
        <v>306.98</v>
      </c>
      <c r="E7737" s="221">
        <v>250.48</v>
      </c>
      <c r="F7737" s="221">
        <v>36.33</v>
      </c>
      <c r="G7737" s="221">
        <v>20.170000000000002</v>
      </c>
      <c r="H7737" s="222">
        <v>3354.72</v>
      </c>
      <c r="I7737" s="222">
        <v>2880.65</v>
      </c>
      <c r="J7737" s="222">
        <v>195.65</v>
      </c>
      <c r="K7737" s="222">
        <v>278.42</v>
      </c>
      <c r="L7737" s="43">
        <v>10.928138640953806</v>
      </c>
      <c r="M7737" s="43">
        <v>11.500519003513256</v>
      </c>
      <c r="N7737" s="43">
        <v>5.3853564547206174</v>
      </c>
      <c r="O7737" s="43">
        <v>13.803668815071889</v>
      </c>
      <c r="P7737" s="223"/>
      <c r="Q7737" s="223"/>
      <c r="R7737" s="223">
        <v>1</v>
      </c>
    </row>
    <row r="7738" spans="1:18" ht="24">
      <c r="A7738" s="219">
        <v>644</v>
      </c>
      <c r="B7738" s="216" t="s">
        <v>14245</v>
      </c>
      <c r="C7738" s="220" t="s">
        <v>14246</v>
      </c>
      <c r="D7738" s="221">
        <v>355.04</v>
      </c>
      <c r="E7738" s="221">
        <v>250.48</v>
      </c>
      <c r="F7738" s="221">
        <v>74.83</v>
      </c>
      <c r="G7738" s="221">
        <v>29.73</v>
      </c>
      <c r="H7738" s="222">
        <v>3763.38</v>
      </c>
      <c r="I7738" s="222">
        <v>2880.65</v>
      </c>
      <c r="J7738" s="222">
        <v>404.64</v>
      </c>
      <c r="K7738" s="222">
        <v>478.09</v>
      </c>
      <c r="L7738" s="43">
        <v>10.599876070301937</v>
      </c>
      <c r="M7738" s="43">
        <v>11.500519003513256</v>
      </c>
      <c r="N7738" s="43">
        <v>5.4074569023119068</v>
      </c>
      <c r="O7738" s="43">
        <v>16.081062899428186</v>
      </c>
      <c r="P7738" s="223"/>
      <c r="Q7738" s="223"/>
      <c r="R7738" s="223">
        <v>1</v>
      </c>
    </row>
    <row r="7739" spans="1:18" ht="24">
      <c r="A7739" s="219">
        <v>645</v>
      </c>
      <c r="B7739" s="216" t="s">
        <v>14247</v>
      </c>
      <c r="C7739" s="220" t="s">
        <v>14248</v>
      </c>
      <c r="D7739" s="221">
        <v>526.39</v>
      </c>
      <c r="E7739" s="221">
        <v>388.36</v>
      </c>
      <c r="F7739" s="221">
        <v>85.89</v>
      </c>
      <c r="G7739" s="221">
        <v>52.14</v>
      </c>
      <c r="H7739" s="222">
        <v>5837.5</v>
      </c>
      <c r="I7739" s="222">
        <v>4466.33</v>
      </c>
      <c r="J7739" s="222">
        <v>463.93</v>
      </c>
      <c r="K7739" s="222">
        <v>907.24</v>
      </c>
      <c r="L7739" s="43">
        <v>11.089686354224055</v>
      </c>
      <c r="M7739" s="43">
        <v>11.500489236790607</v>
      </c>
      <c r="N7739" s="43">
        <v>5.4014437070671786</v>
      </c>
      <c r="O7739" s="43">
        <v>17.400076716532414</v>
      </c>
      <c r="P7739" s="223"/>
      <c r="Q7739" s="223"/>
      <c r="R7739" s="223">
        <v>1</v>
      </c>
    </row>
    <row r="7740" spans="1:18" ht="24">
      <c r="A7740" s="219">
        <v>646</v>
      </c>
      <c r="B7740" s="216" t="s">
        <v>14249</v>
      </c>
      <c r="C7740" s="220" t="s">
        <v>14250</v>
      </c>
      <c r="D7740" s="221">
        <v>673.4</v>
      </c>
      <c r="E7740" s="221">
        <v>388.36</v>
      </c>
      <c r="F7740" s="221">
        <v>206.12</v>
      </c>
      <c r="G7740" s="221">
        <v>78.92</v>
      </c>
      <c r="H7740" s="222">
        <v>6947.44</v>
      </c>
      <c r="I7740" s="222">
        <v>4466.33</v>
      </c>
      <c r="J7740" s="222">
        <v>1116.27</v>
      </c>
      <c r="K7740" s="222">
        <v>1364.84</v>
      </c>
      <c r="L7740" s="43">
        <v>10.316958716958716</v>
      </c>
      <c r="M7740" s="43">
        <v>11.500489236790607</v>
      </c>
      <c r="N7740" s="43">
        <v>5.4156316708713366</v>
      </c>
      <c r="O7740" s="43">
        <v>17.293968575772933</v>
      </c>
      <c r="P7740" s="223"/>
      <c r="Q7740" s="223"/>
      <c r="R7740" s="223">
        <v>1</v>
      </c>
    </row>
    <row r="7741" spans="1:18" ht="24">
      <c r="A7741" s="219">
        <v>647</v>
      </c>
      <c r="B7741" s="216" t="s">
        <v>14251</v>
      </c>
      <c r="C7741" s="220" t="s">
        <v>14252</v>
      </c>
      <c r="D7741" s="221">
        <v>891.68</v>
      </c>
      <c r="E7741" s="221">
        <v>513.6</v>
      </c>
      <c r="F7741" s="221">
        <v>277.94</v>
      </c>
      <c r="G7741" s="221">
        <v>100.14</v>
      </c>
      <c r="H7741" s="222">
        <v>9067.33</v>
      </c>
      <c r="I7741" s="222">
        <v>5906.66</v>
      </c>
      <c r="J7741" s="222">
        <v>1505.45</v>
      </c>
      <c r="K7741" s="222">
        <v>1655.22</v>
      </c>
      <c r="L7741" s="43">
        <v>10.168816167234883</v>
      </c>
      <c r="M7741" s="43">
        <v>11.500506230529595</v>
      </c>
      <c r="N7741" s="43">
        <v>5.4164567892350872</v>
      </c>
      <c r="O7741" s="43">
        <v>16.529059316956261</v>
      </c>
      <c r="P7741" s="223"/>
      <c r="Q7741" s="223"/>
      <c r="R7741" s="223">
        <v>1</v>
      </c>
    </row>
    <row r="7742" spans="1:18" ht="12.75" customHeight="1">
      <c r="A7742" s="628" t="s">
        <v>14253</v>
      </c>
      <c r="B7742" s="629"/>
      <c r="C7742" s="629"/>
      <c r="D7742" s="629"/>
      <c r="E7742" s="629"/>
      <c r="F7742" s="629"/>
      <c r="G7742" s="629"/>
      <c r="H7742" s="629"/>
      <c r="I7742" s="629"/>
      <c r="J7742" s="629"/>
      <c r="K7742" s="629"/>
      <c r="L7742" s="629"/>
      <c r="M7742" s="629"/>
      <c r="N7742" s="629"/>
      <c r="O7742" s="629"/>
      <c r="P7742" s="629"/>
      <c r="Q7742" s="629"/>
      <c r="R7742" s="629"/>
    </row>
    <row r="7743" spans="1:18" ht="36">
      <c r="A7743" s="219">
        <v>648</v>
      </c>
      <c r="B7743" s="216" t="s">
        <v>14254</v>
      </c>
      <c r="C7743" s="220" t="s">
        <v>14255</v>
      </c>
      <c r="D7743" s="221">
        <v>668.34</v>
      </c>
      <c r="E7743" s="221">
        <v>463.05</v>
      </c>
      <c r="F7743" s="221">
        <v>109.62</v>
      </c>
      <c r="G7743" s="221">
        <v>95.67</v>
      </c>
      <c r="H7743" s="222">
        <v>7489.91</v>
      </c>
      <c r="I7743" s="222">
        <v>5325.24</v>
      </c>
      <c r="J7743" s="222">
        <v>574.91999999999996</v>
      </c>
      <c r="K7743" s="222">
        <v>1589.75</v>
      </c>
      <c r="L7743" s="43">
        <v>11.206736092408056</v>
      </c>
      <c r="M7743" s="43">
        <v>11.500356333009394</v>
      </c>
      <c r="N7743" s="43">
        <v>5.2446633825944167</v>
      </c>
      <c r="O7743" s="43">
        <v>16.617016828681926</v>
      </c>
      <c r="P7743" s="223"/>
      <c r="Q7743" s="223"/>
      <c r="R7743" s="223">
        <v>2</v>
      </c>
    </row>
    <row r="7744" spans="1:18" ht="36">
      <c r="A7744" s="219">
        <v>649</v>
      </c>
      <c r="B7744" s="216" t="s">
        <v>14256</v>
      </c>
      <c r="C7744" s="220" t="s">
        <v>14257</v>
      </c>
      <c r="D7744" s="221">
        <v>998.44</v>
      </c>
      <c r="E7744" s="221">
        <v>613.57000000000005</v>
      </c>
      <c r="F7744" s="221">
        <v>278.51</v>
      </c>
      <c r="G7744" s="221">
        <v>106.36</v>
      </c>
      <c r="H7744" s="222">
        <v>10130.74</v>
      </c>
      <c r="I7744" s="222">
        <v>7056.28</v>
      </c>
      <c r="J7744" s="222">
        <v>1481.32</v>
      </c>
      <c r="K7744" s="222">
        <v>1593.14</v>
      </c>
      <c r="L7744" s="43">
        <v>10.14656864708946</v>
      </c>
      <c r="M7744" s="43">
        <v>11.500366706325275</v>
      </c>
      <c r="N7744" s="43">
        <v>5.3187318229147964</v>
      </c>
      <c r="O7744" s="43">
        <v>14.978751410304627</v>
      </c>
      <c r="P7744" s="223"/>
      <c r="Q7744" s="223"/>
      <c r="R7744" s="223">
        <v>2</v>
      </c>
    </row>
    <row r="7745" spans="1:18" ht="36">
      <c r="A7745" s="219">
        <v>650</v>
      </c>
      <c r="B7745" s="216" t="s">
        <v>14258</v>
      </c>
      <c r="C7745" s="220" t="s">
        <v>14259</v>
      </c>
      <c r="D7745" s="221">
        <v>1579.98</v>
      </c>
      <c r="E7745" s="221">
        <v>776.72</v>
      </c>
      <c r="F7745" s="221">
        <v>669.78</v>
      </c>
      <c r="G7745" s="221">
        <v>133.47999999999999</v>
      </c>
      <c r="H7745" s="222">
        <v>14167.12</v>
      </c>
      <c r="I7745" s="222">
        <v>8932.66</v>
      </c>
      <c r="J7745" s="222">
        <v>3595.4</v>
      </c>
      <c r="K7745" s="222">
        <v>1639.06</v>
      </c>
      <c r="L7745" s="43">
        <v>8.9666451474069291</v>
      </c>
      <c r="M7745" s="43">
        <v>11.500489236790607</v>
      </c>
      <c r="N7745" s="43">
        <v>5.3680312938576851</v>
      </c>
      <c r="O7745" s="43">
        <v>12.279442613125562</v>
      </c>
      <c r="P7745" s="223"/>
      <c r="Q7745" s="223"/>
      <c r="R7745" s="223">
        <v>2</v>
      </c>
    </row>
    <row r="7746" spans="1:18" ht="36">
      <c r="A7746" s="219">
        <v>651</v>
      </c>
      <c r="B7746" s="216" t="s">
        <v>14260</v>
      </c>
      <c r="C7746" s="220" t="s">
        <v>14261</v>
      </c>
      <c r="D7746" s="221">
        <v>3605.53</v>
      </c>
      <c r="E7746" s="221">
        <v>1171.98</v>
      </c>
      <c r="F7746" s="221">
        <v>2098.2800000000002</v>
      </c>
      <c r="G7746" s="221">
        <v>335.27</v>
      </c>
      <c r="H7746" s="222">
        <v>27353.95</v>
      </c>
      <c r="I7746" s="222">
        <v>13478.28</v>
      </c>
      <c r="J7746" s="222">
        <v>11274.28</v>
      </c>
      <c r="K7746" s="222">
        <v>2601.39</v>
      </c>
      <c r="L7746" s="43">
        <v>7.5866654832992655</v>
      </c>
      <c r="M7746" s="43">
        <v>11.500435161009573</v>
      </c>
      <c r="N7746" s="43">
        <v>5.3731055912461629</v>
      </c>
      <c r="O7746" s="43">
        <v>7.7590896889074479</v>
      </c>
      <c r="P7746" s="223"/>
      <c r="Q7746" s="223"/>
      <c r="R7746" s="223">
        <v>2</v>
      </c>
    </row>
    <row r="7747" spans="1:18" ht="12.75" customHeight="1">
      <c r="A7747" s="628" t="s">
        <v>14262</v>
      </c>
      <c r="B7747" s="629"/>
      <c r="C7747" s="629"/>
      <c r="D7747" s="629"/>
      <c r="E7747" s="629"/>
      <c r="F7747" s="629"/>
      <c r="G7747" s="629"/>
      <c r="H7747" s="629"/>
      <c r="I7747" s="629"/>
      <c r="J7747" s="629"/>
      <c r="K7747" s="629"/>
      <c r="L7747" s="629"/>
      <c r="M7747" s="629"/>
      <c r="N7747" s="629"/>
      <c r="O7747" s="629"/>
      <c r="P7747" s="629"/>
      <c r="Q7747" s="629"/>
      <c r="R7747" s="629"/>
    </row>
    <row r="7748" spans="1:18" ht="12.75" customHeight="1">
      <c r="A7748" s="628" t="s">
        <v>14263</v>
      </c>
      <c r="B7748" s="629"/>
      <c r="C7748" s="629"/>
      <c r="D7748" s="629"/>
      <c r="E7748" s="629"/>
      <c r="F7748" s="629"/>
      <c r="G7748" s="629"/>
      <c r="H7748" s="629"/>
      <c r="I7748" s="629"/>
      <c r="J7748" s="629"/>
      <c r="K7748" s="629"/>
      <c r="L7748" s="629"/>
      <c r="M7748" s="629"/>
      <c r="N7748" s="629"/>
      <c r="O7748" s="629"/>
      <c r="P7748" s="629"/>
      <c r="Q7748" s="629"/>
      <c r="R7748" s="629"/>
    </row>
    <row r="7749" spans="1:18" ht="24">
      <c r="A7749" s="219">
        <v>652</v>
      </c>
      <c r="B7749" s="216" t="s">
        <v>14264</v>
      </c>
      <c r="C7749" s="220" t="s">
        <v>14265</v>
      </c>
      <c r="D7749" s="221">
        <v>6670.65</v>
      </c>
      <c r="E7749" s="221">
        <v>5136.03</v>
      </c>
      <c r="F7749" s="221">
        <v>1278.74</v>
      </c>
      <c r="G7749" s="221">
        <v>255.88</v>
      </c>
      <c r="H7749" s="222">
        <v>67861.240000000005</v>
      </c>
      <c r="I7749" s="222">
        <v>59066.58</v>
      </c>
      <c r="J7749" s="222">
        <v>6820.1</v>
      </c>
      <c r="K7749" s="222">
        <v>1974.56</v>
      </c>
      <c r="L7749" s="43">
        <v>10.173107568227985</v>
      </c>
      <c r="M7749" s="43">
        <v>11.500435161009575</v>
      </c>
      <c r="N7749" s="43">
        <v>5.3334532430361143</v>
      </c>
      <c r="O7749" s="43">
        <v>7.7167422229169924</v>
      </c>
      <c r="P7749" s="223"/>
      <c r="Q7749" s="223"/>
      <c r="R7749" s="223">
        <v>1</v>
      </c>
    </row>
    <row r="7750" spans="1:18" ht="24">
      <c r="A7750" s="219">
        <v>653</v>
      </c>
      <c r="B7750" s="216" t="s">
        <v>14266</v>
      </c>
      <c r="C7750" s="220" t="s">
        <v>14267</v>
      </c>
      <c r="D7750" s="221">
        <v>9118.3799999999992</v>
      </c>
      <c r="E7750" s="221">
        <v>6514.83</v>
      </c>
      <c r="F7750" s="221">
        <v>2159.1799999999998</v>
      </c>
      <c r="G7750" s="221">
        <v>444.37</v>
      </c>
      <c r="H7750" s="222">
        <v>89643.65</v>
      </c>
      <c r="I7750" s="222">
        <v>74923.38</v>
      </c>
      <c r="J7750" s="222">
        <v>11592.01</v>
      </c>
      <c r="K7750" s="222">
        <v>3128.26</v>
      </c>
      <c r="L7750" s="43">
        <v>9.8310939004516147</v>
      </c>
      <c r="M7750" s="43">
        <v>11.500435161009575</v>
      </c>
      <c r="N7750" s="43">
        <v>5.3687094174640375</v>
      </c>
      <c r="O7750" s="43">
        <v>7.0397641604968832</v>
      </c>
      <c r="P7750" s="223"/>
      <c r="Q7750" s="223"/>
      <c r="R7750" s="223">
        <v>1</v>
      </c>
    </row>
    <row r="7751" spans="1:18" ht="24">
      <c r="A7751" s="219">
        <v>654</v>
      </c>
      <c r="B7751" s="216" t="s">
        <v>14268</v>
      </c>
      <c r="C7751" s="220" t="s">
        <v>14269</v>
      </c>
      <c r="D7751" s="221">
        <v>13034.48</v>
      </c>
      <c r="E7751" s="221">
        <v>7767.24</v>
      </c>
      <c r="F7751" s="221">
        <v>4338.3900000000003</v>
      </c>
      <c r="G7751" s="221">
        <v>928.85</v>
      </c>
      <c r="H7751" s="222">
        <v>118531.79</v>
      </c>
      <c r="I7751" s="222">
        <v>89326.64</v>
      </c>
      <c r="J7751" s="222">
        <v>23406.46</v>
      </c>
      <c r="K7751" s="222">
        <v>5798.69</v>
      </c>
      <c r="L7751" s="43">
        <v>9.0937106812086093</v>
      </c>
      <c r="M7751" s="43">
        <v>11.500435161009573</v>
      </c>
      <c r="N7751" s="43">
        <v>5.3951949916904649</v>
      </c>
      <c r="O7751" s="43">
        <v>6.2428702158583187</v>
      </c>
      <c r="P7751" s="223"/>
      <c r="Q7751" s="223"/>
      <c r="R7751" s="223">
        <v>1</v>
      </c>
    </row>
    <row r="7752" spans="1:18" ht="12.75" customHeight="1">
      <c r="A7752" s="628" t="s">
        <v>14270</v>
      </c>
      <c r="B7752" s="629"/>
      <c r="C7752" s="629"/>
      <c r="D7752" s="629"/>
      <c r="E7752" s="629"/>
      <c r="F7752" s="629"/>
      <c r="G7752" s="629"/>
      <c r="H7752" s="629"/>
      <c r="I7752" s="629"/>
      <c r="J7752" s="629"/>
      <c r="K7752" s="629"/>
      <c r="L7752" s="629"/>
      <c r="M7752" s="629"/>
      <c r="N7752" s="629"/>
      <c r="O7752" s="629"/>
      <c r="P7752" s="629"/>
      <c r="Q7752" s="629"/>
      <c r="R7752" s="629"/>
    </row>
    <row r="7753" spans="1:18" ht="12.75" customHeight="1">
      <c r="A7753" s="628" t="s">
        <v>14271</v>
      </c>
      <c r="B7753" s="629"/>
      <c r="C7753" s="629"/>
      <c r="D7753" s="629"/>
      <c r="E7753" s="629"/>
      <c r="F7753" s="629"/>
      <c r="G7753" s="629"/>
      <c r="H7753" s="629"/>
      <c r="I7753" s="629"/>
      <c r="J7753" s="629"/>
      <c r="K7753" s="629"/>
      <c r="L7753" s="629"/>
      <c r="M7753" s="629"/>
      <c r="N7753" s="629"/>
      <c r="O7753" s="629"/>
      <c r="P7753" s="629"/>
      <c r="Q7753" s="629"/>
      <c r="R7753" s="629"/>
    </row>
    <row r="7754" spans="1:18" ht="24">
      <c r="A7754" s="219">
        <v>655</v>
      </c>
      <c r="B7754" s="216" t="s">
        <v>14272</v>
      </c>
      <c r="C7754" s="220" t="s">
        <v>14273</v>
      </c>
      <c r="D7754" s="221">
        <v>1298.81</v>
      </c>
      <c r="E7754" s="221">
        <v>1160.49</v>
      </c>
      <c r="F7754" s="221">
        <v>88.09</v>
      </c>
      <c r="G7754" s="221">
        <v>50.23</v>
      </c>
      <c r="H7754" s="222">
        <v>14171.87</v>
      </c>
      <c r="I7754" s="222">
        <v>13346.14</v>
      </c>
      <c r="J7754" s="222">
        <v>412.87</v>
      </c>
      <c r="K7754" s="222">
        <v>412.86</v>
      </c>
      <c r="L7754" s="43">
        <v>10.911426613592443</v>
      </c>
      <c r="M7754" s="43">
        <v>11.500435161009573</v>
      </c>
      <c r="N7754" s="43">
        <v>4.6869111136337835</v>
      </c>
      <c r="O7754" s="43">
        <v>8.2193908023093769</v>
      </c>
      <c r="P7754" s="223"/>
      <c r="Q7754" s="223"/>
      <c r="R7754" s="223">
        <v>1</v>
      </c>
    </row>
    <row r="7755" spans="1:18" ht="24">
      <c r="A7755" s="219">
        <v>656</v>
      </c>
      <c r="B7755" s="216" t="s">
        <v>14274</v>
      </c>
      <c r="C7755" s="220" t="s">
        <v>14275</v>
      </c>
      <c r="D7755" s="221">
        <v>1323.86</v>
      </c>
      <c r="E7755" s="221">
        <v>1160.49</v>
      </c>
      <c r="F7755" s="221">
        <v>119.08</v>
      </c>
      <c r="G7755" s="221">
        <v>44.29</v>
      </c>
      <c r="H7755" s="222">
        <v>14295.14</v>
      </c>
      <c r="I7755" s="222">
        <v>13346.14</v>
      </c>
      <c r="J7755" s="222">
        <v>568.23</v>
      </c>
      <c r="K7755" s="222">
        <v>380.77</v>
      </c>
      <c r="L7755" s="43">
        <v>10.798075325185444</v>
      </c>
      <c r="M7755" s="43">
        <v>11.500435161009573</v>
      </c>
      <c r="N7755" s="43">
        <v>4.7718340611353716</v>
      </c>
      <c r="O7755" s="43">
        <v>8.5972002709415207</v>
      </c>
      <c r="P7755" s="223"/>
      <c r="Q7755" s="223"/>
      <c r="R7755" s="223">
        <v>1</v>
      </c>
    </row>
    <row r="7756" spans="1:18" ht="24">
      <c r="A7756" s="219">
        <v>657</v>
      </c>
      <c r="B7756" s="216" t="s">
        <v>14276</v>
      </c>
      <c r="C7756" s="220" t="s">
        <v>14277</v>
      </c>
      <c r="D7756" s="221">
        <v>1441.93</v>
      </c>
      <c r="E7756" s="221">
        <v>1160.49</v>
      </c>
      <c r="F7756" s="221">
        <v>218.21</v>
      </c>
      <c r="G7756" s="221">
        <v>63.23</v>
      </c>
      <c r="H7756" s="222">
        <v>14909.32</v>
      </c>
      <c r="I7756" s="222">
        <v>13346.14</v>
      </c>
      <c r="J7756" s="222">
        <v>1080.3399999999999</v>
      </c>
      <c r="K7756" s="222">
        <v>482.84</v>
      </c>
      <c r="L7756" s="43">
        <v>10.33983619177075</v>
      </c>
      <c r="M7756" s="43">
        <v>11.500435161009573</v>
      </c>
      <c r="N7756" s="43">
        <v>4.9509188396498782</v>
      </c>
      <c r="O7756" s="43">
        <v>7.6362486161632139</v>
      </c>
      <c r="P7756" s="223"/>
      <c r="Q7756" s="223"/>
      <c r="R7756" s="223">
        <v>1</v>
      </c>
    </row>
    <row r="7757" spans="1:18" ht="24">
      <c r="A7757" s="219">
        <v>658</v>
      </c>
      <c r="B7757" s="216" t="s">
        <v>14278</v>
      </c>
      <c r="C7757" s="220" t="s">
        <v>14279</v>
      </c>
      <c r="D7757" s="221">
        <v>2085.0100000000002</v>
      </c>
      <c r="E7757" s="221">
        <v>1551.15</v>
      </c>
      <c r="F7757" s="221">
        <v>401.88</v>
      </c>
      <c r="G7757" s="221">
        <v>131.97999999999999</v>
      </c>
      <c r="H7757" s="222">
        <v>20762.560000000001</v>
      </c>
      <c r="I7757" s="222">
        <v>17838.900000000001</v>
      </c>
      <c r="J7757" s="222">
        <v>2023.34</v>
      </c>
      <c r="K7757" s="222">
        <v>900.32</v>
      </c>
      <c r="L7757" s="43">
        <v>9.958014589858081</v>
      </c>
      <c r="M7757" s="43">
        <v>11.500435161009573</v>
      </c>
      <c r="N7757" s="43">
        <v>5.0346869712351943</v>
      </c>
      <c r="O7757" s="43">
        <v>6.8216396423700569</v>
      </c>
      <c r="P7757" s="223"/>
      <c r="Q7757" s="223"/>
      <c r="R7757" s="223">
        <v>1</v>
      </c>
    </row>
    <row r="7758" spans="1:18" ht="24">
      <c r="A7758" s="219">
        <v>659</v>
      </c>
      <c r="B7758" s="216" t="s">
        <v>14280</v>
      </c>
      <c r="C7758" s="220" t="s">
        <v>14281</v>
      </c>
      <c r="D7758" s="221">
        <v>2611.39</v>
      </c>
      <c r="E7758" s="221">
        <v>1803.93</v>
      </c>
      <c r="F7758" s="221">
        <v>647.19000000000005</v>
      </c>
      <c r="G7758" s="221">
        <v>160.27000000000001</v>
      </c>
      <c r="H7758" s="222">
        <v>25132.94</v>
      </c>
      <c r="I7758" s="222">
        <v>20745.98</v>
      </c>
      <c r="J7758" s="222">
        <v>3304.14</v>
      </c>
      <c r="K7758" s="222">
        <v>1082.82</v>
      </c>
      <c r="L7758" s="43">
        <v>9.6243533137524455</v>
      </c>
      <c r="M7758" s="43">
        <v>11.500435161009573</v>
      </c>
      <c r="N7758" s="43">
        <v>5.1053631854633101</v>
      </c>
      <c r="O7758" s="43">
        <v>6.7562238722156351</v>
      </c>
      <c r="P7758" s="223"/>
      <c r="Q7758" s="223"/>
      <c r="R7758" s="223">
        <v>1</v>
      </c>
    </row>
    <row r="7759" spans="1:18" ht="12.75" customHeight="1">
      <c r="A7759" s="628" t="s">
        <v>14282</v>
      </c>
      <c r="B7759" s="629"/>
      <c r="C7759" s="629"/>
      <c r="D7759" s="629"/>
      <c r="E7759" s="629"/>
      <c r="F7759" s="629"/>
      <c r="G7759" s="629"/>
      <c r="H7759" s="629"/>
      <c r="I7759" s="629"/>
      <c r="J7759" s="629"/>
      <c r="K7759" s="629"/>
      <c r="L7759" s="629"/>
      <c r="M7759" s="629"/>
      <c r="N7759" s="629"/>
      <c r="O7759" s="629"/>
      <c r="P7759" s="629"/>
      <c r="Q7759" s="629"/>
      <c r="R7759" s="629"/>
    </row>
    <row r="7760" spans="1:18" ht="12.75" customHeight="1">
      <c r="A7760" s="628" t="s">
        <v>14283</v>
      </c>
      <c r="B7760" s="629"/>
      <c r="C7760" s="629"/>
      <c r="D7760" s="629"/>
      <c r="E7760" s="629"/>
      <c r="F7760" s="629"/>
      <c r="G7760" s="629"/>
      <c r="H7760" s="629"/>
      <c r="I7760" s="629"/>
      <c r="J7760" s="629"/>
      <c r="K7760" s="629"/>
      <c r="L7760" s="629"/>
      <c r="M7760" s="629"/>
      <c r="N7760" s="629"/>
      <c r="O7760" s="629"/>
      <c r="P7760" s="629"/>
      <c r="Q7760" s="629"/>
      <c r="R7760" s="629"/>
    </row>
    <row r="7761" spans="1:18" ht="36">
      <c r="A7761" s="219">
        <v>660</v>
      </c>
      <c r="B7761" s="216" t="s">
        <v>14284</v>
      </c>
      <c r="C7761" s="220" t="s">
        <v>14285</v>
      </c>
      <c r="D7761" s="221">
        <v>156.68</v>
      </c>
      <c r="E7761" s="221">
        <v>125.24</v>
      </c>
      <c r="F7761" s="221">
        <v>24.45</v>
      </c>
      <c r="G7761" s="221">
        <v>6.99</v>
      </c>
      <c r="H7761" s="222">
        <v>1611.19</v>
      </c>
      <c r="I7761" s="222">
        <v>1440.33</v>
      </c>
      <c r="J7761" s="222">
        <v>117.92</v>
      </c>
      <c r="K7761" s="222">
        <v>52.94</v>
      </c>
      <c r="L7761" s="43">
        <v>10.283316313505233</v>
      </c>
      <c r="M7761" s="43">
        <v>11.500558926860428</v>
      </c>
      <c r="N7761" s="43">
        <v>4.8229038854805726</v>
      </c>
      <c r="O7761" s="43">
        <v>7.5736766809728175</v>
      </c>
      <c r="P7761" s="223"/>
      <c r="Q7761" s="223"/>
      <c r="R7761" s="223">
        <v>1</v>
      </c>
    </row>
    <row r="7762" spans="1:18" ht="36">
      <c r="A7762" s="219">
        <v>661</v>
      </c>
      <c r="B7762" s="216" t="s">
        <v>14286</v>
      </c>
      <c r="C7762" s="220" t="s">
        <v>14287</v>
      </c>
      <c r="D7762" s="221">
        <v>297.64</v>
      </c>
      <c r="E7762" s="221">
        <v>250.48</v>
      </c>
      <c r="F7762" s="221">
        <v>28.93</v>
      </c>
      <c r="G7762" s="221">
        <v>18.23</v>
      </c>
      <c r="H7762" s="222">
        <v>3148.58</v>
      </c>
      <c r="I7762" s="222">
        <v>2880.65</v>
      </c>
      <c r="J7762" s="222">
        <v>139.15</v>
      </c>
      <c r="K7762" s="222">
        <v>128.78</v>
      </c>
      <c r="L7762" s="43">
        <v>10.578484074721139</v>
      </c>
      <c r="M7762" s="43">
        <v>11.500519003513256</v>
      </c>
      <c r="N7762" s="43">
        <v>4.8098859315589353</v>
      </c>
      <c r="O7762" s="43">
        <v>7.0641799232035103</v>
      </c>
      <c r="P7762" s="223"/>
      <c r="Q7762" s="223"/>
      <c r="R7762" s="223">
        <v>1</v>
      </c>
    </row>
    <row r="7763" spans="1:18" ht="36">
      <c r="A7763" s="219">
        <v>662</v>
      </c>
      <c r="B7763" s="216" t="s">
        <v>14288</v>
      </c>
      <c r="C7763" s="220" t="s">
        <v>14289</v>
      </c>
      <c r="D7763" s="221">
        <v>328.11</v>
      </c>
      <c r="E7763" s="221">
        <v>250.48</v>
      </c>
      <c r="F7763" s="221">
        <v>51.53</v>
      </c>
      <c r="G7763" s="221">
        <v>26.1</v>
      </c>
      <c r="H7763" s="222">
        <v>3309.52</v>
      </c>
      <c r="I7763" s="222">
        <v>2880.65</v>
      </c>
      <c r="J7763" s="222">
        <v>257.73</v>
      </c>
      <c r="K7763" s="222">
        <v>171.14</v>
      </c>
      <c r="L7763" s="43">
        <v>10.086617292981012</v>
      </c>
      <c r="M7763" s="43">
        <v>11.500519003513256</v>
      </c>
      <c r="N7763" s="43">
        <v>5.0015524936929943</v>
      </c>
      <c r="O7763" s="43">
        <v>6.5570881226053634</v>
      </c>
      <c r="P7763" s="223"/>
      <c r="Q7763" s="223"/>
      <c r="R7763" s="223">
        <v>1</v>
      </c>
    </row>
    <row r="7764" spans="1:18" ht="36">
      <c r="A7764" s="219">
        <v>663</v>
      </c>
      <c r="B7764" s="216" t="s">
        <v>14290</v>
      </c>
      <c r="C7764" s="220" t="s">
        <v>14291</v>
      </c>
      <c r="D7764" s="221">
        <v>363.27</v>
      </c>
      <c r="E7764" s="221">
        <v>250.48</v>
      </c>
      <c r="F7764" s="221">
        <v>83.85</v>
      </c>
      <c r="G7764" s="221">
        <v>28.94</v>
      </c>
      <c r="H7764" s="222">
        <v>3492.69</v>
      </c>
      <c r="I7764" s="222">
        <v>2880.65</v>
      </c>
      <c r="J7764" s="222">
        <v>427.14</v>
      </c>
      <c r="K7764" s="222">
        <v>184.9</v>
      </c>
      <c r="L7764" s="43">
        <v>9.6145841935750269</v>
      </c>
      <c r="M7764" s="43">
        <v>11.500519003513256</v>
      </c>
      <c r="N7764" s="43">
        <v>5.0940966010733453</v>
      </c>
      <c r="O7764" s="43">
        <v>6.3890808569454043</v>
      </c>
      <c r="P7764" s="223"/>
      <c r="Q7764" s="223"/>
      <c r="R7764" s="223">
        <v>1</v>
      </c>
    </row>
    <row r="7765" spans="1:18" ht="36">
      <c r="A7765" s="219">
        <v>664</v>
      </c>
      <c r="B7765" s="216" t="s">
        <v>14292</v>
      </c>
      <c r="C7765" s="220" t="s">
        <v>14293</v>
      </c>
      <c r="D7765" s="221">
        <v>401.36</v>
      </c>
      <c r="E7765" s="221">
        <v>250.48</v>
      </c>
      <c r="F7765" s="221">
        <v>118.09</v>
      </c>
      <c r="G7765" s="221">
        <v>32.79</v>
      </c>
      <c r="H7765" s="222">
        <v>3692.62</v>
      </c>
      <c r="I7765" s="222">
        <v>2880.65</v>
      </c>
      <c r="J7765" s="222">
        <v>606.25</v>
      </c>
      <c r="K7765" s="222">
        <v>205.72</v>
      </c>
      <c r="L7765" s="43">
        <v>9.200269085110623</v>
      </c>
      <c r="M7765" s="43">
        <v>11.500519003513256</v>
      </c>
      <c r="N7765" s="43">
        <v>5.1337962570920483</v>
      </c>
      <c r="O7765" s="43">
        <v>6.2738639829216227</v>
      </c>
      <c r="P7765" s="223"/>
      <c r="Q7765" s="223"/>
      <c r="R7765" s="223">
        <v>1</v>
      </c>
    </row>
    <row r="7766" spans="1:18" ht="36">
      <c r="A7766" s="219">
        <v>665</v>
      </c>
      <c r="B7766" s="216" t="s">
        <v>14294</v>
      </c>
      <c r="C7766" s="220" t="s">
        <v>14295</v>
      </c>
      <c r="D7766" s="221">
        <v>616.25</v>
      </c>
      <c r="E7766" s="221">
        <v>388.36</v>
      </c>
      <c r="F7766" s="221">
        <v>171.61</v>
      </c>
      <c r="G7766" s="221">
        <v>56.28</v>
      </c>
      <c r="H7766" s="222">
        <v>5705.37</v>
      </c>
      <c r="I7766" s="222">
        <v>4466.33</v>
      </c>
      <c r="J7766" s="222">
        <v>892.38</v>
      </c>
      <c r="K7766" s="222">
        <v>346.66</v>
      </c>
      <c r="L7766" s="43">
        <v>9.2582068965517248</v>
      </c>
      <c r="M7766" s="43">
        <v>11.500489236790607</v>
      </c>
      <c r="N7766" s="43">
        <v>5.200046617329992</v>
      </c>
      <c r="O7766" s="43">
        <v>6.1595593461265103</v>
      </c>
      <c r="P7766" s="223"/>
      <c r="Q7766" s="223"/>
      <c r="R7766" s="223">
        <v>1</v>
      </c>
    </row>
    <row r="7767" spans="1:18" ht="12.75" customHeight="1">
      <c r="A7767" s="628" t="s">
        <v>14296</v>
      </c>
      <c r="B7767" s="629"/>
      <c r="C7767" s="629"/>
      <c r="D7767" s="629"/>
      <c r="E7767" s="629"/>
      <c r="F7767" s="629"/>
      <c r="G7767" s="629"/>
      <c r="H7767" s="629"/>
      <c r="I7767" s="629"/>
      <c r="J7767" s="629"/>
      <c r="K7767" s="629"/>
      <c r="L7767" s="629"/>
      <c r="M7767" s="629"/>
      <c r="N7767" s="629"/>
      <c r="O7767" s="629"/>
      <c r="P7767" s="629"/>
      <c r="Q7767" s="629"/>
      <c r="R7767" s="629"/>
    </row>
    <row r="7768" spans="1:18" ht="36">
      <c r="A7768" s="219">
        <v>666</v>
      </c>
      <c r="B7768" s="216" t="s">
        <v>14297</v>
      </c>
      <c r="C7768" s="220" t="s">
        <v>14298</v>
      </c>
      <c r="D7768" s="221">
        <v>581.62</v>
      </c>
      <c r="E7768" s="221">
        <v>513.6</v>
      </c>
      <c r="F7768" s="221">
        <v>47.61</v>
      </c>
      <c r="G7768" s="221">
        <v>20.41</v>
      </c>
      <c r="H7768" s="222">
        <v>6324.78</v>
      </c>
      <c r="I7768" s="222">
        <v>5906.66</v>
      </c>
      <c r="J7768" s="222">
        <v>247.53</v>
      </c>
      <c r="K7768" s="222">
        <v>170.59</v>
      </c>
      <c r="L7768" s="43">
        <v>10.874419724218562</v>
      </c>
      <c r="M7768" s="43">
        <v>11.500506230529595</v>
      </c>
      <c r="N7768" s="43">
        <v>5.1991178323881542</v>
      </c>
      <c r="O7768" s="43">
        <v>8.3581577658010779</v>
      </c>
      <c r="P7768" s="223"/>
      <c r="Q7768" s="223"/>
      <c r="R7768" s="223">
        <v>2</v>
      </c>
    </row>
    <row r="7769" spans="1:18" ht="36">
      <c r="A7769" s="219">
        <v>667</v>
      </c>
      <c r="B7769" s="216" t="s">
        <v>14299</v>
      </c>
      <c r="C7769" s="220" t="s">
        <v>14300</v>
      </c>
      <c r="D7769" s="221">
        <v>914.11</v>
      </c>
      <c r="E7769" s="221">
        <v>776.72</v>
      </c>
      <c r="F7769" s="221">
        <v>75.52</v>
      </c>
      <c r="G7769" s="221">
        <v>61.87</v>
      </c>
      <c r="H7769" s="222">
        <v>9742.51</v>
      </c>
      <c r="I7769" s="222">
        <v>8932.66</v>
      </c>
      <c r="J7769" s="222">
        <v>389.59</v>
      </c>
      <c r="K7769" s="222">
        <v>420.26</v>
      </c>
      <c r="L7769" s="43">
        <v>10.65791863123694</v>
      </c>
      <c r="M7769" s="43">
        <v>11.500489236790607</v>
      </c>
      <c r="N7769" s="43">
        <v>5.1587658898305087</v>
      </c>
      <c r="O7769" s="43">
        <v>6.7926297074511073</v>
      </c>
      <c r="P7769" s="223"/>
      <c r="Q7769" s="223"/>
      <c r="R7769" s="223">
        <v>2</v>
      </c>
    </row>
    <row r="7770" spans="1:18" ht="36">
      <c r="A7770" s="219">
        <v>668</v>
      </c>
      <c r="B7770" s="216" t="s">
        <v>14301</v>
      </c>
      <c r="C7770" s="220" t="s">
        <v>14302</v>
      </c>
      <c r="D7770" s="221">
        <v>943.97</v>
      </c>
      <c r="E7770" s="221">
        <v>776.72</v>
      </c>
      <c r="F7770" s="221">
        <v>98.43</v>
      </c>
      <c r="G7770" s="221">
        <v>68.819999999999993</v>
      </c>
      <c r="H7770" s="222">
        <v>9895.68</v>
      </c>
      <c r="I7770" s="222">
        <v>8932.66</v>
      </c>
      <c r="J7770" s="222">
        <v>506.76</v>
      </c>
      <c r="K7770" s="222">
        <v>456.26</v>
      </c>
      <c r="L7770" s="43">
        <v>10.483045012023688</v>
      </c>
      <c r="M7770" s="43">
        <v>11.500489236790607</v>
      </c>
      <c r="N7770" s="43">
        <v>5.1484303565985972</v>
      </c>
      <c r="O7770" s="43">
        <v>6.629758791049114</v>
      </c>
      <c r="P7770" s="223"/>
      <c r="Q7770" s="223"/>
      <c r="R7770" s="223">
        <v>2</v>
      </c>
    </row>
    <row r="7771" spans="1:18" ht="36">
      <c r="A7771" s="219">
        <v>669</v>
      </c>
      <c r="B7771" s="216" t="s">
        <v>14303</v>
      </c>
      <c r="C7771" s="220" t="s">
        <v>14304</v>
      </c>
      <c r="D7771" s="221">
        <v>1158.58</v>
      </c>
      <c r="E7771" s="221">
        <v>901.97</v>
      </c>
      <c r="F7771" s="221">
        <v>167.27</v>
      </c>
      <c r="G7771" s="221">
        <v>89.34</v>
      </c>
      <c r="H7771" s="222">
        <v>11817.96</v>
      </c>
      <c r="I7771" s="222">
        <v>10372.99</v>
      </c>
      <c r="J7771" s="222">
        <v>870.32</v>
      </c>
      <c r="K7771" s="222">
        <v>574.65</v>
      </c>
      <c r="L7771" s="43">
        <v>10.200383227744307</v>
      </c>
      <c r="M7771" s="43">
        <v>11.500371409248643</v>
      </c>
      <c r="N7771" s="43">
        <v>5.2030848329048842</v>
      </c>
      <c r="O7771" s="43">
        <v>6.43216924110141</v>
      </c>
      <c r="P7771" s="223"/>
      <c r="Q7771" s="223"/>
      <c r="R7771" s="223">
        <v>2</v>
      </c>
    </row>
    <row r="7772" spans="1:18" ht="36">
      <c r="A7772" s="219">
        <v>670</v>
      </c>
      <c r="B7772" s="216" t="s">
        <v>14305</v>
      </c>
      <c r="C7772" s="220" t="s">
        <v>14306</v>
      </c>
      <c r="D7772" s="221">
        <v>1399.58</v>
      </c>
      <c r="E7772" s="221">
        <v>1027.21</v>
      </c>
      <c r="F7772" s="221">
        <v>217.59</v>
      </c>
      <c r="G7772" s="221">
        <v>154.78</v>
      </c>
      <c r="H7772" s="222">
        <v>13883.34</v>
      </c>
      <c r="I7772" s="222">
        <v>11813.32</v>
      </c>
      <c r="J7772" s="222">
        <v>1135.68</v>
      </c>
      <c r="K7772" s="222">
        <v>934.34</v>
      </c>
      <c r="L7772" s="43">
        <v>9.9196473227682596</v>
      </c>
      <c r="M7772" s="43">
        <v>11.500394271862618</v>
      </c>
      <c r="N7772" s="43">
        <v>5.2193575072383842</v>
      </c>
      <c r="O7772" s="43">
        <v>6.0365680320454844</v>
      </c>
      <c r="P7772" s="223"/>
      <c r="Q7772" s="223"/>
      <c r="R7772" s="223">
        <v>2</v>
      </c>
    </row>
    <row r="7773" spans="1:18" ht="12.75" customHeight="1">
      <c r="A7773" s="628" t="s">
        <v>14307</v>
      </c>
      <c r="B7773" s="629"/>
      <c r="C7773" s="629"/>
      <c r="D7773" s="629"/>
      <c r="E7773" s="629"/>
      <c r="F7773" s="629"/>
      <c r="G7773" s="629"/>
      <c r="H7773" s="629"/>
      <c r="I7773" s="629"/>
      <c r="J7773" s="629"/>
      <c r="K7773" s="629"/>
      <c r="L7773" s="629"/>
      <c r="M7773" s="629"/>
      <c r="N7773" s="629"/>
      <c r="O7773" s="629"/>
      <c r="P7773" s="629"/>
      <c r="Q7773" s="629"/>
      <c r="R7773" s="629"/>
    </row>
    <row r="7774" spans="1:18" ht="36">
      <c r="A7774" s="219">
        <v>671</v>
      </c>
      <c r="B7774" s="216" t="s">
        <v>14308</v>
      </c>
      <c r="C7774" s="220" t="s">
        <v>14309</v>
      </c>
      <c r="D7774" s="221">
        <v>1486.11</v>
      </c>
      <c r="E7774" s="221">
        <v>1252.4100000000001</v>
      </c>
      <c r="F7774" s="221">
        <v>153.44</v>
      </c>
      <c r="G7774" s="221">
        <v>80.260000000000005</v>
      </c>
      <c r="H7774" s="222">
        <v>15730.08</v>
      </c>
      <c r="I7774" s="222">
        <v>14403.26</v>
      </c>
      <c r="J7774" s="222">
        <v>743.42</v>
      </c>
      <c r="K7774" s="222">
        <v>583.4</v>
      </c>
      <c r="L7774" s="43">
        <v>10.584734642792258</v>
      </c>
      <c r="M7774" s="43">
        <v>11.500435161009573</v>
      </c>
      <c r="N7774" s="43">
        <v>4.845020855057351</v>
      </c>
      <c r="O7774" s="43">
        <v>7.2688761525043599</v>
      </c>
      <c r="P7774" s="223"/>
      <c r="Q7774" s="223"/>
      <c r="R7774" s="223">
        <v>3</v>
      </c>
    </row>
    <row r="7775" spans="1:18" ht="36">
      <c r="A7775" s="219">
        <v>672</v>
      </c>
      <c r="B7775" s="216" t="s">
        <v>14310</v>
      </c>
      <c r="C7775" s="220" t="s">
        <v>14311</v>
      </c>
      <c r="D7775" s="221">
        <v>1655.13</v>
      </c>
      <c r="E7775" s="221">
        <v>1252.4100000000001</v>
      </c>
      <c r="F7775" s="221">
        <v>237.93</v>
      </c>
      <c r="G7775" s="221">
        <v>164.79</v>
      </c>
      <c r="H7775" s="222">
        <v>16621.3</v>
      </c>
      <c r="I7775" s="222">
        <v>14403.26</v>
      </c>
      <c r="J7775" s="222">
        <v>1179.52</v>
      </c>
      <c r="K7775" s="222">
        <v>1038.52</v>
      </c>
      <c r="L7775" s="43">
        <v>10.042292750418396</v>
      </c>
      <c r="M7775" s="43">
        <v>11.500435161009573</v>
      </c>
      <c r="N7775" s="43">
        <v>4.9574244525700832</v>
      </c>
      <c r="O7775" s="43">
        <v>6.3020814369803997</v>
      </c>
      <c r="P7775" s="223"/>
      <c r="Q7775" s="223"/>
      <c r="R7775" s="223">
        <v>3</v>
      </c>
    </row>
    <row r="7776" spans="1:18" ht="36">
      <c r="A7776" s="219">
        <v>673</v>
      </c>
      <c r="B7776" s="216" t="s">
        <v>14312</v>
      </c>
      <c r="C7776" s="220" t="s">
        <v>14313</v>
      </c>
      <c r="D7776" s="221">
        <v>3121.65</v>
      </c>
      <c r="E7776" s="221">
        <v>2504.8200000000002</v>
      </c>
      <c r="F7776" s="221">
        <v>327.48</v>
      </c>
      <c r="G7776" s="221">
        <v>289.35000000000002</v>
      </c>
      <c r="H7776" s="222">
        <v>32286.25</v>
      </c>
      <c r="I7776" s="222">
        <v>28806.52</v>
      </c>
      <c r="J7776" s="222">
        <v>1630.82</v>
      </c>
      <c r="K7776" s="222">
        <v>1848.91</v>
      </c>
      <c r="L7776" s="43">
        <v>10.342687360850832</v>
      </c>
      <c r="M7776" s="43">
        <v>11.500435161009573</v>
      </c>
      <c r="N7776" s="43">
        <v>4.9799071699035053</v>
      </c>
      <c r="O7776" s="43">
        <v>6.3898738551926728</v>
      </c>
      <c r="P7776" s="223"/>
      <c r="Q7776" s="223"/>
      <c r="R7776" s="223">
        <v>3</v>
      </c>
    </row>
    <row r="7777" spans="1:18" ht="36">
      <c r="A7777" s="219">
        <v>674</v>
      </c>
      <c r="B7777" s="216" t="s">
        <v>14314</v>
      </c>
      <c r="C7777" s="220" t="s">
        <v>14315</v>
      </c>
      <c r="D7777" s="221">
        <v>3231.91</v>
      </c>
      <c r="E7777" s="221">
        <v>2504.8200000000002</v>
      </c>
      <c r="F7777" s="221">
        <v>437.74</v>
      </c>
      <c r="G7777" s="221">
        <v>289.35000000000002</v>
      </c>
      <c r="H7777" s="222">
        <v>32855.64</v>
      </c>
      <c r="I7777" s="222">
        <v>28806.52</v>
      </c>
      <c r="J7777" s="222">
        <v>2200.21</v>
      </c>
      <c r="K7777" s="222">
        <v>1848.91</v>
      </c>
      <c r="L7777" s="43">
        <v>10.166013286261066</v>
      </c>
      <c r="M7777" s="43">
        <v>11.500435161009573</v>
      </c>
      <c r="N7777" s="43">
        <v>5.026294147210673</v>
      </c>
      <c r="O7777" s="43">
        <v>6.3898738551926728</v>
      </c>
      <c r="P7777" s="223"/>
      <c r="Q7777" s="223"/>
      <c r="R7777" s="223">
        <v>3</v>
      </c>
    </row>
    <row r="7778" spans="1:18" ht="36">
      <c r="A7778" s="219">
        <v>675</v>
      </c>
      <c r="B7778" s="216" t="s">
        <v>14316</v>
      </c>
      <c r="C7778" s="220" t="s">
        <v>14317</v>
      </c>
      <c r="D7778" s="221">
        <v>3850.05</v>
      </c>
      <c r="E7778" s="221">
        <v>2504.8200000000002</v>
      </c>
      <c r="F7778" s="221">
        <v>780.01</v>
      </c>
      <c r="G7778" s="221">
        <v>565.22</v>
      </c>
      <c r="H7778" s="222">
        <v>36078.370000000003</v>
      </c>
      <c r="I7778" s="222">
        <v>28806.52</v>
      </c>
      <c r="J7778" s="222">
        <v>3960.44</v>
      </c>
      <c r="K7778" s="222">
        <v>3311.41</v>
      </c>
      <c r="L7778" s="43">
        <v>9.3708834950195463</v>
      </c>
      <c r="M7778" s="43">
        <v>11.500435161009573</v>
      </c>
      <c r="N7778" s="43">
        <v>5.0774220843322526</v>
      </c>
      <c r="O7778" s="43">
        <v>5.8586214217472836</v>
      </c>
      <c r="P7778" s="223"/>
      <c r="Q7778" s="223"/>
      <c r="R7778" s="223">
        <v>3</v>
      </c>
    </row>
    <row r="7779" spans="1:18" ht="36">
      <c r="A7779" s="219">
        <v>676</v>
      </c>
      <c r="B7779" s="216" t="s">
        <v>14318</v>
      </c>
      <c r="C7779" s="220" t="s">
        <v>14319</v>
      </c>
      <c r="D7779" s="221">
        <v>6640.48</v>
      </c>
      <c r="E7779" s="221">
        <v>3883.62</v>
      </c>
      <c r="F7779" s="221">
        <v>2000.17</v>
      </c>
      <c r="G7779" s="221">
        <v>756.69</v>
      </c>
      <c r="H7779" s="222">
        <v>59501.91</v>
      </c>
      <c r="I7779" s="222">
        <v>44663.32</v>
      </c>
      <c r="J7779" s="222">
        <v>10360.66</v>
      </c>
      <c r="K7779" s="222">
        <v>4477.93</v>
      </c>
      <c r="L7779" s="43">
        <v>8.9604832783172306</v>
      </c>
      <c r="M7779" s="43">
        <v>11.500435161009573</v>
      </c>
      <c r="N7779" s="43">
        <v>5.1798897093747032</v>
      </c>
      <c r="O7779" s="43">
        <v>5.9177866761817919</v>
      </c>
      <c r="P7779" s="223"/>
      <c r="Q7779" s="223"/>
      <c r="R7779" s="223">
        <v>3</v>
      </c>
    </row>
    <row r="7780" spans="1:18" ht="36">
      <c r="A7780" s="219">
        <v>677</v>
      </c>
      <c r="B7780" s="216" t="s">
        <v>14320</v>
      </c>
      <c r="C7780" s="220" t="s">
        <v>14321</v>
      </c>
      <c r="D7780" s="221">
        <v>10387.709999999999</v>
      </c>
      <c r="E7780" s="221">
        <v>5136.03</v>
      </c>
      <c r="F7780" s="221">
        <v>4351.42</v>
      </c>
      <c r="G7780" s="221">
        <v>900.26</v>
      </c>
      <c r="H7780" s="222">
        <v>87249.16</v>
      </c>
      <c r="I7780" s="222">
        <v>59066.58</v>
      </c>
      <c r="J7780" s="222">
        <v>22776.1</v>
      </c>
      <c r="K7780" s="222">
        <v>5406.48</v>
      </c>
      <c r="L7780" s="43">
        <v>8.3992679811045949</v>
      </c>
      <c r="M7780" s="43">
        <v>11.500435161009575</v>
      </c>
      <c r="N7780" s="43">
        <v>5.2341764297631572</v>
      </c>
      <c r="O7780" s="43">
        <v>6.0054650878635059</v>
      </c>
      <c r="P7780" s="223"/>
      <c r="Q7780" s="223"/>
      <c r="R7780" s="223">
        <v>3</v>
      </c>
    </row>
    <row r="7781" spans="1:18" ht="36">
      <c r="A7781" s="219">
        <v>678</v>
      </c>
      <c r="B7781" s="216" t="s">
        <v>14322</v>
      </c>
      <c r="C7781" s="220" t="s">
        <v>14323</v>
      </c>
      <c r="D7781" s="221">
        <v>14625.25</v>
      </c>
      <c r="E7781" s="221">
        <v>7767.24</v>
      </c>
      <c r="F7781" s="221">
        <v>4148.5600000000004</v>
      </c>
      <c r="G7781" s="221">
        <v>2709.45</v>
      </c>
      <c r="H7781" s="222">
        <v>126130.94</v>
      </c>
      <c r="I7781" s="222">
        <v>89326.64</v>
      </c>
      <c r="J7781" s="222">
        <v>21354.53</v>
      </c>
      <c r="K7781" s="222">
        <v>15449.77</v>
      </c>
      <c r="L7781" s="43">
        <v>8.6241903557204154</v>
      </c>
      <c r="M7781" s="43">
        <v>11.500435161009573</v>
      </c>
      <c r="N7781" s="43">
        <v>5.1474559847272303</v>
      </c>
      <c r="O7781" s="43">
        <v>5.7021794091051694</v>
      </c>
      <c r="P7781" s="223"/>
      <c r="Q7781" s="223"/>
      <c r="R7781" s="223">
        <v>3</v>
      </c>
    </row>
    <row r="7782" spans="1:18" ht="36">
      <c r="A7782" s="219">
        <v>679</v>
      </c>
      <c r="B7782" s="216" t="s">
        <v>14324</v>
      </c>
      <c r="C7782" s="220" t="s">
        <v>14325</v>
      </c>
      <c r="D7782" s="221">
        <v>20472.349999999999</v>
      </c>
      <c r="E7782" s="221">
        <v>10272.06</v>
      </c>
      <c r="F7782" s="221">
        <v>6539.28</v>
      </c>
      <c r="G7782" s="221">
        <v>3661.01</v>
      </c>
      <c r="H7782" s="222">
        <v>172865.61</v>
      </c>
      <c r="I7782" s="222">
        <v>118133.16</v>
      </c>
      <c r="J7782" s="222">
        <v>33890.29</v>
      </c>
      <c r="K7782" s="222">
        <v>20842.16</v>
      </c>
      <c r="L7782" s="43">
        <v>8.4438576909832044</v>
      </c>
      <c r="M7782" s="43">
        <v>11.500435161009575</v>
      </c>
      <c r="N7782" s="43">
        <v>5.1825720874469363</v>
      </c>
      <c r="O7782" s="43">
        <v>5.6930082135804048</v>
      </c>
      <c r="P7782" s="223"/>
      <c r="Q7782" s="223"/>
      <c r="R7782" s="223">
        <v>3</v>
      </c>
    </row>
    <row r="7783" spans="1:18" ht="12.75" customHeight="1">
      <c r="A7783" s="628" t="s">
        <v>14326</v>
      </c>
      <c r="B7783" s="629"/>
      <c r="C7783" s="629"/>
      <c r="D7783" s="629"/>
      <c r="E7783" s="629"/>
      <c r="F7783" s="629"/>
      <c r="G7783" s="629"/>
      <c r="H7783" s="629"/>
      <c r="I7783" s="629"/>
      <c r="J7783" s="629"/>
      <c r="K7783" s="629"/>
      <c r="L7783" s="629"/>
      <c r="M7783" s="629"/>
      <c r="N7783" s="629"/>
      <c r="O7783" s="629"/>
      <c r="P7783" s="629"/>
      <c r="Q7783" s="629"/>
      <c r="R7783" s="629"/>
    </row>
    <row r="7784" spans="1:18" ht="36">
      <c r="A7784" s="219">
        <v>680</v>
      </c>
      <c r="B7784" s="216" t="s">
        <v>14327</v>
      </c>
      <c r="C7784" s="220" t="s">
        <v>14328</v>
      </c>
      <c r="D7784" s="221">
        <v>149.11000000000001</v>
      </c>
      <c r="E7784" s="221">
        <v>125.24</v>
      </c>
      <c r="F7784" s="221">
        <v>15.86</v>
      </c>
      <c r="G7784" s="221">
        <v>8.01</v>
      </c>
      <c r="H7784" s="222">
        <v>1576.01</v>
      </c>
      <c r="I7784" s="222">
        <v>1440.33</v>
      </c>
      <c r="J7784" s="222">
        <v>77.44</v>
      </c>
      <c r="K7784" s="222">
        <v>58.24</v>
      </c>
      <c r="L7784" s="43">
        <v>10.569445375896988</v>
      </c>
      <c r="M7784" s="43">
        <v>11.500558926860428</v>
      </c>
      <c r="N7784" s="43">
        <v>4.8827238335435057</v>
      </c>
      <c r="O7784" s="43">
        <v>7.2709113607990021</v>
      </c>
      <c r="P7784" s="223"/>
      <c r="Q7784" s="223"/>
      <c r="R7784" s="223">
        <v>4</v>
      </c>
    </row>
    <row r="7785" spans="1:18" ht="36">
      <c r="A7785" s="219">
        <v>681</v>
      </c>
      <c r="B7785" s="216" t="s">
        <v>14329</v>
      </c>
      <c r="C7785" s="220" t="s">
        <v>14330</v>
      </c>
      <c r="D7785" s="221">
        <v>296.45</v>
      </c>
      <c r="E7785" s="221">
        <v>250.48</v>
      </c>
      <c r="F7785" s="221">
        <v>24.02</v>
      </c>
      <c r="G7785" s="221">
        <v>21.95</v>
      </c>
      <c r="H7785" s="222">
        <v>3148.8</v>
      </c>
      <c r="I7785" s="222">
        <v>2880.65</v>
      </c>
      <c r="J7785" s="222">
        <v>119.47</v>
      </c>
      <c r="K7785" s="222">
        <v>148.68</v>
      </c>
      <c r="L7785" s="43">
        <v>10.621689998313377</v>
      </c>
      <c r="M7785" s="43">
        <v>11.500519003513256</v>
      </c>
      <c r="N7785" s="43">
        <v>4.9737718567860121</v>
      </c>
      <c r="O7785" s="43">
        <v>6.773576309794989</v>
      </c>
      <c r="P7785" s="223"/>
      <c r="Q7785" s="223"/>
      <c r="R7785" s="223">
        <v>4</v>
      </c>
    </row>
    <row r="7786" spans="1:18" ht="36">
      <c r="A7786" s="219">
        <v>682</v>
      </c>
      <c r="B7786" s="216" t="s">
        <v>14331</v>
      </c>
      <c r="C7786" s="220" t="s">
        <v>14332</v>
      </c>
      <c r="D7786" s="221">
        <v>320.95</v>
      </c>
      <c r="E7786" s="221">
        <v>250.48</v>
      </c>
      <c r="F7786" s="221">
        <v>41.53</v>
      </c>
      <c r="G7786" s="221">
        <v>28.94</v>
      </c>
      <c r="H7786" s="222">
        <v>3273.33</v>
      </c>
      <c r="I7786" s="222">
        <v>2880.65</v>
      </c>
      <c r="J7786" s="222">
        <v>207.78</v>
      </c>
      <c r="K7786" s="222">
        <v>184.9</v>
      </c>
      <c r="L7786" s="43">
        <v>10.198878329957937</v>
      </c>
      <c r="M7786" s="43">
        <v>11.500519003513256</v>
      </c>
      <c r="N7786" s="43">
        <v>5.0031302672766671</v>
      </c>
      <c r="O7786" s="43">
        <v>6.3890808569454043</v>
      </c>
      <c r="P7786" s="223"/>
      <c r="Q7786" s="223"/>
      <c r="R7786" s="223">
        <v>4</v>
      </c>
    </row>
    <row r="7787" spans="1:18" ht="36">
      <c r="A7787" s="219">
        <v>683</v>
      </c>
      <c r="B7787" s="216" t="s">
        <v>14333</v>
      </c>
      <c r="C7787" s="220" t="s">
        <v>14334</v>
      </c>
      <c r="D7787" s="221">
        <v>380.62</v>
      </c>
      <c r="E7787" s="221">
        <v>250.48</v>
      </c>
      <c r="F7787" s="221">
        <v>88.52</v>
      </c>
      <c r="G7787" s="221">
        <v>41.62</v>
      </c>
      <c r="H7787" s="222">
        <v>3579.04</v>
      </c>
      <c r="I7787" s="222">
        <v>2880.65</v>
      </c>
      <c r="J7787" s="222">
        <v>447.74</v>
      </c>
      <c r="K7787" s="222">
        <v>250.65</v>
      </c>
      <c r="L7787" s="43">
        <v>9.4031842782828008</v>
      </c>
      <c r="M7787" s="43">
        <v>11.500519003513256</v>
      </c>
      <c r="N7787" s="43">
        <v>5.0580659737912343</v>
      </c>
      <c r="O7787" s="43">
        <v>6.0223450264296012</v>
      </c>
      <c r="P7787" s="223"/>
      <c r="Q7787" s="223"/>
      <c r="R7787" s="223">
        <v>4</v>
      </c>
    </row>
    <row r="7788" spans="1:18" ht="12.75" customHeight="1">
      <c r="A7788" s="628" t="s">
        <v>14335</v>
      </c>
      <c r="B7788" s="629"/>
      <c r="C7788" s="629"/>
      <c r="D7788" s="629"/>
      <c r="E7788" s="629"/>
      <c r="F7788" s="629"/>
      <c r="G7788" s="629"/>
      <c r="H7788" s="629"/>
      <c r="I7788" s="629"/>
      <c r="J7788" s="629"/>
      <c r="K7788" s="629"/>
      <c r="L7788" s="629"/>
      <c r="M7788" s="629"/>
      <c r="N7788" s="629"/>
      <c r="O7788" s="629"/>
      <c r="P7788" s="629"/>
      <c r="Q7788" s="629"/>
      <c r="R7788" s="629"/>
    </row>
    <row r="7789" spans="1:18" ht="36">
      <c r="A7789" s="219">
        <v>684</v>
      </c>
      <c r="B7789" s="216" t="s">
        <v>14336</v>
      </c>
      <c r="C7789" s="220" t="s">
        <v>14337</v>
      </c>
      <c r="D7789" s="221">
        <v>164.23</v>
      </c>
      <c r="E7789" s="221">
        <v>125.24</v>
      </c>
      <c r="F7789" s="221">
        <v>35.159999999999997</v>
      </c>
      <c r="G7789" s="221">
        <v>3.83</v>
      </c>
      <c r="H7789" s="222">
        <v>1650.37</v>
      </c>
      <c r="I7789" s="222">
        <v>1440.33</v>
      </c>
      <c r="J7789" s="222">
        <v>174.39</v>
      </c>
      <c r="K7789" s="222">
        <v>35.65</v>
      </c>
      <c r="L7789" s="43">
        <v>10.049138403458564</v>
      </c>
      <c r="M7789" s="43">
        <v>11.500558926860428</v>
      </c>
      <c r="N7789" s="43">
        <v>4.9598976109215016</v>
      </c>
      <c r="O7789" s="43">
        <v>9.3080939947780674</v>
      </c>
      <c r="P7789" s="223"/>
      <c r="Q7789" s="223"/>
      <c r="R7789" s="223">
        <v>5</v>
      </c>
    </row>
    <row r="7790" spans="1:18" ht="36">
      <c r="A7790" s="219">
        <v>685</v>
      </c>
      <c r="B7790" s="216" t="s">
        <v>14338</v>
      </c>
      <c r="C7790" s="220" t="s">
        <v>14339</v>
      </c>
      <c r="D7790" s="221">
        <v>294.64999999999998</v>
      </c>
      <c r="E7790" s="221">
        <v>250.48</v>
      </c>
      <c r="F7790" s="221">
        <v>37.83</v>
      </c>
      <c r="G7790" s="221">
        <v>6.34</v>
      </c>
      <c r="H7790" s="222">
        <v>3130.81</v>
      </c>
      <c r="I7790" s="222">
        <v>2880.65</v>
      </c>
      <c r="J7790" s="222">
        <v>185.64</v>
      </c>
      <c r="K7790" s="222">
        <v>64.52</v>
      </c>
      <c r="L7790" s="43">
        <v>10.625521805531987</v>
      </c>
      <c r="M7790" s="43">
        <v>11.500519003513256</v>
      </c>
      <c r="N7790" s="43">
        <v>4.9072164948453603</v>
      </c>
      <c r="O7790" s="43">
        <v>10.176656151419557</v>
      </c>
      <c r="P7790" s="223"/>
      <c r="Q7790" s="223"/>
      <c r="R7790" s="223">
        <v>5</v>
      </c>
    </row>
    <row r="7791" spans="1:18" ht="36">
      <c r="A7791" s="219">
        <v>686</v>
      </c>
      <c r="B7791" s="216" t="s">
        <v>14340</v>
      </c>
      <c r="C7791" s="220" t="s">
        <v>14341</v>
      </c>
      <c r="D7791" s="221">
        <v>311.24</v>
      </c>
      <c r="E7791" s="221">
        <v>250.48</v>
      </c>
      <c r="F7791" s="221">
        <v>53.67</v>
      </c>
      <c r="G7791" s="221">
        <v>7.09</v>
      </c>
      <c r="H7791" s="222">
        <v>3218.51</v>
      </c>
      <c r="I7791" s="222">
        <v>2880.65</v>
      </c>
      <c r="J7791" s="222">
        <v>269.45999999999998</v>
      </c>
      <c r="K7791" s="222">
        <v>68.400000000000006</v>
      </c>
      <c r="L7791" s="43">
        <v>10.340926616116182</v>
      </c>
      <c r="M7791" s="43">
        <v>11.500519003513256</v>
      </c>
      <c r="N7791" s="43">
        <v>5.0206819452207929</v>
      </c>
      <c r="O7791" s="43">
        <v>9.6473906911142464</v>
      </c>
      <c r="P7791" s="223"/>
      <c r="Q7791" s="223"/>
      <c r="R7791" s="223">
        <v>5</v>
      </c>
    </row>
    <row r="7792" spans="1:18" ht="36">
      <c r="A7792" s="219">
        <v>687</v>
      </c>
      <c r="B7792" s="216" t="s">
        <v>14342</v>
      </c>
      <c r="C7792" s="220" t="s">
        <v>14343</v>
      </c>
      <c r="D7792" s="221">
        <v>343.15</v>
      </c>
      <c r="E7792" s="221">
        <v>250.48</v>
      </c>
      <c r="F7792" s="221">
        <v>78.59</v>
      </c>
      <c r="G7792" s="221">
        <v>14.08</v>
      </c>
      <c r="H7792" s="222">
        <v>3383.54</v>
      </c>
      <c r="I7792" s="222">
        <v>2880.65</v>
      </c>
      <c r="J7792" s="222">
        <v>398.27</v>
      </c>
      <c r="K7792" s="222">
        <v>104.62</v>
      </c>
      <c r="L7792" s="43">
        <v>9.8602360483753468</v>
      </c>
      <c r="M7792" s="43">
        <v>11.500519003513256</v>
      </c>
      <c r="N7792" s="43">
        <v>5.0676930907240099</v>
      </c>
      <c r="O7792" s="43">
        <v>7.4303977272727275</v>
      </c>
      <c r="P7792" s="223"/>
      <c r="Q7792" s="223"/>
      <c r="R7792" s="223">
        <v>5</v>
      </c>
    </row>
    <row r="7793" spans="1:18" ht="36">
      <c r="A7793" s="219">
        <v>688</v>
      </c>
      <c r="B7793" s="216" t="s">
        <v>14344</v>
      </c>
      <c r="C7793" s="220" t="s">
        <v>14345</v>
      </c>
      <c r="D7793" s="221">
        <v>499.7</v>
      </c>
      <c r="E7793" s="221">
        <v>388.36</v>
      </c>
      <c r="F7793" s="221">
        <v>94.5</v>
      </c>
      <c r="G7793" s="221">
        <v>16.84</v>
      </c>
      <c r="H7793" s="222">
        <v>5081</v>
      </c>
      <c r="I7793" s="222">
        <v>4466.33</v>
      </c>
      <c r="J7793" s="222">
        <v>478.31</v>
      </c>
      <c r="K7793" s="222">
        <v>136.36000000000001</v>
      </c>
      <c r="L7793" s="43">
        <v>10.16810086051631</v>
      </c>
      <c r="M7793" s="43">
        <v>11.500489236790607</v>
      </c>
      <c r="N7793" s="43">
        <v>5.0614814814814819</v>
      </c>
      <c r="O7793" s="43">
        <v>8.097387173396676</v>
      </c>
      <c r="P7793" s="223"/>
      <c r="Q7793" s="223"/>
      <c r="R7793" s="223">
        <v>5</v>
      </c>
    </row>
    <row r="7794" spans="1:18" ht="36">
      <c r="A7794" s="219">
        <v>689</v>
      </c>
      <c r="B7794" s="216" t="s">
        <v>14346</v>
      </c>
      <c r="C7794" s="220" t="s">
        <v>14347</v>
      </c>
      <c r="D7794" s="221">
        <v>529.91999999999996</v>
      </c>
      <c r="E7794" s="221">
        <v>388.36</v>
      </c>
      <c r="F7794" s="221">
        <v>111.99</v>
      </c>
      <c r="G7794" s="221">
        <v>29.57</v>
      </c>
      <c r="H7794" s="222">
        <v>5237.42</v>
      </c>
      <c r="I7794" s="222">
        <v>4466.33</v>
      </c>
      <c r="J7794" s="222">
        <v>568.76</v>
      </c>
      <c r="K7794" s="222">
        <v>202.33</v>
      </c>
      <c r="L7794" s="43">
        <v>9.8834163647343001</v>
      </c>
      <c r="M7794" s="43">
        <v>11.500489236790607</v>
      </c>
      <c r="N7794" s="43">
        <v>5.0786677381909104</v>
      </c>
      <c r="O7794" s="43">
        <v>6.8424078457896522</v>
      </c>
      <c r="P7794" s="223"/>
      <c r="Q7794" s="223"/>
      <c r="R7794" s="223">
        <v>5</v>
      </c>
    </row>
    <row r="7795" spans="1:18" ht="36">
      <c r="A7795" s="224">
        <v>690</v>
      </c>
      <c r="B7795" s="225" t="s">
        <v>14348</v>
      </c>
      <c r="C7795" s="226" t="s">
        <v>14349</v>
      </c>
      <c r="D7795" s="227">
        <v>770.94</v>
      </c>
      <c r="E7795" s="227">
        <v>388.36</v>
      </c>
      <c r="F7795" s="227">
        <v>336.54</v>
      </c>
      <c r="G7795" s="227">
        <v>46.04</v>
      </c>
      <c r="H7795" s="228">
        <v>6541.82</v>
      </c>
      <c r="I7795" s="228">
        <v>4466.33</v>
      </c>
      <c r="J7795" s="228">
        <v>1787.78</v>
      </c>
      <c r="K7795" s="228">
        <v>287.70999999999998</v>
      </c>
      <c r="L7795" s="611">
        <v>8.4855111941266497</v>
      </c>
      <c r="M7795" s="611">
        <v>11.500489236790607</v>
      </c>
      <c r="N7795" s="611">
        <v>5.3122362869198305</v>
      </c>
      <c r="O7795" s="611">
        <v>6.2491311902693303</v>
      </c>
      <c r="P7795" s="229"/>
      <c r="Q7795" s="229"/>
      <c r="R7795" s="229">
        <v>5</v>
      </c>
    </row>
    <row r="7796" spans="1:18" ht="12.75" customHeight="1">
      <c r="A7796" s="630" t="s">
        <v>14350</v>
      </c>
      <c r="B7796" s="631"/>
      <c r="C7796" s="631"/>
      <c r="D7796" s="631"/>
      <c r="E7796" s="631"/>
      <c r="F7796" s="631"/>
      <c r="G7796" s="631"/>
      <c r="H7796" s="631"/>
      <c r="I7796" s="631"/>
      <c r="J7796" s="631"/>
      <c r="K7796" s="631"/>
      <c r="L7796" s="631"/>
      <c r="M7796" s="631"/>
      <c r="N7796" s="631"/>
      <c r="O7796" s="631"/>
      <c r="P7796" s="631"/>
      <c r="Q7796" s="631"/>
      <c r="R7796" s="631"/>
    </row>
    <row r="7797" spans="1:18" ht="12.75" customHeight="1">
      <c r="A7797" s="628" t="s">
        <v>12889</v>
      </c>
      <c r="B7797" s="629"/>
      <c r="C7797" s="629"/>
      <c r="D7797" s="629"/>
      <c r="E7797" s="629"/>
      <c r="F7797" s="629"/>
      <c r="G7797" s="629"/>
      <c r="H7797" s="629"/>
      <c r="I7797" s="629"/>
      <c r="J7797" s="629"/>
      <c r="K7797" s="629"/>
      <c r="L7797" s="629"/>
      <c r="M7797" s="629"/>
      <c r="N7797" s="629"/>
      <c r="O7797" s="629"/>
      <c r="P7797" s="629"/>
      <c r="Q7797" s="629"/>
      <c r="R7797" s="629"/>
    </row>
    <row r="7798" spans="1:18" ht="12.75" customHeight="1">
      <c r="A7798" s="628" t="s">
        <v>14351</v>
      </c>
      <c r="B7798" s="629"/>
      <c r="C7798" s="629"/>
      <c r="D7798" s="629"/>
      <c r="E7798" s="629"/>
      <c r="F7798" s="629"/>
      <c r="G7798" s="629"/>
      <c r="H7798" s="629"/>
      <c r="I7798" s="629"/>
      <c r="J7798" s="629"/>
      <c r="K7798" s="629"/>
      <c r="L7798" s="629"/>
      <c r="M7798" s="629"/>
      <c r="N7798" s="629"/>
      <c r="O7798" s="629"/>
      <c r="P7798" s="629"/>
      <c r="Q7798" s="629"/>
      <c r="R7798" s="629"/>
    </row>
    <row r="7799" spans="1:18" ht="48">
      <c r="A7799" s="219">
        <v>691</v>
      </c>
      <c r="B7799" s="216" t="s">
        <v>14352</v>
      </c>
      <c r="C7799" s="220" t="s">
        <v>14353</v>
      </c>
      <c r="D7799" s="221">
        <v>178.5</v>
      </c>
      <c r="E7799" s="221">
        <v>126.39</v>
      </c>
      <c r="F7799" s="221">
        <v>49.12</v>
      </c>
      <c r="G7799" s="221">
        <v>2.99</v>
      </c>
      <c r="H7799" s="222">
        <v>1754.98</v>
      </c>
      <c r="I7799" s="222">
        <v>1453.54</v>
      </c>
      <c r="J7799" s="222">
        <v>269.45</v>
      </c>
      <c r="K7799" s="222">
        <v>31.99</v>
      </c>
      <c r="L7799" s="43">
        <v>9.8318207282913175</v>
      </c>
      <c r="M7799" s="43">
        <v>11.500435161009573</v>
      </c>
      <c r="N7799" s="43">
        <v>5.4855456026058631</v>
      </c>
      <c r="O7799" s="43">
        <v>10.698996655518393</v>
      </c>
      <c r="P7799" s="223"/>
      <c r="Q7799" s="223"/>
      <c r="R7799" s="223">
        <v>1</v>
      </c>
    </row>
    <row r="7800" spans="1:18" ht="48">
      <c r="A7800" s="219">
        <v>692</v>
      </c>
      <c r="B7800" s="216" t="s">
        <v>14354</v>
      </c>
      <c r="C7800" s="220" t="s">
        <v>14355</v>
      </c>
      <c r="D7800" s="221">
        <v>197.63</v>
      </c>
      <c r="E7800" s="221">
        <v>126.39</v>
      </c>
      <c r="F7800" s="221">
        <v>67.17</v>
      </c>
      <c r="G7800" s="221">
        <v>4.07</v>
      </c>
      <c r="H7800" s="222">
        <v>1860.17</v>
      </c>
      <c r="I7800" s="222">
        <v>1453.54</v>
      </c>
      <c r="J7800" s="222">
        <v>368.78</v>
      </c>
      <c r="K7800" s="222">
        <v>37.85</v>
      </c>
      <c r="L7800" s="43">
        <v>9.4123867833830897</v>
      </c>
      <c r="M7800" s="43">
        <v>11.500435161009573</v>
      </c>
      <c r="N7800" s="43">
        <v>5.4902486228971261</v>
      </c>
      <c r="O7800" s="43">
        <v>9.2997542997542997</v>
      </c>
      <c r="P7800" s="223"/>
      <c r="Q7800" s="223"/>
      <c r="R7800" s="223">
        <v>1</v>
      </c>
    </row>
    <row r="7801" spans="1:18" ht="48">
      <c r="A7801" s="219">
        <v>693</v>
      </c>
      <c r="B7801" s="216" t="s">
        <v>14356</v>
      </c>
      <c r="C7801" s="220" t="s">
        <v>14357</v>
      </c>
      <c r="D7801" s="221">
        <v>264.08999999999997</v>
      </c>
      <c r="E7801" s="221">
        <v>126.39</v>
      </c>
      <c r="F7801" s="221">
        <v>133.63</v>
      </c>
      <c r="G7801" s="221">
        <v>4.07</v>
      </c>
      <c r="H7801" s="222">
        <v>2219.37</v>
      </c>
      <c r="I7801" s="222">
        <v>1453.54</v>
      </c>
      <c r="J7801" s="222">
        <v>727.98</v>
      </c>
      <c r="K7801" s="222">
        <v>37.85</v>
      </c>
      <c r="L7801" s="43">
        <v>8.4038396001363171</v>
      </c>
      <c r="M7801" s="43">
        <v>11.500435161009573</v>
      </c>
      <c r="N7801" s="43">
        <v>5.4477288034124074</v>
      </c>
      <c r="O7801" s="43">
        <v>9.2997542997542997</v>
      </c>
      <c r="P7801" s="223"/>
      <c r="Q7801" s="223"/>
      <c r="R7801" s="223">
        <v>1</v>
      </c>
    </row>
    <row r="7802" spans="1:18" ht="48">
      <c r="A7802" s="219">
        <v>694</v>
      </c>
      <c r="B7802" s="216" t="s">
        <v>14358</v>
      </c>
      <c r="C7802" s="220" t="s">
        <v>14359</v>
      </c>
      <c r="D7802" s="221">
        <v>265.49</v>
      </c>
      <c r="E7802" s="221">
        <v>126.39</v>
      </c>
      <c r="F7802" s="221">
        <v>134.1</v>
      </c>
      <c r="G7802" s="221">
        <v>5</v>
      </c>
      <c r="H7802" s="222">
        <v>2233.92</v>
      </c>
      <c r="I7802" s="222">
        <v>1453.54</v>
      </c>
      <c r="J7802" s="222">
        <v>737.23</v>
      </c>
      <c r="K7802" s="222">
        <v>43.15</v>
      </c>
      <c r="L7802" s="43">
        <v>8.4143282232852457</v>
      </c>
      <c r="M7802" s="43">
        <v>11.500435161009573</v>
      </c>
      <c r="N7802" s="43">
        <v>5.4976137211036544</v>
      </c>
      <c r="O7802" s="43">
        <v>8.629999999999999</v>
      </c>
      <c r="P7802" s="223"/>
      <c r="Q7802" s="223"/>
      <c r="R7802" s="223">
        <v>1</v>
      </c>
    </row>
    <row r="7803" spans="1:18" ht="12.75" customHeight="1">
      <c r="A7803" s="628" t="s">
        <v>14360</v>
      </c>
      <c r="B7803" s="629"/>
      <c r="C7803" s="629"/>
      <c r="D7803" s="629"/>
      <c r="E7803" s="629"/>
      <c r="F7803" s="629"/>
      <c r="G7803" s="629"/>
      <c r="H7803" s="629"/>
      <c r="I7803" s="629"/>
      <c r="J7803" s="629"/>
      <c r="K7803" s="629"/>
      <c r="L7803" s="629"/>
      <c r="M7803" s="629"/>
      <c r="N7803" s="629"/>
      <c r="O7803" s="629"/>
      <c r="P7803" s="629"/>
      <c r="Q7803" s="629"/>
      <c r="R7803" s="629"/>
    </row>
    <row r="7804" spans="1:18" ht="72">
      <c r="A7804" s="219">
        <v>695</v>
      </c>
      <c r="B7804" s="216" t="s">
        <v>14361</v>
      </c>
      <c r="C7804" s="220" t="s">
        <v>14362</v>
      </c>
      <c r="D7804" s="221">
        <v>3059.76</v>
      </c>
      <c r="E7804" s="221">
        <v>544.63</v>
      </c>
      <c r="F7804" s="221">
        <v>2501.38</v>
      </c>
      <c r="G7804" s="221">
        <v>13.75</v>
      </c>
      <c r="H7804" s="222">
        <v>20087.13</v>
      </c>
      <c r="I7804" s="222">
        <v>6263.44</v>
      </c>
      <c r="J7804" s="222">
        <v>13680.24</v>
      </c>
      <c r="K7804" s="222">
        <v>143.44999999999999</v>
      </c>
      <c r="L7804" s="43">
        <v>6.564936465605145</v>
      </c>
      <c r="M7804" s="43">
        <v>11.500358041239005</v>
      </c>
      <c r="N7804" s="43">
        <v>5.4690770694576587</v>
      </c>
      <c r="O7804" s="43">
        <v>10.432727272727272</v>
      </c>
      <c r="P7804" s="223"/>
      <c r="Q7804" s="223"/>
      <c r="R7804" s="223">
        <v>2</v>
      </c>
    </row>
    <row r="7805" spans="1:18" ht="72">
      <c r="A7805" s="219">
        <v>696</v>
      </c>
      <c r="B7805" s="216" t="s">
        <v>14363</v>
      </c>
      <c r="C7805" s="220" t="s">
        <v>14364</v>
      </c>
      <c r="D7805" s="221">
        <v>3061.36</v>
      </c>
      <c r="E7805" s="221">
        <v>544.63</v>
      </c>
      <c r="F7805" s="221">
        <v>2501.38</v>
      </c>
      <c r="G7805" s="221">
        <v>15.35</v>
      </c>
      <c r="H7805" s="222">
        <v>20097.88</v>
      </c>
      <c r="I7805" s="222">
        <v>6263.44</v>
      </c>
      <c r="J7805" s="222">
        <v>13680.24</v>
      </c>
      <c r="K7805" s="222">
        <v>154.19999999999999</v>
      </c>
      <c r="L7805" s="43">
        <v>6.5650168552538739</v>
      </c>
      <c r="M7805" s="43">
        <v>11.500358041239005</v>
      </c>
      <c r="N7805" s="43">
        <v>5.4690770694576587</v>
      </c>
      <c r="O7805" s="43">
        <v>10.045602605863191</v>
      </c>
      <c r="P7805" s="223"/>
      <c r="Q7805" s="223"/>
      <c r="R7805" s="223">
        <v>2</v>
      </c>
    </row>
    <row r="7806" spans="1:18" ht="72">
      <c r="A7806" s="219">
        <v>697</v>
      </c>
      <c r="B7806" s="216" t="s">
        <v>14365</v>
      </c>
      <c r="C7806" s="220" t="s">
        <v>14366</v>
      </c>
      <c r="D7806" s="221">
        <v>3076.7</v>
      </c>
      <c r="E7806" s="221">
        <v>551.52</v>
      </c>
      <c r="F7806" s="221">
        <v>2507.81</v>
      </c>
      <c r="G7806" s="221">
        <v>17.37</v>
      </c>
      <c r="H7806" s="222">
        <v>20223.669999999998</v>
      </c>
      <c r="I7806" s="222">
        <v>6342.72</v>
      </c>
      <c r="J7806" s="222">
        <v>13713.16</v>
      </c>
      <c r="K7806" s="222">
        <v>167.79</v>
      </c>
      <c r="L7806" s="43">
        <v>6.5731693047745958</v>
      </c>
      <c r="M7806" s="43">
        <v>11.500435161009575</v>
      </c>
      <c r="N7806" s="43">
        <v>5.4681814013023313</v>
      </c>
      <c r="O7806" s="43">
        <v>9.6597582037996528</v>
      </c>
      <c r="P7806" s="223"/>
      <c r="Q7806" s="223"/>
      <c r="R7806" s="223">
        <v>2</v>
      </c>
    </row>
    <row r="7807" spans="1:18" ht="72">
      <c r="A7807" s="219">
        <v>698</v>
      </c>
      <c r="B7807" s="216" t="s">
        <v>14367</v>
      </c>
      <c r="C7807" s="220" t="s">
        <v>14368</v>
      </c>
      <c r="D7807" s="221">
        <v>3086.01</v>
      </c>
      <c r="E7807" s="221">
        <v>558.41</v>
      </c>
      <c r="F7807" s="221">
        <v>2508.7800000000002</v>
      </c>
      <c r="G7807" s="221">
        <v>18.82</v>
      </c>
      <c r="H7807" s="222">
        <v>20319.189999999999</v>
      </c>
      <c r="I7807" s="222">
        <v>6422</v>
      </c>
      <c r="J7807" s="222">
        <v>13718.29</v>
      </c>
      <c r="K7807" s="222">
        <v>178.9</v>
      </c>
      <c r="L7807" s="43">
        <v>6.5842916905648385</v>
      </c>
      <c r="M7807" s="43">
        <v>11.500510377679483</v>
      </c>
      <c r="N7807" s="43">
        <v>5.4681119906887012</v>
      </c>
      <c r="O7807" s="43">
        <v>9.5058448459086087</v>
      </c>
      <c r="P7807" s="223"/>
      <c r="Q7807" s="223"/>
      <c r="R7807" s="223">
        <v>2</v>
      </c>
    </row>
    <row r="7808" spans="1:18" ht="72">
      <c r="A7808" s="219">
        <v>699</v>
      </c>
      <c r="B7808" s="216" t="s">
        <v>14369</v>
      </c>
      <c r="C7808" s="220" t="s">
        <v>14370</v>
      </c>
      <c r="D7808" s="221">
        <v>3368.33</v>
      </c>
      <c r="E7808" s="221">
        <v>620.46</v>
      </c>
      <c r="F7808" s="221">
        <v>2726.34</v>
      </c>
      <c r="G7808" s="221">
        <v>21.53</v>
      </c>
      <c r="H7808" s="222">
        <v>22223.71</v>
      </c>
      <c r="I7808" s="222">
        <v>7135.56</v>
      </c>
      <c r="J7808" s="222">
        <v>14886.45</v>
      </c>
      <c r="K7808" s="222">
        <v>201.7</v>
      </c>
      <c r="L7808" s="43">
        <v>6.5978422541734334</v>
      </c>
      <c r="M7808" s="43">
        <v>11.500435161009573</v>
      </c>
      <c r="N7808" s="43">
        <v>5.4602323994806223</v>
      </c>
      <c r="O7808" s="43">
        <v>9.3683232698560133</v>
      </c>
      <c r="P7808" s="223"/>
      <c r="Q7808" s="223"/>
      <c r="R7808" s="223">
        <v>2</v>
      </c>
    </row>
    <row r="7809" spans="1:18" ht="72">
      <c r="A7809" s="219">
        <v>700</v>
      </c>
      <c r="B7809" s="216" t="s">
        <v>14371</v>
      </c>
      <c r="C7809" s="220" t="s">
        <v>14372</v>
      </c>
      <c r="D7809" s="221">
        <v>3372.56</v>
      </c>
      <c r="E7809" s="221">
        <v>620.46</v>
      </c>
      <c r="F7809" s="221">
        <v>2729.21</v>
      </c>
      <c r="G7809" s="221">
        <v>22.89</v>
      </c>
      <c r="H7809" s="222">
        <v>22246.799999999999</v>
      </c>
      <c r="I7809" s="222">
        <v>7135.56</v>
      </c>
      <c r="J7809" s="222">
        <v>14901.67</v>
      </c>
      <c r="K7809" s="222">
        <v>209.57</v>
      </c>
      <c r="L7809" s="43">
        <v>6.5964134070261169</v>
      </c>
      <c r="M7809" s="43">
        <v>11.500435161009573</v>
      </c>
      <c r="N7809" s="43">
        <v>5.4600671989330243</v>
      </c>
      <c r="O7809" s="43">
        <v>9.1555264307557884</v>
      </c>
      <c r="P7809" s="223"/>
      <c r="Q7809" s="223"/>
      <c r="R7809" s="223">
        <v>2</v>
      </c>
    </row>
    <row r="7810" spans="1:18" ht="72">
      <c r="A7810" s="219">
        <v>701</v>
      </c>
      <c r="B7810" s="216" t="s">
        <v>14373</v>
      </c>
      <c r="C7810" s="220" t="s">
        <v>14374</v>
      </c>
      <c r="D7810" s="221">
        <v>3740.65</v>
      </c>
      <c r="E7810" s="221">
        <v>707.78</v>
      </c>
      <c r="F7810" s="221">
        <v>3001.97</v>
      </c>
      <c r="G7810" s="221">
        <v>30.9</v>
      </c>
      <c r="H7810" s="222">
        <v>24775.46</v>
      </c>
      <c r="I7810" s="222">
        <v>8139.82</v>
      </c>
      <c r="J7810" s="222">
        <v>16365.17</v>
      </c>
      <c r="K7810" s="222">
        <v>270.47000000000003</v>
      </c>
      <c r="L7810" s="43">
        <v>6.6233034365685102</v>
      </c>
      <c r="M7810" s="43">
        <v>11.500494503941903</v>
      </c>
      <c r="N7810" s="43">
        <v>5.4514768635262847</v>
      </c>
      <c r="O7810" s="43">
        <v>8.753074433656959</v>
      </c>
      <c r="P7810" s="223"/>
      <c r="Q7810" s="223"/>
      <c r="R7810" s="223">
        <v>2</v>
      </c>
    </row>
    <row r="7811" spans="1:18" ht="72">
      <c r="A7811" s="219">
        <v>702</v>
      </c>
      <c r="B7811" s="216" t="s">
        <v>14375</v>
      </c>
      <c r="C7811" s="220" t="s">
        <v>14376</v>
      </c>
      <c r="D7811" s="221">
        <v>4097.0600000000004</v>
      </c>
      <c r="E7811" s="221">
        <v>729.62</v>
      </c>
      <c r="F7811" s="221">
        <v>3336.02</v>
      </c>
      <c r="G7811" s="221">
        <v>31.42</v>
      </c>
      <c r="H7811" s="222">
        <v>26864.41</v>
      </c>
      <c r="I7811" s="222">
        <v>8390.89</v>
      </c>
      <c r="J7811" s="222">
        <v>18210.830000000002</v>
      </c>
      <c r="K7811" s="222">
        <v>262.69</v>
      </c>
      <c r="L7811" s="43">
        <v>6.5569969685579412</v>
      </c>
      <c r="M7811" s="43">
        <v>11.500356349880759</v>
      </c>
      <c r="N7811" s="43">
        <v>5.4588491675709383</v>
      </c>
      <c r="O7811" s="43">
        <v>8.3605983450031829</v>
      </c>
      <c r="P7811" s="223"/>
      <c r="Q7811" s="223"/>
      <c r="R7811" s="223">
        <v>2</v>
      </c>
    </row>
    <row r="7812" spans="1:18" ht="72">
      <c r="A7812" s="219">
        <v>703</v>
      </c>
      <c r="B7812" s="216" t="s">
        <v>14377</v>
      </c>
      <c r="C7812" s="220" t="s">
        <v>14378</v>
      </c>
      <c r="D7812" s="221">
        <v>4152.45</v>
      </c>
      <c r="E7812" s="221">
        <v>728.47</v>
      </c>
      <c r="F7812" s="221">
        <v>3388.36</v>
      </c>
      <c r="G7812" s="221">
        <v>35.619999999999997</v>
      </c>
      <c r="H7812" s="222">
        <v>27155.71</v>
      </c>
      <c r="I7812" s="222">
        <v>8377.68</v>
      </c>
      <c r="J7812" s="222">
        <v>18490.77</v>
      </c>
      <c r="K7812" s="222">
        <v>287.26</v>
      </c>
      <c r="L7812" s="43">
        <v>6.5396838011294536</v>
      </c>
      <c r="M7812" s="43">
        <v>11.500377503534805</v>
      </c>
      <c r="N7812" s="43">
        <v>5.4571444592664298</v>
      </c>
      <c r="O7812" s="43">
        <v>8.0645704660303199</v>
      </c>
      <c r="P7812" s="223"/>
      <c r="Q7812" s="223"/>
      <c r="R7812" s="223">
        <v>2</v>
      </c>
    </row>
    <row r="7813" spans="1:18" ht="72">
      <c r="A7813" s="219">
        <v>704</v>
      </c>
      <c r="B7813" s="216" t="s">
        <v>14379</v>
      </c>
      <c r="C7813" s="220" t="s">
        <v>14380</v>
      </c>
      <c r="D7813" s="221">
        <v>4182.75</v>
      </c>
      <c r="E7813" s="221">
        <v>728.47</v>
      </c>
      <c r="F7813" s="221">
        <v>3412</v>
      </c>
      <c r="G7813" s="221">
        <v>42.28</v>
      </c>
      <c r="H7813" s="222">
        <v>27317.77</v>
      </c>
      <c r="I7813" s="222">
        <v>8377.68</v>
      </c>
      <c r="J7813" s="222">
        <v>18614.02</v>
      </c>
      <c r="K7813" s="222">
        <v>326.07</v>
      </c>
      <c r="L7813" s="43">
        <v>6.5310549279780048</v>
      </c>
      <c r="M7813" s="43">
        <v>11.500377503534805</v>
      </c>
      <c r="N7813" s="43">
        <v>5.4554572098475971</v>
      </c>
      <c r="O7813" s="43">
        <v>7.7121570482497628</v>
      </c>
      <c r="P7813" s="223"/>
      <c r="Q7813" s="223"/>
      <c r="R7813" s="223">
        <v>2</v>
      </c>
    </row>
    <row r="7814" spans="1:18" ht="72">
      <c r="A7814" s="219">
        <v>705</v>
      </c>
      <c r="B7814" s="216" t="s">
        <v>14381</v>
      </c>
      <c r="C7814" s="220" t="s">
        <v>14382</v>
      </c>
      <c r="D7814" s="221">
        <v>4683.78</v>
      </c>
      <c r="E7814" s="221">
        <v>731.91</v>
      </c>
      <c r="F7814" s="221">
        <v>3893.49</v>
      </c>
      <c r="G7814" s="221">
        <v>58.38</v>
      </c>
      <c r="H7814" s="222">
        <v>30109.599999999999</v>
      </c>
      <c r="I7814" s="222">
        <v>8417.32</v>
      </c>
      <c r="J7814" s="222">
        <v>21277.05</v>
      </c>
      <c r="K7814" s="222">
        <v>415.23</v>
      </c>
      <c r="L7814" s="43">
        <v>6.4284829774242169</v>
      </c>
      <c r="M7814" s="43">
        <v>11.500485032312715</v>
      </c>
      <c r="N7814" s="43">
        <v>5.4647758180963608</v>
      </c>
      <c r="O7814" s="43">
        <v>7.1125385405960948</v>
      </c>
      <c r="P7814" s="223"/>
      <c r="Q7814" s="223"/>
      <c r="R7814" s="223">
        <v>2</v>
      </c>
    </row>
    <row r="7815" spans="1:18" ht="72">
      <c r="A7815" s="219">
        <v>706</v>
      </c>
      <c r="B7815" s="216" t="s">
        <v>14383</v>
      </c>
      <c r="C7815" s="220" t="s">
        <v>14384</v>
      </c>
      <c r="D7815" s="221">
        <v>5315.66</v>
      </c>
      <c r="E7815" s="221">
        <v>934.14</v>
      </c>
      <c r="F7815" s="221">
        <v>4289.28</v>
      </c>
      <c r="G7815" s="221">
        <v>92.24</v>
      </c>
      <c r="H7815" s="222">
        <v>34767.620000000003</v>
      </c>
      <c r="I7815" s="222">
        <v>10742.98</v>
      </c>
      <c r="J7815" s="222">
        <v>23392.3</v>
      </c>
      <c r="K7815" s="222">
        <v>632.34</v>
      </c>
      <c r="L7815" s="43">
        <v>6.5406026721046873</v>
      </c>
      <c r="M7815" s="43">
        <v>11.50039608623975</v>
      </c>
      <c r="N7815" s="43">
        <v>5.4536658833184122</v>
      </c>
      <c r="O7815" s="43">
        <v>6.8553772766695582</v>
      </c>
      <c r="P7815" s="223"/>
      <c r="Q7815" s="223"/>
      <c r="R7815" s="223">
        <v>2</v>
      </c>
    </row>
    <row r="7816" spans="1:18" ht="72">
      <c r="A7816" s="219">
        <v>707</v>
      </c>
      <c r="B7816" s="216" t="s">
        <v>14385</v>
      </c>
      <c r="C7816" s="220" t="s">
        <v>14386</v>
      </c>
      <c r="D7816" s="221">
        <v>6157.28</v>
      </c>
      <c r="E7816" s="221">
        <v>1160.49</v>
      </c>
      <c r="F7816" s="221">
        <v>4789.93</v>
      </c>
      <c r="G7816" s="221">
        <v>206.86</v>
      </c>
      <c r="H7816" s="222">
        <v>40691.629999999997</v>
      </c>
      <c r="I7816" s="222">
        <v>13346.14</v>
      </c>
      <c r="J7816" s="222">
        <v>26050.43</v>
      </c>
      <c r="K7816" s="222">
        <v>1295.06</v>
      </c>
      <c r="L7816" s="43">
        <v>6.6087022191617075</v>
      </c>
      <c r="M7816" s="43">
        <v>11.500435161009573</v>
      </c>
      <c r="N7816" s="43">
        <v>5.4385826097667396</v>
      </c>
      <c r="O7816" s="43">
        <v>6.2605626994102286</v>
      </c>
      <c r="P7816" s="223"/>
      <c r="Q7816" s="223"/>
      <c r="R7816" s="223">
        <v>2</v>
      </c>
    </row>
    <row r="7817" spans="1:18" ht="72">
      <c r="A7817" s="219">
        <v>708</v>
      </c>
      <c r="B7817" s="216" t="s">
        <v>14387</v>
      </c>
      <c r="C7817" s="220" t="s">
        <v>14388</v>
      </c>
      <c r="D7817" s="221">
        <v>6901.76</v>
      </c>
      <c r="E7817" s="221">
        <v>1298.3699999999999</v>
      </c>
      <c r="F7817" s="221">
        <v>5242.25</v>
      </c>
      <c r="G7817" s="221">
        <v>361.14</v>
      </c>
      <c r="H7817" s="222">
        <v>45550.12</v>
      </c>
      <c r="I7817" s="222">
        <v>14931.82</v>
      </c>
      <c r="J7817" s="222">
        <v>28465.64</v>
      </c>
      <c r="K7817" s="222">
        <v>2152.66</v>
      </c>
      <c r="L7817" s="43">
        <v>6.599783243694362</v>
      </c>
      <c r="M7817" s="43">
        <v>11.500435161009575</v>
      </c>
      <c r="N7817" s="43">
        <v>5.4300424436072294</v>
      </c>
      <c r="O7817" s="43">
        <v>5.9607354488563988</v>
      </c>
      <c r="P7817" s="223"/>
      <c r="Q7817" s="223"/>
      <c r="R7817" s="223">
        <v>2</v>
      </c>
    </row>
    <row r="7818" spans="1:18" ht="72">
      <c r="A7818" s="219">
        <v>709</v>
      </c>
      <c r="B7818" s="216" t="s">
        <v>14389</v>
      </c>
      <c r="C7818" s="220" t="s">
        <v>14390</v>
      </c>
      <c r="D7818" s="221">
        <v>7532.6</v>
      </c>
      <c r="E7818" s="221">
        <v>1528.17</v>
      </c>
      <c r="F7818" s="221">
        <v>5602.75</v>
      </c>
      <c r="G7818" s="221">
        <v>401.68</v>
      </c>
      <c r="H7818" s="222">
        <v>50371.76</v>
      </c>
      <c r="I7818" s="222">
        <v>17574.62</v>
      </c>
      <c r="J7818" s="222">
        <v>30388.05</v>
      </c>
      <c r="K7818" s="222">
        <v>2409.09</v>
      </c>
      <c r="L7818" s="43">
        <v>6.6871677773942597</v>
      </c>
      <c r="M7818" s="43">
        <v>11.500435161009573</v>
      </c>
      <c r="N7818" s="43">
        <v>5.4237740395341572</v>
      </c>
      <c r="O7818" s="43">
        <v>5.9975353515236014</v>
      </c>
      <c r="P7818" s="223"/>
      <c r="Q7818" s="223"/>
      <c r="R7818" s="223">
        <v>2</v>
      </c>
    </row>
    <row r="7819" spans="1:18" ht="72">
      <c r="A7819" s="219">
        <v>710</v>
      </c>
      <c r="B7819" s="216" t="s">
        <v>14391</v>
      </c>
      <c r="C7819" s="220" t="s">
        <v>14392</v>
      </c>
      <c r="D7819" s="221">
        <v>7754.45</v>
      </c>
      <c r="E7819" s="221">
        <v>1712.01</v>
      </c>
      <c r="F7819" s="221">
        <v>5632.63</v>
      </c>
      <c r="G7819" s="221">
        <v>409.81</v>
      </c>
      <c r="H7819" s="222">
        <v>52710.53</v>
      </c>
      <c r="I7819" s="222">
        <v>19688.86</v>
      </c>
      <c r="J7819" s="222">
        <v>30533.119999999999</v>
      </c>
      <c r="K7819" s="222">
        <v>2488.5500000000002</v>
      </c>
      <c r="L7819" s="43">
        <v>6.7974556544951605</v>
      </c>
      <c r="M7819" s="43">
        <v>11.500435161009573</v>
      </c>
      <c r="N7819" s="43">
        <v>5.4207572661438794</v>
      </c>
      <c r="O7819" s="43">
        <v>6.0724482077060102</v>
      </c>
      <c r="P7819" s="223"/>
      <c r="Q7819" s="223"/>
      <c r="R7819" s="223">
        <v>2</v>
      </c>
    </row>
    <row r="7820" spans="1:18" ht="72">
      <c r="A7820" s="219">
        <v>711</v>
      </c>
      <c r="B7820" s="216" t="s">
        <v>14393</v>
      </c>
      <c r="C7820" s="220" t="s">
        <v>14394</v>
      </c>
      <c r="D7820" s="221">
        <v>8895.52</v>
      </c>
      <c r="E7820" s="221">
        <v>1769.46</v>
      </c>
      <c r="F7820" s="221">
        <v>6612.13</v>
      </c>
      <c r="G7820" s="221">
        <v>513.92999999999995</v>
      </c>
      <c r="H7820" s="222">
        <v>59163.1</v>
      </c>
      <c r="I7820" s="222">
        <v>20349.560000000001</v>
      </c>
      <c r="J7820" s="222">
        <v>35766.81</v>
      </c>
      <c r="K7820" s="222">
        <v>3046.73</v>
      </c>
      <c r="L7820" s="43">
        <v>6.6508871881576344</v>
      </c>
      <c r="M7820" s="43">
        <v>11.500435161009573</v>
      </c>
      <c r="N7820" s="43">
        <v>5.4092720500050664</v>
      </c>
      <c r="O7820" s="43">
        <v>5.928297628081646</v>
      </c>
      <c r="P7820" s="223"/>
      <c r="Q7820" s="223"/>
      <c r="R7820" s="223">
        <v>2</v>
      </c>
    </row>
    <row r="7821" spans="1:18" ht="72">
      <c r="A7821" s="219">
        <v>712</v>
      </c>
      <c r="B7821" s="216" t="s">
        <v>14395</v>
      </c>
      <c r="C7821" s="220" t="s">
        <v>14396</v>
      </c>
      <c r="D7821" s="221">
        <v>9994.75</v>
      </c>
      <c r="E7821" s="221">
        <v>2217.5700000000002</v>
      </c>
      <c r="F7821" s="221">
        <v>7139.47</v>
      </c>
      <c r="G7821" s="221">
        <v>637.71</v>
      </c>
      <c r="H7821" s="222">
        <v>67896.83</v>
      </c>
      <c r="I7821" s="222">
        <v>25503.02</v>
      </c>
      <c r="J7821" s="222">
        <v>38630.47</v>
      </c>
      <c r="K7821" s="222">
        <v>3763.34</v>
      </c>
      <c r="L7821" s="43">
        <v>6.7932494559643812</v>
      </c>
      <c r="M7821" s="43">
        <v>11.500435161009573</v>
      </c>
      <c r="N7821" s="43">
        <v>5.4108316163524739</v>
      </c>
      <c r="O7821" s="43">
        <v>5.9013344623731792</v>
      </c>
      <c r="P7821" s="223"/>
      <c r="Q7821" s="223"/>
      <c r="R7821" s="223">
        <v>2</v>
      </c>
    </row>
    <row r="7822" spans="1:18" ht="72">
      <c r="A7822" s="219">
        <v>713</v>
      </c>
      <c r="B7822" s="216" t="s">
        <v>14397</v>
      </c>
      <c r="C7822" s="220" t="s">
        <v>14398</v>
      </c>
      <c r="D7822" s="221">
        <v>11338.25</v>
      </c>
      <c r="E7822" s="221">
        <v>2562.27</v>
      </c>
      <c r="F7822" s="221">
        <v>8071.82</v>
      </c>
      <c r="G7822" s="221">
        <v>704.16</v>
      </c>
      <c r="H7822" s="222">
        <v>77251.399999999994</v>
      </c>
      <c r="I7822" s="222">
        <v>29467.22</v>
      </c>
      <c r="J7822" s="222">
        <v>43628.57</v>
      </c>
      <c r="K7822" s="222">
        <v>4155.6099999999997</v>
      </c>
      <c r="L7822" s="43">
        <v>6.8133442109673004</v>
      </c>
      <c r="M7822" s="43">
        <v>11.500435161009573</v>
      </c>
      <c r="N7822" s="43">
        <v>5.4050474366375862</v>
      </c>
      <c r="O7822" s="43">
        <v>5.9015138604862525</v>
      </c>
      <c r="P7822" s="223"/>
      <c r="Q7822" s="223"/>
      <c r="R7822" s="223">
        <v>2</v>
      </c>
    </row>
    <row r="7823" spans="1:18" ht="72">
      <c r="A7823" s="219">
        <v>714</v>
      </c>
      <c r="B7823" s="216" t="s">
        <v>14399</v>
      </c>
      <c r="C7823" s="220" t="s">
        <v>14400</v>
      </c>
      <c r="D7823" s="221">
        <v>14905.27</v>
      </c>
      <c r="E7823" s="221">
        <v>3297.63</v>
      </c>
      <c r="F7823" s="221">
        <v>10505.62</v>
      </c>
      <c r="G7823" s="221">
        <v>1102.02</v>
      </c>
      <c r="H7823" s="222">
        <v>101016.29</v>
      </c>
      <c r="I7823" s="222">
        <v>37924.18</v>
      </c>
      <c r="J7823" s="222">
        <v>56684.79</v>
      </c>
      <c r="K7823" s="222">
        <v>6407.32</v>
      </c>
      <c r="L7823" s="43">
        <v>6.777219735033313</v>
      </c>
      <c r="M7823" s="43">
        <v>11.500435161009573</v>
      </c>
      <c r="N7823" s="43">
        <v>5.3956634639364447</v>
      </c>
      <c r="O7823" s="43">
        <v>5.8141594526415128</v>
      </c>
      <c r="P7823" s="223"/>
      <c r="Q7823" s="223"/>
      <c r="R7823" s="223">
        <v>2</v>
      </c>
    </row>
    <row r="7824" spans="1:18" ht="72">
      <c r="A7824" s="219">
        <v>715</v>
      </c>
      <c r="B7824" s="216" t="s">
        <v>14401</v>
      </c>
      <c r="C7824" s="220" t="s">
        <v>14402</v>
      </c>
      <c r="D7824" s="221">
        <v>17191.919999999998</v>
      </c>
      <c r="E7824" s="221">
        <v>3849.15</v>
      </c>
      <c r="F7824" s="221">
        <v>12035.38</v>
      </c>
      <c r="G7824" s="221">
        <v>1307.3900000000001</v>
      </c>
      <c r="H7824" s="222">
        <v>116727.53</v>
      </c>
      <c r="I7824" s="222">
        <v>44266.9</v>
      </c>
      <c r="J7824" s="222">
        <v>64904.95</v>
      </c>
      <c r="K7824" s="222">
        <v>7555.68</v>
      </c>
      <c r="L7824" s="43">
        <v>6.7896738700505823</v>
      </c>
      <c r="M7824" s="43">
        <v>11.500435161009573</v>
      </c>
      <c r="N7824" s="43">
        <v>5.3928459259283876</v>
      </c>
      <c r="O7824" s="43">
        <v>5.7792089583062438</v>
      </c>
      <c r="P7824" s="223"/>
      <c r="Q7824" s="223"/>
      <c r="R7824" s="223">
        <v>2</v>
      </c>
    </row>
    <row r="7825" spans="1:18" ht="72">
      <c r="A7825" s="219">
        <v>716</v>
      </c>
      <c r="B7825" s="216" t="s">
        <v>14403</v>
      </c>
      <c r="C7825" s="220" t="s">
        <v>14404</v>
      </c>
      <c r="D7825" s="221">
        <v>19138.169999999998</v>
      </c>
      <c r="E7825" s="221">
        <v>4147.8900000000003</v>
      </c>
      <c r="F7825" s="221">
        <v>13379.32</v>
      </c>
      <c r="G7825" s="221">
        <v>1610.96</v>
      </c>
      <c r="H7825" s="222">
        <v>128938.03</v>
      </c>
      <c r="I7825" s="222">
        <v>47702.54</v>
      </c>
      <c r="J7825" s="222">
        <v>72023.850000000006</v>
      </c>
      <c r="K7825" s="222">
        <v>9211.64</v>
      </c>
      <c r="L7825" s="43">
        <v>6.737218344282657</v>
      </c>
      <c r="M7825" s="43">
        <v>11.500435161009573</v>
      </c>
      <c r="N7825" s="43">
        <v>5.3832220172624625</v>
      </c>
      <c r="O7825" s="43">
        <v>5.7181059740775684</v>
      </c>
      <c r="P7825" s="223"/>
      <c r="Q7825" s="223"/>
      <c r="R7825" s="223">
        <v>2</v>
      </c>
    </row>
    <row r="7826" spans="1:18" ht="72">
      <c r="A7826" s="219">
        <v>717</v>
      </c>
      <c r="B7826" s="216" t="s">
        <v>14405</v>
      </c>
      <c r="C7826" s="220" t="s">
        <v>14406</v>
      </c>
      <c r="D7826" s="221">
        <v>21841.02</v>
      </c>
      <c r="E7826" s="221">
        <v>4986.66</v>
      </c>
      <c r="F7826" s="221">
        <v>14819.24</v>
      </c>
      <c r="G7826" s="221">
        <v>2035.12</v>
      </c>
      <c r="H7826" s="222">
        <v>148648.06</v>
      </c>
      <c r="I7826" s="222">
        <v>57348.76</v>
      </c>
      <c r="J7826" s="222">
        <v>79687.179999999993</v>
      </c>
      <c r="K7826" s="222">
        <v>11612.12</v>
      </c>
      <c r="L7826" s="43">
        <v>6.8059119949526163</v>
      </c>
      <c r="M7826" s="43">
        <v>11.500435161009575</v>
      </c>
      <c r="N7826" s="43">
        <v>5.3772784569249161</v>
      </c>
      <c r="O7826" s="43">
        <v>5.7058650104170772</v>
      </c>
      <c r="P7826" s="223"/>
      <c r="Q7826" s="223"/>
      <c r="R7826" s="223">
        <v>2</v>
      </c>
    </row>
    <row r="7827" spans="1:18" ht="12.75" customHeight="1">
      <c r="A7827" s="628" t="s">
        <v>14407</v>
      </c>
      <c r="B7827" s="629"/>
      <c r="C7827" s="629"/>
      <c r="D7827" s="629"/>
      <c r="E7827" s="629"/>
      <c r="F7827" s="629"/>
      <c r="G7827" s="629"/>
      <c r="H7827" s="629"/>
      <c r="I7827" s="629"/>
      <c r="J7827" s="629"/>
      <c r="K7827" s="629"/>
      <c r="L7827" s="629"/>
      <c r="M7827" s="629"/>
      <c r="N7827" s="629"/>
      <c r="O7827" s="629"/>
      <c r="P7827" s="629"/>
      <c r="Q7827" s="629"/>
      <c r="R7827" s="629"/>
    </row>
    <row r="7828" spans="1:18" ht="72">
      <c r="A7828" s="219">
        <v>718</v>
      </c>
      <c r="B7828" s="216" t="s">
        <v>14408</v>
      </c>
      <c r="C7828" s="220" t="s">
        <v>14409</v>
      </c>
      <c r="D7828" s="221">
        <v>3423.56</v>
      </c>
      <c r="E7828" s="221">
        <v>620.46</v>
      </c>
      <c r="F7828" s="221">
        <v>2785.62</v>
      </c>
      <c r="G7828" s="221">
        <v>17.48</v>
      </c>
      <c r="H7828" s="222">
        <v>22518.63</v>
      </c>
      <c r="I7828" s="222">
        <v>7135.56</v>
      </c>
      <c r="J7828" s="222">
        <v>15206.85</v>
      </c>
      <c r="K7828" s="222">
        <v>176.22</v>
      </c>
      <c r="L7828" s="43">
        <v>6.5775479325614281</v>
      </c>
      <c r="M7828" s="43">
        <v>11.500435161009573</v>
      </c>
      <c r="N7828" s="43">
        <v>5.4590539987507274</v>
      </c>
      <c r="O7828" s="43">
        <v>10.081235697940503</v>
      </c>
      <c r="P7828" s="223"/>
      <c r="Q7828" s="223"/>
      <c r="R7828" s="223">
        <v>3</v>
      </c>
    </row>
    <row r="7829" spans="1:18" ht="72">
      <c r="A7829" s="219">
        <v>719</v>
      </c>
      <c r="B7829" s="216" t="s">
        <v>14410</v>
      </c>
      <c r="C7829" s="220" t="s">
        <v>14411</v>
      </c>
      <c r="D7829" s="221">
        <v>3424.75</v>
      </c>
      <c r="E7829" s="221">
        <v>620.46</v>
      </c>
      <c r="F7829" s="221">
        <v>2785.62</v>
      </c>
      <c r="G7829" s="221">
        <v>18.670000000000002</v>
      </c>
      <c r="H7829" s="222">
        <v>22525.64</v>
      </c>
      <c r="I7829" s="222">
        <v>7135.56</v>
      </c>
      <c r="J7829" s="222">
        <v>15206.85</v>
      </c>
      <c r="K7829" s="222">
        <v>183.23</v>
      </c>
      <c r="L7829" s="43">
        <v>6.5773092926490984</v>
      </c>
      <c r="M7829" s="43">
        <v>11.500435161009573</v>
      </c>
      <c r="N7829" s="43">
        <v>5.4590539987507274</v>
      </c>
      <c r="O7829" s="43">
        <v>9.8141403320835554</v>
      </c>
      <c r="P7829" s="223"/>
      <c r="Q7829" s="223"/>
      <c r="R7829" s="223">
        <v>3</v>
      </c>
    </row>
    <row r="7830" spans="1:18" ht="72">
      <c r="A7830" s="219">
        <v>720</v>
      </c>
      <c r="B7830" s="216" t="s">
        <v>14412</v>
      </c>
      <c r="C7830" s="220" t="s">
        <v>14413</v>
      </c>
      <c r="D7830" s="221">
        <v>3439.48</v>
      </c>
      <c r="E7830" s="221">
        <v>626.21</v>
      </c>
      <c r="F7830" s="221">
        <v>2792.13</v>
      </c>
      <c r="G7830" s="221">
        <v>21.14</v>
      </c>
      <c r="H7830" s="222">
        <v>22642.51</v>
      </c>
      <c r="I7830" s="222">
        <v>7201.63</v>
      </c>
      <c r="J7830" s="222">
        <v>15240.23</v>
      </c>
      <c r="K7830" s="222">
        <v>200.65</v>
      </c>
      <c r="L7830" s="43">
        <v>6.5831201228092615</v>
      </c>
      <c r="M7830" s="43">
        <v>11.500343335302853</v>
      </c>
      <c r="N7830" s="43">
        <v>5.4582809539670425</v>
      </c>
      <c r="O7830" s="43">
        <v>9.491485335856197</v>
      </c>
      <c r="P7830" s="223"/>
      <c r="Q7830" s="223"/>
      <c r="R7830" s="223">
        <v>3</v>
      </c>
    </row>
    <row r="7831" spans="1:18" ht="72">
      <c r="A7831" s="219">
        <v>721</v>
      </c>
      <c r="B7831" s="216" t="s">
        <v>14414</v>
      </c>
      <c r="C7831" s="220" t="s">
        <v>14415</v>
      </c>
      <c r="D7831" s="221">
        <v>3443.47</v>
      </c>
      <c r="E7831" s="221">
        <v>626.21</v>
      </c>
      <c r="F7831" s="221">
        <v>2794.07</v>
      </c>
      <c r="G7831" s="221">
        <v>23.19</v>
      </c>
      <c r="H7831" s="222">
        <v>22665.34</v>
      </c>
      <c r="I7831" s="222">
        <v>7201.63</v>
      </c>
      <c r="J7831" s="222">
        <v>15250.49</v>
      </c>
      <c r="K7831" s="222">
        <v>213.22</v>
      </c>
      <c r="L7831" s="43">
        <v>6.5821221035757542</v>
      </c>
      <c r="M7831" s="43">
        <v>11.500343335302853</v>
      </c>
      <c r="N7831" s="43">
        <v>5.4581631813089864</v>
      </c>
      <c r="O7831" s="43">
        <v>9.1944803794739105</v>
      </c>
      <c r="P7831" s="223"/>
      <c r="Q7831" s="223"/>
      <c r="R7831" s="223">
        <v>3</v>
      </c>
    </row>
    <row r="7832" spans="1:18" ht="72">
      <c r="A7832" s="219">
        <v>722</v>
      </c>
      <c r="B7832" s="216" t="s">
        <v>14416</v>
      </c>
      <c r="C7832" s="220" t="s">
        <v>14417</v>
      </c>
      <c r="D7832" s="221">
        <v>3789.01</v>
      </c>
      <c r="E7832" s="221">
        <v>700.89</v>
      </c>
      <c r="F7832" s="221">
        <v>3061.62</v>
      </c>
      <c r="G7832" s="221">
        <v>26.5</v>
      </c>
      <c r="H7832" s="222">
        <v>24990.2</v>
      </c>
      <c r="I7832" s="222">
        <v>8060.54</v>
      </c>
      <c r="J7832" s="222">
        <v>16687.37</v>
      </c>
      <c r="K7832" s="222">
        <v>242.29</v>
      </c>
      <c r="L7832" s="43">
        <v>6.5954431368616078</v>
      </c>
      <c r="M7832" s="43">
        <v>11.500435161009573</v>
      </c>
      <c r="N7832" s="43">
        <v>5.4505033283033164</v>
      </c>
      <c r="O7832" s="43">
        <v>9.1430188679245283</v>
      </c>
      <c r="P7832" s="223"/>
      <c r="Q7832" s="223"/>
      <c r="R7832" s="223">
        <v>3</v>
      </c>
    </row>
    <row r="7833" spans="1:18" ht="72">
      <c r="A7833" s="219">
        <v>723</v>
      </c>
      <c r="B7833" s="216" t="s">
        <v>14418</v>
      </c>
      <c r="C7833" s="220" t="s">
        <v>14419</v>
      </c>
      <c r="D7833" s="221">
        <v>3813.06</v>
      </c>
      <c r="E7833" s="221">
        <v>700.89</v>
      </c>
      <c r="F7833" s="221">
        <v>3082.94</v>
      </c>
      <c r="G7833" s="221">
        <v>29.23</v>
      </c>
      <c r="H7833" s="222">
        <v>25121.200000000001</v>
      </c>
      <c r="I7833" s="222">
        <v>8060.54</v>
      </c>
      <c r="J7833" s="222">
        <v>16800.53</v>
      </c>
      <c r="K7833" s="222">
        <v>260.13</v>
      </c>
      <c r="L7833" s="43">
        <v>6.5881995038105883</v>
      </c>
      <c r="M7833" s="43">
        <v>11.500435161009573</v>
      </c>
      <c r="N7833" s="43">
        <v>5.4495157220056178</v>
      </c>
      <c r="O7833" s="43">
        <v>8.8994184057475199</v>
      </c>
      <c r="P7833" s="223"/>
      <c r="Q7833" s="223"/>
      <c r="R7833" s="223">
        <v>3</v>
      </c>
    </row>
    <row r="7834" spans="1:18" ht="72">
      <c r="A7834" s="219">
        <v>724</v>
      </c>
      <c r="B7834" s="216" t="s">
        <v>14420</v>
      </c>
      <c r="C7834" s="220" t="s">
        <v>14421</v>
      </c>
      <c r="D7834" s="221">
        <v>4502.6000000000004</v>
      </c>
      <c r="E7834" s="221">
        <v>864.05</v>
      </c>
      <c r="F7834" s="221">
        <v>3601.1</v>
      </c>
      <c r="G7834" s="221">
        <v>37.450000000000003</v>
      </c>
      <c r="H7834" s="222">
        <v>29849.21</v>
      </c>
      <c r="I7834" s="222">
        <v>9936.93</v>
      </c>
      <c r="J7834" s="222">
        <v>19583.39</v>
      </c>
      <c r="K7834" s="222">
        <v>328.89</v>
      </c>
      <c r="L7834" s="43">
        <v>6.6293274996668581</v>
      </c>
      <c r="M7834" s="43">
        <v>11.50041085585325</v>
      </c>
      <c r="N7834" s="43">
        <v>5.4381688928382994</v>
      </c>
      <c r="O7834" s="43">
        <v>8.7821094793057402</v>
      </c>
      <c r="P7834" s="223"/>
      <c r="Q7834" s="223"/>
      <c r="R7834" s="223">
        <v>3</v>
      </c>
    </row>
    <row r="7835" spans="1:18" ht="72">
      <c r="A7835" s="219">
        <v>725</v>
      </c>
      <c r="B7835" s="216" t="s">
        <v>14422</v>
      </c>
      <c r="C7835" s="220" t="s">
        <v>14423</v>
      </c>
      <c r="D7835" s="221">
        <v>4839.72</v>
      </c>
      <c r="E7835" s="221">
        <v>866.35</v>
      </c>
      <c r="F7835" s="221">
        <v>3932.1</v>
      </c>
      <c r="G7835" s="221">
        <v>41.27</v>
      </c>
      <c r="H7835" s="222">
        <v>31719.8</v>
      </c>
      <c r="I7835" s="222">
        <v>9963.36</v>
      </c>
      <c r="J7835" s="222">
        <v>21415.05</v>
      </c>
      <c r="K7835" s="222">
        <v>341.39</v>
      </c>
      <c r="L7835" s="43">
        <v>6.5540568462638333</v>
      </c>
      <c r="M7835" s="43">
        <v>11.50038667974837</v>
      </c>
      <c r="N7835" s="43">
        <v>5.4462119478141453</v>
      </c>
      <c r="O7835" s="43">
        <v>8.2721104918827226</v>
      </c>
      <c r="P7835" s="223"/>
      <c r="Q7835" s="223"/>
      <c r="R7835" s="223">
        <v>3</v>
      </c>
    </row>
    <row r="7836" spans="1:18" ht="72">
      <c r="A7836" s="219">
        <v>726</v>
      </c>
      <c r="B7836" s="216" t="s">
        <v>14424</v>
      </c>
      <c r="C7836" s="220" t="s">
        <v>14425</v>
      </c>
      <c r="D7836" s="221">
        <v>5066.7</v>
      </c>
      <c r="E7836" s="221">
        <v>916.9</v>
      </c>
      <c r="F7836" s="221">
        <v>4105.33</v>
      </c>
      <c r="G7836" s="221">
        <v>44.47</v>
      </c>
      <c r="H7836" s="222">
        <v>33246.06</v>
      </c>
      <c r="I7836" s="222">
        <v>10544.77</v>
      </c>
      <c r="J7836" s="222">
        <v>22341.23</v>
      </c>
      <c r="K7836" s="222">
        <v>360.06</v>
      </c>
      <c r="L7836" s="43">
        <v>6.5616791994789505</v>
      </c>
      <c r="M7836" s="43">
        <v>11.500458065219764</v>
      </c>
      <c r="N7836" s="43">
        <v>5.4420058801606688</v>
      </c>
      <c r="O7836" s="43">
        <v>8.0966944007195867</v>
      </c>
      <c r="P7836" s="223"/>
      <c r="Q7836" s="223"/>
      <c r="R7836" s="223">
        <v>3</v>
      </c>
    </row>
    <row r="7837" spans="1:18" ht="72">
      <c r="A7837" s="219">
        <v>727</v>
      </c>
      <c r="B7837" s="216" t="s">
        <v>14426</v>
      </c>
      <c r="C7837" s="220" t="s">
        <v>14427</v>
      </c>
      <c r="D7837" s="221">
        <v>5609.83</v>
      </c>
      <c r="E7837" s="221">
        <v>1105.3399999999999</v>
      </c>
      <c r="F7837" s="221">
        <v>4447.82</v>
      </c>
      <c r="G7837" s="221">
        <v>56.67</v>
      </c>
      <c r="H7837" s="222">
        <v>37342.589999999997</v>
      </c>
      <c r="I7837" s="222">
        <v>12711.87</v>
      </c>
      <c r="J7837" s="222">
        <v>24178.16</v>
      </c>
      <c r="K7837" s="222">
        <v>452.56</v>
      </c>
      <c r="L7837" s="43">
        <v>6.6566348712884338</v>
      </c>
      <c r="M7837" s="43">
        <v>11.500416161543056</v>
      </c>
      <c r="N7837" s="43">
        <v>5.4359573903620202</v>
      </c>
      <c r="O7837" s="43">
        <v>7.985883183342156</v>
      </c>
      <c r="P7837" s="223"/>
      <c r="Q7837" s="223"/>
      <c r="R7837" s="223">
        <v>3</v>
      </c>
    </row>
    <row r="7838" spans="1:18" ht="72">
      <c r="A7838" s="219">
        <v>728</v>
      </c>
      <c r="B7838" s="216" t="s">
        <v>14428</v>
      </c>
      <c r="C7838" s="220" t="s">
        <v>14429</v>
      </c>
      <c r="D7838" s="221">
        <v>6419.6</v>
      </c>
      <c r="E7838" s="221">
        <v>1206.45</v>
      </c>
      <c r="F7838" s="221">
        <v>5126.9399999999996</v>
      </c>
      <c r="G7838" s="221">
        <v>86.21</v>
      </c>
      <c r="H7838" s="222">
        <v>42398.94</v>
      </c>
      <c r="I7838" s="222">
        <v>13874.7</v>
      </c>
      <c r="J7838" s="222">
        <v>27894.46</v>
      </c>
      <c r="K7838" s="222">
        <v>629.78</v>
      </c>
      <c r="L7838" s="43">
        <v>6.604607763723596</v>
      </c>
      <c r="M7838" s="43">
        <v>11.500435161009573</v>
      </c>
      <c r="N7838" s="43">
        <v>5.4407619359696042</v>
      </c>
      <c r="O7838" s="43">
        <v>7.3051850133395204</v>
      </c>
      <c r="P7838" s="223"/>
      <c r="Q7838" s="223"/>
      <c r="R7838" s="223">
        <v>3</v>
      </c>
    </row>
    <row r="7839" spans="1:18" ht="72">
      <c r="A7839" s="219">
        <v>729</v>
      </c>
      <c r="B7839" s="216" t="s">
        <v>14430</v>
      </c>
      <c r="C7839" s="220" t="s">
        <v>14431</v>
      </c>
      <c r="D7839" s="221">
        <v>6569.28</v>
      </c>
      <c r="E7839" s="221">
        <v>1206.45</v>
      </c>
      <c r="F7839" s="221">
        <v>5236.5600000000004</v>
      </c>
      <c r="G7839" s="221">
        <v>126.27</v>
      </c>
      <c r="H7839" s="222">
        <v>43203.64</v>
      </c>
      <c r="I7839" s="222">
        <v>13874.7</v>
      </c>
      <c r="J7839" s="222">
        <v>28469.55</v>
      </c>
      <c r="K7839" s="222">
        <v>859.39</v>
      </c>
      <c r="L7839" s="43">
        <v>6.5766172244142433</v>
      </c>
      <c r="M7839" s="43">
        <v>11.500435161009573</v>
      </c>
      <c r="N7839" s="43">
        <v>5.4366893533159164</v>
      </c>
      <c r="O7839" s="43">
        <v>6.8059713312742538</v>
      </c>
      <c r="P7839" s="223"/>
      <c r="Q7839" s="223"/>
      <c r="R7839" s="223">
        <v>3</v>
      </c>
    </row>
    <row r="7840" spans="1:18" ht="72">
      <c r="A7840" s="219">
        <v>730</v>
      </c>
      <c r="B7840" s="216" t="s">
        <v>14432</v>
      </c>
      <c r="C7840" s="220" t="s">
        <v>14433</v>
      </c>
      <c r="D7840" s="221">
        <v>7084.26</v>
      </c>
      <c r="E7840" s="221">
        <v>1252.4100000000001</v>
      </c>
      <c r="F7840" s="221">
        <v>5622.25</v>
      </c>
      <c r="G7840" s="221">
        <v>209.6</v>
      </c>
      <c r="H7840" s="222">
        <v>46250.16</v>
      </c>
      <c r="I7840" s="222">
        <v>14403.26</v>
      </c>
      <c r="J7840" s="222">
        <v>30524.240000000002</v>
      </c>
      <c r="K7840" s="222">
        <v>1322.66</v>
      </c>
      <c r="L7840" s="43">
        <v>6.528580261029381</v>
      </c>
      <c r="M7840" s="43">
        <v>11.500435161009573</v>
      </c>
      <c r="N7840" s="43">
        <v>5.4291858241807107</v>
      </c>
      <c r="O7840" s="43">
        <v>6.3104007633587793</v>
      </c>
      <c r="P7840" s="223"/>
      <c r="Q7840" s="223"/>
      <c r="R7840" s="223">
        <v>3</v>
      </c>
    </row>
    <row r="7841" spans="1:18" ht="72">
      <c r="A7841" s="219">
        <v>731</v>
      </c>
      <c r="B7841" s="216" t="s">
        <v>14434</v>
      </c>
      <c r="C7841" s="220" t="s">
        <v>14435</v>
      </c>
      <c r="D7841" s="221">
        <v>8374.07</v>
      </c>
      <c r="E7841" s="221">
        <v>1780.95</v>
      </c>
      <c r="F7841" s="221">
        <v>6121.64</v>
      </c>
      <c r="G7841" s="221">
        <v>471.48</v>
      </c>
      <c r="H7841" s="222">
        <v>56472.09</v>
      </c>
      <c r="I7841" s="222">
        <v>20481.7</v>
      </c>
      <c r="J7841" s="222">
        <v>33167.769999999997</v>
      </c>
      <c r="K7841" s="222">
        <v>2822.62</v>
      </c>
      <c r="L7841" s="43">
        <v>6.743684970390742</v>
      </c>
      <c r="M7841" s="43">
        <v>11.500435161009573</v>
      </c>
      <c r="N7841" s="43">
        <v>5.4181183473709655</v>
      </c>
      <c r="O7841" s="43">
        <v>5.9867226605582413</v>
      </c>
      <c r="P7841" s="223"/>
      <c r="Q7841" s="223"/>
      <c r="R7841" s="223">
        <v>3</v>
      </c>
    </row>
    <row r="7842" spans="1:18" ht="72">
      <c r="A7842" s="219">
        <v>732</v>
      </c>
      <c r="B7842" s="216" t="s">
        <v>14436</v>
      </c>
      <c r="C7842" s="220" t="s">
        <v>14437</v>
      </c>
      <c r="D7842" s="221">
        <v>9296.0400000000009</v>
      </c>
      <c r="E7842" s="221">
        <v>2125.65</v>
      </c>
      <c r="F7842" s="221">
        <v>6654.69</v>
      </c>
      <c r="G7842" s="221">
        <v>515.70000000000005</v>
      </c>
      <c r="H7842" s="222">
        <v>63575.77</v>
      </c>
      <c r="I7842" s="222">
        <v>24445.9</v>
      </c>
      <c r="J7842" s="222">
        <v>36012.75</v>
      </c>
      <c r="K7842" s="222">
        <v>3117.12</v>
      </c>
      <c r="L7842" s="43">
        <v>6.8390163983803847</v>
      </c>
      <c r="M7842" s="43">
        <v>11.500435161009573</v>
      </c>
      <c r="N7842" s="43">
        <v>5.4116345013817329</v>
      </c>
      <c r="O7842" s="43">
        <v>6.0444444444444434</v>
      </c>
      <c r="P7842" s="223"/>
      <c r="Q7842" s="223"/>
      <c r="R7842" s="223">
        <v>3</v>
      </c>
    </row>
    <row r="7843" spans="1:18" ht="72">
      <c r="A7843" s="219">
        <v>733</v>
      </c>
      <c r="B7843" s="216" t="s">
        <v>14438</v>
      </c>
      <c r="C7843" s="220" t="s">
        <v>14439</v>
      </c>
      <c r="D7843" s="221">
        <v>9990.36</v>
      </c>
      <c r="E7843" s="221">
        <v>2252.04</v>
      </c>
      <c r="F7843" s="221">
        <v>7143.01</v>
      </c>
      <c r="G7843" s="221">
        <v>595.30999999999995</v>
      </c>
      <c r="H7843" s="222">
        <v>68087.72</v>
      </c>
      <c r="I7843" s="222">
        <v>25899.439999999999</v>
      </c>
      <c r="J7843" s="222">
        <v>38593.370000000003</v>
      </c>
      <c r="K7843" s="222">
        <v>3594.91</v>
      </c>
      <c r="L7843" s="43">
        <v>6.8153419896780489</v>
      </c>
      <c r="M7843" s="43">
        <v>11.500435161009573</v>
      </c>
      <c r="N7843" s="43">
        <v>5.4029561767378178</v>
      </c>
      <c r="O7843" s="43">
        <v>6.0387193227058171</v>
      </c>
      <c r="P7843" s="223"/>
      <c r="Q7843" s="223"/>
      <c r="R7843" s="223">
        <v>3</v>
      </c>
    </row>
    <row r="7844" spans="1:18" ht="72">
      <c r="A7844" s="219">
        <v>734</v>
      </c>
      <c r="B7844" s="216" t="s">
        <v>14440</v>
      </c>
      <c r="C7844" s="220" t="s">
        <v>14441</v>
      </c>
      <c r="D7844" s="221">
        <v>11406.02</v>
      </c>
      <c r="E7844" s="221">
        <v>2585.25</v>
      </c>
      <c r="F7844" s="221">
        <v>8113.73</v>
      </c>
      <c r="G7844" s="221">
        <v>707.04</v>
      </c>
      <c r="H7844" s="222">
        <v>77748.17</v>
      </c>
      <c r="I7844" s="222">
        <v>29731.5</v>
      </c>
      <c r="J7844" s="222">
        <v>43782.46</v>
      </c>
      <c r="K7844" s="222">
        <v>4234.21</v>
      </c>
      <c r="L7844" s="43">
        <v>6.8164153666221869</v>
      </c>
      <c r="M7844" s="43">
        <v>11.500435161009573</v>
      </c>
      <c r="N7844" s="43">
        <v>5.3960952607493722</v>
      </c>
      <c r="O7844" s="43">
        <v>5.9886427924869885</v>
      </c>
      <c r="P7844" s="223"/>
      <c r="Q7844" s="223"/>
      <c r="R7844" s="223">
        <v>3</v>
      </c>
    </row>
    <row r="7845" spans="1:18" ht="72">
      <c r="A7845" s="219">
        <v>735</v>
      </c>
      <c r="B7845" s="216" t="s">
        <v>14442</v>
      </c>
      <c r="C7845" s="220" t="s">
        <v>14443</v>
      </c>
      <c r="D7845" s="221">
        <v>12263.85</v>
      </c>
      <c r="E7845" s="221">
        <v>2654.19</v>
      </c>
      <c r="F7845" s="221">
        <v>8834.0300000000007</v>
      </c>
      <c r="G7845" s="221">
        <v>775.63</v>
      </c>
      <c r="H7845" s="222">
        <v>82855.41</v>
      </c>
      <c r="I7845" s="222">
        <v>30524.34</v>
      </c>
      <c r="J7845" s="222">
        <v>47711.99</v>
      </c>
      <c r="K7845" s="222">
        <v>4619.08</v>
      </c>
      <c r="L7845" s="43">
        <v>6.7560684450641517</v>
      </c>
      <c r="M7845" s="43">
        <v>11.500435161009573</v>
      </c>
      <c r="N7845" s="43">
        <v>5.4009313982406661</v>
      </c>
      <c r="O7845" s="43">
        <v>5.9552621739747043</v>
      </c>
      <c r="P7845" s="223"/>
      <c r="Q7845" s="223"/>
      <c r="R7845" s="223">
        <v>3</v>
      </c>
    </row>
    <row r="7846" spans="1:18" ht="12.75" customHeight="1">
      <c r="A7846" s="628" t="s">
        <v>14444</v>
      </c>
      <c r="B7846" s="629"/>
      <c r="C7846" s="629"/>
      <c r="D7846" s="629"/>
      <c r="E7846" s="629"/>
      <c r="F7846" s="629"/>
      <c r="G7846" s="629"/>
      <c r="H7846" s="629"/>
      <c r="I7846" s="629"/>
      <c r="J7846" s="629"/>
      <c r="K7846" s="629"/>
      <c r="L7846" s="629"/>
      <c r="M7846" s="629"/>
      <c r="N7846" s="629"/>
      <c r="O7846" s="629"/>
      <c r="P7846" s="629"/>
      <c r="Q7846" s="629"/>
      <c r="R7846" s="629"/>
    </row>
    <row r="7847" spans="1:18" ht="72">
      <c r="A7847" s="219">
        <v>736</v>
      </c>
      <c r="B7847" s="216" t="s">
        <v>14445</v>
      </c>
      <c r="C7847" s="220" t="s">
        <v>14446</v>
      </c>
      <c r="D7847" s="221">
        <v>3446.4</v>
      </c>
      <c r="E7847" s="221">
        <v>665.27</v>
      </c>
      <c r="F7847" s="221">
        <v>2751.01</v>
      </c>
      <c r="G7847" s="221">
        <v>30.12</v>
      </c>
      <c r="H7847" s="222">
        <v>22932.97</v>
      </c>
      <c r="I7847" s="222">
        <v>7650.91</v>
      </c>
      <c r="J7847" s="222">
        <v>15018.9</v>
      </c>
      <c r="K7847" s="222">
        <v>263.16000000000003</v>
      </c>
      <c r="L7847" s="43">
        <v>6.6541811745589605</v>
      </c>
      <c r="M7847" s="43">
        <v>11.500458460474695</v>
      </c>
      <c r="N7847" s="43">
        <v>5.4594130882839389</v>
      </c>
      <c r="O7847" s="43">
        <v>8.7370517928286855</v>
      </c>
      <c r="P7847" s="223"/>
      <c r="Q7847" s="223"/>
      <c r="R7847" s="223">
        <v>4</v>
      </c>
    </row>
    <row r="7848" spans="1:18" ht="72">
      <c r="A7848" s="219">
        <v>737</v>
      </c>
      <c r="B7848" s="216" t="s">
        <v>14447</v>
      </c>
      <c r="C7848" s="220" t="s">
        <v>14448</v>
      </c>
      <c r="D7848" s="221">
        <v>3453.63</v>
      </c>
      <c r="E7848" s="221">
        <v>665.27</v>
      </c>
      <c r="F7848" s="221">
        <v>2751.01</v>
      </c>
      <c r="G7848" s="221">
        <v>37.35</v>
      </c>
      <c r="H7848" s="222">
        <v>22981.05</v>
      </c>
      <c r="I7848" s="222">
        <v>7650.91</v>
      </c>
      <c r="J7848" s="222">
        <v>15018.9</v>
      </c>
      <c r="K7848" s="222">
        <v>311.24</v>
      </c>
      <c r="L7848" s="43">
        <v>6.6541725662563733</v>
      </c>
      <c r="M7848" s="43">
        <v>11.500458460474695</v>
      </c>
      <c r="N7848" s="43">
        <v>5.4594130882839389</v>
      </c>
      <c r="O7848" s="43">
        <v>8.3330655957161976</v>
      </c>
      <c r="P7848" s="223"/>
      <c r="Q7848" s="223"/>
      <c r="R7848" s="223">
        <v>4</v>
      </c>
    </row>
    <row r="7849" spans="1:18" ht="72">
      <c r="A7849" s="219">
        <v>738</v>
      </c>
      <c r="B7849" s="216" t="s">
        <v>14449</v>
      </c>
      <c r="C7849" s="220" t="s">
        <v>14450</v>
      </c>
      <c r="D7849" s="221">
        <v>3606.08</v>
      </c>
      <c r="E7849" s="221">
        <v>690.55</v>
      </c>
      <c r="F7849" s="221">
        <v>2868.23</v>
      </c>
      <c r="G7849" s="221">
        <v>47.3</v>
      </c>
      <c r="H7849" s="222">
        <v>23967.040000000001</v>
      </c>
      <c r="I7849" s="222">
        <v>7941.61</v>
      </c>
      <c r="J7849" s="222">
        <v>15646.57</v>
      </c>
      <c r="K7849" s="222">
        <v>378.86</v>
      </c>
      <c r="L7849" s="43">
        <v>6.6462862720738309</v>
      </c>
      <c r="M7849" s="43">
        <v>11.500412714502932</v>
      </c>
      <c r="N7849" s="43">
        <v>5.4551308646796111</v>
      </c>
      <c r="O7849" s="43">
        <v>8.0097251585623681</v>
      </c>
      <c r="P7849" s="223"/>
      <c r="Q7849" s="223"/>
      <c r="R7849" s="223">
        <v>4</v>
      </c>
    </row>
    <row r="7850" spans="1:18" ht="72">
      <c r="A7850" s="219">
        <v>739</v>
      </c>
      <c r="B7850" s="216" t="s">
        <v>14451</v>
      </c>
      <c r="C7850" s="220" t="s">
        <v>14452</v>
      </c>
      <c r="D7850" s="221">
        <v>3630.45</v>
      </c>
      <c r="E7850" s="221">
        <v>703.19</v>
      </c>
      <c r="F7850" s="221">
        <v>2872.02</v>
      </c>
      <c r="G7850" s="221">
        <v>55.24</v>
      </c>
      <c r="H7850" s="222">
        <v>24186.33</v>
      </c>
      <c r="I7850" s="222">
        <v>8086.97</v>
      </c>
      <c r="J7850" s="222">
        <v>15666.62</v>
      </c>
      <c r="K7850" s="222">
        <v>432.74</v>
      </c>
      <c r="L7850" s="43">
        <v>6.6620749493864402</v>
      </c>
      <c r="M7850" s="43">
        <v>11.500405295865981</v>
      </c>
      <c r="N7850" s="43">
        <v>5.4549132666207063</v>
      </c>
      <c r="O7850" s="43">
        <v>7.8338160753077482</v>
      </c>
      <c r="P7850" s="223"/>
      <c r="Q7850" s="223"/>
      <c r="R7850" s="223">
        <v>4</v>
      </c>
    </row>
    <row r="7851" spans="1:18" ht="72">
      <c r="A7851" s="219">
        <v>740</v>
      </c>
      <c r="B7851" s="216" t="s">
        <v>14453</v>
      </c>
      <c r="C7851" s="220" t="s">
        <v>14454</v>
      </c>
      <c r="D7851" s="221">
        <v>4082.26</v>
      </c>
      <c r="E7851" s="221">
        <v>790.51</v>
      </c>
      <c r="F7851" s="221">
        <v>3227.92</v>
      </c>
      <c r="G7851" s="221">
        <v>63.83</v>
      </c>
      <c r="H7851" s="222">
        <v>27166.3</v>
      </c>
      <c r="I7851" s="222">
        <v>9091.23</v>
      </c>
      <c r="J7851" s="222">
        <v>17578.080000000002</v>
      </c>
      <c r="K7851" s="222">
        <v>496.99</v>
      </c>
      <c r="L7851" s="43">
        <v>6.6547206694331074</v>
      </c>
      <c r="M7851" s="43">
        <v>11.500461727239376</v>
      </c>
      <c r="N7851" s="43">
        <v>5.4456368187563511</v>
      </c>
      <c r="O7851" s="43">
        <v>7.7861507128309579</v>
      </c>
      <c r="P7851" s="223"/>
      <c r="Q7851" s="223"/>
      <c r="R7851" s="223">
        <v>4</v>
      </c>
    </row>
    <row r="7852" spans="1:18" ht="72">
      <c r="A7852" s="219">
        <v>741</v>
      </c>
      <c r="B7852" s="216" t="s">
        <v>14455</v>
      </c>
      <c r="C7852" s="220" t="s">
        <v>14456</v>
      </c>
      <c r="D7852" s="221">
        <v>4108.42</v>
      </c>
      <c r="E7852" s="221">
        <v>803.15</v>
      </c>
      <c r="F7852" s="221">
        <v>3233.73</v>
      </c>
      <c r="G7852" s="221">
        <v>71.540000000000006</v>
      </c>
      <c r="H7852" s="222">
        <v>27394.79</v>
      </c>
      <c r="I7852" s="222">
        <v>9236.59</v>
      </c>
      <c r="J7852" s="222">
        <v>17608.84</v>
      </c>
      <c r="K7852" s="222">
        <v>549.36</v>
      </c>
      <c r="L7852" s="43">
        <v>6.6679623796982783</v>
      </c>
      <c r="M7852" s="43">
        <v>11.500454460561539</v>
      </c>
      <c r="N7852" s="43">
        <v>5.4453649500731354</v>
      </c>
      <c r="O7852" s="43">
        <v>7.6790606653620346</v>
      </c>
      <c r="P7852" s="223"/>
      <c r="Q7852" s="223"/>
      <c r="R7852" s="223">
        <v>4</v>
      </c>
    </row>
    <row r="7853" spans="1:18" ht="72">
      <c r="A7853" s="219">
        <v>742</v>
      </c>
      <c r="B7853" s="216" t="s">
        <v>14457</v>
      </c>
      <c r="C7853" s="220" t="s">
        <v>14458</v>
      </c>
      <c r="D7853" s="221">
        <v>4228.6099999999997</v>
      </c>
      <c r="E7853" s="221">
        <v>802</v>
      </c>
      <c r="F7853" s="221">
        <v>3319.01</v>
      </c>
      <c r="G7853" s="221">
        <v>107.6</v>
      </c>
      <c r="H7853" s="222">
        <v>28076.67</v>
      </c>
      <c r="I7853" s="222">
        <v>9223.3700000000008</v>
      </c>
      <c r="J7853" s="222">
        <v>18064.830000000002</v>
      </c>
      <c r="K7853" s="222">
        <v>788.47</v>
      </c>
      <c r="L7853" s="43">
        <v>6.6396924757780926</v>
      </c>
      <c r="M7853" s="43">
        <v>11.500461346633417</v>
      </c>
      <c r="N7853" s="43">
        <v>5.4428368700305212</v>
      </c>
      <c r="O7853" s="43">
        <v>7.3277881040892199</v>
      </c>
      <c r="P7853" s="223"/>
      <c r="Q7853" s="223"/>
      <c r="R7853" s="223">
        <v>4</v>
      </c>
    </row>
    <row r="7854" spans="1:18" ht="72">
      <c r="A7854" s="219">
        <v>743</v>
      </c>
      <c r="B7854" s="216" t="s">
        <v>14459</v>
      </c>
      <c r="C7854" s="220" t="s">
        <v>14460</v>
      </c>
      <c r="D7854" s="221">
        <v>4968.34</v>
      </c>
      <c r="E7854" s="221">
        <v>930.69</v>
      </c>
      <c r="F7854" s="221">
        <v>3938.38</v>
      </c>
      <c r="G7854" s="221">
        <v>99.27</v>
      </c>
      <c r="H7854" s="222">
        <v>32781.589999999997</v>
      </c>
      <c r="I7854" s="222">
        <v>10703.34</v>
      </c>
      <c r="J7854" s="222">
        <v>21449.52</v>
      </c>
      <c r="K7854" s="222">
        <v>628.73</v>
      </c>
      <c r="L7854" s="43">
        <v>6.5980971511611513</v>
      </c>
      <c r="M7854" s="43">
        <v>11.500435161009573</v>
      </c>
      <c r="N7854" s="43">
        <v>5.446279942514435</v>
      </c>
      <c r="O7854" s="43">
        <v>6.3335348040697097</v>
      </c>
      <c r="P7854" s="223"/>
      <c r="Q7854" s="223"/>
      <c r="R7854" s="223">
        <v>4</v>
      </c>
    </row>
    <row r="7855" spans="1:18" ht="72">
      <c r="A7855" s="219">
        <v>744</v>
      </c>
      <c r="B7855" s="216" t="s">
        <v>14461</v>
      </c>
      <c r="C7855" s="220" t="s">
        <v>14462</v>
      </c>
      <c r="D7855" s="221">
        <v>5194.1400000000003</v>
      </c>
      <c r="E7855" s="221">
        <v>954.82</v>
      </c>
      <c r="F7855" s="221">
        <v>4115.04</v>
      </c>
      <c r="G7855" s="221">
        <v>124.28</v>
      </c>
      <c r="H7855" s="222">
        <v>34127.11</v>
      </c>
      <c r="I7855" s="222">
        <v>10980.83</v>
      </c>
      <c r="J7855" s="222">
        <v>22397.200000000001</v>
      </c>
      <c r="K7855" s="222">
        <v>749.08</v>
      </c>
      <c r="L7855" s="43">
        <v>6.5703100031959085</v>
      </c>
      <c r="M7855" s="43">
        <v>11.500418927127626</v>
      </c>
      <c r="N7855" s="43">
        <v>5.442766048446674</v>
      </c>
      <c r="O7855" s="43">
        <v>6.027357579658835</v>
      </c>
      <c r="P7855" s="223"/>
      <c r="Q7855" s="223"/>
      <c r="R7855" s="223">
        <v>4</v>
      </c>
    </row>
    <row r="7856" spans="1:18" ht="72">
      <c r="A7856" s="219">
        <v>745</v>
      </c>
      <c r="B7856" s="216" t="s">
        <v>14463</v>
      </c>
      <c r="C7856" s="220" t="s">
        <v>14464</v>
      </c>
      <c r="D7856" s="221">
        <v>5303.78</v>
      </c>
      <c r="E7856" s="221">
        <v>1019.16</v>
      </c>
      <c r="F7856" s="221">
        <v>4132.55</v>
      </c>
      <c r="G7856" s="221">
        <v>152.07</v>
      </c>
      <c r="H7856" s="222">
        <v>35109.699999999997</v>
      </c>
      <c r="I7856" s="222">
        <v>11720.82</v>
      </c>
      <c r="J7856" s="222">
        <v>22486.65</v>
      </c>
      <c r="K7856" s="222">
        <v>902.23</v>
      </c>
      <c r="L7856" s="43">
        <v>6.6197504421374944</v>
      </c>
      <c r="M7856" s="43">
        <v>11.500470976097963</v>
      </c>
      <c r="N7856" s="43">
        <v>5.4413497719325843</v>
      </c>
      <c r="O7856" s="43">
        <v>5.9329913855461305</v>
      </c>
      <c r="P7856" s="223"/>
      <c r="Q7856" s="223"/>
      <c r="R7856" s="223">
        <v>4</v>
      </c>
    </row>
    <row r="7857" spans="1:18" ht="72">
      <c r="A7857" s="219">
        <v>746</v>
      </c>
      <c r="B7857" s="216" t="s">
        <v>14465</v>
      </c>
      <c r="C7857" s="220" t="s">
        <v>14466</v>
      </c>
      <c r="D7857" s="221">
        <v>5925.61</v>
      </c>
      <c r="E7857" s="221">
        <v>1059.3800000000001</v>
      </c>
      <c r="F7857" s="221">
        <v>4665.5</v>
      </c>
      <c r="G7857" s="221">
        <v>200.73</v>
      </c>
      <c r="H7857" s="222">
        <v>38760.92</v>
      </c>
      <c r="I7857" s="222">
        <v>12183.31</v>
      </c>
      <c r="J7857" s="222">
        <v>25420.3</v>
      </c>
      <c r="K7857" s="222">
        <v>1157.31</v>
      </c>
      <c r="L7857" s="43">
        <v>6.5412539806028409</v>
      </c>
      <c r="M7857" s="43">
        <v>11.500415337272743</v>
      </c>
      <c r="N7857" s="43">
        <v>5.4485692851784373</v>
      </c>
      <c r="O7857" s="43">
        <v>5.7655059034523983</v>
      </c>
      <c r="P7857" s="223"/>
      <c r="Q7857" s="223"/>
      <c r="R7857" s="223">
        <v>4</v>
      </c>
    </row>
    <row r="7858" spans="1:18" ht="72">
      <c r="A7858" s="219">
        <v>747</v>
      </c>
      <c r="B7858" s="216" t="s">
        <v>14467</v>
      </c>
      <c r="C7858" s="220" t="s">
        <v>14468</v>
      </c>
      <c r="D7858" s="221">
        <v>6544.26</v>
      </c>
      <c r="E7858" s="221">
        <v>1194.96</v>
      </c>
      <c r="F7858" s="221">
        <v>5032.28</v>
      </c>
      <c r="G7858" s="221">
        <v>317.02</v>
      </c>
      <c r="H7858" s="222">
        <v>42876.37</v>
      </c>
      <c r="I7858" s="222">
        <v>13742.56</v>
      </c>
      <c r="J7858" s="222">
        <v>27379.040000000001</v>
      </c>
      <c r="K7858" s="222">
        <v>1754.77</v>
      </c>
      <c r="L7858" s="43">
        <v>6.5517522225583953</v>
      </c>
      <c r="M7858" s="43">
        <v>11.500435161009573</v>
      </c>
      <c r="N7858" s="43">
        <v>5.4406829508691894</v>
      </c>
      <c r="O7858" s="43">
        <v>5.5352028263201065</v>
      </c>
      <c r="P7858" s="223"/>
      <c r="Q7858" s="223"/>
      <c r="R7858" s="223">
        <v>4</v>
      </c>
    </row>
    <row r="7859" spans="1:18" ht="72">
      <c r="A7859" s="219">
        <v>748</v>
      </c>
      <c r="B7859" s="216" t="s">
        <v>14469</v>
      </c>
      <c r="C7859" s="220" t="s">
        <v>14470</v>
      </c>
      <c r="D7859" s="221">
        <v>7649.73</v>
      </c>
      <c r="E7859" s="221">
        <v>1516.68</v>
      </c>
      <c r="F7859" s="221">
        <v>5402.73</v>
      </c>
      <c r="G7859" s="221">
        <v>730.32</v>
      </c>
      <c r="H7859" s="222">
        <v>50616.62</v>
      </c>
      <c r="I7859" s="222">
        <v>17442.48</v>
      </c>
      <c r="J7859" s="222">
        <v>29334.52</v>
      </c>
      <c r="K7859" s="222">
        <v>3839.62</v>
      </c>
      <c r="L7859" s="43">
        <v>6.6167851675810789</v>
      </c>
      <c r="M7859" s="43">
        <v>11.500435161009573</v>
      </c>
      <c r="N7859" s="43">
        <v>5.4295735674372034</v>
      </c>
      <c r="O7859" s="43">
        <v>5.2574487895716944</v>
      </c>
      <c r="P7859" s="223"/>
      <c r="Q7859" s="223"/>
      <c r="R7859" s="223">
        <v>4</v>
      </c>
    </row>
    <row r="7860" spans="1:18" ht="72">
      <c r="A7860" s="219">
        <v>749</v>
      </c>
      <c r="B7860" s="216" t="s">
        <v>14471</v>
      </c>
      <c r="C7860" s="220" t="s">
        <v>14472</v>
      </c>
      <c r="D7860" s="221">
        <v>8669.6200000000008</v>
      </c>
      <c r="E7860" s="221">
        <v>1677.54</v>
      </c>
      <c r="F7860" s="221">
        <v>5884.07</v>
      </c>
      <c r="G7860" s="221">
        <v>1108.01</v>
      </c>
      <c r="H7860" s="222">
        <v>56970.94</v>
      </c>
      <c r="I7860" s="222">
        <v>19292.439999999999</v>
      </c>
      <c r="J7860" s="222">
        <v>31903.35</v>
      </c>
      <c r="K7860" s="222">
        <v>5775.15</v>
      </c>
      <c r="L7860" s="43">
        <v>6.5713306926947199</v>
      </c>
      <c r="M7860" s="43">
        <v>11.500435161009573</v>
      </c>
      <c r="N7860" s="43">
        <v>5.4219868220466445</v>
      </c>
      <c r="O7860" s="43">
        <v>5.2121822005216556</v>
      </c>
      <c r="P7860" s="223"/>
      <c r="Q7860" s="223"/>
      <c r="R7860" s="223">
        <v>4</v>
      </c>
    </row>
    <row r="7861" spans="1:18" ht="72">
      <c r="A7861" s="219">
        <v>750</v>
      </c>
      <c r="B7861" s="216" t="s">
        <v>14473</v>
      </c>
      <c r="C7861" s="220" t="s">
        <v>14474</v>
      </c>
      <c r="D7861" s="221">
        <v>9680.08</v>
      </c>
      <c r="E7861" s="221">
        <v>1941.81</v>
      </c>
      <c r="F7861" s="221">
        <v>6580.14</v>
      </c>
      <c r="G7861" s="221">
        <v>1158.1300000000001</v>
      </c>
      <c r="H7861" s="222">
        <v>64030.91</v>
      </c>
      <c r="I7861" s="222">
        <v>22331.66</v>
      </c>
      <c r="J7861" s="222">
        <v>35629.339999999997</v>
      </c>
      <c r="K7861" s="222">
        <v>6069.91</v>
      </c>
      <c r="L7861" s="43">
        <v>6.6147087627374983</v>
      </c>
      <c r="M7861" s="43">
        <v>11.500435161009573</v>
      </c>
      <c r="N7861" s="43">
        <v>5.4146781071527341</v>
      </c>
      <c r="O7861" s="43">
        <v>5.2411300976574298</v>
      </c>
      <c r="P7861" s="223"/>
      <c r="Q7861" s="223"/>
      <c r="R7861" s="223">
        <v>4</v>
      </c>
    </row>
    <row r="7862" spans="1:18" ht="72">
      <c r="A7862" s="219">
        <v>751</v>
      </c>
      <c r="B7862" s="216" t="s">
        <v>14475</v>
      </c>
      <c r="C7862" s="220" t="s">
        <v>14476</v>
      </c>
      <c r="D7862" s="221">
        <v>10022.58</v>
      </c>
      <c r="E7862" s="221">
        <v>2194.59</v>
      </c>
      <c r="F7862" s="221">
        <v>6625.9</v>
      </c>
      <c r="G7862" s="221">
        <v>1202.0899999999999</v>
      </c>
      <c r="H7862" s="222">
        <v>67436.05</v>
      </c>
      <c r="I7862" s="222">
        <v>25238.74</v>
      </c>
      <c r="J7862" s="222">
        <v>35858.26</v>
      </c>
      <c r="K7862" s="222">
        <v>6339.05</v>
      </c>
      <c r="L7862" s="43">
        <v>6.7284122451504507</v>
      </c>
      <c r="M7862" s="43">
        <v>11.500435161009573</v>
      </c>
      <c r="N7862" s="43">
        <v>5.4118323548499081</v>
      </c>
      <c r="O7862" s="43">
        <v>5.273357236147044</v>
      </c>
      <c r="P7862" s="223"/>
      <c r="Q7862" s="223"/>
      <c r="R7862" s="223">
        <v>4</v>
      </c>
    </row>
    <row r="7863" spans="1:18" ht="72">
      <c r="A7863" s="219">
        <v>752</v>
      </c>
      <c r="B7863" s="216" t="s">
        <v>14477</v>
      </c>
      <c r="C7863" s="220" t="s">
        <v>14478</v>
      </c>
      <c r="D7863" s="221">
        <v>10414.34</v>
      </c>
      <c r="E7863" s="221">
        <v>2298</v>
      </c>
      <c r="F7863" s="221">
        <v>6735.5</v>
      </c>
      <c r="G7863" s="221">
        <v>1380.84</v>
      </c>
      <c r="H7863" s="222">
        <v>70159.58</v>
      </c>
      <c r="I7863" s="222">
        <v>26428</v>
      </c>
      <c r="J7863" s="222">
        <v>36412.11</v>
      </c>
      <c r="K7863" s="222">
        <v>7319.47</v>
      </c>
      <c r="L7863" s="43">
        <v>6.7368244171018041</v>
      </c>
      <c r="M7863" s="43">
        <v>11.500435161009573</v>
      </c>
      <c r="N7863" s="43">
        <v>5.4059995545987682</v>
      </c>
      <c r="O7863" s="43">
        <v>5.3007372324092588</v>
      </c>
      <c r="P7863" s="223"/>
      <c r="Q7863" s="223"/>
      <c r="R7863" s="223">
        <v>4</v>
      </c>
    </row>
    <row r="7864" spans="1:18" ht="72">
      <c r="A7864" s="219">
        <v>753</v>
      </c>
      <c r="B7864" s="216" t="s">
        <v>14479</v>
      </c>
      <c r="C7864" s="220" t="s">
        <v>14480</v>
      </c>
      <c r="D7864" s="221">
        <v>12849.41</v>
      </c>
      <c r="E7864" s="221">
        <v>2815.05</v>
      </c>
      <c r="F7864" s="221">
        <v>8272.65</v>
      </c>
      <c r="G7864" s="221">
        <v>1761.71</v>
      </c>
      <c r="H7864" s="222">
        <v>86230.29</v>
      </c>
      <c r="I7864" s="222">
        <v>32374.3</v>
      </c>
      <c r="J7864" s="222">
        <v>44702.400000000001</v>
      </c>
      <c r="K7864" s="222">
        <v>9153.59</v>
      </c>
      <c r="L7864" s="43">
        <v>6.7108365286810834</v>
      </c>
      <c r="M7864" s="43">
        <v>11.500435161009573</v>
      </c>
      <c r="N7864" s="43">
        <v>5.4036372867219091</v>
      </c>
      <c r="O7864" s="43">
        <v>5.1958551634491492</v>
      </c>
      <c r="P7864" s="223"/>
      <c r="Q7864" s="223"/>
      <c r="R7864" s="223">
        <v>4</v>
      </c>
    </row>
    <row r="7865" spans="1:18" ht="72">
      <c r="A7865" s="219">
        <v>754</v>
      </c>
      <c r="B7865" s="216" t="s">
        <v>14481</v>
      </c>
      <c r="C7865" s="220" t="s">
        <v>14482</v>
      </c>
      <c r="D7865" s="221">
        <v>13227.7</v>
      </c>
      <c r="E7865" s="221">
        <v>2929.95</v>
      </c>
      <c r="F7865" s="221">
        <v>8472.5400000000009</v>
      </c>
      <c r="G7865" s="221">
        <v>1825.21</v>
      </c>
      <c r="H7865" s="222">
        <v>88976.86</v>
      </c>
      <c r="I7865" s="222">
        <v>33695.699999999997</v>
      </c>
      <c r="J7865" s="222">
        <v>45761.87</v>
      </c>
      <c r="K7865" s="222">
        <v>9519.2900000000009</v>
      </c>
      <c r="L7865" s="43">
        <v>6.7265556370344051</v>
      </c>
      <c r="M7865" s="43">
        <v>11.500435161009573</v>
      </c>
      <c r="N7865" s="43">
        <v>5.4011984599659604</v>
      </c>
      <c r="O7865" s="43">
        <v>5.2154491811901096</v>
      </c>
      <c r="P7865" s="223"/>
      <c r="Q7865" s="223"/>
      <c r="R7865" s="223">
        <v>4</v>
      </c>
    </row>
    <row r="7866" spans="1:18" ht="72">
      <c r="A7866" s="219">
        <v>755</v>
      </c>
      <c r="B7866" s="216" t="s">
        <v>14483</v>
      </c>
      <c r="C7866" s="220" t="s">
        <v>14484</v>
      </c>
      <c r="D7866" s="221">
        <v>17997.75</v>
      </c>
      <c r="E7866" s="221">
        <v>3952.56</v>
      </c>
      <c r="F7866" s="221">
        <v>11350.12</v>
      </c>
      <c r="G7866" s="221">
        <v>2695.07</v>
      </c>
      <c r="H7866" s="222">
        <v>120504.96000000001</v>
      </c>
      <c r="I7866" s="222">
        <v>45456.160000000003</v>
      </c>
      <c r="J7866" s="222">
        <v>61201.33</v>
      </c>
      <c r="K7866" s="222">
        <v>13847.47</v>
      </c>
      <c r="L7866" s="43">
        <v>6.6955569446180778</v>
      </c>
      <c r="M7866" s="43">
        <v>11.500435161009575</v>
      </c>
      <c r="N7866" s="43">
        <v>5.3921306558873381</v>
      </c>
      <c r="O7866" s="43">
        <v>5.138074335731539</v>
      </c>
      <c r="P7866" s="223"/>
      <c r="Q7866" s="223"/>
      <c r="R7866" s="223">
        <v>4</v>
      </c>
    </row>
    <row r="7867" spans="1:18" ht="72">
      <c r="A7867" s="219">
        <v>756</v>
      </c>
      <c r="B7867" s="216" t="s">
        <v>14485</v>
      </c>
      <c r="C7867" s="220" t="s">
        <v>14486</v>
      </c>
      <c r="D7867" s="221">
        <v>21038.22</v>
      </c>
      <c r="E7867" s="221">
        <v>4641.96</v>
      </c>
      <c r="F7867" s="221">
        <v>13369.18</v>
      </c>
      <c r="G7867" s="221">
        <v>3027.08</v>
      </c>
      <c r="H7867" s="222">
        <v>141097.19</v>
      </c>
      <c r="I7867" s="222">
        <v>53384.56</v>
      </c>
      <c r="J7867" s="222">
        <v>72045.759999999995</v>
      </c>
      <c r="K7867" s="222">
        <v>15666.87</v>
      </c>
      <c r="L7867" s="43">
        <v>6.7067076016887359</v>
      </c>
      <c r="M7867" s="43">
        <v>11.500435161009573</v>
      </c>
      <c r="N7867" s="43">
        <v>5.3889438245277566</v>
      </c>
      <c r="O7867" s="43">
        <v>5.1755718382071176</v>
      </c>
      <c r="P7867" s="223"/>
      <c r="Q7867" s="223"/>
      <c r="R7867" s="223">
        <v>4</v>
      </c>
    </row>
    <row r="7868" spans="1:18" ht="72">
      <c r="A7868" s="219">
        <v>757</v>
      </c>
      <c r="B7868" s="216" t="s">
        <v>14487</v>
      </c>
      <c r="C7868" s="220" t="s">
        <v>14488</v>
      </c>
      <c r="D7868" s="221">
        <v>24742.15</v>
      </c>
      <c r="E7868" s="221">
        <v>5492.22</v>
      </c>
      <c r="F7868" s="221">
        <v>15567.79</v>
      </c>
      <c r="G7868" s="221">
        <v>3682.14</v>
      </c>
      <c r="H7868" s="222">
        <v>165872.53</v>
      </c>
      <c r="I7868" s="222">
        <v>63162.92</v>
      </c>
      <c r="J7868" s="222">
        <v>83750.22</v>
      </c>
      <c r="K7868" s="222">
        <v>18959.39</v>
      </c>
      <c r="L7868" s="43">
        <v>6.704046738056312</v>
      </c>
      <c r="M7868" s="43">
        <v>11.500435161009573</v>
      </c>
      <c r="N7868" s="43">
        <v>5.3797115711350161</v>
      </c>
      <c r="O7868" s="43">
        <v>5.1490138886625711</v>
      </c>
      <c r="P7868" s="223"/>
      <c r="Q7868" s="223"/>
      <c r="R7868" s="223">
        <v>4</v>
      </c>
    </row>
    <row r="7869" spans="1:18" ht="72">
      <c r="A7869" s="219">
        <v>758</v>
      </c>
      <c r="B7869" s="216" t="s">
        <v>14489</v>
      </c>
      <c r="C7869" s="220" t="s">
        <v>14490</v>
      </c>
      <c r="D7869" s="221">
        <v>27794.93</v>
      </c>
      <c r="E7869" s="221">
        <v>6124.17</v>
      </c>
      <c r="F7869" s="221">
        <v>17152.09</v>
      </c>
      <c r="G7869" s="221">
        <v>4518.67</v>
      </c>
      <c r="H7869" s="222">
        <v>185882.63</v>
      </c>
      <c r="I7869" s="222">
        <v>70430.62</v>
      </c>
      <c r="J7869" s="222">
        <v>92185.08</v>
      </c>
      <c r="K7869" s="222">
        <v>23266.93</v>
      </c>
      <c r="L7869" s="43">
        <v>6.687645192846321</v>
      </c>
      <c r="M7869" s="43">
        <v>11.500435161009573</v>
      </c>
      <c r="N7869" s="43">
        <v>5.3745683470644101</v>
      </c>
      <c r="O7869" s="43">
        <v>5.149065986230462</v>
      </c>
      <c r="P7869" s="223"/>
      <c r="Q7869" s="223"/>
      <c r="R7869" s="223">
        <v>4</v>
      </c>
    </row>
    <row r="7870" spans="1:18" ht="12.75" customHeight="1">
      <c r="A7870" s="628" t="s">
        <v>14491</v>
      </c>
      <c r="B7870" s="629"/>
      <c r="C7870" s="629"/>
      <c r="D7870" s="629"/>
      <c r="E7870" s="629"/>
      <c r="F7870" s="629"/>
      <c r="G7870" s="629"/>
      <c r="H7870" s="629"/>
      <c r="I7870" s="629"/>
      <c r="J7870" s="629"/>
      <c r="K7870" s="629"/>
      <c r="L7870" s="629"/>
      <c r="M7870" s="629"/>
      <c r="N7870" s="629"/>
      <c r="O7870" s="629"/>
      <c r="P7870" s="629"/>
      <c r="Q7870" s="629"/>
      <c r="R7870" s="629"/>
    </row>
    <row r="7871" spans="1:18" ht="72">
      <c r="A7871" s="219">
        <v>759</v>
      </c>
      <c r="B7871" s="216" t="s">
        <v>14492</v>
      </c>
      <c r="C7871" s="220" t="s">
        <v>14493</v>
      </c>
      <c r="D7871" s="221">
        <v>4284.0200000000004</v>
      </c>
      <c r="E7871" s="221">
        <v>788.21</v>
      </c>
      <c r="F7871" s="221">
        <v>3453.46</v>
      </c>
      <c r="G7871" s="221">
        <v>42.35</v>
      </c>
      <c r="H7871" s="222">
        <v>28214.66</v>
      </c>
      <c r="I7871" s="222">
        <v>9064.7999999999993</v>
      </c>
      <c r="J7871" s="222">
        <v>18793.36</v>
      </c>
      <c r="K7871" s="222">
        <v>356.5</v>
      </c>
      <c r="L7871" s="43">
        <v>6.5860243416230544</v>
      </c>
      <c r="M7871" s="43">
        <v>11.500488448509913</v>
      </c>
      <c r="N7871" s="43">
        <v>5.441893057976638</v>
      </c>
      <c r="O7871" s="43">
        <v>8.4179456906729637</v>
      </c>
      <c r="P7871" s="223"/>
      <c r="Q7871" s="223"/>
      <c r="R7871" s="223">
        <v>5</v>
      </c>
    </row>
    <row r="7872" spans="1:18" ht="72">
      <c r="A7872" s="219">
        <v>760</v>
      </c>
      <c r="B7872" s="216" t="s">
        <v>14494</v>
      </c>
      <c r="C7872" s="220" t="s">
        <v>14495</v>
      </c>
      <c r="D7872" s="221">
        <v>4290.7700000000004</v>
      </c>
      <c r="E7872" s="221">
        <v>788.21</v>
      </c>
      <c r="F7872" s="221">
        <v>3453.46</v>
      </c>
      <c r="G7872" s="221">
        <v>49.1</v>
      </c>
      <c r="H7872" s="222">
        <v>28258.45</v>
      </c>
      <c r="I7872" s="222">
        <v>9064.7999999999993</v>
      </c>
      <c r="J7872" s="222">
        <v>18793.36</v>
      </c>
      <c r="K7872" s="222">
        <v>400.29</v>
      </c>
      <c r="L7872" s="43">
        <v>6.5858692029635701</v>
      </c>
      <c r="M7872" s="43">
        <v>11.500488448509913</v>
      </c>
      <c r="N7872" s="43">
        <v>5.441893057976638</v>
      </c>
      <c r="O7872" s="43">
        <v>8.15254582484725</v>
      </c>
      <c r="P7872" s="223"/>
      <c r="Q7872" s="223"/>
      <c r="R7872" s="223">
        <v>5</v>
      </c>
    </row>
    <row r="7873" spans="1:18" ht="72">
      <c r="A7873" s="219">
        <v>761</v>
      </c>
      <c r="B7873" s="216" t="s">
        <v>14496</v>
      </c>
      <c r="C7873" s="220" t="s">
        <v>14497</v>
      </c>
      <c r="D7873" s="221">
        <v>4346.95</v>
      </c>
      <c r="E7873" s="221">
        <v>814.64</v>
      </c>
      <c r="F7873" s="221">
        <v>3470.45</v>
      </c>
      <c r="G7873" s="221">
        <v>61.86</v>
      </c>
      <c r="H7873" s="222">
        <v>28738.19</v>
      </c>
      <c r="I7873" s="222">
        <v>9368.73</v>
      </c>
      <c r="J7873" s="222">
        <v>18882.21</v>
      </c>
      <c r="K7873" s="222">
        <v>487.25</v>
      </c>
      <c r="L7873" s="43">
        <v>6.6111158398417285</v>
      </c>
      <c r="M7873" s="43">
        <v>11.500454188353137</v>
      </c>
      <c r="N7873" s="43">
        <v>5.4408534916221241</v>
      </c>
      <c r="O7873" s="43">
        <v>7.8766569673456193</v>
      </c>
      <c r="P7873" s="223"/>
      <c r="Q7873" s="223"/>
      <c r="R7873" s="223">
        <v>5</v>
      </c>
    </row>
    <row r="7874" spans="1:18" ht="72">
      <c r="A7874" s="219">
        <v>762</v>
      </c>
      <c r="B7874" s="216" t="s">
        <v>14498</v>
      </c>
      <c r="C7874" s="220" t="s">
        <v>14499</v>
      </c>
      <c r="D7874" s="221">
        <v>4428.9799999999996</v>
      </c>
      <c r="E7874" s="221">
        <v>877.84</v>
      </c>
      <c r="F7874" s="221">
        <v>3475.2</v>
      </c>
      <c r="G7874" s="221">
        <v>75.94</v>
      </c>
      <c r="H7874" s="222">
        <v>29585.26</v>
      </c>
      <c r="I7874" s="222">
        <v>10095.5</v>
      </c>
      <c r="J7874" s="222">
        <v>18907.38</v>
      </c>
      <c r="K7874" s="222">
        <v>582.38</v>
      </c>
      <c r="L7874" s="43">
        <v>6.6799263035732839</v>
      </c>
      <c r="M7874" s="43">
        <v>11.50038731431696</v>
      </c>
      <c r="N7874" s="43">
        <v>5.4406595303867409</v>
      </c>
      <c r="O7874" s="43">
        <v>7.6689491703976822</v>
      </c>
      <c r="P7874" s="223"/>
      <c r="Q7874" s="223"/>
      <c r="R7874" s="223">
        <v>5</v>
      </c>
    </row>
    <row r="7875" spans="1:18" ht="72">
      <c r="A7875" s="219">
        <v>763</v>
      </c>
      <c r="B7875" s="216" t="s">
        <v>14500</v>
      </c>
      <c r="C7875" s="220" t="s">
        <v>14501</v>
      </c>
      <c r="D7875" s="221">
        <v>5442.92</v>
      </c>
      <c r="E7875" s="221">
        <v>1367.31</v>
      </c>
      <c r="F7875" s="221">
        <v>3981.83</v>
      </c>
      <c r="G7875" s="221">
        <v>93.78</v>
      </c>
      <c r="H7875" s="222">
        <v>38108.089999999997</v>
      </c>
      <c r="I7875" s="222">
        <v>15724.66</v>
      </c>
      <c r="J7875" s="222">
        <v>21628.959999999999</v>
      </c>
      <c r="K7875" s="222">
        <v>754.47</v>
      </c>
      <c r="L7875" s="43">
        <v>7.0014054955795775</v>
      </c>
      <c r="M7875" s="43">
        <v>11.500435161009573</v>
      </c>
      <c r="N7875" s="43">
        <v>5.4319144714867287</v>
      </c>
      <c r="O7875" s="43">
        <v>8.04510556621881</v>
      </c>
      <c r="P7875" s="223"/>
      <c r="Q7875" s="223"/>
      <c r="R7875" s="223">
        <v>5</v>
      </c>
    </row>
    <row r="7876" spans="1:18" ht="72">
      <c r="A7876" s="219">
        <v>764</v>
      </c>
      <c r="B7876" s="216" t="s">
        <v>14502</v>
      </c>
      <c r="C7876" s="220" t="s">
        <v>14503</v>
      </c>
      <c r="D7876" s="221">
        <v>5486.95</v>
      </c>
      <c r="E7876" s="221">
        <v>1390.29</v>
      </c>
      <c r="F7876" s="221">
        <v>3989.22</v>
      </c>
      <c r="G7876" s="221">
        <v>107.44</v>
      </c>
      <c r="H7876" s="222">
        <v>38497.760000000002</v>
      </c>
      <c r="I7876" s="222">
        <v>15988.94</v>
      </c>
      <c r="J7876" s="222">
        <v>21667.01</v>
      </c>
      <c r="K7876" s="222">
        <v>841.81</v>
      </c>
      <c r="L7876" s="43">
        <v>7.0162403521081842</v>
      </c>
      <c r="M7876" s="43">
        <v>11.500435161009575</v>
      </c>
      <c r="N7876" s="43">
        <v>5.4313900963095545</v>
      </c>
      <c r="O7876" s="43">
        <v>7.8351638123603866</v>
      </c>
      <c r="P7876" s="223"/>
      <c r="Q7876" s="223"/>
      <c r="R7876" s="223">
        <v>5</v>
      </c>
    </row>
    <row r="7877" spans="1:18" ht="72">
      <c r="A7877" s="219">
        <v>765</v>
      </c>
      <c r="B7877" s="216" t="s">
        <v>14504</v>
      </c>
      <c r="C7877" s="220" t="s">
        <v>14505</v>
      </c>
      <c r="D7877" s="221">
        <v>5598.18</v>
      </c>
      <c r="E7877" s="221">
        <v>1390.29</v>
      </c>
      <c r="F7877" s="221">
        <v>4076.02</v>
      </c>
      <c r="G7877" s="221">
        <v>131.87</v>
      </c>
      <c r="H7877" s="222">
        <v>39119.760000000002</v>
      </c>
      <c r="I7877" s="222">
        <v>15988.94</v>
      </c>
      <c r="J7877" s="222">
        <v>22131.16</v>
      </c>
      <c r="K7877" s="222">
        <v>999.66</v>
      </c>
      <c r="L7877" s="43">
        <v>6.9879425098871417</v>
      </c>
      <c r="M7877" s="43">
        <v>11.500435161009575</v>
      </c>
      <c r="N7877" s="43">
        <v>5.429600443569953</v>
      </c>
      <c r="O7877" s="43">
        <v>7.5806476074922271</v>
      </c>
      <c r="P7877" s="223"/>
      <c r="Q7877" s="223"/>
      <c r="R7877" s="223">
        <v>5</v>
      </c>
    </row>
    <row r="7878" spans="1:18" ht="72">
      <c r="A7878" s="219">
        <v>766</v>
      </c>
      <c r="B7878" s="216" t="s">
        <v>14506</v>
      </c>
      <c r="C7878" s="220" t="s">
        <v>14507</v>
      </c>
      <c r="D7878" s="221">
        <v>6987.16</v>
      </c>
      <c r="E7878" s="221">
        <v>1574.13</v>
      </c>
      <c r="F7878" s="221">
        <v>5273.52</v>
      </c>
      <c r="G7878" s="221">
        <v>139.51</v>
      </c>
      <c r="H7878" s="222">
        <v>47640.160000000003</v>
      </c>
      <c r="I7878" s="222">
        <v>18103.18</v>
      </c>
      <c r="J7878" s="222">
        <v>28623.7</v>
      </c>
      <c r="K7878" s="222">
        <v>913.28</v>
      </c>
      <c r="L7878" s="43">
        <v>6.8182437499642203</v>
      </c>
      <c r="M7878" s="43">
        <v>11.500435161009573</v>
      </c>
      <c r="N7878" s="43">
        <v>5.4278167144525851</v>
      </c>
      <c r="O7878" s="43">
        <v>6.5463407641029319</v>
      </c>
      <c r="P7878" s="223"/>
      <c r="Q7878" s="223"/>
      <c r="R7878" s="223">
        <v>5</v>
      </c>
    </row>
    <row r="7879" spans="1:18" ht="72">
      <c r="A7879" s="219">
        <v>767</v>
      </c>
      <c r="B7879" s="216" t="s">
        <v>14508</v>
      </c>
      <c r="C7879" s="220" t="s">
        <v>14509</v>
      </c>
      <c r="D7879" s="221">
        <v>7067.19</v>
      </c>
      <c r="E7879" s="221">
        <v>1608.6</v>
      </c>
      <c r="F7879" s="221">
        <v>5290.32</v>
      </c>
      <c r="G7879" s="221">
        <v>168.27</v>
      </c>
      <c r="H7879" s="222">
        <v>48262.32</v>
      </c>
      <c r="I7879" s="222">
        <v>18499.599999999999</v>
      </c>
      <c r="J7879" s="222">
        <v>28710.52</v>
      </c>
      <c r="K7879" s="222">
        <v>1052.2</v>
      </c>
      <c r="L7879" s="43">
        <v>6.8290678473339481</v>
      </c>
      <c r="M7879" s="43">
        <v>11.500435161009573</v>
      </c>
      <c r="N7879" s="43">
        <v>5.4269911838981386</v>
      </c>
      <c r="O7879" s="43">
        <v>6.2530457003625122</v>
      </c>
      <c r="P7879" s="223"/>
      <c r="Q7879" s="223"/>
      <c r="R7879" s="223">
        <v>5</v>
      </c>
    </row>
    <row r="7880" spans="1:18" ht="72">
      <c r="A7880" s="219">
        <v>768</v>
      </c>
      <c r="B7880" s="216" t="s">
        <v>14510</v>
      </c>
      <c r="C7880" s="220" t="s">
        <v>14511</v>
      </c>
      <c r="D7880" s="221">
        <v>7401.58</v>
      </c>
      <c r="E7880" s="221">
        <v>1643.07</v>
      </c>
      <c r="F7880" s="221">
        <v>5557.02</v>
      </c>
      <c r="G7880" s="221">
        <v>201.49</v>
      </c>
      <c r="H7880" s="222">
        <v>50268.56</v>
      </c>
      <c r="I7880" s="222">
        <v>18896.02</v>
      </c>
      <c r="J7880" s="222">
        <v>30139.37</v>
      </c>
      <c r="K7880" s="222">
        <v>1233.17</v>
      </c>
      <c r="L7880" s="43">
        <v>6.7915985505797405</v>
      </c>
      <c r="M7880" s="43">
        <v>11.500435161009575</v>
      </c>
      <c r="N7880" s="43">
        <v>5.423656924034824</v>
      </c>
      <c r="O7880" s="43">
        <v>6.1202541069035687</v>
      </c>
      <c r="P7880" s="223"/>
      <c r="Q7880" s="223"/>
      <c r="R7880" s="223">
        <v>5</v>
      </c>
    </row>
    <row r="7881" spans="1:18" ht="72">
      <c r="A7881" s="219">
        <v>769</v>
      </c>
      <c r="B7881" s="216" t="s">
        <v>14512</v>
      </c>
      <c r="C7881" s="220" t="s">
        <v>14513</v>
      </c>
      <c r="D7881" s="221">
        <v>8562.3799999999992</v>
      </c>
      <c r="E7881" s="221">
        <v>1689.03</v>
      </c>
      <c r="F7881" s="221">
        <v>6568.81</v>
      </c>
      <c r="G7881" s="221">
        <v>304.54000000000002</v>
      </c>
      <c r="H7881" s="222">
        <v>56824.55</v>
      </c>
      <c r="I7881" s="222">
        <v>19424.580000000002</v>
      </c>
      <c r="J7881" s="222">
        <v>35635.18</v>
      </c>
      <c r="K7881" s="222">
        <v>1764.79</v>
      </c>
      <c r="L7881" s="43">
        <v>6.6365368040194443</v>
      </c>
      <c r="M7881" s="43">
        <v>11.500435161009575</v>
      </c>
      <c r="N7881" s="43">
        <v>5.4249064899121757</v>
      </c>
      <c r="O7881" s="43">
        <v>5.7949366257306094</v>
      </c>
      <c r="P7881" s="223"/>
      <c r="Q7881" s="223"/>
      <c r="R7881" s="223">
        <v>5</v>
      </c>
    </row>
    <row r="7882" spans="1:18" ht="72">
      <c r="A7882" s="219">
        <v>770</v>
      </c>
      <c r="B7882" s="216" t="s">
        <v>14514</v>
      </c>
      <c r="C7882" s="220" t="s">
        <v>14515</v>
      </c>
      <c r="D7882" s="221">
        <v>8823.2000000000007</v>
      </c>
      <c r="E7882" s="221">
        <v>1780.95</v>
      </c>
      <c r="F7882" s="221">
        <v>6586.11</v>
      </c>
      <c r="G7882" s="221">
        <v>456.14</v>
      </c>
      <c r="H7882" s="222">
        <v>58728.72</v>
      </c>
      <c r="I7882" s="222">
        <v>20481.7</v>
      </c>
      <c r="J7882" s="222">
        <v>35715.75</v>
      </c>
      <c r="K7882" s="222">
        <v>2531.27</v>
      </c>
      <c r="L7882" s="43">
        <v>6.6561700970169548</v>
      </c>
      <c r="M7882" s="43">
        <v>11.500435161009573</v>
      </c>
      <c r="N7882" s="43">
        <v>5.4228899912087716</v>
      </c>
      <c r="O7882" s="43">
        <v>5.5493269610207392</v>
      </c>
      <c r="P7882" s="223"/>
      <c r="Q7882" s="223"/>
      <c r="R7882" s="223">
        <v>5</v>
      </c>
    </row>
    <row r="7883" spans="1:18" ht="72">
      <c r="A7883" s="219">
        <v>771</v>
      </c>
      <c r="B7883" s="216" t="s">
        <v>14516</v>
      </c>
      <c r="C7883" s="220" t="s">
        <v>14517</v>
      </c>
      <c r="D7883" s="221">
        <v>9249.1</v>
      </c>
      <c r="E7883" s="221">
        <v>1849.89</v>
      </c>
      <c r="F7883" s="221">
        <v>6662.22</v>
      </c>
      <c r="G7883" s="221">
        <v>736.99</v>
      </c>
      <c r="H7883" s="222">
        <v>61294.37</v>
      </c>
      <c r="I7883" s="222">
        <v>21274.54</v>
      </c>
      <c r="J7883" s="222">
        <v>36103.51</v>
      </c>
      <c r="K7883" s="222">
        <v>3916.32</v>
      </c>
      <c r="L7883" s="43">
        <v>6.6270631737141992</v>
      </c>
      <c r="M7883" s="43">
        <v>11.500435161009573</v>
      </c>
      <c r="N7883" s="43">
        <v>5.4191410670917506</v>
      </c>
      <c r="O7883" s="43">
        <v>5.3139391307887491</v>
      </c>
      <c r="P7883" s="223"/>
      <c r="Q7883" s="223"/>
      <c r="R7883" s="223">
        <v>5</v>
      </c>
    </row>
    <row r="7884" spans="1:18" ht="72">
      <c r="A7884" s="219">
        <v>772</v>
      </c>
      <c r="B7884" s="216" t="s">
        <v>14518</v>
      </c>
      <c r="C7884" s="220" t="s">
        <v>14519</v>
      </c>
      <c r="D7884" s="221">
        <v>10797.68</v>
      </c>
      <c r="E7884" s="221">
        <v>2366.94</v>
      </c>
      <c r="F7884" s="221">
        <v>6974.35</v>
      </c>
      <c r="G7884" s="221">
        <v>1456.39</v>
      </c>
      <c r="H7884" s="222">
        <v>72500.98</v>
      </c>
      <c r="I7884" s="222">
        <v>27220.84</v>
      </c>
      <c r="J7884" s="222">
        <v>37669.730000000003</v>
      </c>
      <c r="K7884" s="222">
        <v>7610.41</v>
      </c>
      <c r="L7884" s="43">
        <v>6.7144960769350446</v>
      </c>
      <c r="M7884" s="43">
        <v>11.500435161009573</v>
      </c>
      <c r="N7884" s="43">
        <v>5.4011814721085125</v>
      </c>
      <c r="O7884" s="43">
        <v>5.2255302494524125</v>
      </c>
      <c r="P7884" s="223"/>
      <c r="Q7884" s="223"/>
      <c r="R7884" s="223">
        <v>5</v>
      </c>
    </row>
    <row r="7885" spans="1:18" ht="72">
      <c r="A7885" s="219">
        <v>773</v>
      </c>
      <c r="B7885" s="216" t="s">
        <v>14520</v>
      </c>
      <c r="C7885" s="220" t="s">
        <v>14521</v>
      </c>
      <c r="D7885" s="221">
        <v>12630.72</v>
      </c>
      <c r="E7885" s="221">
        <v>2780.58</v>
      </c>
      <c r="F7885" s="221">
        <v>8328.2000000000007</v>
      </c>
      <c r="G7885" s="221">
        <v>1521.94</v>
      </c>
      <c r="H7885" s="222">
        <v>84961.66</v>
      </c>
      <c r="I7885" s="222">
        <v>31977.88</v>
      </c>
      <c r="J7885" s="222">
        <v>44993.26</v>
      </c>
      <c r="K7885" s="222">
        <v>7990.52</v>
      </c>
      <c r="L7885" s="43">
        <v>6.7265888247067478</v>
      </c>
      <c r="M7885" s="43">
        <v>11.500435161009575</v>
      </c>
      <c r="N7885" s="43">
        <v>5.4025191517975069</v>
      </c>
      <c r="O7885" s="43">
        <v>5.2502201138021212</v>
      </c>
      <c r="P7885" s="223"/>
      <c r="Q7885" s="223"/>
      <c r="R7885" s="223">
        <v>5</v>
      </c>
    </row>
    <row r="7886" spans="1:18" ht="72">
      <c r="A7886" s="219">
        <v>774</v>
      </c>
      <c r="B7886" s="216" t="s">
        <v>14522</v>
      </c>
      <c r="C7886" s="220" t="s">
        <v>14523</v>
      </c>
      <c r="D7886" s="221">
        <v>13617.8</v>
      </c>
      <c r="E7886" s="221">
        <v>2987.4</v>
      </c>
      <c r="F7886" s="221">
        <v>8871.61</v>
      </c>
      <c r="G7886" s="221">
        <v>1758.79</v>
      </c>
      <c r="H7886" s="222">
        <v>91493.86</v>
      </c>
      <c r="I7886" s="222">
        <v>34356.400000000001</v>
      </c>
      <c r="J7886" s="222">
        <v>47865.36</v>
      </c>
      <c r="K7886" s="222">
        <v>9272.1</v>
      </c>
      <c r="L7886" s="43">
        <v>6.7186961183157345</v>
      </c>
      <c r="M7886" s="43">
        <v>11.500435161009573</v>
      </c>
      <c r="N7886" s="43">
        <v>5.3953408682302308</v>
      </c>
      <c r="O7886" s="43">
        <v>5.2718630422051529</v>
      </c>
      <c r="P7886" s="223"/>
      <c r="Q7886" s="223"/>
      <c r="R7886" s="223">
        <v>5</v>
      </c>
    </row>
    <row r="7887" spans="1:18" ht="72">
      <c r="A7887" s="219">
        <v>775</v>
      </c>
      <c r="B7887" s="216" t="s">
        <v>14524</v>
      </c>
      <c r="C7887" s="220" t="s">
        <v>14525</v>
      </c>
      <c r="D7887" s="221">
        <v>14725.27</v>
      </c>
      <c r="E7887" s="221">
        <v>3366.57</v>
      </c>
      <c r="F7887" s="221">
        <v>9328.89</v>
      </c>
      <c r="G7887" s="221">
        <v>2029.81</v>
      </c>
      <c r="H7887" s="222">
        <v>99846.6</v>
      </c>
      <c r="I7887" s="222">
        <v>38717.019999999997</v>
      </c>
      <c r="J7887" s="222">
        <v>50295.45</v>
      </c>
      <c r="K7887" s="222">
        <v>10834.13</v>
      </c>
      <c r="L7887" s="43">
        <v>6.7806294893064782</v>
      </c>
      <c r="M7887" s="43">
        <v>11.500435161009571</v>
      </c>
      <c r="N7887" s="43">
        <v>5.3913648890704042</v>
      </c>
      <c r="O7887" s="43">
        <v>5.3375094220641337</v>
      </c>
      <c r="P7887" s="223"/>
      <c r="Q7887" s="223"/>
      <c r="R7887" s="223">
        <v>5</v>
      </c>
    </row>
    <row r="7888" spans="1:18" ht="72">
      <c r="A7888" s="219">
        <v>776</v>
      </c>
      <c r="B7888" s="216" t="s">
        <v>14526</v>
      </c>
      <c r="C7888" s="220" t="s">
        <v>14527</v>
      </c>
      <c r="D7888" s="221">
        <v>15555.95</v>
      </c>
      <c r="E7888" s="221">
        <v>3527.43</v>
      </c>
      <c r="F7888" s="221">
        <v>9815.86</v>
      </c>
      <c r="G7888" s="221">
        <v>2212.66</v>
      </c>
      <c r="H7888" s="222">
        <v>105227.86</v>
      </c>
      <c r="I7888" s="222">
        <v>40566.980000000003</v>
      </c>
      <c r="J7888" s="222">
        <v>52969.24</v>
      </c>
      <c r="K7888" s="222">
        <v>11691.64</v>
      </c>
      <c r="L7888" s="43">
        <v>6.7644766150572604</v>
      </c>
      <c r="M7888" s="43">
        <v>11.500435161009575</v>
      </c>
      <c r="N7888" s="43">
        <v>5.3962913081482409</v>
      </c>
      <c r="O7888" s="43">
        <v>5.2839749441848278</v>
      </c>
      <c r="P7888" s="223"/>
      <c r="Q7888" s="223"/>
      <c r="R7888" s="223">
        <v>5</v>
      </c>
    </row>
    <row r="7889" spans="1:18" ht="12.75" customHeight="1">
      <c r="A7889" s="628" t="s">
        <v>14528</v>
      </c>
      <c r="B7889" s="629"/>
      <c r="C7889" s="629"/>
      <c r="D7889" s="629"/>
      <c r="E7889" s="629"/>
      <c r="F7889" s="629"/>
      <c r="G7889" s="629"/>
      <c r="H7889" s="629"/>
      <c r="I7889" s="629"/>
      <c r="J7889" s="629"/>
      <c r="K7889" s="629"/>
      <c r="L7889" s="629"/>
      <c r="M7889" s="629"/>
      <c r="N7889" s="629"/>
      <c r="O7889" s="629"/>
      <c r="P7889" s="629"/>
      <c r="Q7889" s="629"/>
      <c r="R7889" s="629"/>
    </row>
    <row r="7890" spans="1:18" ht="48">
      <c r="A7890" s="219">
        <v>777</v>
      </c>
      <c r="B7890" s="216" t="s">
        <v>14529</v>
      </c>
      <c r="C7890" s="220" t="s">
        <v>14530</v>
      </c>
      <c r="D7890" s="221">
        <v>951.73</v>
      </c>
      <c r="E7890" s="221">
        <v>676.76</v>
      </c>
      <c r="F7890" s="221">
        <v>252.58</v>
      </c>
      <c r="G7890" s="221">
        <v>22.39</v>
      </c>
      <c r="H7890" s="222">
        <v>9345.41</v>
      </c>
      <c r="I7890" s="222">
        <v>7783.05</v>
      </c>
      <c r="J7890" s="222">
        <v>1357.8</v>
      </c>
      <c r="K7890" s="222">
        <v>204.56</v>
      </c>
      <c r="L7890" s="43">
        <v>9.8193920544692297</v>
      </c>
      <c r="M7890" s="43">
        <v>11.500458064897453</v>
      </c>
      <c r="N7890" s="43">
        <v>5.3757225433526008</v>
      </c>
      <c r="O7890" s="43">
        <v>9.1362215274676188</v>
      </c>
      <c r="P7890" s="223"/>
      <c r="Q7890" s="223"/>
      <c r="R7890" s="223">
        <v>6</v>
      </c>
    </row>
    <row r="7891" spans="1:18" ht="48">
      <c r="A7891" s="219">
        <v>778</v>
      </c>
      <c r="B7891" s="216" t="s">
        <v>14531</v>
      </c>
      <c r="C7891" s="220" t="s">
        <v>14532</v>
      </c>
      <c r="D7891" s="221">
        <v>976.34</v>
      </c>
      <c r="E7891" s="221">
        <v>700.89</v>
      </c>
      <c r="F7891" s="221">
        <v>252.58</v>
      </c>
      <c r="G7891" s="221">
        <v>22.87</v>
      </c>
      <c r="H7891" s="222">
        <v>9628.42</v>
      </c>
      <c r="I7891" s="222">
        <v>8060.54</v>
      </c>
      <c r="J7891" s="222">
        <v>1357.8</v>
      </c>
      <c r="K7891" s="222">
        <v>210.08</v>
      </c>
      <c r="L7891" s="43">
        <v>9.8617489808878052</v>
      </c>
      <c r="M7891" s="43">
        <v>11.500435161009573</v>
      </c>
      <c r="N7891" s="43">
        <v>5.3757225433526008</v>
      </c>
      <c r="O7891" s="43">
        <v>9.1858329689549638</v>
      </c>
      <c r="P7891" s="223"/>
      <c r="Q7891" s="223"/>
      <c r="R7891" s="223">
        <v>6</v>
      </c>
    </row>
    <row r="7892" spans="1:18" ht="48">
      <c r="A7892" s="219">
        <v>779</v>
      </c>
      <c r="B7892" s="216" t="s">
        <v>14533</v>
      </c>
      <c r="C7892" s="220" t="s">
        <v>14534</v>
      </c>
      <c r="D7892" s="221">
        <v>1035.7</v>
      </c>
      <c r="E7892" s="221">
        <v>726.17</v>
      </c>
      <c r="F7892" s="221">
        <v>285.97000000000003</v>
      </c>
      <c r="G7892" s="221">
        <v>23.56</v>
      </c>
      <c r="H7892" s="222">
        <v>10106.01</v>
      </c>
      <c r="I7892" s="222">
        <v>8351.25</v>
      </c>
      <c r="J7892" s="222">
        <v>1537.26</v>
      </c>
      <c r="K7892" s="222">
        <v>217.5</v>
      </c>
      <c r="L7892" s="43">
        <v>9.7576614849860004</v>
      </c>
      <c r="M7892" s="43">
        <v>11.50040624096286</v>
      </c>
      <c r="N7892" s="43">
        <v>5.3755988390390597</v>
      </c>
      <c r="O7892" s="43">
        <v>9.2317487266553488</v>
      </c>
      <c r="P7892" s="223"/>
      <c r="Q7892" s="223"/>
      <c r="R7892" s="223">
        <v>6</v>
      </c>
    </row>
    <row r="7893" spans="1:18" ht="48">
      <c r="A7893" s="219">
        <v>780</v>
      </c>
      <c r="B7893" s="216" t="s">
        <v>14535</v>
      </c>
      <c r="C7893" s="220" t="s">
        <v>14536</v>
      </c>
      <c r="D7893" s="221">
        <v>1136.68</v>
      </c>
      <c r="E7893" s="221">
        <v>751.45</v>
      </c>
      <c r="F7893" s="221">
        <v>359.54</v>
      </c>
      <c r="G7893" s="221">
        <v>25.69</v>
      </c>
      <c r="H7893" s="222">
        <v>10810.28</v>
      </c>
      <c r="I7893" s="222">
        <v>8641.9599999999991</v>
      </c>
      <c r="J7893" s="222">
        <v>1935.62</v>
      </c>
      <c r="K7893" s="222">
        <v>232.7</v>
      </c>
      <c r="L7893" s="43">
        <v>9.5103987050005276</v>
      </c>
      <c r="M7893" s="43">
        <v>11.500379266750945</v>
      </c>
      <c r="N7893" s="43">
        <v>5.3836012682872552</v>
      </c>
      <c r="O7893" s="43">
        <v>9.0579992214869591</v>
      </c>
      <c r="P7893" s="223"/>
      <c r="Q7893" s="223"/>
      <c r="R7893" s="223">
        <v>6</v>
      </c>
    </row>
    <row r="7894" spans="1:18" ht="48">
      <c r="A7894" s="219">
        <v>781</v>
      </c>
      <c r="B7894" s="216" t="s">
        <v>14537</v>
      </c>
      <c r="C7894" s="220" t="s">
        <v>14538</v>
      </c>
      <c r="D7894" s="221">
        <v>1175.7</v>
      </c>
      <c r="E7894" s="221">
        <v>789.36</v>
      </c>
      <c r="F7894" s="221">
        <v>359.89</v>
      </c>
      <c r="G7894" s="221">
        <v>26.45</v>
      </c>
      <c r="H7894" s="222">
        <v>11256.95</v>
      </c>
      <c r="I7894" s="222">
        <v>9078.02</v>
      </c>
      <c r="J7894" s="222">
        <v>1937.49</v>
      </c>
      <c r="K7894" s="222">
        <v>241.44</v>
      </c>
      <c r="L7894" s="43">
        <v>9.5746789146891214</v>
      </c>
      <c r="M7894" s="43">
        <v>11.500481402655316</v>
      </c>
      <c r="N7894" s="43">
        <v>5.3835616438356171</v>
      </c>
      <c r="O7894" s="43">
        <v>9.1281663516068061</v>
      </c>
      <c r="P7894" s="223"/>
      <c r="Q7894" s="223"/>
      <c r="R7894" s="223">
        <v>6</v>
      </c>
    </row>
    <row r="7895" spans="1:18" ht="48">
      <c r="A7895" s="219">
        <v>782</v>
      </c>
      <c r="B7895" s="216" t="s">
        <v>14539</v>
      </c>
      <c r="C7895" s="220" t="s">
        <v>14540</v>
      </c>
      <c r="D7895" s="221">
        <v>1231.4100000000001</v>
      </c>
      <c r="E7895" s="221">
        <v>813.49</v>
      </c>
      <c r="F7895" s="221">
        <v>389.7</v>
      </c>
      <c r="G7895" s="221">
        <v>28.22</v>
      </c>
      <c r="H7895" s="222">
        <v>11708.5</v>
      </c>
      <c r="I7895" s="222">
        <v>9355.51</v>
      </c>
      <c r="J7895" s="222">
        <v>2099.14</v>
      </c>
      <c r="K7895" s="222">
        <v>253.85</v>
      </c>
      <c r="L7895" s="43">
        <v>9.5082060402303039</v>
      </c>
      <c r="M7895" s="43">
        <v>11.500460976779063</v>
      </c>
      <c r="N7895" s="43">
        <v>5.3865537593020267</v>
      </c>
      <c r="O7895" s="43">
        <v>8.9953933380581148</v>
      </c>
      <c r="P7895" s="223"/>
      <c r="Q7895" s="223"/>
      <c r="R7895" s="223">
        <v>6</v>
      </c>
    </row>
    <row r="7896" spans="1:18" ht="48">
      <c r="A7896" s="219">
        <v>783</v>
      </c>
      <c r="B7896" s="216" t="s">
        <v>14541</v>
      </c>
      <c r="C7896" s="220" t="s">
        <v>14542</v>
      </c>
      <c r="D7896" s="221">
        <v>1440.14</v>
      </c>
      <c r="E7896" s="221">
        <v>914.6</v>
      </c>
      <c r="F7896" s="221">
        <v>475.99</v>
      </c>
      <c r="G7896" s="221">
        <v>49.55</v>
      </c>
      <c r="H7896" s="222">
        <v>13464.36</v>
      </c>
      <c r="I7896" s="222">
        <v>10518.34</v>
      </c>
      <c r="J7896" s="222">
        <v>2565.27</v>
      </c>
      <c r="K7896" s="222">
        <v>380.75</v>
      </c>
      <c r="L7896" s="43">
        <v>9.3493410362881377</v>
      </c>
      <c r="M7896" s="43">
        <v>11.500481084627159</v>
      </c>
      <c r="N7896" s="43">
        <v>5.3893359104182856</v>
      </c>
      <c r="O7896" s="43">
        <v>7.6841574167507574</v>
      </c>
      <c r="P7896" s="223"/>
      <c r="Q7896" s="223"/>
      <c r="R7896" s="223">
        <v>6</v>
      </c>
    </row>
    <row r="7897" spans="1:18" ht="48">
      <c r="A7897" s="219">
        <v>784</v>
      </c>
      <c r="B7897" s="216" t="s">
        <v>14543</v>
      </c>
      <c r="C7897" s="220" t="s">
        <v>14544</v>
      </c>
      <c r="D7897" s="221">
        <v>1518.65</v>
      </c>
      <c r="E7897" s="221">
        <v>964.01</v>
      </c>
      <c r="F7897" s="221">
        <v>508.98</v>
      </c>
      <c r="G7897" s="221">
        <v>45.66</v>
      </c>
      <c r="H7897" s="222">
        <v>14196.38</v>
      </c>
      <c r="I7897" s="222">
        <v>11086.55</v>
      </c>
      <c r="J7897" s="222">
        <v>2743.71</v>
      </c>
      <c r="K7897" s="222">
        <v>366.12</v>
      </c>
      <c r="L7897" s="43">
        <v>9.348026207486912</v>
      </c>
      <c r="M7897" s="43">
        <v>11.500451240132364</v>
      </c>
      <c r="N7897" s="43">
        <v>5.3906047388895439</v>
      </c>
      <c r="O7897" s="43">
        <v>8.0183968462549284</v>
      </c>
      <c r="P7897" s="223"/>
      <c r="Q7897" s="223"/>
      <c r="R7897" s="223">
        <v>6</v>
      </c>
    </row>
    <row r="7898" spans="1:18" ht="48">
      <c r="A7898" s="219">
        <v>785</v>
      </c>
      <c r="B7898" s="216" t="s">
        <v>14545</v>
      </c>
      <c r="C7898" s="220" t="s">
        <v>14546</v>
      </c>
      <c r="D7898" s="221">
        <v>1701.65</v>
      </c>
      <c r="E7898" s="221">
        <v>1001.93</v>
      </c>
      <c r="F7898" s="221">
        <v>648.03</v>
      </c>
      <c r="G7898" s="221">
        <v>51.69</v>
      </c>
      <c r="H7898" s="222">
        <v>15425.73</v>
      </c>
      <c r="I7898" s="222">
        <v>11522.61</v>
      </c>
      <c r="J7898" s="222">
        <v>3495.3</v>
      </c>
      <c r="K7898" s="222">
        <v>407.82</v>
      </c>
      <c r="L7898" s="43">
        <v>9.0651602856051472</v>
      </c>
      <c r="M7898" s="43">
        <v>11.500414200592857</v>
      </c>
      <c r="N7898" s="43">
        <v>5.3937317716772375</v>
      </c>
      <c r="O7898" s="43">
        <v>7.8897272199651773</v>
      </c>
      <c r="P7898" s="223"/>
      <c r="Q7898" s="223"/>
      <c r="R7898" s="223">
        <v>6</v>
      </c>
    </row>
    <row r="7899" spans="1:18" ht="48">
      <c r="A7899" s="219">
        <v>786</v>
      </c>
      <c r="B7899" s="216" t="s">
        <v>14547</v>
      </c>
      <c r="C7899" s="220" t="s">
        <v>14548</v>
      </c>
      <c r="D7899" s="221">
        <v>1917.4</v>
      </c>
      <c r="E7899" s="221">
        <v>1039.8499999999999</v>
      </c>
      <c r="F7899" s="221">
        <v>790.95</v>
      </c>
      <c r="G7899" s="221">
        <v>86.6</v>
      </c>
      <c r="H7899" s="222">
        <v>16828.400000000001</v>
      </c>
      <c r="I7899" s="222">
        <v>11958.67</v>
      </c>
      <c r="J7899" s="222">
        <v>4270.7700000000004</v>
      </c>
      <c r="K7899" s="222">
        <v>598.96</v>
      </c>
      <c r="L7899" s="43">
        <v>8.7766767497653078</v>
      </c>
      <c r="M7899" s="43">
        <v>11.500379862480166</v>
      </c>
      <c r="N7899" s="43">
        <v>5.3995448511283906</v>
      </c>
      <c r="O7899" s="43">
        <v>6.9163972286374147</v>
      </c>
      <c r="P7899" s="223"/>
      <c r="Q7899" s="223"/>
      <c r="R7899" s="223">
        <v>6</v>
      </c>
    </row>
    <row r="7900" spans="1:18" ht="48">
      <c r="A7900" s="219">
        <v>787</v>
      </c>
      <c r="B7900" s="216" t="s">
        <v>14549</v>
      </c>
      <c r="C7900" s="220" t="s">
        <v>14550</v>
      </c>
      <c r="D7900" s="221">
        <v>2251.87</v>
      </c>
      <c r="E7900" s="221">
        <v>1252.4100000000001</v>
      </c>
      <c r="F7900" s="221">
        <v>928.07</v>
      </c>
      <c r="G7900" s="221">
        <v>71.39</v>
      </c>
      <c r="H7900" s="222">
        <v>19959.669999999998</v>
      </c>
      <c r="I7900" s="222">
        <v>14403.26</v>
      </c>
      <c r="J7900" s="222">
        <v>5012.1000000000004</v>
      </c>
      <c r="K7900" s="222">
        <v>544.30999999999995</v>
      </c>
      <c r="L7900" s="43">
        <v>8.8635978098202823</v>
      </c>
      <c r="M7900" s="43">
        <v>11.500435161009573</v>
      </c>
      <c r="N7900" s="43">
        <v>5.4005624575732432</v>
      </c>
      <c r="O7900" s="43">
        <v>7.6244572068917211</v>
      </c>
      <c r="P7900" s="223"/>
      <c r="Q7900" s="223"/>
      <c r="R7900" s="223">
        <v>6</v>
      </c>
    </row>
    <row r="7901" spans="1:18" ht="48">
      <c r="A7901" s="219">
        <v>788</v>
      </c>
      <c r="B7901" s="216" t="s">
        <v>14551</v>
      </c>
      <c r="C7901" s="220" t="s">
        <v>14552</v>
      </c>
      <c r="D7901" s="221">
        <v>3310.45</v>
      </c>
      <c r="E7901" s="221">
        <v>1378.8</v>
      </c>
      <c r="F7901" s="221">
        <v>1737.97</v>
      </c>
      <c r="G7901" s="221">
        <v>193.68</v>
      </c>
      <c r="H7901" s="222">
        <v>26497.27</v>
      </c>
      <c r="I7901" s="222">
        <v>15856.8</v>
      </c>
      <c r="J7901" s="222">
        <v>9394.5400000000009</v>
      </c>
      <c r="K7901" s="222">
        <v>1245.93</v>
      </c>
      <c r="L7901" s="43">
        <v>8.0041293479738407</v>
      </c>
      <c r="M7901" s="43">
        <v>11.500435161009573</v>
      </c>
      <c r="N7901" s="43">
        <v>5.405467298054627</v>
      </c>
      <c r="O7901" s="43">
        <v>6.4329306071871128</v>
      </c>
      <c r="P7901" s="223"/>
      <c r="Q7901" s="223"/>
      <c r="R7901" s="223">
        <v>6</v>
      </c>
    </row>
    <row r="7902" spans="1:18" ht="48">
      <c r="A7902" s="219">
        <v>789</v>
      </c>
      <c r="B7902" s="216" t="s">
        <v>14553</v>
      </c>
      <c r="C7902" s="220" t="s">
        <v>14554</v>
      </c>
      <c r="D7902" s="221">
        <v>4003.56</v>
      </c>
      <c r="E7902" s="221">
        <v>1631.58</v>
      </c>
      <c r="F7902" s="221">
        <v>2028.47</v>
      </c>
      <c r="G7902" s="221">
        <v>343.51</v>
      </c>
      <c r="H7902" s="222">
        <v>31782.28</v>
      </c>
      <c r="I7902" s="222">
        <v>18763.88</v>
      </c>
      <c r="J7902" s="222">
        <v>10969.85</v>
      </c>
      <c r="K7902" s="222">
        <v>2048.5500000000002</v>
      </c>
      <c r="L7902" s="43">
        <v>7.9385047307895968</v>
      </c>
      <c r="M7902" s="43">
        <v>11.500435161009575</v>
      </c>
      <c r="N7902" s="43">
        <v>5.4079429323578854</v>
      </c>
      <c r="O7902" s="43">
        <v>5.9635818462344625</v>
      </c>
      <c r="P7902" s="223"/>
      <c r="Q7902" s="223"/>
      <c r="R7902" s="223">
        <v>6</v>
      </c>
    </row>
    <row r="7903" spans="1:18" ht="48">
      <c r="A7903" s="219">
        <v>790</v>
      </c>
      <c r="B7903" s="216" t="s">
        <v>14555</v>
      </c>
      <c r="C7903" s="220" t="s">
        <v>14556</v>
      </c>
      <c r="D7903" s="221">
        <v>4896.4799999999996</v>
      </c>
      <c r="E7903" s="221">
        <v>1757.97</v>
      </c>
      <c r="F7903" s="221">
        <v>2723.82</v>
      </c>
      <c r="G7903" s="221">
        <v>414.69</v>
      </c>
      <c r="H7903" s="222">
        <v>37387.53</v>
      </c>
      <c r="I7903" s="222">
        <v>20217.419999999998</v>
      </c>
      <c r="J7903" s="222">
        <v>14739.58</v>
      </c>
      <c r="K7903" s="222">
        <v>2430.5300000000002</v>
      </c>
      <c r="L7903" s="43">
        <v>7.6355933241839038</v>
      </c>
      <c r="M7903" s="43">
        <v>11.500435161009573</v>
      </c>
      <c r="N7903" s="43">
        <v>5.4113634527979082</v>
      </c>
      <c r="O7903" s="43">
        <v>5.861076949046276</v>
      </c>
      <c r="P7903" s="223"/>
      <c r="Q7903" s="223"/>
      <c r="R7903" s="223">
        <v>6</v>
      </c>
    </row>
    <row r="7904" spans="1:18" ht="48">
      <c r="A7904" s="219">
        <v>791</v>
      </c>
      <c r="B7904" s="216" t="s">
        <v>14557</v>
      </c>
      <c r="C7904" s="220" t="s">
        <v>14558</v>
      </c>
      <c r="D7904" s="221">
        <v>7651.36</v>
      </c>
      <c r="E7904" s="221">
        <v>2125.65</v>
      </c>
      <c r="F7904" s="221">
        <v>4840.72</v>
      </c>
      <c r="G7904" s="221">
        <v>684.99</v>
      </c>
      <c r="H7904" s="222">
        <v>54644.11</v>
      </c>
      <c r="I7904" s="222">
        <v>24445.9</v>
      </c>
      <c r="J7904" s="222">
        <v>26222.69</v>
      </c>
      <c r="K7904" s="222">
        <v>3975.52</v>
      </c>
      <c r="L7904" s="43">
        <v>7.1417512703623931</v>
      </c>
      <c r="M7904" s="43">
        <v>11.500435161009573</v>
      </c>
      <c r="N7904" s="43">
        <v>5.4171053066485975</v>
      </c>
      <c r="O7904" s="43">
        <v>5.8037635585920961</v>
      </c>
      <c r="P7904" s="223"/>
      <c r="Q7904" s="223"/>
      <c r="R7904" s="223">
        <v>6</v>
      </c>
    </row>
    <row r="7905" spans="1:18" ht="48">
      <c r="A7905" s="219">
        <v>792</v>
      </c>
      <c r="B7905" s="216" t="s">
        <v>14559</v>
      </c>
      <c r="C7905" s="220" t="s">
        <v>14560</v>
      </c>
      <c r="D7905" s="221">
        <v>11552.62</v>
      </c>
      <c r="E7905" s="221">
        <v>2504.8200000000002</v>
      </c>
      <c r="F7905" s="221">
        <v>7988.93</v>
      </c>
      <c r="G7905" s="221">
        <v>1058.8699999999999</v>
      </c>
      <c r="H7905" s="222">
        <v>78052.02</v>
      </c>
      <c r="I7905" s="222">
        <v>28806.52</v>
      </c>
      <c r="J7905" s="222">
        <v>43301.18</v>
      </c>
      <c r="K7905" s="222">
        <v>5944.32</v>
      </c>
      <c r="L7905" s="43">
        <v>6.7562180700135555</v>
      </c>
      <c r="M7905" s="43">
        <v>11.500435161009573</v>
      </c>
      <c r="N7905" s="43">
        <v>5.4201476292820185</v>
      </c>
      <c r="O7905" s="43">
        <v>5.6138336150802273</v>
      </c>
      <c r="P7905" s="223"/>
      <c r="Q7905" s="223"/>
      <c r="R7905" s="223">
        <v>6</v>
      </c>
    </row>
    <row r="7906" spans="1:18" ht="48">
      <c r="A7906" s="219">
        <v>793</v>
      </c>
      <c r="B7906" s="216" t="s">
        <v>14561</v>
      </c>
      <c r="C7906" s="220" t="s">
        <v>14562</v>
      </c>
      <c r="D7906" s="221">
        <v>18959.95</v>
      </c>
      <c r="E7906" s="221">
        <v>3136.77</v>
      </c>
      <c r="F7906" s="221">
        <v>14254.89</v>
      </c>
      <c r="G7906" s="221">
        <v>1568.29</v>
      </c>
      <c r="H7906" s="222">
        <v>122054.2</v>
      </c>
      <c r="I7906" s="222">
        <v>36074.22</v>
      </c>
      <c r="J7906" s="222">
        <v>77293.460000000006</v>
      </c>
      <c r="K7906" s="222">
        <v>8686.52</v>
      </c>
      <c r="L7906" s="43">
        <v>6.4374747823702059</v>
      </c>
      <c r="M7906" s="43">
        <v>11.500435161009573</v>
      </c>
      <c r="N7906" s="43">
        <v>5.4222417710694373</v>
      </c>
      <c r="O7906" s="43">
        <v>5.5388480446856132</v>
      </c>
      <c r="P7906" s="223"/>
      <c r="Q7906" s="223"/>
      <c r="R7906" s="223">
        <v>6</v>
      </c>
    </row>
    <row r="7907" spans="1:18" ht="48">
      <c r="A7907" s="219">
        <v>794</v>
      </c>
      <c r="B7907" s="216" t="s">
        <v>14563</v>
      </c>
      <c r="C7907" s="220" t="s">
        <v>14564</v>
      </c>
      <c r="D7907" s="221">
        <v>29388.09</v>
      </c>
      <c r="E7907" s="221">
        <v>4136.3999999999996</v>
      </c>
      <c r="F7907" s="221">
        <v>22857.84</v>
      </c>
      <c r="G7907" s="221">
        <v>2393.85</v>
      </c>
      <c r="H7907" s="222">
        <v>184729.82</v>
      </c>
      <c r="I7907" s="222">
        <v>47570.400000000001</v>
      </c>
      <c r="J7907" s="222">
        <v>123953.86</v>
      </c>
      <c r="K7907" s="222">
        <v>13205.56</v>
      </c>
      <c r="L7907" s="43">
        <v>6.2858736311206345</v>
      </c>
      <c r="M7907" s="43">
        <v>11.500435161009575</v>
      </c>
      <c r="N7907" s="43">
        <v>5.4228159791126371</v>
      </c>
      <c r="O7907" s="43">
        <v>5.5164525763936751</v>
      </c>
      <c r="P7907" s="223"/>
      <c r="Q7907" s="223"/>
      <c r="R7907" s="223">
        <v>6</v>
      </c>
    </row>
    <row r="7908" spans="1:18" ht="12.75" customHeight="1">
      <c r="A7908" s="628" t="s">
        <v>14565</v>
      </c>
      <c r="B7908" s="629"/>
      <c r="C7908" s="629"/>
      <c r="D7908" s="629"/>
      <c r="E7908" s="629"/>
      <c r="F7908" s="629"/>
      <c r="G7908" s="629"/>
      <c r="H7908" s="629"/>
      <c r="I7908" s="629"/>
      <c r="J7908" s="629"/>
      <c r="K7908" s="629"/>
      <c r="L7908" s="629"/>
      <c r="M7908" s="629"/>
      <c r="N7908" s="629"/>
      <c r="O7908" s="629"/>
      <c r="P7908" s="629"/>
      <c r="Q7908" s="629"/>
      <c r="R7908" s="629"/>
    </row>
    <row r="7909" spans="1:18" ht="48">
      <c r="A7909" s="219">
        <v>795</v>
      </c>
      <c r="B7909" s="216" t="s">
        <v>14566</v>
      </c>
      <c r="C7909" s="220" t="s">
        <v>14567</v>
      </c>
      <c r="D7909" s="221">
        <v>1140.8599999999999</v>
      </c>
      <c r="E7909" s="221">
        <v>852.56</v>
      </c>
      <c r="F7909" s="221">
        <v>262.43</v>
      </c>
      <c r="G7909" s="221">
        <v>25.87</v>
      </c>
      <c r="H7909" s="222">
        <v>11473.18</v>
      </c>
      <c r="I7909" s="222">
        <v>9804.7900000000009</v>
      </c>
      <c r="J7909" s="222">
        <v>1423.68</v>
      </c>
      <c r="K7909" s="222">
        <v>244.71</v>
      </c>
      <c r="L7909" s="43">
        <v>10.056606419718459</v>
      </c>
      <c r="M7909" s="43">
        <v>11.500410528291265</v>
      </c>
      <c r="N7909" s="43">
        <v>5.424989521015128</v>
      </c>
      <c r="O7909" s="43">
        <v>9.4592191727870123</v>
      </c>
      <c r="P7909" s="223"/>
      <c r="Q7909" s="223"/>
      <c r="R7909" s="223">
        <v>7</v>
      </c>
    </row>
    <row r="7910" spans="1:18" ht="48">
      <c r="A7910" s="219">
        <v>796</v>
      </c>
      <c r="B7910" s="216" t="s">
        <v>14568</v>
      </c>
      <c r="C7910" s="220" t="s">
        <v>14569</v>
      </c>
      <c r="D7910" s="221">
        <v>1140.8599999999999</v>
      </c>
      <c r="E7910" s="221">
        <v>852.56</v>
      </c>
      <c r="F7910" s="221">
        <v>262.43</v>
      </c>
      <c r="G7910" s="221">
        <v>25.87</v>
      </c>
      <c r="H7910" s="222">
        <v>11473.18</v>
      </c>
      <c r="I7910" s="222">
        <v>9804.7900000000009</v>
      </c>
      <c r="J7910" s="222">
        <v>1423.68</v>
      </c>
      <c r="K7910" s="222">
        <v>244.71</v>
      </c>
      <c r="L7910" s="43">
        <v>10.056606419718459</v>
      </c>
      <c r="M7910" s="43">
        <v>11.500410528291265</v>
      </c>
      <c r="N7910" s="43">
        <v>5.424989521015128</v>
      </c>
      <c r="O7910" s="43">
        <v>9.4592191727870123</v>
      </c>
      <c r="P7910" s="223"/>
      <c r="Q7910" s="223"/>
      <c r="R7910" s="223">
        <v>7</v>
      </c>
    </row>
    <row r="7911" spans="1:18" ht="48">
      <c r="A7911" s="219">
        <v>797</v>
      </c>
      <c r="B7911" s="216" t="s">
        <v>14570</v>
      </c>
      <c r="C7911" s="220" t="s">
        <v>14571</v>
      </c>
      <c r="D7911" s="221">
        <v>1180.31</v>
      </c>
      <c r="E7911" s="221">
        <v>853.71</v>
      </c>
      <c r="F7911" s="221">
        <v>300.51</v>
      </c>
      <c r="G7911" s="221">
        <v>26.09</v>
      </c>
      <c r="H7911" s="222">
        <v>11707.5</v>
      </c>
      <c r="I7911" s="222">
        <v>9818</v>
      </c>
      <c r="J7911" s="222">
        <v>1642.84</v>
      </c>
      <c r="K7911" s="222">
        <v>246.66</v>
      </c>
      <c r="L7911" s="43">
        <v>9.9190043293710985</v>
      </c>
      <c r="M7911" s="43">
        <v>11.500392404915017</v>
      </c>
      <c r="N7911" s="43">
        <v>5.4668397058334168</v>
      </c>
      <c r="O7911" s="43">
        <v>9.4541970103487927</v>
      </c>
      <c r="P7911" s="223"/>
      <c r="Q7911" s="223"/>
      <c r="R7911" s="223">
        <v>7</v>
      </c>
    </row>
    <row r="7912" spans="1:18" ht="48">
      <c r="A7912" s="219">
        <v>798</v>
      </c>
      <c r="B7912" s="216" t="s">
        <v>14572</v>
      </c>
      <c r="C7912" s="220" t="s">
        <v>14573</v>
      </c>
      <c r="D7912" s="221">
        <v>1347.87</v>
      </c>
      <c r="E7912" s="221">
        <v>929.54</v>
      </c>
      <c r="F7912" s="221">
        <v>389.08</v>
      </c>
      <c r="G7912" s="221">
        <v>29.25</v>
      </c>
      <c r="H7912" s="222">
        <v>13097.04</v>
      </c>
      <c r="I7912" s="222">
        <v>10690.13</v>
      </c>
      <c r="J7912" s="222">
        <v>2133.27</v>
      </c>
      <c r="K7912" s="222">
        <v>273.64</v>
      </c>
      <c r="L7912" s="43">
        <v>9.7168421286919369</v>
      </c>
      <c r="M7912" s="43">
        <v>11.500451836392193</v>
      </c>
      <c r="N7912" s="43">
        <v>5.4828569959905415</v>
      </c>
      <c r="O7912" s="43">
        <v>9.3552136752136743</v>
      </c>
      <c r="P7912" s="223"/>
      <c r="Q7912" s="223"/>
      <c r="R7912" s="223">
        <v>7</v>
      </c>
    </row>
    <row r="7913" spans="1:18" ht="48">
      <c r="A7913" s="219">
        <v>799</v>
      </c>
      <c r="B7913" s="216" t="s">
        <v>14574</v>
      </c>
      <c r="C7913" s="220" t="s">
        <v>14575</v>
      </c>
      <c r="D7913" s="221">
        <v>1385.95</v>
      </c>
      <c r="E7913" s="221">
        <v>929.54</v>
      </c>
      <c r="F7913" s="221">
        <v>427.16</v>
      </c>
      <c r="G7913" s="221">
        <v>29.25</v>
      </c>
      <c r="H7913" s="222">
        <v>13316.18</v>
      </c>
      <c r="I7913" s="222">
        <v>10690.13</v>
      </c>
      <c r="J7913" s="222">
        <v>2352.41</v>
      </c>
      <c r="K7913" s="222">
        <v>273.64</v>
      </c>
      <c r="L7913" s="43">
        <v>9.6079800858616835</v>
      </c>
      <c r="M7913" s="43">
        <v>11.500451836392193</v>
      </c>
      <c r="N7913" s="43">
        <v>5.5070933608015729</v>
      </c>
      <c r="O7913" s="43">
        <v>9.3552136752136743</v>
      </c>
      <c r="P7913" s="223"/>
      <c r="Q7913" s="223"/>
      <c r="R7913" s="223">
        <v>7</v>
      </c>
    </row>
    <row r="7914" spans="1:18" ht="48">
      <c r="A7914" s="219">
        <v>800</v>
      </c>
      <c r="B7914" s="216" t="s">
        <v>14576</v>
      </c>
      <c r="C7914" s="220" t="s">
        <v>14577</v>
      </c>
      <c r="D7914" s="221">
        <v>1491.01</v>
      </c>
      <c r="E7914" s="221">
        <v>931.84</v>
      </c>
      <c r="F7914" s="221">
        <v>528.58000000000004</v>
      </c>
      <c r="G7914" s="221">
        <v>30.59</v>
      </c>
      <c r="H7914" s="222">
        <v>13939.81</v>
      </c>
      <c r="I7914" s="222">
        <v>10716.55</v>
      </c>
      <c r="J7914" s="222">
        <v>2942.16</v>
      </c>
      <c r="K7914" s="222">
        <v>281.10000000000002</v>
      </c>
      <c r="L7914" s="43">
        <v>9.34923977706387</v>
      </c>
      <c r="M7914" s="43">
        <v>11.500418526785714</v>
      </c>
      <c r="N7914" s="43">
        <v>5.5661583866207565</v>
      </c>
      <c r="O7914" s="43">
        <v>9.1892775416802888</v>
      </c>
      <c r="P7914" s="223"/>
      <c r="Q7914" s="223"/>
      <c r="R7914" s="223">
        <v>7</v>
      </c>
    </row>
    <row r="7915" spans="1:18" ht="48">
      <c r="A7915" s="219">
        <v>801</v>
      </c>
      <c r="B7915" s="216" t="s">
        <v>14578</v>
      </c>
      <c r="C7915" s="220" t="s">
        <v>14579</v>
      </c>
      <c r="D7915" s="221">
        <v>1703.01</v>
      </c>
      <c r="E7915" s="221">
        <v>982.4</v>
      </c>
      <c r="F7915" s="221">
        <v>676.16</v>
      </c>
      <c r="G7915" s="221">
        <v>44.45</v>
      </c>
      <c r="H7915" s="222">
        <v>15438.31</v>
      </c>
      <c r="I7915" s="222">
        <v>11297.97</v>
      </c>
      <c r="J7915" s="222">
        <v>3778.38</v>
      </c>
      <c r="K7915" s="222">
        <v>361.96</v>
      </c>
      <c r="L7915" s="43">
        <v>9.0653078960194016</v>
      </c>
      <c r="M7915" s="43">
        <v>11.500376628664494</v>
      </c>
      <c r="N7915" s="43">
        <v>5.5879969238050169</v>
      </c>
      <c r="O7915" s="43">
        <v>8.1430821147356571</v>
      </c>
      <c r="P7915" s="223"/>
      <c r="Q7915" s="223"/>
      <c r="R7915" s="223">
        <v>7</v>
      </c>
    </row>
    <row r="7916" spans="1:18" ht="48">
      <c r="A7916" s="219">
        <v>802</v>
      </c>
      <c r="B7916" s="216" t="s">
        <v>14580</v>
      </c>
      <c r="C7916" s="220" t="s">
        <v>14581</v>
      </c>
      <c r="D7916" s="221">
        <v>1774.18</v>
      </c>
      <c r="E7916" s="221">
        <v>995.03</v>
      </c>
      <c r="F7916" s="221">
        <v>732.87</v>
      </c>
      <c r="G7916" s="221">
        <v>46.28</v>
      </c>
      <c r="H7916" s="222">
        <v>15914.1</v>
      </c>
      <c r="I7916" s="222">
        <v>11443.32</v>
      </c>
      <c r="J7916" s="222">
        <v>4097.53</v>
      </c>
      <c r="K7916" s="222">
        <v>373.25</v>
      </c>
      <c r="L7916" s="43">
        <v>8.9698339514592664</v>
      </c>
      <c r="M7916" s="43">
        <v>11.500477372541532</v>
      </c>
      <c r="N7916" s="43">
        <v>5.5910734509531022</v>
      </c>
      <c r="O7916" s="43">
        <v>8.0650388936905788</v>
      </c>
      <c r="P7916" s="223"/>
      <c r="Q7916" s="223"/>
      <c r="R7916" s="223">
        <v>7</v>
      </c>
    </row>
    <row r="7917" spans="1:18" ht="48">
      <c r="A7917" s="219">
        <v>803</v>
      </c>
      <c r="B7917" s="216" t="s">
        <v>14582</v>
      </c>
      <c r="C7917" s="220" t="s">
        <v>14583</v>
      </c>
      <c r="D7917" s="221">
        <v>2062.48</v>
      </c>
      <c r="E7917" s="221">
        <v>1127.17</v>
      </c>
      <c r="F7917" s="221">
        <v>881.27</v>
      </c>
      <c r="G7917" s="221">
        <v>54.04</v>
      </c>
      <c r="H7917" s="222">
        <v>18156.64</v>
      </c>
      <c r="I7917" s="222">
        <v>12962.93</v>
      </c>
      <c r="J7917" s="222">
        <v>4758.37</v>
      </c>
      <c r="K7917" s="222">
        <v>435.34</v>
      </c>
      <c r="L7917" s="43">
        <v>8.8033047593188787</v>
      </c>
      <c r="M7917" s="43">
        <v>11.50042140937037</v>
      </c>
      <c r="N7917" s="43">
        <v>5.3994462537020436</v>
      </c>
      <c r="O7917" s="43">
        <v>8.0558845299777939</v>
      </c>
      <c r="P7917" s="223"/>
      <c r="Q7917" s="223"/>
      <c r="R7917" s="223">
        <v>7</v>
      </c>
    </row>
    <row r="7918" spans="1:18" ht="48">
      <c r="A7918" s="219">
        <v>804</v>
      </c>
      <c r="B7918" s="216" t="s">
        <v>14584</v>
      </c>
      <c r="C7918" s="220" t="s">
        <v>14585</v>
      </c>
      <c r="D7918" s="221">
        <v>2609.35</v>
      </c>
      <c r="E7918" s="221">
        <v>1275.3900000000001</v>
      </c>
      <c r="F7918" s="221">
        <v>1255.75</v>
      </c>
      <c r="G7918" s="221">
        <v>78.209999999999994</v>
      </c>
      <c r="H7918" s="222">
        <v>22033.21</v>
      </c>
      <c r="I7918" s="222">
        <v>14667.54</v>
      </c>
      <c r="J7918" s="222">
        <v>6781.92</v>
      </c>
      <c r="K7918" s="222">
        <v>583.75</v>
      </c>
      <c r="L7918" s="43">
        <v>8.4439458102592599</v>
      </c>
      <c r="M7918" s="43">
        <v>11.500435161009573</v>
      </c>
      <c r="N7918" s="43">
        <v>5.4006928130599245</v>
      </c>
      <c r="O7918" s="43">
        <v>7.463879299322338</v>
      </c>
      <c r="P7918" s="223"/>
      <c r="Q7918" s="223"/>
      <c r="R7918" s="223">
        <v>7</v>
      </c>
    </row>
    <row r="7919" spans="1:18" ht="48">
      <c r="A7919" s="219">
        <v>805</v>
      </c>
      <c r="B7919" s="216" t="s">
        <v>14586</v>
      </c>
      <c r="C7919" s="220" t="s">
        <v>14587</v>
      </c>
      <c r="D7919" s="221">
        <v>2973.17</v>
      </c>
      <c r="E7919" s="221">
        <v>1332.84</v>
      </c>
      <c r="F7919" s="221">
        <v>1553.72</v>
      </c>
      <c r="G7919" s="221">
        <v>86.61</v>
      </c>
      <c r="H7919" s="222">
        <v>24363.58</v>
      </c>
      <c r="I7919" s="222">
        <v>15328.24</v>
      </c>
      <c r="J7919" s="222">
        <v>8399.6200000000008</v>
      </c>
      <c r="K7919" s="222">
        <v>635.72</v>
      </c>
      <c r="L7919" s="43">
        <v>8.1944792931450277</v>
      </c>
      <c r="M7919" s="43">
        <v>11.500435161009575</v>
      </c>
      <c r="N7919" s="43">
        <v>5.4061349535308816</v>
      </c>
      <c r="O7919" s="43">
        <v>7.3400300196282187</v>
      </c>
      <c r="P7919" s="223"/>
      <c r="Q7919" s="223"/>
      <c r="R7919" s="223">
        <v>7</v>
      </c>
    </row>
    <row r="7920" spans="1:18" ht="48">
      <c r="A7920" s="219">
        <v>806</v>
      </c>
      <c r="B7920" s="216" t="s">
        <v>14588</v>
      </c>
      <c r="C7920" s="220" t="s">
        <v>14589</v>
      </c>
      <c r="D7920" s="221">
        <v>4323.17</v>
      </c>
      <c r="E7920" s="221">
        <v>1562.64</v>
      </c>
      <c r="F7920" s="221">
        <v>2556.42</v>
      </c>
      <c r="G7920" s="221">
        <v>204.11</v>
      </c>
      <c r="H7920" s="222">
        <v>33097.949999999997</v>
      </c>
      <c r="I7920" s="222">
        <v>17971.04</v>
      </c>
      <c r="J7920" s="222">
        <v>13832.66</v>
      </c>
      <c r="K7920" s="222">
        <v>1294.25</v>
      </c>
      <c r="L7920" s="43">
        <v>7.6559445962106505</v>
      </c>
      <c r="M7920" s="43">
        <v>11.500435161009573</v>
      </c>
      <c r="N7920" s="43">
        <v>5.4109496874535479</v>
      </c>
      <c r="O7920" s="43">
        <v>6.340943608838371</v>
      </c>
      <c r="P7920" s="223"/>
      <c r="Q7920" s="223"/>
      <c r="R7920" s="223">
        <v>7</v>
      </c>
    </row>
    <row r="7921" spans="1:18" ht="48">
      <c r="A7921" s="219">
        <v>807</v>
      </c>
      <c r="B7921" s="216" t="s">
        <v>14590</v>
      </c>
      <c r="C7921" s="220" t="s">
        <v>14591</v>
      </c>
      <c r="D7921" s="221">
        <v>5728.55</v>
      </c>
      <c r="E7921" s="221">
        <v>1815.42</v>
      </c>
      <c r="F7921" s="221">
        <v>3695.98</v>
      </c>
      <c r="G7921" s="221">
        <v>217.15</v>
      </c>
      <c r="H7921" s="222">
        <v>42313.71</v>
      </c>
      <c r="I7921" s="222">
        <v>20878.12</v>
      </c>
      <c r="J7921" s="222">
        <v>20012.38</v>
      </c>
      <c r="K7921" s="222">
        <v>1423.21</v>
      </c>
      <c r="L7921" s="43">
        <v>7.3864607972349017</v>
      </c>
      <c r="M7921" s="43">
        <v>11.500435161009573</v>
      </c>
      <c r="N7921" s="43">
        <v>5.4146342783240176</v>
      </c>
      <c r="O7921" s="43">
        <v>6.5540409854938986</v>
      </c>
      <c r="P7921" s="223"/>
      <c r="Q7921" s="223"/>
      <c r="R7921" s="223">
        <v>7</v>
      </c>
    </row>
    <row r="7922" spans="1:18" ht="48">
      <c r="A7922" s="219">
        <v>808</v>
      </c>
      <c r="B7922" s="216" t="s">
        <v>14592</v>
      </c>
      <c r="C7922" s="220" t="s">
        <v>14593</v>
      </c>
      <c r="D7922" s="221">
        <v>7596.88</v>
      </c>
      <c r="E7922" s="221">
        <v>1999.26</v>
      </c>
      <c r="F7922" s="221">
        <v>5081.7299999999996</v>
      </c>
      <c r="G7922" s="221">
        <v>515.89</v>
      </c>
      <c r="H7922" s="222">
        <v>53521.36</v>
      </c>
      <c r="I7922" s="222">
        <v>22992.36</v>
      </c>
      <c r="J7922" s="222">
        <v>27521.73</v>
      </c>
      <c r="K7922" s="222">
        <v>3007.27</v>
      </c>
      <c r="L7922" s="43">
        <v>7.0451764408546662</v>
      </c>
      <c r="M7922" s="43">
        <v>11.500435161009573</v>
      </c>
      <c r="N7922" s="43">
        <v>5.4158190222621041</v>
      </c>
      <c r="O7922" s="43">
        <v>5.8292853127604722</v>
      </c>
      <c r="P7922" s="223"/>
      <c r="Q7922" s="223"/>
      <c r="R7922" s="223">
        <v>7</v>
      </c>
    </row>
    <row r="7923" spans="1:18" ht="48">
      <c r="A7923" s="219">
        <v>809</v>
      </c>
      <c r="B7923" s="216" t="s">
        <v>14594</v>
      </c>
      <c r="C7923" s="220" t="s">
        <v>14595</v>
      </c>
      <c r="D7923" s="221">
        <v>9662.27</v>
      </c>
      <c r="E7923" s="221">
        <v>2378.4299999999998</v>
      </c>
      <c r="F7923" s="221">
        <v>6687.28</v>
      </c>
      <c r="G7923" s="221">
        <v>596.55999999999995</v>
      </c>
      <c r="H7923" s="222">
        <v>67064.08</v>
      </c>
      <c r="I7923" s="222">
        <v>27352.98</v>
      </c>
      <c r="J7923" s="222">
        <v>36226.660000000003</v>
      </c>
      <c r="K7923" s="222">
        <v>3484.44</v>
      </c>
      <c r="L7923" s="43">
        <v>6.9408203248305007</v>
      </c>
      <c r="M7923" s="43">
        <v>11.500435161009575</v>
      </c>
      <c r="N7923" s="43">
        <v>5.4172488665047682</v>
      </c>
      <c r="O7923" s="43">
        <v>5.8408877564704307</v>
      </c>
      <c r="P7923" s="223"/>
      <c r="Q7923" s="223"/>
      <c r="R7923" s="223">
        <v>7</v>
      </c>
    </row>
    <row r="7924" spans="1:18" ht="48">
      <c r="A7924" s="219">
        <v>810</v>
      </c>
      <c r="B7924" s="216" t="s">
        <v>14596</v>
      </c>
      <c r="C7924" s="220" t="s">
        <v>14597</v>
      </c>
      <c r="D7924" s="221">
        <v>11486.88</v>
      </c>
      <c r="E7924" s="221">
        <v>2447.37</v>
      </c>
      <c r="F7924" s="221">
        <v>8313.24</v>
      </c>
      <c r="G7924" s="221">
        <v>726.27</v>
      </c>
      <c r="H7924" s="222">
        <v>77391.94</v>
      </c>
      <c r="I7924" s="222">
        <v>28145.82</v>
      </c>
      <c r="J7924" s="222">
        <v>45050.13</v>
      </c>
      <c r="K7924" s="222">
        <v>4195.99</v>
      </c>
      <c r="L7924" s="43">
        <v>6.7374204309612367</v>
      </c>
      <c r="M7924" s="43">
        <v>11.500435161009573</v>
      </c>
      <c r="N7924" s="43">
        <v>5.4190820907371853</v>
      </c>
      <c r="O7924" s="43">
        <v>5.7774519118234267</v>
      </c>
      <c r="P7924" s="223"/>
      <c r="Q7924" s="223"/>
      <c r="R7924" s="223">
        <v>7</v>
      </c>
    </row>
    <row r="7925" spans="1:18" ht="48">
      <c r="A7925" s="219">
        <v>811</v>
      </c>
      <c r="B7925" s="216" t="s">
        <v>14598</v>
      </c>
      <c r="C7925" s="220" t="s">
        <v>14599</v>
      </c>
      <c r="D7925" s="221">
        <v>14153.73</v>
      </c>
      <c r="E7925" s="221">
        <v>2504.8200000000002</v>
      </c>
      <c r="F7925" s="221">
        <v>10902.19</v>
      </c>
      <c r="G7925" s="221">
        <v>746.72</v>
      </c>
      <c r="H7925" s="222">
        <v>92154.69</v>
      </c>
      <c r="I7925" s="222">
        <v>28806.52</v>
      </c>
      <c r="J7925" s="222">
        <v>58962.73</v>
      </c>
      <c r="K7925" s="222">
        <v>4385.4399999999996</v>
      </c>
      <c r="L7925" s="43">
        <v>6.510982617303001</v>
      </c>
      <c r="M7925" s="43">
        <v>11.500435161009573</v>
      </c>
      <c r="N7925" s="43">
        <v>5.4083381412358431</v>
      </c>
      <c r="O7925" s="43">
        <v>5.8729376473109056</v>
      </c>
      <c r="P7925" s="223"/>
      <c r="Q7925" s="223"/>
      <c r="R7925" s="223">
        <v>7</v>
      </c>
    </row>
    <row r="7926" spans="1:18" ht="48">
      <c r="A7926" s="219">
        <v>812</v>
      </c>
      <c r="B7926" s="216" t="s">
        <v>14600</v>
      </c>
      <c r="C7926" s="220" t="s">
        <v>14601</v>
      </c>
      <c r="D7926" s="221">
        <v>13639.79</v>
      </c>
      <c r="E7926" s="221">
        <v>2883.99</v>
      </c>
      <c r="F7926" s="221">
        <v>9620.84</v>
      </c>
      <c r="G7926" s="221">
        <v>1134.96</v>
      </c>
      <c r="H7926" s="222">
        <v>91728.42</v>
      </c>
      <c r="I7926" s="222">
        <v>33167.14</v>
      </c>
      <c r="J7926" s="222">
        <v>52120.37</v>
      </c>
      <c r="K7926" s="222">
        <v>6440.91</v>
      </c>
      <c r="L7926" s="43">
        <v>6.7250610163352951</v>
      </c>
      <c r="M7926" s="43">
        <v>11.500435161009575</v>
      </c>
      <c r="N7926" s="43">
        <v>5.4174448384964311</v>
      </c>
      <c r="O7926" s="43">
        <v>5.6750105730598435</v>
      </c>
      <c r="P7926" s="223"/>
      <c r="Q7926" s="223"/>
      <c r="R7926" s="223">
        <v>7</v>
      </c>
    </row>
    <row r="7927" spans="1:18" ht="48">
      <c r="A7927" s="219">
        <v>813</v>
      </c>
      <c r="B7927" s="216" t="s">
        <v>14602</v>
      </c>
      <c r="C7927" s="220" t="s">
        <v>14603</v>
      </c>
      <c r="D7927" s="221">
        <v>18077.560000000001</v>
      </c>
      <c r="E7927" s="221">
        <v>3883.62</v>
      </c>
      <c r="F7927" s="221">
        <v>12548.66</v>
      </c>
      <c r="G7927" s="221">
        <v>1645.28</v>
      </c>
      <c r="H7927" s="222">
        <v>121867.53</v>
      </c>
      <c r="I7927" s="222">
        <v>44663.32</v>
      </c>
      <c r="J7927" s="222">
        <v>67984.320000000007</v>
      </c>
      <c r="K7927" s="222">
        <v>9219.89</v>
      </c>
      <c r="L7927" s="43">
        <v>6.7413705168175344</v>
      </c>
      <c r="M7927" s="43">
        <v>11.500435161009573</v>
      </c>
      <c r="N7927" s="43">
        <v>5.4176557496975777</v>
      </c>
      <c r="O7927" s="43">
        <v>5.6038425070504712</v>
      </c>
      <c r="P7927" s="223"/>
      <c r="Q7927" s="223"/>
      <c r="R7927" s="223">
        <v>7</v>
      </c>
    </row>
    <row r="7928" spans="1:18" ht="48">
      <c r="A7928" s="219">
        <v>814</v>
      </c>
      <c r="B7928" s="216" t="s">
        <v>14604</v>
      </c>
      <c r="C7928" s="220" t="s">
        <v>14605</v>
      </c>
      <c r="D7928" s="221">
        <v>19407.93</v>
      </c>
      <c r="E7928" s="221">
        <v>4630.47</v>
      </c>
      <c r="F7928" s="221">
        <v>12577.84</v>
      </c>
      <c r="G7928" s="221">
        <v>2199.62</v>
      </c>
      <c r="H7928" s="222">
        <v>133622</v>
      </c>
      <c r="I7928" s="222">
        <v>53252.42</v>
      </c>
      <c r="J7928" s="222">
        <v>68109.23</v>
      </c>
      <c r="K7928" s="222">
        <v>12260.35</v>
      </c>
      <c r="L7928" s="43">
        <v>6.8849176599462174</v>
      </c>
      <c r="M7928" s="43">
        <v>11.500435161009573</v>
      </c>
      <c r="N7928" s="43">
        <v>5.4150179999109538</v>
      </c>
      <c r="O7928" s="43">
        <v>5.5738491193933504</v>
      </c>
      <c r="P7928" s="223"/>
      <c r="Q7928" s="223"/>
      <c r="R7928" s="223">
        <v>7</v>
      </c>
    </row>
    <row r="7929" spans="1:18" ht="48">
      <c r="A7929" s="219">
        <v>815</v>
      </c>
      <c r="B7929" s="216" t="s">
        <v>14606</v>
      </c>
      <c r="C7929" s="220" t="s">
        <v>14607</v>
      </c>
      <c r="D7929" s="221">
        <v>24817.87</v>
      </c>
      <c r="E7929" s="221">
        <v>5515.2</v>
      </c>
      <c r="F7929" s="221">
        <v>16945.169999999998</v>
      </c>
      <c r="G7929" s="221">
        <v>2357.5</v>
      </c>
      <c r="H7929" s="222">
        <v>168461.27</v>
      </c>
      <c r="I7929" s="222">
        <v>63427.199999999997</v>
      </c>
      <c r="J7929" s="222">
        <v>91790.69</v>
      </c>
      <c r="K7929" s="222">
        <v>13243.38</v>
      </c>
      <c r="L7929" s="43">
        <v>6.7879020238239622</v>
      </c>
      <c r="M7929" s="43">
        <v>11.500435161009573</v>
      </c>
      <c r="N7929" s="43">
        <v>5.4169235245205574</v>
      </c>
      <c r="O7929" s="43">
        <v>5.6175524920466593</v>
      </c>
      <c r="P7929" s="223"/>
      <c r="Q7929" s="223"/>
      <c r="R7929" s="223">
        <v>7</v>
      </c>
    </row>
    <row r="7930" spans="1:18" ht="48">
      <c r="A7930" s="219">
        <v>816</v>
      </c>
      <c r="B7930" s="216" t="s">
        <v>14608</v>
      </c>
      <c r="C7930" s="220" t="s">
        <v>14609</v>
      </c>
      <c r="D7930" s="221">
        <v>29322.31</v>
      </c>
      <c r="E7930" s="221">
        <v>6135.66</v>
      </c>
      <c r="F7930" s="221">
        <v>20412.400000000001</v>
      </c>
      <c r="G7930" s="221">
        <v>2774.25</v>
      </c>
      <c r="H7930" s="222">
        <v>196696.9</v>
      </c>
      <c r="I7930" s="222">
        <v>70562.759999999995</v>
      </c>
      <c r="J7930" s="222">
        <v>110584.46</v>
      </c>
      <c r="K7930" s="222">
        <v>15549.68</v>
      </c>
      <c r="L7930" s="43">
        <v>6.7080970087281662</v>
      </c>
      <c r="M7930" s="43">
        <v>11.500435161009573</v>
      </c>
      <c r="N7930" s="43">
        <v>5.4175138641218084</v>
      </c>
      <c r="O7930" s="43">
        <v>5.6050031540055869</v>
      </c>
      <c r="P7930" s="223"/>
      <c r="Q7930" s="223"/>
      <c r="R7930" s="223">
        <v>7</v>
      </c>
    </row>
    <row r="7931" spans="1:18" ht="12.75" customHeight="1">
      <c r="A7931" s="628" t="s">
        <v>14610</v>
      </c>
      <c r="B7931" s="629"/>
      <c r="C7931" s="629"/>
      <c r="D7931" s="629"/>
      <c r="E7931" s="629"/>
      <c r="F7931" s="629"/>
      <c r="G7931" s="629"/>
      <c r="H7931" s="629"/>
      <c r="I7931" s="629"/>
      <c r="J7931" s="629"/>
      <c r="K7931" s="629"/>
      <c r="L7931" s="629"/>
      <c r="M7931" s="629"/>
      <c r="N7931" s="629"/>
      <c r="O7931" s="629"/>
      <c r="P7931" s="629"/>
      <c r="Q7931" s="629"/>
      <c r="R7931" s="629"/>
    </row>
    <row r="7932" spans="1:18" ht="84">
      <c r="A7932" s="219">
        <v>817</v>
      </c>
      <c r="B7932" s="216" t="s">
        <v>14611</v>
      </c>
      <c r="C7932" s="220" t="s">
        <v>14612</v>
      </c>
      <c r="D7932" s="221">
        <v>84.3</v>
      </c>
      <c r="E7932" s="221">
        <v>52.62</v>
      </c>
      <c r="F7932" s="221">
        <v>30.32</v>
      </c>
      <c r="G7932" s="221">
        <v>1.36</v>
      </c>
      <c r="H7932" s="222">
        <v>782.1</v>
      </c>
      <c r="I7932" s="222">
        <v>605.20000000000005</v>
      </c>
      <c r="J7932" s="222">
        <v>163.19999999999999</v>
      </c>
      <c r="K7932" s="222">
        <v>13.7</v>
      </c>
      <c r="L7932" s="43">
        <v>9.277580071174377</v>
      </c>
      <c r="M7932" s="43">
        <v>11.501330292664388</v>
      </c>
      <c r="N7932" s="43">
        <v>5.3825857519788913</v>
      </c>
      <c r="O7932" s="43">
        <v>10.073529411764705</v>
      </c>
      <c r="P7932" s="223"/>
      <c r="Q7932" s="223"/>
      <c r="R7932" s="223">
        <v>8</v>
      </c>
    </row>
    <row r="7933" spans="1:18" ht="84">
      <c r="A7933" s="219">
        <v>818</v>
      </c>
      <c r="B7933" s="216" t="s">
        <v>14613</v>
      </c>
      <c r="C7933" s="220" t="s">
        <v>14614</v>
      </c>
      <c r="D7933" s="221">
        <v>89.9</v>
      </c>
      <c r="E7933" s="221">
        <v>52.62</v>
      </c>
      <c r="F7933" s="221">
        <v>35.92</v>
      </c>
      <c r="G7933" s="221">
        <v>1.36</v>
      </c>
      <c r="H7933" s="222">
        <v>812.35</v>
      </c>
      <c r="I7933" s="222">
        <v>605.20000000000005</v>
      </c>
      <c r="J7933" s="222">
        <v>193.45</v>
      </c>
      <c r="K7933" s="222">
        <v>13.7</v>
      </c>
      <c r="L7933" s="43">
        <v>9.0361512791991103</v>
      </c>
      <c r="M7933" s="43">
        <v>11.501330292664388</v>
      </c>
      <c r="N7933" s="43">
        <v>5.3855790645879731</v>
      </c>
      <c r="O7933" s="43">
        <v>10.073529411764705</v>
      </c>
      <c r="P7933" s="223"/>
      <c r="Q7933" s="223"/>
      <c r="R7933" s="223">
        <v>8</v>
      </c>
    </row>
    <row r="7934" spans="1:18" ht="84">
      <c r="A7934" s="219">
        <v>819</v>
      </c>
      <c r="B7934" s="216" t="s">
        <v>14615</v>
      </c>
      <c r="C7934" s="220" t="s">
        <v>14616</v>
      </c>
      <c r="D7934" s="221">
        <v>200.41</v>
      </c>
      <c r="E7934" s="221">
        <v>125.24</v>
      </c>
      <c r="F7934" s="221">
        <v>72.36</v>
      </c>
      <c r="G7934" s="221">
        <v>2.81</v>
      </c>
      <c r="H7934" s="222">
        <v>1861.55</v>
      </c>
      <c r="I7934" s="222">
        <v>1440.33</v>
      </c>
      <c r="J7934" s="222">
        <v>390.85</v>
      </c>
      <c r="K7934" s="222">
        <v>30.37</v>
      </c>
      <c r="L7934" s="43">
        <v>9.2887081482959939</v>
      </c>
      <c r="M7934" s="43">
        <v>11.500558926860428</v>
      </c>
      <c r="N7934" s="43">
        <v>5.4014648977335549</v>
      </c>
      <c r="O7934" s="43">
        <v>10.807829181494663</v>
      </c>
      <c r="P7934" s="223"/>
      <c r="Q7934" s="223"/>
      <c r="R7934" s="223">
        <v>8</v>
      </c>
    </row>
    <row r="7935" spans="1:18" ht="84">
      <c r="A7935" s="219">
        <v>820</v>
      </c>
      <c r="B7935" s="216" t="s">
        <v>14617</v>
      </c>
      <c r="C7935" s="220" t="s">
        <v>14618</v>
      </c>
      <c r="D7935" s="221">
        <v>237.96</v>
      </c>
      <c r="E7935" s="221">
        <v>125.24</v>
      </c>
      <c r="F7935" s="221">
        <v>108.85</v>
      </c>
      <c r="G7935" s="221">
        <v>3.87</v>
      </c>
      <c r="H7935" s="222">
        <v>2064.37</v>
      </c>
      <c r="I7935" s="222">
        <v>1440.33</v>
      </c>
      <c r="J7935" s="222">
        <v>588.17999999999995</v>
      </c>
      <c r="K7935" s="222">
        <v>35.86</v>
      </c>
      <c r="L7935" s="43">
        <v>8.675281559926038</v>
      </c>
      <c r="M7935" s="43">
        <v>11.500558926860428</v>
      </c>
      <c r="N7935" s="43">
        <v>5.403582912264584</v>
      </c>
      <c r="O7935" s="43">
        <v>9.2661498708010335</v>
      </c>
      <c r="P7935" s="223"/>
      <c r="Q7935" s="223"/>
      <c r="R7935" s="223">
        <v>8</v>
      </c>
    </row>
    <row r="7936" spans="1:18" ht="84">
      <c r="A7936" s="219">
        <v>821</v>
      </c>
      <c r="B7936" s="216" t="s">
        <v>14619</v>
      </c>
      <c r="C7936" s="220" t="s">
        <v>14620</v>
      </c>
      <c r="D7936" s="221">
        <v>400.55</v>
      </c>
      <c r="E7936" s="221">
        <v>250.48</v>
      </c>
      <c r="F7936" s="221">
        <v>143.72999999999999</v>
      </c>
      <c r="G7936" s="221">
        <v>6.34</v>
      </c>
      <c r="H7936" s="222">
        <v>3722.65</v>
      </c>
      <c r="I7936" s="222">
        <v>2880.65</v>
      </c>
      <c r="J7936" s="222">
        <v>777.48</v>
      </c>
      <c r="K7936" s="222">
        <v>64.52</v>
      </c>
      <c r="L7936" s="43">
        <v>9.2938459618025213</v>
      </c>
      <c r="M7936" s="43">
        <v>11.500519003513256</v>
      </c>
      <c r="N7936" s="43">
        <v>5.4093091212690467</v>
      </c>
      <c r="O7936" s="43">
        <v>10.176656151419557</v>
      </c>
      <c r="P7936" s="223"/>
      <c r="Q7936" s="223"/>
      <c r="R7936" s="223">
        <v>8</v>
      </c>
    </row>
    <row r="7937" spans="1:18" ht="84">
      <c r="A7937" s="219">
        <v>822</v>
      </c>
      <c r="B7937" s="216" t="s">
        <v>14621</v>
      </c>
      <c r="C7937" s="220" t="s">
        <v>14622</v>
      </c>
      <c r="D7937" s="221">
        <v>493.33</v>
      </c>
      <c r="E7937" s="221">
        <v>250.48</v>
      </c>
      <c r="F7937" s="221">
        <v>236.47</v>
      </c>
      <c r="G7937" s="221">
        <v>6.38</v>
      </c>
      <c r="H7937" s="222">
        <v>4225.83</v>
      </c>
      <c r="I7937" s="222">
        <v>2880.65</v>
      </c>
      <c r="J7937" s="222">
        <v>1280.45</v>
      </c>
      <c r="K7937" s="222">
        <v>64.73</v>
      </c>
      <c r="L7937" s="43">
        <v>8.5659294995236461</v>
      </c>
      <c r="M7937" s="43">
        <v>11.500519003513256</v>
      </c>
      <c r="N7937" s="43">
        <v>5.4148517782382548</v>
      </c>
      <c r="O7937" s="43">
        <v>10.14576802507837</v>
      </c>
      <c r="P7937" s="223"/>
      <c r="Q7937" s="223"/>
      <c r="R7937" s="223">
        <v>8</v>
      </c>
    </row>
    <row r="7938" spans="1:18" ht="84">
      <c r="A7938" s="219">
        <v>823</v>
      </c>
      <c r="B7938" s="216" t="s">
        <v>14623</v>
      </c>
      <c r="C7938" s="220" t="s">
        <v>14624</v>
      </c>
      <c r="D7938" s="221">
        <v>686.54</v>
      </c>
      <c r="E7938" s="221">
        <v>388.36</v>
      </c>
      <c r="F7938" s="221">
        <v>289.04000000000002</v>
      </c>
      <c r="G7938" s="221">
        <v>9.14</v>
      </c>
      <c r="H7938" s="222">
        <v>6127.88</v>
      </c>
      <c r="I7938" s="222">
        <v>4466.33</v>
      </c>
      <c r="J7938" s="222">
        <v>1565.08</v>
      </c>
      <c r="K7938" s="222">
        <v>96.47</v>
      </c>
      <c r="L7938" s="43">
        <v>8.9257435837678809</v>
      </c>
      <c r="M7938" s="43">
        <v>11.500489236790607</v>
      </c>
      <c r="N7938" s="43">
        <v>5.4147522834209791</v>
      </c>
      <c r="O7938" s="43">
        <v>10.554704595185996</v>
      </c>
      <c r="P7938" s="223"/>
      <c r="Q7938" s="223"/>
      <c r="R7938" s="223">
        <v>8</v>
      </c>
    </row>
    <row r="7939" spans="1:18" ht="84">
      <c r="A7939" s="219">
        <v>824</v>
      </c>
      <c r="B7939" s="216" t="s">
        <v>14625</v>
      </c>
      <c r="C7939" s="220" t="s">
        <v>14626</v>
      </c>
      <c r="D7939" s="221">
        <v>806.93</v>
      </c>
      <c r="E7939" s="221">
        <v>388.36</v>
      </c>
      <c r="F7939" s="221">
        <v>408.68</v>
      </c>
      <c r="G7939" s="221">
        <v>9.89</v>
      </c>
      <c r="H7939" s="222">
        <v>6779.83</v>
      </c>
      <c r="I7939" s="222">
        <v>4466.33</v>
      </c>
      <c r="J7939" s="222">
        <v>2213.14</v>
      </c>
      <c r="K7939" s="222">
        <v>100.36</v>
      </c>
      <c r="L7939" s="43">
        <v>8.4020051305565548</v>
      </c>
      <c r="M7939" s="43">
        <v>11.500489236790607</v>
      </c>
      <c r="N7939" s="43">
        <v>5.4153371831261623</v>
      </c>
      <c r="O7939" s="43">
        <v>10.147623862487361</v>
      </c>
      <c r="P7939" s="223"/>
      <c r="Q7939" s="223"/>
      <c r="R7939" s="223">
        <v>8</v>
      </c>
    </row>
    <row r="7940" spans="1:18" ht="84">
      <c r="A7940" s="219">
        <v>825</v>
      </c>
      <c r="B7940" s="216" t="s">
        <v>14627</v>
      </c>
      <c r="C7940" s="220" t="s">
        <v>14628</v>
      </c>
      <c r="D7940" s="221">
        <v>1019.36</v>
      </c>
      <c r="E7940" s="221">
        <v>513.6</v>
      </c>
      <c r="F7940" s="221">
        <v>493.37</v>
      </c>
      <c r="G7940" s="221">
        <v>12.39</v>
      </c>
      <c r="H7940" s="222">
        <v>8708.7199999999993</v>
      </c>
      <c r="I7940" s="222">
        <v>5906.66</v>
      </c>
      <c r="J7940" s="222">
        <v>2672.95</v>
      </c>
      <c r="K7940" s="222">
        <v>129.11000000000001</v>
      </c>
      <c r="L7940" s="43">
        <v>8.543321299638988</v>
      </c>
      <c r="M7940" s="43">
        <v>11.500506230529595</v>
      </c>
      <c r="N7940" s="43">
        <v>5.4177392220848448</v>
      </c>
      <c r="O7940" s="43">
        <v>10.420500403551252</v>
      </c>
      <c r="P7940" s="223"/>
      <c r="Q7940" s="223"/>
      <c r="R7940" s="223">
        <v>8</v>
      </c>
    </row>
    <row r="7941" spans="1:18" ht="84">
      <c r="A7941" s="219">
        <v>826</v>
      </c>
      <c r="B7941" s="216" t="s">
        <v>14629</v>
      </c>
      <c r="C7941" s="220" t="s">
        <v>14630</v>
      </c>
      <c r="D7941" s="221">
        <v>1555.42</v>
      </c>
      <c r="E7941" s="221">
        <v>776.72</v>
      </c>
      <c r="F7941" s="221">
        <v>757.55</v>
      </c>
      <c r="G7941" s="221">
        <v>21.15</v>
      </c>
      <c r="H7941" s="222">
        <v>13244.69</v>
      </c>
      <c r="I7941" s="222">
        <v>8932.66</v>
      </c>
      <c r="J7941" s="222">
        <v>4104.32</v>
      </c>
      <c r="K7941" s="222">
        <v>207.71</v>
      </c>
      <c r="L7941" s="43">
        <v>8.5151856090316436</v>
      </c>
      <c r="M7941" s="43">
        <v>11.500489236790607</v>
      </c>
      <c r="N7941" s="43">
        <v>5.417886608144677</v>
      </c>
      <c r="O7941" s="43">
        <v>9.8208037825059105</v>
      </c>
      <c r="P7941" s="223"/>
      <c r="Q7941" s="223"/>
      <c r="R7941" s="223">
        <v>8</v>
      </c>
    </row>
    <row r="7942" spans="1:18" ht="84">
      <c r="A7942" s="219">
        <v>827</v>
      </c>
      <c r="B7942" s="216" t="s">
        <v>14631</v>
      </c>
      <c r="C7942" s="220" t="s">
        <v>14632</v>
      </c>
      <c r="D7942" s="221">
        <v>2196.5</v>
      </c>
      <c r="E7942" s="221">
        <v>1027.21</v>
      </c>
      <c r="F7942" s="221">
        <v>1139.6400000000001</v>
      </c>
      <c r="G7942" s="221">
        <v>29.65</v>
      </c>
      <c r="H7942" s="222">
        <v>18273.830000000002</v>
      </c>
      <c r="I7942" s="222">
        <v>11813.32</v>
      </c>
      <c r="J7942" s="222">
        <v>6177.08</v>
      </c>
      <c r="K7942" s="222">
        <v>283.43</v>
      </c>
      <c r="L7942" s="43">
        <v>8.3195219667653095</v>
      </c>
      <c r="M7942" s="43">
        <v>11.500394271862618</v>
      </c>
      <c r="N7942" s="43">
        <v>5.420202871082096</v>
      </c>
      <c r="O7942" s="43">
        <v>9.5591905564924122</v>
      </c>
      <c r="P7942" s="223"/>
      <c r="Q7942" s="223"/>
      <c r="R7942" s="223">
        <v>8</v>
      </c>
    </row>
    <row r="7943" spans="1:18" ht="84">
      <c r="A7943" s="219">
        <v>828</v>
      </c>
      <c r="B7943" s="216" t="s">
        <v>14633</v>
      </c>
      <c r="C7943" s="220" t="s">
        <v>14634</v>
      </c>
      <c r="D7943" s="221">
        <v>2830.19</v>
      </c>
      <c r="E7943" s="221">
        <v>1551.15</v>
      </c>
      <c r="F7943" s="221">
        <v>1236.79</v>
      </c>
      <c r="G7943" s="221">
        <v>42.25</v>
      </c>
      <c r="H7943" s="222">
        <v>24956.02</v>
      </c>
      <c r="I7943" s="222">
        <v>17838.900000000001</v>
      </c>
      <c r="J7943" s="222">
        <v>6702.18</v>
      </c>
      <c r="K7943" s="222">
        <v>414.94</v>
      </c>
      <c r="L7943" s="43">
        <v>8.817789618364845</v>
      </c>
      <c r="M7943" s="43">
        <v>11.500435161009573</v>
      </c>
      <c r="N7943" s="43">
        <v>5.4190121200850596</v>
      </c>
      <c r="O7943" s="43">
        <v>9.8210650887573969</v>
      </c>
      <c r="P7943" s="223"/>
      <c r="Q7943" s="223"/>
      <c r="R7943" s="223">
        <v>8</v>
      </c>
    </row>
    <row r="7944" spans="1:18" ht="84">
      <c r="A7944" s="219">
        <v>829</v>
      </c>
      <c r="B7944" s="216" t="s">
        <v>14635</v>
      </c>
      <c r="C7944" s="220" t="s">
        <v>14636</v>
      </c>
      <c r="D7944" s="221">
        <v>4453.87</v>
      </c>
      <c r="E7944" s="221">
        <v>2194.59</v>
      </c>
      <c r="F7944" s="221">
        <v>2193.5500000000002</v>
      </c>
      <c r="G7944" s="221">
        <v>65.73</v>
      </c>
      <c r="H7944" s="222">
        <v>37739.870000000003</v>
      </c>
      <c r="I7944" s="222">
        <v>25238.74</v>
      </c>
      <c r="J7944" s="222">
        <v>11883.2</v>
      </c>
      <c r="K7944" s="222">
        <v>617.92999999999995</v>
      </c>
      <c r="L7944" s="43">
        <v>8.4735005736584146</v>
      </c>
      <c r="M7944" s="43">
        <v>11.500435161009573</v>
      </c>
      <c r="N7944" s="43">
        <v>5.4173371931344168</v>
      </c>
      <c r="O7944" s="43">
        <v>9.4010345352198375</v>
      </c>
      <c r="P7944" s="223"/>
      <c r="Q7944" s="223"/>
      <c r="R7944" s="223">
        <v>8</v>
      </c>
    </row>
    <row r="7945" spans="1:18" ht="12.75" customHeight="1">
      <c r="A7945" s="628" t="s">
        <v>14637</v>
      </c>
      <c r="B7945" s="629"/>
      <c r="C7945" s="629"/>
      <c r="D7945" s="629"/>
      <c r="E7945" s="629"/>
      <c r="F7945" s="629"/>
      <c r="G7945" s="629"/>
      <c r="H7945" s="629"/>
      <c r="I7945" s="629"/>
      <c r="J7945" s="629"/>
      <c r="K7945" s="629"/>
      <c r="L7945" s="629"/>
      <c r="M7945" s="629"/>
      <c r="N7945" s="629"/>
      <c r="O7945" s="629"/>
      <c r="P7945" s="629"/>
      <c r="Q7945" s="629"/>
      <c r="R7945" s="629"/>
    </row>
    <row r="7946" spans="1:18" ht="84">
      <c r="A7946" s="219">
        <v>830</v>
      </c>
      <c r="B7946" s="216" t="s">
        <v>14638</v>
      </c>
      <c r="C7946" s="220" t="s">
        <v>14639</v>
      </c>
      <c r="D7946" s="221">
        <v>181.96</v>
      </c>
      <c r="E7946" s="221">
        <v>125.24</v>
      </c>
      <c r="F7946" s="221">
        <v>53.89</v>
      </c>
      <c r="G7946" s="221">
        <v>2.83</v>
      </c>
      <c r="H7946" s="222">
        <v>1761.78</v>
      </c>
      <c r="I7946" s="222">
        <v>1440.33</v>
      </c>
      <c r="J7946" s="222">
        <v>290.98</v>
      </c>
      <c r="K7946" s="222">
        <v>30.47</v>
      </c>
      <c r="L7946" s="43">
        <v>9.6822378544735095</v>
      </c>
      <c r="M7946" s="43">
        <v>11.500558926860428</v>
      </c>
      <c r="N7946" s="43">
        <v>5.3995175357209133</v>
      </c>
      <c r="O7946" s="43">
        <v>10.76678445229682</v>
      </c>
      <c r="P7946" s="223"/>
      <c r="Q7946" s="223"/>
      <c r="R7946" s="223">
        <v>9</v>
      </c>
    </row>
    <row r="7947" spans="1:18" ht="84">
      <c r="A7947" s="219">
        <v>831</v>
      </c>
      <c r="B7947" s="216" t="s">
        <v>14640</v>
      </c>
      <c r="C7947" s="220" t="s">
        <v>14641</v>
      </c>
      <c r="D7947" s="221">
        <v>276.92</v>
      </c>
      <c r="E7947" s="221">
        <v>125.24</v>
      </c>
      <c r="F7947" s="221">
        <v>147.81</v>
      </c>
      <c r="G7947" s="221">
        <v>3.87</v>
      </c>
      <c r="H7947" s="222">
        <v>2275.75</v>
      </c>
      <c r="I7947" s="222">
        <v>1440.33</v>
      </c>
      <c r="J7947" s="222">
        <v>799.56</v>
      </c>
      <c r="K7947" s="222">
        <v>35.86</v>
      </c>
      <c r="L7947" s="43">
        <v>8.2180774230824785</v>
      </c>
      <c r="M7947" s="43">
        <v>11.500558926860428</v>
      </c>
      <c r="N7947" s="43">
        <v>5.409376902780596</v>
      </c>
      <c r="O7947" s="43">
        <v>9.2661498708010335</v>
      </c>
      <c r="P7947" s="223"/>
      <c r="Q7947" s="223"/>
      <c r="R7947" s="223">
        <v>9</v>
      </c>
    </row>
    <row r="7948" spans="1:18" ht="84">
      <c r="A7948" s="219">
        <v>832</v>
      </c>
      <c r="B7948" s="216" t="s">
        <v>14642</v>
      </c>
      <c r="C7948" s="220" t="s">
        <v>14643</v>
      </c>
      <c r="D7948" s="221">
        <v>306.56</v>
      </c>
      <c r="E7948" s="221">
        <v>125.24</v>
      </c>
      <c r="F7948" s="221">
        <v>177.45</v>
      </c>
      <c r="G7948" s="221">
        <v>3.87</v>
      </c>
      <c r="H7948" s="222">
        <v>2436.16</v>
      </c>
      <c r="I7948" s="222">
        <v>1440.33</v>
      </c>
      <c r="J7948" s="222">
        <v>959.97</v>
      </c>
      <c r="K7948" s="222">
        <v>35.86</v>
      </c>
      <c r="L7948" s="43">
        <v>7.9467640918580367</v>
      </c>
      <c r="M7948" s="43">
        <v>11.500558926860428</v>
      </c>
      <c r="N7948" s="43">
        <v>5.4098055790363491</v>
      </c>
      <c r="O7948" s="43">
        <v>9.2661498708010335</v>
      </c>
      <c r="P7948" s="223"/>
      <c r="Q7948" s="223"/>
      <c r="R7948" s="223">
        <v>9</v>
      </c>
    </row>
    <row r="7949" spans="1:18" ht="84">
      <c r="A7949" s="219">
        <v>833</v>
      </c>
      <c r="B7949" s="216" t="s">
        <v>14644</v>
      </c>
      <c r="C7949" s="220" t="s">
        <v>14645</v>
      </c>
      <c r="D7949" s="221">
        <v>531.25</v>
      </c>
      <c r="E7949" s="221">
        <v>250.48</v>
      </c>
      <c r="F7949" s="221">
        <v>274.39</v>
      </c>
      <c r="G7949" s="221">
        <v>6.38</v>
      </c>
      <c r="H7949" s="222">
        <v>4431.43</v>
      </c>
      <c r="I7949" s="222">
        <v>2880.65</v>
      </c>
      <c r="J7949" s="222">
        <v>1486.05</v>
      </c>
      <c r="K7949" s="222">
        <v>64.73</v>
      </c>
      <c r="L7949" s="43">
        <v>8.3415152941176469</v>
      </c>
      <c r="M7949" s="43">
        <v>11.500519003513256</v>
      </c>
      <c r="N7949" s="43">
        <v>5.4158314807390937</v>
      </c>
      <c r="O7949" s="43">
        <v>10.14576802507837</v>
      </c>
      <c r="P7949" s="223"/>
      <c r="Q7949" s="223"/>
      <c r="R7949" s="223">
        <v>9</v>
      </c>
    </row>
    <row r="7950" spans="1:18" ht="84">
      <c r="A7950" s="219">
        <v>834</v>
      </c>
      <c r="B7950" s="216" t="s">
        <v>14646</v>
      </c>
      <c r="C7950" s="220" t="s">
        <v>14647</v>
      </c>
      <c r="D7950" s="221">
        <v>666.3</v>
      </c>
      <c r="E7950" s="221">
        <v>250.48</v>
      </c>
      <c r="F7950" s="221">
        <v>409.44</v>
      </c>
      <c r="G7950" s="221">
        <v>6.38</v>
      </c>
      <c r="H7950" s="222">
        <v>5163.3</v>
      </c>
      <c r="I7950" s="222">
        <v>2880.65</v>
      </c>
      <c r="J7950" s="222">
        <v>2217.92</v>
      </c>
      <c r="K7950" s="222">
        <v>64.73</v>
      </c>
      <c r="L7950" s="43">
        <v>7.7492120666366509</v>
      </c>
      <c r="M7950" s="43">
        <v>11.500519003513256</v>
      </c>
      <c r="N7950" s="43">
        <v>5.4169597499023059</v>
      </c>
      <c r="O7950" s="43">
        <v>10.14576802507837</v>
      </c>
      <c r="P7950" s="223"/>
      <c r="Q7950" s="223"/>
      <c r="R7950" s="223">
        <v>9</v>
      </c>
    </row>
    <row r="7951" spans="1:18" ht="84">
      <c r="A7951" s="219">
        <v>835</v>
      </c>
      <c r="B7951" s="216" t="s">
        <v>14648</v>
      </c>
      <c r="C7951" s="220" t="s">
        <v>14649</v>
      </c>
      <c r="D7951" s="221">
        <v>893.32</v>
      </c>
      <c r="E7951" s="221">
        <v>250.48</v>
      </c>
      <c r="F7951" s="221">
        <v>635.71</v>
      </c>
      <c r="G7951" s="221">
        <v>7.13</v>
      </c>
      <c r="H7951" s="222">
        <v>6393.67</v>
      </c>
      <c r="I7951" s="222">
        <v>2880.65</v>
      </c>
      <c r="J7951" s="222">
        <v>3444.4</v>
      </c>
      <c r="K7951" s="222">
        <v>68.62</v>
      </c>
      <c r="L7951" s="43">
        <v>7.1572001074642904</v>
      </c>
      <c r="M7951" s="43">
        <v>11.500519003513256</v>
      </c>
      <c r="N7951" s="43">
        <v>5.418193830520206</v>
      </c>
      <c r="O7951" s="43">
        <v>9.6241234221598884</v>
      </c>
      <c r="P7951" s="223"/>
      <c r="Q7951" s="223"/>
      <c r="R7951" s="223">
        <v>9</v>
      </c>
    </row>
    <row r="7952" spans="1:18" ht="84">
      <c r="A7952" s="219">
        <v>836</v>
      </c>
      <c r="B7952" s="216" t="s">
        <v>14650</v>
      </c>
      <c r="C7952" s="220" t="s">
        <v>14651</v>
      </c>
      <c r="D7952" s="221">
        <v>1250.08</v>
      </c>
      <c r="E7952" s="221">
        <v>388.36</v>
      </c>
      <c r="F7952" s="221">
        <v>848.33</v>
      </c>
      <c r="G7952" s="221">
        <v>13.39</v>
      </c>
      <c r="H7952" s="222">
        <v>9179.8700000000008</v>
      </c>
      <c r="I7952" s="222">
        <v>4466.33</v>
      </c>
      <c r="J7952" s="222">
        <v>4595.07</v>
      </c>
      <c r="K7952" s="222">
        <v>118.47</v>
      </c>
      <c r="L7952" s="43">
        <v>7.3434260207346744</v>
      </c>
      <c r="M7952" s="43">
        <v>11.500489236790607</v>
      </c>
      <c r="N7952" s="43">
        <v>5.4166067450166793</v>
      </c>
      <c r="O7952" s="43">
        <v>8.8476474981329343</v>
      </c>
      <c r="P7952" s="223"/>
      <c r="Q7952" s="223"/>
      <c r="R7952" s="223">
        <v>9</v>
      </c>
    </row>
    <row r="7953" spans="1:18" ht="84">
      <c r="A7953" s="219">
        <v>837</v>
      </c>
      <c r="B7953" s="216" t="s">
        <v>14652</v>
      </c>
      <c r="C7953" s="220" t="s">
        <v>14653</v>
      </c>
      <c r="D7953" s="221">
        <v>1565.75</v>
      </c>
      <c r="E7953" s="221">
        <v>388.36</v>
      </c>
      <c r="F7953" s="221">
        <v>1164</v>
      </c>
      <c r="G7953" s="221">
        <v>13.39</v>
      </c>
      <c r="H7953" s="222">
        <v>10893.69</v>
      </c>
      <c r="I7953" s="222">
        <v>4466.33</v>
      </c>
      <c r="J7953" s="222">
        <v>6308.89</v>
      </c>
      <c r="K7953" s="222">
        <v>118.47</v>
      </c>
      <c r="L7953" s="43">
        <v>6.9574900207568264</v>
      </c>
      <c r="M7953" s="43">
        <v>11.500489236790607</v>
      </c>
      <c r="N7953" s="43">
        <v>5.420008591065292</v>
      </c>
      <c r="O7953" s="43">
        <v>8.8476474981329343</v>
      </c>
      <c r="P7953" s="223"/>
      <c r="Q7953" s="223"/>
      <c r="R7953" s="223">
        <v>9</v>
      </c>
    </row>
    <row r="7954" spans="1:18" ht="84">
      <c r="A7954" s="219">
        <v>838</v>
      </c>
      <c r="B7954" s="216" t="s">
        <v>14654</v>
      </c>
      <c r="C7954" s="220" t="s">
        <v>14655</v>
      </c>
      <c r="D7954" s="221">
        <v>1844.25</v>
      </c>
      <c r="E7954" s="221">
        <v>388.36</v>
      </c>
      <c r="F7954" s="221">
        <v>1439.01</v>
      </c>
      <c r="G7954" s="221">
        <v>16.88</v>
      </c>
      <c r="H7954" s="222">
        <v>12402.08</v>
      </c>
      <c r="I7954" s="222">
        <v>4466.33</v>
      </c>
      <c r="J7954" s="222">
        <v>7799.17</v>
      </c>
      <c r="K7954" s="222">
        <v>136.58000000000001</v>
      </c>
      <c r="L7954" s="43">
        <v>6.7247282092991734</v>
      </c>
      <c r="M7954" s="43">
        <v>11.500489236790607</v>
      </c>
      <c r="N7954" s="43">
        <v>5.4198164015538461</v>
      </c>
      <c r="O7954" s="43">
        <v>8.0912322274881525</v>
      </c>
      <c r="P7954" s="223"/>
      <c r="Q7954" s="223"/>
      <c r="R7954" s="223">
        <v>9</v>
      </c>
    </row>
    <row r="7955" spans="1:18" ht="84">
      <c r="A7955" s="219">
        <v>839</v>
      </c>
      <c r="B7955" s="216" t="s">
        <v>14656</v>
      </c>
      <c r="C7955" s="220" t="s">
        <v>14657</v>
      </c>
      <c r="D7955" s="221">
        <v>1971.77</v>
      </c>
      <c r="E7955" s="221">
        <v>513.6</v>
      </c>
      <c r="F7955" s="221">
        <v>1436.67</v>
      </c>
      <c r="G7955" s="221">
        <v>21.5</v>
      </c>
      <c r="H7955" s="222">
        <v>13865.56</v>
      </c>
      <c r="I7955" s="222">
        <v>5906.66</v>
      </c>
      <c r="J7955" s="222">
        <v>7782.58</v>
      </c>
      <c r="K7955" s="222">
        <v>176.32</v>
      </c>
      <c r="L7955" s="43">
        <v>7.0320372051507016</v>
      </c>
      <c r="M7955" s="43">
        <v>11.500506230529595</v>
      </c>
      <c r="N7955" s="43">
        <v>5.4170964800545702</v>
      </c>
      <c r="O7955" s="43">
        <v>8.2009302325581395</v>
      </c>
      <c r="P7955" s="223"/>
      <c r="Q7955" s="223"/>
      <c r="R7955" s="223">
        <v>9</v>
      </c>
    </row>
    <row r="7956" spans="1:18" ht="12.75" customHeight="1">
      <c r="A7956" s="628" t="s">
        <v>14658</v>
      </c>
      <c r="B7956" s="629"/>
      <c r="C7956" s="629"/>
      <c r="D7956" s="629"/>
      <c r="E7956" s="629"/>
      <c r="F7956" s="629"/>
      <c r="G7956" s="629"/>
      <c r="H7956" s="629"/>
      <c r="I7956" s="629"/>
      <c r="J7956" s="629"/>
      <c r="K7956" s="629"/>
      <c r="L7956" s="629"/>
      <c r="M7956" s="629"/>
      <c r="N7956" s="629"/>
      <c r="O7956" s="629"/>
      <c r="P7956" s="629"/>
      <c r="Q7956" s="629"/>
      <c r="R7956" s="629"/>
    </row>
    <row r="7957" spans="1:18" ht="60">
      <c r="A7957" s="219">
        <v>840</v>
      </c>
      <c r="B7957" s="216" t="s">
        <v>14659</v>
      </c>
      <c r="C7957" s="220" t="s">
        <v>14660</v>
      </c>
      <c r="D7957" s="221">
        <v>432.35</v>
      </c>
      <c r="E7957" s="221">
        <v>325.17</v>
      </c>
      <c r="F7957" s="221">
        <v>96.29</v>
      </c>
      <c r="G7957" s="221">
        <v>10.89</v>
      </c>
      <c r="H7957" s="222">
        <v>4354.6899999999996</v>
      </c>
      <c r="I7957" s="222">
        <v>3739.56</v>
      </c>
      <c r="J7957" s="222">
        <v>519.21</v>
      </c>
      <c r="K7957" s="222">
        <v>95.92</v>
      </c>
      <c r="L7957" s="43">
        <v>10.072140626806984</v>
      </c>
      <c r="M7957" s="43">
        <v>11.500322908017344</v>
      </c>
      <c r="N7957" s="43">
        <v>5.3921487174161387</v>
      </c>
      <c r="O7957" s="43">
        <v>8.808080808080808</v>
      </c>
      <c r="P7957" s="223"/>
      <c r="Q7957" s="223"/>
      <c r="R7957" s="223">
        <v>10</v>
      </c>
    </row>
    <row r="7958" spans="1:18" ht="60">
      <c r="A7958" s="219">
        <v>841</v>
      </c>
      <c r="B7958" s="216" t="s">
        <v>14661</v>
      </c>
      <c r="C7958" s="220" t="s">
        <v>14662</v>
      </c>
      <c r="D7958" s="221">
        <v>631.14</v>
      </c>
      <c r="E7958" s="221">
        <v>475.69</v>
      </c>
      <c r="F7958" s="221">
        <v>137.65</v>
      </c>
      <c r="G7958" s="221">
        <v>17.8</v>
      </c>
      <c r="H7958" s="222">
        <v>6363.02</v>
      </c>
      <c r="I7958" s="222">
        <v>5470.6</v>
      </c>
      <c r="J7958" s="222">
        <v>742.77</v>
      </c>
      <c r="K7958" s="222">
        <v>149.65</v>
      </c>
      <c r="L7958" s="43">
        <v>10.081788509680896</v>
      </c>
      <c r="M7958" s="43">
        <v>11.500346864554647</v>
      </c>
      <c r="N7958" s="43">
        <v>5.396077006901562</v>
      </c>
      <c r="O7958" s="43">
        <v>8.4073033707865168</v>
      </c>
      <c r="P7958" s="223"/>
      <c r="Q7958" s="223"/>
      <c r="R7958" s="223">
        <v>10</v>
      </c>
    </row>
    <row r="7959" spans="1:18" ht="60">
      <c r="A7959" s="219">
        <v>842</v>
      </c>
      <c r="B7959" s="216" t="s">
        <v>14663</v>
      </c>
      <c r="C7959" s="220" t="s">
        <v>14664</v>
      </c>
      <c r="D7959" s="221">
        <v>731.51</v>
      </c>
      <c r="E7959" s="221">
        <v>500.96</v>
      </c>
      <c r="F7959" s="221">
        <v>208.87</v>
      </c>
      <c r="G7959" s="221">
        <v>21.68</v>
      </c>
      <c r="H7959" s="222">
        <v>7062.03</v>
      </c>
      <c r="I7959" s="222">
        <v>5761.3</v>
      </c>
      <c r="J7959" s="222">
        <v>1128.77</v>
      </c>
      <c r="K7959" s="222">
        <v>171.96</v>
      </c>
      <c r="L7959" s="43">
        <v>9.6540443739661796</v>
      </c>
      <c r="M7959" s="43">
        <v>11.500519003513256</v>
      </c>
      <c r="N7959" s="43">
        <v>5.4041748455977396</v>
      </c>
      <c r="O7959" s="43">
        <v>7.9317343173431736</v>
      </c>
      <c r="P7959" s="223"/>
      <c r="Q7959" s="223"/>
      <c r="R7959" s="223">
        <v>10</v>
      </c>
    </row>
    <row r="7960" spans="1:18" ht="60">
      <c r="A7960" s="219">
        <v>843</v>
      </c>
      <c r="B7960" s="216" t="s">
        <v>14665</v>
      </c>
      <c r="C7960" s="220" t="s">
        <v>14666</v>
      </c>
      <c r="D7960" s="221">
        <v>932.48</v>
      </c>
      <c r="E7960" s="221">
        <v>575.65</v>
      </c>
      <c r="F7960" s="221">
        <v>321.91000000000003</v>
      </c>
      <c r="G7960" s="221">
        <v>34.92</v>
      </c>
      <c r="H7960" s="222">
        <v>8607.27</v>
      </c>
      <c r="I7960" s="222">
        <v>6620.21</v>
      </c>
      <c r="J7960" s="222">
        <v>1738.9</v>
      </c>
      <c r="K7960" s="222">
        <v>248.16</v>
      </c>
      <c r="L7960" s="43">
        <v>9.2305143273850376</v>
      </c>
      <c r="M7960" s="43">
        <v>11.500408234170068</v>
      </c>
      <c r="N7960" s="43">
        <v>5.4018203845795405</v>
      </c>
      <c r="O7960" s="43">
        <v>7.1065292096219927</v>
      </c>
      <c r="P7960" s="223"/>
      <c r="Q7960" s="223"/>
      <c r="R7960" s="223">
        <v>10</v>
      </c>
    </row>
    <row r="7961" spans="1:18" ht="60">
      <c r="A7961" s="219">
        <v>844</v>
      </c>
      <c r="B7961" s="216" t="s">
        <v>14667</v>
      </c>
      <c r="C7961" s="220" t="s">
        <v>14668</v>
      </c>
      <c r="D7961" s="221">
        <v>1424.69</v>
      </c>
      <c r="E7961" s="221">
        <v>851.41</v>
      </c>
      <c r="F7961" s="221">
        <v>512.54999999999995</v>
      </c>
      <c r="G7961" s="221">
        <v>60.73</v>
      </c>
      <c r="H7961" s="222">
        <v>12975.56</v>
      </c>
      <c r="I7961" s="222">
        <v>9791.57</v>
      </c>
      <c r="J7961" s="222">
        <v>2770.11</v>
      </c>
      <c r="K7961" s="222">
        <v>413.88</v>
      </c>
      <c r="L7961" s="43">
        <v>9.1076374509542415</v>
      </c>
      <c r="M7961" s="43">
        <v>11.50041695540339</v>
      </c>
      <c r="N7961" s="43">
        <v>5.4045654082528545</v>
      </c>
      <c r="O7961" s="43">
        <v>6.8150831549481312</v>
      </c>
      <c r="P7961" s="223"/>
      <c r="Q7961" s="223"/>
      <c r="R7961" s="223">
        <v>10</v>
      </c>
    </row>
    <row r="7962" spans="1:18" ht="60">
      <c r="A7962" s="219">
        <v>845</v>
      </c>
      <c r="B7962" s="216" t="s">
        <v>14669</v>
      </c>
      <c r="C7962" s="220" t="s">
        <v>14670</v>
      </c>
      <c r="D7962" s="221">
        <v>1563.1</v>
      </c>
      <c r="E7962" s="221">
        <v>851.41</v>
      </c>
      <c r="F7962" s="221">
        <v>638.76</v>
      </c>
      <c r="G7962" s="221">
        <v>72.930000000000007</v>
      </c>
      <c r="H7962" s="222">
        <v>13716.93</v>
      </c>
      <c r="I7962" s="222">
        <v>9791.57</v>
      </c>
      <c r="J7962" s="222">
        <v>3452.95</v>
      </c>
      <c r="K7962" s="222">
        <v>472.41</v>
      </c>
      <c r="L7962" s="43">
        <v>8.7754654212782306</v>
      </c>
      <c r="M7962" s="43">
        <v>11.50041695540339</v>
      </c>
      <c r="N7962" s="43">
        <v>5.4057079341223622</v>
      </c>
      <c r="O7962" s="43">
        <v>6.4775812422871244</v>
      </c>
      <c r="P7962" s="223"/>
      <c r="Q7962" s="223"/>
      <c r="R7962" s="223">
        <v>10</v>
      </c>
    </row>
    <row r="7963" spans="1:18" ht="60">
      <c r="A7963" s="219">
        <v>846</v>
      </c>
      <c r="B7963" s="216" t="s">
        <v>14671</v>
      </c>
      <c r="C7963" s="220" t="s">
        <v>14672</v>
      </c>
      <c r="D7963" s="221">
        <v>1793.28</v>
      </c>
      <c r="E7963" s="221">
        <v>939.88</v>
      </c>
      <c r="F7963" s="221">
        <v>751.23</v>
      </c>
      <c r="G7963" s="221">
        <v>102.17</v>
      </c>
      <c r="H7963" s="222">
        <v>15503.25</v>
      </c>
      <c r="I7963" s="222">
        <v>10809.05</v>
      </c>
      <c r="J7963" s="222">
        <v>4063.31</v>
      </c>
      <c r="K7963" s="222">
        <v>630.89</v>
      </c>
      <c r="L7963" s="43">
        <v>8.6451920503211994</v>
      </c>
      <c r="M7963" s="43">
        <v>11.500457505213431</v>
      </c>
      <c r="N7963" s="43">
        <v>5.4088761098465179</v>
      </c>
      <c r="O7963" s="43">
        <v>6.1749045708133501</v>
      </c>
      <c r="P7963" s="223"/>
      <c r="Q7963" s="223"/>
      <c r="R7963" s="223">
        <v>10</v>
      </c>
    </row>
    <row r="7964" spans="1:18" ht="60">
      <c r="A7964" s="219">
        <v>847</v>
      </c>
      <c r="B7964" s="216" t="s">
        <v>14673</v>
      </c>
      <c r="C7964" s="220" t="s">
        <v>14674</v>
      </c>
      <c r="D7964" s="221">
        <v>3075.8</v>
      </c>
      <c r="E7964" s="221">
        <v>1551.15</v>
      </c>
      <c r="F7964" s="221">
        <v>1289.06</v>
      </c>
      <c r="G7964" s="221">
        <v>235.59</v>
      </c>
      <c r="H7964" s="222">
        <v>26176.400000000001</v>
      </c>
      <c r="I7964" s="222">
        <v>17838.900000000001</v>
      </c>
      <c r="J7964" s="222">
        <v>6975.13</v>
      </c>
      <c r="K7964" s="222">
        <v>1362.37</v>
      </c>
      <c r="L7964" s="43">
        <v>8.5104363092528779</v>
      </c>
      <c r="M7964" s="43">
        <v>11.500435161009573</v>
      </c>
      <c r="N7964" s="43">
        <v>5.4110204334941745</v>
      </c>
      <c r="O7964" s="43">
        <v>5.7828006282100253</v>
      </c>
      <c r="P7964" s="223"/>
      <c r="Q7964" s="223"/>
      <c r="R7964" s="223">
        <v>10</v>
      </c>
    </row>
    <row r="7965" spans="1:18" ht="12.75" customHeight="1">
      <c r="A7965" s="628" t="s">
        <v>14675</v>
      </c>
      <c r="B7965" s="629"/>
      <c r="C7965" s="629"/>
      <c r="D7965" s="629"/>
      <c r="E7965" s="629"/>
      <c r="F7965" s="629"/>
      <c r="G7965" s="629"/>
      <c r="H7965" s="629"/>
      <c r="I7965" s="629"/>
      <c r="J7965" s="629"/>
      <c r="K7965" s="629"/>
      <c r="L7965" s="629"/>
      <c r="M7965" s="629"/>
      <c r="N7965" s="629"/>
      <c r="O7965" s="629"/>
      <c r="P7965" s="629"/>
      <c r="Q7965" s="629"/>
      <c r="R7965" s="629"/>
    </row>
    <row r="7966" spans="1:18" ht="48">
      <c r="A7966" s="219">
        <v>848</v>
      </c>
      <c r="B7966" s="216" t="s">
        <v>14676</v>
      </c>
      <c r="C7966" s="220" t="s">
        <v>14677</v>
      </c>
      <c r="D7966" s="221">
        <v>442.46</v>
      </c>
      <c r="E7966" s="221">
        <v>350.45</v>
      </c>
      <c r="F7966" s="221">
        <v>80.64</v>
      </c>
      <c r="G7966" s="221">
        <v>11.37</v>
      </c>
      <c r="H7966" s="222">
        <v>4567.1899999999996</v>
      </c>
      <c r="I7966" s="222">
        <v>4030.27</v>
      </c>
      <c r="J7966" s="222">
        <v>435.25</v>
      </c>
      <c r="K7966" s="222">
        <v>101.67</v>
      </c>
      <c r="L7966" s="43">
        <v>10.32226641956335</v>
      </c>
      <c r="M7966" s="43">
        <v>11.500271080039949</v>
      </c>
      <c r="N7966" s="43">
        <v>5.3974454365079367</v>
      </c>
      <c r="O7966" s="43">
        <v>8.9419525065963068</v>
      </c>
      <c r="P7966" s="223"/>
      <c r="Q7966" s="223"/>
      <c r="R7966" s="223">
        <v>11</v>
      </c>
    </row>
    <row r="7967" spans="1:18" ht="48">
      <c r="A7967" s="219">
        <v>849</v>
      </c>
      <c r="B7967" s="216" t="s">
        <v>14678</v>
      </c>
      <c r="C7967" s="220" t="s">
        <v>14679</v>
      </c>
      <c r="D7967" s="221">
        <v>606.89</v>
      </c>
      <c r="E7967" s="221">
        <v>475.69</v>
      </c>
      <c r="F7967" s="221">
        <v>113.37</v>
      </c>
      <c r="G7967" s="221">
        <v>17.829999999999998</v>
      </c>
      <c r="H7967" s="222">
        <v>6232.64</v>
      </c>
      <c r="I7967" s="222">
        <v>5470.6</v>
      </c>
      <c r="J7967" s="222">
        <v>612.26</v>
      </c>
      <c r="K7967" s="222">
        <v>149.78</v>
      </c>
      <c r="L7967" s="43">
        <v>10.269801776269176</v>
      </c>
      <c r="M7967" s="43">
        <v>11.500346864554647</v>
      </c>
      <c r="N7967" s="43">
        <v>5.4005468818911524</v>
      </c>
      <c r="O7967" s="43">
        <v>8.400448681996636</v>
      </c>
      <c r="P7967" s="223"/>
      <c r="Q7967" s="223"/>
      <c r="R7967" s="223">
        <v>11</v>
      </c>
    </row>
    <row r="7968" spans="1:18" ht="48">
      <c r="A7968" s="219">
        <v>850</v>
      </c>
      <c r="B7968" s="216" t="s">
        <v>14680</v>
      </c>
      <c r="C7968" s="220" t="s">
        <v>14681</v>
      </c>
      <c r="D7968" s="221">
        <v>717.21</v>
      </c>
      <c r="E7968" s="221">
        <v>513.6</v>
      </c>
      <c r="F7968" s="221">
        <v>181.55</v>
      </c>
      <c r="G7968" s="221">
        <v>22.06</v>
      </c>
      <c r="H7968" s="222">
        <v>7064.08</v>
      </c>
      <c r="I7968" s="222">
        <v>5906.66</v>
      </c>
      <c r="J7968" s="222">
        <v>981.94</v>
      </c>
      <c r="K7968" s="222">
        <v>175.48</v>
      </c>
      <c r="L7968" s="43">
        <v>9.8493886030590758</v>
      </c>
      <c r="M7968" s="43">
        <v>11.500506230529595</v>
      </c>
      <c r="N7968" s="43">
        <v>5.4086477554392731</v>
      </c>
      <c r="O7968" s="43">
        <v>7.954669084315503</v>
      </c>
      <c r="P7968" s="223"/>
      <c r="Q7968" s="223"/>
      <c r="R7968" s="223">
        <v>11</v>
      </c>
    </row>
    <row r="7969" spans="1:18" ht="48">
      <c r="A7969" s="219">
        <v>851</v>
      </c>
      <c r="B7969" s="216" t="s">
        <v>14682</v>
      </c>
      <c r="C7969" s="220" t="s">
        <v>14683</v>
      </c>
      <c r="D7969" s="221">
        <v>864.88</v>
      </c>
      <c r="E7969" s="221">
        <v>588.29</v>
      </c>
      <c r="F7969" s="221">
        <v>241.49</v>
      </c>
      <c r="G7969" s="221">
        <v>35.1</v>
      </c>
      <c r="H7969" s="222">
        <v>8322.9</v>
      </c>
      <c r="I7969" s="222">
        <v>6765.57</v>
      </c>
      <c r="J7969" s="222">
        <v>1306.57</v>
      </c>
      <c r="K7969" s="222">
        <v>250.76</v>
      </c>
      <c r="L7969" s="43">
        <v>9.623184719267412</v>
      </c>
      <c r="M7969" s="43">
        <v>11.500399462849956</v>
      </c>
      <c r="N7969" s="43">
        <v>5.410451778541554</v>
      </c>
      <c r="O7969" s="43">
        <v>7.1441595441595434</v>
      </c>
      <c r="P7969" s="223"/>
      <c r="Q7969" s="223"/>
      <c r="R7969" s="223">
        <v>11</v>
      </c>
    </row>
    <row r="7970" spans="1:18" ht="48">
      <c r="A7970" s="219">
        <v>852</v>
      </c>
      <c r="B7970" s="216" t="s">
        <v>14684</v>
      </c>
      <c r="C7970" s="220" t="s">
        <v>14685</v>
      </c>
      <c r="D7970" s="221">
        <v>1062.5999999999999</v>
      </c>
      <c r="E7970" s="221">
        <v>676.76</v>
      </c>
      <c r="F7970" s="221">
        <v>332.49</v>
      </c>
      <c r="G7970" s="221">
        <v>53.35</v>
      </c>
      <c r="H7970" s="222">
        <v>9937.0499999999993</v>
      </c>
      <c r="I7970" s="222">
        <v>7783.05</v>
      </c>
      <c r="J7970" s="222">
        <v>1798.91</v>
      </c>
      <c r="K7970" s="222">
        <v>355.09</v>
      </c>
      <c r="L7970" s="43">
        <v>9.3516374929418404</v>
      </c>
      <c r="M7970" s="43">
        <v>11.500458064897453</v>
      </c>
      <c r="N7970" s="43">
        <v>5.4104183584468704</v>
      </c>
      <c r="O7970" s="43">
        <v>6.655857544517338</v>
      </c>
      <c r="P7970" s="223"/>
      <c r="Q7970" s="223"/>
      <c r="R7970" s="223">
        <v>11</v>
      </c>
    </row>
    <row r="7971" spans="1:18" ht="48">
      <c r="A7971" s="219">
        <v>853</v>
      </c>
      <c r="B7971" s="216" t="s">
        <v>14686</v>
      </c>
      <c r="C7971" s="220" t="s">
        <v>14687</v>
      </c>
      <c r="D7971" s="221">
        <v>1201.93</v>
      </c>
      <c r="E7971" s="221">
        <v>751.45</v>
      </c>
      <c r="F7971" s="221">
        <v>391.62</v>
      </c>
      <c r="G7971" s="221">
        <v>58.86</v>
      </c>
      <c r="H7971" s="222">
        <v>11153.4</v>
      </c>
      <c r="I7971" s="222">
        <v>8641.9599999999991</v>
      </c>
      <c r="J7971" s="222">
        <v>2119.92</v>
      </c>
      <c r="K7971" s="222">
        <v>391.52</v>
      </c>
      <c r="L7971" s="43">
        <v>9.2795753496459845</v>
      </c>
      <c r="M7971" s="43">
        <v>11.500379266750945</v>
      </c>
      <c r="N7971" s="43">
        <v>5.4132066799448451</v>
      </c>
      <c r="O7971" s="43">
        <v>6.6517159361196052</v>
      </c>
      <c r="P7971" s="223"/>
      <c r="Q7971" s="223"/>
      <c r="R7971" s="223">
        <v>11</v>
      </c>
    </row>
    <row r="7972" spans="1:18" ht="48">
      <c r="A7972" s="219">
        <v>854</v>
      </c>
      <c r="B7972" s="216" t="s">
        <v>14688</v>
      </c>
      <c r="C7972" s="220" t="s">
        <v>14689</v>
      </c>
      <c r="D7972" s="221">
        <v>1408.32</v>
      </c>
      <c r="E7972" s="221">
        <v>851.41</v>
      </c>
      <c r="F7972" s="221">
        <v>483.98</v>
      </c>
      <c r="G7972" s="221">
        <v>72.930000000000007</v>
      </c>
      <c r="H7972" s="222">
        <v>12884.91</v>
      </c>
      <c r="I7972" s="222">
        <v>9791.57</v>
      </c>
      <c r="J7972" s="222">
        <v>2620.9299999999998</v>
      </c>
      <c r="K7972" s="222">
        <v>472.41</v>
      </c>
      <c r="L7972" s="43">
        <v>9.1491351397409684</v>
      </c>
      <c r="M7972" s="43">
        <v>11.50041695540339</v>
      </c>
      <c r="N7972" s="43">
        <v>5.4153684036530434</v>
      </c>
      <c r="O7972" s="43">
        <v>6.4775812422871244</v>
      </c>
      <c r="P7972" s="223"/>
      <c r="Q7972" s="223"/>
      <c r="R7972" s="223">
        <v>11</v>
      </c>
    </row>
    <row r="7973" spans="1:18" ht="48">
      <c r="A7973" s="219">
        <v>855</v>
      </c>
      <c r="B7973" s="216" t="s">
        <v>14690</v>
      </c>
      <c r="C7973" s="220" t="s">
        <v>14691</v>
      </c>
      <c r="D7973" s="221">
        <v>1631.68</v>
      </c>
      <c r="E7973" s="221">
        <v>927.24</v>
      </c>
      <c r="F7973" s="221">
        <v>602.53</v>
      </c>
      <c r="G7973" s="221">
        <v>101.91</v>
      </c>
      <c r="H7973" s="222">
        <v>14555.52</v>
      </c>
      <c r="I7973" s="222">
        <v>10663.7</v>
      </c>
      <c r="J7973" s="222">
        <v>3263.92</v>
      </c>
      <c r="K7973" s="222">
        <v>627.9</v>
      </c>
      <c r="L7973" s="43">
        <v>8.9205726613061387</v>
      </c>
      <c r="M7973" s="43">
        <v>11.500474526551919</v>
      </c>
      <c r="N7973" s="43">
        <v>5.4170248784292898</v>
      </c>
      <c r="O7973" s="43">
        <v>6.1613188107153372</v>
      </c>
      <c r="P7973" s="223"/>
      <c r="Q7973" s="223"/>
      <c r="R7973" s="223">
        <v>11</v>
      </c>
    </row>
    <row r="7974" spans="1:18" ht="48">
      <c r="A7974" s="219">
        <v>856</v>
      </c>
      <c r="B7974" s="216" t="s">
        <v>14692</v>
      </c>
      <c r="C7974" s="220" t="s">
        <v>14693</v>
      </c>
      <c r="D7974" s="221">
        <v>2778.42</v>
      </c>
      <c r="E7974" s="221">
        <v>1516.68</v>
      </c>
      <c r="F7974" s="221">
        <v>1023.51</v>
      </c>
      <c r="G7974" s="221">
        <v>238.23</v>
      </c>
      <c r="H7974" s="222">
        <v>24361.81</v>
      </c>
      <c r="I7974" s="222">
        <v>17442.48</v>
      </c>
      <c r="J7974" s="222">
        <v>5547.64</v>
      </c>
      <c r="K7974" s="222">
        <v>1371.69</v>
      </c>
      <c r="L7974" s="43">
        <v>8.7682243865218368</v>
      </c>
      <c r="M7974" s="43">
        <v>11.500435161009573</v>
      </c>
      <c r="N7974" s="43">
        <v>5.4202108430792082</v>
      </c>
      <c r="O7974" s="43">
        <v>5.7578390630902918</v>
      </c>
      <c r="P7974" s="223"/>
      <c r="Q7974" s="223"/>
      <c r="R7974" s="223">
        <v>11</v>
      </c>
    </row>
    <row r="7975" spans="1:18" ht="12.75" customHeight="1">
      <c r="A7975" s="628" t="s">
        <v>14694</v>
      </c>
      <c r="B7975" s="629"/>
      <c r="C7975" s="629"/>
      <c r="D7975" s="629"/>
      <c r="E7975" s="629"/>
      <c r="F7975" s="629"/>
      <c r="G7975" s="629"/>
      <c r="H7975" s="629"/>
      <c r="I7975" s="629"/>
      <c r="J7975" s="629"/>
      <c r="K7975" s="629"/>
      <c r="L7975" s="629"/>
      <c r="M7975" s="629"/>
      <c r="N7975" s="629"/>
      <c r="O7975" s="629"/>
      <c r="P7975" s="629"/>
      <c r="Q7975" s="629"/>
      <c r="R7975" s="629"/>
    </row>
    <row r="7976" spans="1:18" ht="60">
      <c r="A7976" s="219">
        <v>857</v>
      </c>
      <c r="B7976" s="216" t="s">
        <v>14695</v>
      </c>
      <c r="C7976" s="220" t="s">
        <v>14696</v>
      </c>
      <c r="D7976" s="221">
        <v>2925.07</v>
      </c>
      <c r="E7976" s="221">
        <v>2504.8200000000002</v>
      </c>
      <c r="F7976" s="221">
        <v>351.08</v>
      </c>
      <c r="G7976" s="221">
        <v>69.17</v>
      </c>
      <c r="H7976" s="222">
        <v>31444.95</v>
      </c>
      <c r="I7976" s="222">
        <v>28806.52</v>
      </c>
      <c r="J7976" s="222">
        <v>1959.96</v>
      </c>
      <c r="K7976" s="222">
        <v>678.47</v>
      </c>
      <c r="L7976" s="43">
        <v>10.750152987791745</v>
      </c>
      <c r="M7976" s="43">
        <v>11.500435161009573</v>
      </c>
      <c r="N7976" s="43">
        <v>5.5826592229691245</v>
      </c>
      <c r="O7976" s="43">
        <v>9.8087321092959385</v>
      </c>
      <c r="P7976" s="223"/>
      <c r="Q7976" s="223"/>
      <c r="R7976" s="223">
        <v>12</v>
      </c>
    </row>
    <row r="7977" spans="1:18" ht="60">
      <c r="A7977" s="219">
        <v>858</v>
      </c>
      <c r="B7977" s="216" t="s">
        <v>14697</v>
      </c>
      <c r="C7977" s="220" t="s">
        <v>14698</v>
      </c>
      <c r="D7977" s="221">
        <v>2989.67</v>
      </c>
      <c r="E7977" s="221">
        <v>2504.8200000000002</v>
      </c>
      <c r="F7977" s="221">
        <v>415.68</v>
      </c>
      <c r="G7977" s="221">
        <v>69.17</v>
      </c>
      <c r="H7977" s="222">
        <v>31819.360000000001</v>
      </c>
      <c r="I7977" s="222">
        <v>28806.52</v>
      </c>
      <c r="J7977" s="222">
        <v>2334.37</v>
      </c>
      <c r="K7977" s="222">
        <v>678.47</v>
      </c>
      <c r="L7977" s="43">
        <v>10.643101078045403</v>
      </c>
      <c r="M7977" s="43">
        <v>11.500435161009573</v>
      </c>
      <c r="N7977" s="43">
        <v>5.6157861816782138</v>
      </c>
      <c r="O7977" s="43">
        <v>9.8087321092959385</v>
      </c>
      <c r="P7977" s="223"/>
      <c r="Q7977" s="223"/>
      <c r="R7977" s="223">
        <v>12</v>
      </c>
    </row>
    <row r="7978" spans="1:18" ht="60">
      <c r="A7978" s="219">
        <v>859</v>
      </c>
      <c r="B7978" s="216" t="s">
        <v>14699</v>
      </c>
      <c r="C7978" s="220" t="s">
        <v>14700</v>
      </c>
      <c r="D7978" s="221">
        <v>3852.99</v>
      </c>
      <c r="E7978" s="221">
        <v>2504.8200000000002</v>
      </c>
      <c r="F7978" s="221">
        <v>1247.0999999999999</v>
      </c>
      <c r="G7978" s="221">
        <v>101.07</v>
      </c>
      <c r="H7978" s="222">
        <v>36561.24</v>
      </c>
      <c r="I7978" s="222">
        <v>28806.52</v>
      </c>
      <c r="J7978" s="222">
        <v>6907.85</v>
      </c>
      <c r="K7978" s="222">
        <v>846.87</v>
      </c>
      <c r="L7978" s="43">
        <v>9.4890565508864544</v>
      </c>
      <c r="M7978" s="43">
        <v>11.500435161009573</v>
      </c>
      <c r="N7978" s="43">
        <v>5.5391307834175292</v>
      </c>
      <c r="O7978" s="43">
        <v>8.3790442267735248</v>
      </c>
      <c r="P7978" s="223"/>
      <c r="Q7978" s="223"/>
      <c r="R7978" s="223">
        <v>12</v>
      </c>
    </row>
    <row r="7979" spans="1:18" ht="60">
      <c r="A7979" s="219">
        <v>860</v>
      </c>
      <c r="B7979" s="216" t="s">
        <v>14701</v>
      </c>
      <c r="C7979" s="220" t="s">
        <v>14702</v>
      </c>
      <c r="D7979" s="221">
        <v>4256.6000000000004</v>
      </c>
      <c r="E7979" s="221">
        <v>2504.8200000000002</v>
      </c>
      <c r="F7979" s="221">
        <v>1627.01</v>
      </c>
      <c r="G7979" s="221">
        <v>124.77</v>
      </c>
      <c r="H7979" s="222">
        <v>38793.49</v>
      </c>
      <c r="I7979" s="222">
        <v>28806.52</v>
      </c>
      <c r="J7979" s="222">
        <v>9012</v>
      </c>
      <c r="K7979" s="222">
        <v>974.97</v>
      </c>
      <c r="L7979" s="43">
        <v>9.1137269181976208</v>
      </c>
      <c r="M7979" s="43">
        <v>11.500435161009573</v>
      </c>
      <c r="N7979" s="43">
        <v>5.5389948433015164</v>
      </c>
      <c r="O7979" s="43">
        <v>7.8141380139456604</v>
      </c>
      <c r="P7979" s="223"/>
      <c r="Q7979" s="223"/>
      <c r="R7979" s="223">
        <v>12</v>
      </c>
    </row>
    <row r="7980" spans="1:18" ht="60">
      <c r="A7980" s="219">
        <v>861</v>
      </c>
      <c r="B7980" s="216" t="s">
        <v>14703</v>
      </c>
      <c r="C7980" s="220" t="s">
        <v>14704</v>
      </c>
      <c r="D7980" s="221">
        <v>5123.47</v>
      </c>
      <c r="E7980" s="221">
        <v>2504.8200000000002</v>
      </c>
      <c r="F7980" s="221">
        <v>2424.11</v>
      </c>
      <c r="G7980" s="221">
        <v>194.54</v>
      </c>
      <c r="H7980" s="222">
        <v>43525.26</v>
      </c>
      <c r="I7980" s="222">
        <v>28806.52</v>
      </c>
      <c r="J7980" s="222">
        <v>13382.21</v>
      </c>
      <c r="K7980" s="222">
        <v>1336.53</v>
      </c>
      <c r="L7980" s="43">
        <v>8.4952698073766406</v>
      </c>
      <c r="M7980" s="43">
        <v>11.500435161009573</v>
      </c>
      <c r="N7980" s="43">
        <v>5.5204631803012232</v>
      </c>
      <c r="O7980" s="43">
        <v>6.8702066413077008</v>
      </c>
      <c r="P7980" s="223"/>
      <c r="Q7980" s="223"/>
      <c r="R7980" s="223">
        <v>12</v>
      </c>
    </row>
    <row r="7981" spans="1:18" ht="12.75" customHeight="1">
      <c r="A7981" s="628" t="s">
        <v>14705</v>
      </c>
      <c r="B7981" s="629"/>
      <c r="C7981" s="629"/>
      <c r="D7981" s="629"/>
      <c r="E7981" s="629"/>
      <c r="F7981" s="629"/>
      <c r="G7981" s="629"/>
      <c r="H7981" s="629"/>
      <c r="I7981" s="629"/>
      <c r="J7981" s="629"/>
      <c r="K7981" s="629"/>
      <c r="L7981" s="629"/>
      <c r="M7981" s="629"/>
      <c r="N7981" s="629"/>
      <c r="O7981" s="629"/>
      <c r="P7981" s="629"/>
      <c r="Q7981" s="629"/>
      <c r="R7981" s="629"/>
    </row>
    <row r="7982" spans="1:18" ht="60">
      <c r="A7982" s="219">
        <v>862</v>
      </c>
      <c r="B7982" s="216" t="s">
        <v>14706</v>
      </c>
      <c r="C7982" s="220" t="s">
        <v>14707</v>
      </c>
      <c r="D7982" s="221">
        <v>3161.9</v>
      </c>
      <c r="E7982" s="221">
        <v>2585.25</v>
      </c>
      <c r="F7982" s="221">
        <v>474.95</v>
      </c>
      <c r="G7982" s="221">
        <v>101.7</v>
      </c>
      <c r="H7982" s="222">
        <v>33153.11</v>
      </c>
      <c r="I7982" s="222">
        <v>29731.5</v>
      </c>
      <c r="J7982" s="222">
        <v>2568.09</v>
      </c>
      <c r="K7982" s="222">
        <v>853.52</v>
      </c>
      <c r="L7982" s="43">
        <v>10.485186122268257</v>
      </c>
      <c r="M7982" s="43">
        <v>11.500435161009573</v>
      </c>
      <c r="N7982" s="43">
        <v>5.4070744288872516</v>
      </c>
      <c r="O7982" s="43">
        <v>8.3925270403146506</v>
      </c>
      <c r="P7982" s="223"/>
      <c r="Q7982" s="223"/>
      <c r="R7982" s="223">
        <v>13</v>
      </c>
    </row>
    <row r="7983" spans="1:18" ht="60">
      <c r="A7983" s="219">
        <v>863</v>
      </c>
      <c r="B7983" s="216" t="s">
        <v>14708</v>
      </c>
      <c r="C7983" s="220" t="s">
        <v>14709</v>
      </c>
      <c r="D7983" s="221">
        <v>3551.44</v>
      </c>
      <c r="E7983" s="221">
        <v>2585.25</v>
      </c>
      <c r="F7983" s="221">
        <v>854.42</v>
      </c>
      <c r="G7983" s="221">
        <v>111.77</v>
      </c>
      <c r="H7983" s="222">
        <v>35262.339999999997</v>
      </c>
      <c r="I7983" s="222">
        <v>29731.5</v>
      </c>
      <c r="J7983" s="222">
        <v>4625.1499999999996</v>
      </c>
      <c r="K7983" s="222">
        <v>905.69</v>
      </c>
      <c r="L7983" s="43">
        <v>9.9290259725632399</v>
      </c>
      <c r="M7983" s="43">
        <v>11.500435161009573</v>
      </c>
      <c r="N7983" s="43">
        <v>5.413204278926055</v>
      </c>
      <c r="O7983" s="43">
        <v>8.103158271450301</v>
      </c>
      <c r="P7983" s="223"/>
      <c r="Q7983" s="223"/>
      <c r="R7983" s="223">
        <v>13</v>
      </c>
    </row>
    <row r="7984" spans="1:18" ht="60">
      <c r="A7984" s="219">
        <v>864</v>
      </c>
      <c r="B7984" s="216" t="s">
        <v>14710</v>
      </c>
      <c r="C7984" s="220" t="s">
        <v>14711</v>
      </c>
      <c r="D7984" s="221">
        <v>5671.24</v>
      </c>
      <c r="E7984" s="221">
        <v>3883.62</v>
      </c>
      <c r="F7984" s="221">
        <v>1528.34</v>
      </c>
      <c r="G7984" s="221">
        <v>259.27999999999997</v>
      </c>
      <c r="H7984" s="222">
        <v>54774.86</v>
      </c>
      <c r="I7984" s="222">
        <v>44663.32</v>
      </c>
      <c r="J7984" s="222">
        <v>8278.7199999999993</v>
      </c>
      <c r="K7984" s="222">
        <v>1832.82</v>
      </c>
      <c r="L7984" s="43">
        <v>9.6583569025468865</v>
      </c>
      <c r="M7984" s="43">
        <v>11.500435161009573</v>
      </c>
      <c r="N7984" s="43">
        <v>5.4168051611552404</v>
      </c>
      <c r="O7984" s="43">
        <v>7.0688830607837092</v>
      </c>
      <c r="P7984" s="223"/>
      <c r="Q7984" s="223"/>
      <c r="R7984" s="223">
        <v>13</v>
      </c>
    </row>
    <row r="7985" spans="1:18" ht="12.75" customHeight="1">
      <c r="A7985" s="628" t="s">
        <v>14712</v>
      </c>
      <c r="B7985" s="629"/>
      <c r="C7985" s="629"/>
      <c r="D7985" s="629"/>
      <c r="E7985" s="629"/>
      <c r="F7985" s="629"/>
      <c r="G7985" s="629"/>
      <c r="H7985" s="629"/>
      <c r="I7985" s="629"/>
      <c r="J7985" s="629"/>
      <c r="K7985" s="629"/>
      <c r="L7985" s="629"/>
      <c r="M7985" s="629"/>
      <c r="N7985" s="629"/>
      <c r="O7985" s="629"/>
      <c r="P7985" s="629"/>
      <c r="Q7985" s="629"/>
      <c r="R7985" s="629"/>
    </row>
    <row r="7986" spans="1:18" ht="60">
      <c r="A7986" s="219">
        <v>865</v>
      </c>
      <c r="B7986" s="216" t="s">
        <v>14713</v>
      </c>
      <c r="C7986" s="220" t="s">
        <v>14714</v>
      </c>
      <c r="D7986" s="221">
        <v>327.77</v>
      </c>
      <c r="E7986" s="221">
        <v>258.52999999999997</v>
      </c>
      <c r="F7986" s="221">
        <v>60.65</v>
      </c>
      <c r="G7986" s="221">
        <v>8.59</v>
      </c>
      <c r="H7986" s="222">
        <v>3376.89</v>
      </c>
      <c r="I7986" s="222">
        <v>2973.15</v>
      </c>
      <c r="J7986" s="222">
        <v>326.57</v>
      </c>
      <c r="K7986" s="222">
        <v>77.17</v>
      </c>
      <c r="L7986" s="43">
        <v>10.302620740153156</v>
      </c>
      <c r="M7986" s="43">
        <v>11.500212741267939</v>
      </c>
      <c r="N7986" s="43">
        <v>5.3845012366034624</v>
      </c>
      <c r="O7986" s="43">
        <v>8.9837019790454011</v>
      </c>
      <c r="P7986" s="223"/>
      <c r="Q7986" s="223"/>
      <c r="R7986" s="223">
        <v>14</v>
      </c>
    </row>
    <row r="7987" spans="1:18" ht="60">
      <c r="A7987" s="219">
        <v>866</v>
      </c>
      <c r="B7987" s="216" t="s">
        <v>14715</v>
      </c>
      <c r="C7987" s="220" t="s">
        <v>14716</v>
      </c>
      <c r="D7987" s="221">
        <v>372.11</v>
      </c>
      <c r="E7987" s="221">
        <v>258.52999999999997</v>
      </c>
      <c r="F7987" s="221">
        <v>104.99</v>
      </c>
      <c r="G7987" s="221">
        <v>8.59</v>
      </c>
      <c r="H7987" s="222">
        <v>3616.5</v>
      </c>
      <c r="I7987" s="222">
        <v>2973.15</v>
      </c>
      <c r="J7987" s="222">
        <v>566.17999999999995</v>
      </c>
      <c r="K7987" s="222">
        <v>77.17</v>
      </c>
      <c r="L7987" s="43">
        <v>9.7189003251726636</v>
      </c>
      <c r="M7987" s="43">
        <v>11.500212741267939</v>
      </c>
      <c r="N7987" s="43">
        <v>5.3927040670540052</v>
      </c>
      <c r="O7987" s="43">
        <v>8.9837019790454011</v>
      </c>
      <c r="P7987" s="223"/>
      <c r="Q7987" s="223"/>
      <c r="R7987" s="223">
        <v>14</v>
      </c>
    </row>
    <row r="7988" spans="1:18" ht="60">
      <c r="A7988" s="219">
        <v>867</v>
      </c>
      <c r="B7988" s="216" t="s">
        <v>14717</v>
      </c>
      <c r="C7988" s="220" t="s">
        <v>14718</v>
      </c>
      <c r="D7988" s="221">
        <v>407.96</v>
      </c>
      <c r="E7988" s="221">
        <v>258.52999999999997</v>
      </c>
      <c r="F7988" s="221">
        <v>139.84</v>
      </c>
      <c r="G7988" s="221">
        <v>9.59</v>
      </c>
      <c r="H7988" s="222">
        <v>3809.88</v>
      </c>
      <c r="I7988" s="222">
        <v>2973.15</v>
      </c>
      <c r="J7988" s="222">
        <v>754.35</v>
      </c>
      <c r="K7988" s="222">
        <v>82.38</v>
      </c>
      <c r="L7988" s="43">
        <v>9.3388567506618312</v>
      </c>
      <c r="M7988" s="43">
        <v>11.500212741267939</v>
      </c>
      <c r="N7988" s="43">
        <v>5.3943792906178487</v>
      </c>
      <c r="O7988" s="43">
        <v>8.5901981230448374</v>
      </c>
      <c r="P7988" s="223"/>
      <c r="Q7988" s="223"/>
      <c r="R7988" s="223">
        <v>14</v>
      </c>
    </row>
    <row r="7989" spans="1:18" ht="60">
      <c r="A7989" s="219">
        <v>868</v>
      </c>
      <c r="B7989" s="216" t="s">
        <v>14719</v>
      </c>
      <c r="C7989" s="220" t="s">
        <v>14720</v>
      </c>
      <c r="D7989" s="221">
        <v>443.19</v>
      </c>
      <c r="E7989" s="221">
        <v>258.52999999999997</v>
      </c>
      <c r="F7989" s="221">
        <v>172.21</v>
      </c>
      <c r="G7989" s="221">
        <v>12.45</v>
      </c>
      <c r="H7989" s="222">
        <v>4000.22</v>
      </c>
      <c r="I7989" s="222">
        <v>2973.15</v>
      </c>
      <c r="J7989" s="222">
        <v>929.98</v>
      </c>
      <c r="K7989" s="222">
        <v>97.09</v>
      </c>
      <c r="L7989" s="43">
        <v>9.0259708025903116</v>
      </c>
      <c r="M7989" s="43">
        <v>11.500212741267939</v>
      </c>
      <c r="N7989" s="43">
        <v>5.4002671157307933</v>
      </c>
      <c r="O7989" s="43">
        <v>7.7983935742971893</v>
      </c>
      <c r="P7989" s="223"/>
      <c r="Q7989" s="223"/>
      <c r="R7989" s="223">
        <v>14</v>
      </c>
    </row>
    <row r="7990" spans="1:18" ht="60">
      <c r="A7990" s="219">
        <v>869</v>
      </c>
      <c r="B7990" s="216" t="s">
        <v>14721</v>
      </c>
      <c r="C7990" s="220" t="s">
        <v>14722</v>
      </c>
      <c r="D7990" s="221">
        <v>681.05</v>
      </c>
      <c r="E7990" s="221">
        <v>388.36</v>
      </c>
      <c r="F7990" s="221">
        <v>271.44</v>
      </c>
      <c r="G7990" s="221">
        <v>21.25</v>
      </c>
      <c r="H7990" s="222">
        <v>6092.53</v>
      </c>
      <c r="I7990" s="222">
        <v>4466.33</v>
      </c>
      <c r="J7990" s="222">
        <v>1466.81</v>
      </c>
      <c r="K7990" s="222">
        <v>159.38999999999999</v>
      </c>
      <c r="L7990" s="43">
        <v>8.9457895896042885</v>
      </c>
      <c r="M7990" s="43">
        <v>11.500489236790607</v>
      </c>
      <c r="N7990" s="43">
        <v>5.4038093132920721</v>
      </c>
      <c r="O7990" s="43">
        <v>7.5007058823529409</v>
      </c>
      <c r="P7990" s="223"/>
      <c r="Q7990" s="223"/>
      <c r="R7990" s="223">
        <v>14</v>
      </c>
    </row>
    <row r="7991" spans="1:18" ht="60">
      <c r="A7991" s="219">
        <v>870</v>
      </c>
      <c r="B7991" s="216" t="s">
        <v>14723</v>
      </c>
      <c r="C7991" s="220" t="s">
        <v>14724</v>
      </c>
      <c r="D7991" s="221">
        <v>821.51</v>
      </c>
      <c r="E7991" s="221">
        <v>388.36</v>
      </c>
      <c r="F7991" s="221">
        <v>404.92</v>
      </c>
      <c r="G7991" s="221">
        <v>28.23</v>
      </c>
      <c r="H7991" s="222">
        <v>6851.19</v>
      </c>
      <c r="I7991" s="222">
        <v>4466.33</v>
      </c>
      <c r="J7991" s="222">
        <v>2189.31</v>
      </c>
      <c r="K7991" s="222">
        <v>195.55</v>
      </c>
      <c r="L7991" s="43">
        <v>8.3397524071526821</v>
      </c>
      <c r="M7991" s="43">
        <v>11.500489236790607</v>
      </c>
      <c r="N7991" s="43">
        <v>5.4067717079917017</v>
      </c>
      <c r="O7991" s="43">
        <v>6.9270279844137441</v>
      </c>
      <c r="P7991" s="223"/>
      <c r="Q7991" s="223"/>
      <c r="R7991" s="223">
        <v>14</v>
      </c>
    </row>
    <row r="7992" spans="1:18" ht="60">
      <c r="A7992" s="219">
        <v>871</v>
      </c>
      <c r="B7992" s="216" t="s">
        <v>14725</v>
      </c>
      <c r="C7992" s="220" t="s">
        <v>14726</v>
      </c>
      <c r="D7992" s="221">
        <v>1050.3</v>
      </c>
      <c r="E7992" s="221">
        <v>513.6</v>
      </c>
      <c r="F7992" s="221">
        <v>504.03</v>
      </c>
      <c r="G7992" s="221">
        <v>32.67</v>
      </c>
      <c r="H7992" s="222">
        <v>8866.25</v>
      </c>
      <c r="I7992" s="222">
        <v>5906.66</v>
      </c>
      <c r="J7992" s="222">
        <v>2725.53</v>
      </c>
      <c r="K7992" s="222">
        <v>234.06</v>
      </c>
      <c r="L7992" s="43">
        <v>8.4416357231267263</v>
      </c>
      <c r="M7992" s="43">
        <v>11.500506230529595</v>
      </c>
      <c r="N7992" s="43">
        <v>5.4074757454913405</v>
      </c>
      <c r="O7992" s="43">
        <v>7.1643709825528008</v>
      </c>
      <c r="P7992" s="223"/>
      <c r="Q7992" s="223"/>
      <c r="R7992" s="223">
        <v>14</v>
      </c>
    </row>
    <row r="7993" spans="1:18" ht="60">
      <c r="A7993" s="219">
        <v>872</v>
      </c>
      <c r="B7993" s="216" t="s">
        <v>14727</v>
      </c>
      <c r="C7993" s="220" t="s">
        <v>14728</v>
      </c>
      <c r="D7993" s="221">
        <v>1235.8599999999999</v>
      </c>
      <c r="E7993" s="221">
        <v>513.6</v>
      </c>
      <c r="F7993" s="221">
        <v>674.36</v>
      </c>
      <c r="G7993" s="221">
        <v>47.9</v>
      </c>
      <c r="H7993" s="222">
        <v>9867.64</v>
      </c>
      <c r="I7993" s="222">
        <v>5906.66</v>
      </c>
      <c r="J7993" s="222">
        <v>3648.12</v>
      </c>
      <c r="K7993" s="222">
        <v>312.86</v>
      </c>
      <c r="L7993" s="43">
        <v>7.9844318935801795</v>
      </c>
      <c r="M7993" s="43">
        <v>11.500506230529595</v>
      </c>
      <c r="N7993" s="43">
        <v>5.4097514680586034</v>
      </c>
      <c r="O7993" s="43">
        <v>6.5315240083507309</v>
      </c>
      <c r="P7993" s="223"/>
      <c r="Q7993" s="223"/>
      <c r="R7993" s="223">
        <v>14</v>
      </c>
    </row>
    <row r="7994" spans="1:18" ht="60">
      <c r="A7994" s="219">
        <v>873</v>
      </c>
      <c r="B7994" s="216" t="s">
        <v>14729</v>
      </c>
      <c r="C7994" s="220" t="s">
        <v>14730</v>
      </c>
      <c r="D7994" s="221">
        <v>1662.22</v>
      </c>
      <c r="E7994" s="221">
        <v>651.48</v>
      </c>
      <c r="F7994" s="221">
        <v>943.79</v>
      </c>
      <c r="G7994" s="221">
        <v>66.95</v>
      </c>
      <c r="H7994" s="222">
        <v>13029.54</v>
      </c>
      <c r="I7994" s="222">
        <v>7492.34</v>
      </c>
      <c r="J7994" s="222">
        <v>5108.26</v>
      </c>
      <c r="K7994" s="222">
        <v>428.94</v>
      </c>
      <c r="L7994" s="43">
        <v>7.838637484809472</v>
      </c>
      <c r="M7994" s="43">
        <v>11.500491189292074</v>
      </c>
      <c r="N7994" s="43">
        <v>5.4124964239926259</v>
      </c>
      <c r="O7994" s="43">
        <v>6.4068707991038085</v>
      </c>
      <c r="P7994" s="223"/>
      <c r="Q7994" s="223"/>
      <c r="R7994" s="223">
        <v>14</v>
      </c>
    </row>
    <row r="7995" spans="1:18" ht="12.75" customHeight="1">
      <c r="A7995" s="628" t="s">
        <v>14731</v>
      </c>
      <c r="B7995" s="629"/>
      <c r="C7995" s="629"/>
      <c r="D7995" s="629"/>
      <c r="E7995" s="629"/>
      <c r="F7995" s="629"/>
      <c r="G7995" s="629"/>
      <c r="H7995" s="629"/>
      <c r="I7995" s="629"/>
      <c r="J7995" s="629"/>
      <c r="K7995" s="629"/>
      <c r="L7995" s="629"/>
      <c r="M7995" s="629"/>
      <c r="N7995" s="629"/>
      <c r="O7995" s="629"/>
      <c r="P7995" s="629"/>
      <c r="Q7995" s="629"/>
      <c r="R7995" s="629"/>
    </row>
    <row r="7996" spans="1:18" ht="60">
      <c r="A7996" s="219">
        <v>874</v>
      </c>
      <c r="B7996" s="216" t="s">
        <v>14732</v>
      </c>
      <c r="C7996" s="220" t="s">
        <v>14733</v>
      </c>
      <c r="D7996" s="221">
        <v>16588.77</v>
      </c>
      <c r="E7996" s="221">
        <v>2902.83</v>
      </c>
      <c r="F7996" s="221">
        <v>12525.21</v>
      </c>
      <c r="G7996" s="221">
        <v>1160.73</v>
      </c>
      <c r="H7996" s="222">
        <v>108840.75</v>
      </c>
      <c r="I7996" s="222">
        <v>33382.550000000003</v>
      </c>
      <c r="J7996" s="222">
        <v>67623.179999999993</v>
      </c>
      <c r="K7996" s="222">
        <v>7835.02</v>
      </c>
      <c r="L7996" s="43">
        <v>6.5611103174014707</v>
      </c>
      <c r="M7996" s="43">
        <v>11.500001722457052</v>
      </c>
      <c r="N7996" s="43">
        <v>5.3989657658434469</v>
      </c>
      <c r="O7996" s="43">
        <v>6.7500796912287964</v>
      </c>
      <c r="P7996" s="223"/>
      <c r="Q7996" s="223"/>
      <c r="R7996" s="223">
        <v>15</v>
      </c>
    </row>
    <row r="7997" spans="1:18" ht="60">
      <c r="A7997" s="219">
        <v>875</v>
      </c>
      <c r="B7997" s="216" t="s">
        <v>14734</v>
      </c>
      <c r="C7997" s="220" t="s">
        <v>14735</v>
      </c>
      <c r="D7997" s="221">
        <v>26237.26</v>
      </c>
      <c r="E7997" s="221">
        <v>4511.1099999999997</v>
      </c>
      <c r="F7997" s="221">
        <v>20102.36</v>
      </c>
      <c r="G7997" s="221">
        <v>1623.79</v>
      </c>
      <c r="H7997" s="222">
        <v>171207.24</v>
      </c>
      <c r="I7997" s="222">
        <v>51877.72</v>
      </c>
      <c r="J7997" s="222">
        <v>108424.21</v>
      </c>
      <c r="K7997" s="222">
        <v>10905.31</v>
      </c>
      <c r="L7997" s="43">
        <v>6.5253475401013672</v>
      </c>
      <c r="M7997" s="43">
        <v>11.499990024628087</v>
      </c>
      <c r="N7997" s="43">
        <v>5.3936060243672888</v>
      </c>
      <c r="O7997" s="43">
        <v>6.7159608077399167</v>
      </c>
      <c r="P7997" s="223"/>
      <c r="Q7997" s="223"/>
      <c r="R7997" s="223">
        <v>15</v>
      </c>
    </row>
    <row r="7998" spans="1:18" ht="12.75" customHeight="1">
      <c r="A7998" s="628" t="s">
        <v>14736</v>
      </c>
      <c r="B7998" s="629"/>
      <c r="C7998" s="629"/>
      <c r="D7998" s="629"/>
      <c r="E7998" s="629"/>
      <c r="F7998" s="629"/>
      <c r="G7998" s="629"/>
      <c r="H7998" s="629"/>
      <c r="I7998" s="629"/>
      <c r="J7998" s="629"/>
      <c r="K7998" s="629"/>
      <c r="L7998" s="629"/>
      <c r="M7998" s="629"/>
      <c r="N7998" s="629"/>
      <c r="O7998" s="629"/>
      <c r="P7998" s="629"/>
      <c r="Q7998" s="629"/>
      <c r="R7998" s="629"/>
    </row>
    <row r="7999" spans="1:18" ht="12.75" customHeight="1">
      <c r="A7999" s="628" t="s">
        <v>14737</v>
      </c>
      <c r="B7999" s="629"/>
      <c r="C7999" s="629"/>
      <c r="D7999" s="629"/>
      <c r="E7999" s="629"/>
      <c r="F7999" s="629"/>
      <c r="G7999" s="629"/>
      <c r="H7999" s="629"/>
      <c r="I7999" s="629"/>
      <c r="J7999" s="629"/>
      <c r="K7999" s="629"/>
      <c r="L7999" s="629"/>
      <c r="M7999" s="629"/>
      <c r="N7999" s="629"/>
      <c r="O7999" s="629"/>
      <c r="P7999" s="629"/>
      <c r="Q7999" s="629"/>
      <c r="R7999" s="629"/>
    </row>
    <row r="8000" spans="1:18" ht="48">
      <c r="A8000" s="219">
        <v>876</v>
      </c>
      <c r="B8000" s="216" t="s">
        <v>14738</v>
      </c>
      <c r="C8000" s="220" t="s">
        <v>14739</v>
      </c>
      <c r="D8000" s="221">
        <v>2304.39</v>
      </c>
      <c r="E8000" s="221">
        <v>776.72</v>
      </c>
      <c r="F8000" s="221">
        <v>1498.1</v>
      </c>
      <c r="G8000" s="221">
        <v>29.57</v>
      </c>
      <c r="H8000" s="222">
        <v>17280.39</v>
      </c>
      <c r="I8000" s="222">
        <v>8932.66</v>
      </c>
      <c r="J8000" s="222">
        <v>8086.82</v>
      </c>
      <c r="K8000" s="222">
        <v>260.91000000000003</v>
      </c>
      <c r="L8000" s="43">
        <v>7.4988999257938111</v>
      </c>
      <c r="M8000" s="43">
        <v>11.500489236790607</v>
      </c>
      <c r="N8000" s="43">
        <v>5.3980508644282761</v>
      </c>
      <c r="O8000" s="43">
        <v>8.823469732837335</v>
      </c>
      <c r="P8000" s="223"/>
      <c r="Q8000" s="223"/>
      <c r="R8000" s="223">
        <v>1</v>
      </c>
    </row>
    <row r="8001" spans="1:18" ht="48">
      <c r="A8001" s="219">
        <v>877</v>
      </c>
      <c r="B8001" s="216" t="s">
        <v>14740</v>
      </c>
      <c r="C8001" s="220" t="s">
        <v>14741</v>
      </c>
      <c r="D8001" s="221">
        <v>2600.2600000000002</v>
      </c>
      <c r="E8001" s="221">
        <v>1027.21</v>
      </c>
      <c r="F8001" s="221">
        <v>1533.62</v>
      </c>
      <c r="G8001" s="221">
        <v>39.43</v>
      </c>
      <c r="H8001" s="222">
        <v>20447.91</v>
      </c>
      <c r="I8001" s="222">
        <v>11813.32</v>
      </c>
      <c r="J8001" s="222">
        <v>8287.84</v>
      </c>
      <c r="K8001" s="222">
        <v>346.75</v>
      </c>
      <c r="L8001" s="43">
        <v>7.8637943897917895</v>
      </c>
      <c r="M8001" s="43">
        <v>11.500394271862618</v>
      </c>
      <c r="N8001" s="43">
        <v>5.4041027112322482</v>
      </c>
      <c r="O8001" s="43">
        <v>8.7940654324118697</v>
      </c>
      <c r="P8001" s="223"/>
      <c r="Q8001" s="223"/>
      <c r="R8001" s="223">
        <v>1</v>
      </c>
    </row>
    <row r="8002" spans="1:18" ht="48">
      <c r="A8002" s="219">
        <v>878</v>
      </c>
      <c r="B8002" s="216" t="s">
        <v>14742</v>
      </c>
      <c r="C8002" s="220" t="s">
        <v>14743</v>
      </c>
      <c r="D8002" s="221">
        <v>3512.63</v>
      </c>
      <c r="E8002" s="221">
        <v>1160.49</v>
      </c>
      <c r="F8002" s="221">
        <v>2298.12</v>
      </c>
      <c r="G8002" s="221">
        <v>54.02</v>
      </c>
      <c r="H8002" s="222">
        <v>26229.919999999998</v>
      </c>
      <c r="I8002" s="222">
        <v>13346.14</v>
      </c>
      <c r="J8002" s="222">
        <v>12442.46</v>
      </c>
      <c r="K8002" s="222">
        <v>441.32</v>
      </c>
      <c r="L8002" s="43">
        <v>7.4673165121290879</v>
      </c>
      <c r="M8002" s="43">
        <v>11.500435161009573</v>
      </c>
      <c r="N8002" s="43">
        <v>5.4141907298139351</v>
      </c>
      <c r="O8002" s="43">
        <v>8.1695668271010735</v>
      </c>
      <c r="P8002" s="223"/>
      <c r="Q8002" s="223"/>
      <c r="R8002" s="223">
        <v>1</v>
      </c>
    </row>
    <row r="8003" spans="1:18" ht="48">
      <c r="A8003" s="219">
        <v>879</v>
      </c>
      <c r="B8003" s="216" t="s">
        <v>14744</v>
      </c>
      <c r="C8003" s="220" t="s">
        <v>14745</v>
      </c>
      <c r="D8003" s="221">
        <v>4622.3500000000004</v>
      </c>
      <c r="E8003" s="221">
        <v>1286.8800000000001</v>
      </c>
      <c r="F8003" s="221">
        <v>3269.57</v>
      </c>
      <c r="G8003" s="221">
        <v>65.900000000000006</v>
      </c>
      <c r="H8003" s="222">
        <v>33089.64</v>
      </c>
      <c r="I8003" s="222">
        <v>14799.68</v>
      </c>
      <c r="J8003" s="222">
        <v>17764.03</v>
      </c>
      <c r="K8003" s="222">
        <v>525.92999999999995</v>
      </c>
      <c r="L8003" s="43">
        <v>7.1586184516533793</v>
      </c>
      <c r="M8003" s="43">
        <v>11.500435161009573</v>
      </c>
      <c r="N8003" s="43">
        <v>5.433139525992714</v>
      </c>
      <c r="O8003" s="43">
        <v>7.9807283763277681</v>
      </c>
      <c r="P8003" s="223"/>
      <c r="Q8003" s="223"/>
      <c r="R8003" s="223">
        <v>1</v>
      </c>
    </row>
    <row r="8004" spans="1:18" ht="48">
      <c r="A8004" s="219">
        <v>880</v>
      </c>
      <c r="B8004" s="216" t="s">
        <v>14746</v>
      </c>
      <c r="C8004" s="220" t="s">
        <v>14747</v>
      </c>
      <c r="D8004" s="221">
        <v>5061.43</v>
      </c>
      <c r="E8004" s="221">
        <v>1286.8800000000001</v>
      </c>
      <c r="F8004" s="221">
        <v>3682.74</v>
      </c>
      <c r="G8004" s="221">
        <v>91.81</v>
      </c>
      <c r="H8004" s="222">
        <v>35596.339999999997</v>
      </c>
      <c r="I8004" s="222">
        <v>14799.68</v>
      </c>
      <c r="J8004" s="222">
        <v>20131.490000000002</v>
      </c>
      <c r="K8004" s="222">
        <v>665.17</v>
      </c>
      <c r="L8004" s="43">
        <v>7.0328622543431392</v>
      </c>
      <c r="M8004" s="43">
        <v>11.500435161009573</v>
      </c>
      <c r="N8004" s="43">
        <v>5.4664434632909202</v>
      </c>
      <c r="O8004" s="43">
        <v>7.2450713429909586</v>
      </c>
      <c r="P8004" s="223"/>
      <c r="Q8004" s="223"/>
      <c r="R8004" s="223">
        <v>1</v>
      </c>
    </row>
    <row r="8005" spans="1:18" ht="48">
      <c r="A8005" s="219">
        <v>881</v>
      </c>
      <c r="B8005" s="216" t="s">
        <v>14748</v>
      </c>
      <c r="C8005" s="220" t="s">
        <v>14749</v>
      </c>
      <c r="D8005" s="221">
        <v>7162.8</v>
      </c>
      <c r="E8005" s="221">
        <v>1286.8800000000001</v>
      </c>
      <c r="F8005" s="221">
        <v>5751.18</v>
      </c>
      <c r="G8005" s="221">
        <v>124.74</v>
      </c>
      <c r="H8005" s="222">
        <v>47309</v>
      </c>
      <c r="I8005" s="222">
        <v>14799.68</v>
      </c>
      <c r="J8005" s="222">
        <v>31635.200000000001</v>
      </c>
      <c r="K8005" s="222">
        <v>874.12</v>
      </c>
      <c r="L8005" s="43">
        <v>6.6048193443904619</v>
      </c>
      <c r="M8005" s="43">
        <v>11.500435161009573</v>
      </c>
      <c r="N8005" s="43">
        <v>5.5006450850086415</v>
      </c>
      <c r="O8005" s="43">
        <v>7.0075356742023409</v>
      </c>
      <c r="P8005" s="223"/>
      <c r="Q8005" s="223"/>
      <c r="R8005" s="223">
        <v>1</v>
      </c>
    </row>
    <row r="8006" spans="1:18" ht="48">
      <c r="A8006" s="219">
        <v>882</v>
      </c>
      <c r="B8006" s="216" t="s">
        <v>14750</v>
      </c>
      <c r="C8006" s="220" t="s">
        <v>14751</v>
      </c>
      <c r="D8006" s="221">
        <v>10905.7</v>
      </c>
      <c r="E8006" s="221">
        <v>2585.25</v>
      </c>
      <c r="F8006" s="221">
        <v>8027.75</v>
      </c>
      <c r="G8006" s="221">
        <v>292.7</v>
      </c>
      <c r="H8006" s="222">
        <v>75890.05</v>
      </c>
      <c r="I8006" s="222">
        <v>29731.5</v>
      </c>
      <c r="J8006" s="222">
        <v>44240.9</v>
      </c>
      <c r="K8006" s="222">
        <v>1917.65</v>
      </c>
      <c r="L8006" s="43">
        <v>6.9587509284135818</v>
      </c>
      <c r="M8006" s="43">
        <v>11.500435161009573</v>
      </c>
      <c r="N8006" s="43">
        <v>5.5109962318208714</v>
      </c>
      <c r="O8006" s="43">
        <v>6.5515886573283231</v>
      </c>
      <c r="P8006" s="223"/>
      <c r="Q8006" s="223"/>
      <c r="R8006" s="223">
        <v>1</v>
      </c>
    </row>
    <row r="8007" spans="1:18" ht="12.75" customHeight="1">
      <c r="A8007" s="628" t="s">
        <v>14752</v>
      </c>
      <c r="B8007" s="629"/>
      <c r="C8007" s="629"/>
      <c r="D8007" s="629"/>
      <c r="E8007" s="629"/>
      <c r="F8007" s="629"/>
      <c r="G8007" s="629"/>
      <c r="H8007" s="629"/>
      <c r="I8007" s="629"/>
      <c r="J8007" s="629"/>
      <c r="K8007" s="629"/>
      <c r="L8007" s="629"/>
      <c r="M8007" s="629"/>
      <c r="N8007" s="629"/>
      <c r="O8007" s="629"/>
      <c r="P8007" s="629"/>
      <c r="Q8007" s="629"/>
      <c r="R8007" s="629"/>
    </row>
    <row r="8008" spans="1:18" ht="48">
      <c r="A8008" s="219">
        <v>883</v>
      </c>
      <c r="B8008" s="216" t="s">
        <v>14753</v>
      </c>
      <c r="C8008" s="220" t="s">
        <v>14754</v>
      </c>
      <c r="D8008" s="221">
        <v>3963.02</v>
      </c>
      <c r="E8008" s="221">
        <v>1780.95</v>
      </c>
      <c r="F8008" s="221">
        <v>1950.01</v>
      </c>
      <c r="G8008" s="221">
        <v>232.06</v>
      </c>
      <c r="H8008" s="222">
        <v>32468.29</v>
      </c>
      <c r="I8008" s="222">
        <v>20481.7</v>
      </c>
      <c r="J8008" s="222">
        <v>10517.34</v>
      </c>
      <c r="K8008" s="222">
        <v>1469.25</v>
      </c>
      <c r="L8008" s="43">
        <v>8.1928150753718132</v>
      </c>
      <c r="M8008" s="43">
        <v>11.500435161009573</v>
      </c>
      <c r="N8008" s="43">
        <v>5.3934800334357265</v>
      </c>
      <c r="O8008" s="43">
        <v>6.3313367232612254</v>
      </c>
      <c r="P8008" s="223"/>
      <c r="Q8008" s="223"/>
      <c r="R8008" s="223">
        <v>2</v>
      </c>
    </row>
    <row r="8009" spans="1:18" ht="48">
      <c r="A8009" s="219">
        <v>884</v>
      </c>
      <c r="B8009" s="216" t="s">
        <v>14755</v>
      </c>
      <c r="C8009" s="220" t="s">
        <v>14756</v>
      </c>
      <c r="D8009" s="221">
        <v>16748.46</v>
      </c>
      <c r="E8009" s="221">
        <v>6514.83</v>
      </c>
      <c r="F8009" s="221">
        <v>8849.26</v>
      </c>
      <c r="G8009" s="221">
        <v>1384.37</v>
      </c>
      <c r="H8009" s="222">
        <v>130849.9</v>
      </c>
      <c r="I8009" s="222">
        <v>74923.38</v>
      </c>
      <c r="J8009" s="222">
        <v>47960.59</v>
      </c>
      <c r="K8009" s="222">
        <v>7965.93</v>
      </c>
      <c r="L8009" s="43">
        <v>7.8126526259727758</v>
      </c>
      <c r="M8009" s="43">
        <v>11.500435161009575</v>
      </c>
      <c r="N8009" s="43">
        <v>5.4197288812849882</v>
      </c>
      <c r="O8009" s="43">
        <v>5.7541914372602703</v>
      </c>
      <c r="P8009" s="223"/>
      <c r="Q8009" s="223"/>
      <c r="R8009" s="223">
        <v>2</v>
      </c>
    </row>
    <row r="8010" spans="1:18" ht="48">
      <c r="A8010" s="219">
        <v>885</v>
      </c>
      <c r="B8010" s="216" t="s">
        <v>14757</v>
      </c>
      <c r="C8010" s="220" t="s">
        <v>14758</v>
      </c>
      <c r="D8010" s="221">
        <v>29137.5</v>
      </c>
      <c r="E8010" s="221">
        <v>11329.14</v>
      </c>
      <c r="F8010" s="221">
        <v>15382.26</v>
      </c>
      <c r="G8010" s="221">
        <v>2426.1</v>
      </c>
      <c r="H8010" s="222">
        <v>227448.75</v>
      </c>
      <c r="I8010" s="222">
        <v>130290.04</v>
      </c>
      <c r="J8010" s="222">
        <v>83388.58</v>
      </c>
      <c r="K8010" s="222">
        <v>13770.13</v>
      </c>
      <c r="L8010" s="43">
        <v>7.8060489060489058</v>
      </c>
      <c r="M8010" s="43">
        <v>11.500435161009573</v>
      </c>
      <c r="N8010" s="43">
        <v>5.421087668522051</v>
      </c>
      <c r="O8010" s="43">
        <v>5.6758295206298177</v>
      </c>
      <c r="P8010" s="223"/>
      <c r="Q8010" s="223"/>
      <c r="R8010" s="223">
        <v>2</v>
      </c>
    </row>
    <row r="8011" spans="1:18" ht="12.75" customHeight="1">
      <c r="A8011" s="628" t="s">
        <v>14759</v>
      </c>
      <c r="B8011" s="629"/>
      <c r="C8011" s="629"/>
      <c r="D8011" s="629"/>
      <c r="E8011" s="629"/>
      <c r="F8011" s="629"/>
      <c r="G8011" s="629"/>
      <c r="H8011" s="629"/>
      <c r="I8011" s="629"/>
      <c r="J8011" s="629"/>
      <c r="K8011" s="629"/>
      <c r="L8011" s="629"/>
      <c r="M8011" s="629"/>
      <c r="N8011" s="629"/>
      <c r="O8011" s="629"/>
      <c r="P8011" s="629"/>
      <c r="Q8011" s="629"/>
      <c r="R8011" s="629"/>
    </row>
    <row r="8012" spans="1:18" ht="48">
      <c r="A8012" s="219">
        <v>886</v>
      </c>
      <c r="B8012" s="216" t="s">
        <v>14760</v>
      </c>
      <c r="C8012" s="220" t="s">
        <v>14761</v>
      </c>
      <c r="D8012" s="221">
        <v>8296.1</v>
      </c>
      <c r="E8012" s="221">
        <v>4894.74</v>
      </c>
      <c r="F8012" s="221">
        <v>2711.21</v>
      </c>
      <c r="G8012" s="221">
        <v>690.15</v>
      </c>
      <c r="H8012" s="222">
        <v>75403.89</v>
      </c>
      <c r="I8012" s="222">
        <v>56291.64</v>
      </c>
      <c r="J8012" s="222">
        <v>14717.17</v>
      </c>
      <c r="K8012" s="222">
        <v>4395.08</v>
      </c>
      <c r="L8012" s="43">
        <v>9.0890767951205991</v>
      </c>
      <c r="M8012" s="43">
        <v>11.500435161009573</v>
      </c>
      <c r="N8012" s="43">
        <v>5.4282663460226246</v>
      </c>
      <c r="O8012" s="43">
        <v>6.3682967470839671</v>
      </c>
      <c r="P8012" s="223"/>
      <c r="Q8012" s="223"/>
      <c r="R8012" s="223">
        <v>3</v>
      </c>
    </row>
    <row r="8013" spans="1:18" ht="48">
      <c r="A8013" s="219">
        <v>887</v>
      </c>
      <c r="B8013" s="216" t="s">
        <v>14762</v>
      </c>
      <c r="C8013" s="220" t="s">
        <v>14763</v>
      </c>
      <c r="D8013" s="221">
        <v>44606.77</v>
      </c>
      <c r="E8013" s="221">
        <v>20670.509999999998</v>
      </c>
      <c r="F8013" s="221">
        <v>19902.349999999999</v>
      </c>
      <c r="G8013" s="221">
        <v>4033.91</v>
      </c>
      <c r="H8013" s="222">
        <v>370734.21</v>
      </c>
      <c r="I8013" s="222">
        <v>237719.86</v>
      </c>
      <c r="J8013" s="222">
        <v>109694.96</v>
      </c>
      <c r="K8013" s="222">
        <v>23319.39</v>
      </c>
      <c r="L8013" s="43">
        <v>8.3111646505676173</v>
      </c>
      <c r="M8013" s="43">
        <v>11.500435161009573</v>
      </c>
      <c r="N8013" s="43">
        <v>5.5116586734732333</v>
      </c>
      <c r="O8013" s="43">
        <v>5.7808404252945653</v>
      </c>
      <c r="P8013" s="223"/>
      <c r="Q8013" s="223"/>
      <c r="R8013" s="223">
        <v>3</v>
      </c>
    </row>
    <row r="8014" spans="1:18" ht="48">
      <c r="A8014" s="219">
        <v>888</v>
      </c>
      <c r="B8014" s="216" t="s">
        <v>14764</v>
      </c>
      <c r="C8014" s="220" t="s">
        <v>14765</v>
      </c>
      <c r="D8014" s="221">
        <v>76180.210000000006</v>
      </c>
      <c r="E8014" s="221">
        <v>38445.54</v>
      </c>
      <c r="F8014" s="221">
        <v>30446.54</v>
      </c>
      <c r="G8014" s="221">
        <v>7288.13</v>
      </c>
      <c r="H8014" s="222">
        <v>651084.19999999995</v>
      </c>
      <c r="I8014" s="222">
        <v>442140.44</v>
      </c>
      <c r="J8014" s="222">
        <v>167137.69</v>
      </c>
      <c r="K8014" s="222">
        <v>41806.07</v>
      </c>
      <c r="L8014" s="43">
        <v>8.5466317302091959</v>
      </c>
      <c r="M8014" s="43">
        <v>11.500435161009573</v>
      </c>
      <c r="N8014" s="43">
        <v>5.4895462669978263</v>
      </c>
      <c r="O8014" s="43">
        <v>5.7361860998637511</v>
      </c>
      <c r="P8014" s="223"/>
      <c r="Q8014" s="223"/>
      <c r="R8014" s="223">
        <v>3</v>
      </c>
    </row>
    <row r="8015" spans="1:18" ht="12.75" customHeight="1">
      <c r="A8015" s="628" t="s">
        <v>14766</v>
      </c>
      <c r="B8015" s="629"/>
      <c r="C8015" s="629"/>
      <c r="D8015" s="629"/>
      <c r="E8015" s="629"/>
      <c r="F8015" s="629"/>
      <c r="G8015" s="629"/>
      <c r="H8015" s="629"/>
      <c r="I8015" s="629"/>
      <c r="J8015" s="629"/>
      <c r="K8015" s="629"/>
      <c r="L8015" s="629"/>
      <c r="M8015" s="629"/>
      <c r="N8015" s="629"/>
      <c r="O8015" s="629"/>
      <c r="P8015" s="629"/>
      <c r="Q8015" s="629"/>
      <c r="R8015" s="629"/>
    </row>
    <row r="8016" spans="1:18" ht="12.75" customHeight="1">
      <c r="A8016" s="628" t="s">
        <v>14767</v>
      </c>
      <c r="B8016" s="629"/>
      <c r="C8016" s="629"/>
      <c r="D8016" s="629"/>
      <c r="E8016" s="629"/>
      <c r="F8016" s="629"/>
      <c r="G8016" s="629"/>
      <c r="H8016" s="629"/>
      <c r="I8016" s="629"/>
      <c r="J8016" s="629"/>
      <c r="K8016" s="629"/>
      <c r="L8016" s="629"/>
      <c r="M8016" s="629"/>
      <c r="N8016" s="629"/>
      <c r="O8016" s="629"/>
      <c r="P8016" s="629"/>
      <c r="Q8016" s="629"/>
      <c r="R8016" s="629"/>
    </row>
    <row r="8017" spans="1:18" ht="48">
      <c r="A8017" s="219">
        <v>889</v>
      </c>
      <c r="B8017" s="216" t="s">
        <v>14768</v>
      </c>
      <c r="C8017" s="220" t="s">
        <v>14769</v>
      </c>
      <c r="D8017" s="221">
        <v>2723.24</v>
      </c>
      <c r="E8017" s="221">
        <v>1029.5</v>
      </c>
      <c r="F8017" s="221">
        <v>1626.17</v>
      </c>
      <c r="G8017" s="221">
        <v>67.569999999999993</v>
      </c>
      <c r="H8017" s="222">
        <v>21202.49</v>
      </c>
      <c r="I8017" s="222">
        <v>11839.74</v>
      </c>
      <c r="J8017" s="222">
        <v>8779.58</v>
      </c>
      <c r="K8017" s="222">
        <v>583.16999999999996</v>
      </c>
      <c r="L8017" s="43">
        <v>7.7857588754571774</v>
      </c>
      <c r="M8017" s="43">
        <v>11.500475959203497</v>
      </c>
      <c r="N8017" s="43">
        <v>5.3989312310521038</v>
      </c>
      <c r="O8017" s="43">
        <v>8.6306052982092645</v>
      </c>
      <c r="P8017" s="223"/>
      <c r="Q8017" s="223"/>
      <c r="R8017" s="223">
        <v>1</v>
      </c>
    </row>
    <row r="8018" spans="1:18" ht="48">
      <c r="A8018" s="219">
        <v>890</v>
      </c>
      <c r="B8018" s="216" t="s">
        <v>14770</v>
      </c>
      <c r="C8018" s="220" t="s">
        <v>14771</v>
      </c>
      <c r="D8018" s="221">
        <v>3538.29</v>
      </c>
      <c r="E8018" s="221">
        <v>1298.3699999999999</v>
      </c>
      <c r="F8018" s="221">
        <v>2098.5700000000002</v>
      </c>
      <c r="G8018" s="221">
        <v>141.35</v>
      </c>
      <c r="H8018" s="222">
        <v>27389.73</v>
      </c>
      <c r="I8018" s="222">
        <v>14931.82</v>
      </c>
      <c r="J8018" s="222">
        <v>11308.02</v>
      </c>
      <c r="K8018" s="222">
        <v>1149.8900000000001</v>
      </c>
      <c r="L8018" s="43">
        <v>7.7409511374138358</v>
      </c>
      <c r="M8018" s="43">
        <v>11.500435161009575</v>
      </c>
      <c r="N8018" s="43">
        <v>5.3884407000957797</v>
      </c>
      <c r="O8018" s="43">
        <v>8.1350548284400439</v>
      </c>
      <c r="P8018" s="223"/>
      <c r="Q8018" s="223"/>
      <c r="R8018" s="223">
        <v>1</v>
      </c>
    </row>
    <row r="8019" spans="1:18" ht="48">
      <c r="A8019" s="219">
        <v>891</v>
      </c>
      <c r="B8019" s="216" t="s">
        <v>14772</v>
      </c>
      <c r="C8019" s="220" t="s">
        <v>14773</v>
      </c>
      <c r="D8019" s="221">
        <v>3698.43</v>
      </c>
      <c r="E8019" s="221">
        <v>1298.3699999999999</v>
      </c>
      <c r="F8019" s="221">
        <v>2101.71</v>
      </c>
      <c r="G8019" s="221">
        <v>298.35000000000002</v>
      </c>
      <c r="H8019" s="222">
        <v>28561.09</v>
      </c>
      <c r="I8019" s="222">
        <v>14931.82</v>
      </c>
      <c r="J8019" s="222">
        <v>11325.35</v>
      </c>
      <c r="K8019" s="222">
        <v>2303.92</v>
      </c>
      <c r="L8019" s="43">
        <v>7.7224903540150827</v>
      </c>
      <c r="M8019" s="43">
        <v>11.500435161009575</v>
      </c>
      <c r="N8019" s="43">
        <v>5.3886359202744432</v>
      </c>
      <c r="O8019" s="43">
        <v>7.7222054633819335</v>
      </c>
      <c r="P8019" s="223"/>
      <c r="Q8019" s="223"/>
      <c r="R8019" s="223">
        <v>1</v>
      </c>
    </row>
    <row r="8020" spans="1:18" ht="48">
      <c r="A8020" s="219">
        <v>892</v>
      </c>
      <c r="B8020" s="216" t="s">
        <v>14774</v>
      </c>
      <c r="C8020" s="220" t="s">
        <v>14775</v>
      </c>
      <c r="D8020" s="221">
        <v>4448.1400000000003</v>
      </c>
      <c r="E8020" s="221">
        <v>1286.8800000000001</v>
      </c>
      <c r="F8020" s="221">
        <v>2862.02</v>
      </c>
      <c r="G8020" s="221">
        <v>299.24</v>
      </c>
      <c r="H8020" s="222">
        <v>32521.52</v>
      </c>
      <c r="I8020" s="222">
        <v>14799.68</v>
      </c>
      <c r="J8020" s="222">
        <v>15414.75</v>
      </c>
      <c r="K8020" s="222">
        <v>2307.09</v>
      </c>
      <c r="L8020" s="43">
        <v>7.3112626850773577</v>
      </c>
      <c r="M8020" s="43">
        <v>11.500435161009573</v>
      </c>
      <c r="N8020" s="43">
        <v>5.3859686515118694</v>
      </c>
      <c r="O8020" s="43">
        <v>7.7098315733190752</v>
      </c>
      <c r="P8020" s="223"/>
      <c r="Q8020" s="223"/>
      <c r="R8020" s="223">
        <v>1</v>
      </c>
    </row>
    <row r="8021" spans="1:18" ht="48">
      <c r="A8021" s="219">
        <v>893</v>
      </c>
      <c r="B8021" s="216" t="s">
        <v>14776</v>
      </c>
      <c r="C8021" s="220" t="s">
        <v>14777</v>
      </c>
      <c r="D8021" s="221">
        <v>6211.62</v>
      </c>
      <c r="E8021" s="221">
        <v>2585.25</v>
      </c>
      <c r="F8021" s="221">
        <v>3031.41</v>
      </c>
      <c r="G8021" s="221">
        <v>594.96</v>
      </c>
      <c r="H8021" s="222">
        <v>50711.23</v>
      </c>
      <c r="I8021" s="222">
        <v>29731.5</v>
      </c>
      <c r="J8021" s="222">
        <v>16353.83</v>
      </c>
      <c r="K8021" s="222">
        <v>4625.8999999999996</v>
      </c>
      <c r="L8021" s="43">
        <v>8.163929860487281</v>
      </c>
      <c r="M8021" s="43">
        <v>11.500435161009573</v>
      </c>
      <c r="N8021" s="43">
        <v>5.3947931820505968</v>
      </c>
      <c r="O8021" s="43">
        <v>7.775144547532606</v>
      </c>
      <c r="P8021" s="223"/>
      <c r="Q8021" s="223"/>
      <c r="R8021" s="223">
        <v>1</v>
      </c>
    </row>
    <row r="8022" spans="1:18" ht="48">
      <c r="A8022" s="219">
        <v>894</v>
      </c>
      <c r="B8022" s="216" t="s">
        <v>14778</v>
      </c>
      <c r="C8022" s="220" t="s">
        <v>14779</v>
      </c>
      <c r="D8022" s="221">
        <v>8999.75</v>
      </c>
      <c r="E8022" s="221">
        <v>2585.25</v>
      </c>
      <c r="F8022" s="221">
        <v>5419.85</v>
      </c>
      <c r="G8022" s="221">
        <v>994.65</v>
      </c>
      <c r="H8022" s="222">
        <v>66676.83</v>
      </c>
      <c r="I8022" s="222">
        <v>29731.5</v>
      </c>
      <c r="J8022" s="222">
        <v>29227.39</v>
      </c>
      <c r="K8022" s="222">
        <v>7717.94</v>
      </c>
      <c r="L8022" s="43">
        <v>7.4087424650684746</v>
      </c>
      <c r="M8022" s="43">
        <v>11.500435161009573</v>
      </c>
      <c r="N8022" s="43">
        <v>5.3926566233382838</v>
      </c>
      <c r="O8022" s="43">
        <v>7.7594530739456085</v>
      </c>
      <c r="P8022" s="223"/>
      <c r="Q8022" s="223"/>
      <c r="R8022" s="223">
        <v>1</v>
      </c>
    </row>
    <row r="8023" spans="1:18" ht="12.75" customHeight="1">
      <c r="A8023" s="628" t="s">
        <v>14780</v>
      </c>
      <c r="B8023" s="629"/>
      <c r="C8023" s="629"/>
      <c r="D8023" s="629"/>
      <c r="E8023" s="629"/>
      <c r="F8023" s="629"/>
      <c r="G8023" s="629"/>
      <c r="H8023" s="629"/>
      <c r="I8023" s="629"/>
      <c r="J8023" s="629"/>
      <c r="K8023" s="629"/>
      <c r="L8023" s="629"/>
      <c r="M8023" s="629"/>
      <c r="N8023" s="629"/>
      <c r="O8023" s="629"/>
      <c r="P8023" s="629"/>
      <c r="Q8023" s="629"/>
      <c r="R8023" s="629"/>
    </row>
    <row r="8024" spans="1:18" ht="48">
      <c r="A8024" s="219">
        <v>895</v>
      </c>
      <c r="B8024" s="216" t="s">
        <v>14781</v>
      </c>
      <c r="C8024" s="220" t="s">
        <v>14782</v>
      </c>
      <c r="D8024" s="221">
        <v>1693.54</v>
      </c>
      <c r="E8024" s="221">
        <v>1367.31</v>
      </c>
      <c r="F8024" s="221">
        <v>295.76</v>
      </c>
      <c r="G8024" s="221">
        <v>30.47</v>
      </c>
      <c r="H8024" s="222">
        <v>18154.96</v>
      </c>
      <c r="I8024" s="222">
        <v>15724.66</v>
      </c>
      <c r="J8024" s="222">
        <v>2099.6</v>
      </c>
      <c r="K8024" s="222">
        <v>330.7</v>
      </c>
      <c r="L8024" s="43">
        <v>10.720124709189035</v>
      </c>
      <c r="M8024" s="43">
        <v>11.500435161009573</v>
      </c>
      <c r="N8024" s="43">
        <v>7.0989991885312413</v>
      </c>
      <c r="O8024" s="43">
        <v>10.853298326222514</v>
      </c>
      <c r="P8024" s="223"/>
      <c r="Q8024" s="223"/>
      <c r="R8024" s="223">
        <v>2</v>
      </c>
    </row>
    <row r="8025" spans="1:18" ht="48">
      <c r="A8025" s="219">
        <v>896</v>
      </c>
      <c r="B8025" s="216" t="s">
        <v>14783</v>
      </c>
      <c r="C8025" s="220" t="s">
        <v>14784</v>
      </c>
      <c r="D8025" s="221">
        <v>1824.95</v>
      </c>
      <c r="E8025" s="221">
        <v>1367.31</v>
      </c>
      <c r="F8025" s="221">
        <v>426.13</v>
      </c>
      <c r="G8025" s="221">
        <v>31.51</v>
      </c>
      <c r="H8025" s="222">
        <v>19064.32</v>
      </c>
      <c r="I8025" s="222">
        <v>15724.66</v>
      </c>
      <c r="J8025" s="222">
        <v>3003.57</v>
      </c>
      <c r="K8025" s="222">
        <v>336.09</v>
      </c>
      <c r="L8025" s="43">
        <v>10.446488944902599</v>
      </c>
      <c r="M8025" s="43">
        <v>11.500435161009573</v>
      </c>
      <c r="N8025" s="43">
        <v>7.0484828573440037</v>
      </c>
      <c r="O8025" s="43">
        <v>10.666137734052681</v>
      </c>
      <c r="P8025" s="223"/>
      <c r="Q8025" s="223"/>
      <c r="R8025" s="223">
        <v>2</v>
      </c>
    </row>
    <row r="8026" spans="1:18" ht="12.75" customHeight="1">
      <c r="A8026" s="628" t="s">
        <v>14785</v>
      </c>
      <c r="B8026" s="629"/>
      <c r="C8026" s="629"/>
      <c r="D8026" s="629"/>
      <c r="E8026" s="629"/>
      <c r="F8026" s="629"/>
      <c r="G8026" s="629"/>
      <c r="H8026" s="629"/>
      <c r="I8026" s="629"/>
      <c r="J8026" s="629"/>
      <c r="K8026" s="629"/>
      <c r="L8026" s="629"/>
      <c r="M8026" s="629"/>
      <c r="N8026" s="629"/>
      <c r="O8026" s="629"/>
      <c r="P8026" s="629"/>
      <c r="Q8026" s="629"/>
      <c r="R8026" s="629"/>
    </row>
    <row r="8027" spans="1:18" ht="48">
      <c r="A8027" s="219">
        <v>897</v>
      </c>
      <c r="B8027" s="216" t="s">
        <v>14786</v>
      </c>
      <c r="C8027" s="220" t="s">
        <v>14787</v>
      </c>
      <c r="D8027" s="221">
        <v>2895.79</v>
      </c>
      <c r="E8027" s="221">
        <v>1298.3699999999999</v>
      </c>
      <c r="F8027" s="221">
        <v>1470.53</v>
      </c>
      <c r="G8027" s="221">
        <v>126.89</v>
      </c>
      <c r="H8027" s="222">
        <v>23737.77</v>
      </c>
      <c r="I8027" s="222">
        <v>14931.82</v>
      </c>
      <c r="J8027" s="222">
        <v>7933.62</v>
      </c>
      <c r="K8027" s="222">
        <v>872.33</v>
      </c>
      <c r="L8027" s="43">
        <v>8.1973382047731356</v>
      </c>
      <c r="M8027" s="43">
        <v>11.500435161009575</v>
      </c>
      <c r="N8027" s="43">
        <v>5.3950752449797008</v>
      </c>
      <c r="O8027" s="43">
        <v>6.8746946173851367</v>
      </c>
      <c r="P8027" s="223"/>
      <c r="Q8027" s="223"/>
      <c r="R8027" s="223">
        <v>3</v>
      </c>
    </row>
    <row r="8028" spans="1:18" ht="48">
      <c r="A8028" s="219">
        <v>898</v>
      </c>
      <c r="B8028" s="216" t="s">
        <v>14788</v>
      </c>
      <c r="C8028" s="220" t="s">
        <v>14789</v>
      </c>
      <c r="D8028" s="221">
        <v>3715.65</v>
      </c>
      <c r="E8028" s="221">
        <v>1298.3699999999999</v>
      </c>
      <c r="F8028" s="221">
        <v>2259.59</v>
      </c>
      <c r="G8028" s="221">
        <v>157.69</v>
      </c>
      <c r="H8028" s="222">
        <v>28239.02</v>
      </c>
      <c r="I8028" s="222">
        <v>14931.82</v>
      </c>
      <c r="J8028" s="222">
        <v>12220.29</v>
      </c>
      <c r="K8028" s="222">
        <v>1086.9100000000001</v>
      </c>
      <c r="L8028" s="43">
        <v>7.6000215305532004</v>
      </c>
      <c r="M8028" s="43">
        <v>11.500435161009575</v>
      </c>
      <c r="N8028" s="43">
        <v>5.4081890962519745</v>
      </c>
      <c r="O8028" s="43">
        <v>6.8927008687932023</v>
      </c>
      <c r="P8028" s="223"/>
      <c r="Q8028" s="223"/>
      <c r="R8028" s="223">
        <v>3</v>
      </c>
    </row>
    <row r="8029" spans="1:18" ht="48">
      <c r="A8029" s="219">
        <v>899</v>
      </c>
      <c r="B8029" s="216" t="s">
        <v>14790</v>
      </c>
      <c r="C8029" s="220" t="s">
        <v>14791</v>
      </c>
      <c r="D8029" s="221">
        <v>6205.73</v>
      </c>
      <c r="E8029" s="221">
        <v>2596.7399999999998</v>
      </c>
      <c r="F8029" s="221">
        <v>3188.51</v>
      </c>
      <c r="G8029" s="221">
        <v>420.48</v>
      </c>
      <c r="H8029" s="222">
        <v>49800.639999999999</v>
      </c>
      <c r="I8029" s="222">
        <v>29863.64</v>
      </c>
      <c r="J8029" s="222">
        <v>17275.060000000001</v>
      </c>
      <c r="K8029" s="222">
        <v>2661.94</v>
      </c>
      <c r="L8029" s="43">
        <v>8.0249446882155695</v>
      </c>
      <c r="M8029" s="43">
        <v>11.500435161009575</v>
      </c>
      <c r="N8029" s="43">
        <v>5.4179099328526492</v>
      </c>
      <c r="O8029" s="43">
        <v>6.3307172754946723</v>
      </c>
      <c r="P8029" s="223"/>
      <c r="Q8029" s="223"/>
      <c r="R8029" s="223">
        <v>3</v>
      </c>
    </row>
    <row r="8030" spans="1:18" ht="48">
      <c r="A8030" s="219">
        <v>900</v>
      </c>
      <c r="B8030" s="216" t="s">
        <v>14792</v>
      </c>
      <c r="C8030" s="220" t="s">
        <v>14793</v>
      </c>
      <c r="D8030" s="221">
        <v>6788.78</v>
      </c>
      <c r="E8030" s="221">
        <v>2619.7199999999998</v>
      </c>
      <c r="F8030" s="221">
        <v>3719.56</v>
      </c>
      <c r="G8030" s="221">
        <v>449.5</v>
      </c>
      <c r="H8030" s="222">
        <v>53319.28</v>
      </c>
      <c r="I8030" s="222">
        <v>30127.919999999998</v>
      </c>
      <c r="J8030" s="222">
        <v>20326.21</v>
      </c>
      <c r="K8030" s="222">
        <v>2865.15</v>
      </c>
      <c r="L8030" s="43">
        <v>7.8540297373018424</v>
      </c>
      <c r="M8030" s="43">
        <v>11.500435161009573</v>
      </c>
      <c r="N8030" s="43">
        <v>5.4646813063910784</v>
      </c>
      <c r="O8030" s="43">
        <v>6.3740823136818685</v>
      </c>
      <c r="P8030" s="223"/>
      <c r="Q8030" s="223"/>
      <c r="R8030" s="223">
        <v>3</v>
      </c>
    </row>
    <row r="8031" spans="1:18" ht="12.75" customHeight="1">
      <c r="A8031" s="628" t="s">
        <v>14794</v>
      </c>
      <c r="B8031" s="629"/>
      <c r="C8031" s="629"/>
      <c r="D8031" s="629"/>
      <c r="E8031" s="629"/>
      <c r="F8031" s="629"/>
      <c r="G8031" s="629"/>
      <c r="H8031" s="629"/>
      <c r="I8031" s="629"/>
      <c r="J8031" s="629"/>
      <c r="K8031" s="629"/>
      <c r="L8031" s="629"/>
      <c r="M8031" s="629"/>
      <c r="N8031" s="629"/>
      <c r="O8031" s="629"/>
      <c r="P8031" s="629"/>
      <c r="Q8031" s="629"/>
      <c r="R8031" s="629"/>
    </row>
    <row r="8032" spans="1:18" ht="48">
      <c r="A8032" s="219">
        <v>901</v>
      </c>
      <c r="B8032" s="216" t="s">
        <v>14795</v>
      </c>
      <c r="C8032" s="220" t="s">
        <v>14796</v>
      </c>
      <c r="D8032" s="221">
        <v>5932.29</v>
      </c>
      <c r="E8032" s="221">
        <v>5434.77</v>
      </c>
      <c r="F8032" s="221">
        <v>357.92</v>
      </c>
      <c r="G8032" s="221">
        <v>139.6</v>
      </c>
      <c r="H8032" s="222">
        <v>66405.19</v>
      </c>
      <c r="I8032" s="222">
        <v>62502.22</v>
      </c>
      <c r="J8032" s="222">
        <v>2450.59</v>
      </c>
      <c r="K8032" s="222">
        <v>1452.38</v>
      </c>
      <c r="L8032" s="43">
        <v>11.193854312584179</v>
      </c>
      <c r="M8032" s="43">
        <v>11.500435161009573</v>
      </c>
      <c r="N8032" s="43">
        <v>6.8467534644613322</v>
      </c>
      <c r="O8032" s="43">
        <v>10.403868194842408</v>
      </c>
      <c r="P8032" s="223"/>
      <c r="Q8032" s="223"/>
      <c r="R8032" s="223">
        <v>4</v>
      </c>
    </row>
    <row r="8033" spans="1:18" ht="48">
      <c r="A8033" s="219">
        <v>902</v>
      </c>
      <c r="B8033" s="216" t="s">
        <v>14797</v>
      </c>
      <c r="C8033" s="220" t="s">
        <v>14798</v>
      </c>
      <c r="D8033" s="221">
        <v>6121.73</v>
      </c>
      <c r="E8033" s="221">
        <v>5434.77</v>
      </c>
      <c r="F8033" s="221">
        <v>518.22</v>
      </c>
      <c r="G8033" s="221">
        <v>168.74</v>
      </c>
      <c r="H8033" s="222">
        <v>67686.05</v>
      </c>
      <c r="I8033" s="222">
        <v>62502.22</v>
      </c>
      <c r="J8033" s="222">
        <v>3525.49</v>
      </c>
      <c r="K8033" s="222">
        <v>1658.34</v>
      </c>
      <c r="L8033" s="43">
        <v>11.05668659022858</v>
      </c>
      <c r="M8033" s="43">
        <v>11.500435161009573</v>
      </c>
      <c r="N8033" s="43">
        <v>6.8030759137046033</v>
      </c>
      <c r="O8033" s="43">
        <v>9.8277823871044205</v>
      </c>
      <c r="P8033" s="223"/>
      <c r="Q8033" s="223"/>
      <c r="R8033" s="223">
        <v>4</v>
      </c>
    </row>
    <row r="8034" spans="1:18" ht="48">
      <c r="A8034" s="219">
        <v>903</v>
      </c>
      <c r="B8034" s="216" t="s">
        <v>14799</v>
      </c>
      <c r="C8034" s="220" t="s">
        <v>14800</v>
      </c>
      <c r="D8034" s="221">
        <v>7781</v>
      </c>
      <c r="E8034" s="221">
        <v>6871.02</v>
      </c>
      <c r="F8034" s="221">
        <v>624.88</v>
      </c>
      <c r="G8034" s="221">
        <v>285.10000000000002</v>
      </c>
      <c r="H8034" s="222">
        <v>85748.86</v>
      </c>
      <c r="I8034" s="222">
        <v>79019.72</v>
      </c>
      <c r="J8034" s="222">
        <v>4208.55</v>
      </c>
      <c r="K8034" s="222">
        <v>2520.59</v>
      </c>
      <c r="L8034" s="43">
        <v>11.020287880735124</v>
      </c>
      <c r="M8034" s="43">
        <v>11.500435161009573</v>
      </c>
      <c r="N8034" s="43">
        <v>6.7349731148380494</v>
      </c>
      <c r="O8034" s="43">
        <v>8.8410733076113637</v>
      </c>
      <c r="P8034" s="223"/>
      <c r="Q8034" s="223"/>
      <c r="R8034" s="223">
        <v>4</v>
      </c>
    </row>
    <row r="8035" spans="1:18" ht="48">
      <c r="A8035" s="219">
        <v>904</v>
      </c>
      <c r="B8035" s="216" t="s">
        <v>14801</v>
      </c>
      <c r="C8035" s="220" t="s">
        <v>14802</v>
      </c>
      <c r="D8035" s="221">
        <v>8336.07</v>
      </c>
      <c r="E8035" s="221">
        <v>6882.51</v>
      </c>
      <c r="F8035" s="221">
        <v>1088.92</v>
      </c>
      <c r="G8035" s="221">
        <v>364.64</v>
      </c>
      <c r="H8035" s="222">
        <v>89606.2</v>
      </c>
      <c r="I8035" s="222">
        <v>79151.86</v>
      </c>
      <c r="J8035" s="222">
        <v>7432.31</v>
      </c>
      <c r="K8035" s="222">
        <v>3022.03</v>
      </c>
      <c r="L8035" s="43">
        <v>10.749213958136147</v>
      </c>
      <c r="M8035" s="43">
        <v>11.500435161009573</v>
      </c>
      <c r="N8035" s="43">
        <v>6.8253958050178154</v>
      </c>
      <c r="O8035" s="43">
        <v>8.2877084247476969</v>
      </c>
      <c r="P8035" s="223"/>
      <c r="Q8035" s="223"/>
      <c r="R8035" s="223">
        <v>4</v>
      </c>
    </row>
    <row r="8036" spans="1:18" ht="12.75" customHeight="1">
      <c r="A8036" s="628" t="s">
        <v>14803</v>
      </c>
      <c r="B8036" s="629"/>
      <c r="C8036" s="629"/>
      <c r="D8036" s="629"/>
      <c r="E8036" s="629"/>
      <c r="F8036" s="629"/>
      <c r="G8036" s="629"/>
      <c r="H8036" s="629"/>
      <c r="I8036" s="629"/>
      <c r="J8036" s="629"/>
      <c r="K8036" s="629"/>
      <c r="L8036" s="629"/>
      <c r="M8036" s="629"/>
      <c r="N8036" s="629"/>
      <c r="O8036" s="629"/>
      <c r="P8036" s="629"/>
      <c r="Q8036" s="629"/>
      <c r="R8036" s="629"/>
    </row>
    <row r="8037" spans="1:18" ht="12.75" customHeight="1">
      <c r="A8037" s="628" t="s">
        <v>14804</v>
      </c>
      <c r="B8037" s="629"/>
      <c r="C8037" s="629"/>
      <c r="D8037" s="629"/>
      <c r="E8037" s="629"/>
      <c r="F8037" s="629"/>
      <c r="G8037" s="629"/>
      <c r="H8037" s="629"/>
      <c r="I8037" s="629"/>
      <c r="J8037" s="629"/>
      <c r="K8037" s="629"/>
      <c r="L8037" s="629"/>
      <c r="M8037" s="629"/>
      <c r="N8037" s="629"/>
      <c r="O8037" s="629"/>
      <c r="P8037" s="629"/>
      <c r="Q8037" s="629"/>
      <c r="R8037" s="629"/>
    </row>
    <row r="8038" spans="1:18" ht="36">
      <c r="A8038" s="219">
        <v>905</v>
      </c>
      <c r="B8038" s="216" t="s">
        <v>14805</v>
      </c>
      <c r="C8038" s="220" t="s">
        <v>14806</v>
      </c>
      <c r="D8038" s="221">
        <v>1923</v>
      </c>
      <c r="E8038" s="221">
        <v>1286.8800000000001</v>
      </c>
      <c r="F8038" s="221">
        <v>596.26</v>
      </c>
      <c r="G8038" s="221">
        <v>39.86</v>
      </c>
      <c r="H8038" s="222">
        <v>18536.560000000001</v>
      </c>
      <c r="I8038" s="222">
        <v>14799.68</v>
      </c>
      <c r="J8038" s="222">
        <v>3217.91</v>
      </c>
      <c r="K8038" s="222">
        <v>518.97</v>
      </c>
      <c r="L8038" s="43">
        <v>9.6393967758710364</v>
      </c>
      <c r="M8038" s="43">
        <v>11.500435161009573</v>
      </c>
      <c r="N8038" s="43">
        <v>5.3968235333579306</v>
      </c>
      <c r="O8038" s="43">
        <v>13.019819367787257</v>
      </c>
      <c r="P8038" s="223"/>
      <c r="Q8038" s="223"/>
      <c r="R8038" s="223">
        <v>1</v>
      </c>
    </row>
    <row r="8039" spans="1:18" ht="36">
      <c r="A8039" s="219">
        <v>906</v>
      </c>
      <c r="B8039" s="216" t="s">
        <v>14807</v>
      </c>
      <c r="C8039" s="220" t="s">
        <v>14808</v>
      </c>
      <c r="D8039" s="221">
        <v>2778.64</v>
      </c>
      <c r="E8039" s="221">
        <v>1286.8800000000001</v>
      </c>
      <c r="F8039" s="221">
        <v>1399.09</v>
      </c>
      <c r="G8039" s="221">
        <v>92.67</v>
      </c>
      <c r="H8039" s="222">
        <v>23820.68</v>
      </c>
      <c r="I8039" s="222">
        <v>14799.68</v>
      </c>
      <c r="J8039" s="222">
        <v>7557.6</v>
      </c>
      <c r="K8039" s="222">
        <v>1463.4</v>
      </c>
      <c r="L8039" s="43">
        <v>8.5727838079060259</v>
      </c>
      <c r="M8039" s="43">
        <v>11.500435161009573</v>
      </c>
      <c r="N8039" s="43">
        <v>5.4017968822591831</v>
      </c>
      <c r="O8039" s="43">
        <v>15.791518290708968</v>
      </c>
      <c r="P8039" s="223"/>
      <c r="Q8039" s="223"/>
      <c r="R8039" s="223">
        <v>1</v>
      </c>
    </row>
    <row r="8040" spans="1:18" ht="36">
      <c r="A8040" s="219">
        <v>907</v>
      </c>
      <c r="B8040" s="216" t="s">
        <v>14809</v>
      </c>
      <c r="C8040" s="220" t="s">
        <v>14810</v>
      </c>
      <c r="D8040" s="221">
        <v>4792.46</v>
      </c>
      <c r="E8040" s="221">
        <v>2585.25</v>
      </c>
      <c r="F8040" s="221">
        <v>2052.23</v>
      </c>
      <c r="G8040" s="221">
        <v>154.97999999999999</v>
      </c>
      <c r="H8040" s="222">
        <v>43334.79</v>
      </c>
      <c r="I8040" s="222">
        <v>29731.5</v>
      </c>
      <c r="J8040" s="222">
        <v>11104.49</v>
      </c>
      <c r="K8040" s="222">
        <v>2498.8000000000002</v>
      </c>
      <c r="L8040" s="43">
        <v>9.0422851729591898</v>
      </c>
      <c r="M8040" s="43">
        <v>11.500435161009573</v>
      </c>
      <c r="N8040" s="43">
        <v>5.4109383451172626</v>
      </c>
      <c r="O8040" s="43">
        <v>16.123370757517101</v>
      </c>
      <c r="P8040" s="223"/>
      <c r="Q8040" s="223"/>
      <c r="R8040" s="223">
        <v>1</v>
      </c>
    </row>
    <row r="8041" spans="1:18" ht="36">
      <c r="A8041" s="219">
        <v>908</v>
      </c>
      <c r="B8041" s="216" t="s">
        <v>14811</v>
      </c>
      <c r="C8041" s="220" t="s">
        <v>14812</v>
      </c>
      <c r="D8041" s="221">
        <v>6174.12</v>
      </c>
      <c r="E8041" s="221">
        <v>2585.25</v>
      </c>
      <c r="F8041" s="221">
        <v>3384.56</v>
      </c>
      <c r="G8041" s="221">
        <v>204.31</v>
      </c>
      <c r="H8041" s="222">
        <v>51435.31</v>
      </c>
      <c r="I8041" s="222">
        <v>29731.5</v>
      </c>
      <c r="J8041" s="222">
        <v>18320.38</v>
      </c>
      <c r="K8041" s="222">
        <v>3383.43</v>
      </c>
      <c r="L8041" s="43">
        <v>8.3307920804908235</v>
      </c>
      <c r="M8041" s="43">
        <v>11.500435161009573</v>
      </c>
      <c r="N8041" s="43">
        <v>5.4129281206419746</v>
      </c>
      <c r="O8041" s="43">
        <v>16.560276051098821</v>
      </c>
      <c r="P8041" s="223"/>
      <c r="Q8041" s="223"/>
      <c r="R8041" s="223">
        <v>1</v>
      </c>
    </row>
    <row r="8042" spans="1:18" ht="12.75" customHeight="1">
      <c r="A8042" s="628" t="s">
        <v>14813</v>
      </c>
      <c r="B8042" s="629"/>
      <c r="C8042" s="629"/>
      <c r="D8042" s="629"/>
      <c r="E8042" s="629"/>
      <c r="F8042" s="629"/>
      <c r="G8042" s="629"/>
      <c r="H8042" s="629"/>
      <c r="I8042" s="629"/>
      <c r="J8042" s="629"/>
      <c r="K8042" s="629"/>
      <c r="L8042" s="629"/>
      <c r="M8042" s="629"/>
      <c r="N8042" s="629"/>
      <c r="O8042" s="629"/>
      <c r="P8042" s="629"/>
      <c r="Q8042" s="629"/>
      <c r="R8042" s="629"/>
    </row>
    <row r="8043" spans="1:18" ht="48">
      <c r="A8043" s="219">
        <v>909</v>
      </c>
      <c r="B8043" s="216" t="s">
        <v>14814</v>
      </c>
      <c r="C8043" s="220" t="s">
        <v>14815</v>
      </c>
      <c r="D8043" s="221">
        <v>5409.12</v>
      </c>
      <c r="E8043" s="221">
        <v>3251.67</v>
      </c>
      <c r="F8043" s="221">
        <v>1944</v>
      </c>
      <c r="G8043" s="221">
        <v>213.45</v>
      </c>
      <c r="H8043" s="222">
        <v>51282.53</v>
      </c>
      <c r="I8043" s="222">
        <v>37395.620000000003</v>
      </c>
      <c r="J8043" s="222">
        <v>10437.969999999999</v>
      </c>
      <c r="K8043" s="222">
        <v>3448.94</v>
      </c>
      <c r="L8043" s="43">
        <v>9.4807528766231837</v>
      </c>
      <c r="M8043" s="43">
        <v>11.500435161009575</v>
      </c>
      <c r="N8043" s="43">
        <v>5.3693261316872425</v>
      </c>
      <c r="O8043" s="43">
        <v>16.158069805575078</v>
      </c>
      <c r="P8043" s="223"/>
      <c r="Q8043" s="223"/>
      <c r="R8043" s="223">
        <v>2</v>
      </c>
    </row>
    <row r="8044" spans="1:18" ht="48">
      <c r="A8044" s="219">
        <v>910</v>
      </c>
      <c r="B8044" s="216" t="s">
        <v>14816</v>
      </c>
      <c r="C8044" s="220" t="s">
        <v>14817</v>
      </c>
      <c r="D8044" s="221">
        <v>9449.99</v>
      </c>
      <c r="E8044" s="221">
        <v>4262.79</v>
      </c>
      <c r="F8044" s="221">
        <v>4752.97</v>
      </c>
      <c r="G8044" s="221">
        <v>434.23</v>
      </c>
      <c r="H8044" s="222">
        <v>79414.820000000007</v>
      </c>
      <c r="I8044" s="222">
        <v>49023.94</v>
      </c>
      <c r="J8044" s="222">
        <v>25660.48</v>
      </c>
      <c r="K8044" s="222">
        <v>4730.3999999999996</v>
      </c>
      <c r="L8044" s="43">
        <v>8.4036935488820639</v>
      </c>
      <c r="M8044" s="43">
        <v>11.500435161009575</v>
      </c>
      <c r="N8044" s="43">
        <v>5.3988306259033818</v>
      </c>
      <c r="O8044" s="43">
        <v>10.893765976556201</v>
      </c>
      <c r="P8044" s="223"/>
      <c r="Q8044" s="223"/>
      <c r="R8044" s="223">
        <v>2</v>
      </c>
    </row>
    <row r="8045" spans="1:18" ht="48">
      <c r="A8045" s="219">
        <v>911</v>
      </c>
      <c r="B8045" s="216" t="s">
        <v>14818</v>
      </c>
      <c r="C8045" s="220" t="s">
        <v>14819</v>
      </c>
      <c r="D8045" s="221">
        <v>15423.55</v>
      </c>
      <c r="E8045" s="221">
        <v>5515.2</v>
      </c>
      <c r="F8045" s="221">
        <v>9265.9699999999993</v>
      </c>
      <c r="G8045" s="221">
        <v>642.38</v>
      </c>
      <c r="H8045" s="222">
        <v>119529.68</v>
      </c>
      <c r="I8045" s="222">
        <v>63427.199999999997</v>
      </c>
      <c r="J8045" s="222">
        <v>50126.879999999997</v>
      </c>
      <c r="K8045" s="222">
        <v>5975.6</v>
      </c>
      <c r="L8045" s="43">
        <v>7.7498163522665013</v>
      </c>
      <c r="M8045" s="43">
        <v>11.500435161009573</v>
      </c>
      <c r="N8045" s="43">
        <v>5.4097822462192307</v>
      </c>
      <c r="O8045" s="43">
        <v>9.3022821382982048</v>
      </c>
      <c r="P8045" s="223"/>
      <c r="Q8045" s="223"/>
      <c r="R8045" s="223">
        <v>2</v>
      </c>
    </row>
    <row r="8046" spans="1:18" ht="60">
      <c r="A8046" s="219">
        <v>912</v>
      </c>
      <c r="B8046" s="216" t="s">
        <v>14820</v>
      </c>
      <c r="C8046" s="220" t="s">
        <v>14821</v>
      </c>
      <c r="D8046" s="221">
        <v>31140.13</v>
      </c>
      <c r="E8046" s="221">
        <v>8261.31</v>
      </c>
      <c r="F8046" s="221">
        <v>21650.67</v>
      </c>
      <c r="G8046" s="221">
        <v>1228.1500000000001</v>
      </c>
      <c r="H8046" s="222">
        <v>221675.27</v>
      </c>
      <c r="I8046" s="222">
        <v>95008.66</v>
      </c>
      <c r="J8046" s="222">
        <v>117261.01</v>
      </c>
      <c r="K8046" s="222">
        <v>9405.6</v>
      </c>
      <c r="L8046" s="43">
        <v>7.1186366274000781</v>
      </c>
      <c r="M8046" s="43">
        <v>11.500435161009575</v>
      </c>
      <c r="N8046" s="43">
        <v>5.4160453233087011</v>
      </c>
      <c r="O8046" s="43">
        <v>7.6583479216708055</v>
      </c>
      <c r="P8046" s="223"/>
      <c r="Q8046" s="223"/>
      <c r="R8046" s="223">
        <v>2</v>
      </c>
    </row>
    <row r="8047" spans="1:18" ht="60">
      <c r="A8047" s="219">
        <v>913</v>
      </c>
      <c r="B8047" s="216" t="s">
        <v>14822</v>
      </c>
      <c r="C8047" s="220" t="s">
        <v>14823</v>
      </c>
      <c r="D8047" s="221">
        <v>45650.89</v>
      </c>
      <c r="E8047" s="221">
        <v>11490</v>
      </c>
      <c r="F8047" s="221">
        <v>32646.67</v>
      </c>
      <c r="G8047" s="221">
        <v>1514.22</v>
      </c>
      <c r="H8047" s="222">
        <v>320305.8</v>
      </c>
      <c r="I8047" s="222">
        <v>132140</v>
      </c>
      <c r="J8047" s="222">
        <v>176856.57</v>
      </c>
      <c r="K8047" s="222">
        <v>11309.23</v>
      </c>
      <c r="L8047" s="43">
        <v>7.0164196141630537</v>
      </c>
      <c r="M8047" s="43">
        <v>11.500435161009573</v>
      </c>
      <c r="N8047" s="43">
        <v>5.4172927897393519</v>
      </c>
      <c r="O8047" s="43">
        <v>7.4686835466444768</v>
      </c>
      <c r="P8047" s="223"/>
      <c r="Q8047" s="223"/>
      <c r="R8047" s="223">
        <v>2</v>
      </c>
    </row>
    <row r="8048" spans="1:18" ht="12.75" customHeight="1">
      <c r="A8048" s="628" t="s">
        <v>14824</v>
      </c>
      <c r="B8048" s="629"/>
      <c r="C8048" s="629"/>
      <c r="D8048" s="629"/>
      <c r="E8048" s="629"/>
      <c r="F8048" s="629"/>
      <c r="G8048" s="629"/>
      <c r="H8048" s="629"/>
      <c r="I8048" s="629"/>
      <c r="J8048" s="629"/>
      <c r="K8048" s="629"/>
      <c r="L8048" s="629"/>
      <c r="M8048" s="629"/>
      <c r="N8048" s="629"/>
      <c r="O8048" s="629"/>
      <c r="P8048" s="629"/>
      <c r="Q8048" s="629"/>
      <c r="R8048" s="629"/>
    </row>
    <row r="8049" spans="1:18" ht="12.75" customHeight="1">
      <c r="A8049" s="628" t="s">
        <v>14825</v>
      </c>
      <c r="B8049" s="629"/>
      <c r="C8049" s="629"/>
      <c r="D8049" s="629"/>
      <c r="E8049" s="629"/>
      <c r="F8049" s="629"/>
      <c r="G8049" s="629"/>
      <c r="H8049" s="629"/>
      <c r="I8049" s="629"/>
      <c r="J8049" s="629"/>
      <c r="K8049" s="629"/>
      <c r="L8049" s="629"/>
      <c r="M8049" s="629"/>
      <c r="N8049" s="629"/>
      <c r="O8049" s="629"/>
      <c r="P8049" s="629"/>
      <c r="Q8049" s="629"/>
      <c r="R8049" s="629"/>
    </row>
    <row r="8050" spans="1:18" ht="48">
      <c r="A8050" s="219">
        <v>914</v>
      </c>
      <c r="B8050" s="216" t="s">
        <v>14826</v>
      </c>
      <c r="C8050" s="220" t="s">
        <v>14827</v>
      </c>
      <c r="D8050" s="221">
        <v>6043.21</v>
      </c>
      <c r="E8050" s="221">
        <v>3883.62</v>
      </c>
      <c r="F8050" s="221">
        <v>2012.47</v>
      </c>
      <c r="G8050" s="221">
        <v>147.12</v>
      </c>
      <c r="H8050" s="222">
        <v>56705.440000000002</v>
      </c>
      <c r="I8050" s="222">
        <v>44663.32</v>
      </c>
      <c r="J8050" s="222">
        <v>10790.45</v>
      </c>
      <c r="K8050" s="222">
        <v>1251.67</v>
      </c>
      <c r="L8050" s="43">
        <v>9.383331044262901</v>
      </c>
      <c r="M8050" s="43">
        <v>11.500435161009573</v>
      </c>
      <c r="N8050" s="43">
        <v>5.3617942130814376</v>
      </c>
      <c r="O8050" s="43">
        <v>8.5078167482327363</v>
      </c>
      <c r="P8050" s="223"/>
      <c r="Q8050" s="223"/>
      <c r="R8050" s="223">
        <v>1</v>
      </c>
    </row>
    <row r="8051" spans="1:18" ht="48">
      <c r="A8051" s="219">
        <v>915</v>
      </c>
      <c r="B8051" s="216" t="s">
        <v>14828</v>
      </c>
      <c r="C8051" s="220" t="s">
        <v>14829</v>
      </c>
      <c r="D8051" s="221">
        <v>7390.28</v>
      </c>
      <c r="E8051" s="221">
        <v>3883.62</v>
      </c>
      <c r="F8051" s="221">
        <v>3309.75</v>
      </c>
      <c r="G8051" s="221">
        <v>196.91</v>
      </c>
      <c r="H8051" s="222">
        <v>63986.83</v>
      </c>
      <c r="I8051" s="222">
        <v>44663.32</v>
      </c>
      <c r="J8051" s="222">
        <v>17813.419999999998</v>
      </c>
      <c r="K8051" s="222">
        <v>1510.09</v>
      </c>
      <c r="L8051" s="43">
        <v>8.6582416363114802</v>
      </c>
      <c r="M8051" s="43">
        <v>11.500435161009573</v>
      </c>
      <c r="N8051" s="43">
        <v>5.3821043885489832</v>
      </c>
      <c r="O8051" s="43">
        <v>7.6689350464679293</v>
      </c>
      <c r="P8051" s="223"/>
      <c r="Q8051" s="223"/>
      <c r="R8051" s="223">
        <v>1</v>
      </c>
    </row>
    <row r="8052" spans="1:18" ht="36">
      <c r="A8052" s="219">
        <v>916</v>
      </c>
      <c r="B8052" s="216" t="s">
        <v>14830</v>
      </c>
      <c r="C8052" s="220" t="s">
        <v>14831</v>
      </c>
      <c r="D8052" s="221">
        <v>8486.24</v>
      </c>
      <c r="E8052" s="221">
        <v>3883.62</v>
      </c>
      <c r="F8052" s="221">
        <v>4335.99</v>
      </c>
      <c r="G8052" s="221">
        <v>266.63</v>
      </c>
      <c r="H8052" s="222">
        <v>69896.34</v>
      </c>
      <c r="I8052" s="222">
        <v>44663.32</v>
      </c>
      <c r="J8052" s="222">
        <v>23361.59</v>
      </c>
      <c r="K8052" s="222">
        <v>1871.43</v>
      </c>
      <c r="L8052" s="43">
        <v>8.236432153698221</v>
      </c>
      <c r="M8052" s="43">
        <v>11.500435161009573</v>
      </c>
      <c r="N8052" s="43">
        <v>5.3878329977698289</v>
      </c>
      <c r="O8052" s="43">
        <v>7.0188275887934592</v>
      </c>
      <c r="P8052" s="223"/>
      <c r="Q8052" s="223"/>
      <c r="R8052" s="223">
        <v>1</v>
      </c>
    </row>
    <row r="8053" spans="1:18" ht="36">
      <c r="A8053" s="219">
        <v>917</v>
      </c>
      <c r="B8053" s="216" t="s">
        <v>14832</v>
      </c>
      <c r="C8053" s="220" t="s">
        <v>14833</v>
      </c>
      <c r="D8053" s="221">
        <v>10925.74</v>
      </c>
      <c r="E8053" s="221">
        <v>5136.03</v>
      </c>
      <c r="F8053" s="221">
        <v>5466.92</v>
      </c>
      <c r="G8053" s="221">
        <v>322.79000000000002</v>
      </c>
      <c r="H8053" s="222">
        <v>90869.96</v>
      </c>
      <c r="I8053" s="222">
        <v>59066.58</v>
      </c>
      <c r="J8053" s="222">
        <v>29482.86</v>
      </c>
      <c r="K8053" s="222">
        <v>2320.52</v>
      </c>
      <c r="L8053" s="43">
        <v>8.3170531240904513</v>
      </c>
      <c r="M8053" s="43">
        <v>11.500435161009575</v>
      </c>
      <c r="N8053" s="43">
        <v>5.3929561800794596</v>
      </c>
      <c r="O8053" s="43">
        <v>7.1889463738034012</v>
      </c>
      <c r="P8053" s="223"/>
      <c r="Q8053" s="223"/>
      <c r="R8053" s="223">
        <v>1</v>
      </c>
    </row>
    <row r="8054" spans="1:18" ht="36">
      <c r="A8054" s="219">
        <v>918</v>
      </c>
      <c r="B8054" s="216" t="s">
        <v>14834</v>
      </c>
      <c r="C8054" s="220" t="s">
        <v>14835</v>
      </c>
      <c r="D8054" s="221">
        <v>13752.22</v>
      </c>
      <c r="E8054" s="221">
        <v>6514.83</v>
      </c>
      <c r="F8054" s="221">
        <v>6735.18</v>
      </c>
      <c r="G8054" s="221">
        <v>502.21</v>
      </c>
      <c r="H8054" s="222">
        <v>114695.24</v>
      </c>
      <c r="I8054" s="222">
        <v>74923.38</v>
      </c>
      <c r="J8054" s="222">
        <v>36348.239999999998</v>
      </c>
      <c r="K8054" s="222">
        <v>3423.62</v>
      </c>
      <c r="L8054" s="43">
        <v>8.3401254488366252</v>
      </c>
      <c r="M8054" s="43">
        <v>11.500435161009575</v>
      </c>
      <c r="N8054" s="43">
        <v>5.3967733601774555</v>
      </c>
      <c r="O8054" s="43">
        <v>6.8171083809561734</v>
      </c>
      <c r="P8054" s="223"/>
      <c r="Q8054" s="223"/>
      <c r="R8054" s="223">
        <v>1</v>
      </c>
    </row>
    <row r="8055" spans="1:18" ht="36">
      <c r="A8055" s="219">
        <v>919</v>
      </c>
      <c r="B8055" s="216" t="s">
        <v>14836</v>
      </c>
      <c r="C8055" s="220" t="s">
        <v>14837</v>
      </c>
      <c r="D8055" s="221">
        <v>15580.91</v>
      </c>
      <c r="E8055" s="221">
        <v>6514.83</v>
      </c>
      <c r="F8055" s="221">
        <v>8451.32</v>
      </c>
      <c r="G8055" s="221">
        <v>614.76</v>
      </c>
      <c r="H8055" s="222">
        <v>124571.9</v>
      </c>
      <c r="I8055" s="222">
        <v>74923.38</v>
      </c>
      <c r="J8055" s="222">
        <v>45642.19</v>
      </c>
      <c r="K8055" s="222">
        <v>4006.33</v>
      </c>
      <c r="L8055" s="43">
        <v>7.9951620284052725</v>
      </c>
      <c r="M8055" s="43">
        <v>11.500435161009575</v>
      </c>
      <c r="N8055" s="43">
        <v>5.4005989596891375</v>
      </c>
      <c r="O8055" s="43">
        <v>6.5169009044179846</v>
      </c>
      <c r="P8055" s="223"/>
      <c r="Q8055" s="223"/>
      <c r="R8055" s="223">
        <v>1</v>
      </c>
    </row>
    <row r="8056" spans="1:18" ht="12.75" customHeight="1">
      <c r="A8056" s="628" t="s">
        <v>14838</v>
      </c>
      <c r="B8056" s="629"/>
      <c r="C8056" s="629"/>
      <c r="D8056" s="629"/>
      <c r="E8056" s="629"/>
      <c r="F8056" s="629"/>
      <c r="G8056" s="629"/>
      <c r="H8056" s="629"/>
      <c r="I8056" s="629"/>
      <c r="J8056" s="629"/>
      <c r="K8056" s="629"/>
      <c r="L8056" s="629"/>
      <c r="M8056" s="629"/>
      <c r="N8056" s="629"/>
      <c r="O8056" s="629"/>
      <c r="P8056" s="629"/>
      <c r="Q8056" s="629"/>
      <c r="R8056" s="629"/>
    </row>
    <row r="8057" spans="1:18" ht="36">
      <c r="A8057" s="219">
        <v>920</v>
      </c>
      <c r="B8057" s="216" t="s">
        <v>14839</v>
      </c>
      <c r="C8057" s="220" t="s">
        <v>14840</v>
      </c>
      <c r="D8057" s="221">
        <v>552.16999999999996</v>
      </c>
      <c r="E8057" s="221">
        <v>388.36</v>
      </c>
      <c r="F8057" s="221">
        <v>149.15</v>
      </c>
      <c r="G8057" s="221">
        <v>14.66</v>
      </c>
      <c r="H8057" s="222">
        <v>5390.14</v>
      </c>
      <c r="I8057" s="222">
        <v>4466.33</v>
      </c>
      <c r="J8057" s="222">
        <v>798.92</v>
      </c>
      <c r="K8057" s="222">
        <v>124.89</v>
      </c>
      <c r="L8057" s="43">
        <v>9.7617400438270838</v>
      </c>
      <c r="M8057" s="43">
        <v>11.500489236790607</v>
      </c>
      <c r="N8057" s="43">
        <v>5.3564867582970157</v>
      </c>
      <c r="O8057" s="43">
        <v>8.5190995907230551</v>
      </c>
      <c r="P8057" s="223"/>
      <c r="Q8057" s="223"/>
      <c r="R8057" s="223">
        <v>2</v>
      </c>
    </row>
    <row r="8058" spans="1:18" ht="36">
      <c r="A8058" s="219">
        <v>921</v>
      </c>
      <c r="B8058" s="216" t="s">
        <v>14841</v>
      </c>
      <c r="C8058" s="220" t="s">
        <v>14842</v>
      </c>
      <c r="D8058" s="221">
        <v>658.77</v>
      </c>
      <c r="E8058" s="221">
        <v>388.36</v>
      </c>
      <c r="F8058" s="221">
        <v>250.69</v>
      </c>
      <c r="G8058" s="221">
        <v>19.72</v>
      </c>
      <c r="H8058" s="222">
        <v>5967.08</v>
      </c>
      <c r="I8058" s="222">
        <v>4466.33</v>
      </c>
      <c r="J8058" s="222">
        <v>1349.54</v>
      </c>
      <c r="K8058" s="222">
        <v>151.21</v>
      </c>
      <c r="L8058" s="43">
        <v>9.0579109552651147</v>
      </c>
      <c r="M8058" s="43">
        <v>11.500489236790607</v>
      </c>
      <c r="N8058" s="43">
        <v>5.3833020862419723</v>
      </c>
      <c r="O8058" s="43">
        <v>7.6678498985801227</v>
      </c>
      <c r="P8058" s="223"/>
      <c r="Q8058" s="223"/>
      <c r="R8058" s="223">
        <v>2</v>
      </c>
    </row>
    <row r="8059" spans="1:18" ht="36">
      <c r="A8059" s="219">
        <v>922</v>
      </c>
      <c r="B8059" s="216" t="s">
        <v>14843</v>
      </c>
      <c r="C8059" s="220" t="s">
        <v>14844</v>
      </c>
      <c r="D8059" s="221">
        <v>731.09</v>
      </c>
      <c r="E8059" s="221">
        <v>388.36</v>
      </c>
      <c r="F8059" s="221">
        <v>316.02999999999997</v>
      </c>
      <c r="G8059" s="221">
        <v>26.7</v>
      </c>
      <c r="H8059" s="222">
        <v>6357.77</v>
      </c>
      <c r="I8059" s="222">
        <v>4466.33</v>
      </c>
      <c r="J8059" s="222">
        <v>1704.09</v>
      </c>
      <c r="K8059" s="222">
        <v>187.35</v>
      </c>
      <c r="L8059" s="43">
        <v>8.6962891025728712</v>
      </c>
      <c r="M8059" s="43">
        <v>11.500489236790607</v>
      </c>
      <c r="N8059" s="43">
        <v>5.3921779577888174</v>
      </c>
      <c r="O8059" s="43">
        <v>7.0168539325842696</v>
      </c>
      <c r="P8059" s="223"/>
      <c r="Q8059" s="223"/>
      <c r="R8059" s="223">
        <v>2</v>
      </c>
    </row>
    <row r="8060" spans="1:18" ht="36">
      <c r="A8060" s="219">
        <v>923</v>
      </c>
      <c r="B8060" s="216" t="s">
        <v>14845</v>
      </c>
      <c r="C8060" s="220" t="s">
        <v>14846</v>
      </c>
      <c r="D8060" s="221">
        <v>957.99</v>
      </c>
      <c r="E8060" s="221">
        <v>513.6</v>
      </c>
      <c r="F8060" s="221">
        <v>412.11</v>
      </c>
      <c r="G8060" s="221">
        <v>32.28</v>
      </c>
      <c r="H8060" s="222">
        <v>8363.5300000000007</v>
      </c>
      <c r="I8060" s="222">
        <v>5906.66</v>
      </c>
      <c r="J8060" s="222">
        <v>2224.83</v>
      </c>
      <c r="K8060" s="222">
        <v>232.04</v>
      </c>
      <c r="L8060" s="43">
        <v>8.7302894602240109</v>
      </c>
      <c r="M8060" s="43">
        <v>11.500506230529595</v>
      </c>
      <c r="N8060" s="43">
        <v>5.3986314333551721</v>
      </c>
      <c r="O8060" s="43">
        <v>7.1883519206939273</v>
      </c>
      <c r="P8060" s="223"/>
      <c r="Q8060" s="223"/>
      <c r="R8060" s="223">
        <v>2</v>
      </c>
    </row>
    <row r="8061" spans="1:18" ht="36">
      <c r="A8061" s="219">
        <v>924</v>
      </c>
      <c r="B8061" s="216" t="s">
        <v>14847</v>
      </c>
      <c r="C8061" s="220" t="s">
        <v>14848</v>
      </c>
      <c r="D8061" s="221">
        <v>1156.02</v>
      </c>
      <c r="E8061" s="221">
        <v>513.6</v>
      </c>
      <c r="F8061" s="221">
        <v>583.70000000000005</v>
      </c>
      <c r="G8061" s="221">
        <v>58.72</v>
      </c>
      <c r="H8061" s="222">
        <v>9431.5300000000007</v>
      </c>
      <c r="I8061" s="222">
        <v>5906.66</v>
      </c>
      <c r="J8061" s="222">
        <v>3155.97</v>
      </c>
      <c r="K8061" s="222">
        <v>368.9</v>
      </c>
      <c r="L8061" s="43">
        <v>8.158621823151849</v>
      </c>
      <c r="M8061" s="43">
        <v>11.500506230529595</v>
      </c>
      <c r="N8061" s="43">
        <v>5.4068357032722281</v>
      </c>
      <c r="O8061" s="43">
        <v>6.2823569482288821</v>
      </c>
      <c r="P8061" s="223"/>
      <c r="Q8061" s="223"/>
      <c r="R8061" s="223">
        <v>2</v>
      </c>
    </row>
    <row r="8062" spans="1:18" ht="12.75" customHeight="1">
      <c r="A8062" s="628" t="s">
        <v>14849</v>
      </c>
      <c r="B8062" s="629"/>
      <c r="C8062" s="629"/>
      <c r="D8062" s="629"/>
      <c r="E8062" s="629"/>
      <c r="F8062" s="629"/>
      <c r="G8062" s="629"/>
      <c r="H8062" s="629"/>
      <c r="I8062" s="629"/>
      <c r="J8062" s="629"/>
      <c r="K8062" s="629"/>
      <c r="L8062" s="629"/>
      <c r="M8062" s="629"/>
      <c r="N8062" s="629"/>
      <c r="O8062" s="629"/>
      <c r="P8062" s="629"/>
      <c r="Q8062" s="629"/>
      <c r="R8062" s="629"/>
    </row>
    <row r="8063" spans="1:18" ht="12.75" customHeight="1">
      <c r="A8063" s="628" t="s">
        <v>14850</v>
      </c>
      <c r="B8063" s="629"/>
      <c r="C8063" s="629"/>
      <c r="D8063" s="629"/>
      <c r="E8063" s="629"/>
      <c r="F8063" s="629"/>
      <c r="G8063" s="629"/>
      <c r="H8063" s="629"/>
      <c r="I8063" s="629"/>
      <c r="J8063" s="629"/>
      <c r="K8063" s="629"/>
      <c r="L8063" s="629"/>
      <c r="M8063" s="629"/>
      <c r="N8063" s="629"/>
      <c r="O8063" s="629"/>
      <c r="P8063" s="629"/>
      <c r="Q8063" s="629"/>
      <c r="R8063" s="629"/>
    </row>
    <row r="8064" spans="1:18" ht="36">
      <c r="A8064" s="219">
        <v>925</v>
      </c>
      <c r="B8064" s="216" t="s">
        <v>14851</v>
      </c>
      <c r="C8064" s="220" t="s">
        <v>14852</v>
      </c>
      <c r="D8064" s="221">
        <v>614.71</v>
      </c>
      <c r="E8064" s="221">
        <v>513.6</v>
      </c>
      <c r="F8064" s="221">
        <v>90.21</v>
      </c>
      <c r="G8064" s="221">
        <v>10.9</v>
      </c>
      <c r="H8064" s="222">
        <v>6514.49</v>
      </c>
      <c r="I8064" s="222">
        <v>5906.66</v>
      </c>
      <c r="J8064" s="222">
        <v>486.4</v>
      </c>
      <c r="K8064" s="222">
        <v>121.43</v>
      </c>
      <c r="L8064" s="43">
        <v>10.597663939093231</v>
      </c>
      <c r="M8064" s="43">
        <v>11.500506230529595</v>
      </c>
      <c r="N8064" s="43">
        <v>5.3918634297749692</v>
      </c>
      <c r="O8064" s="43">
        <v>11.140366972477064</v>
      </c>
      <c r="P8064" s="223"/>
      <c r="Q8064" s="223"/>
      <c r="R8064" s="223">
        <v>1</v>
      </c>
    </row>
    <row r="8065" spans="1:18" ht="48">
      <c r="A8065" s="219">
        <v>926</v>
      </c>
      <c r="B8065" s="216" t="s">
        <v>14853</v>
      </c>
      <c r="C8065" s="220" t="s">
        <v>14854</v>
      </c>
      <c r="D8065" s="221">
        <v>821.4</v>
      </c>
      <c r="E8065" s="221">
        <v>651.48</v>
      </c>
      <c r="F8065" s="221">
        <v>156.28</v>
      </c>
      <c r="G8065" s="221">
        <v>13.64</v>
      </c>
      <c r="H8065" s="222">
        <v>8488.8799999999992</v>
      </c>
      <c r="I8065" s="222">
        <v>7492.34</v>
      </c>
      <c r="J8065" s="222">
        <v>843.48</v>
      </c>
      <c r="K8065" s="222">
        <v>153.06</v>
      </c>
      <c r="L8065" s="43">
        <v>10.334648161675188</v>
      </c>
      <c r="M8065" s="43">
        <v>11.500491189292074</v>
      </c>
      <c r="N8065" s="43">
        <v>5.3972357307396983</v>
      </c>
      <c r="O8065" s="43">
        <v>11.22140762463343</v>
      </c>
      <c r="P8065" s="223"/>
      <c r="Q8065" s="223"/>
      <c r="R8065" s="223">
        <v>1</v>
      </c>
    </row>
    <row r="8066" spans="1:18" ht="48">
      <c r="A8066" s="219">
        <v>927</v>
      </c>
      <c r="B8066" s="216" t="s">
        <v>14855</v>
      </c>
      <c r="C8066" s="220" t="s">
        <v>14856</v>
      </c>
      <c r="D8066" s="221">
        <v>1166.18</v>
      </c>
      <c r="E8066" s="221">
        <v>901.97</v>
      </c>
      <c r="F8066" s="221">
        <v>244.31</v>
      </c>
      <c r="G8066" s="221">
        <v>19.899999999999999</v>
      </c>
      <c r="H8066" s="222">
        <v>11910.25</v>
      </c>
      <c r="I8066" s="222">
        <v>10372.99</v>
      </c>
      <c r="J8066" s="222">
        <v>1320.04</v>
      </c>
      <c r="K8066" s="222">
        <v>217.22</v>
      </c>
      <c r="L8066" s="43">
        <v>10.213046013479909</v>
      </c>
      <c r="M8066" s="43">
        <v>11.500371409248643</v>
      </c>
      <c r="N8066" s="43">
        <v>5.4031353608120831</v>
      </c>
      <c r="O8066" s="43">
        <v>10.915577889447237</v>
      </c>
      <c r="P8066" s="223"/>
      <c r="Q8066" s="223"/>
      <c r="R8066" s="223">
        <v>1</v>
      </c>
    </row>
    <row r="8067" spans="1:18" ht="36">
      <c r="A8067" s="219">
        <v>928</v>
      </c>
      <c r="B8067" s="216" t="s">
        <v>14857</v>
      </c>
      <c r="C8067" s="220" t="s">
        <v>14858</v>
      </c>
      <c r="D8067" s="221">
        <v>1543.42</v>
      </c>
      <c r="E8067" s="221">
        <v>1160.49</v>
      </c>
      <c r="F8067" s="221">
        <v>356.71</v>
      </c>
      <c r="G8067" s="221">
        <v>26.22</v>
      </c>
      <c r="H8067" s="222">
        <v>15556.51</v>
      </c>
      <c r="I8067" s="222">
        <v>13346.14</v>
      </c>
      <c r="J8067" s="222">
        <v>1927.65</v>
      </c>
      <c r="K8067" s="222">
        <v>282.72000000000003</v>
      </c>
      <c r="L8067" s="43">
        <v>10.079246089852406</v>
      </c>
      <c r="M8067" s="43">
        <v>11.500435161009573</v>
      </c>
      <c r="N8067" s="43">
        <v>5.403969611168737</v>
      </c>
      <c r="O8067" s="43">
        <v>10.782608695652176</v>
      </c>
      <c r="P8067" s="223"/>
      <c r="Q8067" s="223"/>
      <c r="R8067" s="223">
        <v>1</v>
      </c>
    </row>
    <row r="8068" spans="1:18" ht="36">
      <c r="A8068" s="219">
        <v>929</v>
      </c>
      <c r="B8068" s="216" t="s">
        <v>14859</v>
      </c>
      <c r="C8068" s="220" t="s">
        <v>14860</v>
      </c>
      <c r="D8068" s="221">
        <v>1808.07</v>
      </c>
      <c r="E8068" s="221">
        <v>1286.8800000000001</v>
      </c>
      <c r="F8068" s="221">
        <v>485.15</v>
      </c>
      <c r="G8068" s="221">
        <v>36.04</v>
      </c>
      <c r="H8068" s="222">
        <v>17771.34</v>
      </c>
      <c r="I8068" s="222">
        <v>14799.68</v>
      </c>
      <c r="J8068" s="222">
        <v>2622.03</v>
      </c>
      <c r="K8068" s="222">
        <v>349.63</v>
      </c>
      <c r="L8068" s="43">
        <v>9.8289004297399991</v>
      </c>
      <c r="M8068" s="43">
        <v>11.500435161009573</v>
      </c>
      <c r="N8068" s="43">
        <v>5.4045759043594774</v>
      </c>
      <c r="O8068" s="43">
        <v>9.7011653718091004</v>
      </c>
      <c r="P8068" s="223"/>
      <c r="Q8068" s="223"/>
      <c r="R8068" s="223">
        <v>1</v>
      </c>
    </row>
    <row r="8069" spans="1:18" ht="36">
      <c r="A8069" s="219">
        <v>930</v>
      </c>
      <c r="B8069" s="216" t="s">
        <v>14861</v>
      </c>
      <c r="C8069" s="220" t="s">
        <v>14862</v>
      </c>
      <c r="D8069" s="221">
        <v>2032.01</v>
      </c>
      <c r="E8069" s="221">
        <v>1413.27</v>
      </c>
      <c r="F8069" s="221">
        <v>580.16999999999996</v>
      </c>
      <c r="G8069" s="221">
        <v>38.57</v>
      </c>
      <c r="H8069" s="222">
        <v>19767.18</v>
      </c>
      <c r="I8069" s="222">
        <v>16253.22</v>
      </c>
      <c r="J8069" s="222">
        <v>3135.23</v>
      </c>
      <c r="K8069" s="222">
        <v>378.73</v>
      </c>
      <c r="L8069" s="43">
        <v>9.7278950398866151</v>
      </c>
      <c r="M8069" s="43">
        <v>11.500435161009573</v>
      </c>
      <c r="N8069" s="43">
        <v>5.4039850388679183</v>
      </c>
      <c r="O8069" s="43">
        <v>9.8192896033186425</v>
      </c>
      <c r="P8069" s="223"/>
      <c r="Q8069" s="223"/>
      <c r="R8069" s="223">
        <v>1</v>
      </c>
    </row>
    <row r="8070" spans="1:18" ht="36">
      <c r="A8070" s="219">
        <v>931</v>
      </c>
      <c r="B8070" s="216" t="s">
        <v>14863</v>
      </c>
      <c r="C8070" s="220" t="s">
        <v>14864</v>
      </c>
      <c r="D8070" s="221">
        <v>2519.2399999999998</v>
      </c>
      <c r="E8070" s="221">
        <v>1677.54</v>
      </c>
      <c r="F8070" s="221">
        <v>784.83</v>
      </c>
      <c r="G8070" s="221">
        <v>56.87</v>
      </c>
      <c r="H8070" s="222">
        <v>24043.22</v>
      </c>
      <c r="I8070" s="222">
        <v>19292.439999999999</v>
      </c>
      <c r="J8070" s="222">
        <v>4243.75</v>
      </c>
      <c r="K8070" s="222">
        <v>507.03</v>
      </c>
      <c r="L8070" s="43">
        <v>9.5438386179959043</v>
      </c>
      <c r="M8070" s="43">
        <v>11.500435161009573</v>
      </c>
      <c r="N8070" s="43">
        <v>5.4072219461539435</v>
      </c>
      <c r="O8070" s="43">
        <v>8.9155969755582909</v>
      </c>
      <c r="P8070" s="223"/>
      <c r="Q8070" s="223"/>
      <c r="R8070" s="223">
        <v>1</v>
      </c>
    </row>
    <row r="8071" spans="1:18" ht="12.75" customHeight="1">
      <c r="A8071" s="628" t="s">
        <v>14865</v>
      </c>
      <c r="B8071" s="629"/>
      <c r="C8071" s="629"/>
      <c r="D8071" s="629"/>
      <c r="E8071" s="629"/>
      <c r="F8071" s="629"/>
      <c r="G8071" s="629"/>
      <c r="H8071" s="629"/>
      <c r="I8071" s="629"/>
      <c r="J8071" s="629"/>
      <c r="K8071" s="629"/>
      <c r="L8071" s="629"/>
      <c r="M8071" s="629"/>
      <c r="N8071" s="629"/>
      <c r="O8071" s="629"/>
      <c r="P8071" s="629"/>
      <c r="Q8071" s="629"/>
      <c r="R8071" s="629"/>
    </row>
    <row r="8072" spans="1:18" ht="12.75" customHeight="1">
      <c r="A8072" s="628" t="s">
        <v>14866</v>
      </c>
      <c r="B8072" s="629"/>
      <c r="C8072" s="629"/>
      <c r="D8072" s="629"/>
      <c r="E8072" s="629"/>
      <c r="F8072" s="629"/>
      <c r="G8072" s="629"/>
      <c r="H8072" s="629"/>
      <c r="I8072" s="629"/>
      <c r="J8072" s="629"/>
      <c r="K8072" s="629"/>
      <c r="L8072" s="629"/>
      <c r="M8072" s="629"/>
      <c r="N8072" s="629"/>
      <c r="O8072" s="629"/>
      <c r="P8072" s="629"/>
      <c r="Q8072" s="629"/>
      <c r="R8072" s="629"/>
    </row>
    <row r="8073" spans="1:18" ht="60">
      <c r="A8073" s="219">
        <v>932</v>
      </c>
      <c r="B8073" s="216" t="s">
        <v>14867</v>
      </c>
      <c r="C8073" s="220" t="s">
        <v>14868</v>
      </c>
      <c r="D8073" s="221">
        <v>1655.75</v>
      </c>
      <c r="E8073" s="221">
        <v>1286.8800000000001</v>
      </c>
      <c r="F8073" s="221">
        <v>326.82</v>
      </c>
      <c r="G8073" s="221">
        <v>42.05</v>
      </c>
      <c r="H8073" s="222">
        <v>16899.77</v>
      </c>
      <c r="I8073" s="222">
        <v>14799.68</v>
      </c>
      <c r="J8073" s="222">
        <v>1718.95</v>
      </c>
      <c r="K8073" s="222">
        <v>381.14</v>
      </c>
      <c r="L8073" s="43">
        <v>10.20671598973275</v>
      </c>
      <c r="M8073" s="43">
        <v>11.500435161009573</v>
      </c>
      <c r="N8073" s="43">
        <v>5.2596230340860419</v>
      </c>
      <c r="O8073" s="43">
        <v>9.0639714625445897</v>
      </c>
      <c r="P8073" s="223"/>
      <c r="Q8073" s="223"/>
      <c r="R8073" s="223">
        <v>1</v>
      </c>
    </row>
    <row r="8074" spans="1:18" ht="60">
      <c r="A8074" s="219">
        <v>933</v>
      </c>
      <c r="B8074" s="216" t="s">
        <v>14869</v>
      </c>
      <c r="C8074" s="220" t="s">
        <v>14870</v>
      </c>
      <c r="D8074" s="221">
        <v>3078.95</v>
      </c>
      <c r="E8074" s="221">
        <v>2585.25</v>
      </c>
      <c r="F8074" s="221">
        <v>418.02</v>
      </c>
      <c r="G8074" s="221">
        <v>75.680000000000007</v>
      </c>
      <c r="H8074" s="222">
        <v>32657.73</v>
      </c>
      <c r="I8074" s="222">
        <v>29731.5</v>
      </c>
      <c r="J8074" s="222">
        <v>2206.7600000000002</v>
      </c>
      <c r="K8074" s="222">
        <v>719.47</v>
      </c>
      <c r="L8074" s="43">
        <v>10.606775036944413</v>
      </c>
      <c r="M8074" s="43">
        <v>11.500435161009573</v>
      </c>
      <c r="N8074" s="43">
        <v>5.2790775560977954</v>
      </c>
      <c r="O8074" s="43">
        <v>9.5067389006342484</v>
      </c>
      <c r="P8074" s="223"/>
      <c r="Q8074" s="223"/>
      <c r="R8074" s="223">
        <v>1</v>
      </c>
    </row>
    <row r="8075" spans="1:18" ht="60">
      <c r="A8075" s="219">
        <v>934</v>
      </c>
      <c r="B8075" s="216" t="s">
        <v>14871</v>
      </c>
      <c r="C8075" s="220" t="s">
        <v>14872</v>
      </c>
      <c r="D8075" s="221">
        <v>3601.5</v>
      </c>
      <c r="E8075" s="221">
        <v>2585.25</v>
      </c>
      <c r="F8075" s="221">
        <v>868.96</v>
      </c>
      <c r="G8075" s="221">
        <v>147.29</v>
      </c>
      <c r="H8075" s="222">
        <v>35462.82</v>
      </c>
      <c r="I8075" s="222">
        <v>29731.5</v>
      </c>
      <c r="J8075" s="222">
        <v>4640.3100000000004</v>
      </c>
      <c r="K8075" s="222">
        <v>1091.01</v>
      </c>
      <c r="L8075" s="43">
        <v>9.8466805497709284</v>
      </c>
      <c r="M8075" s="43">
        <v>11.500435161009573</v>
      </c>
      <c r="N8075" s="43">
        <v>5.3400731909408954</v>
      </c>
      <c r="O8075" s="43">
        <v>7.4072238441170484</v>
      </c>
      <c r="P8075" s="223"/>
      <c r="Q8075" s="223"/>
      <c r="R8075" s="223">
        <v>1</v>
      </c>
    </row>
    <row r="8076" spans="1:18" ht="60">
      <c r="A8076" s="219">
        <v>935</v>
      </c>
      <c r="B8076" s="216" t="s">
        <v>14873</v>
      </c>
      <c r="C8076" s="220" t="s">
        <v>14874</v>
      </c>
      <c r="D8076" s="221">
        <v>4051.46</v>
      </c>
      <c r="E8076" s="221">
        <v>2585.25</v>
      </c>
      <c r="F8076" s="221">
        <v>1317.89</v>
      </c>
      <c r="G8076" s="221">
        <v>148.32</v>
      </c>
      <c r="H8076" s="222">
        <v>37887.14</v>
      </c>
      <c r="I8076" s="222">
        <v>29731.5</v>
      </c>
      <c r="J8076" s="222">
        <v>7058.94</v>
      </c>
      <c r="K8076" s="222">
        <v>1096.7</v>
      </c>
      <c r="L8076" s="43">
        <v>9.3514782325383941</v>
      </c>
      <c r="M8076" s="43">
        <v>11.500435161009573</v>
      </c>
      <c r="N8076" s="43">
        <v>5.3562436925691816</v>
      </c>
      <c r="O8076" s="43">
        <v>7.3941477885652649</v>
      </c>
      <c r="P8076" s="223"/>
      <c r="Q8076" s="223"/>
      <c r="R8076" s="223">
        <v>1</v>
      </c>
    </row>
    <row r="8077" spans="1:18" ht="60">
      <c r="A8077" s="219">
        <v>936</v>
      </c>
      <c r="B8077" s="216" t="s">
        <v>14875</v>
      </c>
      <c r="C8077" s="220" t="s">
        <v>14876</v>
      </c>
      <c r="D8077" s="221">
        <v>6338.75</v>
      </c>
      <c r="E8077" s="221">
        <v>3883.62</v>
      </c>
      <c r="F8077" s="221">
        <v>2146.62</v>
      </c>
      <c r="G8077" s="221">
        <v>308.51</v>
      </c>
      <c r="H8077" s="222">
        <v>58288.54</v>
      </c>
      <c r="I8077" s="222">
        <v>44663.32</v>
      </c>
      <c r="J8077" s="222">
        <v>11532.86</v>
      </c>
      <c r="K8077" s="222">
        <v>2092.36</v>
      </c>
      <c r="L8077" s="43">
        <v>9.1955890356931569</v>
      </c>
      <c r="M8077" s="43">
        <v>11.500435161009573</v>
      </c>
      <c r="N8077" s="43">
        <v>5.3725671054960831</v>
      </c>
      <c r="O8077" s="43">
        <v>6.7821464458202332</v>
      </c>
      <c r="P8077" s="223"/>
      <c r="Q8077" s="223"/>
      <c r="R8077" s="223">
        <v>1</v>
      </c>
    </row>
    <row r="8078" spans="1:18" ht="12.75" customHeight="1">
      <c r="A8078" s="628" t="s">
        <v>14877</v>
      </c>
      <c r="B8078" s="629"/>
      <c r="C8078" s="629"/>
      <c r="D8078" s="629"/>
      <c r="E8078" s="629"/>
      <c r="F8078" s="629"/>
      <c r="G8078" s="629"/>
      <c r="H8078" s="629"/>
      <c r="I8078" s="629"/>
      <c r="J8078" s="629"/>
      <c r="K8078" s="629"/>
      <c r="L8078" s="629"/>
      <c r="M8078" s="629"/>
      <c r="N8078" s="629"/>
      <c r="O8078" s="629"/>
      <c r="P8078" s="629"/>
      <c r="Q8078" s="629"/>
      <c r="R8078" s="629"/>
    </row>
    <row r="8079" spans="1:18" ht="48">
      <c r="A8079" s="219">
        <v>937</v>
      </c>
      <c r="B8079" s="216" t="s">
        <v>14878</v>
      </c>
      <c r="C8079" s="220" t="s">
        <v>14879</v>
      </c>
      <c r="D8079" s="221">
        <v>1410.2</v>
      </c>
      <c r="E8079" s="221">
        <v>1286.8800000000001</v>
      </c>
      <c r="F8079" s="221">
        <v>92.72</v>
      </c>
      <c r="G8079" s="221">
        <v>30.6</v>
      </c>
      <c r="H8079" s="222">
        <v>15556.63</v>
      </c>
      <c r="I8079" s="222">
        <v>14799.68</v>
      </c>
      <c r="J8079" s="222">
        <v>435.41</v>
      </c>
      <c r="K8079" s="222">
        <v>321.54000000000002</v>
      </c>
      <c r="L8079" s="43">
        <v>11.031506169337682</v>
      </c>
      <c r="M8079" s="43">
        <v>11.500435161009573</v>
      </c>
      <c r="N8079" s="43">
        <v>4.6959663503019851</v>
      </c>
      <c r="O8079" s="43">
        <v>10.507843137254902</v>
      </c>
      <c r="P8079" s="223"/>
      <c r="Q8079" s="223"/>
      <c r="R8079" s="223">
        <v>2</v>
      </c>
    </row>
    <row r="8080" spans="1:18" ht="48">
      <c r="A8080" s="219">
        <v>938</v>
      </c>
      <c r="B8080" s="216" t="s">
        <v>14880</v>
      </c>
      <c r="C8080" s="220" t="s">
        <v>14881</v>
      </c>
      <c r="D8080" s="221">
        <v>1484.9</v>
      </c>
      <c r="E8080" s="221">
        <v>1286.8800000000001</v>
      </c>
      <c r="F8080" s="221">
        <v>157.35</v>
      </c>
      <c r="G8080" s="221">
        <v>40.67</v>
      </c>
      <c r="H8080" s="222">
        <v>15930.54</v>
      </c>
      <c r="I8080" s="222">
        <v>14799.68</v>
      </c>
      <c r="J8080" s="222">
        <v>757.15</v>
      </c>
      <c r="K8080" s="222">
        <v>373.71</v>
      </c>
      <c r="L8080" s="43">
        <v>10.728358812041215</v>
      </c>
      <c r="M8080" s="43">
        <v>11.500435161009573</v>
      </c>
      <c r="N8080" s="43">
        <v>4.8118843342866224</v>
      </c>
      <c r="O8080" s="43">
        <v>9.1888369805753616</v>
      </c>
      <c r="P8080" s="223"/>
      <c r="Q8080" s="223"/>
      <c r="R8080" s="223">
        <v>2</v>
      </c>
    </row>
    <row r="8081" spans="1:18" ht="48">
      <c r="A8081" s="219">
        <v>939</v>
      </c>
      <c r="B8081" s="216" t="s">
        <v>14882</v>
      </c>
      <c r="C8081" s="220" t="s">
        <v>14883</v>
      </c>
      <c r="D8081" s="221">
        <v>1582.07</v>
      </c>
      <c r="E8081" s="221">
        <v>1286.8800000000001</v>
      </c>
      <c r="F8081" s="221">
        <v>245.4</v>
      </c>
      <c r="G8081" s="221">
        <v>49.79</v>
      </c>
      <c r="H8081" s="222">
        <v>16431.37</v>
      </c>
      <c r="I8081" s="222">
        <v>14799.68</v>
      </c>
      <c r="J8081" s="222">
        <v>1210.45</v>
      </c>
      <c r="K8081" s="222">
        <v>421.24</v>
      </c>
      <c r="L8081" s="43">
        <v>10.385994298608784</v>
      </c>
      <c r="M8081" s="43">
        <v>11.500435161009573</v>
      </c>
      <c r="N8081" s="43">
        <v>4.9325590872045639</v>
      </c>
      <c r="O8081" s="43">
        <v>8.460333400281181</v>
      </c>
      <c r="P8081" s="223"/>
      <c r="Q8081" s="223"/>
      <c r="R8081" s="223">
        <v>2</v>
      </c>
    </row>
    <row r="8082" spans="1:18" ht="48">
      <c r="A8082" s="219">
        <v>940</v>
      </c>
      <c r="B8082" s="216" t="s">
        <v>14884</v>
      </c>
      <c r="C8082" s="220" t="s">
        <v>14885</v>
      </c>
      <c r="D8082" s="221">
        <v>1633.61</v>
      </c>
      <c r="E8082" s="221">
        <v>1286.8800000000001</v>
      </c>
      <c r="F8082" s="221">
        <v>295.16000000000003</v>
      </c>
      <c r="G8082" s="221">
        <v>51.57</v>
      </c>
      <c r="H8082" s="222">
        <v>16691.599999999999</v>
      </c>
      <c r="I8082" s="222">
        <v>14799.68</v>
      </c>
      <c r="J8082" s="222">
        <v>1461.07</v>
      </c>
      <c r="K8082" s="222">
        <v>430.85</v>
      </c>
      <c r="L8082" s="43">
        <v>10.217616199704947</v>
      </c>
      <c r="M8082" s="43">
        <v>11.500435161009573</v>
      </c>
      <c r="N8082" s="43">
        <v>4.9500948638026827</v>
      </c>
      <c r="O8082" s="43">
        <v>8.3546635640876481</v>
      </c>
      <c r="P8082" s="223"/>
      <c r="Q8082" s="223"/>
      <c r="R8082" s="223">
        <v>2</v>
      </c>
    </row>
    <row r="8083" spans="1:18" ht="48">
      <c r="A8083" s="219">
        <v>941</v>
      </c>
      <c r="B8083" s="216" t="s">
        <v>14886</v>
      </c>
      <c r="C8083" s="220" t="s">
        <v>14887</v>
      </c>
      <c r="D8083" s="221">
        <v>1730.64</v>
      </c>
      <c r="E8083" s="221">
        <v>1286.8800000000001</v>
      </c>
      <c r="F8083" s="221">
        <v>392.19</v>
      </c>
      <c r="G8083" s="221">
        <v>51.57</v>
      </c>
      <c r="H8083" s="222">
        <v>17194.57</v>
      </c>
      <c r="I8083" s="222">
        <v>14799.68</v>
      </c>
      <c r="J8083" s="222">
        <v>1964.04</v>
      </c>
      <c r="K8083" s="222">
        <v>430.85</v>
      </c>
      <c r="L8083" s="43">
        <v>9.935382286321822</v>
      </c>
      <c r="M8083" s="43">
        <v>11.500435161009573</v>
      </c>
      <c r="N8083" s="43">
        <v>5.0078788342385065</v>
      </c>
      <c r="O8083" s="43">
        <v>8.3546635640876481</v>
      </c>
      <c r="P8083" s="223"/>
      <c r="Q8083" s="223"/>
      <c r="R8083" s="223">
        <v>2</v>
      </c>
    </row>
    <row r="8084" spans="1:18" ht="48">
      <c r="A8084" s="219">
        <v>942</v>
      </c>
      <c r="B8084" s="216" t="s">
        <v>14888</v>
      </c>
      <c r="C8084" s="220" t="s">
        <v>14889</v>
      </c>
      <c r="D8084" s="221">
        <v>1819.89</v>
      </c>
      <c r="E8084" s="221">
        <v>1286.8800000000001</v>
      </c>
      <c r="F8084" s="221">
        <v>481.44</v>
      </c>
      <c r="G8084" s="221">
        <v>51.57</v>
      </c>
      <c r="H8084" s="222">
        <v>17648.82</v>
      </c>
      <c r="I8084" s="222">
        <v>14799.68</v>
      </c>
      <c r="J8084" s="222">
        <v>2418.29</v>
      </c>
      <c r="K8084" s="222">
        <v>430.85</v>
      </c>
      <c r="L8084" s="43">
        <v>9.6977399732950893</v>
      </c>
      <c r="M8084" s="43">
        <v>11.500435161009573</v>
      </c>
      <c r="N8084" s="43">
        <v>5.0230350614822203</v>
      </c>
      <c r="O8084" s="43">
        <v>8.3546635640876481</v>
      </c>
      <c r="P8084" s="223"/>
      <c r="Q8084" s="223"/>
      <c r="R8084" s="223">
        <v>2</v>
      </c>
    </row>
    <row r="8085" spans="1:18" ht="48">
      <c r="A8085" s="219">
        <v>943</v>
      </c>
      <c r="B8085" s="216" t="s">
        <v>14890</v>
      </c>
      <c r="C8085" s="220" t="s">
        <v>14891</v>
      </c>
      <c r="D8085" s="221">
        <v>1990.24</v>
      </c>
      <c r="E8085" s="221">
        <v>1286.8800000000001</v>
      </c>
      <c r="F8085" s="221">
        <v>580.59</v>
      </c>
      <c r="G8085" s="221">
        <v>122.77</v>
      </c>
      <c r="H8085" s="222">
        <v>18512.05</v>
      </c>
      <c r="I8085" s="222">
        <v>14799.68</v>
      </c>
      <c r="J8085" s="222">
        <v>2912.18</v>
      </c>
      <c r="K8085" s="222">
        <v>800.19</v>
      </c>
      <c r="L8085" s="43">
        <v>9.3014159096390383</v>
      </c>
      <c r="M8085" s="43">
        <v>11.500435161009573</v>
      </c>
      <c r="N8085" s="43">
        <v>5.0158976213851423</v>
      </c>
      <c r="O8085" s="43">
        <v>6.5177975075344143</v>
      </c>
      <c r="P8085" s="223"/>
      <c r="Q8085" s="223"/>
      <c r="R8085" s="223">
        <v>2</v>
      </c>
    </row>
    <row r="8086" spans="1:18" ht="48">
      <c r="A8086" s="219">
        <v>944</v>
      </c>
      <c r="B8086" s="216" t="s">
        <v>14892</v>
      </c>
      <c r="C8086" s="220" t="s">
        <v>14893</v>
      </c>
      <c r="D8086" s="221">
        <v>3703.88</v>
      </c>
      <c r="E8086" s="221">
        <v>2585.25</v>
      </c>
      <c r="F8086" s="221">
        <v>841.11</v>
      </c>
      <c r="G8086" s="221">
        <v>277.52</v>
      </c>
      <c r="H8086" s="222">
        <v>35767.730000000003</v>
      </c>
      <c r="I8086" s="222">
        <v>29731.5</v>
      </c>
      <c r="J8086" s="222">
        <v>4269.63</v>
      </c>
      <c r="K8086" s="222">
        <v>1766.6</v>
      </c>
      <c r="L8086" s="43">
        <v>9.6568274350140939</v>
      </c>
      <c r="M8086" s="43">
        <v>11.500435161009573</v>
      </c>
      <c r="N8086" s="43">
        <v>5.0761850411955631</v>
      </c>
      <c r="O8086" s="43">
        <v>6.3656673392908623</v>
      </c>
      <c r="P8086" s="223"/>
      <c r="Q8086" s="223"/>
      <c r="R8086" s="223">
        <v>2</v>
      </c>
    </row>
    <row r="8087" spans="1:18" ht="12.75" customHeight="1">
      <c r="A8087" s="628" t="s">
        <v>14894</v>
      </c>
      <c r="B8087" s="629"/>
      <c r="C8087" s="629"/>
      <c r="D8087" s="629"/>
      <c r="E8087" s="629"/>
      <c r="F8087" s="629"/>
      <c r="G8087" s="629"/>
      <c r="H8087" s="629"/>
      <c r="I8087" s="629"/>
      <c r="J8087" s="629"/>
      <c r="K8087" s="629"/>
      <c r="L8087" s="629"/>
      <c r="M8087" s="629"/>
      <c r="N8087" s="629"/>
      <c r="O8087" s="629"/>
      <c r="P8087" s="629"/>
      <c r="Q8087" s="629"/>
      <c r="R8087" s="629"/>
    </row>
    <row r="8088" spans="1:18" ht="12.75" customHeight="1">
      <c r="A8088" s="628" t="s">
        <v>14895</v>
      </c>
      <c r="B8088" s="629"/>
      <c r="C8088" s="629"/>
      <c r="D8088" s="629"/>
      <c r="E8088" s="629"/>
      <c r="F8088" s="629"/>
      <c r="G8088" s="629"/>
      <c r="H8088" s="629"/>
      <c r="I8088" s="629"/>
      <c r="J8088" s="629"/>
      <c r="K8088" s="629"/>
      <c r="L8088" s="629"/>
      <c r="M8088" s="629"/>
      <c r="N8088" s="629"/>
      <c r="O8088" s="629"/>
      <c r="P8088" s="629"/>
      <c r="Q8088" s="629"/>
      <c r="R8088" s="629"/>
    </row>
    <row r="8089" spans="1:18" ht="60">
      <c r="A8089" s="219">
        <v>945</v>
      </c>
      <c r="B8089" s="216" t="s">
        <v>14896</v>
      </c>
      <c r="C8089" s="220" t="s">
        <v>14897</v>
      </c>
      <c r="D8089" s="221">
        <v>3365.54</v>
      </c>
      <c r="E8089" s="221">
        <v>620.46</v>
      </c>
      <c r="F8089" s="221">
        <v>2728.13</v>
      </c>
      <c r="G8089" s="221">
        <v>16.95</v>
      </c>
      <c r="H8089" s="222">
        <v>22198.2</v>
      </c>
      <c r="I8089" s="222">
        <v>7135.56</v>
      </c>
      <c r="J8089" s="222">
        <v>14895.82</v>
      </c>
      <c r="K8089" s="222">
        <v>166.82</v>
      </c>
      <c r="L8089" s="43">
        <v>6.595732037057946</v>
      </c>
      <c r="M8089" s="43">
        <v>11.500435161009573</v>
      </c>
      <c r="N8089" s="43">
        <v>5.4600843801431749</v>
      </c>
      <c r="O8089" s="43">
        <v>9.8418879056047199</v>
      </c>
      <c r="P8089" s="223"/>
      <c r="Q8089" s="223"/>
      <c r="R8089" s="223">
        <v>1</v>
      </c>
    </row>
    <row r="8090" spans="1:18" ht="60">
      <c r="A8090" s="219">
        <v>946</v>
      </c>
      <c r="B8090" s="216" t="s">
        <v>14898</v>
      </c>
      <c r="C8090" s="220" t="s">
        <v>14899</v>
      </c>
      <c r="D8090" s="221">
        <v>3430.17</v>
      </c>
      <c r="E8090" s="221">
        <v>633.1</v>
      </c>
      <c r="F8090" s="221">
        <v>2778.2</v>
      </c>
      <c r="G8090" s="221">
        <v>18.87</v>
      </c>
      <c r="H8090" s="222">
        <v>22624.43</v>
      </c>
      <c r="I8090" s="222">
        <v>7280.91</v>
      </c>
      <c r="J8090" s="222">
        <v>15165</v>
      </c>
      <c r="K8090" s="222">
        <v>178.52</v>
      </c>
      <c r="L8090" s="43">
        <v>6.5957168303611775</v>
      </c>
      <c r="M8090" s="43">
        <v>11.500410677618069</v>
      </c>
      <c r="N8090" s="43">
        <v>5.4585702973148083</v>
      </c>
      <c r="O8090" s="43">
        <v>9.4605193428722849</v>
      </c>
      <c r="P8090" s="223"/>
      <c r="Q8090" s="223"/>
      <c r="R8090" s="223">
        <v>1</v>
      </c>
    </row>
    <row r="8091" spans="1:18" ht="60">
      <c r="A8091" s="219">
        <v>947</v>
      </c>
      <c r="B8091" s="216" t="s">
        <v>14900</v>
      </c>
      <c r="C8091" s="220" t="s">
        <v>14901</v>
      </c>
      <c r="D8091" s="221">
        <v>3891.81</v>
      </c>
      <c r="E8091" s="221">
        <v>639.99</v>
      </c>
      <c r="F8091" s="221">
        <v>3228.54</v>
      </c>
      <c r="G8091" s="221">
        <v>23.28</v>
      </c>
      <c r="H8091" s="222">
        <v>25198.720000000001</v>
      </c>
      <c r="I8091" s="222">
        <v>7360.2</v>
      </c>
      <c r="J8091" s="222">
        <v>17635.72</v>
      </c>
      <c r="K8091" s="222">
        <v>202.8</v>
      </c>
      <c r="L8091" s="43">
        <v>6.4748073518491402</v>
      </c>
      <c r="M8091" s="43">
        <v>11.500492195190549</v>
      </c>
      <c r="N8091" s="43">
        <v>5.4624443246792671</v>
      </c>
      <c r="O8091" s="43">
        <v>8.7113402061855663</v>
      </c>
      <c r="P8091" s="223"/>
      <c r="Q8091" s="223"/>
      <c r="R8091" s="223">
        <v>1</v>
      </c>
    </row>
    <row r="8092" spans="1:18" ht="60">
      <c r="A8092" s="219">
        <v>948</v>
      </c>
      <c r="B8092" s="216" t="s">
        <v>14902</v>
      </c>
      <c r="C8092" s="220" t="s">
        <v>14903</v>
      </c>
      <c r="D8092" s="221">
        <v>3936.76</v>
      </c>
      <c r="E8092" s="221">
        <v>666.42</v>
      </c>
      <c r="F8092" s="221">
        <v>3240.51</v>
      </c>
      <c r="G8092" s="221">
        <v>29.83</v>
      </c>
      <c r="H8092" s="222">
        <v>25601.89</v>
      </c>
      <c r="I8092" s="222">
        <v>7664.12</v>
      </c>
      <c r="J8092" s="222">
        <v>17696.900000000001</v>
      </c>
      <c r="K8092" s="222">
        <v>240.87</v>
      </c>
      <c r="L8092" s="43">
        <v>6.5032895071073673</v>
      </c>
      <c r="M8092" s="43">
        <v>11.500435161009575</v>
      </c>
      <c r="N8092" s="43">
        <v>5.4611465479199266</v>
      </c>
      <c r="O8092" s="43">
        <v>8.0747569560844799</v>
      </c>
      <c r="P8092" s="223"/>
      <c r="Q8092" s="223"/>
      <c r="R8092" s="223">
        <v>1</v>
      </c>
    </row>
    <row r="8093" spans="1:18" ht="60">
      <c r="A8093" s="219">
        <v>949</v>
      </c>
      <c r="B8093" s="216" t="s">
        <v>14904</v>
      </c>
      <c r="C8093" s="220" t="s">
        <v>14905</v>
      </c>
      <c r="D8093" s="221">
        <v>3960.88</v>
      </c>
      <c r="E8093" s="221">
        <v>666.42</v>
      </c>
      <c r="F8093" s="221">
        <v>3261.51</v>
      </c>
      <c r="G8093" s="221">
        <v>32.950000000000003</v>
      </c>
      <c r="H8093" s="222">
        <v>25728.68</v>
      </c>
      <c r="I8093" s="222">
        <v>7664.12</v>
      </c>
      <c r="J8093" s="222">
        <v>17807.27</v>
      </c>
      <c r="K8093" s="222">
        <v>257.29000000000002</v>
      </c>
      <c r="L8093" s="43">
        <v>6.4956979257134781</v>
      </c>
      <c r="M8093" s="43">
        <v>11.500435161009575</v>
      </c>
      <c r="N8093" s="43">
        <v>5.459823823934312</v>
      </c>
      <c r="O8093" s="43">
        <v>7.8084977238239759</v>
      </c>
      <c r="P8093" s="223"/>
      <c r="Q8093" s="223"/>
      <c r="R8093" s="223">
        <v>1</v>
      </c>
    </row>
    <row r="8094" spans="1:18" ht="60">
      <c r="A8094" s="219">
        <v>950</v>
      </c>
      <c r="B8094" s="216" t="s">
        <v>14906</v>
      </c>
      <c r="C8094" s="220" t="s">
        <v>14907</v>
      </c>
      <c r="D8094" s="221">
        <v>4455.96</v>
      </c>
      <c r="E8094" s="221">
        <v>668.72</v>
      </c>
      <c r="F8094" s="221">
        <v>3742.21</v>
      </c>
      <c r="G8094" s="221">
        <v>45.03</v>
      </c>
      <c r="H8094" s="222">
        <v>28478.27</v>
      </c>
      <c r="I8094" s="222">
        <v>7690.55</v>
      </c>
      <c r="J8094" s="222">
        <v>20466.080000000002</v>
      </c>
      <c r="K8094" s="222">
        <v>321.64</v>
      </c>
      <c r="L8094" s="43">
        <v>6.3910515354715933</v>
      </c>
      <c r="M8094" s="43">
        <v>11.500403756430195</v>
      </c>
      <c r="N8094" s="43">
        <v>5.4689822324241559</v>
      </c>
      <c r="O8094" s="43">
        <v>7.142793693093493</v>
      </c>
      <c r="P8094" s="223"/>
      <c r="Q8094" s="223"/>
      <c r="R8094" s="223">
        <v>1</v>
      </c>
    </row>
    <row r="8095" spans="1:18" ht="60">
      <c r="A8095" s="219">
        <v>951</v>
      </c>
      <c r="B8095" s="216" t="s">
        <v>14908</v>
      </c>
      <c r="C8095" s="220" t="s">
        <v>14909</v>
      </c>
      <c r="D8095" s="221">
        <v>4670.08</v>
      </c>
      <c r="E8095" s="221">
        <v>685.95</v>
      </c>
      <c r="F8095" s="221">
        <v>3927.64</v>
      </c>
      <c r="G8095" s="221">
        <v>56.49</v>
      </c>
      <c r="H8095" s="222">
        <v>29733.69</v>
      </c>
      <c r="I8095" s="222">
        <v>7888.76</v>
      </c>
      <c r="J8095" s="222">
        <v>21460.44</v>
      </c>
      <c r="K8095" s="222">
        <v>384.49</v>
      </c>
      <c r="L8095" s="43">
        <v>6.3668481053857748</v>
      </c>
      <c r="M8095" s="43">
        <v>11.500488373788176</v>
      </c>
      <c r="N8095" s="43">
        <v>5.4639529081076672</v>
      </c>
      <c r="O8095" s="43">
        <v>6.8063374048504155</v>
      </c>
      <c r="P8095" s="223"/>
      <c r="Q8095" s="223"/>
      <c r="R8095" s="223">
        <v>1</v>
      </c>
    </row>
    <row r="8096" spans="1:18" ht="60">
      <c r="A8096" s="219">
        <v>952</v>
      </c>
      <c r="B8096" s="216" t="s">
        <v>14910</v>
      </c>
      <c r="C8096" s="220" t="s">
        <v>14911</v>
      </c>
      <c r="D8096" s="221">
        <v>5656.57</v>
      </c>
      <c r="E8096" s="221">
        <v>896.22</v>
      </c>
      <c r="F8096" s="221">
        <v>4643.3599999999997</v>
      </c>
      <c r="G8096" s="221">
        <v>116.99</v>
      </c>
      <c r="H8096" s="222">
        <v>36325.800000000003</v>
      </c>
      <c r="I8096" s="222">
        <v>10306.92</v>
      </c>
      <c r="J8096" s="222">
        <v>25287.18</v>
      </c>
      <c r="K8096" s="222">
        <v>731.7</v>
      </c>
      <c r="L8096" s="43">
        <v>6.4218775689154386</v>
      </c>
      <c r="M8096" s="43">
        <v>11.500435161009573</v>
      </c>
      <c r="N8096" s="43">
        <v>5.4458797077978023</v>
      </c>
      <c r="O8096" s="43">
        <v>6.2543807163005392</v>
      </c>
      <c r="P8096" s="223"/>
      <c r="Q8096" s="223"/>
      <c r="R8096" s="223">
        <v>1</v>
      </c>
    </row>
    <row r="8097" spans="1:18" ht="60">
      <c r="A8097" s="219">
        <v>953</v>
      </c>
      <c r="B8097" s="216" t="s">
        <v>14912</v>
      </c>
      <c r="C8097" s="220" t="s">
        <v>14913</v>
      </c>
      <c r="D8097" s="221">
        <v>6440.82</v>
      </c>
      <c r="E8097" s="221">
        <v>1160.49</v>
      </c>
      <c r="F8097" s="221">
        <v>5038.79</v>
      </c>
      <c r="G8097" s="221">
        <v>241.54</v>
      </c>
      <c r="H8097" s="222">
        <v>42160.88</v>
      </c>
      <c r="I8097" s="222">
        <v>13346.14</v>
      </c>
      <c r="J8097" s="222">
        <v>27387.9</v>
      </c>
      <c r="K8097" s="222">
        <v>1426.84</v>
      </c>
      <c r="L8097" s="43">
        <v>6.5458870143863672</v>
      </c>
      <c r="M8097" s="43">
        <v>11.500435161009573</v>
      </c>
      <c r="N8097" s="43">
        <v>5.4354120731366065</v>
      </c>
      <c r="O8097" s="43">
        <v>5.9072617371863876</v>
      </c>
      <c r="P8097" s="223"/>
      <c r="Q8097" s="223"/>
      <c r="R8097" s="223">
        <v>1</v>
      </c>
    </row>
    <row r="8098" spans="1:18" ht="60">
      <c r="A8098" s="219">
        <v>954</v>
      </c>
      <c r="B8098" s="216" t="s">
        <v>14914</v>
      </c>
      <c r="C8098" s="220" t="s">
        <v>14915</v>
      </c>
      <c r="D8098" s="221">
        <v>7583.56</v>
      </c>
      <c r="E8098" s="221">
        <v>1620.09</v>
      </c>
      <c r="F8098" s="221">
        <v>5609.44</v>
      </c>
      <c r="G8098" s="221">
        <v>354.03</v>
      </c>
      <c r="H8098" s="222">
        <v>51136.45</v>
      </c>
      <c r="I8098" s="222">
        <v>18631.740000000002</v>
      </c>
      <c r="J8098" s="222">
        <v>30423.21</v>
      </c>
      <c r="K8098" s="222">
        <v>2081.5</v>
      </c>
      <c r="L8098" s="43">
        <v>6.7430665808670325</v>
      </c>
      <c r="M8098" s="43">
        <v>11.500435161009575</v>
      </c>
      <c r="N8098" s="43">
        <v>5.4235734761402208</v>
      </c>
      <c r="O8098" s="43">
        <v>5.8794452447532697</v>
      </c>
      <c r="P8098" s="223"/>
      <c r="Q8098" s="223"/>
      <c r="R8098" s="223">
        <v>1</v>
      </c>
    </row>
    <row r="8099" spans="1:18" ht="60">
      <c r="A8099" s="219">
        <v>955</v>
      </c>
      <c r="B8099" s="216" t="s">
        <v>14916</v>
      </c>
      <c r="C8099" s="220" t="s">
        <v>14917</v>
      </c>
      <c r="D8099" s="221">
        <v>8592.39</v>
      </c>
      <c r="E8099" s="221">
        <v>1780.95</v>
      </c>
      <c r="F8099" s="221">
        <v>6339.36</v>
      </c>
      <c r="G8099" s="221">
        <v>472.08</v>
      </c>
      <c r="H8099" s="222">
        <v>57528.44</v>
      </c>
      <c r="I8099" s="222">
        <v>20481.7</v>
      </c>
      <c r="J8099" s="222">
        <v>34316.22</v>
      </c>
      <c r="K8099" s="222">
        <v>2730.52</v>
      </c>
      <c r="L8099" s="43">
        <v>6.6952780309087467</v>
      </c>
      <c r="M8099" s="43">
        <v>11.500435161009573</v>
      </c>
      <c r="N8099" s="43">
        <v>5.4131994396910734</v>
      </c>
      <c r="O8099" s="43">
        <v>5.7840196576851381</v>
      </c>
      <c r="P8099" s="223"/>
      <c r="Q8099" s="223"/>
      <c r="R8099" s="223">
        <v>1</v>
      </c>
    </row>
    <row r="8100" spans="1:18" ht="60">
      <c r="A8100" s="219">
        <v>956</v>
      </c>
      <c r="B8100" s="216" t="s">
        <v>14918</v>
      </c>
      <c r="C8100" s="220" t="s">
        <v>14919</v>
      </c>
      <c r="D8100" s="221">
        <v>9922.17</v>
      </c>
      <c r="E8100" s="221">
        <v>2056.71</v>
      </c>
      <c r="F8100" s="221">
        <v>7306.73</v>
      </c>
      <c r="G8100" s="221">
        <v>558.73</v>
      </c>
      <c r="H8100" s="222">
        <v>66330.59</v>
      </c>
      <c r="I8100" s="222">
        <v>23653.06</v>
      </c>
      <c r="J8100" s="222">
        <v>39454.76</v>
      </c>
      <c r="K8100" s="222">
        <v>3222.77</v>
      </c>
      <c r="L8100" s="43">
        <v>6.6850890480610587</v>
      </c>
      <c r="M8100" s="43">
        <v>11.500435161009573</v>
      </c>
      <c r="N8100" s="43">
        <v>5.3997834872781674</v>
      </c>
      <c r="O8100" s="43">
        <v>5.7680274909169009</v>
      </c>
      <c r="P8100" s="223"/>
      <c r="Q8100" s="223"/>
      <c r="R8100" s="223">
        <v>1</v>
      </c>
    </row>
    <row r="8101" spans="1:18" ht="60">
      <c r="A8101" s="219">
        <v>957</v>
      </c>
      <c r="B8101" s="216" t="s">
        <v>14920</v>
      </c>
      <c r="C8101" s="220" t="s">
        <v>14921</v>
      </c>
      <c r="D8101" s="221">
        <v>10717.61</v>
      </c>
      <c r="E8101" s="221">
        <v>2309.4899999999998</v>
      </c>
      <c r="F8101" s="221">
        <v>7767.99</v>
      </c>
      <c r="G8101" s="221">
        <v>640.13</v>
      </c>
      <c r="H8101" s="222">
        <v>72235.759999999995</v>
      </c>
      <c r="I8101" s="222">
        <v>26560.14</v>
      </c>
      <c r="J8101" s="222">
        <v>41992.69</v>
      </c>
      <c r="K8101" s="222">
        <v>3682.93</v>
      </c>
      <c r="L8101" s="43">
        <v>6.7399130962966547</v>
      </c>
      <c r="M8101" s="43">
        <v>11.500435161009575</v>
      </c>
      <c r="N8101" s="43">
        <v>5.4058630353540629</v>
      </c>
      <c r="O8101" s="43">
        <v>5.7534094637026856</v>
      </c>
      <c r="P8101" s="223"/>
      <c r="Q8101" s="223"/>
      <c r="R8101" s="223">
        <v>1</v>
      </c>
    </row>
    <row r="8102" spans="1:18" ht="12.75" customHeight="1">
      <c r="A8102" s="628" t="s">
        <v>14922</v>
      </c>
      <c r="B8102" s="629"/>
      <c r="C8102" s="629"/>
      <c r="D8102" s="629"/>
      <c r="E8102" s="629"/>
      <c r="F8102" s="629"/>
      <c r="G8102" s="629"/>
      <c r="H8102" s="629"/>
      <c r="I8102" s="629"/>
      <c r="J8102" s="629"/>
      <c r="K8102" s="629"/>
      <c r="L8102" s="629"/>
      <c r="M8102" s="629"/>
      <c r="N8102" s="629"/>
      <c r="O8102" s="629"/>
      <c r="P8102" s="629"/>
      <c r="Q8102" s="629"/>
      <c r="R8102" s="629"/>
    </row>
    <row r="8103" spans="1:18" ht="60">
      <c r="A8103" s="219">
        <v>958</v>
      </c>
      <c r="B8103" s="216" t="s">
        <v>14923</v>
      </c>
      <c r="C8103" s="220" t="s">
        <v>14924</v>
      </c>
      <c r="D8103" s="221">
        <v>3547.17</v>
      </c>
      <c r="E8103" s="221">
        <v>651.48</v>
      </c>
      <c r="F8103" s="221">
        <v>2876.83</v>
      </c>
      <c r="G8103" s="221">
        <v>18.86</v>
      </c>
      <c r="H8103" s="222">
        <v>23368.39</v>
      </c>
      <c r="I8103" s="222">
        <v>7492.34</v>
      </c>
      <c r="J8103" s="222">
        <v>15695.21</v>
      </c>
      <c r="K8103" s="222">
        <v>180.84</v>
      </c>
      <c r="L8103" s="43">
        <v>6.5878968304310197</v>
      </c>
      <c r="M8103" s="43">
        <v>11.500491189292074</v>
      </c>
      <c r="N8103" s="43">
        <v>5.4557307870120928</v>
      </c>
      <c r="O8103" s="43">
        <v>9.5885471898197245</v>
      </c>
      <c r="P8103" s="223"/>
      <c r="Q8103" s="223"/>
      <c r="R8103" s="223">
        <v>2</v>
      </c>
    </row>
    <row r="8104" spans="1:18" ht="60">
      <c r="A8104" s="219">
        <v>959</v>
      </c>
      <c r="B8104" s="216" t="s">
        <v>14925</v>
      </c>
      <c r="C8104" s="220" t="s">
        <v>14926</v>
      </c>
      <c r="D8104" s="221">
        <v>3584.04</v>
      </c>
      <c r="E8104" s="221">
        <v>651.48</v>
      </c>
      <c r="F8104" s="221">
        <v>2911.89</v>
      </c>
      <c r="G8104" s="221">
        <v>20.67</v>
      </c>
      <c r="H8104" s="222">
        <v>23565.200000000001</v>
      </c>
      <c r="I8104" s="222">
        <v>7492.34</v>
      </c>
      <c r="J8104" s="222">
        <v>15882.43</v>
      </c>
      <c r="K8104" s="222">
        <v>190.43</v>
      </c>
      <c r="L8104" s="43">
        <v>6.5750382250198101</v>
      </c>
      <c r="M8104" s="43">
        <v>11.500491189292074</v>
      </c>
      <c r="N8104" s="43">
        <v>5.4543372174086251</v>
      </c>
      <c r="O8104" s="43">
        <v>9.2128688921141748</v>
      </c>
      <c r="P8104" s="223"/>
      <c r="Q8104" s="223"/>
      <c r="R8104" s="223">
        <v>2</v>
      </c>
    </row>
    <row r="8105" spans="1:18" ht="60">
      <c r="A8105" s="219">
        <v>960</v>
      </c>
      <c r="B8105" s="216" t="s">
        <v>14927</v>
      </c>
      <c r="C8105" s="220" t="s">
        <v>14928</v>
      </c>
      <c r="D8105" s="221">
        <v>4216.6499999999996</v>
      </c>
      <c r="E8105" s="221">
        <v>753.74</v>
      </c>
      <c r="F8105" s="221">
        <v>3433.48</v>
      </c>
      <c r="G8105" s="221">
        <v>29.43</v>
      </c>
      <c r="H8105" s="222">
        <v>27652.66</v>
      </c>
      <c r="I8105" s="222">
        <v>8668.3799999999992</v>
      </c>
      <c r="J8105" s="222">
        <v>18734.72</v>
      </c>
      <c r="K8105" s="222">
        <v>249.56</v>
      </c>
      <c r="L8105" s="43">
        <v>6.5579690038300553</v>
      </c>
      <c r="M8105" s="43">
        <v>11.500490885451216</v>
      </c>
      <c r="N8105" s="43">
        <v>5.456481470694456</v>
      </c>
      <c r="O8105" s="43">
        <v>8.4797825348284057</v>
      </c>
      <c r="P8105" s="223"/>
      <c r="Q8105" s="223"/>
      <c r="R8105" s="223">
        <v>2</v>
      </c>
    </row>
    <row r="8106" spans="1:18" ht="60">
      <c r="A8106" s="219">
        <v>961</v>
      </c>
      <c r="B8106" s="216" t="s">
        <v>14929</v>
      </c>
      <c r="C8106" s="220" t="s">
        <v>14930</v>
      </c>
      <c r="D8106" s="221">
        <v>4228.1400000000003</v>
      </c>
      <c r="E8106" s="221">
        <v>753.74</v>
      </c>
      <c r="F8106" s="221">
        <v>3440.96</v>
      </c>
      <c r="G8106" s="221">
        <v>33.44</v>
      </c>
      <c r="H8106" s="222">
        <v>27712.44</v>
      </c>
      <c r="I8106" s="222">
        <v>8668.3799999999992</v>
      </c>
      <c r="J8106" s="222">
        <v>18773.23</v>
      </c>
      <c r="K8106" s="222">
        <v>270.83</v>
      </c>
      <c r="L8106" s="43">
        <v>6.5542862819111942</v>
      </c>
      <c r="M8106" s="43">
        <v>11.500490885451216</v>
      </c>
      <c r="N8106" s="43">
        <v>5.4558117502092438</v>
      </c>
      <c r="O8106" s="43">
        <v>8.098983253588516</v>
      </c>
      <c r="P8106" s="223"/>
      <c r="Q8106" s="223"/>
      <c r="R8106" s="223">
        <v>2</v>
      </c>
    </row>
    <row r="8107" spans="1:18" ht="60">
      <c r="A8107" s="219">
        <v>962</v>
      </c>
      <c r="B8107" s="216" t="s">
        <v>14931</v>
      </c>
      <c r="C8107" s="220" t="s">
        <v>14932</v>
      </c>
      <c r="D8107" s="221">
        <v>4378.82</v>
      </c>
      <c r="E8107" s="221">
        <v>791.66</v>
      </c>
      <c r="F8107" s="221">
        <v>3541.66</v>
      </c>
      <c r="G8107" s="221">
        <v>45.5</v>
      </c>
      <c r="H8107" s="222">
        <v>28752.87</v>
      </c>
      <c r="I8107" s="222">
        <v>9104.4500000000007</v>
      </c>
      <c r="J8107" s="222">
        <v>19308.830000000002</v>
      </c>
      <c r="K8107" s="222">
        <v>339.59</v>
      </c>
      <c r="L8107" s="43">
        <v>6.5663512087731402</v>
      </c>
      <c r="M8107" s="43">
        <v>11.500454740671502</v>
      </c>
      <c r="N8107" s="43">
        <v>5.4519152036050897</v>
      </c>
      <c r="O8107" s="43">
        <v>7.4635164835164831</v>
      </c>
      <c r="P8107" s="223"/>
      <c r="Q8107" s="223"/>
      <c r="R8107" s="223">
        <v>2</v>
      </c>
    </row>
    <row r="8108" spans="1:18" ht="60">
      <c r="A8108" s="219">
        <v>963</v>
      </c>
      <c r="B8108" s="216" t="s">
        <v>14933</v>
      </c>
      <c r="C8108" s="220" t="s">
        <v>14934</v>
      </c>
      <c r="D8108" s="221">
        <v>5159.45</v>
      </c>
      <c r="E8108" s="221">
        <v>985.84</v>
      </c>
      <c r="F8108" s="221">
        <v>4109.3100000000004</v>
      </c>
      <c r="G8108" s="221">
        <v>64.3</v>
      </c>
      <c r="H8108" s="222">
        <v>34232.49</v>
      </c>
      <c r="I8108" s="222">
        <v>11337.61</v>
      </c>
      <c r="J8108" s="222">
        <v>22431.38</v>
      </c>
      <c r="K8108" s="222">
        <v>463.5</v>
      </c>
      <c r="L8108" s="43">
        <v>6.6349106978457009</v>
      </c>
      <c r="M8108" s="43">
        <v>11.500456463523493</v>
      </c>
      <c r="N8108" s="43">
        <v>5.4586731105708743</v>
      </c>
      <c r="O8108" s="43">
        <v>7.208398133748056</v>
      </c>
      <c r="P8108" s="223"/>
      <c r="Q8108" s="223"/>
      <c r="R8108" s="223">
        <v>2</v>
      </c>
    </row>
    <row r="8109" spans="1:18" ht="60">
      <c r="A8109" s="219">
        <v>964</v>
      </c>
      <c r="B8109" s="216" t="s">
        <v>14935</v>
      </c>
      <c r="C8109" s="220" t="s">
        <v>14936</v>
      </c>
      <c r="D8109" s="221">
        <v>5271.52</v>
      </c>
      <c r="E8109" s="221">
        <v>985.84</v>
      </c>
      <c r="F8109" s="221">
        <v>4207.3999999999996</v>
      </c>
      <c r="G8109" s="221">
        <v>78.28</v>
      </c>
      <c r="H8109" s="222">
        <v>34828.370000000003</v>
      </c>
      <c r="I8109" s="222">
        <v>11337.61</v>
      </c>
      <c r="J8109" s="222">
        <v>22953.119999999999</v>
      </c>
      <c r="K8109" s="222">
        <v>537.64</v>
      </c>
      <c r="L8109" s="43">
        <v>6.6068932679758401</v>
      </c>
      <c r="M8109" s="43">
        <v>11.500456463523493</v>
      </c>
      <c r="N8109" s="43">
        <v>5.4554166468602938</v>
      </c>
      <c r="O8109" s="43">
        <v>6.8681655595298921</v>
      </c>
      <c r="P8109" s="223"/>
      <c r="Q8109" s="223"/>
      <c r="R8109" s="223">
        <v>2</v>
      </c>
    </row>
    <row r="8110" spans="1:18" ht="60">
      <c r="A8110" s="219">
        <v>965</v>
      </c>
      <c r="B8110" s="216" t="s">
        <v>14937</v>
      </c>
      <c r="C8110" s="220" t="s">
        <v>14938</v>
      </c>
      <c r="D8110" s="221">
        <v>6701.23</v>
      </c>
      <c r="E8110" s="221">
        <v>1240.92</v>
      </c>
      <c r="F8110" s="221">
        <v>5290.49</v>
      </c>
      <c r="G8110" s="221">
        <v>169.82</v>
      </c>
      <c r="H8110" s="222">
        <v>44067.839999999997</v>
      </c>
      <c r="I8110" s="222">
        <v>14271.12</v>
      </c>
      <c r="J8110" s="222">
        <v>28740.880000000001</v>
      </c>
      <c r="K8110" s="222">
        <v>1055.8399999999999</v>
      </c>
      <c r="L8110" s="43">
        <v>6.5760823013088645</v>
      </c>
      <c r="M8110" s="43">
        <v>11.500435161009573</v>
      </c>
      <c r="N8110" s="43">
        <v>5.4325553965700726</v>
      </c>
      <c r="O8110" s="43">
        <v>6.217406665881521</v>
      </c>
      <c r="P8110" s="223"/>
      <c r="Q8110" s="223"/>
      <c r="R8110" s="223">
        <v>2</v>
      </c>
    </row>
    <row r="8111" spans="1:18" ht="60">
      <c r="A8111" s="219">
        <v>966</v>
      </c>
      <c r="B8111" s="216" t="s">
        <v>14939</v>
      </c>
      <c r="C8111" s="220" t="s">
        <v>14940</v>
      </c>
      <c r="D8111" s="221">
        <v>7796.52</v>
      </c>
      <c r="E8111" s="221">
        <v>1482.21</v>
      </c>
      <c r="F8111" s="221">
        <v>5973.03</v>
      </c>
      <c r="G8111" s="221">
        <v>341.28</v>
      </c>
      <c r="H8111" s="222">
        <v>51419.34</v>
      </c>
      <c r="I8111" s="222">
        <v>17046.060000000001</v>
      </c>
      <c r="J8111" s="222">
        <v>32375.27</v>
      </c>
      <c r="K8111" s="222">
        <v>1998.01</v>
      </c>
      <c r="L8111" s="43">
        <v>6.595165535392713</v>
      </c>
      <c r="M8111" s="43">
        <v>11.500435161009575</v>
      </c>
      <c r="N8111" s="43">
        <v>5.4202423225733005</v>
      </c>
      <c r="O8111" s="43">
        <v>5.8544596812001881</v>
      </c>
      <c r="P8111" s="223"/>
      <c r="Q8111" s="223"/>
      <c r="R8111" s="223">
        <v>2</v>
      </c>
    </row>
    <row r="8112" spans="1:18" ht="60">
      <c r="A8112" s="219">
        <v>967</v>
      </c>
      <c r="B8112" s="216" t="s">
        <v>14941</v>
      </c>
      <c r="C8112" s="220" t="s">
        <v>14942</v>
      </c>
      <c r="D8112" s="221">
        <v>8715.5300000000007</v>
      </c>
      <c r="E8112" s="221">
        <v>1677.54</v>
      </c>
      <c r="F8112" s="221">
        <v>6596.69</v>
      </c>
      <c r="G8112" s="221">
        <v>441.3</v>
      </c>
      <c r="H8112" s="222">
        <v>57545.2</v>
      </c>
      <c r="I8112" s="222">
        <v>19292.439999999999</v>
      </c>
      <c r="J8112" s="222">
        <v>35699.040000000001</v>
      </c>
      <c r="K8112" s="222">
        <v>2553.7199999999998</v>
      </c>
      <c r="L8112" s="43">
        <v>6.6026047756131865</v>
      </c>
      <c r="M8112" s="43">
        <v>11.500435161009573</v>
      </c>
      <c r="N8112" s="43">
        <v>5.4116594837714072</v>
      </c>
      <c r="O8112" s="43">
        <v>5.7868116927260358</v>
      </c>
      <c r="P8112" s="223"/>
      <c r="Q8112" s="223"/>
      <c r="R8112" s="223">
        <v>2</v>
      </c>
    </row>
    <row r="8113" spans="1:18" ht="60">
      <c r="A8113" s="219">
        <v>968</v>
      </c>
      <c r="B8113" s="216" t="s">
        <v>14943</v>
      </c>
      <c r="C8113" s="220" t="s">
        <v>14944</v>
      </c>
      <c r="D8113" s="221">
        <v>9714.4599999999991</v>
      </c>
      <c r="E8113" s="221">
        <v>1872.87</v>
      </c>
      <c r="F8113" s="221">
        <v>7181.05</v>
      </c>
      <c r="G8113" s="221">
        <v>660.54</v>
      </c>
      <c r="H8113" s="222">
        <v>64067.67</v>
      </c>
      <c r="I8113" s="222">
        <v>21538.82</v>
      </c>
      <c r="J8113" s="222">
        <v>38782.699999999997</v>
      </c>
      <c r="K8113" s="222">
        <v>3746.15</v>
      </c>
      <c r="L8113" s="43">
        <v>6.5950829999814715</v>
      </c>
      <c r="M8113" s="43">
        <v>11.500435161009573</v>
      </c>
      <c r="N8113" s="43">
        <v>5.4007004546688853</v>
      </c>
      <c r="O8113" s="43">
        <v>5.6713446574015203</v>
      </c>
      <c r="P8113" s="223"/>
      <c r="Q8113" s="223"/>
      <c r="R8113" s="223">
        <v>2</v>
      </c>
    </row>
    <row r="8114" spans="1:18" ht="60">
      <c r="A8114" s="219">
        <v>969</v>
      </c>
      <c r="B8114" s="216" t="s">
        <v>14945</v>
      </c>
      <c r="C8114" s="220" t="s">
        <v>14946</v>
      </c>
      <c r="D8114" s="221">
        <v>10281.94</v>
      </c>
      <c r="E8114" s="221">
        <v>2102.67</v>
      </c>
      <c r="F8114" s="221">
        <v>7476.08</v>
      </c>
      <c r="G8114" s="221">
        <v>703.19</v>
      </c>
      <c r="H8114" s="222">
        <v>68532.679999999993</v>
      </c>
      <c r="I8114" s="222">
        <v>24181.62</v>
      </c>
      <c r="J8114" s="222">
        <v>40352.74</v>
      </c>
      <c r="K8114" s="222">
        <v>3998.32</v>
      </c>
      <c r="L8114" s="43">
        <v>6.6653452558563844</v>
      </c>
      <c r="M8114" s="43">
        <v>11.500435161009573</v>
      </c>
      <c r="N8114" s="43">
        <v>5.3975800151951292</v>
      </c>
      <c r="O8114" s="43">
        <v>5.6859739188555007</v>
      </c>
      <c r="P8114" s="223"/>
      <c r="Q8114" s="223"/>
      <c r="R8114" s="223">
        <v>2</v>
      </c>
    </row>
    <row r="8115" spans="1:18" ht="60">
      <c r="A8115" s="219">
        <v>970</v>
      </c>
      <c r="B8115" s="216" t="s">
        <v>14947</v>
      </c>
      <c r="C8115" s="220" t="s">
        <v>14948</v>
      </c>
      <c r="D8115" s="221">
        <v>11263.68</v>
      </c>
      <c r="E8115" s="221">
        <v>2412.9</v>
      </c>
      <c r="F8115" s="221">
        <v>8093.74</v>
      </c>
      <c r="G8115" s="221">
        <v>757.04</v>
      </c>
      <c r="H8115" s="222">
        <v>75800.14</v>
      </c>
      <c r="I8115" s="222">
        <v>27749.4</v>
      </c>
      <c r="J8115" s="222">
        <v>43732.03</v>
      </c>
      <c r="K8115" s="222">
        <v>4318.71</v>
      </c>
      <c r="L8115" s="43">
        <v>6.7296070200857976</v>
      </c>
      <c r="M8115" s="43">
        <v>11.500435161009573</v>
      </c>
      <c r="N8115" s="43">
        <v>5.4031918495034432</v>
      </c>
      <c r="O8115" s="43">
        <v>5.7047315861777452</v>
      </c>
      <c r="P8115" s="223"/>
      <c r="Q8115" s="223"/>
      <c r="R8115" s="223">
        <v>2</v>
      </c>
    </row>
    <row r="8116" spans="1:18" ht="12.75" customHeight="1">
      <c r="A8116" s="628" t="s">
        <v>14949</v>
      </c>
      <c r="B8116" s="629"/>
      <c r="C8116" s="629"/>
      <c r="D8116" s="629"/>
      <c r="E8116" s="629"/>
      <c r="F8116" s="629"/>
      <c r="G8116" s="629"/>
      <c r="H8116" s="629"/>
      <c r="I8116" s="629"/>
      <c r="J8116" s="629"/>
      <c r="K8116" s="629"/>
      <c r="L8116" s="629"/>
      <c r="M8116" s="629"/>
      <c r="N8116" s="629"/>
      <c r="O8116" s="629"/>
      <c r="P8116" s="629"/>
      <c r="Q8116" s="629"/>
      <c r="R8116" s="629"/>
    </row>
    <row r="8117" spans="1:18" ht="60">
      <c r="A8117" s="219">
        <v>971</v>
      </c>
      <c r="B8117" s="216" t="s">
        <v>14950</v>
      </c>
      <c r="C8117" s="220" t="s">
        <v>14951</v>
      </c>
      <c r="D8117" s="221">
        <v>3786.18</v>
      </c>
      <c r="E8117" s="221">
        <v>700.89</v>
      </c>
      <c r="F8117" s="221">
        <v>3064.43</v>
      </c>
      <c r="G8117" s="221">
        <v>20.86</v>
      </c>
      <c r="H8117" s="222">
        <v>24960.27</v>
      </c>
      <c r="I8117" s="222">
        <v>8060.54</v>
      </c>
      <c r="J8117" s="222">
        <v>16702.16</v>
      </c>
      <c r="K8117" s="222">
        <v>197.57</v>
      </c>
      <c r="L8117" s="43">
        <v>6.5924678699903341</v>
      </c>
      <c r="M8117" s="43">
        <v>11.500435161009573</v>
      </c>
      <c r="N8117" s="43">
        <v>5.4503317093227777</v>
      </c>
      <c r="O8117" s="43">
        <v>9.4712368168744003</v>
      </c>
      <c r="P8117" s="223"/>
      <c r="Q8117" s="223"/>
      <c r="R8117" s="223">
        <v>3</v>
      </c>
    </row>
    <row r="8118" spans="1:18" ht="60">
      <c r="A8118" s="219">
        <v>972</v>
      </c>
      <c r="B8118" s="216" t="s">
        <v>14952</v>
      </c>
      <c r="C8118" s="220" t="s">
        <v>14953</v>
      </c>
      <c r="D8118" s="221">
        <v>3836.23</v>
      </c>
      <c r="E8118" s="221">
        <v>713.53</v>
      </c>
      <c r="F8118" s="221">
        <v>3099.49</v>
      </c>
      <c r="G8118" s="221">
        <v>23.21</v>
      </c>
      <c r="H8118" s="222">
        <v>25306.83</v>
      </c>
      <c r="I8118" s="222">
        <v>8205.89</v>
      </c>
      <c r="J8118" s="222">
        <v>16889.37</v>
      </c>
      <c r="K8118" s="222">
        <v>211.57</v>
      </c>
      <c r="L8118" s="43">
        <v>6.5967968552459055</v>
      </c>
      <c r="M8118" s="43">
        <v>11.500413437416787</v>
      </c>
      <c r="N8118" s="43">
        <v>5.4490803325708423</v>
      </c>
      <c r="O8118" s="43">
        <v>9.1154674709177073</v>
      </c>
      <c r="P8118" s="223"/>
      <c r="Q8118" s="223"/>
      <c r="R8118" s="223">
        <v>3</v>
      </c>
    </row>
    <row r="8119" spans="1:18" ht="60">
      <c r="A8119" s="219">
        <v>973</v>
      </c>
      <c r="B8119" s="216" t="s">
        <v>14954</v>
      </c>
      <c r="C8119" s="220" t="s">
        <v>14955</v>
      </c>
      <c r="D8119" s="221">
        <v>4765.13</v>
      </c>
      <c r="E8119" s="221">
        <v>878.99</v>
      </c>
      <c r="F8119" s="221">
        <v>3852.48</v>
      </c>
      <c r="G8119" s="221">
        <v>33.659999999999997</v>
      </c>
      <c r="H8119" s="222">
        <v>31381.96</v>
      </c>
      <c r="I8119" s="222">
        <v>10108.709999999999</v>
      </c>
      <c r="J8119" s="222">
        <v>20985.65</v>
      </c>
      <c r="K8119" s="222">
        <v>287.60000000000002</v>
      </c>
      <c r="L8119" s="43">
        <v>6.5857510707997466</v>
      </c>
      <c r="M8119" s="43">
        <v>11.50036974254542</v>
      </c>
      <c r="N8119" s="43">
        <v>5.4473092657197446</v>
      </c>
      <c r="O8119" s="43">
        <v>8.5442661913250166</v>
      </c>
      <c r="P8119" s="223"/>
      <c r="Q8119" s="223"/>
      <c r="R8119" s="223">
        <v>3</v>
      </c>
    </row>
    <row r="8120" spans="1:18" ht="60">
      <c r="A8120" s="219">
        <v>974</v>
      </c>
      <c r="B8120" s="216" t="s">
        <v>14956</v>
      </c>
      <c r="C8120" s="220" t="s">
        <v>14957</v>
      </c>
      <c r="D8120" s="221">
        <v>4776.54</v>
      </c>
      <c r="E8120" s="221">
        <v>878.99</v>
      </c>
      <c r="F8120" s="221">
        <v>3858.73</v>
      </c>
      <c r="G8120" s="221">
        <v>38.82</v>
      </c>
      <c r="H8120" s="222">
        <v>31440.25</v>
      </c>
      <c r="I8120" s="222">
        <v>10108.709999999999</v>
      </c>
      <c r="J8120" s="222">
        <v>21016.55</v>
      </c>
      <c r="K8120" s="222">
        <v>314.99</v>
      </c>
      <c r="L8120" s="43">
        <v>6.5822226967637665</v>
      </c>
      <c r="M8120" s="43">
        <v>11.50036974254542</v>
      </c>
      <c r="N8120" s="43">
        <v>5.4464940537430708</v>
      </c>
      <c r="O8120" s="43">
        <v>8.1141164348274089</v>
      </c>
      <c r="P8120" s="223"/>
      <c r="Q8120" s="223"/>
      <c r="R8120" s="223">
        <v>3</v>
      </c>
    </row>
    <row r="8121" spans="1:18" ht="60">
      <c r="A8121" s="219">
        <v>975</v>
      </c>
      <c r="B8121" s="216" t="s">
        <v>14958</v>
      </c>
      <c r="C8121" s="220" t="s">
        <v>14959</v>
      </c>
      <c r="D8121" s="221">
        <v>5204.29</v>
      </c>
      <c r="E8121" s="221">
        <v>992.74</v>
      </c>
      <c r="F8121" s="221">
        <v>4151.99</v>
      </c>
      <c r="G8121" s="221">
        <v>59.56</v>
      </c>
      <c r="H8121" s="222">
        <v>34436.9</v>
      </c>
      <c r="I8121" s="222">
        <v>11416.9</v>
      </c>
      <c r="J8121" s="222">
        <v>22580.639999999999</v>
      </c>
      <c r="K8121" s="222">
        <v>439.36</v>
      </c>
      <c r="L8121" s="43">
        <v>6.6170217263065663</v>
      </c>
      <c r="M8121" s="43">
        <v>11.500392852106291</v>
      </c>
      <c r="N8121" s="43">
        <v>5.4385102083579202</v>
      </c>
      <c r="O8121" s="43">
        <v>7.3767629281396907</v>
      </c>
      <c r="P8121" s="223"/>
      <c r="Q8121" s="223"/>
      <c r="R8121" s="223">
        <v>3</v>
      </c>
    </row>
    <row r="8122" spans="1:18" ht="60">
      <c r="A8122" s="219">
        <v>976</v>
      </c>
      <c r="B8122" s="216" t="s">
        <v>14960</v>
      </c>
      <c r="C8122" s="220" t="s">
        <v>14961</v>
      </c>
      <c r="D8122" s="221">
        <v>6340.05</v>
      </c>
      <c r="E8122" s="221">
        <v>1206.45</v>
      </c>
      <c r="F8122" s="221">
        <v>5056.2700000000004</v>
      </c>
      <c r="G8122" s="221">
        <v>77.33</v>
      </c>
      <c r="H8122" s="222">
        <v>41948.35</v>
      </c>
      <c r="I8122" s="222">
        <v>13874.7</v>
      </c>
      <c r="J8122" s="222">
        <v>27513.53</v>
      </c>
      <c r="K8122" s="222">
        <v>560.12</v>
      </c>
      <c r="L8122" s="43">
        <v>6.6164068106718394</v>
      </c>
      <c r="M8122" s="43">
        <v>11.500435161009573</v>
      </c>
      <c r="N8122" s="43">
        <v>5.4414677222537557</v>
      </c>
      <c r="O8122" s="43">
        <v>7.2432432432432439</v>
      </c>
      <c r="P8122" s="223"/>
      <c r="Q8122" s="223"/>
      <c r="R8122" s="223">
        <v>3</v>
      </c>
    </row>
    <row r="8123" spans="1:18" ht="60">
      <c r="A8123" s="219">
        <v>977</v>
      </c>
      <c r="B8123" s="216" t="s">
        <v>14962</v>
      </c>
      <c r="C8123" s="220" t="s">
        <v>14963</v>
      </c>
      <c r="D8123" s="221">
        <v>6570.83</v>
      </c>
      <c r="E8123" s="221">
        <v>1217.94</v>
      </c>
      <c r="F8123" s="221">
        <v>5247</v>
      </c>
      <c r="G8123" s="221">
        <v>105.89</v>
      </c>
      <c r="H8123" s="222">
        <v>43246.12</v>
      </c>
      <c r="I8123" s="222">
        <v>14006.84</v>
      </c>
      <c r="J8123" s="222">
        <v>28525.88</v>
      </c>
      <c r="K8123" s="222">
        <v>713.4</v>
      </c>
      <c r="L8123" s="43">
        <v>6.581530795957284</v>
      </c>
      <c r="M8123" s="43">
        <v>11.500435161009573</v>
      </c>
      <c r="N8123" s="43">
        <v>5.436607585286831</v>
      </c>
      <c r="O8123" s="43">
        <v>6.7371800925488712</v>
      </c>
      <c r="P8123" s="223"/>
      <c r="Q8123" s="223"/>
      <c r="R8123" s="223">
        <v>3</v>
      </c>
    </row>
    <row r="8124" spans="1:18" ht="60">
      <c r="A8124" s="219">
        <v>978</v>
      </c>
      <c r="B8124" s="216" t="s">
        <v>14964</v>
      </c>
      <c r="C8124" s="220" t="s">
        <v>14965</v>
      </c>
      <c r="D8124" s="221">
        <v>7472.68</v>
      </c>
      <c r="E8124" s="221">
        <v>1424.76</v>
      </c>
      <c r="F8124" s="221">
        <v>5835.66</v>
      </c>
      <c r="G8124" s="221">
        <v>212.26</v>
      </c>
      <c r="H8124" s="222">
        <v>49342.27</v>
      </c>
      <c r="I8124" s="222">
        <v>16385.36</v>
      </c>
      <c r="J8124" s="222">
        <v>31652.21</v>
      </c>
      <c r="K8124" s="222">
        <v>1304.7</v>
      </c>
      <c r="L8124" s="43">
        <v>6.6030219412580218</v>
      </c>
      <c r="M8124" s="43">
        <v>11.500435161009573</v>
      </c>
      <c r="N8124" s="43">
        <v>5.4239297697261319</v>
      </c>
      <c r="O8124" s="43">
        <v>6.1467068689343263</v>
      </c>
      <c r="P8124" s="223"/>
      <c r="Q8124" s="223"/>
      <c r="R8124" s="223">
        <v>3</v>
      </c>
    </row>
    <row r="8125" spans="1:18" ht="60">
      <c r="A8125" s="219">
        <v>979</v>
      </c>
      <c r="B8125" s="216" t="s">
        <v>14966</v>
      </c>
      <c r="C8125" s="220" t="s">
        <v>14967</v>
      </c>
      <c r="D8125" s="221">
        <v>8965.1299999999992</v>
      </c>
      <c r="E8125" s="221">
        <v>1884.36</v>
      </c>
      <c r="F8125" s="221">
        <v>6616.6</v>
      </c>
      <c r="G8125" s="221">
        <v>464.17</v>
      </c>
      <c r="H8125" s="222">
        <v>60171.42</v>
      </c>
      <c r="I8125" s="222">
        <v>21670.959999999999</v>
      </c>
      <c r="J8125" s="222">
        <v>35797.879999999997</v>
      </c>
      <c r="K8125" s="222">
        <v>2702.58</v>
      </c>
      <c r="L8125" s="43">
        <v>6.7117175099524493</v>
      </c>
      <c r="M8125" s="43">
        <v>11.500435161009573</v>
      </c>
      <c r="N8125" s="43">
        <v>5.4103134540398381</v>
      </c>
      <c r="O8125" s="43">
        <v>5.8223926578624203</v>
      </c>
      <c r="P8125" s="223"/>
      <c r="Q8125" s="223"/>
      <c r="R8125" s="223">
        <v>3</v>
      </c>
    </row>
    <row r="8126" spans="1:18" ht="60">
      <c r="A8126" s="219">
        <v>980</v>
      </c>
      <c r="B8126" s="216" t="s">
        <v>14968</v>
      </c>
      <c r="C8126" s="220" t="s">
        <v>14969</v>
      </c>
      <c r="D8126" s="221">
        <v>10294.34</v>
      </c>
      <c r="E8126" s="221">
        <v>2217.5700000000002</v>
      </c>
      <c r="F8126" s="221">
        <v>7452.41</v>
      </c>
      <c r="G8126" s="221">
        <v>624.36</v>
      </c>
      <c r="H8126" s="222">
        <v>69338.460000000006</v>
      </c>
      <c r="I8126" s="222">
        <v>25503.02</v>
      </c>
      <c r="J8126" s="222">
        <v>40239.550000000003</v>
      </c>
      <c r="K8126" s="222">
        <v>3595.89</v>
      </c>
      <c r="L8126" s="43">
        <v>6.7355906255282036</v>
      </c>
      <c r="M8126" s="43">
        <v>11.500435161009573</v>
      </c>
      <c r="N8126" s="43">
        <v>5.3995351839203698</v>
      </c>
      <c r="O8126" s="43">
        <v>5.7593215452623481</v>
      </c>
      <c r="P8126" s="223"/>
      <c r="Q8126" s="223"/>
      <c r="R8126" s="223">
        <v>3</v>
      </c>
    </row>
    <row r="8127" spans="1:18" ht="60">
      <c r="A8127" s="219">
        <v>981</v>
      </c>
      <c r="B8127" s="216" t="s">
        <v>14970</v>
      </c>
      <c r="C8127" s="220" t="s">
        <v>14971</v>
      </c>
      <c r="D8127" s="221">
        <v>11533.21</v>
      </c>
      <c r="E8127" s="221">
        <v>2493.33</v>
      </c>
      <c r="F8127" s="221">
        <v>8151.61</v>
      </c>
      <c r="G8127" s="221">
        <v>888.27</v>
      </c>
      <c r="H8127" s="222">
        <v>77640.160000000003</v>
      </c>
      <c r="I8127" s="222">
        <v>28674.38</v>
      </c>
      <c r="J8127" s="222">
        <v>43929.45</v>
      </c>
      <c r="K8127" s="222">
        <v>5036.33</v>
      </c>
      <c r="L8127" s="43">
        <v>6.7318777686350986</v>
      </c>
      <c r="M8127" s="43">
        <v>11.500435161009575</v>
      </c>
      <c r="N8127" s="43">
        <v>5.3890519786888724</v>
      </c>
      <c r="O8127" s="43">
        <v>5.6698188613822378</v>
      </c>
      <c r="P8127" s="223"/>
      <c r="Q8127" s="223"/>
      <c r="R8127" s="223">
        <v>3</v>
      </c>
    </row>
    <row r="8128" spans="1:18" ht="60">
      <c r="A8128" s="219">
        <v>982</v>
      </c>
      <c r="B8128" s="216" t="s">
        <v>14972</v>
      </c>
      <c r="C8128" s="220" t="s">
        <v>14973</v>
      </c>
      <c r="D8128" s="221">
        <v>12843.21</v>
      </c>
      <c r="E8128" s="221">
        <v>2929.95</v>
      </c>
      <c r="F8128" s="221">
        <v>8963.84</v>
      </c>
      <c r="G8128" s="221">
        <v>949.42</v>
      </c>
      <c r="H8128" s="222">
        <v>87331.63</v>
      </c>
      <c r="I8128" s="222">
        <v>33695.699999999997</v>
      </c>
      <c r="J8128" s="222">
        <v>48223.32</v>
      </c>
      <c r="K8128" s="222">
        <v>5412.61</v>
      </c>
      <c r="L8128" s="43">
        <v>6.7998288589846316</v>
      </c>
      <c r="M8128" s="43">
        <v>11.500435161009573</v>
      </c>
      <c r="N8128" s="43">
        <v>5.3797613522775949</v>
      </c>
      <c r="O8128" s="43">
        <v>5.700964799561838</v>
      </c>
      <c r="P8128" s="223"/>
      <c r="Q8128" s="223"/>
      <c r="R8128" s="223">
        <v>3</v>
      </c>
    </row>
    <row r="8129" spans="1:18" ht="60">
      <c r="A8129" s="219">
        <v>983</v>
      </c>
      <c r="B8129" s="216" t="s">
        <v>14974</v>
      </c>
      <c r="C8129" s="220" t="s">
        <v>14975</v>
      </c>
      <c r="D8129" s="221">
        <v>14248.93</v>
      </c>
      <c r="E8129" s="221">
        <v>3021.87</v>
      </c>
      <c r="F8129" s="221">
        <v>10070.26</v>
      </c>
      <c r="G8129" s="221">
        <v>1156.8</v>
      </c>
      <c r="H8129" s="222">
        <v>95453.96</v>
      </c>
      <c r="I8129" s="222">
        <v>34752.82</v>
      </c>
      <c r="J8129" s="222">
        <v>54176.92</v>
      </c>
      <c r="K8129" s="222">
        <v>6524.22</v>
      </c>
      <c r="L8129" s="43">
        <v>6.6990265233950907</v>
      </c>
      <c r="M8129" s="43">
        <v>11.500435161009573</v>
      </c>
      <c r="N8129" s="43">
        <v>5.3798928726765745</v>
      </c>
      <c r="O8129" s="43">
        <v>5.6398858921161832</v>
      </c>
      <c r="P8129" s="223"/>
      <c r="Q8129" s="223"/>
      <c r="R8129" s="223">
        <v>3</v>
      </c>
    </row>
    <row r="8130" spans="1:18" ht="12.75" customHeight="1">
      <c r="A8130" s="628" t="s">
        <v>14976</v>
      </c>
      <c r="B8130" s="629"/>
      <c r="C8130" s="629"/>
      <c r="D8130" s="629"/>
      <c r="E8130" s="629"/>
      <c r="F8130" s="629"/>
      <c r="G8130" s="629"/>
      <c r="H8130" s="629"/>
      <c r="I8130" s="629"/>
      <c r="J8130" s="629"/>
      <c r="K8130" s="629"/>
      <c r="L8130" s="629"/>
      <c r="M8130" s="629"/>
      <c r="N8130" s="629"/>
      <c r="O8130" s="629"/>
      <c r="P8130" s="629"/>
      <c r="Q8130" s="629"/>
      <c r="R8130" s="629"/>
    </row>
    <row r="8131" spans="1:18" ht="60">
      <c r="A8131" s="219">
        <v>984</v>
      </c>
      <c r="B8131" s="216" t="s">
        <v>14977</v>
      </c>
      <c r="C8131" s="220" t="s">
        <v>14978</v>
      </c>
      <c r="D8131" s="221">
        <v>4287.38</v>
      </c>
      <c r="E8131" s="221">
        <v>814.64</v>
      </c>
      <c r="F8131" s="221">
        <v>3446.46</v>
      </c>
      <c r="G8131" s="221">
        <v>26.28</v>
      </c>
      <c r="H8131" s="222">
        <v>28365.91</v>
      </c>
      <c r="I8131" s="222">
        <v>9368.73</v>
      </c>
      <c r="J8131" s="222">
        <v>18756.63</v>
      </c>
      <c r="K8131" s="222">
        <v>240.55</v>
      </c>
      <c r="L8131" s="43">
        <v>6.6161408599191116</v>
      </c>
      <c r="M8131" s="43">
        <v>11.500454188353137</v>
      </c>
      <c r="N8131" s="43">
        <v>5.4422886091815954</v>
      </c>
      <c r="O8131" s="43">
        <v>9.1533485540334851</v>
      </c>
      <c r="P8131" s="223"/>
      <c r="Q8131" s="223"/>
      <c r="R8131" s="223">
        <v>4</v>
      </c>
    </row>
    <row r="8132" spans="1:18" ht="60">
      <c r="A8132" s="219">
        <v>985</v>
      </c>
      <c r="B8132" s="216" t="s">
        <v>14979</v>
      </c>
      <c r="C8132" s="220" t="s">
        <v>14980</v>
      </c>
      <c r="D8132" s="221">
        <v>4298.17</v>
      </c>
      <c r="E8132" s="221">
        <v>814.64</v>
      </c>
      <c r="F8132" s="221">
        <v>3449.81</v>
      </c>
      <c r="G8132" s="221">
        <v>33.72</v>
      </c>
      <c r="H8132" s="222">
        <v>28421.08</v>
      </c>
      <c r="I8132" s="222">
        <v>9368.73</v>
      </c>
      <c r="J8132" s="222">
        <v>18772.13</v>
      </c>
      <c r="K8132" s="222">
        <v>280.22000000000003</v>
      </c>
      <c r="L8132" s="43">
        <v>6.612367588997178</v>
      </c>
      <c r="M8132" s="43">
        <v>11.500454188353137</v>
      </c>
      <c r="N8132" s="43">
        <v>5.4414967780834314</v>
      </c>
      <c r="O8132" s="43">
        <v>8.3102016607354692</v>
      </c>
      <c r="P8132" s="223"/>
      <c r="Q8132" s="223"/>
      <c r="R8132" s="223">
        <v>4</v>
      </c>
    </row>
    <row r="8133" spans="1:18" ht="60">
      <c r="A8133" s="219">
        <v>986</v>
      </c>
      <c r="B8133" s="216" t="s">
        <v>14981</v>
      </c>
      <c r="C8133" s="220" t="s">
        <v>14982</v>
      </c>
      <c r="D8133" s="221">
        <v>4956.78</v>
      </c>
      <c r="E8133" s="221">
        <v>951.37</v>
      </c>
      <c r="F8133" s="221">
        <v>3960.08</v>
      </c>
      <c r="G8133" s="221">
        <v>45.33</v>
      </c>
      <c r="H8133" s="222">
        <v>32813.089999999997</v>
      </c>
      <c r="I8133" s="222">
        <v>10941.19</v>
      </c>
      <c r="J8133" s="222">
        <v>21512.98</v>
      </c>
      <c r="K8133" s="222">
        <v>358.92</v>
      </c>
      <c r="L8133" s="43">
        <v>6.6198398960615554</v>
      </c>
      <c r="M8133" s="43">
        <v>11.500457235355331</v>
      </c>
      <c r="N8133" s="43">
        <v>5.4324609603846383</v>
      </c>
      <c r="O8133" s="43">
        <v>7.9179351422898749</v>
      </c>
      <c r="P8133" s="223"/>
      <c r="Q8133" s="223"/>
      <c r="R8133" s="223">
        <v>4</v>
      </c>
    </row>
    <row r="8134" spans="1:18" ht="12.75" customHeight="1">
      <c r="A8134" s="628" t="s">
        <v>14983</v>
      </c>
      <c r="B8134" s="629"/>
      <c r="C8134" s="629"/>
      <c r="D8134" s="629"/>
      <c r="E8134" s="629"/>
      <c r="F8134" s="629"/>
      <c r="G8134" s="629"/>
      <c r="H8134" s="629"/>
      <c r="I8134" s="629"/>
      <c r="J8134" s="629"/>
      <c r="K8134" s="629"/>
      <c r="L8134" s="629"/>
      <c r="M8134" s="629"/>
      <c r="N8134" s="629"/>
      <c r="O8134" s="629"/>
      <c r="P8134" s="629"/>
      <c r="Q8134" s="629"/>
      <c r="R8134" s="629"/>
    </row>
    <row r="8135" spans="1:18" ht="60">
      <c r="A8135" s="219">
        <v>987</v>
      </c>
      <c r="B8135" s="216" t="s">
        <v>14984</v>
      </c>
      <c r="C8135" s="220" t="s">
        <v>14985</v>
      </c>
      <c r="D8135" s="221">
        <v>4023.59</v>
      </c>
      <c r="E8135" s="221">
        <v>776.72</v>
      </c>
      <c r="F8135" s="221">
        <v>3214.88</v>
      </c>
      <c r="G8135" s="221">
        <v>31.99</v>
      </c>
      <c r="H8135" s="222">
        <v>26707.1</v>
      </c>
      <c r="I8135" s="222">
        <v>8932.66</v>
      </c>
      <c r="J8135" s="222">
        <v>17508.240000000002</v>
      </c>
      <c r="K8135" s="222">
        <v>266.2</v>
      </c>
      <c r="L8135" s="43">
        <v>6.6376295795545763</v>
      </c>
      <c r="M8135" s="43">
        <v>11.500489236790607</v>
      </c>
      <c r="N8135" s="43">
        <v>5.4460010949086746</v>
      </c>
      <c r="O8135" s="43">
        <v>8.3213504220068764</v>
      </c>
      <c r="P8135" s="223"/>
      <c r="Q8135" s="223"/>
      <c r="R8135" s="223">
        <v>5</v>
      </c>
    </row>
    <row r="8136" spans="1:18" ht="60">
      <c r="A8136" s="219">
        <v>988</v>
      </c>
      <c r="B8136" s="216" t="s">
        <v>14986</v>
      </c>
      <c r="C8136" s="220" t="s">
        <v>14987</v>
      </c>
      <c r="D8136" s="221">
        <v>4094.69</v>
      </c>
      <c r="E8136" s="221">
        <v>815.79</v>
      </c>
      <c r="F8136" s="221">
        <v>3234.27</v>
      </c>
      <c r="G8136" s="221">
        <v>44.63</v>
      </c>
      <c r="H8136" s="222">
        <v>27331.13</v>
      </c>
      <c r="I8136" s="222">
        <v>9381.94</v>
      </c>
      <c r="J8136" s="222">
        <v>17610.77</v>
      </c>
      <c r="K8136" s="222">
        <v>338.42</v>
      </c>
      <c r="L8136" s="43">
        <v>6.6747739145087905</v>
      </c>
      <c r="M8136" s="43">
        <v>11.500435161009575</v>
      </c>
      <c r="N8136" s="43">
        <v>5.4450525157145195</v>
      </c>
      <c r="O8136" s="43">
        <v>7.5827918440510862</v>
      </c>
      <c r="P8136" s="223"/>
      <c r="Q8136" s="223"/>
      <c r="R8136" s="223">
        <v>5</v>
      </c>
    </row>
    <row r="8137" spans="1:18" ht="60">
      <c r="A8137" s="219">
        <v>989</v>
      </c>
      <c r="B8137" s="216" t="s">
        <v>14988</v>
      </c>
      <c r="C8137" s="220" t="s">
        <v>14989</v>
      </c>
      <c r="D8137" s="221">
        <v>4950.1000000000004</v>
      </c>
      <c r="E8137" s="221">
        <v>943.33</v>
      </c>
      <c r="F8137" s="221">
        <v>3937.22</v>
      </c>
      <c r="G8137" s="221">
        <v>69.55</v>
      </c>
      <c r="H8137" s="222">
        <v>32780.44</v>
      </c>
      <c r="I8137" s="222">
        <v>10848.69</v>
      </c>
      <c r="J8137" s="222">
        <v>21444.95</v>
      </c>
      <c r="K8137" s="222">
        <v>486.8</v>
      </c>
      <c r="L8137" s="43">
        <v>6.6221773297509143</v>
      </c>
      <c r="M8137" s="43">
        <v>11.500418729394804</v>
      </c>
      <c r="N8137" s="43">
        <v>5.4467238305200123</v>
      </c>
      <c r="O8137" s="43">
        <v>6.9992810927390368</v>
      </c>
      <c r="P8137" s="223"/>
      <c r="Q8137" s="223"/>
      <c r="R8137" s="223">
        <v>5</v>
      </c>
    </row>
    <row r="8138" spans="1:18" ht="60">
      <c r="A8138" s="219">
        <v>990</v>
      </c>
      <c r="B8138" s="216" t="s">
        <v>14990</v>
      </c>
      <c r="C8138" s="220" t="s">
        <v>14991</v>
      </c>
      <c r="D8138" s="221">
        <v>5045.01</v>
      </c>
      <c r="E8138" s="221">
        <v>981.25</v>
      </c>
      <c r="F8138" s="221">
        <v>3959.74</v>
      </c>
      <c r="G8138" s="221">
        <v>104.02</v>
      </c>
      <c r="H8138" s="222">
        <v>33521.870000000003</v>
      </c>
      <c r="I8138" s="222">
        <v>11284.76</v>
      </c>
      <c r="J8138" s="222">
        <v>21562.07</v>
      </c>
      <c r="K8138" s="222">
        <v>675.04</v>
      </c>
      <c r="L8138" s="43">
        <v>6.644559673816306</v>
      </c>
      <c r="M8138" s="43">
        <v>11.500392356687898</v>
      </c>
      <c r="N8138" s="43">
        <v>5.4453246930354018</v>
      </c>
      <c r="O8138" s="43">
        <v>6.4895212459142471</v>
      </c>
      <c r="P8138" s="223"/>
      <c r="Q8138" s="223"/>
      <c r="R8138" s="223">
        <v>5</v>
      </c>
    </row>
    <row r="8139" spans="1:18" ht="60">
      <c r="A8139" s="219">
        <v>991</v>
      </c>
      <c r="B8139" s="216" t="s">
        <v>14992</v>
      </c>
      <c r="C8139" s="220" t="s">
        <v>14993</v>
      </c>
      <c r="D8139" s="221">
        <v>5111.5600000000004</v>
      </c>
      <c r="E8139" s="221">
        <v>995.03</v>
      </c>
      <c r="F8139" s="221">
        <v>3982.27</v>
      </c>
      <c r="G8139" s="221">
        <v>134.26</v>
      </c>
      <c r="H8139" s="222">
        <v>33960.230000000003</v>
      </c>
      <c r="I8139" s="222">
        <v>11443.32</v>
      </c>
      <c r="J8139" s="222">
        <v>21679.19</v>
      </c>
      <c r="K8139" s="222">
        <v>837.72</v>
      </c>
      <c r="L8139" s="43">
        <v>6.6438093263113416</v>
      </c>
      <c r="M8139" s="43">
        <v>11.500477372541532</v>
      </c>
      <c r="N8139" s="43">
        <v>5.443927709572681</v>
      </c>
      <c r="O8139" s="43">
        <v>6.2395352301504552</v>
      </c>
      <c r="P8139" s="223"/>
      <c r="Q8139" s="223"/>
      <c r="R8139" s="223">
        <v>5</v>
      </c>
    </row>
    <row r="8140" spans="1:18" ht="60">
      <c r="A8140" s="219">
        <v>992</v>
      </c>
      <c r="B8140" s="216" t="s">
        <v>14994</v>
      </c>
      <c r="C8140" s="220" t="s">
        <v>14995</v>
      </c>
      <c r="D8140" s="221">
        <v>5747.39</v>
      </c>
      <c r="E8140" s="221">
        <v>996.18</v>
      </c>
      <c r="F8140" s="221">
        <v>4589.09</v>
      </c>
      <c r="G8140" s="221">
        <v>162.12</v>
      </c>
      <c r="H8140" s="222">
        <v>37453.199999999997</v>
      </c>
      <c r="I8140" s="222">
        <v>11456.54</v>
      </c>
      <c r="J8140" s="222">
        <v>25010.67</v>
      </c>
      <c r="K8140" s="222">
        <v>985.99</v>
      </c>
      <c r="L8140" s="43">
        <v>6.5165579506523823</v>
      </c>
      <c r="M8140" s="43">
        <v>11.500471802284729</v>
      </c>
      <c r="N8140" s="43">
        <v>5.4500282191022613</v>
      </c>
      <c r="O8140" s="43">
        <v>6.0818529484332595</v>
      </c>
      <c r="P8140" s="223"/>
      <c r="Q8140" s="223"/>
      <c r="R8140" s="223">
        <v>5</v>
      </c>
    </row>
    <row r="8141" spans="1:18" ht="60">
      <c r="A8141" s="219">
        <v>993</v>
      </c>
      <c r="B8141" s="216" t="s">
        <v>14996</v>
      </c>
      <c r="C8141" s="220" t="s">
        <v>14997</v>
      </c>
      <c r="D8141" s="221">
        <v>5891.37</v>
      </c>
      <c r="E8141" s="221">
        <v>1060.53</v>
      </c>
      <c r="F8141" s="221">
        <v>4636.2299999999996</v>
      </c>
      <c r="G8141" s="221">
        <v>194.61</v>
      </c>
      <c r="H8141" s="222">
        <v>38621.339999999997</v>
      </c>
      <c r="I8141" s="222">
        <v>12196.52</v>
      </c>
      <c r="J8141" s="222">
        <v>25258.06</v>
      </c>
      <c r="K8141" s="222">
        <v>1166.76</v>
      </c>
      <c r="L8141" s="43">
        <v>6.5555787533290211</v>
      </c>
      <c r="M8141" s="43">
        <v>11.500400743024715</v>
      </c>
      <c r="N8141" s="43">
        <v>5.4479738925808263</v>
      </c>
      <c r="O8141" s="43">
        <v>5.995375366116849</v>
      </c>
      <c r="P8141" s="223"/>
      <c r="Q8141" s="223"/>
      <c r="R8141" s="223">
        <v>5</v>
      </c>
    </row>
    <row r="8142" spans="1:18" ht="60">
      <c r="A8142" s="219">
        <v>994</v>
      </c>
      <c r="B8142" s="216" t="s">
        <v>14998</v>
      </c>
      <c r="C8142" s="220" t="s">
        <v>14999</v>
      </c>
      <c r="D8142" s="221">
        <v>6547.03</v>
      </c>
      <c r="E8142" s="221">
        <v>1424.76</v>
      </c>
      <c r="F8142" s="221">
        <v>4747.8</v>
      </c>
      <c r="G8142" s="221">
        <v>374.47</v>
      </c>
      <c r="H8142" s="222">
        <v>44383.74</v>
      </c>
      <c r="I8142" s="222">
        <v>16385.36</v>
      </c>
      <c r="J8142" s="222">
        <v>25829.25</v>
      </c>
      <c r="K8142" s="222">
        <v>2169.13</v>
      </c>
      <c r="L8142" s="43">
        <v>6.7792174466895672</v>
      </c>
      <c r="M8142" s="43">
        <v>11.500435161009573</v>
      </c>
      <c r="N8142" s="43">
        <v>5.4402565398710978</v>
      </c>
      <c r="O8142" s="43">
        <v>5.7925334472721444</v>
      </c>
      <c r="P8142" s="223"/>
      <c r="Q8142" s="223"/>
      <c r="R8142" s="223">
        <v>5</v>
      </c>
    </row>
    <row r="8143" spans="1:18" ht="60">
      <c r="A8143" s="219">
        <v>995</v>
      </c>
      <c r="B8143" s="216" t="s">
        <v>15000</v>
      </c>
      <c r="C8143" s="220" t="s">
        <v>15001</v>
      </c>
      <c r="D8143" s="221">
        <v>7182.58</v>
      </c>
      <c r="E8143" s="221">
        <v>1746.48</v>
      </c>
      <c r="F8143" s="221">
        <v>4888.5600000000004</v>
      </c>
      <c r="G8143" s="221">
        <v>547.54</v>
      </c>
      <c r="H8143" s="222">
        <v>49773.35</v>
      </c>
      <c r="I8143" s="222">
        <v>20085.28</v>
      </c>
      <c r="J8143" s="222">
        <v>26558.25</v>
      </c>
      <c r="K8143" s="222">
        <v>3129.82</v>
      </c>
      <c r="L8143" s="43">
        <v>6.9297313778614367</v>
      </c>
      <c r="M8143" s="43">
        <v>11.500435161009573</v>
      </c>
      <c r="N8143" s="43">
        <v>5.4327347930678966</v>
      </c>
      <c r="O8143" s="43">
        <v>5.7161485918836989</v>
      </c>
      <c r="P8143" s="223"/>
      <c r="Q8143" s="223"/>
      <c r="R8143" s="223">
        <v>5</v>
      </c>
    </row>
    <row r="8144" spans="1:18" ht="60">
      <c r="A8144" s="219">
        <v>996</v>
      </c>
      <c r="B8144" s="216" t="s">
        <v>15002</v>
      </c>
      <c r="C8144" s="220" t="s">
        <v>15003</v>
      </c>
      <c r="D8144" s="221">
        <v>8292.84</v>
      </c>
      <c r="E8144" s="221">
        <v>1907.34</v>
      </c>
      <c r="F8144" s="221">
        <v>5609.43</v>
      </c>
      <c r="G8144" s="221">
        <v>776.07</v>
      </c>
      <c r="H8144" s="222">
        <v>56703.78</v>
      </c>
      <c r="I8144" s="222">
        <v>21935.24</v>
      </c>
      <c r="J8144" s="222">
        <v>30402.47</v>
      </c>
      <c r="K8144" s="222">
        <v>4366.07</v>
      </c>
      <c r="L8144" s="43">
        <v>6.8376792510165396</v>
      </c>
      <c r="M8144" s="43">
        <v>11.500435161009575</v>
      </c>
      <c r="N8144" s="43">
        <v>5.4198857994484291</v>
      </c>
      <c r="O8144" s="43">
        <v>5.6258713775819187</v>
      </c>
      <c r="P8144" s="223"/>
      <c r="Q8144" s="223"/>
      <c r="R8144" s="223">
        <v>5</v>
      </c>
    </row>
    <row r="8145" spans="1:18" ht="60">
      <c r="A8145" s="219">
        <v>997</v>
      </c>
      <c r="B8145" s="216" t="s">
        <v>15004</v>
      </c>
      <c r="C8145" s="220" t="s">
        <v>15005</v>
      </c>
      <c r="D8145" s="221">
        <v>9129.89</v>
      </c>
      <c r="E8145" s="221">
        <v>2137.14</v>
      </c>
      <c r="F8145" s="221">
        <v>5996.77</v>
      </c>
      <c r="G8145" s="221">
        <v>995.98</v>
      </c>
      <c r="H8145" s="222">
        <v>62600.3</v>
      </c>
      <c r="I8145" s="222">
        <v>24578.04</v>
      </c>
      <c r="J8145" s="222">
        <v>32455.95</v>
      </c>
      <c r="K8145" s="222">
        <v>5566.31</v>
      </c>
      <c r="L8145" s="43">
        <v>6.8566324457359293</v>
      </c>
      <c r="M8145" s="43">
        <v>11.500435161009575</v>
      </c>
      <c r="N8145" s="43">
        <v>5.4122385884401103</v>
      </c>
      <c r="O8145" s="43">
        <v>5.5887768830699418</v>
      </c>
      <c r="P8145" s="223"/>
      <c r="Q8145" s="223"/>
      <c r="R8145" s="223">
        <v>5</v>
      </c>
    </row>
    <row r="8146" spans="1:18" ht="60">
      <c r="A8146" s="219">
        <v>998</v>
      </c>
      <c r="B8146" s="216" t="s">
        <v>15006</v>
      </c>
      <c r="C8146" s="220" t="s">
        <v>15007</v>
      </c>
      <c r="D8146" s="221">
        <v>10672.11</v>
      </c>
      <c r="E8146" s="221">
        <v>2665.68</v>
      </c>
      <c r="F8146" s="221">
        <v>6746.49</v>
      </c>
      <c r="G8146" s="221">
        <v>1259.94</v>
      </c>
      <c r="H8146" s="222">
        <v>74118.92</v>
      </c>
      <c r="I8146" s="222">
        <v>30656.48</v>
      </c>
      <c r="J8146" s="222">
        <v>36427.71</v>
      </c>
      <c r="K8146" s="222">
        <v>7034.73</v>
      </c>
      <c r="L8146" s="43">
        <v>6.9451045763208956</v>
      </c>
      <c r="M8146" s="43">
        <v>11.500435161009575</v>
      </c>
      <c r="N8146" s="43">
        <v>5.399505520648515</v>
      </c>
      <c r="O8146" s="43">
        <v>5.5833849230915753</v>
      </c>
      <c r="P8146" s="223"/>
      <c r="Q8146" s="223"/>
      <c r="R8146" s="223">
        <v>5</v>
      </c>
    </row>
    <row r="8147" spans="1:18" ht="60">
      <c r="A8147" s="219">
        <v>999</v>
      </c>
      <c r="B8147" s="216" t="s">
        <v>15008</v>
      </c>
      <c r="C8147" s="220" t="s">
        <v>15009</v>
      </c>
      <c r="D8147" s="221">
        <v>11428.13</v>
      </c>
      <c r="E8147" s="221">
        <v>2803.56</v>
      </c>
      <c r="F8147" s="221">
        <v>7299.88</v>
      </c>
      <c r="G8147" s="221">
        <v>1324.69</v>
      </c>
      <c r="H8147" s="222">
        <v>79094.06</v>
      </c>
      <c r="I8147" s="222">
        <v>32242.16</v>
      </c>
      <c r="J8147" s="222">
        <v>39459.96</v>
      </c>
      <c r="K8147" s="222">
        <v>7391.94</v>
      </c>
      <c r="L8147" s="43">
        <v>6.9209975735312783</v>
      </c>
      <c r="M8147" s="43">
        <v>11.500435161009573</v>
      </c>
      <c r="N8147" s="43">
        <v>5.4055628311698269</v>
      </c>
      <c r="O8147" s="43">
        <v>5.5801281809328973</v>
      </c>
      <c r="P8147" s="223"/>
      <c r="Q8147" s="223"/>
      <c r="R8147" s="223">
        <v>5</v>
      </c>
    </row>
    <row r="8148" spans="1:18" ht="12.75" customHeight="1">
      <c r="A8148" s="628" t="s">
        <v>15010</v>
      </c>
      <c r="B8148" s="629"/>
      <c r="C8148" s="629"/>
      <c r="D8148" s="629"/>
      <c r="E8148" s="629"/>
      <c r="F8148" s="629"/>
      <c r="G8148" s="629"/>
      <c r="H8148" s="629"/>
      <c r="I8148" s="629"/>
      <c r="J8148" s="629"/>
      <c r="K8148" s="629"/>
      <c r="L8148" s="629"/>
      <c r="M8148" s="629"/>
      <c r="N8148" s="629"/>
      <c r="O8148" s="629"/>
      <c r="P8148" s="629"/>
      <c r="Q8148" s="629"/>
      <c r="R8148" s="629"/>
    </row>
    <row r="8149" spans="1:18" ht="48">
      <c r="A8149" s="219">
        <v>1000</v>
      </c>
      <c r="B8149" s="216" t="s">
        <v>15011</v>
      </c>
      <c r="C8149" s="220" t="s">
        <v>15012</v>
      </c>
      <c r="D8149" s="221">
        <v>4614.6000000000004</v>
      </c>
      <c r="E8149" s="221">
        <v>864.05</v>
      </c>
      <c r="F8149" s="221">
        <v>3711.07</v>
      </c>
      <c r="G8149" s="221">
        <v>39.479999999999997</v>
      </c>
      <c r="H8149" s="222">
        <v>30429.46</v>
      </c>
      <c r="I8149" s="222">
        <v>9936.93</v>
      </c>
      <c r="J8149" s="222">
        <v>20175.61</v>
      </c>
      <c r="K8149" s="222">
        <v>316.92</v>
      </c>
      <c r="L8149" s="43">
        <v>6.5941706756815321</v>
      </c>
      <c r="M8149" s="43">
        <v>11.50041085585325</v>
      </c>
      <c r="N8149" s="43">
        <v>5.4366018425952625</v>
      </c>
      <c r="O8149" s="43">
        <v>8.0273556231003056</v>
      </c>
      <c r="P8149" s="223"/>
      <c r="Q8149" s="223"/>
      <c r="R8149" s="223">
        <v>6</v>
      </c>
    </row>
    <row r="8150" spans="1:18" ht="48">
      <c r="A8150" s="219">
        <v>1001</v>
      </c>
      <c r="B8150" s="216" t="s">
        <v>15013</v>
      </c>
      <c r="C8150" s="220" t="s">
        <v>15014</v>
      </c>
      <c r="D8150" s="221">
        <v>4904.59</v>
      </c>
      <c r="E8150" s="221">
        <v>952.52</v>
      </c>
      <c r="F8150" s="221">
        <v>3897.53</v>
      </c>
      <c r="G8150" s="221">
        <v>54.54</v>
      </c>
      <c r="H8150" s="222">
        <v>32537.5</v>
      </c>
      <c r="I8150" s="222">
        <v>10954.41</v>
      </c>
      <c r="J8150" s="222">
        <v>21175.03</v>
      </c>
      <c r="K8150" s="222">
        <v>408.06</v>
      </c>
      <c r="L8150" s="43">
        <v>6.6340917385551084</v>
      </c>
      <c r="M8150" s="43">
        <v>11.500451434090623</v>
      </c>
      <c r="N8150" s="43">
        <v>5.432935731091229</v>
      </c>
      <c r="O8150" s="43">
        <v>7.4818481848184817</v>
      </c>
      <c r="P8150" s="223"/>
      <c r="Q8150" s="223"/>
      <c r="R8150" s="223">
        <v>6</v>
      </c>
    </row>
    <row r="8151" spans="1:18" ht="48">
      <c r="A8151" s="219">
        <v>1002</v>
      </c>
      <c r="B8151" s="216" t="s">
        <v>15015</v>
      </c>
      <c r="C8151" s="220" t="s">
        <v>15016</v>
      </c>
      <c r="D8151" s="221">
        <v>5750.24</v>
      </c>
      <c r="E8151" s="221">
        <v>1054.78</v>
      </c>
      <c r="F8151" s="221">
        <v>4602.1499999999996</v>
      </c>
      <c r="G8151" s="221">
        <v>93.31</v>
      </c>
      <c r="H8151" s="222">
        <v>37774.589999999997</v>
      </c>
      <c r="I8151" s="222">
        <v>12130.45</v>
      </c>
      <c r="J8151" s="222">
        <v>25016.95</v>
      </c>
      <c r="K8151" s="222">
        <v>627.19000000000005</v>
      </c>
      <c r="L8151" s="43">
        <v>6.5692197195247495</v>
      </c>
      <c r="M8151" s="43">
        <v>11.500455071199683</v>
      </c>
      <c r="N8151" s="43">
        <v>5.435926686440034</v>
      </c>
      <c r="O8151" s="43">
        <v>6.7215732504554717</v>
      </c>
      <c r="P8151" s="223"/>
      <c r="Q8151" s="223"/>
      <c r="R8151" s="223">
        <v>6</v>
      </c>
    </row>
    <row r="8152" spans="1:18" ht="48">
      <c r="A8152" s="219">
        <v>1003</v>
      </c>
      <c r="B8152" s="216" t="s">
        <v>15017</v>
      </c>
      <c r="C8152" s="220" t="s">
        <v>15018</v>
      </c>
      <c r="D8152" s="221">
        <v>5839.71</v>
      </c>
      <c r="E8152" s="221">
        <v>1092.7</v>
      </c>
      <c r="F8152" s="221">
        <v>4627.84</v>
      </c>
      <c r="G8152" s="221">
        <v>119.17</v>
      </c>
      <c r="H8152" s="222">
        <v>38487.99</v>
      </c>
      <c r="I8152" s="222">
        <v>12566.51</v>
      </c>
      <c r="J8152" s="222">
        <v>25151.94</v>
      </c>
      <c r="K8152" s="222">
        <v>769.54</v>
      </c>
      <c r="L8152" s="43">
        <v>6.5907365263001072</v>
      </c>
      <c r="M8152" s="43">
        <v>11.500420975565113</v>
      </c>
      <c r="N8152" s="43">
        <v>5.434919962660766</v>
      </c>
      <c r="O8152" s="43">
        <v>6.4574976923722414</v>
      </c>
      <c r="P8152" s="223"/>
      <c r="Q8152" s="223"/>
      <c r="R8152" s="223">
        <v>6</v>
      </c>
    </row>
    <row r="8153" spans="1:18" ht="48">
      <c r="A8153" s="219">
        <v>1004</v>
      </c>
      <c r="B8153" s="216" t="s">
        <v>15019</v>
      </c>
      <c r="C8153" s="220" t="s">
        <v>15020</v>
      </c>
      <c r="D8153" s="221">
        <v>6250.56</v>
      </c>
      <c r="E8153" s="221">
        <v>1171.98</v>
      </c>
      <c r="F8153" s="221">
        <v>4910.6400000000003</v>
      </c>
      <c r="G8153" s="221">
        <v>167.94</v>
      </c>
      <c r="H8153" s="222">
        <v>41182.35</v>
      </c>
      <c r="I8153" s="222">
        <v>13478.28</v>
      </c>
      <c r="J8153" s="222">
        <v>26664.99</v>
      </c>
      <c r="K8153" s="222">
        <v>1039.08</v>
      </c>
      <c r="L8153" s="43">
        <v>6.5885856627246193</v>
      </c>
      <c r="M8153" s="43">
        <v>11.500435161009573</v>
      </c>
      <c r="N8153" s="43">
        <v>5.4300437417526028</v>
      </c>
      <c r="O8153" s="43">
        <v>6.1872097177563408</v>
      </c>
      <c r="P8153" s="223"/>
      <c r="Q8153" s="223"/>
      <c r="R8153" s="223">
        <v>6</v>
      </c>
    </row>
    <row r="8154" spans="1:18" ht="48">
      <c r="A8154" s="219">
        <v>1005</v>
      </c>
      <c r="B8154" s="216" t="s">
        <v>15021</v>
      </c>
      <c r="C8154" s="220" t="s">
        <v>15022</v>
      </c>
      <c r="D8154" s="221">
        <v>7591.2</v>
      </c>
      <c r="E8154" s="221">
        <v>1401.78</v>
      </c>
      <c r="F8154" s="221">
        <v>5954.59</v>
      </c>
      <c r="G8154" s="221">
        <v>234.83</v>
      </c>
      <c r="H8154" s="222">
        <v>49885.45</v>
      </c>
      <c r="I8154" s="222">
        <v>16121.08</v>
      </c>
      <c r="J8154" s="222">
        <v>32340.76</v>
      </c>
      <c r="K8154" s="222">
        <v>1423.61</v>
      </c>
      <c r="L8154" s="43">
        <v>6.5714840868373905</v>
      </c>
      <c r="M8154" s="43">
        <v>11.500435161009573</v>
      </c>
      <c r="N8154" s="43">
        <v>5.4312320411648827</v>
      </c>
      <c r="O8154" s="43">
        <v>6.0623003875143713</v>
      </c>
      <c r="P8154" s="223"/>
      <c r="Q8154" s="223"/>
      <c r="R8154" s="223">
        <v>6</v>
      </c>
    </row>
    <row r="8155" spans="1:18" ht="48">
      <c r="A8155" s="219">
        <v>1006</v>
      </c>
      <c r="B8155" s="216" t="s">
        <v>15023</v>
      </c>
      <c r="C8155" s="220" t="s">
        <v>15024</v>
      </c>
      <c r="D8155" s="221">
        <v>7925.62</v>
      </c>
      <c r="E8155" s="221">
        <v>1505.19</v>
      </c>
      <c r="F8155" s="221">
        <v>6142.28</v>
      </c>
      <c r="G8155" s="221">
        <v>278.14999999999998</v>
      </c>
      <c r="H8155" s="222">
        <v>52320.53</v>
      </c>
      <c r="I8155" s="222">
        <v>17310.34</v>
      </c>
      <c r="J8155" s="222">
        <v>33343.410000000003</v>
      </c>
      <c r="K8155" s="222">
        <v>1666.78</v>
      </c>
      <c r="L8155" s="43">
        <v>6.6014431678531142</v>
      </c>
      <c r="M8155" s="43">
        <v>11.500435161009573</v>
      </c>
      <c r="N8155" s="43">
        <v>5.4285070039138565</v>
      </c>
      <c r="O8155" s="43">
        <v>5.9923782131943204</v>
      </c>
      <c r="P8155" s="223"/>
      <c r="Q8155" s="223"/>
      <c r="R8155" s="223">
        <v>6</v>
      </c>
    </row>
    <row r="8156" spans="1:18" ht="48">
      <c r="A8156" s="219">
        <v>1007</v>
      </c>
      <c r="B8156" s="216" t="s">
        <v>15025</v>
      </c>
      <c r="C8156" s="220" t="s">
        <v>15026</v>
      </c>
      <c r="D8156" s="221">
        <v>8930.75</v>
      </c>
      <c r="E8156" s="221">
        <v>1712.01</v>
      </c>
      <c r="F8156" s="221">
        <v>6680.63</v>
      </c>
      <c r="G8156" s="221">
        <v>538.11</v>
      </c>
      <c r="H8156" s="222">
        <v>58965.18</v>
      </c>
      <c r="I8156" s="222">
        <v>19688.86</v>
      </c>
      <c r="J8156" s="222">
        <v>36199.71</v>
      </c>
      <c r="K8156" s="222">
        <v>3076.61</v>
      </c>
      <c r="L8156" s="43">
        <v>6.6024891526467542</v>
      </c>
      <c r="M8156" s="43">
        <v>11.500435161009573</v>
      </c>
      <c r="N8156" s="43">
        <v>5.4186072271627079</v>
      </c>
      <c r="O8156" s="43">
        <v>5.7174369552693687</v>
      </c>
      <c r="P8156" s="223"/>
      <c r="Q8156" s="223"/>
      <c r="R8156" s="223">
        <v>6</v>
      </c>
    </row>
    <row r="8157" spans="1:18" ht="48">
      <c r="A8157" s="219">
        <v>1008</v>
      </c>
      <c r="B8157" s="216" t="s">
        <v>15027</v>
      </c>
      <c r="C8157" s="220" t="s">
        <v>15028</v>
      </c>
      <c r="D8157" s="221">
        <v>9676.2000000000007</v>
      </c>
      <c r="E8157" s="221">
        <v>2045.22</v>
      </c>
      <c r="F8157" s="221">
        <v>6847.79</v>
      </c>
      <c r="G8157" s="221">
        <v>783.19</v>
      </c>
      <c r="H8157" s="222">
        <v>65001.760000000002</v>
      </c>
      <c r="I8157" s="222">
        <v>23520.92</v>
      </c>
      <c r="J8157" s="222">
        <v>37058.400000000001</v>
      </c>
      <c r="K8157" s="222">
        <v>4422.4399999999996</v>
      </c>
      <c r="L8157" s="43">
        <v>6.7176949628986584</v>
      </c>
      <c r="M8157" s="43">
        <v>11.500435161009573</v>
      </c>
      <c r="N8157" s="43">
        <v>5.4117313761082046</v>
      </c>
      <c r="O8157" s="43">
        <v>5.6467013113037696</v>
      </c>
      <c r="P8157" s="223"/>
      <c r="Q8157" s="223"/>
      <c r="R8157" s="223">
        <v>6</v>
      </c>
    </row>
    <row r="8158" spans="1:18" ht="48">
      <c r="A8158" s="219">
        <v>1009</v>
      </c>
      <c r="B8158" s="216" t="s">
        <v>15029</v>
      </c>
      <c r="C8158" s="220" t="s">
        <v>15030</v>
      </c>
      <c r="D8158" s="221">
        <v>10867.5</v>
      </c>
      <c r="E8158" s="221">
        <v>2309.4899999999998</v>
      </c>
      <c r="F8158" s="221">
        <v>7558.58</v>
      </c>
      <c r="G8158" s="221">
        <v>999.43</v>
      </c>
      <c r="H8158" s="222">
        <v>73016.23</v>
      </c>
      <c r="I8158" s="222">
        <v>26560.14</v>
      </c>
      <c r="J8158" s="222">
        <v>40850.1</v>
      </c>
      <c r="K8158" s="222">
        <v>5605.99</v>
      </c>
      <c r="L8158" s="43">
        <v>6.7187697262479871</v>
      </c>
      <c r="M8158" s="43">
        <v>11.500435161009575</v>
      </c>
      <c r="N8158" s="43">
        <v>5.404467505801354</v>
      </c>
      <c r="O8158" s="43">
        <v>5.6091872367249334</v>
      </c>
      <c r="P8158" s="223"/>
      <c r="Q8158" s="223"/>
      <c r="R8158" s="223">
        <v>6</v>
      </c>
    </row>
    <row r="8159" spans="1:18" ht="48">
      <c r="A8159" s="219">
        <v>1010</v>
      </c>
      <c r="B8159" s="216" t="s">
        <v>15031</v>
      </c>
      <c r="C8159" s="220" t="s">
        <v>15032</v>
      </c>
      <c r="D8159" s="221">
        <v>12211.92</v>
      </c>
      <c r="E8159" s="221">
        <v>2527.8000000000002</v>
      </c>
      <c r="F8159" s="221">
        <v>8249.68</v>
      </c>
      <c r="G8159" s="221">
        <v>1434.44</v>
      </c>
      <c r="H8159" s="222">
        <v>81531.19</v>
      </c>
      <c r="I8159" s="222">
        <v>29070.799999999999</v>
      </c>
      <c r="J8159" s="222">
        <v>44509.21</v>
      </c>
      <c r="K8159" s="222">
        <v>7951.18</v>
      </c>
      <c r="L8159" s="43">
        <v>6.6763612929007072</v>
      </c>
      <c r="M8159" s="43">
        <v>11.500435161009573</v>
      </c>
      <c r="N8159" s="43">
        <v>5.3952650284617096</v>
      </c>
      <c r="O8159" s="43">
        <v>5.5430551295278994</v>
      </c>
      <c r="P8159" s="223"/>
      <c r="Q8159" s="223"/>
      <c r="R8159" s="223">
        <v>6</v>
      </c>
    </row>
    <row r="8160" spans="1:18" ht="48">
      <c r="A8160" s="219">
        <v>1011</v>
      </c>
      <c r="B8160" s="216" t="s">
        <v>15033</v>
      </c>
      <c r="C8160" s="220" t="s">
        <v>15034</v>
      </c>
      <c r="D8160" s="221">
        <v>12911.26</v>
      </c>
      <c r="E8160" s="221">
        <v>2861.01</v>
      </c>
      <c r="F8160" s="221">
        <v>8528.01</v>
      </c>
      <c r="G8160" s="221">
        <v>1522.24</v>
      </c>
      <c r="H8160" s="222">
        <v>87345.85</v>
      </c>
      <c r="I8160" s="222">
        <v>32902.86</v>
      </c>
      <c r="J8160" s="222">
        <v>45986.34</v>
      </c>
      <c r="K8160" s="222">
        <v>8456.65</v>
      </c>
      <c r="L8160" s="43">
        <v>6.7650910910321693</v>
      </c>
      <c r="M8160" s="43">
        <v>11.500435161009573</v>
      </c>
      <c r="N8160" s="43">
        <v>5.3923881421339788</v>
      </c>
      <c r="O8160" s="43">
        <v>5.555398623081774</v>
      </c>
      <c r="P8160" s="223"/>
      <c r="Q8160" s="223"/>
      <c r="R8160" s="223">
        <v>6</v>
      </c>
    </row>
    <row r="8161" spans="1:18" ht="48">
      <c r="A8161" s="219">
        <v>1012</v>
      </c>
      <c r="B8161" s="216" t="s">
        <v>15035</v>
      </c>
      <c r="C8161" s="220" t="s">
        <v>15036</v>
      </c>
      <c r="D8161" s="221">
        <v>13561.41</v>
      </c>
      <c r="E8161" s="221">
        <v>2883.99</v>
      </c>
      <c r="F8161" s="221">
        <v>9107.09</v>
      </c>
      <c r="G8161" s="221">
        <v>1570.33</v>
      </c>
      <c r="H8161" s="222">
        <v>91019.34</v>
      </c>
      <c r="I8161" s="222">
        <v>33167.14</v>
      </c>
      <c r="J8161" s="222">
        <v>49141.29</v>
      </c>
      <c r="K8161" s="222">
        <v>8710.91</v>
      </c>
      <c r="L8161" s="43">
        <v>6.7116428159018859</v>
      </c>
      <c r="M8161" s="43">
        <v>11.500435161009575</v>
      </c>
      <c r="N8161" s="43">
        <v>5.3959376705402056</v>
      </c>
      <c r="O8161" s="43">
        <v>5.5471843497863507</v>
      </c>
      <c r="P8161" s="223"/>
      <c r="Q8161" s="223"/>
      <c r="R8161" s="223">
        <v>6</v>
      </c>
    </row>
    <row r="8162" spans="1:18" ht="12.75" customHeight="1">
      <c r="A8162" s="628" t="s">
        <v>15037</v>
      </c>
      <c r="B8162" s="629"/>
      <c r="C8162" s="629"/>
      <c r="D8162" s="629"/>
      <c r="E8162" s="629"/>
      <c r="F8162" s="629"/>
      <c r="G8162" s="629"/>
      <c r="H8162" s="629"/>
      <c r="I8162" s="629"/>
      <c r="J8162" s="629"/>
      <c r="K8162" s="629"/>
      <c r="L8162" s="629"/>
      <c r="M8162" s="629"/>
      <c r="N8162" s="629"/>
      <c r="O8162" s="629"/>
      <c r="P8162" s="629"/>
      <c r="Q8162" s="629"/>
      <c r="R8162" s="629"/>
    </row>
    <row r="8163" spans="1:18" ht="48">
      <c r="A8163" s="219">
        <v>1013</v>
      </c>
      <c r="B8163" s="216" t="s">
        <v>15038</v>
      </c>
      <c r="C8163" s="220" t="s">
        <v>15039</v>
      </c>
      <c r="D8163" s="221">
        <v>5040.43</v>
      </c>
      <c r="E8163" s="221">
        <v>951.37</v>
      </c>
      <c r="F8163" s="221">
        <v>4043.53</v>
      </c>
      <c r="G8163" s="221">
        <v>45.53</v>
      </c>
      <c r="H8163" s="222">
        <v>33262.81</v>
      </c>
      <c r="I8163" s="222">
        <v>10941.19</v>
      </c>
      <c r="J8163" s="222">
        <v>21961.62</v>
      </c>
      <c r="K8163" s="222">
        <v>360</v>
      </c>
      <c r="L8163" s="43">
        <v>6.5992008618312319</v>
      </c>
      <c r="M8163" s="43">
        <v>11.500457235355331</v>
      </c>
      <c r="N8163" s="43">
        <v>5.4312988898314094</v>
      </c>
      <c r="O8163" s="43">
        <v>7.9068745881836149</v>
      </c>
      <c r="P8163" s="223"/>
      <c r="Q8163" s="223"/>
      <c r="R8163" s="223">
        <v>7</v>
      </c>
    </row>
    <row r="8164" spans="1:18" ht="48">
      <c r="A8164" s="219">
        <v>1014</v>
      </c>
      <c r="B8164" s="216" t="s">
        <v>15040</v>
      </c>
      <c r="C8164" s="220" t="s">
        <v>15041</v>
      </c>
      <c r="D8164" s="221">
        <v>5441.99</v>
      </c>
      <c r="E8164" s="221">
        <v>1065.1199999999999</v>
      </c>
      <c r="F8164" s="221">
        <v>4312.8999999999996</v>
      </c>
      <c r="G8164" s="221">
        <v>63.97</v>
      </c>
      <c r="H8164" s="222">
        <v>36128.199999999997</v>
      </c>
      <c r="I8164" s="222">
        <v>12249.38</v>
      </c>
      <c r="J8164" s="222">
        <v>23406.639999999999</v>
      </c>
      <c r="K8164" s="222">
        <v>472.18</v>
      </c>
      <c r="L8164" s="43">
        <v>6.6387847092699541</v>
      </c>
      <c r="M8164" s="43">
        <v>11.500469430674478</v>
      </c>
      <c r="N8164" s="43">
        <v>5.4271232813188348</v>
      </c>
      <c r="O8164" s="43">
        <v>7.3812724714710019</v>
      </c>
      <c r="P8164" s="223"/>
      <c r="Q8164" s="223"/>
      <c r="R8164" s="223">
        <v>7</v>
      </c>
    </row>
    <row r="8165" spans="1:18" ht="48">
      <c r="A8165" s="219">
        <v>1015</v>
      </c>
      <c r="B8165" s="216" t="s">
        <v>15042</v>
      </c>
      <c r="C8165" s="220" t="s">
        <v>15043</v>
      </c>
      <c r="D8165" s="221">
        <v>6652.15</v>
      </c>
      <c r="E8165" s="221">
        <v>1263.9000000000001</v>
      </c>
      <c r="F8165" s="221">
        <v>5280.71</v>
      </c>
      <c r="G8165" s="221">
        <v>107.54</v>
      </c>
      <c r="H8165" s="222">
        <v>43926.51</v>
      </c>
      <c r="I8165" s="222">
        <v>14535.4</v>
      </c>
      <c r="J8165" s="222">
        <v>28662.3</v>
      </c>
      <c r="K8165" s="222">
        <v>728.81</v>
      </c>
      <c r="L8165" s="43">
        <v>6.6033553061792061</v>
      </c>
      <c r="M8165" s="43">
        <v>11.500435161009573</v>
      </c>
      <c r="N8165" s="43">
        <v>5.4277360430699657</v>
      </c>
      <c r="O8165" s="43">
        <v>6.7771061930444478</v>
      </c>
      <c r="P8165" s="223"/>
      <c r="Q8165" s="223"/>
      <c r="R8165" s="223">
        <v>7</v>
      </c>
    </row>
    <row r="8166" spans="1:18" ht="48">
      <c r="A8166" s="219">
        <v>1016</v>
      </c>
      <c r="B8166" s="216" t="s">
        <v>15044</v>
      </c>
      <c r="C8166" s="220" t="s">
        <v>15045</v>
      </c>
      <c r="D8166" s="221">
        <v>6695.06</v>
      </c>
      <c r="E8166" s="221">
        <v>1263.9000000000001</v>
      </c>
      <c r="F8166" s="221">
        <v>5292.77</v>
      </c>
      <c r="G8166" s="221">
        <v>138.38999999999999</v>
      </c>
      <c r="H8166" s="222">
        <v>44152.480000000003</v>
      </c>
      <c r="I8166" s="222">
        <v>14535.4</v>
      </c>
      <c r="J8166" s="222">
        <v>28723.96</v>
      </c>
      <c r="K8166" s="222">
        <v>893.12</v>
      </c>
      <c r="L8166" s="43">
        <v>6.5947848114878731</v>
      </c>
      <c r="M8166" s="43">
        <v>11.500435161009573</v>
      </c>
      <c r="N8166" s="43">
        <v>5.4270183665641989</v>
      </c>
      <c r="O8166" s="43">
        <v>6.4536454946166639</v>
      </c>
      <c r="P8166" s="223"/>
      <c r="Q8166" s="223"/>
      <c r="R8166" s="223">
        <v>7</v>
      </c>
    </row>
    <row r="8167" spans="1:18" ht="48">
      <c r="A8167" s="219">
        <v>1017</v>
      </c>
      <c r="B8167" s="216" t="s">
        <v>15046</v>
      </c>
      <c r="C8167" s="220" t="s">
        <v>15047</v>
      </c>
      <c r="D8167" s="221">
        <v>7340.18</v>
      </c>
      <c r="E8167" s="221">
        <v>1459.23</v>
      </c>
      <c r="F8167" s="221">
        <v>5654.15</v>
      </c>
      <c r="G8167" s="221">
        <v>226.8</v>
      </c>
      <c r="H8167" s="222">
        <v>48818.73</v>
      </c>
      <c r="I8167" s="222">
        <v>16781.78</v>
      </c>
      <c r="J8167" s="222">
        <v>30648.82</v>
      </c>
      <c r="K8167" s="222">
        <v>1388.13</v>
      </c>
      <c r="L8167" s="43">
        <v>6.6508900326694986</v>
      </c>
      <c r="M8167" s="43">
        <v>11.500435161009573</v>
      </c>
      <c r="N8167" s="43">
        <v>5.4205884173571626</v>
      </c>
      <c r="O8167" s="43">
        <v>6.1205026455026461</v>
      </c>
      <c r="P8167" s="223"/>
      <c r="Q8167" s="223"/>
      <c r="R8167" s="223">
        <v>7</v>
      </c>
    </row>
    <row r="8168" spans="1:18" ht="48">
      <c r="A8168" s="219">
        <v>1018</v>
      </c>
      <c r="B8168" s="216" t="s">
        <v>15048</v>
      </c>
      <c r="C8168" s="220" t="s">
        <v>15049</v>
      </c>
      <c r="D8168" s="221">
        <v>8795.8799999999992</v>
      </c>
      <c r="E8168" s="221">
        <v>1723.5</v>
      </c>
      <c r="F8168" s="221">
        <v>6788.05</v>
      </c>
      <c r="G8168" s="221">
        <v>284.33</v>
      </c>
      <c r="H8168" s="222">
        <v>58356.65</v>
      </c>
      <c r="I8168" s="222">
        <v>19821</v>
      </c>
      <c r="J8168" s="222">
        <v>36808.6</v>
      </c>
      <c r="K8168" s="222">
        <v>1727.05</v>
      </c>
      <c r="L8168" s="43">
        <v>6.6345436727195013</v>
      </c>
      <c r="M8168" s="43">
        <v>11.500435161009573</v>
      </c>
      <c r="N8168" s="43">
        <v>5.4225587613526711</v>
      </c>
      <c r="O8168" s="43">
        <v>6.0741040340449484</v>
      </c>
      <c r="P8168" s="223"/>
      <c r="Q8168" s="223"/>
      <c r="R8168" s="223">
        <v>7</v>
      </c>
    </row>
    <row r="8169" spans="1:18" ht="48">
      <c r="A8169" s="219">
        <v>1019</v>
      </c>
      <c r="B8169" s="216" t="s">
        <v>15050</v>
      </c>
      <c r="C8169" s="220" t="s">
        <v>15051</v>
      </c>
      <c r="D8169" s="221">
        <v>9059.25</v>
      </c>
      <c r="E8169" s="221">
        <v>1769.46</v>
      </c>
      <c r="F8169" s="221">
        <v>6895.82</v>
      </c>
      <c r="G8169" s="221">
        <v>393.97</v>
      </c>
      <c r="H8169" s="222">
        <v>60039.98</v>
      </c>
      <c r="I8169" s="222">
        <v>20349.560000000001</v>
      </c>
      <c r="J8169" s="222">
        <v>37373.769999999997</v>
      </c>
      <c r="K8169" s="222">
        <v>2316.65</v>
      </c>
      <c r="L8169" s="43">
        <v>6.6274779921075151</v>
      </c>
      <c r="M8169" s="43">
        <v>11.500435161009573</v>
      </c>
      <c r="N8169" s="43">
        <v>5.4197716877760724</v>
      </c>
      <c r="O8169" s="43">
        <v>5.8802700713252278</v>
      </c>
      <c r="P8169" s="223"/>
      <c r="Q8169" s="223"/>
      <c r="R8169" s="223">
        <v>7</v>
      </c>
    </row>
    <row r="8170" spans="1:18" ht="48">
      <c r="A8170" s="219">
        <v>1020</v>
      </c>
      <c r="B8170" s="216" t="s">
        <v>15052</v>
      </c>
      <c r="C8170" s="220" t="s">
        <v>15053</v>
      </c>
      <c r="D8170" s="221">
        <v>10251.799999999999</v>
      </c>
      <c r="E8170" s="221">
        <v>1976.28</v>
      </c>
      <c r="F8170" s="221">
        <v>7588.57</v>
      </c>
      <c r="G8170" s="221">
        <v>686.95</v>
      </c>
      <c r="H8170" s="222">
        <v>67689.240000000005</v>
      </c>
      <c r="I8170" s="222">
        <v>22728.080000000002</v>
      </c>
      <c r="J8170" s="222">
        <v>41058.730000000003</v>
      </c>
      <c r="K8170" s="222">
        <v>3902.43</v>
      </c>
      <c r="L8170" s="43">
        <v>6.602668799625433</v>
      </c>
      <c r="M8170" s="43">
        <v>11.500435161009575</v>
      </c>
      <c r="N8170" s="43">
        <v>5.41060173392352</v>
      </c>
      <c r="O8170" s="43">
        <v>5.6808064633524999</v>
      </c>
      <c r="P8170" s="223"/>
      <c r="Q8170" s="223"/>
      <c r="R8170" s="223">
        <v>7</v>
      </c>
    </row>
    <row r="8171" spans="1:18" ht="48">
      <c r="A8171" s="219">
        <v>1021</v>
      </c>
      <c r="B8171" s="216" t="s">
        <v>15054</v>
      </c>
      <c r="C8171" s="220" t="s">
        <v>15055</v>
      </c>
      <c r="D8171" s="221">
        <v>11420.34</v>
      </c>
      <c r="E8171" s="221">
        <v>2562.27</v>
      </c>
      <c r="F8171" s="221">
        <v>7763.08</v>
      </c>
      <c r="G8171" s="221">
        <v>1094.99</v>
      </c>
      <c r="H8171" s="222">
        <v>77546.75</v>
      </c>
      <c r="I8171" s="222">
        <v>29467.22</v>
      </c>
      <c r="J8171" s="222">
        <v>41931.61</v>
      </c>
      <c r="K8171" s="222">
        <v>6147.92</v>
      </c>
      <c r="L8171" s="43">
        <v>6.7902312890859644</v>
      </c>
      <c r="M8171" s="43">
        <v>11.500435161009573</v>
      </c>
      <c r="N8171" s="43">
        <v>5.4014141294434683</v>
      </c>
      <c r="O8171" s="43">
        <v>5.6145900875807087</v>
      </c>
      <c r="P8171" s="223"/>
      <c r="Q8171" s="223"/>
      <c r="R8171" s="223">
        <v>7</v>
      </c>
    </row>
    <row r="8172" spans="1:18" ht="48">
      <c r="A8172" s="219">
        <v>1022</v>
      </c>
      <c r="B8172" s="216" t="s">
        <v>15056</v>
      </c>
      <c r="C8172" s="220" t="s">
        <v>15057</v>
      </c>
      <c r="D8172" s="221">
        <v>13064.38</v>
      </c>
      <c r="E8172" s="221">
        <v>2987.4</v>
      </c>
      <c r="F8172" s="221">
        <v>8633.35</v>
      </c>
      <c r="G8172" s="221">
        <v>1443.63</v>
      </c>
      <c r="H8172" s="222">
        <v>88976.68</v>
      </c>
      <c r="I8172" s="222">
        <v>34356.400000000001</v>
      </c>
      <c r="J8172" s="222">
        <v>46563.41</v>
      </c>
      <c r="K8172" s="222">
        <v>8056.87</v>
      </c>
      <c r="L8172" s="43">
        <v>6.8106316564582476</v>
      </c>
      <c r="M8172" s="43">
        <v>11.500435161009573</v>
      </c>
      <c r="N8172" s="43">
        <v>5.3934347617089546</v>
      </c>
      <c r="O8172" s="43">
        <v>5.5809798909692923</v>
      </c>
      <c r="P8172" s="223"/>
      <c r="Q8172" s="223"/>
      <c r="R8172" s="223">
        <v>7</v>
      </c>
    </row>
    <row r="8173" spans="1:18" ht="48">
      <c r="A8173" s="219">
        <v>1023</v>
      </c>
      <c r="B8173" s="216" t="s">
        <v>15058</v>
      </c>
      <c r="C8173" s="220" t="s">
        <v>15059</v>
      </c>
      <c r="D8173" s="221">
        <v>14775.59</v>
      </c>
      <c r="E8173" s="221">
        <v>3309.12</v>
      </c>
      <c r="F8173" s="221">
        <v>9513.99</v>
      </c>
      <c r="G8173" s="221">
        <v>1952.48</v>
      </c>
      <c r="H8173" s="222">
        <v>100103.52</v>
      </c>
      <c r="I8173" s="222">
        <v>38056.32</v>
      </c>
      <c r="J8173" s="222">
        <v>51238.97</v>
      </c>
      <c r="K8173" s="222">
        <v>10808.23</v>
      </c>
      <c r="L8173" s="43">
        <v>6.7749254006100603</v>
      </c>
      <c r="M8173" s="43">
        <v>11.500435161009573</v>
      </c>
      <c r="N8173" s="43">
        <v>5.3856447189875123</v>
      </c>
      <c r="O8173" s="43">
        <v>5.5356418503646641</v>
      </c>
      <c r="P8173" s="223"/>
      <c r="Q8173" s="223"/>
      <c r="R8173" s="223">
        <v>7</v>
      </c>
    </row>
    <row r="8174" spans="1:18" ht="48">
      <c r="A8174" s="219">
        <v>1024</v>
      </c>
      <c r="B8174" s="216" t="s">
        <v>15060</v>
      </c>
      <c r="C8174" s="220" t="s">
        <v>15061</v>
      </c>
      <c r="D8174" s="221">
        <v>17172.400000000001</v>
      </c>
      <c r="E8174" s="221">
        <v>3964.05</v>
      </c>
      <c r="F8174" s="221">
        <v>10960.67</v>
      </c>
      <c r="G8174" s="221">
        <v>2247.6799999999998</v>
      </c>
      <c r="H8174" s="222">
        <v>116972.95</v>
      </c>
      <c r="I8174" s="222">
        <v>45588.3</v>
      </c>
      <c r="J8174" s="222">
        <v>58925.93</v>
      </c>
      <c r="K8174" s="222">
        <v>12458.72</v>
      </c>
      <c r="L8174" s="43">
        <v>6.8116832824765314</v>
      </c>
      <c r="M8174" s="43">
        <v>11.500435161009573</v>
      </c>
      <c r="N8174" s="43">
        <v>5.3761248171872706</v>
      </c>
      <c r="O8174" s="43">
        <v>5.5429242596810937</v>
      </c>
      <c r="P8174" s="223"/>
      <c r="Q8174" s="223"/>
      <c r="R8174" s="223">
        <v>7</v>
      </c>
    </row>
    <row r="8175" spans="1:18" ht="48">
      <c r="A8175" s="219">
        <v>1025</v>
      </c>
      <c r="B8175" s="216" t="s">
        <v>15062</v>
      </c>
      <c r="C8175" s="220" t="s">
        <v>15063</v>
      </c>
      <c r="D8175" s="221">
        <v>18912.88</v>
      </c>
      <c r="E8175" s="221">
        <v>4262.79</v>
      </c>
      <c r="F8175" s="221">
        <v>12119.11</v>
      </c>
      <c r="G8175" s="221">
        <v>2530.98</v>
      </c>
      <c r="H8175" s="222">
        <v>128178.16</v>
      </c>
      <c r="I8175" s="222">
        <v>49023.94</v>
      </c>
      <c r="J8175" s="222">
        <v>65153.78</v>
      </c>
      <c r="K8175" s="222">
        <v>14000.44</v>
      </c>
      <c r="L8175" s="43">
        <v>6.7772946267305665</v>
      </c>
      <c r="M8175" s="43">
        <v>11.500435161009575</v>
      </c>
      <c r="N8175" s="43">
        <v>5.3761192034728618</v>
      </c>
      <c r="O8175" s="43">
        <v>5.5316280650182934</v>
      </c>
      <c r="P8175" s="223"/>
      <c r="Q8175" s="223"/>
      <c r="R8175" s="223">
        <v>7</v>
      </c>
    </row>
    <row r="8176" spans="1:18" ht="12.75" customHeight="1">
      <c r="A8176" s="628" t="s">
        <v>15064</v>
      </c>
      <c r="B8176" s="629"/>
      <c r="C8176" s="629"/>
      <c r="D8176" s="629"/>
      <c r="E8176" s="629"/>
      <c r="F8176" s="629"/>
      <c r="G8176" s="629"/>
      <c r="H8176" s="629"/>
      <c r="I8176" s="629"/>
      <c r="J8176" s="629"/>
      <c r="K8176" s="629"/>
      <c r="L8176" s="629"/>
      <c r="M8176" s="629"/>
      <c r="N8176" s="629"/>
      <c r="O8176" s="629"/>
      <c r="P8176" s="629"/>
      <c r="Q8176" s="629"/>
      <c r="R8176" s="629"/>
    </row>
    <row r="8177" spans="1:18" ht="60">
      <c r="A8177" s="219">
        <v>1026</v>
      </c>
      <c r="B8177" s="216" t="s">
        <v>15065</v>
      </c>
      <c r="C8177" s="220" t="s">
        <v>15066</v>
      </c>
      <c r="D8177" s="221">
        <v>3419.75</v>
      </c>
      <c r="E8177" s="221">
        <v>639.99</v>
      </c>
      <c r="F8177" s="221">
        <v>2758.21</v>
      </c>
      <c r="G8177" s="221">
        <v>21.55</v>
      </c>
      <c r="H8177" s="222">
        <v>22633.9</v>
      </c>
      <c r="I8177" s="222">
        <v>7360.2</v>
      </c>
      <c r="J8177" s="222">
        <v>15080.78</v>
      </c>
      <c r="K8177" s="222">
        <v>192.92</v>
      </c>
      <c r="L8177" s="43">
        <v>6.6185832297682587</v>
      </c>
      <c r="M8177" s="43">
        <v>11.500492195190549</v>
      </c>
      <c r="N8177" s="43">
        <v>5.4675967384644393</v>
      </c>
      <c r="O8177" s="43">
        <v>8.9522041763341065</v>
      </c>
      <c r="P8177" s="223"/>
      <c r="Q8177" s="223"/>
      <c r="R8177" s="223">
        <v>8</v>
      </c>
    </row>
    <row r="8178" spans="1:18" ht="60">
      <c r="A8178" s="219">
        <v>1027</v>
      </c>
      <c r="B8178" s="216" t="s">
        <v>15067</v>
      </c>
      <c r="C8178" s="220" t="s">
        <v>15068</v>
      </c>
      <c r="D8178" s="221">
        <v>3490.59</v>
      </c>
      <c r="E8178" s="221">
        <v>652.63</v>
      </c>
      <c r="F8178" s="221">
        <v>2813.01</v>
      </c>
      <c r="G8178" s="221">
        <v>24.95</v>
      </c>
      <c r="H8178" s="222">
        <v>23095.41</v>
      </c>
      <c r="I8178" s="222">
        <v>7505.55</v>
      </c>
      <c r="J8178" s="222">
        <v>15377.26</v>
      </c>
      <c r="K8178" s="222">
        <v>212.6</v>
      </c>
      <c r="L8178" s="43">
        <v>6.6164774436413323</v>
      </c>
      <c r="M8178" s="43">
        <v>11.500467339840339</v>
      </c>
      <c r="N8178" s="43">
        <v>5.466478967369472</v>
      </c>
      <c r="O8178" s="43">
        <v>8.5210420841683359</v>
      </c>
      <c r="P8178" s="223"/>
      <c r="Q8178" s="223"/>
      <c r="R8178" s="223">
        <v>8</v>
      </c>
    </row>
    <row r="8179" spans="1:18" ht="60">
      <c r="A8179" s="219">
        <v>1028</v>
      </c>
      <c r="B8179" s="216" t="s">
        <v>15069</v>
      </c>
      <c r="C8179" s="220" t="s">
        <v>15070</v>
      </c>
      <c r="D8179" s="221">
        <v>4149.1400000000003</v>
      </c>
      <c r="E8179" s="221">
        <v>781.32</v>
      </c>
      <c r="F8179" s="221">
        <v>3331.66</v>
      </c>
      <c r="G8179" s="221">
        <v>36.159999999999997</v>
      </c>
      <c r="H8179" s="222">
        <v>27517.61</v>
      </c>
      <c r="I8179" s="222">
        <v>8985.52</v>
      </c>
      <c r="J8179" s="222">
        <v>18243.2</v>
      </c>
      <c r="K8179" s="222">
        <v>288.89</v>
      </c>
      <c r="L8179" s="43">
        <v>6.6321237654068064</v>
      </c>
      <c r="M8179" s="43">
        <v>11.500435161009573</v>
      </c>
      <c r="N8179" s="43">
        <v>5.4757088058205223</v>
      </c>
      <c r="O8179" s="43">
        <v>7.9892146017699117</v>
      </c>
      <c r="P8179" s="223"/>
      <c r="Q8179" s="223"/>
      <c r="R8179" s="223">
        <v>8</v>
      </c>
    </row>
    <row r="8180" spans="1:18" ht="60">
      <c r="A8180" s="219">
        <v>1029</v>
      </c>
      <c r="B8180" s="216" t="s">
        <v>15071</v>
      </c>
      <c r="C8180" s="220" t="s">
        <v>15072</v>
      </c>
      <c r="D8180" s="221">
        <v>4177.68</v>
      </c>
      <c r="E8180" s="221">
        <v>793.96</v>
      </c>
      <c r="F8180" s="221">
        <v>3335</v>
      </c>
      <c r="G8180" s="221">
        <v>48.72</v>
      </c>
      <c r="H8180" s="222">
        <v>27746.55</v>
      </c>
      <c r="I8180" s="222">
        <v>9130.8700000000008</v>
      </c>
      <c r="J8180" s="222">
        <v>18258.71</v>
      </c>
      <c r="K8180" s="222">
        <v>356.97</v>
      </c>
      <c r="L8180" s="43">
        <v>6.6416168782673628</v>
      </c>
      <c r="M8180" s="43">
        <v>11.500415638067409</v>
      </c>
      <c r="N8180" s="43">
        <v>5.47487556221889</v>
      </c>
      <c r="O8180" s="43">
        <v>7.3269704433497544</v>
      </c>
      <c r="P8180" s="223"/>
      <c r="Q8180" s="223"/>
      <c r="R8180" s="223">
        <v>8</v>
      </c>
    </row>
    <row r="8181" spans="1:18" ht="60">
      <c r="A8181" s="219">
        <v>1030</v>
      </c>
      <c r="B8181" s="216" t="s">
        <v>15073</v>
      </c>
      <c r="C8181" s="220" t="s">
        <v>15074</v>
      </c>
      <c r="D8181" s="221">
        <v>4223.62</v>
      </c>
      <c r="E8181" s="221">
        <v>806.6</v>
      </c>
      <c r="F8181" s="221">
        <v>3366.25</v>
      </c>
      <c r="G8181" s="221">
        <v>50.77</v>
      </c>
      <c r="H8181" s="222">
        <v>28073.18</v>
      </c>
      <c r="I8181" s="222">
        <v>9276.23</v>
      </c>
      <c r="J8181" s="222">
        <v>18428.78</v>
      </c>
      <c r="K8181" s="222">
        <v>368.17</v>
      </c>
      <c r="L8181" s="43">
        <v>6.6467106415823398</v>
      </c>
      <c r="M8181" s="43">
        <v>11.500409124721051</v>
      </c>
      <c r="N8181" s="43">
        <v>5.4745725956182696</v>
      </c>
      <c r="O8181" s="43">
        <v>7.2517234587354737</v>
      </c>
      <c r="P8181" s="223"/>
      <c r="Q8181" s="223"/>
      <c r="R8181" s="223">
        <v>8</v>
      </c>
    </row>
    <row r="8182" spans="1:18" ht="60">
      <c r="A8182" s="219">
        <v>1031</v>
      </c>
      <c r="B8182" s="216" t="s">
        <v>15075</v>
      </c>
      <c r="C8182" s="220" t="s">
        <v>15076</v>
      </c>
      <c r="D8182" s="221">
        <v>4756.49</v>
      </c>
      <c r="E8182" s="221">
        <v>847.96</v>
      </c>
      <c r="F8182" s="221">
        <v>3848.46</v>
      </c>
      <c r="G8182" s="221">
        <v>60.07</v>
      </c>
      <c r="H8182" s="222">
        <v>31274.82</v>
      </c>
      <c r="I8182" s="222">
        <v>9751.93</v>
      </c>
      <c r="J8182" s="222">
        <v>21098.74</v>
      </c>
      <c r="K8182" s="222">
        <v>424.15</v>
      </c>
      <c r="L8182" s="43">
        <v>6.575188847238195</v>
      </c>
      <c r="M8182" s="43">
        <v>11.500459927355063</v>
      </c>
      <c r="N8182" s="43">
        <v>5.4823851618569508</v>
      </c>
      <c r="O8182" s="43">
        <v>7.0609289162643583</v>
      </c>
      <c r="P8182" s="223"/>
      <c r="Q8182" s="223"/>
      <c r="R8182" s="223">
        <v>8</v>
      </c>
    </row>
    <row r="8183" spans="1:18" ht="60">
      <c r="A8183" s="219">
        <v>1032</v>
      </c>
      <c r="B8183" s="216" t="s">
        <v>15077</v>
      </c>
      <c r="C8183" s="220" t="s">
        <v>15078</v>
      </c>
      <c r="D8183" s="221">
        <v>5002.28</v>
      </c>
      <c r="E8183" s="221">
        <v>884.73</v>
      </c>
      <c r="F8183" s="221">
        <v>4043.48</v>
      </c>
      <c r="G8183" s="221">
        <v>74.069999999999993</v>
      </c>
      <c r="H8183" s="222">
        <v>32839.040000000001</v>
      </c>
      <c r="I8183" s="222">
        <v>10174.780000000001</v>
      </c>
      <c r="J8183" s="222">
        <v>22148.55</v>
      </c>
      <c r="K8183" s="222">
        <v>515.71</v>
      </c>
      <c r="L8183" s="43">
        <v>6.5648144446132566</v>
      </c>
      <c r="M8183" s="43">
        <v>11.500435161009573</v>
      </c>
      <c r="N8183" s="43">
        <v>5.4775960311414922</v>
      </c>
      <c r="O8183" s="43">
        <v>6.9624679357364663</v>
      </c>
      <c r="P8183" s="223"/>
      <c r="Q8183" s="223"/>
      <c r="R8183" s="223">
        <v>8</v>
      </c>
    </row>
    <row r="8184" spans="1:18" ht="60">
      <c r="A8184" s="219">
        <v>1033</v>
      </c>
      <c r="B8184" s="216" t="s">
        <v>15079</v>
      </c>
      <c r="C8184" s="220" t="s">
        <v>15080</v>
      </c>
      <c r="D8184" s="221">
        <v>5921.01</v>
      </c>
      <c r="E8184" s="221">
        <v>1050.19</v>
      </c>
      <c r="F8184" s="221">
        <v>4723.45</v>
      </c>
      <c r="G8184" s="221">
        <v>147.37</v>
      </c>
      <c r="H8184" s="222">
        <v>38821.25</v>
      </c>
      <c r="I8184" s="222">
        <v>12077.6</v>
      </c>
      <c r="J8184" s="222">
        <v>25811.279999999999</v>
      </c>
      <c r="K8184" s="222">
        <v>932.37</v>
      </c>
      <c r="L8184" s="43">
        <v>6.5565249847576679</v>
      </c>
      <c r="M8184" s="43">
        <v>11.500395166588902</v>
      </c>
      <c r="N8184" s="43">
        <v>5.4644973483364909</v>
      </c>
      <c r="O8184" s="43">
        <v>6.3267286421931193</v>
      </c>
      <c r="P8184" s="223"/>
      <c r="Q8184" s="223"/>
      <c r="R8184" s="223">
        <v>8</v>
      </c>
    </row>
    <row r="8185" spans="1:18" ht="60">
      <c r="A8185" s="219">
        <v>1034</v>
      </c>
      <c r="B8185" s="216" t="s">
        <v>15081</v>
      </c>
      <c r="C8185" s="220" t="s">
        <v>15082</v>
      </c>
      <c r="D8185" s="221">
        <v>7302.65</v>
      </c>
      <c r="E8185" s="221">
        <v>1344.33</v>
      </c>
      <c r="F8185" s="221">
        <v>5682.17</v>
      </c>
      <c r="G8185" s="221">
        <v>276.14999999999998</v>
      </c>
      <c r="H8185" s="222">
        <v>48111.78</v>
      </c>
      <c r="I8185" s="222">
        <v>15460.38</v>
      </c>
      <c r="J8185" s="222">
        <v>30987.57</v>
      </c>
      <c r="K8185" s="222">
        <v>1663.83</v>
      </c>
      <c r="L8185" s="43">
        <v>6.5882631647415666</v>
      </c>
      <c r="M8185" s="43">
        <v>11.500435161009573</v>
      </c>
      <c r="N8185" s="43">
        <v>5.4534746408502386</v>
      </c>
      <c r="O8185" s="43">
        <v>6.0250950570342203</v>
      </c>
      <c r="P8185" s="223"/>
      <c r="Q8185" s="223"/>
      <c r="R8185" s="223">
        <v>8</v>
      </c>
    </row>
    <row r="8186" spans="1:18" ht="60">
      <c r="A8186" s="219">
        <v>1035</v>
      </c>
      <c r="B8186" s="216" t="s">
        <v>15083</v>
      </c>
      <c r="C8186" s="220" t="s">
        <v>15084</v>
      </c>
      <c r="D8186" s="221">
        <v>9007.92</v>
      </c>
      <c r="E8186" s="221">
        <v>1838.4</v>
      </c>
      <c r="F8186" s="221">
        <v>6803.89</v>
      </c>
      <c r="G8186" s="221">
        <v>365.63</v>
      </c>
      <c r="H8186" s="222">
        <v>60377.66</v>
      </c>
      <c r="I8186" s="222">
        <v>21142.400000000001</v>
      </c>
      <c r="J8186" s="222">
        <v>37023.599999999999</v>
      </c>
      <c r="K8186" s="222">
        <v>2211.66</v>
      </c>
      <c r="L8186" s="43">
        <v>6.7027304860611556</v>
      </c>
      <c r="M8186" s="43">
        <v>11.500435161009573</v>
      </c>
      <c r="N8186" s="43">
        <v>5.4415341811816473</v>
      </c>
      <c r="O8186" s="43">
        <v>6.0489018953586955</v>
      </c>
      <c r="P8186" s="223"/>
      <c r="Q8186" s="223"/>
      <c r="R8186" s="223">
        <v>8</v>
      </c>
    </row>
    <row r="8187" spans="1:18" ht="12.75" customHeight="1">
      <c r="A8187" s="628" t="s">
        <v>15085</v>
      </c>
      <c r="B8187" s="629"/>
      <c r="C8187" s="629"/>
      <c r="D8187" s="629"/>
      <c r="E8187" s="629"/>
      <c r="F8187" s="629"/>
      <c r="G8187" s="629"/>
      <c r="H8187" s="629"/>
      <c r="I8187" s="629"/>
      <c r="J8187" s="629"/>
      <c r="K8187" s="629"/>
      <c r="L8187" s="629"/>
      <c r="M8187" s="629"/>
      <c r="N8187" s="629"/>
      <c r="O8187" s="629"/>
      <c r="P8187" s="629"/>
      <c r="Q8187" s="629"/>
      <c r="R8187" s="629"/>
    </row>
    <row r="8188" spans="1:18" ht="60">
      <c r="A8188" s="219">
        <v>1036</v>
      </c>
      <c r="B8188" s="216" t="s">
        <v>15086</v>
      </c>
      <c r="C8188" s="220" t="s">
        <v>15087</v>
      </c>
      <c r="D8188" s="221">
        <v>3602.18</v>
      </c>
      <c r="E8188" s="221">
        <v>664.12</v>
      </c>
      <c r="F8188" s="221">
        <v>2913.26</v>
      </c>
      <c r="G8188" s="221">
        <v>24.8</v>
      </c>
      <c r="H8188" s="222">
        <v>23767.84</v>
      </c>
      <c r="I8188" s="222">
        <v>7637.69</v>
      </c>
      <c r="J8188" s="222">
        <v>15916.85</v>
      </c>
      <c r="K8188" s="222">
        <v>213.3</v>
      </c>
      <c r="L8188" s="43">
        <v>6.5981822118828051</v>
      </c>
      <c r="M8188" s="43">
        <v>11.500466783111484</v>
      </c>
      <c r="N8188" s="43">
        <v>5.4635871841167623</v>
      </c>
      <c r="O8188" s="43">
        <v>8.6008064516129039</v>
      </c>
      <c r="P8188" s="223"/>
      <c r="Q8188" s="223"/>
      <c r="R8188" s="223">
        <v>9</v>
      </c>
    </row>
    <row r="8189" spans="1:18" ht="60">
      <c r="A8189" s="219">
        <v>1037</v>
      </c>
      <c r="B8189" s="216" t="s">
        <v>15088</v>
      </c>
      <c r="C8189" s="220" t="s">
        <v>15089</v>
      </c>
      <c r="D8189" s="221">
        <v>3653.51</v>
      </c>
      <c r="E8189" s="221">
        <v>676.76</v>
      </c>
      <c r="F8189" s="221">
        <v>2948.31</v>
      </c>
      <c r="G8189" s="221">
        <v>28.44</v>
      </c>
      <c r="H8189" s="222">
        <v>24120.85</v>
      </c>
      <c r="I8189" s="222">
        <v>7783.05</v>
      </c>
      <c r="J8189" s="222">
        <v>16104.07</v>
      </c>
      <c r="K8189" s="222">
        <v>233.73</v>
      </c>
      <c r="L8189" s="43">
        <v>6.6021031829665162</v>
      </c>
      <c r="M8189" s="43">
        <v>11.500458064897453</v>
      </c>
      <c r="N8189" s="43">
        <v>5.4621359355020331</v>
      </c>
      <c r="O8189" s="43">
        <v>8.2183544303797458</v>
      </c>
      <c r="P8189" s="223"/>
      <c r="Q8189" s="223"/>
      <c r="R8189" s="223">
        <v>9</v>
      </c>
    </row>
    <row r="8190" spans="1:18" ht="60">
      <c r="A8190" s="219">
        <v>1038</v>
      </c>
      <c r="B8190" s="216" t="s">
        <v>15090</v>
      </c>
      <c r="C8190" s="220" t="s">
        <v>15091</v>
      </c>
      <c r="D8190" s="221">
        <v>4385.95</v>
      </c>
      <c r="E8190" s="221">
        <v>818.09</v>
      </c>
      <c r="F8190" s="221">
        <v>3522.51</v>
      </c>
      <c r="G8190" s="221">
        <v>45.35</v>
      </c>
      <c r="H8190" s="222">
        <v>29012.720000000001</v>
      </c>
      <c r="I8190" s="222">
        <v>9408.3700000000008</v>
      </c>
      <c r="J8190" s="222">
        <v>19262.169999999998</v>
      </c>
      <c r="K8190" s="222">
        <v>342.18</v>
      </c>
      <c r="L8190" s="43">
        <v>6.6149226507370127</v>
      </c>
      <c r="M8190" s="43">
        <v>11.500409490398367</v>
      </c>
      <c r="N8190" s="43">
        <v>5.4683081098421287</v>
      </c>
      <c r="O8190" s="43">
        <v>7.5453142227122383</v>
      </c>
      <c r="P8190" s="223"/>
      <c r="Q8190" s="223"/>
      <c r="R8190" s="223">
        <v>9</v>
      </c>
    </row>
    <row r="8191" spans="1:18" ht="60">
      <c r="A8191" s="219">
        <v>1039</v>
      </c>
      <c r="B8191" s="216" t="s">
        <v>15092</v>
      </c>
      <c r="C8191" s="220" t="s">
        <v>15093</v>
      </c>
      <c r="D8191" s="221">
        <v>4407.24</v>
      </c>
      <c r="E8191" s="221">
        <v>818.09</v>
      </c>
      <c r="F8191" s="221">
        <v>3535.39</v>
      </c>
      <c r="G8191" s="221">
        <v>53.76</v>
      </c>
      <c r="H8191" s="222">
        <v>29128.59</v>
      </c>
      <c r="I8191" s="222">
        <v>9408.3700000000008</v>
      </c>
      <c r="J8191" s="222">
        <v>19334.740000000002</v>
      </c>
      <c r="K8191" s="222">
        <v>385.48</v>
      </c>
      <c r="L8191" s="43">
        <v>6.6092588558825938</v>
      </c>
      <c r="M8191" s="43">
        <v>11.500409490398367</v>
      </c>
      <c r="N8191" s="43">
        <v>5.4689129063554525</v>
      </c>
      <c r="O8191" s="43">
        <v>7.1703869047619051</v>
      </c>
      <c r="P8191" s="223"/>
      <c r="Q8191" s="223"/>
      <c r="R8191" s="223">
        <v>9</v>
      </c>
    </row>
    <row r="8192" spans="1:18" ht="60">
      <c r="A8192" s="219">
        <v>1040</v>
      </c>
      <c r="B8192" s="216" t="s">
        <v>15094</v>
      </c>
      <c r="C8192" s="220" t="s">
        <v>15095</v>
      </c>
      <c r="D8192" s="221">
        <v>4634.7700000000004</v>
      </c>
      <c r="E8192" s="221">
        <v>854.86</v>
      </c>
      <c r="F8192" s="221">
        <v>3720.73</v>
      </c>
      <c r="G8192" s="221">
        <v>59.18</v>
      </c>
      <c r="H8192" s="222">
        <v>30580.79</v>
      </c>
      <c r="I8192" s="222">
        <v>9831.2199999999993</v>
      </c>
      <c r="J8192" s="222">
        <v>20331.21</v>
      </c>
      <c r="K8192" s="222">
        <v>418.36</v>
      </c>
      <c r="L8192" s="43">
        <v>6.59812461028271</v>
      </c>
      <c r="M8192" s="43">
        <v>11.500386028121563</v>
      </c>
      <c r="N8192" s="43">
        <v>5.464306735506204</v>
      </c>
      <c r="O8192" s="43">
        <v>7.0692801622169652</v>
      </c>
      <c r="P8192" s="223"/>
      <c r="Q8192" s="223"/>
      <c r="R8192" s="223">
        <v>9</v>
      </c>
    </row>
    <row r="8193" spans="1:18" ht="60">
      <c r="A8193" s="219">
        <v>1041</v>
      </c>
      <c r="B8193" s="216" t="s">
        <v>15096</v>
      </c>
      <c r="C8193" s="220" t="s">
        <v>15097</v>
      </c>
      <c r="D8193" s="221">
        <v>5761.46</v>
      </c>
      <c r="E8193" s="221">
        <v>1047.8900000000001</v>
      </c>
      <c r="F8193" s="221">
        <v>4633.42</v>
      </c>
      <c r="G8193" s="221">
        <v>80.150000000000006</v>
      </c>
      <c r="H8193" s="222">
        <v>37921.879999999997</v>
      </c>
      <c r="I8193" s="222">
        <v>12051.17</v>
      </c>
      <c r="J8193" s="222">
        <v>25316.16</v>
      </c>
      <c r="K8193" s="222">
        <v>554.54999999999995</v>
      </c>
      <c r="L8193" s="43">
        <v>6.5819913702429584</v>
      </c>
      <c r="M8193" s="43">
        <v>11.500415119907624</v>
      </c>
      <c r="N8193" s="43">
        <v>5.4638172235627245</v>
      </c>
      <c r="O8193" s="43">
        <v>6.9189020586400485</v>
      </c>
      <c r="P8193" s="223"/>
      <c r="Q8193" s="223"/>
      <c r="R8193" s="223">
        <v>9</v>
      </c>
    </row>
    <row r="8194" spans="1:18" ht="60">
      <c r="A8194" s="219">
        <v>1042</v>
      </c>
      <c r="B8194" s="216" t="s">
        <v>15098</v>
      </c>
      <c r="C8194" s="220" t="s">
        <v>15099</v>
      </c>
      <c r="D8194" s="221">
        <v>5868.19</v>
      </c>
      <c r="E8194" s="221">
        <v>1085.81</v>
      </c>
      <c r="F8194" s="221">
        <v>4683.76</v>
      </c>
      <c r="G8194" s="221">
        <v>98.62</v>
      </c>
      <c r="H8194" s="222">
        <v>38764.629999999997</v>
      </c>
      <c r="I8194" s="222">
        <v>12487.23</v>
      </c>
      <c r="J8194" s="222">
        <v>25599.43</v>
      </c>
      <c r="K8194" s="222">
        <v>677.97</v>
      </c>
      <c r="L8194" s="43">
        <v>6.6058921064246388</v>
      </c>
      <c r="M8194" s="43">
        <v>11.500382203147881</v>
      </c>
      <c r="N8194" s="43">
        <v>5.4655725314704426</v>
      </c>
      <c r="O8194" s="43">
        <v>6.8745690529304397</v>
      </c>
      <c r="P8194" s="223"/>
      <c r="Q8194" s="223"/>
      <c r="R8194" s="223">
        <v>9</v>
      </c>
    </row>
    <row r="8195" spans="1:18" ht="60">
      <c r="A8195" s="219">
        <v>1043</v>
      </c>
      <c r="B8195" s="216" t="s">
        <v>15100</v>
      </c>
      <c r="C8195" s="220" t="s">
        <v>15101</v>
      </c>
      <c r="D8195" s="221">
        <v>7072.85</v>
      </c>
      <c r="E8195" s="221">
        <v>1367.31</v>
      </c>
      <c r="F8195" s="221">
        <v>5492.21</v>
      </c>
      <c r="G8195" s="221">
        <v>213.33</v>
      </c>
      <c r="H8195" s="222">
        <v>47014.55</v>
      </c>
      <c r="I8195" s="222">
        <v>15724.66</v>
      </c>
      <c r="J8195" s="222">
        <v>29956.73</v>
      </c>
      <c r="K8195" s="222">
        <v>1333.16</v>
      </c>
      <c r="L8195" s="43">
        <v>6.647186070678722</v>
      </c>
      <c r="M8195" s="43">
        <v>11.500435161009573</v>
      </c>
      <c r="N8195" s="43">
        <v>5.4544036007363159</v>
      </c>
      <c r="O8195" s="43">
        <v>6.2492851450803917</v>
      </c>
      <c r="P8195" s="223"/>
      <c r="Q8195" s="223"/>
      <c r="R8195" s="223">
        <v>9</v>
      </c>
    </row>
    <row r="8196" spans="1:18" ht="60">
      <c r="A8196" s="219">
        <v>1044</v>
      </c>
      <c r="B8196" s="216" t="s">
        <v>15102</v>
      </c>
      <c r="C8196" s="220" t="s">
        <v>15103</v>
      </c>
      <c r="D8196" s="221">
        <v>8092.57</v>
      </c>
      <c r="E8196" s="221">
        <v>1562.64</v>
      </c>
      <c r="F8196" s="221">
        <v>6151.1</v>
      </c>
      <c r="G8196" s="221">
        <v>378.83</v>
      </c>
      <c r="H8196" s="222">
        <v>53705.84</v>
      </c>
      <c r="I8196" s="222">
        <v>17971.04</v>
      </c>
      <c r="J8196" s="222">
        <v>33485.379999999997</v>
      </c>
      <c r="K8196" s="222">
        <v>2249.42</v>
      </c>
      <c r="L8196" s="43">
        <v>6.6364381154565235</v>
      </c>
      <c r="M8196" s="43">
        <v>11.500435161009573</v>
      </c>
      <c r="N8196" s="43">
        <v>5.4438035473329967</v>
      </c>
      <c r="O8196" s="43">
        <v>5.9378085156930558</v>
      </c>
      <c r="P8196" s="223"/>
      <c r="Q8196" s="223"/>
      <c r="R8196" s="223">
        <v>9</v>
      </c>
    </row>
    <row r="8197" spans="1:18" ht="60">
      <c r="A8197" s="219">
        <v>1045</v>
      </c>
      <c r="B8197" s="216" t="s">
        <v>15104</v>
      </c>
      <c r="C8197" s="220" t="s">
        <v>15105</v>
      </c>
      <c r="D8197" s="221">
        <v>9186.2999999999993</v>
      </c>
      <c r="E8197" s="221">
        <v>1907.34</v>
      </c>
      <c r="F8197" s="221">
        <v>6818.27</v>
      </c>
      <c r="G8197" s="221">
        <v>460.69</v>
      </c>
      <c r="H8197" s="222">
        <v>61737.5</v>
      </c>
      <c r="I8197" s="222">
        <v>21935.24</v>
      </c>
      <c r="J8197" s="222">
        <v>37062.910000000003</v>
      </c>
      <c r="K8197" s="222">
        <v>2739.35</v>
      </c>
      <c r="L8197" s="43">
        <v>6.7206056845519964</v>
      </c>
      <c r="M8197" s="43">
        <v>11.500435161009575</v>
      </c>
      <c r="N8197" s="43">
        <v>5.4358231633537537</v>
      </c>
      <c r="O8197" s="43">
        <v>5.9461894115348715</v>
      </c>
      <c r="P8197" s="223"/>
      <c r="Q8197" s="223"/>
      <c r="R8197" s="223">
        <v>9</v>
      </c>
    </row>
    <row r="8198" spans="1:18" ht="12.75" customHeight="1">
      <c r="A8198" s="628" t="s">
        <v>15106</v>
      </c>
      <c r="B8198" s="629"/>
      <c r="C8198" s="629"/>
      <c r="D8198" s="629"/>
      <c r="E8198" s="629"/>
      <c r="F8198" s="629"/>
      <c r="G8198" s="629"/>
      <c r="H8198" s="629"/>
      <c r="I8198" s="629"/>
      <c r="J8198" s="629"/>
      <c r="K8198" s="629"/>
      <c r="L8198" s="629"/>
      <c r="M8198" s="629"/>
      <c r="N8198" s="629"/>
      <c r="O8198" s="629"/>
      <c r="P8198" s="629"/>
      <c r="Q8198" s="629"/>
      <c r="R8198" s="629"/>
    </row>
    <row r="8199" spans="1:18" ht="60">
      <c r="A8199" s="219">
        <v>1046</v>
      </c>
      <c r="B8199" s="216" t="s">
        <v>15107</v>
      </c>
      <c r="C8199" s="220" t="s">
        <v>15108</v>
      </c>
      <c r="D8199" s="221">
        <v>3886.2</v>
      </c>
      <c r="E8199" s="221">
        <v>727.32</v>
      </c>
      <c r="F8199" s="221">
        <v>3130.64</v>
      </c>
      <c r="G8199" s="221">
        <v>28.24</v>
      </c>
      <c r="H8199" s="222">
        <v>25688.1</v>
      </c>
      <c r="I8199" s="222">
        <v>8364.4599999999991</v>
      </c>
      <c r="J8199" s="222">
        <v>17084.13</v>
      </c>
      <c r="K8199" s="222">
        <v>239.51</v>
      </c>
      <c r="L8199" s="43">
        <v>6.610081828006793</v>
      </c>
      <c r="M8199" s="43">
        <v>11.500384974976624</v>
      </c>
      <c r="N8199" s="43">
        <v>5.457072675235735</v>
      </c>
      <c r="O8199" s="43">
        <v>8.4812322946175644</v>
      </c>
      <c r="P8199" s="223"/>
      <c r="Q8199" s="223"/>
      <c r="R8199" s="223">
        <v>10</v>
      </c>
    </row>
    <row r="8200" spans="1:18" ht="60">
      <c r="A8200" s="219">
        <v>1047</v>
      </c>
      <c r="B8200" s="216" t="s">
        <v>15109</v>
      </c>
      <c r="C8200" s="220" t="s">
        <v>15110</v>
      </c>
      <c r="D8200" s="221">
        <v>3926.31</v>
      </c>
      <c r="E8200" s="221">
        <v>739.96</v>
      </c>
      <c r="F8200" s="221">
        <v>3153.87</v>
      </c>
      <c r="G8200" s="221">
        <v>32.479999999999997</v>
      </c>
      <c r="H8200" s="222">
        <v>25982.66</v>
      </c>
      <c r="I8200" s="222">
        <v>8509.82</v>
      </c>
      <c r="J8200" s="222">
        <v>17209.759999999998</v>
      </c>
      <c r="K8200" s="222">
        <v>263.08</v>
      </c>
      <c r="L8200" s="43">
        <v>6.6175773181434989</v>
      </c>
      <c r="M8200" s="43">
        <v>11.500378398832368</v>
      </c>
      <c r="N8200" s="43">
        <v>5.4567119126660257</v>
      </c>
      <c r="O8200" s="43">
        <v>8.0997536945812811</v>
      </c>
      <c r="P8200" s="223"/>
      <c r="Q8200" s="223"/>
      <c r="R8200" s="223">
        <v>10</v>
      </c>
    </row>
    <row r="8201" spans="1:18" ht="60">
      <c r="A8201" s="219">
        <v>1048</v>
      </c>
      <c r="B8201" s="216" t="s">
        <v>15111</v>
      </c>
      <c r="C8201" s="220" t="s">
        <v>15112</v>
      </c>
      <c r="D8201" s="221">
        <v>4931.7299999999996</v>
      </c>
      <c r="E8201" s="221">
        <v>930.69</v>
      </c>
      <c r="F8201" s="221">
        <v>3949.82</v>
      </c>
      <c r="G8201" s="221">
        <v>51.22</v>
      </c>
      <c r="H8201" s="222">
        <v>32653.55</v>
      </c>
      <c r="I8201" s="222">
        <v>10703.34</v>
      </c>
      <c r="J8201" s="222">
        <v>21562.54</v>
      </c>
      <c r="K8201" s="222">
        <v>387.67</v>
      </c>
      <c r="L8201" s="43">
        <v>6.6211147001153758</v>
      </c>
      <c r="M8201" s="43">
        <v>11.500435161009573</v>
      </c>
      <c r="N8201" s="43">
        <v>5.4591196560855941</v>
      </c>
      <c r="O8201" s="43">
        <v>7.5687231550175715</v>
      </c>
      <c r="P8201" s="223"/>
      <c r="Q8201" s="223"/>
      <c r="R8201" s="223">
        <v>10</v>
      </c>
    </row>
    <row r="8202" spans="1:18" ht="60">
      <c r="A8202" s="219">
        <v>1049</v>
      </c>
      <c r="B8202" s="216" t="s">
        <v>15113</v>
      </c>
      <c r="C8202" s="220" t="s">
        <v>15114</v>
      </c>
      <c r="D8202" s="221">
        <v>4973.29</v>
      </c>
      <c r="E8202" s="221">
        <v>943.33</v>
      </c>
      <c r="F8202" s="221">
        <v>3967.63</v>
      </c>
      <c r="G8202" s="221">
        <v>62.33</v>
      </c>
      <c r="H8202" s="222">
        <v>32957.35</v>
      </c>
      <c r="I8202" s="222">
        <v>10848.69</v>
      </c>
      <c r="J8202" s="222">
        <v>21661.66</v>
      </c>
      <c r="K8202" s="222">
        <v>447</v>
      </c>
      <c r="L8202" s="43">
        <v>6.6268707435118399</v>
      </c>
      <c r="M8202" s="43">
        <v>11.500418729394804</v>
      </c>
      <c r="N8202" s="43">
        <v>5.4595967869987874</v>
      </c>
      <c r="O8202" s="43">
        <v>7.1715064976736729</v>
      </c>
      <c r="P8202" s="223"/>
      <c r="Q8202" s="223"/>
      <c r="R8202" s="223">
        <v>10</v>
      </c>
    </row>
    <row r="8203" spans="1:18" ht="60">
      <c r="A8203" s="219">
        <v>1050</v>
      </c>
      <c r="B8203" s="216" t="s">
        <v>15115</v>
      </c>
      <c r="C8203" s="220" t="s">
        <v>15116</v>
      </c>
      <c r="D8203" s="221">
        <v>5324.45</v>
      </c>
      <c r="E8203" s="221">
        <v>1018.01</v>
      </c>
      <c r="F8203" s="221">
        <v>4228.57</v>
      </c>
      <c r="G8203" s="221">
        <v>77.87</v>
      </c>
      <c r="H8203" s="222">
        <v>35300.629999999997</v>
      </c>
      <c r="I8203" s="222">
        <v>11707.6</v>
      </c>
      <c r="J8203" s="222">
        <v>23054.5</v>
      </c>
      <c r="K8203" s="222">
        <v>538.53</v>
      </c>
      <c r="L8203" s="43">
        <v>6.6299110706270126</v>
      </c>
      <c r="M8203" s="43">
        <v>11.500476419681537</v>
      </c>
      <c r="N8203" s="43">
        <v>5.4520795446214683</v>
      </c>
      <c r="O8203" s="43">
        <v>6.9157570309490168</v>
      </c>
      <c r="P8203" s="223"/>
      <c r="Q8203" s="223"/>
      <c r="R8203" s="223">
        <v>10</v>
      </c>
    </row>
    <row r="8204" spans="1:18" ht="60">
      <c r="A8204" s="219">
        <v>1051</v>
      </c>
      <c r="B8204" s="216" t="s">
        <v>15117</v>
      </c>
      <c r="C8204" s="220" t="s">
        <v>15118</v>
      </c>
      <c r="D8204" s="221">
        <v>6488.73</v>
      </c>
      <c r="E8204" s="221">
        <v>1252.4100000000001</v>
      </c>
      <c r="F8204" s="221">
        <v>5139.76</v>
      </c>
      <c r="G8204" s="221">
        <v>96.56</v>
      </c>
      <c r="H8204" s="222">
        <v>43103.45</v>
      </c>
      <c r="I8204" s="222">
        <v>14403.26</v>
      </c>
      <c r="J8204" s="222">
        <v>28032.61</v>
      </c>
      <c r="K8204" s="222">
        <v>667.58</v>
      </c>
      <c r="L8204" s="43">
        <v>6.6428176237877059</v>
      </c>
      <c r="M8204" s="43">
        <v>11.500435161009573</v>
      </c>
      <c r="N8204" s="43">
        <v>5.4540698398368797</v>
      </c>
      <c r="O8204" s="43">
        <v>6.9136288318144166</v>
      </c>
      <c r="P8204" s="223"/>
      <c r="Q8204" s="223"/>
      <c r="R8204" s="223">
        <v>10</v>
      </c>
    </row>
    <row r="8205" spans="1:18" ht="60">
      <c r="A8205" s="219">
        <v>1052</v>
      </c>
      <c r="B8205" s="216" t="s">
        <v>15119</v>
      </c>
      <c r="C8205" s="220" t="s">
        <v>15120</v>
      </c>
      <c r="D8205" s="221">
        <v>6787.33</v>
      </c>
      <c r="E8205" s="221">
        <v>1286.8800000000001</v>
      </c>
      <c r="F8205" s="221">
        <v>5365.46</v>
      </c>
      <c r="G8205" s="221">
        <v>134.99</v>
      </c>
      <c r="H8205" s="222">
        <v>44954.51</v>
      </c>
      <c r="I8205" s="222">
        <v>14799.68</v>
      </c>
      <c r="J8205" s="222">
        <v>29249.29</v>
      </c>
      <c r="K8205" s="222">
        <v>905.54</v>
      </c>
      <c r="L8205" s="43">
        <v>6.6232981157539124</v>
      </c>
      <c r="M8205" s="43">
        <v>11.500435161009573</v>
      </c>
      <c r="N8205" s="43">
        <v>5.4514039802738257</v>
      </c>
      <c r="O8205" s="43">
        <v>6.7082006074524028</v>
      </c>
      <c r="P8205" s="223"/>
      <c r="Q8205" s="223"/>
      <c r="R8205" s="223">
        <v>10</v>
      </c>
    </row>
    <row r="8206" spans="1:18" ht="60">
      <c r="A8206" s="219">
        <v>1053</v>
      </c>
      <c r="B8206" s="216" t="s">
        <v>15121</v>
      </c>
      <c r="C8206" s="220" t="s">
        <v>15122</v>
      </c>
      <c r="D8206" s="221">
        <v>7781.91</v>
      </c>
      <c r="E8206" s="221">
        <v>1505.19</v>
      </c>
      <c r="F8206" s="221">
        <v>6011.8</v>
      </c>
      <c r="G8206" s="221">
        <v>264.92</v>
      </c>
      <c r="H8206" s="222">
        <v>51675.18</v>
      </c>
      <c r="I8206" s="222">
        <v>17310.34</v>
      </c>
      <c r="J8206" s="222">
        <v>32732.67</v>
      </c>
      <c r="K8206" s="222">
        <v>1632.17</v>
      </c>
      <c r="L8206" s="43">
        <v>6.6404237520094682</v>
      </c>
      <c r="M8206" s="43">
        <v>11.500435161009573</v>
      </c>
      <c r="N8206" s="43">
        <v>5.4447370171995075</v>
      </c>
      <c r="O8206" s="43">
        <v>6.1609919975841763</v>
      </c>
      <c r="P8206" s="223"/>
      <c r="Q8206" s="223"/>
      <c r="R8206" s="223">
        <v>10</v>
      </c>
    </row>
    <row r="8207" spans="1:18" ht="60">
      <c r="A8207" s="219">
        <v>1054</v>
      </c>
      <c r="B8207" s="216" t="s">
        <v>15123</v>
      </c>
      <c r="C8207" s="220" t="s">
        <v>15124</v>
      </c>
      <c r="D8207" s="221">
        <v>9359.11</v>
      </c>
      <c r="E8207" s="221">
        <v>1999.26</v>
      </c>
      <c r="F8207" s="221">
        <v>6836.57</v>
      </c>
      <c r="G8207" s="221">
        <v>523.28</v>
      </c>
      <c r="H8207" s="222">
        <v>63243.51</v>
      </c>
      <c r="I8207" s="222">
        <v>22992.36</v>
      </c>
      <c r="J8207" s="222">
        <v>37157.019999999997</v>
      </c>
      <c r="K8207" s="222">
        <v>3094.13</v>
      </c>
      <c r="L8207" s="43">
        <v>6.7574277896082</v>
      </c>
      <c r="M8207" s="43">
        <v>11.500435161009573</v>
      </c>
      <c r="N8207" s="43">
        <v>5.4350383306248595</v>
      </c>
      <c r="O8207" s="43">
        <v>5.9129529123987163</v>
      </c>
      <c r="P8207" s="223"/>
      <c r="Q8207" s="223"/>
      <c r="R8207" s="223">
        <v>10</v>
      </c>
    </row>
    <row r="8208" spans="1:18" ht="60">
      <c r="A8208" s="219">
        <v>1055</v>
      </c>
      <c r="B8208" s="216" t="s">
        <v>15125</v>
      </c>
      <c r="C8208" s="220" t="s">
        <v>15126</v>
      </c>
      <c r="D8208" s="221">
        <v>10729.15</v>
      </c>
      <c r="E8208" s="221">
        <v>2332.4699999999998</v>
      </c>
      <c r="F8208" s="221">
        <v>7757.59</v>
      </c>
      <c r="G8208" s="221">
        <v>639.09</v>
      </c>
      <c r="H8208" s="222">
        <v>72656.91</v>
      </c>
      <c r="I8208" s="222">
        <v>26824.42</v>
      </c>
      <c r="J8208" s="222">
        <v>42060.86</v>
      </c>
      <c r="K8208" s="222">
        <v>3771.63</v>
      </c>
      <c r="L8208" s="43">
        <v>6.7719166942395255</v>
      </c>
      <c r="M8208" s="43">
        <v>11.500435161009573</v>
      </c>
      <c r="N8208" s="43">
        <v>5.4218977801095445</v>
      </c>
      <c r="O8208" s="43">
        <v>5.9015631601182932</v>
      </c>
      <c r="P8208" s="223"/>
      <c r="Q8208" s="223"/>
      <c r="R8208" s="223">
        <v>10</v>
      </c>
    </row>
    <row r="8209" spans="1:18" ht="12.75" customHeight="1">
      <c r="A8209" s="628" t="s">
        <v>15127</v>
      </c>
      <c r="B8209" s="629"/>
      <c r="C8209" s="629"/>
      <c r="D8209" s="629"/>
      <c r="E8209" s="629"/>
      <c r="F8209" s="629"/>
      <c r="G8209" s="629"/>
      <c r="H8209" s="629"/>
      <c r="I8209" s="629"/>
      <c r="J8209" s="629"/>
      <c r="K8209" s="629"/>
      <c r="L8209" s="629"/>
      <c r="M8209" s="629"/>
      <c r="N8209" s="629"/>
      <c r="O8209" s="629"/>
      <c r="P8209" s="629"/>
      <c r="Q8209" s="629"/>
      <c r="R8209" s="629"/>
    </row>
    <row r="8210" spans="1:18" ht="60">
      <c r="A8210" s="219">
        <v>1056</v>
      </c>
      <c r="B8210" s="216" t="s">
        <v>15128</v>
      </c>
      <c r="C8210" s="220" t="s">
        <v>15129</v>
      </c>
      <c r="D8210" s="221">
        <v>4354.87</v>
      </c>
      <c r="E8210" s="221">
        <v>827.28</v>
      </c>
      <c r="F8210" s="221">
        <v>3494.46</v>
      </c>
      <c r="G8210" s="221">
        <v>33.130000000000003</v>
      </c>
      <c r="H8210" s="222">
        <v>28843.26</v>
      </c>
      <c r="I8210" s="222">
        <v>9514.08</v>
      </c>
      <c r="J8210" s="222">
        <v>19052.45</v>
      </c>
      <c r="K8210" s="222">
        <v>276.73</v>
      </c>
      <c r="L8210" s="43">
        <v>6.6232195220523229</v>
      </c>
      <c r="M8210" s="43">
        <v>11.500435161009573</v>
      </c>
      <c r="N8210" s="43">
        <v>5.4521871762733012</v>
      </c>
      <c r="O8210" s="43">
        <v>8.3528523996377899</v>
      </c>
      <c r="P8210" s="223"/>
      <c r="Q8210" s="223"/>
      <c r="R8210" s="223">
        <v>11</v>
      </c>
    </row>
    <row r="8211" spans="1:18" ht="60">
      <c r="A8211" s="219">
        <v>1057</v>
      </c>
      <c r="B8211" s="216" t="s">
        <v>15130</v>
      </c>
      <c r="C8211" s="220" t="s">
        <v>15131</v>
      </c>
      <c r="D8211" s="221">
        <v>4418.9399999999996</v>
      </c>
      <c r="E8211" s="221">
        <v>865.2</v>
      </c>
      <c r="F8211" s="221">
        <v>3507.34</v>
      </c>
      <c r="G8211" s="221">
        <v>46.4</v>
      </c>
      <c r="H8211" s="222">
        <v>29427.73</v>
      </c>
      <c r="I8211" s="222">
        <v>9950.14</v>
      </c>
      <c r="J8211" s="222">
        <v>19125.03</v>
      </c>
      <c r="K8211" s="222">
        <v>352.56</v>
      </c>
      <c r="L8211" s="43">
        <v>6.659454529819369</v>
      </c>
      <c r="M8211" s="43">
        <v>11.500392972723068</v>
      </c>
      <c r="N8211" s="43">
        <v>5.4528588617014595</v>
      </c>
      <c r="O8211" s="43">
        <v>7.5982758620689657</v>
      </c>
      <c r="P8211" s="223"/>
      <c r="Q8211" s="223"/>
      <c r="R8211" s="223">
        <v>11</v>
      </c>
    </row>
    <row r="8212" spans="1:18" ht="60">
      <c r="A8212" s="219">
        <v>1058</v>
      </c>
      <c r="B8212" s="216" t="s">
        <v>15132</v>
      </c>
      <c r="C8212" s="220" t="s">
        <v>15133</v>
      </c>
      <c r="D8212" s="221">
        <v>5131.6099999999997</v>
      </c>
      <c r="E8212" s="221">
        <v>1028.3599999999999</v>
      </c>
      <c r="F8212" s="221">
        <v>4039.01</v>
      </c>
      <c r="G8212" s="221">
        <v>64.239999999999995</v>
      </c>
      <c r="H8212" s="222">
        <v>34285.300000000003</v>
      </c>
      <c r="I8212" s="222">
        <v>11826.53</v>
      </c>
      <c r="J8212" s="222">
        <v>21995.5</v>
      </c>
      <c r="K8212" s="222">
        <v>463.27</v>
      </c>
      <c r="L8212" s="43">
        <v>6.6811975189073225</v>
      </c>
      <c r="M8212" s="43">
        <v>11.500379244622508</v>
      </c>
      <c r="N8212" s="43">
        <v>5.4457651751295488</v>
      </c>
      <c r="O8212" s="43">
        <v>7.2115504358655045</v>
      </c>
      <c r="P8212" s="223"/>
      <c r="Q8212" s="223"/>
      <c r="R8212" s="223">
        <v>11</v>
      </c>
    </row>
    <row r="8213" spans="1:18" ht="12.75" customHeight="1">
      <c r="A8213" s="628" t="s">
        <v>15134</v>
      </c>
      <c r="B8213" s="629"/>
      <c r="C8213" s="629"/>
      <c r="D8213" s="629"/>
      <c r="E8213" s="629"/>
      <c r="F8213" s="629"/>
      <c r="G8213" s="629"/>
      <c r="H8213" s="629"/>
      <c r="I8213" s="629"/>
      <c r="J8213" s="629"/>
      <c r="K8213" s="629"/>
      <c r="L8213" s="629"/>
      <c r="M8213" s="629"/>
      <c r="N8213" s="629"/>
      <c r="O8213" s="629"/>
      <c r="P8213" s="629"/>
      <c r="Q8213" s="629"/>
      <c r="R8213" s="629"/>
    </row>
    <row r="8214" spans="1:18" ht="60">
      <c r="A8214" s="219">
        <v>1059</v>
      </c>
      <c r="B8214" s="216" t="s">
        <v>15135</v>
      </c>
      <c r="C8214" s="220" t="s">
        <v>15136</v>
      </c>
      <c r="D8214" s="221">
        <v>4248.88</v>
      </c>
      <c r="E8214" s="221">
        <v>866.35</v>
      </c>
      <c r="F8214" s="221">
        <v>3337.2</v>
      </c>
      <c r="G8214" s="221">
        <v>45.33</v>
      </c>
      <c r="H8214" s="222">
        <v>28550.14</v>
      </c>
      <c r="I8214" s="222">
        <v>9963.36</v>
      </c>
      <c r="J8214" s="222">
        <v>18241.54</v>
      </c>
      <c r="K8214" s="222">
        <v>345.24</v>
      </c>
      <c r="L8214" s="43">
        <v>6.7194507729095667</v>
      </c>
      <c r="M8214" s="43">
        <v>11.50038667974837</v>
      </c>
      <c r="N8214" s="43">
        <v>5.466121299292821</v>
      </c>
      <c r="O8214" s="43">
        <v>7.616148246194574</v>
      </c>
      <c r="P8214" s="223"/>
      <c r="Q8214" s="223"/>
      <c r="R8214" s="223">
        <v>12</v>
      </c>
    </row>
    <row r="8215" spans="1:18" ht="60">
      <c r="A8215" s="219">
        <v>1060</v>
      </c>
      <c r="B8215" s="216" t="s">
        <v>15137</v>
      </c>
      <c r="C8215" s="220" t="s">
        <v>15138</v>
      </c>
      <c r="D8215" s="221">
        <v>4309.21</v>
      </c>
      <c r="E8215" s="221">
        <v>891.62</v>
      </c>
      <c r="F8215" s="221">
        <v>3346.5</v>
      </c>
      <c r="G8215" s="221">
        <v>71.09</v>
      </c>
      <c r="H8215" s="222">
        <v>29031.03</v>
      </c>
      <c r="I8215" s="222">
        <v>10254.06</v>
      </c>
      <c r="J8215" s="222">
        <v>18294.5</v>
      </c>
      <c r="K8215" s="222">
        <v>482.47</v>
      </c>
      <c r="L8215" s="43">
        <v>6.7369726701646009</v>
      </c>
      <c r="M8215" s="43">
        <v>11.50048226823086</v>
      </c>
      <c r="N8215" s="43">
        <v>5.4667563125653666</v>
      </c>
      <c r="O8215" s="43">
        <v>6.7867491911661277</v>
      </c>
      <c r="P8215" s="223"/>
      <c r="Q8215" s="223"/>
      <c r="R8215" s="223">
        <v>12</v>
      </c>
    </row>
    <row r="8216" spans="1:18" ht="60">
      <c r="A8216" s="219">
        <v>1061</v>
      </c>
      <c r="B8216" s="216" t="s">
        <v>15139</v>
      </c>
      <c r="C8216" s="220" t="s">
        <v>15140</v>
      </c>
      <c r="D8216" s="221">
        <v>5515.71</v>
      </c>
      <c r="E8216" s="221">
        <v>1171.98</v>
      </c>
      <c r="F8216" s="221">
        <v>4222.54</v>
      </c>
      <c r="G8216" s="221">
        <v>121.19</v>
      </c>
      <c r="H8216" s="222">
        <v>37392.83</v>
      </c>
      <c r="I8216" s="222">
        <v>13478.28</v>
      </c>
      <c r="J8216" s="222">
        <v>23130.92</v>
      </c>
      <c r="K8216" s="222">
        <v>783.63</v>
      </c>
      <c r="L8216" s="43">
        <v>6.7793321258731876</v>
      </c>
      <c r="M8216" s="43">
        <v>11.500435161009573</v>
      </c>
      <c r="N8216" s="43">
        <v>5.4779635006417937</v>
      </c>
      <c r="O8216" s="43">
        <v>6.4661275682812116</v>
      </c>
      <c r="P8216" s="223"/>
      <c r="Q8216" s="223"/>
      <c r="R8216" s="223">
        <v>12</v>
      </c>
    </row>
    <row r="8217" spans="1:18" ht="60">
      <c r="A8217" s="219">
        <v>1062</v>
      </c>
      <c r="B8217" s="216" t="s">
        <v>15141</v>
      </c>
      <c r="C8217" s="220" t="s">
        <v>15142</v>
      </c>
      <c r="D8217" s="221">
        <v>5640.72</v>
      </c>
      <c r="E8217" s="221">
        <v>1194.96</v>
      </c>
      <c r="F8217" s="221">
        <v>4266.03</v>
      </c>
      <c r="G8217" s="221">
        <v>179.73</v>
      </c>
      <c r="H8217" s="222">
        <v>38224.07</v>
      </c>
      <c r="I8217" s="222">
        <v>13742.56</v>
      </c>
      <c r="J8217" s="222">
        <v>23378.45</v>
      </c>
      <c r="K8217" s="222">
        <v>1103.06</v>
      </c>
      <c r="L8217" s="43">
        <v>6.7764522968699028</v>
      </c>
      <c r="M8217" s="43">
        <v>11.500435161009573</v>
      </c>
      <c r="N8217" s="43">
        <v>5.4801419586828981</v>
      </c>
      <c r="O8217" s="43">
        <v>6.1373170867412226</v>
      </c>
      <c r="P8217" s="223"/>
      <c r="Q8217" s="223"/>
      <c r="R8217" s="223">
        <v>12</v>
      </c>
    </row>
    <row r="8218" spans="1:18" ht="60">
      <c r="A8218" s="219">
        <v>1063</v>
      </c>
      <c r="B8218" s="216" t="s">
        <v>15143</v>
      </c>
      <c r="C8218" s="220" t="s">
        <v>15144</v>
      </c>
      <c r="D8218" s="221">
        <v>5771.89</v>
      </c>
      <c r="E8218" s="221">
        <v>1252.4100000000001</v>
      </c>
      <c r="F8218" s="221">
        <v>4301.55</v>
      </c>
      <c r="G8218" s="221">
        <v>217.93</v>
      </c>
      <c r="H8218" s="222">
        <v>39285.43</v>
      </c>
      <c r="I8218" s="222">
        <v>14403.26</v>
      </c>
      <c r="J8218" s="222">
        <v>23579.91</v>
      </c>
      <c r="K8218" s="222">
        <v>1302.26</v>
      </c>
      <c r="L8218" s="43">
        <v>6.806337265609705</v>
      </c>
      <c r="M8218" s="43">
        <v>11.500435161009573</v>
      </c>
      <c r="N8218" s="43">
        <v>5.4817240297102208</v>
      </c>
      <c r="O8218" s="43">
        <v>5.9755884917175237</v>
      </c>
      <c r="P8218" s="223"/>
      <c r="Q8218" s="223"/>
      <c r="R8218" s="223">
        <v>12</v>
      </c>
    </row>
    <row r="8219" spans="1:18" ht="60">
      <c r="A8219" s="219">
        <v>1064</v>
      </c>
      <c r="B8219" s="216" t="s">
        <v>15145</v>
      </c>
      <c r="C8219" s="220" t="s">
        <v>15146</v>
      </c>
      <c r="D8219" s="221">
        <v>6443.35</v>
      </c>
      <c r="E8219" s="221">
        <v>1252.4100000000001</v>
      </c>
      <c r="F8219" s="221">
        <v>4940.55</v>
      </c>
      <c r="G8219" s="221">
        <v>250.39</v>
      </c>
      <c r="H8219" s="222">
        <v>42976.27</v>
      </c>
      <c r="I8219" s="222">
        <v>14403.26</v>
      </c>
      <c r="J8219" s="222">
        <v>27097.34</v>
      </c>
      <c r="K8219" s="222">
        <v>1475.67</v>
      </c>
      <c r="L8219" s="43">
        <v>6.6698642786749121</v>
      </c>
      <c r="M8219" s="43">
        <v>11.500435161009573</v>
      </c>
      <c r="N8219" s="43">
        <v>5.4846808553703532</v>
      </c>
      <c r="O8219" s="43">
        <v>5.8934861615879237</v>
      </c>
      <c r="P8219" s="223"/>
      <c r="Q8219" s="223"/>
      <c r="R8219" s="223">
        <v>12</v>
      </c>
    </row>
    <row r="8220" spans="1:18" ht="60">
      <c r="A8220" s="219">
        <v>1065</v>
      </c>
      <c r="B8220" s="216" t="s">
        <v>15147</v>
      </c>
      <c r="C8220" s="220" t="s">
        <v>15148</v>
      </c>
      <c r="D8220" s="221">
        <v>6485.51</v>
      </c>
      <c r="E8220" s="221">
        <v>1286.8800000000001</v>
      </c>
      <c r="F8220" s="221">
        <v>4960.57</v>
      </c>
      <c r="G8220" s="221">
        <v>238.06</v>
      </c>
      <c r="H8220" s="222">
        <v>43461.46</v>
      </c>
      <c r="I8220" s="222">
        <v>14799.68</v>
      </c>
      <c r="J8220" s="222">
        <v>27208.86</v>
      </c>
      <c r="K8220" s="222">
        <v>1452.92</v>
      </c>
      <c r="L8220" s="43">
        <v>6.7013172441334605</v>
      </c>
      <c r="M8220" s="43">
        <v>11.500435161009573</v>
      </c>
      <c r="N8220" s="43">
        <v>5.4850269223093315</v>
      </c>
      <c r="O8220" s="43">
        <v>6.1031672687557759</v>
      </c>
      <c r="P8220" s="223"/>
      <c r="Q8220" s="223"/>
      <c r="R8220" s="223">
        <v>12</v>
      </c>
    </row>
    <row r="8221" spans="1:18" ht="60">
      <c r="A8221" s="219">
        <v>1066</v>
      </c>
      <c r="B8221" s="216" t="s">
        <v>15149</v>
      </c>
      <c r="C8221" s="220" t="s">
        <v>15150</v>
      </c>
      <c r="D8221" s="221">
        <v>6818.73</v>
      </c>
      <c r="E8221" s="221">
        <v>1332.84</v>
      </c>
      <c r="F8221" s="221">
        <v>5018.3999999999996</v>
      </c>
      <c r="G8221" s="221">
        <v>467.49</v>
      </c>
      <c r="H8221" s="222">
        <v>45537.26</v>
      </c>
      <c r="I8221" s="222">
        <v>15328.24</v>
      </c>
      <c r="J8221" s="222">
        <v>27514.15</v>
      </c>
      <c r="K8221" s="222">
        <v>2694.87</v>
      </c>
      <c r="L8221" s="43">
        <v>6.6782612011327629</v>
      </c>
      <c r="M8221" s="43">
        <v>11.500435161009575</v>
      </c>
      <c r="N8221" s="43">
        <v>5.4826538338912805</v>
      </c>
      <c r="O8221" s="43">
        <v>5.7645511133927991</v>
      </c>
      <c r="P8221" s="223"/>
      <c r="Q8221" s="223"/>
      <c r="R8221" s="223">
        <v>12</v>
      </c>
    </row>
    <row r="8222" spans="1:18" ht="60">
      <c r="A8222" s="219">
        <v>1067</v>
      </c>
      <c r="B8222" s="216" t="s">
        <v>15151</v>
      </c>
      <c r="C8222" s="220" t="s">
        <v>15152</v>
      </c>
      <c r="D8222" s="221">
        <v>7751.58</v>
      </c>
      <c r="E8222" s="221">
        <v>1757.97</v>
      </c>
      <c r="F8222" s="221">
        <v>5211.72</v>
      </c>
      <c r="G8222" s="221">
        <v>781.89</v>
      </c>
      <c r="H8222" s="222">
        <v>53273.52</v>
      </c>
      <c r="I8222" s="222">
        <v>20217.419999999998</v>
      </c>
      <c r="J8222" s="222">
        <v>28595.61</v>
      </c>
      <c r="K8222" s="222">
        <v>4460.49</v>
      </c>
      <c r="L8222" s="43">
        <v>6.8726014567352713</v>
      </c>
      <c r="M8222" s="43">
        <v>11.500435161009573</v>
      </c>
      <c r="N8222" s="43">
        <v>5.4867893900670026</v>
      </c>
      <c r="O8222" s="43">
        <v>5.7047538656332728</v>
      </c>
      <c r="P8222" s="223"/>
      <c r="Q8222" s="223"/>
      <c r="R8222" s="223">
        <v>12</v>
      </c>
    </row>
    <row r="8223" spans="1:18" ht="60">
      <c r="A8223" s="219">
        <v>1068</v>
      </c>
      <c r="B8223" s="216" t="s">
        <v>15153</v>
      </c>
      <c r="C8223" s="220" t="s">
        <v>15154</v>
      </c>
      <c r="D8223" s="221">
        <v>9305.83</v>
      </c>
      <c r="E8223" s="221">
        <v>2137.14</v>
      </c>
      <c r="F8223" s="221">
        <v>6089.3</v>
      </c>
      <c r="G8223" s="221">
        <v>1079.3900000000001</v>
      </c>
      <c r="H8223" s="222">
        <v>64092.78</v>
      </c>
      <c r="I8223" s="222">
        <v>24578.04</v>
      </c>
      <c r="J8223" s="222">
        <v>33356.239999999998</v>
      </c>
      <c r="K8223" s="222">
        <v>6158.5</v>
      </c>
      <c r="L8223" s="43">
        <v>6.8873792020701003</v>
      </c>
      <c r="M8223" s="43">
        <v>11.500435161009575</v>
      </c>
      <c r="N8223" s="43">
        <v>5.4778447440592508</v>
      </c>
      <c r="O8223" s="43">
        <v>5.7055373868573911</v>
      </c>
      <c r="P8223" s="223"/>
      <c r="Q8223" s="223"/>
      <c r="R8223" s="223">
        <v>12</v>
      </c>
    </row>
    <row r="8224" spans="1:18" ht="12.75" customHeight="1">
      <c r="A8224" s="628" t="s">
        <v>15155</v>
      </c>
      <c r="B8224" s="629"/>
      <c r="C8224" s="629"/>
      <c r="D8224" s="629"/>
      <c r="E8224" s="629"/>
      <c r="F8224" s="629"/>
      <c r="G8224" s="629"/>
      <c r="H8224" s="629"/>
      <c r="I8224" s="629"/>
      <c r="J8224" s="629"/>
      <c r="K8224" s="629"/>
      <c r="L8224" s="629"/>
      <c r="M8224" s="629"/>
      <c r="N8224" s="629"/>
      <c r="O8224" s="629"/>
      <c r="P8224" s="629"/>
      <c r="Q8224" s="629"/>
      <c r="R8224" s="629"/>
    </row>
    <row r="8225" spans="1:18" ht="60">
      <c r="A8225" s="219">
        <v>1069</v>
      </c>
      <c r="B8225" s="216" t="s">
        <v>15156</v>
      </c>
      <c r="C8225" s="220" t="s">
        <v>15157</v>
      </c>
      <c r="D8225" s="221">
        <v>4844.88</v>
      </c>
      <c r="E8225" s="221">
        <v>939.88</v>
      </c>
      <c r="F8225" s="221">
        <v>3849.48</v>
      </c>
      <c r="G8225" s="221">
        <v>55.52</v>
      </c>
      <c r="H8225" s="222">
        <v>32219.02</v>
      </c>
      <c r="I8225" s="222">
        <v>10809.05</v>
      </c>
      <c r="J8225" s="222">
        <v>21001.88</v>
      </c>
      <c r="K8225" s="222">
        <v>408.09</v>
      </c>
      <c r="L8225" s="43">
        <v>6.6501172371658326</v>
      </c>
      <c r="M8225" s="43">
        <v>11.500457505213431</v>
      </c>
      <c r="N8225" s="43">
        <v>5.4557706495422762</v>
      </c>
      <c r="O8225" s="43">
        <v>7.3503242074927941</v>
      </c>
      <c r="P8225" s="223"/>
      <c r="Q8225" s="223"/>
      <c r="R8225" s="223">
        <v>13</v>
      </c>
    </row>
    <row r="8226" spans="1:18" ht="60">
      <c r="A8226" s="219">
        <v>1070</v>
      </c>
      <c r="B8226" s="216" t="s">
        <v>15158</v>
      </c>
      <c r="C8226" s="220" t="s">
        <v>15159</v>
      </c>
      <c r="D8226" s="221">
        <v>4906.21</v>
      </c>
      <c r="E8226" s="221">
        <v>965.16</v>
      </c>
      <c r="F8226" s="221">
        <v>3852.33</v>
      </c>
      <c r="G8226" s="221">
        <v>88.72</v>
      </c>
      <c r="H8226" s="222">
        <v>32699.35</v>
      </c>
      <c r="I8226" s="222">
        <v>11099.76</v>
      </c>
      <c r="J8226" s="222">
        <v>21015.69</v>
      </c>
      <c r="K8226" s="222">
        <v>583.9</v>
      </c>
      <c r="L8226" s="43">
        <v>6.6648900067465515</v>
      </c>
      <c r="M8226" s="43">
        <v>11.500435161009575</v>
      </c>
      <c r="N8226" s="43">
        <v>5.4553192483509978</v>
      </c>
      <c r="O8226" s="43">
        <v>6.5813796212804325</v>
      </c>
      <c r="P8226" s="223"/>
      <c r="Q8226" s="223"/>
      <c r="R8226" s="223">
        <v>13</v>
      </c>
    </row>
    <row r="8227" spans="1:18" ht="60">
      <c r="A8227" s="219">
        <v>1071</v>
      </c>
      <c r="B8227" s="216" t="s">
        <v>15160</v>
      </c>
      <c r="C8227" s="220" t="s">
        <v>15161</v>
      </c>
      <c r="D8227" s="221">
        <v>6307.33</v>
      </c>
      <c r="E8227" s="221">
        <v>1252.4100000000001</v>
      </c>
      <c r="F8227" s="221">
        <v>4887.47</v>
      </c>
      <c r="G8227" s="221">
        <v>167.45</v>
      </c>
      <c r="H8227" s="222">
        <v>42143.38</v>
      </c>
      <c r="I8227" s="222">
        <v>14403.26</v>
      </c>
      <c r="J8227" s="222">
        <v>26702.92</v>
      </c>
      <c r="K8227" s="222">
        <v>1037.2</v>
      </c>
      <c r="L8227" s="43">
        <v>6.6816513485103837</v>
      </c>
      <c r="M8227" s="43">
        <v>11.500435161009573</v>
      </c>
      <c r="N8227" s="43">
        <v>5.4635465793140412</v>
      </c>
      <c r="O8227" s="43">
        <v>6.1940877873992246</v>
      </c>
      <c r="P8227" s="223"/>
      <c r="Q8227" s="223"/>
      <c r="R8227" s="223">
        <v>13</v>
      </c>
    </row>
    <row r="8228" spans="1:18" ht="60">
      <c r="A8228" s="219">
        <v>1072</v>
      </c>
      <c r="B8228" s="216" t="s">
        <v>15162</v>
      </c>
      <c r="C8228" s="220" t="s">
        <v>15163</v>
      </c>
      <c r="D8228" s="221">
        <v>6413.48</v>
      </c>
      <c r="E8228" s="221">
        <v>1275.3900000000001</v>
      </c>
      <c r="F8228" s="221">
        <v>4929.29</v>
      </c>
      <c r="G8228" s="221">
        <v>208.8</v>
      </c>
      <c r="H8228" s="222">
        <v>42871.12</v>
      </c>
      <c r="I8228" s="222">
        <v>14667.54</v>
      </c>
      <c r="J8228" s="222">
        <v>26942.69</v>
      </c>
      <c r="K8228" s="222">
        <v>1260.8900000000001</v>
      </c>
      <c r="L8228" s="43">
        <v>6.6845332019434078</v>
      </c>
      <c r="M8228" s="43">
        <v>11.500435161009573</v>
      </c>
      <c r="N8228" s="43">
        <v>5.4658358505991735</v>
      </c>
      <c r="O8228" s="43">
        <v>6.0387452107279698</v>
      </c>
      <c r="P8228" s="223"/>
      <c r="Q8228" s="223"/>
      <c r="R8228" s="223">
        <v>13</v>
      </c>
    </row>
    <row r="8229" spans="1:18" ht="60">
      <c r="A8229" s="219">
        <v>1073</v>
      </c>
      <c r="B8229" s="216" t="s">
        <v>15164</v>
      </c>
      <c r="C8229" s="220" t="s">
        <v>15165</v>
      </c>
      <c r="D8229" s="221">
        <v>6772.57</v>
      </c>
      <c r="E8229" s="221">
        <v>1367.31</v>
      </c>
      <c r="F8229" s="221">
        <v>5133.55</v>
      </c>
      <c r="G8229" s="221">
        <v>271.70999999999998</v>
      </c>
      <c r="H8229" s="222">
        <v>45372.35</v>
      </c>
      <c r="I8229" s="222">
        <v>15724.66</v>
      </c>
      <c r="J8229" s="222">
        <v>28048.79</v>
      </c>
      <c r="K8229" s="222">
        <v>1598.9</v>
      </c>
      <c r="L8229" s="43">
        <v>6.6994287249891844</v>
      </c>
      <c r="M8229" s="43">
        <v>11.500435161009573</v>
      </c>
      <c r="N8229" s="43">
        <v>5.4638193842467686</v>
      </c>
      <c r="O8229" s="43">
        <v>5.8845828272790852</v>
      </c>
      <c r="P8229" s="223"/>
      <c r="Q8229" s="223"/>
      <c r="R8229" s="223">
        <v>13</v>
      </c>
    </row>
    <row r="8230" spans="1:18" ht="60">
      <c r="A8230" s="219">
        <v>1074</v>
      </c>
      <c r="B8230" s="216" t="s">
        <v>15166</v>
      </c>
      <c r="C8230" s="220" t="s">
        <v>15167</v>
      </c>
      <c r="D8230" s="221">
        <v>8244.25</v>
      </c>
      <c r="E8230" s="221">
        <v>1597.11</v>
      </c>
      <c r="F8230" s="221">
        <v>6291.6</v>
      </c>
      <c r="G8230" s="221">
        <v>355.54</v>
      </c>
      <c r="H8230" s="222">
        <v>54800.5</v>
      </c>
      <c r="I8230" s="222">
        <v>18367.46</v>
      </c>
      <c r="J8230" s="222">
        <v>34358.92</v>
      </c>
      <c r="K8230" s="222">
        <v>2074.12</v>
      </c>
      <c r="L8230" s="43">
        <v>6.6471176880856353</v>
      </c>
      <c r="M8230" s="43">
        <v>11.500435161009573</v>
      </c>
      <c r="N8230" s="43">
        <v>5.4610782630809327</v>
      </c>
      <c r="O8230" s="43">
        <v>5.8337177251504748</v>
      </c>
      <c r="P8230" s="223"/>
      <c r="Q8230" s="223"/>
      <c r="R8230" s="223">
        <v>13</v>
      </c>
    </row>
    <row r="8231" spans="1:18" ht="60">
      <c r="A8231" s="219">
        <v>1075</v>
      </c>
      <c r="B8231" s="216" t="s">
        <v>15168</v>
      </c>
      <c r="C8231" s="220" t="s">
        <v>15169</v>
      </c>
      <c r="D8231" s="221">
        <v>8510.11</v>
      </c>
      <c r="E8231" s="221">
        <v>1700.52</v>
      </c>
      <c r="F8231" s="221">
        <v>6472.39</v>
      </c>
      <c r="G8231" s="221">
        <v>337.2</v>
      </c>
      <c r="H8231" s="222">
        <v>56931.76</v>
      </c>
      <c r="I8231" s="222">
        <v>19556.72</v>
      </c>
      <c r="J8231" s="222">
        <v>35329.019999999997</v>
      </c>
      <c r="K8231" s="222">
        <v>2046.02</v>
      </c>
      <c r="L8231" s="43">
        <v>6.6898970753609532</v>
      </c>
      <c r="M8231" s="43">
        <v>11.500435161009575</v>
      </c>
      <c r="N8231" s="43">
        <v>5.4584195328155438</v>
      </c>
      <c r="O8231" s="43">
        <v>6.0676749703440098</v>
      </c>
      <c r="P8231" s="223"/>
      <c r="Q8231" s="223"/>
      <c r="R8231" s="223">
        <v>13</v>
      </c>
    </row>
    <row r="8232" spans="1:18" ht="60">
      <c r="A8232" s="219">
        <v>1076</v>
      </c>
      <c r="B8232" s="216" t="s">
        <v>15170</v>
      </c>
      <c r="C8232" s="220" t="s">
        <v>15171</v>
      </c>
      <c r="D8232" s="221">
        <v>9847.84</v>
      </c>
      <c r="E8232" s="221">
        <v>1987.77</v>
      </c>
      <c r="F8232" s="221">
        <v>7138.99</v>
      </c>
      <c r="G8232" s="221">
        <v>721.08</v>
      </c>
      <c r="H8232" s="222">
        <v>65990.320000000007</v>
      </c>
      <c r="I8232" s="222">
        <v>22860.22</v>
      </c>
      <c r="J8232" s="222">
        <v>38965.440000000002</v>
      </c>
      <c r="K8232" s="222">
        <v>4164.66</v>
      </c>
      <c r="L8232" s="43">
        <v>6.7009943297210359</v>
      </c>
      <c r="M8232" s="43">
        <v>11.500435161009575</v>
      </c>
      <c r="N8232" s="43">
        <v>5.458116624340418</v>
      </c>
      <c r="O8232" s="43">
        <v>5.7755866200698946</v>
      </c>
      <c r="P8232" s="223"/>
      <c r="Q8232" s="223"/>
      <c r="R8232" s="223">
        <v>13</v>
      </c>
    </row>
    <row r="8233" spans="1:18" ht="60">
      <c r="A8233" s="219">
        <v>1077</v>
      </c>
      <c r="B8233" s="216" t="s">
        <v>15172</v>
      </c>
      <c r="C8233" s="220" t="s">
        <v>15173</v>
      </c>
      <c r="D8233" s="221">
        <v>10680.84</v>
      </c>
      <c r="E8233" s="221">
        <v>2217.5700000000002</v>
      </c>
      <c r="F8233" s="221">
        <v>7327</v>
      </c>
      <c r="G8233" s="221">
        <v>1136.27</v>
      </c>
      <c r="H8233" s="222">
        <v>71927.929999999993</v>
      </c>
      <c r="I8233" s="222">
        <v>25503.02</v>
      </c>
      <c r="J8233" s="222">
        <v>39973.410000000003</v>
      </c>
      <c r="K8233" s="222">
        <v>6451.5</v>
      </c>
      <c r="L8233" s="43">
        <v>6.734295242696267</v>
      </c>
      <c r="M8233" s="43">
        <v>11.500435161009573</v>
      </c>
      <c r="N8233" s="43">
        <v>5.4556312269687464</v>
      </c>
      <c r="O8233" s="43">
        <v>5.6777878497188166</v>
      </c>
      <c r="P8233" s="223"/>
      <c r="Q8233" s="223"/>
      <c r="R8233" s="223">
        <v>13</v>
      </c>
    </row>
    <row r="8234" spans="1:18" ht="60">
      <c r="A8234" s="219">
        <v>1078</v>
      </c>
      <c r="B8234" s="216" t="s">
        <v>15174</v>
      </c>
      <c r="C8234" s="220" t="s">
        <v>15175</v>
      </c>
      <c r="D8234" s="221">
        <v>11910.79</v>
      </c>
      <c r="E8234" s="221">
        <v>2550.7800000000002</v>
      </c>
      <c r="F8234" s="221">
        <v>7952.89</v>
      </c>
      <c r="G8234" s="221">
        <v>1407.12</v>
      </c>
      <c r="H8234" s="222">
        <v>80683.8</v>
      </c>
      <c r="I8234" s="222">
        <v>29335.08</v>
      </c>
      <c r="J8234" s="222">
        <v>43343.9</v>
      </c>
      <c r="K8234" s="222">
        <v>8004.82</v>
      </c>
      <c r="L8234" s="43">
        <v>6.7740091127456701</v>
      </c>
      <c r="M8234" s="43">
        <v>11.500435161009573</v>
      </c>
      <c r="N8234" s="43">
        <v>5.4500816684249376</v>
      </c>
      <c r="O8234" s="43">
        <v>5.6887969753823411</v>
      </c>
      <c r="P8234" s="223"/>
      <c r="Q8234" s="223"/>
      <c r="R8234" s="223">
        <v>13</v>
      </c>
    </row>
    <row r="8235" spans="1:18" ht="12.75" customHeight="1">
      <c r="A8235" s="628" t="s">
        <v>15176</v>
      </c>
      <c r="B8235" s="629"/>
      <c r="C8235" s="629"/>
      <c r="D8235" s="629"/>
      <c r="E8235" s="629"/>
      <c r="F8235" s="629"/>
      <c r="G8235" s="629"/>
      <c r="H8235" s="629"/>
      <c r="I8235" s="629"/>
      <c r="J8235" s="629"/>
      <c r="K8235" s="629"/>
      <c r="L8235" s="629"/>
      <c r="M8235" s="629"/>
      <c r="N8235" s="629"/>
      <c r="O8235" s="629"/>
      <c r="P8235" s="629"/>
      <c r="Q8235" s="629"/>
      <c r="R8235" s="629"/>
    </row>
    <row r="8236" spans="1:18" ht="48">
      <c r="A8236" s="219">
        <v>1079</v>
      </c>
      <c r="B8236" s="216" t="s">
        <v>15177</v>
      </c>
      <c r="C8236" s="220" t="s">
        <v>15178</v>
      </c>
      <c r="D8236" s="221">
        <v>5273.53</v>
      </c>
      <c r="E8236" s="221">
        <v>1027.21</v>
      </c>
      <c r="F8236" s="221">
        <v>4181.95</v>
      </c>
      <c r="G8236" s="221">
        <v>64.37</v>
      </c>
      <c r="H8236" s="222">
        <v>35065.040000000001</v>
      </c>
      <c r="I8236" s="222">
        <v>11813.32</v>
      </c>
      <c r="J8236" s="222">
        <v>22787.89</v>
      </c>
      <c r="K8236" s="222">
        <v>463.83</v>
      </c>
      <c r="L8236" s="43">
        <v>6.6492539153091013</v>
      </c>
      <c r="M8236" s="43">
        <v>11.500394271862618</v>
      </c>
      <c r="N8236" s="43">
        <v>5.4491062781716666</v>
      </c>
      <c r="O8236" s="43">
        <v>7.205685878514835</v>
      </c>
      <c r="P8236" s="223"/>
      <c r="Q8236" s="223"/>
      <c r="R8236" s="223">
        <v>14</v>
      </c>
    </row>
    <row r="8237" spans="1:18" ht="48">
      <c r="A8237" s="219">
        <v>1080</v>
      </c>
      <c r="B8237" s="216" t="s">
        <v>15179</v>
      </c>
      <c r="C8237" s="220" t="s">
        <v>15180</v>
      </c>
      <c r="D8237" s="221">
        <v>5343.89</v>
      </c>
      <c r="E8237" s="221">
        <v>1039.8499999999999</v>
      </c>
      <c r="F8237" s="221">
        <v>4200.88</v>
      </c>
      <c r="G8237" s="221">
        <v>103.16</v>
      </c>
      <c r="H8237" s="222">
        <v>35522.25</v>
      </c>
      <c r="I8237" s="222">
        <v>11958.67</v>
      </c>
      <c r="J8237" s="222">
        <v>22894.67</v>
      </c>
      <c r="K8237" s="222">
        <v>668.91</v>
      </c>
      <c r="L8237" s="43">
        <v>6.6472644459373225</v>
      </c>
      <c r="M8237" s="43">
        <v>11.500379862480166</v>
      </c>
      <c r="N8237" s="43">
        <v>5.4499700062843974</v>
      </c>
      <c r="O8237" s="43">
        <v>6.4841993020550603</v>
      </c>
      <c r="P8237" s="223"/>
      <c r="Q8237" s="223"/>
      <c r="R8237" s="223">
        <v>14</v>
      </c>
    </row>
    <row r="8238" spans="1:18" ht="48">
      <c r="A8238" s="219">
        <v>1081</v>
      </c>
      <c r="B8238" s="216" t="s">
        <v>15181</v>
      </c>
      <c r="C8238" s="220" t="s">
        <v>15182</v>
      </c>
      <c r="D8238" s="221">
        <v>7310.94</v>
      </c>
      <c r="E8238" s="221">
        <v>1447.74</v>
      </c>
      <c r="F8238" s="221">
        <v>5672.82</v>
      </c>
      <c r="G8238" s="221">
        <v>190.38</v>
      </c>
      <c r="H8238" s="222">
        <v>48771.73</v>
      </c>
      <c r="I8238" s="222">
        <v>16649.64</v>
      </c>
      <c r="J8238" s="222">
        <v>30939.67</v>
      </c>
      <c r="K8238" s="222">
        <v>1182.42</v>
      </c>
      <c r="L8238" s="43">
        <v>6.6710614503743715</v>
      </c>
      <c r="M8238" s="43">
        <v>11.500435161009573</v>
      </c>
      <c r="N8238" s="43">
        <v>5.4540193413505103</v>
      </c>
      <c r="O8238" s="43">
        <v>6.2108414749448473</v>
      </c>
      <c r="P8238" s="223"/>
      <c r="Q8238" s="223"/>
      <c r="R8238" s="223">
        <v>14</v>
      </c>
    </row>
    <row r="8239" spans="1:18" ht="48">
      <c r="A8239" s="219">
        <v>1082</v>
      </c>
      <c r="B8239" s="216" t="s">
        <v>15183</v>
      </c>
      <c r="C8239" s="220" t="s">
        <v>15184</v>
      </c>
      <c r="D8239" s="221">
        <v>7420.8</v>
      </c>
      <c r="E8239" s="221">
        <v>1470.72</v>
      </c>
      <c r="F8239" s="221">
        <v>5724.42</v>
      </c>
      <c r="G8239" s="221">
        <v>225.66</v>
      </c>
      <c r="H8239" s="222">
        <v>49498.11</v>
      </c>
      <c r="I8239" s="222">
        <v>16913.919999999998</v>
      </c>
      <c r="J8239" s="222">
        <v>31234.12</v>
      </c>
      <c r="K8239" s="222">
        <v>1350.07</v>
      </c>
      <c r="L8239" s="43">
        <v>6.6701851552393272</v>
      </c>
      <c r="M8239" s="43">
        <v>11.500435161009571</v>
      </c>
      <c r="N8239" s="43">
        <v>5.4562942621261188</v>
      </c>
      <c r="O8239" s="43">
        <v>5.9827616768589911</v>
      </c>
      <c r="P8239" s="223"/>
      <c r="Q8239" s="223"/>
      <c r="R8239" s="223">
        <v>14</v>
      </c>
    </row>
    <row r="8240" spans="1:18" ht="48">
      <c r="A8240" s="219">
        <v>1083</v>
      </c>
      <c r="B8240" s="216" t="s">
        <v>15185</v>
      </c>
      <c r="C8240" s="220" t="s">
        <v>15186</v>
      </c>
      <c r="D8240" s="221">
        <v>7840.7</v>
      </c>
      <c r="E8240" s="221">
        <v>1551.15</v>
      </c>
      <c r="F8240" s="221">
        <v>5919.87</v>
      </c>
      <c r="G8240" s="221">
        <v>369.68</v>
      </c>
      <c r="H8240" s="222">
        <v>52261.87</v>
      </c>
      <c r="I8240" s="222">
        <v>17838.900000000001</v>
      </c>
      <c r="J8240" s="222">
        <v>32281.279999999999</v>
      </c>
      <c r="K8240" s="222">
        <v>2141.69</v>
      </c>
      <c r="L8240" s="43">
        <v>6.6654597166069358</v>
      </c>
      <c r="M8240" s="43">
        <v>11.500435161009573</v>
      </c>
      <c r="N8240" s="43">
        <v>5.453038664700407</v>
      </c>
      <c r="O8240" s="43">
        <v>5.7933618264444924</v>
      </c>
      <c r="P8240" s="223"/>
      <c r="Q8240" s="223"/>
      <c r="R8240" s="223">
        <v>14</v>
      </c>
    </row>
    <row r="8241" spans="1:18" ht="48">
      <c r="A8241" s="219">
        <v>1084</v>
      </c>
      <c r="B8241" s="216" t="s">
        <v>15187</v>
      </c>
      <c r="C8241" s="220" t="s">
        <v>15188</v>
      </c>
      <c r="D8241" s="221">
        <v>9244.83</v>
      </c>
      <c r="E8241" s="221">
        <v>1826.91</v>
      </c>
      <c r="F8241" s="221">
        <v>6963.31</v>
      </c>
      <c r="G8241" s="221">
        <v>454.61</v>
      </c>
      <c r="H8241" s="222">
        <v>61570.78</v>
      </c>
      <c r="I8241" s="222">
        <v>21010.26</v>
      </c>
      <c r="J8241" s="222">
        <v>37963.279999999999</v>
      </c>
      <c r="K8241" s="222">
        <v>2597.2399999999998</v>
      </c>
      <c r="L8241" s="43">
        <v>6.6600229533696131</v>
      </c>
      <c r="M8241" s="43">
        <v>11.500435161009571</v>
      </c>
      <c r="N8241" s="43">
        <v>5.4519014664003178</v>
      </c>
      <c r="O8241" s="43">
        <v>5.7131167374232854</v>
      </c>
      <c r="P8241" s="223"/>
      <c r="Q8241" s="223"/>
      <c r="R8241" s="223">
        <v>14</v>
      </c>
    </row>
    <row r="8242" spans="1:18" ht="48">
      <c r="A8242" s="219">
        <v>1085</v>
      </c>
      <c r="B8242" s="216" t="s">
        <v>15189</v>
      </c>
      <c r="C8242" s="220" t="s">
        <v>15190</v>
      </c>
      <c r="D8242" s="221">
        <v>9303.93</v>
      </c>
      <c r="E8242" s="221">
        <v>1826.91</v>
      </c>
      <c r="F8242" s="221">
        <v>6997.78</v>
      </c>
      <c r="G8242" s="221">
        <v>479.24</v>
      </c>
      <c r="H8242" s="222">
        <v>61987.66</v>
      </c>
      <c r="I8242" s="222">
        <v>21010.26</v>
      </c>
      <c r="J8242" s="222">
        <v>38141.56</v>
      </c>
      <c r="K8242" s="222">
        <v>2835.84</v>
      </c>
      <c r="L8242" s="43">
        <v>6.662524331115991</v>
      </c>
      <c r="M8242" s="43">
        <v>11.500435161009571</v>
      </c>
      <c r="N8242" s="43">
        <v>5.4505228801134074</v>
      </c>
      <c r="O8242" s="43">
        <v>5.9173691678490945</v>
      </c>
      <c r="P8242" s="223"/>
      <c r="Q8242" s="223"/>
      <c r="R8242" s="223">
        <v>14</v>
      </c>
    </row>
    <row r="8243" spans="1:18" ht="48">
      <c r="A8243" s="219">
        <v>1086</v>
      </c>
      <c r="B8243" s="216" t="s">
        <v>15191</v>
      </c>
      <c r="C8243" s="220" t="s">
        <v>15192</v>
      </c>
      <c r="D8243" s="221">
        <v>10999.52</v>
      </c>
      <c r="E8243" s="221">
        <v>2171.61</v>
      </c>
      <c r="F8243" s="221">
        <v>7909.19</v>
      </c>
      <c r="G8243" s="221">
        <v>918.72</v>
      </c>
      <c r="H8243" s="222">
        <v>73331</v>
      </c>
      <c r="I8243" s="222">
        <v>24974.46</v>
      </c>
      <c r="J8243" s="222">
        <v>43088.22</v>
      </c>
      <c r="K8243" s="222">
        <v>5268.32</v>
      </c>
      <c r="L8243" s="43">
        <v>6.6667454579836205</v>
      </c>
      <c r="M8243" s="43">
        <v>11.500435161009573</v>
      </c>
      <c r="N8243" s="43">
        <v>5.4478676071759562</v>
      </c>
      <c r="O8243" s="43">
        <v>5.7344130964820614</v>
      </c>
      <c r="P8243" s="223"/>
      <c r="Q8243" s="223"/>
      <c r="R8243" s="223">
        <v>14</v>
      </c>
    </row>
    <row r="8244" spans="1:18" ht="48">
      <c r="A8244" s="219">
        <v>1087</v>
      </c>
      <c r="B8244" s="216" t="s">
        <v>15193</v>
      </c>
      <c r="C8244" s="220" t="s">
        <v>15194</v>
      </c>
      <c r="D8244" s="221">
        <v>12644.05</v>
      </c>
      <c r="E8244" s="221">
        <v>2780.58</v>
      </c>
      <c r="F8244" s="221">
        <v>8279.9</v>
      </c>
      <c r="G8244" s="221">
        <v>1583.57</v>
      </c>
      <c r="H8244" s="222">
        <v>86051.21</v>
      </c>
      <c r="I8244" s="222">
        <v>31977.88</v>
      </c>
      <c r="J8244" s="222">
        <v>45119.19</v>
      </c>
      <c r="K8244" s="222">
        <v>8954.14</v>
      </c>
      <c r="L8244" s="43">
        <v>6.8056682787556211</v>
      </c>
      <c r="M8244" s="43">
        <v>11.500435161009575</v>
      </c>
      <c r="N8244" s="43">
        <v>5.4492433483496185</v>
      </c>
      <c r="O8244" s="43">
        <v>5.6544011316203262</v>
      </c>
      <c r="P8244" s="223"/>
      <c r="Q8244" s="223"/>
      <c r="R8244" s="223">
        <v>14</v>
      </c>
    </row>
    <row r="8245" spans="1:18" ht="48">
      <c r="A8245" s="224">
        <v>1088</v>
      </c>
      <c r="B8245" s="225" t="s">
        <v>15195</v>
      </c>
      <c r="C8245" s="226" t="s">
        <v>15196</v>
      </c>
      <c r="D8245" s="227">
        <v>14455.17</v>
      </c>
      <c r="E8245" s="227">
        <v>3228.69</v>
      </c>
      <c r="F8245" s="227">
        <v>9207.35</v>
      </c>
      <c r="G8245" s="227">
        <v>2019.13</v>
      </c>
      <c r="H8245" s="228">
        <v>98669.61</v>
      </c>
      <c r="I8245" s="228">
        <v>37131.339999999997</v>
      </c>
      <c r="J8245" s="228">
        <v>50100.47</v>
      </c>
      <c r="K8245" s="228">
        <v>11437.8</v>
      </c>
      <c r="L8245" s="611">
        <v>6.8259045033714578</v>
      </c>
      <c r="M8245" s="611">
        <v>11.500435161009571</v>
      </c>
      <c r="N8245" s="611">
        <v>5.4413560905146428</v>
      </c>
      <c r="O8245" s="611">
        <v>5.6647169820665333</v>
      </c>
      <c r="P8245" s="229"/>
      <c r="Q8245" s="229"/>
      <c r="R8245" s="229">
        <v>14</v>
      </c>
    </row>
    <row r="8246" spans="1:18" ht="12.75" customHeight="1">
      <c r="A8246" s="630" t="s">
        <v>15197</v>
      </c>
      <c r="B8246" s="631"/>
      <c r="C8246" s="631"/>
      <c r="D8246" s="631"/>
      <c r="E8246" s="631"/>
      <c r="F8246" s="631"/>
      <c r="G8246" s="631"/>
      <c r="H8246" s="631"/>
      <c r="I8246" s="631"/>
      <c r="J8246" s="631"/>
      <c r="K8246" s="631"/>
      <c r="L8246" s="631"/>
      <c r="M8246" s="631"/>
      <c r="N8246" s="631"/>
      <c r="O8246" s="631"/>
      <c r="P8246" s="631"/>
      <c r="Q8246" s="631"/>
      <c r="R8246" s="631"/>
    </row>
    <row r="8247" spans="1:18" ht="12.75" customHeight="1">
      <c r="A8247" s="628" t="s">
        <v>15198</v>
      </c>
      <c r="B8247" s="629"/>
      <c r="C8247" s="629"/>
      <c r="D8247" s="629"/>
      <c r="E8247" s="629"/>
      <c r="F8247" s="629"/>
      <c r="G8247" s="629"/>
      <c r="H8247" s="629"/>
      <c r="I8247" s="629"/>
      <c r="J8247" s="629"/>
      <c r="K8247" s="629"/>
      <c r="L8247" s="629"/>
      <c r="M8247" s="629"/>
      <c r="N8247" s="629"/>
      <c r="O8247" s="629"/>
      <c r="P8247" s="629"/>
      <c r="Q8247" s="629"/>
      <c r="R8247" s="629"/>
    </row>
    <row r="8248" spans="1:18" ht="12.75" customHeight="1">
      <c r="A8248" s="628" t="s">
        <v>15199</v>
      </c>
      <c r="B8248" s="629"/>
      <c r="C8248" s="629"/>
      <c r="D8248" s="629"/>
      <c r="E8248" s="629"/>
      <c r="F8248" s="629"/>
      <c r="G8248" s="629"/>
      <c r="H8248" s="629"/>
      <c r="I8248" s="629"/>
      <c r="J8248" s="629"/>
      <c r="K8248" s="629"/>
      <c r="L8248" s="629"/>
      <c r="M8248" s="629"/>
      <c r="N8248" s="629"/>
      <c r="O8248" s="629"/>
      <c r="P8248" s="629"/>
      <c r="Q8248" s="629"/>
      <c r="R8248" s="629"/>
    </row>
    <row r="8249" spans="1:18" ht="48">
      <c r="A8249" s="219">
        <v>1089</v>
      </c>
      <c r="B8249" s="216" t="s">
        <v>15200</v>
      </c>
      <c r="C8249" s="220" t="s">
        <v>15201</v>
      </c>
      <c r="D8249" s="221">
        <v>91011.92</v>
      </c>
      <c r="E8249" s="221">
        <v>25485.8</v>
      </c>
      <c r="F8249" s="221">
        <v>57740.1</v>
      </c>
      <c r="G8249" s="221">
        <v>7786.02</v>
      </c>
      <c r="H8249" s="222">
        <v>683009.72</v>
      </c>
      <c r="I8249" s="222">
        <v>293086.7</v>
      </c>
      <c r="J8249" s="222">
        <v>327824.57</v>
      </c>
      <c r="K8249" s="222">
        <v>62098.45</v>
      </c>
      <c r="L8249" s="43">
        <v>7.5046182961528558</v>
      </c>
      <c r="M8249" s="43">
        <v>11.5</v>
      </c>
      <c r="N8249" s="43">
        <v>5.6775892317470875</v>
      </c>
      <c r="O8249" s="43">
        <v>7.9756345347173516</v>
      </c>
      <c r="P8249" s="223"/>
      <c r="Q8249" s="223"/>
      <c r="R8249" s="223">
        <v>1</v>
      </c>
    </row>
    <row r="8250" spans="1:18" ht="48">
      <c r="A8250" s="219">
        <v>1090</v>
      </c>
      <c r="B8250" s="216" t="s">
        <v>15202</v>
      </c>
      <c r="C8250" s="220" t="s">
        <v>15203</v>
      </c>
      <c r="D8250" s="221">
        <v>52352.94</v>
      </c>
      <c r="E8250" s="221">
        <v>15164.6</v>
      </c>
      <c r="F8250" s="221">
        <v>31193.13</v>
      </c>
      <c r="G8250" s="221">
        <v>5995.21</v>
      </c>
      <c r="H8250" s="222">
        <v>398693.65</v>
      </c>
      <c r="I8250" s="222">
        <v>174392.9</v>
      </c>
      <c r="J8250" s="222">
        <v>177398.94</v>
      </c>
      <c r="K8250" s="222">
        <v>46901.81</v>
      </c>
      <c r="L8250" s="43">
        <v>7.6154968565280194</v>
      </c>
      <c r="M8250" s="43">
        <v>11.5</v>
      </c>
      <c r="N8250" s="43">
        <v>5.68711572067311</v>
      </c>
      <c r="O8250" s="43">
        <v>7.8232138657361459</v>
      </c>
      <c r="P8250" s="223"/>
      <c r="Q8250" s="223"/>
      <c r="R8250" s="223">
        <v>1</v>
      </c>
    </row>
    <row r="8251" spans="1:18" ht="48">
      <c r="A8251" s="219">
        <v>1091</v>
      </c>
      <c r="B8251" s="216" t="s">
        <v>15204</v>
      </c>
      <c r="C8251" s="220" t="s">
        <v>15205</v>
      </c>
      <c r="D8251" s="221">
        <v>33042.080000000002</v>
      </c>
      <c r="E8251" s="221">
        <v>10353.69</v>
      </c>
      <c r="F8251" s="221">
        <v>18947.47</v>
      </c>
      <c r="G8251" s="221">
        <v>3740.92</v>
      </c>
      <c r="H8251" s="222">
        <v>256160.39</v>
      </c>
      <c r="I8251" s="222">
        <v>119071.62</v>
      </c>
      <c r="J8251" s="222">
        <v>108060.03</v>
      </c>
      <c r="K8251" s="222">
        <v>29028.74</v>
      </c>
      <c r="L8251" s="43">
        <v>7.7525503842373116</v>
      </c>
      <c r="M8251" s="43">
        <v>11.500404203718674</v>
      </c>
      <c r="N8251" s="43">
        <v>5.7031376748452427</v>
      </c>
      <c r="O8251" s="43">
        <v>7.7597863627129158</v>
      </c>
      <c r="P8251" s="223"/>
      <c r="Q8251" s="223"/>
      <c r="R8251" s="223">
        <v>1</v>
      </c>
    </row>
    <row r="8252" spans="1:18" ht="36">
      <c r="A8252" s="219">
        <v>1092</v>
      </c>
      <c r="B8252" s="216" t="s">
        <v>15206</v>
      </c>
      <c r="C8252" s="220" t="s">
        <v>15207</v>
      </c>
      <c r="D8252" s="221">
        <v>18838.13</v>
      </c>
      <c r="E8252" s="221">
        <v>5736.72</v>
      </c>
      <c r="F8252" s="221">
        <v>10630.14</v>
      </c>
      <c r="G8252" s="221">
        <v>2471.27</v>
      </c>
      <c r="H8252" s="222">
        <v>144871.73000000001</v>
      </c>
      <c r="I8252" s="222">
        <v>65972.28</v>
      </c>
      <c r="J8252" s="222">
        <v>60634.73</v>
      </c>
      <c r="K8252" s="222">
        <v>18264.72</v>
      </c>
      <c r="L8252" s="43">
        <v>7.690345591627195</v>
      </c>
      <c r="M8252" s="43">
        <v>11.5</v>
      </c>
      <c r="N8252" s="43">
        <v>5.7040387050405741</v>
      </c>
      <c r="O8252" s="43">
        <v>7.3908233418444773</v>
      </c>
      <c r="P8252" s="223"/>
      <c r="Q8252" s="223"/>
      <c r="R8252" s="223">
        <v>1</v>
      </c>
    </row>
    <row r="8253" spans="1:18" ht="36">
      <c r="A8253" s="219">
        <v>1093</v>
      </c>
      <c r="B8253" s="216" t="s">
        <v>15208</v>
      </c>
      <c r="C8253" s="220" t="s">
        <v>15209</v>
      </c>
      <c r="D8253" s="221">
        <v>18584.46</v>
      </c>
      <c r="E8253" s="221">
        <v>5736.72</v>
      </c>
      <c r="F8253" s="221">
        <v>10258</v>
      </c>
      <c r="G8253" s="221">
        <v>2589.7399999999998</v>
      </c>
      <c r="H8253" s="222">
        <v>143347.94</v>
      </c>
      <c r="I8253" s="222">
        <v>65972.28</v>
      </c>
      <c r="J8253" s="222">
        <v>58300.72</v>
      </c>
      <c r="K8253" s="222">
        <v>19074.939999999999</v>
      </c>
      <c r="L8253" s="43">
        <v>7.7133228514576162</v>
      </c>
      <c r="M8253" s="43">
        <v>11.5</v>
      </c>
      <c r="N8253" s="43">
        <v>5.6834392669136289</v>
      </c>
      <c r="O8253" s="43">
        <v>7.3655811008054863</v>
      </c>
      <c r="P8253" s="223"/>
      <c r="Q8253" s="223"/>
      <c r="R8253" s="223">
        <v>1</v>
      </c>
    </row>
    <row r="8254" spans="1:18" ht="12.75" customHeight="1">
      <c r="A8254" s="628" t="s">
        <v>15210</v>
      </c>
      <c r="B8254" s="629"/>
      <c r="C8254" s="629"/>
      <c r="D8254" s="629"/>
      <c r="E8254" s="629"/>
      <c r="F8254" s="629"/>
      <c r="G8254" s="629"/>
      <c r="H8254" s="629"/>
      <c r="I8254" s="629"/>
      <c r="J8254" s="629"/>
      <c r="K8254" s="629"/>
      <c r="L8254" s="629"/>
      <c r="M8254" s="629"/>
      <c r="N8254" s="629"/>
      <c r="O8254" s="629"/>
      <c r="P8254" s="629"/>
      <c r="Q8254" s="629"/>
      <c r="R8254" s="629"/>
    </row>
    <row r="8255" spans="1:18" ht="36">
      <c r="A8255" s="219">
        <v>1094</v>
      </c>
      <c r="B8255" s="216" t="s">
        <v>15211</v>
      </c>
      <c r="C8255" s="220" t="s">
        <v>15212</v>
      </c>
      <c r="D8255" s="221">
        <v>91806.7</v>
      </c>
      <c r="E8255" s="221">
        <v>26022.6</v>
      </c>
      <c r="F8255" s="221">
        <v>57893.03</v>
      </c>
      <c r="G8255" s="221">
        <v>7891.07</v>
      </c>
      <c r="H8255" s="222">
        <v>690488.27</v>
      </c>
      <c r="I8255" s="222">
        <v>299259.90000000002</v>
      </c>
      <c r="J8255" s="222">
        <v>328534.62</v>
      </c>
      <c r="K8255" s="222">
        <v>62693.75</v>
      </c>
      <c r="L8255" s="43">
        <v>7.5211097882834261</v>
      </c>
      <c r="M8255" s="43">
        <v>11.500000000000002</v>
      </c>
      <c r="N8255" s="43">
        <v>5.6748561959876689</v>
      </c>
      <c r="O8255" s="43">
        <v>7.9448984738444857</v>
      </c>
      <c r="P8255" s="223"/>
      <c r="Q8255" s="223"/>
      <c r="R8255" s="223">
        <v>2</v>
      </c>
    </row>
    <row r="8256" spans="1:18" ht="36">
      <c r="A8256" s="219">
        <v>1095</v>
      </c>
      <c r="B8256" s="216" t="s">
        <v>15213</v>
      </c>
      <c r="C8256" s="220" t="s">
        <v>15214</v>
      </c>
      <c r="D8256" s="221">
        <v>36869.519999999997</v>
      </c>
      <c r="E8256" s="221">
        <v>10833.6</v>
      </c>
      <c r="F8256" s="221">
        <v>21904.01</v>
      </c>
      <c r="G8256" s="221">
        <v>4131.91</v>
      </c>
      <c r="H8256" s="222">
        <v>281582.57</v>
      </c>
      <c r="I8256" s="222">
        <v>124586.4</v>
      </c>
      <c r="J8256" s="222">
        <v>124526.89</v>
      </c>
      <c r="K8256" s="222">
        <v>32469.279999999999</v>
      </c>
      <c r="L8256" s="43">
        <v>7.6372724678813295</v>
      </c>
      <c r="M8256" s="43">
        <v>11.499999999999998</v>
      </c>
      <c r="N8256" s="43">
        <v>5.6851183869985453</v>
      </c>
      <c r="O8256" s="43">
        <v>7.8581769690046492</v>
      </c>
      <c r="P8256" s="223"/>
      <c r="Q8256" s="223"/>
      <c r="R8256" s="223">
        <v>2</v>
      </c>
    </row>
    <row r="8257" spans="1:18" ht="36">
      <c r="A8257" s="219">
        <v>1096</v>
      </c>
      <c r="B8257" s="216" t="s">
        <v>15215</v>
      </c>
      <c r="C8257" s="220" t="s">
        <v>15216</v>
      </c>
      <c r="D8257" s="221">
        <v>28187.77</v>
      </c>
      <c r="E8257" s="221">
        <v>8906.4</v>
      </c>
      <c r="F8257" s="221">
        <v>16069.53</v>
      </c>
      <c r="G8257" s="221">
        <v>3211.84</v>
      </c>
      <c r="H8257" s="222">
        <v>218817.66</v>
      </c>
      <c r="I8257" s="222">
        <v>102427.2</v>
      </c>
      <c r="J8257" s="222">
        <v>91600.82</v>
      </c>
      <c r="K8257" s="222">
        <v>24789.64</v>
      </c>
      <c r="L8257" s="43">
        <v>7.7628581473454625</v>
      </c>
      <c r="M8257" s="43">
        <v>11.500404203718674</v>
      </c>
      <c r="N8257" s="43">
        <v>5.7002799708516676</v>
      </c>
      <c r="O8257" s="43">
        <v>7.7182051409783794</v>
      </c>
      <c r="P8257" s="223"/>
      <c r="Q8257" s="223"/>
      <c r="R8257" s="223">
        <v>2</v>
      </c>
    </row>
    <row r="8258" spans="1:18" ht="36">
      <c r="A8258" s="219">
        <v>1097</v>
      </c>
      <c r="B8258" s="216" t="s">
        <v>15217</v>
      </c>
      <c r="C8258" s="220" t="s">
        <v>15218</v>
      </c>
      <c r="D8258" s="221">
        <v>16371.53</v>
      </c>
      <c r="E8258" s="221">
        <v>5037.12</v>
      </c>
      <c r="F8258" s="221">
        <v>9178.98</v>
      </c>
      <c r="G8258" s="221">
        <v>2155.4299999999998</v>
      </c>
      <c r="H8258" s="222">
        <v>126123.67</v>
      </c>
      <c r="I8258" s="222">
        <v>57926.879999999997</v>
      </c>
      <c r="J8258" s="222">
        <v>52384.32</v>
      </c>
      <c r="K8258" s="222">
        <v>15812.47</v>
      </c>
      <c r="L8258" s="43">
        <v>7.7038413636355303</v>
      </c>
      <c r="M8258" s="43">
        <v>11.5</v>
      </c>
      <c r="N8258" s="43">
        <v>5.7069870508487872</v>
      </c>
      <c r="O8258" s="43">
        <v>7.3361092682202624</v>
      </c>
      <c r="P8258" s="223"/>
      <c r="Q8258" s="223"/>
      <c r="R8258" s="223">
        <v>2</v>
      </c>
    </row>
    <row r="8259" spans="1:18" ht="36">
      <c r="A8259" s="219">
        <v>1098</v>
      </c>
      <c r="B8259" s="216" t="s">
        <v>15219</v>
      </c>
      <c r="C8259" s="220" t="s">
        <v>15220</v>
      </c>
      <c r="D8259" s="221">
        <v>16018.43</v>
      </c>
      <c r="E8259" s="221">
        <v>5037.12</v>
      </c>
      <c r="F8259" s="221">
        <v>8750.7000000000007</v>
      </c>
      <c r="G8259" s="221">
        <v>2230.61</v>
      </c>
      <c r="H8259" s="222">
        <v>123965.39</v>
      </c>
      <c r="I8259" s="222">
        <v>57926.879999999997</v>
      </c>
      <c r="J8259" s="222">
        <v>49695.83</v>
      </c>
      <c r="K8259" s="222">
        <v>16342.68</v>
      </c>
      <c r="L8259" s="43">
        <v>7.7389226035260634</v>
      </c>
      <c r="M8259" s="43">
        <v>11.5</v>
      </c>
      <c r="N8259" s="43">
        <v>5.6790691030431848</v>
      </c>
      <c r="O8259" s="43">
        <v>7.3265519297411918</v>
      </c>
      <c r="P8259" s="223"/>
      <c r="Q8259" s="223"/>
      <c r="R8259" s="223">
        <v>2</v>
      </c>
    </row>
    <row r="8260" spans="1:18" ht="12.75" customHeight="1">
      <c r="A8260" s="628" t="s">
        <v>15221</v>
      </c>
      <c r="B8260" s="629"/>
      <c r="C8260" s="629"/>
      <c r="D8260" s="629"/>
      <c r="E8260" s="629"/>
      <c r="F8260" s="629"/>
      <c r="G8260" s="629"/>
      <c r="H8260" s="629"/>
      <c r="I8260" s="629"/>
      <c r="J8260" s="629"/>
      <c r="K8260" s="629"/>
      <c r="L8260" s="629"/>
      <c r="M8260" s="629"/>
      <c r="N8260" s="629"/>
      <c r="O8260" s="629"/>
      <c r="P8260" s="629"/>
      <c r="Q8260" s="629"/>
      <c r="R8260" s="629"/>
    </row>
    <row r="8261" spans="1:18" ht="36">
      <c r="A8261" s="219">
        <v>1099</v>
      </c>
      <c r="B8261" s="216" t="s">
        <v>15222</v>
      </c>
      <c r="C8261" s="220" t="s">
        <v>15223</v>
      </c>
      <c r="D8261" s="221">
        <v>80343.56</v>
      </c>
      <c r="E8261" s="221">
        <v>26388.6</v>
      </c>
      <c r="F8261" s="221">
        <v>46056.51</v>
      </c>
      <c r="G8261" s="221">
        <v>7898.45</v>
      </c>
      <c r="H8261" s="222">
        <v>628902.68000000005</v>
      </c>
      <c r="I8261" s="222">
        <v>303468.90000000002</v>
      </c>
      <c r="J8261" s="222">
        <v>262655.61</v>
      </c>
      <c r="K8261" s="222">
        <v>62778.17</v>
      </c>
      <c r="L8261" s="43">
        <v>7.8276675815709442</v>
      </c>
      <c r="M8261" s="43">
        <v>11.500000000000002</v>
      </c>
      <c r="N8261" s="43">
        <v>5.7028986781673208</v>
      </c>
      <c r="O8261" s="43">
        <v>7.9481632472193908</v>
      </c>
      <c r="P8261" s="223"/>
      <c r="Q8261" s="223"/>
      <c r="R8261" s="223">
        <v>3</v>
      </c>
    </row>
    <row r="8262" spans="1:18" ht="36">
      <c r="A8262" s="219">
        <v>1100</v>
      </c>
      <c r="B8262" s="216" t="s">
        <v>15224</v>
      </c>
      <c r="C8262" s="220" t="s">
        <v>15225</v>
      </c>
      <c r="D8262" s="221">
        <v>31849.07</v>
      </c>
      <c r="E8262" s="221">
        <v>10192.879999999999</v>
      </c>
      <c r="F8262" s="221">
        <v>17531.45</v>
      </c>
      <c r="G8262" s="221">
        <v>4124.74</v>
      </c>
      <c r="H8262" s="222">
        <v>249744.83</v>
      </c>
      <c r="I8262" s="222">
        <v>117222.24</v>
      </c>
      <c r="J8262" s="222">
        <v>100181.67</v>
      </c>
      <c r="K8262" s="222">
        <v>32340.92</v>
      </c>
      <c r="L8262" s="43">
        <v>7.8415109138194614</v>
      </c>
      <c r="M8262" s="43">
        <v>11.500404203718675</v>
      </c>
      <c r="N8262" s="43">
        <v>5.7143972689081615</v>
      </c>
      <c r="O8262" s="43">
        <v>7.8407172330862069</v>
      </c>
      <c r="P8262" s="223"/>
      <c r="Q8262" s="223"/>
      <c r="R8262" s="223">
        <v>3</v>
      </c>
    </row>
    <row r="8263" spans="1:18" ht="12.75" customHeight="1">
      <c r="A8263" s="628" t="s">
        <v>15226</v>
      </c>
      <c r="B8263" s="629"/>
      <c r="C8263" s="629"/>
      <c r="D8263" s="629"/>
      <c r="E8263" s="629"/>
      <c r="F8263" s="629"/>
      <c r="G8263" s="629"/>
      <c r="H8263" s="629"/>
      <c r="I8263" s="629"/>
      <c r="J8263" s="629"/>
      <c r="K8263" s="629"/>
      <c r="L8263" s="629"/>
      <c r="M8263" s="629"/>
      <c r="N8263" s="629"/>
      <c r="O8263" s="629"/>
      <c r="P8263" s="629"/>
      <c r="Q8263" s="629"/>
      <c r="R8263" s="629"/>
    </row>
    <row r="8264" spans="1:18" ht="36">
      <c r="A8264" s="219">
        <v>1101</v>
      </c>
      <c r="B8264" s="216" t="s">
        <v>15227</v>
      </c>
      <c r="C8264" s="220" t="s">
        <v>15228</v>
      </c>
      <c r="D8264" s="221">
        <v>105029</v>
      </c>
      <c r="E8264" s="221">
        <v>36901.4</v>
      </c>
      <c r="F8264" s="221">
        <v>60210.5</v>
      </c>
      <c r="G8264" s="221">
        <v>7917.1</v>
      </c>
      <c r="H8264" s="222">
        <v>823028.19</v>
      </c>
      <c r="I8264" s="222">
        <v>424366.1</v>
      </c>
      <c r="J8264" s="222">
        <v>334515.43</v>
      </c>
      <c r="K8264" s="222">
        <v>64146.66</v>
      </c>
      <c r="L8264" s="43">
        <v>7.8361994306334433</v>
      </c>
      <c r="M8264" s="43">
        <v>11.499999999999998</v>
      </c>
      <c r="N8264" s="43">
        <v>5.5557656887087798</v>
      </c>
      <c r="O8264" s="43">
        <v>8.102292506094404</v>
      </c>
      <c r="P8264" s="223"/>
      <c r="Q8264" s="223"/>
      <c r="R8264" s="223">
        <v>4</v>
      </c>
    </row>
    <row r="8265" spans="1:18" ht="36">
      <c r="A8265" s="219">
        <v>1102</v>
      </c>
      <c r="B8265" s="216" t="s">
        <v>15229</v>
      </c>
      <c r="C8265" s="220" t="s">
        <v>15230</v>
      </c>
      <c r="D8265" s="221">
        <v>36645.32</v>
      </c>
      <c r="E8265" s="221">
        <v>12837.36</v>
      </c>
      <c r="F8265" s="221">
        <v>20354.14</v>
      </c>
      <c r="G8265" s="221">
        <v>3453.82</v>
      </c>
      <c r="H8265" s="222">
        <v>288432.32</v>
      </c>
      <c r="I8265" s="222">
        <v>147629.64000000001</v>
      </c>
      <c r="J8265" s="222">
        <v>113340.04</v>
      </c>
      <c r="K8265" s="222">
        <v>27462.639999999999</v>
      </c>
      <c r="L8265" s="43">
        <v>7.8709183055298739</v>
      </c>
      <c r="M8265" s="43">
        <v>11.5</v>
      </c>
      <c r="N8265" s="43">
        <v>5.5684023004656549</v>
      </c>
      <c r="O8265" s="43">
        <v>7.9513813690348654</v>
      </c>
      <c r="P8265" s="223"/>
      <c r="Q8265" s="223"/>
      <c r="R8265" s="223">
        <v>4</v>
      </c>
    </row>
    <row r="8266" spans="1:18" ht="36">
      <c r="A8266" s="219">
        <v>1103</v>
      </c>
      <c r="B8266" s="216" t="s">
        <v>15231</v>
      </c>
      <c r="C8266" s="220" t="s">
        <v>15232</v>
      </c>
      <c r="D8266" s="221">
        <v>22623.08</v>
      </c>
      <c r="E8266" s="221">
        <v>8448.7099999999991</v>
      </c>
      <c r="F8266" s="221">
        <v>11609.01</v>
      </c>
      <c r="G8266" s="221">
        <v>2565.36</v>
      </c>
      <c r="H8266" s="222">
        <v>180856.19</v>
      </c>
      <c r="I8266" s="222">
        <v>97163.58</v>
      </c>
      <c r="J8266" s="222">
        <v>64802.81</v>
      </c>
      <c r="K8266" s="222">
        <v>18889.8</v>
      </c>
      <c r="L8266" s="43">
        <v>7.9943221701023903</v>
      </c>
      <c r="M8266" s="43">
        <v>11.500404203718675</v>
      </c>
      <c r="N8266" s="43">
        <v>5.5821133757314358</v>
      </c>
      <c r="O8266" s="43">
        <v>7.3634109832538117</v>
      </c>
      <c r="P8266" s="223"/>
      <c r="Q8266" s="223"/>
      <c r="R8266" s="223">
        <v>4</v>
      </c>
    </row>
    <row r="8267" spans="1:18" ht="12.75" customHeight="1">
      <c r="A8267" s="628" t="s">
        <v>15233</v>
      </c>
      <c r="B8267" s="629"/>
      <c r="C8267" s="629"/>
      <c r="D8267" s="629"/>
      <c r="E8267" s="629"/>
      <c r="F8267" s="629"/>
      <c r="G8267" s="629"/>
      <c r="H8267" s="629"/>
      <c r="I8267" s="629"/>
      <c r="J8267" s="629"/>
      <c r="K8267" s="629"/>
      <c r="L8267" s="629"/>
      <c r="M8267" s="629"/>
      <c r="N8267" s="629"/>
      <c r="O8267" s="629"/>
      <c r="P8267" s="629"/>
      <c r="Q8267" s="629"/>
      <c r="R8267" s="629"/>
    </row>
    <row r="8268" spans="1:18" ht="36">
      <c r="A8268" s="219">
        <v>1104</v>
      </c>
      <c r="B8268" s="216" t="s">
        <v>15234</v>
      </c>
      <c r="C8268" s="220" t="s">
        <v>15235</v>
      </c>
      <c r="D8268" s="221">
        <v>97650.1</v>
      </c>
      <c r="E8268" s="221">
        <v>37771.199999999997</v>
      </c>
      <c r="F8268" s="221">
        <v>51913.59</v>
      </c>
      <c r="G8268" s="221">
        <v>7965.31</v>
      </c>
      <c r="H8268" s="222">
        <v>787282.61</v>
      </c>
      <c r="I8268" s="222">
        <v>434368.8</v>
      </c>
      <c r="J8268" s="222">
        <v>288423.63</v>
      </c>
      <c r="K8268" s="222">
        <v>64490.18</v>
      </c>
      <c r="L8268" s="43">
        <v>8.0622816566496081</v>
      </c>
      <c r="M8268" s="43">
        <v>11.5</v>
      </c>
      <c r="N8268" s="43">
        <v>5.5558405804722817</v>
      </c>
      <c r="O8268" s="43">
        <v>8.0963804296380175</v>
      </c>
      <c r="P8268" s="223"/>
      <c r="Q8268" s="223"/>
      <c r="R8268" s="223">
        <v>5</v>
      </c>
    </row>
    <row r="8269" spans="1:18" ht="36">
      <c r="A8269" s="219">
        <v>1105</v>
      </c>
      <c r="B8269" s="216" t="s">
        <v>15236</v>
      </c>
      <c r="C8269" s="220" t="s">
        <v>15237</v>
      </c>
      <c r="D8269" s="221">
        <v>46765.61</v>
      </c>
      <c r="E8269" s="221">
        <v>18202.400000000001</v>
      </c>
      <c r="F8269" s="221">
        <v>23786.33</v>
      </c>
      <c r="G8269" s="221">
        <v>4776.88</v>
      </c>
      <c r="H8269" s="222">
        <v>379943.52</v>
      </c>
      <c r="I8269" s="222">
        <v>209327.6</v>
      </c>
      <c r="J8269" s="222">
        <v>132494.78</v>
      </c>
      <c r="K8269" s="222">
        <v>38121.14</v>
      </c>
      <c r="L8269" s="43">
        <v>8.1244213429483754</v>
      </c>
      <c r="M8269" s="43">
        <v>11.5</v>
      </c>
      <c r="N8269" s="43">
        <v>5.5702069213703833</v>
      </c>
      <c r="O8269" s="43">
        <v>7.9803428179062479</v>
      </c>
      <c r="P8269" s="223"/>
      <c r="Q8269" s="223"/>
      <c r="R8269" s="223">
        <v>5</v>
      </c>
    </row>
    <row r="8270" spans="1:18" ht="36">
      <c r="A8270" s="219">
        <v>1106</v>
      </c>
      <c r="B8270" s="216" t="s">
        <v>15238</v>
      </c>
      <c r="C8270" s="220" t="s">
        <v>15239</v>
      </c>
      <c r="D8270" s="221">
        <v>11223.5</v>
      </c>
      <c r="E8270" s="221">
        <v>5075.28</v>
      </c>
      <c r="F8270" s="221">
        <v>4807.01</v>
      </c>
      <c r="G8270" s="221">
        <v>1341.21</v>
      </c>
      <c r="H8270" s="222">
        <v>95650.66</v>
      </c>
      <c r="I8270" s="222">
        <v>58365.72</v>
      </c>
      <c r="J8270" s="222">
        <v>27187.75</v>
      </c>
      <c r="K8270" s="222">
        <v>10097.19</v>
      </c>
      <c r="L8270" s="43">
        <v>8.5223557713725668</v>
      </c>
      <c r="M8270" s="43">
        <v>11.5</v>
      </c>
      <c r="N8270" s="43">
        <v>5.6558546788960289</v>
      </c>
      <c r="O8270" s="43">
        <v>7.5284183684881567</v>
      </c>
      <c r="P8270" s="223"/>
      <c r="Q8270" s="223"/>
      <c r="R8270" s="223">
        <v>5</v>
      </c>
    </row>
    <row r="8271" spans="1:18" ht="12.75" customHeight="1">
      <c r="A8271" s="628" t="s">
        <v>15240</v>
      </c>
      <c r="B8271" s="629"/>
      <c r="C8271" s="629"/>
      <c r="D8271" s="629"/>
      <c r="E8271" s="629"/>
      <c r="F8271" s="629"/>
      <c r="G8271" s="629"/>
      <c r="H8271" s="629"/>
      <c r="I8271" s="629"/>
      <c r="J8271" s="629"/>
      <c r="K8271" s="629"/>
      <c r="L8271" s="629"/>
      <c r="M8271" s="629"/>
      <c r="N8271" s="629"/>
      <c r="O8271" s="629"/>
      <c r="P8271" s="629"/>
      <c r="Q8271" s="629"/>
      <c r="R8271" s="629"/>
    </row>
    <row r="8272" spans="1:18" ht="36">
      <c r="A8272" s="219">
        <v>1107</v>
      </c>
      <c r="B8272" s="216" t="s">
        <v>15241</v>
      </c>
      <c r="C8272" s="220" t="s">
        <v>15242</v>
      </c>
      <c r="D8272" s="221">
        <v>104561.76</v>
      </c>
      <c r="E8272" s="221">
        <v>37802.9</v>
      </c>
      <c r="F8272" s="221">
        <v>58797.98</v>
      </c>
      <c r="G8272" s="221">
        <v>7960.88</v>
      </c>
      <c r="H8272" s="222">
        <v>825763.46</v>
      </c>
      <c r="I8272" s="222">
        <v>434733.35</v>
      </c>
      <c r="J8272" s="222">
        <v>326555.59000000003</v>
      </c>
      <c r="K8272" s="222">
        <v>64474.52</v>
      </c>
      <c r="L8272" s="43">
        <v>7.8973752928412839</v>
      </c>
      <c r="M8272" s="43">
        <v>11.499999999999998</v>
      </c>
      <c r="N8272" s="43">
        <v>5.5538572923763709</v>
      </c>
      <c r="O8272" s="43">
        <v>8.098918712504144</v>
      </c>
      <c r="P8272" s="223"/>
      <c r="Q8272" s="223"/>
      <c r="R8272" s="223">
        <v>6</v>
      </c>
    </row>
    <row r="8273" spans="1:18" ht="36">
      <c r="A8273" s="219">
        <v>1108</v>
      </c>
      <c r="B8273" s="216" t="s">
        <v>15243</v>
      </c>
      <c r="C8273" s="220" t="s">
        <v>15244</v>
      </c>
      <c r="D8273" s="221">
        <v>47563.95</v>
      </c>
      <c r="E8273" s="221">
        <v>15986.6</v>
      </c>
      <c r="F8273" s="221">
        <v>26819.78</v>
      </c>
      <c r="G8273" s="221">
        <v>4757.57</v>
      </c>
      <c r="H8273" s="222">
        <v>370803.56</v>
      </c>
      <c r="I8273" s="222">
        <v>183845.9</v>
      </c>
      <c r="J8273" s="222">
        <v>149245.68</v>
      </c>
      <c r="K8273" s="222">
        <v>37711.980000000003</v>
      </c>
      <c r="L8273" s="43">
        <v>7.7958950003101091</v>
      </c>
      <c r="M8273" s="43">
        <v>11.5</v>
      </c>
      <c r="N8273" s="43">
        <v>5.564761530482353</v>
      </c>
      <c r="O8273" s="43">
        <v>7.9267315036878081</v>
      </c>
      <c r="P8273" s="223"/>
      <c r="Q8273" s="223"/>
      <c r="R8273" s="223">
        <v>6</v>
      </c>
    </row>
    <row r="8274" spans="1:18" ht="36">
      <c r="A8274" s="219">
        <v>1109</v>
      </c>
      <c r="B8274" s="216" t="s">
        <v>15245</v>
      </c>
      <c r="C8274" s="220" t="s">
        <v>15246</v>
      </c>
      <c r="D8274" s="221">
        <v>39985.03</v>
      </c>
      <c r="E8274" s="221">
        <v>15986.6</v>
      </c>
      <c r="F8274" s="221">
        <v>19775.310000000001</v>
      </c>
      <c r="G8274" s="221">
        <v>4223.12</v>
      </c>
      <c r="H8274" s="222">
        <v>328521.40999999997</v>
      </c>
      <c r="I8274" s="222">
        <v>183845.9</v>
      </c>
      <c r="J8274" s="222">
        <v>110964.92</v>
      </c>
      <c r="K8274" s="222">
        <v>33710.589999999997</v>
      </c>
      <c r="L8274" s="43">
        <v>8.216110129215858</v>
      </c>
      <c r="M8274" s="43">
        <v>11.5</v>
      </c>
      <c r="N8274" s="43">
        <v>5.6112859924825447</v>
      </c>
      <c r="O8274" s="43">
        <v>7.9823897971168227</v>
      </c>
      <c r="P8274" s="223"/>
      <c r="Q8274" s="223"/>
      <c r="R8274" s="223">
        <v>6</v>
      </c>
    </row>
    <row r="8275" spans="1:18" ht="36">
      <c r="A8275" s="219">
        <v>1110</v>
      </c>
      <c r="B8275" s="216" t="s">
        <v>15247</v>
      </c>
      <c r="C8275" s="220" t="s">
        <v>15248</v>
      </c>
      <c r="D8275" s="221">
        <v>10511.4</v>
      </c>
      <c r="E8275" s="221">
        <v>4501.8599999999997</v>
      </c>
      <c r="F8275" s="221">
        <v>4550.97</v>
      </c>
      <c r="G8275" s="221">
        <v>1458.57</v>
      </c>
      <c r="H8275" s="222">
        <v>87863.63</v>
      </c>
      <c r="I8275" s="222">
        <v>51771.39</v>
      </c>
      <c r="J8275" s="222">
        <v>25798.52</v>
      </c>
      <c r="K8275" s="222">
        <v>10293.719999999999</v>
      </c>
      <c r="L8275" s="43">
        <v>8.3588893962745221</v>
      </c>
      <c r="M8275" s="43">
        <v>11.5</v>
      </c>
      <c r="N8275" s="43">
        <v>5.6687958830754761</v>
      </c>
      <c r="O8275" s="43">
        <v>7.0574055410436252</v>
      </c>
      <c r="P8275" s="223"/>
      <c r="Q8275" s="223"/>
      <c r="R8275" s="223">
        <v>6</v>
      </c>
    </row>
    <row r="8276" spans="1:18" ht="36">
      <c r="A8276" s="219">
        <v>1111</v>
      </c>
      <c r="B8276" s="216" t="s">
        <v>15249</v>
      </c>
      <c r="C8276" s="220" t="s">
        <v>15250</v>
      </c>
      <c r="D8276" s="221">
        <v>9508.31</v>
      </c>
      <c r="E8276" s="221">
        <v>4501.8599999999997</v>
      </c>
      <c r="F8276" s="221">
        <v>3661.43</v>
      </c>
      <c r="G8276" s="221">
        <v>1345.02</v>
      </c>
      <c r="H8276" s="222">
        <v>81642.06</v>
      </c>
      <c r="I8276" s="222">
        <v>51771.39</v>
      </c>
      <c r="J8276" s="222">
        <v>20731</v>
      </c>
      <c r="K8276" s="222">
        <v>9139.67</v>
      </c>
      <c r="L8276" s="43">
        <v>8.586390220764784</v>
      </c>
      <c r="M8276" s="43">
        <v>11.5</v>
      </c>
      <c r="N8276" s="43">
        <v>5.6619954498652172</v>
      </c>
      <c r="O8276" s="43">
        <v>6.7951926365407207</v>
      </c>
      <c r="P8276" s="223"/>
      <c r="Q8276" s="223"/>
      <c r="R8276" s="223">
        <v>6</v>
      </c>
    </row>
    <row r="8277" spans="1:18" ht="12.75" customHeight="1">
      <c r="A8277" s="628" t="s">
        <v>15251</v>
      </c>
      <c r="B8277" s="629"/>
      <c r="C8277" s="629"/>
      <c r="D8277" s="629"/>
      <c r="E8277" s="629"/>
      <c r="F8277" s="629"/>
      <c r="G8277" s="629"/>
      <c r="H8277" s="629"/>
      <c r="I8277" s="629"/>
      <c r="J8277" s="629"/>
      <c r="K8277" s="629"/>
      <c r="L8277" s="629"/>
      <c r="M8277" s="629"/>
      <c r="N8277" s="629"/>
      <c r="O8277" s="629"/>
      <c r="P8277" s="629"/>
      <c r="Q8277" s="629"/>
      <c r="R8277" s="629"/>
    </row>
    <row r="8278" spans="1:18" ht="36">
      <c r="A8278" s="219">
        <v>1112</v>
      </c>
      <c r="B8278" s="216" t="s">
        <v>15252</v>
      </c>
      <c r="C8278" s="220" t="s">
        <v>15253</v>
      </c>
      <c r="D8278" s="221">
        <v>89910.57</v>
      </c>
      <c r="E8278" s="221">
        <v>35758.199999999997</v>
      </c>
      <c r="F8278" s="221">
        <v>45887.12</v>
      </c>
      <c r="G8278" s="221">
        <v>8265.25</v>
      </c>
      <c r="H8278" s="222">
        <v>735008.09</v>
      </c>
      <c r="I8278" s="222">
        <v>411219.3</v>
      </c>
      <c r="J8278" s="222">
        <v>255921.57</v>
      </c>
      <c r="K8278" s="222">
        <v>67867.22</v>
      </c>
      <c r="L8278" s="43">
        <v>8.1748796609786805</v>
      </c>
      <c r="M8278" s="43">
        <v>11.5</v>
      </c>
      <c r="N8278" s="43">
        <v>5.5771983510841387</v>
      </c>
      <c r="O8278" s="43">
        <v>8.2111515078188813</v>
      </c>
      <c r="P8278" s="223"/>
      <c r="Q8278" s="223"/>
      <c r="R8278" s="223">
        <v>7</v>
      </c>
    </row>
    <row r="8279" spans="1:18" ht="36">
      <c r="A8279" s="219">
        <v>1113</v>
      </c>
      <c r="B8279" s="216" t="s">
        <v>15254</v>
      </c>
      <c r="C8279" s="220" t="s">
        <v>15255</v>
      </c>
      <c r="D8279" s="221">
        <v>32875.74</v>
      </c>
      <c r="E8279" s="221">
        <v>13310.2</v>
      </c>
      <c r="F8279" s="221">
        <v>15927.83</v>
      </c>
      <c r="G8279" s="221">
        <v>3637.71</v>
      </c>
      <c r="H8279" s="222">
        <v>270714.53999999998</v>
      </c>
      <c r="I8279" s="222">
        <v>153067.29999999999</v>
      </c>
      <c r="J8279" s="222">
        <v>89307.4</v>
      </c>
      <c r="K8279" s="222">
        <v>28339.84</v>
      </c>
      <c r="L8279" s="43">
        <v>8.2344774596708703</v>
      </c>
      <c r="M8279" s="43">
        <v>11.499999999999998</v>
      </c>
      <c r="N8279" s="43">
        <v>5.6070035905707174</v>
      </c>
      <c r="O8279" s="43">
        <v>7.7905715408869867</v>
      </c>
      <c r="P8279" s="223"/>
      <c r="Q8279" s="223"/>
      <c r="R8279" s="223">
        <v>7</v>
      </c>
    </row>
    <row r="8280" spans="1:18" ht="36">
      <c r="A8280" s="219">
        <v>1114</v>
      </c>
      <c r="B8280" s="216" t="s">
        <v>15256</v>
      </c>
      <c r="C8280" s="220" t="s">
        <v>15257</v>
      </c>
      <c r="D8280" s="221">
        <v>17332.97</v>
      </c>
      <c r="E8280" s="221">
        <v>6934.82</v>
      </c>
      <c r="F8280" s="221">
        <v>4329.58</v>
      </c>
      <c r="G8280" s="221">
        <v>6068.57</v>
      </c>
      <c r="H8280" s="222">
        <v>151410.57999999999</v>
      </c>
      <c r="I8280" s="222">
        <v>79753.119999999995</v>
      </c>
      <c r="J8280" s="222">
        <v>24444.25</v>
      </c>
      <c r="K8280" s="222">
        <v>47213.21</v>
      </c>
      <c r="L8280" s="43">
        <v>8.7354088768399176</v>
      </c>
      <c r="M8280" s="43">
        <v>11.500387897595035</v>
      </c>
      <c r="N8280" s="43">
        <v>5.6458709620794627</v>
      </c>
      <c r="O8280" s="43">
        <v>7.7799563982948206</v>
      </c>
      <c r="P8280" s="223"/>
      <c r="Q8280" s="223"/>
      <c r="R8280" s="223">
        <v>7</v>
      </c>
    </row>
    <row r="8281" spans="1:18" ht="12.75" customHeight="1">
      <c r="A8281" s="628" t="s">
        <v>15258</v>
      </c>
      <c r="B8281" s="629"/>
      <c r="C8281" s="629"/>
      <c r="D8281" s="629"/>
      <c r="E8281" s="629"/>
      <c r="F8281" s="629"/>
      <c r="G8281" s="629"/>
      <c r="H8281" s="629"/>
      <c r="I8281" s="629"/>
      <c r="J8281" s="629"/>
      <c r="K8281" s="629"/>
      <c r="L8281" s="629"/>
      <c r="M8281" s="629"/>
      <c r="N8281" s="629"/>
      <c r="O8281" s="629"/>
      <c r="P8281" s="629"/>
      <c r="Q8281" s="629"/>
      <c r="R8281" s="629"/>
    </row>
    <row r="8282" spans="1:18" ht="36">
      <c r="A8282" s="219">
        <v>1115</v>
      </c>
      <c r="B8282" s="216" t="s">
        <v>15259</v>
      </c>
      <c r="C8282" s="220" t="s">
        <v>15260</v>
      </c>
      <c r="D8282" s="221">
        <v>104595.86</v>
      </c>
      <c r="E8282" s="221">
        <v>37802.9</v>
      </c>
      <c r="F8282" s="221">
        <v>58798.07</v>
      </c>
      <c r="G8282" s="221">
        <v>7994.89</v>
      </c>
      <c r="H8282" s="222">
        <v>826035.58</v>
      </c>
      <c r="I8282" s="222">
        <v>434733.35</v>
      </c>
      <c r="J8282" s="222">
        <v>326556.06</v>
      </c>
      <c r="K8282" s="222">
        <v>64746.17</v>
      </c>
      <c r="L8282" s="43">
        <v>7.8974022489991471</v>
      </c>
      <c r="M8282" s="43">
        <v>11.499999999999998</v>
      </c>
      <c r="N8282" s="43">
        <v>5.55385678475501</v>
      </c>
      <c r="O8282" s="43">
        <v>8.0984441311887956</v>
      </c>
      <c r="P8282" s="223"/>
      <c r="Q8282" s="223"/>
      <c r="R8282" s="223">
        <v>8</v>
      </c>
    </row>
    <row r="8283" spans="1:18" ht="36">
      <c r="A8283" s="219">
        <v>1116</v>
      </c>
      <c r="B8283" s="216" t="s">
        <v>15261</v>
      </c>
      <c r="C8283" s="220" t="s">
        <v>15262</v>
      </c>
      <c r="D8283" s="221">
        <v>39083.730000000003</v>
      </c>
      <c r="E8283" s="221">
        <v>14267.74</v>
      </c>
      <c r="F8283" s="221">
        <v>21020.17</v>
      </c>
      <c r="G8283" s="221">
        <v>3795.82</v>
      </c>
      <c r="H8283" s="222">
        <v>311137.77</v>
      </c>
      <c r="I8283" s="222">
        <v>164079.01</v>
      </c>
      <c r="J8283" s="222">
        <v>116988.4</v>
      </c>
      <c r="K8283" s="222">
        <v>30070.36</v>
      </c>
      <c r="L8283" s="43">
        <v>7.9608003125597273</v>
      </c>
      <c r="M8283" s="43">
        <v>11.5</v>
      </c>
      <c r="N8283" s="43">
        <v>5.565530630817924</v>
      </c>
      <c r="O8283" s="43">
        <v>7.921966795053506</v>
      </c>
      <c r="P8283" s="223"/>
      <c r="Q8283" s="223"/>
      <c r="R8283" s="223">
        <v>8</v>
      </c>
    </row>
    <row r="8284" spans="1:18" ht="36">
      <c r="A8284" s="219">
        <v>1117</v>
      </c>
      <c r="B8284" s="216" t="s">
        <v>15263</v>
      </c>
      <c r="C8284" s="220" t="s">
        <v>15264</v>
      </c>
      <c r="D8284" s="221">
        <v>12113.27</v>
      </c>
      <c r="E8284" s="221">
        <v>5354.58</v>
      </c>
      <c r="F8284" s="221">
        <v>5306.61</v>
      </c>
      <c r="G8284" s="221">
        <v>1452.08</v>
      </c>
      <c r="H8284" s="222">
        <v>102215.39</v>
      </c>
      <c r="I8284" s="222">
        <v>61577.67</v>
      </c>
      <c r="J8284" s="222">
        <v>30069.15</v>
      </c>
      <c r="K8284" s="222">
        <v>10568.57</v>
      </c>
      <c r="L8284" s="43">
        <v>8.438298659238999</v>
      </c>
      <c r="M8284" s="43">
        <v>11.5</v>
      </c>
      <c r="N8284" s="43">
        <v>5.6663576181403954</v>
      </c>
      <c r="O8284" s="43">
        <v>7.2782284722604818</v>
      </c>
      <c r="P8284" s="223"/>
      <c r="Q8284" s="223"/>
      <c r="R8284" s="223">
        <v>8</v>
      </c>
    </row>
    <row r="8285" spans="1:18" ht="36">
      <c r="A8285" s="219">
        <v>1118</v>
      </c>
      <c r="B8285" s="216" t="s">
        <v>15265</v>
      </c>
      <c r="C8285" s="220" t="s">
        <v>15266</v>
      </c>
      <c r="D8285" s="221">
        <v>10464.81</v>
      </c>
      <c r="E8285" s="221">
        <v>4564.5600000000004</v>
      </c>
      <c r="F8285" s="221">
        <v>4553.33</v>
      </c>
      <c r="G8285" s="221">
        <v>1346.92</v>
      </c>
      <c r="H8285" s="222">
        <v>88051.51</v>
      </c>
      <c r="I8285" s="222">
        <v>52492.44</v>
      </c>
      <c r="J8285" s="222">
        <v>25812.17</v>
      </c>
      <c r="K8285" s="222">
        <v>9746.9</v>
      </c>
      <c r="L8285" s="43">
        <v>8.4140572069631467</v>
      </c>
      <c r="M8285" s="43">
        <v>11.5</v>
      </c>
      <c r="N8285" s="43">
        <v>5.6688555408898536</v>
      </c>
      <c r="O8285" s="43">
        <v>7.2364357200130662</v>
      </c>
      <c r="P8285" s="223"/>
      <c r="Q8285" s="223"/>
      <c r="R8285" s="223">
        <v>8</v>
      </c>
    </row>
    <row r="8286" spans="1:18" ht="12.75" customHeight="1">
      <c r="A8286" s="628" t="s">
        <v>15267</v>
      </c>
      <c r="B8286" s="629"/>
      <c r="C8286" s="629"/>
      <c r="D8286" s="629"/>
      <c r="E8286" s="629"/>
      <c r="F8286" s="629"/>
      <c r="G8286" s="629"/>
      <c r="H8286" s="629"/>
      <c r="I8286" s="629"/>
      <c r="J8286" s="629"/>
      <c r="K8286" s="629"/>
      <c r="L8286" s="629"/>
      <c r="M8286" s="629"/>
      <c r="N8286" s="629"/>
      <c r="O8286" s="629"/>
      <c r="P8286" s="629"/>
      <c r="Q8286" s="629"/>
      <c r="R8286" s="629"/>
    </row>
    <row r="8287" spans="1:18" ht="72">
      <c r="A8287" s="219">
        <v>1119</v>
      </c>
      <c r="B8287" s="216" t="s">
        <v>15268</v>
      </c>
      <c r="C8287" s="220" t="s">
        <v>15269</v>
      </c>
      <c r="D8287" s="221">
        <v>104359.3</v>
      </c>
      <c r="E8287" s="221">
        <v>62695.839999999997</v>
      </c>
      <c r="F8287" s="221">
        <v>28453.38</v>
      </c>
      <c r="G8287" s="221">
        <v>13210.08</v>
      </c>
      <c r="H8287" s="222">
        <v>1003750.45</v>
      </c>
      <c r="I8287" s="222">
        <v>721002.16</v>
      </c>
      <c r="J8287" s="222">
        <v>182332.53</v>
      </c>
      <c r="K8287" s="222">
        <v>100415.76</v>
      </c>
      <c r="L8287" s="43">
        <v>9.6182175426627037</v>
      </c>
      <c r="M8287" s="43">
        <v>11.500000000000002</v>
      </c>
      <c r="N8287" s="43">
        <v>6.4081149585743411</v>
      </c>
      <c r="O8287" s="43">
        <v>7.6014498019694052</v>
      </c>
      <c r="P8287" s="223"/>
      <c r="Q8287" s="223"/>
      <c r="R8287" s="223">
        <v>9</v>
      </c>
    </row>
    <row r="8288" spans="1:18" ht="72">
      <c r="A8288" s="219">
        <v>1120</v>
      </c>
      <c r="B8288" s="216" t="s">
        <v>15270</v>
      </c>
      <c r="C8288" s="220" t="s">
        <v>15271</v>
      </c>
      <c r="D8288" s="221">
        <v>46324.160000000003</v>
      </c>
      <c r="E8288" s="221">
        <v>30717.439999999999</v>
      </c>
      <c r="F8288" s="221">
        <v>11313.46</v>
      </c>
      <c r="G8288" s="221">
        <v>4293.26</v>
      </c>
      <c r="H8288" s="222">
        <v>452125.81</v>
      </c>
      <c r="I8288" s="222">
        <v>353250.56</v>
      </c>
      <c r="J8288" s="222">
        <v>66100.84</v>
      </c>
      <c r="K8288" s="222">
        <v>32774.410000000003</v>
      </c>
      <c r="L8288" s="43">
        <v>9.7600433553463244</v>
      </c>
      <c r="M8288" s="43">
        <v>11.5</v>
      </c>
      <c r="N8288" s="43">
        <v>5.8426723566442096</v>
      </c>
      <c r="O8288" s="43">
        <v>7.6339215421381423</v>
      </c>
      <c r="P8288" s="223"/>
      <c r="Q8288" s="223"/>
      <c r="R8288" s="223">
        <v>9</v>
      </c>
    </row>
    <row r="8289" spans="1:18" ht="72">
      <c r="A8289" s="219">
        <v>1121</v>
      </c>
      <c r="B8289" s="216" t="s">
        <v>15272</v>
      </c>
      <c r="C8289" s="220" t="s">
        <v>15273</v>
      </c>
      <c r="D8289" s="221">
        <v>33226.239999999998</v>
      </c>
      <c r="E8289" s="221">
        <v>21486.3</v>
      </c>
      <c r="F8289" s="221">
        <v>8841.2099999999991</v>
      </c>
      <c r="G8289" s="221">
        <v>2898.73</v>
      </c>
      <c r="H8289" s="222">
        <v>320197.84999999998</v>
      </c>
      <c r="I8289" s="222">
        <v>247101.8</v>
      </c>
      <c r="J8289" s="222">
        <v>50743.08</v>
      </c>
      <c r="K8289" s="222">
        <v>22352.97</v>
      </c>
      <c r="L8289" s="43">
        <v>9.6368969224323902</v>
      </c>
      <c r="M8289" s="43">
        <v>11.500435161009573</v>
      </c>
      <c r="N8289" s="43">
        <v>5.7393818266956682</v>
      </c>
      <c r="O8289" s="43">
        <v>7.7112977062368699</v>
      </c>
      <c r="P8289" s="223"/>
      <c r="Q8289" s="223"/>
      <c r="R8289" s="223">
        <v>9</v>
      </c>
    </row>
    <row r="8290" spans="1:18" ht="72">
      <c r="A8290" s="219">
        <v>1122</v>
      </c>
      <c r="B8290" s="216" t="s">
        <v>15274</v>
      </c>
      <c r="C8290" s="220" t="s">
        <v>15275</v>
      </c>
      <c r="D8290" s="221">
        <v>21234.94</v>
      </c>
      <c r="E8290" s="221">
        <v>12444</v>
      </c>
      <c r="F8290" s="221">
        <v>6501.56</v>
      </c>
      <c r="G8290" s="221">
        <v>2289.38</v>
      </c>
      <c r="H8290" s="222">
        <v>197324.33</v>
      </c>
      <c r="I8290" s="222">
        <v>143106</v>
      </c>
      <c r="J8290" s="222">
        <v>36886.120000000003</v>
      </c>
      <c r="K8290" s="222">
        <v>17332.21</v>
      </c>
      <c r="L8290" s="43">
        <v>9.292436427887246</v>
      </c>
      <c r="M8290" s="43">
        <v>11.5</v>
      </c>
      <c r="N8290" s="43">
        <v>5.6734260700508798</v>
      </c>
      <c r="O8290" s="43">
        <v>7.5707003642907678</v>
      </c>
      <c r="P8290" s="223"/>
      <c r="Q8290" s="223"/>
      <c r="R8290" s="223">
        <v>9</v>
      </c>
    </row>
    <row r="8291" spans="1:18" ht="72">
      <c r="A8291" s="219">
        <v>1123</v>
      </c>
      <c r="B8291" s="216" t="s">
        <v>15276</v>
      </c>
      <c r="C8291" s="220" t="s">
        <v>15277</v>
      </c>
      <c r="D8291" s="221">
        <v>12730.76</v>
      </c>
      <c r="E8291" s="221">
        <v>7483.85</v>
      </c>
      <c r="F8291" s="221">
        <v>3076.99</v>
      </c>
      <c r="G8291" s="221">
        <v>2169.92</v>
      </c>
      <c r="H8291" s="222">
        <v>118344.43</v>
      </c>
      <c r="I8291" s="222">
        <v>86067.3</v>
      </c>
      <c r="J8291" s="222">
        <v>16601.03</v>
      </c>
      <c r="K8291" s="222">
        <v>15676.1</v>
      </c>
      <c r="L8291" s="43">
        <v>9.2959438399592784</v>
      </c>
      <c r="M8291" s="43">
        <v>11.500404203718674</v>
      </c>
      <c r="N8291" s="43">
        <v>5.3952174040214622</v>
      </c>
      <c r="O8291" s="43">
        <v>7.2242755493290076</v>
      </c>
      <c r="P8291" s="223"/>
      <c r="Q8291" s="223"/>
      <c r="R8291" s="223">
        <v>9</v>
      </c>
    </row>
    <row r="8292" spans="1:18" ht="72">
      <c r="A8292" s="219">
        <v>1124</v>
      </c>
      <c r="B8292" s="216" t="s">
        <v>15278</v>
      </c>
      <c r="C8292" s="220" t="s">
        <v>15279</v>
      </c>
      <c r="D8292" s="221">
        <v>8972.43</v>
      </c>
      <c r="E8292" s="221">
        <v>5116.32</v>
      </c>
      <c r="F8292" s="221">
        <v>2092.16</v>
      </c>
      <c r="G8292" s="221">
        <v>1763.95</v>
      </c>
      <c r="H8292" s="222">
        <v>82900.160000000003</v>
      </c>
      <c r="I8292" s="222">
        <v>58837.68</v>
      </c>
      <c r="J8292" s="222">
        <v>11286.9</v>
      </c>
      <c r="K8292" s="222">
        <v>12775.58</v>
      </c>
      <c r="L8292" s="43">
        <v>9.239432349987684</v>
      </c>
      <c r="M8292" s="43">
        <v>11.5</v>
      </c>
      <c r="N8292" s="43">
        <v>5.3948550780055067</v>
      </c>
      <c r="O8292" s="43">
        <v>7.242597579296465</v>
      </c>
      <c r="P8292" s="223"/>
      <c r="Q8292" s="223"/>
      <c r="R8292" s="223">
        <v>9</v>
      </c>
    </row>
    <row r="8293" spans="1:18" ht="72">
      <c r="A8293" s="219">
        <v>1125</v>
      </c>
      <c r="B8293" s="216" t="s">
        <v>15280</v>
      </c>
      <c r="C8293" s="220" t="s">
        <v>15281</v>
      </c>
      <c r="D8293" s="221">
        <v>6838.18</v>
      </c>
      <c r="E8293" s="221">
        <v>3937.56</v>
      </c>
      <c r="F8293" s="221">
        <v>1522.17</v>
      </c>
      <c r="G8293" s="221">
        <v>1378.45</v>
      </c>
      <c r="H8293" s="222">
        <v>63388.08</v>
      </c>
      <c r="I8293" s="222">
        <v>45281.94</v>
      </c>
      <c r="J8293" s="222">
        <v>8109.62</v>
      </c>
      <c r="K8293" s="222">
        <v>9996.52</v>
      </c>
      <c r="L8293" s="43">
        <v>9.2697296649108392</v>
      </c>
      <c r="M8293" s="43">
        <v>11.5</v>
      </c>
      <c r="N8293" s="43">
        <v>5.3276703653337005</v>
      </c>
      <c r="O8293" s="43">
        <v>7.2520004352715004</v>
      </c>
      <c r="P8293" s="223"/>
      <c r="Q8293" s="223"/>
      <c r="R8293" s="223">
        <v>9</v>
      </c>
    </row>
    <row r="8294" spans="1:18" ht="72">
      <c r="A8294" s="219">
        <v>1126</v>
      </c>
      <c r="B8294" s="216" t="s">
        <v>15282</v>
      </c>
      <c r="C8294" s="220" t="s">
        <v>15283</v>
      </c>
      <c r="D8294" s="221">
        <v>5649.85</v>
      </c>
      <c r="E8294" s="221">
        <v>3306.2</v>
      </c>
      <c r="F8294" s="221">
        <v>1416.49</v>
      </c>
      <c r="G8294" s="221">
        <v>927.16</v>
      </c>
      <c r="H8294" s="222">
        <v>52435.43</v>
      </c>
      <c r="I8294" s="222">
        <v>38021.300000000003</v>
      </c>
      <c r="J8294" s="222">
        <v>7644.65</v>
      </c>
      <c r="K8294" s="222">
        <v>6769.48</v>
      </c>
      <c r="L8294" s="43">
        <v>9.2808534739860349</v>
      </c>
      <c r="M8294" s="43">
        <v>11.500000000000002</v>
      </c>
      <c r="N8294" s="43">
        <v>5.3968965541585181</v>
      </c>
      <c r="O8294" s="43">
        <v>7.3013072177401961</v>
      </c>
      <c r="P8294" s="223"/>
      <c r="Q8294" s="223"/>
      <c r="R8294" s="223">
        <v>9</v>
      </c>
    </row>
    <row r="8295" spans="1:18" ht="72">
      <c r="A8295" s="219">
        <v>1127</v>
      </c>
      <c r="B8295" s="216" t="s">
        <v>15284</v>
      </c>
      <c r="C8295" s="220" t="s">
        <v>15285</v>
      </c>
      <c r="D8295" s="221">
        <v>5287.79</v>
      </c>
      <c r="E8295" s="221">
        <v>3306.2</v>
      </c>
      <c r="F8295" s="221">
        <v>1195.6300000000001</v>
      </c>
      <c r="G8295" s="221">
        <v>785.96</v>
      </c>
      <c r="H8295" s="222">
        <v>50086.49</v>
      </c>
      <c r="I8295" s="222">
        <v>38021.300000000003</v>
      </c>
      <c r="J8295" s="222">
        <v>6408.52</v>
      </c>
      <c r="K8295" s="222">
        <v>5656.67</v>
      </c>
      <c r="L8295" s="43">
        <v>9.4721027120971133</v>
      </c>
      <c r="M8295" s="43">
        <v>11.500000000000002</v>
      </c>
      <c r="N8295" s="43">
        <v>5.3599524936644283</v>
      </c>
      <c r="O8295" s="43">
        <v>7.1971474375286268</v>
      </c>
      <c r="P8295" s="223"/>
      <c r="Q8295" s="223"/>
      <c r="R8295" s="223">
        <v>9</v>
      </c>
    </row>
    <row r="8296" spans="1:18" ht="72">
      <c r="A8296" s="219">
        <v>1128</v>
      </c>
      <c r="B8296" s="216" t="s">
        <v>15286</v>
      </c>
      <c r="C8296" s="220" t="s">
        <v>15287</v>
      </c>
      <c r="D8296" s="221">
        <v>4820.13</v>
      </c>
      <c r="E8296" s="221">
        <v>3306.2</v>
      </c>
      <c r="F8296" s="221">
        <v>1007.68</v>
      </c>
      <c r="G8296" s="221">
        <v>506.25</v>
      </c>
      <c r="H8296" s="222">
        <v>47370.23</v>
      </c>
      <c r="I8296" s="222">
        <v>38021.300000000003</v>
      </c>
      <c r="J8296" s="222">
        <v>5330.13</v>
      </c>
      <c r="K8296" s="222">
        <v>4018.8</v>
      </c>
      <c r="L8296" s="43">
        <v>9.827583488412138</v>
      </c>
      <c r="M8296" s="43">
        <v>11.500000000000002</v>
      </c>
      <c r="N8296" s="43">
        <v>5.2895065893934587</v>
      </c>
      <c r="O8296" s="43">
        <v>7.9383703703703707</v>
      </c>
      <c r="P8296" s="223"/>
      <c r="Q8296" s="223"/>
      <c r="R8296" s="223">
        <v>9</v>
      </c>
    </row>
    <row r="8297" spans="1:18" ht="72">
      <c r="A8297" s="219">
        <v>1129</v>
      </c>
      <c r="B8297" s="216" t="s">
        <v>15288</v>
      </c>
      <c r="C8297" s="220" t="s">
        <v>15289</v>
      </c>
      <c r="D8297" s="221">
        <v>5385.32</v>
      </c>
      <c r="E8297" s="221">
        <v>3306.2</v>
      </c>
      <c r="F8297" s="221">
        <v>1359.82</v>
      </c>
      <c r="G8297" s="221">
        <v>719.3</v>
      </c>
      <c r="H8297" s="222">
        <v>50809.07</v>
      </c>
      <c r="I8297" s="222">
        <v>38021.300000000003</v>
      </c>
      <c r="J8297" s="222">
        <v>7139.39</v>
      </c>
      <c r="K8297" s="222">
        <v>5648.38</v>
      </c>
      <c r="L8297" s="43">
        <v>9.4347355403207249</v>
      </c>
      <c r="M8297" s="43">
        <v>11.500000000000002</v>
      </c>
      <c r="N8297" s="43">
        <v>5.2502463561353716</v>
      </c>
      <c r="O8297" s="43">
        <v>7.8526067009592664</v>
      </c>
      <c r="P8297" s="223"/>
      <c r="Q8297" s="223"/>
      <c r="R8297" s="223">
        <v>9</v>
      </c>
    </row>
    <row r="8298" spans="1:18" ht="72">
      <c r="A8298" s="219">
        <v>1130</v>
      </c>
      <c r="B8298" s="216" t="s">
        <v>15290</v>
      </c>
      <c r="C8298" s="220" t="s">
        <v>15291</v>
      </c>
      <c r="D8298" s="221">
        <v>3261.59</v>
      </c>
      <c r="E8298" s="221">
        <v>2106.7199999999998</v>
      </c>
      <c r="F8298" s="221">
        <v>738.18</v>
      </c>
      <c r="G8298" s="221">
        <v>416.69</v>
      </c>
      <c r="H8298" s="222">
        <v>31388.48</v>
      </c>
      <c r="I8298" s="222">
        <v>24227.279999999999</v>
      </c>
      <c r="J8298" s="222">
        <v>3879.92</v>
      </c>
      <c r="K8298" s="222">
        <v>3281.28</v>
      </c>
      <c r="L8298" s="43">
        <v>9.623674342881845</v>
      </c>
      <c r="M8298" s="43">
        <v>11.5</v>
      </c>
      <c r="N8298" s="43">
        <v>5.2560622070497711</v>
      </c>
      <c r="O8298" s="43">
        <v>7.8746310206628438</v>
      </c>
      <c r="P8298" s="223"/>
      <c r="Q8298" s="223"/>
      <c r="R8298" s="223">
        <v>9</v>
      </c>
    </row>
    <row r="8299" spans="1:18" ht="72">
      <c r="A8299" s="219">
        <v>1131</v>
      </c>
      <c r="B8299" s="216" t="s">
        <v>15292</v>
      </c>
      <c r="C8299" s="220" t="s">
        <v>15293</v>
      </c>
      <c r="D8299" s="221">
        <v>3574.09</v>
      </c>
      <c r="E8299" s="221">
        <v>2106.7199999999998</v>
      </c>
      <c r="F8299" s="221">
        <v>984.44</v>
      </c>
      <c r="G8299" s="221">
        <v>482.93</v>
      </c>
      <c r="H8299" s="222">
        <v>33105.03</v>
      </c>
      <c r="I8299" s="222">
        <v>24227.279999999999</v>
      </c>
      <c r="J8299" s="222">
        <v>5134.01</v>
      </c>
      <c r="K8299" s="222">
        <v>3743.74</v>
      </c>
      <c r="L8299" s="43">
        <v>9.262505980543299</v>
      </c>
      <c r="M8299" s="43">
        <v>11.5</v>
      </c>
      <c r="N8299" s="43">
        <v>5.2151578562431435</v>
      </c>
      <c r="O8299" s="43">
        <v>7.75213799101319</v>
      </c>
      <c r="P8299" s="223"/>
      <c r="Q8299" s="223"/>
      <c r="R8299" s="223">
        <v>9</v>
      </c>
    </row>
    <row r="8300" spans="1:18" ht="72">
      <c r="A8300" s="219">
        <v>1132</v>
      </c>
      <c r="B8300" s="216" t="s">
        <v>15294</v>
      </c>
      <c r="C8300" s="220" t="s">
        <v>15295</v>
      </c>
      <c r="D8300" s="221">
        <v>3448.2</v>
      </c>
      <c r="E8300" s="221">
        <v>1717.2</v>
      </c>
      <c r="F8300" s="221">
        <v>1076.6400000000001</v>
      </c>
      <c r="G8300" s="221">
        <v>654.36</v>
      </c>
      <c r="H8300" s="222">
        <v>30295.3</v>
      </c>
      <c r="I8300" s="222">
        <v>19747.8</v>
      </c>
      <c r="J8300" s="222">
        <v>5556.17</v>
      </c>
      <c r="K8300" s="222">
        <v>4991.33</v>
      </c>
      <c r="L8300" s="43">
        <v>8.7858302882663413</v>
      </c>
      <c r="M8300" s="43">
        <v>11.5</v>
      </c>
      <c r="N8300" s="43">
        <v>5.1606572299004307</v>
      </c>
      <c r="O8300" s="43">
        <v>7.6278042667644721</v>
      </c>
      <c r="P8300" s="223"/>
      <c r="Q8300" s="223"/>
      <c r="R8300" s="223">
        <v>9</v>
      </c>
    </row>
    <row r="8301" spans="1:18" ht="72">
      <c r="A8301" s="219">
        <v>1133</v>
      </c>
      <c r="B8301" s="216" t="s">
        <v>15296</v>
      </c>
      <c r="C8301" s="220" t="s">
        <v>15297</v>
      </c>
      <c r="D8301" s="221">
        <v>3622.09</v>
      </c>
      <c r="E8301" s="221">
        <v>1717.2</v>
      </c>
      <c r="F8301" s="221">
        <v>1154.52</v>
      </c>
      <c r="G8301" s="221">
        <v>750.37</v>
      </c>
      <c r="H8301" s="222">
        <v>31405.59</v>
      </c>
      <c r="I8301" s="222">
        <v>19747.8</v>
      </c>
      <c r="J8301" s="222">
        <v>6127.27</v>
      </c>
      <c r="K8301" s="222">
        <v>5530.52</v>
      </c>
      <c r="L8301" s="43">
        <v>8.670571410428785</v>
      </c>
      <c r="M8301" s="43">
        <v>11.5</v>
      </c>
      <c r="N8301" s="43">
        <v>5.3072012611301673</v>
      </c>
      <c r="O8301" s="43">
        <v>7.3703906073003989</v>
      </c>
      <c r="P8301" s="223"/>
      <c r="Q8301" s="223"/>
      <c r="R8301" s="223">
        <v>9</v>
      </c>
    </row>
    <row r="8302" spans="1:18" ht="12.75" customHeight="1">
      <c r="A8302" s="628" t="s">
        <v>15298</v>
      </c>
      <c r="B8302" s="629"/>
      <c r="C8302" s="629"/>
      <c r="D8302" s="629"/>
      <c r="E8302" s="629"/>
      <c r="F8302" s="629"/>
      <c r="G8302" s="629"/>
      <c r="H8302" s="629"/>
      <c r="I8302" s="629"/>
      <c r="J8302" s="629"/>
      <c r="K8302" s="629"/>
      <c r="L8302" s="629"/>
      <c r="M8302" s="629"/>
      <c r="N8302" s="629"/>
      <c r="O8302" s="629"/>
      <c r="P8302" s="629"/>
      <c r="Q8302" s="629"/>
      <c r="R8302" s="629"/>
    </row>
    <row r="8303" spans="1:18" ht="72">
      <c r="A8303" s="219">
        <v>1134</v>
      </c>
      <c r="B8303" s="216" t="s">
        <v>15299</v>
      </c>
      <c r="C8303" s="220" t="s">
        <v>15300</v>
      </c>
      <c r="D8303" s="221">
        <v>87476.94</v>
      </c>
      <c r="E8303" s="221">
        <v>58865</v>
      </c>
      <c r="F8303" s="221">
        <v>26862.62</v>
      </c>
      <c r="G8303" s="221">
        <v>1749.32</v>
      </c>
      <c r="H8303" s="222">
        <v>859033.59999999998</v>
      </c>
      <c r="I8303" s="222">
        <v>676947.5</v>
      </c>
      <c r="J8303" s="222">
        <v>164973.4</v>
      </c>
      <c r="K8303" s="222">
        <v>17112.7</v>
      </c>
      <c r="L8303" s="43">
        <v>9.8201148782753478</v>
      </c>
      <c r="M8303" s="43">
        <v>11.5</v>
      </c>
      <c r="N8303" s="43">
        <v>6.141374147421212</v>
      </c>
      <c r="O8303" s="43">
        <v>9.7824869091990045</v>
      </c>
      <c r="P8303" s="223"/>
      <c r="Q8303" s="223"/>
      <c r="R8303" s="223">
        <v>10</v>
      </c>
    </row>
    <row r="8304" spans="1:18" ht="72">
      <c r="A8304" s="219">
        <v>1135</v>
      </c>
      <c r="B8304" s="216" t="s">
        <v>15301</v>
      </c>
      <c r="C8304" s="220" t="s">
        <v>15302</v>
      </c>
      <c r="D8304" s="221">
        <v>56276.27</v>
      </c>
      <c r="E8304" s="221">
        <v>38210.400000000001</v>
      </c>
      <c r="F8304" s="221">
        <v>16260.45</v>
      </c>
      <c r="G8304" s="221">
        <v>1805.42</v>
      </c>
      <c r="H8304" s="222">
        <v>554382.31999999995</v>
      </c>
      <c r="I8304" s="222">
        <v>439419.6</v>
      </c>
      <c r="J8304" s="222">
        <v>99868.57</v>
      </c>
      <c r="K8304" s="222">
        <v>15094.15</v>
      </c>
      <c r="L8304" s="43">
        <v>9.8510850132746892</v>
      </c>
      <c r="M8304" s="43">
        <v>11.499999999999998</v>
      </c>
      <c r="N8304" s="43">
        <v>6.1418084985347887</v>
      </c>
      <c r="O8304" s="43">
        <v>8.3604646010346624</v>
      </c>
      <c r="P8304" s="223"/>
      <c r="Q8304" s="223"/>
      <c r="R8304" s="223">
        <v>10</v>
      </c>
    </row>
    <row r="8305" spans="1:18" ht="72">
      <c r="A8305" s="219">
        <v>1136</v>
      </c>
      <c r="B8305" s="216" t="s">
        <v>15303</v>
      </c>
      <c r="C8305" s="220" t="s">
        <v>15304</v>
      </c>
      <c r="D8305" s="221">
        <v>45224.2</v>
      </c>
      <c r="E8305" s="221">
        <v>31402.799999999999</v>
      </c>
      <c r="F8305" s="221">
        <v>12519.07</v>
      </c>
      <c r="G8305" s="221">
        <v>1302.33</v>
      </c>
      <c r="H8305" s="222">
        <v>449820.96</v>
      </c>
      <c r="I8305" s="222">
        <v>361132.2</v>
      </c>
      <c r="J8305" s="222">
        <v>77383.25</v>
      </c>
      <c r="K8305" s="222">
        <v>11305.51</v>
      </c>
      <c r="L8305" s="43">
        <v>9.9464658302413316</v>
      </c>
      <c r="M8305" s="43">
        <v>11.5</v>
      </c>
      <c r="N8305" s="43">
        <v>6.1812299156406985</v>
      </c>
      <c r="O8305" s="43">
        <v>8.6809871537935859</v>
      </c>
      <c r="P8305" s="223"/>
      <c r="Q8305" s="223"/>
      <c r="R8305" s="223">
        <v>10</v>
      </c>
    </row>
    <row r="8306" spans="1:18" ht="72">
      <c r="A8306" s="219">
        <v>1137</v>
      </c>
      <c r="B8306" s="216" t="s">
        <v>15305</v>
      </c>
      <c r="C8306" s="220" t="s">
        <v>15306</v>
      </c>
      <c r="D8306" s="221">
        <v>21414.37</v>
      </c>
      <c r="E8306" s="221">
        <v>13859.2</v>
      </c>
      <c r="F8306" s="221">
        <v>6614.31</v>
      </c>
      <c r="G8306" s="221">
        <v>940.86</v>
      </c>
      <c r="H8306" s="222">
        <v>206852.8</v>
      </c>
      <c r="I8306" s="222">
        <v>159380.79999999999</v>
      </c>
      <c r="J8306" s="222">
        <v>40311.730000000003</v>
      </c>
      <c r="K8306" s="222">
        <v>7160.27</v>
      </c>
      <c r="L8306" s="43">
        <v>9.659532360746546</v>
      </c>
      <c r="M8306" s="43">
        <v>11.499999999999998</v>
      </c>
      <c r="N8306" s="43">
        <v>6.0946236266519112</v>
      </c>
      <c r="O8306" s="43">
        <v>7.6103458537933379</v>
      </c>
      <c r="P8306" s="223"/>
      <c r="Q8306" s="223"/>
      <c r="R8306" s="223">
        <v>10</v>
      </c>
    </row>
    <row r="8307" spans="1:18" ht="12.75" customHeight="1">
      <c r="A8307" s="628" t="s">
        <v>15307</v>
      </c>
      <c r="B8307" s="629"/>
      <c r="C8307" s="629"/>
      <c r="D8307" s="629"/>
      <c r="E8307" s="629"/>
      <c r="F8307" s="629"/>
      <c r="G8307" s="629"/>
      <c r="H8307" s="629"/>
      <c r="I8307" s="629"/>
      <c r="J8307" s="629"/>
      <c r="K8307" s="629"/>
      <c r="L8307" s="629"/>
      <c r="M8307" s="629"/>
      <c r="N8307" s="629"/>
      <c r="O8307" s="629"/>
      <c r="P8307" s="629"/>
      <c r="Q8307" s="629"/>
      <c r="R8307" s="629"/>
    </row>
    <row r="8308" spans="1:18" ht="72">
      <c r="A8308" s="219">
        <v>1138</v>
      </c>
      <c r="B8308" s="216" t="s">
        <v>15308</v>
      </c>
      <c r="C8308" s="220" t="s">
        <v>15309</v>
      </c>
      <c r="D8308" s="221">
        <v>33386.9</v>
      </c>
      <c r="E8308" s="221">
        <v>17379.849999999999</v>
      </c>
      <c r="F8308" s="221">
        <v>14196.1</v>
      </c>
      <c r="G8308" s="221">
        <v>1810.95</v>
      </c>
      <c r="H8308" s="222">
        <v>292649.82</v>
      </c>
      <c r="I8308" s="222">
        <v>199875.3</v>
      </c>
      <c r="J8308" s="222">
        <v>77288.179999999993</v>
      </c>
      <c r="K8308" s="222">
        <v>15486.34</v>
      </c>
      <c r="L8308" s="43">
        <v>8.7654085883984436</v>
      </c>
      <c r="M8308" s="43">
        <v>11.500404203718675</v>
      </c>
      <c r="N8308" s="43">
        <v>5.4443248497826859</v>
      </c>
      <c r="O8308" s="43">
        <v>8.5515005936110882</v>
      </c>
      <c r="P8308" s="223"/>
      <c r="Q8308" s="223"/>
      <c r="R8308" s="223">
        <v>11</v>
      </c>
    </row>
    <row r="8309" spans="1:18" ht="72">
      <c r="A8309" s="219">
        <v>1139</v>
      </c>
      <c r="B8309" s="216" t="s">
        <v>15310</v>
      </c>
      <c r="C8309" s="220" t="s">
        <v>15311</v>
      </c>
      <c r="D8309" s="221">
        <v>23429.56</v>
      </c>
      <c r="E8309" s="221">
        <v>14176.02</v>
      </c>
      <c r="F8309" s="221">
        <v>7817.26</v>
      </c>
      <c r="G8309" s="221">
        <v>1436.28</v>
      </c>
      <c r="H8309" s="222">
        <v>217283.47</v>
      </c>
      <c r="I8309" s="222">
        <v>163029.96</v>
      </c>
      <c r="J8309" s="222">
        <v>42009.88</v>
      </c>
      <c r="K8309" s="222">
        <v>12243.63</v>
      </c>
      <c r="L8309" s="43">
        <v>9.2739031377456502</v>
      </c>
      <c r="M8309" s="43">
        <v>11.500404203718674</v>
      </c>
      <c r="N8309" s="43">
        <v>5.3739903751442313</v>
      </c>
      <c r="O8309" s="43">
        <v>8.5245425683014453</v>
      </c>
      <c r="P8309" s="223"/>
      <c r="Q8309" s="223"/>
      <c r="R8309" s="223">
        <v>11</v>
      </c>
    </row>
    <row r="8310" spans="1:18" ht="72">
      <c r="A8310" s="219">
        <v>1140</v>
      </c>
      <c r="B8310" s="216" t="s">
        <v>15312</v>
      </c>
      <c r="C8310" s="220" t="s">
        <v>15313</v>
      </c>
      <c r="D8310" s="221">
        <v>22344.59</v>
      </c>
      <c r="E8310" s="221">
        <v>14176.02</v>
      </c>
      <c r="F8310" s="221">
        <v>6087.36</v>
      </c>
      <c r="G8310" s="221">
        <v>2081.21</v>
      </c>
      <c r="H8310" s="222">
        <v>212082.46</v>
      </c>
      <c r="I8310" s="222">
        <v>163029.96</v>
      </c>
      <c r="J8310" s="222">
        <v>32294.01</v>
      </c>
      <c r="K8310" s="222">
        <v>16758.490000000002</v>
      </c>
      <c r="L8310" s="43">
        <v>9.4914455803395814</v>
      </c>
      <c r="M8310" s="43">
        <v>11.500404203718674</v>
      </c>
      <c r="N8310" s="43">
        <v>5.3050928481312098</v>
      </c>
      <c r="O8310" s="43">
        <v>8.0522820859019522</v>
      </c>
      <c r="P8310" s="223"/>
      <c r="Q8310" s="223"/>
      <c r="R8310" s="223">
        <v>11</v>
      </c>
    </row>
    <row r="8311" spans="1:18" ht="72">
      <c r="A8311" s="219">
        <v>1141</v>
      </c>
      <c r="B8311" s="216" t="s">
        <v>15314</v>
      </c>
      <c r="C8311" s="220" t="s">
        <v>15315</v>
      </c>
      <c r="D8311" s="221">
        <v>12260.23</v>
      </c>
      <c r="E8311" s="221">
        <v>7422</v>
      </c>
      <c r="F8311" s="221">
        <v>3637.99</v>
      </c>
      <c r="G8311" s="221">
        <v>1200.24</v>
      </c>
      <c r="H8311" s="222">
        <v>113556.28</v>
      </c>
      <c r="I8311" s="222">
        <v>85356</v>
      </c>
      <c r="J8311" s="222">
        <v>19635.37</v>
      </c>
      <c r="K8311" s="222">
        <v>8564.91</v>
      </c>
      <c r="L8311" s="43">
        <v>9.2621655548060691</v>
      </c>
      <c r="M8311" s="43">
        <v>11.500404203718674</v>
      </c>
      <c r="N8311" s="43">
        <v>5.397312801849373</v>
      </c>
      <c r="O8311" s="43">
        <v>7.1359978004399123</v>
      </c>
      <c r="P8311" s="223"/>
      <c r="Q8311" s="223"/>
      <c r="R8311" s="223">
        <v>11</v>
      </c>
    </row>
    <row r="8312" spans="1:18" ht="72">
      <c r="A8312" s="219">
        <v>1142</v>
      </c>
      <c r="B8312" s="216" t="s">
        <v>15316</v>
      </c>
      <c r="C8312" s="220" t="s">
        <v>15317</v>
      </c>
      <c r="D8312" s="221">
        <v>11919.64</v>
      </c>
      <c r="E8312" s="221">
        <v>7422</v>
      </c>
      <c r="F8312" s="221">
        <v>2994.47</v>
      </c>
      <c r="G8312" s="221">
        <v>1503.17</v>
      </c>
      <c r="H8312" s="222">
        <v>112621.77</v>
      </c>
      <c r="I8312" s="222">
        <v>85356</v>
      </c>
      <c r="J8312" s="222">
        <v>16241.75</v>
      </c>
      <c r="K8312" s="222">
        <v>11024.02</v>
      </c>
      <c r="L8312" s="43">
        <v>9.4484204220932853</v>
      </c>
      <c r="M8312" s="43">
        <v>11.500404203718674</v>
      </c>
      <c r="N8312" s="43">
        <v>5.4239147495216189</v>
      </c>
      <c r="O8312" s="43">
        <v>7.333847801645855</v>
      </c>
      <c r="P8312" s="223"/>
      <c r="Q8312" s="223"/>
      <c r="R8312" s="223">
        <v>11</v>
      </c>
    </row>
    <row r="8313" spans="1:18" ht="72">
      <c r="A8313" s="219">
        <v>1143</v>
      </c>
      <c r="B8313" s="216" t="s">
        <v>15318</v>
      </c>
      <c r="C8313" s="220" t="s">
        <v>15319</v>
      </c>
      <c r="D8313" s="221">
        <v>5671.74</v>
      </c>
      <c r="E8313" s="221">
        <v>3352.27</v>
      </c>
      <c r="F8313" s="221">
        <v>1647.05</v>
      </c>
      <c r="G8313" s="221">
        <v>672.42</v>
      </c>
      <c r="H8313" s="222">
        <v>52102.3</v>
      </c>
      <c r="I8313" s="222">
        <v>38552.46</v>
      </c>
      <c r="J8313" s="222">
        <v>8794.51</v>
      </c>
      <c r="K8313" s="222">
        <v>4755.33</v>
      </c>
      <c r="L8313" s="43">
        <v>9.1862990898736552</v>
      </c>
      <c r="M8313" s="43">
        <v>11.500404203718674</v>
      </c>
      <c r="N8313" s="43">
        <v>5.3395525333171427</v>
      </c>
      <c r="O8313" s="43">
        <v>7.0719639511019903</v>
      </c>
      <c r="P8313" s="223"/>
      <c r="Q8313" s="223"/>
      <c r="R8313" s="223">
        <v>11</v>
      </c>
    </row>
    <row r="8314" spans="1:18" ht="72">
      <c r="A8314" s="219">
        <v>1144</v>
      </c>
      <c r="B8314" s="216" t="s">
        <v>15320</v>
      </c>
      <c r="C8314" s="220" t="s">
        <v>15321</v>
      </c>
      <c r="D8314" s="221">
        <v>5057.55</v>
      </c>
      <c r="E8314" s="221">
        <v>2944.06</v>
      </c>
      <c r="F8314" s="221">
        <v>1541.7</v>
      </c>
      <c r="G8314" s="221">
        <v>571.79</v>
      </c>
      <c r="H8314" s="222">
        <v>46034.74</v>
      </c>
      <c r="I8314" s="222">
        <v>33857.879999999997</v>
      </c>
      <c r="J8314" s="222">
        <v>8258.14</v>
      </c>
      <c r="K8314" s="222">
        <v>3918.72</v>
      </c>
      <c r="L8314" s="43">
        <v>9.1021818864865391</v>
      </c>
      <c r="M8314" s="43">
        <v>11.500404203718674</v>
      </c>
      <c r="N8314" s="43">
        <v>5.3565155347992475</v>
      </c>
      <c r="O8314" s="43">
        <v>6.8534252085555885</v>
      </c>
      <c r="P8314" s="223"/>
      <c r="Q8314" s="223"/>
      <c r="R8314" s="223">
        <v>11</v>
      </c>
    </row>
    <row r="8315" spans="1:18" ht="72">
      <c r="A8315" s="219">
        <v>1145</v>
      </c>
      <c r="B8315" s="216" t="s">
        <v>15322</v>
      </c>
      <c r="C8315" s="220" t="s">
        <v>15323</v>
      </c>
      <c r="D8315" s="221">
        <v>4033.92</v>
      </c>
      <c r="E8315" s="221">
        <v>2337.9299999999998</v>
      </c>
      <c r="F8315" s="221">
        <v>1284</v>
      </c>
      <c r="G8315" s="221">
        <v>411.99</v>
      </c>
      <c r="H8315" s="222">
        <v>36497.269999999997</v>
      </c>
      <c r="I8315" s="222">
        <v>26887.14</v>
      </c>
      <c r="J8315" s="222">
        <v>6886.48</v>
      </c>
      <c r="K8315" s="222">
        <v>2723.65</v>
      </c>
      <c r="L8315" s="43">
        <v>9.0475939036966508</v>
      </c>
      <c r="M8315" s="43">
        <v>11.500404203718675</v>
      </c>
      <c r="N8315" s="43">
        <v>5.3633021806853582</v>
      </c>
      <c r="O8315" s="43">
        <v>6.6109614311026972</v>
      </c>
      <c r="P8315" s="223"/>
      <c r="Q8315" s="223"/>
      <c r="R8315" s="223">
        <v>11</v>
      </c>
    </row>
    <row r="8316" spans="1:18" ht="72">
      <c r="A8316" s="219">
        <v>1146</v>
      </c>
      <c r="B8316" s="216" t="s">
        <v>15324</v>
      </c>
      <c r="C8316" s="220" t="s">
        <v>15325</v>
      </c>
      <c r="D8316" s="221">
        <v>3450.95</v>
      </c>
      <c r="E8316" s="221">
        <v>2226.6</v>
      </c>
      <c r="F8316" s="221">
        <v>851.91</v>
      </c>
      <c r="G8316" s="221">
        <v>372.44</v>
      </c>
      <c r="H8316" s="222">
        <v>32864.86</v>
      </c>
      <c r="I8316" s="222">
        <v>25606.799999999999</v>
      </c>
      <c r="J8316" s="222">
        <v>4808.95</v>
      </c>
      <c r="K8316" s="222">
        <v>2449.11</v>
      </c>
      <c r="L8316" s="43">
        <v>9.5234239846998658</v>
      </c>
      <c r="M8316" s="43">
        <v>11.500404203718674</v>
      </c>
      <c r="N8316" s="43">
        <v>5.6449038043924826</v>
      </c>
      <c r="O8316" s="43">
        <v>6.5758511438083991</v>
      </c>
      <c r="P8316" s="223"/>
      <c r="Q8316" s="223"/>
      <c r="R8316" s="223">
        <v>11</v>
      </c>
    </row>
    <row r="8317" spans="1:18" ht="12.75" customHeight="1">
      <c r="A8317" s="628" t="s">
        <v>15326</v>
      </c>
      <c r="B8317" s="629"/>
      <c r="C8317" s="629"/>
      <c r="D8317" s="629"/>
      <c r="E8317" s="629"/>
      <c r="F8317" s="629"/>
      <c r="G8317" s="629"/>
      <c r="H8317" s="629"/>
      <c r="I8317" s="629"/>
      <c r="J8317" s="629"/>
      <c r="K8317" s="629"/>
      <c r="L8317" s="629"/>
      <c r="M8317" s="629"/>
      <c r="N8317" s="629"/>
      <c r="O8317" s="629"/>
      <c r="P8317" s="629"/>
      <c r="Q8317" s="629"/>
      <c r="R8317" s="629"/>
    </row>
    <row r="8318" spans="1:18" ht="12.75" customHeight="1">
      <c r="A8318" s="628" t="s">
        <v>15199</v>
      </c>
      <c r="B8318" s="629"/>
      <c r="C8318" s="629"/>
      <c r="D8318" s="629"/>
      <c r="E8318" s="629"/>
      <c r="F8318" s="629"/>
      <c r="G8318" s="629"/>
      <c r="H8318" s="629"/>
      <c r="I8318" s="629"/>
      <c r="J8318" s="629"/>
      <c r="K8318" s="629"/>
      <c r="L8318" s="629"/>
      <c r="M8318" s="629"/>
      <c r="N8318" s="629"/>
      <c r="O8318" s="629"/>
      <c r="P8318" s="629"/>
      <c r="Q8318" s="629"/>
      <c r="R8318" s="629"/>
    </row>
    <row r="8319" spans="1:18" ht="36">
      <c r="A8319" s="219">
        <v>1147</v>
      </c>
      <c r="B8319" s="216" t="s">
        <v>15327</v>
      </c>
      <c r="C8319" s="220" t="s">
        <v>15328</v>
      </c>
      <c r="D8319" s="221">
        <v>12193.42</v>
      </c>
      <c r="E8319" s="221">
        <v>3391.6</v>
      </c>
      <c r="F8319" s="221">
        <v>8089.16</v>
      </c>
      <c r="G8319" s="221">
        <v>712.66</v>
      </c>
      <c r="H8319" s="222">
        <v>89942.33</v>
      </c>
      <c r="I8319" s="222">
        <v>39003.4</v>
      </c>
      <c r="J8319" s="222">
        <v>45965.86</v>
      </c>
      <c r="K8319" s="222">
        <v>4973.07</v>
      </c>
      <c r="L8319" s="43">
        <v>7.3763004964972909</v>
      </c>
      <c r="M8319" s="43">
        <v>11.5</v>
      </c>
      <c r="N8319" s="43">
        <v>5.6824021282803159</v>
      </c>
      <c r="O8319" s="43">
        <v>6.9781803384503132</v>
      </c>
      <c r="P8319" s="223"/>
      <c r="Q8319" s="223"/>
      <c r="R8319" s="223">
        <v>1</v>
      </c>
    </row>
    <row r="8320" spans="1:18" ht="36">
      <c r="A8320" s="219">
        <v>1148</v>
      </c>
      <c r="B8320" s="216" t="s">
        <v>15329</v>
      </c>
      <c r="C8320" s="220" t="s">
        <v>15330</v>
      </c>
      <c r="D8320" s="221">
        <v>8787.7000000000007</v>
      </c>
      <c r="E8320" s="221">
        <v>2598.6</v>
      </c>
      <c r="F8320" s="221">
        <v>5761.5</v>
      </c>
      <c r="G8320" s="221">
        <v>427.6</v>
      </c>
      <c r="H8320" s="222">
        <v>65762.080000000002</v>
      </c>
      <c r="I8320" s="222">
        <v>29883.9</v>
      </c>
      <c r="J8320" s="222">
        <v>32811.31</v>
      </c>
      <c r="K8320" s="222">
        <v>3066.87</v>
      </c>
      <c r="L8320" s="43">
        <v>7.4834234213730548</v>
      </c>
      <c r="M8320" s="43">
        <v>11.500000000000002</v>
      </c>
      <c r="N8320" s="43">
        <v>5.6949249327432092</v>
      </c>
      <c r="O8320" s="43">
        <v>7.1722871842843769</v>
      </c>
      <c r="P8320" s="223"/>
      <c r="Q8320" s="223"/>
      <c r="R8320" s="223">
        <v>1</v>
      </c>
    </row>
    <row r="8321" spans="1:18" ht="36">
      <c r="A8321" s="219">
        <v>1149</v>
      </c>
      <c r="B8321" s="216" t="s">
        <v>15331</v>
      </c>
      <c r="C8321" s="220" t="s">
        <v>15332</v>
      </c>
      <c r="D8321" s="221">
        <v>7926.66</v>
      </c>
      <c r="E8321" s="221">
        <v>2318</v>
      </c>
      <c r="F8321" s="221">
        <v>5205.7700000000004</v>
      </c>
      <c r="G8321" s="221">
        <v>402.89</v>
      </c>
      <c r="H8321" s="222">
        <v>59102.89</v>
      </c>
      <c r="I8321" s="222">
        <v>26657</v>
      </c>
      <c r="J8321" s="222">
        <v>29579.25</v>
      </c>
      <c r="K8321" s="222">
        <v>2866.64</v>
      </c>
      <c r="L8321" s="43">
        <v>7.4562161111994207</v>
      </c>
      <c r="M8321" s="43">
        <v>11.5</v>
      </c>
      <c r="N8321" s="43">
        <v>5.6820124592519452</v>
      </c>
      <c r="O8321" s="43">
        <v>7.1151927325076318</v>
      </c>
      <c r="P8321" s="223"/>
      <c r="Q8321" s="223"/>
      <c r="R8321" s="223">
        <v>1</v>
      </c>
    </row>
    <row r="8322" spans="1:18" ht="36">
      <c r="A8322" s="219">
        <v>1150</v>
      </c>
      <c r="B8322" s="216" t="s">
        <v>15333</v>
      </c>
      <c r="C8322" s="220" t="s">
        <v>15334</v>
      </c>
      <c r="D8322" s="221">
        <v>6243.61</v>
      </c>
      <c r="E8322" s="221">
        <v>2000.8</v>
      </c>
      <c r="F8322" s="221">
        <v>3871.91</v>
      </c>
      <c r="G8322" s="221">
        <v>370.9</v>
      </c>
      <c r="H8322" s="222">
        <v>47701.14</v>
      </c>
      <c r="I8322" s="222">
        <v>23009.200000000001</v>
      </c>
      <c r="J8322" s="222">
        <v>22120.45</v>
      </c>
      <c r="K8322" s="222">
        <v>2571.4899999999998</v>
      </c>
      <c r="L8322" s="43">
        <v>7.6399935293844425</v>
      </c>
      <c r="M8322" s="43">
        <v>11.5</v>
      </c>
      <c r="N8322" s="43">
        <v>5.7130589295722274</v>
      </c>
      <c r="O8322" s="43">
        <v>6.9331086546238874</v>
      </c>
      <c r="P8322" s="223"/>
      <c r="Q8322" s="223"/>
      <c r="R8322" s="223">
        <v>1</v>
      </c>
    </row>
    <row r="8323" spans="1:18" ht="36">
      <c r="A8323" s="219">
        <v>1151</v>
      </c>
      <c r="B8323" s="216" t="s">
        <v>15335</v>
      </c>
      <c r="C8323" s="220" t="s">
        <v>15336</v>
      </c>
      <c r="D8323" s="221">
        <v>4068.11</v>
      </c>
      <c r="E8323" s="221">
        <v>1427.4</v>
      </c>
      <c r="F8323" s="221">
        <v>2339.65</v>
      </c>
      <c r="G8323" s="221">
        <v>301.06</v>
      </c>
      <c r="H8323" s="222">
        <v>31773.03</v>
      </c>
      <c r="I8323" s="222">
        <v>16415.099999999999</v>
      </c>
      <c r="J8323" s="222">
        <v>13417.91</v>
      </c>
      <c r="K8323" s="222">
        <v>1940.02</v>
      </c>
      <c r="L8323" s="43">
        <v>7.8102681589239227</v>
      </c>
      <c r="M8323" s="43">
        <v>11.499999999999998</v>
      </c>
      <c r="N8323" s="43">
        <v>5.7350073728976554</v>
      </c>
      <c r="O8323" s="43">
        <v>6.4439646582076664</v>
      </c>
      <c r="P8323" s="223"/>
      <c r="Q8323" s="223"/>
      <c r="R8323" s="223">
        <v>1</v>
      </c>
    </row>
    <row r="8324" spans="1:18" ht="36">
      <c r="A8324" s="219">
        <v>1152</v>
      </c>
      <c r="B8324" s="216" t="s">
        <v>15337</v>
      </c>
      <c r="C8324" s="220" t="s">
        <v>15338</v>
      </c>
      <c r="D8324" s="221">
        <v>3940.8</v>
      </c>
      <c r="E8324" s="221">
        <v>1427.4</v>
      </c>
      <c r="F8324" s="221">
        <v>2147.9899999999998</v>
      </c>
      <c r="G8324" s="221">
        <v>365.41</v>
      </c>
      <c r="H8324" s="222">
        <v>31066.97</v>
      </c>
      <c r="I8324" s="222">
        <v>16415.099999999999</v>
      </c>
      <c r="J8324" s="222">
        <v>12262.03</v>
      </c>
      <c r="K8324" s="222">
        <v>2389.84</v>
      </c>
      <c r="L8324" s="43">
        <v>7.8834170726755985</v>
      </c>
      <c r="M8324" s="43">
        <v>11.499999999999998</v>
      </c>
      <c r="N8324" s="43">
        <v>5.708606650868953</v>
      </c>
      <c r="O8324" s="43">
        <v>6.5401603678060258</v>
      </c>
      <c r="P8324" s="223"/>
      <c r="Q8324" s="223"/>
      <c r="R8324" s="223">
        <v>1</v>
      </c>
    </row>
    <row r="8325" spans="1:18" ht="36">
      <c r="A8325" s="219">
        <v>1153</v>
      </c>
      <c r="B8325" s="216" t="s">
        <v>15339</v>
      </c>
      <c r="C8325" s="220" t="s">
        <v>15340</v>
      </c>
      <c r="D8325" s="221">
        <v>3278.52</v>
      </c>
      <c r="E8325" s="221">
        <v>1427.4</v>
      </c>
      <c r="F8325" s="221">
        <v>1544.8</v>
      </c>
      <c r="G8325" s="221">
        <v>306.32</v>
      </c>
      <c r="H8325" s="222">
        <v>27336.37</v>
      </c>
      <c r="I8325" s="222">
        <v>16415.099999999999</v>
      </c>
      <c r="J8325" s="222">
        <v>8939.8700000000008</v>
      </c>
      <c r="K8325" s="222">
        <v>1981.4</v>
      </c>
      <c r="L8325" s="43">
        <v>8.3380214243012087</v>
      </c>
      <c r="M8325" s="43">
        <v>11.499999999999998</v>
      </c>
      <c r="N8325" s="43">
        <v>5.7870727602278622</v>
      </c>
      <c r="O8325" s="43">
        <v>6.4683990598067389</v>
      </c>
      <c r="P8325" s="223"/>
      <c r="Q8325" s="223"/>
      <c r="R8325" s="223">
        <v>1</v>
      </c>
    </row>
    <row r="8326" spans="1:18" ht="36">
      <c r="A8326" s="219">
        <v>1154</v>
      </c>
      <c r="B8326" s="216" t="s">
        <v>15341</v>
      </c>
      <c r="C8326" s="220" t="s">
        <v>15342</v>
      </c>
      <c r="D8326" s="221">
        <v>3036.6</v>
      </c>
      <c r="E8326" s="221">
        <v>1427.4</v>
      </c>
      <c r="F8326" s="221">
        <v>1274.6600000000001</v>
      </c>
      <c r="G8326" s="221">
        <v>334.54</v>
      </c>
      <c r="H8326" s="222">
        <v>25910.33</v>
      </c>
      <c r="I8326" s="222">
        <v>16415.099999999999</v>
      </c>
      <c r="J8326" s="222">
        <v>7347.78</v>
      </c>
      <c r="K8326" s="222">
        <v>2147.4499999999998</v>
      </c>
      <c r="L8326" s="43">
        <v>8.5326779951261287</v>
      </c>
      <c r="M8326" s="43">
        <v>11.499999999999998</v>
      </c>
      <c r="N8326" s="43">
        <v>5.7645019063907235</v>
      </c>
      <c r="O8326" s="43">
        <v>6.419112811621928</v>
      </c>
      <c r="P8326" s="223"/>
      <c r="Q8326" s="223"/>
      <c r="R8326" s="223">
        <v>1</v>
      </c>
    </row>
    <row r="8327" spans="1:18" ht="36">
      <c r="A8327" s="219">
        <v>1155</v>
      </c>
      <c r="B8327" s="216" t="s">
        <v>15343</v>
      </c>
      <c r="C8327" s="220" t="s">
        <v>15344</v>
      </c>
      <c r="D8327" s="221">
        <v>2994.46</v>
      </c>
      <c r="E8327" s="221">
        <v>1160.49</v>
      </c>
      <c r="F8327" s="221">
        <v>1519.68</v>
      </c>
      <c r="G8327" s="221">
        <v>314.29000000000002</v>
      </c>
      <c r="H8327" s="222">
        <v>24164.77</v>
      </c>
      <c r="I8327" s="222">
        <v>13346.14</v>
      </c>
      <c r="J8327" s="222">
        <v>8828.3799999999992</v>
      </c>
      <c r="K8327" s="222">
        <v>1990.25</v>
      </c>
      <c r="L8327" s="43">
        <v>8.069825611295526</v>
      </c>
      <c r="M8327" s="43">
        <v>11.500435161009573</v>
      </c>
      <c r="N8327" s="43">
        <v>5.8093677616340278</v>
      </c>
      <c r="O8327" s="43">
        <v>6.332527283718858</v>
      </c>
      <c r="P8327" s="223"/>
      <c r="Q8327" s="223"/>
      <c r="R8327" s="223">
        <v>1</v>
      </c>
    </row>
    <row r="8328" spans="1:18" ht="48">
      <c r="A8328" s="219">
        <v>1156</v>
      </c>
      <c r="B8328" s="216" t="s">
        <v>15345</v>
      </c>
      <c r="C8328" s="220" t="s">
        <v>15346</v>
      </c>
      <c r="D8328" s="221">
        <v>2566.91</v>
      </c>
      <c r="E8328" s="221">
        <v>1160.49</v>
      </c>
      <c r="F8328" s="221">
        <v>1100.92</v>
      </c>
      <c r="G8328" s="221">
        <v>305.5</v>
      </c>
      <c r="H8328" s="222">
        <v>21650.61</v>
      </c>
      <c r="I8328" s="222">
        <v>13346.14</v>
      </c>
      <c r="J8328" s="222">
        <v>6382.61</v>
      </c>
      <c r="K8328" s="222">
        <v>1921.86</v>
      </c>
      <c r="L8328" s="43">
        <v>8.4345029627061336</v>
      </c>
      <c r="M8328" s="43">
        <v>11.500435161009573</v>
      </c>
      <c r="N8328" s="43">
        <v>5.7975238891109244</v>
      </c>
      <c r="O8328" s="43">
        <v>6.2908674304418986</v>
      </c>
      <c r="P8328" s="223"/>
      <c r="Q8328" s="223"/>
      <c r="R8328" s="223">
        <v>1</v>
      </c>
    </row>
    <row r="8329" spans="1:18" ht="36">
      <c r="A8329" s="219">
        <v>1157</v>
      </c>
      <c r="B8329" s="216" t="s">
        <v>15347</v>
      </c>
      <c r="C8329" s="220" t="s">
        <v>15348</v>
      </c>
      <c r="D8329" s="221">
        <v>2685.84</v>
      </c>
      <c r="E8329" s="221">
        <v>1160.49</v>
      </c>
      <c r="F8329" s="221">
        <v>1241.68</v>
      </c>
      <c r="G8329" s="221">
        <v>283.67</v>
      </c>
      <c r="H8329" s="222">
        <v>22341.33</v>
      </c>
      <c r="I8329" s="222">
        <v>13346.14</v>
      </c>
      <c r="J8329" s="222">
        <v>7225.62</v>
      </c>
      <c r="K8329" s="222">
        <v>1769.57</v>
      </c>
      <c r="L8329" s="43">
        <v>8.3181909570190342</v>
      </c>
      <c r="M8329" s="43">
        <v>11.500435161009573</v>
      </c>
      <c r="N8329" s="43">
        <v>5.8192287868049739</v>
      </c>
      <c r="O8329" s="43">
        <v>6.2381288116473357</v>
      </c>
      <c r="P8329" s="223"/>
      <c r="Q8329" s="223"/>
      <c r="R8329" s="223">
        <v>1</v>
      </c>
    </row>
    <row r="8330" spans="1:18" ht="36">
      <c r="A8330" s="219">
        <v>1158</v>
      </c>
      <c r="B8330" s="216" t="s">
        <v>15349</v>
      </c>
      <c r="C8330" s="220" t="s">
        <v>15350</v>
      </c>
      <c r="D8330" s="221">
        <v>2532.92</v>
      </c>
      <c r="E8330" s="221">
        <v>1160.49</v>
      </c>
      <c r="F8330" s="221">
        <v>1067.6300000000001</v>
      </c>
      <c r="G8330" s="221">
        <v>304.8</v>
      </c>
      <c r="H8330" s="222">
        <v>21475.91</v>
      </c>
      <c r="I8330" s="222">
        <v>13346.14</v>
      </c>
      <c r="J8330" s="222">
        <v>6186.88</v>
      </c>
      <c r="K8330" s="222">
        <v>1942.89</v>
      </c>
      <c r="L8330" s="43">
        <v>8.4787162642325846</v>
      </c>
      <c r="M8330" s="43">
        <v>11.500435161009573</v>
      </c>
      <c r="N8330" s="43">
        <v>5.7949664209510781</v>
      </c>
      <c r="O8330" s="43">
        <v>6.374311023622047</v>
      </c>
      <c r="P8330" s="223"/>
      <c r="Q8330" s="223"/>
      <c r="R8330" s="223">
        <v>1</v>
      </c>
    </row>
    <row r="8331" spans="1:18" ht="36">
      <c r="A8331" s="219">
        <v>1159</v>
      </c>
      <c r="B8331" s="216" t="s">
        <v>15351</v>
      </c>
      <c r="C8331" s="220" t="s">
        <v>15352</v>
      </c>
      <c r="D8331" s="221">
        <v>2007.94</v>
      </c>
      <c r="E8331" s="221">
        <v>816.42</v>
      </c>
      <c r="F8331" s="221">
        <v>931.43</v>
      </c>
      <c r="G8331" s="221">
        <v>260.08999999999997</v>
      </c>
      <c r="H8331" s="222">
        <v>16366.43</v>
      </c>
      <c r="I8331" s="222">
        <v>9389.16</v>
      </c>
      <c r="J8331" s="222">
        <v>5436.95</v>
      </c>
      <c r="K8331" s="222">
        <v>1540.32</v>
      </c>
      <c r="L8331" s="43">
        <v>8.1508561012779257</v>
      </c>
      <c r="M8331" s="43">
        <v>11.500404203718675</v>
      </c>
      <c r="N8331" s="43">
        <v>5.8372073048967721</v>
      </c>
      <c r="O8331" s="43">
        <v>5.9222576800338347</v>
      </c>
      <c r="P8331" s="223"/>
      <c r="Q8331" s="223"/>
      <c r="R8331" s="223">
        <v>1</v>
      </c>
    </row>
    <row r="8332" spans="1:18" ht="48">
      <c r="A8332" s="219">
        <v>1160</v>
      </c>
      <c r="B8332" s="216" t="s">
        <v>15353</v>
      </c>
      <c r="C8332" s="220" t="s">
        <v>15354</v>
      </c>
      <c r="D8332" s="221">
        <v>1806.83</v>
      </c>
      <c r="E8332" s="221">
        <v>816.42</v>
      </c>
      <c r="F8332" s="221">
        <v>733.18</v>
      </c>
      <c r="G8332" s="221">
        <v>257.23</v>
      </c>
      <c r="H8332" s="222">
        <v>15199.64</v>
      </c>
      <c r="I8332" s="222">
        <v>9389.16</v>
      </c>
      <c r="J8332" s="222">
        <v>4272.5600000000004</v>
      </c>
      <c r="K8332" s="222">
        <v>1537.92</v>
      </c>
      <c r="L8332" s="43">
        <v>8.4123243470608742</v>
      </c>
      <c r="M8332" s="43">
        <v>11.500404203718675</v>
      </c>
      <c r="N8332" s="43">
        <v>5.8274366458441316</v>
      </c>
      <c r="O8332" s="43">
        <v>5.9787738599696771</v>
      </c>
      <c r="P8332" s="223"/>
      <c r="Q8332" s="223"/>
      <c r="R8332" s="223">
        <v>1</v>
      </c>
    </row>
    <row r="8333" spans="1:18" ht="48">
      <c r="A8333" s="219">
        <v>1161</v>
      </c>
      <c r="B8333" s="216" t="s">
        <v>15355</v>
      </c>
      <c r="C8333" s="220" t="s">
        <v>15356</v>
      </c>
      <c r="D8333" s="221">
        <v>1385.39</v>
      </c>
      <c r="E8333" s="221">
        <v>618.5</v>
      </c>
      <c r="F8333" s="221">
        <v>520.38</v>
      </c>
      <c r="G8333" s="221">
        <v>246.51</v>
      </c>
      <c r="H8333" s="222">
        <v>11539.75</v>
      </c>
      <c r="I8333" s="222">
        <v>7113</v>
      </c>
      <c r="J8333" s="222">
        <v>3030.07</v>
      </c>
      <c r="K8333" s="222">
        <v>1396.68</v>
      </c>
      <c r="L8333" s="43">
        <v>8.3296039382412168</v>
      </c>
      <c r="M8333" s="43">
        <v>11.500404203718674</v>
      </c>
      <c r="N8333" s="43">
        <v>5.8228025673546258</v>
      </c>
      <c r="O8333" s="43">
        <v>5.6658147742485099</v>
      </c>
      <c r="P8333" s="223"/>
      <c r="Q8333" s="223"/>
      <c r="R8333" s="223">
        <v>1</v>
      </c>
    </row>
    <row r="8334" spans="1:18" ht="48">
      <c r="A8334" s="219">
        <v>1162</v>
      </c>
      <c r="B8334" s="216" t="s">
        <v>15357</v>
      </c>
      <c r="C8334" s="220" t="s">
        <v>15358</v>
      </c>
      <c r="D8334" s="221">
        <v>1402.88</v>
      </c>
      <c r="E8334" s="221">
        <v>618.5</v>
      </c>
      <c r="F8334" s="221">
        <v>534.49</v>
      </c>
      <c r="G8334" s="221">
        <v>249.89</v>
      </c>
      <c r="H8334" s="222">
        <v>11632.16</v>
      </c>
      <c r="I8334" s="222">
        <v>7113</v>
      </c>
      <c r="J8334" s="222">
        <v>3105.99</v>
      </c>
      <c r="K8334" s="222">
        <v>1413.17</v>
      </c>
      <c r="L8334" s="43">
        <v>8.2916286496350349</v>
      </c>
      <c r="M8334" s="43">
        <v>11.500404203718674</v>
      </c>
      <c r="N8334" s="43">
        <v>5.8111283653576304</v>
      </c>
      <c r="O8334" s="43">
        <v>5.6551682740405784</v>
      </c>
      <c r="P8334" s="223"/>
      <c r="Q8334" s="223"/>
      <c r="R8334" s="223">
        <v>1</v>
      </c>
    </row>
    <row r="8335" spans="1:18" ht="12.75" customHeight="1">
      <c r="A8335" s="628" t="s">
        <v>15359</v>
      </c>
      <c r="B8335" s="629"/>
      <c r="C8335" s="629"/>
      <c r="D8335" s="629"/>
      <c r="E8335" s="629"/>
      <c r="F8335" s="629"/>
      <c r="G8335" s="629"/>
      <c r="H8335" s="629"/>
      <c r="I8335" s="629"/>
      <c r="J8335" s="629"/>
      <c r="K8335" s="629"/>
      <c r="L8335" s="629"/>
      <c r="M8335" s="629"/>
      <c r="N8335" s="629"/>
      <c r="O8335" s="629"/>
      <c r="P8335" s="629"/>
      <c r="Q8335" s="629"/>
      <c r="R8335" s="629"/>
    </row>
    <row r="8336" spans="1:18" ht="36">
      <c r="A8336" s="219">
        <v>1163</v>
      </c>
      <c r="B8336" s="216" t="s">
        <v>15360</v>
      </c>
      <c r="C8336" s="220" t="s">
        <v>15361</v>
      </c>
      <c r="D8336" s="221">
        <v>9890.23</v>
      </c>
      <c r="E8336" s="221">
        <v>2684</v>
      </c>
      <c r="F8336" s="221">
        <v>6597.12</v>
      </c>
      <c r="G8336" s="221">
        <v>609.11</v>
      </c>
      <c r="H8336" s="222">
        <v>72494.84</v>
      </c>
      <c r="I8336" s="222">
        <v>30866</v>
      </c>
      <c r="J8336" s="222">
        <v>37465.949999999997</v>
      </c>
      <c r="K8336" s="222">
        <v>4162.8900000000003</v>
      </c>
      <c r="L8336" s="43">
        <v>7.3299448041147679</v>
      </c>
      <c r="M8336" s="43">
        <v>11.5</v>
      </c>
      <c r="N8336" s="43">
        <v>5.679137259895227</v>
      </c>
      <c r="O8336" s="43">
        <v>6.8343813104365392</v>
      </c>
      <c r="P8336" s="223"/>
      <c r="Q8336" s="223"/>
      <c r="R8336" s="223">
        <v>2</v>
      </c>
    </row>
    <row r="8337" spans="1:18" ht="36">
      <c r="A8337" s="219">
        <v>1164</v>
      </c>
      <c r="B8337" s="216" t="s">
        <v>15362</v>
      </c>
      <c r="C8337" s="220" t="s">
        <v>15363</v>
      </c>
      <c r="D8337" s="221">
        <v>7923.85</v>
      </c>
      <c r="E8337" s="221">
        <v>2684</v>
      </c>
      <c r="F8337" s="221">
        <v>4699.6899999999996</v>
      </c>
      <c r="G8337" s="221">
        <v>540.16</v>
      </c>
      <c r="H8337" s="222">
        <v>61264.53</v>
      </c>
      <c r="I8337" s="222">
        <v>30866</v>
      </c>
      <c r="J8337" s="222">
        <v>26627.03</v>
      </c>
      <c r="K8337" s="222">
        <v>3771.5</v>
      </c>
      <c r="L8337" s="43">
        <v>7.731662007736138</v>
      </c>
      <c r="M8337" s="43">
        <v>11.5</v>
      </c>
      <c r="N8337" s="43">
        <v>5.6656992269702897</v>
      </c>
      <c r="O8337" s="43">
        <v>6.9821904620853088</v>
      </c>
      <c r="P8337" s="223"/>
      <c r="Q8337" s="223"/>
      <c r="R8337" s="223">
        <v>2</v>
      </c>
    </row>
    <row r="8338" spans="1:18" ht="36">
      <c r="A8338" s="219">
        <v>1165</v>
      </c>
      <c r="B8338" s="216" t="s">
        <v>15364</v>
      </c>
      <c r="C8338" s="220" t="s">
        <v>15365</v>
      </c>
      <c r="D8338" s="221">
        <v>6474.85</v>
      </c>
      <c r="E8338" s="221">
        <v>2226.6</v>
      </c>
      <c r="F8338" s="221">
        <v>3822.09</v>
      </c>
      <c r="G8338" s="221">
        <v>426.16</v>
      </c>
      <c r="H8338" s="222">
        <v>50248.98</v>
      </c>
      <c r="I8338" s="222">
        <v>25606.799999999999</v>
      </c>
      <c r="J8338" s="222">
        <v>21721.67</v>
      </c>
      <c r="K8338" s="222">
        <v>2920.51</v>
      </c>
      <c r="L8338" s="43">
        <v>7.7606400148265982</v>
      </c>
      <c r="M8338" s="43">
        <v>11.500404203718674</v>
      </c>
      <c r="N8338" s="43">
        <v>5.6831916569206893</v>
      </c>
      <c r="O8338" s="43">
        <v>6.8530833489769103</v>
      </c>
      <c r="P8338" s="223"/>
      <c r="Q8338" s="223"/>
      <c r="R8338" s="223">
        <v>2</v>
      </c>
    </row>
    <row r="8339" spans="1:18" ht="36">
      <c r="A8339" s="219">
        <v>1166</v>
      </c>
      <c r="B8339" s="216" t="s">
        <v>15366</v>
      </c>
      <c r="C8339" s="220" t="s">
        <v>15367</v>
      </c>
      <c r="D8339" s="221">
        <v>6849.38</v>
      </c>
      <c r="E8339" s="221">
        <v>2226.6</v>
      </c>
      <c r="F8339" s="221">
        <v>4194.3599999999997</v>
      </c>
      <c r="G8339" s="221">
        <v>428.42</v>
      </c>
      <c r="H8339" s="222">
        <v>52429.89</v>
      </c>
      <c r="I8339" s="222">
        <v>25606.799999999999</v>
      </c>
      <c r="J8339" s="222">
        <v>23787.01</v>
      </c>
      <c r="K8339" s="222">
        <v>3036.08</v>
      </c>
      <c r="L8339" s="43">
        <v>7.6546913735257789</v>
      </c>
      <c r="M8339" s="43">
        <v>11.500404203718674</v>
      </c>
      <c r="N8339" s="43">
        <v>5.6711894067271285</v>
      </c>
      <c r="O8339" s="43">
        <v>7.0866906306895094</v>
      </c>
      <c r="P8339" s="223"/>
      <c r="Q8339" s="223"/>
      <c r="R8339" s="223">
        <v>2</v>
      </c>
    </row>
    <row r="8340" spans="1:18" ht="36">
      <c r="A8340" s="219">
        <v>1167</v>
      </c>
      <c r="B8340" s="216" t="s">
        <v>15368</v>
      </c>
      <c r="C8340" s="220" t="s">
        <v>15369</v>
      </c>
      <c r="D8340" s="221">
        <v>4500.7</v>
      </c>
      <c r="E8340" s="221">
        <v>1731.8</v>
      </c>
      <c r="F8340" s="221">
        <v>2409.6999999999998</v>
      </c>
      <c r="G8340" s="221">
        <v>359.2</v>
      </c>
      <c r="H8340" s="222">
        <v>36030.78</v>
      </c>
      <c r="I8340" s="222">
        <v>19916.400000000001</v>
      </c>
      <c r="J8340" s="222">
        <v>13713.71</v>
      </c>
      <c r="K8340" s="222">
        <v>2400.67</v>
      </c>
      <c r="L8340" s="43">
        <v>8.0055946852711806</v>
      </c>
      <c r="M8340" s="43">
        <v>11.500404203718675</v>
      </c>
      <c r="N8340" s="43">
        <v>5.691044528364527</v>
      </c>
      <c r="O8340" s="43">
        <v>6.6833797327394215</v>
      </c>
      <c r="P8340" s="223"/>
      <c r="Q8340" s="223"/>
      <c r="R8340" s="223">
        <v>2</v>
      </c>
    </row>
    <row r="8341" spans="1:18" ht="36">
      <c r="A8341" s="219">
        <v>1168</v>
      </c>
      <c r="B8341" s="216" t="s">
        <v>15370</v>
      </c>
      <c r="C8341" s="220" t="s">
        <v>15371</v>
      </c>
      <c r="D8341" s="221">
        <v>3156.96</v>
      </c>
      <c r="E8341" s="221">
        <v>1187.52</v>
      </c>
      <c r="F8341" s="221">
        <v>1664.2</v>
      </c>
      <c r="G8341" s="221">
        <v>305.24</v>
      </c>
      <c r="H8341" s="222">
        <v>25041.040000000001</v>
      </c>
      <c r="I8341" s="222">
        <v>13656.96</v>
      </c>
      <c r="J8341" s="222">
        <v>9442.9699999999993</v>
      </c>
      <c r="K8341" s="222">
        <v>1941.11</v>
      </c>
      <c r="L8341" s="43">
        <v>7.9320105417870357</v>
      </c>
      <c r="M8341" s="43">
        <v>11.500404203718674</v>
      </c>
      <c r="N8341" s="43">
        <v>5.6741797860834025</v>
      </c>
      <c r="O8341" s="43">
        <v>6.3592910496658366</v>
      </c>
      <c r="P8341" s="223"/>
      <c r="Q8341" s="223"/>
      <c r="R8341" s="223">
        <v>2</v>
      </c>
    </row>
    <row r="8342" spans="1:18" ht="36">
      <c r="A8342" s="219">
        <v>1169</v>
      </c>
      <c r="B8342" s="216" t="s">
        <v>15372</v>
      </c>
      <c r="C8342" s="220" t="s">
        <v>15373</v>
      </c>
      <c r="D8342" s="221">
        <v>2773.49</v>
      </c>
      <c r="E8342" s="221">
        <v>1187.52</v>
      </c>
      <c r="F8342" s="221">
        <v>1280.92</v>
      </c>
      <c r="G8342" s="221">
        <v>305.05</v>
      </c>
      <c r="H8342" s="222">
        <v>22874.080000000002</v>
      </c>
      <c r="I8342" s="222">
        <v>13656.96</v>
      </c>
      <c r="J8342" s="222">
        <v>7311.85</v>
      </c>
      <c r="K8342" s="222">
        <v>1905.27</v>
      </c>
      <c r="L8342" s="43">
        <v>8.2473994858463531</v>
      </c>
      <c r="M8342" s="43">
        <v>11.500404203718674</v>
      </c>
      <c r="N8342" s="43">
        <v>5.7082799862598756</v>
      </c>
      <c r="O8342" s="43">
        <v>6.2457629896738238</v>
      </c>
      <c r="P8342" s="223"/>
      <c r="Q8342" s="223"/>
      <c r="R8342" s="223">
        <v>2</v>
      </c>
    </row>
    <row r="8343" spans="1:18" ht="36">
      <c r="A8343" s="219">
        <v>1170</v>
      </c>
      <c r="B8343" s="216" t="s">
        <v>15374</v>
      </c>
      <c r="C8343" s="220" t="s">
        <v>15375</v>
      </c>
      <c r="D8343" s="221">
        <v>2256.87</v>
      </c>
      <c r="E8343" s="221">
        <v>952.49</v>
      </c>
      <c r="F8343" s="221">
        <v>1025.46</v>
      </c>
      <c r="G8343" s="221">
        <v>278.92</v>
      </c>
      <c r="H8343" s="222">
        <v>18538.46</v>
      </c>
      <c r="I8343" s="222">
        <v>10954.02</v>
      </c>
      <c r="J8343" s="222">
        <v>5865.73</v>
      </c>
      <c r="K8343" s="222">
        <v>1718.71</v>
      </c>
      <c r="L8343" s="43">
        <v>8.2142347587588116</v>
      </c>
      <c r="M8343" s="43">
        <v>11.500404203718675</v>
      </c>
      <c r="N8343" s="43">
        <v>5.7200963470052457</v>
      </c>
      <c r="O8343" s="43">
        <v>6.1620177828768101</v>
      </c>
      <c r="P8343" s="223"/>
      <c r="Q8343" s="223"/>
      <c r="R8343" s="223">
        <v>2</v>
      </c>
    </row>
    <row r="8344" spans="1:18" ht="36">
      <c r="A8344" s="219">
        <v>1171</v>
      </c>
      <c r="B8344" s="216" t="s">
        <v>15376</v>
      </c>
      <c r="C8344" s="220" t="s">
        <v>15377</v>
      </c>
      <c r="D8344" s="221">
        <v>1966.89</v>
      </c>
      <c r="E8344" s="221">
        <v>952.49</v>
      </c>
      <c r="F8344" s="221">
        <v>754.54</v>
      </c>
      <c r="G8344" s="221">
        <v>259.86</v>
      </c>
      <c r="H8344" s="222">
        <v>16869.13</v>
      </c>
      <c r="I8344" s="222">
        <v>10954.02</v>
      </c>
      <c r="J8344" s="222">
        <v>4337.59</v>
      </c>
      <c r="K8344" s="222">
        <v>1577.52</v>
      </c>
      <c r="L8344" s="43">
        <v>8.5765497816349665</v>
      </c>
      <c r="M8344" s="43">
        <v>11.500404203718675</v>
      </c>
      <c r="N8344" s="43">
        <v>5.7486548095528409</v>
      </c>
      <c r="O8344" s="43">
        <v>6.0706534287693366</v>
      </c>
      <c r="P8344" s="223"/>
      <c r="Q8344" s="223"/>
      <c r="R8344" s="223">
        <v>2</v>
      </c>
    </row>
    <row r="8345" spans="1:18" ht="36">
      <c r="A8345" s="219">
        <v>1172</v>
      </c>
      <c r="B8345" s="216" t="s">
        <v>15378</v>
      </c>
      <c r="C8345" s="220" t="s">
        <v>15379</v>
      </c>
      <c r="D8345" s="221">
        <v>2028.12</v>
      </c>
      <c r="E8345" s="221">
        <v>952.49</v>
      </c>
      <c r="F8345" s="221">
        <v>807.31</v>
      </c>
      <c r="G8345" s="221">
        <v>268.32</v>
      </c>
      <c r="H8345" s="222">
        <v>17250.560000000001</v>
      </c>
      <c r="I8345" s="222">
        <v>10954.02</v>
      </c>
      <c r="J8345" s="222">
        <v>4653.4399999999996</v>
      </c>
      <c r="K8345" s="222">
        <v>1643.1</v>
      </c>
      <c r="L8345" s="43">
        <v>8.5056899986194114</v>
      </c>
      <c r="M8345" s="43">
        <v>11.500404203718675</v>
      </c>
      <c r="N8345" s="43">
        <v>5.7641302597515205</v>
      </c>
      <c r="O8345" s="43">
        <v>6.1236583184257602</v>
      </c>
      <c r="P8345" s="223"/>
      <c r="Q8345" s="223"/>
      <c r="R8345" s="223">
        <v>2</v>
      </c>
    </row>
    <row r="8346" spans="1:18" ht="36">
      <c r="A8346" s="219">
        <v>1173</v>
      </c>
      <c r="B8346" s="216" t="s">
        <v>15380</v>
      </c>
      <c r="C8346" s="220" t="s">
        <v>15381</v>
      </c>
      <c r="D8346" s="221">
        <v>1877.59</v>
      </c>
      <c r="E8346" s="221">
        <v>952.49</v>
      </c>
      <c r="F8346" s="221">
        <v>654.20000000000005</v>
      </c>
      <c r="G8346" s="221">
        <v>270.89999999999998</v>
      </c>
      <c r="H8346" s="222">
        <v>16335.14</v>
      </c>
      <c r="I8346" s="222">
        <v>10954.02</v>
      </c>
      <c r="J8346" s="222">
        <v>3779.19</v>
      </c>
      <c r="K8346" s="222">
        <v>1601.93</v>
      </c>
      <c r="L8346" s="43">
        <v>8.7000569879473151</v>
      </c>
      <c r="M8346" s="43">
        <v>11.500404203718675</v>
      </c>
      <c r="N8346" s="43">
        <v>5.7768113726689085</v>
      </c>
      <c r="O8346" s="43">
        <v>5.9133628645256557</v>
      </c>
      <c r="P8346" s="223"/>
      <c r="Q8346" s="223"/>
      <c r="R8346" s="223">
        <v>2</v>
      </c>
    </row>
    <row r="8347" spans="1:18" ht="36">
      <c r="A8347" s="219">
        <v>1174</v>
      </c>
      <c r="B8347" s="216" t="s">
        <v>15382</v>
      </c>
      <c r="C8347" s="220" t="s">
        <v>15383</v>
      </c>
      <c r="D8347" s="221">
        <v>1993.2</v>
      </c>
      <c r="E8347" s="221">
        <v>952.49</v>
      </c>
      <c r="F8347" s="221">
        <v>772.58</v>
      </c>
      <c r="G8347" s="221">
        <v>268.13</v>
      </c>
      <c r="H8347" s="222">
        <v>17066.810000000001</v>
      </c>
      <c r="I8347" s="222">
        <v>10954.02</v>
      </c>
      <c r="J8347" s="222">
        <v>4461.99</v>
      </c>
      <c r="K8347" s="222">
        <v>1650.8</v>
      </c>
      <c r="L8347" s="43">
        <v>8.5625175597029912</v>
      </c>
      <c r="M8347" s="43">
        <v>11.500404203718675</v>
      </c>
      <c r="N8347" s="43">
        <v>5.7754407310569773</v>
      </c>
      <c r="O8347" s="43">
        <v>6.1567150262932158</v>
      </c>
      <c r="P8347" s="223"/>
      <c r="Q8347" s="223"/>
      <c r="R8347" s="223">
        <v>2</v>
      </c>
    </row>
    <row r="8348" spans="1:18" ht="36">
      <c r="A8348" s="219">
        <v>1175</v>
      </c>
      <c r="B8348" s="216" t="s">
        <v>15384</v>
      </c>
      <c r="C8348" s="220" t="s">
        <v>15385</v>
      </c>
      <c r="D8348" s="221">
        <v>1857.72</v>
      </c>
      <c r="E8348" s="221">
        <v>952.49</v>
      </c>
      <c r="F8348" s="221">
        <v>652.20000000000005</v>
      </c>
      <c r="G8348" s="221">
        <v>253.03</v>
      </c>
      <c r="H8348" s="222">
        <v>16250.43</v>
      </c>
      <c r="I8348" s="222">
        <v>10954.02</v>
      </c>
      <c r="J8348" s="222">
        <v>3772.44</v>
      </c>
      <c r="K8348" s="222">
        <v>1523.97</v>
      </c>
      <c r="L8348" s="43">
        <v>8.7475130805503518</v>
      </c>
      <c r="M8348" s="43">
        <v>11.500404203718675</v>
      </c>
      <c r="N8348" s="43">
        <v>5.784176632934682</v>
      </c>
      <c r="O8348" s="43">
        <v>6.0228826621349247</v>
      </c>
      <c r="P8348" s="223"/>
      <c r="Q8348" s="223"/>
      <c r="R8348" s="223">
        <v>2</v>
      </c>
    </row>
    <row r="8349" spans="1:18" ht="12.75" customHeight="1">
      <c r="A8349" s="628" t="s">
        <v>15226</v>
      </c>
      <c r="B8349" s="629"/>
      <c r="C8349" s="629"/>
      <c r="D8349" s="629"/>
      <c r="E8349" s="629"/>
      <c r="F8349" s="629"/>
      <c r="G8349" s="629"/>
      <c r="H8349" s="629"/>
      <c r="I8349" s="629"/>
      <c r="J8349" s="629"/>
      <c r="K8349" s="629"/>
      <c r="L8349" s="629"/>
      <c r="M8349" s="629"/>
      <c r="N8349" s="629"/>
      <c r="O8349" s="629"/>
      <c r="P8349" s="629"/>
      <c r="Q8349" s="629"/>
      <c r="R8349" s="629"/>
    </row>
    <row r="8350" spans="1:18" ht="36">
      <c r="A8350" s="219">
        <v>1176</v>
      </c>
      <c r="B8350" s="216" t="s">
        <v>15386</v>
      </c>
      <c r="C8350" s="220" t="s">
        <v>15387</v>
      </c>
      <c r="D8350" s="221">
        <v>7877.15</v>
      </c>
      <c r="E8350" s="221">
        <v>2818.2</v>
      </c>
      <c r="F8350" s="221">
        <v>4430.38</v>
      </c>
      <c r="G8350" s="221">
        <v>628.57000000000005</v>
      </c>
      <c r="H8350" s="222">
        <v>61392.46</v>
      </c>
      <c r="I8350" s="222">
        <v>32409.3</v>
      </c>
      <c r="J8350" s="222">
        <v>24905.11</v>
      </c>
      <c r="K8350" s="222">
        <v>4078.05</v>
      </c>
      <c r="L8350" s="43">
        <v>7.7937401217445395</v>
      </c>
      <c r="M8350" s="43">
        <v>11.5</v>
      </c>
      <c r="N8350" s="43">
        <v>5.6214387930606406</v>
      </c>
      <c r="O8350" s="43">
        <v>6.4878215632308249</v>
      </c>
      <c r="P8350" s="223"/>
      <c r="Q8350" s="223"/>
      <c r="R8350" s="223">
        <v>3</v>
      </c>
    </row>
    <row r="8351" spans="1:18" ht="36">
      <c r="A8351" s="219">
        <v>1177</v>
      </c>
      <c r="B8351" s="216" t="s">
        <v>15388</v>
      </c>
      <c r="C8351" s="220" t="s">
        <v>15389</v>
      </c>
      <c r="D8351" s="221">
        <v>5272.21</v>
      </c>
      <c r="E8351" s="221">
        <v>2025.2</v>
      </c>
      <c r="F8351" s="221">
        <v>2677.84</v>
      </c>
      <c r="G8351" s="221">
        <v>569.16999999999996</v>
      </c>
      <c r="H8351" s="222">
        <v>41947.96</v>
      </c>
      <c r="I8351" s="222">
        <v>23289.8</v>
      </c>
      <c r="J8351" s="222">
        <v>15116.23</v>
      </c>
      <c r="K8351" s="222">
        <v>3541.93</v>
      </c>
      <c r="L8351" s="43">
        <v>7.9564281392433154</v>
      </c>
      <c r="M8351" s="43">
        <v>11.5</v>
      </c>
      <c r="N8351" s="43">
        <v>5.644933976637887</v>
      </c>
      <c r="O8351" s="43">
        <v>6.2229738039601523</v>
      </c>
      <c r="P8351" s="223"/>
      <c r="Q8351" s="223"/>
      <c r="R8351" s="223">
        <v>3</v>
      </c>
    </row>
    <row r="8352" spans="1:18" ht="36">
      <c r="A8352" s="219">
        <v>1178</v>
      </c>
      <c r="B8352" s="216" t="s">
        <v>15390</v>
      </c>
      <c r="C8352" s="220" t="s">
        <v>15391</v>
      </c>
      <c r="D8352" s="221">
        <v>4737.79</v>
      </c>
      <c r="E8352" s="221">
        <v>1805.6</v>
      </c>
      <c r="F8352" s="221">
        <v>1682.26</v>
      </c>
      <c r="G8352" s="221">
        <v>1249.93</v>
      </c>
      <c r="H8352" s="222">
        <v>36995.96</v>
      </c>
      <c r="I8352" s="222">
        <v>20764.400000000001</v>
      </c>
      <c r="J8352" s="222">
        <v>8238.99</v>
      </c>
      <c r="K8352" s="222">
        <v>7992.57</v>
      </c>
      <c r="L8352" s="43">
        <v>7.8086956154662825</v>
      </c>
      <c r="M8352" s="43">
        <v>11.500000000000002</v>
      </c>
      <c r="N8352" s="43">
        <v>4.8975723134354974</v>
      </c>
      <c r="O8352" s="43">
        <v>6.3944140871888822</v>
      </c>
      <c r="P8352" s="223"/>
      <c r="Q8352" s="223"/>
      <c r="R8352" s="223">
        <v>3</v>
      </c>
    </row>
    <row r="8353" spans="1:18" ht="36">
      <c r="A8353" s="219">
        <v>1179</v>
      </c>
      <c r="B8353" s="216" t="s">
        <v>15392</v>
      </c>
      <c r="C8353" s="220" t="s">
        <v>15393</v>
      </c>
      <c r="D8353" s="221">
        <v>3371.87</v>
      </c>
      <c r="E8353" s="221">
        <v>1150.4100000000001</v>
      </c>
      <c r="F8353" s="221">
        <v>1006.11</v>
      </c>
      <c r="G8353" s="221">
        <v>1215.3499999999999</v>
      </c>
      <c r="H8353" s="222">
        <v>25564.77</v>
      </c>
      <c r="I8353" s="222">
        <v>13230.18</v>
      </c>
      <c r="J8353" s="222">
        <v>5031.17</v>
      </c>
      <c r="K8353" s="222">
        <v>7303.42</v>
      </c>
      <c r="L8353" s="43">
        <v>7.5817780638043581</v>
      </c>
      <c r="M8353" s="43">
        <v>11.500404203718674</v>
      </c>
      <c r="N8353" s="43">
        <v>5.0006162348053396</v>
      </c>
      <c r="O8353" s="43">
        <v>6.0093141893281778</v>
      </c>
      <c r="P8353" s="223"/>
      <c r="Q8353" s="223"/>
      <c r="R8353" s="223">
        <v>3</v>
      </c>
    </row>
    <row r="8354" spans="1:18" ht="36">
      <c r="A8354" s="219">
        <v>1180</v>
      </c>
      <c r="B8354" s="216" t="s">
        <v>15394</v>
      </c>
      <c r="C8354" s="220" t="s">
        <v>15395</v>
      </c>
      <c r="D8354" s="221">
        <v>3352.59</v>
      </c>
      <c r="E8354" s="221">
        <v>1150.4100000000001</v>
      </c>
      <c r="F8354" s="221">
        <v>1002.14</v>
      </c>
      <c r="G8354" s="221">
        <v>1200.04</v>
      </c>
      <c r="H8354" s="222">
        <v>25448.57</v>
      </c>
      <c r="I8354" s="222">
        <v>13230.18</v>
      </c>
      <c r="J8354" s="222">
        <v>5045.0200000000004</v>
      </c>
      <c r="K8354" s="222">
        <v>7173.37</v>
      </c>
      <c r="L8354" s="43">
        <v>7.590719413945636</v>
      </c>
      <c r="M8354" s="43">
        <v>11.500404203718674</v>
      </c>
      <c r="N8354" s="43">
        <v>5.0342467120362429</v>
      </c>
      <c r="O8354" s="43">
        <v>5.9776090796973431</v>
      </c>
      <c r="P8354" s="223"/>
      <c r="Q8354" s="223"/>
      <c r="R8354" s="223">
        <v>3</v>
      </c>
    </row>
    <row r="8355" spans="1:18" ht="36">
      <c r="A8355" s="219">
        <v>1181</v>
      </c>
      <c r="B8355" s="216" t="s">
        <v>15396</v>
      </c>
      <c r="C8355" s="220" t="s">
        <v>15397</v>
      </c>
      <c r="D8355" s="221">
        <v>3082.02</v>
      </c>
      <c r="E8355" s="221">
        <v>1150.4100000000001</v>
      </c>
      <c r="F8355" s="221">
        <v>867.47</v>
      </c>
      <c r="G8355" s="221">
        <v>1064.1400000000001</v>
      </c>
      <c r="H8355" s="222">
        <v>24002.15</v>
      </c>
      <c r="I8355" s="222">
        <v>13230.18</v>
      </c>
      <c r="J8355" s="222">
        <v>4423.3100000000004</v>
      </c>
      <c r="K8355" s="222">
        <v>6348.66</v>
      </c>
      <c r="L8355" s="43">
        <v>7.7877982621787014</v>
      </c>
      <c r="M8355" s="43">
        <v>11.500404203718674</v>
      </c>
      <c r="N8355" s="43">
        <v>5.0990927640148938</v>
      </c>
      <c r="O8355" s="43">
        <v>5.9660007141917406</v>
      </c>
      <c r="P8355" s="223"/>
      <c r="Q8355" s="223"/>
      <c r="R8355" s="223">
        <v>3</v>
      </c>
    </row>
    <row r="8356" spans="1:18" ht="36">
      <c r="A8356" s="219">
        <v>1182</v>
      </c>
      <c r="B8356" s="216" t="s">
        <v>15398</v>
      </c>
      <c r="C8356" s="220" t="s">
        <v>15399</v>
      </c>
      <c r="D8356" s="221">
        <v>2605.5700000000002</v>
      </c>
      <c r="E8356" s="221">
        <v>915.42</v>
      </c>
      <c r="F8356" s="221">
        <v>763.92</v>
      </c>
      <c r="G8356" s="221">
        <v>926.23</v>
      </c>
      <c r="H8356" s="222">
        <v>19794.13</v>
      </c>
      <c r="I8356" s="222">
        <v>10527.33</v>
      </c>
      <c r="J8356" s="222">
        <v>3786.97</v>
      </c>
      <c r="K8356" s="222">
        <v>5479.83</v>
      </c>
      <c r="L8356" s="43">
        <v>7.5968521283250885</v>
      </c>
      <c r="M8356" s="43">
        <v>11.5</v>
      </c>
      <c r="N8356" s="43">
        <v>4.9572861032568856</v>
      </c>
      <c r="O8356" s="43">
        <v>5.916273495783984</v>
      </c>
      <c r="P8356" s="223"/>
      <c r="Q8356" s="223"/>
      <c r="R8356" s="223">
        <v>3</v>
      </c>
    </row>
    <row r="8357" spans="1:18" ht="36">
      <c r="A8357" s="219">
        <v>1183</v>
      </c>
      <c r="B8357" s="216" t="s">
        <v>15400</v>
      </c>
      <c r="C8357" s="220" t="s">
        <v>15401</v>
      </c>
      <c r="D8357" s="221">
        <v>2636.53</v>
      </c>
      <c r="E8357" s="221">
        <v>915.42</v>
      </c>
      <c r="F8357" s="221">
        <v>707.24</v>
      </c>
      <c r="G8357" s="221">
        <v>1013.87</v>
      </c>
      <c r="H8357" s="222">
        <v>19930.830000000002</v>
      </c>
      <c r="I8357" s="222">
        <v>10527.33</v>
      </c>
      <c r="J8357" s="222">
        <v>3507.2</v>
      </c>
      <c r="K8357" s="222">
        <v>5896.3</v>
      </c>
      <c r="L8357" s="43">
        <v>7.5594929699263806</v>
      </c>
      <c r="M8357" s="43">
        <v>11.5</v>
      </c>
      <c r="N8357" s="43">
        <v>4.9589955319269272</v>
      </c>
      <c r="O8357" s="43">
        <v>5.8156371132393705</v>
      </c>
      <c r="P8357" s="223"/>
      <c r="Q8357" s="223"/>
      <c r="R8357" s="223">
        <v>3</v>
      </c>
    </row>
    <row r="8358" spans="1:18" ht="36">
      <c r="A8358" s="219">
        <v>1184</v>
      </c>
      <c r="B8358" s="216" t="s">
        <v>15402</v>
      </c>
      <c r="C8358" s="220" t="s">
        <v>15403</v>
      </c>
      <c r="D8358" s="221">
        <v>2622.31</v>
      </c>
      <c r="E8358" s="221">
        <v>915.42</v>
      </c>
      <c r="F8358" s="221">
        <v>737.23</v>
      </c>
      <c r="G8358" s="221">
        <v>969.66</v>
      </c>
      <c r="H8358" s="222">
        <v>19869.419999999998</v>
      </c>
      <c r="I8358" s="222">
        <v>10527.33</v>
      </c>
      <c r="J8358" s="222">
        <v>3620.04</v>
      </c>
      <c r="K8358" s="222">
        <v>5722.05</v>
      </c>
      <c r="L8358" s="43">
        <v>7.5770675473151528</v>
      </c>
      <c r="M8358" s="43">
        <v>11.5</v>
      </c>
      <c r="N8358" s="43">
        <v>4.910326492410781</v>
      </c>
      <c r="O8358" s="43">
        <v>5.9010890415197084</v>
      </c>
      <c r="P8358" s="223"/>
      <c r="Q8358" s="223"/>
      <c r="R8358" s="223">
        <v>3</v>
      </c>
    </row>
    <row r="8359" spans="1:18" ht="12.75" customHeight="1">
      <c r="A8359" s="628" t="s">
        <v>15233</v>
      </c>
      <c r="B8359" s="629"/>
      <c r="C8359" s="629"/>
      <c r="D8359" s="629"/>
      <c r="E8359" s="629"/>
      <c r="F8359" s="629"/>
      <c r="G8359" s="629"/>
      <c r="H8359" s="629"/>
      <c r="I8359" s="629"/>
      <c r="J8359" s="629"/>
      <c r="K8359" s="629"/>
      <c r="L8359" s="629"/>
      <c r="M8359" s="629"/>
      <c r="N8359" s="629"/>
      <c r="O8359" s="629"/>
      <c r="P8359" s="629"/>
      <c r="Q8359" s="629"/>
      <c r="R8359" s="629"/>
    </row>
    <row r="8360" spans="1:18" ht="36">
      <c r="A8360" s="219">
        <v>1185</v>
      </c>
      <c r="B8360" s="216" t="s">
        <v>15404</v>
      </c>
      <c r="C8360" s="220" t="s">
        <v>15405</v>
      </c>
      <c r="D8360" s="221">
        <v>8091.78</v>
      </c>
      <c r="E8360" s="221">
        <v>2976.8</v>
      </c>
      <c r="F8360" s="221">
        <v>3525.66</v>
      </c>
      <c r="G8360" s="221">
        <v>1589.32</v>
      </c>
      <c r="H8360" s="222">
        <v>61519.29</v>
      </c>
      <c r="I8360" s="222">
        <v>34233.199999999997</v>
      </c>
      <c r="J8360" s="222">
        <v>16722.25</v>
      </c>
      <c r="K8360" s="222">
        <v>10563.84</v>
      </c>
      <c r="L8360" s="43">
        <v>7.6026893959054744</v>
      </c>
      <c r="M8360" s="43">
        <v>11.499999999999998</v>
      </c>
      <c r="N8360" s="43">
        <v>4.7430126557864343</v>
      </c>
      <c r="O8360" s="43">
        <v>6.6467671708655276</v>
      </c>
      <c r="P8360" s="223"/>
      <c r="Q8360" s="223"/>
      <c r="R8360" s="223">
        <v>4</v>
      </c>
    </row>
    <row r="8361" spans="1:18" ht="36">
      <c r="A8361" s="219">
        <v>1186</v>
      </c>
      <c r="B8361" s="216" t="s">
        <v>15406</v>
      </c>
      <c r="C8361" s="220" t="s">
        <v>15407</v>
      </c>
      <c r="D8361" s="221">
        <v>6342.48</v>
      </c>
      <c r="E8361" s="221">
        <v>2415.6</v>
      </c>
      <c r="F8361" s="221">
        <v>2534.54</v>
      </c>
      <c r="G8361" s="221">
        <v>1392.34</v>
      </c>
      <c r="H8361" s="222">
        <v>48660.41</v>
      </c>
      <c r="I8361" s="222">
        <v>27779.4</v>
      </c>
      <c r="J8361" s="222">
        <v>11848.76</v>
      </c>
      <c r="K8361" s="222">
        <v>9032.25</v>
      </c>
      <c r="L8361" s="43">
        <v>7.6721424427038016</v>
      </c>
      <c r="M8361" s="43">
        <v>11.500000000000002</v>
      </c>
      <c r="N8361" s="43">
        <v>4.6749153692583274</v>
      </c>
      <c r="O8361" s="43">
        <v>6.4871008518034392</v>
      </c>
      <c r="P8361" s="223"/>
      <c r="Q8361" s="223"/>
      <c r="R8361" s="223">
        <v>4</v>
      </c>
    </row>
    <row r="8362" spans="1:18" ht="36">
      <c r="A8362" s="219">
        <v>1187</v>
      </c>
      <c r="B8362" s="216" t="s">
        <v>15408</v>
      </c>
      <c r="C8362" s="220" t="s">
        <v>15409</v>
      </c>
      <c r="D8362" s="221">
        <v>4754.67</v>
      </c>
      <c r="E8362" s="221">
        <v>1744.6</v>
      </c>
      <c r="F8362" s="221">
        <v>1780.06</v>
      </c>
      <c r="G8362" s="221">
        <v>1230.01</v>
      </c>
      <c r="H8362" s="222">
        <v>36119.07</v>
      </c>
      <c r="I8362" s="222">
        <v>20062.900000000001</v>
      </c>
      <c r="J8362" s="222">
        <v>8343.89</v>
      </c>
      <c r="K8362" s="222">
        <v>7712.28</v>
      </c>
      <c r="L8362" s="43">
        <v>7.5965461325391663</v>
      </c>
      <c r="M8362" s="43">
        <v>11.500000000000002</v>
      </c>
      <c r="N8362" s="43">
        <v>4.6874206487421768</v>
      </c>
      <c r="O8362" s="43">
        <v>6.2700953650783324</v>
      </c>
      <c r="P8362" s="223"/>
      <c r="Q8362" s="223"/>
      <c r="R8362" s="223">
        <v>4</v>
      </c>
    </row>
    <row r="8363" spans="1:18" ht="36">
      <c r="A8363" s="219">
        <v>1188</v>
      </c>
      <c r="B8363" s="216" t="s">
        <v>15410</v>
      </c>
      <c r="C8363" s="220" t="s">
        <v>15411</v>
      </c>
      <c r="D8363" s="221">
        <v>4338.78</v>
      </c>
      <c r="E8363" s="221">
        <v>1558.62</v>
      </c>
      <c r="F8363" s="221">
        <v>1524.5</v>
      </c>
      <c r="G8363" s="221">
        <v>1255.6600000000001</v>
      </c>
      <c r="H8363" s="222">
        <v>32764.98</v>
      </c>
      <c r="I8363" s="222">
        <v>17924.759999999998</v>
      </c>
      <c r="J8363" s="222">
        <v>7159.74</v>
      </c>
      <c r="K8363" s="222">
        <v>7680.48</v>
      </c>
      <c r="L8363" s="43">
        <v>7.5516573783413774</v>
      </c>
      <c r="M8363" s="43">
        <v>11.500404203718674</v>
      </c>
      <c r="N8363" s="43">
        <v>4.6964512955067237</v>
      </c>
      <c r="O8363" s="43">
        <v>6.1166876383734445</v>
      </c>
      <c r="P8363" s="223"/>
      <c r="Q8363" s="223"/>
      <c r="R8363" s="223">
        <v>4</v>
      </c>
    </row>
    <row r="8364" spans="1:18" ht="36">
      <c r="A8364" s="219">
        <v>1189</v>
      </c>
      <c r="B8364" s="216" t="s">
        <v>15412</v>
      </c>
      <c r="C8364" s="220" t="s">
        <v>15413</v>
      </c>
      <c r="D8364" s="221">
        <v>3645.12</v>
      </c>
      <c r="E8364" s="221">
        <v>1391.94</v>
      </c>
      <c r="F8364" s="221">
        <v>1161.74</v>
      </c>
      <c r="G8364" s="221">
        <v>1091.44</v>
      </c>
      <c r="H8364" s="222">
        <v>27987.46</v>
      </c>
      <c r="I8364" s="222">
        <v>16007.31</v>
      </c>
      <c r="J8364" s="222">
        <v>5358.5</v>
      </c>
      <c r="K8364" s="222">
        <v>6621.65</v>
      </c>
      <c r="L8364" s="43">
        <v>7.6780627249583002</v>
      </c>
      <c r="M8364" s="43">
        <v>11.5</v>
      </c>
      <c r="N8364" s="43">
        <v>4.6124778349716804</v>
      </c>
      <c r="O8364" s="43">
        <v>6.0668932786044119</v>
      </c>
      <c r="P8364" s="223"/>
      <c r="Q8364" s="223"/>
      <c r="R8364" s="223">
        <v>4</v>
      </c>
    </row>
    <row r="8365" spans="1:18" ht="36">
      <c r="A8365" s="219">
        <v>1190</v>
      </c>
      <c r="B8365" s="216" t="s">
        <v>15414</v>
      </c>
      <c r="C8365" s="220" t="s">
        <v>15415</v>
      </c>
      <c r="D8365" s="221">
        <v>3230.33</v>
      </c>
      <c r="E8365" s="221">
        <v>1153.68</v>
      </c>
      <c r="F8365" s="221">
        <v>957.75</v>
      </c>
      <c r="G8365" s="221">
        <v>1118.9000000000001</v>
      </c>
      <c r="H8365" s="222">
        <v>24408.76</v>
      </c>
      <c r="I8365" s="222">
        <v>13267.32</v>
      </c>
      <c r="J8365" s="222">
        <v>4554.9399999999996</v>
      </c>
      <c r="K8365" s="222">
        <v>6586.5</v>
      </c>
      <c r="L8365" s="43">
        <v>7.5561196534100228</v>
      </c>
      <c r="M8365" s="43">
        <v>11.5</v>
      </c>
      <c r="N8365" s="43">
        <v>4.7558757504567994</v>
      </c>
      <c r="O8365" s="43">
        <v>5.8865850388774685</v>
      </c>
      <c r="P8365" s="223"/>
      <c r="Q8365" s="223"/>
      <c r="R8365" s="223">
        <v>4</v>
      </c>
    </row>
    <row r="8366" spans="1:18" ht="12.75" customHeight="1">
      <c r="A8366" s="628" t="s">
        <v>15416</v>
      </c>
      <c r="B8366" s="629"/>
      <c r="C8366" s="629"/>
      <c r="D8366" s="629"/>
      <c r="E8366" s="629"/>
      <c r="F8366" s="629"/>
      <c r="G8366" s="629"/>
      <c r="H8366" s="629"/>
      <c r="I8366" s="629"/>
      <c r="J8366" s="629"/>
      <c r="K8366" s="629"/>
      <c r="L8366" s="629"/>
      <c r="M8366" s="629"/>
      <c r="N8366" s="629"/>
      <c r="O8366" s="629"/>
      <c r="P8366" s="629"/>
      <c r="Q8366" s="629"/>
      <c r="R8366" s="629"/>
    </row>
    <row r="8367" spans="1:18" ht="48">
      <c r="A8367" s="219">
        <v>1191</v>
      </c>
      <c r="B8367" s="216" t="s">
        <v>15417</v>
      </c>
      <c r="C8367" s="220" t="s">
        <v>15418</v>
      </c>
      <c r="D8367" s="221">
        <v>6397.73</v>
      </c>
      <c r="E8367" s="221">
        <v>2098.4</v>
      </c>
      <c r="F8367" s="221">
        <v>2885.3</v>
      </c>
      <c r="G8367" s="221">
        <v>1414.03</v>
      </c>
      <c r="H8367" s="222">
        <v>47028.46</v>
      </c>
      <c r="I8367" s="222">
        <v>24131.599999999999</v>
      </c>
      <c r="J8367" s="222">
        <v>13754.23</v>
      </c>
      <c r="K8367" s="222">
        <v>9142.6299999999992</v>
      </c>
      <c r="L8367" s="43">
        <v>7.3508041133339486</v>
      </c>
      <c r="M8367" s="43">
        <v>11.499999999999998</v>
      </c>
      <c r="N8367" s="43">
        <v>4.7670016982636119</v>
      </c>
      <c r="O8367" s="43">
        <v>6.4656549012397191</v>
      </c>
      <c r="P8367" s="223"/>
      <c r="Q8367" s="223"/>
      <c r="R8367" s="223">
        <v>5</v>
      </c>
    </row>
    <row r="8368" spans="1:18" ht="48">
      <c r="A8368" s="219">
        <v>1192</v>
      </c>
      <c r="B8368" s="216" t="s">
        <v>15419</v>
      </c>
      <c r="C8368" s="220" t="s">
        <v>15420</v>
      </c>
      <c r="D8368" s="221">
        <v>5717.76</v>
      </c>
      <c r="E8368" s="221">
        <v>2098.4</v>
      </c>
      <c r="F8368" s="221">
        <v>2229.11</v>
      </c>
      <c r="G8368" s="221">
        <v>1390.25</v>
      </c>
      <c r="H8368" s="222">
        <v>43400.61</v>
      </c>
      <c r="I8368" s="222">
        <v>24131.599999999999</v>
      </c>
      <c r="J8368" s="222">
        <v>10652.23</v>
      </c>
      <c r="K8368" s="222">
        <v>8616.7800000000007</v>
      </c>
      <c r="L8368" s="43">
        <v>7.5904917310275355</v>
      </c>
      <c r="M8368" s="43">
        <v>11.499999999999998</v>
      </c>
      <c r="N8368" s="43">
        <v>4.7786919443185845</v>
      </c>
      <c r="O8368" s="43">
        <v>6.1980075525984537</v>
      </c>
      <c r="P8368" s="223"/>
      <c r="Q8368" s="223"/>
      <c r="R8368" s="223">
        <v>5</v>
      </c>
    </row>
    <row r="8369" spans="1:18" ht="48">
      <c r="A8369" s="219">
        <v>1193</v>
      </c>
      <c r="B8369" s="216" t="s">
        <v>15421</v>
      </c>
      <c r="C8369" s="220" t="s">
        <v>15422</v>
      </c>
      <c r="D8369" s="221">
        <v>5561.41</v>
      </c>
      <c r="E8369" s="221">
        <v>2098.4</v>
      </c>
      <c r="F8369" s="221">
        <v>2159.16</v>
      </c>
      <c r="G8369" s="221">
        <v>1303.8499999999999</v>
      </c>
      <c r="H8369" s="222">
        <v>42495.12</v>
      </c>
      <c r="I8369" s="222">
        <v>24131.599999999999</v>
      </c>
      <c r="J8369" s="222">
        <v>10104.6</v>
      </c>
      <c r="K8369" s="222">
        <v>8258.92</v>
      </c>
      <c r="L8369" s="43">
        <v>7.6410694410230509</v>
      </c>
      <c r="M8369" s="43">
        <v>11.499999999999998</v>
      </c>
      <c r="N8369" s="43">
        <v>4.6798755071416664</v>
      </c>
      <c r="O8369" s="43">
        <v>6.3342562411320325</v>
      </c>
      <c r="P8369" s="223"/>
      <c r="Q8369" s="223"/>
      <c r="R8369" s="223">
        <v>5</v>
      </c>
    </row>
    <row r="8370" spans="1:18" ht="48">
      <c r="A8370" s="219">
        <v>1194</v>
      </c>
      <c r="B8370" s="216" t="s">
        <v>15423</v>
      </c>
      <c r="C8370" s="220" t="s">
        <v>15424</v>
      </c>
      <c r="D8370" s="221">
        <v>4207.01</v>
      </c>
      <c r="E8370" s="221">
        <v>1479.72</v>
      </c>
      <c r="F8370" s="221">
        <v>1486.08</v>
      </c>
      <c r="G8370" s="221">
        <v>1241.21</v>
      </c>
      <c r="H8370" s="222">
        <v>31533.46</v>
      </c>
      <c r="I8370" s="222">
        <v>17016.78</v>
      </c>
      <c r="J8370" s="222">
        <v>7001.53</v>
      </c>
      <c r="K8370" s="222">
        <v>7515.15</v>
      </c>
      <c r="L8370" s="43">
        <v>7.4954563930202207</v>
      </c>
      <c r="M8370" s="43">
        <v>11.499999999999998</v>
      </c>
      <c r="N8370" s="43">
        <v>4.7114085378983637</v>
      </c>
      <c r="O8370" s="43">
        <v>6.0546966266788047</v>
      </c>
      <c r="P8370" s="223"/>
      <c r="Q8370" s="223"/>
      <c r="R8370" s="223">
        <v>5</v>
      </c>
    </row>
    <row r="8371" spans="1:18" ht="48">
      <c r="A8371" s="219">
        <v>1195</v>
      </c>
      <c r="B8371" s="216" t="s">
        <v>15425</v>
      </c>
      <c r="C8371" s="220" t="s">
        <v>15426</v>
      </c>
      <c r="D8371" s="221">
        <v>4153.34</v>
      </c>
      <c r="E8371" s="221">
        <v>1479.72</v>
      </c>
      <c r="F8371" s="221">
        <v>1444.16</v>
      </c>
      <c r="G8371" s="221">
        <v>1229.46</v>
      </c>
      <c r="H8371" s="222">
        <v>31125.24</v>
      </c>
      <c r="I8371" s="222">
        <v>17016.78</v>
      </c>
      <c r="J8371" s="222">
        <v>6799.43</v>
      </c>
      <c r="K8371" s="222">
        <v>7309.03</v>
      </c>
      <c r="L8371" s="43">
        <v>7.4940264943394954</v>
      </c>
      <c r="M8371" s="43">
        <v>11.499999999999998</v>
      </c>
      <c r="N8371" s="43">
        <v>4.7082248504320852</v>
      </c>
      <c r="O8371" s="43">
        <v>5.9449107738356677</v>
      </c>
      <c r="P8371" s="223"/>
      <c r="Q8371" s="223"/>
      <c r="R8371" s="223">
        <v>5</v>
      </c>
    </row>
    <row r="8372" spans="1:18" ht="48">
      <c r="A8372" s="219">
        <v>1196</v>
      </c>
      <c r="B8372" s="216" t="s">
        <v>15427</v>
      </c>
      <c r="C8372" s="220" t="s">
        <v>15428</v>
      </c>
      <c r="D8372" s="221">
        <v>3817.73</v>
      </c>
      <c r="E8372" s="221">
        <v>1479.72</v>
      </c>
      <c r="F8372" s="221">
        <v>1254.73</v>
      </c>
      <c r="G8372" s="221">
        <v>1083.28</v>
      </c>
      <c r="H8372" s="222">
        <v>29413.53</v>
      </c>
      <c r="I8372" s="222">
        <v>17016.78</v>
      </c>
      <c r="J8372" s="222">
        <v>5968.78</v>
      </c>
      <c r="K8372" s="222">
        <v>6427.97</v>
      </c>
      <c r="L8372" s="43">
        <v>7.7044552653016316</v>
      </c>
      <c r="M8372" s="43">
        <v>11.499999999999998</v>
      </c>
      <c r="N8372" s="43">
        <v>4.7570234233659825</v>
      </c>
      <c r="O8372" s="43">
        <v>5.9338028949117501</v>
      </c>
      <c r="P8372" s="223"/>
      <c r="Q8372" s="223"/>
      <c r="R8372" s="223">
        <v>5</v>
      </c>
    </row>
    <row r="8373" spans="1:18" ht="48">
      <c r="A8373" s="219">
        <v>1197</v>
      </c>
      <c r="B8373" s="216" t="s">
        <v>15429</v>
      </c>
      <c r="C8373" s="220" t="s">
        <v>15430</v>
      </c>
      <c r="D8373" s="221">
        <v>3213.94</v>
      </c>
      <c r="E8373" s="221">
        <v>1191.3</v>
      </c>
      <c r="F8373" s="221">
        <v>1028.31</v>
      </c>
      <c r="G8373" s="221">
        <v>994.33</v>
      </c>
      <c r="H8373" s="222">
        <v>24444.39</v>
      </c>
      <c r="I8373" s="222">
        <v>13699.95</v>
      </c>
      <c r="J8373" s="222">
        <v>4784.03</v>
      </c>
      <c r="K8373" s="222">
        <v>5960.41</v>
      </c>
      <c r="L8373" s="43">
        <v>7.6057393728569913</v>
      </c>
      <c r="M8373" s="43">
        <v>11.500000000000002</v>
      </c>
      <c r="N8373" s="43">
        <v>4.6523227431416601</v>
      </c>
      <c r="O8373" s="43">
        <v>5.9943982380095138</v>
      </c>
      <c r="P8373" s="223"/>
      <c r="Q8373" s="223"/>
      <c r="R8373" s="223">
        <v>5</v>
      </c>
    </row>
    <row r="8374" spans="1:18" ht="48">
      <c r="A8374" s="219">
        <v>1198</v>
      </c>
      <c r="B8374" s="216" t="s">
        <v>15431</v>
      </c>
      <c r="C8374" s="220" t="s">
        <v>15432</v>
      </c>
      <c r="D8374" s="221">
        <v>3236.79</v>
      </c>
      <c r="E8374" s="221">
        <v>1191.3</v>
      </c>
      <c r="F8374" s="221">
        <v>949.05</v>
      </c>
      <c r="G8374" s="221">
        <v>1096.44</v>
      </c>
      <c r="H8374" s="222">
        <v>24598.97</v>
      </c>
      <c r="I8374" s="222">
        <v>13699.95</v>
      </c>
      <c r="J8374" s="222">
        <v>4526.5</v>
      </c>
      <c r="K8374" s="222">
        <v>6372.52</v>
      </c>
      <c r="L8374" s="43">
        <v>7.5998041269282224</v>
      </c>
      <c r="M8374" s="43">
        <v>11.500000000000002</v>
      </c>
      <c r="N8374" s="43">
        <v>4.7695063484537172</v>
      </c>
      <c r="O8374" s="43">
        <v>5.8120097770967858</v>
      </c>
      <c r="P8374" s="223"/>
      <c r="Q8374" s="223"/>
      <c r="R8374" s="223">
        <v>5</v>
      </c>
    </row>
    <row r="8375" spans="1:18" ht="48">
      <c r="A8375" s="219">
        <v>1199</v>
      </c>
      <c r="B8375" s="216" t="s">
        <v>15433</v>
      </c>
      <c r="C8375" s="220" t="s">
        <v>15434</v>
      </c>
      <c r="D8375" s="221">
        <v>3109.83</v>
      </c>
      <c r="E8375" s="221">
        <v>1191.3</v>
      </c>
      <c r="F8375" s="221">
        <v>875.96</v>
      </c>
      <c r="G8375" s="221">
        <v>1042.57</v>
      </c>
      <c r="H8375" s="222">
        <v>24011.58</v>
      </c>
      <c r="I8375" s="222">
        <v>13699.95</v>
      </c>
      <c r="J8375" s="222">
        <v>4268.25</v>
      </c>
      <c r="K8375" s="222">
        <v>6043.38</v>
      </c>
      <c r="L8375" s="43">
        <v>7.7211873317834101</v>
      </c>
      <c r="M8375" s="43">
        <v>11.500000000000002</v>
      </c>
      <c r="N8375" s="43">
        <v>4.8726540024658656</v>
      </c>
      <c r="O8375" s="43">
        <v>5.7966179728939071</v>
      </c>
      <c r="P8375" s="223"/>
      <c r="Q8375" s="223"/>
      <c r="R8375" s="223">
        <v>5</v>
      </c>
    </row>
    <row r="8376" spans="1:18" ht="48">
      <c r="A8376" s="219">
        <v>1200</v>
      </c>
      <c r="B8376" s="216" t="s">
        <v>15435</v>
      </c>
      <c r="C8376" s="220" t="s">
        <v>15436</v>
      </c>
      <c r="D8376" s="221">
        <v>2510.3200000000002</v>
      </c>
      <c r="E8376" s="221">
        <v>902.3</v>
      </c>
      <c r="F8376" s="221">
        <v>668.74</v>
      </c>
      <c r="G8376" s="221">
        <v>939.28</v>
      </c>
      <c r="H8376" s="222">
        <v>18969.89</v>
      </c>
      <c r="I8376" s="222">
        <v>10376.799999999999</v>
      </c>
      <c r="J8376" s="222">
        <v>3282.83</v>
      </c>
      <c r="K8376" s="222">
        <v>5310.26</v>
      </c>
      <c r="L8376" s="43">
        <v>7.5567616877529549</v>
      </c>
      <c r="M8376" s="43">
        <v>11.500387897595035</v>
      </c>
      <c r="N8376" s="43">
        <v>4.9089780781768697</v>
      </c>
      <c r="O8376" s="43">
        <v>5.6535431394259437</v>
      </c>
      <c r="P8376" s="223"/>
      <c r="Q8376" s="223"/>
      <c r="R8376" s="223">
        <v>5</v>
      </c>
    </row>
    <row r="8377" spans="1:18" ht="48">
      <c r="A8377" s="219">
        <v>1201</v>
      </c>
      <c r="B8377" s="216" t="s">
        <v>15437</v>
      </c>
      <c r="C8377" s="220" t="s">
        <v>15438</v>
      </c>
      <c r="D8377" s="221">
        <v>2634.05</v>
      </c>
      <c r="E8377" s="221">
        <v>902.3</v>
      </c>
      <c r="F8377" s="221">
        <v>786.22</v>
      </c>
      <c r="G8377" s="221">
        <v>945.53</v>
      </c>
      <c r="H8377" s="222">
        <v>19699.650000000001</v>
      </c>
      <c r="I8377" s="222">
        <v>10376.799999999999</v>
      </c>
      <c r="J8377" s="222">
        <v>3905.82</v>
      </c>
      <c r="K8377" s="222">
        <v>5417.03</v>
      </c>
      <c r="L8377" s="43">
        <v>7.4788443651411329</v>
      </c>
      <c r="M8377" s="43">
        <v>11.500387897595035</v>
      </c>
      <c r="N8377" s="43">
        <v>4.9678461499325888</v>
      </c>
      <c r="O8377" s="43">
        <v>5.7290937357883935</v>
      </c>
      <c r="P8377" s="223"/>
      <c r="Q8377" s="223"/>
      <c r="R8377" s="223">
        <v>5</v>
      </c>
    </row>
    <row r="8378" spans="1:18" ht="12.75" customHeight="1">
      <c r="A8378" s="628" t="s">
        <v>15439</v>
      </c>
      <c r="B8378" s="629"/>
      <c r="C8378" s="629"/>
      <c r="D8378" s="629"/>
      <c r="E8378" s="629"/>
      <c r="F8378" s="629"/>
      <c r="G8378" s="629"/>
      <c r="H8378" s="629"/>
      <c r="I8378" s="629"/>
      <c r="J8378" s="629"/>
      <c r="K8378" s="629"/>
      <c r="L8378" s="629"/>
      <c r="M8378" s="629"/>
      <c r="N8378" s="629"/>
      <c r="O8378" s="629"/>
      <c r="P8378" s="629"/>
      <c r="Q8378" s="629"/>
      <c r="R8378" s="629"/>
    </row>
    <row r="8379" spans="1:18" ht="48">
      <c r="A8379" s="219">
        <v>1202</v>
      </c>
      <c r="B8379" s="216" t="s">
        <v>15440</v>
      </c>
      <c r="C8379" s="220" t="s">
        <v>15441</v>
      </c>
      <c r="D8379" s="221">
        <v>6906.14</v>
      </c>
      <c r="E8379" s="221">
        <v>2684.29</v>
      </c>
      <c r="F8379" s="221">
        <v>2703.21</v>
      </c>
      <c r="G8379" s="221">
        <v>1518.64</v>
      </c>
      <c r="H8379" s="222">
        <v>52835.08</v>
      </c>
      <c r="I8379" s="222">
        <v>30870.42</v>
      </c>
      <c r="J8379" s="222">
        <v>12415.48</v>
      </c>
      <c r="K8379" s="222">
        <v>9549.18</v>
      </c>
      <c r="L8379" s="43">
        <v>7.6504501791159747</v>
      </c>
      <c r="M8379" s="43">
        <v>11.500404203718674</v>
      </c>
      <c r="N8379" s="43">
        <v>4.5928655191420571</v>
      </c>
      <c r="O8379" s="43">
        <v>6.2879813517357634</v>
      </c>
      <c r="P8379" s="223"/>
      <c r="Q8379" s="223"/>
      <c r="R8379" s="223">
        <v>6</v>
      </c>
    </row>
    <row r="8380" spans="1:18" ht="48">
      <c r="A8380" s="219">
        <v>1203</v>
      </c>
      <c r="B8380" s="216" t="s">
        <v>15442</v>
      </c>
      <c r="C8380" s="220" t="s">
        <v>15443</v>
      </c>
      <c r="D8380" s="221">
        <v>4631.4399999999996</v>
      </c>
      <c r="E8380" s="221">
        <v>1781.28</v>
      </c>
      <c r="F8380" s="221">
        <v>1644.15</v>
      </c>
      <c r="G8380" s="221">
        <v>1206.01</v>
      </c>
      <c r="H8380" s="222">
        <v>35511.17</v>
      </c>
      <c r="I8380" s="222">
        <v>20485.439999999999</v>
      </c>
      <c r="J8380" s="222">
        <v>7774.56</v>
      </c>
      <c r="K8380" s="222">
        <v>7251.17</v>
      </c>
      <c r="L8380" s="43">
        <v>7.6674144542518095</v>
      </c>
      <c r="M8380" s="43">
        <v>11.500404203718674</v>
      </c>
      <c r="N8380" s="43">
        <v>4.7286196514916519</v>
      </c>
      <c r="O8380" s="43">
        <v>6.0125289176706662</v>
      </c>
      <c r="P8380" s="223"/>
      <c r="Q8380" s="223"/>
      <c r="R8380" s="223">
        <v>6</v>
      </c>
    </row>
    <row r="8381" spans="1:18" ht="48">
      <c r="A8381" s="219">
        <v>1204</v>
      </c>
      <c r="B8381" s="216" t="s">
        <v>15444</v>
      </c>
      <c r="C8381" s="220" t="s">
        <v>15445</v>
      </c>
      <c r="D8381" s="221">
        <v>3533.58</v>
      </c>
      <c r="E8381" s="221">
        <v>1286.48</v>
      </c>
      <c r="F8381" s="221">
        <v>1203.94</v>
      </c>
      <c r="G8381" s="221">
        <v>1043.1600000000001</v>
      </c>
      <c r="H8381" s="222">
        <v>26679.59</v>
      </c>
      <c r="I8381" s="222">
        <v>14795.04</v>
      </c>
      <c r="J8381" s="222">
        <v>5743.09</v>
      </c>
      <c r="K8381" s="222">
        <v>6141.46</v>
      </c>
      <c r="L8381" s="43">
        <v>7.5503002620571777</v>
      </c>
      <c r="M8381" s="43">
        <v>11.500404203718675</v>
      </c>
      <c r="N8381" s="43">
        <v>4.7702460255494463</v>
      </c>
      <c r="O8381" s="43">
        <v>5.8873614785843014</v>
      </c>
      <c r="P8381" s="223"/>
      <c r="Q8381" s="223"/>
      <c r="R8381" s="223">
        <v>6</v>
      </c>
    </row>
    <row r="8382" spans="1:18" ht="48">
      <c r="A8382" s="219">
        <v>1205</v>
      </c>
      <c r="B8382" s="216" t="s">
        <v>15446</v>
      </c>
      <c r="C8382" s="220" t="s">
        <v>15447</v>
      </c>
      <c r="D8382" s="221">
        <v>3125.73</v>
      </c>
      <c r="E8382" s="221">
        <v>1182.96</v>
      </c>
      <c r="F8382" s="221">
        <v>945.19</v>
      </c>
      <c r="G8382" s="221">
        <v>997.58</v>
      </c>
      <c r="H8382" s="222">
        <v>23833.42</v>
      </c>
      <c r="I8382" s="222">
        <v>13604.04</v>
      </c>
      <c r="J8382" s="222">
        <v>4481.6899999999996</v>
      </c>
      <c r="K8382" s="222">
        <v>5747.69</v>
      </c>
      <c r="L8382" s="43">
        <v>7.6249132202717442</v>
      </c>
      <c r="M8382" s="43">
        <v>11.5</v>
      </c>
      <c r="N8382" s="43">
        <v>4.7415757678350374</v>
      </c>
      <c r="O8382" s="43">
        <v>5.7616331522283923</v>
      </c>
      <c r="P8382" s="223"/>
      <c r="Q8382" s="223"/>
      <c r="R8382" s="223">
        <v>6</v>
      </c>
    </row>
    <row r="8383" spans="1:18" ht="48">
      <c r="A8383" s="219">
        <v>1206</v>
      </c>
      <c r="B8383" s="216" t="s">
        <v>15448</v>
      </c>
      <c r="C8383" s="220" t="s">
        <v>15449</v>
      </c>
      <c r="D8383" s="221">
        <v>2987.52</v>
      </c>
      <c r="E8383" s="221">
        <v>1170.24</v>
      </c>
      <c r="F8383" s="221">
        <v>861.75</v>
      </c>
      <c r="G8383" s="221">
        <v>955.53</v>
      </c>
      <c r="H8383" s="222">
        <v>23057.81</v>
      </c>
      <c r="I8383" s="222">
        <v>13457.76</v>
      </c>
      <c r="J8383" s="222">
        <v>4124.43</v>
      </c>
      <c r="K8383" s="222">
        <v>5475.62</v>
      </c>
      <c r="L8383" s="43">
        <v>7.7180437285775501</v>
      </c>
      <c r="M8383" s="43">
        <v>11.5</v>
      </c>
      <c r="N8383" s="43">
        <v>4.7861096605744127</v>
      </c>
      <c r="O8383" s="43">
        <v>5.7304532563080173</v>
      </c>
      <c r="P8383" s="223"/>
      <c r="Q8383" s="223"/>
      <c r="R8383" s="223">
        <v>6</v>
      </c>
    </row>
    <row r="8384" spans="1:18" ht="48">
      <c r="A8384" s="219">
        <v>1207</v>
      </c>
      <c r="B8384" s="216" t="s">
        <v>15450</v>
      </c>
      <c r="C8384" s="220" t="s">
        <v>15451</v>
      </c>
      <c r="D8384" s="221">
        <v>3462.63</v>
      </c>
      <c r="E8384" s="221">
        <v>927.97</v>
      </c>
      <c r="F8384" s="221">
        <v>740.08</v>
      </c>
      <c r="G8384" s="221">
        <v>1794.58</v>
      </c>
      <c r="H8384" s="222">
        <v>25255.88</v>
      </c>
      <c r="I8384" s="222">
        <v>10672.01</v>
      </c>
      <c r="J8384" s="222">
        <v>3630.56</v>
      </c>
      <c r="K8384" s="222">
        <v>10953.31</v>
      </c>
      <c r="L8384" s="43">
        <v>7.2938431192475086</v>
      </c>
      <c r="M8384" s="43">
        <v>11.500382555470543</v>
      </c>
      <c r="N8384" s="43">
        <v>4.9056318235866385</v>
      </c>
      <c r="O8384" s="43">
        <v>6.1035506915267081</v>
      </c>
      <c r="P8384" s="223"/>
      <c r="Q8384" s="223"/>
      <c r="R8384" s="223">
        <v>6</v>
      </c>
    </row>
    <row r="8385" spans="1:18" ht="48">
      <c r="A8385" s="219">
        <v>1208</v>
      </c>
      <c r="B8385" s="216" t="s">
        <v>15452</v>
      </c>
      <c r="C8385" s="220" t="s">
        <v>15453</v>
      </c>
      <c r="D8385" s="221">
        <v>2589.2199999999998</v>
      </c>
      <c r="E8385" s="221">
        <v>927.97</v>
      </c>
      <c r="F8385" s="221">
        <v>705.02</v>
      </c>
      <c r="G8385" s="221">
        <v>956.23</v>
      </c>
      <c r="H8385" s="222">
        <v>19400.93</v>
      </c>
      <c r="I8385" s="222">
        <v>10672.01</v>
      </c>
      <c r="J8385" s="222">
        <v>3400.96</v>
      </c>
      <c r="K8385" s="222">
        <v>5327.96</v>
      </c>
      <c r="L8385" s="43">
        <v>7.4929631317539656</v>
      </c>
      <c r="M8385" s="43">
        <v>11.500382555470543</v>
      </c>
      <c r="N8385" s="43">
        <v>4.823919888797481</v>
      </c>
      <c r="O8385" s="43">
        <v>5.5718394110203615</v>
      </c>
      <c r="P8385" s="223"/>
      <c r="Q8385" s="223"/>
      <c r="R8385" s="223">
        <v>6</v>
      </c>
    </row>
    <row r="8386" spans="1:18" ht="48">
      <c r="A8386" s="219">
        <v>1209</v>
      </c>
      <c r="B8386" s="216" t="s">
        <v>15454</v>
      </c>
      <c r="C8386" s="220" t="s">
        <v>15455</v>
      </c>
      <c r="D8386" s="221">
        <v>2548.1</v>
      </c>
      <c r="E8386" s="221">
        <v>927.97</v>
      </c>
      <c r="F8386" s="221">
        <v>666.53</v>
      </c>
      <c r="G8386" s="221">
        <v>953.6</v>
      </c>
      <c r="H8386" s="222">
        <v>19190.36</v>
      </c>
      <c r="I8386" s="222">
        <v>10672.01</v>
      </c>
      <c r="J8386" s="222">
        <v>3254.74</v>
      </c>
      <c r="K8386" s="222">
        <v>5263.61</v>
      </c>
      <c r="L8386" s="43">
        <v>7.5312428868568739</v>
      </c>
      <c r="M8386" s="43">
        <v>11.500382555470543</v>
      </c>
      <c r="N8386" s="43">
        <v>4.8831110377627409</v>
      </c>
      <c r="O8386" s="43">
        <v>5.5197252516778521</v>
      </c>
      <c r="P8386" s="223"/>
      <c r="Q8386" s="223"/>
      <c r="R8386" s="223">
        <v>6</v>
      </c>
    </row>
    <row r="8387" spans="1:18" ht="48">
      <c r="A8387" s="219">
        <v>1210</v>
      </c>
      <c r="B8387" s="216" t="s">
        <v>15456</v>
      </c>
      <c r="C8387" s="220" t="s">
        <v>15457</v>
      </c>
      <c r="D8387" s="221">
        <v>2583.54</v>
      </c>
      <c r="E8387" s="221">
        <v>927.97</v>
      </c>
      <c r="F8387" s="221">
        <v>626.09</v>
      </c>
      <c r="G8387" s="221">
        <v>1029.48</v>
      </c>
      <c r="H8387" s="222">
        <v>19389.849999999999</v>
      </c>
      <c r="I8387" s="222">
        <v>10672.01</v>
      </c>
      <c r="J8387" s="222">
        <v>3077.15</v>
      </c>
      <c r="K8387" s="222">
        <v>5640.69</v>
      </c>
      <c r="L8387" s="43">
        <v>7.5051479752587529</v>
      </c>
      <c r="M8387" s="43">
        <v>11.500382555470543</v>
      </c>
      <c r="N8387" s="43">
        <v>4.9148684693893845</v>
      </c>
      <c r="O8387" s="43">
        <v>5.4791642382562067</v>
      </c>
      <c r="P8387" s="223"/>
      <c r="Q8387" s="223"/>
      <c r="R8387" s="223">
        <v>6</v>
      </c>
    </row>
    <row r="8388" spans="1:18" ht="12.75" customHeight="1">
      <c r="A8388" s="628" t="s">
        <v>15458</v>
      </c>
      <c r="B8388" s="629"/>
      <c r="C8388" s="629"/>
      <c r="D8388" s="629"/>
      <c r="E8388" s="629"/>
      <c r="F8388" s="629"/>
      <c r="G8388" s="629"/>
      <c r="H8388" s="629"/>
      <c r="I8388" s="629"/>
      <c r="J8388" s="629"/>
      <c r="K8388" s="629"/>
      <c r="L8388" s="629"/>
      <c r="M8388" s="629"/>
      <c r="N8388" s="629"/>
      <c r="O8388" s="629"/>
      <c r="P8388" s="629"/>
      <c r="Q8388" s="629"/>
      <c r="R8388" s="629"/>
    </row>
    <row r="8389" spans="1:18" ht="36">
      <c r="A8389" s="219">
        <v>1211</v>
      </c>
      <c r="B8389" s="216" t="s">
        <v>15459</v>
      </c>
      <c r="C8389" s="220" t="s">
        <v>15460</v>
      </c>
      <c r="D8389" s="221">
        <v>2456.85</v>
      </c>
      <c r="E8389" s="221">
        <v>1000.4</v>
      </c>
      <c r="F8389" s="221">
        <v>1183.08</v>
      </c>
      <c r="G8389" s="221">
        <v>273.37</v>
      </c>
      <c r="H8389" s="222">
        <v>19554.919999999998</v>
      </c>
      <c r="I8389" s="222">
        <v>11504.6</v>
      </c>
      <c r="J8389" s="222">
        <v>6381.53</v>
      </c>
      <c r="K8389" s="222">
        <v>1668.79</v>
      </c>
      <c r="L8389" s="43">
        <v>7.9593463174389969</v>
      </c>
      <c r="M8389" s="43">
        <v>11.5</v>
      </c>
      <c r="N8389" s="43">
        <v>5.3939970247151505</v>
      </c>
      <c r="O8389" s="43">
        <v>6.104510370560047</v>
      </c>
      <c r="P8389" s="223"/>
      <c r="Q8389" s="223"/>
      <c r="R8389" s="223">
        <v>7</v>
      </c>
    </row>
    <row r="8390" spans="1:18" ht="36">
      <c r="A8390" s="219">
        <v>1212</v>
      </c>
      <c r="B8390" s="216" t="s">
        <v>15461</v>
      </c>
      <c r="C8390" s="220" t="s">
        <v>15462</v>
      </c>
      <c r="D8390" s="221">
        <v>2295.5700000000002</v>
      </c>
      <c r="E8390" s="221">
        <v>1014.34</v>
      </c>
      <c r="F8390" s="221">
        <v>993.43</v>
      </c>
      <c r="G8390" s="221">
        <v>287.8</v>
      </c>
      <c r="H8390" s="222">
        <v>18762.98</v>
      </c>
      <c r="I8390" s="222">
        <v>11665.32</v>
      </c>
      <c r="J8390" s="222">
        <v>5319.59</v>
      </c>
      <c r="K8390" s="222">
        <v>1778.07</v>
      </c>
      <c r="L8390" s="43">
        <v>8.1735603793393352</v>
      </c>
      <c r="M8390" s="43">
        <v>11.500404203718674</v>
      </c>
      <c r="N8390" s="43">
        <v>5.3547708444480238</v>
      </c>
      <c r="O8390" s="43">
        <v>6.1781445448227927</v>
      </c>
      <c r="P8390" s="223"/>
      <c r="Q8390" s="223"/>
      <c r="R8390" s="223">
        <v>7</v>
      </c>
    </row>
    <row r="8391" spans="1:18" ht="36">
      <c r="A8391" s="219">
        <v>1213</v>
      </c>
      <c r="B8391" s="216" t="s">
        <v>15463</v>
      </c>
      <c r="C8391" s="220" t="s">
        <v>15464</v>
      </c>
      <c r="D8391" s="221">
        <v>2031.27</v>
      </c>
      <c r="E8391" s="221">
        <v>841.16</v>
      </c>
      <c r="F8391" s="221">
        <v>924.42</v>
      </c>
      <c r="G8391" s="221">
        <v>265.69</v>
      </c>
      <c r="H8391" s="222">
        <v>16234.98</v>
      </c>
      <c r="I8391" s="222">
        <v>9673.68</v>
      </c>
      <c r="J8391" s="222">
        <v>4989.16</v>
      </c>
      <c r="K8391" s="222">
        <v>1572.14</v>
      </c>
      <c r="L8391" s="43">
        <v>7.9925268428126248</v>
      </c>
      <c r="M8391" s="43">
        <v>11.500404203718675</v>
      </c>
      <c r="N8391" s="43">
        <v>5.3970705956167109</v>
      </c>
      <c r="O8391" s="43">
        <v>5.9171967330347401</v>
      </c>
      <c r="P8391" s="223"/>
      <c r="Q8391" s="223"/>
      <c r="R8391" s="223">
        <v>7</v>
      </c>
    </row>
    <row r="8392" spans="1:18" ht="36">
      <c r="A8392" s="219">
        <v>1214</v>
      </c>
      <c r="B8392" s="216" t="s">
        <v>15465</v>
      </c>
      <c r="C8392" s="220" t="s">
        <v>15466</v>
      </c>
      <c r="D8392" s="221">
        <v>1961.69</v>
      </c>
      <c r="E8392" s="221">
        <v>841.16</v>
      </c>
      <c r="F8392" s="221">
        <v>856.1</v>
      </c>
      <c r="G8392" s="221">
        <v>264.43</v>
      </c>
      <c r="H8392" s="222">
        <v>15854.45</v>
      </c>
      <c r="I8392" s="222">
        <v>9673.68</v>
      </c>
      <c r="J8392" s="222">
        <v>4588.83</v>
      </c>
      <c r="K8392" s="222">
        <v>1591.94</v>
      </c>
      <c r="L8392" s="43">
        <v>8.0820364073834305</v>
      </c>
      <c r="M8392" s="43">
        <v>11.500404203718675</v>
      </c>
      <c r="N8392" s="43">
        <v>5.3601565237705877</v>
      </c>
      <c r="O8392" s="43">
        <v>6.0202700147487045</v>
      </c>
      <c r="P8392" s="223"/>
      <c r="Q8392" s="223"/>
      <c r="R8392" s="223">
        <v>7</v>
      </c>
    </row>
    <row r="8393" spans="1:18" ht="36">
      <c r="A8393" s="219">
        <v>1215</v>
      </c>
      <c r="B8393" s="216" t="s">
        <v>15467</v>
      </c>
      <c r="C8393" s="220" t="s">
        <v>15468</v>
      </c>
      <c r="D8393" s="221">
        <v>2053.4699999999998</v>
      </c>
      <c r="E8393" s="221">
        <v>841.16</v>
      </c>
      <c r="F8393" s="221">
        <v>945.83</v>
      </c>
      <c r="G8393" s="221">
        <v>266.48</v>
      </c>
      <c r="H8393" s="222">
        <v>16344.46</v>
      </c>
      <c r="I8393" s="222">
        <v>9673.68</v>
      </c>
      <c r="J8393" s="222">
        <v>5097.75</v>
      </c>
      <c r="K8393" s="222">
        <v>1573.03</v>
      </c>
      <c r="L8393" s="43">
        <v>7.9594345181570709</v>
      </c>
      <c r="M8393" s="43">
        <v>11.500404203718675</v>
      </c>
      <c r="N8393" s="43">
        <v>5.389710624530835</v>
      </c>
      <c r="O8393" s="43">
        <v>5.9029945962173516</v>
      </c>
      <c r="P8393" s="223"/>
      <c r="Q8393" s="223"/>
      <c r="R8393" s="223">
        <v>7</v>
      </c>
    </row>
    <row r="8394" spans="1:18" ht="36">
      <c r="A8394" s="219">
        <v>1216</v>
      </c>
      <c r="B8394" s="216" t="s">
        <v>15469</v>
      </c>
      <c r="C8394" s="220" t="s">
        <v>15470</v>
      </c>
      <c r="D8394" s="221">
        <v>1984.24</v>
      </c>
      <c r="E8394" s="221">
        <v>841.16</v>
      </c>
      <c r="F8394" s="221">
        <v>870.65</v>
      </c>
      <c r="G8394" s="221">
        <v>272.43</v>
      </c>
      <c r="H8394" s="222">
        <v>15985.4</v>
      </c>
      <c r="I8394" s="222">
        <v>9673.68</v>
      </c>
      <c r="J8394" s="222">
        <v>4660.74</v>
      </c>
      <c r="K8394" s="222">
        <v>1650.98</v>
      </c>
      <c r="L8394" s="43">
        <v>8.0561827198322788</v>
      </c>
      <c r="M8394" s="43">
        <v>11.500404203718675</v>
      </c>
      <c r="N8394" s="43">
        <v>5.3531729167863089</v>
      </c>
      <c r="O8394" s="43">
        <v>6.0601989501890392</v>
      </c>
      <c r="P8394" s="223"/>
      <c r="Q8394" s="223"/>
      <c r="R8394" s="223">
        <v>7</v>
      </c>
    </row>
    <row r="8395" spans="1:18" ht="36">
      <c r="A8395" s="219">
        <v>1217</v>
      </c>
      <c r="B8395" s="216" t="s">
        <v>15471</v>
      </c>
      <c r="C8395" s="220" t="s">
        <v>15472</v>
      </c>
      <c r="D8395" s="221">
        <v>2012.07</v>
      </c>
      <c r="E8395" s="221">
        <v>841.16</v>
      </c>
      <c r="F8395" s="221">
        <v>883.3</v>
      </c>
      <c r="G8395" s="221">
        <v>287.61</v>
      </c>
      <c r="H8395" s="222">
        <v>16119.37</v>
      </c>
      <c r="I8395" s="222">
        <v>9673.68</v>
      </c>
      <c r="J8395" s="222">
        <v>4743.95</v>
      </c>
      <c r="K8395" s="222">
        <v>1701.74</v>
      </c>
      <c r="L8395" s="43">
        <v>8.0113365837172665</v>
      </c>
      <c r="M8395" s="43">
        <v>11.500404203718675</v>
      </c>
      <c r="N8395" s="43">
        <v>5.370712102343485</v>
      </c>
      <c r="O8395" s="43">
        <v>5.9168318208685369</v>
      </c>
      <c r="P8395" s="223"/>
      <c r="Q8395" s="223"/>
      <c r="R8395" s="223">
        <v>7</v>
      </c>
    </row>
    <row r="8396" spans="1:18" ht="36">
      <c r="A8396" s="219">
        <v>1218</v>
      </c>
      <c r="B8396" s="216" t="s">
        <v>15473</v>
      </c>
      <c r="C8396" s="220" t="s">
        <v>15474</v>
      </c>
      <c r="D8396" s="221">
        <v>1821.8</v>
      </c>
      <c r="E8396" s="221">
        <v>841.16</v>
      </c>
      <c r="F8396" s="221">
        <v>712.44</v>
      </c>
      <c r="G8396" s="221">
        <v>268.2</v>
      </c>
      <c r="H8396" s="222">
        <v>15087.21</v>
      </c>
      <c r="I8396" s="222">
        <v>9673.68</v>
      </c>
      <c r="J8396" s="222">
        <v>3825.58</v>
      </c>
      <c r="K8396" s="222">
        <v>1587.95</v>
      </c>
      <c r="L8396" s="43">
        <v>8.2814853441651106</v>
      </c>
      <c r="M8396" s="43">
        <v>11.500404203718675</v>
      </c>
      <c r="N8396" s="43">
        <v>5.3696872719106166</v>
      </c>
      <c r="O8396" s="43">
        <v>5.9207680835197616</v>
      </c>
      <c r="P8396" s="223"/>
      <c r="Q8396" s="223"/>
      <c r="R8396" s="223">
        <v>7</v>
      </c>
    </row>
    <row r="8397" spans="1:18" ht="36">
      <c r="A8397" s="219">
        <v>1219</v>
      </c>
      <c r="B8397" s="216" t="s">
        <v>15475</v>
      </c>
      <c r="C8397" s="220" t="s">
        <v>15476</v>
      </c>
      <c r="D8397" s="221">
        <v>1792.29</v>
      </c>
      <c r="E8397" s="221">
        <v>841.16</v>
      </c>
      <c r="F8397" s="221">
        <v>681.36</v>
      </c>
      <c r="G8397" s="221">
        <v>269.77</v>
      </c>
      <c r="H8397" s="222">
        <v>14919.36</v>
      </c>
      <c r="I8397" s="222">
        <v>9673.68</v>
      </c>
      <c r="J8397" s="222">
        <v>3662.46</v>
      </c>
      <c r="K8397" s="222">
        <v>1583.22</v>
      </c>
      <c r="L8397" s="43">
        <v>8.3241886078703793</v>
      </c>
      <c r="M8397" s="43">
        <v>11.500404203718675</v>
      </c>
      <c r="N8397" s="43">
        <v>5.375220147939415</v>
      </c>
      <c r="O8397" s="43">
        <v>5.8687771064239911</v>
      </c>
      <c r="P8397" s="223"/>
      <c r="Q8397" s="223"/>
      <c r="R8397" s="223">
        <v>7</v>
      </c>
    </row>
    <row r="8398" spans="1:18" ht="12.75" customHeight="1">
      <c r="A8398" s="628" t="s">
        <v>15477</v>
      </c>
      <c r="B8398" s="629"/>
      <c r="C8398" s="629"/>
      <c r="D8398" s="629"/>
      <c r="E8398" s="629"/>
      <c r="F8398" s="629"/>
      <c r="G8398" s="629"/>
      <c r="H8398" s="629"/>
      <c r="I8398" s="629"/>
      <c r="J8398" s="629"/>
      <c r="K8398" s="629"/>
      <c r="L8398" s="629"/>
      <c r="M8398" s="629"/>
      <c r="N8398" s="629"/>
      <c r="O8398" s="629"/>
      <c r="P8398" s="629"/>
      <c r="Q8398" s="629"/>
      <c r="R8398" s="629"/>
    </row>
    <row r="8399" spans="1:18" ht="36">
      <c r="A8399" s="219">
        <v>1220</v>
      </c>
      <c r="B8399" s="216" t="s">
        <v>15478</v>
      </c>
      <c r="C8399" s="220" t="s">
        <v>15479</v>
      </c>
      <c r="D8399" s="221">
        <v>1724.47</v>
      </c>
      <c r="E8399" s="221">
        <v>739.86</v>
      </c>
      <c r="F8399" s="221">
        <v>722.25</v>
      </c>
      <c r="G8399" s="221">
        <v>262.36</v>
      </c>
      <c r="H8399" s="222">
        <v>13933.76</v>
      </c>
      <c r="I8399" s="222">
        <v>8508.39</v>
      </c>
      <c r="J8399" s="222">
        <v>3879.93</v>
      </c>
      <c r="K8399" s="222">
        <v>1545.44</v>
      </c>
      <c r="L8399" s="43">
        <v>8.0800245872644929</v>
      </c>
      <c r="M8399" s="43">
        <v>11.499999999999998</v>
      </c>
      <c r="N8399" s="43">
        <v>5.3720041536863965</v>
      </c>
      <c r="O8399" s="43">
        <v>5.8905320933069065</v>
      </c>
      <c r="P8399" s="223"/>
      <c r="Q8399" s="223"/>
      <c r="R8399" s="223">
        <v>8</v>
      </c>
    </row>
    <row r="8400" spans="1:18" ht="36">
      <c r="A8400" s="219">
        <v>1221</v>
      </c>
      <c r="B8400" s="216" t="s">
        <v>15480</v>
      </c>
      <c r="C8400" s="220" t="s">
        <v>15481</v>
      </c>
      <c r="D8400" s="221">
        <v>1606.66</v>
      </c>
      <c r="E8400" s="221">
        <v>739.86</v>
      </c>
      <c r="F8400" s="221">
        <v>578.49</v>
      </c>
      <c r="G8400" s="221">
        <v>288.31</v>
      </c>
      <c r="H8400" s="222">
        <v>13278.01</v>
      </c>
      <c r="I8400" s="222">
        <v>8508.39</v>
      </c>
      <c r="J8400" s="222">
        <v>3134.04</v>
      </c>
      <c r="K8400" s="222">
        <v>1635.58</v>
      </c>
      <c r="L8400" s="43">
        <v>8.2643558686965495</v>
      </c>
      <c r="M8400" s="43">
        <v>11.499999999999998</v>
      </c>
      <c r="N8400" s="43">
        <v>5.4176217393559094</v>
      </c>
      <c r="O8400" s="43">
        <v>5.6729908778745095</v>
      </c>
      <c r="P8400" s="223"/>
      <c r="Q8400" s="223"/>
      <c r="R8400" s="223">
        <v>8</v>
      </c>
    </row>
    <row r="8401" spans="1:18" ht="36">
      <c r="A8401" s="219">
        <v>1222</v>
      </c>
      <c r="B8401" s="216" t="s">
        <v>15482</v>
      </c>
      <c r="C8401" s="220" t="s">
        <v>15483</v>
      </c>
      <c r="D8401" s="221">
        <v>1646.26</v>
      </c>
      <c r="E8401" s="221">
        <v>739.86</v>
      </c>
      <c r="F8401" s="221">
        <v>589.95000000000005</v>
      </c>
      <c r="G8401" s="221">
        <v>316.45</v>
      </c>
      <c r="H8401" s="222">
        <v>13501.23</v>
      </c>
      <c r="I8401" s="222">
        <v>8508.39</v>
      </c>
      <c r="J8401" s="222">
        <v>3190.52</v>
      </c>
      <c r="K8401" s="222">
        <v>1802.32</v>
      </c>
      <c r="L8401" s="43">
        <v>8.2011529163072652</v>
      </c>
      <c r="M8401" s="43">
        <v>11.499999999999998</v>
      </c>
      <c r="N8401" s="43">
        <v>5.408119332146792</v>
      </c>
      <c r="O8401" s="43">
        <v>5.6954337178069201</v>
      </c>
      <c r="P8401" s="223"/>
      <c r="Q8401" s="223"/>
      <c r="R8401" s="223">
        <v>8</v>
      </c>
    </row>
    <row r="8402" spans="1:18" ht="12.75" customHeight="1">
      <c r="A8402" s="628" t="s">
        <v>15484</v>
      </c>
      <c r="B8402" s="629"/>
      <c r="C8402" s="629"/>
      <c r="D8402" s="629"/>
      <c r="E8402" s="629"/>
      <c r="F8402" s="629"/>
      <c r="G8402" s="629"/>
      <c r="H8402" s="629"/>
      <c r="I8402" s="629"/>
      <c r="J8402" s="629"/>
      <c r="K8402" s="629"/>
      <c r="L8402" s="629"/>
      <c r="M8402" s="629"/>
      <c r="N8402" s="629"/>
      <c r="O8402" s="629"/>
      <c r="P8402" s="629"/>
      <c r="Q8402" s="629"/>
      <c r="R8402" s="629"/>
    </row>
    <row r="8403" spans="1:18" ht="36">
      <c r="A8403" s="219">
        <v>1223</v>
      </c>
      <c r="B8403" s="216" t="s">
        <v>15485</v>
      </c>
      <c r="C8403" s="220" t="s">
        <v>15486</v>
      </c>
      <c r="D8403" s="221">
        <v>3942.52</v>
      </c>
      <c r="E8403" s="221">
        <v>1793.4</v>
      </c>
      <c r="F8403" s="221">
        <v>1814.9</v>
      </c>
      <c r="G8403" s="221">
        <v>334.22</v>
      </c>
      <c r="H8403" s="222">
        <v>33118.120000000003</v>
      </c>
      <c r="I8403" s="222">
        <v>20624.099999999999</v>
      </c>
      <c r="J8403" s="222">
        <v>10253.950000000001</v>
      </c>
      <c r="K8403" s="222">
        <v>2240.0700000000002</v>
      </c>
      <c r="L8403" s="43">
        <v>8.4002414699227916</v>
      </c>
      <c r="M8403" s="43">
        <v>11.499999999999998</v>
      </c>
      <c r="N8403" s="43">
        <v>5.6498705162818892</v>
      </c>
      <c r="O8403" s="43">
        <v>6.7023816647717069</v>
      </c>
      <c r="P8403" s="223"/>
      <c r="Q8403" s="223"/>
      <c r="R8403" s="223">
        <v>9</v>
      </c>
    </row>
    <row r="8404" spans="1:18" ht="36">
      <c r="A8404" s="219">
        <v>1224</v>
      </c>
      <c r="B8404" s="216" t="s">
        <v>15487</v>
      </c>
      <c r="C8404" s="220" t="s">
        <v>15488</v>
      </c>
      <c r="D8404" s="221">
        <v>2586.21</v>
      </c>
      <c r="E8404" s="221">
        <v>1146.8</v>
      </c>
      <c r="F8404" s="221">
        <v>1169.5899999999999</v>
      </c>
      <c r="G8404" s="221">
        <v>269.82</v>
      </c>
      <c r="H8404" s="222">
        <v>21445.4</v>
      </c>
      <c r="I8404" s="222">
        <v>13188.2</v>
      </c>
      <c r="J8404" s="222">
        <v>6593.81</v>
      </c>
      <c r="K8404" s="222">
        <v>1663.39</v>
      </c>
      <c r="L8404" s="43">
        <v>8.2922113826796746</v>
      </c>
      <c r="M8404" s="43">
        <v>11.500000000000002</v>
      </c>
      <c r="N8404" s="43">
        <v>5.6377106507408588</v>
      </c>
      <c r="O8404" s="43">
        <v>6.1648135794233196</v>
      </c>
      <c r="P8404" s="223"/>
      <c r="Q8404" s="223"/>
      <c r="R8404" s="223">
        <v>9</v>
      </c>
    </row>
    <row r="8405" spans="1:18" ht="36">
      <c r="A8405" s="219">
        <v>1225</v>
      </c>
      <c r="B8405" s="216" t="s">
        <v>15489</v>
      </c>
      <c r="C8405" s="220" t="s">
        <v>15490</v>
      </c>
      <c r="D8405" s="221">
        <v>2486.44</v>
      </c>
      <c r="E8405" s="221">
        <v>1146.8</v>
      </c>
      <c r="F8405" s="221">
        <v>1065.83</v>
      </c>
      <c r="G8405" s="221">
        <v>273.81</v>
      </c>
      <c r="H8405" s="222">
        <v>20941.29</v>
      </c>
      <c r="I8405" s="222">
        <v>13188.2</v>
      </c>
      <c r="J8405" s="222">
        <v>6055.79</v>
      </c>
      <c r="K8405" s="222">
        <v>1697.3</v>
      </c>
      <c r="L8405" s="43">
        <v>8.422198001962645</v>
      </c>
      <c r="M8405" s="43">
        <v>11.500000000000002</v>
      </c>
      <c r="N8405" s="43">
        <v>5.6817597553080699</v>
      </c>
      <c r="O8405" s="43">
        <v>6.1988240020452139</v>
      </c>
      <c r="P8405" s="223"/>
      <c r="Q8405" s="223"/>
      <c r="R8405" s="223">
        <v>9</v>
      </c>
    </row>
    <row r="8406" spans="1:18" ht="36">
      <c r="A8406" s="219">
        <v>1226</v>
      </c>
      <c r="B8406" s="216" t="s">
        <v>15491</v>
      </c>
      <c r="C8406" s="220" t="s">
        <v>15492</v>
      </c>
      <c r="D8406" s="221">
        <v>1914.91</v>
      </c>
      <c r="E8406" s="221">
        <v>890.64</v>
      </c>
      <c r="F8406" s="221">
        <v>768.23</v>
      </c>
      <c r="G8406" s="221">
        <v>256.04000000000002</v>
      </c>
      <c r="H8406" s="222">
        <v>16120.68</v>
      </c>
      <c r="I8406" s="222">
        <v>10242.719999999999</v>
      </c>
      <c r="J8406" s="222">
        <v>4362.5</v>
      </c>
      <c r="K8406" s="222">
        <v>1515.46</v>
      </c>
      <c r="L8406" s="43">
        <v>8.4185053083434731</v>
      </c>
      <c r="M8406" s="43">
        <v>11.500404203718674</v>
      </c>
      <c r="N8406" s="43">
        <v>5.6786379079182012</v>
      </c>
      <c r="O8406" s="43">
        <v>5.9188408061240425</v>
      </c>
      <c r="P8406" s="223"/>
      <c r="Q8406" s="223"/>
      <c r="R8406" s="223">
        <v>9</v>
      </c>
    </row>
    <row r="8407" spans="1:18" ht="36">
      <c r="A8407" s="219">
        <v>1227</v>
      </c>
      <c r="B8407" s="216" t="s">
        <v>15493</v>
      </c>
      <c r="C8407" s="220" t="s">
        <v>15494</v>
      </c>
      <c r="D8407" s="221">
        <v>1945.87</v>
      </c>
      <c r="E8407" s="221">
        <v>890.64</v>
      </c>
      <c r="F8407" s="221">
        <v>687.42</v>
      </c>
      <c r="G8407" s="221">
        <v>367.81</v>
      </c>
      <c r="H8407" s="222">
        <v>16313.54</v>
      </c>
      <c r="I8407" s="222">
        <v>10242.719999999999</v>
      </c>
      <c r="J8407" s="222">
        <v>3933.55</v>
      </c>
      <c r="K8407" s="222">
        <v>2137.27</v>
      </c>
      <c r="L8407" s="43">
        <v>8.3836741406157671</v>
      </c>
      <c r="M8407" s="43">
        <v>11.500404203718674</v>
      </c>
      <c r="N8407" s="43">
        <v>5.7221931279276141</v>
      </c>
      <c r="O8407" s="43">
        <v>5.8107990538593297</v>
      </c>
      <c r="P8407" s="223"/>
      <c r="Q8407" s="223"/>
      <c r="R8407" s="223">
        <v>9</v>
      </c>
    </row>
    <row r="8408" spans="1:18" ht="36">
      <c r="A8408" s="219">
        <v>1228</v>
      </c>
      <c r="B8408" s="216" t="s">
        <v>15495</v>
      </c>
      <c r="C8408" s="220" t="s">
        <v>15496</v>
      </c>
      <c r="D8408" s="221">
        <v>1599.35</v>
      </c>
      <c r="E8408" s="221">
        <v>739.86</v>
      </c>
      <c r="F8408" s="221">
        <v>551.11</v>
      </c>
      <c r="G8408" s="221">
        <v>308.38</v>
      </c>
      <c r="H8408" s="222">
        <v>13408.38</v>
      </c>
      <c r="I8408" s="222">
        <v>8508.39</v>
      </c>
      <c r="J8408" s="222">
        <v>3154.48</v>
      </c>
      <c r="K8408" s="222">
        <v>1745.51</v>
      </c>
      <c r="L8408" s="43">
        <v>8.3836433551130138</v>
      </c>
      <c r="M8408" s="43">
        <v>11.499999999999998</v>
      </c>
      <c r="N8408" s="43">
        <v>5.7238663787628603</v>
      </c>
      <c r="O8408" s="43">
        <v>5.6602568259939039</v>
      </c>
      <c r="P8408" s="223"/>
      <c r="Q8408" s="223"/>
      <c r="R8408" s="223">
        <v>9</v>
      </c>
    </row>
    <row r="8409" spans="1:18" ht="12.75" customHeight="1">
      <c r="A8409" s="628" t="s">
        <v>15497</v>
      </c>
      <c r="B8409" s="629"/>
      <c r="C8409" s="629"/>
      <c r="D8409" s="629"/>
      <c r="E8409" s="629"/>
      <c r="F8409" s="629"/>
      <c r="G8409" s="629"/>
      <c r="H8409" s="629"/>
      <c r="I8409" s="629"/>
      <c r="J8409" s="629"/>
      <c r="K8409" s="629"/>
      <c r="L8409" s="629"/>
      <c r="M8409" s="629"/>
      <c r="N8409" s="629"/>
      <c r="O8409" s="629"/>
      <c r="P8409" s="629"/>
      <c r="Q8409" s="629"/>
      <c r="R8409" s="629"/>
    </row>
    <row r="8410" spans="1:18" ht="36">
      <c r="A8410" s="219">
        <v>1229</v>
      </c>
      <c r="B8410" s="216" t="s">
        <v>15498</v>
      </c>
      <c r="C8410" s="220" t="s">
        <v>15499</v>
      </c>
      <c r="D8410" s="221">
        <v>2347.91</v>
      </c>
      <c r="E8410" s="221">
        <v>1012.6</v>
      </c>
      <c r="F8410" s="221">
        <v>1069.67</v>
      </c>
      <c r="G8410" s="221">
        <v>265.64</v>
      </c>
      <c r="H8410" s="222">
        <v>19306.59</v>
      </c>
      <c r="I8410" s="222">
        <v>11644.9</v>
      </c>
      <c r="J8410" s="222">
        <v>6060.54</v>
      </c>
      <c r="K8410" s="222">
        <v>1601.15</v>
      </c>
      <c r="L8410" s="43">
        <v>8.2228833302809736</v>
      </c>
      <c r="M8410" s="43">
        <v>11.5</v>
      </c>
      <c r="N8410" s="43">
        <v>5.6658034720988715</v>
      </c>
      <c r="O8410" s="43">
        <v>6.0275184460171669</v>
      </c>
      <c r="P8410" s="223"/>
      <c r="Q8410" s="223"/>
      <c r="R8410" s="223">
        <v>10</v>
      </c>
    </row>
    <row r="8411" spans="1:18" ht="36">
      <c r="A8411" s="219">
        <v>1230</v>
      </c>
      <c r="B8411" s="216" t="s">
        <v>15500</v>
      </c>
      <c r="C8411" s="220" t="s">
        <v>15501</v>
      </c>
      <c r="D8411" s="221">
        <v>2212.87</v>
      </c>
      <c r="E8411" s="221">
        <v>1012.6</v>
      </c>
      <c r="F8411" s="221">
        <v>932.61</v>
      </c>
      <c r="G8411" s="221">
        <v>267.66000000000003</v>
      </c>
      <c r="H8411" s="222">
        <v>18559.189999999999</v>
      </c>
      <c r="I8411" s="222">
        <v>11644.9</v>
      </c>
      <c r="J8411" s="222">
        <v>5301.53</v>
      </c>
      <c r="K8411" s="222">
        <v>1612.76</v>
      </c>
      <c r="L8411" s="43">
        <v>8.3869319029134104</v>
      </c>
      <c r="M8411" s="43">
        <v>11.5</v>
      </c>
      <c r="N8411" s="43">
        <v>5.6846162919119454</v>
      </c>
      <c r="O8411" s="43">
        <v>6.0254053650153176</v>
      </c>
      <c r="P8411" s="223"/>
      <c r="Q8411" s="223"/>
      <c r="R8411" s="223">
        <v>10</v>
      </c>
    </row>
    <row r="8412" spans="1:18" ht="36">
      <c r="A8412" s="219">
        <v>1231</v>
      </c>
      <c r="B8412" s="216" t="s">
        <v>15502</v>
      </c>
      <c r="C8412" s="220" t="s">
        <v>15503</v>
      </c>
      <c r="D8412" s="221">
        <v>1711.61</v>
      </c>
      <c r="E8412" s="221">
        <v>777.48</v>
      </c>
      <c r="F8412" s="221">
        <v>642.92999999999995</v>
      </c>
      <c r="G8412" s="221">
        <v>291.2</v>
      </c>
      <c r="H8412" s="222">
        <v>14293.17</v>
      </c>
      <c r="I8412" s="222">
        <v>8941.02</v>
      </c>
      <c r="J8412" s="222">
        <v>3657.88</v>
      </c>
      <c r="K8412" s="222">
        <v>1694.27</v>
      </c>
      <c r="L8412" s="43">
        <v>8.3507165767902745</v>
      </c>
      <c r="M8412" s="43">
        <v>11.5</v>
      </c>
      <c r="N8412" s="43">
        <v>5.689390757936323</v>
      </c>
      <c r="O8412" s="43">
        <v>5.8182348901098901</v>
      </c>
      <c r="P8412" s="223"/>
      <c r="Q8412" s="223"/>
      <c r="R8412" s="223">
        <v>10</v>
      </c>
    </row>
    <row r="8413" spans="1:18" ht="36">
      <c r="A8413" s="219">
        <v>1232</v>
      </c>
      <c r="B8413" s="216" t="s">
        <v>15504</v>
      </c>
      <c r="C8413" s="220" t="s">
        <v>15505</v>
      </c>
      <c r="D8413" s="221">
        <v>1660.92</v>
      </c>
      <c r="E8413" s="221">
        <v>777.48</v>
      </c>
      <c r="F8413" s="221">
        <v>576.65</v>
      </c>
      <c r="G8413" s="221">
        <v>306.79000000000002</v>
      </c>
      <c r="H8413" s="222">
        <v>13998.27</v>
      </c>
      <c r="I8413" s="222">
        <v>8941.02</v>
      </c>
      <c r="J8413" s="222">
        <v>3304.11</v>
      </c>
      <c r="K8413" s="222">
        <v>1753.14</v>
      </c>
      <c r="L8413" s="43">
        <v>8.4280218192327148</v>
      </c>
      <c r="M8413" s="43">
        <v>11.5</v>
      </c>
      <c r="N8413" s="43">
        <v>5.7298361224312844</v>
      </c>
      <c r="O8413" s="43">
        <v>5.714462661755598</v>
      </c>
      <c r="P8413" s="223"/>
      <c r="Q8413" s="223"/>
      <c r="R8413" s="223">
        <v>10</v>
      </c>
    </row>
    <row r="8414" spans="1:18" ht="36">
      <c r="A8414" s="219">
        <v>1233</v>
      </c>
      <c r="B8414" s="216" t="s">
        <v>15506</v>
      </c>
      <c r="C8414" s="220" t="s">
        <v>15507</v>
      </c>
      <c r="D8414" s="221">
        <v>2183.12</v>
      </c>
      <c r="E8414" s="221">
        <v>890.4</v>
      </c>
      <c r="F8414" s="221">
        <v>724.01</v>
      </c>
      <c r="G8414" s="221">
        <v>568.71</v>
      </c>
      <c r="H8414" s="222">
        <v>17458.41</v>
      </c>
      <c r="I8414" s="222">
        <v>10239.6</v>
      </c>
      <c r="J8414" s="222">
        <v>3654.44</v>
      </c>
      <c r="K8414" s="222">
        <v>3564.37</v>
      </c>
      <c r="L8414" s="43">
        <v>7.996999706841585</v>
      </c>
      <c r="M8414" s="43">
        <v>11.5</v>
      </c>
      <c r="N8414" s="43">
        <v>5.0474993439317135</v>
      </c>
      <c r="O8414" s="43">
        <v>6.2674649645689362</v>
      </c>
      <c r="P8414" s="223"/>
      <c r="Q8414" s="223"/>
      <c r="R8414" s="223">
        <v>10</v>
      </c>
    </row>
    <row r="8415" spans="1:18" ht="36">
      <c r="A8415" s="219">
        <v>1234</v>
      </c>
      <c r="B8415" s="216" t="s">
        <v>15508</v>
      </c>
      <c r="C8415" s="220" t="s">
        <v>15509</v>
      </c>
      <c r="D8415" s="221">
        <v>2111.7199999999998</v>
      </c>
      <c r="E8415" s="221">
        <v>890.4</v>
      </c>
      <c r="F8415" s="221">
        <v>681.22</v>
      </c>
      <c r="G8415" s="221">
        <v>540.1</v>
      </c>
      <c r="H8415" s="222">
        <v>17046.009999999998</v>
      </c>
      <c r="I8415" s="222">
        <v>10239.6</v>
      </c>
      <c r="J8415" s="222">
        <v>3455.91</v>
      </c>
      <c r="K8415" s="222">
        <v>3350.5</v>
      </c>
      <c r="L8415" s="43">
        <v>8.0720976265792821</v>
      </c>
      <c r="M8415" s="43">
        <v>11.5</v>
      </c>
      <c r="N8415" s="43">
        <v>5.0731188162414487</v>
      </c>
      <c r="O8415" s="43">
        <v>6.2034808368820586</v>
      </c>
      <c r="P8415" s="223"/>
      <c r="Q8415" s="223"/>
      <c r="R8415" s="223">
        <v>10</v>
      </c>
    </row>
    <row r="8416" spans="1:18" ht="12.75" customHeight="1">
      <c r="A8416" s="628" t="s">
        <v>15510</v>
      </c>
      <c r="B8416" s="629"/>
      <c r="C8416" s="629"/>
      <c r="D8416" s="629"/>
      <c r="E8416" s="629"/>
      <c r="F8416" s="629"/>
      <c r="G8416" s="629"/>
      <c r="H8416" s="629"/>
      <c r="I8416" s="629"/>
      <c r="J8416" s="629"/>
      <c r="K8416" s="629"/>
      <c r="L8416" s="629"/>
      <c r="M8416" s="629"/>
      <c r="N8416" s="629"/>
      <c r="O8416" s="629"/>
      <c r="P8416" s="629"/>
      <c r="Q8416" s="629"/>
      <c r="R8416" s="629"/>
    </row>
    <row r="8417" spans="1:18" ht="36">
      <c r="A8417" s="219">
        <v>1235</v>
      </c>
      <c r="B8417" s="216" t="s">
        <v>15511</v>
      </c>
      <c r="C8417" s="220" t="s">
        <v>15512</v>
      </c>
      <c r="D8417" s="221">
        <v>3544.81</v>
      </c>
      <c r="E8417" s="221">
        <v>1558.62</v>
      </c>
      <c r="F8417" s="221">
        <v>1666.66</v>
      </c>
      <c r="G8417" s="221">
        <v>319.52999999999997</v>
      </c>
      <c r="H8417" s="222">
        <v>29340.39</v>
      </c>
      <c r="I8417" s="222">
        <v>17924.759999999998</v>
      </c>
      <c r="J8417" s="222">
        <v>9350.56</v>
      </c>
      <c r="K8417" s="222">
        <v>2065.0700000000002</v>
      </c>
      <c r="L8417" s="43">
        <v>8.276999331416917</v>
      </c>
      <c r="M8417" s="43">
        <v>11.500404203718674</v>
      </c>
      <c r="N8417" s="43">
        <v>5.6103584414337648</v>
      </c>
      <c r="O8417" s="43">
        <v>6.4628360404343894</v>
      </c>
      <c r="P8417" s="223"/>
      <c r="Q8417" s="223"/>
      <c r="R8417" s="223">
        <v>11</v>
      </c>
    </row>
    <row r="8418" spans="1:18" ht="36">
      <c r="A8418" s="219">
        <v>1236</v>
      </c>
      <c r="B8418" s="216" t="s">
        <v>15513</v>
      </c>
      <c r="C8418" s="220" t="s">
        <v>15514</v>
      </c>
      <c r="D8418" s="221">
        <v>2264.7800000000002</v>
      </c>
      <c r="E8418" s="221">
        <v>1005.42</v>
      </c>
      <c r="F8418" s="221">
        <v>951.33</v>
      </c>
      <c r="G8418" s="221">
        <v>308.02999999999997</v>
      </c>
      <c r="H8418" s="222">
        <v>18745.59</v>
      </c>
      <c r="I8418" s="222">
        <v>11562.72</v>
      </c>
      <c r="J8418" s="222">
        <v>5365.9</v>
      </c>
      <c r="K8418" s="222">
        <v>1816.97</v>
      </c>
      <c r="L8418" s="43">
        <v>8.2770026227713061</v>
      </c>
      <c r="M8418" s="43">
        <v>11.500387897595035</v>
      </c>
      <c r="N8418" s="43">
        <v>5.6404192025900572</v>
      </c>
      <c r="O8418" s="43">
        <v>5.8986787001266112</v>
      </c>
      <c r="P8418" s="223"/>
      <c r="Q8418" s="223"/>
      <c r="R8418" s="223">
        <v>11</v>
      </c>
    </row>
    <row r="8419" spans="1:18" ht="36">
      <c r="A8419" s="219">
        <v>1237</v>
      </c>
      <c r="B8419" s="216" t="s">
        <v>15515</v>
      </c>
      <c r="C8419" s="220" t="s">
        <v>15516</v>
      </c>
      <c r="D8419" s="221">
        <v>2454.8000000000002</v>
      </c>
      <c r="E8419" s="221">
        <v>1005.42</v>
      </c>
      <c r="F8419" s="221">
        <v>860.94</v>
      </c>
      <c r="G8419" s="221">
        <v>588.44000000000005</v>
      </c>
      <c r="H8419" s="222">
        <v>19517.72</v>
      </c>
      <c r="I8419" s="222">
        <v>11562.72</v>
      </c>
      <c r="J8419" s="222">
        <v>4258.58</v>
      </c>
      <c r="K8419" s="222">
        <v>3696.42</v>
      </c>
      <c r="L8419" s="43">
        <v>7.9508391722339908</v>
      </c>
      <c r="M8419" s="43">
        <v>11.500387897595035</v>
      </c>
      <c r="N8419" s="43">
        <v>4.9464306455734421</v>
      </c>
      <c r="O8419" s="43">
        <v>6.2817279586703823</v>
      </c>
      <c r="P8419" s="223"/>
      <c r="Q8419" s="223"/>
      <c r="R8419" s="223">
        <v>11</v>
      </c>
    </row>
    <row r="8420" spans="1:18" ht="36">
      <c r="A8420" s="219">
        <v>1238</v>
      </c>
      <c r="B8420" s="216" t="s">
        <v>15517</v>
      </c>
      <c r="C8420" s="220" t="s">
        <v>15518</v>
      </c>
      <c r="D8420" s="221">
        <v>2300.36</v>
      </c>
      <c r="E8420" s="221">
        <v>1005.42</v>
      </c>
      <c r="F8420" s="221">
        <v>764.93</v>
      </c>
      <c r="G8420" s="221">
        <v>530.01</v>
      </c>
      <c r="H8420" s="222">
        <v>18755.25</v>
      </c>
      <c r="I8420" s="222">
        <v>11562.72</v>
      </c>
      <c r="J8420" s="222">
        <v>3909.71</v>
      </c>
      <c r="K8420" s="222">
        <v>3282.82</v>
      </c>
      <c r="L8420" s="43">
        <v>8.1531803717678972</v>
      </c>
      <c r="M8420" s="43">
        <v>11.500387897595035</v>
      </c>
      <c r="N8420" s="43">
        <v>5.1111997176212203</v>
      </c>
      <c r="O8420" s="43">
        <v>6.1938831342804859</v>
      </c>
      <c r="P8420" s="223"/>
      <c r="Q8420" s="223"/>
      <c r="R8420" s="223">
        <v>11</v>
      </c>
    </row>
    <row r="8421" spans="1:18" ht="36">
      <c r="A8421" s="219">
        <v>1239</v>
      </c>
      <c r="B8421" s="216" t="s">
        <v>15519</v>
      </c>
      <c r="C8421" s="220" t="s">
        <v>15520</v>
      </c>
      <c r="D8421" s="221">
        <v>1947.07</v>
      </c>
      <c r="E8421" s="221">
        <v>823.41</v>
      </c>
      <c r="F8421" s="221">
        <v>640.07000000000005</v>
      </c>
      <c r="G8421" s="221">
        <v>483.59</v>
      </c>
      <c r="H8421" s="222">
        <v>15667.18</v>
      </c>
      <c r="I8421" s="222">
        <v>9469.5300000000007</v>
      </c>
      <c r="J8421" s="222">
        <v>3252.58</v>
      </c>
      <c r="K8421" s="222">
        <v>2945.07</v>
      </c>
      <c r="L8421" s="43">
        <v>8.0465417267997559</v>
      </c>
      <c r="M8421" s="43">
        <v>11.500382555470544</v>
      </c>
      <c r="N8421" s="43">
        <v>5.0816004499507859</v>
      </c>
      <c r="O8421" s="43">
        <v>6.0900142682851186</v>
      </c>
      <c r="P8421" s="223"/>
      <c r="Q8421" s="223"/>
      <c r="R8421" s="223">
        <v>11</v>
      </c>
    </row>
    <row r="8422" spans="1:18" ht="36">
      <c r="A8422" s="219">
        <v>1240</v>
      </c>
      <c r="B8422" s="216" t="s">
        <v>15521</v>
      </c>
      <c r="C8422" s="220" t="s">
        <v>15522</v>
      </c>
      <c r="D8422" s="221">
        <v>1868.31</v>
      </c>
      <c r="E8422" s="221">
        <v>823.41</v>
      </c>
      <c r="F8422" s="221">
        <v>601.79999999999995</v>
      </c>
      <c r="G8422" s="221">
        <v>443.1</v>
      </c>
      <c r="H8422" s="222">
        <v>15204.62</v>
      </c>
      <c r="I8422" s="222">
        <v>9469.5300000000007</v>
      </c>
      <c r="J8422" s="222">
        <v>3082.25</v>
      </c>
      <c r="K8422" s="222">
        <v>2652.84</v>
      </c>
      <c r="L8422" s="43">
        <v>8.1381676488377206</v>
      </c>
      <c r="M8422" s="43">
        <v>11.500382555470544</v>
      </c>
      <c r="N8422" s="43">
        <v>5.121718178796943</v>
      </c>
      <c r="O8422" s="43">
        <v>5.9870006770480702</v>
      </c>
      <c r="P8422" s="223"/>
      <c r="Q8422" s="223"/>
      <c r="R8422" s="223">
        <v>11</v>
      </c>
    </row>
    <row r="8423" spans="1:18" ht="36">
      <c r="A8423" s="219">
        <v>1241</v>
      </c>
      <c r="B8423" s="216" t="s">
        <v>15523</v>
      </c>
      <c r="C8423" s="220" t="s">
        <v>15524</v>
      </c>
      <c r="D8423" s="221">
        <v>1893.93</v>
      </c>
      <c r="E8423" s="221">
        <v>823.41</v>
      </c>
      <c r="F8423" s="221">
        <v>623.45000000000005</v>
      </c>
      <c r="G8423" s="221">
        <v>447.07</v>
      </c>
      <c r="H8423" s="222">
        <v>15294.22</v>
      </c>
      <c r="I8423" s="222">
        <v>9469.5300000000007</v>
      </c>
      <c r="J8423" s="222">
        <v>3170.7</v>
      </c>
      <c r="K8423" s="222">
        <v>2653.99</v>
      </c>
      <c r="L8423" s="43">
        <v>8.0753882139255406</v>
      </c>
      <c r="M8423" s="43">
        <v>11.500382555470544</v>
      </c>
      <c r="N8423" s="43">
        <v>5.085732616889886</v>
      </c>
      <c r="O8423" s="43">
        <v>5.9364081687431494</v>
      </c>
      <c r="P8423" s="223"/>
      <c r="Q8423" s="223"/>
      <c r="R8423" s="223">
        <v>11</v>
      </c>
    </row>
    <row r="8424" spans="1:18" ht="12.75" customHeight="1">
      <c r="A8424" s="628" t="s">
        <v>15525</v>
      </c>
      <c r="B8424" s="629"/>
      <c r="C8424" s="629"/>
      <c r="D8424" s="629"/>
      <c r="E8424" s="629"/>
      <c r="F8424" s="629"/>
      <c r="G8424" s="629"/>
      <c r="H8424" s="629"/>
      <c r="I8424" s="629"/>
      <c r="J8424" s="629"/>
      <c r="K8424" s="629"/>
      <c r="L8424" s="629"/>
      <c r="M8424" s="629"/>
      <c r="N8424" s="629"/>
      <c r="O8424" s="629"/>
      <c r="P8424" s="629"/>
      <c r="Q8424" s="629"/>
      <c r="R8424" s="629"/>
    </row>
    <row r="8425" spans="1:18" ht="60">
      <c r="A8425" s="219">
        <v>1242</v>
      </c>
      <c r="B8425" s="216" t="s">
        <v>15526</v>
      </c>
      <c r="C8425" s="220" t="s">
        <v>15527</v>
      </c>
      <c r="D8425" s="221">
        <v>73.39</v>
      </c>
      <c r="E8425" s="221">
        <v>59.25</v>
      </c>
      <c r="F8425" s="221">
        <v>10.61</v>
      </c>
      <c r="G8425" s="221">
        <v>3.53</v>
      </c>
      <c r="H8425" s="222">
        <v>761.01</v>
      </c>
      <c r="I8425" s="222">
        <v>681.4</v>
      </c>
      <c r="J8425" s="222">
        <v>54.57</v>
      </c>
      <c r="K8425" s="222">
        <v>25.04</v>
      </c>
      <c r="L8425" s="43">
        <v>10.369396375528002</v>
      </c>
      <c r="M8425" s="43">
        <v>11.50042194092827</v>
      </c>
      <c r="N8425" s="43">
        <v>5.1432610744580591</v>
      </c>
      <c r="O8425" s="43">
        <v>7.0934844192634561</v>
      </c>
      <c r="P8425" s="223"/>
      <c r="Q8425" s="223"/>
      <c r="R8425" s="223">
        <v>12</v>
      </c>
    </row>
    <row r="8426" spans="1:18" ht="60">
      <c r="A8426" s="219">
        <v>1243</v>
      </c>
      <c r="B8426" s="216" t="s">
        <v>15528</v>
      </c>
      <c r="C8426" s="220" t="s">
        <v>15529</v>
      </c>
      <c r="D8426" s="221">
        <v>75.77</v>
      </c>
      <c r="E8426" s="221">
        <v>59.25</v>
      </c>
      <c r="F8426" s="221">
        <v>12.69</v>
      </c>
      <c r="G8426" s="221">
        <v>3.83</v>
      </c>
      <c r="H8426" s="222">
        <v>773.15</v>
      </c>
      <c r="I8426" s="222">
        <v>681.4</v>
      </c>
      <c r="J8426" s="222">
        <v>65.069999999999993</v>
      </c>
      <c r="K8426" s="222">
        <v>26.68</v>
      </c>
      <c r="L8426" s="43">
        <v>10.20390655932427</v>
      </c>
      <c r="M8426" s="43">
        <v>11.50042194092827</v>
      </c>
      <c r="N8426" s="43">
        <v>5.1276595744680851</v>
      </c>
      <c r="O8426" s="43">
        <v>6.9660574412532634</v>
      </c>
      <c r="P8426" s="223"/>
      <c r="Q8426" s="223"/>
      <c r="R8426" s="223">
        <v>12</v>
      </c>
    </row>
    <row r="8427" spans="1:18" ht="60">
      <c r="A8427" s="219">
        <v>1244</v>
      </c>
      <c r="B8427" s="216" t="s">
        <v>15530</v>
      </c>
      <c r="C8427" s="220" t="s">
        <v>15531</v>
      </c>
      <c r="D8427" s="221">
        <v>89.84</v>
      </c>
      <c r="E8427" s="221">
        <v>71.099999999999994</v>
      </c>
      <c r="F8427" s="221">
        <v>14.48</v>
      </c>
      <c r="G8427" s="221">
        <v>4.26</v>
      </c>
      <c r="H8427" s="222">
        <v>922.34</v>
      </c>
      <c r="I8427" s="222">
        <v>817.68</v>
      </c>
      <c r="J8427" s="222">
        <v>74.2</v>
      </c>
      <c r="K8427" s="222">
        <v>30.46</v>
      </c>
      <c r="L8427" s="43">
        <v>10.266473731077472</v>
      </c>
      <c r="M8427" s="43">
        <v>11.50042194092827</v>
      </c>
      <c r="N8427" s="43">
        <v>5.124309392265193</v>
      </c>
      <c r="O8427" s="43">
        <v>7.150234741784038</v>
      </c>
      <c r="P8427" s="223"/>
      <c r="Q8427" s="223"/>
      <c r="R8427" s="223">
        <v>12</v>
      </c>
    </row>
    <row r="8428" spans="1:18" ht="60">
      <c r="A8428" s="219">
        <v>1245</v>
      </c>
      <c r="B8428" s="216" t="s">
        <v>15532</v>
      </c>
      <c r="C8428" s="220" t="s">
        <v>15533</v>
      </c>
      <c r="D8428" s="221">
        <v>117.4</v>
      </c>
      <c r="E8428" s="221">
        <v>94.8</v>
      </c>
      <c r="F8428" s="221">
        <v>17.59</v>
      </c>
      <c r="G8428" s="221">
        <v>5.01</v>
      </c>
      <c r="H8428" s="222">
        <v>1216.92</v>
      </c>
      <c r="I8428" s="222">
        <v>1090.24</v>
      </c>
      <c r="J8428" s="222">
        <v>89.16</v>
      </c>
      <c r="K8428" s="222">
        <v>37.520000000000003</v>
      </c>
      <c r="L8428" s="43">
        <v>10.365587734241908</v>
      </c>
      <c r="M8428" s="43">
        <v>11.50042194092827</v>
      </c>
      <c r="N8428" s="43">
        <v>5.0687890847072197</v>
      </c>
      <c r="O8428" s="43">
        <v>7.4890219560878251</v>
      </c>
      <c r="P8428" s="223"/>
      <c r="Q8428" s="223"/>
      <c r="R8428" s="223">
        <v>12</v>
      </c>
    </row>
    <row r="8429" spans="1:18" ht="60">
      <c r="A8429" s="219">
        <v>1246</v>
      </c>
      <c r="B8429" s="216" t="s">
        <v>15534</v>
      </c>
      <c r="C8429" s="220" t="s">
        <v>15535</v>
      </c>
      <c r="D8429" s="221">
        <v>121.04</v>
      </c>
      <c r="E8429" s="221">
        <v>94.8</v>
      </c>
      <c r="F8429" s="221">
        <v>20.170000000000002</v>
      </c>
      <c r="G8429" s="221">
        <v>6.07</v>
      </c>
      <c r="H8429" s="222">
        <v>1235.1500000000001</v>
      </c>
      <c r="I8429" s="222">
        <v>1090.24</v>
      </c>
      <c r="J8429" s="222">
        <v>103.11</v>
      </c>
      <c r="K8429" s="222">
        <v>41.8</v>
      </c>
      <c r="L8429" s="43">
        <v>10.204477858559153</v>
      </c>
      <c r="M8429" s="43">
        <v>11.50042194092827</v>
      </c>
      <c r="N8429" s="43">
        <v>5.1120475954387699</v>
      </c>
      <c r="O8429" s="43">
        <v>6.8863261943986815</v>
      </c>
      <c r="P8429" s="223"/>
      <c r="Q8429" s="223"/>
      <c r="R8429" s="223">
        <v>12</v>
      </c>
    </row>
    <row r="8430" spans="1:18" ht="60">
      <c r="A8430" s="219">
        <v>1247</v>
      </c>
      <c r="B8430" s="216" t="s">
        <v>15536</v>
      </c>
      <c r="C8430" s="220" t="s">
        <v>15537</v>
      </c>
      <c r="D8430" s="221">
        <v>138.9</v>
      </c>
      <c r="E8430" s="221">
        <v>106.65</v>
      </c>
      <c r="F8430" s="221">
        <v>24.79</v>
      </c>
      <c r="G8430" s="221">
        <v>7.46</v>
      </c>
      <c r="H8430" s="222">
        <v>1404.05</v>
      </c>
      <c r="I8430" s="222">
        <v>1226.52</v>
      </c>
      <c r="J8430" s="222">
        <v>128.31</v>
      </c>
      <c r="K8430" s="222">
        <v>49.22</v>
      </c>
      <c r="L8430" s="43">
        <v>10.108351331893449</v>
      </c>
      <c r="M8430" s="43">
        <v>11.50042194092827</v>
      </c>
      <c r="N8430" s="43">
        <v>5.1758773699072211</v>
      </c>
      <c r="O8430" s="43">
        <v>6.5978552278820377</v>
      </c>
      <c r="P8430" s="223"/>
      <c r="Q8430" s="223"/>
      <c r="R8430" s="223">
        <v>12</v>
      </c>
    </row>
    <row r="8431" spans="1:18" ht="60">
      <c r="A8431" s="219">
        <v>1248</v>
      </c>
      <c r="B8431" s="216" t="s">
        <v>15538</v>
      </c>
      <c r="C8431" s="220" t="s">
        <v>15539</v>
      </c>
      <c r="D8431" s="221">
        <v>142.77000000000001</v>
      </c>
      <c r="E8431" s="221">
        <v>106.65</v>
      </c>
      <c r="F8431" s="221">
        <v>27.41</v>
      </c>
      <c r="G8431" s="221">
        <v>8.7100000000000009</v>
      </c>
      <c r="H8431" s="222">
        <v>1424.5</v>
      </c>
      <c r="I8431" s="222">
        <v>1226.52</v>
      </c>
      <c r="J8431" s="222">
        <v>143.47999999999999</v>
      </c>
      <c r="K8431" s="222">
        <v>54.5</v>
      </c>
      <c r="L8431" s="43">
        <v>9.9775863276598713</v>
      </c>
      <c r="M8431" s="43">
        <v>11.50042194092827</v>
      </c>
      <c r="N8431" s="43">
        <v>5.2345859175483396</v>
      </c>
      <c r="O8431" s="43">
        <v>6.2571756601607342</v>
      </c>
      <c r="P8431" s="223"/>
      <c r="Q8431" s="223"/>
      <c r="R8431" s="223">
        <v>12</v>
      </c>
    </row>
    <row r="8432" spans="1:18" ht="60">
      <c r="A8432" s="219">
        <v>1249</v>
      </c>
      <c r="B8432" s="216" t="s">
        <v>15540</v>
      </c>
      <c r="C8432" s="220" t="s">
        <v>15541</v>
      </c>
      <c r="D8432" s="221">
        <v>261.27999999999997</v>
      </c>
      <c r="E8432" s="221">
        <v>201.45</v>
      </c>
      <c r="F8432" s="221">
        <v>43.56</v>
      </c>
      <c r="G8432" s="221">
        <v>16.27</v>
      </c>
      <c r="H8432" s="222">
        <v>2648.29</v>
      </c>
      <c r="I8432" s="222">
        <v>2316.7600000000002</v>
      </c>
      <c r="J8432" s="222">
        <v>226.93</v>
      </c>
      <c r="K8432" s="222">
        <v>104.6</v>
      </c>
      <c r="L8432" s="43">
        <v>10.135831292100429</v>
      </c>
      <c r="M8432" s="43">
        <v>11.500421940928272</v>
      </c>
      <c r="N8432" s="43">
        <v>5.2095959595959593</v>
      </c>
      <c r="O8432" s="43">
        <v>6.4290104486785493</v>
      </c>
      <c r="P8432" s="223"/>
      <c r="Q8432" s="223"/>
      <c r="R8432" s="223">
        <v>12</v>
      </c>
    </row>
    <row r="8433" spans="1:18" ht="60">
      <c r="A8433" s="219">
        <v>1250</v>
      </c>
      <c r="B8433" s="216" t="s">
        <v>15542</v>
      </c>
      <c r="C8433" s="220" t="s">
        <v>15543</v>
      </c>
      <c r="D8433" s="221">
        <v>710.35</v>
      </c>
      <c r="E8433" s="221">
        <v>604.35</v>
      </c>
      <c r="F8433" s="221">
        <v>77.09</v>
      </c>
      <c r="G8433" s="221">
        <v>28.91</v>
      </c>
      <c r="H8433" s="222">
        <v>7554.85</v>
      </c>
      <c r="I8433" s="222">
        <v>6950.28</v>
      </c>
      <c r="J8433" s="222">
        <v>388.4</v>
      </c>
      <c r="K8433" s="222">
        <v>216.17</v>
      </c>
      <c r="L8433" s="43">
        <v>10.635391004434434</v>
      </c>
      <c r="M8433" s="43">
        <v>11.50042194092827</v>
      </c>
      <c r="N8433" s="43">
        <v>5.0382669606952906</v>
      </c>
      <c r="O8433" s="43">
        <v>7.4773434797647864</v>
      </c>
      <c r="P8433" s="223"/>
      <c r="Q8433" s="223"/>
      <c r="R8433" s="223">
        <v>12</v>
      </c>
    </row>
    <row r="8434" spans="1:18" ht="60">
      <c r="A8434" s="219">
        <v>1251</v>
      </c>
      <c r="B8434" s="216" t="s">
        <v>15544</v>
      </c>
      <c r="C8434" s="220" t="s">
        <v>15545</v>
      </c>
      <c r="D8434" s="221">
        <v>1088.0999999999999</v>
      </c>
      <c r="E8434" s="221">
        <v>936.15</v>
      </c>
      <c r="F8434" s="221">
        <v>107.76</v>
      </c>
      <c r="G8434" s="221">
        <v>44.19</v>
      </c>
      <c r="H8434" s="222">
        <v>11632.39</v>
      </c>
      <c r="I8434" s="222">
        <v>10766.12</v>
      </c>
      <c r="J8434" s="222">
        <v>542.16</v>
      </c>
      <c r="K8434" s="222">
        <v>324.11</v>
      </c>
      <c r="L8434" s="43">
        <v>10.690552338939437</v>
      </c>
      <c r="M8434" s="43">
        <v>11.500421940928272</v>
      </c>
      <c r="N8434" s="43">
        <v>5.031180400890868</v>
      </c>
      <c r="O8434" s="43">
        <v>7.3344648110432233</v>
      </c>
      <c r="P8434" s="223"/>
      <c r="Q8434" s="223"/>
      <c r="R8434" s="223">
        <v>12</v>
      </c>
    </row>
    <row r="8435" spans="1:18" ht="12.75" customHeight="1">
      <c r="A8435" s="628" t="s">
        <v>15546</v>
      </c>
      <c r="B8435" s="629"/>
      <c r="C8435" s="629"/>
      <c r="D8435" s="629"/>
      <c r="E8435" s="629"/>
      <c r="F8435" s="629"/>
      <c r="G8435" s="629"/>
      <c r="H8435" s="629"/>
      <c r="I8435" s="629"/>
      <c r="J8435" s="629"/>
      <c r="K8435" s="629"/>
      <c r="L8435" s="629"/>
      <c r="M8435" s="629"/>
      <c r="N8435" s="629"/>
      <c r="O8435" s="629"/>
      <c r="P8435" s="629"/>
      <c r="Q8435" s="629"/>
      <c r="R8435" s="629"/>
    </row>
    <row r="8436" spans="1:18" ht="60">
      <c r="A8436" s="219">
        <v>1252</v>
      </c>
      <c r="B8436" s="216" t="s">
        <v>15547</v>
      </c>
      <c r="C8436" s="220" t="s">
        <v>15548</v>
      </c>
      <c r="D8436" s="221">
        <v>106.89</v>
      </c>
      <c r="E8436" s="221">
        <v>73.2</v>
      </c>
      <c r="F8436" s="221">
        <v>26.43</v>
      </c>
      <c r="G8436" s="221">
        <v>7.26</v>
      </c>
      <c r="H8436" s="222">
        <v>1042.21</v>
      </c>
      <c r="I8436" s="222">
        <v>841.8</v>
      </c>
      <c r="J8436" s="222">
        <v>145.06</v>
      </c>
      <c r="K8436" s="222">
        <v>55.35</v>
      </c>
      <c r="L8436" s="43">
        <v>9.7503040508934422</v>
      </c>
      <c r="M8436" s="43">
        <v>11.499999999999998</v>
      </c>
      <c r="N8436" s="43">
        <v>5.4884600832387438</v>
      </c>
      <c r="O8436" s="43">
        <v>7.623966942148761</v>
      </c>
      <c r="P8436" s="223"/>
      <c r="Q8436" s="223"/>
      <c r="R8436" s="223">
        <v>13</v>
      </c>
    </row>
    <row r="8437" spans="1:18" ht="60">
      <c r="A8437" s="219">
        <v>1253</v>
      </c>
      <c r="B8437" s="216" t="s">
        <v>15549</v>
      </c>
      <c r="C8437" s="220" t="s">
        <v>15550</v>
      </c>
      <c r="D8437" s="221">
        <v>196.31</v>
      </c>
      <c r="E8437" s="221">
        <v>109.8</v>
      </c>
      <c r="F8437" s="221">
        <v>70.45</v>
      </c>
      <c r="G8437" s="221">
        <v>16.059999999999999</v>
      </c>
      <c r="H8437" s="222">
        <v>1757.17</v>
      </c>
      <c r="I8437" s="222">
        <v>1262.7</v>
      </c>
      <c r="J8437" s="222">
        <v>387.32</v>
      </c>
      <c r="K8437" s="222">
        <v>107.15</v>
      </c>
      <c r="L8437" s="43">
        <v>8.9509958738729569</v>
      </c>
      <c r="M8437" s="43">
        <v>11.5</v>
      </c>
      <c r="N8437" s="43">
        <v>5.497799858055358</v>
      </c>
      <c r="O8437" s="43">
        <v>6.6718555417185561</v>
      </c>
      <c r="P8437" s="223"/>
      <c r="Q8437" s="223"/>
      <c r="R8437" s="223">
        <v>13</v>
      </c>
    </row>
    <row r="8438" spans="1:18" ht="60">
      <c r="A8438" s="224">
        <v>1254</v>
      </c>
      <c r="B8438" s="225" t="s">
        <v>15551</v>
      </c>
      <c r="C8438" s="226" t="s">
        <v>15552</v>
      </c>
      <c r="D8438" s="227">
        <v>335.11</v>
      </c>
      <c r="E8438" s="227">
        <v>183</v>
      </c>
      <c r="F8438" s="227">
        <v>122.65</v>
      </c>
      <c r="G8438" s="227">
        <v>29.46</v>
      </c>
      <c r="H8438" s="228">
        <v>2967.87</v>
      </c>
      <c r="I8438" s="228">
        <v>2104.5</v>
      </c>
      <c r="J8438" s="228">
        <v>674.73</v>
      </c>
      <c r="K8438" s="228">
        <v>188.64</v>
      </c>
      <c r="L8438" s="611">
        <v>8.8564053594342145</v>
      </c>
      <c r="M8438" s="611">
        <v>11.5</v>
      </c>
      <c r="N8438" s="611">
        <v>5.5012637586628621</v>
      </c>
      <c r="O8438" s="611">
        <v>6.4032586558044802</v>
      </c>
      <c r="P8438" s="229"/>
      <c r="Q8438" s="229"/>
      <c r="R8438" s="229">
        <v>13</v>
      </c>
    </row>
    <row r="8439" spans="1:18" ht="12.75" customHeight="1">
      <c r="A8439" s="630" t="s">
        <v>15553</v>
      </c>
      <c r="B8439" s="631"/>
      <c r="C8439" s="631"/>
      <c r="D8439" s="631"/>
      <c r="E8439" s="631"/>
      <c r="F8439" s="631"/>
      <c r="G8439" s="631"/>
      <c r="H8439" s="631"/>
      <c r="I8439" s="631"/>
      <c r="J8439" s="631"/>
      <c r="K8439" s="631"/>
      <c r="L8439" s="631"/>
      <c r="M8439" s="631"/>
      <c r="N8439" s="631"/>
      <c r="O8439" s="631"/>
      <c r="P8439" s="631"/>
      <c r="Q8439" s="631"/>
      <c r="R8439" s="631"/>
    </row>
    <row r="8440" spans="1:18" ht="12.75" customHeight="1">
      <c r="A8440" s="628" t="s">
        <v>15554</v>
      </c>
      <c r="B8440" s="629"/>
      <c r="C8440" s="629"/>
      <c r="D8440" s="629"/>
      <c r="E8440" s="629"/>
      <c r="F8440" s="629"/>
      <c r="G8440" s="629"/>
      <c r="H8440" s="629"/>
      <c r="I8440" s="629"/>
      <c r="J8440" s="629"/>
      <c r="K8440" s="629"/>
      <c r="L8440" s="629"/>
      <c r="M8440" s="629"/>
      <c r="N8440" s="629"/>
      <c r="O8440" s="629"/>
      <c r="P8440" s="629"/>
      <c r="Q8440" s="629"/>
      <c r="R8440" s="629"/>
    </row>
    <row r="8441" spans="1:18" ht="12.75" customHeight="1">
      <c r="A8441" s="628" t="s">
        <v>15555</v>
      </c>
      <c r="B8441" s="629"/>
      <c r="C8441" s="629"/>
      <c r="D8441" s="629"/>
      <c r="E8441" s="629"/>
      <c r="F8441" s="629"/>
      <c r="G8441" s="629"/>
      <c r="H8441" s="629"/>
      <c r="I8441" s="629"/>
      <c r="J8441" s="629"/>
      <c r="K8441" s="629"/>
      <c r="L8441" s="629"/>
      <c r="M8441" s="629"/>
      <c r="N8441" s="629"/>
      <c r="O8441" s="629"/>
      <c r="P8441" s="629"/>
      <c r="Q8441" s="629"/>
      <c r="R8441" s="629"/>
    </row>
    <row r="8442" spans="1:18" ht="36">
      <c r="A8442" s="219">
        <v>1255</v>
      </c>
      <c r="B8442" s="216" t="s">
        <v>15556</v>
      </c>
      <c r="C8442" s="220" t="s">
        <v>15557</v>
      </c>
      <c r="D8442" s="221">
        <v>8471.7000000000007</v>
      </c>
      <c r="E8442" s="221">
        <v>2964.42</v>
      </c>
      <c r="F8442" s="221">
        <v>4527.9799999999996</v>
      </c>
      <c r="G8442" s="221">
        <v>979.3</v>
      </c>
      <c r="H8442" s="222">
        <v>63023.6</v>
      </c>
      <c r="I8442" s="222">
        <v>34092.120000000003</v>
      </c>
      <c r="J8442" s="222">
        <v>23291.38</v>
      </c>
      <c r="K8442" s="222">
        <v>5640.1</v>
      </c>
      <c r="L8442" s="43">
        <v>7.4393097017127605</v>
      </c>
      <c r="M8442" s="43">
        <v>11.500435161009575</v>
      </c>
      <c r="N8442" s="43">
        <v>5.1438787273795388</v>
      </c>
      <c r="O8442" s="43">
        <v>5.759317880118453</v>
      </c>
      <c r="P8442" s="223"/>
      <c r="Q8442" s="223"/>
      <c r="R8442" s="223">
        <v>1</v>
      </c>
    </row>
    <row r="8443" spans="1:18" ht="36">
      <c r="A8443" s="219">
        <v>1256</v>
      </c>
      <c r="B8443" s="216" t="s">
        <v>15558</v>
      </c>
      <c r="C8443" s="220" t="s">
        <v>15559</v>
      </c>
      <c r="D8443" s="221">
        <v>9399.1200000000008</v>
      </c>
      <c r="E8443" s="221">
        <v>3366.57</v>
      </c>
      <c r="F8443" s="221">
        <v>5045.21</v>
      </c>
      <c r="G8443" s="221">
        <v>987.34</v>
      </c>
      <c r="H8443" s="222">
        <v>70019.06</v>
      </c>
      <c r="I8443" s="222">
        <v>38717.019999999997</v>
      </c>
      <c r="J8443" s="222">
        <v>25569.48</v>
      </c>
      <c r="K8443" s="222">
        <v>5732.56</v>
      </c>
      <c r="L8443" s="43">
        <v>7.4495335733558026</v>
      </c>
      <c r="M8443" s="43">
        <v>11.500435161009571</v>
      </c>
      <c r="N8443" s="43">
        <v>5.0680705064804039</v>
      </c>
      <c r="O8443" s="43">
        <v>5.8060647801162721</v>
      </c>
      <c r="P8443" s="223"/>
      <c r="Q8443" s="223"/>
      <c r="R8443" s="223">
        <v>1</v>
      </c>
    </row>
    <row r="8444" spans="1:18" ht="36">
      <c r="A8444" s="219">
        <v>1257</v>
      </c>
      <c r="B8444" s="216" t="s">
        <v>15560</v>
      </c>
      <c r="C8444" s="220" t="s">
        <v>15561</v>
      </c>
      <c r="D8444" s="221">
        <v>10563.73</v>
      </c>
      <c r="E8444" s="221">
        <v>3791.7</v>
      </c>
      <c r="F8444" s="221">
        <v>5776.19</v>
      </c>
      <c r="G8444" s="221">
        <v>995.84</v>
      </c>
      <c r="H8444" s="222">
        <v>78750.27</v>
      </c>
      <c r="I8444" s="222">
        <v>43606.2</v>
      </c>
      <c r="J8444" s="222">
        <v>29313.759999999998</v>
      </c>
      <c r="K8444" s="222">
        <v>5830.31</v>
      </c>
      <c r="L8444" s="43">
        <v>7.4547787571246147</v>
      </c>
      <c r="M8444" s="43">
        <v>11.500435161009573</v>
      </c>
      <c r="N8444" s="43">
        <v>5.0749300144212706</v>
      </c>
      <c r="O8444" s="43">
        <v>5.854665408097687</v>
      </c>
      <c r="P8444" s="223"/>
      <c r="Q8444" s="223"/>
      <c r="R8444" s="223">
        <v>1</v>
      </c>
    </row>
    <row r="8445" spans="1:18" ht="36">
      <c r="A8445" s="219">
        <v>1258</v>
      </c>
      <c r="B8445" s="216" t="s">
        <v>15562</v>
      </c>
      <c r="C8445" s="220" t="s">
        <v>15563</v>
      </c>
      <c r="D8445" s="221">
        <v>9957.09</v>
      </c>
      <c r="E8445" s="221">
        <v>3159.75</v>
      </c>
      <c r="F8445" s="221">
        <v>5784.5</v>
      </c>
      <c r="G8445" s="221">
        <v>1012.84</v>
      </c>
      <c r="H8445" s="222">
        <v>71769.48</v>
      </c>
      <c r="I8445" s="222">
        <v>36338.5</v>
      </c>
      <c r="J8445" s="222">
        <v>29585.8</v>
      </c>
      <c r="K8445" s="222">
        <v>5845.18</v>
      </c>
      <c r="L8445" s="43">
        <v>7.2078770002078913</v>
      </c>
      <c r="M8445" s="43">
        <v>11.500435161009573</v>
      </c>
      <c r="N8445" s="43">
        <v>5.11466851067508</v>
      </c>
      <c r="O8445" s="43">
        <v>5.7710793412582442</v>
      </c>
      <c r="P8445" s="223"/>
      <c r="Q8445" s="223"/>
      <c r="R8445" s="223">
        <v>1</v>
      </c>
    </row>
    <row r="8446" spans="1:18" ht="36">
      <c r="A8446" s="219">
        <v>1259</v>
      </c>
      <c r="B8446" s="216" t="s">
        <v>15564</v>
      </c>
      <c r="C8446" s="220" t="s">
        <v>15565</v>
      </c>
      <c r="D8446" s="221">
        <v>11006.84</v>
      </c>
      <c r="E8446" s="221">
        <v>3607.86</v>
      </c>
      <c r="F8446" s="221">
        <v>6377.18</v>
      </c>
      <c r="G8446" s="221">
        <v>1021.8</v>
      </c>
      <c r="H8446" s="222">
        <v>79659.66</v>
      </c>
      <c r="I8446" s="222">
        <v>41491.96</v>
      </c>
      <c r="J8446" s="222">
        <v>32219.48</v>
      </c>
      <c r="K8446" s="222">
        <v>5948.22</v>
      </c>
      <c r="L8446" s="43">
        <v>7.2372869960860706</v>
      </c>
      <c r="M8446" s="43">
        <v>11.500435161009573</v>
      </c>
      <c r="N8446" s="43">
        <v>5.0523083870927268</v>
      </c>
      <c r="O8446" s="43">
        <v>5.8213153258954788</v>
      </c>
      <c r="P8446" s="223"/>
      <c r="Q8446" s="223"/>
      <c r="R8446" s="223">
        <v>1</v>
      </c>
    </row>
    <row r="8447" spans="1:18" ht="36">
      <c r="A8447" s="219">
        <v>1260</v>
      </c>
      <c r="B8447" s="216" t="s">
        <v>15566</v>
      </c>
      <c r="C8447" s="220" t="s">
        <v>15567</v>
      </c>
      <c r="D8447" s="221">
        <v>11021.07</v>
      </c>
      <c r="E8447" s="221">
        <v>3653.82</v>
      </c>
      <c r="F8447" s="221">
        <v>6230.04</v>
      </c>
      <c r="G8447" s="221">
        <v>1137.21</v>
      </c>
      <c r="H8447" s="222">
        <v>80486.429999999993</v>
      </c>
      <c r="I8447" s="222">
        <v>42020.52</v>
      </c>
      <c r="J8447" s="222">
        <v>31907.17</v>
      </c>
      <c r="K8447" s="222">
        <v>6558.74</v>
      </c>
      <c r="L8447" s="43">
        <v>7.3029596944761259</v>
      </c>
      <c r="M8447" s="43">
        <v>11.500435161009571</v>
      </c>
      <c r="N8447" s="43">
        <v>5.1215032327240273</v>
      </c>
      <c r="O8447" s="43">
        <v>5.7673956437245533</v>
      </c>
      <c r="P8447" s="223"/>
      <c r="Q8447" s="223"/>
      <c r="R8447" s="223">
        <v>1</v>
      </c>
    </row>
    <row r="8448" spans="1:18" ht="36">
      <c r="A8448" s="219">
        <v>1261</v>
      </c>
      <c r="B8448" s="216" t="s">
        <v>15568</v>
      </c>
      <c r="C8448" s="220" t="s">
        <v>15569</v>
      </c>
      <c r="D8448" s="221">
        <v>12014.01</v>
      </c>
      <c r="E8448" s="221">
        <v>4216.83</v>
      </c>
      <c r="F8448" s="221">
        <v>6648.71</v>
      </c>
      <c r="G8448" s="221">
        <v>1148.47</v>
      </c>
      <c r="H8448" s="222">
        <v>88887.89</v>
      </c>
      <c r="I8448" s="222">
        <v>48495.38</v>
      </c>
      <c r="J8448" s="222">
        <v>33704.28</v>
      </c>
      <c r="K8448" s="222">
        <v>6688.23</v>
      </c>
      <c r="L8448" s="43">
        <v>7.3986862005275507</v>
      </c>
      <c r="M8448" s="43">
        <v>11.500435161009573</v>
      </c>
      <c r="N8448" s="43">
        <v>5.0692961491778101</v>
      </c>
      <c r="O8448" s="43">
        <v>5.8236000940381549</v>
      </c>
      <c r="P8448" s="223"/>
      <c r="Q8448" s="223"/>
      <c r="R8448" s="223">
        <v>1</v>
      </c>
    </row>
    <row r="8449" spans="1:18" ht="36">
      <c r="A8449" s="219">
        <v>1262</v>
      </c>
      <c r="B8449" s="216" t="s">
        <v>15570</v>
      </c>
      <c r="C8449" s="220" t="s">
        <v>15571</v>
      </c>
      <c r="D8449" s="221">
        <v>12523.08</v>
      </c>
      <c r="E8449" s="221">
        <v>4400.67</v>
      </c>
      <c r="F8449" s="221">
        <v>6970.27</v>
      </c>
      <c r="G8449" s="221">
        <v>1152.1400000000001</v>
      </c>
      <c r="H8449" s="222">
        <v>92400.7</v>
      </c>
      <c r="I8449" s="222">
        <v>50609.62</v>
      </c>
      <c r="J8449" s="222">
        <v>35060.639999999999</v>
      </c>
      <c r="K8449" s="222">
        <v>6730.44</v>
      </c>
      <c r="L8449" s="43">
        <v>7.378432462301606</v>
      </c>
      <c r="M8449" s="43">
        <v>11.500435161009573</v>
      </c>
      <c r="N8449" s="43">
        <v>5.0300260965500616</v>
      </c>
      <c r="O8449" s="43">
        <v>5.8416859062266733</v>
      </c>
      <c r="P8449" s="223"/>
      <c r="Q8449" s="223"/>
      <c r="R8449" s="223">
        <v>1</v>
      </c>
    </row>
    <row r="8450" spans="1:18" ht="36">
      <c r="A8450" s="219">
        <v>1263</v>
      </c>
      <c r="B8450" s="216" t="s">
        <v>15572</v>
      </c>
      <c r="C8450" s="220" t="s">
        <v>15573</v>
      </c>
      <c r="D8450" s="221">
        <v>14400.4</v>
      </c>
      <c r="E8450" s="221">
        <v>4883.25</v>
      </c>
      <c r="F8450" s="221">
        <v>8236.83</v>
      </c>
      <c r="G8450" s="221">
        <v>1280.32</v>
      </c>
      <c r="H8450" s="222">
        <v>105284.7</v>
      </c>
      <c r="I8450" s="222">
        <v>56159.5</v>
      </c>
      <c r="J8450" s="222">
        <v>41643.19</v>
      </c>
      <c r="K8450" s="222">
        <v>7482.01</v>
      </c>
      <c r="L8450" s="43">
        <v>7.3112344101552731</v>
      </c>
      <c r="M8450" s="43">
        <v>11.500435161009573</v>
      </c>
      <c r="N8450" s="43">
        <v>5.0557301777504211</v>
      </c>
      <c r="O8450" s="43">
        <v>5.8438593476630851</v>
      </c>
      <c r="P8450" s="223"/>
      <c r="Q8450" s="223"/>
      <c r="R8450" s="223">
        <v>1</v>
      </c>
    </row>
    <row r="8451" spans="1:18" ht="36">
      <c r="A8451" s="219">
        <v>1264</v>
      </c>
      <c r="B8451" s="216" t="s">
        <v>15574</v>
      </c>
      <c r="C8451" s="220" t="s">
        <v>15575</v>
      </c>
      <c r="D8451" s="221">
        <v>12942.85</v>
      </c>
      <c r="E8451" s="221">
        <v>4538.55</v>
      </c>
      <c r="F8451" s="221">
        <v>7130.88</v>
      </c>
      <c r="G8451" s="221">
        <v>1273.42</v>
      </c>
      <c r="H8451" s="222">
        <v>95930.57</v>
      </c>
      <c r="I8451" s="222">
        <v>52195.3</v>
      </c>
      <c r="J8451" s="222">
        <v>36332.61</v>
      </c>
      <c r="K8451" s="222">
        <v>7402.66</v>
      </c>
      <c r="L8451" s="43">
        <v>7.4118582846900027</v>
      </c>
      <c r="M8451" s="43">
        <v>11.500435161009573</v>
      </c>
      <c r="N8451" s="43">
        <v>5.095108878567582</v>
      </c>
      <c r="O8451" s="43">
        <v>5.8132116662216706</v>
      </c>
      <c r="P8451" s="223"/>
      <c r="Q8451" s="223"/>
      <c r="R8451" s="223">
        <v>1</v>
      </c>
    </row>
    <row r="8452" spans="1:18" ht="36">
      <c r="A8452" s="219">
        <v>1265</v>
      </c>
      <c r="B8452" s="216" t="s">
        <v>15576</v>
      </c>
      <c r="C8452" s="220" t="s">
        <v>15577</v>
      </c>
      <c r="D8452" s="221">
        <v>15390.1</v>
      </c>
      <c r="E8452" s="221">
        <v>5664.57</v>
      </c>
      <c r="F8452" s="221">
        <v>8429.59</v>
      </c>
      <c r="G8452" s="221">
        <v>1295.94</v>
      </c>
      <c r="H8452" s="222">
        <v>114838.13</v>
      </c>
      <c r="I8452" s="222">
        <v>65145.02</v>
      </c>
      <c r="J8452" s="222">
        <v>42031.47</v>
      </c>
      <c r="K8452" s="222">
        <v>7661.64</v>
      </c>
      <c r="L8452" s="43">
        <v>7.4618183117718537</v>
      </c>
      <c r="M8452" s="43">
        <v>11.500435161009573</v>
      </c>
      <c r="N8452" s="43">
        <v>4.9861820088521505</v>
      </c>
      <c r="O8452" s="43">
        <v>5.9120329644890965</v>
      </c>
      <c r="P8452" s="223"/>
      <c r="Q8452" s="223"/>
      <c r="R8452" s="223">
        <v>1</v>
      </c>
    </row>
    <row r="8453" spans="1:18" ht="12.75" customHeight="1">
      <c r="A8453" s="628" t="s">
        <v>15578</v>
      </c>
      <c r="B8453" s="629"/>
      <c r="C8453" s="629"/>
      <c r="D8453" s="629"/>
      <c r="E8453" s="629"/>
      <c r="F8453" s="629"/>
      <c r="G8453" s="629"/>
      <c r="H8453" s="629"/>
      <c r="I8453" s="629"/>
      <c r="J8453" s="629"/>
      <c r="K8453" s="629"/>
      <c r="L8453" s="629"/>
      <c r="M8453" s="629"/>
      <c r="N8453" s="629"/>
      <c r="O8453" s="629"/>
      <c r="P8453" s="629"/>
      <c r="Q8453" s="629"/>
      <c r="R8453" s="629"/>
    </row>
    <row r="8454" spans="1:18" ht="36">
      <c r="A8454" s="219">
        <v>1266</v>
      </c>
      <c r="B8454" s="216" t="s">
        <v>15579</v>
      </c>
      <c r="C8454" s="220" t="s">
        <v>15580</v>
      </c>
      <c r="D8454" s="221">
        <v>6547</v>
      </c>
      <c r="E8454" s="221">
        <v>1552.95</v>
      </c>
      <c r="F8454" s="221">
        <v>3868.34</v>
      </c>
      <c r="G8454" s="221">
        <v>1125.71</v>
      </c>
      <c r="H8454" s="222">
        <v>47221.61</v>
      </c>
      <c r="I8454" s="222">
        <v>17859.650000000001</v>
      </c>
      <c r="J8454" s="222">
        <v>22966.27</v>
      </c>
      <c r="K8454" s="222">
        <v>6395.69</v>
      </c>
      <c r="L8454" s="43">
        <v>7.2127096380021385</v>
      </c>
      <c r="M8454" s="43">
        <v>11.50046685340803</v>
      </c>
      <c r="N8454" s="43">
        <v>5.9369833055005508</v>
      </c>
      <c r="O8454" s="43">
        <v>5.6814721375842794</v>
      </c>
      <c r="P8454" s="223"/>
      <c r="Q8454" s="223"/>
      <c r="R8454" s="223">
        <v>2</v>
      </c>
    </row>
    <row r="8455" spans="1:18" ht="36">
      <c r="A8455" s="219">
        <v>1267</v>
      </c>
      <c r="B8455" s="216" t="s">
        <v>15581</v>
      </c>
      <c r="C8455" s="220" t="s">
        <v>15582</v>
      </c>
      <c r="D8455" s="221">
        <v>12724.22</v>
      </c>
      <c r="E8455" s="221">
        <v>2741.76</v>
      </c>
      <c r="F8455" s="221">
        <v>7565.21</v>
      </c>
      <c r="G8455" s="221">
        <v>2417.25</v>
      </c>
      <c r="H8455" s="222">
        <v>90150.24</v>
      </c>
      <c r="I8455" s="222">
        <v>31531.52</v>
      </c>
      <c r="J8455" s="222">
        <v>44984.88</v>
      </c>
      <c r="K8455" s="222">
        <v>13633.84</v>
      </c>
      <c r="L8455" s="43">
        <v>7.0849325145274138</v>
      </c>
      <c r="M8455" s="43">
        <v>11.50046685340803</v>
      </c>
      <c r="N8455" s="43">
        <v>5.9462830509661986</v>
      </c>
      <c r="O8455" s="43">
        <v>5.6402275312855519</v>
      </c>
      <c r="P8455" s="223"/>
      <c r="Q8455" s="223"/>
      <c r="R8455" s="223">
        <v>2</v>
      </c>
    </row>
    <row r="8456" spans="1:18" ht="36">
      <c r="A8456" s="219">
        <v>1268</v>
      </c>
      <c r="B8456" s="216" t="s">
        <v>15583</v>
      </c>
      <c r="C8456" s="220" t="s">
        <v>15584</v>
      </c>
      <c r="D8456" s="221">
        <v>19843.650000000001</v>
      </c>
      <c r="E8456" s="221">
        <v>4337.55</v>
      </c>
      <c r="F8456" s="221">
        <v>11789.19</v>
      </c>
      <c r="G8456" s="221">
        <v>3716.91</v>
      </c>
      <c r="H8456" s="222">
        <v>141377.66</v>
      </c>
      <c r="I8456" s="222">
        <v>49883.85</v>
      </c>
      <c r="J8456" s="222">
        <v>70528.31</v>
      </c>
      <c r="K8456" s="222">
        <v>20965.5</v>
      </c>
      <c r="L8456" s="43">
        <v>7.1245793994552411</v>
      </c>
      <c r="M8456" s="43">
        <v>11.50046685340803</v>
      </c>
      <c r="N8456" s="43">
        <v>5.9824559617751509</v>
      </c>
      <c r="O8456" s="43">
        <v>5.6405724109542605</v>
      </c>
      <c r="P8456" s="223"/>
      <c r="Q8456" s="223"/>
      <c r="R8456" s="223">
        <v>2</v>
      </c>
    </row>
    <row r="8457" spans="1:18" ht="36">
      <c r="A8457" s="219">
        <v>1269</v>
      </c>
      <c r="B8457" s="216" t="s">
        <v>15585</v>
      </c>
      <c r="C8457" s="220" t="s">
        <v>15586</v>
      </c>
      <c r="D8457" s="221">
        <v>26367.22</v>
      </c>
      <c r="E8457" s="221">
        <v>5697.72</v>
      </c>
      <c r="F8457" s="221">
        <v>15657.64</v>
      </c>
      <c r="G8457" s="221">
        <v>5011.8599999999997</v>
      </c>
      <c r="H8457" s="222">
        <v>187484.44</v>
      </c>
      <c r="I8457" s="222">
        <v>65526.44</v>
      </c>
      <c r="J8457" s="222">
        <v>93715.02</v>
      </c>
      <c r="K8457" s="222">
        <v>28242.98</v>
      </c>
      <c r="L8457" s="43">
        <v>7.1105122193390127</v>
      </c>
      <c r="M8457" s="43">
        <v>11.50046685340803</v>
      </c>
      <c r="N8457" s="43">
        <v>5.9852583147907357</v>
      </c>
      <c r="O8457" s="43">
        <v>5.6352292362516119</v>
      </c>
      <c r="P8457" s="223"/>
      <c r="Q8457" s="223"/>
      <c r="R8457" s="223">
        <v>2</v>
      </c>
    </row>
    <row r="8458" spans="1:18" ht="36">
      <c r="A8458" s="219">
        <v>1270</v>
      </c>
      <c r="B8458" s="216" t="s">
        <v>15587</v>
      </c>
      <c r="C8458" s="220" t="s">
        <v>15588</v>
      </c>
      <c r="D8458" s="221">
        <v>35144.58</v>
      </c>
      <c r="E8458" s="221">
        <v>7796.88</v>
      </c>
      <c r="F8458" s="221">
        <v>21026.1</v>
      </c>
      <c r="G8458" s="221">
        <v>6321.6</v>
      </c>
      <c r="H8458" s="222">
        <v>252334.44</v>
      </c>
      <c r="I8458" s="222">
        <v>89667.76</v>
      </c>
      <c r="J8458" s="222">
        <v>126976.12</v>
      </c>
      <c r="K8458" s="222">
        <v>35690.559999999998</v>
      </c>
      <c r="L8458" s="43">
        <v>7.1798963026446749</v>
      </c>
      <c r="M8458" s="43">
        <v>11.50046685340803</v>
      </c>
      <c r="N8458" s="43">
        <v>6.0389763199071629</v>
      </c>
      <c r="O8458" s="43">
        <v>5.6458111870412546</v>
      </c>
      <c r="P8458" s="223"/>
      <c r="Q8458" s="223"/>
      <c r="R8458" s="223">
        <v>2</v>
      </c>
    </row>
    <row r="8459" spans="1:18" ht="12.75" customHeight="1">
      <c r="A8459" s="628" t="s">
        <v>15589</v>
      </c>
      <c r="B8459" s="629"/>
      <c r="C8459" s="629"/>
      <c r="D8459" s="629"/>
      <c r="E8459" s="629"/>
      <c r="F8459" s="629"/>
      <c r="G8459" s="629"/>
      <c r="H8459" s="629"/>
      <c r="I8459" s="629"/>
      <c r="J8459" s="629"/>
      <c r="K8459" s="629"/>
      <c r="L8459" s="629"/>
      <c r="M8459" s="629"/>
      <c r="N8459" s="629"/>
      <c r="O8459" s="629"/>
      <c r="P8459" s="629"/>
      <c r="Q8459" s="629"/>
      <c r="R8459" s="629"/>
    </row>
    <row r="8460" spans="1:18" ht="36">
      <c r="A8460" s="219">
        <v>1271</v>
      </c>
      <c r="B8460" s="216" t="s">
        <v>15590</v>
      </c>
      <c r="C8460" s="220" t="s">
        <v>15591</v>
      </c>
      <c r="D8460" s="221">
        <v>8091.8</v>
      </c>
      <c r="E8460" s="221">
        <v>1904.4</v>
      </c>
      <c r="F8460" s="221">
        <v>4873.32</v>
      </c>
      <c r="G8460" s="221">
        <v>1314.08</v>
      </c>
      <c r="H8460" s="222">
        <v>58430.45</v>
      </c>
      <c r="I8460" s="222">
        <v>21900.6</v>
      </c>
      <c r="J8460" s="222">
        <v>29068.31</v>
      </c>
      <c r="K8460" s="222">
        <v>7461.54</v>
      </c>
      <c r="L8460" s="43">
        <v>7.2209458958451762</v>
      </c>
      <c r="M8460" s="43">
        <v>11.499999999999998</v>
      </c>
      <c r="N8460" s="43">
        <v>5.9647858133674792</v>
      </c>
      <c r="O8460" s="43">
        <v>5.6781474491659569</v>
      </c>
      <c r="P8460" s="223"/>
      <c r="Q8460" s="223"/>
      <c r="R8460" s="223">
        <v>3</v>
      </c>
    </row>
    <row r="8461" spans="1:18" ht="36">
      <c r="A8461" s="219">
        <v>1272</v>
      </c>
      <c r="B8461" s="216" t="s">
        <v>15592</v>
      </c>
      <c r="C8461" s="220" t="s">
        <v>15593</v>
      </c>
      <c r="D8461" s="221">
        <v>15468.32</v>
      </c>
      <c r="E8461" s="221">
        <v>3364.44</v>
      </c>
      <c r="F8461" s="221">
        <v>9484.8799999999992</v>
      </c>
      <c r="G8461" s="221">
        <v>2619</v>
      </c>
      <c r="H8461" s="222">
        <v>110180.06</v>
      </c>
      <c r="I8461" s="222">
        <v>38691.06</v>
      </c>
      <c r="J8461" s="222">
        <v>56670.39</v>
      </c>
      <c r="K8461" s="222">
        <v>14818.61</v>
      </c>
      <c r="L8461" s="43">
        <v>7.122949357137685</v>
      </c>
      <c r="M8461" s="43">
        <v>11.5</v>
      </c>
      <c r="N8461" s="43">
        <v>5.9748135980634443</v>
      </c>
      <c r="O8461" s="43">
        <v>5.6581176021382209</v>
      </c>
      <c r="P8461" s="223"/>
      <c r="Q8461" s="223"/>
      <c r="R8461" s="223">
        <v>3</v>
      </c>
    </row>
    <row r="8462" spans="1:18" ht="36">
      <c r="A8462" s="219">
        <v>1273</v>
      </c>
      <c r="B8462" s="216" t="s">
        <v>15594</v>
      </c>
      <c r="C8462" s="220" t="s">
        <v>15595</v>
      </c>
      <c r="D8462" s="221">
        <v>24863.03</v>
      </c>
      <c r="E8462" s="221">
        <v>5501.6</v>
      </c>
      <c r="F8462" s="221">
        <v>15250.08</v>
      </c>
      <c r="G8462" s="221">
        <v>4111.3500000000004</v>
      </c>
      <c r="H8462" s="222">
        <v>178460.31</v>
      </c>
      <c r="I8462" s="222">
        <v>63268.4</v>
      </c>
      <c r="J8462" s="222">
        <v>91927.63</v>
      </c>
      <c r="K8462" s="222">
        <v>23264.28</v>
      </c>
      <c r="L8462" s="43">
        <v>7.1777377898027721</v>
      </c>
      <c r="M8462" s="43">
        <v>11.5</v>
      </c>
      <c r="N8462" s="43">
        <v>6.0280096891295001</v>
      </c>
      <c r="O8462" s="43">
        <v>5.6585501112773171</v>
      </c>
      <c r="P8462" s="223"/>
      <c r="Q8462" s="223"/>
      <c r="R8462" s="223">
        <v>3</v>
      </c>
    </row>
    <row r="8463" spans="1:18" ht="36">
      <c r="A8463" s="219">
        <v>1274</v>
      </c>
      <c r="B8463" s="216" t="s">
        <v>15596</v>
      </c>
      <c r="C8463" s="220" t="s">
        <v>15597</v>
      </c>
      <c r="D8463" s="221">
        <v>32659.83</v>
      </c>
      <c r="E8463" s="221">
        <v>7215.56</v>
      </c>
      <c r="F8463" s="221">
        <v>20022.79</v>
      </c>
      <c r="G8463" s="221">
        <v>5421.48</v>
      </c>
      <c r="H8463" s="222">
        <v>234220.81</v>
      </c>
      <c r="I8463" s="222">
        <v>82978.94</v>
      </c>
      <c r="J8463" s="222">
        <v>120560.98</v>
      </c>
      <c r="K8463" s="222">
        <v>30680.89</v>
      </c>
      <c r="L8463" s="43">
        <v>7.1715256937957115</v>
      </c>
      <c r="M8463" s="43">
        <v>11.5</v>
      </c>
      <c r="N8463" s="43">
        <v>6.0211878564375887</v>
      </c>
      <c r="O8463" s="43">
        <v>5.659135512812</v>
      </c>
      <c r="P8463" s="223"/>
      <c r="Q8463" s="223"/>
      <c r="R8463" s="223">
        <v>3</v>
      </c>
    </row>
    <row r="8464" spans="1:18" ht="36">
      <c r="A8464" s="219">
        <v>1275</v>
      </c>
      <c r="B8464" s="216" t="s">
        <v>15598</v>
      </c>
      <c r="C8464" s="220" t="s">
        <v>15599</v>
      </c>
      <c r="D8464" s="221">
        <v>43444.99</v>
      </c>
      <c r="E8464" s="221">
        <v>9733.6</v>
      </c>
      <c r="F8464" s="221">
        <v>26790.59</v>
      </c>
      <c r="G8464" s="221">
        <v>6920.8</v>
      </c>
      <c r="H8464" s="222">
        <v>313690.83</v>
      </c>
      <c r="I8464" s="222">
        <v>111936.4</v>
      </c>
      <c r="J8464" s="222">
        <v>162545.82</v>
      </c>
      <c r="K8464" s="222">
        <v>39208.61</v>
      </c>
      <c r="L8464" s="43">
        <v>7.220414367686586</v>
      </c>
      <c r="M8464" s="43">
        <v>11.499999999999998</v>
      </c>
      <c r="N8464" s="43">
        <v>6.0672728745428897</v>
      </c>
      <c r="O8464" s="43">
        <v>5.6653291526991101</v>
      </c>
      <c r="P8464" s="223"/>
      <c r="Q8464" s="223"/>
      <c r="R8464" s="223">
        <v>3</v>
      </c>
    </row>
    <row r="8465" spans="1:18" ht="36">
      <c r="A8465" s="219">
        <v>1276</v>
      </c>
      <c r="B8465" s="216" t="s">
        <v>15600</v>
      </c>
      <c r="C8465" s="220" t="s">
        <v>15601</v>
      </c>
      <c r="D8465" s="221">
        <v>51657.49</v>
      </c>
      <c r="E8465" s="221">
        <v>11630.85</v>
      </c>
      <c r="F8465" s="221">
        <v>31965.14</v>
      </c>
      <c r="G8465" s="221">
        <v>8061.5</v>
      </c>
      <c r="H8465" s="222">
        <v>373713.08</v>
      </c>
      <c r="I8465" s="222">
        <v>133760.34</v>
      </c>
      <c r="J8465" s="222">
        <v>194211.52</v>
      </c>
      <c r="K8465" s="222">
        <v>45741.22</v>
      </c>
      <c r="L8465" s="43">
        <v>7.234441317222343</v>
      </c>
      <c r="M8465" s="43">
        <v>11.500478468899521</v>
      </c>
      <c r="N8465" s="43">
        <v>6.0757287470037671</v>
      </c>
      <c r="O8465" s="43">
        <v>5.6740333684798117</v>
      </c>
      <c r="P8465" s="223"/>
      <c r="Q8465" s="223"/>
      <c r="R8465" s="223">
        <v>3</v>
      </c>
    </row>
    <row r="8466" spans="1:18" ht="36">
      <c r="A8466" s="219">
        <v>1277</v>
      </c>
      <c r="B8466" s="216" t="s">
        <v>15602</v>
      </c>
      <c r="C8466" s="220" t="s">
        <v>15603</v>
      </c>
      <c r="D8466" s="221">
        <v>67462.759999999995</v>
      </c>
      <c r="E8466" s="221">
        <v>15925.8</v>
      </c>
      <c r="F8466" s="221">
        <v>41594.400000000001</v>
      </c>
      <c r="G8466" s="221">
        <v>9942.56</v>
      </c>
      <c r="H8466" s="222">
        <v>494571.31</v>
      </c>
      <c r="I8466" s="222">
        <v>183154.32</v>
      </c>
      <c r="J8466" s="222">
        <v>254886.94</v>
      </c>
      <c r="K8466" s="222">
        <v>56530.05</v>
      </c>
      <c r="L8466" s="43">
        <v>7.3310269250768876</v>
      </c>
      <c r="M8466" s="43">
        <v>11.500478468899523</v>
      </c>
      <c r="N8466" s="43">
        <v>6.1279148154559264</v>
      </c>
      <c r="O8466" s="43">
        <v>5.6856634508617505</v>
      </c>
      <c r="P8466" s="223"/>
      <c r="Q8466" s="223"/>
      <c r="R8466" s="223">
        <v>3</v>
      </c>
    </row>
    <row r="8467" spans="1:18" ht="36">
      <c r="A8467" s="219">
        <v>1278</v>
      </c>
      <c r="B8467" s="216" t="s">
        <v>15604</v>
      </c>
      <c r="C8467" s="220" t="s">
        <v>15605</v>
      </c>
      <c r="D8467" s="221">
        <v>77072.350000000006</v>
      </c>
      <c r="E8467" s="221">
        <v>18078.5</v>
      </c>
      <c r="F8467" s="221">
        <v>47558.63</v>
      </c>
      <c r="G8467" s="221">
        <v>11435.22</v>
      </c>
      <c r="H8467" s="222">
        <v>564321.74</v>
      </c>
      <c r="I8467" s="222">
        <v>207911.4</v>
      </c>
      <c r="J8467" s="222">
        <v>291431.05</v>
      </c>
      <c r="K8467" s="222">
        <v>64979.29</v>
      </c>
      <c r="L8467" s="43">
        <v>7.3219739634252745</v>
      </c>
      <c r="M8467" s="43">
        <v>11.500478468899521</v>
      </c>
      <c r="N8467" s="43">
        <v>6.1278268528761242</v>
      </c>
      <c r="O8467" s="43">
        <v>5.6823821491847122</v>
      </c>
      <c r="P8467" s="223"/>
      <c r="Q8467" s="223"/>
      <c r="R8467" s="223">
        <v>3</v>
      </c>
    </row>
    <row r="8468" spans="1:18" ht="36">
      <c r="A8468" s="219">
        <v>1279</v>
      </c>
      <c r="B8468" s="216" t="s">
        <v>15606</v>
      </c>
      <c r="C8468" s="220" t="s">
        <v>15607</v>
      </c>
      <c r="D8468" s="221">
        <v>93732.17</v>
      </c>
      <c r="E8468" s="221">
        <v>22592.9</v>
      </c>
      <c r="F8468" s="221">
        <v>58162.78</v>
      </c>
      <c r="G8468" s="221">
        <v>12976.49</v>
      </c>
      <c r="H8468" s="222">
        <v>693054.49</v>
      </c>
      <c r="I8468" s="222">
        <v>259829.16</v>
      </c>
      <c r="J8468" s="222">
        <v>359240.47</v>
      </c>
      <c r="K8468" s="222">
        <v>73984.86</v>
      </c>
      <c r="L8468" s="43">
        <v>7.3939874644959147</v>
      </c>
      <c r="M8468" s="43">
        <v>11.500478468899521</v>
      </c>
      <c r="N8468" s="43">
        <v>6.1764666338163341</v>
      </c>
      <c r="O8468" s="43">
        <v>5.7014539370815989</v>
      </c>
      <c r="P8468" s="223"/>
      <c r="Q8468" s="223"/>
      <c r="R8468" s="223">
        <v>3</v>
      </c>
    </row>
    <row r="8469" spans="1:18" ht="12.75" customHeight="1">
      <c r="A8469" s="628" t="s">
        <v>15608</v>
      </c>
      <c r="B8469" s="629"/>
      <c r="C8469" s="629"/>
      <c r="D8469" s="629"/>
      <c r="E8469" s="629"/>
      <c r="F8469" s="629"/>
      <c r="G8469" s="629"/>
      <c r="H8469" s="629"/>
      <c r="I8469" s="629"/>
      <c r="J8469" s="629"/>
      <c r="K8469" s="629"/>
      <c r="L8469" s="629"/>
      <c r="M8469" s="629"/>
      <c r="N8469" s="629"/>
      <c r="O8469" s="629"/>
      <c r="P8469" s="629"/>
      <c r="Q8469" s="629"/>
      <c r="R8469" s="629"/>
    </row>
    <row r="8470" spans="1:18" ht="36">
      <c r="A8470" s="219">
        <v>1280</v>
      </c>
      <c r="B8470" s="216" t="s">
        <v>15609</v>
      </c>
      <c r="C8470" s="220" t="s">
        <v>15610</v>
      </c>
      <c r="D8470" s="221">
        <v>9969.02</v>
      </c>
      <c r="E8470" s="221">
        <v>2405.36</v>
      </c>
      <c r="F8470" s="221">
        <v>6030.2</v>
      </c>
      <c r="G8470" s="221">
        <v>1533.46</v>
      </c>
      <c r="H8470" s="222">
        <v>72397.58</v>
      </c>
      <c r="I8470" s="222">
        <v>27661.64</v>
      </c>
      <c r="J8470" s="222">
        <v>35957.129999999997</v>
      </c>
      <c r="K8470" s="222">
        <v>8778.81</v>
      </c>
      <c r="L8470" s="43">
        <v>7.2622564705457506</v>
      </c>
      <c r="M8470" s="43">
        <v>11.5</v>
      </c>
      <c r="N8470" s="43">
        <v>5.9628420284567669</v>
      </c>
      <c r="O8470" s="43">
        <v>5.7248379481694984</v>
      </c>
      <c r="P8470" s="223"/>
      <c r="Q8470" s="223"/>
      <c r="R8470" s="223">
        <v>4</v>
      </c>
    </row>
    <row r="8471" spans="1:18" ht="36">
      <c r="A8471" s="219">
        <v>1281</v>
      </c>
      <c r="B8471" s="216" t="s">
        <v>15611</v>
      </c>
      <c r="C8471" s="220" t="s">
        <v>15612</v>
      </c>
      <c r="D8471" s="221">
        <v>19007.189999999999</v>
      </c>
      <c r="E8471" s="221">
        <v>4328.16</v>
      </c>
      <c r="F8471" s="221">
        <v>11795</v>
      </c>
      <c r="G8471" s="221">
        <v>2884.03</v>
      </c>
      <c r="H8471" s="222">
        <v>136720.81</v>
      </c>
      <c r="I8471" s="222">
        <v>49773.84</v>
      </c>
      <c r="J8471" s="222">
        <v>70427.77</v>
      </c>
      <c r="K8471" s="222">
        <v>16519.2</v>
      </c>
      <c r="L8471" s="43">
        <v>7.1931100809746207</v>
      </c>
      <c r="M8471" s="43">
        <v>11.5</v>
      </c>
      <c r="N8471" s="43">
        <v>5.9709851632047481</v>
      </c>
      <c r="O8471" s="43">
        <v>5.7278183652735928</v>
      </c>
      <c r="P8471" s="223"/>
      <c r="Q8471" s="223"/>
      <c r="R8471" s="223">
        <v>4</v>
      </c>
    </row>
    <row r="8472" spans="1:18" ht="36">
      <c r="A8472" s="219">
        <v>1282</v>
      </c>
      <c r="B8472" s="216" t="s">
        <v>15613</v>
      </c>
      <c r="C8472" s="220" t="s">
        <v>15614</v>
      </c>
      <c r="D8472" s="221">
        <v>31081.51</v>
      </c>
      <c r="E8472" s="221">
        <v>7259.04</v>
      </c>
      <c r="F8472" s="221">
        <v>19048.009999999998</v>
      </c>
      <c r="G8472" s="221">
        <v>4774.46</v>
      </c>
      <c r="H8472" s="222">
        <v>225426.42</v>
      </c>
      <c r="I8472" s="222">
        <v>83478.960000000006</v>
      </c>
      <c r="J8472" s="222">
        <v>114673.97</v>
      </c>
      <c r="K8472" s="222">
        <v>27273.49</v>
      </c>
      <c r="L8472" s="43">
        <v>7.252749946833343</v>
      </c>
      <c r="M8472" s="43">
        <v>11.500000000000002</v>
      </c>
      <c r="N8472" s="43">
        <v>6.0202598591663916</v>
      </c>
      <c r="O8472" s="43">
        <v>5.7123716608789268</v>
      </c>
      <c r="P8472" s="223"/>
      <c r="Q8472" s="223"/>
      <c r="R8472" s="223">
        <v>4</v>
      </c>
    </row>
    <row r="8473" spans="1:18" ht="36">
      <c r="A8473" s="219">
        <v>1283</v>
      </c>
      <c r="B8473" s="216" t="s">
        <v>15615</v>
      </c>
      <c r="C8473" s="220" t="s">
        <v>15616</v>
      </c>
      <c r="D8473" s="221">
        <v>41364.83</v>
      </c>
      <c r="E8473" s="221">
        <v>9678.7199999999993</v>
      </c>
      <c r="F8473" s="221">
        <v>25378.31</v>
      </c>
      <c r="G8473" s="221">
        <v>6307.8</v>
      </c>
      <c r="H8473" s="222">
        <v>300176.03999999998</v>
      </c>
      <c r="I8473" s="222">
        <v>111305.28</v>
      </c>
      <c r="J8473" s="222">
        <v>152818.59</v>
      </c>
      <c r="K8473" s="222">
        <v>36052.17</v>
      </c>
      <c r="L8473" s="43">
        <v>7.2567937545011052</v>
      </c>
      <c r="M8473" s="43">
        <v>11.5</v>
      </c>
      <c r="N8473" s="43">
        <v>6.0216220071391664</v>
      </c>
      <c r="O8473" s="43">
        <v>5.7154903452867876</v>
      </c>
      <c r="P8473" s="223"/>
      <c r="Q8473" s="223"/>
      <c r="R8473" s="223">
        <v>4</v>
      </c>
    </row>
    <row r="8474" spans="1:18" ht="36">
      <c r="A8474" s="219">
        <v>1284</v>
      </c>
      <c r="B8474" s="216" t="s">
        <v>15617</v>
      </c>
      <c r="C8474" s="220" t="s">
        <v>15618</v>
      </c>
      <c r="D8474" s="221">
        <v>58812.87</v>
      </c>
      <c r="E8474" s="221">
        <v>14518.08</v>
      </c>
      <c r="F8474" s="221">
        <v>36404.589999999997</v>
      </c>
      <c r="G8474" s="221">
        <v>7890.2</v>
      </c>
      <c r="H8474" s="222">
        <v>434737.06</v>
      </c>
      <c r="I8474" s="222">
        <v>166957.92000000001</v>
      </c>
      <c r="J8474" s="222">
        <v>222386.12</v>
      </c>
      <c r="K8474" s="222">
        <v>45393.02</v>
      </c>
      <c r="L8474" s="43">
        <v>7.3918695006722164</v>
      </c>
      <c r="M8474" s="43">
        <v>11.500000000000002</v>
      </c>
      <c r="N8474" s="43">
        <v>6.1087384859986065</v>
      </c>
      <c r="O8474" s="43">
        <v>5.7530886416060429</v>
      </c>
      <c r="P8474" s="223"/>
      <c r="Q8474" s="223"/>
      <c r="R8474" s="223">
        <v>4</v>
      </c>
    </row>
    <row r="8475" spans="1:18" ht="36">
      <c r="A8475" s="219">
        <v>1285</v>
      </c>
      <c r="B8475" s="216" t="s">
        <v>15619</v>
      </c>
      <c r="C8475" s="220" t="s">
        <v>15620</v>
      </c>
      <c r="D8475" s="221">
        <v>70751.8</v>
      </c>
      <c r="E8475" s="221">
        <v>17562.560000000001</v>
      </c>
      <c r="F8475" s="221">
        <v>43579.44</v>
      </c>
      <c r="G8475" s="221">
        <v>9609.7999999999993</v>
      </c>
      <c r="H8475" s="222">
        <v>523260.73</v>
      </c>
      <c r="I8475" s="222">
        <v>201969.44</v>
      </c>
      <c r="J8475" s="222">
        <v>266044.06</v>
      </c>
      <c r="K8475" s="222">
        <v>55247.23</v>
      </c>
      <c r="L8475" s="43">
        <v>7.3957232183492145</v>
      </c>
      <c r="M8475" s="43">
        <v>11.5</v>
      </c>
      <c r="N8475" s="43">
        <v>6.1048067620878097</v>
      </c>
      <c r="O8475" s="43">
        <v>5.7490509688026812</v>
      </c>
      <c r="P8475" s="223"/>
      <c r="Q8475" s="223"/>
      <c r="R8475" s="223">
        <v>4</v>
      </c>
    </row>
    <row r="8476" spans="1:18" ht="36">
      <c r="A8476" s="219">
        <v>1286</v>
      </c>
      <c r="B8476" s="216" t="s">
        <v>15621</v>
      </c>
      <c r="C8476" s="220" t="s">
        <v>15622</v>
      </c>
      <c r="D8476" s="221">
        <v>89793.85</v>
      </c>
      <c r="E8476" s="221">
        <v>22663.200000000001</v>
      </c>
      <c r="F8476" s="221">
        <v>55414.58</v>
      </c>
      <c r="G8476" s="221">
        <v>11716.07</v>
      </c>
      <c r="H8476" s="222">
        <v>667954.30000000005</v>
      </c>
      <c r="I8476" s="222">
        <v>260626.8</v>
      </c>
      <c r="J8476" s="222">
        <v>339906.37</v>
      </c>
      <c r="K8476" s="222">
        <v>67421.13</v>
      </c>
      <c r="L8476" s="43">
        <v>7.4387533221930013</v>
      </c>
      <c r="M8476" s="43">
        <v>11.5</v>
      </c>
      <c r="N8476" s="43">
        <v>6.1338797478930633</v>
      </c>
      <c r="O8476" s="43">
        <v>5.7545857954075048</v>
      </c>
      <c r="P8476" s="223"/>
      <c r="Q8476" s="223"/>
      <c r="R8476" s="223">
        <v>4</v>
      </c>
    </row>
    <row r="8477" spans="1:18" ht="36">
      <c r="A8477" s="219">
        <v>1287</v>
      </c>
      <c r="B8477" s="216" t="s">
        <v>15623</v>
      </c>
      <c r="C8477" s="220" t="s">
        <v>15624</v>
      </c>
      <c r="D8477" s="221">
        <v>102985.77</v>
      </c>
      <c r="E8477" s="221">
        <v>25650.880000000001</v>
      </c>
      <c r="F8477" s="221">
        <v>64073.45</v>
      </c>
      <c r="G8477" s="221">
        <v>13261.44</v>
      </c>
      <c r="H8477" s="222">
        <v>763816.27</v>
      </c>
      <c r="I8477" s="222">
        <v>294985.12</v>
      </c>
      <c r="J8477" s="222">
        <v>392495.02</v>
      </c>
      <c r="K8477" s="222">
        <v>76336.13</v>
      </c>
      <c r="L8477" s="43">
        <v>7.4167166007497931</v>
      </c>
      <c r="M8477" s="43">
        <v>11.5</v>
      </c>
      <c r="N8477" s="43">
        <v>6.1257044844627542</v>
      </c>
      <c r="O8477" s="43">
        <v>5.75624743617586</v>
      </c>
      <c r="P8477" s="223"/>
      <c r="Q8477" s="223"/>
      <c r="R8477" s="223">
        <v>4</v>
      </c>
    </row>
    <row r="8478" spans="1:18" ht="36">
      <c r="A8478" s="219">
        <v>1288</v>
      </c>
      <c r="B8478" s="216" t="s">
        <v>15625</v>
      </c>
      <c r="C8478" s="220" t="s">
        <v>15626</v>
      </c>
      <c r="D8478" s="221">
        <v>126778.79</v>
      </c>
      <c r="E8478" s="221">
        <v>32849.910000000003</v>
      </c>
      <c r="F8478" s="221">
        <v>79038.509999999995</v>
      </c>
      <c r="G8478" s="221">
        <v>14890.37</v>
      </c>
      <c r="H8478" s="222">
        <v>952287.06</v>
      </c>
      <c r="I8478" s="222">
        <v>377788.26</v>
      </c>
      <c r="J8478" s="222">
        <v>488284.71</v>
      </c>
      <c r="K8478" s="222">
        <v>86214.09</v>
      </c>
      <c r="L8478" s="43">
        <v>7.5114067581809234</v>
      </c>
      <c r="M8478" s="43">
        <v>11.500435161009573</v>
      </c>
      <c r="N8478" s="43">
        <v>6.1778076282055423</v>
      </c>
      <c r="O8478" s="43">
        <v>5.789922614414551</v>
      </c>
      <c r="P8478" s="223"/>
      <c r="Q8478" s="223"/>
      <c r="R8478" s="223">
        <v>4</v>
      </c>
    </row>
    <row r="8479" spans="1:18" ht="36">
      <c r="A8479" s="219">
        <v>1289</v>
      </c>
      <c r="B8479" s="216" t="s">
        <v>15627</v>
      </c>
      <c r="C8479" s="220" t="s">
        <v>15628</v>
      </c>
      <c r="D8479" s="221">
        <v>142717.25</v>
      </c>
      <c r="E8479" s="221">
        <v>36859.919999999998</v>
      </c>
      <c r="F8479" s="221">
        <v>88708.75</v>
      </c>
      <c r="G8479" s="221">
        <v>17148.580000000002</v>
      </c>
      <c r="H8479" s="222">
        <v>1070444.52</v>
      </c>
      <c r="I8479" s="222">
        <v>423905.12</v>
      </c>
      <c r="J8479" s="222">
        <v>547470.43999999994</v>
      </c>
      <c r="K8479" s="222">
        <v>99068.96</v>
      </c>
      <c r="L8479" s="43">
        <v>7.5004564619904039</v>
      </c>
      <c r="M8479" s="43">
        <v>11.500435161009573</v>
      </c>
      <c r="N8479" s="43">
        <v>6.171549480744571</v>
      </c>
      <c r="O8479" s="43">
        <v>5.7770940800929287</v>
      </c>
      <c r="P8479" s="223"/>
      <c r="Q8479" s="223"/>
      <c r="R8479" s="223">
        <v>4</v>
      </c>
    </row>
    <row r="8480" spans="1:18" ht="36">
      <c r="A8480" s="219">
        <v>1290</v>
      </c>
      <c r="B8480" s="216" t="s">
        <v>15629</v>
      </c>
      <c r="C8480" s="220" t="s">
        <v>15630</v>
      </c>
      <c r="D8480" s="221">
        <v>191319.62</v>
      </c>
      <c r="E8480" s="221">
        <v>51360.3</v>
      </c>
      <c r="F8480" s="221">
        <v>119963.57</v>
      </c>
      <c r="G8480" s="221">
        <v>19995.75</v>
      </c>
      <c r="H8480" s="222">
        <v>1454655.57</v>
      </c>
      <c r="I8480" s="222">
        <v>590665.80000000005</v>
      </c>
      <c r="J8480" s="222">
        <v>747580.82</v>
      </c>
      <c r="K8480" s="222">
        <v>116408.95</v>
      </c>
      <c r="L8480" s="43">
        <v>7.6032744054164443</v>
      </c>
      <c r="M8480" s="43">
        <v>11.500435161009573</v>
      </c>
      <c r="N8480" s="43">
        <v>6.2317320166447185</v>
      </c>
      <c r="O8480" s="43">
        <v>5.8216846079791953</v>
      </c>
      <c r="P8480" s="223"/>
      <c r="Q8480" s="223"/>
      <c r="R8480" s="223">
        <v>4</v>
      </c>
    </row>
    <row r="8481" spans="1:18" ht="36">
      <c r="A8481" s="219">
        <v>1291</v>
      </c>
      <c r="B8481" s="216" t="s">
        <v>15631</v>
      </c>
      <c r="C8481" s="220" t="s">
        <v>15632</v>
      </c>
      <c r="D8481" s="221">
        <v>227824.6</v>
      </c>
      <c r="E8481" s="221">
        <v>61850.67</v>
      </c>
      <c r="F8481" s="221">
        <v>143561.31</v>
      </c>
      <c r="G8481" s="221">
        <v>22412.62</v>
      </c>
      <c r="H8481" s="222">
        <v>1738825.21</v>
      </c>
      <c r="I8481" s="222">
        <v>711309.62</v>
      </c>
      <c r="J8481" s="222">
        <v>896568.59</v>
      </c>
      <c r="K8481" s="222">
        <v>130947</v>
      </c>
      <c r="L8481" s="43">
        <v>7.6322978730128348</v>
      </c>
      <c r="M8481" s="43">
        <v>11.500435161009573</v>
      </c>
      <c r="N8481" s="43">
        <v>6.245196494793757</v>
      </c>
      <c r="O8481" s="43">
        <v>5.8425565596525528</v>
      </c>
      <c r="P8481" s="223"/>
      <c r="Q8481" s="223"/>
      <c r="R8481" s="223">
        <v>4</v>
      </c>
    </row>
    <row r="8482" spans="1:18" ht="12.75" customHeight="1">
      <c r="A8482" s="628" t="s">
        <v>15633</v>
      </c>
      <c r="B8482" s="629"/>
      <c r="C8482" s="629"/>
      <c r="D8482" s="629"/>
      <c r="E8482" s="629"/>
      <c r="F8482" s="629"/>
      <c r="G8482" s="629"/>
      <c r="H8482" s="629"/>
      <c r="I8482" s="629"/>
      <c r="J8482" s="629"/>
      <c r="K8482" s="629"/>
      <c r="L8482" s="629"/>
      <c r="M8482" s="629"/>
      <c r="N8482" s="629"/>
      <c r="O8482" s="629"/>
      <c r="P8482" s="629"/>
      <c r="Q8482" s="629"/>
      <c r="R8482" s="629"/>
    </row>
    <row r="8483" spans="1:18" ht="36">
      <c r="A8483" s="219">
        <v>1292</v>
      </c>
      <c r="B8483" s="216" t="s">
        <v>15634</v>
      </c>
      <c r="C8483" s="220" t="s">
        <v>15635</v>
      </c>
      <c r="D8483" s="221">
        <v>11128.78</v>
      </c>
      <c r="E8483" s="221">
        <v>2877.44</v>
      </c>
      <c r="F8483" s="221">
        <v>6534.29</v>
      </c>
      <c r="G8483" s="221">
        <v>1717.05</v>
      </c>
      <c r="H8483" s="222">
        <v>82105.119999999995</v>
      </c>
      <c r="I8483" s="222">
        <v>33090.559999999998</v>
      </c>
      <c r="J8483" s="222">
        <v>39192.07</v>
      </c>
      <c r="K8483" s="222">
        <v>9822.49</v>
      </c>
      <c r="L8483" s="43">
        <v>7.3777287357643866</v>
      </c>
      <c r="M8483" s="43">
        <v>11.499999999999998</v>
      </c>
      <c r="N8483" s="43">
        <v>5.9979079593957412</v>
      </c>
      <c r="O8483" s="43">
        <v>5.7205614280306341</v>
      </c>
      <c r="P8483" s="223"/>
      <c r="Q8483" s="223"/>
      <c r="R8483" s="223">
        <v>5</v>
      </c>
    </row>
    <row r="8484" spans="1:18" ht="36">
      <c r="A8484" s="219">
        <v>1293</v>
      </c>
      <c r="B8484" s="216" t="s">
        <v>15636</v>
      </c>
      <c r="C8484" s="220" t="s">
        <v>15637</v>
      </c>
      <c r="D8484" s="221">
        <v>21120.34</v>
      </c>
      <c r="E8484" s="221">
        <v>5168.8</v>
      </c>
      <c r="F8484" s="221">
        <v>12529.43</v>
      </c>
      <c r="G8484" s="221">
        <v>3422.11</v>
      </c>
      <c r="H8484" s="222">
        <v>154014</v>
      </c>
      <c r="I8484" s="222">
        <v>59441.2</v>
      </c>
      <c r="J8484" s="222">
        <v>75064.84</v>
      </c>
      <c r="K8484" s="222">
        <v>19507.96</v>
      </c>
      <c r="L8484" s="43">
        <v>7.2922121518877061</v>
      </c>
      <c r="M8484" s="43">
        <v>11.499999999999998</v>
      </c>
      <c r="N8484" s="43">
        <v>5.9910817970171024</v>
      </c>
      <c r="O8484" s="43">
        <v>5.7005648561852187</v>
      </c>
      <c r="P8484" s="223"/>
      <c r="Q8484" s="223"/>
      <c r="R8484" s="223">
        <v>5</v>
      </c>
    </row>
    <row r="8485" spans="1:18" ht="36">
      <c r="A8485" s="219">
        <v>1294</v>
      </c>
      <c r="B8485" s="216" t="s">
        <v>15638</v>
      </c>
      <c r="C8485" s="220" t="s">
        <v>15639</v>
      </c>
      <c r="D8485" s="221">
        <v>35419.42</v>
      </c>
      <c r="E8485" s="221">
        <v>8872.16</v>
      </c>
      <c r="F8485" s="221">
        <v>21564.17</v>
      </c>
      <c r="G8485" s="221">
        <v>4983.09</v>
      </c>
      <c r="H8485" s="222">
        <v>261786.7</v>
      </c>
      <c r="I8485" s="222">
        <v>102029.84</v>
      </c>
      <c r="J8485" s="222">
        <v>131158.29999999999</v>
      </c>
      <c r="K8485" s="222">
        <v>28598.560000000001</v>
      </c>
      <c r="L8485" s="43">
        <v>7.391049881675082</v>
      </c>
      <c r="M8485" s="43">
        <v>11.5</v>
      </c>
      <c r="N8485" s="43">
        <v>6.0822327036004635</v>
      </c>
      <c r="O8485" s="43">
        <v>5.7391217096219416</v>
      </c>
      <c r="P8485" s="223"/>
      <c r="Q8485" s="223"/>
      <c r="R8485" s="223">
        <v>5</v>
      </c>
    </row>
    <row r="8486" spans="1:18" ht="36">
      <c r="A8486" s="219">
        <v>1295</v>
      </c>
      <c r="B8486" s="216" t="s">
        <v>15640</v>
      </c>
      <c r="C8486" s="220" t="s">
        <v>15641</v>
      </c>
      <c r="D8486" s="221">
        <v>46896.87</v>
      </c>
      <c r="E8486" s="221">
        <v>11632.64</v>
      </c>
      <c r="F8486" s="221">
        <v>28566.560000000001</v>
      </c>
      <c r="G8486" s="221">
        <v>6697.67</v>
      </c>
      <c r="H8486" s="222">
        <v>345642.45</v>
      </c>
      <c r="I8486" s="222">
        <v>133775.35999999999</v>
      </c>
      <c r="J8486" s="222">
        <v>173474.06</v>
      </c>
      <c r="K8486" s="222">
        <v>38393.03</v>
      </c>
      <c r="L8486" s="43">
        <v>7.37026692826195</v>
      </c>
      <c r="M8486" s="43">
        <v>11.5</v>
      </c>
      <c r="N8486" s="43">
        <v>6.0726268756196049</v>
      </c>
      <c r="O8486" s="43">
        <v>5.7322964553344669</v>
      </c>
      <c r="P8486" s="223"/>
      <c r="Q8486" s="223"/>
      <c r="R8486" s="223">
        <v>5</v>
      </c>
    </row>
    <row r="8487" spans="1:18" ht="36">
      <c r="A8487" s="219">
        <v>1296</v>
      </c>
      <c r="B8487" s="216" t="s">
        <v>15642</v>
      </c>
      <c r="C8487" s="220" t="s">
        <v>15643</v>
      </c>
      <c r="D8487" s="221">
        <v>64826.55</v>
      </c>
      <c r="E8487" s="221">
        <v>16778.72</v>
      </c>
      <c r="F8487" s="221">
        <v>39587.879999999997</v>
      </c>
      <c r="G8487" s="221">
        <v>8459.9500000000007</v>
      </c>
      <c r="H8487" s="222">
        <v>485242.83</v>
      </c>
      <c r="I8487" s="222">
        <v>192955.28</v>
      </c>
      <c r="J8487" s="222">
        <v>243551.4</v>
      </c>
      <c r="K8487" s="222">
        <v>48736.15</v>
      </c>
      <c r="L8487" s="43">
        <v>7.4852484051673276</v>
      </c>
      <c r="M8487" s="43">
        <v>11.5</v>
      </c>
      <c r="N8487" s="43">
        <v>6.1521708159163868</v>
      </c>
      <c r="O8487" s="43">
        <v>5.7608082790087405</v>
      </c>
      <c r="P8487" s="223"/>
      <c r="Q8487" s="223"/>
      <c r="R8487" s="223">
        <v>5</v>
      </c>
    </row>
    <row r="8488" spans="1:18" ht="36">
      <c r="A8488" s="219">
        <v>1297</v>
      </c>
      <c r="B8488" s="216" t="s">
        <v>15644</v>
      </c>
      <c r="C8488" s="220" t="s">
        <v>15645</v>
      </c>
      <c r="D8488" s="221">
        <v>79349.13</v>
      </c>
      <c r="E8488" s="221">
        <v>20311.68</v>
      </c>
      <c r="F8488" s="221">
        <v>48847.47</v>
      </c>
      <c r="G8488" s="221">
        <v>10189.98</v>
      </c>
      <c r="H8488" s="222">
        <v>591504.24</v>
      </c>
      <c r="I8488" s="222">
        <v>233584.32</v>
      </c>
      <c r="J8488" s="222">
        <v>299211.63</v>
      </c>
      <c r="K8488" s="222">
        <v>58708.29</v>
      </c>
      <c r="L8488" s="43">
        <v>7.4544514854794244</v>
      </c>
      <c r="M8488" s="43">
        <v>11.5</v>
      </c>
      <c r="N8488" s="43">
        <v>6.1254273762796725</v>
      </c>
      <c r="O8488" s="43">
        <v>5.7613744089782317</v>
      </c>
      <c r="P8488" s="223"/>
      <c r="Q8488" s="223"/>
      <c r="R8488" s="223">
        <v>5</v>
      </c>
    </row>
    <row r="8489" spans="1:18" ht="36">
      <c r="A8489" s="219">
        <v>1298</v>
      </c>
      <c r="B8489" s="216" t="s">
        <v>15646</v>
      </c>
      <c r="C8489" s="220" t="s">
        <v>15647</v>
      </c>
      <c r="D8489" s="221">
        <v>106338.6</v>
      </c>
      <c r="E8489" s="221">
        <v>28434.080000000002</v>
      </c>
      <c r="F8489" s="221">
        <v>65373.43</v>
      </c>
      <c r="G8489" s="221">
        <v>12531.09</v>
      </c>
      <c r="H8489" s="222">
        <v>804898.93</v>
      </c>
      <c r="I8489" s="222">
        <v>326991.92</v>
      </c>
      <c r="J8489" s="222">
        <v>405392.4</v>
      </c>
      <c r="K8489" s="222">
        <v>72514.61</v>
      </c>
      <c r="L8489" s="43">
        <v>7.569207512605959</v>
      </c>
      <c r="M8489" s="43">
        <v>11.499999999999998</v>
      </c>
      <c r="N8489" s="43">
        <v>6.2011798983164876</v>
      </c>
      <c r="O8489" s="43">
        <v>5.7867759309046543</v>
      </c>
      <c r="P8489" s="223"/>
      <c r="Q8489" s="223"/>
      <c r="R8489" s="223">
        <v>5</v>
      </c>
    </row>
    <row r="8490" spans="1:18" ht="36">
      <c r="A8490" s="219">
        <v>1299</v>
      </c>
      <c r="B8490" s="216" t="s">
        <v>15648</v>
      </c>
      <c r="C8490" s="220" t="s">
        <v>15649</v>
      </c>
      <c r="D8490" s="221">
        <v>122228.59</v>
      </c>
      <c r="E8490" s="221">
        <v>32353.279999999999</v>
      </c>
      <c r="F8490" s="221">
        <v>75605.81</v>
      </c>
      <c r="G8490" s="221">
        <v>14269.5</v>
      </c>
      <c r="H8490" s="222">
        <v>922919.8</v>
      </c>
      <c r="I8490" s="222">
        <v>372062.71999999997</v>
      </c>
      <c r="J8490" s="222">
        <v>468275.87</v>
      </c>
      <c r="K8490" s="222">
        <v>82581.210000000006</v>
      </c>
      <c r="L8490" s="43">
        <v>7.5507686049556826</v>
      </c>
      <c r="M8490" s="43">
        <v>11.5</v>
      </c>
      <c r="N8490" s="43">
        <v>6.1936492711340572</v>
      </c>
      <c r="O8490" s="43">
        <v>5.787253232418796</v>
      </c>
      <c r="P8490" s="223"/>
      <c r="Q8490" s="223"/>
      <c r="R8490" s="223">
        <v>5</v>
      </c>
    </row>
    <row r="8491" spans="1:18" ht="36">
      <c r="A8491" s="219">
        <v>1300</v>
      </c>
      <c r="B8491" s="216" t="s">
        <v>15650</v>
      </c>
      <c r="C8491" s="220" t="s">
        <v>15651</v>
      </c>
      <c r="D8491" s="221">
        <v>144913.99</v>
      </c>
      <c r="E8491" s="221">
        <v>38828.480000000003</v>
      </c>
      <c r="F8491" s="221">
        <v>89854.04</v>
      </c>
      <c r="G8491" s="221">
        <v>16231.47</v>
      </c>
      <c r="H8491" s="222">
        <v>1099539.72</v>
      </c>
      <c r="I8491" s="222">
        <v>446527.52</v>
      </c>
      <c r="J8491" s="222">
        <v>558855.99</v>
      </c>
      <c r="K8491" s="222">
        <v>94156.21</v>
      </c>
      <c r="L8491" s="43">
        <v>7.5875332671469469</v>
      </c>
      <c r="M8491" s="43">
        <v>11.5</v>
      </c>
      <c r="N8491" s="43">
        <v>6.2195978055076884</v>
      </c>
      <c r="O8491" s="43">
        <v>5.8008430536482534</v>
      </c>
      <c r="P8491" s="223"/>
      <c r="Q8491" s="223"/>
      <c r="R8491" s="223">
        <v>5</v>
      </c>
    </row>
    <row r="8492" spans="1:18" ht="36">
      <c r="A8492" s="219">
        <v>1301</v>
      </c>
      <c r="B8492" s="216" t="s">
        <v>15652</v>
      </c>
      <c r="C8492" s="220" t="s">
        <v>15653</v>
      </c>
      <c r="D8492" s="221">
        <v>165123.6</v>
      </c>
      <c r="E8492" s="221">
        <v>44326.720000000001</v>
      </c>
      <c r="F8492" s="221">
        <v>101065.09</v>
      </c>
      <c r="G8492" s="221">
        <v>19731.79</v>
      </c>
      <c r="H8492" s="222">
        <v>1251235.3400000001</v>
      </c>
      <c r="I8492" s="222">
        <v>509757.28</v>
      </c>
      <c r="J8492" s="222">
        <v>627635.77</v>
      </c>
      <c r="K8492" s="222">
        <v>113842.29</v>
      </c>
      <c r="L8492" s="43">
        <v>7.5775681973987972</v>
      </c>
      <c r="M8492" s="43">
        <v>11.5</v>
      </c>
      <c r="N8492" s="43">
        <v>6.2102133387503047</v>
      </c>
      <c r="O8492" s="43">
        <v>5.7694861946128553</v>
      </c>
      <c r="P8492" s="223"/>
      <c r="Q8492" s="223"/>
      <c r="R8492" s="223">
        <v>5</v>
      </c>
    </row>
    <row r="8493" spans="1:18" ht="36">
      <c r="A8493" s="219">
        <v>1302</v>
      </c>
      <c r="B8493" s="216" t="s">
        <v>15654</v>
      </c>
      <c r="C8493" s="220" t="s">
        <v>15655</v>
      </c>
      <c r="D8493" s="221">
        <v>221703.73</v>
      </c>
      <c r="E8493" s="221">
        <v>61571.199999999997</v>
      </c>
      <c r="F8493" s="221">
        <v>137151.82999999999</v>
      </c>
      <c r="G8493" s="221">
        <v>22980.7</v>
      </c>
      <c r="H8493" s="222">
        <v>1701099.5</v>
      </c>
      <c r="I8493" s="222">
        <v>708068.8</v>
      </c>
      <c r="J8493" s="222">
        <v>859359.33</v>
      </c>
      <c r="K8493" s="222">
        <v>133671.37</v>
      </c>
      <c r="L8493" s="43">
        <v>7.6728501590839269</v>
      </c>
      <c r="M8493" s="43">
        <v>11.500000000000002</v>
      </c>
      <c r="N8493" s="43">
        <v>6.265751831382782</v>
      </c>
      <c r="O8493" s="43">
        <v>5.8166796485746728</v>
      </c>
      <c r="P8493" s="223"/>
      <c r="Q8493" s="223"/>
      <c r="R8493" s="223">
        <v>5</v>
      </c>
    </row>
    <row r="8494" spans="1:18" ht="36">
      <c r="A8494" s="219">
        <v>1303</v>
      </c>
      <c r="B8494" s="216" t="s">
        <v>15656</v>
      </c>
      <c r="C8494" s="220" t="s">
        <v>15657</v>
      </c>
      <c r="D8494" s="221">
        <v>263268.37</v>
      </c>
      <c r="E8494" s="221">
        <v>73544.639999999999</v>
      </c>
      <c r="F8494" s="221">
        <v>163775.88</v>
      </c>
      <c r="G8494" s="221">
        <v>25947.85</v>
      </c>
      <c r="H8494" s="222">
        <v>2024959.07</v>
      </c>
      <c r="I8494" s="222">
        <v>845763.36</v>
      </c>
      <c r="J8494" s="222">
        <v>1027855.33</v>
      </c>
      <c r="K8494" s="222">
        <v>151340.38</v>
      </c>
      <c r="L8494" s="43">
        <v>7.6916154796719409</v>
      </c>
      <c r="M8494" s="43">
        <v>11.5</v>
      </c>
      <c r="N8494" s="43">
        <v>6.2759872210730903</v>
      </c>
      <c r="O8494" s="43">
        <v>5.8324824600111382</v>
      </c>
      <c r="P8494" s="223"/>
      <c r="Q8494" s="223"/>
      <c r="R8494" s="223">
        <v>5</v>
      </c>
    </row>
    <row r="8495" spans="1:18" ht="12.75" customHeight="1">
      <c r="A8495" s="628" t="s">
        <v>15658</v>
      </c>
      <c r="B8495" s="629"/>
      <c r="C8495" s="629"/>
      <c r="D8495" s="629"/>
      <c r="E8495" s="629"/>
      <c r="F8495" s="629"/>
      <c r="G8495" s="629"/>
      <c r="H8495" s="629"/>
      <c r="I8495" s="629"/>
      <c r="J8495" s="629"/>
      <c r="K8495" s="629"/>
      <c r="L8495" s="629"/>
      <c r="M8495" s="629"/>
      <c r="N8495" s="629"/>
      <c r="O8495" s="629"/>
      <c r="P8495" s="629"/>
      <c r="Q8495" s="629"/>
      <c r="R8495" s="629"/>
    </row>
    <row r="8496" spans="1:18" ht="36">
      <c r="A8496" s="219">
        <v>1304</v>
      </c>
      <c r="B8496" s="216" t="s">
        <v>15659</v>
      </c>
      <c r="C8496" s="220" t="s">
        <v>15660</v>
      </c>
      <c r="D8496" s="221">
        <v>13736.56</v>
      </c>
      <c r="E8496" s="221">
        <v>3473.16</v>
      </c>
      <c r="F8496" s="221">
        <v>8285.34</v>
      </c>
      <c r="G8496" s="221">
        <v>1978.06</v>
      </c>
      <c r="H8496" s="222">
        <v>101409.9</v>
      </c>
      <c r="I8496" s="222">
        <v>39941.339999999997</v>
      </c>
      <c r="J8496" s="222">
        <v>50017.63</v>
      </c>
      <c r="K8496" s="222">
        <v>11450.93</v>
      </c>
      <c r="L8496" s="43">
        <v>7.3824814946391237</v>
      </c>
      <c r="M8496" s="43">
        <v>11.5</v>
      </c>
      <c r="N8496" s="43">
        <v>6.0368832178281151</v>
      </c>
      <c r="O8496" s="43">
        <v>5.7889700009099831</v>
      </c>
      <c r="P8496" s="223"/>
      <c r="Q8496" s="223"/>
      <c r="R8496" s="223">
        <v>6</v>
      </c>
    </row>
    <row r="8497" spans="1:18" ht="36">
      <c r="A8497" s="219">
        <v>1305</v>
      </c>
      <c r="B8497" s="216" t="s">
        <v>15661</v>
      </c>
      <c r="C8497" s="220" t="s">
        <v>15662</v>
      </c>
      <c r="D8497" s="221">
        <v>26444.79</v>
      </c>
      <c r="E8497" s="221">
        <v>6327.52</v>
      </c>
      <c r="F8497" s="221">
        <v>16000.41</v>
      </c>
      <c r="G8497" s="221">
        <v>4116.8599999999997</v>
      </c>
      <c r="H8497" s="222">
        <v>192888.72</v>
      </c>
      <c r="I8497" s="222">
        <v>72766.48</v>
      </c>
      <c r="J8497" s="222">
        <v>96436.46</v>
      </c>
      <c r="K8497" s="222">
        <v>23685.78</v>
      </c>
      <c r="L8497" s="43">
        <v>7.2940159479428646</v>
      </c>
      <c r="M8497" s="43">
        <v>11.499999999999998</v>
      </c>
      <c r="N8497" s="43">
        <v>6.0271243049396865</v>
      </c>
      <c r="O8497" s="43">
        <v>5.753360570920556</v>
      </c>
      <c r="P8497" s="223"/>
      <c r="Q8497" s="223"/>
      <c r="R8497" s="223">
        <v>6</v>
      </c>
    </row>
    <row r="8498" spans="1:18" ht="36">
      <c r="A8498" s="219">
        <v>1306</v>
      </c>
      <c r="B8498" s="216" t="s">
        <v>15663</v>
      </c>
      <c r="C8498" s="220" t="s">
        <v>15664</v>
      </c>
      <c r="D8498" s="221">
        <v>43497.51</v>
      </c>
      <c r="E8498" s="221">
        <v>10803.36</v>
      </c>
      <c r="F8498" s="221">
        <v>26579.17</v>
      </c>
      <c r="G8498" s="221">
        <v>6114.98</v>
      </c>
      <c r="H8498" s="222">
        <v>321346.61</v>
      </c>
      <c r="I8498" s="222">
        <v>124238.64</v>
      </c>
      <c r="J8498" s="222">
        <v>161740.57</v>
      </c>
      <c r="K8498" s="222">
        <v>35367.4</v>
      </c>
      <c r="L8498" s="43">
        <v>7.3877012730153968</v>
      </c>
      <c r="M8498" s="43">
        <v>11.5</v>
      </c>
      <c r="N8498" s="43">
        <v>6.085237800879411</v>
      </c>
      <c r="O8498" s="43">
        <v>5.7837310996928863</v>
      </c>
      <c r="P8498" s="223"/>
      <c r="Q8498" s="223"/>
      <c r="R8498" s="223">
        <v>6</v>
      </c>
    </row>
    <row r="8499" spans="1:18" ht="36">
      <c r="A8499" s="219">
        <v>1307</v>
      </c>
      <c r="B8499" s="216" t="s">
        <v>15665</v>
      </c>
      <c r="C8499" s="220" t="s">
        <v>15666</v>
      </c>
      <c r="D8499" s="221">
        <v>58545.02</v>
      </c>
      <c r="E8499" s="221">
        <v>14336.32</v>
      </c>
      <c r="F8499" s="221">
        <v>36115.75</v>
      </c>
      <c r="G8499" s="221">
        <v>8092.95</v>
      </c>
      <c r="H8499" s="222">
        <v>431125.51</v>
      </c>
      <c r="I8499" s="222">
        <v>164867.68</v>
      </c>
      <c r="J8499" s="222">
        <v>219434.35</v>
      </c>
      <c r="K8499" s="222">
        <v>46823.48</v>
      </c>
      <c r="L8499" s="43">
        <v>7.3639997048425299</v>
      </c>
      <c r="M8499" s="43">
        <v>11.5</v>
      </c>
      <c r="N8499" s="43">
        <v>6.075863023750026</v>
      </c>
      <c r="O8499" s="43">
        <v>5.7857122557287521</v>
      </c>
      <c r="P8499" s="223"/>
      <c r="Q8499" s="223"/>
      <c r="R8499" s="223">
        <v>6</v>
      </c>
    </row>
    <row r="8500" spans="1:18" ht="36">
      <c r="A8500" s="219">
        <v>1308</v>
      </c>
      <c r="B8500" s="216" t="s">
        <v>15667</v>
      </c>
      <c r="C8500" s="220" t="s">
        <v>15668</v>
      </c>
      <c r="D8500" s="221">
        <v>78643.44</v>
      </c>
      <c r="E8500" s="221">
        <v>19584.64</v>
      </c>
      <c r="F8500" s="221">
        <v>48949.38</v>
      </c>
      <c r="G8500" s="221">
        <v>10109.42</v>
      </c>
      <c r="H8500" s="222">
        <v>582733.92000000004</v>
      </c>
      <c r="I8500" s="222">
        <v>225223.36</v>
      </c>
      <c r="J8500" s="222">
        <v>298808.5</v>
      </c>
      <c r="K8500" s="222">
        <v>58702.06</v>
      </c>
      <c r="L8500" s="43">
        <v>7.4098223577198556</v>
      </c>
      <c r="M8500" s="43">
        <v>11.5</v>
      </c>
      <c r="N8500" s="43">
        <v>6.1044389121986837</v>
      </c>
      <c r="O8500" s="43">
        <v>5.8066694231716554</v>
      </c>
      <c r="P8500" s="223"/>
      <c r="Q8500" s="223"/>
      <c r="R8500" s="223">
        <v>6</v>
      </c>
    </row>
    <row r="8501" spans="1:18" ht="36">
      <c r="A8501" s="219">
        <v>1309</v>
      </c>
      <c r="B8501" s="216" t="s">
        <v>15669</v>
      </c>
      <c r="C8501" s="220" t="s">
        <v>15670</v>
      </c>
      <c r="D8501" s="221">
        <v>94833.64</v>
      </c>
      <c r="E8501" s="221">
        <v>23867.360000000001</v>
      </c>
      <c r="F8501" s="221">
        <v>58862.92</v>
      </c>
      <c r="G8501" s="221">
        <v>12103.36</v>
      </c>
      <c r="H8501" s="222">
        <v>704056.98</v>
      </c>
      <c r="I8501" s="222">
        <v>274474.64</v>
      </c>
      <c r="J8501" s="222">
        <v>359245.22</v>
      </c>
      <c r="K8501" s="222">
        <v>70337.119999999995</v>
      </c>
      <c r="L8501" s="43">
        <v>7.4241269237371883</v>
      </c>
      <c r="M8501" s="43">
        <v>11.5</v>
      </c>
      <c r="N8501" s="43">
        <v>6.1030818722550633</v>
      </c>
      <c r="O8501" s="43">
        <v>5.8113713877799213</v>
      </c>
      <c r="P8501" s="223"/>
      <c r="Q8501" s="223"/>
      <c r="R8501" s="223">
        <v>6</v>
      </c>
    </row>
    <row r="8502" spans="1:18" ht="36">
      <c r="A8502" s="219">
        <v>1310</v>
      </c>
      <c r="B8502" s="216" t="s">
        <v>15671</v>
      </c>
      <c r="C8502" s="220" t="s">
        <v>15672</v>
      </c>
      <c r="D8502" s="221">
        <v>129231.62</v>
      </c>
      <c r="E8502" s="221">
        <v>34034.559999999998</v>
      </c>
      <c r="F8502" s="221">
        <v>80982.080000000002</v>
      </c>
      <c r="G8502" s="221">
        <v>14214.98</v>
      </c>
      <c r="H8502" s="222">
        <v>975521.83</v>
      </c>
      <c r="I8502" s="222">
        <v>391397.44</v>
      </c>
      <c r="J8502" s="222">
        <v>500798.89</v>
      </c>
      <c r="K8502" s="222">
        <v>83325.5</v>
      </c>
      <c r="L8502" s="43">
        <v>7.5486311322259985</v>
      </c>
      <c r="M8502" s="43">
        <v>11.5</v>
      </c>
      <c r="N8502" s="43">
        <v>6.1840704758386051</v>
      </c>
      <c r="O8502" s="43">
        <v>5.8618091618841532</v>
      </c>
      <c r="P8502" s="223"/>
      <c r="Q8502" s="223"/>
      <c r="R8502" s="223">
        <v>6</v>
      </c>
    </row>
    <row r="8503" spans="1:18" ht="36">
      <c r="A8503" s="219">
        <v>1311</v>
      </c>
      <c r="B8503" s="216" t="s">
        <v>15673</v>
      </c>
      <c r="C8503" s="220" t="s">
        <v>15674</v>
      </c>
      <c r="D8503" s="221">
        <v>147646.63</v>
      </c>
      <c r="E8503" s="221">
        <v>38555.839999999997</v>
      </c>
      <c r="F8503" s="221">
        <v>92704</v>
      </c>
      <c r="G8503" s="221">
        <v>16386.79</v>
      </c>
      <c r="H8503" s="222">
        <v>1112522.53</v>
      </c>
      <c r="I8503" s="222">
        <v>443392.16</v>
      </c>
      <c r="J8503" s="222">
        <v>573188.76</v>
      </c>
      <c r="K8503" s="222">
        <v>95941.61</v>
      </c>
      <c r="L8503" s="43">
        <v>7.5350350360180922</v>
      </c>
      <c r="M8503" s="43">
        <v>11.5</v>
      </c>
      <c r="N8503" s="43">
        <v>6.1829992233344839</v>
      </c>
      <c r="O8503" s="43">
        <v>5.8548141521310759</v>
      </c>
      <c r="P8503" s="223"/>
      <c r="Q8503" s="223"/>
      <c r="R8503" s="223">
        <v>6</v>
      </c>
    </row>
    <row r="8504" spans="1:18" ht="36">
      <c r="A8504" s="219">
        <v>1312</v>
      </c>
      <c r="B8504" s="216" t="s">
        <v>15675</v>
      </c>
      <c r="C8504" s="220" t="s">
        <v>15676</v>
      </c>
      <c r="D8504" s="221">
        <v>176243.11</v>
      </c>
      <c r="E8504" s="221">
        <v>47189.440000000002</v>
      </c>
      <c r="F8504" s="221">
        <v>110585.93</v>
      </c>
      <c r="G8504" s="221">
        <v>18467.740000000002</v>
      </c>
      <c r="H8504" s="222">
        <v>1338234.33</v>
      </c>
      <c r="I8504" s="222">
        <v>542678.56000000006</v>
      </c>
      <c r="J8504" s="222">
        <v>686978.48</v>
      </c>
      <c r="K8504" s="222">
        <v>108577.29</v>
      </c>
      <c r="L8504" s="43">
        <v>7.5931157252048047</v>
      </c>
      <c r="M8504" s="43">
        <v>11.5</v>
      </c>
      <c r="N8504" s="43">
        <v>6.2121689440962342</v>
      </c>
      <c r="O8504" s="43">
        <v>5.8792949218475021</v>
      </c>
      <c r="P8504" s="223"/>
      <c r="Q8504" s="223"/>
      <c r="R8504" s="223">
        <v>6</v>
      </c>
    </row>
    <row r="8505" spans="1:18" ht="36">
      <c r="A8505" s="219">
        <v>1313</v>
      </c>
      <c r="B8505" s="216" t="s">
        <v>15677</v>
      </c>
      <c r="C8505" s="220" t="s">
        <v>15678</v>
      </c>
      <c r="D8505" s="221">
        <v>199108.14</v>
      </c>
      <c r="E8505" s="221">
        <v>53426.080000000002</v>
      </c>
      <c r="F8505" s="221">
        <v>123969.61</v>
      </c>
      <c r="G8505" s="221">
        <v>21712.45</v>
      </c>
      <c r="H8505" s="222">
        <v>1510886.01</v>
      </c>
      <c r="I8505" s="222">
        <v>614399.92000000004</v>
      </c>
      <c r="J8505" s="222">
        <v>769341.04</v>
      </c>
      <c r="K8505" s="222">
        <v>127145.05</v>
      </c>
      <c r="L8505" s="43">
        <v>7.5882684153445457</v>
      </c>
      <c r="M8505" s="43">
        <v>11.5</v>
      </c>
      <c r="N8505" s="43">
        <v>6.2058841679021173</v>
      </c>
      <c r="O8505" s="43">
        <v>5.8558591959912398</v>
      </c>
      <c r="P8505" s="223"/>
      <c r="Q8505" s="223"/>
      <c r="R8505" s="223">
        <v>6</v>
      </c>
    </row>
    <row r="8506" spans="1:18" ht="36">
      <c r="A8506" s="219">
        <v>1314</v>
      </c>
      <c r="B8506" s="216" t="s">
        <v>15679</v>
      </c>
      <c r="C8506" s="220" t="s">
        <v>15680</v>
      </c>
      <c r="D8506" s="221">
        <v>245295.86</v>
      </c>
      <c r="E8506" s="221">
        <v>67716.960000000006</v>
      </c>
      <c r="F8506" s="221">
        <v>153497.63</v>
      </c>
      <c r="G8506" s="221">
        <v>24081.27</v>
      </c>
      <c r="H8506" s="222">
        <v>1881870.81</v>
      </c>
      <c r="I8506" s="222">
        <v>778745.04</v>
      </c>
      <c r="J8506" s="222">
        <v>961102.69</v>
      </c>
      <c r="K8506" s="222">
        <v>142023.07999999999</v>
      </c>
      <c r="L8506" s="43">
        <v>7.6718408945018481</v>
      </c>
      <c r="M8506" s="43">
        <v>11.5</v>
      </c>
      <c r="N8506" s="43">
        <v>6.2613519830892495</v>
      </c>
      <c r="O8506" s="43">
        <v>5.8976573909930821</v>
      </c>
      <c r="P8506" s="223"/>
      <c r="Q8506" s="223"/>
      <c r="R8506" s="223">
        <v>6</v>
      </c>
    </row>
    <row r="8507" spans="1:18" ht="36">
      <c r="A8507" s="219">
        <v>1315</v>
      </c>
      <c r="B8507" s="216" t="s">
        <v>15681</v>
      </c>
      <c r="C8507" s="220" t="s">
        <v>15682</v>
      </c>
      <c r="D8507" s="221">
        <v>268060.61</v>
      </c>
      <c r="E8507" s="221">
        <v>74021.759999999995</v>
      </c>
      <c r="F8507" s="221">
        <v>167923.01</v>
      </c>
      <c r="G8507" s="221">
        <v>26115.84</v>
      </c>
      <c r="H8507" s="222">
        <v>2056482.46</v>
      </c>
      <c r="I8507" s="222">
        <v>851250.24</v>
      </c>
      <c r="J8507" s="222">
        <v>1051109.1000000001</v>
      </c>
      <c r="K8507" s="222">
        <v>154123.12</v>
      </c>
      <c r="L8507" s="43">
        <v>7.671707006859382</v>
      </c>
      <c r="M8507" s="43">
        <v>11.5</v>
      </c>
      <c r="N8507" s="43">
        <v>6.2594703370312388</v>
      </c>
      <c r="O8507" s="43">
        <v>5.9015187717492523</v>
      </c>
      <c r="P8507" s="223"/>
      <c r="Q8507" s="223"/>
      <c r="R8507" s="223">
        <v>6</v>
      </c>
    </row>
    <row r="8508" spans="1:18" ht="36">
      <c r="A8508" s="219">
        <v>1316</v>
      </c>
      <c r="B8508" s="216" t="s">
        <v>15683</v>
      </c>
      <c r="C8508" s="220" t="s">
        <v>15684</v>
      </c>
      <c r="D8508" s="221">
        <v>318866.84999999998</v>
      </c>
      <c r="E8508" s="221">
        <v>88358.080000000002</v>
      </c>
      <c r="F8508" s="221">
        <v>199948.2</v>
      </c>
      <c r="G8508" s="221">
        <v>30560.57</v>
      </c>
      <c r="H8508" s="222">
        <v>2449710.31</v>
      </c>
      <c r="I8508" s="222">
        <v>1016117.92</v>
      </c>
      <c r="J8508" s="222">
        <v>1253060.57</v>
      </c>
      <c r="K8508" s="222">
        <v>180531.82</v>
      </c>
      <c r="L8508" s="43">
        <v>7.6825493462239809</v>
      </c>
      <c r="M8508" s="43">
        <v>11.5</v>
      </c>
      <c r="N8508" s="43">
        <v>6.2669259838298119</v>
      </c>
      <c r="O8508" s="43">
        <v>5.9073446601290494</v>
      </c>
      <c r="P8508" s="223"/>
      <c r="Q8508" s="223"/>
      <c r="R8508" s="223">
        <v>6</v>
      </c>
    </row>
    <row r="8509" spans="1:18" ht="12.75" customHeight="1">
      <c r="A8509" s="628" t="s">
        <v>15685</v>
      </c>
      <c r="B8509" s="629"/>
      <c r="C8509" s="629"/>
      <c r="D8509" s="629"/>
      <c r="E8509" s="629"/>
      <c r="F8509" s="629"/>
      <c r="G8509" s="629"/>
      <c r="H8509" s="629"/>
      <c r="I8509" s="629"/>
      <c r="J8509" s="629"/>
      <c r="K8509" s="629"/>
      <c r="L8509" s="629"/>
      <c r="M8509" s="629"/>
      <c r="N8509" s="629"/>
      <c r="O8509" s="629"/>
      <c r="P8509" s="629"/>
      <c r="Q8509" s="629"/>
      <c r="R8509" s="629"/>
    </row>
    <row r="8510" spans="1:18" ht="36">
      <c r="A8510" s="219">
        <v>1317</v>
      </c>
      <c r="B8510" s="216" t="s">
        <v>15686</v>
      </c>
      <c r="C8510" s="220" t="s">
        <v>15687</v>
      </c>
      <c r="D8510" s="221">
        <v>15032.65</v>
      </c>
      <c r="E8510" s="221">
        <v>3907.84</v>
      </c>
      <c r="F8510" s="221">
        <v>8958.66</v>
      </c>
      <c r="G8510" s="221">
        <v>2166.15</v>
      </c>
      <c r="H8510" s="222">
        <v>111882.92</v>
      </c>
      <c r="I8510" s="222">
        <v>44940.160000000003</v>
      </c>
      <c r="J8510" s="222">
        <v>54412.04</v>
      </c>
      <c r="K8510" s="222">
        <v>12530.72</v>
      </c>
      <c r="L8510" s="43">
        <v>7.4426611409166048</v>
      </c>
      <c r="M8510" s="43">
        <v>11.5</v>
      </c>
      <c r="N8510" s="43">
        <v>6.0736806620632997</v>
      </c>
      <c r="O8510" s="43">
        <v>5.7847886803776278</v>
      </c>
      <c r="P8510" s="223"/>
      <c r="Q8510" s="223"/>
      <c r="R8510" s="223">
        <v>7</v>
      </c>
    </row>
    <row r="8511" spans="1:18" ht="36">
      <c r="A8511" s="219">
        <v>1318</v>
      </c>
      <c r="B8511" s="216" t="s">
        <v>15688</v>
      </c>
      <c r="C8511" s="220" t="s">
        <v>15689</v>
      </c>
      <c r="D8511" s="221">
        <v>28819.95</v>
      </c>
      <c r="E8511" s="221">
        <v>7145.44</v>
      </c>
      <c r="F8511" s="221">
        <v>17528.849999999999</v>
      </c>
      <c r="G8511" s="221">
        <v>4145.66</v>
      </c>
      <c r="H8511" s="222">
        <v>212657.54</v>
      </c>
      <c r="I8511" s="222">
        <v>82172.56</v>
      </c>
      <c r="J8511" s="222">
        <v>106505.09</v>
      </c>
      <c r="K8511" s="222">
        <v>23979.89</v>
      </c>
      <c r="L8511" s="43">
        <v>7.378830983398653</v>
      </c>
      <c r="M8511" s="43">
        <v>11.5</v>
      </c>
      <c r="N8511" s="43">
        <v>6.0759884419114778</v>
      </c>
      <c r="O8511" s="43">
        <v>5.7843359079133361</v>
      </c>
      <c r="P8511" s="223"/>
      <c r="Q8511" s="223"/>
      <c r="R8511" s="223">
        <v>7</v>
      </c>
    </row>
    <row r="8512" spans="1:18" ht="36">
      <c r="A8512" s="219">
        <v>1319</v>
      </c>
      <c r="B8512" s="216" t="s">
        <v>15690</v>
      </c>
      <c r="C8512" s="220" t="s">
        <v>15691</v>
      </c>
      <c r="D8512" s="221">
        <v>45851.49</v>
      </c>
      <c r="E8512" s="221">
        <v>11803.04</v>
      </c>
      <c r="F8512" s="221">
        <v>28240.69</v>
      </c>
      <c r="G8512" s="221">
        <v>5807.76</v>
      </c>
      <c r="H8512" s="222">
        <v>342160.09</v>
      </c>
      <c r="I8512" s="222">
        <v>135734.96</v>
      </c>
      <c r="J8512" s="222">
        <v>172518.52</v>
      </c>
      <c r="K8512" s="222">
        <v>33906.61</v>
      </c>
      <c r="L8512" s="43">
        <v>7.4623548765808927</v>
      </c>
      <c r="M8512" s="43">
        <v>11.499999999999998</v>
      </c>
      <c r="N8512" s="43">
        <v>6.108863487400626</v>
      </c>
      <c r="O8512" s="43">
        <v>5.8381561910271778</v>
      </c>
      <c r="P8512" s="223"/>
      <c r="Q8512" s="223"/>
      <c r="R8512" s="223">
        <v>7</v>
      </c>
    </row>
    <row r="8513" spans="1:18" ht="36">
      <c r="A8513" s="219">
        <v>1320</v>
      </c>
      <c r="B8513" s="216" t="s">
        <v>15692</v>
      </c>
      <c r="C8513" s="220" t="s">
        <v>15693</v>
      </c>
      <c r="D8513" s="221">
        <v>62527.29</v>
      </c>
      <c r="E8513" s="221">
        <v>15642.72</v>
      </c>
      <c r="F8513" s="221">
        <v>38913.71</v>
      </c>
      <c r="G8513" s="221">
        <v>7970.86</v>
      </c>
      <c r="H8513" s="222">
        <v>463145.55</v>
      </c>
      <c r="I8513" s="222">
        <v>179891.28</v>
      </c>
      <c r="J8513" s="222">
        <v>236844.68</v>
      </c>
      <c r="K8513" s="222">
        <v>46409.59</v>
      </c>
      <c r="L8513" s="43">
        <v>7.4070945662286016</v>
      </c>
      <c r="M8513" s="43">
        <v>11.5</v>
      </c>
      <c r="N8513" s="43">
        <v>6.0864070786362952</v>
      </c>
      <c r="O8513" s="43">
        <v>5.8224068670130951</v>
      </c>
      <c r="P8513" s="223"/>
      <c r="Q8513" s="223"/>
      <c r="R8513" s="223">
        <v>7</v>
      </c>
    </row>
    <row r="8514" spans="1:18" ht="36">
      <c r="A8514" s="219">
        <v>1321</v>
      </c>
      <c r="B8514" s="216" t="s">
        <v>15694</v>
      </c>
      <c r="C8514" s="220" t="s">
        <v>15695</v>
      </c>
      <c r="D8514" s="221">
        <v>86560.82</v>
      </c>
      <c r="E8514" s="221">
        <v>22208.799999999999</v>
      </c>
      <c r="F8514" s="221">
        <v>54158.67</v>
      </c>
      <c r="G8514" s="221">
        <v>10193.35</v>
      </c>
      <c r="H8514" s="222">
        <v>647661.84</v>
      </c>
      <c r="I8514" s="222">
        <v>255401.2</v>
      </c>
      <c r="J8514" s="222">
        <v>332687.25</v>
      </c>
      <c r="K8514" s="222">
        <v>59573.39</v>
      </c>
      <c r="L8514" s="43">
        <v>7.4821592494156119</v>
      </c>
      <c r="M8514" s="43">
        <v>11.500000000000002</v>
      </c>
      <c r="N8514" s="43">
        <v>6.1428253315674111</v>
      </c>
      <c r="O8514" s="43">
        <v>5.8443387110223819</v>
      </c>
      <c r="P8514" s="223"/>
      <c r="Q8514" s="223"/>
      <c r="R8514" s="223">
        <v>7</v>
      </c>
    </row>
    <row r="8515" spans="1:18" ht="36">
      <c r="A8515" s="219">
        <v>1322</v>
      </c>
      <c r="B8515" s="216" t="s">
        <v>15696</v>
      </c>
      <c r="C8515" s="220" t="s">
        <v>15697</v>
      </c>
      <c r="D8515" s="221">
        <v>103989.6</v>
      </c>
      <c r="E8515" s="221">
        <v>27002.720000000001</v>
      </c>
      <c r="F8515" s="221">
        <v>64782.83</v>
      </c>
      <c r="G8515" s="221">
        <v>12204.05</v>
      </c>
      <c r="H8515" s="222">
        <v>779967.92</v>
      </c>
      <c r="I8515" s="222">
        <v>310531.28000000003</v>
      </c>
      <c r="J8515" s="222">
        <v>398055.01</v>
      </c>
      <c r="K8515" s="222">
        <v>71381.63</v>
      </c>
      <c r="L8515" s="43">
        <v>7.5004415826198008</v>
      </c>
      <c r="M8515" s="43">
        <v>11.5</v>
      </c>
      <c r="N8515" s="43">
        <v>6.1444523186159046</v>
      </c>
      <c r="O8515" s="43">
        <v>5.8490115986086595</v>
      </c>
      <c r="P8515" s="223"/>
      <c r="Q8515" s="223"/>
      <c r="R8515" s="223">
        <v>7</v>
      </c>
    </row>
    <row r="8516" spans="1:18" ht="36">
      <c r="A8516" s="219">
        <v>1323</v>
      </c>
      <c r="B8516" s="216" t="s">
        <v>15698</v>
      </c>
      <c r="C8516" s="220" t="s">
        <v>15699</v>
      </c>
      <c r="D8516" s="221">
        <v>141992.13</v>
      </c>
      <c r="E8516" s="221">
        <v>38260.480000000003</v>
      </c>
      <c r="F8516" s="221">
        <v>89388.27</v>
      </c>
      <c r="G8516" s="221">
        <v>14343.38</v>
      </c>
      <c r="H8516" s="222">
        <v>1079936</v>
      </c>
      <c r="I8516" s="222">
        <v>439995.52</v>
      </c>
      <c r="J8516" s="222">
        <v>555269.34</v>
      </c>
      <c r="K8516" s="222">
        <v>84671.14</v>
      </c>
      <c r="L8516" s="43">
        <v>7.6056046204814303</v>
      </c>
      <c r="M8516" s="43">
        <v>11.5</v>
      </c>
      <c r="N8516" s="43">
        <v>6.2118814918333234</v>
      </c>
      <c r="O8516" s="43">
        <v>5.9031511401078411</v>
      </c>
      <c r="P8516" s="223"/>
      <c r="Q8516" s="223"/>
      <c r="R8516" s="223">
        <v>7</v>
      </c>
    </row>
    <row r="8517" spans="1:18" ht="36">
      <c r="A8517" s="219">
        <v>1324</v>
      </c>
      <c r="B8517" s="216" t="s">
        <v>15700</v>
      </c>
      <c r="C8517" s="220" t="s">
        <v>15701</v>
      </c>
      <c r="D8517" s="221">
        <v>162197.35999999999</v>
      </c>
      <c r="E8517" s="221">
        <v>43361.120000000003</v>
      </c>
      <c r="F8517" s="221">
        <v>102302.92</v>
      </c>
      <c r="G8517" s="221">
        <v>16533.32</v>
      </c>
      <c r="H8517" s="222">
        <v>1231523.81</v>
      </c>
      <c r="I8517" s="222">
        <v>498652.88</v>
      </c>
      <c r="J8517" s="222">
        <v>635394.74</v>
      </c>
      <c r="K8517" s="222">
        <v>97476.19</v>
      </c>
      <c r="L8517" s="43">
        <v>7.5927487968978049</v>
      </c>
      <c r="M8517" s="43">
        <v>11.5</v>
      </c>
      <c r="N8517" s="43">
        <v>6.2109149963656956</v>
      </c>
      <c r="O8517" s="43">
        <v>5.8957420530177851</v>
      </c>
      <c r="P8517" s="223"/>
      <c r="Q8517" s="223"/>
      <c r="R8517" s="223">
        <v>7</v>
      </c>
    </row>
    <row r="8518" spans="1:18" ht="36">
      <c r="A8518" s="219">
        <v>1325</v>
      </c>
      <c r="B8518" s="216" t="s">
        <v>15702</v>
      </c>
      <c r="C8518" s="220" t="s">
        <v>15703</v>
      </c>
      <c r="D8518" s="221">
        <v>197314.94</v>
      </c>
      <c r="E8518" s="221">
        <v>54380.32</v>
      </c>
      <c r="F8518" s="221">
        <v>124266.73</v>
      </c>
      <c r="G8518" s="221">
        <v>18667.89</v>
      </c>
      <c r="H8518" s="222">
        <v>1512455.55</v>
      </c>
      <c r="I8518" s="222">
        <v>625373.68000000005</v>
      </c>
      <c r="J8518" s="222">
        <v>776371.02</v>
      </c>
      <c r="K8518" s="222">
        <v>110710.85</v>
      </c>
      <c r="L8518" s="43">
        <v>7.665185160333019</v>
      </c>
      <c r="M8518" s="43">
        <v>11.500000000000002</v>
      </c>
      <c r="N8518" s="43">
        <v>6.2476176849587981</v>
      </c>
      <c r="O8518" s="43">
        <v>5.9305497300444783</v>
      </c>
      <c r="P8518" s="223"/>
      <c r="Q8518" s="223"/>
      <c r="R8518" s="223">
        <v>7</v>
      </c>
    </row>
    <row r="8519" spans="1:18" ht="36">
      <c r="A8519" s="219">
        <v>1326</v>
      </c>
      <c r="B8519" s="216" t="s">
        <v>15704</v>
      </c>
      <c r="C8519" s="220" t="s">
        <v>15705</v>
      </c>
      <c r="D8519" s="221">
        <v>222420.5</v>
      </c>
      <c r="E8519" s="221">
        <v>60946.400000000001</v>
      </c>
      <c r="F8519" s="221">
        <v>139369.57999999999</v>
      </c>
      <c r="G8519" s="221">
        <v>22104.52</v>
      </c>
      <c r="H8519" s="222">
        <v>1701647.25</v>
      </c>
      <c r="I8519" s="222">
        <v>700883.6</v>
      </c>
      <c r="J8519" s="222">
        <v>869786.1</v>
      </c>
      <c r="K8519" s="222">
        <v>130977.55</v>
      </c>
      <c r="L8519" s="43">
        <v>7.6505863892941521</v>
      </c>
      <c r="M8519" s="43">
        <v>11.5</v>
      </c>
      <c r="N8519" s="43">
        <v>6.2408604517571202</v>
      </c>
      <c r="O8519" s="43">
        <v>5.9253740863859514</v>
      </c>
      <c r="P8519" s="223"/>
      <c r="Q8519" s="223"/>
      <c r="R8519" s="223">
        <v>7</v>
      </c>
    </row>
    <row r="8520" spans="1:18" ht="36">
      <c r="A8520" s="219">
        <v>1327</v>
      </c>
      <c r="B8520" s="216" t="s">
        <v>15706</v>
      </c>
      <c r="C8520" s="220" t="s">
        <v>15707</v>
      </c>
      <c r="D8520" s="221">
        <v>305111.45</v>
      </c>
      <c r="E8520" s="221">
        <v>86540.479999999996</v>
      </c>
      <c r="F8520" s="221">
        <v>191861.71</v>
      </c>
      <c r="G8520" s="221">
        <v>26709.26</v>
      </c>
      <c r="H8520" s="222">
        <v>2362915.7200000002</v>
      </c>
      <c r="I8520" s="222">
        <v>995215.52</v>
      </c>
      <c r="J8520" s="222">
        <v>1208301.95</v>
      </c>
      <c r="K8520" s="222">
        <v>159398.25</v>
      </c>
      <c r="L8520" s="43">
        <v>7.7444347631005002</v>
      </c>
      <c r="M8520" s="43">
        <v>11.5</v>
      </c>
      <c r="N8520" s="43">
        <v>6.2977753612224134</v>
      </c>
      <c r="O8520" s="43">
        <v>5.967902143301612</v>
      </c>
      <c r="P8520" s="223"/>
      <c r="Q8520" s="223"/>
      <c r="R8520" s="223">
        <v>7</v>
      </c>
    </row>
    <row r="8521" spans="1:18" ht="36">
      <c r="A8521" s="219">
        <v>1328</v>
      </c>
      <c r="B8521" s="216" t="s">
        <v>15708</v>
      </c>
      <c r="C8521" s="220" t="s">
        <v>15709</v>
      </c>
      <c r="D8521" s="221">
        <v>369007.7</v>
      </c>
      <c r="E8521" s="221">
        <v>105011.84</v>
      </c>
      <c r="F8521" s="221">
        <v>232830.86</v>
      </c>
      <c r="G8521" s="221">
        <v>31165</v>
      </c>
      <c r="H8521" s="222">
        <v>2863396.4</v>
      </c>
      <c r="I8521" s="222">
        <v>1207636.1599999999</v>
      </c>
      <c r="J8521" s="222">
        <v>1469635.25</v>
      </c>
      <c r="K8521" s="222">
        <v>186124.99</v>
      </c>
      <c r="L8521" s="43">
        <v>7.7597199191236381</v>
      </c>
      <c r="M8521" s="43">
        <v>11.5</v>
      </c>
      <c r="N8521" s="43">
        <v>6.3120294706638118</v>
      </c>
      <c r="O8521" s="43">
        <v>5.9722441841809717</v>
      </c>
      <c r="P8521" s="223"/>
      <c r="Q8521" s="223"/>
      <c r="R8521" s="223">
        <v>7</v>
      </c>
    </row>
    <row r="8522" spans="1:18" ht="12.75" customHeight="1">
      <c r="A8522" s="628" t="s">
        <v>15710</v>
      </c>
      <c r="B8522" s="629"/>
      <c r="C8522" s="629"/>
      <c r="D8522" s="629"/>
      <c r="E8522" s="629"/>
      <c r="F8522" s="629"/>
      <c r="G8522" s="629"/>
      <c r="H8522" s="629"/>
      <c r="I8522" s="629"/>
      <c r="J8522" s="629"/>
      <c r="K8522" s="629"/>
      <c r="L8522" s="629"/>
      <c r="M8522" s="629"/>
      <c r="N8522" s="629"/>
      <c r="O8522" s="629"/>
      <c r="P8522" s="629"/>
      <c r="Q8522" s="629"/>
      <c r="R8522" s="629"/>
    </row>
    <row r="8523" spans="1:18" ht="24">
      <c r="A8523" s="219">
        <v>1329</v>
      </c>
      <c r="B8523" s="216" t="s">
        <v>15711</v>
      </c>
      <c r="C8523" s="220" t="s">
        <v>15712</v>
      </c>
      <c r="D8523" s="221">
        <v>6216.97</v>
      </c>
      <c r="E8523" s="221">
        <v>1573.6</v>
      </c>
      <c r="F8523" s="221">
        <v>4049.27</v>
      </c>
      <c r="G8523" s="221">
        <v>594.1</v>
      </c>
      <c r="H8523" s="222">
        <v>46016.91</v>
      </c>
      <c r="I8523" s="222">
        <v>18096.400000000001</v>
      </c>
      <c r="J8523" s="222">
        <v>24410.41</v>
      </c>
      <c r="K8523" s="222">
        <v>3510.1</v>
      </c>
      <c r="L8523" s="43">
        <v>7.4018227528844438</v>
      </c>
      <c r="M8523" s="43">
        <v>11.500000000000002</v>
      </c>
      <c r="N8523" s="43">
        <v>6.0283483195736514</v>
      </c>
      <c r="O8523" s="43">
        <v>5.9082646019188685</v>
      </c>
      <c r="P8523" s="223"/>
      <c r="Q8523" s="223"/>
      <c r="R8523" s="223">
        <v>8</v>
      </c>
    </row>
    <row r="8524" spans="1:18" ht="24">
      <c r="A8524" s="219">
        <v>1330</v>
      </c>
      <c r="B8524" s="216" t="s">
        <v>15713</v>
      </c>
      <c r="C8524" s="220" t="s">
        <v>15714</v>
      </c>
      <c r="D8524" s="221">
        <v>11803.02</v>
      </c>
      <c r="E8524" s="221">
        <v>2742.56</v>
      </c>
      <c r="F8524" s="221">
        <v>7880.35</v>
      </c>
      <c r="G8524" s="221">
        <v>1180.1099999999999</v>
      </c>
      <c r="H8524" s="222">
        <v>86079.72</v>
      </c>
      <c r="I8524" s="222">
        <v>31539.439999999999</v>
      </c>
      <c r="J8524" s="222">
        <v>47613.120000000003</v>
      </c>
      <c r="K8524" s="222">
        <v>6927.16</v>
      </c>
      <c r="L8524" s="43">
        <v>7.2930250054647026</v>
      </c>
      <c r="M8524" s="43">
        <v>11.5</v>
      </c>
      <c r="N8524" s="43">
        <v>6.0420057484756384</v>
      </c>
      <c r="O8524" s="43">
        <v>5.8699273796510498</v>
      </c>
      <c r="P8524" s="223"/>
      <c r="Q8524" s="223"/>
      <c r="R8524" s="223">
        <v>8</v>
      </c>
    </row>
    <row r="8525" spans="1:18" ht="24">
      <c r="A8525" s="219">
        <v>1331</v>
      </c>
      <c r="B8525" s="216" t="s">
        <v>15715</v>
      </c>
      <c r="C8525" s="220" t="s">
        <v>15716</v>
      </c>
      <c r="D8525" s="221">
        <v>21089.26</v>
      </c>
      <c r="E8525" s="221">
        <v>5282.4</v>
      </c>
      <c r="F8525" s="221">
        <v>14013.32</v>
      </c>
      <c r="G8525" s="221">
        <v>1793.54</v>
      </c>
      <c r="H8525" s="222">
        <v>157711.54999999999</v>
      </c>
      <c r="I8525" s="222">
        <v>60747.6</v>
      </c>
      <c r="J8525" s="222">
        <v>86304.39</v>
      </c>
      <c r="K8525" s="222">
        <v>10659.56</v>
      </c>
      <c r="L8525" s="43">
        <v>7.4782875264471107</v>
      </c>
      <c r="M8525" s="43">
        <v>11.5</v>
      </c>
      <c r="N8525" s="43">
        <v>6.1587396848141625</v>
      </c>
      <c r="O8525" s="43">
        <v>5.9433076485609462</v>
      </c>
      <c r="P8525" s="223"/>
      <c r="Q8525" s="223"/>
      <c r="R8525" s="223">
        <v>8</v>
      </c>
    </row>
    <row r="8526" spans="1:18" ht="24">
      <c r="A8526" s="219">
        <v>1332</v>
      </c>
      <c r="B8526" s="216" t="s">
        <v>15717</v>
      </c>
      <c r="C8526" s="220" t="s">
        <v>15718</v>
      </c>
      <c r="D8526" s="221">
        <v>27995.759999999998</v>
      </c>
      <c r="E8526" s="221">
        <v>6963.68</v>
      </c>
      <c r="F8526" s="221">
        <v>18642.28</v>
      </c>
      <c r="G8526" s="221">
        <v>2389.8000000000002</v>
      </c>
      <c r="H8526" s="222">
        <v>209143.66</v>
      </c>
      <c r="I8526" s="222">
        <v>80082.320000000007</v>
      </c>
      <c r="J8526" s="222">
        <v>114866.97</v>
      </c>
      <c r="K8526" s="222">
        <v>14194.37</v>
      </c>
      <c r="L8526" s="43">
        <v>7.4705476829348454</v>
      </c>
      <c r="M8526" s="43">
        <v>11.5</v>
      </c>
      <c r="N8526" s="43">
        <v>6.1616374177407485</v>
      </c>
      <c r="O8526" s="43">
        <v>5.9395639802493934</v>
      </c>
      <c r="P8526" s="223"/>
      <c r="Q8526" s="223"/>
      <c r="R8526" s="223">
        <v>8</v>
      </c>
    </row>
    <row r="8527" spans="1:18" ht="24">
      <c r="A8527" s="219">
        <v>1333</v>
      </c>
      <c r="B8527" s="216" t="s">
        <v>15719</v>
      </c>
      <c r="C8527" s="220" t="s">
        <v>15720</v>
      </c>
      <c r="D8527" s="221">
        <v>39578.080000000002</v>
      </c>
      <c r="E8527" s="221">
        <v>10348.959999999999</v>
      </c>
      <c r="F8527" s="221">
        <v>26208.98</v>
      </c>
      <c r="G8527" s="221">
        <v>3020.14</v>
      </c>
      <c r="H8527" s="222">
        <v>300352.56</v>
      </c>
      <c r="I8527" s="222">
        <v>119013.04</v>
      </c>
      <c r="J8527" s="222">
        <v>163218.29</v>
      </c>
      <c r="K8527" s="222">
        <v>18121.23</v>
      </c>
      <c r="L8527" s="43">
        <v>7.5888613090882622</v>
      </c>
      <c r="M8527" s="43">
        <v>11.5</v>
      </c>
      <c r="N8527" s="43">
        <v>6.2275712370340246</v>
      </c>
      <c r="O8527" s="43">
        <v>6.0001291330865456</v>
      </c>
      <c r="P8527" s="223"/>
      <c r="Q8527" s="223"/>
      <c r="R8527" s="223">
        <v>8</v>
      </c>
    </row>
    <row r="8528" spans="1:18" ht="12.75" customHeight="1">
      <c r="A8528" s="628" t="s">
        <v>15721</v>
      </c>
      <c r="B8528" s="629"/>
      <c r="C8528" s="629"/>
      <c r="D8528" s="629"/>
      <c r="E8528" s="629"/>
      <c r="F8528" s="629"/>
      <c r="G8528" s="629"/>
      <c r="H8528" s="629"/>
      <c r="I8528" s="629"/>
      <c r="J8528" s="629"/>
      <c r="K8528" s="629"/>
      <c r="L8528" s="629"/>
      <c r="M8528" s="629"/>
      <c r="N8528" s="629"/>
      <c r="O8528" s="629"/>
      <c r="P8528" s="629"/>
      <c r="Q8528" s="629"/>
      <c r="R8528" s="629"/>
    </row>
    <row r="8529" spans="1:18" ht="24">
      <c r="A8529" s="219">
        <v>1334</v>
      </c>
      <c r="B8529" s="216" t="s">
        <v>15722</v>
      </c>
      <c r="C8529" s="220" t="s">
        <v>15723</v>
      </c>
      <c r="D8529" s="221">
        <v>6875.65</v>
      </c>
      <c r="E8529" s="221">
        <v>1674.76</v>
      </c>
      <c r="F8529" s="221">
        <v>4597.05</v>
      </c>
      <c r="G8529" s="221">
        <v>603.84</v>
      </c>
      <c r="H8529" s="222">
        <v>50331.1</v>
      </c>
      <c r="I8529" s="222">
        <v>19259.740000000002</v>
      </c>
      <c r="J8529" s="222">
        <v>27483.57</v>
      </c>
      <c r="K8529" s="222">
        <v>3587.79</v>
      </c>
      <c r="L8529" s="43">
        <v>7.3201951815464721</v>
      </c>
      <c r="M8529" s="43">
        <v>11.500000000000002</v>
      </c>
      <c r="N8529" s="43">
        <v>5.9785231833458408</v>
      </c>
      <c r="O8529" s="43">
        <v>5.9416236089030203</v>
      </c>
      <c r="P8529" s="223"/>
      <c r="Q8529" s="223"/>
      <c r="R8529" s="223">
        <v>9</v>
      </c>
    </row>
    <row r="8530" spans="1:18" ht="24">
      <c r="A8530" s="219">
        <v>1335</v>
      </c>
      <c r="B8530" s="216" t="s">
        <v>15724</v>
      </c>
      <c r="C8530" s="220" t="s">
        <v>15725</v>
      </c>
      <c r="D8530" s="221">
        <v>12989.16</v>
      </c>
      <c r="E8530" s="221">
        <v>2877.44</v>
      </c>
      <c r="F8530" s="221">
        <v>8913.49</v>
      </c>
      <c r="G8530" s="221">
        <v>1198.23</v>
      </c>
      <c r="H8530" s="222">
        <v>93543.76</v>
      </c>
      <c r="I8530" s="222">
        <v>33090.559999999998</v>
      </c>
      <c r="J8530" s="222">
        <v>53386.29</v>
      </c>
      <c r="K8530" s="222">
        <v>7066.91</v>
      </c>
      <c r="L8530" s="43">
        <v>7.2016789384378974</v>
      </c>
      <c r="M8530" s="43">
        <v>11.499999999999998</v>
      </c>
      <c r="N8530" s="43">
        <v>5.9893812636801078</v>
      </c>
      <c r="O8530" s="43">
        <v>5.8977909082563444</v>
      </c>
      <c r="P8530" s="223"/>
      <c r="Q8530" s="223"/>
      <c r="R8530" s="223">
        <v>9</v>
      </c>
    </row>
    <row r="8531" spans="1:18" ht="24">
      <c r="A8531" s="219">
        <v>1336</v>
      </c>
      <c r="B8531" s="216" t="s">
        <v>15726</v>
      </c>
      <c r="C8531" s="220" t="s">
        <v>15727</v>
      </c>
      <c r="D8531" s="221">
        <v>23157.119999999999</v>
      </c>
      <c r="E8531" s="221">
        <v>5532.32</v>
      </c>
      <c r="F8531" s="221">
        <v>15630.16</v>
      </c>
      <c r="G8531" s="221">
        <v>1994.64</v>
      </c>
      <c r="H8531" s="222">
        <v>170797.29</v>
      </c>
      <c r="I8531" s="222">
        <v>63621.68</v>
      </c>
      <c r="J8531" s="222">
        <v>95370.42</v>
      </c>
      <c r="K8531" s="222">
        <v>11805.19</v>
      </c>
      <c r="L8531" s="43">
        <v>7.3755842695464731</v>
      </c>
      <c r="M8531" s="43">
        <v>11.5</v>
      </c>
      <c r="N8531" s="43">
        <v>6.1016918572810512</v>
      </c>
      <c r="O8531" s="43">
        <v>5.9184564633217018</v>
      </c>
      <c r="P8531" s="223"/>
      <c r="Q8531" s="223"/>
      <c r="R8531" s="223">
        <v>9</v>
      </c>
    </row>
    <row r="8532" spans="1:18" ht="24">
      <c r="A8532" s="219">
        <v>1337</v>
      </c>
      <c r="B8532" s="216" t="s">
        <v>15728</v>
      </c>
      <c r="C8532" s="220" t="s">
        <v>15729</v>
      </c>
      <c r="D8532" s="221">
        <v>30405.23</v>
      </c>
      <c r="E8532" s="221">
        <v>7247.68</v>
      </c>
      <c r="F8532" s="221">
        <v>20557.88</v>
      </c>
      <c r="G8532" s="221">
        <v>2599.67</v>
      </c>
      <c r="H8532" s="222">
        <v>224087.72</v>
      </c>
      <c r="I8532" s="222">
        <v>83348.320000000007</v>
      </c>
      <c r="J8532" s="222">
        <v>125333.88</v>
      </c>
      <c r="K8532" s="222">
        <v>15405.52</v>
      </c>
      <c r="L8532" s="43">
        <v>7.3700386413784731</v>
      </c>
      <c r="M8532" s="43">
        <v>11.5</v>
      </c>
      <c r="N8532" s="43">
        <v>6.0966344778741774</v>
      </c>
      <c r="O8532" s="43">
        <v>5.9259521400793176</v>
      </c>
      <c r="P8532" s="223"/>
      <c r="Q8532" s="223"/>
      <c r="R8532" s="223">
        <v>9</v>
      </c>
    </row>
    <row r="8533" spans="1:18" ht="24">
      <c r="A8533" s="219">
        <v>1338</v>
      </c>
      <c r="B8533" s="216" t="s">
        <v>15730</v>
      </c>
      <c r="C8533" s="220" t="s">
        <v>15731</v>
      </c>
      <c r="D8533" s="221">
        <v>42600.24</v>
      </c>
      <c r="E8533" s="221">
        <v>10735.2</v>
      </c>
      <c r="F8533" s="221">
        <v>28625.54</v>
      </c>
      <c r="G8533" s="221">
        <v>3239.5</v>
      </c>
      <c r="H8533" s="222">
        <v>319300.28000000003</v>
      </c>
      <c r="I8533" s="222">
        <v>123454.8</v>
      </c>
      <c r="J8533" s="222">
        <v>176437.53</v>
      </c>
      <c r="K8533" s="222">
        <v>19407.95</v>
      </c>
      <c r="L8533" s="43">
        <v>7.4952695102187228</v>
      </c>
      <c r="M8533" s="43">
        <v>11.5</v>
      </c>
      <c r="N8533" s="43">
        <v>6.1636402317650596</v>
      </c>
      <c r="O8533" s="43">
        <v>5.9910325667541287</v>
      </c>
      <c r="P8533" s="223"/>
      <c r="Q8533" s="223"/>
      <c r="R8533" s="223">
        <v>9</v>
      </c>
    </row>
    <row r="8534" spans="1:18" ht="24">
      <c r="A8534" s="219">
        <v>1339</v>
      </c>
      <c r="B8534" s="216" t="s">
        <v>15732</v>
      </c>
      <c r="C8534" s="220" t="s">
        <v>15733</v>
      </c>
      <c r="D8534" s="221">
        <v>51357.52</v>
      </c>
      <c r="E8534" s="221">
        <v>13133.07</v>
      </c>
      <c r="F8534" s="221">
        <v>34366.910000000003</v>
      </c>
      <c r="G8534" s="221">
        <v>3857.54</v>
      </c>
      <c r="H8534" s="222">
        <v>386064.63</v>
      </c>
      <c r="I8534" s="222">
        <v>151036.01999999999</v>
      </c>
      <c r="J8534" s="222">
        <v>211868.81</v>
      </c>
      <c r="K8534" s="222">
        <v>23159.8</v>
      </c>
      <c r="L8534" s="43">
        <v>7.5171976762117803</v>
      </c>
      <c r="M8534" s="43">
        <v>11.500435161009573</v>
      </c>
      <c r="N8534" s="43">
        <v>6.1649071737901364</v>
      </c>
      <c r="O8534" s="43">
        <v>6.0037744261887109</v>
      </c>
      <c r="P8534" s="223"/>
      <c r="Q8534" s="223"/>
      <c r="R8534" s="223">
        <v>9</v>
      </c>
    </row>
    <row r="8535" spans="1:18" ht="24">
      <c r="A8535" s="219">
        <v>1340</v>
      </c>
      <c r="B8535" s="216" t="s">
        <v>15734</v>
      </c>
      <c r="C8535" s="220" t="s">
        <v>15735</v>
      </c>
      <c r="D8535" s="221">
        <v>69325.64</v>
      </c>
      <c r="E8535" s="221">
        <v>18425.919999999998</v>
      </c>
      <c r="F8535" s="221">
        <v>46192.480000000003</v>
      </c>
      <c r="G8535" s="221">
        <v>4707.24</v>
      </c>
      <c r="H8535" s="222">
        <v>528570.88</v>
      </c>
      <c r="I8535" s="222">
        <v>211898.08</v>
      </c>
      <c r="J8535" s="222">
        <v>288163.53000000003</v>
      </c>
      <c r="K8535" s="222">
        <v>28509.27</v>
      </c>
      <c r="L8535" s="43">
        <v>7.6244644838475351</v>
      </c>
      <c r="M8535" s="43">
        <v>11.5</v>
      </c>
      <c r="N8535" s="43">
        <v>6.2383212592179511</v>
      </c>
      <c r="O8535" s="43">
        <v>6.0564725826599028</v>
      </c>
      <c r="P8535" s="223"/>
      <c r="Q8535" s="223"/>
      <c r="R8535" s="223">
        <v>9</v>
      </c>
    </row>
    <row r="8536" spans="1:18" ht="24">
      <c r="A8536" s="219">
        <v>1341</v>
      </c>
      <c r="B8536" s="216" t="s">
        <v>15736</v>
      </c>
      <c r="C8536" s="220" t="s">
        <v>15737</v>
      </c>
      <c r="D8536" s="221">
        <v>76756.06</v>
      </c>
      <c r="E8536" s="221">
        <v>18925.759999999998</v>
      </c>
      <c r="F8536" s="221">
        <v>52542.99</v>
      </c>
      <c r="G8536" s="221">
        <v>5287.31</v>
      </c>
      <c r="H8536" s="222">
        <v>576509.1</v>
      </c>
      <c r="I8536" s="222">
        <v>217646.24</v>
      </c>
      <c r="J8536" s="222">
        <v>327038.27</v>
      </c>
      <c r="K8536" s="222">
        <v>31824.59</v>
      </c>
      <c r="L8536" s="43">
        <v>7.5109261731256138</v>
      </c>
      <c r="M8536" s="43">
        <v>11.5</v>
      </c>
      <c r="N8536" s="43">
        <v>6.2242036473371618</v>
      </c>
      <c r="O8536" s="43">
        <v>6.0190512756013925</v>
      </c>
      <c r="P8536" s="223"/>
      <c r="Q8536" s="223"/>
      <c r="R8536" s="223">
        <v>9</v>
      </c>
    </row>
    <row r="8537" spans="1:18" ht="24">
      <c r="A8537" s="219">
        <v>1342</v>
      </c>
      <c r="B8537" s="216" t="s">
        <v>15738</v>
      </c>
      <c r="C8537" s="220" t="s">
        <v>15739</v>
      </c>
      <c r="D8537" s="221">
        <v>94682.84</v>
      </c>
      <c r="E8537" s="221">
        <v>25841.01</v>
      </c>
      <c r="F8537" s="221">
        <v>62845.48</v>
      </c>
      <c r="G8537" s="221">
        <v>5996.35</v>
      </c>
      <c r="H8537" s="222">
        <v>726828.79</v>
      </c>
      <c r="I8537" s="222">
        <v>297182.86</v>
      </c>
      <c r="J8537" s="222">
        <v>393025.01</v>
      </c>
      <c r="K8537" s="222">
        <v>36620.92</v>
      </c>
      <c r="L8537" s="43">
        <v>7.6764574235415841</v>
      </c>
      <c r="M8537" s="43">
        <v>11.500435161009573</v>
      </c>
      <c r="N8537" s="43">
        <v>6.2538309835488564</v>
      </c>
      <c r="O8537" s="43">
        <v>6.1072018811443618</v>
      </c>
      <c r="P8537" s="223"/>
      <c r="Q8537" s="223"/>
      <c r="R8537" s="223">
        <v>9</v>
      </c>
    </row>
    <row r="8538" spans="1:18" ht="12.75" customHeight="1">
      <c r="A8538" s="628" t="s">
        <v>15740</v>
      </c>
      <c r="B8538" s="629"/>
      <c r="C8538" s="629"/>
      <c r="D8538" s="629"/>
      <c r="E8538" s="629"/>
      <c r="F8538" s="629"/>
      <c r="G8538" s="629"/>
      <c r="H8538" s="629"/>
      <c r="I8538" s="629"/>
      <c r="J8538" s="629"/>
      <c r="K8538" s="629"/>
      <c r="L8538" s="629"/>
      <c r="M8538" s="629"/>
      <c r="N8538" s="629"/>
      <c r="O8538" s="629"/>
      <c r="P8538" s="629"/>
      <c r="Q8538" s="629"/>
      <c r="R8538" s="629"/>
    </row>
    <row r="8539" spans="1:18" ht="24">
      <c r="A8539" s="219">
        <v>1343</v>
      </c>
      <c r="B8539" s="216" t="s">
        <v>15741</v>
      </c>
      <c r="C8539" s="220" t="s">
        <v>15742</v>
      </c>
      <c r="D8539" s="221">
        <v>7859.26</v>
      </c>
      <c r="E8539" s="221">
        <v>1820.88</v>
      </c>
      <c r="F8539" s="221">
        <v>5399.34</v>
      </c>
      <c r="G8539" s="221">
        <v>639.04</v>
      </c>
      <c r="H8539" s="222">
        <v>56810.26</v>
      </c>
      <c r="I8539" s="222">
        <v>20940.12</v>
      </c>
      <c r="J8539" s="222">
        <v>32007.93</v>
      </c>
      <c r="K8539" s="222">
        <v>3862.21</v>
      </c>
      <c r="L8539" s="43">
        <v>7.2284489888360994</v>
      </c>
      <c r="M8539" s="43">
        <v>11.499999999999998</v>
      </c>
      <c r="N8539" s="43">
        <v>5.9281189923212834</v>
      </c>
      <c r="O8539" s="43">
        <v>6.0437687781672516</v>
      </c>
      <c r="P8539" s="223"/>
      <c r="Q8539" s="223"/>
      <c r="R8539" s="223">
        <v>10</v>
      </c>
    </row>
    <row r="8540" spans="1:18" ht="24">
      <c r="A8540" s="219">
        <v>1344</v>
      </c>
      <c r="B8540" s="216" t="s">
        <v>15743</v>
      </c>
      <c r="C8540" s="220" t="s">
        <v>15744</v>
      </c>
      <c r="D8540" s="221">
        <v>16906.62</v>
      </c>
      <c r="E8540" s="221">
        <v>4923.12</v>
      </c>
      <c r="F8540" s="221">
        <v>10506.69</v>
      </c>
      <c r="G8540" s="221">
        <v>1476.81</v>
      </c>
      <c r="H8540" s="222">
        <v>127923.53</v>
      </c>
      <c r="I8540" s="222">
        <v>56615.88</v>
      </c>
      <c r="J8540" s="222">
        <v>62362.400000000001</v>
      </c>
      <c r="K8540" s="222">
        <v>8945.25</v>
      </c>
      <c r="L8540" s="43">
        <v>7.5664757355402799</v>
      </c>
      <c r="M8540" s="43">
        <v>11.5</v>
      </c>
      <c r="N8540" s="43">
        <v>5.9354944325948509</v>
      </c>
      <c r="O8540" s="43">
        <v>6.0571434375444371</v>
      </c>
      <c r="P8540" s="223"/>
      <c r="Q8540" s="223"/>
      <c r="R8540" s="223">
        <v>10</v>
      </c>
    </row>
    <row r="8541" spans="1:18" ht="24">
      <c r="A8541" s="219">
        <v>1345</v>
      </c>
      <c r="B8541" s="216" t="s">
        <v>15745</v>
      </c>
      <c r="C8541" s="220" t="s">
        <v>15746</v>
      </c>
      <c r="D8541" s="221">
        <v>25766.25</v>
      </c>
      <c r="E8541" s="221">
        <v>5895.84</v>
      </c>
      <c r="F8541" s="221">
        <v>17771.25</v>
      </c>
      <c r="G8541" s="221">
        <v>2099.16</v>
      </c>
      <c r="H8541" s="222">
        <v>187552.97</v>
      </c>
      <c r="I8541" s="222">
        <v>67802.16</v>
      </c>
      <c r="J8541" s="222">
        <v>107136.18</v>
      </c>
      <c r="K8541" s="222">
        <v>12614.63</v>
      </c>
      <c r="L8541" s="43">
        <v>7.2790169310629214</v>
      </c>
      <c r="M8541" s="43">
        <v>11.5</v>
      </c>
      <c r="N8541" s="43">
        <v>6.0286237602869797</v>
      </c>
      <c r="O8541" s="43">
        <v>6.0093704148325999</v>
      </c>
      <c r="P8541" s="223"/>
      <c r="Q8541" s="223"/>
      <c r="R8541" s="223">
        <v>10</v>
      </c>
    </row>
    <row r="8542" spans="1:18" ht="24">
      <c r="A8542" s="219">
        <v>1346</v>
      </c>
      <c r="B8542" s="216" t="s">
        <v>15747</v>
      </c>
      <c r="C8542" s="220" t="s">
        <v>15748</v>
      </c>
      <c r="D8542" s="221">
        <v>34231.019999999997</v>
      </c>
      <c r="E8542" s="221">
        <v>7804.32</v>
      </c>
      <c r="F8542" s="221">
        <v>23686.880000000001</v>
      </c>
      <c r="G8542" s="221">
        <v>2739.82</v>
      </c>
      <c r="H8542" s="222">
        <v>249073.99</v>
      </c>
      <c r="I8542" s="222">
        <v>89749.68</v>
      </c>
      <c r="J8542" s="222">
        <v>142828.46</v>
      </c>
      <c r="K8542" s="222">
        <v>16495.849999999999</v>
      </c>
      <c r="L8542" s="43">
        <v>7.2762655042122617</v>
      </c>
      <c r="M8542" s="43">
        <v>11.5</v>
      </c>
      <c r="N8542" s="43">
        <v>6.0298553460818809</v>
      </c>
      <c r="O8542" s="43">
        <v>6.0207787372893105</v>
      </c>
      <c r="P8542" s="223"/>
      <c r="Q8542" s="223"/>
      <c r="R8542" s="223">
        <v>10</v>
      </c>
    </row>
    <row r="8543" spans="1:18" ht="24">
      <c r="A8543" s="219">
        <v>1347</v>
      </c>
      <c r="B8543" s="216" t="s">
        <v>15749</v>
      </c>
      <c r="C8543" s="220" t="s">
        <v>15750</v>
      </c>
      <c r="D8543" s="221">
        <v>47560.94</v>
      </c>
      <c r="E8543" s="221">
        <v>11382.72</v>
      </c>
      <c r="F8543" s="221">
        <v>32591.25</v>
      </c>
      <c r="G8543" s="221">
        <v>3586.97</v>
      </c>
      <c r="H8543" s="222">
        <v>351216.22</v>
      </c>
      <c r="I8543" s="222">
        <v>130901.28</v>
      </c>
      <c r="J8543" s="222">
        <v>198627.69</v>
      </c>
      <c r="K8543" s="222">
        <v>21687.25</v>
      </c>
      <c r="L8543" s="43">
        <v>7.3845516930489588</v>
      </c>
      <c r="M8543" s="43">
        <v>11.5</v>
      </c>
      <c r="N8543" s="43">
        <v>6.0945097227016456</v>
      </c>
      <c r="O8543" s="43">
        <v>6.0461197054895921</v>
      </c>
      <c r="P8543" s="223"/>
      <c r="Q8543" s="223"/>
      <c r="R8543" s="223">
        <v>10</v>
      </c>
    </row>
    <row r="8544" spans="1:18" ht="24">
      <c r="A8544" s="219">
        <v>1348</v>
      </c>
      <c r="B8544" s="216" t="s">
        <v>15751</v>
      </c>
      <c r="C8544" s="220" t="s">
        <v>15752</v>
      </c>
      <c r="D8544" s="221">
        <v>57027.3</v>
      </c>
      <c r="E8544" s="221">
        <v>13791.04</v>
      </c>
      <c r="F8544" s="221">
        <v>38998.620000000003</v>
      </c>
      <c r="G8544" s="221">
        <v>4237.6400000000003</v>
      </c>
      <c r="H8544" s="222">
        <v>421628.37</v>
      </c>
      <c r="I8544" s="222">
        <v>158596.96</v>
      </c>
      <c r="J8544" s="222">
        <v>237347.94</v>
      </c>
      <c r="K8544" s="222">
        <v>25683.47</v>
      </c>
      <c r="L8544" s="43">
        <v>7.3934478749651475</v>
      </c>
      <c r="M8544" s="43">
        <v>11.499999999999998</v>
      </c>
      <c r="N8544" s="43">
        <v>6.0860599682758005</v>
      </c>
      <c r="O8544" s="43">
        <v>6.0607956315307572</v>
      </c>
      <c r="P8544" s="223"/>
      <c r="Q8544" s="223"/>
      <c r="R8544" s="223">
        <v>10</v>
      </c>
    </row>
    <row r="8545" spans="1:18" ht="24">
      <c r="A8545" s="219">
        <v>1349</v>
      </c>
      <c r="B8545" s="216" t="s">
        <v>15753</v>
      </c>
      <c r="C8545" s="220" t="s">
        <v>15754</v>
      </c>
      <c r="D8545" s="221">
        <v>76702.960000000006</v>
      </c>
      <c r="E8545" s="221">
        <v>19471.04</v>
      </c>
      <c r="F8545" s="221">
        <v>52105.09</v>
      </c>
      <c r="G8545" s="221">
        <v>5126.83</v>
      </c>
      <c r="H8545" s="222">
        <v>575902.76</v>
      </c>
      <c r="I8545" s="222">
        <v>223916.96</v>
      </c>
      <c r="J8545" s="222">
        <v>320627.48</v>
      </c>
      <c r="K8545" s="222">
        <v>31358.32</v>
      </c>
      <c r="L8545" s="43">
        <v>7.5082208039950471</v>
      </c>
      <c r="M8545" s="43">
        <v>11.499999999999998</v>
      </c>
      <c r="N8545" s="43">
        <v>6.1534771363028069</v>
      </c>
      <c r="O8545" s="43">
        <v>6.116512542838362</v>
      </c>
      <c r="P8545" s="223"/>
      <c r="Q8545" s="223"/>
      <c r="R8545" s="223">
        <v>10</v>
      </c>
    </row>
    <row r="8546" spans="1:18" ht="24">
      <c r="A8546" s="219">
        <v>1350</v>
      </c>
      <c r="B8546" s="216" t="s">
        <v>15755</v>
      </c>
      <c r="C8546" s="220" t="s">
        <v>15756</v>
      </c>
      <c r="D8546" s="221">
        <v>88135.43</v>
      </c>
      <c r="E8546" s="221">
        <v>22015.68</v>
      </c>
      <c r="F8546" s="221">
        <v>60165.78</v>
      </c>
      <c r="G8546" s="221">
        <v>5953.97</v>
      </c>
      <c r="H8546" s="222">
        <v>659264.52</v>
      </c>
      <c r="I8546" s="222">
        <v>253180.32</v>
      </c>
      <c r="J8546" s="222">
        <v>369766.61</v>
      </c>
      <c r="K8546" s="222">
        <v>36317.589999999997</v>
      </c>
      <c r="L8546" s="43">
        <v>7.4801305218571015</v>
      </c>
      <c r="M8546" s="43">
        <v>11.5</v>
      </c>
      <c r="N8546" s="43">
        <v>6.1457959989881292</v>
      </c>
      <c r="O8546" s="43">
        <v>6.099726736950303</v>
      </c>
      <c r="P8546" s="223"/>
      <c r="Q8546" s="223"/>
      <c r="R8546" s="223">
        <v>10</v>
      </c>
    </row>
    <row r="8547" spans="1:18" ht="24">
      <c r="A8547" s="219">
        <v>1351</v>
      </c>
      <c r="B8547" s="216" t="s">
        <v>15757</v>
      </c>
      <c r="C8547" s="220" t="s">
        <v>15758</v>
      </c>
      <c r="D8547" s="221">
        <v>105051.64</v>
      </c>
      <c r="E8547" s="221">
        <v>26866.400000000001</v>
      </c>
      <c r="F8547" s="221">
        <v>71531.759999999995</v>
      </c>
      <c r="G8547" s="221">
        <v>6653.48</v>
      </c>
      <c r="H8547" s="222">
        <v>791571.39</v>
      </c>
      <c r="I8547" s="222">
        <v>308963.59999999998</v>
      </c>
      <c r="J8547" s="222">
        <v>441732.21</v>
      </c>
      <c r="K8547" s="222">
        <v>40875.58</v>
      </c>
      <c r="L8547" s="43">
        <v>7.535069324001034</v>
      </c>
      <c r="M8547" s="43">
        <v>11.499999999999998</v>
      </c>
      <c r="N8547" s="43">
        <v>6.1753298115410562</v>
      </c>
      <c r="O8547" s="43">
        <v>6.1434888208877165</v>
      </c>
      <c r="P8547" s="223"/>
      <c r="Q8547" s="223"/>
      <c r="R8547" s="223">
        <v>10</v>
      </c>
    </row>
    <row r="8548" spans="1:18" ht="36">
      <c r="A8548" s="219">
        <v>1352</v>
      </c>
      <c r="B8548" s="216" t="s">
        <v>15759</v>
      </c>
      <c r="C8548" s="220" t="s">
        <v>15760</v>
      </c>
      <c r="D8548" s="221">
        <v>117368.03</v>
      </c>
      <c r="E8548" s="221">
        <v>30024.48</v>
      </c>
      <c r="F8548" s="221">
        <v>79851.31</v>
      </c>
      <c r="G8548" s="221">
        <v>7492.24</v>
      </c>
      <c r="H8548" s="222">
        <v>884137.91</v>
      </c>
      <c r="I8548" s="222">
        <v>345281.52</v>
      </c>
      <c r="J8548" s="222">
        <v>492886.01</v>
      </c>
      <c r="K8548" s="222">
        <v>45970.38</v>
      </c>
      <c r="L8548" s="43">
        <v>7.5330386818284332</v>
      </c>
      <c r="M8548" s="43">
        <v>11.5</v>
      </c>
      <c r="N8548" s="43">
        <v>6.1725475762388875</v>
      </c>
      <c r="O8548" s="43">
        <v>6.1357324378290068</v>
      </c>
      <c r="P8548" s="223"/>
      <c r="Q8548" s="223"/>
      <c r="R8548" s="223">
        <v>10</v>
      </c>
    </row>
    <row r="8549" spans="1:18" ht="36">
      <c r="A8549" s="219">
        <v>1353</v>
      </c>
      <c r="B8549" s="216" t="s">
        <v>15761</v>
      </c>
      <c r="C8549" s="220" t="s">
        <v>15762</v>
      </c>
      <c r="D8549" s="221">
        <v>149759.73000000001</v>
      </c>
      <c r="E8549" s="221">
        <v>38930.720000000001</v>
      </c>
      <c r="F8549" s="221">
        <v>101657.71</v>
      </c>
      <c r="G8549" s="221">
        <v>9171.2999999999993</v>
      </c>
      <c r="H8549" s="222">
        <v>1134014.5900000001</v>
      </c>
      <c r="I8549" s="222">
        <v>447703.28</v>
      </c>
      <c r="J8549" s="222">
        <v>629999.38</v>
      </c>
      <c r="K8549" s="222">
        <v>56311.93</v>
      </c>
      <c r="L8549" s="43">
        <v>7.5722264590087072</v>
      </c>
      <c r="M8549" s="43">
        <v>11.5</v>
      </c>
      <c r="N8549" s="43">
        <v>6.1972611816654135</v>
      </c>
      <c r="O8549" s="43">
        <v>6.1400161372978754</v>
      </c>
      <c r="P8549" s="223"/>
      <c r="Q8549" s="223"/>
      <c r="R8549" s="223">
        <v>10</v>
      </c>
    </row>
    <row r="8550" spans="1:18" ht="36">
      <c r="A8550" s="219">
        <v>1354</v>
      </c>
      <c r="B8550" s="216" t="s">
        <v>15763</v>
      </c>
      <c r="C8550" s="220" t="s">
        <v>15764</v>
      </c>
      <c r="D8550" s="221">
        <v>184433.08</v>
      </c>
      <c r="E8550" s="221">
        <v>49200.18</v>
      </c>
      <c r="F8550" s="221">
        <v>124531.6</v>
      </c>
      <c r="G8550" s="221">
        <v>10701.3</v>
      </c>
      <c r="H8550" s="222">
        <v>1406670.93</v>
      </c>
      <c r="I8550" s="222">
        <v>565823.48</v>
      </c>
      <c r="J8550" s="222">
        <v>774828.13</v>
      </c>
      <c r="K8550" s="222">
        <v>66019.320000000007</v>
      </c>
      <c r="L8550" s="43">
        <v>7.6269990719669165</v>
      </c>
      <c r="M8550" s="43">
        <v>11.500435161009573</v>
      </c>
      <c r="N8550" s="43">
        <v>6.2219398931676775</v>
      </c>
      <c r="O8550" s="43">
        <v>6.1692803678057819</v>
      </c>
      <c r="P8550" s="223"/>
      <c r="Q8550" s="223"/>
      <c r="R8550" s="223">
        <v>10</v>
      </c>
    </row>
    <row r="8551" spans="1:18" ht="12.75" customHeight="1">
      <c r="A8551" s="628" t="s">
        <v>15765</v>
      </c>
      <c r="B8551" s="629"/>
      <c r="C8551" s="629"/>
      <c r="D8551" s="629"/>
      <c r="E8551" s="629"/>
      <c r="F8551" s="629"/>
      <c r="G8551" s="629"/>
      <c r="H8551" s="629"/>
      <c r="I8551" s="629"/>
      <c r="J8551" s="629"/>
      <c r="K8551" s="629"/>
      <c r="L8551" s="629"/>
      <c r="M8551" s="629"/>
      <c r="N8551" s="629"/>
      <c r="O8551" s="629"/>
      <c r="P8551" s="629"/>
      <c r="Q8551" s="629"/>
      <c r="R8551" s="629"/>
    </row>
    <row r="8552" spans="1:18" ht="24">
      <c r="A8552" s="219">
        <v>1355</v>
      </c>
      <c r="B8552" s="216" t="s">
        <v>15766</v>
      </c>
      <c r="C8552" s="220" t="s">
        <v>15767</v>
      </c>
      <c r="D8552" s="221">
        <v>8892.9599999999991</v>
      </c>
      <c r="E8552" s="221">
        <v>2181.12</v>
      </c>
      <c r="F8552" s="221">
        <v>5891.71</v>
      </c>
      <c r="G8552" s="221">
        <v>820.13</v>
      </c>
      <c r="H8552" s="222">
        <v>65177.11</v>
      </c>
      <c r="I8552" s="222">
        <v>25082.880000000001</v>
      </c>
      <c r="J8552" s="222">
        <v>35216.33</v>
      </c>
      <c r="K8552" s="222">
        <v>4877.8999999999996</v>
      </c>
      <c r="L8552" s="43">
        <v>7.3290681617819047</v>
      </c>
      <c r="M8552" s="43">
        <v>11.500000000000002</v>
      </c>
      <c r="N8552" s="43">
        <v>5.9772680596974395</v>
      </c>
      <c r="O8552" s="43">
        <v>5.9477156060624532</v>
      </c>
      <c r="P8552" s="223"/>
      <c r="Q8552" s="223"/>
      <c r="R8552" s="223">
        <v>11</v>
      </c>
    </row>
    <row r="8553" spans="1:18" ht="24">
      <c r="A8553" s="219">
        <v>1356</v>
      </c>
      <c r="B8553" s="216" t="s">
        <v>15768</v>
      </c>
      <c r="C8553" s="220" t="s">
        <v>15769</v>
      </c>
      <c r="D8553" s="221">
        <v>16418.91</v>
      </c>
      <c r="E8553" s="221">
        <v>3714.72</v>
      </c>
      <c r="F8553" s="221">
        <v>11249.85</v>
      </c>
      <c r="G8553" s="221">
        <v>1454.34</v>
      </c>
      <c r="H8553" s="222">
        <v>118559.76</v>
      </c>
      <c r="I8553" s="222">
        <v>42719.28</v>
      </c>
      <c r="J8553" s="222">
        <v>67158.679999999993</v>
      </c>
      <c r="K8553" s="222">
        <v>8681.7999999999993</v>
      </c>
      <c r="L8553" s="43">
        <v>7.2209275768001646</v>
      </c>
      <c r="M8553" s="43">
        <v>11.5</v>
      </c>
      <c r="N8553" s="43">
        <v>5.9697400409783237</v>
      </c>
      <c r="O8553" s="43">
        <v>5.9695807032743371</v>
      </c>
      <c r="P8553" s="223"/>
      <c r="Q8553" s="223"/>
      <c r="R8553" s="223">
        <v>11</v>
      </c>
    </row>
    <row r="8554" spans="1:18" ht="24">
      <c r="A8554" s="219">
        <v>1357</v>
      </c>
      <c r="B8554" s="216" t="s">
        <v>15770</v>
      </c>
      <c r="C8554" s="220" t="s">
        <v>15771</v>
      </c>
      <c r="D8554" s="221">
        <v>28711.41</v>
      </c>
      <c r="E8554" s="221">
        <v>6986.4</v>
      </c>
      <c r="F8554" s="221">
        <v>19428.98</v>
      </c>
      <c r="G8554" s="221">
        <v>2296.0300000000002</v>
      </c>
      <c r="H8554" s="222">
        <v>212111.64</v>
      </c>
      <c r="I8554" s="222">
        <v>80343.600000000006</v>
      </c>
      <c r="J8554" s="222">
        <v>117959.66</v>
      </c>
      <c r="K8554" s="222">
        <v>13808.38</v>
      </c>
      <c r="L8554" s="43">
        <v>7.3877124111981969</v>
      </c>
      <c r="M8554" s="43">
        <v>11.500000000000002</v>
      </c>
      <c r="N8554" s="43">
        <v>6.0713254118332518</v>
      </c>
      <c r="O8554" s="43">
        <v>6.0140242070007783</v>
      </c>
      <c r="P8554" s="223"/>
      <c r="Q8554" s="223"/>
      <c r="R8554" s="223">
        <v>11</v>
      </c>
    </row>
    <row r="8555" spans="1:18" ht="24">
      <c r="A8555" s="219">
        <v>1358</v>
      </c>
      <c r="B8555" s="216" t="s">
        <v>15772</v>
      </c>
      <c r="C8555" s="220" t="s">
        <v>15773</v>
      </c>
      <c r="D8555" s="221">
        <v>37896.25</v>
      </c>
      <c r="E8555" s="221">
        <v>9144.7999999999993</v>
      </c>
      <c r="F8555" s="221">
        <v>25808.44</v>
      </c>
      <c r="G8555" s="221">
        <v>2943.01</v>
      </c>
      <c r="H8555" s="222">
        <v>279507.27</v>
      </c>
      <c r="I8555" s="222">
        <v>105165.2</v>
      </c>
      <c r="J8555" s="222">
        <v>156583.82999999999</v>
      </c>
      <c r="K8555" s="222">
        <v>17758.240000000002</v>
      </c>
      <c r="L8555" s="43">
        <v>7.3755917801893336</v>
      </c>
      <c r="M8555" s="43">
        <v>11.5</v>
      </c>
      <c r="N8555" s="43">
        <v>6.0671559381349667</v>
      </c>
      <c r="O8555" s="43">
        <v>6.0340399794767938</v>
      </c>
      <c r="P8555" s="223"/>
      <c r="Q8555" s="223"/>
      <c r="R8555" s="223">
        <v>11</v>
      </c>
    </row>
    <row r="8556" spans="1:18" ht="24">
      <c r="A8556" s="219">
        <v>1359</v>
      </c>
      <c r="B8556" s="216" t="s">
        <v>15774</v>
      </c>
      <c r="C8556" s="220" t="s">
        <v>15775</v>
      </c>
      <c r="D8556" s="221">
        <v>55348.160000000003</v>
      </c>
      <c r="E8556" s="221">
        <v>14222.72</v>
      </c>
      <c r="F8556" s="221">
        <v>37304.639999999999</v>
      </c>
      <c r="G8556" s="221">
        <v>3820.8</v>
      </c>
      <c r="H8556" s="222">
        <v>416380.8</v>
      </c>
      <c r="I8556" s="222">
        <v>163561.28</v>
      </c>
      <c r="J8556" s="222">
        <v>229519.41</v>
      </c>
      <c r="K8556" s="222">
        <v>23300.11</v>
      </c>
      <c r="L8556" s="43">
        <v>7.5229384319189645</v>
      </c>
      <c r="M8556" s="43">
        <v>11.5</v>
      </c>
      <c r="N8556" s="43">
        <v>6.1525700288221516</v>
      </c>
      <c r="O8556" s="43">
        <v>6.0982281197654942</v>
      </c>
      <c r="P8556" s="223"/>
      <c r="Q8556" s="223"/>
      <c r="R8556" s="223">
        <v>11</v>
      </c>
    </row>
    <row r="8557" spans="1:18" ht="24">
      <c r="A8557" s="219">
        <v>1360</v>
      </c>
      <c r="B8557" s="216" t="s">
        <v>15776</v>
      </c>
      <c r="C8557" s="220" t="s">
        <v>15777</v>
      </c>
      <c r="D8557" s="221">
        <v>67827.19</v>
      </c>
      <c r="E8557" s="221">
        <v>17255.84</v>
      </c>
      <c r="F8557" s="221">
        <v>45913.63</v>
      </c>
      <c r="G8557" s="221">
        <v>4657.72</v>
      </c>
      <c r="H8557" s="222">
        <v>508473.49</v>
      </c>
      <c r="I8557" s="222">
        <v>198442.16</v>
      </c>
      <c r="J8557" s="222">
        <v>281659.48</v>
      </c>
      <c r="K8557" s="222">
        <v>28371.85</v>
      </c>
      <c r="L8557" s="43">
        <v>7.4966026161484791</v>
      </c>
      <c r="M8557" s="43">
        <v>11.5</v>
      </c>
      <c r="N8557" s="43">
        <v>6.1345504591991524</v>
      </c>
      <c r="O8557" s="43">
        <v>6.0913601504598809</v>
      </c>
      <c r="P8557" s="223"/>
      <c r="Q8557" s="223"/>
      <c r="R8557" s="223">
        <v>11</v>
      </c>
    </row>
    <row r="8558" spans="1:18" ht="24">
      <c r="A8558" s="219">
        <v>1361</v>
      </c>
      <c r="B8558" s="216" t="s">
        <v>15778</v>
      </c>
      <c r="C8558" s="220" t="s">
        <v>15779</v>
      </c>
      <c r="D8558" s="221">
        <v>87909.79</v>
      </c>
      <c r="E8558" s="221">
        <v>23322.080000000002</v>
      </c>
      <c r="F8558" s="221">
        <v>59204.86</v>
      </c>
      <c r="G8558" s="221">
        <v>5382.85</v>
      </c>
      <c r="H8558" s="222">
        <v>668412.48</v>
      </c>
      <c r="I8558" s="222">
        <v>268203.92</v>
      </c>
      <c r="J8558" s="222">
        <v>366988.12</v>
      </c>
      <c r="K8558" s="222">
        <v>33220.44</v>
      </c>
      <c r="L8558" s="43">
        <v>7.603390703128742</v>
      </c>
      <c r="M8558" s="43">
        <v>11.499999999999998</v>
      </c>
      <c r="N8558" s="43">
        <v>6.1986147758815742</v>
      </c>
      <c r="O8558" s="43">
        <v>6.171533667109431</v>
      </c>
      <c r="P8558" s="223"/>
      <c r="Q8558" s="223"/>
      <c r="R8558" s="223">
        <v>11</v>
      </c>
    </row>
    <row r="8559" spans="1:18" ht="24">
      <c r="A8559" s="219">
        <v>1362</v>
      </c>
      <c r="B8559" s="216" t="s">
        <v>15780</v>
      </c>
      <c r="C8559" s="220" t="s">
        <v>15781</v>
      </c>
      <c r="D8559" s="221">
        <v>101410.78</v>
      </c>
      <c r="E8559" s="221">
        <v>26525.599999999999</v>
      </c>
      <c r="F8559" s="221">
        <v>68662.009999999995</v>
      </c>
      <c r="G8559" s="221">
        <v>6223.17</v>
      </c>
      <c r="H8559" s="222">
        <v>768383.32</v>
      </c>
      <c r="I8559" s="222">
        <v>305044.40000000002</v>
      </c>
      <c r="J8559" s="222">
        <v>425007.64</v>
      </c>
      <c r="K8559" s="222">
        <v>38331.279999999999</v>
      </c>
      <c r="L8559" s="43">
        <v>7.576939256359136</v>
      </c>
      <c r="M8559" s="43">
        <v>11.500000000000002</v>
      </c>
      <c r="N8559" s="43">
        <v>6.1898514185646478</v>
      </c>
      <c r="O8559" s="43">
        <v>6.1594460700896807</v>
      </c>
      <c r="P8559" s="223"/>
      <c r="Q8559" s="223"/>
      <c r="R8559" s="223">
        <v>11</v>
      </c>
    </row>
    <row r="8560" spans="1:18" ht="24">
      <c r="A8560" s="219">
        <v>1363</v>
      </c>
      <c r="B8560" s="216" t="s">
        <v>15782</v>
      </c>
      <c r="C8560" s="220" t="s">
        <v>15783</v>
      </c>
      <c r="D8560" s="221">
        <v>123765.16</v>
      </c>
      <c r="E8560" s="221">
        <v>33114.400000000001</v>
      </c>
      <c r="F8560" s="221">
        <v>83518.91</v>
      </c>
      <c r="G8560" s="221">
        <v>7131.85</v>
      </c>
      <c r="H8560" s="222">
        <v>945114.04</v>
      </c>
      <c r="I8560" s="222">
        <v>380815.6</v>
      </c>
      <c r="J8560" s="222">
        <v>520072.07</v>
      </c>
      <c r="K8560" s="222">
        <v>44226.37</v>
      </c>
      <c r="L8560" s="43">
        <v>7.636349680313911</v>
      </c>
      <c r="M8560" s="43">
        <v>11.499999999999998</v>
      </c>
      <c r="N8560" s="43">
        <v>6.2269978140279845</v>
      </c>
      <c r="O8560" s="43">
        <v>6.2012479230494195</v>
      </c>
      <c r="P8560" s="223"/>
      <c r="Q8560" s="223"/>
      <c r="R8560" s="223">
        <v>11</v>
      </c>
    </row>
    <row r="8561" spans="1:18" ht="36">
      <c r="A8561" s="219">
        <v>1364</v>
      </c>
      <c r="B8561" s="216" t="s">
        <v>15784</v>
      </c>
      <c r="C8561" s="220" t="s">
        <v>15785</v>
      </c>
      <c r="D8561" s="221">
        <v>139267.26999999999</v>
      </c>
      <c r="E8561" s="221">
        <v>37465.279999999999</v>
      </c>
      <c r="F8561" s="221">
        <v>93460.67</v>
      </c>
      <c r="G8561" s="221">
        <v>8341.32</v>
      </c>
      <c r="H8561" s="222">
        <v>1063831.8600000001</v>
      </c>
      <c r="I8561" s="222">
        <v>430850.72</v>
      </c>
      <c r="J8561" s="222">
        <v>581527.6</v>
      </c>
      <c r="K8561" s="222">
        <v>51453.54</v>
      </c>
      <c r="L8561" s="43">
        <v>7.638778730996882</v>
      </c>
      <c r="M8561" s="43">
        <v>11.5</v>
      </c>
      <c r="N8561" s="43">
        <v>6.222163825703368</v>
      </c>
      <c r="O8561" s="43">
        <v>6.1685128972392862</v>
      </c>
      <c r="P8561" s="223"/>
      <c r="Q8561" s="223"/>
      <c r="R8561" s="223">
        <v>11</v>
      </c>
    </row>
    <row r="8562" spans="1:18" ht="36">
      <c r="A8562" s="219">
        <v>1365</v>
      </c>
      <c r="B8562" s="216" t="s">
        <v>15786</v>
      </c>
      <c r="C8562" s="220" t="s">
        <v>15787</v>
      </c>
      <c r="D8562" s="221">
        <v>179155.91</v>
      </c>
      <c r="E8562" s="221">
        <v>49336.480000000003</v>
      </c>
      <c r="F8562" s="221">
        <v>120258.4</v>
      </c>
      <c r="G8562" s="221">
        <v>9561.0300000000007</v>
      </c>
      <c r="H8562" s="222">
        <v>1378485</v>
      </c>
      <c r="I8562" s="222">
        <v>567369.52</v>
      </c>
      <c r="J8562" s="222">
        <v>751411.47</v>
      </c>
      <c r="K8562" s="222">
        <v>59704.01</v>
      </c>
      <c r="L8562" s="43">
        <v>7.6943317136453944</v>
      </c>
      <c r="M8562" s="43">
        <v>11.5</v>
      </c>
      <c r="N8562" s="43">
        <v>6.2483075610518686</v>
      </c>
      <c r="O8562" s="43">
        <v>6.2445165426737494</v>
      </c>
      <c r="P8562" s="223"/>
      <c r="Q8562" s="223"/>
      <c r="R8562" s="223">
        <v>11</v>
      </c>
    </row>
    <row r="8563" spans="1:18" ht="36">
      <c r="A8563" s="219">
        <v>1366</v>
      </c>
      <c r="B8563" s="216" t="s">
        <v>15788</v>
      </c>
      <c r="C8563" s="220" t="s">
        <v>15789</v>
      </c>
      <c r="D8563" s="221">
        <v>223100.09</v>
      </c>
      <c r="E8563" s="221">
        <v>62082.400000000001</v>
      </c>
      <c r="F8563" s="221">
        <v>150048.92000000001</v>
      </c>
      <c r="G8563" s="221">
        <v>10968.77</v>
      </c>
      <c r="H8563" s="222">
        <v>1725022.37</v>
      </c>
      <c r="I8563" s="222">
        <v>713947.6</v>
      </c>
      <c r="J8563" s="222">
        <v>942008.81</v>
      </c>
      <c r="K8563" s="222">
        <v>69065.960000000006</v>
      </c>
      <c r="L8563" s="43">
        <v>7.7320559126623394</v>
      </c>
      <c r="M8563" s="43">
        <v>11.5</v>
      </c>
      <c r="N8563" s="43">
        <v>6.2780112645929069</v>
      </c>
      <c r="O8563" s="43">
        <v>6.2966002569112129</v>
      </c>
      <c r="P8563" s="223"/>
      <c r="Q8563" s="223"/>
      <c r="R8563" s="223">
        <v>11</v>
      </c>
    </row>
    <row r="8564" spans="1:18" ht="12.75" customHeight="1">
      <c r="A8564" s="628" t="s">
        <v>15790</v>
      </c>
      <c r="B8564" s="629"/>
      <c r="C8564" s="629"/>
      <c r="D8564" s="629"/>
      <c r="E8564" s="629"/>
      <c r="F8564" s="629"/>
      <c r="G8564" s="629"/>
      <c r="H8564" s="629"/>
      <c r="I8564" s="629"/>
      <c r="J8564" s="629"/>
      <c r="K8564" s="629"/>
      <c r="L8564" s="629"/>
      <c r="M8564" s="629"/>
      <c r="N8564" s="629"/>
      <c r="O8564" s="629"/>
      <c r="P8564" s="629"/>
      <c r="Q8564" s="629"/>
      <c r="R8564" s="629"/>
    </row>
    <row r="8565" spans="1:18" ht="24">
      <c r="A8565" s="219">
        <v>1367</v>
      </c>
      <c r="B8565" s="216" t="s">
        <v>15791</v>
      </c>
      <c r="C8565" s="220" t="s">
        <v>15792</v>
      </c>
      <c r="D8565" s="221">
        <v>9666.09</v>
      </c>
      <c r="E8565" s="221">
        <v>2259.2399999999998</v>
      </c>
      <c r="F8565" s="221">
        <v>6688.9</v>
      </c>
      <c r="G8565" s="221">
        <v>717.95</v>
      </c>
      <c r="H8565" s="222">
        <v>70220.039999999994</v>
      </c>
      <c r="I8565" s="222">
        <v>25981.26</v>
      </c>
      <c r="J8565" s="222">
        <v>39762.720000000001</v>
      </c>
      <c r="K8565" s="222">
        <v>4476.0600000000004</v>
      </c>
      <c r="L8565" s="43">
        <v>7.264575438465811</v>
      </c>
      <c r="M8565" s="43">
        <v>11.5</v>
      </c>
      <c r="N8565" s="43">
        <v>5.9445828163076149</v>
      </c>
      <c r="O8565" s="43">
        <v>6.2345010098196258</v>
      </c>
      <c r="P8565" s="223"/>
      <c r="Q8565" s="223"/>
      <c r="R8565" s="223">
        <v>12</v>
      </c>
    </row>
    <row r="8566" spans="1:18" ht="24">
      <c r="A8566" s="219">
        <v>1368</v>
      </c>
      <c r="B8566" s="216" t="s">
        <v>15793</v>
      </c>
      <c r="C8566" s="220" t="s">
        <v>15794</v>
      </c>
      <c r="D8566" s="221">
        <v>17882.48</v>
      </c>
      <c r="E8566" s="221">
        <v>3832.84</v>
      </c>
      <c r="F8566" s="221">
        <v>12800.54</v>
      </c>
      <c r="G8566" s="221">
        <v>1249.0999999999999</v>
      </c>
      <c r="H8566" s="222">
        <v>127845.17</v>
      </c>
      <c r="I8566" s="222">
        <v>44077.66</v>
      </c>
      <c r="J8566" s="222">
        <v>75899.16</v>
      </c>
      <c r="K8566" s="222">
        <v>7868.35</v>
      </c>
      <c r="L8566" s="43">
        <v>7.1491856834175129</v>
      </c>
      <c r="M8566" s="43">
        <v>11.5</v>
      </c>
      <c r="N8566" s="43">
        <v>5.929371729630156</v>
      </c>
      <c r="O8566" s="43">
        <v>6.2992154351132825</v>
      </c>
      <c r="P8566" s="223"/>
      <c r="Q8566" s="223"/>
      <c r="R8566" s="223">
        <v>12</v>
      </c>
    </row>
    <row r="8567" spans="1:18" ht="24">
      <c r="A8567" s="219">
        <v>1369</v>
      </c>
      <c r="B8567" s="216" t="s">
        <v>15795</v>
      </c>
      <c r="C8567" s="220" t="s">
        <v>15796</v>
      </c>
      <c r="D8567" s="221">
        <v>31615.17</v>
      </c>
      <c r="E8567" s="221">
        <v>7327.2</v>
      </c>
      <c r="F8567" s="221">
        <v>21776.92</v>
      </c>
      <c r="G8567" s="221">
        <v>2511.0500000000002</v>
      </c>
      <c r="H8567" s="222">
        <v>230453.25</v>
      </c>
      <c r="I8567" s="222">
        <v>84262.8</v>
      </c>
      <c r="J8567" s="222">
        <v>130783.38</v>
      </c>
      <c r="K8567" s="222">
        <v>15407.07</v>
      </c>
      <c r="L8567" s="43">
        <v>7.2893250297246546</v>
      </c>
      <c r="M8567" s="43">
        <v>11.5</v>
      </c>
      <c r="N8567" s="43">
        <v>6.005595832652185</v>
      </c>
      <c r="O8567" s="43">
        <v>6.1357081698890896</v>
      </c>
      <c r="P8567" s="223"/>
      <c r="Q8567" s="223"/>
      <c r="R8567" s="223">
        <v>12</v>
      </c>
    </row>
    <row r="8568" spans="1:18" ht="24">
      <c r="A8568" s="219">
        <v>1370</v>
      </c>
      <c r="B8568" s="216" t="s">
        <v>15797</v>
      </c>
      <c r="C8568" s="220" t="s">
        <v>15798</v>
      </c>
      <c r="D8568" s="221">
        <v>42176.7</v>
      </c>
      <c r="E8568" s="221">
        <v>9746.8799999999992</v>
      </c>
      <c r="F8568" s="221">
        <v>29025.79</v>
      </c>
      <c r="G8568" s="221">
        <v>3404.03</v>
      </c>
      <c r="H8568" s="222">
        <v>307260.56</v>
      </c>
      <c r="I8568" s="222">
        <v>112089.12</v>
      </c>
      <c r="J8568" s="222">
        <v>174333.71</v>
      </c>
      <c r="K8568" s="222">
        <v>20837.73</v>
      </c>
      <c r="L8568" s="43">
        <v>7.285078254107126</v>
      </c>
      <c r="M8568" s="43">
        <v>11.5</v>
      </c>
      <c r="N8568" s="43">
        <v>6.0061658959153217</v>
      </c>
      <c r="O8568" s="43">
        <v>6.1214883535103972</v>
      </c>
      <c r="P8568" s="223"/>
      <c r="Q8568" s="223"/>
      <c r="R8568" s="223">
        <v>12</v>
      </c>
    </row>
    <row r="8569" spans="1:18" ht="24">
      <c r="A8569" s="219">
        <v>1371</v>
      </c>
      <c r="B8569" s="216" t="s">
        <v>15799</v>
      </c>
      <c r="C8569" s="220" t="s">
        <v>15800</v>
      </c>
      <c r="D8569" s="221">
        <v>61303.29</v>
      </c>
      <c r="E8569" s="221">
        <v>14949.76</v>
      </c>
      <c r="F8569" s="221">
        <v>41996.66</v>
      </c>
      <c r="G8569" s="221">
        <v>4356.87</v>
      </c>
      <c r="H8569" s="222">
        <v>454415.54</v>
      </c>
      <c r="I8569" s="222">
        <v>171922.24</v>
      </c>
      <c r="J8569" s="222">
        <v>255556.8</v>
      </c>
      <c r="K8569" s="222">
        <v>26936.5</v>
      </c>
      <c r="L8569" s="43">
        <v>7.4125799773552119</v>
      </c>
      <c r="M8569" s="43">
        <v>11.5</v>
      </c>
      <c r="N8569" s="43">
        <v>6.0851696301563019</v>
      </c>
      <c r="O8569" s="43">
        <v>6.182534709550664</v>
      </c>
      <c r="P8569" s="223"/>
      <c r="Q8569" s="223"/>
      <c r="R8569" s="223">
        <v>12</v>
      </c>
    </row>
    <row r="8570" spans="1:18" ht="24">
      <c r="A8570" s="219">
        <v>1372</v>
      </c>
      <c r="B8570" s="216" t="s">
        <v>15801</v>
      </c>
      <c r="C8570" s="220" t="s">
        <v>15802</v>
      </c>
      <c r="D8570" s="221">
        <v>74395.95</v>
      </c>
      <c r="E8570" s="221">
        <v>17826.599999999999</v>
      </c>
      <c r="F8570" s="221">
        <v>51309.41</v>
      </c>
      <c r="G8570" s="221">
        <v>5259.94</v>
      </c>
      <c r="H8570" s="222">
        <v>549130.43999999994</v>
      </c>
      <c r="I8570" s="222">
        <v>205005.9</v>
      </c>
      <c r="J8570" s="222">
        <v>311645.90999999997</v>
      </c>
      <c r="K8570" s="222">
        <v>32478.63</v>
      </c>
      <c r="L8570" s="43">
        <v>7.3811872823722258</v>
      </c>
      <c r="M8570" s="43">
        <v>11.5</v>
      </c>
      <c r="N8570" s="43">
        <v>6.0738548737941045</v>
      </c>
      <c r="O8570" s="43">
        <v>6.1747149207025185</v>
      </c>
      <c r="P8570" s="223"/>
      <c r="Q8570" s="223"/>
      <c r="R8570" s="223">
        <v>12</v>
      </c>
    </row>
    <row r="8571" spans="1:18" ht="24">
      <c r="A8571" s="219">
        <v>1373</v>
      </c>
      <c r="B8571" s="216" t="s">
        <v>15803</v>
      </c>
      <c r="C8571" s="220" t="s">
        <v>15804</v>
      </c>
      <c r="D8571" s="221">
        <v>97163.02</v>
      </c>
      <c r="E8571" s="221">
        <v>24651.200000000001</v>
      </c>
      <c r="F8571" s="221">
        <v>66269.84</v>
      </c>
      <c r="G8571" s="221">
        <v>6241.98</v>
      </c>
      <c r="H8571" s="222">
        <v>728713.08</v>
      </c>
      <c r="I8571" s="222">
        <v>283488.8</v>
      </c>
      <c r="J8571" s="222">
        <v>406295.5</v>
      </c>
      <c r="K8571" s="222">
        <v>38928.78</v>
      </c>
      <c r="L8571" s="43">
        <v>7.4999015057374701</v>
      </c>
      <c r="M8571" s="43">
        <v>11.5</v>
      </c>
      <c r="N8571" s="43">
        <v>6.1309262252632575</v>
      </c>
      <c r="O8571" s="43">
        <v>6.2366076148914287</v>
      </c>
      <c r="P8571" s="223"/>
      <c r="Q8571" s="223"/>
      <c r="R8571" s="223">
        <v>12</v>
      </c>
    </row>
    <row r="8572" spans="1:18" ht="24">
      <c r="A8572" s="219">
        <v>1374</v>
      </c>
      <c r="B8572" s="216" t="s">
        <v>15805</v>
      </c>
      <c r="C8572" s="220" t="s">
        <v>15806</v>
      </c>
      <c r="D8572" s="221">
        <v>110925.55</v>
      </c>
      <c r="E8572" s="221">
        <v>27854.720000000001</v>
      </c>
      <c r="F8572" s="221">
        <v>75919.23</v>
      </c>
      <c r="G8572" s="221">
        <v>7151.6</v>
      </c>
      <c r="H8572" s="222">
        <v>830216.6</v>
      </c>
      <c r="I8572" s="222">
        <v>320329.28000000003</v>
      </c>
      <c r="J8572" s="222">
        <v>465341.19</v>
      </c>
      <c r="K8572" s="222">
        <v>44546.13</v>
      </c>
      <c r="L8572" s="43">
        <v>7.4844488037246597</v>
      </c>
      <c r="M8572" s="43">
        <v>11.5</v>
      </c>
      <c r="N8572" s="43">
        <v>6.1294245212971736</v>
      </c>
      <c r="O8572" s="43">
        <v>6.2288341070529665</v>
      </c>
      <c r="P8572" s="223"/>
      <c r="Q8572" s="223"/>
      <c r="R8572" s="223">
        <v>12</v>
      </c>
    </row>
    <row r="8573" spans="1:18" ht="24">
      <c r="A8573" s="219">
        <v>1375</v>
      </c>
      <c r="B8573" s="216" t="s">
        <v>15807</v>
      </c>
      <c r="C8573" s="220" t="s">
        <v>15808</v>
      </c>
      <c r="D8573" s="221">
        <v>134799.95000000001</v>
      </c>
      <c r="E8573" s="221">
        <v>35055.99</v>
      </c>
      <c r="F8573" s="221">
        <v>91602.79</v>
      </c>
      <c r="G8573" s="221">
        <v>8141.17</v>
      </c>
      <c r="H8573" s="222">
        <v>1019239.13</v>
      </c>
      <c r="I8573" s="222">
        <v>403159.14</v>
      </c>
      <c r="J8573" s="222">
        <v>564996.99</v>
      </c>
      <c r="K8573" s="222">
        <v>51083</v>
      </c>
      <c r="L8573" s="43">
        <v>7.5611239470044307</v>
      </c>
      <c r="M8573" s="43">
        <v>11.500435161009575</v>
      </c>
      <c r="N8573" s="43">
        <v>6.1679015453568615</v>
      </c>
      <c r="O8573" s="43">
        <v>6.2746509408352855</v>
      </c>
      <c r="P8573" s="223"/>
      <c r="Q8573" s="223"/>
      <c r="R8573" s="223">
        <v>12</v>
      </c>
    </row>
    <row r="8574" spans="1:18" ht="36">
      <c r="A8574" s="219">
        <v>1376</v>
      </c>
      <c r="B8574" s="216" t="s">
        <v>15809</v>
      </c>
      <c r="C8574" s="220" t="s">
        <v>15810</v>
      </c>
      <c r="D8574" s="221">
        <v>150831.14000000001</v>
      </c>
      <c r="E8574" s="221">
        <v>39157.919999999998</v>
      </c>
      <c r="F8574" s="221">
        <v>102431.36</v>
      </c>
      <c r="G8574" s="221">
        <v>9241.86</v>
      </c>
      <c r="H8574" s="222">
        <v>1139545.81</v>
      </c>
      <c r="I8574" s="222">
        <v>450316.08</v>
      </c>
      <c r="J8574" s="222">
        <v>631396.55000000005</v>
      </c>
      <c r="K8574" s="222">
        <v>57833.18</v>
      </c>
      <c r="L8574" s="43">
        <v>7.5551097074516571</v>
      </c>
      <c r="M8574" s="43">
        <v>11.500000000000002</v>
      </c>
      <c r="N8574" s="43">
        <v>6.1640941797512019</v>
      </c>
      <c r="O8574" s="43">
        <v>6.2577424890660538</v>
      </c>
      <c r="P8574" s="223"/>
      <c r="Q8574" s="223"/>
      <c r="R8574" s="223">
        <v>12</v>
      </c>
    </row>
    <row r="8575" spans="1:18" ht="36">
      <c r="A8575" s="219">
        <v>1377</v>
      </c>
      <c r="B8575" s="216" t="s">
        <v>15811</v>
      </c>
      <c r="C8575" s="220" t="s">
        <v>15812</v>
      </c>
      <c r="D8575" s="221">
        <v>177192.68</v>
      </c>
      <c r="E8575" s="221">
        <v>47166.720000000001</v>
      </c>
      <c r="F8575" s="221">
        <v>119778.38</v>
      </c>
      <c r="G8575" s="221">
        <v>10247.58</v>
      </c>
      <c r="H8575" s="222">
        <v>1348770.83</v>
      </c>
      <c r="I8575" s="222">
        <v>542417.28</v>
      </c>
      <c r="J8575" s="222">
        <v>741797.88</v>
      </c>
      <c r="K8575" s="222">
        <v>64555.67</v>
      </c>
      <c r="L8575" s="43">
        <v>7.6118879741533352</v>
      </c>
      <c r="M8575" s="43">
        <v>11.5</v>
      </c>
      <c r="N8575" s="43">
        <v>6.193086598766822</v>
      </c>
      <c r="O8575" s="43">
        <v>6.2996014668829128</v>
      </c>
      <c r="P8575" s="223"/>
      <c r="Q8575" s="223"/>
      <c r="R8575" s="223">
        <v>12</v>
      </c>
    </row>
    <row r="8576" spans="1:18" ht="36">
      <c r="A8576" s="219">
        <v>1378</v>
      </c>
      <c r="B8576" s="216" t="s">
        <v>15813</v>
      </c>
      <c r="C8576" s="220" t="s">
        <v>15814</v>
      </c>
      <c r="D8576" s="221">
        <v>194795.26</v>
      </c>
      <c r="E8576" s="221">
        <v>52233.54</v>
      </c>
      <c r="F8576" s="221">
        <v>131194.15</v>
      </c>
      <c r="G8576" s="221">
        <v>11367.57</v>
      </c>
      <c r="H8576" s="222">
        <v>1484415.05</v>
      </c>
      <c r="I8576" s="222">
        <v>600708.43999999994</v>
      </c>
      <c r="J8576" s="222">
        <v>812178.8</v>
      </c>
      <c r="K8576" s="222">
        <v>71527.81</v>
      </c>
      <c r="L8576" s="43">
        <v>7.6203858861863472</v>
      </c>
      <c r="M8576" s="43">
        <v>11.500435161009571</v>
      </c>
      <c r="N8576" s="43">
        <v>6.1906632269807771</v>
      </c>
      <c r="O8576" s="43">
        <v>6.2922691481116892</v>
      </c>
      <c r="P8576" s="223"/>
      <c r="Q8576" s="223"/>
      <c r="R8576" s="223">
        <v>12</v>
      </c>
    </row>
    <row r="8577" spans="1:18" ht="36">
      <c r="A8577" s="219">
        <v>1379</v>
      </c>
      <c r="B8577" s="216" t="s">
        <v>15815</v>
      </c>
      <c r="C8577" s="220" t="s">
        <v>15816</v>
      </c>
      <c r="D8577" s="221">
        <v>240766.78</v>
      </c>
      <c r="E8577" s="221">
        <v>64808.800000000003</v>
      </c>
      <c r="F8577" s="221">
        <v>162881.24</v>
      </c>
      <c r="G8577" s="221">
        <v>13076.74</v>
      </c>
      <c r="H8577" s="222">
        <v>1841317.82</v>
      </c>
      <c r="I8577" s="222">
        <v>745301.2</v>
      </c>
      <c r="J8577" s="222">
        <v>1013292.2</v>
      </c>
      <c r="K8577" s="222">
        <v>82724.42</v>
      </c>
      <c r="L8577" s="43">
        <v>7.6477237432838541</v>
      </c>
      <c r="M8577" s="43">
        <v>11.499999999999998</v>
      </c>
      <c r="N8577" s="43">
        <v>6.2210491521307185</v>
      </c>
      <c r="O8577" s="43">
        <v>6.3260736238542634</v>
      </c>
      <c r="P8577" s="223"/>
      <c r="Q8577" s="223"/>
      <c r="R8577" s="223">
        <v>12</v>
      </c>
    </row>
    <row r="8578" spans="1:18" ht="12.75" customHeight="1">
      <c r="A8578" s="628" t="s">
        <v>15817</v>
      </c>
      <c r="B8578" s="629"/>
      <c r="C8578" s="629"/>
      <c r="D8578" s="629"/>
      <c r="E8578" s="629"/>
      <c r="F8578" s="629"/>
      <c r="G8578" s="629"/>
      <c r="H8578" s="629"/>
      <c r="I8578" s="629"/>
      <c r="J8578" s="629"/>
      <c r="K8578" s="629"/>
      <c r="L8578" s="629"/>
      <c r="M8578" s="629"/>
      <c r="N8578" s="629"/>
      <c r="O8578" s="629"/>
      <c r="P8578" s="629"/>
      <c r="Q8578" s="629"/>
      <c r="R8578" s="629"/>
    </row>
    <row r="8579" spans="1:18" ht="24">
      <c r="A8579" s="219">
        <v>1380</v>
      </c>
      <c r="B8579" s="216" t="s">
        <v>15818</v>
      </c>
      <c r="C8579" s="220" t="s">
        <v>15792</v>
      </c>
      <c r="D8579" s="221">
        <v>10341.66</v>
      </c>
      <c r="E8579" s="221">
        <v>2529</v>
      </c>
      <c r="F8579" s="221">
        <v>7084.59</v>
      </c>
      <c r="G8579" s="221">
        <v>728.07</v>
      </c>
      <c r="H8579" s="222">
        <v>75959.070000000007</v>
      </c>
      <c r="I8579" s="222">
        <v>29083.5</v>
      </c>
      <c r="J8579" s="222">
        <v>42297.25</v>
      </c>
      <c r="K8579" s="222">
        <v>4578.32</v>
      </c>
      <c r="L8579" s="43">
        <v>7.3449591264845306</v>
      </c>
      <c r="M8579" s="43">
        <v>11.5</v>
      </c>
      <c r="N8579" s="43">
        <v>5.9703172660662087</v>
      </c>
      <c r="O8579" s="43">
        <v>6.2882964550111931</v>
      </c>
      <c r="P8579" s="223"/>
      <c r="Q8579" s="223"/>
      <c r="R8579" s="223">
        <v>13</v>
      </c>
    </row>
    <row r="8580" spans="1:18" ht="24">
      <c r="A8580" s="219">
        <v>1381</v>
      </c>
      <c r="B8580" s="216" t="s">
        <v>15819</v>
      </c>
      <c r="C8580" s="220" t="s">
        <v>15794</v>
      </c>
      <c r="D8580" s="221">
        <v>19458.97</v>
      </c>
      <c r="E8580" s="221">
        <v>4361.12</v>
      </c>
      <c r="F8580" s="221">
        <v>13829.02</v>
      </c>
      <c r="G8580" s="221">
        <v>1268.83</v>
      </c>
      <c r="H8580" s="222">
        <v>140768.24</v>
      </c>
      <c r="I8580" s="222">
        <v>50152.88</v>
      </c>
      <c r="J8580" s="222">
        <v>82547.490000000005</v>
      </c>
      <c r="K8580" s="222">
        <v>8067.87</v>
      </c>
      <c r="L8580" s="43">
        <v>7.2341054022900479</v>
      </c>
      <c r="M8580" s="43">
        <v>11.5</v>
      </c>
      <c r="N8580" s="43">
        <v>5.9691496577487051</v>
      </c>
      <c r="O8580" s="43">
        <v>6.3585113845038341</v>
      </c>
      <c r="P8580" s="223"/>
      <c r="Q8580" s="223"/>
      <c r="R8580" s="223">
        <v>13</v>
      </c>
    </row>
    <row r="8581" spans="1:18" ht="24">
      <c r="A8581" s="219">
        <v>1382</v>
      </c>
      <c r="B8581" s="216" t="s">
        <v>15820</v>
      </c>
      <c r="C8581" s="220" t="s">
        <v>15796</v>
      </c>
      <c r="D8581" s="221">
        <v>34244.82</v>
      </c>
      <c r="E8581" s="221">
        <v>8304.16</v>
      </c>
      <c r="F8581" s="221">
        <v>23395.66</v>
      </c>
      <c r="G8581" s="221">
        <v>2545</v>
      </c>
      <c r="H8581" s="222">
        <v>252571.54</v>
      </c>
      <c r="I8581" s="222">
        <v>95497.84</v>
      </c>
      <c r="J8581" s="222">
        <v>141319.23000000001</v>
      </c>
      <c r="K8581" s="222">
        <v>15754.47</v>
      </c>
      <c r="L8581" s="43">
        <v>7.3754670049368052</v>
      </c>
      <c r="M8581" s="43">
        <v>11.5</v>
      </c>
      <c r="N8581" s="43">
        <v>6.0404036475141121</v>
      </c>
      <c r="O8581" s="43">
        <v>6.1903614931237723</v>
      </c>
      <c r="P8581" s="223"/>
      <c r="Q8581" s="223"/>
      <c r="R8581" s="223">
        <v>13</v>
      </c>
    </row>
    <row r="8582" spans="1:18" ht="24">
      <c r="A8582" s="219">
        <v>1383</v>
      </c>
      <c r="B8582" s="216" t="s">
        <v>15821</v>
      </c>
      <c r="C8582" s="220" t="s">
        <v>15798</v>
      </c>
      <c r="D8582" s="221">
        <v>46763.22</v>
      </c>
      <c r="E8582" s="221">
        <v>10973.76</v>
      </c>
      <c r="F8582" s="221">
        <v>32341.9</v>
      </c>
      <c r="G8582" s="221">
        <v>3447.56</v>
      </c>
      <c r="H8582" s="222">
        <v>342118.22</v>
      </c>
      <c r="I8582" s="222">
        <v>126198.24</v>
      </c>
      <c r="J8582" s="222">
        <v>194638.31</v>
      </c>
      <c r="K8582" s="222">
        <v>21281.67</v>
      </c>
      <c r="L8582" s="43">
        <v>7.3159679765422476</v>
      </c>
      <c r="M8582" s="43">
        <v>11.5</v>
      </c>
      <c r="N8582" s="43">
        <v>6.0181470476378935</v>
      </c>
      <c r="O8582" s="43">
        <v>6.1729658077016785</v>
      </c>
      <c r="P8582" s="223"/>
      <c r="Q8582" s="223"/>
      <c r="R8582" s="223">
        <v>13</v>
      </c>
    </row>
    <row r="8583" spans="1:18" ht="24">
      <c r="A8583" s="219">
        <v>1384</v>
      </c>
      <c r="B8583" s="216" t="s">
        <v>15822</v>
      </c>
      <c r="C8583" s="220" t="s">
        <v>15800</v>
      </c>
      <c r="D8583" s="221">
        <v>68142.070000000007</v>
      </c>
      <c r="E8583" s="221">
        <v>16835.52</v>
      </c>
      <c r="F8583" s="221">
        <v>46888.39</v>
      </c>
      <c r="G8583" s="221">
        <v>4418.16</v>
      </c>
      <c r="H8583" s="222">
        <v>507852.07</v>
      </c>
      <c r="I8583" s="222">
        <v>193608.48</v>
      </c>
      <c r="J8583" s="222">
        <v>286672.65000000002</v>
      </c>
      <c r="K8583" s="222">
        <v>27570.94</v>
      </c>
      <c r="L8583" s="43">
        <v>7.4528418347138556</v>
      </c>
      <c r="M8583" s="43">
        <v>11.5</v>
      </c>
      <c r="N8583" s="43">
        <v>6.1139367335922605</v>
      </c>
      <c r="O8583" s="43">
        <v>6.2403670306190815</v>
      </c>
      <c r="P8583" s="223"/>
      <c r="Q8583" s="223"/>
      <c r="R8583" s="223">
        <v>13</v>
      </c>
    </row>
    <row r="8584" spans="1:18" ht="24">
      <c r="A8584" s="219">
        <v>1385</v>
      </c>
      <c r="B8584" s="216" t="s">
        <v>15823</v>
      </c>
      <c r="C8584" s="220" t="s">
        <v>15802</v>
      </c>
      <c r="D8584" s="221">
        <v>82038.850000000006</v>
      </c>
      <c r="E8584" s="221">
        <v>20561.599999999999</v>
      </c>
      <c r="F8584" s="221">
        <v>56134.44</v>
      </c>
      <c r="G8584" s="221">
        <v>5342.81</v>
      </c>
      <c r="H8584" s="222">
        <v>613075.06999999995</v>
      </c>
      <c r="I8584" s="222">
        <v>236458.4</v>
      </c>
      <c r="J8584" s="222">
        <v>343269.18</v>
      </c>
      <c r="K8584" s="222">
        <v>33347.49</v>
      </c>
      <c r="L8584" s="43">
        <v>7.4729846895708549</v>
      </c>
      <c r="M8584" s="43">
        <v>11.5</v>
      </c>
      <c r="N8584" s="43">
        <v>6.1151261150908418</v>
      </c>
      <c r="O8584" s="43">
        <v>6.2415638961520239</v>
      </c>
      <c r="P8584" s="223"/>
      <c r="Q8584" s="223"/>
      <c r="R8584" s="223">
        <v>13</v>
      </c>
    </row>
    <row r="8585" spans="1:18" ht="24">
      <c r="A8585" s="219">
        <v>1386</v>
      </c>
      <c r="B8585" s="216" t="s">
        <v>15824</v>
      </c>
      <c r="C8585" s="220" t="s">
        <v>15804</v>
      </c>
      <c r="D8585" s="221">
        <v>108065.7</v>
      </c>
      <c r="E8585" s="221">
        <v>28297.759999999998</v>
      </c>
      <c r="F8585" s="221">
        <v>73420.27</v>
      </c>
      <c r="G8585" s="221">
        <v>6347.67</v>
      </c>
      <c r="H8585" s="222">
        <v>818330.51</v>
      </c>
      <c r="I8585" s="222">
        <v>325424.24</v>
      </c>
      <c r="J8585" s="222">
        <v>452859.83</v>
      </c>
      <c r="K8585" s="222">
        <v>40046.44</v>
      </c>
      <c r="L8585" s="43">
        <v>7.5725277308156063</v>
      </c>
      <c r="M8585" s="43">
        <v>11.5</v>
      </c>
      <c r="N8585" s="43">
        <v>6.1680490959785352</v>
      </c>
      <c r="O8585" s="43">
        <v>6.3088408817723671</v>
      </c>
      <c r="P8585" s="223"/>
      <c r="Q8585" s="223"/>
      <c r="R8585" s="223">
        <v>13</v>
      </c>
    </row>
    <row r="8586" spans="1:18" ht="24">
      <c r="A8586" s="219">
        <v>1387</v>
      </c>
      <c r="B8586" s="216" t="s">
        <v>15825</v>
      </c>
      <c r="C8586" s="220" t="s">
        <v>15806</v>
      </c>
      <c r="D8586" s="221">
        <v>123360.96000000001</v>
      </c>
      <c r="E8586" s="221">
        <v>32001.119999999999</v>
      </c>
      <c r="F8586" s="221">
        <v>84087.32</v>
      </c>
      <c r="G8586" s="221">
        <v>7272.52</v>
      </c>
      <c r="H8586" s="222">
        <v>932406.66</v>
      </c>
      <c r="I8586" s="222">
        <v>368012.88</v>
      </c>
      <c r="J8586" s="222">
        <v>518570.5</v>
      </c>
      <c r="K8586" s="222">
        <v>45823.28</v>
      </c>
      <c r="L8586" s="43">
        <v>7.558360927152318</v>
      </c>
      <c r="M8586" s="43">
        <v>11.5</v>
      </c>
      <c r="N8586" s="43">
        <v>6.1670475405804339</v>
      </c>
      <c r="O8586" s="43">
        <v>6.3008805750963894</v>
      </c>
      <c r="P8586" s="223"/>
      <c r="Q8586" s="223"/>
      <c r="R8586" s="223">
        <v>13</v>
      </c>
    </row>
    <row r="8587" spans="1:18" ht="24">
      <c r="A8587" s="219">
        <v>1388</v>
      </c>
      <c r="B8587" s="216" t="s">
        <v>15826</v>
      </c>
      <c r="C8587" s="220" t="s">
        <v>15808</v>
      </c>
      <c r="D8587" s="221">
        <v>149253.16</v>
      </c>
      <c r="E8587" s="221">
        <v>39873.599999999999</v>
      </c>
      <c r="F8587" s="221">
        <v>101099.46</v>
      </c>
      <c r="G8587" s="221">
        <v>8280.1</v>
      </c>
      <c r="H8587" s="222">
        <v>1138022.3600000001</v>
      </c>
      <c r="I8587" s="222">
        <v>458546.4</v>
      </c>
      <c r="J8587" s="222">
        <v>626922.43000000005</v>
      </c>
      <c r="K8587" s="222">
        <v>52553.53</v>
      </c>
      <c r="L8587" s="43">
        <v>7.6247789996540112</v>
      </c>
      <c r="M8587" s="43">
        <v>11.500000000000002</v>
      </c>
      <c r="N8587" s="43">
        <v>6.2010462766072143</v>
      </c>
      <c r="O8587" s="43">
        <v>6.3469680317870552</v>
      </c>
      <c r="P8587" s="223"/>
      <c r="Q8587" s="223"/>
      <c r="R8587" s="223">
        <v>13</v>
      </c>
    </row>
    <row r="8588" spans="1:18" ht="36">
      <c r="A8588" s="219">
        <v>1389</v>
      </c>
      <c r="B8588" s="216" t="s">
        <v>15827</v>
      </c>
      <c r="C8588" s="220" t="s">
        <v>15810</v>
      </c>
      <c r="D8588" s="221">
        <v>167657.89000000001</v>
      </c>
      <c r="E8588" s="221">
        <v>44983.35</v>
      </c>
      <c r="F8588" s="221">
        <v>113133.94</v>
      </c>
      <c r="G8588" s="221">
        <v>9540.6</v>
      </c>
      <c r="H8588" s="222">
        <v>1279113.79</v>
      </c>
      <c r="I8588" s="222">
        <v>517328.1</v>
      </c>
      <c r="J8588" s="222">
        <v>701027.18</v>
      </c>
      <c r="K8588" s="222">
        <v>60758.51</v>
      </c>
      <c r="L8588" s="43">
        <v>7.6293086475083278</v>
      </c>
      <c r="M8588" s="43">
        <v>11.500435161009573</v>
      </c>
      <c r="N8588" s="43">
        <v>6.1964356584770233</v>
      </c>
      <c r="O8588" s="43">
        <v>6.3684160325346415</v>
      </c>
      <c r="P8588" s="223"/>
      <c r="Q8588" s="223"/>
      <c r="R8588" s="223">
        <v>13</v>
      </c>
    </row>
    <row r="8589" spans="1:18" ht="36">
      <c r="A8589" s="219">
        <v>1390</v>
      </c>
      <c r="B8589" s="216" t="s">
        <v>15828</v>
      </c>
      <c r="C8589" s="220" t="s">
        <v>15814</v>
      </c>
      <c r="D8589" s="221">
        <v>213440.57</v>
      </c>
      <c r="E8589" s="221">
        <v>57901.919999999998</v>
      </c>
      <c r="F8589" s="221">
        <v>143836.13</v>
      </c>
      <c r="G8589" s="221">
        <v>11702.52</v>
      </c>
      <c r="H8589" s="222">
        <v>1634840.26</v>
      </c>
      <c r="I8589" s="222">
        <v>665872.07999999996</v>
      </c>
      <c r="J8589" s="222">
        <v>894208.77</v>
      </c>
      <c r="K8589" s="222">
        <v>74759.41</v>
      </c>
      <c r="L8589" s="43">
        <v>7.6594635218599727</v>
      </c>
      <c r="M8589" s="43">
        <v>11.5</v>
      </c>
      <c r="N8589" s="43">
        <v>6.2168578228571638</v>
      </c>
      <c r="O8589" s="43">
        <v>6.3883172171463922</v>
      </c>
      <c r="P8589" s="223"/>
      <c r="Q8589" s="223"/>
      <c r="R8589" s="223">
        <v>13</v>
      </c>
    </row>
    <row r="8590" spans="1:18" ht="36">
      <c r="A8590" s="219">
        <v>1391</v>
      </c>
      <c r="B8590" s="216" t="s">
        <v>15829</v>
      </c>
      <c r="C8590" s="220" t="s">
        <v>15816</v>
      </c>
      <c r="D8590" s="221">
        <v>263979.53000000003</v>
      </c>
      <c r="E8590" s="221">
        <v>72329.119999999995</v>
      </c>
      <c r="F8590" s="221">
        <v>178180.14</v>
      </c>
      <c r="G8590" s="221">
        <v>13470.27</v>
      </c>
      <c r="H8590" s="222">
        <v>2030950</v>
      </c>
      <c r="I8590" s="222">
        <v>831784.88</v>
      </c>
      <c r="J8590" s="222">
        <v>1112595.28</v>
      </c>
      <c r="K8590" s="222">
        <v>86569.84</v>
      </c>
      <c r="L8590" s="43">
        <v>7.6935889688113308</v>
      </c>
      <c r="M8590" s="43">
        <v>11.5</v>
      </c>
      <c r="N8590" s="43">
        <v>6.2442159939934943</v>
      </c>
      <c r="O8590" s="43">
        <v>6.4267338368124758</v>
      </c>
      <c r="P8590" s="223"/>
      <c r="Q8590" s="223"/>
      <c r="R8590" s="223">
        <v>13</v>
      </c>
    </row>
    <row r="8591" spans="1:18" ht="12.75" customHeight="1">
      <c r="A8591" s="628" t="s">
        <v>15830</v>
      </c>
      <c r="B8591" s="629"/>
      <c r="C8591" s="629"/>
      <c r="D8591" s="629"/>
      <c r="E8591" s="629"/>
      <c r="F8591" s="629"/>
      <c r="G8591" s="629"/>
      <c r="H8591" s="629"/>
      <c r="I8591" s="629"/>
      <c r="J8591" s="629"/>
      <c r="K8591" s="629"/>
      <c r="L8591" s="629"/>
      <c r="M8591" s="629"/>
      <c r="N8591" s="629"/>
      <c r="O8591" s="629"/>
      <c r="P8591" s="629"/>
      <c r="Q8591" s="629"/>
      <c r="R8591" s="629"/>
    </row>
    <row r="8592" spans="1:18" ht="12.75" customHeight="1">
      <c r="A8592" s="628" t="s">
        <v>15555</v>
      </c>
      <c r="B8592" s="629"/>
      <c r="C8592" s="629"/>
      <c r="D8592" s="629"/>
      <c r="E8592" s="629"/>
      <c r="F8592" s="629"/>
      <c r="G8592" s="629"/>
      <c r="H8592" s="629"/>
      <c r="I8592" s="629"/>
      <c r="J8592" s="629"/>
      <c r="K8592" s="629"/>
      <c r="L8592" s="629"/>
      <c r="M8592" s="629"/>
      <c r="N8592" s="629"/>
      <c r="O8592" s="629"/>
      <c r="P8592" s="629"/>
      <c r="Q8592" s="629"/>
      <c r="R8592" s="629"/>
    </row>
    <row r="8593" spans="1:18" ht="48">
      <c r="A8593" s="219">
        <v>1392</v>
      </c>
      <c r="B8593" s="216" t="s">
        <v>15831</v>
      </c>
      <c r="C8593" s="220" t="s">
        <v>15832</v>
      </c>
      <c r="D8593" s="221">
        <v>37175.870000000003</v>
      </c>
      <c r="E8593" s="221">
        <v>3102.3</v>
      </c>
      <c r="F8593" s="221">
        <v>33865.74</v>
      </c>
      <c r="G8593" s="221">
        <v>207.83</v>
      </c>
      <c r="H8593" s="222">
        <v>184622.46</v>
      </c>
      <c r="I8593" s="222">
        <v>35677.800000000003</v>
      </c>
      <c r="J8593" s="222">
        <v>147475.51999999999</v>
      </c>
      <c r="K8593" s="222">
        <v>1469.14</v>
      </c>
      <c r="L8593" s="43">
        <v>4.9661907038086799</v>
      </c>
      <c r="M8593" s="43">
        <v>11.500435161009573</v>
      </c>
      <c r="N8593" s="43">
        <v>4.3547112804858239</v>
      </c>
      <c r="O8593" s="43">
        <v>7.0689505846124234</v>
      </c>
      <c r="P8593" s="223"/>
      <c r="Q8593" s="223"/>
      <c r="R8593" s="223">
        <v>1</v>
      </c>
    </row>
    <row r="8594" spans="1:18" ht="12.75" customHeight="1">
      <c r="A8594" s="628" t="s">
        <v>15833</v>
      </c>
      <c r="B8594" s="629"/>
      <c r="C8594" s="629"/>
      <c r="D8594" s="629"/>
      <c r="E8594" s="629"/>
      <c r="F8594" s="629"/>
      <c r="G8594" s="629"/>
      <c r="H8594" s="629"/>
      <c r="I8594" s="629"/>
      <c r="J8594" s="629"/>
      <c r="K8594" s="629"/>
      <c r="L8594" s="629"/>
      <c r="M8594" s="629"/>
      <c r="N8594" s="629"/>
      <c r="O8594" s="629"/>
      <c r="P8594" s="629"/>
      <c r="Q8594" s="629"/>
      <c r="R8594" s="629"/>
    </row>
    <row r="8595" spans="1:18" ht="48">
      <c r="A8595" s="219">
        <v>1393</v>
      </c>
      <c r="B8595" s="216" t="s">
        <v>15834</v>
      </c>
      <c r="C8595" s="220" t="s">
        <v>15835</v>
      </c>
      <c r="D8595" s="221">
        <v>7564.38</v>
      </c>
      <c r="E8595" s="221">
        <v>2253.54</v>
      </c>
      <c r="F8595" s="221">
        <v>2995.06</v>
      </c>
      <c r="G8595" s="221">
        <v>2315.7800000000002</v>
      </c>
      <c r="H8595" s="222">
        <v>55111.61</v>
      </c>
      <c r="I8595" s="222">
        <v>25915.71</v>
      </c>
      <c r="J8595" s="222">
        <v>16468.439999999999</v>
      </c>
      <c r="K8595" s="222">
        <v>12727.46</v>
      </c>
      <c r="L8595" s="43">
        <v>7.28567443729691</v>
      </c>
      <c r="M8595" s="43">
        <v>11.5</v>
      </c>
      <c r="N8595" s="43">
        <v>5.4985342530700549</v>
      </c>
      <c r="O8595" s="43">
        <v>5.4959711198818528</v>
      </c>
      <c r="P8595" s="223"/>
      <c r="Q8595" s="223"/>
      <c r="R8595" s="223">
        <v>2</v>
      </c>
    </row>
    <row r="8596" spans="1:18" ht="48">
      <c r="A8596" s="219">
        <v>1394</v>
      </c>
      <c r="B8596" s="216" t="s">
        <v>15836</v>
      </c>
      <c r="C8596" s="220" t="s">
        <v>15837</v>
      </c>
      <c r="D8596" s="221">
        <v>6227.56</v>
      </c>
      <c r="E8596" s="221">
        <v>1964.6</v>
      </c>
      <c r="F8596" s="221">
        <v>2824.55</v>
      </c>
      <c r="G8596" s="221">
        <v>1438.41</v>
      </c>
      <c r="H8596" s="222">
        <v>46130.44</v>
      </c>
      <c r="I8596" s="222">
        <v>22593.84</v>
      </c>
      <c r="J8596" s="222">
        <v>15560.23</v>
      </c>
      <c r="K8596" s="222">
        <v>7976.37</v>
      </c>
      <c r="L8596" s="43">
        <v>7.4074661665242889</v>
      </c>
      <c r="M8596" s="43">
        <v>11.500478468899523</v>
      </c>
      <c r="N8596" s="43">
        <v>5.5089235453435057</v>
      </c>
      <c r="O8596" s="43">
        <v>5.5452687342273759</v>
      </c>
      <c r="P8596" s="223"/>
      <c r="Q8596" s="223"/>
      <c r="R8596" s="223">
        <v>2</v>
      </c>
    </row>
    <row r="8597" spans="1:18" ht="48">
      <c r="A8597" s="219">
        <v>1395</v>
      </c>
      <c r="B8597" s="216" t="s">
        <v>15838</v>
      </c>
      <c r="C8597" s="220" t="s">
        <v>15839</v>
      </c>
      <c r="D8597" s="221">
        <v>5701.11</v>
      </c>
      <c r="E8597" s="221">
        <v>1891.45</v>
      </c>
      <c r="F8597" s="221">
        <v>2718.91</v>
      </c>
      <c r="G8597" s="221">
        <v>1090.75</v>
      </c>
      <c r="H8597" s="222">
        <v>42853.26</v>
      </c>
      <c r="I8597" s="222">
        <v>21752.58</v>
      </c>
      <c r="J8597" s="222">
        <v>14993.5</v>
      </c>
      <c r="K8597" s="222">
        <v>6107.18</v>
      </c>
      <c r="L8597" s="43">
        <v>7.5166520203960285</v>
      </c>
      <c r="M8597" s="43">
        <v>11.500478468899523</v>
      </c>
      <c r="N8597" s="43">
        <v>5.5145260416858228</v>
      </c>
      <c r="O8597" s="43">
        <v>5.5990648636259461</v>
      </c>
      <c r="P8597" s="223"/>
      <c r="Q8597" s="223"/>
      <c r="R8597" s="223">
        <v>2</v>
      </c>
    </row>
    <row r="8598" spans="1:18" ht="48">
      <c r="A8598" s="219">
        <v>1396</v>
      </c>
      <c r="B8598" s="216" t="s">
        <v>15840</v>
      </c>
      <c r="C8598" s="220" t="s">
        <v>15841</v>
      </c>
      <c r="D8598" s="221">
        <v>4842.0200000000004</v>
      </c>
      <c r="E8598" s="221">
        <v>1496.4</v>
      </c>
      <c r="F8598" s="221">
        <v>2612.02</v>
      </c>
      <c r="G8598" s="221">
        <v>733.6</v>
      </c>
      <c r="H8598" s="222">
        <v>35769.629999999997</v>
      </c>
      <c r="I8598" s="222">
        <v>17208.599999999999</v>
      </c>
      <c r="J8598" s="222">
        <v>14423.91</v>
      </c>
      <c r="K8598" s="222">
        <v>4137.12</v>
      </c>
      <c r="L8598" s="43">
        <v>7.3873362770083544</v>
      </c>
      <c r="M8598" s="43">
        <v>11.499999999999998</v>
      </c>
      <c r="N8598" s="43">
        <v>5.5221284676227596</v>
      </c>
      <c r="O8598" s="43">
        <v>5.6394765539803702</v>
      </c>
      <c r="P8598" s="223"/>
      <c r="Q8598" s="223"/>
      <c r="R8598" s="223">
        <v>2</v>
      </c>
    </row>
    <row r="8599" spans="1:18" ht="12.75" customHeight="1">
      <c r="A8599" s="628" t="s">
        <v>15842</v>
      </c>
      <c r="B8599" s="629"/>
      <c r="C8599" s="629"/>
      <c r="D8599" s="629"/>
      <c r="E8599" s="629"/>
      <c r="F8599" s="629"/>
      <c r="G8599" s="629"/>
      <c r="H8599" s="629"/>
      <c r="I8599" s="629"/>
      <c r="J8599" s="629"/>
      <c r="K8599" s="629"/>
      <c r="L8599" s="629"/>
      <c r="M8599" s="629"/>
      <c r="N8599" s="629"/>
      <c r="O8599" s="629"/>
      <c r="P8599" s="629"/>
      <c r="Q8599" s="629"/>
      <c r="R8599" s="629"/>
    </row>
    <row r="8600" spans="1:18" ht="48">
      <c r="A8600" s="219">
        <v>1397</v>
      </c>
      <c r="B8600" s="216" t="s">
        <v>15843</v>
      </c>
      <c r="C8600" s="220" t="s">
        <v>15844</v>
      </c>
      <c r="D8600" s="221">
        <v>10935.77</v>
      </c>
      <c r="E8600" s="221">
        <v>2977.38</v>
      </c>
      <c r="F8600" s="221">
        <v>4062.78</v>
      </c>
      <c r="G8600" s="221">
        <v>3895.61</v>
      </c>
      <c r="H8600" s="222">
        <v>77820.66</v>
      </c>
      <c r="I8600" s="222">
        <v>34241.26</v>
      </c>
      <c r="J8600" s="222">
        <v>22297.51</v>
      </c>
      <c r="K8600" s="222">
        <v>21281.89</v>
      </c>
      <c r="L8600" s="43">
        <v>7.1161573442016426</v>
      </c>
      <c r="M8600" s="43">
        <v>11.50046685340803</v>
      </c>
      <c r="N8600" s="43">
        <v>5.4882395797951151</v>
      </c>
      <c r="O8600" s="43">
        <v>5.4630442985822496</v>
      </c>
      <c r="P8600" s="223"/>
      <c r="Q8600" s="223"/>
      <c r="R8600" s="223">
        <v>3</v>
      </c>
    </row>
    <row r="8601" spans="1:18" ht="48">
      <c r="A8601" s="219">
        <v>1398</v>
      </c>
      <c r="B8601" s="216" t="s">
        <v>15845</v>
      </c>
      <c r="C8601" s="220" t="s">
        <v>15846</v>
      </c>
      <c r="D8601" s="221">
        <v>8896.7999999999993</v>
      </c>
      <c r="E8601" s="221">
        <v>2475.7199999999998</v>
      </c>
      <c r="F8601" s="221">
        <v>3753.83</v>
      </c>
      <c r="G8601" s="221">
        <v>2667.25</v>
      </c>
      <c r="H8601" s="222">
        <v>63745.3</v>
      </c>
      <c r="I8601" s="222">
        <v>28470.78</v>
      </c>
      <c r="J8601" s="222">
        <v>20649.57</v>
      </c>
      <c r="K8601" s="222">
        <v>14624.95</v>
      </c>
      <c r="L8601" s="43">
        <v>7.1649694272097841</v>
      </c>
      <c r="M8601" s="43">
        <v>11.5</v>
      </c>
      <c r="N8601" s="43">
        <v>5.5009337130344207</v>
      </c>
      <c r="O8601" s="43">
        <v>5.4831568094479337</v>
      </c>
      <c r="P8601" s="223"/>
      <c r="Q8601" s="223"/>
      <c r="R8601" s="223">
        <v>3</v>
      </c>
    </row>
    <row r="8602" spans="1:18" ht="48">
      <c r="A8602" s="219">
        <v>1399</v>
      </c>
      <c r="B8602" s="216" t="s">
        <v>15847</v>
      </c>
      <c r="C8602" s="220" t="s">
        <v>15848</v>
      </c>
      <c r="D8602" s="221">
        <v>7559.89</v>
      </c>
      <c r="E8602" s="221">
        <v>2010.2</v>
      </c>
      <c r="F8602" s="221">
        <v>3584.15</v>
      </c>
      <c r="G8602" s="221">
        <v>1965.54</v>
      </c>
      <c r="H8602" s="222">
        <v>53671.7</v>
      </c>
      <c r="I8602" s="222">
        <v>23117.3</v>
      </c>
      <c r="J8602" s="222">
        <v>19741.32</v>
      </c>
      <c r="K8602" s="222">
        <v>10813.08</v>
      </c>
      <c r="L8602" s="43">
        <v>7.0995345170366226</v>
      </c>
      <c r="M8602" s="43">
        <v>11.5</v>
      </c>
      <c r="N8602" s="43">
        <v>5.5079502810987258</v>
      </c>
      <c r="O8602" s="43">
        <v>5.5013278793613969</v>
      </c>
      <c r="P8602" s="223"/>
      <c r="Q8602" s="223"/>
      <c r="R8602" s="223">
        <v>3</v>
      </c>
    </row>
    <row r="8603" spans="1:18" ht="48">
      <c r="A8603" s="219">
        <v>1400</v>
      </c>
      <c r="B8603" s="216" t="s">
        <v>15849</v>
      </c>
      <c r="C8603" s="220" t="s">
        <v>15850</v>
      </c>
      <c r="D8603" s="221">
        <v>6457.95</v>
      </c>
      <c r="E8603" s="221">
        <v>1797.4</v>
      </c>
      <c r="F8603" s="221">
        <v>3394.97</v>
      </c>
      <c r="G8603" s="221">
        <v>1265.58</v>
      </c>
      <c r="H8603" s="222">
        <v>46434.36</v>
      </c>
      <c r="I8603" s="222">
        <v>20670.96</v>
      </c>
      <c r="J8603" s="222">
        <v>18733.03</v>
      </c>
      <c r="K8603" s="222">
        <v>7030.37</v>
      </c>
      <c r="L8603" s="43">
        <v>7.1902631640071544</v>
      </c>
      <c r="M8603" s="43">
        <v>11.500478468899521</v>
      </c>
      <c r="N8603" s="43">
        <v>5.5178779193925127</v>
      </c>
      <c r="O8603" s="43">
        <v>5.555057760078383</v>
      </c>
      <c r="P8603" s="223"/>
      <c r="Q8603" s="223"/>
      <c r="R8603" s="223">
        <v>3</v>
      </c>
    </row>
    <row r="8604" spans="1:18" ht="12.75" customHeight="1">
      <c r="A8604" s="628" t="s">
        <v>15851</v>
      </c>
      <c r="B8604" s="629"/>
      <c r="C8604" s="629"/>
      <c r="D8604" s="629"/>
      <c r="E8604" s="629"/>
      <c r="F8604" s="629"/>
      <c r="G8604" s="629"/>
      <c r="H8604" s="629"/>
      <c r="I8604" s="629"/>
      <c r="J8604" s="629"/>
      <c r="K8604" s="629"/>
      <c r="L8604" s="629"/>
      <c r="M8604" s="629"/>
      <c r="N8604" s="629"/>
      <c r="O8604" s="629"/>
      <c r="P8604" s="629"/>
      <c r="Q8604" s="629"/>
      <c r="R8604" s="629"/>
    </row>
    <row r="8605" spans="1:18" ht="48">
      <c r="A8605" s="219">
        <v>1401</v>
      </c>
      <c r="B8605" s="216" t="s">
        <v>15852</v>
      </c>
      <c r="C8605" s="220" t="s">
        <v>15853</v>
      </c>
      <c r="D8605" s="221">
        <v>14448.55</v>
      </c>
      <c r="E8605" s="221">
        <v>3818.4</v>
      </c>
      <c r="F8605" s="221">
        <v>5480.7</v>
      </c>
      <c r="G8605" s="221">
        <v>5149.45</v>
      </c>
      <c r="H8605" s="222">
        <v>102131.86</v>
      </c>
      <c r="I8605" s="222">
        <v>43911.6</v>
      </c>
      <c r="J8605" s="222">
        <v>30081.96</v>
      </c>
      <c r="K8605" s="222">
        <v>28138.3</v>
      </c>
      <c r="L8605" s="43">
        <v>7.0686581006398566</v>
      </c>
      <c r="M8605" s="43">
        <v>11.5</v>
      </c>
      <c r="N8605" s="43">
        <v>5.4887076468334337</v>
      </c>
      <c r="O8605" s="43">
        <v>5.4643311421608134</v>
      </c>
      <c r="P8605" s="223"/>
      <c r="Q8605" s="223"/>
      <c r="R8605" s="223">
        <v>4</v>
      </c>
    </row>
    <row r="8606" spans="1:18" ht="48">
      <c r="A8606" s="219">
        <v>1402</v>
      </c>
      <c r="B8606" s="216" t="s">
        <v>15854</v>
      </c>
      <c r="C8606" s="220" t="s">
        <v>15855</v>
      </c>
      <c r="D8606" s="221">
        <v>11795.95</v>
      </c>
      <c r="E8606" s="221">
        <v>3148.39</v>
      </c>
      <c r="F8606" s="221">
        <v>5078.0200000000004</v>
      </c>
      <c r="G8606" s="221">
        <v>3569.54</v>
      </c>
      <c r="H8606" s="222">
        <v>83716.039999999994</v>
      </c>
      <c r="I8606" s="222">
        <v>36207.919999999998</v>
      </c>
      <c r="J8606" s="222">
        <v>27935.3</v>
      </c>
      <c r="K8606" s="222">
        <v>19572.82</v>
      </c>
      <c r="L8606" s="43">
        <v>7.0970155010829981</v>
      </c>
      <c r="M8606" s="43">
        <v>11.500455788514129</v>
      </c>
      <c r="N8606" s="43">
        <v>5.501218979050889</v>
      </c>
      <c r="O8606" s="43">
        <v>5.483289163309558</v>
      </c>
      <c r="P8606" s="223"/>
      <c r="Q8606" s="223"/>
      <c r="R8606" s="223">
        <v>4</v>
      </c>
    </row>
    <row r="8607" spans="1:18" ht="48">
      <c r="A8607" s="219">
        <v>1403</v>
      </c>
      <c r="B8607" s="216" t="s">
        <v>15856</v>
      </c>
      <c r="C8607" s="220" t="s">
        <v>15857</v>
      </c>
      <c r="D8607" s="221">
        <v>10315.61</v>
      </c>
      <c r="E8607" s="221">
        <v>2786.38</v>
      </c>
      <c r="F8607" s="221">
        <v>4832.43</v>
      </c>
      <c r="G8607" s="221">
        <v>2696.8</v>
      </c>
      <c r="H8607" s="222">
        <v>73520.91</v>
      </c>
      <c r="I8607" s="222">
        <v>32044.639999999999</v>
      </c>
      <c r="J8607" s="222">
        <v>26617.71</v>
      </c>
      <c r="K8607" s="222">
        <v>14858.56</v>
      </c>
      <c r="L8607" s="43">
        <v>7.127150987677898</v>
      </c>
      <c r="M8607" s="43">
        <v>11.500455788514129</v>
      </c>
      <c r="N8607" s="43">
        <v>5.5081418665143618</v>
      </c>
      <c r="O8607" s="43">
        <v>5.5097003856422422</v>
      </c>
      <c r="P8607" s="223"/>
      <c r="Q8607" s="223"/>
      <c r="R8607" s="223">
        <v>4</v>
      </c>
    </row>
    <row r="8608" spans="1:18" ht="48">
      <c r="A8608" s="219">
        <v>1404</v>
      </c>
      <c r="B8608" s="216" t="s">
        <v>15858</v>
      </c>
      <c r="C8608" s="220" t="s">
        <v>15859</v>
      </c>
      <c r="D8608" s="221">
        <v>8624.67</v>
      </c>
      <c r="E8608" s="221">
        <v>2211.36</v>
      </c>
      <c r="F8608" s="221">
        <v>4597.8100000000004</v>
      </c>
      <c r="G8608" s="221">
        <v>1815.5</v>
      </c>
      <c r="H8608" s="222">
        <v>60858.93</v>
      </c>
      <c r="I8608" s="222">
        <v>25430.639999999999</v>
      </c>
      <c r="J8608" s="222">
        <v>25370.77</v>
      </c>
      <c r="K8608" s="222">
        <v>10057.52</v>
      </c>
      <c r="L8608" s="43">
        <v>7.0563778092379188</v>
      </c>
      <c r="M8608" s="43">
        <v>11.499999999999998</v>
      </c>
      <c r="N8608" s="43">
        <v>5.518011836069781</v>
      </c>
      <c r="O8608" s="43">
        <v>5.5398072156430738</v>
      </c>
      <c r="P8608" s="223"/>
      <c r="Q8608" s="223"/>
      <c r="R8608" s="223">
        <v>4</v>
      </c>
    </row>
    <row r="8609" spans="1:18" ht="12.75" customHeight="1">
      <c r="A8609" s="628" t="s">
        <v>15860</v>
      </c>
      <c r="B8609" s="629"/>
      <c r="C8609" s="629"/>
      <c r="D8609" s="629"/>
      <c r="E8609" s="629"/>
      <c r="F8609" s="629"/>
      <c r="G8609" s="629"/>
      <c r="H8609" s="629"/>
      <c r="I8609" s="629"/>
      <c r="J8609" s="629"/>
      <c r="K8609" s="629"/>
      <c r="L8609" s="629"/>
      <c r="M8609" s="629"/>
      <c r="N8609" s="629"/>
      <c r="O8609" s="629"/>
      <c r="P8609" s="629"/>
      <c r="Q8609" s="629"/>
      <c r="R8609" s="629"/>
    </row>
    <row r="8610" spans="1:18" ht="48">
      <c r="A8610" s="219">
        <v>1405</v>
      </c>
      <c r="B8610" s="216" t="s">
        <v>15861</v>
      </c>
      <c r="C8610" s="220" t="s">
        <v>15862</v>
      </c>
      <c r="D8610" s="221">
        <v>16891.669999999998</v>
      </c>
      <c r="E8610" s="221">
        <v>4551</v>
      </c>
      <c r="F8610" s="221">
        <v>6310.74</v>
      </c>
      <c r="G8610" s="221">
        <v>6029.93</v>
      </c>
      <c r="H8610" s="222">
        <v>119898.48</v>
      </c>
      <c r="I8610" s="222">
        <v>52336.5</v>
      </c>
      <c r="J8610" s="222">
        <v>34621.42</v>
      </c>
      <c r="K8610" s="222">
        <v>32940.559999999998</v>
      </c>
      <c r="L8610" s="43">
        <v>7.0980832564216572</v>
      </c>
      <c r="M8610" s="43">
        <v>11.5</v>
      </c>
      <c r="N8610" s="43">
        <v>5.4861109790610927</v>
      </c>
      <c r="O8610" s="43">
        <v>5.4628428522387482</v>
      </c>
      <c r="P8610" s="223"/>
      <c r="Q8610" s="223"/>
      <c r="R8610" s="223">
        <v>5</v>
      </c>
    </row>
    <row r="8611" spans="1:18" ht="48">
      <c r="A8611" s="219">
        <v>1406</v>
      </c>
      <c r="B8611" s="216" t="s">
        <v>15863</v>
      </c>
      <c r="C8611" s="220" t="s">
        <v>15864</v>
      </c>
      <c r="D8611" s="221">
        <v>13673.53</v>
      </c>
      <c r="E8611" s="221">
        <v>3740.7</v>
      </c>
      <c r="F8611" s="221">
        <v>5831.95</v>
      </c>
      <c r="G8611" s="221">
        <v>4100.88</v>
      </c>
      <c r="H8611" s="222">
        <v>97576.52</v>
      </c>
      <c r="I8611" s="222">
        <v>43018.05</v>
      </c>
      <c r="J8611" s="222">
        <v>32069.22</v>
      </c>
      <c r="K8611" s="222">
        <v>22489.25</v>
      </c>
      <c r="L8611" s="43">
        <v>7.1361616202984894</v>
      </c>
      <c r="M8611" s="43">
        <v>11.500000000000002</v>
      </c>
      <c r="N8611" s="43">
        <v>5.4988845926319669</v>
      </c>
      <c r="O8611" s="43">
        <v>5.4840058719104192</v>
      </c>
      <c r="P8611" s="223"/>
      <c r="Q8611" s="223"/>
      <c r="R8611" s="223">
        <v>5</v>
      </c>
    </row>
    <row r="8612" spans="1:18" ht="48">
      <c r="A8612" s="219">
        <v>1407</v>
      </c>
      <c r="B8612" s="216" t="s">
        <v>15865</v>
      </c>
      <c r="C8612" s="220" t="s">
        <v>15866</v>
      </c>
      <c r="D8612" s="221">
        <v>12066.16</v>
      </c>
      <c r="E8612" s="221">
        <v>3269.06</v>
      </c>
      <c r="F8612" s="221">
        <v>5571.15</v>
      </c>
      <c r="G8612" s="221">
        <v>3225.95</v>
      </c>
      <c r="H8612" s="222">
        <v>86020.4</v>
      </c>
      <c r="I8612" s="222">
        <v>37595.68</v>
      </c>
      <c r="J8612" s="222">
        <v>30674.92</v>
      </c>
      <c r="K8612" s="222">
        <v>17749.8</v>
      </c>
      <c r="L8612" s="43">
        <v>7.1290617727595187</v>
      </c>
      <c r="M8612" s="43">
        <v>11.500455788514129</v>
      </c>
      <c r="N8612" s="43">
        <v>5.5060301733035368</v>
      </c>
      <c r="O8612" s="43">
        <v>5.5021931524047183</v>
      </c>
      <c r="P8612" s="223"/>
      <c r="Q8612" s="223"/>
      <c r="R8612" s="223">
        <v>5</v>
      </c>
    </row>
    <row r="8613" spans="1:18" ht="48">
      <c r="A8613" s="219">
        <v>1408</v>
      </c>
      <c r="B8613" s="216" t="s">
        <v>15867</v>
      </c>
      <c r="C8613" s="220" t="s">
        <v>15868</v>
      </c>
      <c r="D8613" s="221">
        <v>9824.94</v>
      </c>
      <c r="E8613" s="221">
        <v>2577.9499999999998</v>
      </c>
      <c r="F8613" s="221">
        <v>5250.93</v>
      </c>
      <c r="G8613" s="221">
        <v>1996.06</v>
      </c>
      <c r="H8613" s="222">
        <v>69680.84</v>
      </c>
      <c r="I8613" s="222">
        <v>29647.599999999999</v>
      </c>
      <c r="J8613" s="222">
        <v>28964.11</v>
      </c>
      <c r="K8613" s="222">
        <v>11069.13</v>
      </c>
      <c r="L8613" s="43">
        <v>7.0922407668647329</v>
      </c>
      <c r="M8613" s="43">
        <v>11.500455788514129</v>
      </c>
      <c r="N8613" s="43">
        <v>5.5159962140039953</v>
      </c>
      <c r="O8613" s="43">
        <v>5.5454896145406449</v>
      </c>
      <c r="P8613" s="223"/>
      <c r="Q8613" s="223"/>
      <c r="R8613" s="223">
        <v>5</v>
      </c>
    </row>
    <row r="8614" spans="1:18" ht="12.75" customHeight="1">
      <c r="A8614" s="628" t="s">
        <v>15869</v>
      </c>
      <c r="B8614" s="629"/>
      <c r="C8614" s="629"/>
      <c r="D8614" s="629"/>
      <c r="E8614" s="629"/>
      <c r="F8614" s="629"/>
      <c r="G8614" s="629"/>
      <c r="H8614" s="629"/>
      <c r="I8614" s="629"/>
      <c r="J8614" s="629"/>
      <c r="K8614" s="629"/>
      <c r="L8614" s="629"/>
      <c r="M8614" s="629"/>
      <c r="N8614" s="629"/>
      <c r="O8614" s="629"/>
      <c r="P8614" s="629"/>
      <c r="Q8614" s="629"/>
      <c r="R8614" s="629"/>
    </row>
    <row r="8615" spans="1:18" ht="48">
      <c r="A8615" s="219">
        <v>1409</v>
      </c>
      <c r="B8615" s="216" t="s">
        <v>15870</v>
      </c>
      <c r="C8615" s="220" t="s">
        <v>15871</v>
      </c>
      <c r="D8615" s="221">
        <v>20784.45</v>
      </c>
      <c r="E8615" s="221">
        <v>5262.42</v>
      </c>
      <c r="F8615" s="221">
        <v>7689.14</v>
      </c>
      <c r="G8615" s="221">
        <v>7832.89</v>
      </c>
      <c r="H8615" s="222">
        <v>145456.39000000001</v>
      </c>
      <c r="I8615" s="222">
        <v>60520.12</v>
      </c>
      <c r="J8615" s="222">
        <v>42166.62</v>
      </c>
      <c r="K8615" s="222">
        <v>42769.65</v>
      </c>
      <c r="L8615" s="43">
        <v>6.9983275958709523</v>
      </c>
      <c r="M8615" s="43">
        <v>11.500435161009573</v>
      </c>
      <c r="N8615" s="43">
        <v>5.4839188777938759</v>
      </c>
      <c r="O8615" s="43">
        <v>5.4602643468758014</v>
      </c>
      <c r="P8615" s="223"/>
      <c r="Q8615" s="223"/>
      <c r="R8615" s="223">
        <v>6</v>
      </c>
    </row>
    <row r="8616" spans="1:18" ht="48">
      <c r="A8616" s="219">
        <v>1410</v>
      </c>
      <c r="B8616" s="216" t="s">
        <v>15872</v>
      </c>
      <c r="C8616" s="220" t="s">
        <v>15873</v>
      </c>
      <c r="D8616" s="221">
        <v>16751.650000000001</v>
      </c>
      <c r="E8616" s="221">
        <v>4329</v>
      </c>
      <c r="F8616" s="221">
        <v>7043.9</v>
      </c>
      <c r="G8616" s="221">
        <v>5378.75</v>
      </c>
      <c r="H8616" s="222">
        <v>117986.94</v>
      </c>
      <c r="I8616" s="222">
        <v>49783.5</v>
      </c>
      <c r="J8616" s="222">
        <v>38721.43</v>
      </c>
      <c r="K8616" s="222">
        <v>29482.01</v>
      </c>
      <c r="L8616" s="43">
        <v>7.0433026000423835</v>
      </c>
      <c r="M8616" s="43">
        <v>11.5</v>
      </c>
      <c r="N8616" s="43">
        <v>5.4971578245006318</v>
      </c>
      <c r="O8616" s="43">
        <v>5.4812010225424119</v>
      </c>
      <c r="P8616" s="223"/>
      <c r="Q8616" s="223"/>
      <c r="R8616" s="223">
        <v>6</v>
      </c>
    </row>
    <row r="8617" spans="1:18" ht="48">
      <c r="A8617" s="219">
        <v>1411</v>
      </c>
      <c r="B8617" s="216" t="s">
        <v>15874</v>
      </c>
      <c r="C8617" s="220" t="s">
        <v>15875</v>
      </c>
      <c r="D8617" s="221">
        <v>14654.43</v>
      </c>
      <c r="E8617" s="221">
        <v>3796.2</v>
      </c>
      <c r="F8617" s="221">
        <v>6701.84</v>
      </c>
      <c r="G8617" s="221">
        <v>4156.3900000000003</v>
      </c>
      <c r="H8617" s="222">
        <v>103423.67</v>
      </c>
      <c r="I8617" s="222">
        <v>43656.3</v>
      </c>
      <c r="J8617" s="222">
        <v>36891.35</v>
      </c>
      <c r="K8617" s="222">
        <v>22876.02</v>
      </c>
      <c r="L8617" s="43">
        <v>7.0575020659281869</v>
      </c>
      <c r="M8617" s="43">
        <v>11.500000000000002</v>
      </c>
      <c r="N8617" s="43">
        <v>5.5046599142921941</v>
      </c>
      <c r="O8617" s="43">
        <v>5.5038194202180257</v>
      </c>
      <c r="P8617" s="223"/>
      <c r="Q8617" s="223"/>
      <c r="R8617" s="223">
        <v>6</v>
      </c>
    </row>
    <row r="8618" spans="1:18" ht="48">
      <c r="A8618" s="219">
        <v>1412</v>
      </c>
      <c r="B8618" s="216" t="s">
        <v>15876</v>
      </c>
      <c r="C8618" s="220" t="s">
        <v>15877</v>
      </c>
      <c r="D8618" s="221">
        <v>11782.94</v>
      </c>
      <c r="E8618" s="221">
        <v>2907.05</v>
      </c>
      <c r="F8618" s="221">
        <v>6301.21</v>
      </c>
      <c r="G8618" s="221">
        <v>2574.6799999999998</v>
      </c>
      <c r="H8618" s="222">
        <v>82467.460000000006</v>
      </c>
      <c r="I8618" s="222">
        <v>33432.400000000001</v>
      </c>
      <c r="J8618" s="222">
        <v>34752.370000000003</v>
      </c>
      <c r="K8618" s="222">
        <v>14282.69</v>
      </c>
      <c r="L8618" s="43">
        <v>6.9988865257737034</v>
      </c>
      <c r="M8618" s="43">
        <v>11.500455788514129</v>
      </c>
      <c r="N8618" s="43">
        <v>5.5151899397099928</v>
      </c>
      <c r="O8618" s="43">
        <v>5.547365109450495</v>
      </c>
      <c r="P8618" s="223"/>
      <c r="Q8618" s="223"/>
      <c r="R8618" s="223">
        <v>6</v>
      </c>
    </row>
    <row r="8619" spans="1:18" ht="12.75" customHeight="1">
      <c r="A8619" s="628" t="s">
        <v>15878</v>
      </c>
      <c r="B8619" s="629"/>
      <c r="C8619" s="629"/>
      <c r="D8619" s="629"/>
      <c r="E8619" s="629"/>
      <c r="F8619" s="629"/>
      <c r="G8619" s="629"/>
      <c r="H8619" s="629"/>
      <c r="I8619" s="629"/>
      <c r="J8619" s="629"/>
      <c r="K8619" s="629"/>
      <c r="L8619" s="629"/>
      <c r="M8619" s="629"/>
      <c r="N8619" s="629"/>
      <c r="O8619" s="629"/>
      <c r="P8619" s="629"/>
      <c r="Q8619" s="629"/>
      <c r="R8619" s="629"/>
    </row>
    <row r="8620" spans="1:18" ht="48">
      <c r="A8620" s="219">
        <v>1413</v>
      </c>
      <c r="B8620" s="216" t="s">
        <v>15879</v>
      </c>
      <c r="C8620" s="220" t="s">
        <v>15880</v>
      </c>
      <c r="D8620" s="221">
        <v>6872.23</v>
      </c>
      <c r="E8620" s="221">
        <v>2265.56</v>
      </c>
      <c r="F8620" s="221">
        <v>2816.04</v>
      </c>
      <c r="G8620" s="221">
        <v>1790.63</v>
      </c>
      <c r="H8620" s="222">
        <v>51450.7</v>
      </c>
      <c r="I8620" s="222">
        <v>26053.94</v>
      </c>
      <c r="J8620" s="222">
        <v>15498.76</v>
      </c>
      <c r="K8620" s="222">
        <v>9898</v>
      </c>
      <c r="L8620" s="43">
        <v>7.4867546633334445</v>
      </c>
      <c r="M8620" s="43">
        <v>11.5</v>
      </c>
      <c r="N8620" s="43">
        <v>5.5037428445618675</v>
      </c>
      <c r="O8620" s="43">
        <v>5.5276634480601796</v>
      </c>
      <c r="P8620" s="223"/>
      <c r="Q8620" s="223"/>
      <c r="R8620" s="223">
        <v>7</v>
      </c>
    </row>
    <row r="8621" spans="1:18" ht="48">
      <c r="A8621" s="219">
        <v>1414</v>
      </c>
      <c r="B8621" s="216" t="s">
        <v>15881</v>
      </c>
      <c r="C8621" s="220" t="s">
        <v>15882</v>
      </c>
      <c r="D8621" s="221">
        <v>5181.1000000000004</v>
      </c>
      <c r="E8621" s="221">
        <v>1692.18</v>
      </c>
      <c r="F8621" s="221">
        <v>2578.31</v>
      </c>
      <c r="G8621" s="221">
        <v>910.61</v>
      </c>
      <c r="H8621" s="222">
        <v>38800.120000000003</v>
      </c>
      <c r="I8621" s="222">
        <v>19460.86</v>
      </c>
      <c r="J8621" s="222">
        <v>14230.98</v>
      </c>
      <c r="K8621" s="222">
        <v>5108.28</v>
      </c>
      <c r="L8621" s="43">
        <v>7.4887803748238788</v>
      </c>
      <c r="M8621" s="43">
        <v>11.50046685340803</v>
      </c>
      <c r="N8621" s="43">
        <v>5.5194992068447934</v>
      </c>
      <c r="O8621" s="43">
        <v>5.6097341342616485</v>
      </c>
      <c r="P8621" s="223"/>
      <c r="Q8621" s="223"/>
      <c r="R8621" s="223">
        <v>7</v>
      </c>
    </row>
    <row r="8622" spans="1:18" ht="48">
      <c r="A8622" s="219">
        <v>1415</v>
      </c>
      <c r="B8622" s="216" t="s">
        <v>15883</v>
      </c>
      <c r="C8622" s="220" t="s">
        <v>15884</v>
      </c>
      <c r="D8622" s="221">
        <v>7253.89</v>
      </c>
      <c r="E8622" s="221">
        <v>2559.69</v>
      </c>
      <c r="F8622" s="221">
        <v>2897.69</v>
      </c>
      <c r="G8622" s="221">
        <v>1796.51</v>
      </c>
      <c r="H8622" s="222">
        <v>55353.11</v>
      </c>
      <c r="I8622" s="222">
        <v>29437.63</v>
      </c>
      <c r="J8622" s="222">
        <v>15949.86</v>
      </c>
      <c r="K8622" s="222">
        <v>9965.6200000000008</v>
      </c>
      <c r="L8622" s="43">
        <v>7.6308173959075747</v>
      </c>
      <c r="M8622" s="43">
        <v>11.50046685340803</v>
      </c>
      <c r="N8622" s="43">
        <v>5.5043362126383428</v>
      </c>
      <c r="O8622" s="43">
        <v>5.5472109812915047</v>
      </c>
      <c r="P8622" s="223"/>
      <c r="Q8622" s="223"/>
      <c r="R8622" s="223">
        <v>7</v>
      </c>
    </row>
    <row r="8623" spans="1:18" ht="48">
      <c r="A8623" s="219">
        <v>1416</v>
      </c>
      <c r="B8623" s="216" t="s">
        <v>15885</v>
      </c>
      <c r="C8623" s="220" t="s">
        <v>15886</v>
      </c>
      <c r="D8623" s="221">
        <v>5320.14</v>
      </c>
      <c r="E8623" s="221">
        <v>1756.44</v>
      </c>
      <c r="F8623" s="221">
        <v>2651.8</v>
      </c>
      <c r="G8623" s="221">
        <v>911.9</v>
      </c>
      <c r="H8623" s="222">
        <v>39959.980000000003</v>
      </c>
      <c r="I8623" s="222">
        <v>20199.88</v>
      </c>
      <c r="J8623" s="222">
        <v>14636.98</v>
      </c>
      <c r="K8623" s="222">
        <v>5123.12</v>
      </c>
      <c r="L8623" s="43">
        <v>7.511076776175063</v>
      </c>
      <c r="M8623" s="43">
        <v>11.50046685340803</v>
      </c>
      <c r="N8623" s="43">
        <v>5.519639490157628</v>
      </c>
      <c r="O8623" s="43">
        <v>5.6180721570347627</v>
      </c>
      <c r="P8623" s="223"/>
      <c r="Q8623" s="223"/>
      <c r="R8623" s="223">
        <v>7</v>
      </c>
    </row>
    <row r="8624" spans="1:18" ht="12.75" customHeight="1">
      <c r="A8624" s="628" t="s">
        <v>15887</v>
      </c>
      <c r="B8624" s="629"/>
      <c r="C8624" s="629"/>
      <c r="D8624" s="629"/>
      <c r="E8624" s="629"/>
      <c r="F8624" s="629"/>
      <c r="G8624" s="629"/>
      <c r="H8624" s="629"/>
      <c r="I8624" s="629"/>
      <c r="J8624" s="629"/>
      <c r="K8624" s="629"/>
      <c r="L8624" s="629"/>
      <c r="M8624" s="629"/>
      <c r="N8624" s="629"/>
      <c r="O8624" s="629"/>
      <c r="P8624" s="629"/>
      <c r="Q8624" s="629"/>
      <c r="R8624" s="629"/>
    </row>
    <row r="8625" spans="1:18" ht="48">
      <c r="A8625" s="219">
        <v>1417</v>
      </c>
      <c r="B8625" s="216" t="s">
        <v>15888</v>
      </c>
      <c r="C8625" s="220" t="s">
        <v>15889</v>
      </c>
      <c r="D8625" s="221">
        <v>8927.89</v>
      </c>
      <c r="E8625" s="221">
        <v>2579.92</v>
      </c>
      <c r="F8625" s="221">
        <v>3678.63</v>
      </c>
      <c r="G8625" s="221">
        <v>2669.34</v>
      </c>
      <c r="H8625" s="222">
        <v>64548.76</v>
      </c>
      <c r="I8625" s="222">
        <v>29669.08</v>
      </c>
      <c r="J8625" s="222">
        <v>20230.7</v>
      </c>
      <c r="K8625" s="222">
        <v>14648.98</v>
      </c>
      <c r="L8625" s="43">
        <v>7.2300129145856422</v>
      </c>
      <c r="M8625" s="43">
        <v>11.5</v>
      </c>
      <c r="N8625" s="43">
        <v>5.4995202018142626</v>
      </c>
      <c r="O8625" s="43">
        <v>5.4878659144207926</v>
      </c>
      <c r="P8625" s="223"/>
      <c r="Q8625" s="223"/>
      <c r="R8625" s="223">
        <v>8</v>
      </c>
    </row>
    <row r="8626" spans="1:18" ht="48">
      <c r="A8626" s="219">
        <v>1418</v>
      </c>
      <c r="B8626" s="216" t="s">
        <v>15890</v>
      </c>
      <c r="C8626" s="220" t="s">
        <v>15891</v>
      </c>
      <c r="D8626" s="221">
        <v>6461.09</v>
      </c>
      <c r="E8626" s="221">
        <v>1863.54</v>
      </c>
      <c r="F8626" s="221">
        <v>3330.65</v>
      </c>
      <c r="G8626" s="221">
        <v>1266.9000000000001</v>
      </c>
      <c r="H8626" s="222">
        <v>46853.32</v>
      </c>
      <c r="I8626" s="222">
        <v>21431.58</v>
      </c>
      <c r="J8626" s="222">
        <v>18376.189999999999</v>
      </c>
      <c r="K8626" s="222">
        <v>7045.55</v>
      </c>
      <c r="L8626" s="43">
        <v>7.2516123440472118</v>
      </c>
      <c r="M8626" s="43">
        <v>11.500466853408032</v>
      </c>
      <c r="N8626" s="43">
        <v>5.5172984252323118</v>
      </c>
      <c r="O8626" s="43">
        <v>5.5612518746546682</v>
      </c>
      <c r="P8626" s="223"/>
      <c r="Q8626" s="223"/>
      <c r="R8626" s="223">
        <v>8</v>
      </c>
    </row>
    <row r="8627" spans="1:18" ht="48">
      <c r="A8627" s="219">
        <v>1419</v>
      </c>
      <c r="B8627" s="216" t="s">
        <v>15892</v>
      </c>
      <c r="C8627" s="220" t="s">
        <v>15893</v>
      </c>
      <c r="D8627" s="221">
        <v>8928.5499999999993</v>
      </c>
      <c r="E8627" s="221">
        <v>2654.74</v>
      </c>
      <c r="F8627" s="221">
        <v>3776.08</v>
      </c>
      <c r="G8627" s="221">
        <v>2497.73</v>
      </c>
      <c r="H8627" s="222">
        <v>65052.5</v>
      </c>
      <c r="I8627" s="222">
        <v>30530.720000000001</v>
      </c>
      <c r="J8627" s="222">
        <v>20781.86</v>
      </c>
      <c r="K8627" s="222">
        <v>13739.92</v>
      </c>
      <c r="L8627" s="43">
        <v>7.2858974861539672</v>
      </c>
      <c r="M8627" s="43">
        <v>11.500455788514131</v>
      </c>
      <c r="N8627" s="43">
        <v>5.5035539501281754</v>
      </c>
      <c r="O8627" s="43">
        <v>5.5009628742898551</v>
      </c>
      <c r="P8627" s="223"/>
      <c r="Q8627" s="223"/>
      <c r="R8627" s="223">
        <v>8</v>
      </c>
    </row>
    <row r="8628" spans="1:18" ht="48">
      <c r="A8628" s="219">
        <v>1420</v>
      </c>
      <c r="B8628" s="216" t="s">
        <v>15894</v>
      </c>
      <c r="C8628" s="220" t="s">
        <v>15895</v>
      </c>
      <c r="D8628" s="221">
        <v>6482.48</v>
      </c>
      <c r="E8628" s="221">
        <v>1929.52</v>
      </c>
      <c r="F8628" s="221">
        <v>3457.84</v>
      </c>
      <c r="G8628" s="221">
        <v>1095.1199999999999</v>
      </c>
      <c r="H8628" s="222">
        <v>47408.73</v>
      </c>
      <c r="I8628" s="222">
        <v>22189.48</v>
      </c>
      <c r="J8628" s="222">
        <v>19084.72</v>
      </c>
      <c r="K8628" s="222">
        <v>6134.53</v>
      </c>
      <c r="L8628" s="43">
        <v>7.3133630956053866</v>
      </c>
      <c r="M8628" s="43">
        <v>11.5</v>
      </c>
      <c r="N8628" s="43">
        <v>5.5192605788584785</v>
      </c>
      <c r="O8628" s="43">
        <v>5.6016966177222587</v>
      </c>
      <c r="P8628" s="223"/>
      <c r="Q8628" s="223"/>
      <c r="R8628" s="223">
        <v>8</v>
      </c>
    </row>
    <row r="8629" spans="1:18" ht="12.75" customHeight="1">
      <c r="A8629" s="628" t="s">
        <v>15896</v>
      </c>
      <c r="B8629" s="629"/>
      <c r="C8629" s="629"/>
      <c r="D8629" s="629"/>
      <c r="E8629" s="629"/>
      <c r="F8629" s="629"/>
      <c r="G8629" s="629"/>
      <c r="H8629" s="629"/>
      <c r="I8629" s="629"/>
      <c r="J8629" s="629"/>
      <c r="K8629" s="629"/>
      <c r="L8629" s="629"/>
      <c r="M8629" s="629"/>
      <c r="N8629" s="629"/>
      <c r="O8629" s="629"/>
      <c r="P8629" s="629"/>
      <c r="Q8629" s="629"/>
      <c r="R8629" s="629"/>
    </row>
    <row r="8630" spans="1:18" ht="48">
      <c r="A8630" s="219">
        <v>1421</v>
      </c>
      <c r="B8630" s="216" t="s">
        <v>15897</v>
      </c>
      <c r="C8630" s="220" t="s">
        <v>15898</v>
      </c>
      <c r="D8630" s="221">
        <v>11457.56</v>
      </c>
      <c r="E8630" s="221">
        <v>3016.75</v>
      </c>
      <c r="F8630" s="221">
        <v>4873.8999999999996</v>
      </c>
      <c r="G8630" s="221">
        <v>3566.91</v>
      </c>
      <c r="H8630" s="222">
        <v>81044.12</v>
      </c>
      <c r="I8630" s="222">
        <v>34694</v>
      </c>
      <c r="J8630" s="222">
        <v>26807.55</v>
      </c>
      <c r="K8630" s="222">
        <v>19542.57</v>
      </c>
      <c r="L8630" s="43">
        <v>7.0734187732815714</v>
      </c>
      <c r="M8630" s="43">
        <v>11.500455788514129</v>
      </c>
      <c r="N8630" s="43">
        <v>5.5002256919510044</v>
      </c>
      <c r="O8630" s="43">
        <v>5.478851442845488</v>
      </c>
      <c r="P8630" s="223"/>
      <c r="Q8630" s="223"/>
      <c r="R8630" s="223">
        <v>9</v>
      </c>
    </row>
    <row r="8631" spans="1:18" ht="48">
      <c r="A8631" s="219">
        <v>1422</v>
      </c>
      <c r="B8631" s="216" t="s">
        <v>15899</v>
      </c>
      <c r="C8631" s="220" t="s">
        <v>15900</v>
      </c>
      <c r="D8631" s="221">
        <v>8353.7000000000007</v>
      </c>
      <c r="E8631" s="221">
        <v>2113.8000000000002</v>
      </c>
      <c r="F8631" s="221">
        <v>4426.3500000000004</v>
      </c>
      <c r="G8631" s="221">
        <v>1813.55</v>
      </c>
      <c r="H8631" s="222">
        <v>58767.25</v>
      </c>
      <c r="I8631" s="222">
        <v>24308.7</v>
      </c>
      <c r="J8631" s="222">
        <v>24423.46</v>
      </c>
      <c r="K8631" s="222">
        <v>10035.09</v>
      </c>
      <c r="L8631" s="43">
        <v>7.0348767611956369</v>
      </c>
      <c r="M8631" s="43">
        <v>11.5</v>
      </c>
      <c r="N8631" s="43">
        <v>5.5177426095993303</v>
      </c>
      <c r="O8631" s="43">
        <v>5.5333958258663944</v>
      </c>
      <c r="P8631" s="223"/>
      <c r="Q8631" s="223"/>
      <c r="R8631" s="223">
        <v>9</v>
      </c>
    </row>
    <row r="8632" spans="1:18" ht="48">
      <c r="A8632" s="219">
        <v>1423</v>
      </c>
      <c r="B8632" s="216" t="s">
        <v>15901</v>
      </c>
      <c r="C8632" s="220" t="s">
        <v>15902</v>
      </c>
      <c r="D8632" s="221">
        <v>12150.87</v>
      </c>
      <c r="E8632" s="221">
        <v>3203.24</v>
      </c>
      <c r="F8632" s="221">
        <v>5203.8999999999996</v>
      </c>
      <c r="G8632" s="221">
        <v>3743.73</v>
      </c>
      <c r="H8632" s="222">
        <v>85973.28</v>
      </c>
      <c r="I8632" s="222">
        <v>36838.720000000001</v>
      </c>
      <c r="J8632" s="222">
        <v>28623.01</v>
      </c>
      <c r="K8632" s="222">
        <v>20511.55</v>
      </c>
      <c r="L8632" s="43">
        <v>7.0754834838986831</v>
      </c>
      <c r="M8632" s="43">
        <v>11.500455788514131</v>
      </c>
      <c r="N8632" s="43">
        <v>5.5002997751686236</v>
      </c>
      <c r="O8632" s="43">
        <v>5.4789073998391977</v>
      </c>
      <c r="P8632" s="223"/>
      <c r="Q8632" s="223"/>
      <c r="R8632" s="223">
        <v>9</v>
      </c>
    </row>
    <row r="8633" spans="1:18" ht="48">
      <c r="A8633" s="219">
        <v>1424</v>
      </c>
      <c r="B8633" s="216" t="s">
        <v>15903</v>
      </c>
      <c r="C8633" s="220" t="s">
        <v>15904</v>
      </c>
      <c r="D8633" s="221">
        <v>8799.26</v>
      </c>
      <c r="E8633" s="221">
        <v>2243.88</v>
      </c>
      <c r="F8633" s="221">
        <v>4739.2299999999996</v>
      </c>
      <c r="G8633" s="221">
        <v>1816.15</v>
      </c>
      <c r="H8633" s="222">
        <v>62017.9</v>
      </c>
      <c r="I8633" s="222">
        <v>25804.62</v>
      </c>
      <c r="J8633" s="222">
        <v>26148.29</v>
      </c>
      <c r="K8633" s="222">
        <v>10064.99</v>
      </c>
      <c r="L8633" s="43">
        <v>7.0480813159288394</v>
      </c>
      <c r="M8633" s="43">
        <v>11.499999999999998</v>
      </c>
      <c r="N8633" s="43">
        <v>5.5174131662738466</v>
      </c>
      <c r="O8633" s="43">
        <v>5.5419376152850806</v>
      </c>
      <c r="P8633" s="223"/>
      <c r="Q8633" s="223"/>
      <c r="R8633" s="223">
        <v>9</v>
      </c>
    </row>
    <row r="8634" spans="1:18" ht="12.75" customHeight="1">
      <c r="A8634" s="628" t="s">
        <v>15905</v>
      </c>
      <c r="B8634" s="629"/>
      <c r="C8634" s="629"/>
      <c r="D8634" s="629"/>
      <c r="E8634" s="629"/>
      <c r="F8634" s="629"/>
      <c r="G8634" s="629"/>
      <c r="H8634" s="629"/>
      <c r="I8634" s="629"/>
      <c r="J8634" s="629"/>
      <c r="K8634" s="629"/>
      <c r="L8634" s="629"/>
      <c r="M8634" s="629"/>
      <c r="N8634" s="629"/>
      <c r="O8634" s="629"/>
      <c r="P8634" s="629"/>
      <c r="Q8634" s="629"/>
      <c r="R8634" s="629"/>
    </row>
    <row r="8635" spans="1:18" ht="48">
      <c r="A8635" s="219">
        <v>1425</v>
      </c>
      <c r="B8635" s="216" t="s">
        <v>15906</v>
      </c>
      <c r="C8635" s="220" t="s">
        <v>15907</v>
      </c>
      <c r="D8635" s="221">
        <v>13007.44</v>
      </c>
      <c r="E8635" s="221">
        <v>3400.7</v>
      </c>
      <c r="F8635" s="221">
        <v>5512.66</v>
      </c>
      <c r="G8635" s="221">
        <v>4094.08</v>
      </c>
      <c r="H8635" s="222">
        <v>91826</v>
      </c>
      <c r="I8635" s="222">
        <v>39109.599999999999</v>
      </c>
      <c r="J8635" s="222">
        <v>30305.35</v>
      </c>
      <c r="K8635" s="222">
        <v>22411.05</v>
      </c>
      <c r="L8635" s="43">
        <v>7.0594982563825006</v>
      </c>
      <c r="M8635" s="43">
        <v>11.500455788514129</v>
      </c>
      <c r="N8635" s="43">
        <v>5.4974095989957661</v>
      </c>
      <c r="O8635" s="43">
        <v>5.4740136978271066</v>
      </c>
      <c r="P8635" s="223"/>
      <c r="Q8635" s="223"/>
      <c r="R8635" s="223">
        <v>10</v>
      </c>
    </row>
    <row r="8636" spans="1:18" ht="48">
      <c r="A8636" s="219">
        <v>1426</v>
      </c>
      <c r="B8636" s="216" t="s">
        <v>15908</v>
      </c>
      <c r="C8636" s="220" t="s">
        <v>15909</v>
      </c>
      <c r="D8636" s="221">
        <v>9313.68</v>
      </c>
      <c r="E8636" s="221">
        <v>2341.44</v>
      </c>
      <c r="F8636" s="221">
        <v>4980.91</v>
      </c>
      <c r="G8636" s="221">
        <v>1991.33</v>
      </c>
      <c r="H8636" s="222">
        <v>65413.68</v>
      </c>
      <c r="I8636" s="222">
        <v>26926.560000000001</v>
      </c>
      <c r="J8636" s="222">
        <v>27472.38</v>
      </c>
      <c r="K8636" s="222">
        <v>11014.74</v>
      </c>
      <c r="L8636" s="43">
        <v>7.0233978405957682</v>
      </c>
      <c r="M8636" s="43">
        <v>11.5</v>
      </c>
      <c r="N8636" s="43">
        <v>5.5155343099955632</v>
      </c>
      <c r="O8636" s="43">
        <v>5.5313483952935982</v>
      </c>
      <c r="P8636" s="223"/>
      <c r="Q8636" s="223"/>
      <c r="R8636" s="223">
        <v>10</v>
      </c>
    </row>
    <row r="8637" spans="1:18" ht="48">
      <c r="A8637" s="219">
        <v>1427</v>
      </c>
      <c r="B8637" s="216" t="s">
        <v>15910</v>
      </c>
      <c r="C8637" s="220" t="s">
        <v>15911</v>
      </c>
      <c r="D8637" s="221">
        <v>14139.39</v>
      </c>
      <c r="E8637" s="221">
        <v>3685.2</v>
      </c>
      <c r="F8637" s="221">
        <v>5835.12</v>
      </c>
      <c r="G8637" s="221">
        <v>4619.07</v>
      </c>
      <c r="H8637" s="222">
        <v>99704.39</v>
      </c>
      <c r="I8637" s="222">
        <v>42379.8</v>
      </c>
      <c r="J8637" s="222">
        <v>32069.51</v>
      </c>
      <c r="K8637" s="222">
        <v>25255.08</v>
      </c>
      <c r="L8637" s="43">
        <v>7.0515340477913124</v>
      </c>
      <c r="M8637" s="43">
        <v>11.500000000000002</v>
      </c>
      <c r="N8637" s="43">
        <v>5.49594695567529</v>
      </c>
      <c r="O8637" s="43">
        <v>5.4675681468347532</v>
      </c>
      <c r="P8637" s="223"/>
      <c r="Q8637" s="223"/>
      <c r="R8637" s="223">
        <v>10</v>
      </c>
    </row>
    <row r="8638" spans="1:18" ht="48">
      <c r="A8638" s="219">
        <v>1428</v>
      </c>
      <c r="B8638" s="216" t="s">
        <v>15912</v>
      </c>
      <c r="C8638" s="220" t="s">
        <v>15913</v>
      </c>
      <c r="D8638" s="221">
        <v>9964.09</v>
      </c>
      <c r="E8638" s="221">
        <v>2536.56</v>
      </c>
      <c r="F8638" s="221">
        <v>5259.2</v>
      </c>
      <c r="G8638" s="221">
        <v>2168.33</v>
      </c>
      <c r="H8638" s="222">
        <v>70158.36</v>
      </c>
      <c r="I8638" s="222">
        <v>29170.44</v>
      </c>
      <c r="J8638" s="222">
        <v>29002.13</v>
      </c>
      <c r="K8638" s="222">
        <v>11985.79</v>
      </c>
      <c r="L8638" s="43">
        <v>7.0411206643055211</v>
      </c>
      <c r="M8638" s="43">
        <v>11.5</v>
      </c>
      <c r="N8638" s="43">
        <v>5.5145516428354124</v>
      </c>
      <c r="O8638" s="43">
        <v>5.5276595352183486</v>
      </c>
      <c r="P8638" s="223"/>
      <c r="Q8638" s="223"/>
      <c r="R8638" s="223">
        <v>10</v>
      </c>
    </row>
    <row r="8639" spans="1:18" ht="12.75" customHeight="1">
      <c r="A8639" s="628" t="s">
        <v>15914</v>
      </c>
      <c r="B8639" s="629"/>
      <c r="C8639" s="629"/>
      <c r="D8639" s="629"/>
      <c r="E8639" s="629"/>
      <c r="F8639" s="629"/>
      <c r="G8639" s="629"/>
      <c r="H8639" s="629"/>
      <c r="I8639" s="629"/>
      <c r="J8639" s="629"/>
      <c r="K8639" s="629"/>
      <c r="L8639" s="629"/>
      <c r="M8639" s="629"/>
      <c r="N8639" s="629"/>
      <c r="O8639" s="629"/>
      <c r="P8639" s="629"/>
      <c r="Q8639" s="629"/>
      <c r="R8639" s="629"/>
    </row>
    <row r="8640" spans="1:18" ht="48">
      <c r="A8640" s="219">
        <v>1429</v>
      </c>
      <c r="B8640" s="216" t="s">
        <v>15915</v>
      </c>
      <c r="C8640" s="220" t="s">
        <v>15916</v>
      </c>
      <c r="D8640" s="221">
        <v>15971.47</v>
      </c>
      <c r="E8640" s="221">
        <v>3885</v>
      </c>
      <c r="F8640" s="221">
        <v>6716.6</v>
      </c>
      <c r="G8640" s="221">
        <v>5369.87</v>
      </c>
      <c r="H8640" s="222">
        <v>110978.92</v>
      </c>
      <c r="I8640" s="222">
        <v>44677.5</v>
      </c>
      <c r="J8640" s="222">
        <v>36921.53</v>
      </c>
      <c r="K8640" s="222">
        <v>29379.89</v>
      </c>
      <c r="L8640" s="43">
        <v>6.9485726736486999</v>
      </c>
      <c r="M8640" s="43">
        <v>11.5</v>
      </c>
      <c r="N8640" s="43">
        <v>5.4970565464669621</v>
      </c>
      <c r="O8640" s="43">
        <v>5.4712479073050186</v>
      </c>
      <c r="P8640" s="223"/>
      <c r="Q8640" s="223"/>
      <c r="R8640" s="223">
        <v>11</v>
      </c>
    </row>
    <row r="8641" spans="1:18" ht="48">
      <c r="A8641" s="219">
        <v>1430</v>
      </c>
      <c r="B8641" s="216" t="s">
        <v>15917</v>
      </c>
      <c r="C8641" s="220" t="s">
        <v>15918</v>
      </c>
      <c r="D8641" s="221">
        <v>11188.79</v>
      </c>
      <c r="E8641" s="221">
        <v>2610.86</v>
      </c>
      <c r="F8641" s="221">
        <v>6009.17</v>
      </c>
      <c r="G8641" s="221">
        <v>2568.7600000000002</v>
      </c>
      <c r="H8641" s="222">
        <v>77383.600000000006</v>
      </c>
      <c r="I8641" s="222">
        <v>30026.080000000002</v>
      </c>
      <c r="J8641" s="222">
        <v>33142.910000000003</v>
      </c>
      <c r="K8641" s="222">
        <v>14214.61</v>
      </c>
      <c r="L8641" s="43">
        <v>6.9161723475013828</v>
      </c>
      <c r="M8641" s="43">
        <v>11.500455788514129</v>
      </c>
      <c r="N8641" s="43">
        <v>5.5153889805081242</v>
      </c>
      <c r="O8641" s="43">
        <v>5.5336465843441971</v>
      </c>
      <c r="P8641" s="223"/>
      <c r="Q8641" s="223"/>
      <c r="R8641" s="223">
        <v>11</v>
      </c>
    </row>
    <row r="8642" spans="1:18" ht="48">
      <c r="A8642" s="219">
        <v>1431</v>
      </c>
      <c r="B8642" s="216" t="s">
        <v>15919</v>
      </c>
      <c r="C8642" s="220" t="s">
        <v>15920</v>
      </c>
      <c r="D8642" s="221">
        <v>17115.669999999998</v>
      </c>
      <c r="E8642" s="221">
        <v>4184.7</v>
      </c>
      <c r="F8642" s="221">
        <v>7382.01</v>
      </c>
      <c r="G8642" s="221">
        <v>5548.96</v>
      </c>
      <c r="H8642" s="222">
        <v>119080.08</v>
      </c>
      <c r="I8642" s="222">
        <v>48124.05</v>
      </c>
      <c r="J8642" s="222">
        <v>40581.050000000003</v>
      </c>
      <c r="K8642" s="222">
        <v>30374.98</v>
      </c>
      <c r="L8642" s="43">
        <v>6.9573718119127097</v>
      </c>
      <c r="M8642" s="43">
        <v>11.500000000000002</v>
      </c>
      <c r="N8642" s="43">
        <v>5.4972900334732682</v>
      </c>
      <c r="O8642" s="43">
        <v>5.473995127014792</v>
      </c>
      <c r="P8642" s="223"/>
      <c r="Q8642" s="223"/>
      <c r="R8642" s="223">
        <v>11</v>
      </c>
    </row>
    <row r="8643" spans="1:18" ht="48">
      <c r="A8643" s="219">
        <v>1432</v>
      </c>
      <c r="B8643" s="216" t="s">
        <v>15921</v>
      </c>
      <c r="C8643" s="220" t="s">
        <v>15922</v>
      </c>
      <c r="D8643" s="221">
        <v>12064.85</v>
      </c>
      <c r="E8643" s="221">
        <v>2852.7</v>
      </c>
      <c r="F8643" s="221">
        <v>6638.56</v>
      </c>
      <c r="G8643" s="221">
        <v>2573.59</v>
      </c>
      <c r="H8643" s="222">
        <v>83688.62</v>
      </c>
      <c r="I8643" s="222">
        <v>32806.050000000003</v>
      </c>
      <c r="J8643" s="222">
        <v>36612.410000000003</v>
      </c>
      <c r="K8643" s="222">
        <v>14270.16</v>
      </c>
      <c r="L8643" s="43">
        <v>6.9365653116284074</v>
      </c>
      <c r="M8643" s="43">
        <v>11.500000000000002</v>
      </c>
      <c r="N8643" s="43">
        <v>5.515113217324239</v>
      </c>
      <c r="O8643" s="43">
        <v>5.5448459156275858</v>
      </c>
      <c r="P8643" s="223"/>
      <c r="Q8643" s="223"/>
      <c r="R8643" s="223">
        <v>11</v>
      </c>
    </row>
    <row r="8644" spans="1:18" ht="12.75" customHeight="1">
      <c r="A8644" s="628" t="s">
        <v>15923</v>
      </c>
      <c r="B8644" s="629"/>
      <c r="C8644" s="629"/>
      <c r="D8644" s="629"/>
      <c r="E8644" s="629"/>
      <c r="F8644" s="629"/>
      <c r="G8644" s="629"/>
      <c r="H8644" s="629"/>
      <c r="I8644" s="629"/>
      <c r="J8644" s="629"/>
      <c r="K8644" s="629"/>
      <c r="L8644" s="629"/>
      <c r="M8644" s="629"/>
      <c r="N8644" s="629"/>
      <c r="O8644" s="629"/>
      <c r="P8644" s="629"/>
      <c r="Q8644" s="629"/>
      <c r="R8644" s="629"/>
    </row>
    <row r="8645" spans="1:18" ht="48">
      <c r="A8645" s="219">
        <v>1433</v>
      </c>
      <c r="B8645" s="216" t="s">
        <v>15924</v>
      </c>
      <c r="C8645" s="220" t="s">
        <v>15925</v>
      </c>
      <c r="D8645" s="221">
        <v>16690.38</v>
      </c>
      <c r="E8645" s="221">
        <v>4107</v>
      </c>
      <c r="F8645" s="221">
        <v>7382.17</v>
      </c>
      <c r="G8645" s="221">
        <v>5201.21</v>
      </c>
      <c r="H8645" s="222">
        <v>116333.71</v>
      </c>
      <c r="I8645" s="222">
        <v>47230.5</v>
      </c>
      <c r="J8645" s="222">
        <v>40598.46</v>
      </c>
      <c r="K8645" s="222">
        <v>28504.75</v>
      </c>
      <c r="L8645" s="43">
        <v>6.9701055338464428</v>
      </c>
      <c r="M8645" s="43">
        <v>11.5</v>
      </c>
      <c r="N8645" s="43">
        <v>5.4995292712034534</v>
      </c>
      <c r="O8645" s="43">
        <v>5.4804074436525347</v>
      </c>
      <c r="P8645" s="223"/>
      <c r="Q8645" s="223"/>
      <c r="R8645" s="223">
        <v>12</v>
      </c>
    </row>
    <row r="8646" spans="1:18" ht="48">
      <c r="A8646" s="219">
        <v>1434</v>
      </c>
      <c r="B8646" s="216" t="s">
        <v>15926</v>
      </c>
      <c r="C8646" s="220" t="s">
        <v>15927</v>
      </c>
      <c r="D8646" s="221">
        <v>11994.47</v>
      </c>
      <c r="E8646" s="221">
        <v>2775.41</v>
      </c>
      <c r="F8646" s="221">
        <v>6647.01</v>
      </c>
      <c r="G8646" s="221">
        <v>2572.0500000000002</v>
      </c>
      <c r="H8646" s="222">
        <v>82837.649999999994</v>
      </c>
      <c r="I8646" s="222">
        <v>31918.48</v>
      </c>
      <c r="J8646" s="222">
        <v>36666.720000000001</v>
      </c>
      <c r="K8646" s="222">
        <v>14252.45</v>
      </c>
      <c r="L8646" s="43">
        <v>6.9063201625415713</v>
      </c>
      <c r="M8646" s="43">
        <v>11.500455788514129</v>
      </c>
      <c r="N8646" s="43">
        <v>5.5162727301448324</v>
      </c>
      <c r="O8646" s="43">
        <v>5.541280301704866</v>
      </c>
      <c r="P8646" s="223"/>
      <c r="Q8646" s="223"/>
      <c r="R8646" s="223">
        <v>12</v>
      </c>
    </row>
    <row r="8647" spans="1:18" ht="48">
      <c r="A8647" s="219">
        <v>1435</v>
      </c>
      <c r="B8647" s="216" t="s">
        <v>15928</v>
      </c>
      <c r="C8647" s="220" t="s">
        <v>15929</v>
      </c>
      <c r="D8647" s="221">
        <v>18114.7</v>
      </c>
      <c r="E8647" s="221">
        <v>4428.8999999999996</v>
      </c>
      <c r="F8647" s="221">
        <v>8131.95</v>
      </c>
      <c r="G8647" s="221">
        <v>5553.85</v>
      </c>
      <c r="H8647" s="222">
        <v>126087.67999999999</v>
      </c>
      <c r="I8647" s="222">
        <v>50932.35</v>
      </c>
      <c r="J8647" s="222">
        <v>44724.12</v>
      </c>
      <c r="K8647" s="222">
        <v>30431.21</v>
      </c>
      <c r="L8647" s="43">
        <v>6.9605171490557387</v>
      </c>
      <c r="M8647" s="43">
        <v>11.5</v>
      </c>
      <c r="N8647" s="43">
        <v>5.4998026303654113</v>
      </c>
      <c r="O8647" s="43">
        <v>5.4792999450831399</v>
      </c>
      <c r="P8647" s="223"/>
      <c r="Q8647" s="223"/>
      <c r="R8647" s="223">
        <v>12</v>
      </c>
    </row>
    <row r="8648" spans="1:18" ht="48">
      <c r="A8648" s="219">
        <v>1436</v>
      </c>
      <c r="B8648" s="216" t="s">
        <v>15930</v>
      </c>
      <c r="C8648" s="220" t="s">
        <v>15931</v>
      </c>
      <c r="D8648" s="221">
        <v>12976.39</v>
      </c>
      <c r="E8648" s="221">
        <v>3030.3</v>
      </c>
      <c r="F8648" s="221">
        <v>7368.94</v>
      </c>
      <c r="G8648" s="221">
        <v>2577.15</v>
      </c>
      <c r="H8648" s="222">
        <v>89807.01</v>
      </c>
      <c r="I8648" s="222">
        <v>34848.449999999997</v>
      </c>
      <c r="J8648" s="222">
        <v>40647.46</v>
      </c>
      <c r="K8648" s="222">
        <v>14311.1</v>
      </c>
      <c r="L8648" s="43">
        <v>6.9208007774118991</v>
      </c>
      <c r="M8648" s="43">
        <v>11.499999999999998</v>
      </c>
      <c r="N8648" s="43">
        <v>5.5160525123016342</v>
      </c>
      <c r="O8648" s="43">
        <v>5.5530721921502435</v>
      </c>
      <c r="P8648" s="223"/>
      <c r="Q8648" s="223"/>
      <c r="R8648" s="223">
        <v>12</v>
      </c>
    </row>
    <row r="8649" spans="1:18" ht="12.75" customHeight="1">
      <c r="A8649" s="628" t="s">
        <v>15932</v>
      </c>
      <c r="B8649" s="629"/>
      <c r="C8649" s="629"/>
      <c r="D8649" s="629"/>
      <c r="E8649" s="629"/>
      <c r="F8649" s="629"/>
      <c r="G8649" s="629"/>
      <c r="H8649" s="629"/>
      <c r="I8649" s="629"/>
      <c r="J8649" s="629"/>
      <c r="K8649" s="629"/>
      <c r="L8649" s="629"/>
      <c r="M8649" s="629"/>
      <c r="N8649" s="629"/>
      <c r="O8649" s="629"/>
      <c r="P8649" s="629"/>
      <c r="Q8649" s="629"/>
      <c r="R8649" s="629"/>
    </row>
    <row r="8650" spans="1:18" ht="12.75" customHeight="1">
      <c r="A8650" s="628" t="s">
        <v>15933</v>
      </c>
      <c r="B8650" s="629"/>
      <c r="C8650" s="629"/>
      <c r="D8650" s="629"/>
      <c r="E8650" s="629"/>
      <c r="F8650" s="629"/>
      <c r="G8650" s="629"/>
      <c r="H8650" s="629"/>
      <c r="I8650" s="629"/>
      <c r="J8650" s="629"/>
      <c r="K8650" s="629"/>
      <c r="L8650" s="629"/>
      <c r="M8650" s="629"/>
      <c r="N8650" s="629"/>
      <c r="O8650" s="629"/>
      <c r="P8650" s="629"/>
      <c r="Q8650" s="629"/>
      <c r="R8650" s="629"/>
    </row>
    <row r="8651" spans="1:18" ht="36">
      <c r="A8651" s="219">
        <v>1437</v>
      </c>
      <c r="B8651" s="216" t="s">
        <v>15934</v>
      </c>
      <c r="C8651" s="220" t="s">
        <v>15935</v>
      </c>
      <c r="D8651" s="221">
        <v>50764.73</v>
      </c>
      <c r="E8651" s="221">
        <v>4906.2299999999996</v>
      </c>
      <c r="F8651" s="221">
        <v>45713.09</v>
      </c>
      <c r="G8651" s="221">
        <v>145.41</v>
      </c>
      <c r="H8651" s="222">
        <v>253334.68</v>
      </c>
      <c r="I8651" s="222">
        <v>56423.78</v>
      </c>
      <c r="J8651" s="222">
        <v>195537.3</v>
      </c>
      <c r="K8651" s="222">
        <v>1373.6</v>
      </c>
      <c r="L8651" s="43">
        <v>4.9903679188286825</v>
      </c>
      <c r="M8651" s="43">
        <v>11.500435161009575</v>
      </c>
      <c r="N8651" s="43">
        <v>4.2774903206061987</v>
      </c>
      <c r="O8651" s="43">
        <v>9.4463929578433383</v>
      </c>
      <c r="P8651" s="223"/>
      <c r="Q8651" s="223"/>
      <c r="R8651" s="223">
        <v>1</v>
      </c>
    </row>
    <row r="8652" spans="1:18" ht="12.75" customHeight="1">
      <c r="A8652" s="628" t="s">
        <v>15936</v>
      </c>
      <c r="B8652" s="629"/>
      <c r="C8652" s="629"/>
      <c r="D8652" s="629"/>
      <c r="E8652" s="629"/>
      <c r="F8652" s="629"/>
      <c r="G8652" s="629"/>
      <c r="H8652" s="629"/>
      <c r="I8652" s="629"/>
      <c r="J8652" s="629"/>
      <c r="K8652" s="629"/>
      <c r="L8652" s="629"/>
      <c r="M8652" s="629"/>
      <c r="N8652" s="629"/>
      <c r="O8652" s="629"/>
      <c r="P8652" s="629"/>
      <c r="Q8652" s="629"/>
      <c r="R8652" s="629"/>
    </row>
    <row r="8653" spans="1:18" ht="36">
      <c r="A8653" s="219">
        <v>1438</v>
      </c>
      <c r="B8653" s="216" t="s">
        <v>15937</v>
      </c>
      <c r="C8653" s="220" t="s">
        <v>15938</v>
      </c>
      <c r="D8653" s="221">
        <v>15173.18</v>
      </c>
      <c r="E8653" s="221">
        <v>1263.9000000000001</v>
      </c>
      <c r="F8653" s="221">
        <v>13823.09</v>
      </c>
      <c r="G8653" s="221">
        <v>86.19</v>
      </c>
      <c r="H8653" s="222">
        <v>76838.3</v>
      </c>
      <c r="I8653" s="222">
        <v>14535.4</v>
      </c>
      <c r="J8653" s="222">
        <v>61696.44</v>
      </c>
      <c r="K8653" s="222">
        <v>606.46</v>
      </c>
      <c r="L8653" s="43">
        <v>5.0640867636184375</v>
      </c>
      <c r="M8653" s="43">
        <v>11.500435161009573</v>
      </c>
      <c r="N8653" s="43">
        <v>4.4632885990035511</v>
      </c>
      <c r="O8653" s="43">
        <v>7.036315117763082</v>
      </c>
      <c r="P8653" s="223"/>
      <c r="Q8653" s="223"/>
      <c r="R8653" s="223">
        <v>2</v>
      </c>
    </row>
    <row r="8654" spans="1:18" ht="36">
      <c r="A8654" s="219">
        <v>1439</v>
      </c>
      <c r="B8654" s="216" t="s">
        <v>15939</v>
      </c>
      <c r="C8654" s="220" t="s">
        <v>15940</v>
      </c>
      <c r="D8654" s="221">
        <v>28174.92</v>
      </c>
      <c r="E8654" s="221">
        <v>2137.14</v>
      </c>
      <c r="F8654" s="221">
        <v>25934.02</v>
      </c>
      <c r="G8654" s="221">
        <v>103.76</v>
      </c>
      <c r="H8654" s="222">
        <v>139170.76</v>
      </c>
      <c r="I8654" s="222">
        <v>24578.04</v>
      </c>
      <c r="J8654" s="222">
        <v>113784.91</v>
      </c>
      <c r="K8654" s="222">
        <v>807.81</v>
      </c>
      <c r="L8654" s="43">
        <v>4.9395263589035929</v>
      </c>
      <c r="M8654" s="43">
        <v>11.500435161009575</v>
      </c>
      <c r="N8654" s="43">
        <v>4.3874767583274785</v>
      </c>
      <c r="O8654" s="43">
        <v>7.7853700848111016</v>
      </c>
      <c r="P8654" s="223"/>
      <c r="Q8654" s="223"/>
      <c r="R8654" s="223">
        <v>2</v>
      </c>
    </row>
    <row r="8655" spans="1:18" ht="12.75" customHeight="1">
      <c r="A8655" s="628" t="s">
        <v>15941</v>
      </c>
      <c r="B8655" s="629"/>
      <c r="C8655" s="629"/>
      <c r="D8655" s="629"/>
      <c r="E8655" s="629"/>
      <c r="F8655" s="629"/>
      <c r="G8655" s="629"/>
      <c r="H8655" s="629"/>
      <c r="I8655" s="629"/>
      <c r="J8655" s="629"/>
      <c r="K8655" s="629"/>
      <c r="L8655" s="629"/>
      <c r="M8655" s="629"/>
      <c r="N8655" s="629"/>
      <c r="O8655" s="629"/>
      <c r="P8655" s="629"/>
      <c r="Q8655" s="629"/>
      <c r="R8655" s="629"/>
    </row>
    <row r="8656" spans="1:18" ht="48">
      <c r="A8656" s="219">
        <v>1440</v>
      </c>
      <c r="B8656" s="216" t="s">
        <v>15942</v>
      </c>
      <c r="C8656" s="220" t="s">
        <v>15943</v>
      </c>
      <c r="D8656" s="221">
        <v>3283.55</v>
      </c>
      <c r="E8656" s="221">
        <v>958.27</v>
      </c>
      <c r="F8656" s="221">
        <v>1405.61</v>
      </c>
      <c r="G8656" s="221">
        <v>919.67</v>
      </c>
      <c r="H8656" s="222">
        <v>23924.21</v>
      </c>
      <c r="I8656" s="222">
        <v>11020.51</v>
      </c>
      <c r="J8656" s="222">
        <v>7756.81</v>
      </c>
      <c r="K8656" s="222">
        <v>5146.8900000000003</v>
      </c>
      <c r="L8656" s="43">
        <v>7.2860806139696361</v>
      </c>
      <c r="M8656" s="43">
        <v>11.500422636626421</v>
      </c>
      <c r="N8656" s="43">
        <v>5.5184652926487443</v>
      </c>
      <c r="O8656" s="43">
        <v>5.5964530755597126</v>
      </c>
      <c r="P8656" s="223"/>
      <c r="Q8656" s="223"/>
      <c r="R8656" s="223">
        <v>3</v>
      </c>
    </row>
    <row r="8657" spans="1:18" ht="48">
      <c r="A8657" s="219">
        <v>1441</v>
      </c>
      <c r="B8657" s="216" t="s">
        <v>15944</v>
      </c>
      <c r="C8657" s="220" t="s">
        <v>15945</v>
      </c>
      <c r="D8657" s="221">
        <v>4212.43</v>
      </c>
      <c r="E8657" s="221">
        <v>1253.07</v>
      </c>
      <c r="F8657" s="221">
        <v>1037.98</v>
      </c>
      <c r="G8657" s="221">
        <v>1921.38</v>
      </c>
      <c r="H8657" s="222">
        <v>30681.47</v>
      </c>
      <c r="I8657" s="222">
        <v>14410.89</v>
      </c>
      <c r="J8657" s="222">
        <v>5676.46</v>
      </c>
      <c r="K8657" s="222">
        <v>10594.12</v>
      </c>
      <c r="L8657" s="43">
        <v>7.2835560472221497</v>
      </c>
      <c r="M8657" s="43">
        <v>11.50046685340803</v>
      </c>
      <c r="N8657" s="43">
        <v>5.4687566234416849</v>
      </c>
      <c r="O8657" s="43">
        <v>5.5138077839885913</v>
      </c>
      <c r="P8657" s="223"/>
      <c r="Q8657" s="223"/>
      <c r="R8657" s="223">
        <v>3</v>
      </c>
    </row>
    <row r="8658" spans="1:18" ht="48">
      <c r="A8658" s="219">
        <v>1442</v>
      </c>
      <c r="B8658" s="216" t="s">
        <v>15946</v>
      </c>
      <c r="C8658" s="220" t="s">
        <v>15947</v>
      </c>
      <c r="D8658" s="221">
        <v>10112.18</v>
      </c>
      <c r="E8658" s="221">
        <v>3241.2</v>
      </c>
      <c r="F8658" s="221">
        <v>4197.32</v>
      </c>
      <c r="G8658" s="221">
        <v>2673.66</v>
      </c>
      <c r="H8658" s="222">
        <v>75499.02</v>
      </c>
      <c r="I8658" s="222">
        <v>37273.800000000003</v>
      </c>
      <c r="J8658" s="222">
        <v>23141.58</v>
      </c>
      <c r="K8658" s="222">
        <v>15083.64</v>
      </c>
      <c r="L8658" s="43">
        <v>7.4661467655836828</v>
      </c>
      <c r="M8658" s="43">
        <v>11.500000000000002</v>
      </c>
      <c r="N8658" s="43">
        <v>5.5134180858261947</v>
      </c>
      <c r="O8658" s="43">
        <v>5.6415699827203163</v>
      </c>
      <c r="P8658" s="223"/>
      <c r="Q8658" s="223"/>
      <c r="R8658" s="223">
        <v>3</v>
      </c>
    </row>
    <row r="8659" spans="1:18" ht="48">
      <c r="A8659" s="219">
        <v>1443</v>
      </c>
      <c r="B8659" s="216" t="s">
        <v>15948</v>
      </c>
      <c r="C8659" s="220" t="s">
        <v>15949</v>
      </c>
      <c r="D8659" s="221">
        <v>21216.47</v>
      </c>
      <c r="E8659" s="221">
        <v>5316.52</v>
      </c>
      <c r="F8659" s="221">
        <v>12097.68</v>
      </c>
      <c r="G8659" s="221">
        <v>3802.27</v>
      </c>
      <c r="H8659" s="222">
        <v>149416.04999999999</v>
      </c>
      <c r="I8659" s="222">
        <v>61139.98</v>
      </c>
      <c r="J8659" s="222">
        <v>66803.960000000006</v>
      </c>
      <c r="K8659" s="222">
        <v>21472.11</v>
      </c>
      <c r="L8659" s="43">
        <v>7.0424556959758142</v>
      </c>
      <c r="M8659" s="43">
        <v>11.5</v>
      </c>
      <c r="N8659" s="43">
        <v>5.5220472024388148</v>
      </c>
      <c r="O8659" s="43">
        <v>5.647181815073627</v>
      </c>
      <c r="P8659" s="223"/>
      <c r="Q8659" s="223"/>
      <c r="R8659" s="223">
        <v>3</v>
      </c>
    </row>
    <row r="8660" spans="1:18" ht="48">
      <c r="A8660" s="219">
        <v>1444</v>
      </c>
      <c r="B8660" s="216" t="s">
        <v>15950</v>
      </c>
      <c r="C8660" s="220" t="s">
        <v>15951</v>
      </c>
      <c r="D8660" s="221">
        <v>4636.49</v>
      </c>
      <c r="E8660" s="221">
        <v>1931.4</v>
      </c>
      <c r="F8660" s="221">
        <v>1330.43</v>
      </c>
      <c r="G8660" s="221">
        <v>1374.66</v>
      </c>
      <c r="H8660" s="222">
        <v>37302.410000000003</v>
      </c>
      <c r="I8660" s="222">
        <v>22211.1</v>
      </c>
      <c r="J8660" s="222">
        <v>7320.94</v>
      </c>
      <c r="K8660" s="222">
        <v>7770.37</v>
      </c>
      <c r="L8660" s="43">
        <v>8.0453985665880889</v>
      </c>
      <c r="M8660" s="43">
        <v>11.499999999999998</v>
      </c>
      <c r="N8660" s="43">
        <v>5.5026871011627811</v>
      </c>
      <c r="O8660" s="43">
        <v>5.6525759096794843</v>
      </c>
      <c r="P8660" s="223"/>
      <c r="Q8660" s="223"/>
      <c r="R8660" s="223">
        <v>3</v>
      </c>
    </row>
    <row r="8661" spans="1:18" ht="12.75" customHeight="1">
      <c r="A8661" s="628" t="s">
        <v>15952</v>
      </c>
      <c r="B8661" s="629"/>
      <c r="C8661" s="629"/>
      <c r="D8661" s="629"/>
      <c r="E8661" s="629"/>
      <c r="F8661" s="629"/>
      <c r="G8661" s="629"/>
      <c r="H8661" s="629"/>
      <c r="I8661" s="629"/>
      <c r="J8661" s="629"/>
      <c r="K8661" s="629"/>
      <c r="L8661" s="629"/>
      <c r="M8661" s="629"/>
      <c r="N8661" s="629"/>
      <c r="O8661" s="629"/>
      <c r="P8661" s="629"/>
      <c r="Q8661" s="629"/>
      <c r="R8661" s="629"/>
    </row>
    <row r="8662" spans="1:18" ht="48">
      <c r="A8662" s="219">
        <v>1445</v>
      </c>
      <c r="B8662" s="216" t="s">
        <v>15953</v>
      </c>
      <c r="C8662" s="220" t="s">
        <v>15954</v>
      </c>
      <c r="D8662" s="221">
        <v>2777.57</v>
      </c>
      <c r="E8662" s="221">
        <v>871.53</v>
      </c>
      <c r="F8662" s="221">
        <v>989.14</v>
      </c>
      <c r="G8662" s="221">
        <v>916.9</v>
      </c>
      <c r="H8662" s="222">
        <v>20591.759999999998</v>
      </c>
      <c r="I8662" s="222">
        <v>10023.01</v>
      </c>
      <c r="J8662" s="222">
        <v>5448.77</v>
      </c>
      <c r="K8662" s="222">
        <v>5119.9799999999996</v>
      </c>
      <c r="L8662" s="43">
        <v>7.4135881363926011</v>
      </c>
      <c r="M8662" s="43">
        <v>11.500476174084657</v>
      </c>
      <c r="N8662" s="43">
        <v>5.5085933234931357</v>
      </c>
      <c r="O8662" s="43">
        <v>5.5840113425673463</v>
      </c>
      <c r="P8662" s="223"/>
      <c r="Q8662" s="223"/>
      <c r="R8662" s="223">
        <v>4</v>
      </c>
    </row>
    <row r="8663" spans="1:18" ht="48">
      <c r="A8663" s="219">
        <v>1446</v>
      </c>
      <c r="B8663" s="216" t="s">
        <v>15955</v>
      </c>
      <c r="C8663" s="220" t="s">
        <v>15956</v>
      </c>
      <c r="D8663" s="221">
        <v>3774.17</v>
      </c>
      <c r="E8663" s="221">
        <v>1156.68</v>
      </c>
      <c r="F8663" s="221">
        <v>871.5</v>
      </c>
      <c r="G8663" s="221">
        <v>1745.99</v>
      </c>
      <c r="H8663" s="222">
        <v>27707.49</v>
      </c>
      <c r="I8663" s="222">
        <v>13302.36</v>
      </c>
      <c r="J8663" s="222">
        <v>4761.7700000000004</v>
      </c>
      <c r="K8663" s="222">
        <v>9643.36</v>
      </c>
      <c r="L8663" s="43">
        <v>7.3413465742136683</v>
      </c>
      <c r="M8663" s="43">
        <v>11.50046685340803</v>
      </c>
      <c r="N8663" s="43">
        <v>5.4638783706253591</v>
      </c>
      <c r="O8663" s="43">
        <v>5.5231473261587984</v>
      </c>
      <c r="P8663" s="223"/>
      <c r="Q8663" s="223"/>
      <c r="R8663" s="223">
        <v>4</v>
      </c>
    </row>
    <row r="8664" spans="1:18" ht="48">
      <c r="A8664" s="219">
        <v>1447</v>
      </c>
      <c r="B8664" s="216" t="s">
        <v>15957</v>
      </c>
      <c r="C8664" s="220" t="s">
        <v>15958</v>
      </c>
      <c r="D8664" s="221">
        <v>7612.58</v>
      </c>
      <c r="E8664" s="221">
        <v>2486.4</v>
      </c>
      <c r="F8664" s="221">
        <v>3112.02</v>
      </c>
      <c r="G8664" s="221">
        <v>2014.16</v>
      </c>
      <c r="H8664" s="222">
        <v>57192.9</v>
      </c>
      <c r="I8664" s="222">
        <v>28593.599999999999</v>
      </c>
      <c r="J8664" s="222">
        <v>17155.509999999998</v>
      </c>
      <c r="K8664" s="222">
        <v>11443.79</v>
      </c>
      <c r="L8664" s="43">
        <v>7.5129456767613609</v>
      </c>
      <c r="M8664" s="43">
        <v>11.499999999999998</v>
      </c>
      <c r="N8664" s="43">
        <v>5.5126605870142216</v>
      </c>
      <c r="O8664" s="43">
        <v>5.6816687850021843</v>
      </c>
      <c r="P8664" s="223"/>
      <c r="Q8664" s="223"/>
      <c r="R8664" s="223">
        <v>4</v>
      </c>
    </row>
    <row r="8665" spans="1:18" ht="48">
      <c r="A8665" s="219">
        <v>1448</v>
      </c>
      <c r="B8665" s="216" t="s">
        <v>15959</v>
      </c>
      <c r="C8665" s="220" t="s">
        <v>15960</v>
      </c>
      <c r="D8665" s="221">
        <v>16408.650000000001</v>
      </c>
      <c r="E8665" s="221">
        <v>4051.5</v>
      </c>
      <c r="F8665" s="221">
        <v>9579.86</v>
      </c>
      <c r="G8665" s="221">
        <v>2777.29</v>
      </c>
      <c r="H8665" s="222">
        <v>115297</v>
      </c>
      <c r="I8665" s="222">
        <v>46592.25</v>
      </c>
      <c r="J8665" s="222">
        <v>52902.89</v>
      </c>
      <c r="K8665" s="222">
        <v>15801.86</v>
      </c>
      <c r="L8665" s="43">
        <v>7.0265987756457715</v>
      </c>
      <c r="M8665" s="43">
        <v>11.5</v>
      </c>
      <c r="N8665" s="43">
        <v>5.522303039919163</v>
      </c>
      <c r="O8665" s="43">
        <v>5.6896687058247428</v>
      </c>
      <c r="P8665" s="223"/>
      <c r="Q8665" s="223"/>
      <c r="R8665" s="223">
        <v>4</v>
      </c>
    </row>
    <row r="8666" spans="1:18" ht="48">
      <c r="A8666" s="219">
        <v>1449</v>
      </c>
      <c r="B8666" s="216" t="s">
        <v>15961</v>
      </c>
      <c r="C8666" s="220" t="s">
        <v>15962</v>
      </c>
      <c r="D8666" s="221">
        <v>3706.57</v>
      </c>
      <c r="E8666" s="221">
        <v>1404.16</v>
      </c>
      <c r="F8666" s="221">
        <v>940.41</v>
      </c>
      <c r="G8666" s="221">
        <v>1362</v>
      </c>
      <c r="H8666" s="222">
        <v>28955.47</v>
      </c>
      <c r="I8666" s="222">
        <v>16148.48</v>
      </c>
      <c r="J8666" s="222">
        <v>5162.5</v>
      </c>
      <c r="K8666" s="222">
        <v>7644.49</v>
      </c>
      <c r="L8666" s="43">
        <v>7.8119312464084043</v>
      </c>
      <c r="M8666" s="43">
        <v>11.500455788514129</v>
      </c>
      <c r="N8666" s="43">
        <v>5.489626864878085</v>
      </c>
      <c r="O8666" s="43">
        <v>5.6126945668135093</v>
      </c>
      <c r="P8666" s="223"/>
      <c r="Q8666" s="223"/>
      <c r="R8666" s="223">
        <v>4</v>
      </c>
    </row>
    <row r="8667" spans="1:18" ht="12.75" customHeight="1">
      <c r="A8667" s="628" t="s">
        <v>15963</v>
      </c>
      <c r="B8667" s="629"/>
      <c r="C8667" s="629"/>
      <c r="D8667" s="629"/>
      <c r="E8667" s="629"/>
      <c r="F8667" s="629"/>
      <c r="G8667" s="629"/>
      <c r="H8667" s="629"/>
      <c r="I8667" s="629"/>
      <c r="J8667" s="629"/>
      <c r="K8667" s="629"/>
      <c r="L8667" s="629"/>
      <c r="M8667" s="629"/>
      <c r="N8667" s="629"/>
      <c r="O8667" s="629"/>
      <c r="P8667" s="629"/>
      <c r="Q8667" s="629"/>
      <c r="R8667" s="629"/>
    </row>
    <row r="8668" spans="1:18" ht="12.75" customHeight="1">
      <c r="A8668" s="628" t="s">
        <v>15964</v>
      </c>
      <c r="B8668" s="629"/>
      <c r="C8668" s="629"/>
      <c r="D8668" s="629"/>
      <c r="E8668" s="629"/>
      <c r="F8668" s="629"/>
      <c r="G8668" s="629"/>
      <c r="H8668" s="629"/>
      <c r="I8668" s="629"/>
      <c r="J8668" s="629"/>
      <c r="K8668" s="629"/>
      <c r="L8668" s="629"/>
      <c r="M8668" s="629"/>
      <c r="N8668" s="629"/>
      <c r="O8668" s="629"/>
      <c r="P8668" s="629"/>
      <c r="Q8668" s="629"/>
      <c r="R8668" s="629"/>
    </row>
    <row r="8669" spans="1:18" ht="72">
      <c r="A8669" s="219">
        <v>1450</v>
      </c>
      <c r="B8669" s="216" t="s">
        <v>15965</v>
      </c>
      <c r="C8669" s="220" t="s">
        <v>15966</v>
      </c>
      <c r="D8669" s="221">
        <v>1312.22</v>
      </c>
      <c r="E8669" s="221">
        <v>683.66</v>
      </c>
      <c r="F8669" s="221">
        <v>606.66</v>
      </c>
      <c r="G8669" s="221">
        <v>21.9</v>
      </c>
      <c r="H8669" s="222">
        <v>11119.11</v>
      </c>
      <c r="I8669" s="222">
        <v>7862.33</v>
      </c>
      <c r="J8669" s="222">
        <v>3055.12</v>
      </c>
      <c r="K8669" s="222">
        <v>201.66</v>
      </c>
      <c r="L8669" s="43">
        <v>8.4735105393912615</v>
      </c>
      <c r="M8669" s="43">
        <v>11.500351051692363</v>
      </c>
      <c r="N8669" s="43">
        <v>5.035967428213497</v>
      </c>
      <c r="O8669" s="43">
        <v>9.2082191780821923</v>
      </c>
      <c r="P8669" s="223"/>
      <c r="Q8669" s="223"/>
      <c r="R8669" s="223">
        <v>1</v>
      </c>
    </row>
    <row r="8670" spans="1:18" ht="72">
      <c r="A8670" s="219">
        <v>1451</v>
      </c>
      <c r="B8670" s="216" t="s">
        <v>15967</v>
      </c>
      <c r="C8670" s="220" t="s">
        <v>15968</v>
      </c>
      <c r="D8670" s="221">
        <v>1595.54</v>
      </c>
      <c r="E8670" s="221">
        <v>735.36</v>
      </c>
      <c r="F8670" s="221">
        <v>790.42</v>
      </c>
      <c r="G8670" s="221">
        <v>69.760000000000005</v>
      </c>
      <c r="H8670" s="222">
        <v>12943.69</v>
      </c>
      <c r="I8670" s="222">
        <v>8456.9599999999991</v>
      </c>
      <c r="J8670" s="222">
        <v>4052.66</v>
      </c>
      <c r="K8670" s="222">
        <v>434.07</v>
      </c>
      <c r="L8670" s="43">
        <v>8.1124196196898861</v>
      </c>
      <c r="M8670" s="43">
        <v>11.500435161009571</v>
      </c>
      <c r="N8670" s="43">
        <v>5.1272235014296195</v>
      </c>
      <c r="O8670" s="43">
        <v>6.2223337155963296</v>
      </c>
      <c r="P8670" s="223"/>
      <c r="Q8670" s="223"/>
      <c r="R8670" s="223">
        <v>1</v>
      </c>
    </row>
    <row r="8671" spans="1:18" ht="72">
      <c r="A8671" s="219">
        <v>1452</v>
      </c>
      <c r="B8671" s="216" t="s">
        <v>15969</v>
      </c>
      <c r="C8671" s="220" t="s">
        <v>15970</v>
      </c>
      <c r="D8671" s="221">
        <v>1987.56</v>
      </c>
      <c r="E8671" s="221">
        <v>876.69</v>
      </c>
      <c r="F8671" s="221">
        <v>997.48</v>
      </c>
      <c r="G8671" s="221">
        <v>113.39</v>
      </c>
      <c r="H8671" s="222">
        <v>15889.15</v>
      </c>
      <c r="I8671" s="222">
        <v>10082.280000000001</v>
      </c>
      <c r="J8671" s="222">
        <v>5144.29</v>
      </c>
      <c r="K8671" s="222">
        <v>662.58</v>
      </c>
      <c r="L8671" s="43">
        <v>7.9942995431584452</v>
      </c>
      <c r="M8671" s="43">
        <v>11.500393525647606</v>
      </c>
      <c r="N8671" s="43">
        <v>5.1572863616313107</v>
      </c>
      <c r="O8671" s="43">
        <v>5.8433724314313435</v>
      </c>
      <c r="P8671" s="223"/>
      <c r="Q8671" s="223"/>
      <c r="R8671" s="223">
        <v>1</v>
      </c>
    </row>
    <row r="8672" spans="1:18" ht="72">
      <c r="A8672" s="219">
        <v>1453</v>
      </c>
      <c r="B8672" s="216" t="s">
        <v>15971</v>
      </c>
      <c r="C8672" s="220" t="s">
        <v>15972</v>
      </c>
      <c r="D8672" s="221">
        <v>2163.9899999999998</v>
      </c>
      <c r="E8672" s="221">
        <v>876.69</v>
      </c>
      <c r="F8672" s="221">
        <v>1172.97</v>
      </c>
      <c r="G8672" s="221">
        <v>114.33</v>
      </c>
      <c r="H8672" s="222">
        <v>16846.689999999999</v>
      </c>
      <c r="I8672" s="222">
        <v>10082.280000000001</v>
      </c>
      <c r="J8672" s="222">
        <v>6096.96</v>
      </c>
      <c r="K8672" s="222">
        <v>667.45</v>
      </c>
      <c r="L8672" s="43">
        <v>7.7850128697452394</v>
      </c>
      <c r="M8672" s="43">
        <v>11.500393525647606</v>
      </c>
      <c r="N8672" s="43">
        <v>5.1978822987800202</v>
      </c>
      <c r="O8672" s="43">
        <v>5.8379253039447221</v>
      </c>
      <c r="P8672" s="223"/>
      <c r="Q8672" s="223"/>
      <c r="R8672" s="223">
        <v>1</v>
      </c>
    </row>
    <row r="8673" spans="1:18" ht="72">
      <c r="A8673" s="219">
        <v>1454</v>
      </c>
      <c r="B8673" s="216" t="s">
        <v>15973</v>
      </c>
      <c r="C8673" s="220" t="s">
        <v>15974</v>
      </c>
      <c r="D8673" s="221">
        <v>2354.65</v>
      </c>
      <c r="E8673" s="221">
        <v>903.11</v>
      </c>
      <c r="F8673" s="221">
        <v>1335.53</v>
      </c>
      <c r="G8673" s="221">
        <v>116.01</v>
      </c>
      <c r="H8673" s="222">
        <v>18045.28</v>
      </c>
      <c r="I8673" s="222">
        <v>10386.200000000001</v>
      </c>
      <c r="J8673" s="222">
        <v>6979.42</v>
      </c>
      <c r="K8673" s="222">
        <v>679.66</v>
      </c>
      <c r="L8673" s="43">
        <v>7.663678253668273</v>
      </c>
      <c r="M8673" s="43">
        <v>11.500481668899692</v>
      </c>
      <c r="N8673" s="43">
        <v>5.2259552387441692</v>
      </c>
      <c r="O8673" s="43">
        <v>5.8586328764761655</v>
      </c>
      <c r="P8673" s="223"/>
      <c r="Q8673" s="223"/>
      <c r="R8673" s="223">
        <v>1</v>
      </c>
    </row>
    <row r="8674" spans="1:18" ht="72">
      <c r="A8674" s="219">
        <v>1455</v>
      </c>
      <c r="B8674" s="216" t="s">
        <v>15975</v>
      </c>
      <c r="C8674" s="220" t="s">
        <v>15976</v>
      </c>
      <c r="D8674" s="221">
        <v>3246.09</v>
      </c>
      <c r="E8674" s="221">
        <v>1401.78</v>
      </c>
      <c r="F8674" s="221">
        <v>1649.05</v>
      </c>
      <c r="G8674" s="221">
        <v>195.26</v>
      </c>
      <c r="H8674" s="222">
        <v>25741.88</v>
      </c>
      <c r="I8674" s="222">
        <v>16121.08</v>
      </c>
      <c r="J8674" s="222">
        <v>8490.02</v>
      </c>
      <c r="K8674" s="222">
        <v>1130.78</v>
      </c>
      <c r="L8674" s="43">
        <v>7.9301190047102823</v>
      </c>
      <c r="M8674" s="43">
        <v>11.500435161009573</v>
      </c>
      <c r="N8674" s="43">
        <v>5.1484309147691096</v>
      </c>
      <c r="O8674" s="43">
        <v>5.7911502611902081</v>
      </c>
      <c r="P8674" s="223"/>
      <c r="Q8674" s="223"/>
      <c r="R8674" s="223">
        <v>1</v>
      </c>
    </row>
    <row r="8675" spans="1:18" ht="72">
      <c r="A8675" s="219">
        <v>1456</v>
      </c>
      <c r="B8675" s="216" t="s">
        <v>15977</v>
      </c>
      <c r="C8675" s="220" t="s">
        <v>15978</v>
      </c>
      <c r="D8675" s="221">
        <v>2403.27</v>
      </c>
      <c r="E8675" s="221">
        <v>964.01</v>
      </c>
      <c r="F8675" s="221">
        <v>1259.06</v>
      </c>
      <c r="G8675" s="221">
        <v>180.2</v>
      </c>
      <c r="H8675" s="222">
        <v>18553.38</v>
      </c>
      <c r="I8675" s="222">
        <v>11086.55</v>
      </c>
      <c r="J8675" s="222">
        <v>6473.27</v>
      </c>
      <c r="K8675" s="222">
        <v>993.56</v>
      </c>
      <c r="L8675" s="43">
        <v>7.7200564231234949</v>
      </c>
      <c r="M8675" s="43">
        <v>11.500451240132364</v>
      </c>
      <c r="N8675" s="43">
        <v>5.1413514844407739</v>
      </c>
      <c r="O8675" s="43">
        <v>5.5136514983351832</v>
      </c>
      <c r="P8675" s="223"/>
      <c r="Q8675" s="223"/>
      <c r="R8675" s="223">
        <v>1</v>
      </c>
    </row>
    <row r="8676" spans="1:18" ht="72">
      <c r="A8676" s="219">
        <v>1457</v>
      </c>
      <c r="B8676" s="216" t="s">
        <v>15979</v>
      </c>
      <c r="C8676" s="220" t="s">
        <v>15980</v>
      </c>
      <c r="D8676" s="221">
        <v>2657.47</v>
      </c>
      <c r="E8676" s="221">
        <v>989.29</v>
      </c>
      <c r="F8676" s="221">
        <v>1487.47</v>
      </c>
      <c r="G8676" s="221">
        <v>180.71</v>
      </c>
      <c r="H8676" s="222">
        <v>20090.02</v>
      </c>
      <c r="I8676" s="222">
        <v>11377.25</v>
      </c>
      <c r="J8676" s="222">
        <v>7713.34</v>
      </c>
      <c r="K8676" s="222">
        <v>999.43</v>
      </c>
      <c r="L8676" s="43">
        <v>7.5598294618565784</v>
      </c>
      <c r="M8676" s="43">
        <v>11.500419492767541</v>
      </c>
      <c r="N8676" s="43">
        <v>5.1855432378468134</v>
      </c>
      <c r="O8676" s="43">
        <v>5.5305738476011284</v>
      </c>
      <c r="P8676" s="223"/>
      <c r="Q8676" s="223"/>
      <c r="R8676" s="223">
        <v>1</v>
      </c>
    </row>
    <row r="8677" spans="1:18" ht="72">
      <c r="A8677" s="219">
        <v>1458</v>
      </c>
      <c r="B8677" s="216" t="s">
        <v>15981</v>
      </c>
      <c r="C8677" s="220" t="s">
        <v>15982</v>
      </c>
      <c r="D8677" s="221">
        <v>3129.86</v>
      </c>
      <c r="E8677" s="221">
        <v>1027.21</v>
      </c>
      <c r="F8677" s="221">
        <v>1921.19</v>
      </c>
      <c r="G8677" s="221">
        <v>181.46</v>
      </c>
      <c r="H8677" s="222">
        <v>22889.45</v>
      </c>
      <c r="I8677" s="222">
        <v>11813.32</v>
      </c>
      <c r="J8677" s="222">
        <v>10068.08</v>
      </c>
      <c r="K8677" s="222">
        <v>1008.05</v>
      </c>
      <c r="L8677" s="43">
        <v>7.3132504329267123</v>
      </c>
      <c r="M8677" s="43">
        <v>11.500394271862618</v>
      </c>
      <c r="N8677" s="43">
        <v>5.2405436214013186</v>
      </c>
      <c r="O8677" s="43">
        <v>5.5552187809985663</v>
      </c>
      <c r="P8677" s="223"/>
      <c r="Q8677" s="223"/>
      <c r="R8677" s="223">
        <v>1</v>
      </c>
    </row>
    <row r="8678" spans="1:18" ht="72">
      <c r="A8678" s="219">
        <v>1459</v>
      </c>
      <c r="B8678" s="216" t="s">
        <v>15983</v>
      </c>
      <c r="C8678" s="220" t="s">
        <v>15984</v>
      </c>
      <c r="D8678" s="221">
        <v>4118.9399999999996</v>
      </c>
      <c r="E8678" s="221">
        <v>1332.84</v>
      </c>
      <c r="F8678" s="221">
        <v>2491.2399999999998</v>
      </c>
      <c r="G8678" s="221">
        <v>294.86</v>
      </c>
      <c r="H8678" s="222">
        <v>29462.26</v>
      </c>
      <c r="I8678" s="222">
        <v>15328.24</v>
      </c>
      <c r="J8678" s="222">
        <v>12541.03</v>
      </c>
      <c r="K8678" s="222">
        <v>1592.99</v>
      </c>
      <c r="L8678" s="43">
        <v>7.1528742831893641</v>
      </c>
      <c r="M8678" s="43">
        <v>11.500435161009575</v>
      </c>
      <c r="N8678" s="43">
        <v>5.0340513158106006</v>
      </c>
      <c r="O8678" s="43">
        <v>5.4025300142440482</v>
      </c>
      <c r="P8678" s="223"/>
      <c r="Q8678" s="223"/>
      <c r="R8678" s="223">
        <v>1</v>
      </c>
    </row>
    <row r="8679" spans="1:18" ht="72">
      <c r="A8679" s="224">
        <v>1460</v>
      </c>
      <c r="B8679" s="225" t="s">
        <v>15985</v>
      </c>
      <c r="C8679" s="226" t="s">
        <v>15986</v>
      </c>
      <c r="D8679" s="227">
        <v>5233.84</v>
      </c>
      <c r="E8679" s="227">
        <v>1769.46</v>
      </c>
      <c r="F8679" s="227">
        <v>3160.79</v>
      </c>
      <c r="G8679" s="227">
        <v>303.58999999999997</v>
      </c>
      <c r="H8679" s="228">
        <v>37883.769999999997</v>
      </c>
      <c r="I8679" s="228">
        <v>20349.560000000001</v>
      </c>
      <c r="J8679" s="228">
        <v>15840.82</v>
      </c>
      <c r="K8679" s="228">
        <v>1693.39</v>
      </c>
      <c r="L8679" s="611">
        <v>7.2382361707656324</v>
      </c>
      <c r="M8679" s="611">
        <v>11.500435161009573</v>
      </c>
      <c r="N8679" s="611">
        <v>5.0116648053176576</v>
      </c>
      <c r="O8679" s="611">
        <v>5.5778846470568864</v>
      </c>
      <c r="P8679" s="229"/>
      <c r="Q8679" s="229"/>
      <c r="R8679" s="229">
        <v>1</v>
      </c>
    </row>
    <row r="8680" spans="1:18" ht="12.75" customHeight="1">
      <c r="A8680" s="630" t="s">
        <v>15987</v>
      </c>
      <c r="B8680" s="631"/>
      <c r="C8680" s="631"/>
      <c r="D8680" s="631"/>
      <c r="E8680" s="631"/>
      <c r="F8680" s="631"/>
      <c r="G8680" s="631"/>
      <c r="H8680" s="631"/>
      <c r="I8680" s="631"/>
      <c r="J8680" s="631"/>
      <c r="K8680" s="631"/>
      <c r="L8680" s="631"/>
      <c r="M8680" s="631"/>
      <c r="N8680" s="631"/>
      <c r="O8680" s="631"/>
      <c r="P8680" s="631"/>
      <c r="Q8680" s="631"/>
      <c r="R8680" s="631"/>
    </row>
    <row r="8681" spans="1:18" ht="12.75" customHeight="1">
      <c r="A8681" s="628" t="s">
        <v>15988</v>
      </c>
      <c r="B8681" s="629"/>
      <c r="C8681" s="629"/>
      <c r="D8681" s="629"/>
      <c r="E8681" s="629"/>
      <c r="F8681" s="629"/>
      <c r="G8681" s="629"/>
      <c r="H8681" s="629"/>
      <c r="I8681" s="629"/>
      <c r="J8681" s="629"/>
      <c r="K8681" s="629"/>
      <c r="L8681" s="629"/>
      <c r="M8681" s="629"/>
      <c r="N8681" s="629"/>
      <c r="O8681" s="629"/>
      <c r="P8681" s="629"/>
      <c r="Q8681" s="629"/>
      <c r="R8681" s="629"/>
    </row>
    <row r="8682" spans="1:18" ht="60">
      <c r="A8682" s="219">
        <v>1461</v>
      </c>
      <c r="B8682" s="216" t="s">
        <v>15989</v>
      </c>
      <c r="C8682" s="220" t="s">
        <v>15990</v>
      </c>
      <c r="D8682" s="221">
        <v>1985.96</v>
      </c>
      <c r="E8682" s="221">
        <v>1103.04</v>
      </c>
      <c r="F8682" s="221">
        <v>722.18</v>
      </c>
      <c r="G8682" s="221">
        <v>160.74</v>
      </c>
      <c r="H8682" s="222">
        <v>17569.330000000002</v>
      </c>
      <c r="I8682" s="222">
        <v>12685.44</v>
      </c>
      <c r="J8682" s="222">
        <v>3967.05</v>
      </c>
      <c r="K8682" s="222">
        <v>916.84</v>
      </c>
      <c r="L8682" s="43">
        <v>8.8467693206308287</v>
      </c>
      <c r="M8682" s="43">
        <v>11.500435161009575</v>
      </c>
      <c r="N8682" s="43">
        <v>5.4931596000996992</v>
      </c>
      <c r="O8682" s="43">
        <v>5.7038696030857281</v>
      </c>
      <c r="P8682" s="223"/>
      <c r="Q8682" s="223"/>
      <c r="R8682" s="223">
        <v>1</v>
      </c>
    </row>
    <row r="8683" spans="1:18" ht="60">
      <c r="A8683" s="219">
        <v>1462</v>
      </c>
      <c r="B8683" s="216" t="s">
        <v>15991</v>
      </c>
      <c r="C8683" s="220" t="s">
        <v>15992</v>
      </c>
      <c r="D8683" s="221">
        <v>2682.66</v>
      </c>
      <c r="E8683" s="221">
        <v>1390.29</v>
      </c>
      <c r="F8683" s="221">
        <v>1094.8499999999999</v>
      </c>
      <c r="G8683" s="221">
        <v>197.52</v>
      </c>
      <c r="H8683" s="222">
        <v>23154.91</v>
      </c>
      <c r="I8683" s="222">
        <v>15988.94</v>
      </c>
      <c r="J8683" s="222">
        <v>5976.43</v>
      </c>
      <c r="K8683" s="222">
        <v>1189.54</v>
      </c>
      <c r="L8683" s="43">
        <v>8.6313248790379706</v>
      </c>
      <c r="M8683" s="43">
        <v>11.500435161009575</v>
      </c>
      <c r="N8683" s="43">
        <v>5.4586747042973931</v>
      </c>
      <c r="O8683" s="43">
        <v>6.022377480761441</v>
      </c>
      <c r="P8683" s="223"/>
      <c r="Q8683" s="223"/>
      <c r="R8683" s="223">
        <v>1</v>
      </c>
    </row>
    <row r="8684" spans="1:18" ht="60">
      <c r="A8684" s="219">
        <v>1463</v>
      </c>
      <c r="B8684" s="216" t="s">
        <v>15993</v>
      </c>
      <c r="C8684" s="220" t="s">
        <v>15994</v>
      </c>
      <c r="D8684" s="221">
        <v>3552.26</v>
      </c>
      <c r="E8684" s="221">
        <v>1666.05</v>
      </c>
      <c r="F8684" s="221">
        <v>1644.06</v>
      </c>
      <c r="G8684" s="221">
        <v>242.15</v>
      </c>
      <c r="H8684" s="222">
        <v>29498.09</v>
      </c>
      <c r="I8684" s="222">
        <v>19160.3</v>
      </c>
      <c r="J8684" s="222">
        <v>8957.56</v>
      </c>
      <c r="K8684" s="222">
        <v>1380.23</v>
      </c>
      <c r="L8684" s="43">
        <v>8.3040346145833919</v>
      </c>
      <c r="M8684" s="43">
        <v>11.500435161009573</v>
      </c>
      <c r="N8684" s="43">
        <v>5.4484386214615039</v>
      </c>
      <c r="O8684" s="43">
        <v>5.6998967582077222</v>
      </c>
      <c r="P8684" s="223"/>
      <c r="Q8684" s="223"/>
      <c r="R8684" s="223">
        <v>1</v>
      </c>
    </row>
    <row r="8685" spans="1:18" ht="12.75" customHeight="1">
      <c r="A8685" s="628" t="s">
        <v>15995</v>
      </c>
      <c r="B8685" s="629"/>
      <c r="C8685" s="629"/>
      <c r="D8685" s="629"/>
      <c r="E8685" s="629"/>
      <c r="F8685" s="629"/>
      <c r="G8685" s="629"/>
      <c r="H8685" s="629"/>
      <c r="I8685" s="629"/>
      <c r="J8685" s="629"/>
      <c r="K8685" s="629"/>
      <c r="L8685" s="629"/>
      <c r="M8685" s="629"/>
      <c r="N8685" s="629"/>
      <c r="O8685" s="629"/>
      <c r="P8685" s="629"/>
      <c r="Q8685" s="629"/>
      <c r="R8685" s="629"/>
    </row>
    <row r="8686" spans="1:18" ht="60">
      <c r="A8686" s="219">
        <v>1464</v>
      </c>
      <c r="B8686" s="216" t="s">
        <v>15996</v>
      </c>
      <c r="C8686" s="220" t="s">
        <v>15997</v>
      </c>
      <c r="D8686" s="221">
        <v>1729.81</v>
      </c>
      <c r="E8686" s="221">
        <v>968.61</v>
      </c>
      <c r="F8686" s="221">
        <v>612.32000000000005</v>
      </c>
      <c r="G8686" s="221">
        <v>148.88</v>
      </c>
      <c r="H8686" s="222">
        <v>15338.35</v>
      </c>
      <c r="I8686" s="222">
        <v>11139.4</v>
      </c>
      <c r="J8686" s="222">
        <v>3369.8</v>
      </c>
      <c r="K8686" s="222">
        <v>829.15</v>
      </c>
      <c r="L8686" s="43">
        <v>8.8670721061850735</v>
      </c>
      <c r="M8686" s="43">
        <v>11.500397476796646</v>
      </c>
      <c r="N8686" s="43">
        <v>5.5033315913247973</v>
      </c>
      <c r="O8686" s="43">
        <v>5.5692504030091348</v>
      </c>
      <c r="P8686" s="223"/>
      <c r="Q8686" s="223"/>
      <c r="R8686" s="223">
        <v>2</v>
      </c>
    </row>
    <row r="8687" spans="1:18" ht="60">
      <c r="A8687" s="219">
        <v>1465</v>
      </c>
      <c r="B8687" s="216" t="s">
        <v>15998</v>
      </c>
      <c r="C8687" s="220" t="s">
        <v>15999</v>
      </c>
      <c r="D8687" s="221">
        <v>2100.33</v>
      </c>
      <c r="E8687" s="221">
        <v>1103.04</v>
      </c>
      <c r="F8687" s="221">
        <v>812.17</v>
      </c>
      <c r="G8687" s="221">
        <v>185.12</v>
      </c>
      <c r="H8687" s="222">
        <v>18208.900000000001</v>
      </c>
      <c r="I8687" s="222">
        <v>12685.44</v>
      </c>
      <c r="J8687" s="222">
        <v>4444.22</v>
      </c>
      <c r="K8687" s="222">
        <v>1079.24</v>
      </c>
      <c r="L8687" s="43">
        <v>8.6695424052410814</v>
      </c>
      <c r="M8687" s="43">
        <v>11.500435161009575</v>
      </c>
      <c r="N8687" s="43">
        <v>5.4720317174975692</v>
      </c>
      <c r="O8687" s="43">
        <v>5.829948141745894</v>
      </c>
      <c r="P8687" s="223"/>
      <c r="Q8687" s="223"/>
      <c r="R8687" s="223">
        <v>2</v>
      </c>
    </row>
    <row r="8688" spans="1:18" ht="60">
      <c r="A8688" s="219">
        <v>1466</v>
      </c>
      <c r="B8688" s="216" t="s">
        <v>16000</v>
      </c>
      <c r="C8688" s="220" t="s">
        <v>16001</v>
      </c>
      <c r="D8688" s="221">
        <v>2985</v>
      </c>
      <c r="E8688" s="221">
        <v>1516.68</v>
      </c>
      <c r="F8688" s="221">
        <v>1224.01</v>
      </c>
      <c r="G8688" s="221">
        <v>244.31</v>
      </c>
      <c r="H8688" s="222">
        <v>25498.59</v>
      </c>
      <c r="I8688" s="222">
        <v>17442.48</v>
      </c>
      <c r="J8688" s="222">
        <v>6688.34</v>
      </c>
      <c r="K8688" s="222">
        <v>1367.77</v>
      </c>
      <c r="L8688" s="43">
        <v>8.54224120603015</v>
      </c>
      <c r="M8688" s="43">
        <v>11.500435161009573</v>
      </c>
      <c r="N8688" s="43">
        <v>5.4642854225047186</v>
      </c>
      <c r="O8688" s="43">
        <v>5.5985019033195531</v>
      </c>
      <c r="P8688" s="223"/>
      <c r="Q8688" s="223"/>
      <c r="R8688" s="223">
        <v>2</v>
      </c>
    </row>
    <row r="8689" spans="1:18" ht="12.75" customHeight="1">
      <c r="A8689" s="628" t="s">
        <v>16002</v>
      </c>
      <c r="B8689" s="629"/>
      <c r="C8689" s="629"/>
      <c r="D8689" s="629"/>
      <c r="E8689" s="629"/>
      <c r="F8689" s="629"/>
      <c r="G8689" s="629"/>
      <c r="H8689" s="629"/>
      <c r="I8689" s="629"/>
      <c r="J8689" s="629"/>
      <c r="K8689" s="629"/>
      <c r="L8689" s="629"/>
      <c r="M8689" s="629"/>
      <c r="N8689" s="629"/>
      <c r="O8689" s="629"/>
      <c r="P8689" s="629"/>
      <c r="Q8689" s="629"/>
      <c r="R8689" s="629"/>
    </row>
    <row r="8690" spans="1:18" ht="60">
      <c r="A8690" s="219">
        <v>1467</v>
      </c>
      <c r="B8690" s="216" t="s">
        <v>16003</v>
      </c>
      <c r="C8690" s="220" t="s">
        <v>16004</v>
      </c>
      <c r="D8690" s="221">
        <v>1580.43</v>
      </c>
      <c r="E8690" s="221">
        <v>966.31</v>
      </c>
      <c r="F8690" s="221">
        <v>475.78</v>
      </c>
      <c r="G8690" s="221">
        <v>138.34</v>
      </c>
      <c r="H8690" s="222">
        <v>14499.94</v>
      </c>
      <c r="I8690" s="222">
        <v>11112.97</v>
      </c>
      <c r="J8690" s="222">
        <v>2626.8</v>
      </c>
      <c r="K8690" s="222">
        <v>760.17</v>
      </c>
      <c r="L8690" s="43">
        <v>9.1746803085236301</v>
      </c>
      <c r="M8690" s="43">
        <v>11.500419120158128</v>
      </c>
      <c r="N8690" s="43">
        <v>5.5210391357350046</v>
      </c>
      <c r="O8690" s="43">
        <v>5.4949400028914264</v>
      </c>
      <c r="P8690" s="223"/>
      <c r="Q8690" s="223"/>
      <c r="R8690" s="223">
        <v>3</v>
      </c>
    </row>
    <row r="8691" spans="1:18" ht="60">
      <c r="A8691" s="219">
        <v>1468</v>
      </c>
      <c r="B8691" s="216" t="s">
        <v>16005</v>
      </c>
      <c r="C8691" s="220" t="s">
        <v>16006</v>
      </c>
      <c r="D8691" s="221">
        <v>1697.21</v>
      </c>
      <c r="E8691" s="221">
        <v>966.31</v>
      </c>
      <c r="F8691" s="221">
        <v>574.77</v>
      </c>
      <c r="G8691" s="221">
        <v>156.13</v>
      </c>
      <c r="H8691" s="222">
        <v>15143.5</v>
      </c>
      <c r="I8691" s="222">
        <v>11112.97</v>
      </c>
      <c r="J8691" s="222">
        <v>3158.22</v>
      </c>
      <c r="K8691" s="222">
        <v>872.31</v>
      </c>
      <c r="L8691" s="43">
        <v>8.9225847125576685</v>
      </c>
      <c r="M8691" s="43">
        <v>11.500419120158128</v>
      </c>
      <c r="N8691" s="43">
        <v>5.4947544235085335</v>
      </c>
      <c r="O8691" s="43">
        <v>5.5870748735028499</v>
      </c>
      <c r="P8691" s="223"/>
      <c r="Q8691" s="223"/>
      <c r="R8691" s="223">
        <v>3</v>
      </c>
    </row>
    <row r="8692" spans="1:18" ht="60">
      <c r="A8692" s="224">
        <v>1469</v>
      </c>
      <c r="B8692" s="225" t="s">
        <v>16007</v>
      </c>
      <c r="C8692" s="226" t="s">
        <v>16008</v>
      </c>
      <c r="D8692" s="227">
        <v>2396.15</v>
      </c>
      <c r="E8692" s="227">
        <v>1252.4100000000001</v>
      </c>
      <c r="F8692" s="227">
        <v>927.17</v>
      </c>
      <c r="G8692" s="227">
        <v>216.57</v>
      </c>
      <c r="H8692" s="228">
        <v>20655.29</v>
      </c>
      <c r="I8692" s="228">
        <v>14403.26</v>
      </c>
      <c r="J8692" s="228">
        <v>5085.72</v>
      </c>
      <c r="K8692" s="228">
        <v>1166.31</v>
      </c>
      <c r="L8692" s="611">
        <v>8.6201990693403996</v>
      </c>
      <c r="M8692" s="611">
        <v>11.500435161009573</v>
      </c>
      <c r="N8692" s="611">
        <v>5.4852076749679135</v>
      </c>
      <c r="O8692" s="611">
        <v>5.3853719351710758</v>
      </c>
      <c r="P8692" s="229"/>
      <c r="Q8692" s="229"/>
      <c r="R8692" s="229">
        <v>3</v>
      </c>
    </row>
    <row r="8693" spans="1:18" ht="12.75" customHeight="1">
      <c r="A8693" s="630" t="s">
        <v>16009</v>
      </c>
      <c r="B8693" s="631"/>
      <c r="C8693" s="631"/>
      <c r="D8693" s="631"/>
      <c r="E8693" s="631"/>
      <c r="F8693" s="631"/>
      <c r="G8693" s="631"/>
      <c r="H8693" s="631"/>
      <c r="I8693" s="631"/>
      <c r="J8693" s="631"/>
      <c r="K8693" s="631"/>
      <c r="L8693" s="631"/>
      <c r="M8693" s="631"/>
      <c r="N8693" s="631"/>
      <c r="O8693" s="631"/>
      <c r="P8693" s="631"/>
      <c r="Q8693" s="631"/>
      <c r="R8693" s="631"/>
    </row>
    <row r="8694" spans="1:18" ht="12.75" customHeight="1">
      <c r="A8694" s="628" t="s">
        <v>16010</v>
      </c>
      <c r="B8694" s="629"/>
      <c r="C8694" s="629"/>
      <c r="D8694" s="629"/>
      <c r="E8694" s="629"/>
      <c r="F8694" s="629"/>
      <c r="G8694" s="629"/>
      <c r="H8694" s="629"/>
      <c r="I8694" s="629"/>
      <c r="J8694" s="629"/>
      <c r="K8694" s="629"/>
      <c r="L8694" s="629"/>
      <c r="M8694" s="629"/>
      <c r="N8694" s="629"/>
      <c r="O8694" s="629"/>
      <c r="P8694" s="629"/>
      <c r="Q8694" s="629"/>
      <c r="R8694" s="629"/>
    </row>
    <row r="8695" spans="1:18" ht="12.75" customHeight="1">
      <c r="A8695" s="628" t="s">
        <v>16011</v>
      </c>
      <c r="B8695" s="629"/>
      <c r="C8695" s="629"/>
      <c r="D8695" s="629"/>
      <c r="E8695" s="629"/>
      <c r="F8695" s="629"/>
      <c r="G8695" s="629"/>
      <c r="H8695" s="629"/>
      <c r="I8695" s="629"/>
      <c r="J8695" s="629"/>
      <c r="K8695" s="629"/>
      <c r="L8695" s="629"/>
      <c r="M8695" s="629"/>
      <c r="N8695" s="629"/>
      <c r="O8695" s="629"/>
      <c r="P8695" s="629"/>
      <c r="Q8695" s="629"/>
      <c r="R8695" s="629"/>
    </row>
    <row r="8696" spans="1:18" ht="48">
      <c r="A8696" s="219">
        <v>1470</v>
      </c>
      <c r="B8696" s="216" t="s">
        <v>16012</v>
      </c>
      <c r="C8696" s="220" t="s">
        <v>16013</v>
      </c>
      <c r="D8696" s="221">
        <v>38033.56</v>
      </c>
      <c r="E8696" s="221">
        <v>5090.07</v>
      </c>
      <c r="F8696" s="221">
        <v>22617.98</v>
      </c>
      <c r="G8696" s="221">
        <v>10325.51</v>
      </c>
      <c r="H8696" s="222">
        <v>230004.42</v>
      </c>
      <c r="I8696" s="222">
        <v>58538.02</v>
      </c>
      <c r="J8696" s="222">
        <v>135216.63</v>
      </c>
      <c r="K8696" s="222">
        <v>36249.769999999997</v>
      </c>
      <c r="L8696" s="43">
        <v>6.047407079431955</v>
      </c>
      <c r="M8696" s="43">
        <v>11.500435161009573</v>
      </c>
      <c r="N8696" s="43">
        <v>5.9782805537895074</v>
      </c>
      <c r="O8696" s="43">
        <v>3.5107001978594758</v>
      </c>
      <c r="P8696" s="223"/>
      <c r="Q8696" s="223"/>
      <c r="R8696" s="223">
        <v>1</v>
      </c>
    </row>
    <row r="8697" spans="1:18" ht="48">
      <c r="A8697" s="219">
        <v>1471</v>
      </c>
      <c r="B8697" s="216" t="s">
        <v>16014</v>
      </c>
      <c r="C8697" s="220" t="s">
        <v>16015</v>
      </c>
      <c r="D8697" s="221">
        <v>48800.2</v>
      </c>
      <c r="E8697" s="221">
        <v>6871.02</v>
      </c>
      <c r="F8697" s="221">
        <v>30790.91</v>
      </c>
      <c r="G8697" s="221">
        <v>11138.27</v>
      </c>
      <c r="H8697" s="222">
        <v>304938.86</v>
      </c>
      <c r="I8697" s="222">
        <v>79019.72</v>
      </c>
      <c r="J8697" s="222">
        <v>187022.1</v>
      </c>
      <c r="K8697" s="222">
        <v>38897.040000000001</v>
      </c>
      <c r="L8697" s="43">
        <v>6.248721521633108</v>
      </c>
      <c r="M8697" s="43">
        <v>11.500435161009573</v>
      </c>
      <c r="N8697" s="43">
        <v>6.0739387046371807</v>
      </c>
      <c r="O8697" s="43">
        <v>3.4921976213541241</v>
      </c>
      <c r="P8697" s="223"/>
      <c r="Q8697" s="223"/>
      <c r="R8697" s="223">
        <v>1</v>
      </c>
    </row>
    <row r="8698" spans="1:18" ht="48">
      <c r="A8698" s="219">
        <v>1472</v>
      </c>
      <c r="B8698" s="216" t="s">
        <v>16016</v>
      </c>
      <c r="C8698" s="220" t="s">
        <v>16017</v>
      </c>
      <c r="D8698" s="221">
        <v>26028.44</v>
      </c>
      <c r="E8698" s="221">
        <v>4458.12</v>
      </c>
      <c r="F8698" s="221">
        <v>20566.82</v>
      </c>
      <c r="G8698" s="221">
        <v>1003.5</v>
      </c>
      <c r="H8698" s="222">
        <v>177612.79999999999</v>
      </c>
      <c r="I8698" s="222">
        <v>51270.32</v>
      </c>
      <c r="J8698" s="222">
        <v>121930.79</v>
      </c>
      <c r="K8698" s="222">
        <v>4411.6899999999996</v>
      </c>
      <c r="L8698" s="43">
        <v>6.8237973539712717</v>
      </c>
      <c r="M8698" s="43">
        <v>11.500435161009573</v>
      </c>
      <c r="N8698" s="43">
        <v>5.9285193335673672</v>
      </c>
      <c r="O8698" s="43">
        <v>4.3963029397110107</v>
      </c>
      <c r="P8698" s="223"/>
      <c r="Q8698" s="223"/>
      <c r="R8698" s="223">
        <v>1</v>
      </c>
    </row>
    <row r="8699" spans="1:18" ht="48">
      <c r="A8699" s="219">
        <v>1473</v>
      </c>
      <c r="B8699" s="216" t="s">
        <v>16018</v>
      </c>
      <c r="C8699" s="220" t="s">
        <v>16019</v>
      </c>
      <c r="D8699" s="221">
        <v>35986.21</v>
      </c>
      <c r="E8699" s="221">
        <v>5986.29</v>
      </c>
      <c r="F8699" s="221">
        <v>28837.78</v>
      </c>
      <c r="G8699" s="221">
        <v>1162.1400000000001</v>
      </c>
      <c r="H8699" s="222">
        <v>248425.59</v>
      </c>
      <c r="I8699" s="222">
        <v>68844.94</v>
      </c>
      <c r="J8699" s="222">
        <v>174255.49</v>
      </c>
      <c r="K8699" s="222">
        <v>5325.16</v>
      </c>
      <c r="L8699" s="43">
        <v>6.9033552018953932</v>
      </c>
      <c r="M8699" s="43">
        <v>11.500435161009573</v>
      </c>
      <c r="N8699" s="43">
        <v>6.0426111163896801</v>
      </c>
      <c r="O8699" s="43">
        <v>4.5822018001273506</v>
      </c>
      <c r="P8699" s="223"/>
      <c r="Q8699" s="223"/>
      <c r="R8699" s="223">
        <v>1</v>
      </c>
    </row>
    <row r="8700" spans="1:18" ht="12.75" customHeight="1">
      <c r="A8700" s="628" t="s">
        <v>16020</v>
      </c>
      <c r="B8700" s="629"/>
      <c r="C8700" s="629"/>
      <c r="D8700" s="629"/>
      <c r="E8700" s="629"/>
      <c r="F8700" s="629"/>
      <c r="G8700" s="629"/>
      <c r="H8700" s="629"/>
      <c r="I8700" s="629"/>
      <c r="J8700" s="629"/>
      <c r="K8700" s="629"/>
      <c r="L8700" s="629"/>
      <c r="M8700" s="629"/>
      <c r="N8700" s="629"/>
      <c r="O8700" s="629"/>
      <c r="P8700" s="629"/>
      <c r="Q8700" s="629"/>
      <c r="R8700" s="629"/>
    </row>
    <row r="8701" spans="1:18" ht="48">
      <c r="A8701" s="219">
        <v>1474</v>
      </c>
      <c r="B8701" s="216" t="s">
        <v>16021</v>
      </c>
      <c r="C8701" s="220" t="s">
        <v>16022</v>
      </c>
      <c r="D8701" s="221">
        <v>19675.349999999999</v>
      </c>
      <c r="E8701" s="221">
        <v>3573.39</v>
      </c>
      <c r="F8701" s="221">
        <v>15653.3</v>
      </c>
      <c r="G8701" s="221">
        <v>448.66</v>
      </c>
      <c r="H8701" s="222">
        <v>134279.26999999999</v>
      </c>
      <c r="I8701" s="222">
        <v>41095.54</v>
      </c>
      <c r="J8701" s="222">
        <v>91032.88</v>
      </c>
      <c r="K8701" s="222">
        <v>2150.85</v>
      </c>
      <c r="L8701" s="43">
        <v>6.824746192570907</v>
      </c>
      <c r="M8701" s="43">
        <v>11.500435161009575</v>
      </c>
      <c r="N8701" s="43">
        <v>5.8155711575195008</v>
      </c>
      <c r="O8701" s="43">
        <v>4.793941960504613</v>
      </c>
      <c r="P8701" s="223"/>
      <c r="Q8701" s="223"/>
      <c r="R8701" s="223">
        <v>2</v>
      </c>
    </row>
    <row r="8702" spans="1:18" ht="48">
      <c r="A8702" s="219">
        <v>1475</v>
      </c>
      <c r="B8702" s="216" t="s">
        <v>16023</v>
      </c>
      <c r="C8702" s="220" t="s">
        <v>16024</v>
      </c>
      <c r="D8702" s="221">
        <v>23596.560000000001</v>
      </c>
      <c r="E8702" s="221">
        <v>4458.12</v>
      </c>
      <c r="F8702" s="221">
        <v>18181.61</v>
      </c>
      <c r="G8702" s="221">
        <v>956.83</v>
      </c>
      <c r="H8702" s="222">
        <v>162363.01999999999</v>
      </c>
      <c r="I8702" s="222">
        <v>51270.32</v>
      </c>
      <c r="J8702" s="222">
        <v>107095.65</v>
      </c>
      <c r="K8702" s="222">
        <v>3997.05</v>
      </c>
      <c r="L8702" s="43">
        <v>6.8807919459446625</v>
      </c>
      <c r="M8702" s="43">
        <v>11.500435161009573</v>
      </c>
      <c r="N8702" s="43">
        <v>5.8903281942578234</v>
      </c>
      <c r="O8702" s="43">
        <v>4.1773878327393579</v>
      </c>
      <c r="P8702" s="223"/>
      <c r="Q8702" s="223"/>
      <c r="R8702" s="223">
        <v>2</v>
      </c>
    </row>
    <row r="8703" spans="1:18" ht="48">
      <c r="A8703" s="219">
        <v>1476</v>
      </c>
      <c r="B8703" s="216" t="s">
        <v>16025</v>
      </c>
      <c r="C8703" s="220" t="s">
        <v>16026</v>
      </c>
      <c r="D8703" s="221">
        <v>19620.830000000002</v>
      </c>
      <c r="E8703" s="221">
        <v>3320.61</v>
      </c>
      <c r="F8703" s="221">
        <v>15849.28</v>
      </c>
      <c r="G8703" s="221">
        <v>450.94</v>
      </c>
      <c r="H8703" s="222">
        <v>132393.35</v>
      </c>
      <c r="I8703" s="222">
        <v>38188.46</v>
      </c>
      <c r="J8703" s="222">
        <v>92070.88</v>
      </c>
      <c r="K8703" s="222">
        <v>2134.0100000000002</v>
      </c>
      <c r="L8703" s="43">
        <v>6.7475917175776967</v>
      </c>
      <c r="M8703" s="43">
        <v>11.500435161009573</v>
      </c>
      <c r="N8703" s="43">
        <v>5.8091522138545093</v>
      </c>
      <c r="O8703" s="43">
        <v>4.732359072160377</v>
      </c>
      <c r="P8703" s="223"/>
      <c r="Q8703" s="223"/>
      <c r="R8703" s="223">
        <v>2</v>
      </c>
    </row>
    <row r="8704" spans="1:18" ht="48">
      <c r="A8704" s="219">
        <v>1477</v>
      </c>
      <c r="B8704" s="216" t="s">
        <v>16027</v>
      </c>
      <c r="C8704" s="220" t="s">
        <v>16028</v>
      </c>
      <c r="D8704" s="221">
        <v>24037.14</v>
      </c>
      <c r="E8704" s="221">
        <v>4078.95</v>
      </c>
      <c r="F8704" s="221">
        <v>18984.560000000001</v>
      </c>
      <c r="G8704" s="221">
        <v>973.63</v>
      </c>
      <c r="H8704" s="222">
        <v>162855.42000000001</v>
      </c>
      <c r="I8704" s="222">
        <v>46909.7</v>
      </c>
      <c r="J8704" s="222">
        <v>111905.81</v>
      </c>
      <c r="K8704" s="222">
        <v>4039.91</v>
      </c>
      <c r="L8704" s="43">
        <v>6.7751579430830793</v>
      </c>
      <c r="M8704" s="43">
        <v>11.500435161009573</v>
      </c>
      <c r="N8704" s="43">
        <v>5.8945695870749697</v>
      </c>
      <c r="O8704" s="43">
        <v>4.1493277733841394</v>
      </c>
      <c r="P8704" s="223"/>
      <c r="Q8704" s="223"/>
      <c r="R8704" s="223">
        <v>2</v>
      </c>
    </row>
    <row r="8705" spans="1:18" ht="12.75" customHeight="1">
      <c r="A8705" s="628" t="s">
        <v>16029</v>
      </c>
      <c r="B8705" s="629"/>
      <c r="C8705" s="629"/>
      <c r="D8705" s="629"/>
      <c r="E8705" s="629"/>
      <c r="F8705" s="629"/>
      <c r="G8705" s="629"/>
      <c r="H8705" s="629"/>
      <c r="I8705" s="629"/>
      <c r="J8705" s="629"/>
      <c r="K8705" s="629"/>
      <c r="L8705" s="629"/>
      <c r="M8705" s="629"/>
      <c r="N8705" s="629"/>
      <c r="O8705" s="629"/>
      <c r="P8705" s="629"/>
      <c r="Q8705" s="629"/>
      <c r="R8705" s="629"/>
    </row>
    <row r="8706" spans="1:18" ht="60">
      <c r="A8706" s="219">
        <v>1478</v>
      </c>
      <c r="B8706" s="216" t="s">
        <v>16030</v>
      </c>
      <c r="C8706" s="220" t="s">
        <v>16031</v>
      </c>
      <c r="D8706" s="221">
        <v>17888.2</v>
      </c>
      <c r="E8706" s="221">
        <v>2033.73</v>
      </c>
      <c r="F8706" s="221">
        <v>10091.93</v>
      </c>
      <c r="G8706" s="221">
        <v>5762.54</v>
      </c>
      <c r="H8706" s="222">
        <v>97183.97</v>
      </c>
      <c r="I8706" s="222">
        <v>23388.78</v>
      </c>
      <c r="J8706" s="222">
        <v>55529.8</v>
      </c>
      <c r="K8706" s="222">
        <v>18265.39</v>
      </c>
      <c r="L8706" s="43">
        <v>5.4328535011907286</v>
      </c>
      <c r="M8706" s="43">
        <v>11.500435161009573</v>
      </c>
      <c r="N8706" s="43">
        <v>5.5023964692581107</v>
      </c>
      <c r="O8706" s="43">
        <v>3.1696769133055906</v>
      </c>
      <c r="P8706" s="223"/>
      <c r="Q8706" s="223"/>
      <c r="R8706" s="223">
        <v>3</v>
      </c>
    </row>
    <row r="8707" spans="1:18" ht="60">
      <c r="A8707" s="219">
        <v>1479</v>
      </c>
      <c r="B8707" s="216" t="s">
        <v>16032</v>
      </c>
      <c r="C8707" s="220" t="s">
        <v>16033</v>
      </c>
      <c r="D8707" s="221">
        <v>17160.86</v>
      </c>
      <c r="E8707" s="221">
        <v>2275.02</v>
      </c>
      <c r="F8707" s="221">
        <v>10705.3</v>
      </c>
      <c r="G8707" s="221">
        <v>4180.54</v>
      </c>
      <c r="H8707" s="222">
        <v>98900.11</v>
      </c>
      <c r="I8707" s="222">
        <v>26163.72</v>
      </c>
      <c r="J8707" s="222">
        <v>58859.88</v>
      </c>
      <c r="K8707" s="222">
        <v>13876.51</v>
      </c>
      <c r="L8707" s="43">
        <v>5.7631208459249708</v>
      </c>
      <c r="M8707" s="43">
        <v>11.500435161009575</v>
      </c>
      <c r="N8707" s="43">
        <v>5.4981999570306295</v>
      </c>
      <c r="O8707" s="43">
        <v>3.3193104240122091</v>
      </c>
      <c r="P8707" s="223"/>
      <c r="Q8707" s="223"/>
      <c r="R8707" s="223">
        <v>3</v>
      </c>
    </row>
    <row r="8708" spans="1:18" ht="48">
      <c r="A8708" s="219">
        <v>1480</v>
      </c>
      <c r="B8708" s="216" t="s">
        <v>16034</v>
      </c>
      <c r="C8708" s="220" t="s">
        <v>16035</v>
      </c>
      <c r="D8708" s="221">
        <v>18048.169999999998</v>
      </c>
      <c r="E8708" s="221">
        <v>2183.1</v>
      </c>
      <c r="F8708" s="221">
        <v>10153.18</v>
      </c>
      <c r="G8708" s="221">
        <v>5711.89</v>
      </c>
      <c r="H8708" s="222">
        <v>98821.93</v>
      </c>
      <c r="I8708" s="222">
        <v>25106.6</v>
      </c>
      <c r="J8708" s="222">
        <v>55854.21</v>
      </c>
      <c r="K8708" s="222">
        <v>17861.12</v>
      </c>
      <c r="L8708" s="43">
        <v>5.4754542981365981</v>
      </c>
      <c r="M8708" s="43">
        <v>11.500435161009573</v>
      </c>
      <c r="N8708" s="43">
        <v>5.5011543181545086</v>
      </c>
      <c r="O8708" s="43">
        <v>3.1270069976837784</v>
      </c>
      <c r="P8708" s="223"/>
      <c r="Q8708" s="223"/>
      <c r="R8708" s="223">
        <v>3</v>
      </c>
    </row>
    <row r="8709" spans="1:18" ht="48">
      <c r="A8709" s="219">
        <v>1481</v>
      </c>
      <c r="B8709" s="216" t="s">
        <v>16036</v>
      </c>
      <c r="C8709" s="220" t="s">
        <v>16037</v>
      </c>
      <c r="D8709" s="221">
        <v>17029.669999999998</v>
      </c>
      <c r="E8709" s="221">
        <v>2137.14</v>
      </c>
      <c r="F8709" s="221">
        <v>10791.02</v>
      </c>
      <c r="G8709" s="221">
        <v>4101.51</v>
      </c>
      <c r="H8709" s="222">
        <v>97024.88</v>
      </c>
      <c r="I8709" s="222">
        <v>24578.04</v>
      </c>
      <c r="J8709" s="222">
        <v>59313.86</v>
      </c>
      <c r="K8709" s="222">
        <v>13132.98</v>
      </c>
      <c r="L8709" s="43">
        <v>5.6974022397380581</v>
      </c>
      <c r="M8709" s="43">
        <v>11.500435161009575</v>
      </c>
      <c r="N8709" s="43">
        <v>5.4965943905210075</v>
      </c>
      <c r="O8709" s="43">
        <v>3.2019865854282932</v>
      </c>
      <c r="P8709" s="223"/>
      <c r="Q8709" s="223"/>
      <c r="R8709" s="223">
        <v>3</v>
      </c>
    </row>
    <row r="8710" spans="1:18" ht="12.75" customHeight="1">
      <c r="A8710" s="628" t="s">
        <v>16038</v>
      </c>
      <c r="B8710" s="629"/>
      <c r="C8710" s="629"/>
      <c r="D8710" s="629"/>
      <c r="E8710" s="629"/>
      <c r="F8710" s="629"/>
      <c r="G8710" s="629"/>
      <c r="H8710" s="629"/>
      <c r="I8710" s="629"/>
      <c r="J8710" s="629"/>
      <c r="K8710" s="629"/>
      <c r="L8710" s="629"/>
      <c r="M8710" s="629"/>
      <c r="N8710" s="629"/>
      <c r="O8710" s="629"/>
      <c r="P8710" s="629"/>
      <c r="Q8710" s="629"/>
      <c r="R8710" s="629"/>
    </row>
    <row r="8711" spans="1:18" ht="36">
      <c r="A8711" s="219">
        <v>1482</v>
      </c>
      <c r="B8711" s="216" t="s">
        <v>16039</v>
      </c>
      <c r="C8711" s="220" t="s">
        <v>16040</v>
      </c>
      <c r="D8711" s="221">
        <v>15854.78</v>
      </c>
      <c r="E8711" s="221">
        <v>3136.77</v>
      </c>
      <c r="F8711" s="221">
        <v>10906.32</v>
      </c>
      <c r="G8711" s="221">
        <v>1811.69</v>
      </c>
      <c r="H8711" s="222">
        <v>105410.37</v>
      </c>
      <c r="I8711" s="222">
        <v>36074.22</v>
      </c>
      <c r="J8711" s="222">
        <v>61326.879999999997</v>
      </c>
      <c r="K8711" s="222">
        <v>8009.27</v>
      </c>
      <c r="L8711" s="43">
        <v>6.648491495940025</v>
      </c>
      <c r="M8711" s="43">
        <v>11.500435161009573</v>
      </c>
      <c r="N8711" s="43">
        <v>5.6230589236332698</v>
      </c>
      <c r="O8711" s="43">
        <v>4.4208832636930158</v>
      </c>
      <c r="P8711" s="223"/>
      <c r="Q8711" s="223"/>
      <c r="R8711" s="223">
        <v>4</v>
      </c>
    </row>
    <row r="8712" spans="1:18" ht="24">
      <c r="A8712" s="219">
        <v>1483</v>
      </c>
      <c r="B8712" s="216" t="s">
        <v>16041</v>
      </c>
      <c r="C8712" s="220" t="s">
        <v>16042</v>
      </c>
      <c r="D8712" s="221">
        <v>16599.82</v>
      </c>
      <c r="E8712" s="221">
        <v>1918.83</v>
      </c>
      <c r="F8712" s="221">
        <v>12230.14</v>
      </c>
      <c r="G8712" s="221">
        <v>2450.85</v>
      </c>
      <c r="H8712" s="222">
        <v>101470.29</v>
      </c>
      <c r="I8712" s="222">
        <v>22067.38</v>
      </c>
      <c r="J8712" s="222">
        <v>68911.289999999994</v>
      </c>
      <c r="K8712" s="222">
        <v>10491.62</v>
      </c>
      <c r="L8712" s="43">
        <v>6.1127343549508364</v>
      </c>
      <c r="M8712" s="43">
        <v>11.500435161009575</v>
      </c>
      <c r="N8712" s="43">
        <v>5.6345462930105459</v>
      </c>
      <c r="O8712" s="43">
        <v>4.2808086990227885</v>
      </c>
      <c r="P8712" s="223"/>
      <c r="Q8712" s="223"/>
      <c r="R8712" s="223">
        <v>4</v>
      </c>
    </row>
    <row r="8713" spans="1:18" ht="12.75" customHeight="1">
      <c r="A8713" s="628" t="s">
        <v>16043</v>
      </c>
      <c r="B8713" s="629"/>
      <c r="C8713" s="629"/>
      <c r="D8713" s="629"/>
      <c r="E8713" s="629"/>
      <c r="F8713" s="629"/>
      <c r="G8713" s="629"/>
      <c r="H8713" s="629"/>
      <c r="I8713" s="629"/>
      <c r="J8713" s="629"/>
      <c r="K8713" s="629"/>
      <c r="L8713" s="629"/>
      <c r="M8713" s="629"/>
      <c r="N8713" s="629"/>
      <c r="O8713" s="629"/>
      <c r="P8713" s="629"/>
      <c r="Q8713" s="629"/>
      <c r="R8713" s="629"/>
    </row>
    <row r="8714" spans="1:18" ht="12.75" customHeight="1">
      <c r="A8714" s="628" t="s">
        <v>16020</v>
      </c>
      <c r="B8714" s="629"/>
      <c r="C8714" s="629"/>
      <c r="D8714" s="629"/>
      <c r="E8714" s="629"/>
      <c r="F8714" s="629"/>
      <c r="G8714" s="629"/>
      <c r="H8714" s="629"/>
      <c r="I8714" s="629"/>
      <c r="J8714" s="629"/>
      <c r="K8714" s="629"/>
      <c r="L8714" s="629"/>
      <c r="M8714" s="629"/>
      <c r="N8714" s="629"/>
      <c r="O8714" s="629"/>
      <c r="P8714" s="629"/>
      <c r="Q8714" s="629"/>
      <c r="R8714" s="629"/>
    </row>
    <row r="8715" spans="1:18" ht="48">
      <c r="A8715" s="219">
        <v>1484</v>
      </c>
      <c r="B8715" s="216" t="s">
        <v>16044</v>
      </c>
      <c r="C8715" s="220" t="s">
        <v>16045</v>
      </c>
      <c r="D8715" s="221">
        <v>18637.71</v>
      </c>
      <c r="E8715" s="221">
        <v>3573.39</v>
      </c>
      <c r="F8715" s="221">
        <v>14377.4</v>
      </c>
      <c r="G8715" s="221">
        <v>686.92</v>
      </c>
      <c r="H8715" s="222">
        <v>127368.86</v>
      </c>
      <c r="I8715" s="222">
        <v>41095.54</v>
      </c>
      <c r="J8715" s="222">
        <v>83258.05</v>
      </c>
      <c r="K8715" s="222">
        <v>3015.27</v>
      </c>
      <c r="L8715" s="43">
        <v>6.8339329241628937</v>
      </c>
      <c r="M8715" s="43">
        <v>11.500435161009575</v>
      </c>
      <c r="N8715" s="43">
        <v>5.7908975197184471</v>
      </c>
      <c r="O8715" s="43">
        <v>4.38955045711291</v>
      </c>
      <c r="P8715" s="223"/>
      <c r="Q8715" s="223"/>
      <c r="R8715" s="223">
        <v>1</v>
      </c>
    </row>
    <row r="8716" spans="1:18" ht="48">
      <c r="A8716" s="219">
        <v>1485</v>
      </c>
      <c r="B8716" s="216" t="s">
        <v>16046</v>
      </c>
      <c r="C8716" s="220" t="s">
        <v>16047</v>
      </c>
      <c r="D8716" s="221">
        <v>22562.31</v>
      </c>
      <c r="E8716" s="221">
        <v>4527.0600000000004</v>
      </c>
      <c r="F8716" s="221">
        <v>16795.400000000001</v>
      </c>
      <c r="G8716" s="221">
        <v>1239.8499999999999</v>
      </c>
      <c r="H8716" s="222">
        <v>155336.6</v>
      </c>
      <c r="I8716" s="222">
        <v>52063.16</v>
      </c>
      <c r="J8716" s="222">
        <v>98240.39</v>
      </c>
      <c r="K8716" s="222">
        <v>5033.05</v>
      </c>
      <c r="L8716" s="43">
        <v>6.8847826308565034</v>
      </c>
      <c r="M8716" s="43">
        <v>11.500435161009573</v>
      </c>
      <c r="N8716" s="43">
        <v>5.8492438405753955</v>
      </c>
      <c r="O8716" s="43">
        <v>4.0594023470581124</v>
      </c>
      <c r="P8716" s="223"/>
      <c r="Q8716" s="223"/>
      <c r="R8716" s="223">
        <v>1</v>
      </c>
    </row>
    <row r="8717" spans="1:18" ht="48">
      <c r="A8717" s="219">
        <v>1486</v>
      </c>
      <c r="B8717" s="216" t="s">
        <v>16048</v>
      </c>
      <c r="C8717" s="220" t="s">
        <v>16049</v>
      </c>
      <c r="D8717" s="221">
        <v>22560.67</v>
      </c>
      <c r="E8717" s="221">
        <v>3998.52</v>
      </c>
      <c r="F8717" s="221">
        <v>17699.990000000002</v>
      </c>
      <c r="G8717" s="221">
        <v>862.16</v>
      </c>
      <c r="H8717" s="222">
        <v>153752.31</v>
      </c>
      <c r="I8717" s="222">
        <v>45984.72</v>
      </c>
      <c r="J8717" s="222">
        <v>103714.62</v>
      </c>
      <c r="K8717" s="222">
        <v>4052.97</v>
      </c>
      <c r="L8717" s="43">
        <v>6.8150595704826147</v>
      </c>
      <c r="M8717" s="43">
        <v>11.500435161009573</v>
      </c>
      <c r="N8717" s="43">
        <v>5.8595863613482262</v>
      </c>
      <c r="O8717" s="43">
        <v>4.7009487798088525</v>
      </c>
      <c r="P8717" s="223"/>
      <c r="Q8717" s="223"/>
      <c r="R8717" s="223">
        <v>1</v>
      </c>
    </row>
    <row r="8718" spans="1:18" ht="48">
      <c r="A8718" s="219">
        <v>1487</v>
      </c>
      <c r="B8718" s="216" t="s">
        <v>16050</v>
      </c>
      <c r="C8718" s="220" t="s">
        <v>16051</v>
      </c>
      <c r="D8718" s="221">
        <v>28158.880000000001</v>
      </c>
      <c r="E8718" s="221">
        <v>5078.58</v>
      </c>
      <c r="F8718" s="221">
        <v>21463.15</v>
      </c>
      <c r="G8718" s="221">
        <v>1617.15</v>
      </c>
      <c r="H8718" s="222">
        <v>192616.51</v>
      </c>
      <c r="I8718" s="222">
        <v>58405.88</v>
      </c>
      <c r="J8718" s="222">
        <v>126985.58</v>
      </c>
      <c r="K8718" s="222">
        <v>7225.05</v>
      </c>
      <c r="L8718" s="43">
        <v>6.8403469882324863</v>
      </c>
      <c r="M8718" s="43">
        <v>11.500435161009573</v>
      </c>
      <c r="N8718" s="43">
        <v>5.9164465607331636</v>
      </c>
      <c r="O8718" s="43">
        <v>4.4677673685186905</v>
      </c>
      <c r="P8718" s="223"/>
      <c r="Q8718" s="223"/>
      <c r="R8718" s="223">
        <v>1</v>
      </c>
    </row>
    <row r="8719" spans="1:18" ht="12.75" customHeight="1">
      <c r="A8719" s="628" t="s">
        <v>16052</v>
      </c>
      <c r="B8719" s="629"/>
      <c r="C8719" s="629"/>
      <c r="D8719" s="629"/>
      <c r="E8719" s="629"/>
      <c r="F8719" s="629"/>
      <c r="G8719" s="629"/>
      <c r="H8719" s="629"/>
      <c r="I8719" s="629"/>
      <c r="J8719" s="629"/>
      <c r="K8719" s="629"/>
      <c r="L8719" s="629"/>
      <c r="M8719" s="629"/>
      <c r="N8719" s="629"/>
      <c r="O8719" s="629"/>
      <c r="P8719" s="629"/>
      <c r="Q8719" s="629"/>
      <c r="R8719" s="629"/>
    </row>
    <row r="8720" spans="1:18" ht="36">
      <c r="A8720" s="219">
        <v>1488</v>
      </c>
      <c r="B8720" s="216" t="s">
        <v>16053</v>
      </c>
      <c r="C8720" s="220" t="s">
        <v>16054</v>
      </c>
      <c r="D8720" s="221">
        <v>10492.42</v>
      </c>
      <c r="E8720" s="221">
        <v>1027.21</v>
      </c>
      <c r="F8720" s="221">
        <v>9405.84</v>
      </c>
      <c r="G8720" s="221">
        <v>59.37</v>
      </c>
      <c r="H8720" s="222">
        <v>64328.94</v>
      </c>
      <c r="I8720" s="222">
        <v>11813.32</v>
      </c>
      <c r="J8720" s="222">
        <v>52072.46</v>
      </c>
      <c r="K8720" s="222">
        <v>443.16</v>
      </c>
      <c r="L8720" s="43">
        <v>6.1309917063937585</v>
      </c>
      <c r="M8720" s="43">
        <v>11.500394271862618</v>
      </c>
      <c r="N8720" s="43">
        <v>5.5361839027667914</v>
      </c>
      <c r="O8720" s="43">
        <v>7.4643759474482065</v>
      </c>
      <c r="P8720" s="223"/>
      <c r="Q8720" s="223"/>
      <c r="R8720" s="223">
        <v>2</v>
      </c>
    </row>
    <row r="8721" spans="1:18" ht="12.75" customHeight="1">
      <c r="A8721" s="628" t="s">
        <v>16055</v>
      </c>
      <c r="B8721" s="629"/>
      <c r="C8721" s="629"/>
      <c r="D8721" s="629"/>
      <c r="E8721" s="629"/>
      <c r="F8721" s="629"/>
      <c r="G8721" s="629"/>
      <c r="H8721" s="629"/>
      <c r="I8721" s="629"/>
      <c r="J8721" s="629"/>
      <c r="K8721" s="629"/>
      <c r="L8721" s="629"/>
      <c r="M8721" s="629"/>
      <c r="N8721" s="629"/>
      <c r="O8721" s="629"/>
      <c r="P8721" s="629"/>
      <c r="Q8721" s="629"/>
      <c r="R8721" s="629"/>
    </row>
    <row r="8722" spans="1:18" ht="12.75" customHeight="1">
      <c r="A8722" s="628" t="s">
        <v>16056</v>
      </c>
      <c r="B8722" s="629"/>
      <c r="C8722" s="629"/>
      <c r="D8722" s="629"/>
      <c r="E8722" s="629"/>
      <c r="F8722" s="629"/>
      <c r="G8722" s="629"/>
      <c r="H8722" s="629"/>
      <c r="I8722" s="629"/>
      <c r="J8722" s="629"/>
      <c r="K8722" s="629"/>
      <c r="L8722" s="629"/>
      <c r="M8722" s="629"/>
      <c r="N8722" s="629"/>
      <c r="O8722" s="629"/>
      <c r="P8722" s="629"/>
      <c r="Q8722" s="629"/>
      <c r="R8722" s="629"/>
    </row>
    <row r="8723" spans="1:18" ht="24">
      <c r="A8723" s="219">
        <v>1489</v>
      </c>
      <c r="B8723" s="216" t="s">
        <v>16057</v>
      </c>
      <c r="C8723" s="220" t="s">
        <v>16058</v>
      </c>
      <c r="D8723" s="221">
        <v>1077.24</v>
      </c>
      <c r="E8723" s="221">
        <v>383.77</v>
      </c>
      <c r="F8723" s="221">
        <v>421.32</v>
      </c>
      <c r="G8723" s="221">
        <v>272.14999999999998</v>
      </c>
      <c r="H8723" s="222">
        <v>7585.44</v>
      </c>
      <c r="I8723" s="222">
        <v>4413.4799999999996</v>
      </c>
      <c r="J8723" s="222">
        <v>2154.02</v>
      </c>
      <c r="K8723" s="222">
        <v>1017.94</v>
      </c>
      <c r="L8723" s="43">
        <v>7.0415506293862089</v>
      </c>
      <c r="M8723" s="43">
        <v>11.5003257159236</v>
      </c>
      <c r="N8723" s="43">
        <v>5.1125510300958892</v>
      </c>
      <c r="O8723" s="43">
        <v>3.7403637699797909</v>
      </c>
      <c r="P8723" s="223"/>
      <c r="Q8723" s="223"/>
      <c r="R8723" s="223">
        <v>1</v>
      </c>
    </row>
    <row r="8724" spans="1:18" ht="12.75" customHeight="1">
      <c r="A8724" s="628" t="s">
        <v>16059</v>
      </c>
      <c r="B8724" s="629"/>
      <c r="C8724" s="629"/>
      <c r="D8724" s="629"/>
      <c r="E8724" s="629"/>
      <c r="F8724" s="629"/>
      <c r="G8724" s="629"/>
      <c r="H8724" s="629"/>
      <c r="I8724" s="629"/>
      <c r="J8724" s="629"/>
      <c r="K8724" s="629"/>
      <c r="L8724" s="629"/>
      <c r="M8724" s="629"/>
      <c r="N8724" s="629"/>
      <c r="O8724" s="629"/>
      <c r="P8724" s="629"/>
      <c r="Q8724" s="629"/>
      <c r="R8724" s="629"/>
    </row>
    <row r="8725" spans="1:18" ht="12.75" customHeight="1">
      <c r="A8725" s="628" t="s">
        <v>16060</v>
      </c>
      <c r="B8725" s="629"/>
      <c r="C8725" s="629"/>
      <c r="D8725" s="629"/>
      <c r="E8725" s="629"/>
      <c r="F8725" s="629"/>
      <c r="G8725" s="629"/>
      <c r="H8725" s="629"/>
      <c r="I8725" s="629"/>
      <c r="J8725" s="629"/>
      <c r="K8725" s="629"/>
      <c r="L8725" s="629"/>
      <c r="M8725" s="629"/>
      <c r="N8725" s="629"/>
      <c r="O8725" s="629"/>
      <c r="P8725" s="629"/>
      <c r="Q8725" s="629"/>
      <c r="R8725" s="629"/>
    </row>
    <row r="8726" spans="1:18" ht="36">
      <c r="A8726" s="219">
        <v>1490</v>
      </c>
      <c r="B8726" s="216" t="s">
        <v>16061</v>
      </c>
      <c r="C8726" s="220" t="s">
        <v>16062</v>
      </c>
      <c r="D8726" s="221">
        <v>1609.01</v>
      </c>
      <c r="E8726" s="221">
        <v>1286.8800000000001</v>
      </c>
      <c r="F8726" s="221">
        <v>128.32</v>
      </c>
      <c r="G8726" s="221">
        <v>193.81</v>
      </c>
      <c r="H8726" s="222">
        <v>16365.42</v>
      </c>
      <c r="I8726" s="222">
        <v>14799.68</v>
      </c>
      <c r="J8726" s="222">
        <v>696.68</v>
      </c>
      <c r="K8726" s="222">
        <v>869.06</v>
      </c>
      <c r="L8726" s="43">
        <v>10.171111428766757</v>
      </c>
      <c r="M8726" s="43">
        <v>11.500435161009573</v>
      </c>
      <c r="N8726" s="43">
        <v>5.4292394014962593</v>
      </c>
      <c r="O8726" s="43">
        <v>4.4840823486920174</v>
      </c>
      <c r="P8726" s="223"/>
      <c r="Q8726" s="223"/>
      <c r="R8726" s="223">
        <v>1</v>
      </c>
    </row>
    <row r="8727" spans="1:18" ht="12.75" customHeight="1">
      <c r="A8727" s="628" t="s">
        <v>16063</v>
      </c>
      <c r="B8727" s="629"/>
      <c r="C8727" s="629"/>
      <c r="D8727" s="629"/>
      <c r="E8727" s="629"/>
      <c r="F8727" s="629"/>
      <c r="G8727" s="629"/>
      <c r="H8727" s="629"/>
      <c r="I8727" s="629"/>
      <c r="J8727" s="629"/>
      <c r="K8727" s="629"/>
      <c r="L8727" s="629"/>
      <c r="M8727" s="629"/>
      <c r="N8727" s="629"/>
      <c r="O8727" s="629"/>
      <c r="P8727" s="629"/>
      <c r="Q8727" s="629"/>
      <c r="R8727" s="629"/>
    </row>
    <row r="8728" spans="1:18" ht="24">
      <c r="A8728" s="219">
        <v>1491</v>
      </c>
      <c r="B8728" s="216" t="s">
        <v>16064</v>
      </c>
      <c r="C8728" s="220" t="s">
        <v>16065</v>
      </c>
      <c r="D8728" s="221">
        <v>763.67</v>
      </c>
      <c r="E8728" s="221">
        <v>355.04</v>
      </c>
      <c r="F8728" s="221">
        <v>398.62</v>
      </c>
      <c r="G8728" s="221">
        <v>10.01</v>
      </c>
      <c r="H8728" s="222">
        <v>6222.36</v>
      </c>
      <c r="I8728" s="222">
        <v>4083.13</v>
      </c>
      <c r="J8728" s="222">
        <v>2047.42</v>
      </c>
      <c r="K8728" s="222">
        <v>91.81</v>
      </c>
      <c r="L8728" s="43">
        <v>8.1479696727644146</v>
      </c>
      <c r="M8728" s="43">
        <v>11.500478819287967</v>
      </c>
      <c r="N8728" s="43">
        <v>5.1362701319552455</v>
      </c>
      <c r="O8728" s="43">
        <v>9.1718281718281727</v>
      </c>
      <c r="P8728" s="223"/>
      <c r="Q8728" s="223"/>
      <c r="R8728" s="223">
        <v>2</v>
      </c>
    </row>
    <row r="8729" spans="1:18" ht="12.75" customHeight="1">
      <c r="A8729" s="628" t="s">
        <v>16066</v>
      </c>
      <c r="B8729" s="629"/>
      <c r="C8729" s="629"/>
      <c r="D8729" s="629"/>
      <c r="E8729" s="629"/>
      <c r="F8729" s="629"/>
      <c r="G8729" s="629"/>
      <c r="H8729" s="629"/>
      <c r="I8729" s="629"/>
      <c r="J8729" s="629"/>
      <c r="K8729" s="629"/>
      <c r="L8729" s="629"/>
      <c r="M8729" s="629"/>
      <c r="N8729" s="629"/>
      <c r="O8729" s="629"/>
      <c r="P8729" s="629"/>
      <c r="Q8729" s="629"/>
      <c r="R8729" s="629"/>
    </row>
    <row r="8730" spans="1:18" ht="24">
      <c r="A8730" s="219">
        <v>1492</v>
      </c>
      <c r="B8730" s="216" t="s">
        <v>16067</v>
      </c>
      <c r="C8730" s="220" t="s">
        <v>16068</v>
      </c>
      <c r="D8730" s="221">
        <v>43970.1</v>
      </c>
      <c r="E8730" s="221">
        <v>25048.2</v>
      </c>
      <c r="F8730" s="221">
        <v>412.52</v>
      </c>
      <c r="G8730" s="221">
        <v>18509.38</v>
      </c>
      <c r="H8730" s="222">
        <v>332480.75</v>
      </c>
      <c r="I8730" s="222">
        <v>288065.2</v>
      </c>
      <c r="J8730" s="222">
        <v>2185.81</v>
      </c>
      <c r="K8730" s="222">
        <v>42229.74</v>
      </c>
      <c r="L8730" s="43">
        <v>7.561519077736917</v>
      </c>
      <c r="M8730" s="43">
        <v>11.500435161009573</v>
      </c>
      <c r="N8730" s="43">
        <v>5.2986764278095606</v>
      </c>
      <c r="O8730" s="43">
        <v>2.2815318503375042</v>
      </c>
      <c r="P8730" s="223"/>
      <c r="Q8730" s="223"/>
      <c r="R8730" s="223">
        <v>3</v>
      </c>
    </row>
    <row r="8731" spans="1:18" ht="24">
      <c r="A8731" s="224">
        <v>1493</v>
      </c>
      <c r="B8731" s="225" t="s">
        <v>16069</v>
      </c>
      <c r="C8731" s="226" t="s">
        <v>16070</v>
      </c>
      <c r="D8731" s="227">
        <v>59075.83</v>
      </c>
      <c r="E8731" s="227">
        <v>37572.300000000003</v>
      </c>
      <c r="F8731" s="227">
        <v>419.86</v>
      </c>
      <c r="G8731" s="227">
        <v>21083.67</v>
      </c>
      <c r="H8731" s="228">
        <v>487592.52</v>
      </c>
      <c r="I8731" s="228">
        <v>432097.8</v>
      </c>
      <c r="J8731" s="228">
        <v>2226.2399999999998</v>
      </c>
      <c r="K8731" s="228">
        <v>53268.480000000003</v>
      </c>
      <c r="L8731" s="611">
        <v>8.2536719331747008</v>
      </c>
      <c r="M8731" s="611">
        <v>11.500435161009573</v>
      </c>
      <c r="N8731" s="611">
        <v>5.3023388748630493</v>
      </c>
      <c r="O8731" s="611">
        <v>2.5265278767880548</v>
      </c>
      <c r="P8731" s="229"/>
      <c r="Q8731" s="229"/>
      <c r="R8731" s="229">
        <v>3</v>
      </c>
    </row>
    <row r="8732" spans="1:18" ht="12.75" customHeight="1">
      <c r="A8732" s="630" t="s">
        <v>16071</v>
      </c>
      <c r="B8732" s="631"/>
      <c r="C8732" s="631"/>
      <c r="D8732" s="631"/>
      <c r="E8732" s="631"/>
      <c r="F8732" s="631"/>
      <c r="G8732" s="631"/>
      <c r="H8732" s="631"/>
      <c r="I8732" s="631"/>
      <c r="J8732" s="631"/>
      <c r="K8732" s="631"/>
      <c r="L8732" s="631"/>
      <c r="M8732" s="631"/>
      <c r="N8732" s="631"/>
      <c r="O8732" s="631"/>
      <c r="P8732" s="631"/>
      <c r="Q8732" s="631"/>
      <c r="R8732" s="631"/>
    </row>
    <row r="8733" spans="1:18" ht="12.75" customHeight="1">
      <c r="A8733" s="628" t="s">
        <v>16072</v>
      </c>
      <c r="B8733" s="629"/>
      <c r="C8733" s="629"/>
      <c r="D8733" s="629"/>
      <c r="E8733" s="629"/>
      <c r="F8733" s="629"/>
      <c r="G8733" s="629"/>
      <c r="H8733" s="629"/>
      <c r="I8733" s="629"/>
      <c r="J8733" s="629"/>
      <c r="K8733" s="629"/>
      <c r="L8733" s="629"/>
      <c r="M8733" s="629"/>
      <c r="N8733" s="629"/>
      <c r="O8733" s="629"/>
      <c r="P8733" s="629"/>
      <c r="Q8733" s="629"/>
      <c r="R8733" s="629"/>
    </row>
    <row r="8734" spans="1:18" ht="48">
      <c r="A8734" s="219">
        <v>1494</v>
      </c>
      <c r="B8734" s="216" t="s">
        <v>16073</v>
      </c>
      <c r="C8734" s="220" t="s">
        <v>16074</v>
      </c>
      <c r="D8734" s="221">
        <v>1962.11</v>
      </c>
      <c r="E8734" s="221">
        <v>1447.74</v>
      </c>
      <c r="F8734" s="221">
        <v>393.5</v>
      </c>
      <c r="G8734" s="221">
        <v>120.87</v>
      </c>
      <c r="H8734" s="222">
        <v>19628.3</v>
      </c>
      <c r="I8734" s="222">
        <v>16649.64</v>
      </c>
      <c r="J8734" s="222">
        <v>2109.63</v>
      </c>
      <c r="K8734" s="222">
        <v>869.03</v>
      </c>
      <c r="L8734" s="43">
        <v>10.003669519038178</v>
      </c>
      <c r="M8734" s="43">
        <v>11.500435161009573</v>
      </c>
      <c r="N8734" s="43">
        <v>5.3611944091486663</v>
      </c>
      <c r="O8734" s="43">
        <v>7.1897906842061712</v>
      </c>
      <c r="P8734" s="223"/>
      <c r="Q8734" s="223"/>
      <c r="R8734" s="223">
        <v>1</v>
      </c>
    </row>
    <row r="8735" spans="1:18" ht="48">
      <c r="A8735" s="219">
        <v>1495</v>
      </c>
      <c r="B8735" s="216" t="s">
        <v>16075</v>
      </c>
      <c r="C8735" s="220" t="s">
        <v>16076</v>
      </c>
      <c r="D8735" s="221">
        <v>2159.98</v>
      </c>
      <c r="E8735" s="221">
        <v>1551.15</v>
      </c>
      <c r="F8735" s="221">
        <v>449.58</v>
      </c>
      <c r="G8735" s="221">
        <v>159.25</v>
      </c>
      <c r="H8735" s="222">
        <v>21350.11</v>
      </c>
      <c r="I8735" s="222">
        <v>17838.900000000001</v>
      </c>
      <c r="J8735" s="222">
        <v>2411.86</v>
      </c>
      <c r="K8735" s="222">
        <v>1099.3499999999999</v>
      </c>
      <c r="L8735" s="43">
        <v>9.8844017074232173</v>
      </c>
      <c r="M8735" s="43">
        <v>11.500435161009573</v>
      </c>
      <c r="N8735" s="43">
        <v>5.3646959384314252</v>
      </c>
      <c r="O8735" s="43">
        <v>6.9032967032967028</v>
      </c>
      <c r="P8735" s="223"/>
      <c r="Q8735" s="223"/>
      <c r="R8735" s="223">
        <v>1</v>
      </c>
    </row>
    <row r="8736" spans="1:18" ht="48">
      <c r="A8736" s="219">
        <v>1496</v>
      </c>
      <c r="B8736" s="216" t="s">
        <v>16077</v>
      </c>
      <c r="C8736" s="220" t="s">
        <v>16078</v>
      </c>
      <c r="D8736" s="221">
        <v>2820.93</v>
      </c>
      <c r="E8736" s="221">
        <v>1746.48</v>
      </c>
      <c r="F8736" s="221">
        <v>912.6</v>
      </c>
      <c r="G8736" s="221">
        <v>161.85</v>
      </c>
      <c r="H8736" s="222">
        <v>26052.25</v>
      </c>
      <c r="I8736" s="222">
        <v>20085.28</v>
      </c>
      <c r="J8736" s="222">
        <v>4894.57</v>
      </c>
      <c r="K8736" s="222">
        <v>1072.4000000000001</v>
      </c>
      <c r="L8736" s="43">
        <v>9.2353408273158148</v>
      </c>
      <c r="M8736" s="43">
        <v>11.500435161009573</v>
      </c>
      <c r="N8736" s="43">
        <v>5.3633245671707206</v>
      </c>
      <c r="O8736" s="43">
        <v>6.6258881680568438</v>
      </c>
      <c r="P8736" s="223"/>
      <c r="Q8736" s="223"/>
      <c r="R8736" s="223">
        <v>1</v>
      </c>
    </row>
    <row r="8737" spans="1:18" ht="48">
      <c r="A8737" s="219">
        <v>1497</v>
      </c>
      <c r="B8737" s="216" t="s">
        <v>16079</v>
      </c>
      <c r="C8737" s="220" t="s">
        <v>16080</v>
      </c>
      <c r="D8737" s="221">
        <v>3690.94</v>
      </c>
      <c r="E8737" s="221">
        <v>2217.5700000000002</v>
      </c>
      <c r="F8737" s="221">
        <v>1248.31</v>
      </c>
      <c r="G8737" s="221">
        <v>225.06</v>
      </c>
      <c r="H8737" s="222">
        <v>33667.03</v>
      </c>
      <c r="I8737" s="222">
        <v>25503.02</v>
      </c>
      <c r="J8737" s="222">
        <v>6702.67</v>
      </c>
      <c r="K8737" s="222">
        <v>1461.34</v>
      </c>
      <c r="L8737" s="43">
        <v>9.121532726080618</v>
      </c>
      <c r="M8737" s="43">
        <v>11.500435161009573</v>
      </c>
      <c r="N8737" s="43">
        <v>5.3693954226113707</v>
      </c>
      <c r="O8737" s="43">
        <v>6.4931129476584015</v>
      </c>
      <c r="P8737" s="223"/>
      <c r="Q8737" s="223"/>
      <c r="R8737" s="223">
        <v>1</v>
      </c>
    </row>
    <row r="8738" spans="1:18" ht="48">
      <c r="A8738" s="219">
        <v>1498</v>
      </c>
      <c r="B8738" s="216" t="s">
        <v>16081</v>
      </c>
      <c r="C8738" s="220" t="s">
        <v>16082</v>
      </c>
      <c r="D8738" s="221">
        <v>4764.2299999999996</v>
      </c>
      <c r="E8738" s="221">
        <v>2642.7</v>
      </c>
      <c r="F8738" s="221">
        <v>1687.22</v>
      </c>
      <c r="G8738" s="221">
        <v>434.31</v>
      </c>
      <c r="H8738" s="222">
        <v>42064.93</v>
      </c>
      <c r="I8738" s="222">
        <v>30392.2</v>
      </c>
      <c r="J8738" s="222">
        <v>9068.02</v>
      </c>
      <c r="K8738" s="222">
        <v>2604.71</v>
      </c>
      <c r="L8738" s="43">
        <v>8.8293239411195525</v>
      </c>
      <c r="M8738" s="43">
        <v>11.500435161009575</v>
      </c>
      <c r="N8738" s="43">
        <v>5.3745332558883847</v>
      </c>
      <c r="O8738" s="43">
        <v>5.9973521217563492</v>
      </c>
      <c r="P8738" s="223"/>
      <c r="Q8738" s="223"/>
      <c r="R8738" s="223">
        <v>1</v>
      </c>
    </row>
    <row r="8739" spans="1:18" ht="48">
      <c r="A8739" s="219">
        <v>1499</v>
      </c>
      <c r="B8739" s="216" t="s">
        <v>16083</v>
      </c>
      <c r="C8739" s="220" t="s">
        <v>16084</v>
      </c>
      <c r="D8739" s="221">
        <v>5544.07</v>
      </c>
      <c r="E8739" s="221">
        <v>3079.32</v>
      </c>
      <c r="F8739" s="221">
        <v>1982.91</v>
      </c>
      <c r="G8739" s="221">
        <v>481.84</v>
      </c>
      <c r="H8739" s="222">
        <v>48985.07</v>
      </c>
      <c r="I8739" s="222">
        <v>35413.519999999997</v>
      </c>
      <c r="J8739" s="222">
        <v>10659.47</v>
      </c>
      <c r="K8739" s="222">
        <v>2912.08</v>
      </c>
      <c r="L8739" s="43">
        <v>8.8355792765964356</v>
      </c>
      <c r="M8739" s="43">
        <v>11.500435161009571</v>
      </c>
      <c r="N8739" s="43">
        <v>5.3756701010131565</v>
      </c>
      <c r="O8739" s="43">
        <v>6.043665947202391</v>
      </c>
      <c r="P8739" s="223"/>
      <c r="Q8739" s="223"/>
      <c r="R8739" s="223">
        <v>1</v>
      </c>
    </row>
    <row r="8740" spans="1:18" ht="12.75" customHeight="1">
      <c r="A8740" s="628" t="s">
        <v>16085</v>
      </c>
      <c r="B8740" s="629"/>
      <c r="C8740" s="629"/>
      <c r="D8740" s="629"/>
      <c r="E8740" s="629"/>
      <c r="F8740" s="629"/>
      <c r="G8740" s="629"/>
      <c r="H8740" s="629"/>
      <c r="I8740" s="629"/>
      <c r="J8740" s="629"/>
      <c r="K8740" s="629"/>
      <c r="L8740" s="629"/>
      <c r="M8740" s="629"/>
      <c r="N8740" s="629"/>
      <c r="O8740" s="629"/>
      <c r="P8740" s="629"/>
      <c r="Q8740" s="629"/>
      <c r="R8740" s="629"/>
    </row>
    <row r="8741" spans="1:18" ht="48">
      <c r="A8741" s="219">
        <v>1500</v>
      </c>
      <c r="B8741" s="216" t="s">
        <v>16086</v>
      </c>
      <c r="C8741" s="220" t="s">
        <v>16087</v>
      </c>
      <c r="D8741" s="221">
        <v>3355.33</v>
      </c>
      <c r="E8741" s="221">
        <v>1838.4</v>
      </c>
      <c r="F8741" s="221">
        <v>1375.81</v>
      </c>
      <c r="G8741" s="221">
        <v>141.12</v>
      </c>
      <c r="H8741" s="222">
        <v>29317.21</v>
      </c>
      <c r="I8741" s="222">
        <v>21142.400000000001</v>
      </c>
      <c r="J8741" s="222">
        <v>7129.07</v>
      </c>
      <c r="K8741" s="222">
        <v>1045.74</v>
      </c>
      <c r="L8741" s="43">
        <v>8.7375042097200577</v>
      </c>
      <c r="M8741" s="43">
        <v>11.500435161009573</v>
      </c>
      <c r="N8741" s="43">
        <v>5.1817256743300311</v>
      </c>
      <c r="O8741" s="43">
        <v>7.4102891156462585</v>
      </c>
      <c r="P8741" s="223"/>
      <c r="Q8741" s="223"/>
      <c r="R8741" s="223">
        <v>2</v>
      </c>
    </row>
    <row r="8742" spans="1:18" ht="48">
      <c r="A8742" s="219">
        <v>1501</v>
      </c>
      <c r="B8742" s="216" t="s">
        <v>16088</v>
      </c>
      <c r="C8742" s="220" t="s">
        <v>16089</v>
      </c>
      <c r="D8742" s="221">
        <v>3441.27</v>
      </c>
      <c r="E8742" s="221">
        <v>1849.89</v>
      </c>
      <c r="F8742" s="221">
        <v>1425.55</v>
      </c>
      <c r="G8742" s="221">
        <v>165.83</v>
      </c>
      <c r="H8742" s="222">
        <v>29843.29</v>
      </c>
      <c r="I8742" s="222">
        <v>21274.54</v>
      </c>
      <c r="J8742" s="222">
        <v>7397.74</v>
      </c>
      <c r="K8742" s="222">
        <v>1171.01</v>
      </c>
      <c r="L8742" s="43">
        <v>8.672173354604551</v>
      </c>
      <c r="M8742" s="43">
        <v>11.500435161009573</v>
      </c>
      <c r="N8742" s="43">
        <v>5.1893935673950402</v>
      </c>
      <c r="O8742" s="43">
        <v>7.0615087740457092</v>
      </c>
      <c r="P8742" s="223"/>
      <c r="Q8742" s="223"/>
      <c r="R8742" s="223">
        <v>2</v>
      </c>
    </row>
    <row r="8743" spans="1:18" ht="48">
      <c r="A8743" s="219">
        <v>1502</v>
      </c>
      <c r="B8743" s="216" t="s">
        <v>16090</v>
      </c>
      <c r="C8743" s="220" t="s">
        <v>16091</v>
      </c>
      <c r="D8743" s="221">
        <v>4383.5600000000004</v>
      </c>
      <c r="E8743" s="221">
        <v>2079.69</v>
      </c>
      <c r="F8743" s="221">
        <v>2135.36</v>
      </c>
      <c r="G8743" s="221">
        <v>168.51</v>
      </c>
      <c r="H8743" s="222">
        <v>36207.58</v>
      </c>
      <c r="I8743" s="222">
        <v>23917.34</v>
      </c>
      <c r="J8743" s="222">
        <v>11141.25</v>
      </c>
      <c r="K8743" s="222">
        <v>1148.99</v>
      </c>
      <c r="L8743" s="43">
        <v>8.2598572849464809</v>
      </c>
      <c r="M8743" s="43">
        <v>11.500435161009573</v>
      </c>
      <c r="N8743" s="43">
        <v>5.2175043084070127</v>
      </c>
      <c r="O8743" s="43">
        <v>6.8185270903803934</v>
      </c>
      <c r="P8743" s="223"/>
      <c r="Q8743" s="223"/>
      <c r="R8743" s="223">
        <v>2</v>
      </c>
    </row>
    <row r="8744" spans="1:18" ht="48">
      <c r="A8744" s="219">
        <v>1503</v>
      </c>
      <c r="B8744" s="216" t="s">
        <v>16092</v>
      </c>
      <c r="C8744" s="220" t="s">
        <v>16093</v>
      </c>
      <c r="D8744" s="221">
        <v>5660.32</v>
      </c>
      <c r="E8744" s="221">
        <v>2642.7</v>
      </c>
      <c r="F8744" s="221">
        <v>2784.06</v>
      </c>
      <c r="G8744" s="221">
        <v>233.56</v>
      </c>
      <c r="H8744" s="222">
        <v>46499.56</v>
      </c>
      <c r="I8744" s="222">
        <v>30392.2</v>
      </c>
      <c r="J8744" s="222">
        <v>14548.27</v>
      </c>
      <c r="K8744" s="222">
        <v>1559.09</v>
      </c>
      <c r="L8744" s="43">
        <v>8.2150055120558552</v>
      </c>
      <c r="M8744" s="43">
        <v>11.500435161009575</v>
      </c>
      <c r="N8744" s="43">
        <v>5.2255590755946351</v>
      </c>
      <c r="O8744" s="43">
        <v>6.6753296797396811</v>
      </c>
      <c r="P8744" s="223"/>
      <c r="Q8744" s="223"/>
      <c r="R8744" s="223">
        <v>2</v>
      </c>
    </row>
    <row r="8745" spans="1:18" ht="48">
      <c r="A8745" s="219">
        <v>1504</v>
      </c>
      <c r="B8745" s="216" t="s">
        <v>16094</v>
      </c>
      <c r="C8745" s="220" t="s">
        <v>16095</v>
      </c>
      <c r="D8745" s="221">
        <v>6611.73</v>
      </c>
      <c r="E8745" s="221">
        <v>3136.77</v>
      </c>
      <c r="F8745" s="221">
        <v>3197.16</v>
      </c>
      <c r="G8745" s="221">
        <v>277.8</v>
      </c>
      <c r="H8745" s="222">
        <v>54712.07</v>
      </c>
      <c r="I8745" s="222">
        <v>36074.22</v>
      </c>
      <c r="J8745" s="222">
        <v>16781.810000000001</v>
      </c>
      <c r="K8745" s="222">
        <v>1856.04</v>
      </c>
      <c r="L8745" s="43">
        <v>8.2750006427969698</v>
      </c>
      <c r="M8745" s="43">
        <v>11.500435161009573</v>
      </c>
      <c r="N8745" s="43">
        <v>5.2489740895044354</v>
      </c>
      <c r="O8745" s="43">
        <v>6.6812095032397405</v>
      </c>
      <c r="P8745" s="223"/>
      <c r="Q8745" s="223"/>
      <c r="R8745" s="223">
        <v>2</v>
      </c>
    </row>
    <row r="8746" spans="1:18" ht="48">
      <c r="A8746" s="219">
        <v>1505</v>
      </c>
      <c r="B8746" s="216" t="s">
        <v>16096</v>
      </c>
      <c r="C8746" s="220" t="s">
        <v>16097</v>
      </c>
      <c r="D8746" s="221">
        <v>7380.9</v>
      </c>
      <c r="E8746" s="221">
        <v>3561.9</v>
      </c>
      <c r="F8746" s="221">
        <v>3493.91</v>
      </c>
      <c r="G8746" s="221">
        <v>325.08999999999997</v>
      </c>
      <c r="H8746" s="222">
        <v>61502.9</v>
      </c>
      <c r="I8746" s="222">
        <v>40963.4</v>
      </c>
      <c r="J8746" s="222">
        <v>18378.849999999999</v>
      </c>
      <c r="K8746" s="222">
        <v>2160.65</v>
      </c>
      <c r="L8746" s="43">
        <v>8.3327101031039579</v>
      </c>
      <c r="M8746" s="43">
        <v>11.500435161009573</v>
      </c>
      <c r="N8746" s="43">
        <v>5.2602528399414981</v>
      </c>
      <c r="O8746" s="43">
        <v>6.6463133286166913</v>
      </c>
      <c r="P8746" s="223"/>
      <c r="Q8746" s="223"/>
      <c r="R8746" s="223">
        <v>2</v>
      </c>
    </row>
    <row r="8747" spans="1:18" ht="12.75" customHeight="1">
      <c r="A8747" s="628" t="s">
        <v>16098</v>
      </c>
      <c r="B8747" s="629"/>
      <c r="C8747" s="629"/>
      <c r="D8747" s="629"/>
      <c r="E8747" s="629"/>
      <c r="F8747" s="629"/>
      <c r="G8747" s="629"/>
      <c r="H8747" s="629"/>
      <c r="I8747" s="629"/>
      <c r="J8747" s="629"/>
      <c r="K8747" s="629"/>
      <c r="L8747" s="629"/>
      <c r="M8747" s="629"/>
      <c r="N8747" s="629"/>
      <c r="O8747" s="629"/>
      <c r="P8747" s="629"/>
      <c r="Q8747" s="629"/>
      <c r="R8747" s="629"/>
    </row>
    <row r="8748" spans="1:18" ht="36">
      <c r="A8748" s="219">
        <v>1506</v>
      </c>
      <c r="B8748" s="216" t="s">
        <v>16099</v>
      </c>
      <c r="C8748" s="220" t="s">
        <v>16100</v>
      </c>
      <c r="D8748" s="221">
        <v>25083.919999999998</v>
      </c>
      <c r="E8748" s="221">
        <v>19027.439999999999</v>
      </c>
      <c r="F8748" s="221">
        <v>4951</v>
      </c>
      <c r="G8748" s="221">
        <v>1105.48</v>
      </c>
      <c r="H8748" s="222">
        <v>252911.45</v>
      </c>
      <c r="I8748" s="222">
        <v>218823.84</v>
      </c>
      <c r="J8748" s="222">
        <v>25941.439999999999</v>
      </c>
      <c r="K8748" s="222">
        <v>8146.17</v>
      </c>
      <c r="L8748" s="43">
        <v>10.082612685736521</v>
      </c>
      <c r="M8748" s="43">
        <v>11.500435161009575</v>
      </c>
      <c r="N8748" s="43">
        <v>5.2396364370834174</v>
      </c>
      <c r="O8748" s="43">
        <v>7.3688985779932699</v>
      </c>
      <c r="P8748" s="223"/>
      <c r="Q8748" s="223"/>
      <c r="R8748" s="223">
        <v>3</v>
      </c>
    </row>
    <row r="8749" spans="1:18" ht="36">
      <c r="A8749" s="219">
        <v>1507</v>
      </c>
      <c r="B8749" s="216" t="s">
        <v>16101</v>
      </c>
      <c r="C8749" s="220" t="s">
        <v>16102</v>
      </c>
      <c r="D8749" s="221">
        <v>28176.91</v>
      </c>
      <c r="E8749" s="221">
        <v>20704.98</v>
      </c>
      <c r="F8749" s="221">
        <v>6205.17</v>
      </c>
      <c r="G8749" s="221">
        <v>1266.76</v>
      </c>
      <c r="H8749" s="222">
        <v>280606.28000000003</v>
      </c>
      <c r="I8749" s="222">
        <v>238116.28</v>
      </c>
      <c r="J8749" s="222">
        <v>32690.44</v>
      </c>
      <c r="K8749" s="222">
        <v>9799.56</v>
      </c>
      <c r="L8749" s="43">
        <v>9.9587314577787289</v>
      </c>
      <c r="M8749" s="43">
        <v>11.500435161009573</v>
      </c>
      <c r="N8749" s="43">
        <v>5.2682585650352847</v>
      </c>
      <c r="O8749" s="43">
        <v>7.735924721336322</v>
      </c>
      <c r="P8749" s="223"/>
      <c r="Q8749" s="223"/>
      <c r="R8749" s="223">
        <v>3</v>
      </c>
    </row>
    <row r="8750" spans="1:18" ht="36">
      <c r="A8750" s="219">
        <v>1508</v>
      </c>
      <c r="B8750" s="216" t="s">
        <v>16103</v>
      </c>
      <c r="C8750" s="220" t="s">
        <v>16104</v>
      </c>
      <c r="D8750" s="221">
        <v>33329.07</v>
      </c>
      <c r="E8750" s="221">
        <v>22095.27</v>
      </c>
      <c r="F8750" s="221">
        <v>8886.9500000000007</v>
      </c>
      <c r="G8750" s="221">
        <v>2346.85</v>
      </c>
      <c r="H8750" s="222">
        <v>316272.58</v>
      </c>
      <c r="I8750" s="222">
        <v>254105.22</v>
      </c>
      <c r="J8750" s="222">
        <v>47129.19</v>
      </c>
      <c r="K8750" s="222">
        <v>15038.17</v>
      </c>
      <c r="L8750" s="43">
        <v>9.4893910931208101</v>
      </c>
      <c r="M8750" s="43">
        <v>11.500435161009573</v>
      </c>
      <c r="N8750" s="43">
        <v>5.3031906334569223</v>
      </c>
      <c r="O8750" s="43">
        <v>6.4078104693525368</v>
      </c>
      <c r="P8750" s="223"/>
      <c r="Q8750" s="223"/>
      <c r="R8750" s="223">
        <v>3</v>
      </c>
    </row>
    <row r="8751" spans="1:18" ht="36">
      <c r="A8751" s="219">
        <v>1509</v>
      </c>
      <c r="B8751" s="216" t="s">
        <v>16105</v>
      </c>
      <c r="C8751" s="220" t="s">
        <v>16106</v>
      </c>
      <c r="D8751" s="221">
        <v>38965.370000000003</v>
      </c>
      <c r="E8751" s="221">
        <v>25760.58</v>
      </c>
      <c r="F8751" s="221">
        <v>9781.73</v>
      </c>
      <c r="G8751" s="221">
        <v>3423.06</v>
      </c>
      <c r="H8751" s="222">
        <v>369206.29</v>
      </c>
      <c r="I8751" s="222">
        <v>296257.88</v>
      </c>
      <c r="J8751" s="222">
        <v>51850.98</v>
      </c>
      <c r="K8751" s="222">
        <v>21097.43</v>
      </c>
      <c r="L8751" s="43">
        <v>9.4752414772399174</v>
      </c>
      <c r="M8751" s="43">
        <v>11.500435161009573</v>
      </c>
      <c r="N8751" s="43">
        <v>5.3007985295034725</v>
      </c>
      <c r="O8751" s="43">
        <v>6.163324627672317</v>
      </c>
      <c r="P8751" s="223"/>
      <c r="Q8751" s="223"/>
      <c r="R8751" s="223">
        <v>3</v>
      </c>
    </row>
    <row r="8752" spans="1:18" ht="12.75" customHeight="1">
      <c r="A8752" s="628" t="s">
        <v>16107</v>
      </c>
      <c r="B8752" s="629"/>
      <c r="C8752" s="629"/>
      <c r="D8752" s="629"/>
      <c r="E8752" s="629"/>
      <c r="F8752" s="629"/>
      <c r="G8752" s="629"/>
      <c r="H8752" s="629"/>
      <c r="I8752" s="629"/>
      <c r="J8752" s="629"/>
      <c r="K8752" s="629"/>
      <c r="L8752" s="629"/>
      <c r="M8752" s="629"/>
      <c r="N8752" s="629"/>
      <c r="O8752" s="629"/>
      <c r="P8752" s="629"/>
      <c r="Q8752" s="629"/>
      <c r="R8752" s="629"/>
    </row>
    <row r="8753" spans="1:18" ht="60">
      <c r="A8753" s="219">
        <v>1510</v>
      </c>
      <c r="B8753" s="216" t="s">
        <v>16108</v>
      </c>
      <c r="C8753" s="220" t="s">
        <v>16109</v>
      </c>
      <c r="D8753" s="221">
        <v>31035.88</v>
      </c>
      <c r="E8753" s="221">
        <v>22405.5</v>
      </c>
      <c r="F8753" s="221">
        <v>6808.2</v>
      </c>
      <c r="G8753" s="221">
        <v>1822.18</v>
      </c>
      <c r="H8753" s="222">
        <v>307281.87</v>
      </c>
      <c r="I8753" s="222">
        <v>257673</v>
      </c>
      <c r="J8753" s="222">
        <v>36034.14</v>
      </c>
      <c r="K8753" s="222">
        <v>13574.73</v>
      </c>
      <c r="L8753" s="43">
        <v>9.9008589413285524</v>
      </c>
      <c r="M8753" s="43">
        <v>11.500435161009573</v>
      </c>
      <c r="N8753" s="43">
        <v>5.2927557944831234</v>
      </c>
      <c r="O8753" s="43">
        <v>7.4497195666728855</v>
      </c>
      <c r="P8753" s="223"/>
      <c r="Q8753" s="223"/>
      <c r="R8753" s="223">
        <v>4</v>
      </c>
    </row>
    <row r="8754" spans="1:18" ht="48">
      <c r="A8754" s="219">
        <v>1511</v>
      </c>
      <c r="B8754" s="216" t="s">
        <v>16110</v>
      </c>
      <c r="C8754" s="220" t="s">
        <v>16111</v>
      </c>
      <c r="D8754" s="221">
        <v>32322.02</v>
      </c>
      <c r="E8754" s="221">
        <v>23554.5</v>
      </c>
      <c r="F8754" s="221">
        <v>7277.67</v>
      </c>
      <c r="G8754" s="221">
        <v>1489.85</v>
      </c>
      <c r="H8754" s="222">
        <v>320542.11</v>
      </c>
      <c r="I8754" s="222">
        <v>270887</v>
      </c>
      <c r="J8754" s="222">
        <v>38422.94</v>
      </c>
      <c r="K8754" s="222">
        <v>11232.17</v>
      </c>
      <c r="L8754" s="43">
        <v>9.9171434829877576</v>
      </c>
      <c r="M8754" s="43">
        <v>11.500435161009573</v>
      </c>
      <c r="N8754" s="43">
        <v>5.2795661248723835</v>
      </c>
      <c r="O8754" s="43">
        <v>7.5391281001443105</v>
      </c>
      <c r="P8754" s="223"/>
      <c r="Q8754" s="223"/>
      <c r="R8754" s="223">
        <v>4</v>
      </c>
    </row>
    <row r="8755" spans="1:18" ht="12.75" customHeight="1">
      <c r="A8755" s="628" t="s">
        <v>16112</v>
      </c>
      <c r="B8755" s="629"/>
      <c r="C8755" s="629"/>
      <c r="D8755" s="629"/>
      <c r="E8755" s="629"/>
      <c r="F8755" s="629"/>
      <c r="G8755" s="629"/>
      <c r="H8755" s="629"/>
      <c r="I8755" s="629"/>
      <c r="J8755" s="629"/>
      <c r="K8755" s="629"/>
      <c r="L8755" s="629"/>
      <c r="M8755" s="629"/>
      <c r="N8755" s="629"/>
      <c r="O8755" s="629"/>
      <c r="P8755" s="629"/>
      <c r="Q8755" s="629"/>
      <c r="R8755" s="629"/>
    </row>
    <row r="8756" spans="1:18" ht="24">
      <c r="A8756" s="219">
        <v>1512</v>
      </c>
      <c r="B8756" s="216" t="s">
        <v>16113</v>
      </c>
      <c r="C8756" s="220" t="s">
        <v>16114</v>
      </c>
      <c r="D8756" s="221">
        <v>638.85</v>
      </c>
      <c r="E8756" s="221">
        <v>513.6</v>
      </c>
      <c r="F8756" s="221">
        <v>10.5</v>
      </c>
      <c r="G8756" s="221">
        <v>114.75</v>
      </c>
      <c r="H8756" s="222">
        <v>6515.05</v>
      </c>
      <c r="I8756" s="222">
        <v>5906.66</v>
      </c>
      <c r="J8756" s="222">
        <v>56.71</v>
      </c>
      <c r="K8756" s="222">
        <v>551.67999999999995</v>
      </c>
      <c r="L8756" s="43">
        <v>10.198090318541128</v>
      </c>
      <c r="M8756" s="43">
        <v>11.500506230529595</v>
      </c>
      <c r="N8756" s="43">
        <v>5.4009523809523809</v>
      </c>
      <c r="O8756" s="43">
        <v>4.807668845315904</v>
      </c>
      <c r="P8756" s="223"/>
      <c r="Q8756" s="223"/>
      <c r="R8756" s="223">
        <v>5</v>
      </c>
    </row>
    <row r="8757" spans="1:18" ht="36">
      <c r="A8757" s="219">
        <v>1513</v>
      </c>
      <c r="B8757" s="216" t="s">
        <v>16115</v>
      </c>
      <c r="C8757" s="220" t="s">
        <v>16116</v>
      </c>
      <c r="D8757" s="221">
        <v>776.84</v>
      </c>
      <c r="E8757" s="221">
        <v>651.48</v>
      </c>
      <c r="F8757" s="221">
        <v>7.85</v>
      </c>
      <c r="G8757" s="221">
        <v>117.51</v>
      </c>
      <c r="H8757" s="222">
        <v>8118.21</v>
      </c>
      <c r="I8757" s="222">
        <v>7492.34</v>
      </c>
      <c r="J8757" s="222">
        <v>42.45</v>
      </c>
      <c r="K8757" s="222">
        <v>583.41999999999996</v>
      </c>
      <c r="L8757" s="43">
        <v>10.450298645795788</v>
      </c>
      <c r="M8757" s="43">
        <v>11.500491189292074</v>
      </c>
      <c r="N8757" s="43">
        <v>5.4076433121019116</v>
      </c>
      <c r="O8757" s="43">
        <v>4.9648540549740439</v>
      </c>
      <c r="P8757" s="223"/>
      <c r="Q8757" s="223"/>
      <c r="R8757" s="223">
        <v>5</v>
      </c>
    </row>
    <row r="8758" spans="1:18" ht="36">
      <c r="A8758" s="219">
        <v>1514</v>
      </c>
      <c r="B8758" s="216" t="s">
        <v>16117</v>
      </c>
      <c r="C8758" s="220" t="s">
        <v>16118</v>
      </c>
      <c r="D8758" s="221">
        <v>636.20000000000005</v>
      </c>
      <c r="E8758" s="221">
        <v>513.6</v>
      </c>
      <c r="F8758" s="221">
        <v>7.85</v>
      </c>
      <c r="G8758" s="221">
        <v>114.75</v>
      </c>
      <c r="H8758" s="222">
        <v>6500.79</v>
      </c>
      <c r="I8758" s="222">
        <v>5906.66</v>
      </c>
      <c r="J8758" s="222">
        <v>42.45</v>
      </c>
      <c r="K8758" s="222">
        <v>551.67999999999995</v>
      </c>
      <c r="L8758" s="43">
        <v>10.218154668343287</v>
      </c>
      <c r="M8758" s="43">
        <v>11.500506230529595</v>
      </c>
      <c r="N8758" s="43">
        <v>5.4076433121019116</v>
      </c>
      <c r="O8758" s="43">
        <v>4.807668845315904</v>
      </c>
      <c r="P8758" s="223"/>
      <c r="Q8758" s="223"/>
      <c r="R8758" s="223">
        <v>5</v>
      </c>
    </row>
    <row r="8759" spans="1:18" ht="36">
      <c r="A8759" s="219">
        <v>1515</v>
      </c>
      <c r="B8759" s="216" t="s">
        <v>16119</v>
      </c>
      <c r="C8759" s="220" t="s">
        <v>16120</v>
      </c>
      <c r="D8759" s="221">
        <v>917.72</v>
      </c>
      <c r="E8759" s="221">
        <v>776.72</v>
      </c>
      <c r="F8759" s="221">
        <v>20.99</v>
      </c>
      <c r="G8759" s="221">
        <v>120.01</v>
      </c>
      <c r="H8759" s="222">
        <v>9658.25</v>
      </c>
      <c r="I8759" s="222">
        <v>8932.66</v>
      </c>
      <c r="J8759" s="222">
        <v>113.42</v>
      </c>
      <c r="K8759" s="222">
        <v>612.16999999999996</v>
      </c>
      <c r="L8759" s="43">
        <v>10.524179488297083</v>
      </c>
      <c r="M8759" s="43">
        <v>11.500489236790607</v>
      </c>
      <c r="N8759" s="43">
        <v>5.4035254883277757</v>
      </c>
      <c r="O8759" s="43">
        <v>5.1009915840346629</v>
      </c>
      <c r="P8759" s="223"/>
      <c r="Q8759" s="223"/>
      <c r="R8759" s="223">
        <v>5</v>
      </c>
    </row>
    <row r="8760" spans="1:18" ht="36">
      <c r="A8760" s="219">
        <v>1516</v>
      </c>
      <c r="B8760" s="216" t="s">
        <v>16121</v>
      </c>
      <c r="C8760" s="220" t="s">
        <v>16122</v>
      </c>
      <c r="D8760" s="221">
        <v>1105.57</v>
      </c>
      <c r="E8760" s="221">
        <v>901.97</v>
      </c>
      <c r="F8760" s="221">
        <v>28.85</v>
      </c>
      <c r="G8760" s="221">
        <v>174.75</v>
      </c>
      <c r="H8760" s="222">
        <v>11386.67</v>
      </c>
      <c r="I8760" s="222">
        <v>10372.99</v>
      </c>
      <c r="J8760" s="222">
        <v>155.87</v>
      </c>
      <c r="K8760" s="222">
        <v>857.81</v>
      </c>
      <c r="L8760" s="43">
        <v>10.299365937932469</v>
      </c>
      <c r="M8760" s="43">
        <v>11.500371409248643</v>
      </c>
      <c r="N8760" s="43">
        <v>5.4027729636048525</v>
      </c>
      <c r="O8760" s="43">
        <v>4.9087839771101569</v>
      </c>
      <c r="P8760" s="223"/>
      <c r="Q8760" s="223"/>
      <c r="R8760" s="223">
        <v>5</v>
      </c>
    </row>
    <row r="8761" spans="1:18" ht="36">
      <c r="A8761" s="219">
        <v>1517</v>
      </c>
      <c r="B8761" s="216" t="s">
        <v>16123</v>
      </c>
      <c r="C8761" s="220" t="s">
        <v>16124</v>
      </c>
      <c r="D8761" s="221">
        <v>1246.52</v>
      </c>
      <c r="E8761" s="221">
        <v>1027.21</v>
      </c>
      <c r="F8761" s="221">
        <v>42.06</v>
      </c>
      <c r="G8761" s="221">
        <v>177.25</v>
      </c>
      <c r="H8761" s="222">
        <v>12927.03</v>
      </c>
      <c r="I8761" s="222">
        <v>11813.32</v>
      </c>
      <c r="J8761" s="222">
        <v>227.15</v>
      </c>
      <c r="K8761" s="222">
        <v>886.56</v>
      </c>
      <c r="L8761" s="43">
        <v>10.370495459358855</v>
      </c>
      <c r="M8761" s="43">
        <v>11.500394271862618</v>
      </c>
      <c r="N8761" s="43">
        <v>5.4006181645268665</v>
      </c>
      <c r="O8761" s="43">
        <v>5.0017489421720729</v>
      </c>
      <c r="P8761" s="223"/>
      <c r="Q8761" s="223"/>
      <c r="R8761" s="223">
        <v>5</v>
      </c>
    </row>
    <row r="8762" spans="1:18" ht="24">
      <c r="A8762" s="219">
        <v>1518</v>
      </c>
      <c r="B8762" s="216" t="s">
        <v>16125</v>
      </c>
      <c r="C8762" s="220" t="s">
        <v>16126</v>
      </c>
      <c r="D8762" s="221">
        <v>2839.95</v>
      </c>
      <c r="E8762" s="221">
        <v>2252.04</v>
      </c>
      <c r="F8762" s="221">
        <v>292.01</v>
      </c>
      <c r="G8762" s="221">
        <v>295.89999999999998</v>
      </c>
      <c r="H8762" s="222">
        <v>29152.73</v>
      </c>
      <c r="I8762" s="222">
        <v>25899.439999999999</v>
      </c>
      <c r="J8762" s="222">
        <v>1560.16</v>
      </c>
      <c r="K8762" s="222">
        <v>1693.13</v>
      </c>
      <c r="L8762" s="43">
        <v>10.265226500466557</v>
      </c>
      <c r="M8762" s="43">
        <v>11.500435161009573</v>
      </c>
      <c r="N8762" s="43">
        <v>5.3428307249751725</v>
      </c>
      <c r="O8762" s="43">
        <v>5.7219668807029409</v>
      </c>
      <c r="P8762" s="223"/>
      <c r="Q8762" s="223"/>
      <c r="R8762" s="223">
        <v>5</v>
      </c>
    </row>
    <row r="8763" spans="1:18" ht="24">
      <c r="A8763" s="219">
        <v>1519</v>
      </c>
      <c r="B8763" s="216" t="s">
        <v>16127</v>
      </c>
      <c r="C8763" s="220" t="s">
        <v>16128</v>
      </c>
      <c r="D8763" s="221">
        <v>3613.24</v>
      </c>
      <c r="E8763" s="221">
        <v>2757.6</v>
      </c>
      <c r="F8763" s="221">
        <v>425.4</v>
      </c>
      <c r="G8763" s="221">
        <v>430.24</v>
      </c>
      <c r="H8763" s="222">
        <v>36424.870000000003</v>
      </c>
      <c r="I8763" s="222">
        <v>31713.599999999999</v>
      </c>
      <c r="J8763" s="222">
        <v>2278.48</v>
      </c>
      <c r="K8763" s="222">
        <v>2432.79</v>
      </c>
      <c r="L8763" s="43">
        <v>10.080943972722544</v>
      </c>
      <c r="M8763" s="43">
        <v>11.500435161009573</v>
      </c>
      <c r="N8763" s="43">
        <v>5.356088387400094</v>
      </c>
      <c r="O8763" s="43">
        <v>5.6544951654890294</v>
      </c>
      <c r="P8763" s="223"/>
      <c r="Q8763" s="223"/>
      <c r="R8763" s="223">
        <v>5</v>
      </c>
    </row>
    <row r="8764" spans="1:18" ht="24">
      <c r="A8764" s="219">
        <v>1520</v>
      </c>
      <c r="B8764" s="216" t="s">
        <v>16129</v>
      </c>
      <c r="C8764" s="220" t="s">
        <v>16130</v>
      </c>
      <c r="D8764" s="221">
        <v>5406.3</v>
      </c>
      <c r="E8764" s="221">
        <v>3378.06</v>
      </c>
      <c r="F8764" s="221">
        <v>1748.56</v>
      </c>
      <c r="G8764" s="221">
        <v>279.68</v>
      </c>
      <c r="H8764" s="222">
        <v>49975.91</v>
      </c>
      <c r="I8764" s="222">
        <v>38849.160000000003</v>
      </c>
      <c r="J8764" s="222">
        <v>9403.94</v>
      </c>
      <c r="K8764" s="222">
        <v>1722.81</v>
      </c>
      <c r="L8764" s="43">
        <v>9.244013465771415</v>
      </c>
      <c r="M8764" s="43">
        <v>11.500435161009575</v>
      </c>
      <c r="N8764" s="43">
        <v>5.3781054124536762</v>
      </c>
      <c r="O8764" s="43">
        <v>6.1599327803203661</v>
      </c>
      <c r="P8764" s="223"/>
      <c r="Q8764" s="223"/>
      <c r="R8764" s="223">
        <v>5</v>
      </c>
    </row>
    <row r="8765" spans="1:18" ht="24">
      <c r="A8765" s="219">
        <v>1521</v>
      </c>
      <c r="B8765" s="216" t="s">
        <v>16131</v>
      </c>
      <c r="C8765" s="220" t="s">
        <v>16132</v>
      </c>
      <c r="D8765" s="221">
        <v>740.67</v>
      </c>
      <c r="E8765" s="221">
        <v>513.6</v>
      </c>
      <c r="F8765" s="221">
        <v>7.85</v>
      </c>
      <c r="G8765" s="221">
        <v>219.22</v>
      </c>
      <c r="H8765" s="222">
        <v>6934.34</v>
      </c>
      <c r="I8765" s="222">
        <v>5906.66</v>
      </c>
      <c r="J8765" s="222">
        <v>42.45</v>
      </c>
      <c r="K8765" s="222">
        <v>985.23</v>
      </c>
      <c r="L8765" s="43">
        <v>9.3622530951705887</v>
      </c>
      <c r="M8765" s="43">
        <v>11.500506230529595</v>
      </c>
      <c r="N8765" s="43">
        <v>5.4076433121019116</v>
      </c>
      <c r="O8765" s="43">
        <v>4.4942523492382085</v>
      </c>
      <c r="P8765" s="223"/>
      <c r="Q8765" s="223"/>
      <c r="R8765" s="223">
        <v>5</v>
      </c>
    </row>
    <row r="8766" spans="1:18" ht="24">
      <c r="A8766" s="219">
        <v>1522</v>
      </c>
      <c r="B8766" s="216" t="s">
        <v>16133</v>
      </c>
      <c r="C8766" s="220" t="s">
        <v>16134</v>
      </c>
      <c r="D8766" s="221">
        <v>936.2</v>
      </c>
      <c r="E8766" s="221">
        <v>651.48</v>
      </c>
      <c r="F8766" s="221">
        <v>10.5</v>
      </c>
      <c r="G8766" s="221">
        <v>274.22000000000003</v>
      </c>
      <c r="H8766" s="222">
        <v>8782.81</v>
      </c>
      <c r="I8766" s="222">
        <v>7492.34</v>
      </c>
      <c r="J8766" s="222">
        <v>56.71</v>
      </c>
      <c r="K8766" s="222">
        <v>1233.76</v>
      </c>
      <c r="L8766" s="43">
        <v>9.3813394573808999</v>
      </c>
      <c r="M8766" s="43">
        <v>11.500491189292074</v>
      </c>
      <c r="N8766" s="43">
        <v>5.4009523809523809</v>
      </c>
      <c r="O8766" s="43">
        <v>4.4991612573845812</v>
      </c>
      <c r="P8766" s="223"/>
      <c r="Q8766" s="223"/>
      <c r="R8766" s="223">
        <v>5</v>
      </c>
    </row>
    <row r="8767" spans="1:18" ht="12.75" customHeight="1">
      <c r="A8767" s="628" t="s">
        <v>16135</v>
      </c>
      <c r="B8767" s="629"/>
      <c r="C8767" s="629"/>
      <c r="D8767" s="629"/>
      <c r="E8767" s="629"/>
      <c r="F8767" s="629"/>
      <c r="G8767" s="629"/>
      <c r="H8767" s="629"/>
      <c r="I8767" s="629"/>
      <c r="J8767" s="629"/>
      <c r="K8767" s="629"/>
      <c r="L8767" s="629"/>
      <c r="M8767" s="629"/>
      <c r="N8767" s="629"/>
      <c r="O8767" s="629"/>
      <c r="P8767" s="629"/>
      <c r="Q8767" s="629"/>
      <c r="R8767" s="629"/>
    </row>
    <row r="8768" spans="1:18" ht="24">
      <c r="A8768" s="219">
        <v>1523</v>
      </c>
      <c r="B8768" s="216" t="s">
        <v>16136</v>
      </c>
      <c r="C8768" s="220" t="s">
        <v>16137</v>
      </c>
      <c r="D8768" s="221">
        <v>3227.57</v>
      </c>
      <c r="E8768" s="221">
        <v>2585.25</v>
      </c>
      <c r="F8768" s="221">
        <v>130.88999999999999</v>
      </c>
      <c r="G8768" s="221">
        <v>511.43</v>
      </c>
      <c r="H8768" s="222">
        <v>32656.41</v>
      </c>
      <c r="I8768" s="222">
        <v>29731.5</v>
      </c>
      <c r="J8768" s="222">
        <v>698.64</v>
      </c>
      <c r="K8768" s="222">
        <v>2226.27</v>
      </c>
      <c r="L8768" s="43">
        <v>10.117955613666009</v>
      </c>
      <c r="M8768" s="43">
        <v>11.500435161009573</v>
      </c>
      <c r="N8768" s="43">
        <v>5.3376117350446943</v>
      </c>
      <c r="O8768" s="43">
        <v>4.353029740140391</v>
      </c>
      <c r="P8768" s="223"/>
      <c r="Q8768" s="223"/>
      <c r="R8768" s="223">
        <v>6</v>
      </c>
    </row>
    <row r="8769" spans="1:18" ht="24">
      <c r="A8769" s="219">
        <v>1524</v>
      </c>
      <c r="B8769" s="216" t="s">
        <v>16138</v>
      </c>
      <c r="C8769" s="220" t="s">
        <v>16139</v>
      </c>
      <c r="D8769" s="221">
        <v>1550.05</v>
      </c>
      <c r="E8769" s="221">
        <v>1286.8800000000001</v>
      </c>
      <c r="F8769" s="221">
        <v>128.28</v>
      </c>
      <c r="G8769" s="221">
        <v>134.88999999999999</v>
      </c>
      <c r="H8769" s="222">
        <v>16358.33</v>
      </c>
      <c r="I8769" s="222">
        <v>14799.68</v>
      </c>
      <c r="J8769" s="222">
        <v>682.28</v>
      </c>
      <c r="K8769" s="222">
        <v>876.37</v>
      </c>
      <c r="L8769" s="43">
        <v>10.553420857391698</v>
      </c>
      <c r="M8769" s="43">
        <v>11.500435161009573</v>
      </c>
      <c r="N8769" s="43">
        <v>5.3186778921110065</v>
      </c>
      <c r="O8769" s="43">
        <v>6.4969234190822158</v>
      </c>
      <c r="P8769" s="223"/>
      <c r="Q8769" s="223"/>
      <c r="R8769" s="223">
        <v>6</v>
      </c>
    </row>
    <row r="8770" spans="1:18" ht="24">
      <c r="A8770" s="219">
        <v>1525</v>
      </c>
      <c r="B8770" s="216" t="s">
        <v>16140</v>
      </c>
      <c r="C8770" s="220" t="s">
        <v>16141</v>
      </c>
      <c r="D8770" s="221">
        <v>4659.42</v>
      </c>
      <c r="E8770" s="221">
        <v>4136.3999999999996</v>
      </c>
      <c r="F8770" s="221">
        <v>31.49</v>
      </c>
      <c r="G8770" s="221">
        <v>491.53</v>
      </c>
      <c r="H8770" s="222">
        <v>50171.97</v>
      </c>
      <c r="I8770" s="222">
        <v>47570.400000000001</v>
      </c>
      <c r="J8770" s="222">
        <v>170.13</v>
      </c>
      <c r="K8770" s="222">
        <v>2431.44</v>
      </c>
      <c r="L8770" s="43">
        <v>10.767857372806057</v>
      </c>
      <c r="M8770" s="43">
        <v>11.500435161009575</v>
      </c>
      <c r="N8770" s="43">
        <v>5.4026675134963478</v>
      </c>
      <c r="O8770" s="43">
        <v>4.9466767033548313</v>
      </c>
      <c r="P8770" s="223"/>
      <c r="Q8770" s="223"/>
      <c r="R8770" s="223">
        <v>6</v>
      </c>
    </row>
    <row r="8771" spans="1:18" ht="12.75" customHeight="1">
      <c r="A8771" s="628" t="s">
        <v>11323</v>
      </c>
      <c r="B8771" s="629"/>
      <c r="C8771" s="629"/>
      <c r="D8771" s="629"/>
      <c r="E8771" s="629"/>
      <c r="F8771" s="629"/>
      <c r="G8771" s="629"/>
      <c r="H8771" s="629"/>
      <c r="I8771" s="629"/>
      <c r="J8771" s="629"/>
      <c r="K8771" s="629"/>
      <c r="L8771" s="629"/>
      <c r="M8771" s="629"/>
      <c r="N8771" s="629"/>
      <c r="O8771" s="629"/>
      <c r="P8771" s="629"/>
      <c r="Q8771" s="629"/>
      <c r="R8771" s="629"/>
    </row>
    <row r="8772" spans="1:18" ht="24">
      <c r="A8772" s="219">
        <v>1526</v>
      </c>
      <c r="B8772" s="216" t="s">
        <v>16142</v>
      </c>
      <c r="C8772" s="220" t="s">
        <v>16143</v>
      </c>
      <c r="D8772" s="221">
        <v>949.03</v>
      </c>
      <c r="E8772" s="221">
        <v>503.26</v>
      </c>
      <c r="F8772" s="221">
        <v>435.7</v>
      </c>
      <c r="G8772" s="221">
        <v>10.07</v>
      </c>
      <c r="H8772" s="222">
        <v>8187.54</v>
      </c>
      <c r="I8772" s="222">
        <v>5787.73</v>
      </c>
      <c r="J8772" s="222">
        <v>2284</v>
      </c>
      <c r="K8772" s="222">
        <v>115.81</v>
      </c>
      <c r="L8772" s="43">
        <v>8.627272056731611</v>
      </c>
      <c r="M8772" s="43">
        <v>11.500476890672813</v>
      </c>
      <c r="N8772" s="43">
        <v>5.2421390865274269</v>
      </c>
      <c r="O8772" s="43">
        <v>11.500496524329693</v>
      </c>
      <c r="P8772" s="223"/>
      <c r="Q8772" s="223"/>
      <c r="R8772" s="223">
        <v>7</v>
      </c>
    </row>
    <row r="8773" spans="1:18" ht="24">
      <c r="A8773" s="224">
        <v>1527</v>
      </c>
      <c r="B8773" s="225" t="s">
        <v>16144</v>
      </c>
      <c r="C8773" s="226" t="s">
        <v>16145</v>
      </c>
      <c r="D8773" s="227">
        <v>998.92</v>
      </c>
      <c r="E8773" s="227">
        <v>476.84</v>
      </c>
      <c r="F8773" s="227">
        <v>512.54</v>
      </c>
      <c r="G8773" s="227">
        <v>9.5399999999999991</v>
      </c>
      <c r="H8773" s="228">
        <v>8255.52</v>
      </c>
      <c r="I8773" s="228">
        <v>5483.81</v>
      </c>
      <c r="J8773" s="228">
        <v>2662</v>
      </c>
      <c r="K8773" s="228">
        <v>109.71</v>
      </c>
      <c r="L8773" s="611">
        <v>8.2644456012493492</v>
      </c>
      <c r="M8773" s="611">
        <v>11.500314570925259</v>
      </c>
      <c r="N8773" s="611">
        <v>5.1937409763140439</v>
      </c>
      <c r="O8773" s="611">
        <v>11.5</v>
      </c>
      <c r="P8773" s="229"/>
      <c r="Q8773" s="229"/>
      <c r="R8773" s="229">
        <v>7</v>
      </c>
    </row>
    <row r="8774" spans="1:18" ht="12.75" customHeight="1">
      <c r="A8774" s="630" t="s">
        <v>16146</v>
      </c>
      <c r="B8774" s="631"/>
      <c r="C8774" s="631"/>
      <c r="D8774" s="631"/>
      <c r="E8774" s="631"/>
      <c r="F8774" s="631"/>
      <c r="G8774" s="631"/>
      <c r="H8774" s="631"/>
      <c r="I8774" s="631"/>
      <c r="J8774" s="631"/>
      <c r="K8774" s="631"/>
      <c r="L8774" s="631"/>
      <c r="M8774" s="631"/>
      <c r="N8774" s="631"/>
      <c r="O8774" s="631"/>
      <c r="P8774" s="631"/>
      <c r="Q8774" s="631"/>
      <c r="R8774" s="631"/>
    </row>
    <row r="8775" spans="1:18" ht="12.75" customHeight="1">
      <c r="A8775" s="628" t="s">
        <v>16147</v>
      </c>
      <c r="B8775" s="629"/>
      <c r="C8775" s="629"/>
      <c r="D8775" s="629"/>
      <c r="E8775" s="629"/>
      <c r="F8775" s="629"/>
      <c r="G8775" s="629"/>
      <c r="H8775" s="629"/>
      <c r="I8775" s="629"/>
      <c r="J8775" s="629"/>
      <c r="K8775" s="629"/>
      <c r="L8775" s="629"/>
      <c r="M8775" s="629"/>
      <c r="N8775" s="629"/>
      <c r="O8775" s="629"/>
      <c r="P8775" s="629"/>
      <c r="Q8775" s="629"/>
      <c r="R8775" s="629"/>
    </row>
    <row r="8776" spans="1:18" ht="12.75" customHeight="1">
      <c r="A8776" s="628" t="s">
        <v>16148</v>
      </c>
      <c r="B8776" s="629"/>
      <c r="C8776" s="629"/>
      <c r="D8776" s="629"/>
      <c r="E8776" s="629"/>
      <c r="F8776" s="629"/>
      <c r="G8776" s="629"/>
      <c r="H8776" s="629"/>
      <c r="I8776" s="629"/>
      <c r="J8776" s="629"/>
      <c r="K8776" s="629"/>
      <c r="L8776" s="629"/>
      <c r="M8776" s="629"/>
      <c r="N8776" s="629"/>
      <c r="O8776" s="629"/>
      <c r="P8776" s="629"/>
      <c r="Q8776" s="629"/>
      <c r="R8776" s="629"/>
    </row>
    <row r="8777" spans="1:18" ht="36">
      <c r="A8777" s="219">
        <v>1528</v>
      </c>
      <c r="B8777" s="216" t="s">
        <v>16149</v>
      </c>
      <c r="C8777" s="220" t="s">
        <v>16150</v>
      </c>
      <c r="D8777" s="221">
        <v>1163.46</v>
      </c>
      <c r="E8777" s="221">
        <v>776.72</v>
      </c>
      <c r="F8777" s="221">
        <v>321.05</v>
      </c>
      <c r="G8777" s="221">
        <v>65.69</v>
      </c>
      <c r="H8777" s="222">
        <v>11124.86</v>
      </c>
      <c r="I8777" s="222">
        <v>8932.66</v>
      </c>
      <c r="J8777" s="222">
        <v>1707.5</v>
      </c>
      <c r="K8777" s="222">
        <v>484.7</v>
      </c>
      <c r="L8777" s="43">
        <v>9.5618757842985573</v>
      </c>
      <c r="M8777" s="43">
        <v>11.500489236790607</v>
      </c>
      <c r="N8777" s="43">
        <v>5.3184862171001397</v>
      </c>
      <c r="O8777" s="43">
        <v>7.3785964378139752</v>
      </c>
      <c r="P8777" s="223"/>
      <c r="Q8777" s="223"/>
      <c r="R8777" s="223">
        <v>1</v>
      </c>
    </row>
    <row r="8778" spans="1:18" ht="36">
      <c r="A8778" s="219">
        <v>1529</v>
      </c>
      <c r="B8778" s="216" t="s">
        <v>16151</v>
      </c>
      <c r="C8778" s="220" t="s">
        <v>16152</v>
      </c>
      <c r="D8778" s="221">
        <v>2208.8200000000002</v>
      </c>
      <c r="E8778" s="221">
        <v>1551.15</v>
      </c>
      <c r="F8778" s="221">
        <v>561.01</v>
      </c>
      <c r="G8778" s="221">
        <v>96.66</v>
      </c>
      <c r="H8778" s="222">
        <v>21579.25</v>
      </c>
      <c r="I8778" s="222">
        <v>17838.900000000001</v>
      </c>
      <c r="J8778" s="222">
        <v>2995</v>
      </c>
      <c r="K8778" s="222">
        <v>745.35</v>
      </c>
      <c r="L8778" s="43">
        <v>9.7695828541936418</v>
      </c>
      <c r="M8778" s="43">
        <v>11.500435161009573</v>
      </c>
      <c r="N8778" s="43">
        <v>5.3385857649596264</v>
      </c>
      <c r="O8778" s="43">
        <v>7.7110490378646812</v>
      </c>
      <c r="P8778" s="223"/>
      <c r="Q8778" s="223"/>
      <c r="R8778" s="223">
        <v>1</v>
      </c>
    </row>
    <row r="8779" spans="1:18" ht="36">
      <c r="A8779" s="219">
        <v>1530</v>
      </c>
      <c r="B8779" s="216" t="s">
        <v>16153</v>
      </c>
      <c r="C8779" s="220" t="s">
        <v>16154</v>
      </c>
      <c r="D8779" s="221">
        <v>3633.34</v>
      </c>
      <c r="E8779" s="221">
        <v>2378.4299999999998</v>
      </c>
      <c r="F8779" s="221">
        <v>1046</v>
      </c>
      <c r="G8779" s="221">
        <v>208.91</v>
      </c>
      <c r="H8779" s="222">
        <v>34480.18</v>
      </c>
      <c r="I8779" s="222">
        <v>27352.98</v>
      </c>
      <c r="J8779" s="222">
        <v>5612.11</v>
      </c>
      <c r="K8779" s="222">
        <v>1515.09</v>
      </c>
      <c r="L8779" s="43">
        <v>9.4899403854304847</v>
      </c>
      <c r="M8779" s="43">
        <v>11.500435161009575</v>
      </c>
      <c r="N8779" s="43">
        <v>5.3653059273422556</v>
      </c>
      <c r="O8779" s="43">
        <v>7.2523574745105543</v>
      </c>
      <c r="P8779" s="223"/>
      <c r="Q8779" s="223"/>
      <c r="R8779" s="223">
        <v>1</v>
      </c>
    </row>
    <row r="8780" spans="1:18" ht="36">
      <c r="A8780" s="219">
        <v>1531</v>
      </c>
      <c r="B8780" s="216" t="s">
        <v>16155</v>
      </c>
      <c r="C8780" s="220" t="s">
        <v>16156</v>
      </c>
      <c r="D8780" s="221">
        <v>5260.04</v>
      </c>
      <c r="E8780" s="221">
        <v>3136.77</v>
      </c>
      <c r="F8780" s="221">
        <v>1787.36</v>
      </c>
      <c r="G8780" s="221">
        <v>335.91</v>
      </c>
      <c r="H8780" s="222">
        <v>48015.99</v>
      </c>
      <c r="I8780" s="222">
        <v>36074.22</v>
      </c>
      <c r="J8780" s="222">
        <v>9594.18</v>
      </c>
      <c r="K8780" s="222">
        <v>2347.59</v>
      </c>
      <c r="L8780" s="43">
        <v>9.128445791286758</v>
      </c>
      <c r="M8780" s="43">
        <v>11.500435161009573</v>
      </c>
      <c r="N8780" s="43">
        <v>5.3677938411959545</v>
      </c>
      <c r="O8780" s="43">
        <v>6.9887469857997679</v>
      </c>
      <c r="P8780" s="223"/>
      <c r="Q8780" s="223"/>
      <c r="R8780" s="223">
        <v>1</v>
      </c>
    </row>
    <row r="8781" spans="1:18" ht="36">
      <c r="A8781" s="219">
        <v>1532</v>
      </c>
      <c r="B8781" s="216" t="s">
        <v>16157</v>
      </c>
      <c r="C8781" s="220" t="s">
        <v>16158</v>
      </c>
      <c r="D8781" s="221">
        <v>5930.62</v>
      </c>
      <c r="E8781" s="221">
        <v>3630.84</v>
      </c>
      <c r="F8781" s="221">
        <v>1953.99</v>
      </c>
      <c r="G8781" s="221">
        <v>345.79</v>
      </c>
      <c r="H8781" s="222">
        <v>54681.19</v>
      </c>
      <c r="I8781" s="222">
        <v>41756.239999999998</v>
      </c>
      <c r="J8781" s="222">
        <v>10463.74</v>
      </c>
      <c r="K8781" s="222">
        <v>2461.21</v>
      </c>
      <c r="L8781" s="43">
        <v>9.2201473033173595</v>
      </c>
      <c r="M8781" s="43">
        <v>11.500435161009573</v>
      </c>
      <c r="N8781" s="43">
        <v>5.3550632295968761</v>
      </c>
      <c r="O8781" s="43">
        <v>7.1176436565545558</v>
      </c>
      <c r="P8781" s="223"/>
      <c r="Q8781" s="223"/>
      <c r="R8781" s="223">
        <v>1</v>
      </c>
    </row>
    <row r="8782" spans="1:18" ht="36">
      <c r="A8782" s="219">
        <v>1533</v>
      </c>
      <c r="B8782" s="216" t="s">
        <v>16159</v>
      </c>
      <c r="C8782" s="220" t="s">
        <v>16160</v>
      </c>
      <c r="D8782" s="221">
        <v>7403.95</v>
      </c>
      <c r="E8782" s="221">
        <v>4389.18</v>
      </c>
      <c r="F8782" s="221">
        <v>2447.0700000000002</v>
      </c>
      <c r="G8782" s="221">
        <v>567.70000000000005</v>
      </c>
      <c r="H8782" s="222">
        <v>67384.3</v>
      </c>
      <c r="I8782" s="222">
        <v>50477.48</v>
      </c>
      <c r="J8782" s="222">
        <v>13125.39</v>
      </c>
      <c r="K8782" s="222">
        <v>3781.43</v>
      </c>
      <c r="L8782" s="43">
        <v>9.1011284517048345</v>
      </c>
      <c r="M8782" s="43">
        <v>11.500435161009573</v>
      </c>
      <c r="N8782" s="43">
        <v>5.3637166080251069</v>
      </c>
      <c r="O8782" s="43">
        <v>6.6609652985731893</v>
      </c>
      <c r="P8782" s="223"/>
      <c r="Q8782" s="223"/>
      <c r="R8782" s="223">
        <v>1</v>
      </c>
    </row>
    <row r="8783" spans="1:18" ht="36">
      <c r="A8783" s="219">
        <v>1534</v>
      </c>
      <c r="B8783" s="216" t="s">
        <v>16161</v>
      </c>
      <c r="C8783" s="220" t="s">
        <v>16162</v>
      </c>
      <c r="D8783" s="221">
        <v>10367.16</v>
      </c>
      <c r="E8783" s="221">
        <v>6181.62</v>
      </c>
      <c r="F8783" s="221">
        <v>3463.48</v>
      </c>
      <c r="G8783" s="221">
        <v>722.06</v>
      </c>
      <c r="H8783" s="222">
        <v>94634.89</v>
      </c>
      <c r="I8783" s="222">
        <v>71091.320000000007</v>
      </c>
      <c r="J8783" s="222">
        <v>18664.990000000002</v>
      </c>
      <c r="K8783" s="222">
        <v>4878.58</v>
      </c>
      <c r="L8783" s="43">
        <v>9.1283331211247827</v>
      </c>
      <c r="M8783" s="43">
        <v>11.500435161009575</v>
      </c>
      <c r="N8783" s="43">
        <v>5.3890855440193102</v>
      </c>
      <c r="O8783" s="43">
        <v>6.7564745312023939</v>
      </c>
      <c r="P8783" s="223"/>
      <c r="Q8783" s="223"/>
      <c r="R8783" s="223">
        <v>1</v>
      </c>
    </row>
    <row r="8784" spans="1:18" ht="36">
      <c r="A8784" s="219">
        <v>1535</v>
      </c>
      <c r="B8784" s="216" t="s">
        <v>16163</v>
      </c>
      <c r="C8784" s="220" t="s">
        <v>16164</v>
      </c>
      <c r="D8784" s="221">
        <v>12942.36</v>
      </c>
      <c r="E8784" s="221">
        <v>7893.63</v>
      </c>
      <c r="F8784" s="221">
        <v>4161.6099999999997</v>
      </c>
      <c r="G8784" s="221">
        <v>887.12</v>
      </c>
      <c r="H8784" s="222">
        <v>119284.09</v>
      </c>
      <c r="I8784" s="222">
        <v>90780.18</v>
      </c>
      <c r="J8784" s="222">
        <v>22422.52</v>
      </c>
      <c r="K8784" s="222">
        <v>6081.39</v>
      </c>
      <c r="L8784" s="43">
        <v>9.2165640578688883</v>
      </c>
      <c r="M8784" s="43">
        <v>11.500435161009573</v>
      </c>
      <c r="N8784" s="43">
        <v>5.38794360836311</v>
      </c>
      <c r="O8784" s="43">
        <v>6.8552056091622333</v>
      </c>
      <c r="P8784" s="223"/>
      <c r="Q8784" s="223"/>
      <c r="R8784" s="223">
        <v>1</v>
      </c>
    </row>
    <row r="8785" spans="1:18" ht="36">
      <c r="A8785" s="219">
        <v>1536</v>
      </c>
      <c r="B8785" s="216" t="s">
        <v>16165</v>
      </c>
      <c r="C8785" s="220" t="s">
        <v>16166</v>
      </c>
      <c r="D8785" s="221">
        <v>18899.64</v>
      </c>
      <c r="E8785" s="221">
        <v>11719.8</v>
      </c>
      <c r="F8785" s="221">
        <v>6054.23</v>
      </c>
      <c r="G8785" s="221">
        <v>1125.6099999999999</v>
      </c>
      <c r="H8785" s="222">
        <v>175138.16</v>
      </c>
      <c r="I8785" s="222">
        <v>134782.79999999999</v>
      </c>
      <c r="J8785" s="222">
        <v>32635.45</v>
      </c>
      <c r="K8785" s="222">
        <v>7719.91</v>
      </c>
      <c r="L8785" s="43">
        <v>9.266745821613533</v>
      </c>
      <c r="M8785" s="43">
        <v>11.500435161009573</v>
      </c>
      <c r="N8785" s="43">
        <v>5.3905203469309892</v>
      </c>
      <c r="O8785" s="43">
        <v>6.8584234326276423</v>
      </c>
      <c r="P8785" s="223"/>
      <c r="Q8785" s="223"/>
      <c r="R8785" s="223">
        <v>1</v>
      </c>
    </row>
    <row r="8786" spans="1:18" ht="36">
      <c r="A8786" s="219">
        <v>1537</v>
      </c>
      <c r="B8786" s="216" t="s">
        <v>16167</v>
      </c>
      <c r="C8786" s="220" t="s">
        <v>16168</v>
      </c>
      <c r="D8786" s="221">
        <v>20368.37</v>
      </c>
      <c r="E8786" s="221">
        <v>12179.4</v>
      </c>
      <c r="F8786" s="221">
        <v>6941.6</v>
      </c>
      <c r="G8786" s="221">
        <v>1247.3699999999999</v>
      </c>
      <c r="H8786" s="222">
        <v>185963.91</v>
      </c>
      <c r="I8786" s="222">
        <v>140068.4</v>
      </c>
      <c r="J8786" s="222">
        <v>37415.550000000003</v>
      </c>
      <c r="K8786" s="222">
        <v>8479.9599999999991</v>
      </c>
      <c r="L8786" s="43">
        <v>9.1300339693357895</v>
      </c>
      <c r="M8786" s="43">
        <v>11.500435161009573</v>
      </c>
      <c r="N8786" s="43">
        <v>5.3900469632361414</v>
      </c>
      <c r="O8786" s="43">
        <v>6.7982715633693287</v>
      </c>
      <c r="P8786" s="223"/>
      <c r="Q8786" s="223"/>
      <c r="R8786" s="223">
        <v>1</v>
      </c>
    </row>
    <row r="8787" spans="1:18" ht="36">
      <c r="A8787" s="219">
        <v>1538</v>
      </c>
      <c r="B8787" s="216" t="s">
        <v>16169</v>
      </c>
      <c r="C8787" s="220" t="s">
        <v>16170</v>
      </c>
      <c r="D8787" s="221">
        <v>23195.15</v>
      </c>
      <c r="E8787" s="221">
        <v>13788</v>
      </c>
      <c r="F8787" s="221">
        <v>7920.22</v>
      </c>
      <c r="G8787" s="221">
        <v>1486.93</v>
      </c>
      <c r="H8787" s="222">
        <v>211251.56</v>
      </c>
      <c r="I8787" s="222">
        <v>158568</v>
      </c>
      <c r="J8787" s="222">
        <v>42696.07</v>
      </c>
      <c r="K8787" s="222">
        <v>9987.49</v>
      </c>
      <c r="L8787" s="43">
        <v>9.1075746438371805</v>
      </c>
      <c r="M8787" s="43">
        <v>11.500435161009573</v>
      </c>
      <c r="N8787" s="43">
        <v>5.3907681857322141</v>
      </c>
      <c r="O8787" s="43">
        <v>6.7168528444513189</v>
      </c>
      <c r="P8787" s="223"/>
      <c r="Q8787" s="223"/>
      <c r="R8787" s="223">
        <v>1</v>
      </c>
    </row>
    <row r="8788" spans="1:18" ht="12.75" customHeight="1">
      <c r="A8788" s="628" t="s">
        <v>16171</v>
      </c>
      <c r="B8788" s="629"/>
      <c r="C8788" s="629"/>
      <c r="D8788" s="629"/>
      <c r="E8788" s="629"/>
      <c r="F8788" s="629"/>
      <c r="G8788" s="629"/>
      <c r="H8788" s="629"/>
      <c r="I8788" s="629"/>
      <c r="J8788" s="629"/>
      <c r="K8788" s="629"/>
      <c r="L8788" s="629"/>
      <c r="M8788" s="629"/>
      <c r="N8788" s="629"/>
      <c r="O8788" s="629"/>
      <c r="P8788" s="629"/>
      <c r="Q8788" s="629"/>
      <c r="R8788" s="629"/>
    </row>
    <row r="8789" spans="1:18" ht="12.75" customHeight="1">
      <c r="A8789" s="628" t="s">
        <v>16172</v>
      </c>
      <c r="B8789" s="629"/>
      <c r="C8789" s="629"/>
      <c r="D8789" s="629"/>
      <c r="E8789" s="629"/>
      <c r="F8789" s="629"/>
      <c r="G8789" s="629"/>
      <c r="H8789" s="629"/>
      <c r="I8789" s="629"/>
      <c r="J8789" s="629"/>
      <c r="K8789" s="629"/>
      <c r="L8789" s="629"/>
      <c r="M8789" s="629"/>
      <c r="N8789" s="629"/>
      <c r="O8789" s="629"/>
      <c r="P8789" s="629"/>
      <c r="Q8789" s="629"/>
      <c r="R8789" s="629"/>
    </row>
    <row r="8790" spans="1:18" ht="36">
      <c r="A8790" s="219">
        <v>1539</v>
      </c>
      <c r="B8790" s="216" t="s">
        <v>16173</v>
      </c>
      <c r="C8790" s="220" t="s">
        <v>16174</v>
      </c>
      <c r="D8790" s="221">
        <v>236.67</v>
      </c>
      <c r="E8790" s="221">
        <v>90.2</v>
      </c>
      <c r="F8790" s="221">
        <v>120.56</v>
      </c>
      <c r="G8790" s="221">
        <v>25.91</v>
      </c>
      <c r="H8790" s="222">
        <v>1837.06</v>
      </c>
      <c r="I8790" s="222">
        <v>1037.3</v>
      </c>
      <c r="J8790" s="222">
        <v>648.73</v>
      </c>
      <c r="K8790" s="222">
        <v>151.03</v>
      </c>
      <c r="L8790" s="43">
        <v>7.7621160265348381</v>
      </c>
      <c r="M8790" s="43">
        <v>11.5</v>
      </c>
      <c r="N8790" s="43">
        <v>5.3809721300597211</v>
      </c>
      <c r="O8790" s="43">
        <v>5.8290235430335775</v>
      </c>
      <c r="P8790" s="223"/>
      <c r="Q8790" s="223"/>
      <c r="R8790" s="223">
        <v>1</v>
      </c>
    </row>
    <row r="8791" spans="1:18" ht="36">
      <c r="A8791" s="219">
        <v>1540</v>
      </c>
      <c r="B8791" s="216" t="s">
        <v>16175</v>
      </c>
      <c r="C8791" s="220" t="s">
        <v>16176</v>
      </c>
      <c r="D8791" s="221">
        <v>328.79</v>
      </c>
      <c r="E8791" s="221">
        <v>102.72</v>
      </c>
      <c r="F8791" s="221">
        <v>179.2</v>
      </c>
      <c r="G8791" s="221">
        <v>46.87</v>
      </c>
      <c r="H8791" s="222">
        <v>2420.75</v>
      </c>
      <c r="I8791" s="222">
        <v>1181.33</v>
      </c>
      <c r="J8791" s="222">
        <v>965.7</v>
      </c>
      <c r="K8791" s="222">
        <v>273.72000000000003</v>
      </c>
      <c r="L8791" s="43">
        <v>7.3626022689254533</v>
      </c>
      <c r="M8791" s="43">
        <v>11.500486760124611</v>
      </c>
      <c r="N8791" s="43">
        <v>5.3889508928571432</v>
      </c>
      <c r="O8791" s="43">
        <v>5.8399829315126954</v>
      </c>
      <c r="P8791" s="223"/>
      <c r="Q8791" s="223"/>
      <c r="R8791" s="223">
        <v>1</v>
      </c>
    </row>
    <row r="8792" spans="1:18" ht="36">
      <c r="A8792" s="219">
        <v>1541</v>
      </c>
      <c r="B8792" s="216" t="s">
        <v>16177</v>
      </c>
      <c r="C8792" s="220" t="s">
        <v>16178</v>
      </c>
      <c r="D8792" s="221">
        <v>518.59</v>
      </c>
      <c r="E8792" s="221">
        <v>141.33000000000001</v>
      </c>
      <c r="F8792" s="221">
        <v>296.48</v>
      </c>
      <c r="G8792" s="221">
        <v>80.78</v>
      </c>
      <c r="H8792" s="222">
        <v>3690.1</v>
      </c>
      <c r="I8792" s="222">
        <v>1625.32</v>
      </c>
      <c r="J8792" s="222">
        <v>1600.54</v>
      </c>
      <c r="K8792" s="222">
        <v>464.24</v>
      </c>
      <c r="L8792" s="43">
        <v>7.1156404867043319</v>
      </c>
      <c r="M8792" s="43">
        <v>11.500176890964408</v>
      </c>
      <c r="N8792" s="43">
        <v>5.3984754452239603</v>
      </c>
      <c r="O8792" s="43">
        <v>5.7469670710571927</v>
      </c>
      <c r="P8792" s="223"/>
      <c r="Q8792" s="223"/>
      <c r="R8792" s="223">
        <v>1</v>
      </c>
    </row>
    <row r="8793" spans="1:18" ht="36">
      <c r="A8793" s="219">
        <v>1542</v>
      </c>
      <c r="B8793" s="216" t="s">
        <v>16179</v>
      </c>
      <c r="C8793" s="220" t="s">
        <v>16180</v>
      </c>
      <c r="D8793" s="221">
        <v>857.3</v>
      </c>
      <c r="E8793" s="221">
        <v>180.39</v>
      </c>
      <c r="F8793" s="221">
        <v>533.78</v>
      </c>
      <c r="G8793" s="221">
        <v>143.13</v>
      </c>
      <c r="H8793" s="222">
        <v>5771.29</v>
      </c>
      <c r="I8793" s="222">
        <v>2074.6</v>
      </c>
      <c r="J8793" s="222">
        <v>2885.82</v>
      </c>
      <c r="K8793" s="222">
        <v>810.87</v>
      </c>
      <c r="L8793" s="43">
        <v>6.7319374781290096</v>
      </c>
      <c r="M8793" s="43">
        <v>11.500637507622374</v>
      </c>
      <c r="N8793" s="43">
        <v>5.4063846528532364</v>
      </c>
      <c r="O8793" s="43">
        <v>5.6652693355690635</v>
      </c>
      <c r="P8793" s="223"/>
      <c r="Q8793" s="223"/>
      <c r="R8793" s="223">
        <v>1</v>
      </c>
    </row>
    <row r="8794" spans="1:18" ht="12.75" customHeight="1">
      <c r="A8794" s="628" t="s">
        <v>16181</v>
      </c>
      <c r="B8794" s="629"/>
      <c r="C8794" s="629"/>
      <c r="D8794" s="629"/>
      <c r="E8794" s="629"/>
      <c r="F8794" s="629"/>
      <c r="G8794" s="629"/>
      <c r="H8794" s="629"/>
      <c r="I8794" s="629"/>
      <c r="J8794" s="629"/>
      <c r="K8794" s="629"/>
      <c r="L8794" s="629"/>
      <c r="M8794" s="629"/>
      <c r="N8794" s="629"/>
      <c r="O8794" s="629"/>
      <c r="P8794" s="629"/>
      <c r="Q8794" s="629"/>
      <c r="R8794" s="629"/>
    </row>
    <row r="8795" spans="1:18" ht="60">
      <c r="A8795" s="219">
        <v>1543</v>
      </c>
      <c r="B8795" s="216" t="s">
        <v>16182</v>
      </c>
      <c r="C8795" s="220" t="s">
        <v>16183</v>
      </c>
      <c r="D8795" s="221">
        <v>235.65</v>
      </c>
      <c r="E8795" s="221">
        <v>167.75</v>
      </c>
      <c r="F8795" s="221">
        <v>48.42</v>
      </c>
      <c r="G8795" s="221">
        <v>19.48</v>
      </c>
      <c r="H8795" s="222">
        <v>2322.59</v>
      </c>
      <c r="I8795" s="222">
        <v>1929.24</v>
      </c>
      <c r="J8795" s="222">
        <v>258.02</v>
      </c>
      <c r="K8795" s="222">
        <v>135.33000000000001</v>
      </c>
      <c r="L8795" s="43">
        <v>9.8561001485253552</v>
      </c>
      <c r="M8795" s="43">
        <v>11.500685543964233</v>
      </c>
      <c r="N8795" s="43">
        <v>5.3287897562990496</v>
      </c>
      <c r="O8795" s="43">
        <v>6.9471252566735116</v>
      </c>
      <c r="P8795" s="223"/>
      <c r="Q8795" s="223"/>
      <c r="R8795" s="223">
        <v>2</v>
      </c>
    </row>
    <row r="8796" spans="1:18" ht="60">
      <c r="A8796" s="219">
        <v>1544</v>
      </c>
      <c r="B8796" s="216" t="s">
        <v>16184</v>
      </c>
      <c r="C8796" s="220" t="s">
        <v>16185</v>
      </c>
      <c r="D8796" s="221">
        <v>356.24</v>
      </c>
      <c r="E8796" s="221">
        <v>258.52999999999997</v>
      </c>
      <c r="F8796" s="221">
        <v>65.22</v>
      </c>
      <c r="G8796" s="221">
        <v>32.49</v>
      </c>
      <c r="H8796" s="222">
        <v>3543.04</v>
      </c>
      <c r="I8796" s="222">
        <v>2973.15</v>
      </c>
      <c r="J8796" s="222">
        <v>347.82</v>
      </c>
      <c r="K8796" s="222">
        <v>222.07</v>
      </c>
      <c r="L8796" s="43">
        <v>9.9456546148663811</v>
      </c>
      <c r="M8796" s="43">
        <v>11.500212741267939</v>
      </c>
      <c r="N8796" s="43">
        <v>5.3330266789328427</v>
      </c>
      <c r="O8796" s="43">
        <v>6.8350261618959678</v>
      </c>
      <c r="P8796" s="223"/>
      <c r="Q8796" s="223"/>
      <c r="R8796" s="223">
        <v>2</v>
      </c>
    </row>
    <row r="8797" spans="1:18" ht="60">
      <c r="A8797" s="219">
        <v>1545</v>
      </c>
      <c r="B8797" s="216" t="s">
        <v>16186</v>
      </c>
      <c r="C8797" s="220" t="s">
        <v>16187</v>
      </c>
      <c r="D8797" s="221">
        <v>449.03</v>
      </c>
      <c r="E8797" s="221">
        <v>283.8</v>
      </c>
      <c r="F8797" s="221">
        <v>111.56</v>
      </c>
      <c r="G8797" s="221">
        <v>53.67</v>
      </c>
      <c r="H8797" s="222">
        <v>4203.43</v>
      </c>
      <c r="I8797" s="222">
        <v>3263.86</v>
      </c>
      <c r="J8797" s="222">
        <v>597.05999999999995</v>
      </c>
      <c r="K8797" s="222">
        <v>342.51</v>
      </c>
      <c r="L8797" s="43">
        <v>9.3611339999554612</v>
      </c>
      <c r="M8797" s="43">
        <v>11.500563777307963</v>
      </c>
      <c r="N8797" s="43">
        <v>5.3519182502689127</v>
      </c>
      <c r="O8797" s="43">
        <v>6.3817775293460031</v>
      </c>
      <c r="P8797" s="223"/>
      <c r="Q8797" s="223"/>
      <c r="R8797" s="223">
        <v>2</v>
      </c>
    </row>
    <row r="8798" spans="1:18" ht="12.75" customHeight="1">
      <c r="A8798" s="628" t="s">
        <v>16188</v>
      </c>
      <c r="B8798" s="629"/>
      <c r="C8798" s="629"/>
      <c r="D8798" s="629"/>
      <c r="E8798" s="629"/>
      <c r="F8798" s="629"/>
      <c r="G8798" s="629"/>
      <c r="H8798" s="629"/>
      <c r="I8798" s="629"/>
      <c r="J8798" s="629"/>
      <c r="K8798" s="629"/>
      <c r="L8798" s="629"/>
      <c r="M8798" s="629"/>
      <c r="N8798" s="629"/>
      <c r="O8798" s="629"/>
      <c r="P8798" s="629"/>
      <c r="Q8798" s="629"/>
      <c r="R8798" s="629"/>
    </row>
    <row r="8799" spans="1:18" ht="60">
      <c r="A8799" s="219">
        <v>1546</v>
      </c>
      <c r="B8799" s="216" t="s">
        <v>16189</v>
      </c>
      <c r="C8799" s="220" t="s">
        <v>16190</v>
      </c>
      <c r="D8799" s="221">
        <v>262.25</v>
      </c>
      <c r="E8799" s="221">
        <v>167.75</v>
      </c>
      <c r="F8799" s="221">
        <v>80.319999999999993</v>
      </c>
      <c r="G8799" s="221">
        <v>14.18</v>
      </c>
      <c r="H8799" s="222">
        <v>2462.36</v>
      </c>
      <c r="I8799" s="222">
        <v>1929.24</v>
      </c>
      <c r="J8799" s="222">
        <v>432.03</v>
      </c>
      <c r="K8799" s="222">
        <v>101.09</v>
      </c>
      <c r="L8799" s="43">
        <v>9.3893612964728312</v>
      </c>
      <c r="M8799" s="43">
        <v>11.500685543964233</v>
      </c>
      <c r="N8799" s="43">
        <v>5.3788595617529884</v>
      </c>
      <c r="O8799" s="43">
        <v>7.1290550070521865</v>
      </c>
      <c r="P8799" s="223"/>
      <c r="Q8799" s="223"/>
      <c r="R8799" s="223">
        <v>3</v>
      </c>
    </row>
    <row r="8800" spans="1:18" ht="60">
      <c r="A8800" s="219">
        <v>1547</v>
      </c>
      <c r="B8800" s="216" t="s">
        <v>16191</v>
      </c>
      <c r="C8800" s="220" t="s">
        <v>16192</v>
      </c>
      <c r="D8800" s="221">
        <v>340.21</v>
      </c>
      <c r="E8800" s="221">
        <v>206.82</v>
      </c>
      <c r="F8800" s="221">
        <v>113.14</v>
      </c>
      <c r="G8800" s="221">
        <v>20.25</v>
      </c>
      <c r="H8800" s="222">
        <v>3132</v>
      </c>
      <c r="I8800" s="222">
        <v>2378.52</v>
      </c>
      <c r="J8800" s="222">
        <v>609.26</v>
      </c>
      <c r="K8800" s="222">
        <v>144.22</v>
      </c>
      <c r="L8800" s="43">
        <v>9.2060785985126845</v>
      </c>
      <c r="M8800" s="43">
        <v>11.500435161009573</v>
      </c>
      <c r="N8800" s="43">
        <v>5.3850097224677391</v>
      </c>
      <c r="O8800" s="43">
        <v>7.121975308641975</v>
      </c>
      <c r="P8800" s="223"/>
      <c r="Q8800" s="223"/>
      <c r="R8800" s="223">
        <v>3</v>
      </c>
    </row>
    <row r="8801" spans="1:18" ht="60">
      <c r="A8801" s="219">
        <v>1548</v>
      </c>
      <c r="B8801" s="216" t="s">
        <v>16193</v>
      </c>
      <c r="C8801" s="220" t="s">
        <v>16194</v>
      </c>
      <c r="D8801" s="221">
        <v>542.65</v>
      </c>
      <c r="E8801" s="221">
        <v>309.08</v>
      </c>
      <c r="F8801" s="221">
        <v>185.57</v>
      </c>
      <c r="G8801" s="221">
        <v>48</v>
      </c>
      <c r="H8801" s="222">
        <v>4865.3500000000004</v>
      </c>
      <c r="I8801" s="222">
        <v>3554.57</v>
      </c>
      <c r="J8801" s="222">
        <v>999.84</v>
      </c>
      <c r="K8801" s="222">
        <v>310.94</v>
      </c>
      <c r="L8801" s="43">
        <v>8.9659080438588425</v>
      </c>
      <c r="M8801" s="43">
        <v>11.50048531124628</v>
      </c>
      <c r="N8801" s="43">
        <v>5.3879398609689071</v>
      </c>
      <c r="O8801" s="43">
        <v>6.4779166666666663</v>
      </c>
      <c r="P8801" s="223"/>
      <c r="Q8801" s="223"/>
      <c r="R8801" s="223">
        <v>3</v>
      </c>
    </row>
    <row r="8802" spans="1:18" ht="60">
      <c r="A8802" s="219">
        <v>1549</v>
      </c>
      <c r="B8802" s="216" t="s">
        <v>16195</v>
      </c>
      <c r="C8802" s="220" t="s">
        <v>16196</v>
      </c>
      <c r="D8802" s="221">
        <v>724.41</v>
      </c>
      <c r="E8802" s="221">
        <v>335.51</v>
      </c>
      <c r="F8802" s="221">
        <v>312.23</v>
      </c>
      <c r="G8802" s="221">
        <v>76.67</v>
      </c>
      <c r="H8802" s="222">
        <v>6013.85</v>
      </c>
      <c r="I8802" s="222">
        <v>3858.49</v>
      </c>
      <c r="J8802" s="222">
        <v>1683.96</v>
      </c>
      <c r="K8802" s="222">
        <v>471.4</v>
      </c>
      <c r="L8802" s="43">
        <v>8.3017214008641531</v>
      </c>
      <c r="M8802" s="43">
        <v>11.500372567136598</v>
      </c>
      <c r="N8802" s="43">
        <v>5.3933318387086437</v>
      </c>
      <c r="O8802" s="43">
        <v>6.1484283292030781</v>
      </c>
      <c r="P8802" s="223"/>
      <c r="Q8802" s="223"/>
      <c r="R8802" s="223">
        <v>3</v>
      </c>
    </row>
    <row r="8803" spans="1:18" ht="12.75" customHeight="1">
      <c r="A8803" s="628" t="s">
        <v>16197</v>
      </c>
      <c r="B8803" s="629"/>
      <c r="C8803" s="629"/>
      <c r="D8803" s="629"/>
      <c r="E8803" s="629"/>
      <c r="F8803" s="629"/>
      <c r="G8803" s="629"/>
      <c r="H8803" s="629"/>
      <c r="I8803" s="629"/>
      <c r="J8803" s="629"/>
      <c r="K8803" s="629"/>
      <c r="L8803" s="629"/>
      <c r="M8803" s="629"/>
      <c r="N8803" s="629"/>
      <c r="O8803" s="629"/>
      <c r="P8803" s="629"/>
      <c r="Q8803" s="629"/>
      <c r="R8803" s="629"/>
    </row>
    <row r="8804" spans="1:18" ht="60">
      <c r="A8804" s="219">
        <v>1550</v>
      </c>
      <c r="B8804" s="216" t="s">
        <v>16198</v>
      </c>
      <c r="C8804" s="220" t="s">
        <v>16199</v>
      </c>
      <c r="D8804" s="221">
        <v>327.8</v>
      </c>
      <c r="E8804" s="221">
        <v>180.39</v>
      </c>
      <c r="F8804" s="221">
        <v>118.92</v>
      </c>
      <c r="G8804" s="221">
        <v>28.49</v>
      </c>
      <c r="H8804" s="222">
        <v>2893.79</v>
      </c>
      <c r="I8804" s="222">
        <v>2074.6</v>
      </c>
      <c r="J8804" s="222">
        <v>640.25</v>
      </c>
      <c r="K8804" s="222">
        <v>178.94</v>
      </c>
      <c r="L8804" s="43">
        <v>8.8279133618059795</v>
      </c>
      <c r="M8804" s="43">
        <v>11.500637507622374</v>
      </c>
      <c r="N8804" s="43">
        <v>5.3838715102589978</v>
      </c>
      <c r="O8804" s="43">
        <v>6.280800280800281</v>
      </c>
      <c r="P8804" s="223"/>
      <c r="Q8804" s="223"/>
      <c r="R8804" s="223">
        <v>4</v>
      </c>
    </row>
    <row r="8805" spans="1:18" ht="60">
      <c r="A8805" s="219">
        <v>1551</v>
      </c>
      <c r="B8805" s="216" t="s">
        <v>16200</v>
      </c>
      <c r="C8805" s="220" t="s">
        <v>16201</v>
      </c>
      <c r="D8805" s="221">
        <v>459.19</v>
      </c>
      <c r="E8805" s="221">
        <v>232.1</v>
      </c>
      <c r="F8805" s="221">
        <v>177.2</v>
      </c>
      <c r="G8805" s="221">
        <v>49.89</v>
      </c>
      <c r="H8805" s="222">
        <v>3929.9</v>
      </c>
      <c r="I8805" s="222">
        <v>2669.23</v>
      </c>
      <c r="J8805" s="222">
        <v>955.41</v>
      </c>
      <c r="K8805" s="222">
        <v>305.26</v>
      </c>
      <c r="L8805" s="43">
        <v>8.5583309741065801</v>
      </c>
      <c r="M8805" s="43">
        <v>11.500344679017665</v>
      </c>
      <c r="N8805" s="43">
        <v>5.3917042889390521</v>
      </c>
      <c r="O8805" s="43">
        <v>6.118661054319503</v>
      </c>
      <c r="P8805" s="223"/>
      <c r="Q8805" s="223"/>
      <c r="R8805" s="223">
        <v>4</v>
      </c>
    </row>
    <row r="8806" spans="1:18" ht="60">
      <c r="A8806" s="219">
        <v>1552</v>
      </c>
      <c r="B8806" s="216" t="s">
        <v>16202</v>
      </c>
      <c r="C8806" s="220" t="s">
        <v>16203</v>
      </c>
      <c r="D8806" s="221">
        <v>595.76</v>
      </c>
      <c r="E8806" s="221">
        <v>335.51</v>
      </c>
      <c r="F8806" s="221">
        <v>175.41</v>
      </c>
      <c r="G8806" s="221">
        <v>84.84</v>
      </c>
      <c r="H8806" s="222">
        <v>5313.23</v>
      </c>
      <c r="I8806" s="222">
        <v>3858.49</v>
      </c>
      <c r="J8806" s="222">
        <v>944.16</v>
      </c>
      <c r="K8806" s="222">
        <v>510.58</v>
      </c>
      <c r="L8806" s="43">
        <v>8.9184067409695178</v>
      </c>
      <c r="M8806" s="43">
        <v>11.500372567136598</v>
      </c>
      <c r="N8806" s="43">
        <v>5.3825893620660166</v>
      </c>
      <c r="O8806" s="43">
        <v>6.0181518151815174</v>
      </c>
      <c r="P8806" s="223"/>
      <c r="Q8806" s="223"/>
      <c r="R8806" s="223">
        <v>4</v>
      </c>
    </row>
    <row r="8807" spans="1:18" ht="60">
      <c r="A8807" s="219">
        <v>1553</v>
      </c>
      <c r="B8807" s="216" t="s">
        <v>16204</v>
      </c>
      <c r="C8807" s="220" t="s">
        <v>16205</v>
      </c>
      <c r="D8807" s="221">
        <v>857.37</v>
      </c>
      <c r="E8807" s="221">
        <v>476.84</v>
      </c>
      <c r="F8807" s="221">
        <v>231.55</v>
      </c>
      <c r="G8807" s="221">
        <v>148.97999999999999</v>
      </c>
      <c r="H8807" s="222">
        <v>7608.36</v>
      </c>
      <c r="I8807" s="222">
        <v>5483.81</v>
      </c>
      <c r="J8807" s="222">
        <v>1246.24</v>
      </c>
      <c r="K8807" s="222">
        <v>878.31</v>
      </c>
      <c r="L8807" s="43">
        <v>8.8740683718814513</v>
      </c>
      <c r="M8807" s="43">
        <v>11.500314570925259</v>
      </c>
      <c r="N8807" s="43">
        <v>5.3821636795508523</v>
      </c>
      <c r="O8807" s="43">
        <v>5.8954893274265006</v>
      </c>
      <c r="P8807" s="223"/>
      <c r="Q8807" s="223"/>
      <c r="R8807" s="223">
        <v>4</v>
      </c>
    </row>
    <row r="8808" spans="1:18" ht="12.75" customHeight="1">
      <c r="A8808" s="628" t="s">
        <v>16206</v>
      </c>
      <c r="B8808" s="629"/>
      <c r="C8808" s="629"/>
      <c r="D8808" s="629"/>
      <c r="E8808" s="629"/>
      <c r="F8808" s="629"/>
      <c r="G8808" s="629"/>
      <c r="H8808" s="629"/>
      <c r="I8808" s="629"/>
      <c r="J8808" s="629"/>
      <c r="K8808" s="629"/>
      <c r="L8808" s="629"/>
      <c r="M8808" s="629"/>
      <c r="N8808" s="629"/>
      <c r="O8808" s="629"/>
      <c r="P8808" s="629"/>
      <c r="Q8808" s="629"/>
      <c r="R8808" s="629"/>
    </row>
    <row r="8809" spans="1:18" ht="48">
      <c r="A8809" s="219">
        <v>1554</v>
      </c>
      <c r="B8809" s="216" t="s">
        <v>16207</v>
      </c>
      <c r="C8809" s="220" t="s">
        <v>16208</v>
      </c>
      <c r="D8809" s="221">
        <v>195.71</v>
      </c>
      <c r="E8809" s="221">
        <v>180.39</v>
      </c>
      <c r="F8809" s="221">
        <v>11.71</v>
      </c>
      <c r="G8809" s="221">
        <v>3.61</v>
      </c>
      <c r="H8809" s="222">
        <v>2177</v>
      </c>
      <c r="I8809" s="222">
        <v>2074.6</v>
      </c>
      <c r="J8809" s="222">
        <v>60.88</v>
      </c>
      <c r="K8809" s="222">
        <v>41.52</v>
      </c>
      <c r="L8809" s="43">
        <v>11.123601246742629</v>
      </c>
      <c r="M8809" s="43">
        <v>11.500637507622374</v>
      </c>
      <c r="N8809" s="43">
        <v>5.1989752348420151</v>
      </c>
      <c r="O8809" s="43">
        <v>11.501385041551249</v>
      </c>
      <c r="P8809" s="223"/>
      <c r="Q8809" s="223"/>
      <c r="R8809" s="223">
        <v>5</v>
      </c>
    </row>
    <row r="8810" spans="1:18" ht="48">
      <c r="A8810" s="219">
        <v>1555</v>
      </c>
      <c r="B8810" s="216" t="s">
        <v>16209</v>
      </c>
      <c r="C8810" s="220" t="s">
        <v>16210</v>
      </c>
      <c r="D8810" s="221">
        <v>246</v>
      </c>
      <c r="E8810" s="221">
        <v>219.46</v>
      </c>
      <c r="F8810" s="221">
        <v>22.15</v>
      </c>
      <c r="G8810" s="221">
        <v>4.3899999999999997</v>
      </c>
      <c r="H8810" s="222">
        <v>2692.23</v>
      </c>
      <c r="I8810" s="222">
        <v>2523.87</v>
      </c>
      <c r="J8810" s="222">
        <v>117.87</v>
      </c>
      <c r="K8810" s="222">
        <v>50.49</v>
      </c>
      <c r="L8810" s="43">
        <v>10.944024390243902</v>
      </c>
      <c r="M8810" s="43">
        <v>11.500364531121843</v>
      </c>
      <c r="N8810" s="43">
        <v>5.3214446952595944</v>
      </c>
      <c r="O8810" s="43">
        <v>11.501138952164011</v>
      </c>
      <c r="P8810" s="223"/>
      <c r="Q8810" s="223"/>
      <c r="R8810" s="223">
        <v>5</v>
      </c>
    </row>
    <row r="8811" spans="1:18" ht="48">
      <c r="A8811" s="219">
        <v>1556</v>
      </c>
      <c r="B8811" s="216" t="s">
        <v>16211</v>
      </c>
      <c r="C8811" s="220" t="s">
        <v>16212</v>
      </c>
      <c r="D8811" s="221">
        <v>351.53</v>
      </c>
      <c r="E8811" s="221">
        <v>309.08</v>
      </c>
      <c r="F8811" s="221">
        <v>36.270000000000003</v>
      </c>
      <c r="G8811" s="221">
        <v>6.18</v>
      </c>
      <c r="H8811" s="222">
        <v>3819.86</v>
      </c>
      <c r="I8811" s="222">
        <v>3554.57</v>
      </c>
      <c r="J8811" s="222">
        <v>194.22</v>
      </c>
      <c r="K8811" s="222">
        <v>71.069999999999993</v>
      </c>
      <c r="L8811" s="43">
        <v>10.866384092396098</v>
      </c>
      <c r="M8811" s="43">
        <v>11.50048531124628</v>
      </c>
      <c r="N8811" s="43">
        <v>5.354838709677419</v>
      </c>
      <c r="O8811" s="43">
        <v>11.5</v>
      </c>
      <c r="P8811" s="223"/>
      <c r="Q8811" s="223"/>
      <c r="R8811" s="223">
        <v>5</v>
      </c>
    </row>
    <row r="8812" spans="1:18" ht="48">
      <c r="A8812" s="219">
        <v>1557</v>
      </c>
      <c r="B8812" s="216" t="s">
        <v>16213</v>
      </c>
      <c r="C8812" s="220" t="s">
        <v>16214</v>
      </c>
      <c r="D8812" s="221">
        <v>469.91</v>
      </c>
      <c r="E8812" s="221">
        <v>401</v>
      </c>
      <c r="F8812" s="221">
        <v>60.89</v>
      </c>
      <c r="G8812" s="221">
        <v>8.02</v>
      </c>
      <c r="H8812" s="222">
        <v>5031.37</v>
      </c>
      <c r="I8812" s="222">
        <v>4611.6899999999996</v>
      </c>
      <c r="J8812" s="222">
        <v>327.45</v>
      </c>
      <c r="K8812" s="222">
        <v>92.23</v>
      </c>
      <c r="L8812" s="43">
        <v>10.707092847566555</v>
      </c>
      <c r="M8812" s="43">
        <v>11.500473815461346</v>
      </c>
      <c r="N8812" s="43">
        <v>5.3777303333880768</v>
      </c>
      <c r="O8812" s="43">
        <v>11.500000000000002</v>
      </c>
      <c r="P8812" s="223"/>
      <c r="Q8812" s="223"/>
      <c r="R8812" s="223">
        <v>5</v>
      </c>
    </row>
    <row r="8813" spans="1:18" ht="12.75" customHeight="1">
      <c r="A8813" s="628" t="s">
        <v>16215</v>
      </c>
      <c r="B8813" s="629"/>
      <c r="C8813" s="629"/>
      <c r="D8813" s="629"/>
      <c r="E8813" s="629"/>
      <c r="F8813" s="629"/>
      <c r="G8813" s="629"/>
      <c r="H8813" s="629"/>
      <c r="I8813" s="629"/>
      <c r="J8813" s="629"/>
      <c r="K8813" s="629"/>
      <c r="L8813" s="629"/>
      <c r="M8813" s="629"/>
      <c r="N8813" s="629"/>
      <c r="O8813" s="629"/>
      <c r="P8813" s="629"/>
      <c r="Q8813" s="629"/>
      <c r="R8813" s="629"/>
    </row>
    <row r="8814" spans="1:18" ht="48">
      <c r="A8814" s="219">
        <v>1558</v>
      </c>
      <c r="B8814" s="216" t="s">
        <v>16216</v>
      </c>
      <c r="C8814" s="220" t="s">
        <v>16217</v>
      </c>
      <c r="D8814" s="221">
        <v>219.42</v>
      </c>
      <c r="E8814" s="221">
        <v>194.18</v>
      </c>
      <c r="F8814" s="221">
        <v>21.36</v>
      </c>
      <c r="G8814" s="221">
        <v>3.88</v>
      </c>
      <c r="H8814" s="222">
        <v>2391.8000000000002</v>
      </c>
      <c r="I8814" s="222">
        <v>2233.17</v>
      </c>
      <c r="J8814" s="222">
        <v>114.01</v>
      </c>
      <c r="K8814" s="222">
        <v>44.62</v>
      </c>
      <c r="L8814" s="43">
        <v>10.900556011302527</v>
      </c>
      <c r="M8814" s="43">
        <v>11.500514986095375</v>
      </c>
      <c r="N8814" s="43">
        <v>5.3375468164794011</v>
      </c>
      <c r="O8814" s="43">
        <v>11.5</v>
      </c>
      <c r="P8814" s="223"/>
      <c r="Q8814" s="223"/>
      <c r="R8814" s="223">
        <v>6</v>
      </c>
    </row>
    <row r="8815" spans="1:18" ht="48">
      <c r="A8815" s="219">
        <v>1559</v>
      </c>
      <c r="B8815" s="216" t="s">
        <v>16218</v>
      </c>
      <c r="C8815" s="220" t="s">
        <v>16219</v>
      </c>
      <c r="D8815" s="221">
        <v>293.55</v>
      </c>
      <c r="E8815" s="221">
        <v>258.52999999999997</v>
      </c>
      <c r="F8815" s="221">
        <v>29.85</v>
      </c>
      <c r="G8815" s="221">
        <v>5.17</v>
      </c>
      <c r="H8815" s="222">
        <v>3192.28</v>
      </c>
      <c r="I8815" s="222">
        <v>2973.15</v>
      </c>
      <c r="J8815" s="222">
        <v>159.66999999999999</v>
      </c>
      <c r="K8815" s="222">
        <v>59.46</v>
      </c>
      <c r="L8815" s="43">
        <v>10.874740248679952</v>
      </c>
      <c r="M8815" s="43">
        <v>11.500212741267939</v>
      </c>
      <c r="N8815" s="43">
        <v>5.3490787269681732</v>
      </c>
      <c r="O8815" s="43">
        <v>11.500967117988395</v>
      </c>
      <c r="P8815" s="223"/>
      <c r="Q8815" s="223"/>
      <c r="R8815" s="223">
        <v>6</v>
      </c>
    </row>
    <row r="8816" spans="1:18" ht="48">
      <c r="A8816" s="219">
        <v>1560</v>
      </c>
      <c r="B8816" s="216" t="s">
        <v>16220</v>
      </c>
      <c r="C8816" s="220" t="s">
        <v>16221</v>
      </c>
      <c r="D8816" s="221">
        <v>414.54</v>
      </c>
      <c r="E8816" s="221">
        <v>360.79</v>
      </c>
      <c r="F8816" s="221">
        <v>46.53</v>
      </c>
      <c r="G8816" s="221">
        <v>7.22</v>
      </c>
      <c r="H8816" s="222">
        <v>4482.17</v>
      </c>
      <c r="I8816" s="222">
        <v>4149.2</v>
      </c>
      <c r="J8816" s="222">
        <v>249.94</v>
      </c>
      <c r="K8816" s="222">
        <v>83.03</v>
      </c>
      <c r="L8816" s="43">
        <v>10.812394461330632</v>
      </c>
      <c r="M8816" s="43">
        <v>11.500318744976301</v>
      </c>
      <c r="N8816" s="43">
        <v>5.3715882226520524</v>
      </c>
      <c r="O8816" s="43">
        <v>11.5</v>
      </c>
      <c r="P8816" s="223"/>
      <c r="Q8816" s="223"/>
      <c r="R8816" s="223">
        <v>6</v>
      </c>
    </row>
    <row r="8817" spans="1:18" ht="48">
      <c r="A8817" s="219">
        <v>1561</v>
      </c>
      <c r="B8817" s="216" t="s">
        <v>16222</v>
      </c>
      <c r="C8817" s="220" t="s">
        <v>16223</v>
      </c>
      <c r="D8817" s="221">
        <v>573.44000000000005</v>
      </c>
      <c r="E8817" s="221">
        <v>489.47</v>
      </c>
      <c r="F8817" s="221">
        <v>74.180000000000007</v>
      </c>
      <c r="G8817" s="221">
        <v>9.7899999999999991</v>
      </c>
      <c r="H8817" s="222">
        <v>6140.81</v>
      </c>
      <c r="I8817" s="222">
        <v>5629.16</v>
      </c>
      <c r="J8817" s="222">
        <v>399.06</v>
      </c>
      <c r="K8817" s="222">
        <v>112.59</v>
      </c>
      <c r="L8817" s="43">
        <v>10.708722795758929</v>
      </c>
      <c r="M8817" s="43">
        <v>11.500520971663226</v>
      </c>
      <c r="N8817" s="43">
        <v>5.3796171474791041</v>
      </c>
      <c r="O8817" s="43">
        <v>11.500510725229828</v>
      </c>
      <c r="P8817" s="223"/>
      <c r="Q8817" s="223"/>
      <c r="R8817" s="223">
        <v>6</v>
      </c>
    </row>
    <row r="8818" spans="1:18" ht="12.75" customHeight="1">
      <c r="A8818" s="628" t="s">
        <v>16224</v>
      </c>
      <c r="B8818" s="629"/>
      <c r="C8818" s="629"/>
      <c r="D8818" s="629"/>
      <c r="E8818" s="629"/>
      <c r="F8818" s="629"/>
      <c r="G8818" s="629"/>
      <c r="H8818" s="629"/>
      <c r="I8818" s="629"/>
      <c r="J8818" s="629"/>
      <c r="K8818" s="629"/>
      <c r="L8818" s="629"/>
      <c r="M8818" s="629"/>
      <c r="N8818" s="629"/>
      <c r="O8818" s="629"/>
      <c r="P8818" s="629"/>
      <c r="Q8818" s="629"/>
      <c r="R8818" s="629"/>
    </row>
    <row r="8819" spans="1:18" ht="36">
      <c r="A8819" s="219">
        <v>1562</v>
      </c>
      <c r="B8819" s="216" t="s">
        <v>16225</v>
      </c>
      <c r="C8819" s="220" t="s">
        <v>16226</v>
      </c>
      <c r="D8819" s="221">
        <v>247.72</v>
      </c>
      <c r="E8819" s="221">
        <v>206.82</v>
      </c>
      <c r="F8819" s="221">
        <v>36.76</v>
      </c>
      <c r="G8819" s="221">
        <v>4.1399999999999997</v>
      </c>
      <c r="H8819" s="222">
        <v>2623.74</v>
      </c>
      <c r="I8819" s="222">
        <v>2378.52</v>
      </c>
      <c r="J8819" s="222">
        <v>197.61</v>
      </c>
      <c r="K8819" s="222">
        <v>47.61</v>
      </c>
      <c r="L8819" s="43">
        <v>10.591554981430647</v>
      </c>
      <c r="M8819" s="43">
        <v>11.500435161009573</v>
      </c>
      <c r="N8819" s="43">
        <v>5.3756800870511432</v>
      </c>
      <c r="O8819" s="43">
        <v>11.5</v>
      </c>
      <c r="P8819" s="223"/>
      <c r="Q8819" s="223"/>
      <c r="R8819" s="223">
        <v>7</v>
      </c>
    </row>
    <row r="8820" spans="1:18" ht="36">
      <c r="A8820" s="219">
        <v>1563</v>
      </c>
      <c r="B8820" s="216" t="s">
        <v>16227</v>
      </c>
      <c r="C8820" s="220" t="s">
        <v>16228</v>
      </c>
      <c r="D8820" s="221">
        <v>370.78</v>
      </c>
      <c r="E8820" s="221">
        <v>309.08</v>
      </c>
      <c r="F8820" s="221">
        <v>55.52</v>
      </c>
      <c r="G8820" s="221">
        <v>6.18</v>
      </c>
      <c r="H8820" s="222">
        <v>3924.65</v>
      </c>
      <c r="I8820" s="222">
        <v>3554.57</v>
      </c>
      <c r="J8820" s="222">
        <v>299.01</v>
      </c>
      <c r="K8820" s="222">
        <v>71.069999999999993</v>
      </c>
      <c r="L8820" s="43">
        <v>10.584848157937323</v>
      </c>
      <c r="M8820" s="43">
        <v>11.50048531124628</v>
      </c>
      <c r="N8820" s="43">
        <v>5.3856268011527373</v>
      </c>
      <c r="O8820" s="43">
        <v>11.5</v>
      </c>
      <c r="P8820" s="223"/>
      <c r="Q8820" s="223"/>
      <c r="R8820" s="223">
        <v>7</v>
      </c>
    </row>
    <row r="8821" spans="1:18" ht="36">
      <c r="A8821" s="219">
        <v>1564</v>
      </c>
      <c r="B8821" s="216" t="s">
        <v>16229</v>
      </c>
      <c r="C8821" s="220" t="s">
        <v>16230</v>
      </c>
      <c r="D8821" s="221">
        <v>545.55999999999995</v>
      </c>
      <c r="E8821" s="221">
        <v>438.92</v>
      </c>
      <c r="F8821" s="221">
        <v>97.86</v>
      </c>
      <c r="G8821" s="221">
        <v>8.7799999999999994</v>
      </c>
      <c r="H8821" s="222">
        <v>5677.34</v>
      </c>
      <c r="I8821" s="222">
        <v>5047.75</v>
      </c>
      <c r="J8821" s="222">
        <v>528.62</v>
      </c>
      <c r="K8821" s="222">
        <v>100.97</v>
      </c>
      <c r="L8821" s="43">
        <v>10.406444754014226</v>
      </c>
      <c r="M8821" s="43">
        <v>11.50038731431696</v>
      </c>
      <c r="N8821" s="43">
        <v>5.4017984876353973</v>
      </c>
      <c r="O8821" s="43">
        <v>11.5</v>
      </c>
      <c r="P8821" s="223"/>
      <c r="Q8821" s="223"/>
      <c r="R8821" s="223">
        <v>7</v>
      </c>
    </row>
    <row r="8822" spans="1:18" ht="36">
      <c r="A8822" s="219">
        <v>1565</v>
      </c>
      <c r="B8822" s="216" t="s">
        <v>16231</v>
      </c>
      <c r="C8822" s="220" t="s">
        <v>16232</v>
      </c>
      <c r="D8822" s="221">
        <v>755.54</v>
      </c>
      <c r="E8822" s="221">
        <v>554.97</v>
      </c>
      <c r="F8822" s="221">
        <v>189.47</v>
      </c>
      <c r="G8822" s="221">
        <v>11.1</v>
      </c>
      <c r="H8822" s="222">
        <v>7535.06</v>
      </c>
      <c r="I8822" s="222">
        <v>6382.36</v>
      </c>
      <c r="J8822" s="222">
        <v>1025.05</v>
      </c>
      <c r="K8822" s="222">
        <v>127.65</v>
      </c>
      <c r="L8822" s="43">
        <v>9.9730788575058913</v>
      </c>
      <c r="M8822" s="43">
        <v>11.50036938933636</v>
      </c>
      <c r="N8822" s="43">
        <v>5.4100913073309753</v>
      </c>
      <c r="O8822" s="43">
        <v>11.5</v>
      </c>
      <c r="P8822" s="223"/>
      <c r="Q8822" s="223"/>
      <c r="R8822" s="223">
        <v>7</v>
      </c>
    </row>
    <row r="8823" spans="1:18" ht="12.75" customHeight="1">
      <c r="A8823" s="628" t="s">
        <v>16233</v>
      </c>
      <c r="B8823" s="629"/>
      <c r="C8823" s="629"/>
      <c r="D8823" s="629"/>
      <c r="E8823" s="629"/>
      <c r="F8823" s="629"/>
      <c r="G8823" s="629"/>
      <c r="H8823" s="629"/>
      <c r="I8823" s="629"/>
      <c r="J8823" s="629"/>
      <c r="K8823" s="629"/>
      <c r="L8823" s="629"/>
      <c r="M8823" s="629"/>
      <c r="N8823" s="629"/>
      <c r="O8823" s="629"/>
      <c r="P8823" s="629"/>
      <c r="Q8823" s="629"/>
      <c r="R8823" s="629"/>
    </row>
    <row r="8824" spans="1:18" ht="36">
      <c r="A8824" s="219">
        <v>1566</v>
      </c>
      <c r="B8824" s="216" t="s">
        <v>16234</v>
      </c>
      <c r="C8824" s="220" t="s">
        <v>16235</v>
      </c>
      <c r="D8824" s="221">
        <v>505.39</v>
      </c>
      <c r="E8824" s="221">
        <v>283.8</v>
      </c>
      <c r="F8824" s="221">
        <v>215.91</v>
      </c>
      <c r="G8824" s="221">
        <v>5.68</v>
      </c>
      <c r="H8824" s="222">
        <v>4498.7299999999996</v>
      </c>
      <c r="I8824" s="222">
        <v>3263.86</v>
      </c>
      <c r="J8824" s="222">
        <v>1169.55</v>
      </c>
      <c r="K8824" s="222">
        <v>65.319999999999993</v>
      </c>
      <c r="L8824" s="43">
        <v>8.9015018104829924</v>
      </c>
      <c r="M8824" s="43">
        <v>11.500563777307963</v>
      </c>
      <c r="N8824" s="43">
        <v>5.4168403501458942</v>
      </c>
      <c r="O8824" s="43">
        <v>11.5</v>
      </c>
      <c r="P8824" s="223"/>
      <c r="Q8824" s="223"/>
      <c r="R8824" s="223">
        <v>8</v>
      </c>
    </row>
    <row r="8825" spans="1:18" ht="36">
      <c r="A8825" s="219">
        <v>1567</v>
      </c>
      <c r="B8825" s="216" t="s">
        <v>16236</v>
      </c>
      <c r="C8825" s="220" t="s">
        <v>16237</v>
      </c>
      <c r="D8825" s="221">
        <v>780.76</v>
      </c>
      <c r="E8825" s="221">
        <v>360.79</v>
      </c>
      <c r="F8825" s="221">
        <v>412.75</v>
      </c>
      <c r="G8825" s="221">
        <v>7.22</v>
      </c>
      <c r="H8825" s="222">
        <v>6469.49</v>
      </c>
      <c r="I8825" s="222">
        <v>4149.2</v>
      </c>
      <c r="J8825" s="222">
        <v>2237.2600000000002</v>
      </c>
      <c r="K8825" s="222">
        <v>83.03</v>
      </c>
      <c r="L8825" s="43">
        <v>8.2861442696859466</v>
      </c>
      <c r="M8825" s="43">
        <v>11.500318744976301</v>
      </c>
      <c r="N8825" s="43">
        <v>5.4203755299818299</v>
      </c>
      <c r="O8825" s="43">
        <v>11.5</v>
      </c>
      <c r="P8825" s="223"/>
      <c r="Q8825" s="223"/>
      <c r="R8825" s="223">
        <v>8</v>
      </c>
    </row>
    <row r="8826" spans="1:18" ht="12.75" customHeight="1">
      <c r="A8826" s="628" t="s">
        <v>16238</v>
      </c>
      <c r="B8826" s="629"/>
      <c r="C8826" s="629"/>
      <c r="D8826" s="629"/>
      <c r="E8826" s="629"/>
      <c r="F8826" s="629"/>
      <c r="G8826" s="629"/>
      <c r="H8826" s="629"/>
      <c r="I8826" s="629"/>
      <c r="J8826" s="629"/>
      <c r="K8826" s="629"/>
      <c r="L8826" s="629"/>
      <c r="M8826" s="629"/>
      <c r="N8826" s="629"/>
      <c r="O8826" s="629"/>
      <c r="P8826" s="629"/>
      <c r="Q8826" s="629"/>
      <c r="R8826" s="629"/>
    </row>
    <row r="8827" spans="1:18" ht="60">
      <c r="A8827" s="219">
        <v>1568</v>
      </c>
      <c r="B8827" s="216" t="s">
        <v>16239</v>
      </c>
      <c r="C8827" s="220" t="s">
        <v>16240</v>
      </c>
      <c r="D8827" s="221">
        <v>273.5</v>
      </c>
      <c r="E8827" s="221">
        <v>232.1</v>
      </c>
      <c r="F8827" s="221">
        <v>36.76</v>
      </c>
      <c r="G8827" s="221">
        <v>4.6399999999999997</v>
      </c>
      <c r="H8827" s="222">
        <v>2920.2</v>
      </c>
      <c r="I8827" s="222">
        <v>2669.23</v>
      </c>
      <c r="J8827" s="222">
        <v>197.61</v>
      </c>
      <c r="K8827" s="222">
        <v>53.36</v>
      </c>
      <c r="L8827" s="43">
        <v>10.677148080438757</v>
      </c>
      <c r="M8827" s="43">
        <v>11.500344679017665</v>
      </c>
      <c r="N8827" s="43">
        <v>5.3756800870511432</v>
      </c>
      <c r="O8827" s="43">
        <v>11.5</v>
      </c>
      <c r="P8827" s="223"/>
      <c r="Q8827" s="223"/>
      <c r="R8827" s="223">
        <v>9</v>
      </c>
    </row>
    <row r="8828" spans="1:18" ht="60">
      <c r="A8828" s="219">
        <v>1569</v>
      </c>
      <c r="B8828" s="216" t="s">
        <v>16241</v>
      </c>
      <c r="C8828" s="220" t="s">
        <v>16242</v>
      </c>
      <c r="D8828" s="221">
        <v>384.85</v>
      </c>
      <c r="E8828" s="221">
        <v>322.87</v>
      </c>
      <c r="F8828" s="221">
        <v>55.52</v>
      </c>
      <c r="G8828" s="221">
        <v>6.46</v>
      </c>
      <c r="H8828" s="222">
        <v>4086.43</v>
      </c>
      <c r="I8828" s="222">
        <v>3713.13</v>
      </c>
      <c r="J8828" s="222">
        <v>299.01</v>
      </c>
      <c r="K8828" s="222">
        <v>74.290000000000006</v>
      </c>
      <c r="L8828" s="43">
        <v>10.618240873067428</v>
      </c>
      <c r="M8828" s="43">
        <v>11.500387152724008</v>
      </c>
      <c r="N8828" s="43">
        <v>5.3856268011527373</v>
      </c>
      <c r="O8828" s="43">
        <v>11.500000000000002</v>
      </c>
      <c r="P8828" s="223"/>
      <c r="Q8828" s="223"/>
      <c r="R8828" s="223">
        <v>9</v>
      </c>
    </row>
    <row r="8829" spans="1:18" ht="60">
      <c r="A8829" s="219">
        <v>1570</v>
      </c>
      <c r="B8829" s="216" t="s">
        <v>16243</v>
      </c>
      <c r="C8829" s="220" t="s">
        <v>16244</v>
      </c>
      <c r="D8829" s="221">
        <v>557.28</v>
      </c>
      <c r="E8829" s="221">
        <v>450.41</v>
      </c>
      <c r="F8829" s="221">
        <v>97.86</v>
      </c>
      <c r="G8829" s="221">
        <v>9.01</v>
      </c>
      <c r="H8829" s="222">
        <v>5812.13</v>
      </c>
      <c r="I8829" s="222">
        <v>5179.8900000000003</v>
      </c>
      <c r="J8829" s="222">
        <v>528.62</v>
      </c>
      <c r="K8829" s="222">
        <v>103.62</v>
      </c>
      <c r="L8829" s="43">
        <v>10.429460953201264</v>
      </c>
      <c r="M8829" s="43">
        <v>11.500388534890433</v>
      </c>
      <c r="N8829" s="43">
        <v>5.4017984876353973</v>
      </c>
      <c r="O8829" s="43">
        <v>11.500554938956716</v>
      </c>
      <c r="P8829" s="223"/>
      <c r="Q8829" s="223"/>
      <c r="R8829" s="223">
        <v>9</v>
      </c>
    </row>
    <row r="8830" spans="1:18" ht="60">
      <c r="A8830" s="219">
        <v>1571</v>
      </c>
      <c r="B8830" s="216" t="s">
        <v>16245</v>
      </c>
      <c r="C8830" s="220" t="s">
        <v>16246</v>
      </c>
      <c r="D8830" s="221">
        <v>768.43</v>
      </c>
      <c r="E8830" s="221">
        <v>567.61</v>
      </c>
      <c r="F8830" s="221">
        <v>189.47</v>
      </c>
      <c r="G8830" s="221">
        <v>11.35</v>
      </c>
      <c r="H8830" s="222">
        <v>7683.3</v>
      </c>
      <c r="I8830" s="222">
        <v>6527.72</v>
      </c>
      <c r="J8830" s="222">
        <v>1025.05</v>
      </c>
      <c r="K8830" s="222">
        <v>130.53</v>
      </c>
      <c r="L8830" s="43">
        <v>9.9986986452897479</v>
      </c>
      <c r="M8830" s="43">
        <v>11.500361163474921</v>
      </c>
      <c r="N8830" s="43">
        <v>5.4100913073309753</v>
      </c>
      <c r="O8830" s="43">
        <v>11.500440528634362</v>
      </c>
      <c r="P8830" s="223"/>
      <c r="Q8830" s="223"/>
      <c r="R8830" s="223">
        <v>9</v>
      </c>
    </row>
    <row r="8831" spans="1:18" ht="12.75" customHeight="1">
      <c r="A8831" s="628" t="s">
        <v>16247</v>
      </c>
      <c r="B8831" s="629"/>
      <c r="C8831" s="629"/>
      <c r="D8831" s="629"/>
      <c r="E8831" s="629"/>
      <c r="F8831" s="629"/>
      <c r="G8831" s="629"/>
      <c r="H8831" s="629"/>
      <c r="I8831" s="629"/>
      <c r="J8831" s="629"/>
      <c r="K8831" s="629"/>
      <c r="L8831" s="629"/>
      <c r="M8831" s="629"/>
      <c r="N8831" s="629"/>
      <c r="O8831" s="629"/>
      <c r="P8831" s="629"/>
      <c r="Q8831" s="629"/>
      <c r="R8831" s="629"/>
    </row>
    <row r="8832" spans="1:18" ht="60">
      <c r="A8832" s="219">
        <v>1572</v>
      </c>
      <c r="B8832" s="216" t="s">
        <v>16248</v>
      </c>
      <c r="C8832" s="220" t="s">
        <v>16249</v>
      </c>
      <c r="D8832" s="221">
        <v>258.10000000000002</v>
      </c>
      <c r="E8832" s="221">
        <v>232.1</v>
      </c>
      <c r="F8832" s="221">
        <v>21.36</v>
      </c>
      <c r="G8832" s="221">
        <v>4.6399999999999997</v>
      </c>
      <c r="H8832" s="222">
        <v>2836.6</v>
      </c>
      <c r="I8832" s="222">
        <v>2669.23</v>
      </c>
      <c r="J8832" s="222">
        <v>114.01</v>
      </c>
      <c r="K8832" s="222">
        <v>53.36</v>
      </c>
      <c r="L8832" s="43">
        <v>10.99031383184812</v>
      </c>
      <c r="M8832" s="43">
        <v>11.500344679017665</v>
      </c>
      <c r="N8832" s="43">
        <v>5.3375468164794011</v>
      </c>
      <c r="O8832" s="43">
        <v>11.5</v>
      </c>
      <c r="P8832" s="223"/>
      <c r="Q8832" s="223"/>
      <c r="R8832" s="223">
        <v>10</v>
      </c>
    </row>
    <row r="8833" spans="1:18" ht="60">
      <c r="A8833" s="219">
        <v>1573</v>
      </c>
      <c r="B8833" s="216" t="s">
        <v>16250</v>
      </c>
      <c r="C8833" s="220" t="s">
        <v>16251</v>
      </c>
      <c r="D8833" s="221">
        <v>345.11</v>
      </c>
      <c r="E8833" s="221">
        <v>309.08</v>
      </c>
      <c r="F8833" s="221">
        <v>29.85</v>
      </c>
      <c r="G8833" s="221">
        <v>6.18</v>
      </c>
      <c r="H8833" s="222">
        <v>3785.31</v>
      </c>
      <c r="I8833" s="222">
        <v>3554.57</v>
      </c>
      <c r="J8833" s="222">
        <v>159.66999999999999</v>
      </c>
      <c r="K8833" s="222">
        <v>71.069999999999993</v>
      </c>
      <c r="L8833" s="43">
        <v>10.968415867404595</v>
      </c>
      <c r="M8833" s="43">
        <v>11.50048531124628</v>
      </c>
      <c r="N8833" s="43">
        <v>5.3490787269681732</v>
      </c>
      <c r="O8833" s="43">
        <v>11.5</v>
      </c>
      <c r="P8833" s="223"/>
      <c r="Q8833" s="223"/>
      <c r="R8833" s="223">
        <v>10</v>
      </c>
    </row>
    <row r="8834" spans="1:18" ht="60">
      <c r="A8834" s="219">
        <v>1574</v>
      </c>
      <c r="B8834" s="216" t="s">
        <v>16252</v>
      </c>
      <c r="C8834" s="220" t="s">
        <v>16253</v>
      </c>
      <c r="D8834" s="221">
        <v>505.95</v>
      </c>
      <c r="E8834" s="221">
        <v>450.41</v>
      </c>
      <c r="F8834" s="221">
        <v>46.53</v>
      </c>
      <c r="G8834" s="221">
        <v>9.01</v>
      </c>
      <c r="H8834" s="222">
        <v>5533.45</v>
      </c>
      <c r="I8834" s="222">
        <v>5179.8900000000003</v>
      </c>
      <c r="J8834" s="222">
        <v>249.94</v>
      </c>
      <c r="K8834" s="222">
        <v>103.62</v>
      </c>
      <c r="L8834" s="43">
        <v>10.936752643541851</v>
      </c>
      <c r="M8834" s="43">
        <v>11.500388534890433</v>
      </c>
      <c r="N8834" s="43">
        <v>5.3715882226520524</v>
      </c>
      <c r="O8834" s="43">
        <v>11.500554938956716</v>
      </c>
      <c r="P8834" s="223"/>
      <c r="Q8834" s="223"/>
      <c r="R8834" s="223">
        <v>10</v>
      </c>
    </row>
    <row r="8835" spans="1:18" ht="60">
      <c r="A8835" s="224">
        <v>1575</v>
      </c>
      <c r="B8835" s="225" t="s">
        <v>16254</v>
      </c>
      <c r="C8835" s="226" t="s">
        <v>16255</v>
      </c>
      <c r="D8835" s="227">
        <v>640.04999999999995</v>
      </c>
      <c r="E8835" s="227">
        <v>554.97</v>
      </c>
      <c r="F8835" s="227">
        <v>73.98</v>
      </c>
      <c r="G8835" s="227">
        <v>11.1</v>
      </c>
      <c r="H8835" s="228">
        <v>6908.05</v>
      </c>
      <c r="I8835" s="228">
        <v>6382.36</v>
      </c>
      <c r="J8835" s="228">
        <v>398.04</v>
      </c>
      <c r="K8835" s="228">
        <v>127.65</v>
      </c>
      <c r="L8835" s="611">
        <v>10.792984923052888</v>
      </c>
      <c r="M8835" s="611">
        <v>11.50036938933636</v>
      </c>
      <c r="N8835" s="611">
        <v>5.3803730738037308</v>
      </c>
      <c r="O8835" s="611">
        <v>11.5</v>
      </c>
      <c r="P8835" s="229"/>
      <c r="Q8835" s="229"/>
      <c r="R8835" s="229">
        <v>10</v>
      </c>
    </row>
    <row r="8836" spans="1:18" ht="12.75" customHeight="1">
      <c r="A8836" s="630" t="s">
        <v>16256</v>
      </c>
      <c r="B8836" s="631"/>
      <c r="C8836" s="631"/>
      <c r="D8836" s="631"/>
      <c r="E8836" s="631"/>
      <c r="F8836" s="631"/>
      <c r="G8836" s="631"/>
      <c r="H8836" s="631"/>
      <c r="I8836" s="631"/>
      <c r="J8836" s="631"/>
      <c r="K8836" s="631"/>
      <c r="L8836" s="631"/>
      <c r="M8836" s="631"/>
      <c r="N8836" s="631"/>
      <c r="O8836" s="631"/>
      <c r="P8836" s="631"/>
      <c r="Q8836" s="631"/>
      <c r="R8836" s="631"/>
    </row>
    <row r="8837" spans="1:18" ht="12.75" customHeight="1">
      <c r="A8837" s="628" t="s">
        <v>16257</v>
      </c>
      <c r="B8837" s="629"/>
      <c r="C8837" s="629"/>
      <c r="D8837" s="629"/>
      <c r="E8837" s="629"/>
      <c r="F8837" s="629"/>
      <c r="G8837" s="629"/>
      <c r="H8837" s="629"/>
      <c r="I8837" s="629"/>
      <c r="J8837" s="629"/>
      <c r="K8837" s="629"/>
      <c r="L8837" s="629"/>
      <c r="M8837" s="629"/>
      <c r="N8837" s="629"/>
      <c r="O8837" s="629"/>
      <c r="P8837" s="629"/>
      <c r="Q8837" s="629"/>
      <c r="R8837" s="629"/>
    </row>
    <row r="8838" spans="1:18" ht="12.75" customHeight="1">
      <c r="A8838" s="628" t="s">
        <v>16258</v>
      </c>
      <c r="B8838" s="629"/>
      <c r="C8838" s="629"/>
      <c r="D8838" s="629"/>
      <c r="E8838" s="629"/>
      <c r="F8838" s="629"/>
      <c r="G8838" s="629"/>
      <c r="H8838" s="629"/>
      <c r="I8838" s="629"/>
      <c r="J8838" s="629"/>
      <c r="K8838" s="629"/>
      <c r="L8838" s="629"/>
      <c r="M8838" s="629"/>
      <c r="N8838" s="629"/>
      <c r="O8838" s="629"/>
      <c r="P8838" s="629"/>
      <c r="Q8838" s="629"/>
      <c r="R8838" s="629"/>
    </row>
    <row r="8839" spans="1:18" ht="24">
      <c r="A8839" s="219">
        <v>1576</v>
      </c>
      <c r="B8839" s="216" t="s">
        <v>16259</v>
      </c>
      <c r="C8839" s="220" t="s">
        <v>16260</v>
      </c>
      <c r="D8839" s="221">
        <v>3412.31</v>
      </c>
      <c r="E8839" s="221">
        <v>751.45</v>
      </c>
      <c r="F8839" s="221">
        <v>482.85</v>
      </c>
      <c r="G8839" s="221">
        <v>2178.0100000000002</v>
      </c>
      <c r="H8839" s="222">
        <v>29194.91</v>
      </c>
      <c r="I8839" s="222">
        <v>8641.9599999999991</v>
      </c>
      <c r="J8839" s="222">
        <v>2557.6799999999998</v>
      </c>
      <c r="K8839" s="222">
        <v>17995.27</v>
      </c>
      <c r="L8839" s="43">
        <v>8.5557613464192883</v>
      </c>
      <c r="M8839" s="43">
        <v>11.500379266750945</v>
      </c>
      <c r="N8839" s="43">
        <v>5.2970487729108413</v>
      </c>
      <c r="O8839" s="43">
        <v>8.2622531576989999</v>
      </c>
      <c r="P8839" s="223"/>
      <c r="Q8839" s="223"/>
      <c r="R8839" s="223">
        <v>1</v>
      </c>
    </row>
    <row r="8840" spans="1:18" ht="24">
      <c r="A8840" s="219">
        <v>1577</v>
      </c>
      <c r="B8840" s="216" t="s">
        <v>16261</v>
      </c>
      <c r="C8840" s="220" t="s">
        <v>16262</v>
      </c>
      <c r="D8840" s="221">
        <v>3307.12</v>
      </c>
      <c r="E8840" s="221">
        <v>1367.31</v>
      </c>
      <c r="F8840" s="221">
        <v>1161.69</v>
      </c>
      <c r="G8840" s="221">
        <v>778.12</v>
      </c>
      <c r="H8840" s="222">
        <v>28360.99</v>
      </c>
      <c r="I8840" s="222">
        <v>15724.66</v>
      </c>
      <c r="J8840" s="222">
        <v>7439.15</v>
      </c>
      <c r="K8840" s="222">
        <v>5197.18</v>
      </c>
      <c r="L8840" s="43">
        <v>8.5757365925639242</v>
      </c>
      <c r="M8840" s="43">
        <v>11.500435161009573</v>
      </c>
      <c r="N8840" s="43">
        <v>6.4037307715483474</v>
      </c>
      <c r="O8840" s="43">
        <v>6.679149745540534</v>
      </c>
      <c r="P8840" s="223"/>
      <c r="Q8840" s="223"/>
      <c r="R8840" s="223">
        <v>1</v>
      </c>
    </row>
    <row r="8841" spans="1:18" ht="48">
      <c r="A8841" s="219">
        <v>1578</v>
      </c>
      <c r="B8841" s="216" t="s">
        <v>16263</v>
      </c>
      <c r="C8841" s="220" t="s">
        <v>16264</v>
      </c>
      <c r="D8841" s="221">
        <v>10893.81</v>
      </c>
      <c r="E8841" s="221">
        <v>4124.91</v>
      </c>
      <c r="F8841" s="221">
        <v>952.8</v>
      </c>
      <c r="G8841" s="221">
        <v>5816.1</v>
      </c>
      <c r="H8841" s="222">
        <v>88329.41</v>
      </c>
      <c r="I8841" s="222">
        <v>47438.26</v>
      </c>
      <c r="J8841" s="222">
        <v>5673.23</v>
      </c>
      <c r="K8841" s="222">
        <v>35217.919999999998</v>
      </c>
      <c r="L8841" s="43">
        <v>8.1082201727402996</v>
      </c>
      <c r="M8841" s="43">
        <v>11.500435161009575</v>
      </c>
      <c r="N8841" s="43">
        <v>5.9542716204869857</v>
      </c>
      <c r="O8841" s="43">
        <v>6.0552466429394265</v>
      </c>
      <c r="P8841" s="223"/>
      <c r="Q8841" s="223"/>
      <c r="R8841" s="223">
        <v>1</v>
      </c>
    </row>
    <row r="8842" spans="1:18" ht="24">
      <c r="A8842" s="219">
        <v>1579</v>
      </c>
      <c r="B8842" s="216" t="s">
        <v>16265</v>
      </c>
      <c r="C8842" s="220" t="s">
        <v>16266</v>
      </c>
      <c r="D8842" s="221">
        <v>1599.98</v>
      </c>
      <c r="E8842" s="221">
        <v>1286.8800000000001</v>
      </c>
      <c r="F8842" s="221">
        <v>266.45999999999998</v>
      </c>
      <c r="G8842" s="221">
        <v>46.64</v>
      </c>
      <c r="H8842" s="222">
        <v>16618.73</v>
      </c>
      <c r="I8842" s="222">
        <v>14799.68</v>
      </c>
      <c r="J8842" s="222">
        <v>1411.54</v>
      </c>
      <c r="K8842" s="222">
        <v>407.51</v>
      </c>
      <c r="L8842" s="43">
        <v>10.386836085451067</v>
      </c>
      <c r="M8842" s="43">
        <v>11.500435161009573</v>
      </c>
      <c r="N8842" s="43">
        <v>5.2973804698641453</v>
      </c>
      <c r="O8842" s="43">
        <v>8.7373499142367059</v>
      </c>
      <c r="P8842" s="223"/>
      <c r="Q8842" s="223"/>
      <c r="R8842" s="223">
        <v>1</v>
      </c>
    </row>
    <row r="8843" spans="1:18" ht="36">
      <c r="A8843" s="219">
        <v>1580</v>
      </c>
      <c r="B8843" s="216" t="s">
        <v>16267</v>
      </c>
      <c r="C8843" s="220" t="s">
        <v>16268</v>
      </c>
      <c r="D8843" s="221">
        <v>1314.52</v>
      </c>
      <c r="E8843" s="221">
        <v>814.64</v>
      </c>
      <c r="F8843" s="221">
        <v>326.8</v>
      </c>
      <c r="G8843" s="221">
        <v>173.08</v>
      </c>
      <c r="H8843" s="222">
        <v>12124.16</v>
      </c>
      <c r="I8843" s="222">
        <v>9368.73</v>
      </c>
      <c r="J8843" s="222">
        <v>1731.83</v>
      </c>
      <c r="K8843" s="222">
        <v>1023.6</v>
      </c>
      <c r="L8843" s="43">
        <v>9.2232602014423524</v>
      </c>
      <c r="M8843" s="43">
        <v>11.500454188353137</v>
      </c>
      <c r="N8843" s="43">
        <v>5.2993574051407588</v>
      </c>
      <c r="O8843" s="43">
        <v>5.9140281950543097</v>
      </c>
      <c r="P8843" s="223"/>
      <c r="Q8843" s="223"/>
      <c r="R8843" s="223">
        <v>1</v>
      </c>
    </row>
    <row r="8844" spans="1:18" ht="24">
      <c r="A8844" s="219">
        <v>1581</v>
      </c>
      <c r="B8844" s="216" t="s">
        <v>16269</v>
      </c>
      <c r="C8844" s="220" t="s">
        <v>16270</v>
      </c>
      <c r="D8844" s="221">
        <v>1316.82</v>
      </c>
      <c r="E8844" s="221">
        <v>1286.8800000000001</v>
      </c>
      <c r="F8844" s="221">
        <v>4.2</v>
      </c>
      <c r="G8844" s="221">
        <v>25.74</v>
      </c>
      <c r="H8844" s="222">
        <v>15118.8</v>
      </c>
      <c r="I8844" s="222">
        <v>14799.68</v>
      </c>
      <c r="J8844" s="222">
        <v>23.11</v>
      </c>
      <c r="K8844" s="222">
        <v>296.01</v>
      </c>
      <c r="L8844" s="43">
        <v>11.481295849090992</v>
      </c>
      <c r="M8844" s="43">
        <v>11.500435161009573</v>
      </c>
      <c r="N8844" s="43">
        <v>5.5023809523809524</v>
      </c>
      <c r="O8844" s="43">
        <v>11.5</v>
      </c>
      <c r="P8844" s="223"/>
      <c r="Q8844" s="223"/>
      <c r="R8844" s="223">
        <v>1</v>
      </c>
    </row>
    <row r="8845" spans="1:18" ht="12.75" customHeight="1">
      <c r="A8845" s="628" t="s">
        <v>16271</v>
      </c>
      <c r="B8845" s="629"/>
      <c r="C8845" s="629"/>
      <c r="D8845" s="629"/>
      <c r="E8845" s="629"/>
      <c r="F8845" s="629"/>
      <c r="G8845" s="629"/>
      <c r="H8845" s="629"/>
      <c r="I8845" s="629"/>
      <c r="J8845" s="629"/>
      <c r="K8845" s="629"/>
      <c r="L8845" s="629"/>
      <c r="M8845" s="629"/>
      <c r="N8845" s="629"/>
      <c r="O8845" s="629"/>
      <c r="P8845" s="629"/>
      <c r="Q8845" s="629"/>
      <c r="R8845" s="629"/>
    </row>
    <row r="8846" spans="1:18" ht="24">
      <c r="A8846" s="219">
        <v>1582</v>
      </c>
      <c r="B8846" s="216" t="s">
        <v>16272</v>
      </c>
      <c r="C8846" s="220" t="s">
        <v>16273</v>
      </c>
      <c r="D8846" s="221">
        <v>15245.54</v>
      </c>
      <c r="E8846" s="221">
        <v>12868.8</v>
      </c>
      <c r="F8846" s="221">
        <v>2014.84</v>
      </c>
      <c r="G8846" s="221">
        <v>361.9</v>
      </c>
      <c r="H8846" s="222">
        <v>162077.97</v>
      </c>
      <c r="I8846" s="222">
        <v>147996.79999999999</v>
      </c>
      <c r="J8846" s="222">
        <v>10563.8</v>
      </c>
      <c r="K8846" s="222">
        <v>3517.37</v>
      </c>
      <c r="L8846" s="43">
        <v>10.631172788894325</v>
      </c>
      <c r="M8846" s="43">
        <v>11.500435161009573</v>
      </c>
      <c r="N8846" s="43">
        <v>5.2429969625379682</v>
      </c>
      <c r="O8846" s="43">
        <v>9.7191765681127382</v>
      </c>
      <c r="P8846" s="223"/>
      <c r="Q8846" s="223"/>
      <c r="R8846" s="223">
        <v>2</v>
      </c>
    </row>
    <row r="8847" spans="1:18" ht="24">
      <c r="A8847" s="224">
        <v>1583</v>
      </c>
      <c r="B8847" s="225" t="s">
        <v>16274</v>
      </c>
      <c r="C8847" s="226" t="s">
        <v>16275</v>
      </c>
      <c r="D8847" s="227">
        <v>17231.400000000001</v>
      </c>
      <c r="E8847" s="227">
        <v>12868.8</v>
      </c>
      <c r="F8847" s="227">
        <v>3791.65</v>
      </c>
      <c r="G8847" s="227">
        <v>570.95000000000005</v>
      </c>
      <c r="H8847" s="228">
        <v>172715.06</v>
      </c>
      <c r="I8847" s="228">
        <v>147996.79999999999</v>
      </c>
      <c r="J8847" s="228">
        <v>20085.88</v>
      </c>
      <c r="K8847" s="228">
        <v>4632.38</v>
      </c>
      <c r="L8847" s="611">
        <v>10.023274951541952</v>
      </c>
      <c r="M8847" s="611">
        <v>11.500435161009573</v>
      </c>
      <c r="N8847" s="611">
        <v>5.2973982303218916</v>
      </c>
      <c r="O8847" s="611">
        <v>8.1134600227690683</v>
      </c>
      <c r="P8847" s="229"/>
      <c r="Q8847" s="229"/>
      <c r="R8847" s="229">
        <v>2</v>
      </c>
    </row>
    <row r="8848" spans="1:18" ht="12.75" customHeight="1">
      <c r="A8848" s="630" t="s">
        <v>16276</v>
      </c>
      <c r="B8848" s="631"/>
      <c r="C8848" s="631"/>
      <c r="D8848" s="631"/>
      <c r="E8848" s="631"/>
      <c r="F8848" s="631"/>
      <c r="G8848" s="631"/>
      <c r="H8848" s="631"/>
      <c r="I8848" s="631"/>
      <c r="J8848" s="631"/>
      <c r="K8848" s="631"/>
      <c r="L8848" s="631"/>
      <c r="M8848" s="631"/>
      <c r="N8848" s="631"/>
      <c r="O8848" s="631"/>
      <c r="P8848" s="631"/>
      <c r="Q8848" s="631"/>
      <c r="R8848" s="631"/>
    </row>
    <row r="8849" spans="1:18" ht="12.75" customHeight="1">
      <c r="A8849" s="628" t="s">
        <v>16277</v>
      </c>
      <c r="B8849" s="629"/>
      <c r="C8849" s="629"/>
      <c r="D8849" s="629"/>
      <c r="E8849" s="629"/>
      <c r="F8849" s="629"/>
      <c r="G8849" s="629"/>
      <c r="H8849" s="629"/>
      <c r="I8849" s="629"/>
      <c r="J8849" s="629"/>
      <c r="K8849" s="629"/>
      <c r="L8849" s="629"/>
      <c r="M8849" s="629"/>
      <c r="N8849" s="629"/>
      <c r="O8849" s="629"/>
      <c r="P8849" s="629"/>
      <c r="Q8849" s="629"/>
      <c r="R8849" s="629"/>
    </row>
    <row r="8850" spans="1:18" ht="24">
      <c r="A8850" s="219">
        <v>1584</v>
      </c>
      <c r="B8850" s="216" t="s">
        <v>16278</v>
      </c>
      <c r="C8850" s="220" t="s">
        <v>16279</v>
      </c>
      <c r="D8850" s="221">
        <v>87.45</v>
      </c>
      <c r="E8850" s="221">
        <v>6.89</v>
      </c>
      <c r="F8850" s="221">
        <v>64.42</v>
      </c>
      <c r="G8850" s="221">
        <v>16.14</v>
      </c>
      <c r="H8850" s="222">
        <v>537.44000000000005</v>
      </c>
      <c r="I8850" s="222">
        <v>79.28</v>
      </c>
      <c r="J8850" s="222">
        <v>349.74</v>
      </c>
      <c r="K8850" s="222">
        <v>108.42</v>
      </c>
      <c r="L8850" s="43">
        <v>6.14568324757004</v>
      </c>
      <c r="M8850" s="43">
        <v>11.5021951219512</v>
      </c>
      <c r="N8850" s="43">
        <v>5.4290592983545487</v>
      </c>
      <c r="O8850" s="43">
        <v>6.7174721189591073</v>
      </c>
      <c r="P8850" s="223"/>
      <c r="Q8850" s="223"/>
      <c r="R8850" s="223">
        <v>1</v>
      </c>
    </row>
    <row r="8851" spans="1:18" ht="24">
      <c r="A8851" s="219">
        <v>1585</v>
      </c>
      <c r="B8851" s="216" t="s">
        <v>16280</v>
      </c>
      <c r="C8851" s="220" t="s">
        <v>16281</v>
      </c>
      <c r="D8851" s="221">
        <v>87.45</v>
      </c>
      <c r="E8851" s="221">
        <v>6.89</v>
      </c>
      <c r="F8851" s="221">
        <v>64.42</v>
      </c>
      <c r="G8851" s="221">
        <v>16.14</v>
      </c>
      <c r="H8851" s="222">
        <v>537.44000000000005</v>
      </c>
      <c r="I8851" s="222">
        <v>79.28</v>
      </c>
      <c r="J8851" s="222">
        <v>349.74</v>
      </c>
      <c r="K8851" s="222">
        <v>108.42</v>
      </c>
      <c r="L8851" s="43">
        <v>6.14568324757004</v>
      </c>
      <c r="M8851" s="43">
        <v>11.5021951219512</v>
      </c>
      <c r="N8851" s="43">
        <v>5.4290592983545487</v>
      </c>
      <c r="O8851" s="43">
        <v>6.7174721189591073</v>
      </c>
      <c r="P8851" s="223"/>
      <c r="Q8851" s="223"/>
      <c r="R8851" s="223">
        <v>1</v>
      </c>
    </row>
    <row r="8852" spans="1:18" ht="24">
      <c r="A8852" s="219">
        <v>1586</v>
      </c>
      <c r="B8852" s="216" t="s">
        <v>16282</v>
      </c>
      <c r="C8852" s="220" t="s">
        <v>16283</v>
      </c>
      <c r="D8852" s="221">
        <v>87.45</v>
      </c>
      <c r="E8852" s="221">
        <v>6.89</v>
      </c>
      <c r="F8852" s="221">
        <v>64.42</v>
      </c>
      <c r="G8852" s="221">
        <v>16.14</v>
      </c>
      <c r="H8852" s="222">
        <v>537.44000000000005</v>
      </c>
      <c r="I8852" s="222">
        <v>79.28</v>
      </c>
      <c r="J8852" s="222">
        <v>349.74</v>
      </c>
      <c r="K8852" s="222">
        <v>108.42</v>
      </c>
      <c r="L8852" s="43">
        <v>6.14568324757004</v>
      </c>
      <c r="M8852" s="43">
        <v>11.5021951219512</v>
      </c>
      <c r="N8852" s="43">
        <v>5.4290592983545487</v>
      </c>
      <c r="O8852" s="43">
        <v>6.7174721189591073</v>
      </c>
      <c r="P8852" s="223"/>
      <c r="Q8852" s="223"/>
      <c r="R8852" s="223">
        <v>1</v>
      </c>
    </row>
    <row r="8853" spans="1:18" ht="24">
      <c r="A8853" s="219">
        <v>1587</v>
      </c>
      <c r="B8853" s="216" t="s">
        <v>16284</v>
      </c>
      <c r="C8853" s="220" t="s">
        <v>16285</v>
      </c>
      <c r="D8853" s="221">
        <v>88.04</v>
      </c>
      <c r="E8853" s="221">
        <v>7.47</v>
      </c>
      <c r="F8853" s="221">
        <v>64.42</v>
      </c>
      <c r="G8853" s="221">
        <v>16.149999999999999</v>
      </c>
      <c r="H8853" s="222">
        <v>544.16999999999996</v>
      </c>
      <c r="I8853" s="222">
        <v>85.89</v>
      </c>
      <c r="J8853" s="222">
        <v>349.74</v>
      </c>
      <c r="K8853" s="222">
        <v>108.54</v>
      </c>
      <c r="L8853" s="43">
        <v>6.1809404815992721</v>
      </c>
      <c r="M8853" s="43">
        <v>11.497991967871487</v>
      </c>
      <c r="N8853" s="43">
        <v>5.4290592983545487</v>
      </c>
      <c r="O8853" s="43">
        <v>6.7207430340557286</v>
      </c>
      <c r="P8853" s="223"/>
      <c r="Q8853" s="223"/>
      <c r="R8853" s="223">
        <v>1</v>
      </c>
    </row>
    <row r="8854" spans="1:18" ht="24">
      <c r="A8854" s="219">
        <v>1588</v>
      </c>
      <c r="B8854" s="216" t="s">
        <v>16286</v>
      </c>
      <c r="C8854" s="220" t="s">
        <v>16287</v>
      </c>
      <c r="D8854" s="221">
        <v>88.4</v>
      </c>
      <c r="E8854" s="221">
        <v>7.47</v>
      </c>
      <c r="F8854" s="221">
        <v>64.78</v>
      </c>
      <c r="G8854" s="221">
        <v>16.149999999999999</v>
      </c>
      <c r="H8854" s="222">
        <v>546.03</v>
      </c>
      <c r="I8854" s="222">
        <v>85.89</v>
      </c>
      <c r="J8854" s="222">
        <v>351.6</v>
      </c>
      <c r="K8854" s="222">
        <v>108.54</v>
      </c>
      <c r="L8854" s="43">
        <v>6.1768099547511301</v>
      </c>
      <c r="M8854" s="43">
        <v>11.497991967871487</v>
      </c>
      <c r="N8854" s="43">
        <v>5.4276011114541527</v>
      </c>
      <c r="O8854" s="43">
        <v>6.7207430340557286</v>
      </c>
      <c r="P8854" s="223"/>
      <c r="Q8854" s="223"/>
      <c r="R8854" s="223">
        <v>1</v>
      </c>
    </row>
    <row r="8855" spans="1:18" ht="24">
      <c r="A8855" s="219">
        <v>1589</v>
      </c>
      <c r="B8855" s="216" t="s">
        <v>16288</v>
      </c>
      <c r="C8855" s="220" t="s">
        <v>16289</v>
      </c>
      <c r="D8855" s="221">
        <v>88.4</v>
      </c>
      <c r="E8855" s="221">
        <v>7.47</v>
      </c>
      <c r="F8855" s="221">
        <v>64.78</v>
      </c>
      <c r="G8855" s="221">
        <v>16.149999999999999</v>
      </c>
      <c r="H8855" s="222">
        <v>546.03</v>
      </c>
      <c r="I8855" s="222">
        <v>85.89</v>
      </c>
      <c r="J8855" s="222">
        <v>351.6</v>
      </c>
      <c r="K8855" s="222">
        <v>108.54</v>
      </c>
      <c r="L8855" s="43">
        <v>6.1768099547511301</v>
      </c>
      <c r="M8855" s="43">
        <v>11.497991967871487</v>
      </c>
      <c r="N8855" s="43">
        <v>5.4276011114541527</v>
      </c>
      <c r="O8855" s="43">
        <v>6.7207430340557286</v>
      </c>
      <c r="P8855" s="223"/>
      <c r="Q8855" s="223"/>
      <c r="R8855" s="223">
        <v>1</v>
      </c>
    </row>
    <row r="8856" spans="1:18" ht="24">
      <c r="A8856" s="219">
        <v>1590</v>
      </c>
      <c r="B8856" s="216" t="s">
        <v>16290</v>
      </c>
      <c r="C8856" s="220" t="s">
        <v>16291</v>
      </c>
      <c r="D8856" s="221">
        <v>88.4</v>
      </c>
      <c r="E8856" s="221">
        <v>7.47</v>
      </c>
      <c r="F8856" s="221">
        <v>64.78</v>
      </c>
      <c r="G8856" s="221">
        <v>16.149999999999999</v>
      </c>
      <c r="H8856" s="222">
        <v>546.03</v>
      </c>
      <c r="I8856" s="222">
        <v>85.89</v>
      </c>
      <c r="J8856" s="222">
        <v>351.6</v>
      </c>
      <c r="K8856" s="222">
        <v>108.54</v>
      </c>
      <c r="L8856" s="43">
        <v>6.1768099547511301</v>
      </c>
      <c r="M8856" s="43">
        <v>11.497991967871487</v>
      </c>
      <c r="N8856" s="43">
        <v>5.4276011114541527</v>
      </c>
      <c r="O8856" s="43">
        <v>6.7207430340557286</v>
      </c>
      <c r="P8856" s="223"/>
      <c r="Q8856" s="223"/>
      <c r="R8856" s="223">
        <v>1</v>
      </c>
    </row>
    <row r="8857" spans="1:18" ht="24">
      <c r="A8857" s="219">
        <v>1591</v>
      </c>
      <c r="B8857" s="216" t="s">
        <v>16292</v>
      </c>
      <c r="C8857" s="220" t="s">
        <v>16293</v>
      </c>
      <c r="D8857" s="221">
        <v>89.22</v>
      </c>
      <c r="E8857" s="221">
        <v>8.27</v>
      </c>
      <c r="F8857" s="221">
        <v>64.78</v>
      </c>
      <c r="G8857" s="221">
        <v>16.170000000000002</v>
      </c>
      <c r="H8857" s="222">
        <v>555.51</v>
      </c>
      <c r="I8857" s="222">
        <v>95.14</v>
      </c>
      <c r="J8857" s="222">
        <v>351.6</v>
      </c>
      <c r="K8857" s="222">
        <v>108.77</v>
      </c>
      <c r="L8857" s="43">
        <v>6.2262945527908542</v>
      </c>
      <c r="M8857" s="43">
        <v>11.504232164449819</v>
      </c>
      <c r="N8857" s="43">
        <v>5.4276011114541527</v>
      </c>
      <c r="O8857" s="43">
        <v>6.7266542980828685</v>
      </c>
      <c r="P8857" s="223"/>
      <c r="Q8857" s="223"/>
      <c r="R8857" s="223">
        <v>1</v>
      </c>
    </row>
    <row r="8858" spans="1:18" ht="24">
      <c r="A8858" s="219">
        <v>1592</v>
      </c>
      <c r="B8858" s="216" t="s">
        <v>16294</v>
      </c>
      <c r="C8858" s="220" t="s">
        <v>16295</v>
      </c>
      <c r="D8858" s="221">
        <v>89.85</v>
      </c>
      <c r="E8858" s="221">
        <v>8.73</v>
      </c>
      <c r="F8858" s="221">
        <v>64.95</v>
      </c>
      <c r="G8858" s="221">
        <v>16.170000000000002</v>
      </c>
      <c r="H8858" s="222">
        <v>561.73</v>
      </c>
      <c r="I8858" s="222">
        <v>100.43</v>
      </c>
      <c r="J8858" s="222">
        <v>352.53</v>
      </c>
      <c r="K8858" s="222">
        <v>108.77</v>
      </c>
      <c r="L8858" s="43">
        <v>6.2518642181413471</v>
      </c>
      <c r="M8858" s="43">
        <v>11.504009163802978</v>
      </c>
      <c r="N8858" s="43">
        <v>5.4277136258660503</v>
      </c>
      <c r="O8858" s="43">
        <v>6.7266542980828685</v>
      </c>
      <c r="P8858" s="223"/>
      <c r="Q8858" s="223"/>
      <c r="R8858" s="223">
        <v>1</v>
      </c>
    </row>
    <row r="8859" spans="1:18" ht="24">
      <c r="A8859" s="219">
        <v>1593</v>
      </c>
      <c r="B8859" s="216" t="s">
        <v>16296</v>
      </c>
      <c r="C8859" s="220" t="s">
        <v>16297</v>
      </c>
      <c r="D8859" s="221">
        <v>115.67</v>
      </c>
      <c r="E8859" s="221">
        <v>34.81</v>
      </c>
      <c r="F8859" s="221">
        <v>64.16</v>
      </c>
      <c r="G8859" s="221">
        <v>16.7</v>
      </c>
      <c r="H8859" s="222">
        <v>863.58</v>
      </c>
      <c r="I8859" s="222">
        <v>400.38</v>
      </c>
      <c r="J8859" s="222">
        <v>348.34</v>
      </c>
      <c r="K8859" s="222">
        <v>114.86</v>
      </c>
      <c r="L8859" s="43">
        <v>7.4658943546295502</v>
      </c>
      <c r="M8859" s="43">
        <v>11.501867279517379</v>
      </c>
      <c r="N8859" s="43">
        <v>5.4292394014962593</v>
      </c>
      <c r="O8859" s="43">
        <v>6.8778443113772454</v>
      </c>
      <c r="P8859" s="223"/>
      <c r="Q8859" s="223"/>
      <c r="R8859" s="223">
        <v>1</v>
      </c>
    </row>
    <row r="8860" spans="1:18" ht="24">
      <c r="A8860" s="219">
        <v>1594</v>
      </c>
      <c r="B8860" s="216" t="s">
        <v>16298</v>
      </c>
      <c r="C8860" s="220" t="s">
        <v>16299</v>
      </c>
      <c r="D8860" s="221">
        <v>118.48</v>
      </c>
      <c r="E8860" s="221">
        <v>34.81</v>
      </c>
      <c r="F8860" s="221">
        <v>64.16</v>
      </c>
      <c r="G8860" s="221">
        <v>19.510000000000002</v>
      </c>
      <c r="H8860" s="222">
        <v>880.66</v>
      </c>
      <c r="I8860" s="222">
        <v>400.38</v>
      </c>
      <c r="J8860" s="222">
        <v>348.34</v>
      </c>
      <c r="K8860" s="222">
        <v>131.94</v>
      </c>
      <c r="L8860" s="43">
        <v>7.4329844699527339</v>
      </c>
      <c r="M8860" s="43">
        <v>11.501867279517379</v>
      </c>
      <c r="N8860" s="43">
        <v>5.4292394014962593</v>
      </c>
      <c r="O8860" s="43">
        <v>6.7626858021527418</v>
      </c>
      <c r="P8860" s="223"/>
      <c r="Q8860" s="223"/>
      <c r="R8860" s="223">
        <v>1</v>
      </c>
    </row>
    <row r="8861" spans="1:18" ht="24">
      <c r="A8861" s="219">
        <v>1595</v>
      </c>
      <c r="B8861" s="216" t="s">
        <v>16300</v>
      </c>
      <c r="C8861" s="220" t="s">
        <v>16301</v>
      </c>
      <c r="D8861" s="221">
        <v>121.33</v>
      </c>
      <c r="E8861" s="221">
        <v>34.81</v>
      </c>
      <c r="F8861" s="221">
        <v>64.16</v>
      </c>
      <c r="G8861" s="221">
        <v>22.36</v>
      </c>
      <c r="H8861" s="222">
        <v>902.91</v>
      </c>
      <c r="I8861" s="222">
        <v>400.38</v>
      </c>
      <c r="J8861" s="222">
        <v>348.34</v>
      </c>
      <c r="K8861" s="222">
        <v>154.19</v>
      </c>
      <c r="L8861" s="43">
        <v>7.4417703783070959</v>
      </c>
      <c r="M8861" s="43">
        <v>11.501867279517379</v>
      </c>
      <c r="N8861" s="43">
        <v>5.4292394014962593</v>
      </c>
      <c r="O8861" s="43">
        <v>6.8957960644007157</v>
      </c>
      <c r="P8861" s="223"/>
      <c r="Q8861" s="223"/>
      <c r="R8861" s="223">
        <v>1</v>
      </c>
    </row>
    <row r="8862" spans="1:18" ht="24">
      <c r="A8862" s="219">
        <v>1596</v>
      </c>
      <c r="B8862" s="216" t="s">
        <v>16302</v>
      </c>
      <c r="C8862" s="220" t="s">
        <v>16303</v>
      </c>
      <c r="D8862" s="221">
        <v>131.19</v>
      </c>
      <c r="E8862" s="221">
        <v>38.49</v>
      </c>
      <c r="F8862" s="221">
        <v>64.16</v>
      </c>
      <c r="G8862" s="221">
        <v>28.54</v>
      </c>
      <c r="H8862" s="222">
        <v>981.53</v>
      </c>
      <c r="I8862" s="222">
        <v>442.67</v>
      </c>
      <c r="J8862" s="222">
        <v>348.34</v>
      </c>
      <c r="K8862" s="222">
        <v>190.52</v>
      </c>
      <c r="L8862" s="43">
        <v>7.4817440353685489</v>
      </c>
      <c r="M8862" s="43">
        <v>11.500909327097947</v>
      </c>
      <c r="N8862" s="43">
        <v>5.4292394014962593</v>
      </c>
      <c r="O8862" s="43">
        <v>6.6755430974071484</v>
      </c>
      <c r="P8862" s="223"/>
      <c r="Q8862" s="223"/>
      <c r="R8862" s="223">
        <v>1</v>
      </c>
    </row>
    <row r="8863" spans="1:18" ht="24">
      <c r="A8863" s="219">
        <v>1597</v>
      </c>
      <c r="B8863" s="216" t="s">
        <v>16304</v>
      </c>
      <c r="C8863" s="220" t="s">
        <v>16305</v>
      </c>
      <c r="D8863" s="221">
        <v>141.33000000000001</v>
      </c>
      <c r="E8863" s="221">
        <v>41.02</v>
      </c>
      <c r="F8863" s="221">
        <v>64.16</v>
      </c>
      <c r="G8863" s="221">
        <v>36.15</v>
      </c>
      <c r="H8863" s="222">
        <v>1060.1400000000001</v>
      </c>
      <c r="I8863" s="222">
        <v>471.74</v>
      </c>
      <c r="J8863" s="222">
        <v>348.34</v>
      </c>
      <c r="K8863" s="222">
        <v>240.06</v>
      </c>
      <c r="L8863" s="43">
        <v>7.5011674803651029</v>
      </c>
      <c r="M8863" s="43">
        <v>11.500243783520233</v>
      </c>
      <c r="N8863" s="43">
        <v>5.4292394014962593</v>
      </c>
      <c r="O8863" s="43">
        <v>6.6406639004149381</v>
      </c>
      <c r="P8863" s="223"/>
      <c r="Q8863" s="223"/>
      <c r="R8863" s="223">
        <v>1</v>
      </c>
    </row>
    <row r="8864" spans="1:18" ht="24">
      <c r="A8864" s="219">
        <v>1598</v>
      </c>
      <c r="B8864" s="216" t="s">
        <v>16306</v>
      </c>
      <c r="C8864" s="220" t="s">
        <v>16307</v>
      </c>
      <c r="D8864" s="221">
        <v>149.72</v>
      </c>
      <c r="E8864" s="221">
        <v>43.43</v>
      </c>
      <c r="F8864" s="221">
        <v>64.16</v>
      </c>
      <c r="G8864" s="221">
        <v>42.13</v>
      </c>
      <c r="H8864" s="222">
        <v>1129.3</v>
      </c>
      <c r="I8864" s="222">
        <v>499.49</v>
      </c>
      <c r="J8864" s="222">
        <v>348.34</v>
      </c>
      <c r="K8864" s="222">
        <v>281.47000000000003</v>
      </c>
      <c r="L8864" s="43">
        <v>7.5427464600587761</v>
      </c>
      <c r="M8864" s="43">
        <v>11.501036150126641</v>
      </c>
      <c r="N8864" s="43">
        <v>5.4292394014962593</v>
      </c>
      <c r="O8864" s="43">
        <v>6.6809874198908146</v>
      </c>
      <c r="P8864" s="223"/>
      <c r="Q8864" s="223"/>
      <c r="R8864" s="223">
        <v>1</v>
      </c>
    </row>
    <row r="8865" spans="1:18" ht="24">
      <c r="A8865" s="219">
        <v>1599</v>
      </c>
      <c r="B8865" s="216" t="s">
        <v>16308</v>
      </c>
      <c r="C8865" s="220" t="s">
        <v>16309</v>
      </c>
      <c r="D8865" s="221">
        <v>159.65</v>
      </c>
      <c r="E8865" s="221">
        <v>47.22</v>
      </c>
      <c r="F8865" s="221">
        <v>64.16</v>
      </c>
      <c r="G8865" s="221">
        <v>48.27</v>
      </c>
      <c r="H8865" s="222">
        <v>1211.46</v>
      </c>
      <c r="I8865" s="222">
        <v>543.1</v>
      </c>
      <c r="J8865" s="222">
        <v>348.34</v>
      </c>
      <c r="K8865" s="222">
        <v>320.02</v>
      </c>
      <c r="L8865" s="43">
        <v>7.5882242405261513</v>
      </c>
      <c r="M8865" s="43">
        <v>11.501482422702246</v>
      </c>
      <c r="N8865" s="43">
        <v>5.4292394014962593</v>
      </c>
      <c r="O8865" s="43">
        <v>6.6297907603066077</v>
      </c>
      <c r="P8865" s="223"/>
      <c r="Q8865" s="223"/>
      <c r="R8865" s="223">
        <v>1</v>
      </c>
    </row>
    <row r="8866" spans="1:18" ht="24">
      <c r="A8866" s="219">
        <v>1600</v>
      </c>
      <c r="B8866" s="216" t="s">
        <v>16310</v>
      </c>
      <c r="C8866" s="220" t="s">
        <v>16311</v>
      </c>
      <c r="D8866" s="221">
        <v>165.85</v>
      </c>
      <c r="E8866" s="221">
        <v>48.49</v>
      </c>
      <c r="F8866" s="221">
        <v>64.16</v>
      </c>
      <c r="G8866" s="221">
        <v>53.2</v>
      </c>
      <c r="H8866" s="222">
        <v>1260.26</v>
      </c>
      <c r="I8866" s="222">
        <v>557.63</v>
      </c>
      <c r="J8866" s="222">
        <v>348.34</v>
      </c>
      <c r="K8866" s="222">
        <v>354.29</v>
      </c>
      <c r="L8866" s="43">
        <v>7.598794091046126</v>
      </c>
      <c r="M8866" s="43">
        <v>11.499896885955867</v>
      </c>
      <c r="N8866" s="43">
        <v>5.4292394014962593</v>
      </c>
      <c r="O8866" s="43">
        <v>6.6595864661654138</v>
      </c>
      <c r="P8866" s="223"/>
      <c r="Q8866" s="223"/>
      <c r="R8866" s="223">
        <v>1</v>
      </c>
    </row>
    <row r="8867" spans="1:18" ht="24">
      <c r="A8867" s="219">
        <v>1601</v>
      </c>
      <c r="B8867" s="216" t="s">
        <v>16312</v>
      </c>
      <c r="C8867" s="220" t="s">
        <v>16313</v>
      </c>
      <c r="D8867" s="221">
        <v>181.94</v>
      </c>
      <c r="E8867" s="221">
        <v>50.9</v>
      </c>
      <c r="F8867" s="221">
        <v>64.16</v>
      </c>
      <c r="G8867" s="221">
        <v>66.88</v>
      </c>
      <c r="H8867" s="222">
        <v>1375.29</v>
      </c>
      <c r="I8867" s="222">
        <v>585.38</v>
      </c>
      <c r="J8867" s="222">
        <v>348.34</v>
      </c>
      <c r="K8867" s="222">
        <v>441.57</v>
      </c>
      <c r="L8867" s="43">
        <v>7.5590304495987688</v>
      </c>
      <c r="M8867" s="43">
        <v>11.500589390962672</v>
      </c>
      <c r="N8867" s="43">
        <v>5.4292394014962593</v>
      </c>
      <c r="O8867" s="43">
        <v>6.602422248803828</v>
      </c>
      <c r="P8867" s="223"/>
      <c r="Q8867" s="223"/>
      <c r="R8867" s="223">
        <v>1</v>
      </c>
    </row>
    <row r="8868" spans="1:18" ht="24">
      <c r="A8868" s="219">
        <v>1602</v>
      </c>
      <c r="B8868" s="216" t="s">
        <v>16314</v>
      </c>
      <c r="C8868" s="220" t="s">
        <v>16315</v>
      </c>
      <c r="D8868" s="221">
        <v>198.43</v>
      </c>
      <c r="E8868" s="221">
        <v>55.96</v>
      </c>
      <c r="F8868" s="221">
        <v>64.16</v>
      </c>
      <c r="G8868" s="221">
        <v>78.31</v>
      </c>
      <c r="H8868" s="222">
        <v>1513.22</v>
      </c>
      <c r="I8868" s="222">
        <v>643.52</v>
      </c>
      <c r="J8868" s="222">
        <v>348.34</v>
      </c>
      <c r="K8868" s="222">
        <v>521.36</v>
      </c>
      <c r="L8868" s="43">
        <v>7.6259638159552487</v>
      </c>
      <c r="M8868" s="43">
        <v>11.49964260185847</v>
      </c>
      <c r="N8868" s="43">
        <v>5.4292394014962593</v>
      </c>
      <c r="O8868" s="43">
        <v>6.6576427020814712</v>
      </c>
      <c r="P8868" s="223"/>
      <c r="Q8868" s="223"/>
      <c r="R8868" s="223">
        <v>1</v>
      </c>
    </row>
    <row r="8869" spans="1:18" ht="24">
      <c r="A8869" s="219">
        <v>1603</v>
      </c>
      <c r="B8869" s="216" t="s">
        <v>16316</v>
      </c>
      <c r="C8869" s="220" t="s">
        <v>16317</v>
      </c>
      <c r="D8869" s="221">
        <v>233.45</v>
      </c>
      <c r="E8869" s="221">
        <v>68.37</v>
      </c>
      <c r="F8869" s="221">
        <v>64.16</v>
      </c>
      <c r="G8869" s="221">
        <v>100.92</v>
      </c>
      <c r="H8869" s="222">
        <v>1807.48</v>
      </c>
      <c r="I8869" s="222">
        <v>786.23</v>
      </c>
      <c r="J8869" s="222">
        <v>348.34</v>
      </c>
      <c r="K8869" s="222">
        <v>672.91</v>
      </c>
      <c r="L8869" s="43">
        <v>7.7424716213321911</v>
      </c>
      <c r="M8869" s="43">
        <v>11.499634342547902</v>
      </c>
      <c r="N8869" s="43">
        <v>5.4292394014962593</v>
      </c>
      <c r="O8869" s="43">
        <v>6.6677566389219178</v>
      </c>
      <c r="P8869" s="223"/>
      <c r="Q8869" s="223"/>
      <c r="R8869" s="223">
        <v>1</v>
      </c>
    </row>
    <row r="8870" spans="1:18" ht="24">
      <c r="A8870" s="219">
        <v>1604</v>
      </c>
      <c r="B8870" s="216" t="s">
        <v>16318</v>
      </c>
      <c r="C8870" s="220" t="s">
        <v>16319</v>
      </c>
      <c r="D8870" s="221">
        <v>262.23</v>
      </c>
      <c r="E8870" s="221">
        <v>73.31</v>
      </c>
      <c r="F8870" s="221">
        <v>64.16</v>
      </c>
      <c r="G8870" s="221">
        <v>124.76</v>
      </c>
      <c r="H8870" s="222">
        <v>2017.35</v>
      </c>
      <c r="I8870" s="222">
        <v>843.05</v>
      </c>
      <c r="J8870" s="222">
        <v>348.34</v>
      </c>
      <c r="K8870" s="222">
        <v>825.96</v>
      </c>
      <c r="L8870" s="43">
        <v>7.6930557144491472</v>
      </c>
      <c r="M8870" s="43">
        <v>11.499795389442093</v>
      </c>
      <c r="N8870" s="43">
        <v>5.4292394014962593</v>
      </c>
      <c r="O8870" s="43">
        <v>6.6203911510099394</v>
      </c>
      <c r="P8870" s="223"/>
      <c r="Q8870" s="223"/>
      <c r="R8870" s="223">
        <v>1</v>
      </c>
    </row>
    <row r="8871" spans="1:18" ht="24">
      <c r="A8871" s="219">
        <v>1605</v>
      </c>
      <c r="B8871" s="216" t="s">
        <v>16320</v>
      </c>
      <c r="C8871" s="220" t="s">
        <v>16321</v>
      </c>
      <c r="D8871" s="221">
        <v>293.52999999999997</v>
      </c>
      <c r="E8871" s="221">
        <v>80.77</v>
      </c>
      <c r="F8871" s="221">
        <v>64.16</v>
      </c>
      <c r="G8871" s="221">
        <v>148.6</v>
      </c>
      <c r="H8871" s="222">
        <v>2267.4699999999998</v>
      </c>
      <c r="I8871" s="222">
        <v>928.94</v>
      </c>
      <c r="J8871" s="222">
        <v>348.34</v>
      </c>
      <c r="K8871" s="222">
        <v>990.19</v>
      </c>
      <c r="L8871" s="43">
        <v>7.724832214765101</v>
      </c>
      <c r="M8871" s="43">
        <v>11.501052370929802</v>
      </c>
      <c r="N8871" s="43">
        <v>5.4292394014962593</v>
      </c>
      <c r="O8871" s="43">
        <v>6.6634589502018846</v>
      </c>
      <c r="P8871" s="223"/>
      <c r="Q8871" s="223"/>
      <c r="R8871" s="223">
        <v>1</v>
      </c>
    </row>
    <row r="8872" spans="1:18" ht="12.75" customHeight="1">
      <c r="A8872" s="628" t="s">
        <v>16322</v>
      </c>
      <c r="B8872" s="629"/>
      <c r="C8872" s="629"/>
      <c r="D8872" s="629"/>
      <c r="E8872" s="629"/>
      <c r="F8872" s="629"/>
      <c r="G8872" s="629"/>
      <c r="H8872" s="629"/>
      <c r="I8872" s="629"/>
      <c r="J8872" s="629"/>
      <c r="K8872" s="629"/>
      <c r="L8872" s="629"/>
      <c r="M8872" s="629"/>
      <c r="N8872" s="629"/>
      <c r="O8872" s="629"/>
      <c r="P8872" s="629"/>
      <c r="Q8872" s="629"/>
      <c r="R8872" s="629"/>
    </row>
    <row r="8873" spans="1:18" ht="24">
      <c r="A8873" s="219">
        <v>1606</v>
      </c>
      <c r="B8873" s="216" t="s">
        <v>16323</v>
      </c>
      <c r="C8873" s="220" t="s">
        <v>16324</v>
      </c>
      <c r="D8873" s="221">
        <v>79.569999999999993</v>
      </c>
      <c r="E8873" s="221">
        <v>6.32</v>
      </c>
      <c r="F8873" s="221">
        <v>64.34</v>
      </c>
      <c r="G8873" s="221">
        <v>8.91</v>
      </c>
      <c r="H8873" s="222">
        <v>509.28</v>
      </c>
      <c r="I8873" s="222">
        <v>72.680000000000007</v>
      </c>
      <c r="J8873" s="222">
        <v>349.27</v>
      </c>
      <c r="K8873" s="222">
        <v>87.33</v>
      </c>
      <c r="L8873" s="43">
        <v>6.4004021616187003</v>
      </c>
      <c r="M8873" s="43">
        <v>11.5</v>
      </c>
      <c r="N8873" s="43">
        <v>5.4285048181535585</v>
      </c>
      <c r="O8873" s="43">
        <v>9.801346801346801</v>
      </c>
      <c r="P8873" s="223"/>
      <c r="Q8873" s="223"/>
      <c r="R8873" s="223">
        <v>2</v>
      </c>
    </row>
    <row r="8874" spans="1:18" ht="24">
      <c r="A8874" s="219">
        <v>1607</v>
      </c>
      <c r="B8874" s="216" t="s">
        <v>16325</v>
      </c>
      <c r="C8874" s="220" t="s">
        <v>16326</v>
      </c>
      <c r="D8874" s="221">
        <v>79.569999999999993</v>
      </c>
      <c r="E8874" s="221">
        <v>6.32</v>
      </c>
      <c r="F8874" s="221">
        <v>64.34</v>
      </c>
      <c r="G8874" s="221">
        <v>8.91</v>
      </c>
      <c r="H8874" s="222">
        <v>509.28</v>
      </c>
      <c r="I8874" s="222">
        <v>72.680000000000007</v>
      </c>
      <c r="J8874" s="222">
        <v>349.27</v>
      </c>
      <c r="K8874" s="222">
        <v>87.33</v>
      </c>
      <c r="L8874" s="43">
        <v>6.4004021616187003</v>
      </c>
      <c r="M8874" s="43">
        <v>11.5</v>
      </c>
      <c r="N8874" s="43">
        <v>5.4285048181535585</v>
      </c>
      <c r="O8874" s="43">
        <v>9.801346801346801</v>
      </c>
      <c r="P8874" s="223"/>
      <c r="Q8874" s="223"/>
      <c r="R8874" s="223">
        <v>2</v>
      </c>
    </row>
    <row r="8875" spans="1:18" ht="24">
      <c r="A8875" s="219">
        <v>1608</v>
      </c>
      <c r="B8875" s="216" t="s">
        <v>16327</v>
      </c>
      <c r="C8875" s="220" t="s">
        <v>16328</v>
      </c>
      <c r="D8875" s="221">
        <v>79.569999999999993</v>
      </c>
      <c r="E8875" s="221">
        <v>6.32</v>
      </c>
      <c r="F8875" s="221">
        <v>64.34</v>
      </c>
      <c r="G8875" s="221">
        <v>8.91</v>
      </c>
      <c r="H8875" s="222">
        <v>509.28</v>
      </c>
      <c r="I8875" s="222">
        <v>72.680000000000007</v>
      </c>
      <c r="J8875" s="222">
        <v>349.27</v>
      </c>
      <c r="K8875" s="222">
        <v>87.33</v>
      </c>
      <c r="L8875" s="43">
        <v>6.4004021616187003</v>
      </c>
      <c r="M8875" s="43">
        <v>11.5</v>
      </c>
      <c r="N8875" s="43">
        <v>5.4285048181535585</v>
      </c>
      <c r="O8875" s="43">
        <v>9.801346801346801</v>
      </c>
      <c r="P8875" s="223"/>
      <c r="Q8875" s="223"/>
      <c r="R8875" s="223">
        <v>2</v>
      </c>
    </row>
    <row r="8876" spans="1:18" ht="24">
      <c r="A8876" s="219">
        <v>1609</v>
      </c>
      <c r="B8876" s="216" t="s">
        <v>16329</v>
      </c>
      <c r="C8876" s="220" t="s">
        <v>16330</v>
      </c>
      <c r="D8876" s="221">
        <v>79.88</v>
      </c>
      <c r="E8876" s="221">
        <v>6.55</v>
      </c>
      <c r="F8876" s="221">
        <v>64.42</v>
      </c>
      <c r="G8876" s="221">
        <v>8.91</v>
      </c>
      <c r="H8876" s="222">
        <v>512.39</v>
      </c>
      <c r="I8876" s="222">
        <v>75.319999999999993</v>
      </c>
      <c r="J8876" s="222">
        <v>349.74</v>
      </c>
      <c r="K8876" s="222">
        <v>87.33</v>
      </c>
      <c r="L8876" s="43">
        <v>6.4144967451176766</v>
      </c>
      <c r="M8876" s="43">
        <v>11.499236641221373</v>
      </c>
      <c r="N8876" s="43">
        <v>5.4290592983545487</v>
      </c>
      <c r="O8876" s="43">
        <v>9.801346801346801</v>
      </c>
      <c r="P8876" s="223"/>
      <c r="Q8876" s="223"/>
      <c r="R8876" s="223">
        <v>2</v>
      </c>
    </row>
    <row r="8877" spans="1:18" ht="24">
      <c r="A8877" s="219">
        <v>1610</v>
      </c>
      <c r="B8877" s="216" t="s">
        <v>16331</v>
      </c>
      <c r="C8877" s="220" t="s">
        <v>16332</v>
      </c>
      <c r="D8877" s="221">
        <v>79.88</v>
      </c>
      <c r="E8877" s="221">
        <v>6.55</v>
      </c>
      <c r="F8877" s="221">
        <v>64.42</v>
      </c>
      <c r="G8877" s="221">
        <v>8.91</v>
      </c>
      <c r="H8877" s="222">
        <v>512.39</v>
      </c>
      <c r="I8877" s="222">
        <v>75.319999999999993</v>
      </c>
      <c r="J8877" s="222">
        <v>349.74</v>
      </c>
      <c r="K8877" s="222">
        <v>87.33</v>
      </c>
      <c r="L8877" s="43">
        <v>6.4144967451176766</v>
      </c>
      <c r="M8877" s="43">
        <v>11.499236641221373</v>
      </c>
      <c r="N8877" s="43">
        <v>5.4290592983545487</v>
      </c>
      <c r="O8877" s="43">
        <v>9.801346801346801</v>
      </c>
      <c r="P8877" s="223"/>
      <c r="Q8877" s="223"/>
      <c r="R8877" s="223">
        <v>2</v>
      </c>
    </row>
    <row r="8878" spans="1:18" ht="24">
      <c r="A8878" s="219">
        <v>1611</v>
      </c>
      <c r="B8878" s="216" t="s">
        <v>16333</v>
      </c>
      <c r="C8878" s="220" t="s">
        <v>16334</v>
      </c>
      <c r="D8878" s="221">
        <v>79.88</v>
      </c>
      <c r="E8878" s="221">
        <v>6.55</v>
      </c>
      <c r="F8878" s="221">
        <v>64.42</v>
      </c>
      <c r="G8878" s="221">
        <v>8.91</v>
      </c>
      <c r="H8878" s="222">
        <v>512.39</v>
      </c>
      <c r="I8878" s="222">
        <v>75.319999999999993</v>
      </c>
      <c r="J8878" s="222">
        <v>349.74</v>
      </c>
      <c r="K8878" s="222">
        <v>87.33</v>
      </c>
      <c r="L8878" s="43">
        <v>6.4144967451176766</v>
      </c>
      <c r="M8878" s="43">
        <v>11.499236641221373</v>
      </c>
      <c r="N8878" s="43">
        <v>5.4290592983545487</v>
      </c>
      <c r="O8878" s="43">
        <v>9.801346801346801</v>
      </c>
      <c r="P8878" s="223"/>
      <c r="Q8878" s="223"/>
      <c r="R8878" s="223">
        <v>2</v>
      </c>
    </row>
    <row r="8879" spans="1:18" ht="24">
      <c r="A8879" s="219">
        <v>1612</v>
      </c>
      <c r="B8879" s="216" t="s">
        <v>16335</v>
      </c>
      <c r="C8879" s="220" t="s">
        <v>16336</v>
      </c>
      <c r="D8879" s="221">
        <v>79.88</v>
      </c>
      <c r="E8879" s="221">
        <v>6.55</v>
      </c>
      <c r="F8879" s="221">
        <v>64.42</v>
      </c>
      <c r="G8879" s="221">
        <v>8.91</v>
      </c>
      <c r="H8879" s="222">
        <v>512.39</v>
      </c>
      <c r="I8879" s="222">
        <v>75.319999999999993</v>
      </c>
      <c r="J8879" s="222">
        <v>349.74</v>
      </c>
      <c r="K8879" s="222">
        <v>87.33</v>
      </c>
      <c r="L8879" s="43">
        <v>6.4144967451176766</v>
      </c>
      <c r="M8879" s="43">
        <v>11.499236641221373</v>
      </c>
      <c r="N8879" s="43">
        <v>5.4290592983545487</v>
      </c>
      <c r="O8879" s="43">
        <v>9.801346801346801</v>
      </c>
      <c r="P8879" s="223"/>
      <c r="Q8879" s="223"/>
      <c r="R8879" s="223">
        <v>2</v>
      </c>
    </row>
    <row r="8880" spans="1:18" ht="24">
      <c r="A8880" s="219">
        <v>1613</v>
      </c>
      <c r="B8880" s="216" t="s">
        <v>16337</v>
      </c>
      <c r="C8880" s="220" t="s">
        <v>16338</v>
      </c>
      <c r="D8880" s="221">
        <v>80.44</v>
      </c>
      <c r="E8880" s="221">
        <v>7.01</v>
      </c>
      <c r="F8880" s="221">
        <v>64.510000000000005</v>
      </c>
      <c r="G8880" s="221">
        <v>8.92</v>
      </c>
      <c r="H8880" s="222">
        <v>518.25</v>
      </c>
      <c r="I8880" s="222">
        <v>80.61</v>
      </c>
      <c r="J8880" s="222">
        <v>350.2</v>
      </c>
      <c r="K8880" s="222">
        <v>87.44</v>
      </c>
      <c r="L8880" s="43">
        <v>6.4426902038786675</v>
      </c>
      <c r="M8880" s="43">
        <v>11.499286733238231</v>
      </c>
      <c r="N8880" s="43">
        <v>5.4286157184932566</v>
      </c>
      <c r="O8880" s="43">
        <v>9.8026905829596416</v>
      </c>
      <c r="P8880" s="223"/>
      <c r="Q8880" s="223"/>
      <c r="R8880" s="223">
        <v>2</v>
      </c>
    </row>
    <row r="8881" spans="1:18" ht="24">
      <c r="A8881" s="219">
        <v>1614</v>
      </c>
      <c r="B8881" s="216" t="s">
        <v>16339</v>
      </c>
      <c r="C8881" s="220" t="s">
        <v>16340</v>
      </c>
      <c r="D8881" s="221">
        <v>80.67</v>
      </c>
      <c r="E8881" s="221">
        <v>7.24</v>
      </c>
      <c r="F8881" s="221">
        <v>64.510000000000005</v>
      </c>
      <c r="G8881" s="221">
        <v>8.92</v>
      </c>
      <c r="H8881" s="222">
        <v>520.89</v>
      </c>
      <c r="I8881" s="222">
        <v>83.25</v>
      </c>
      <c r="J8881" s="222">
        <v>350.2</v>
      </c>
      <c r="K8881" s="222">
        <v>87.44</v>
      </c>
      <c r="L8881" s="43">
        <v>6.4570472294533277</v>
      </c>
      <c r="M8881" s="43">
        <v>11.498618784530386</v>
      </c>
      <c r="N8881" s="43">
        <v>5.4286157184932566</v>
      </c>
      <c r="O8881" s="43">
        <v>9.8026905829596416</v>
      </c>
      <c r="P8881" s="223"/>
      <c r="Q8881" s="223"/>
      <c r="R8881" s="223">
        <v>2</v>
      </c>
    </row>
    <row r="8882" spans="1:18" ht="24">
      <c r="A8882" s="219">
        <v>1615</v>
      </c>
      <c r="B8882" s="216" t="s">
        <v>16341</v>
      </c>
      <c r="C8882" s="220" t="s">
        <v>16342</v>
      </c>
      <c r="D8882" s="221">
        <v>105.88</v>
      </c>
      <c r="E8882" s="221">
        <v>32.29</v>
      </c>
      <c r="F8882" s="221">
        <v>64.16</v>
      </c>
      <c r="G8882" s="221">
        <v>9.43</v>
      </c>
      <c r="H8882" s="222">
        <v>812.96</v>
      </c>
      <c r="I8882" s="222">
        <v>371.31</v>
      </c>
      <c r="J8882" s="222">
        <v>348.34</v>
      </c>
      <c r="K8882" s="222">
        <v>93.31</v>
      </c>
      <c r="L8882" s="43">
        <v>7.6781261805817911</v>
      </c>
      <c r="M8882" s="43">
        <v>11.499225766491174</v>
      </c>
      <c r="N8882" s="43">
        <v>5.4292394014962593</v>
      </c>
      <c r="O8882" s="43">
        <v>9.8950159066808059</v>
      </c>
      <c r="P8882" s="223"/>
      <c r="Q8882" s="223"/>
      <c r="R8882" s="223">
        <v>2</v>
      </c>
    </row>
    <row r="8883" spans="1:18" ht="24">
      <c r="A8883" s="219">
        <v>1616</v>
      </c>
      <c r="B8883" s="216" t="s">
        <v>16343</v>
      </c>
      <c r="C8883" s="220" t="s">
        <v>16344</v>
      </c>
      <c r="D8883" s="221">
        <v>110.9</v>
      </c>
      <c r="E8883" s="221">
        <v>32.29</v>
      </c>
      <c r="F8883" s="221">
        <v>64.16</v>
      </c>
      <c r="G8883" s="221">
        <v>14.45</v>
      </c>
      <c r="H8883" s="222">
        <v>848.86</v>
      </c>
      <c r="I8883" s="222">
        <v>371.31</v>
      </c>
      <c r="J8883" s="222">
        <v>348.34</v>
      </c>
      <c r="K8883" s="222">
        <v>129.21</v>
      </c>
      <c r="L8883" s="43">
        <v>7.6542831379621274</v>
      </c>
      <c r="M8883" s="43">
        <v>11.499225766491174</v>
      </c>
      <c r="N8883" s="43">
        <v>5.4292394014962593</v>
      </c>
      <c r="O8883" s="43">
        <v>8.9418685121107284</v>
      </c>
      <c r="P8883" s="223"/>
      <c r="Q8883" s="223"/>
      <c r="R8883" s="223">
        <v>2</v>
      </c>
    </row>
    <row r="8884" spans="1:18" ht="24">
      <c r="A8884" s="219">
        <v>1617</v>
      </c>
      <c r="B8884" s="216" t="s">
        <v>16345</v>
      </c>
      <c r="C8884" s="220" t="s">
        <v>16346</v>
      </c>
      <c r="D8884" s="221">
        <v>116.75</v>
      </c>
      <c r="E8884" s="221">
        <v>32.29</v>
      </c>
      <c r="F8884" s="221">
        <v>64.16</v>
      </c>
      <c r="G8884" s="221">
        <v>20.3</v>
      </c>
      <c r="H8884" s="222">
        <v>880.6</v>
      </c>
      <c r="I8884" s="222">
        <v>371.31</v>
      </c>
      <c r="J8884" s="222">
        <v>348.34</v>
      </c>
      <c r="K8884" s="222">
        <v>160.94999999999999</v>
      </c>
      <c r="L8884" s="43">
        <v>7.5426124197002142</v>
      </c>
      <c r="M8884" s="43">
        <v>11.499225766491174</v>
      </c>
      <c r="N8884" s="43">
        <v>5.4292394014962593</v>
      </c>
      <c r="O8884" s="43">
        <v>7.9285714285714279</v>
      </c>
      <c r="P8884" s="223"/>
      <c r="Q8884" s="223"/>
      <c r="R8884" s="223">
        <v>2</v>
      </c>
    </row>
    <row r="8885" spans="1:18" ht="24">
      <c r="A8885" s="219">
        <v>1618</v>
      </c>
      <c r="B8885" s="216" t="s">
        <v>16347</v>
      </c>
      <c r="C8885" s="220" t="s">
        <v>16348</v>
      </c>
      <c r="D8885" s="221">
        <v>123.51</v>
      </c>
      <c r="E8885" s="221">
        <v>34.81</v>
      </c>
      <c r="F8885" s="221">
        <v>64.16</v>
      </c>
      <c r="G8885" s="221">
        <v>24.54</v>
      </c>
      <c r="H8885" s="222">
        <v>949.02</v>
      </c>
      <c r="I8885" s="222">
        <v>400.38</v>
      </c>
      <c r="J8885" s="222">
        <v>348.34</v>
      </c>
      <c r="K8885" s="222">
        <v>200.3</v>
      </c>
      <c r="L8885" s="43">
        <v>7.6837503036191395</v>
      </c>
      <c r="M8885" s="43">
        <v>11.501867279517379</v>
      </c>
      <c r="N8885" s="43">
        <v>5.4292394014962593</v>
      </c>
      <c r="O8885" s="43">
        <v>8.1621841890790545</v>
      </c>
      <c r="P8885" s="223"/>
      <c r="Q8885" s="223"/>
      <c r="R8885" s="223">
        <v>2</v>
      </c>
    </row>
    <row r="8886" spans="1:18" ht="24">
      <c r="A8886" s="219">
        <v>1619</v>
      </c>
      <c r="B8886" s="216" t="s">
        <v>16349</v>
      </c>
      <c r="C8886" s="220" t="s">
        <v>16350</v>
      </c>
      <c r="D8886" s="221">
        <v>127.55</v>
      </c>
      <c r="E8886" s="221">
        <v>36.08</v>
      </c>
      <c r="F8886" s="221">
        <v>64.16</v>
      </c>
      <c r="G8886" s="221">
        <v>27.31</v>
      </c>
      <c r="H8886" s="222">
        <v>996.22</v>
      </c>
      <c r="I8886" s="222">
        <v>414.92</v>
      </c>
      <c r="J8886" s="222">
        <v>348.34</v>
      </c>
      <c r="K8886" s="222">
        <v>232.96</v>
      </c>
      <c r="L8886" s="43">
        <v>7.8104272834182673</v>
      </c>
      <c r="M8886" s="43">
        <v>11.500000000000002</v>
      </c>
      <c r="N8886" s="43">
        <v>5.4292394014962593</v>
      </c>
      <c r="O8886" s="43">
        <v>8.5302087147564993</v>
      </c>
      <c r="P8886" s="223"/>
      <c r="Q8886" s="223"/>
      <c r="R8886" s="223">
        <v>2</v>
      </c>
    </row>
    <row r="8887" spans="1:18" ht="24">
      <c r="A8887" s="219">
        <v>1620</v>
      </c>
      <c r="B8887" s="216" t="s">
        <v>16351</v>
      </c>
      <c r="C8887" s="220" t="s">
        <v>16352</v>
      </c>
      <c r="D8887" s="221">
        <v>134.37</v>
      </c>
      <c r="E8887" s="221">
        <v>38.49</v>
      </c>
      <c r="F8887" s="221">
        <v>64.16</v>
      </c>
      <c r="G8887" s="221">
        <v>31.72</v>
      </c>
      <c r="H8887" s="222">
        <v>1060.07</v>
      </c>
      <c r="I8887" s="222">
        <v>442.67</v>
      </c>
      <c r="J8887" s="222">
        <v>348.34</v>
      </c>
      <c r="K8887" s="222">
        <v>269.06</v>
      </c>
      <c r="L8887" s="43">
        <v>7.889186574384162</v>
      </c>
      <c r="M8887" s="43">
        <v>11.500909327097947</v>
      </c>
      <c r="N8887" s="43">
        <v>5.4292394014962593</v>
      </c>
      <c r="O8887" s="43">
        <v>8.4823455233291298</v>
      </c>
      <c r="P8887" s="223"/>
      <c r="Q8887" s="223"/>
      <c r="R8887" s="223">
        <v>2</v>
      </c>
    </row>
    <row r="8888" spans="1:18" ht="24">
      <c r="A8888" s="219">
        <v>1621</v>
      </c>
      <c r="B8888" s="216" t="s">
        <v>16353</v>
      </c>
      <c r="C8888" s="220" t="s">
        <v>16354</v>
      </c>
      <c r="D8888" s="221">
        <v>139.9</v>
      </c>
      <c r="E8888" s="221">
        <v>41.02</v>
      </c>
      <c r="F8888" s="221">
        <v>64.16</v>
      </c>
      <c r="G8888" s="221">
        <v>34.72</v>
      </c>
      <c r="H8888" s="222">
        <v>1119.19</v>
      </c>
      <c r="I8888" s="222">
        <v>471.74</v>
      </c>
      <c r="J8888" s="222">
        <v>348.34</v>
      </c>
      <c r="K8888" s="222">
        <v>299.11</v>
      </c>
      <c r="L8888" s="43">
        <v>7.9999285203716939</v>
      </c>
      <c r="M8888" s="43">
        <v>11.500243783520233</v>
      </c>
      <c r="N8888" s="43">
        <v>5.4292394014962593</v>
      </c>
      <c r="O8888" s="43">
        <v>8.61491935483871</v>
      </c>
      <c r="P8888" s="223"/>
      <c r="Q8888" s="223"/>
      <c r="R8888" s="223">
        <v>2</v>
      </c>
    </row>
    <row r="8889" spans="1:18" ht="24">
      <c r="A8889" s="219">
        <v>1622</v>
      </c>
      <c r="B8889" s="216" t="s">
        <v>16355</v>
      </c>
      <c r="C8889" s="220" t="s">
        <v>16356</v>
      </c>
      <c r="D8889" s="221">
        <v>142.65</v>
      </c>
      <c r="E8889" s="221">
        <v>41.02</v>
      </c>
      <c r="F8889" s="221">
        <v>64.16</v>
      </c>
      <c r="G8889" s="221">
        <v>37.47</v>
      </c>
      <c r="H8889" s="222">
        <v>1146.8599999999999</v>
      </c>
      <c r="I8889" s="222">
        <v>471.74</v>
      </c>
      <c r="J8889" s="222">
        <v>348.34</v>
      </c>
      <c r="K8889" s="222">
        <v>326.77999999999997</v>
      </c>
      <c r="L8889" s="43">
        <v>8.0396775324220116</v>
      </c>
      <c r="M8889" s="43">
        <v>11.500243783520233</v>
      </c>
      <c r="N8889" s="43">
        <v>5.4292394014962593</v>
      </c>
      <c r="O8889" s="43">
        <v>8.7211102215105409</v>
      </c>
      <c r="P8889" s="223"/>
      <c r="Q8889" s="223"/>
      <c r="R8889" s="223">
        <v>2</v>
      </c>
    </row>
    <row r="8890" spans="1:18" ht="24">
      <c r="A8890" s="219">
        <v>1623</v>
      </c>
      <c r="B8890" s="216" t="s">
        <v>16357</v>
      </c>
      <c r="C8890" s="220" t="s">
        <v>16358</v>
      </c>
      <c r="D8890" s="221">
        <v>150.41999999999999</v>
      </c>
      <c r="E8890" s="221">
        <v>42.28</v>
      </c>
      <c r="F8890" s="221">
        <v>64.16</v>
      </c>
      <c r="G8890" s="221">
        <v>43.98</v>
      </c>
      <c r="H8890" s="222">
        <v>1224.8</v>
      </c>
      <c r="I8890" s="222">
        <v>486.28</v>
      </c>
      <c r="J8890" s="222">
        <v>348.34</v>
      </c>
      <c r="K8890" s="222">
        <v>390.18</v>
      </c>
      <c r="L8890" s="43">
        <v>8.1425342374684213</v>
      </c>
      <c r="M8890" s="43">
        <v>11.501419110690632</v>
      </c>
      <c r="N8890" s="43">
        <v>5.4292394014962593</v>
      </c>
      <c r="O8890" s="43">
        <v>8.871759890859483</v>
      </c>
      <c r="P8890" s="223"/>
      <c r="Q8890" s="223"/>
      <c r="R8890" s="223">
        <v>2</v>
      </c>
    </row>
    <row r="8891" spans="1:18" ht="24">
      <c r="A8891" s="219">
        <v>1624</v>
      </c>
      <c r="B8891" s="216" t="s">
        <v>16359</v>
      </c>
      <c r="C8891" s="220" t="s">
        <v>16360</v>
      </c>
      <c r="D8891" s="221">
        <v>162.63</v>
      </c>
      <c r="E8891" s="221">
        <v>47.22</v>
      </c>
      <c r="F8891" s="221">
        <v>64.16</v>
      </c>
      <c r="G8891" s="221">
        <v>51.25</v>
      </c>
      <c r="H8891" s="222">
        <v>1346.46</v>
      </c>
      <c r="I8891" s="222">
        <v>543.1</v>
      </c>
      <c r="J8891" s="222">
        <v>348.34</v>
      </c>
      <c r="K8891" s="222">
        <v>455.02</v>
      </c>
      <c r="L8891" s="43">
        <v>8.279284264895777</v>
      </c>
      <c r="M8891" s="43">
        <v>11.501482422702246</v>
      </c>
      <c r="N8891" s="43">
        <v>5.4292394014962593</v>
      </c>
      <c r="O8891" s="43">
        <v>8.8784390243902429</v>
      </c>
      <c r="P8891" s="223"/>
      <c r="Q8891" s="223"/>
      <c r="R8891" s="223">
        <v>2</v>
      </c>
    </row>
    <row r="8892" spans="1:18" ht="24">
      <c r="A8892" s="219">
        <v>1625</v>
      </c>
      <c r="B8892" s="216" t="s">
        <v>16361</v>
      </c>
      <c r="C8892" s="220" t="s">
        <v>16362</v>
      </c>
      <c r="D8892" s="221">
        <v>182.65</v>
      </c>
      <c r="E8892" s="221">
        <v>55.84</v>
      </c>
      <c r="F8892" s="221">
        <v>64.16</v>
      </c>
      <c r="G8892" s="221">
        <v>62.65</v>
      </c>
      <c r="H8892" s="222">
        <v>1565.64</v>
      </c>
      <c r="I8892" s="222">
        <v>642.20000000000005</v>
      </c>
      <c r="J8892" s="222">
        <v>348.34</v>
      </c>
      <c r="K8892" s="222">
        <v>575.1</v>
      </c>
      <c r="L8892" s="43">
        <v>8.5718039967150297</v>
      </c>
      <c r="M8892" s="43">
        <v>11.500716332378223</v>
      </c>
      <c r="N8892" s="43">
        <v>5.4292394014962593</v>
      </c>
      <c r="O8892" s="43">
        <v>9.1795690343176375</v>
      </c>
      <c r="P8892" s="223"/>
      <c r="Q8892" s="223"/>
      <c r="R8892" s="223">
        <v>2</v>
      </c>
    </row>
    <row r="8893" spans="1:18" ht="24">
      <c r="A8893" s="219">
        <v>1626</v>
      </c>
      <c r="B8893" s="216" t="s">
        <v>16363</v>
      </c>
      <c r="C8893" s="220" t="s">
        <v>16364</v>
      </c>
      <c r="D8893" s="221">
        <v>199.03</v>
      </c>
      <c r="E8893" s="221">
        <v>59.63</v>
      </c>
      <c r="F8893" s="221">
        <v>64.16</v>
      </c>
      <c r="G8893" s="221">
        <v>75.239999999999995</v>
      </c>
      <c r="H8893" s="222">
        <v>1723.91</v>
      </c>
      <c r="I8893" s="222">
        <v>685.81</v>
      </c>
      <c r="J8893" s="222">
        <v>348.34</v>
      </c>
      <c r="K8893" s="222">
        <v>689.76</v>
      </c>
      <c r="L8893" s="43">
        <v>8.6615585590112047</v>
      </c>
      <c r="M8893" s="43">
        <v>11.501090055341269</v>
      </c>
      <c r="N8893" s="43">
        <v>5.4292394014962593</v>
      </c>
      <c r="O8893" s="43">
        <v>9.1674641148325371</v>
      </c>
      <c r="P8893" s="223"/>
      <c r="Q8893" s="223"/>
      <c r="R8893" s="223">
        <v>2</v>
      </c>
    </row>
    <row r="8894" spans="1:18" ht="24">
      <c r="A8894" s="219">
        <v>1627</v>
      </c>
      <c r="B8894" s="216" t="s">
        <v>16365</v>
      </c>
      <c r="C8894" s="220" t="s">
        <v>16366</v>
      </c>
      <c r="D8894" s="221">
        <v>280.74</v>
      </c>
      <c r="E8894" s="221">
        <v>64.569999999999993</v>
      </c>
      <c r="F8894" s="221">
        <v>64.16</v>
      </c>
      <c r="G8894" s="221">
        <v>152.01</v>
      </c>
      <c r="H8894" s="222">
        <v>2301.4299999999998</v>
      </c>
      <c r="I8894" s="222">
        <v>742.63</v>
      </c>
      <c r="J8894" s="222">
        <v>348.34</v>
      </c>
      <c r="K8894" s="222">
        <v>1210.46</v>
      </c>
      <c r="L8894" s="43">
        <v>8.197727434637029</v>
      </c>
      <c r="M8894" s="43">
        <v>11.501161530122349</v>
      </c>
      <c r="N8894" s="43">
        <v>5.4292394014962593</v>
      </c>
      <c r="O8894" s="43">
        <v>7.9630287481086777</v>
      </c>
      <c r="P8894" s="223"/>
      <c r="Q8894" s="223"/>
      <c r="R8894" s="223">
        <v>2</v>
      </c>
    </row>
    <row r="8895" spans="1:18" ht="12.75" customHeight="1">
      <c r="A8895" s="628" t="s">
        <v>16367</v>
      </c>
      <c r="B8895" s="629"/>
      <c r="C8895" s="629"/>
      <c r="D8895" s="629"/>
      <c r="E8895" s="629"/>
      <c r="F8895" s="629"/>
      <c r="G8895" s="629"/>
      <c r="H8895" s="629"/>
      <c r="I8895" s="629"/>
      <c r="J8895" s="629"/>
      <c r="K8895" s="629"/>
      <c r="L8895" s="629"/>
      <c r="M8895" s="629"/>
      <c r="N8895" s="629"/>
      <c r="O8895" s="629"/>
      <c r="P8895" s="629"/>
      <c r="Q8895" s="629"/>
      <c r="R8895" s="629"/>
    </row>
    <row r="8896" spans="1:18" ht="24">
      <c r="A8896" s="219">
        <v>1628</v>
      </c>
      <c r="B8896" s="216" t="s">
        <v>16368</v>
      </c>
      <c r="C8896" s="220" t="s">
        <v>16369</v>
      </c>
      <c r="D8896" s="221">
        <v>183.16</v>
      </c>
      <c r="E8896" s="221">
        <v>39.76</v>
      </c>
      <c r="F8896" s="221">
        <v>79.72</v>
      </c>
      <c r="G8896" s="221">
        <v>63.68</v>
      </c>
      <c r="H8896" s="222">
        <v>1272.8900000000001</v>
      </c>
      <c r="I8896" s="222">
        <v>457.2</v>
      </c>
      <c r="J8896" s="222">
        <v>397.8</v>
      </c>
      <c r="K8896" s="222">
        <v>417.89</v>
      </c>
      <c r="L8896" s="43">
        <v>6.9496069010701031</v>
      </c>
      <c r="M8896" s="43">
        <v>11.498993963782697</v>
      </c>
      <c r="N8896" s="43">
        <v>4.9899648770697445</v>
      </c>
      <c r="O8896" s="43">
        <v>6.5623429648241203</v>
      </c>
      <c r="P8896" s="223"/>
      <c r="Q8896" s="223"/>
      <c r="R8896" s="223">
        <v>3</v>
      </c>
    </row>
    <row r="8897" spans="1:18" ht="24">
      <c r="A8897" s="219">
        <v>1629</v>
      </c>
      <c r="B8897" s="216" t="s">
        <v>16370</v>
      </c>
      <c r="C8897" s="220" t="s">
        <v>16371</v>
      </c>
      <c r="D8897" s="221">
        <v>183.16</v>
      </c>
      <c r="E8897" s="221">
        <v>39.76</v>
      </c>
      <c r="F8897" s="221">
        <v>79.72</v>
      </c>
      <c r="G8897" s="221">
        <v>63.68</v>
      </c>
      <c r="H8897" s="222">
        <v>1272.8900000000001</v>
      </c>
      <c r="I8897" s="222">
        <v>457.2</v>
      </c>
      <c r="J8897" s="222">
        <v>397.8</v>
      </c>
      <c r="K8897" s="222">
        <v>417.89</v>
      </c>
      <c r="L8897" s="43">
        <v>6.9496069010701031</v>
      </c>
      <c r="M8897" s="43">
        <v>11.498993963782697</v>
      </c>
      <c r="N8897" s="43">
        <v>4.9899648770697445</v>
      </c>
      <c r="O8897" s="43">
        <v>6.5623429648241203</v>
      </c>
      <c r="P8897" s="223"/>
      <c r="Q8897" s="223"/>
      <c r="R8897" s="223">
        <v>3</v>
      </c>
    </row>
    <row r="8898" spans="1:18" ht="24">
      <c r="A8898" s="219">
        <v>1630</v>
      </c>
      <c r="B8898" s="216" t="s">
        <v>16372</v>
      </c>
      <c r="C8898" s="220" t="s">
        <v>16373</v>
      </c>
      <c r="D8898" s="221">
        <v>183.16</v>
      </c>
      <c r="E8898" s="221">
        <v>39.76</v>
      </c>
      <c r="F8898" s="221">
        <v>79.72</v>
      </c>
      <c r="G8898" s="221">
        <v>63.68</v>
      </c>
      <c r="H8898" s="222">
        <v>1272.8900000000001</v>
      </c>
      <c r="I8898" s="222">
        <v>457.2</v>
      </c>
      <c r="J8898" s="222">
        <v>397.8</v>
      </c>
      <c r="K8898" s="222">
        <v>417.89</v>
      </c>
      <c r="L8898" s="43">
        <v>6.9496069010701031</v>
      </c>
      <c r="M8898" s="43">
        <v>11.498993963782697</v>
      </c>
      <c r="N8898" s="43">
        <v>4.9899648770697445</v>
      </c>
      <c r="O8898" s="43">
        <v>6.5623429648241203</v>
      </c>
      <c r="P8898" s="223"/>
      <c r="Q8898" s="223"/>
      <c r="R8898" s="223">
        <v>3</v>
      </c>
    </row>
    <row r="8899" spans="1:18" ht="24">
      <c r="A8899" s="219">
        <v>1631</v>
      </c>
      <c r="B8899" s="216" t="s">
        <v>16374</v>
      </c>
      <c r="C8899" s="220" t="s">
        <v>16375</v>
      </c>
      <c r="D8899" s="221">
        <v>190.76</v>
      </c>
      <c r="E8899" s="221">
        <v>47.22</v>
      </c>
      <c r="F8899" s="221">
        <v>79.72</v>
      </c>
      <c r="G8899" s="221">
        <v>63.82</v>
      </c>
      <c r="H8899" s="222">
        <v>1360.4</v>
      </c>
      <c r="I8899" s="222">
        <v>543.1</v>
      </c>
      <c r="J8899" s="222">
        <v>397.8</v>
      </c>
      <c r="K8899" s="222">
        <v>419.5</v>
      </c>
      <c r="L8899" s="43">
        <v>7.1314741035856581</v>
      </c>
      <c r="M8899" s="43">
        <v>11.501482422702246</v>
      </c>
      <c r="N8899" s="43">
        <v>4.9899648770697445</v>
      </c>
      <c r="O8899" s="43">
        <v>6.5731745534315262</v>
      </c>
      <c r="P8899" s="223"/>
      <c r="Q8899" s="223"/>
      <c r="R8899" s="223">
        <v>3</v>
      </c>
    </row>
    <row r="8900" spans="1:18" ht="24">
      <c r="A8900" s="219">
        <v>1632</v>
      </c>
      <c r="B8900" s="216" t="s">
        <v>16376</v>
      </c>
      <c r="C8900" s="220" t="s">
        <v>16377</v>
      </c>
      <c r="D8900" s="221">
        <v>198.38</v>
      </c>
      <c r="E8900" s="221">
        <v>54.69</v>
      </c>
      <c r="F8900" s="221">
        <v>79.72</v>
      </c>
      <c r="G8900" s="221">
        <v>63.97</v>
      </c>
      <c r="H8900" s="222">
        <v>1448.02</v>
      </c>
      <c r="I8900" s="222">
        <v>628.99</v>
      </c>
      <c r="J8900" s="222">
        <v>397.8</v>
      </c>
      <c r="K8900" s="222">
        <v>421.23</v>
      </c>
      <c r="L8900" s="43">
        <v>7.2992237120677492</v>
      </c>
      <c r="M8900" s="43">
        <v>11.501005668312306</v>
      </c>
      <c r="N8900" s="43">
        <v>4.9899648770697445</v>
      </c>
      <c r="O8900" s="43">
        <v>6.5848053775207136</v>
      </c>
      <c r="P8900" s="223"/>
      <c r="Q8900" s="223"/>
      <c r="R8900" s="223">
        <v>3</v>
      </c>
    </row>
    <row r="8901" spans="1:18" ht="24">
      <c r="A8901" s="219">
        <v>1633</v>
      </c>
      <c r="B8901" s="216" t="s">
        <v>16378</v>
      </c>
      <c r="C8901" s="220" t="s">
        <v>16379</v>
      </c>
      <c r="D8901" s="221">
        <v>198.38</v>
      </c>
      <c r="E8901" s="221">
        <v>54.69</v>
      </c>
      <c r="F8901" s="221">
        <v>79.72</v>
      </c>
      <c r="G8901" s="221">
        <v>63.97</v>
      </c>
      <c r="H8901" s="222">
        <v>1448.02</v>
      </c>
      <c r="I8901" s="222">
        <v>628.99</v>
      </c>
      <c r="J8901" s="222">
        <v>397.8</v>
      </c>
      <c r="K8901" s="222">
        <v>421.23</v>
      </c>
      <c r="L8901" s="43">
        <v>7.2992237120677492</v>
      </c>
      <c r="M8901" s="43">
        <v>11.501005668312306</v>
      </c>
      <c r="N8901" s="43">
        <v>4.9899648770697445</v>
      </c>
      <c r="O8901" s="43">
        <v>6.5848053775207136</v>
      </c>
      <c r="P8901" s="223"/>
      <c r="Q8901" s="223"/>
      <c r="R8901" s="223">
        <v>3</v>
      </c>
    </row>
    <row r="8902" spans="1:18" ht="24">
      <c r="A8902" s="219">
        <v>1634</v>
      </c>
      <c r="B8902" s="216" t="s">
        <v>16380</v>
      </c>
      <c r="C8902" s="220" t="s">
        <v>16381</v>
      </c>
      <c r="D8902" s="221">
        <v>217.38</v>
      </c>
      <c r="E8902" s="221">
        <v>73.31</v>
      </c>
      <c r="F8902" s="221">
        <v>79.72</v>
      </c>
      <c r="G8902" s="221">
        <v>64.349999999999994</v>
      </c>
      <c r="H8902" s="222">
        <v>1666.45</v>
      </c>
      <c r="I8902" s="222">
        <v>843.05</v>
      </c>
      <c r="J8902" s="222">
        <v>397.8</v>
      </c>
      <c r="K8902" s="222">
        <v>425.6</v>
      </c>
      <c r="L8902" s="43">
        <v>7.6660686355690499</v>
      </c>
      <c r="M8902" s="43">
        <v>11.499795389442093</v>
      </c>
      <c r="N8902" s="43">
        <v>4.9899648770697445</v>
      </c>
      <c r="O8902" s="43">
        <v>6.6138306138306149</v>
      </c>
      <c r="P8902" s="223"/>
      <c r="Q8902" s="223"/>
      <c r="R8902" s="223">
        <v>3</v>
      </c>
    </row>
    <row r="8903" spans="1:18" ht="24">
      <c r="A8903" s="219">
        <v>1635</v>
      </c>
      <c r="B8903" s="216" t="s">
        <v>16382</v>
      </c>
      <c r="C8903" s="220" t="s">
        <v>16383</v>
      </c>
      <c r="D8903" s="221">
        <v>217.38</v>
      </c>
      <c r="E8903" s="221">
        <v>73.31</v>
      </c>
      <c r="F8903" s="221">
        <v>79.72</v>
      </c>
      <c r="G8903" s="221">
        <v>64.349999999999994</v>
      </c>
      <c r="H8903" s="222">
        <v>1666.45</v>
      </c>
      <c r="I8903" s="222">
        <v>843.05</v>
      </c>
      <c r="J8903" s="222">
        <v>397.8</v>
      </c>
      <c r="K8903" s="222">
        <v>425.6</v>
      </c>
      <c r="L8903" s="43">
        <v>7.6660686355690499</v>
      </c>
      <c r="M8903" s="43">
        <v>11.499795389442093</v>
      </c>
      <c r="N8903" s="43">
        <v>4.9899648770697445</v>
      </c>
      <c r="O8903" s="43">
        <v>6.6138306138306149</v>
      </c>
      <c r="P8903" s="223"/>
      <c r="Q8903" s="223"/>
      <c r="R8903" s="223">
        <v>3</v>
      </c>
    </row>
    <row r="8904" spans="1:18" ht="24">
      <c r="A8904" s="219">
        <v>1636</v>
      </c>
      <c r="B8904" s="216" t="s">
        <v>16384</v>
      </c>
      <c r="C8904" s="220" t="s">
        <v>16385</v>
      </c>
      <c r="D8904" s="221">
        <v>226.28</v>
      </c>
      <c r="E8904" s="221">
        <v>82.04</v>
      </c>
      <c r="F8904" s="221">
        <v>79.72</v>
      </c>
      <c r="G8904" s="221">
        <v>64.52</v>
      </c>
      <c r="H8904" s="222">
        <v>1768.83</v>
      </c>
      <c r="I8904" s="222">
        <v>943.48</v>
      </c>
      <c r="J8904" s="222">
        <v>397.8</v>
      </c>
      <c r="K8904" s="222">
        <v>427.55</v>
      </c>
      <c r="L8904" s="43">
        <v>7.8169966413293261</v>
      </c>
      <c r="M8904" s="43">
        <v>11.500243783520233</v>
      </c>
      <c r="N8904" s="43">
        <v>4.9899648770697445</v>
      </c>
      <c r="O8904" s="43">
        <v>6.6266274023558589</v>
      </c>
      <c r="P8904" s="223"/>
      <c r="Q8904" s="223"/>
      <c r="R8904" s="223">
        <v>3</v>
      </c>
    </row>
    <row r="8905" spans="1:18" ht="24">
      <c r="A8905" s="219">
        <v>1637</v>
      </c>
      <c r="B8905" s="216" t="s">
        <v>16386</v>
      </c>
      <c r="C8905" s="220" t="s">
        <v>16387</v>
      </c>
      <c r="D8905" s="221">
        <v>568.52</v>
      </c>
      <c r="E8905" s="221">
        <v>115.24</v>
      </c>
      <c r="F8905" s="221">
        <v>388.1</v>
      </c>
      <c r="G8905" s="221">
        <v>65.180000000000007</v>
      </c>
      <c r="H8905" s="222">
        <v>3700.88</v>
      </c>
      <c r="I8905" s="222">
        <v>1325.36</v>
      </c>
      <c r="J8905" s="222">
        <v>1940.38</v>
      </c>
      <c r="K8905" s="222">
        <v>435.14</v>
      </c>
      <c r="L8905" s="43">
        <v>6.5096742418912266</v>
      </c>
      <c r="M8905" s="43">
        <v>11.500867754251995</v>
      </c>
      <c r="N8905" s="43">
        <v>4.9996908013398604</v>
      </c>
      <c r="O8905" s="43">
        <v>6.6759742252224603</v>
      </c>
      <c r="P8905" s="223"/>
      <c r="Q8905" s="223"/>
      <c r="R8905" s="223">
        <v>3</v>
      </c>
    </row>
    <row r="8906" spans="1:18" ht="24">
      <c r="A8906" s="219">
        <v>1638</v>
      </c>
      <c r="B8906" s="216" t="s">
        <v>16388</v>
      </c>
      <c r="C8906" s="220" t="s">
        <v>16389</v>
      </c>
      <c r="D8906" s="221">
        <v>583.21</v>
      </c>
      <c r="E8906" s="221">
        <v>114.33</v>
      </c>
      <c r="F8906" s="221">
        <v>388.33</v>
      </c>
      <c r="G8906" s="221">
        <v>80.55</v>
      </c>
      <c r="H8906" s="222">
        <v>3791.89</v>
      </c>
      <c r="I8906" s="222">
        <v>1314.79</v>
      </c>
      <c r="J8906" s="222">
        <v>1941.59</v>
      </c>
      <c r="K8906" s="222">
        <v>535.51</v>
      </c>
      <c r="L8906" s="43">
        <v>6.5017575144459112</v>
      </c>
      <c r="M8906" s="43">
        <v>11.499956266946558</v>
      </c>
      <c r="N8906" s="43">
        <v>4.999845492235985</v>
      </c>
      <c r="O8906" s="43">
        <v>6.6481688392302916</v>
      </c>
      <c r="P8906" s="223"/>
      <c r="Q8906" s="223"/>
      <c r="R8906" s="223">
        <v>3</v>
      </c>
    </row>
    <row r="8907" spans="1:18" ht="24">
      <c r="A8907" s="219">
        <v>1639</v>
      </c>
      <c r="B8907" s="216" t="s">
        <v>16390</v>
      </c>
      <c r="C8907" s="220" t="s">
        <v>16391</v>
      </c>
      <c r="D8907" s="221">
        <v>591.42999999999995</v>
      </c>
      <c r="E8907" s="221">
        <v>114.33</v>
      </c>
      <c r="F8907" s="221">
        <v>388.33</v>
      </c>
      <c r="G8907" s="221">
        <v>88.77</v>
      </c>
      <c r="H8907" s="222">
        <v>3848.64</v>
      </c>
      <c r="I8907" s="222">
        <v>1314.79</v>
      </c>
      <c r="J8907" s="222">
        <v>1941.59</v>
      </c>
      <c r="K8907" s="222">
        <v>592.26</v>
      </c>
      <c r="L8907" s="43">
        <v>6.5073466006120766</v>
      </c>
      <c r="M8907" s="43">
        <v>11.499956266946558</v>
      </c>
      <c r="N8907" s="43">
        <v>4.999845492235985</v>
      </c>
      <c r="O8907" s="43">
        <v>6.6718485974991557</v>
      </c>
      <c r="P8907" s="223"/>
      <c r="Q8907" s="223"/>
      <c r="R8907" s="223">
        <v>3</v>
      </c>
    </row>
    <row r="8908" spans="1:18" ht="24">
      <c r="A8908" s="219">
        <v>1640</v>
      </c>
      <c r="B8908" s="216" t="s">
        <v>16392</v>
      </c>
      <c r="C8908" s="220" t="s">
        <v>16393</v>
      </c>
      <c r="D8908" s="221">
        <v>625.27</v>
      </c>
      <c r="E8908" s="221">
        <v>117.2</v>
      </c>
      <c r="F8908" s="221">
        <v>388.68</v>
      </c>
      <c r="G8908" s="221">
        <v>119.39</v>
      </c>
      <c r="H8908" s="222">
        <v>4071.03</v>
      </c>
      <c r="I8908" s="222">
        <v>1347.83</v>
      </c>
      <c r="J8908" s="222">
        <v>1943.41</v>
      </c>
      <c r="K8908" s="222">
        <v>779.79</v>
      </c>
      <c r="L8908" s="43">
        <v>6.5108353191421315</v>
      </c>
      <c r="M8908" s="43">
        <v>11.500255972696245</v>
      </c>
      <c r="N8908" s="43">
        <v>5.0000257281053822</v>
      </c>
      <c r="O8908" s="43">
        <v>6.5314515453555568</v>
      </c>
      <c r="P8908" s="223"/>
      <c r="Q8908" s="223"/>
      <c r="R8908" s="223">
        <v>3</v>
      </c>
    </row>
    <row r="8909" spans="1:18" ht="24">
      <c r="A8909" s="219">
        <v>1641</v>
      </c>
      <c r="B8909" s="216" t="s">
        <v>16394</v>
      </c>
      <c r="C8909" s="220" t="s">
        <v>16395</v>
      </c>
      <c r="D8909" s="221">
        <v>689.77</v>
      </c>
      <c r="E8909" s="221">
        <v>119.5</v>
      </c>
      <c r="F8909" s="221">
        <v>399.05</v>
      </c>
      <c r="G8909" s="221">
        <v>171.22</v>
      </c>
      <c r="H8909" s="222">
        <v>4441.32</v>
      </c>
      <c r="I8909" s="222">
        <v>1374.26</v>
      </c>
      <c r="J8909" s="222">
        <v>1995.28</v>
      </c>
      <c r="K8909" s="222">
        <v>1071.78</v>
      </c>
      <c r="L8909" s="43">
        <v>6.4388419328181854</v>
      </c>
      <c r="M8909" s="43">
        <v>11.500083682008368</v>
      </c>
      <c r="N8909" s="43">
        <v>5.0000751785490536</v>
      </c>
      <c r="O8909" s="43">
        <v>6.2596659268777008</v>
      </c>
      <c r="P8909" s="223"/>
      <c r="Q8909" s="223"/>
      <c r="R8909" s="223">
        <v>3</v>
      </c>
    </row>
    <row r="8910" spans="1:18" ht="24">
      <c r="A8910" s="219">
        <v>1642</v>
      </c>
      <c r="B8910" s="216" t="s">
        <v>16396</v>
      </c>
      <c r="C8910" s="220" t="s">
        <v>16397</v>
      </c>
      <c r="D8910" s="221">
        <v>720.03</v>
      </c>
      <c r="E8910" s="221">
        <v>121.79</v>
      </c>
      <c r="F8910" s="221">
        <v>399.34</v>
      </c>
      <c r="G8910" s="221">
        <v>198.9</v>
      </c>
      <c r="H8910" s="222">
        <v>4645.3599999999997</v>
      </c>
      <c r="I8910" s="222">
        <v>1400.68</v>
      </c>
      <c r="J8910" s="222">
        <v>1996.79</v>
      </c>
      <c r="K8910" s="222">
        <v>1247.8900000000001</v>
      </c>
      <c r="L8910" s="43">
        <v>6.4516200713859142</v>
      </c>
      <c r="M8910" s="43">
        <v>11.500780031201248</v>
      </c>
      <c r="N8910" s="43">
        <v>5.000225371863575</v>
      </c>
      <c r="O8910" s="43">
        <v>6.2739567621920562</v>
      </c>
      <c r="P8910" s="223"/>
      <c r="Q8910" s="223"/>
      <c r="R8910" s="223">
        <v>3</v>
      </c>
    </row>
    <row r="8911" spans="1:18" ht="24">
      <c r="A8911" s="219">
        <v>1643</v>
      </c>
      <c r="B8911" s="216" t="s">
        <v>16398</v>
      </c>
      <c r="C8911" s="220" t="s">
        <v>16399</v>
      </c>
      <c r="D8911" s="221">
        <v>695.08</v>
      </c>
      <c r="E8911" s="221">
        <v>124.09</v>
      </c>
      <c r="F8911" s="221">
        <v>399.64</v>
      </c>
      <c r="G8911" s="221">
        <v>171.35</v>
      </c>
      <c r="H8911" s="222">
        <v>4581.3</v>
      </c>
      <c r="I8911" s="222">
        <v>1427.11</v>
      </c>
      <c r="J8911" s="222">
        <v>1998.3</v>
      </c>
      <c r="K8911" s="222">
        <v>1155.8900000000001</v>
      </c>
      <c r="L8911" s="43">
        <v>6.5910398803015475</v>
      </c>
      <c r="M8911" s="43">
        <v>11.500604400032234</v>
      </c>
      <c r="N8911" s="43">
        <v>5.0002502252026826</v>
      </c>
      <c r="O8911" s="43">
        <v>6.7457834840968784</v>
      </c>
      <c r="P8911" s="223"/>
      <c r="Q8911" s="223"/>
      <c r="R8911" s="223">
        <v>3</v>
      </c>
    </row>
    <row r="8912" spans="1:18" ht="24">
      <c r="A8912" s="219">
        <v>1644</v>
      </c>
      <c r="B8912" s="216" t="s">
        <v>16400</v>
      </c>
      <c r="C8912" s="220" t="s">
        <v>16401</v>
      </c>
      <c r="D8912" s="221">
        <v>744.89</v>
      </c>
      <c r="E8912" s="221">
        <v>124.09</v>
      </c>
      <c r="F8912" s="221">
        <v>405</v>
      </c>
      <c r="G8912" s="221">
        <v>215.8</v>
      </c>
      <c r="H8912" s="222">
        <v>4859.6099999999997</v>
      </c>
      <c r="I8912" s="222">
        <v>1427.11</v>
      </c>
      <c r="J8912" s="222">
        <v>2025.14</v>
      </c>
      <c r="K8912" s="222">
        <v>1407.36</v>
      </c>
      <c r="L8912" s="43">
        <v>6.5239297077420826</v>
      </c>
      <c r="M8912" s="43">
        <v>11.500604400032234</v>
      </c>
      <c r="N8912" s="43">
        <v>5.0003456790123462</v>
      </c>
      <c r="O8912" s="43">
        <v>6.5215940685820195</v>
      </c>
      <c r="P8912" s="223"/>
      <c r="Q8912" s="223"/>
      <c r="R8912" s="223">
        <v>3</v>
      </c>
    </row>
    <row r="8913" spans="1:18" ht="24">
      <c r="A8913" s="219">
        <v>1645</v>
      </c>
      <c r="B8913" s="216" t="s">
        <v>16402</v>
      </c>
      <c r="C8913" s="220" t="s">
        <v>16403</v>
      </c>
      <c r="D8913" s="221">
        <v>834.65</v>
      </c>
      <c r="E8913" s="221">
        <v>130.99</v>
      </c>
      <c r="F8913" s="221">
        <v>420.66</v>
      </c>
      <c r="G8913" s="221">
        <v>283</v>
      </c>
      <c r="H8913" s="222">
        <v>5426.54</v>
      </c>
      <c r="I8913" s="222">
        <v>1506.4</v>
      </c>
      <c r="J8913" s="222">
        <v>2103.54</v>
      </c>
      <c r="K8913" s="222">
        <v>1816.6</v>
      </c>
      <c r="L8913" s="43">
        <v>6.5015755106931055</v>
      </c>
      <c r="M8913" s="43">
        <v>11.500114512558211</v>
      </c>
      <c r="N8913" s="43">
        <v>5.0005705320211096</v>
      </c>
      <c r="O8913" s="43">
        <v>6.4190812720848056</v>
      </c>
      <c r="P8913" s="223"/>
      <c r="Q8913" s="223"/>
      <c r="R8913" s="223">
        <v>3</v>
      </c>
    </row>
    <row r="8914" spans="1:18" ht="24">
      <c r="A8914" s="219">
        <v>1646</v>
      </c>
      <c r="B8914" s="216" t="s">
        <v>16404</v>
      </c>
      <c r="C8914" s="220" t="s">
        <v>16405</v>
      </c>
      <c r="D8914" s="221">
        <v>890.38</v>
      </c>
      <c r="E8914" s="221">
        <v>137.88</v>
      </c>
      <c r="F8914" s="221">
        <v>420.9</v>
      </c>
      <c r="G8914" s="221">
        <v>331.6</v>
      </c>
      <c r="H8914" s="222">
        <v>5809.21</v>
      </c>
      <c r="I8914" s="222">
        <v>1585.68</v>
      </c>
      <c r="J8914" s="222">
        <v>2104.75</v>
      </c>
      <c r="K8914" s="222">
        <v>2118.7800000000002</v>
      </c>
      <c r="L8914" s="43">
        <v>6.5244165412520498</v>
      </c>
      <c r="M8914" s="43">
        <v>11.500435161009575</v>
      </c>
      <c r="N8914" s="43">
        <v>5.0005939653124258</v>
      </c>
      <c r="O8914" s="43">
        <v>6.3895657418576599</v>
      </c>
      <c r="P8914" s="223"/>
      <c r="Q8914" s="223"/>
      <c r="R8914" s="223">
        <v>3</v>
      </c>
    </row>
    <row r="8915" spans="1:18" ht="24">
      <c r="A8915" s="219">
        <v>1647</v>
      </c>
      <c r="B8915" s="216" t="s">
        <v>16406</v>
      </c>
      <c r="C8915" s="220" t="s">
        <v>16407</v>
      </c>
      <c r="D8915" s="221">
        <v>1011.16</v>
      </c>
      <c r="E8915" s="221">
        <v>143.63</v>
      </c>
      <c r="F8915" s="221">
        <v>431.44</v>
      </c>
      <c r="G8915" s="221">
        <v>436.09</v>
      </c>
      <c r="H8915" s="222">
        <v>6610.2</v>
      </c>
      <c r="I8915" s="222">
        <v>1651.75</v>
      </c>
      <c r="J8915" s="222">
        <v>2157.52</v>
      </c>
      <c r="K8915" s="222">
        <v>2800.93</v>
      </c>
      <c r="L8915" s="43">
        <v>6.5372443530202933</v>
      </c>
      <c r="M8915" s="43">
        <v>11.500034811668872</v>
      </c>
      <c r="N8915" s="43">
        <v>5.0007417022065637</v>
      </c>
      <c r="O8915" s="43">
        <v>6.4228255635304636</v>
      </c>
      <c r="P8915" s="223"/>
      <c r="Q8915" s="223"/>
      <c r="R8915" s="223">
        <v>3</v>
      </c>
    </row>
    <row r="8916" spans="1:18" ht="24">
      <c r="A8916" s="219">
        <v>1648</v>
      </c>
      <c r="B8916" s="216" t="s">
        <v>16408</v>
      </c>
      <c r="C8916" s="220" t="s">
        <v>16409</v>
      </c>
      <c r="D8916" s="221">
        <v>1117.5999999999999</v>
      </c>
      <c r="E8916" s="221">
        <v>150.52000000000001</v>
      </c>
      <c r="F8916" s="221">
        <v>431.79</v>
      </c>
      <c r="G8916" s="221">
        <v>535.29</v>
      </c>
      <c r="H8916" s="222">
        <v>7326.52</v>
      </c>
      <c r="I8916" s="222">
        <v>1731.03</v>
      </c>
      <c r="J8916" s="222">
        <v>2159.34</v>
      </c>
      <c r="K8916" s="222">
        <v>3436.15</v>
      </c>
      <c r="L8916" s="43">
        <v>6.5555833929849685</v>
      </c>
      <c r="M8916" s="43">
        <v>11.500332181769863</v>
      </c>
      <c r="N8916" s="43">
        <v>5.0009032168415199</v>
      </c>
      <c r="O8916" s="43">
        <v>6.4192306973789917</v>
      </c>
      <c r="P8916" s="223"/>
      <c r="Q8916" s="223"/>
      <c r="R8916" s="223">
        <v>3</v>
      </c>
    </row>
    <row r="8917" spans="1:18" ht="24">
      <c r="A8917" s="219">
        <v>1649</v>
      </c>
      <c r="B8917" s="216" t="s">
        <v>16410</v>
      </c>
      <c r="C8917" s="220" t="s">
        <v>16411</v>
      </c>
      <c r="D8917" s="221">
        <v>1284.71</v>
      </c>
      <c r="E8917" s="221">
        <v>156.26</v>
      </c>
      <c r="F8917" s="221">
        <v>442.39</v>
      </c>
      <c r="G8917" s="221">
        <v>686.06</v>
      </c>
      <c r="H8917" s="222">
        <v>8889.32</v>
      </c>
      <c r="I8917" s="222">
        <v>1797.1</v>
      </c>
      <c r="J8917" s="222">
        <v>2212.41</v>
      </c>
      <c r="K8917" s="222">
        <v>4879.8100000000004</v>
      </c>
      <c r="L8917" s="43">
        <v>6.9193203135337935</v>
      </c>
      <c r="M8917" s="43">
        <v>11.500703954946884</v>
      </c>
      <c r="N8917" s="43">
        <v>5.0010398065055721</v>
      </c>
      <c r="O8917" s="43">
        <v>7.1128035448794575</v>
      </c>
      <c r="P8917" s="223"/>
      <c r="Q8917" s="223"/>
      <c r="R8917" s="223">
        <v>3</v>
      </c>
    </row>
    <row r="8918" spans="1:18" ht="12.75" customHeight="1">
      <c r="A8918" s="628" t="s">
        <v>16412</v>
      </c>
      <c r="B8918" s="629"/>
      <c r="C8918" s="629"/>
      <c r="D8918" s="629"/>
      <c r="E8918" s="629"/>
      <c r="F8918" s="629"/>
      <c r="G8918" s="629"/>
      <c r="H8918" s="629"/>
      <c r="I8918" s="629"/>
      <c r="J8918" s="629"/>
      <c r="K8918" s="629"/>
      <c r="L8918" s="629"/>
      <c r="M8918" s="629"/>
      <c r="N8918" s="629"/>
      <c r="O8918" s="629"/>
      <c r="P8918" s="629"/>
      <c r="Q8918" s="629"/>
      <c r="R8918" s="629"/>
    </row>
    <row r="8919" spans="1:18" ht="24">
      <c r="A8919" s="219">
        <v>1650</v>
      </c>
      <c r="B8919" s="216" t="s">
        <v>16413</v>
      </c>
      <c r="C8919" s="220" t="s">
        <v>16414</v>
      </c>
      <c r="D8919" s="221">
        <v>2298.75</v>
      </c>
      <c r="E8919" s="221">
        <v>259.67</v>
      </c>
      <c r="F8919" s="221">
        <v>2033.89</v>
      </c>
      <c r="G8919" s="221">
        <v>5.19</v>
      </c>
      <c r="H8919" s="222">
        <v>14036.95</v>
      </c>
      <c r="I8919" s="222">
        <v>2986.36</v>
      </c>
      <c r="J8919" s="222">
        <v>10990.9</v>
      </c>
      <c r="K8919" s="222">
        <v>59.69</v>
      </c>
      <c r="L8919" s="43">
        <v>6.1063404023926049</v>
      </c>
      <c r="M8919" s="43">
        <v>11.500596911464552</v>
      </c>
      <c r="N8919" s="43">
        <v>5.4038812325150323</v>
      </c>
      <c r="O8919" s="43">
        <v>11.5009633911368</v>
      </c>
      <c r="P8919" s="223"/>
      <c r="Q8919" s="223"/>
      <c r="R8919" s="223">
        <v>4</v>
      </c>
    </row>
    <row r="8920" spans="1:18" ht="24">
      <c r="A8920" s="219">
        <v>1651</v>
      </c>
      <c r="B8920" s="216" t="s">
        <v>16415</v>
      </c>
      <c r="C8920" s="220" t="s">
        <v>16416</v>
      </c>
      <c r="D8920" s="221">
        <v>2545.2800000000002</v>
      </c>
      <c r="E8920" s="221">
        <v>390.66</v>
      </c>
      <c r="F8920" s="221">
        <v>2146.81</v>
      </c>
      <c r="G8920" s="221">
        <v>7.81</v>
      </c>
      <c r="H8920" s="222">
        <v>16186.56</v>
      </c>
      <c r="I8920" s="222">
        <v>4492.76</v>
      </c>
      <c r="J8920" s="222">
        <v>11603.98</v>
      </c>
      <c r="K8920" s="222">
        <v>89.82</v>
      </c>
      <c r="L8920" s="43">
        <v>6.3594417902941913</v>
      </c>
      <c r="M8920" s="43">
        <v>11.500435161009573</v>
      </c>
      <c r="N8920" s="43">
        <v>5.4052198378058609</v>
      </c>
      <c r="O8920" s="43">
        <v>11.500640204865556</v>
      </c>
      <c r="P8920" s="223"/>
      <c r="Q8920" s="223"/>
      <c r="R8920" s="223">
        <v>4</v>
      </c>
    </row>
    <row r="8921" spans="1:18" ht="24">
      <c r="A8921" s="219">
        <v>1652</v>
      </c>
      <c r="B8921" s="216" t="s">
        <v>16417</v>
      </c>
      <c r="C8921" s="220" t="s">
        <v>16418</v>
      </c>
      <c r="D8921" s="221">
        <v>2963.6</v>
      </c>
      <c r="E8921" s="221">
        <v>390.66</v>
      </c>
      <c r="F8921" s="221">
        <v>2565.13</v>
      </c>
      <c r="G8921" s="221">
        <v>7.81</v>
      </c>
      <c r="H8921" s="222">
        <v>18457.689999999999</v>
      </c>
      <c r="I8921" s="222">
        <v>4492.76</v>
      </c>
      <c r="J8921" s="222">
        <v>13875.11</v>
      </c>
      <c r="K8921" s="222">
        <v>89.82</v>
      </c>
      <c r="L8921" s="43">
        <v>6.2281313267647453</v>
      </c>
      <c r="M8921" s="43">
        <v>11.500435161009573</v>
      </c>
      <c r="N8921" s="43">
        <v>5.4091254634268049</v>
      </c>
      <c r="O8921" s="43">
        <v>11.500640204865556</v>
      </c>
      <c r="P8921" s="223"/>
      <c r="Q8921" s="223"/>
      <c r="R8921" s="223">
        <v>4</v>
      </c>
    </row>
    <row r="8922" spans="1:18" ht="24">
      <c r="A8922" s="219">
        <v>1653</v>
      </c>
      <c r="B8922" s="216" t="s">
        <v>16419</v>
      </c>
      <c r="C8922" s="220" t="s">
        <v>16420</v>
      </c>
      <c r="D8922" s="221">
        <v>3663.31</v>
      </c>
      <c r="E8922" s="221">
        <v>515.9</v>
      </c>
      <c r="F8922" s="221">
        <v>3137.09</v>
      </c>
      <c r="G8922" s="221">
        <v>10.32</v>
      </c>
      <c r="H8922" s="222">
        <v>23019.88</v>
      </c>
      <c r="I8922" s="222">
        <v>5933.09</v>
      </c>
      <c r="J8922" s="222">
        <v>16968.11</v>
      </c>
      <c r="K8922" s="222">
        <v>118.68</v>
      </c>
      <c r="L8922" s="43">
        <v>6.2839017172993827</v>
      </c>
      <c r="M8922" s="43">
        <v>11.500465206435356</v>
      </c>
      <c r="N8922" s="43">
        <v>5.4088693661960603</v>
      </c>
      <c r="O8922" s="43">
        <v>11.5</v>
      </c>
      <c r="P8922" s="223"/>
      <c r="Q8922" s="223"/>
      <c r="R8922" s="223">
        <v>4</v>
      </c>
    </row>
    <row r="8923" spans="1:18" ht="24">
      <c r="A8923" s="219">
        <v>1654</v>
      </c>
      <c r="B8923" s="216" t="s">
        <v>16421</v>
      </c>
      <c r="C8923" s="220" t="s">
        <v>16422</v>
      </c>
      <c r="D8923" s="221">
        <v>4527.01</v>
      </c>
      <c r="E8923" s="221">
        <v>514.75</v>
      </c>
      <c r="F8923" s="221">
        <v>4001.96</v>
      </c>
      <c r="G8923" s="221">
        <v>10.3</v>
      </c>
      <c r="H8923" s="222">
        <v>27701.99</v>
      </c>
      <c r="I8923" s="222">
        <v>5919.87</v>
      </c>
      <c r="J8923" s="222">
        <v>21663.67</v>
      </c>
      <c r="K8923" s="222">
        <v>118.45</v>
      </c>
      <c r="L8923" s="43">
        <v>6.1192685679952108</v>
      </c>
      <c r="M8923" s="43">
        <v>11.500475959203497</v>
      </c>
      <c r="N8923" s="43">
        <v>5.4132650001499263</v>
      </c>
      <c r="O8923" s="43">
        <v>11.5</v>
      </c>
      <c r="P8923" s="223"/>
      <c r="Q8923" s="223"/>
      <c r="R8923" s="223">
        <v>4</v>
      </c>
    </row>
    <row r="8924" spans="1:18" ht="24">
      <c r="A8924" s="219">
        <v>1655</v>
      </c>
      <c r="B8924" s="216" t="s">
        <v>16423</v>
      </c>
      <c r="C8924" s="220" t="s">
        <v>16424</v>
      </c>
      <c r="D8924" s="221">
        <v>5396.5</v>
      </c>
      <c r="E8924" s="221">
        <v>652.63</v>
      </c>
      <c r="F8924" s="221">
        <v>4730.82</v>
      </c>
      <c r="G8924" s="221">
        <v>13.05</v>
      </c>
      <c r="H8924" s="222">
        <v>33276.39</v>
      </c>
      <c r="I8924" s="222">
        <v>7505.55</v>
      </c>
      <c r="J8924" s="222">
        <v>25620.76</v>
      </c>
      <c r="K8924" s="222">
        <v>150.08000000000001</v>
      </c>
      <c r="L8924" s="43">
        <v>6.1662911146113224</v>
      </c>
      <c r="M8924" s="43">
        <v>11.500467339840339</v>
      </c>
      <c r="N8924" s="43">
        <v>5.415712286664891</v>
      </c>
      <c r="O8924" s="43">
        <v>11.500383141762452</v>
      </c>
      <c r="P8924" s="223"/>
      <c r="Q8924" s="223"/>
      <c r="R8924" s="223">
        <v>4</v>
      </c>
    </row>
    <row r="8925" spans="1:18" ht="24">
      <c r="A8925" s="219">
        <v>1656</v>
      </c>
      <c r="B8925" s="216" t="s">
        <v>16425</v>
      </c>
      <c r="C8925" s="220" t="s">
        <v>16426</v>
      </c>
      <c r="D8925" s="221">
        <v>6806.33</v>
      </c>
      <c r="E8925" s="221">
        <v>779.02</v>
      </c>
      <c r="F8925" s="221">
        <v>6011.73</v>
      </c>
      <c r="G8925" s="221">
        <v>15.58</v>
      </c>
      <c r="H8925" s="222">
        <v>41696.730000000003</v>
      </c>
      <c r="I8925" s="222">
        <v>8959.09</v>
      </c>
      <c r="J8925" s="222">
        <v>32558.47</v>
      </c>
      <c r="K8925" s="222">
        <v>179.17</v>
      </c>
      <c r="L8925" s="43">
        <v>6.1261693159162141</v>
      </c>
      <c r="M8925" s="43">
        <v>11.500462119072681</v>
      </c>
      <c r="N8925" s="43">
        <v>5.4158237312720301</v>
      </c>
      <c r="O8925" s="43">
        <v>11.5</v>
      </c>
      <c r="P8925" s="223"/>
      <c r="Q8925" s="223"/>
      <c r="R8925" s="223">
        <v>4</v>
      </c>
    </row>
    <row r="8926" spans="1:18" ht="24">
      <c r="A8926" s="219">
        <v>1657</v>
      </c>
      <c r="B8926" s="216" t="s">
        <v>16427</v>
      </c>
      <c r="C8926" s="220" t="s">
        <v>16428</v>
      </c>
      <c r="D8926" s="221">
        <v>25392.89</v>
      </c>
      <c r="E8926" s="221">
        <v>2585.25</v>
      </c>
      <c r="F8926" s="221">
        <v>22755.93</v>
      </c>
      <c r="G8926" s="221">
        <v>51.71</v>
      </c>
      <c r="H8926" s="222">
        <v>153751</v>
      </c>
      <c r="I8926" s="222">
        <v>29731.5</v>
      </c>
      <c r="J8926" s="222">
        <v>123424.83</v>
      </c>
      <c r="K8926" s="222">
        <v>594.66999999999996</v>
      </c>
      <c r="L8926" s="43">
        <v>6.0548838670982308</v>
      </c>
      <c r="M8926" s="43">
        <v>11.500435161009573</v>
      </c>
      <c r="N8926" s="43">
        <v>5.4238534746767106</v>
      </c>
      <c r="O8926" s="43">
        <v>11.500096693096111</v>
      </c>
      <c r="P8926" s="223"/>
      <c r="Q8926" s="223"/>
      <c r="R8926" s="223">
        <v>4</v>
      </c>
    </row>
    <row r="8927" spans="1:18" ht="24">
      <c r="A8927" s="219">
        <v>1658</v>
      </c>
      <c r="B8927" s="216" t="s">
        <v>16429</v>
      </c>
      <c r="C8927" s="220" t="s">
        <v>16430</v>
      </c>
      <c r="D8927" s="221">
        <v>40297.51</v>
      </c>
      <c r="E8927" s="221">
        <v>2585.25</v>
      </c>
      <c r="F8927" s="221">
        <v>37660.550000000003</v>
      </c>
      <c r="G8927" s="221">
        <v>51.71</v>
      </c>
      <c r="H8927" s="222">
        <v>234645.42</v>
      </c>
      <c r="I8927" s="222">
        <v>29731.5</v>
      </c>
      <c r="J8927" s="222">
        <v>204319.25</v>
      </c>
      <c r="K8927" s="222">
        <v>594.66999999999996</v>
      </c>
      <c r="L8927" s="43">
        <v>5.8228267701900194</v>
      </c>
      <c r="M8927" s="43">
        <v>11.500435161009573</v>
      </c>
      <c r="N8927" s="43">
        <v>5.4252858760692551</v>
      </c>
      <c r="O8927" s="43">
        <v>11.500096693096111</v>
      </c>
      <c r="P8927" s="223"/>
      <c r="Q8927" s="223"/>
      <c r="R8927" s="223">
        <v>4</v>
      </c>
    </row>
    <row r="8928" spans="1:18" ht="12.75" customHeight="1">
      <c r="A8928" s="628" t="s">
        <v>16431</v>
      </c>
      <c r="B8928" s="629"/>
      <c r="C8928" s="629"/>
      <c r="D8928" s="629"/>
      <c r="E8928" s="629"/>
      <c r="F8928" s="629"/>
      <c r="G8928" s="629"/>
      <c r="H8928" s="629"/>
      <c r="I8928" s="629"/>
      <c r="J8928" s="629"/>
      <c r="K8928" s="629"/>
      <c r="L8928" s="629"/>
      <c r="M8928" s="629"/>
      <c r="N8928" s="629"/>
      <c r="O8928" s="629"/>
      <c r="P8928" s="629"/>
      <c r="Q8928" s="629"/>
      <c r="R8928" s="629"/>
    </row>
    <row r="8929" spans="1:18" ht="36">
      <c r="A8929" s="219">
        <v>1659</v>
      </c>
      <c r="B8929" s="216" t="s">
        <v>16432</v>
      </c>
      <c r="C8929" s="220" t="s">
        <v>16433</v>
      </c>
      <c r="D8929" s="221">
        <v>114.09</v>
      </c>
      <c r="E8929" s="221">
        <v>97.6</v>
      </c>
      <c r="F8929" s="221">
        <v>7.08</v>
      </c>
      <c r="G8929" s="221">
        <v>9.41</v>
      </c>
      <c r="H8929" s="222">
        <v>1240.46</v>
      </c>
      <c r="I8929" s="222">
        <v>1122.4000000000001</v>
      </c>
      <c r="J8929" s="222">
        <v>37.380000000000003</v>
      </c>
      <c r="K8929" s="222">
        <v>80.680000000000007</v>
      </c>
      <c r="L8929" s="43">
        <v>10.872644403541065</v>
      </c>
      <c r="M8929" s="43">
        <v>11.500000000000002</v>
      </c>
      <c r="N8929" s="43">
        <v>5.2796610169491531</v>
      </c>
      <c r="O8929" s="43">
        <v>8.5738575982996821</v>
      </c>
      <c r="P8929" s="223"/>
      <c r="Q8929" s="223"/>
      <c r="R8929" s="223">
        <v>5</v>
      </c>
    </row>
    <row r="8930" spans="1:18" ht="36">
      <c r="A8930" s="219">
        <v>1660</v>
      </c>
      <c r="B8930" s="216" t="s">
        <v>16434</v>
      </c>
      <c r="C8930" s="220" t="s">
        <v>16435</v>
      </c>
      <c r="D8930" s="221">
        <v>127.65</v>
      </c>
      <c r="E8930" s="221">
        <v>109.8</v>
      </c>
      <c r="F8930" s="221">
        <v>6.67</v>
      </c>
      <c r="G8930" s="221">
        <v>11.18</v>
      </c>
      <c r="H8930" s="222">
        <v>1392.43</v>
      </c>
      <c r="I8930" s="222">
        <v>1262.7</v>
      </c>
      <c r="J8930" s="222">
        <v>35.24</v>
      </c>
      <c r="K8930" s="222">
        <v>94.49</v>
      </c>
      <c r="L8930" s="43">
        <v>10.908186447316883</v>
      </c>
      <c r="M8930" s="43">
        <v>11.5</v>
      </c>
      <c r="N8930" s="43">
        <v>5.2833583208395805</v>
      </c>
      <c r="O8930" s="43">
        <v>8.4516994633273708</v>
      </c>
      <c r="P8930" s="223"/>
      <c r="Q8930" s="223"/>
      <c r="R8930" s="223">
        <v>5</v>
      </c>
    </row>
    <row r="8931" spans="1:18" ht="36">
      <c r="A8931" s="219">
        <v>1661</v>
      </c>
      <c r="B8931" s="216" t="s">
        <v>16436</v>
      </c>
      <c r="C8931" s="220" t="s">
        <v>16437</v>
      </c>
      <c r="D8931" s="221">
        <v>128.38</v>
      </c>
      <c r="E8931" s="221">
        <v>109.8</v>
      </c>
      <c r="F8931" s="221">
        <v>7.11</v>
      </c>
      <c r="G8931" s="221">
        <v>11.47</v>
      </c>
      <c r="H8931" s="222">
        <v>1396.34</v>
      </c>
      <c r="I8931" s="222">
        <v>1262.7</v>
      </c>
      <c r="J8931" s="222">
        <v>37.57</v>
      </c>
      <c r="K8931" s="222">
        <v>96.07</v>
      </c>
      <c r="L8931" s="43">
        <v>10.876616295373111</v>
      </c>
      <c r="M8931" s="43">
        <v>11.5</v>
      </c>
      <c r="N8931" s="43">
        <v>5.2841068917018283</v>
      </c>
      <c r="O8931" s="43">
        <v>8.3757628596338272</v>
      </c>
      <c r="P8931" s="223"/>
      <c r="Q8931" s="223"/>
      <c r="R8931" s="223">
        <v>5</v>
      </c>
    </row>
    <row r="8932" spans="1:18" ht="36">
      <c r="A8932" s="219">
        <v>1662</v>
      </c>
      <c r="B8932" s="216" t="s">
        <v>16438</v>
      </c>
      <c r="C8932" s="220" t="s">
        <v>16439</v>
      </c>
      <c r="D8932" s="221">
        <v>148.13999999999999</v>
      </c>
      <c r="E8932" s="221">
        <v>125.4</v>
      </c>
      <c r="F8932" s="221">
        <v>8.7100000000000009</v>
      </c>
      <c r="G8932" s="221">
        <v>14.03</v>
      </c>
      <c r="H8932" s="222">
        <v>1602.77</v>
      </c>
      <c r="I8932" s="222">
        <v>1442.1</v>
      </c>
      <c r="J8932" s="222">
        <v>46.03</v>
      </c>
      <c r="K8932" s="222">
        <v>114.64</v>
      </c>
      <c r="L8932" s="43">
        <v>10.819292561090862</v>
      </c>
      <c r="M8932" s="43">
        <v>11.499999999999998</v>
      </c>
      <c r="N8932" s="43">
        <v>5.2847301951779562</v>
      </c>
      <c r="O8932" s="43">
        <v>8.171062009978618</v>
      </c>
      <c r="P8932" s="223"/>
      <c r="Q8932" s="223"/>
      <c r="R8932" s="223">
        <v>5</v>
      </c>
    </row>
    <row r="8933" spans="1:18" ht="36">
      <c r="A8933" s="219">
        <v>1663</v>
      </c>
      <c r="B8933" s="216" t="s">
        <v>16440</v>
      </c>
      <c r="C8933" s="220" t="s">
        <v>16441</v>
      </c>
      <c r="D8933" s="221">
        <v>176.49</v>
      </c>
      <c r="E8933" s="221">
        <v>150.47999999999999</v>
      </c>
      <c r="F8933" s="221">
        <v>10.39</v>
      </c>
      <c r="G8933" s="221">
        <v>15.62</v>
      </c>
      <c r="H8933" s="222">
        <v>1912.7</v>
      </c>
      <c r="I8933" s="222">
        <v>1730.52</v>
      </c>
      <c r="J8933" s="222">
        <v>54.93</v>
      </c>
      <c r="K8933" s="222">
        <v>127.25</v>
      </c>
      <c r="L8933" s="43">
        <v>10.837441214799705</v>
      </c>
      <c r="M8933" s="43">
        <v>11.5</v>
      </c>
      <c r="N8933" s="43">
        <v>5.2868142444658321</v>
      </c>
      <c r="O8933" s="43">
        <v>8.1466069142125477</v>
      </c>
      <c r="P8933" s="223"/>
      <c r="Q8933" s="223"/>
      <c r="R8933" s="223">
        <v>5</v>
      </c>
    </row>
    <row r="8934" spans="1:18" ht="36">
      <c r="A8934" s="219">
        <v>1664</v>
      </c>
      <c r="B8934" s="216" t="s">
        <v>16442</v>
      </c>
      <c r="C8934" s="220" t="s">
        <v>16443</v>
      </c>
      <c r="D8934" s="221">
        <v>226.09</v>
      </c>
      <c r="E8934" s="221">
        <v>193.35</v>
      </c>
      <c r="F8934" s="221">
        <v>14.88</v>
      </c>
      <c r="G8934" s="221">
        <v>17.86</v>
      </c>
      <c r="H8934" s="222">
        <v>2446.86</v>
      </c>
      <c r="I8934" s="222">
        <v>2223.6</v>
      </c>
      <c r="J8934" s="222">
        <v>78.709999999999994</v>
      </c>
      <c r="K8934" s="222">
        <v>144.55000000000001</v>
      </c>
      <c r="L8934" s="43">
        <v>10.822504312441948</v>
      </c>
      <c r="M8934" s="43">
        <v>11.500387897595035</v>
      </c>
      <c r="N8934" s="43">
        <v>5.2896505376344081</v>
      </c>
      <c r="O8934" s="43">
        <v>8.0935050391937295</v>
      </c>
      <c r="P8934" s="223"/>
      <c r="Q8934" s="223"/>
      <c r="R8934" s="223">
        <v>5</v>
      </c>
    </row>
    <row r="8935" spans="1:18" ht="36">
      <c r="A8935" s="219">
        <v>1665</v>
      </c>
      <c r="B8935" s="216" t="s">
        <v>16444</v>
      </c>
      <c r="C8935" s="220" t="s">
        <v>16445</v>
      </c>
      <c r="D8935" s="221">
        <v>340.68</v>
      </c>
      <c r="E8935" s="221">
        <v>287.54000000000002</v>
      </c>
      <c r="F8935" s="221">
        <v>24.34</v>
      </c>
      <c r="G8935" s="221">
        <v>28.8</v>
      </c>
      <c r="H8935" s="222">
        <v>3658.77</v>
      </c>
      <c r="I8935" s="222">
        <v>3306.82</v>
      </c>
      <c r="J8935" s="222">
        <v>128.69</v>
      </c>
      <c r="K8935" s="222">
        <v>223.26</v>
      </c>
      <c r="L8935" s="43">
        <v>10.739609017259598</v>
      </c>
      <c r="M8935" s="43">
        <v>11.500382555470543</v>
      </c>
      <c r="N8935" s="43">
        <v>5.2871815940838127</v>
      </c>
      <c r="O8935" s="43">
        <v>7.7520833333333332</v>
      </c>
      <c r="P8935" s="223"/>
      <c r="Q8935" s="223"/>
      <c r="R8935" s="223">
        <v>5</v>
      </c>
    </row>
    <row r="8936" spans="1:18" ht="36">
      <c r="A8936" s="219">
        <v>1666</v>
      </c>
      <c r="B8936" s="216" t="s">
        <v>16446</v>
      </c>
      <c r="C8936" s="220" t="s">
        <v>16447</v>
      </c>
      <c r="D8936" s="221">
        <v>405.6</v>
      </c>
      <c r="E8936" s="221">
        <v>339.82</v>
      </c>
      <c r="F8936" s="221">
        <v>28.54</v>
      </c>
      <c r="G8936" s="221">
        <v>37.24</v>
      </c>
      <c r="H8936" s="222">
        <v>4339.6499999999996</v>
      </c>
      <c r="I8936" s="222">
        <v>3908.06</v>
      </c>
      <c r="J8936" s="222">
        <v>150.94</v>
      </c>
      <c r="K8936" s="222">
        <v>280.64999999999998</v>
      </c>
      <c r="L8936" s="43">
        <v>10.699334319526626</v>
      </c>
      <c r="M8936" s="43">
        <v>11.500382555470543</v>
      </c>
      <c r="N8936" s="43">
        <v>5.2887175893482832</v>
      </c>
      <c r="O8936" s="43">
        <v>7.536251342642319</v>
      </c>
      <c r="P8936" s="223"/>
      <c r="Q8936" s="223"/>
      <c r="R8936" s="223">
        <v>5</v>
      </c>
    </row>
    <row r="8937" spans="1:18" ht="36">
      <c r="A8937" s="219">
        <v>1667</v>
      </c>
      <c r="B8937" s="216" t="s">
        <v>16448</v>
      </c>
      <c r="C8937" s="220" t="s">
        <v>16449</v>
      </c>
      <c r="D8937" s="221">
        <v>497.04</v>
      </c>
      <c r="E8937" s="221">
        <v>418.24</v>
      </c>
      <c r="F8937" s="221">
        <v>33.11</v>
      </c>
      <c r="G8937" s="221">
        <v>45.69</v>
      </c>
      <c r="H8937" s="222">
        <v>5328.28</v>
      </c>
      <c r="I8937" s="222">
        <v>4809.92</v>
      </c>
      <c r="J8937" s="222">
        <v>175.1</v>
      </c>
      <c r="K8937" s="222">
        <v>343.26</v>
      </c>
      <c r="L8937" s="43">
        <v>10.720022533397714</v>
      </c>
      <c r="M8937" s="43">
        <v>11.500382555470543</v>
      </c>
      <c r="N8937" s="43">
        <v>5.2884324977348234</v>
      </c>
      <c r="O8937" s="43">
        <v>7.5128036769533812</v>
      </c>
      <c r="P8937" s="223"/>
      <c r="Q8937" s="223"/>
      <c r="R8937" s="223">
        <v>5</v>
      </c>
    </row>
    <row r="8938" spans="1:18" ht="36">
      <c r="A8938" s="219">
        <v>1668</v>
      </c>
      <c r="B8938" s="216" t="s">
        <v>16450</v>
      </c>
      <c r="C8938" s="220" t="s">
        <v>16451</v>
      </c>
      <c r="D8938" s="221">
        <v>511.44</v>
      </c>
      <c r="E8938" s="221">
        <v>418.24</v>
      </c>
      <c r="F8938" s="221">
        <v>35.4</v>
      </c>
      <c r="G8938" s="221">
        <v>57.8</v>
      </c>
      <c r="H8938" s="222">
        <v>5405.24</v>
      </c>
      <c r="I8938" s="222">
        <v>4809.92</v>
      </c>
      <c r="J8938" s="222">
        <v>187.22</v>
      </c>
      <c r="K8938" s="222">
        <v>408.1</v>
      </c>
      <c r="L8938" s="43">
        <v>10.568668856561864</v>
      </c>
      <c r="M8938" s="43">
        <v>11.500382555470543</v>
      </c>
      <c r="N8938" s="43">
        <v>5.2887005649717516</v>
      </c>
      <c r="O8938" s="43">
        <v>7.0605536332179941</v>
      </c>
      <c r="P8938" s="223"/>
      <c r="Q8938" s="223"/>
      <c r="R8938" s="223">
        <v>5</v>
      </c>
    </row>
    <row r="8939" spans="1:18" ht="36">
      <c r="A8939" s="219">
        <v>1669</v>
      </c>
      <c r="B8939" s="216" t="s">
        <v>16452</v>
      </c>
      <c r="C8939" s="220" t="s">
        <v>16453</v>
      </c>
      <c r="D8939" s="221">
        <v>657.79</v>
      </c>
      <c r="E8939" s="221">
        <v>535.87</v>
      </c>
      <c r="F8939" s="221">
        <v>49.35</v>
      </c>
      <c r="G8939" s="221">
        <v>72.569999999999993</v>
      </c>
      <c r="H8939" s="222">
        <v>6931.06</v>
      </c>
      <c r="I8939" s="222">
        <v>6162.71</v>
      </c>
      <c r="J8939" s="222">
        <v>260.94</v>
      </c>
      <c r="K8939" s="222">
        <v>507.41</v>
      </c>
      <c r="L8939" s="43">
        <v>10.536888672676691</v>
      </c>
      <c r="M8939" s="43">
        <v>11.500382555470543</v>
      </c>
      <c r="N8939" s="43">
        <v>5.2875379939209726</v>
      </c>
      <c r="O8939" s="43">
        <v>6.9920077166873371</v>
      </c>
      <c r="P8939" s="223"/>
      <c r="Q8939" s="223"/>
      <c r="R8939" s="223">
        <v>5</v>
      </c>
    </row>
    <row r="8940" spans="1:18" ht="12.75" customHeight="1">
      <c r="A8940" s="628" t="s">
        <v>16454</v>
      </c>
      <c r="B8940" s="629"/>
      <c r="C8940" s="629"/>
      <c r="D8940" s="629"/>
      <c r="E8940" s="629"/>
      <c r="F8940" s="629"/>
      <c r="G8940" s="629"/>
      <c r="H8940" s="629"/>
      <c r="I8940" s="629"/>
      <c r="J8940" s="629"/>
      <c r="K8940" s="629"/>
      <c r="L8940" s="629"/>
      <c r="M8940" s="629"/>
      <c r="N8940" s="629"/>
      <c r="O8940" s="629"/>
      <c r="P8940" s="629"/>
      <c r="Q8940" s="629"/>
      <c r="R8940" s="629"/>
    </row>
    <row r="8941" spans="1:18" ht="48">
      <c r="A8941" s="219">
        <v>1670</v>
      </c>
      <c r="B8941" s="216" t="s">
        <v>16455</v>
      </c>
      <c r="C8941" s="220" t="s">
        <v>16456</v>
      </c>
      <c r="D8941" s="221">
        <v>98.14</v>
      </c>
      <c r="E8941" s="221">
        <v>86.59</v>
      </c>
      <c r="F8941" s="221">
        <v>4.33</v>
      </c>
      <c r="G8941" s="221">
        <v>7.22</v>
      </c>
      <c r="H8941" s="222">
        <v>1076.72</v>
      </c>
      <c r="I8941" s="222">
        <v>995.82</v>
      </c>
      <c r="J8941" s="222">
        <v>22.89</v>
      </c>
      <c r="K8941" s="222">
        <v>58.01</v>
      </c>
      <c r="L8941" s="43">
        <v>10.971265539025882</v>
      </c>
      <c r="M8941" s="43">
        <v>11.500404203718674</v>
      </c>
      <c r="N8941" s="43">
        <v>5.2863741339491916</v>
      </c>
      <c r="O8941" s="43">
        <v>8.0346260387811625</v>
      </c>
      <c r="P8941" s="223"/>
      <c r="Q8941" s="223"/>
      <c r="R8941" s="223">
        <v>6</v>
      </c>
    </row>
    <row r="8942" spans="1:18" ht="48">
      <c r="A8942" s="219">
        <v>1671</v>
      </c>
      <c r="B8942" s="216" t="s">
        <v>16457</v>
      </c>
      <c r="C8942" s="220" t="s">
        <v>16458</v>
      </c>
      <c r="D8942" s="221">
        <v>119.17</v>
      </c>
      <c r="E8942" s="221">
        <v>104.56</v>
      </c>
      <c r="F8942" s="221">
        <v>5.34</v>
      </c>
      <c r="G8942" s="221">
        <v>9.27</v>
      </c>
      <c r="H8942" s="222">
        <v>1303.78</v>
      </c>
      <c r="I8942" s="222">
        <v>1202.48</v>
      </c>
      <c r="J8942" s="222">
        <v>28.22</v>
      </c>
      <c r="K8942" s="222">
        <v>73.08</v>
      </c>
      <c r="L8942" s="43">
        <v>10.940505160694805</v>
      </c>
      <c r="M8942" s="43">
        <v>11.500382555470543</v>
      </c>
      <c r="N8942" s="43">
        <v>5.2846441947565541</v>
      </c>
      <c r="O8942" s="43">
        <v>7.883495145631068</v>
      </c>
      <c r="P8942" s="223"/>
      <c r="Q8942" s="223"/>
      <c r="R8942" s="223">
        <v>6</v>
      </c>
    </row>
    <row r="8943" spans="1:18" ht="48">
      <c r="A8943" s="219">
        <v>1672</v>
      </c>
      <c r="B8943" s="216" t="s">
        <v>16459</v>
      </c>
      <c r="C8943" s="220" t="s">
        <v>16460</v>
      </c>
      <c r="D8943" s="221">
        <v>120.04</v>
      </c>
      <c r="E8943" s="221">
        <v>104.56</v>
      </c>
      <c r="F8943" s="221">
        <v>5.69</v>
      </c>
      <c r="G8943" s="221">
        <v>9.7899999999999991</v>
      </c>
      <c r="H8943" s="222">
        <v>1308.42</v>
      </c>
      <c r="I8943" s="222">
        <v>1202.48</v>
      </c>
      <c r="J8943" s="222">
        <v>30.08</v>
      </c>
      <c r="K8943" s="222">
        <v>75.86</v>
      </c>
      <c r="L8943" s="43">
        <v>10.899866711096301</v>
      </c>
      <c r="M8943" s="43">
        <v>11.500382555470543</v>
      </c>
      <c r="N8943" s="43">
        <v>5.2864674868189798</v>
      </c>
      <c r="O8943" s="43">
        <v>7.7487231869254352</v>
      </c>
      <c r="P8943" s="223"/>
      <c r="Q8943" s="223"/>
      <c r="R8943" s="223">
        <v>6</v>
      </c>
    </row>
    <row r="8944" spans="1:18" ht="48">
      <c r="A8944" s="219">
        <v>1673</v>
      </c>
      <c r="B8944" s="216" t="s">
        <v>16461</v>
      </c>
      <c r="C8944" s="220" t="s">
        <v>16462</v>
      </c>
      <c r="D8944" s="221">
        <v>180.03</v>
      </c>
      <c r="E8944" s="221">
        <v>156.84</v>
      </c>
      <c r="F8944" s="221">
        <v>11.16</v>
      </c>
      <c r="G8944" s="221">
        <v>12.03</v>
      </c>
      <c r="H8944" s="222">
        <v>1958.02</v>
      </c>
      <c r="I8944" s="222">
        <v>1803.72</v>
      </c>
      <c r="J8944" s="222">
        <v>59.05</v>
      </c>
      <c r="K8944" s="222">
        <v>95.25</v>
      </c>
      <c r="L8944" s="43">
        <v>10.876076209520635</v>
      </c>
      <c r="M8944" s="43">
        <v>11.500382555470543</v>
      </c>
      <c r="N8944" s="43">
        <v>5.2912186379928317</v>
      </c>
      <c r="O8944" s="43">
        <v>7.9177057356608485</v>
      </c>
      <c r="P8944" s="223"/>
      <c r="Q8944" s="223"/>
      <c r="R8944" s="223">
        <v>6</v>
      </c>
    </row>
    <row r="8945" spans="1:18" ht="48">
      <c r="A8945" s="219">
        <v>1674</v>
      </c>
      <c r="B8945" s="216" t="s">
        <v>16463</v>
      </c>
      <c r="C8945" s="220" t="s">
        <v>16464</v>
      </c>
      <c r="D8945" s="221">
        <v>182.58</v>
      </c>
      <c r="E8945" s="221">
        <v>156.84</v>
      </c>
      <c r="F8945" s="221">
        <v>12.35</v>
      </c>
      <c r="G8945" s="221">
        <v>13.39</v>
      </c>
      <c r="H8945" s="222">
        <v>1972.53</v>
      </c>
      <c r="I8945" s="222">
        <v>1803.72</v>
      </c>
      <c r="J8945" s="222">
        <v>65.31</v>
      </c>
      <c r="K8945" s="222">
        <v>103.5</v>
      </c>
      <c r="L8945" s="43">
        <v>10.803647716069667</v>
      </c>
      <c r="M8945" s="43">
        <v>11.500382555470543</v>
      </c>
      <c r="N8945" s="43">
        <v>5.288259109311741</v>
      </c>
      <c r="O8945" s="43">
        <v>7.7296489917849138</v>
      </c>
      <c r="P8945" s="223"/>
      <c r="Q8945" s="223"/>
      <c r="R8945" s="223">
        <v>6</v>
      </c>
    </row>
    <row r="8946" spans="1:18" ht="48">
      <c r="A8946" s="219">
        <v>1675</v>
      </c>
      <c r="B8946" s="216" t="s">
        <v>16465</v>
      </c>
      <c r="C8946" s="220" t="s">
        <v>16466</v>
      </c>
      <c r="D8946" s="221">
        <v>273.31</v>
      </c>
      <c r="E8946" s="221">
        <v>235.26</v>
      </c>
      <c r="F8946" s="221">
        <v>21.88</v>
      </c>
      <c r="G8946" s="221">
        <v>16.170000000000002</v>
      </c>
      <c r="H8946" s="222">
        <v>2949.32</v>
      </c>
      <c r="I8946" s="222">
        <v>2705.58</v>
      </c>
      <c r="J8946" s="222">
        <v>115.7</v>
      </c>
      <c r="K8946" s="222">
        <v>128.04</v>
      </c>
      <c r="L8946" s="43">
        <v>10.791116314807363</v>
      </c>
      <c r="M8946" s="43">
        <v>11.500382555470543</v>
      </c>
      <c r="N8946" s="43">
        <v>5.2879341864716638</v>
      </c>
      <c r="O8946" s="43">
        <v>7.9183673469387745</v>
      </c>
      <c r="P8946" s="223"/>
      <c r="Q8946" s="223"/>
      <c r="R8946" s="223">
        <v>6</v>
      </c>
    </row>
    <row r="8947" spans="1:18" ht="48">
      <c r="A8947" s="219">
        <v>1676</v>
      </c>
      <c r="B8947" s="216" t="s">
        <v>16467</v>
      </c>
      <c r="C8947" s="220" t="s">
        <v>16468</v>
      </c>
      <c r="D8947" s="221">
        <v>370.98</v>
      </c>
      <c r="E8947" s="221">
        <v>313.68</v>
      </c>
      <c r="F8947" s="221">
        <v>33.35</v>
      </c>
      <c r="G8947" s="221">
        <v>23.95</v>
      </c>
      <c r="H8947" s="222">
        <v>3966.97</v>
      </c>
      <c r="I8947" s="222">
        <v>3607.44</v>
      </c>
      <c r="J8947" s="222">
        <v>176.39</v>
      </c>
      <c r="K8947" s="222">
        <v>183.14</v>
      </c>
      <c r="L8947" s="43">
        <v>10.693217963232518</v>
      </c>
      <c r="M8947" s="43">
        <v>11.500382555470543</v>
      </c>
      <c r="N8947" s="43">
        <v>5.2890554722638674</v>
      </c>
      <c r="O8947" s="43">
        <v>7.6467640918580368</v>
      </c>
      <c r="P8947" s="223"/>
      <c r="Q8947" s="223"/>
      <c r="R8947" s="223">
        <v>6</v>
      </c>
    </row>
    <row r="8948" spans="1:18" ht="48">
      <c r="A8948" s="219">
        <v>1677</v>
      </c>
      <c r="B8948" s="216" t="s">
        <v>16469</v>
      </c>
      <c r="C8948" s="220" t="s">
        <v>16470</v>
      </c>
      <c r="D8948" s="221">
        <v>435.58</v>
      </c>
      <c r="E8948" s="221">
        <v>365.96</v>
      </c>
      <c r="F8948" s="221">
        <v>37.020000000000003</v>
      </c>
      <c r="G8948" s="221">
        <v>32.6</v>
      </c>
      <c r="H8948" s="222">
        <v>4644.2299999999996</v>
      </c>
      <c r="I8948" s="222">
        <v>4208.68</v>
      </c>
      <c r="J8948" s="222">
        <v>195.77</v>
      </c>
      <c r="K8948" s="222">
        <v>239.78</v>
      </c>
      <c r="L8948" s="43">
        <v>10.662174571835253</v>
      </c>
      <c r="M8948" s="43">
        <v>11.500382555470544</v>
      </c>
      <c r="N8948" s="43">
        <v>5.2882225823878981</v>
      </c>
      <c r="O8948" s="43">
        <v>7.3552147239263803</v>
      </c>
      <c r="P8948" s="223"/>
      <c r="Q8948" s="223"/>
      <c r="R8948" s="223">
        <v>6</v>
      </c>
    </row>
    <row r="8949" spans="1:18" ht="48">
      <c r="A8949" s="219">
        <v>1678</v>
      </c>
      <c r="B8949" s="216" t="s">
        <v>16471</v>
      </c>
      <c r="C8949" s="220" t="s">
        <v>16472</v>
      </c>
      <c r="D8949" s="221">
        <v>514.20000000000005</v>
      </c>
      <c r="E8949" s="221">
        <v>431.31</v>
      </c>
      <c r="F8949" s="221">
        <v>44.21</v>
      </c>
      <c r="G8949" s="221">
        <v>38.68</v>
      </c>
      <c r="H8949" s="222">
        <v>5478.17</v>
      </c>
      <c r="I8949" s="222">
        <v>4960.2299999999996</v>
      </c>
      <c r="J8949" s="222">
        <v>233.81</v>
      </c>
      <c r="K8949" s="222">
        <v>284.13</v>
      </c>
      <c r="L8949" s="43">
        <v>10.653772851030727</v>
      </c>
      <c r="M8949" s="43">
        <v>11.500382555470543</v>
      </c>
      <c r="N8949" s="43">
        <v>5.288622483600995</v>
      </c>
      <c r="O8949" s="43">
        <v>7.3456566701137538</v>
      </c>
      <c r="P8949" s="223"/>
      <c r="Q8949" s="223"/>
      <c r="R8949" s="223">
        <v>6</v>
      </c>
    </row>
    <row r="8950" spans="1:18" ht="48">
      <c r="A8950" s="219">
        <v>1679</v>
      </c>
      <c r="B8950" s="216" t="s">
        <v>16473</v>
      </c>
      <c r="C8950" s="220" t="s">
        <v>16474</v>
      </c>
      <c r="D8950" s="221">
        <v>557.53</v>
      </c>
      <c r="E8950" s="221">
        <v>457.45</v>
      </c>
      <c r="F8950" s="221">
        <v>48.77</v>
      </c>
      <c r="G8950" s="221">
        <v>51.31</v>
      </c>
      <c r="H8950" s="222">
        <v>5873.66</v>
      </c>
      <c r="I8950" s="222">
        <v>5260.85</v>
      </c>
      <c r="J8950" s="222">
        <v>257.87</v>
      </c>
      <c r="K8950" s="222">
        <v>354.94</v>
      </c>
      <c r="L8950" s="43">
        <v>10.535146090793321</v>
      </c>
      <c r="M8950" s="43">
        <v>11.500382555470544</v>
      </c>
      <c r="N8950" s="43">
        <v>5.2874718064383837</v>
      </c>
      <c r="O8950" s="43">
        <v>6.9175599298382382</v>
      </c>
      <c r="P8950" s="223"/>
      <c r="Q8950" s="223"/>
      <c r="R8950" s="223">
        <v>6</v>
      </c>
    </row>
    <row r="8951" spans="1:18" ht="48">
      <c r="A8951" s="219">
        <v>1680</v>
      </c>
      <c r="B8951" s="216" t="s">
        <v>16475</v>
      </c>
      <c r="C8951" s="220" t="s">
        <v>16476</v>
      </c>
      <c r="D8951" s="221">
        <v>743</v>
      </c>
      <c r="E8951" s="221">
        <v>614.29</v>
      </c>
      <c r="F8951" s="221">
        <v>63.69</v>
      </c>
      <c r="G8951" s="221">
        <v>65.02</v>
      </c>
      <c r="H8951" s="222">
        <v>7851.82</v>
      </c>
      <c r="I8951" s="222">
        <v>7064.57</v>
      </c>
      <c r="J8951" s="222">
        <v>336.73</v>
      </c>
      <c r="K8951" s="222">
        <v>450.52</v>
      </c>
      <c r="L8951" s="43">
        <v>10.567725437415881</v>
      </c>
      <c r="M8951" s="43">
        <v>11.500382555470543</v>
      </c>
      <c r="N8951" s="43">
        <v>5.2870152300204118</v>
      </c>
      <c r="O8951" s="43">
        <v>6.9289449400184564</v>
      </c>
      <c r="P8951" s="223"/>
      <c r="Q8951" s="223"/>
      <c r="R8951" s="223">
        <v>6</v>
      </c>
    </row>
    <row r="8952" spans="1:18" ht="48">
      <c r="A8952" s="219">
        <v>1681</v>
      </c>
      <c r="B8952" s="216" t="s">
        <v>16477</v>
      </c>
      <c r="C8952" s="220" t="s">
        <v>16478</v>
      </c>
      <c r="D8952" s="221">
        <v>731.9</v>
      </c>
      <c r="E8952" s="221">
        <v>614.29</v>
      </c>
      <c r="F8952" s="221">
        <v>63.38</v>
      </c>
      <c r="G8952" s="221">
        <v>54.23</v>
      </c>
      <c r="H8952" s="222">
        <v>7801.22</v>
      </c>
      <c r="I8952" s="222">
        <v>7064.57</v>
      </c>
      <c r="J8952" s="222">
        <v>335.09</v>
      </c>
      <c r="K8952" s="222">
        <v>401.56</v>
      </c>
      <c r="L8952" s="43">
        <v>10.658860500068316</v>
      </c>
      <c r="M8952" s="43">
        <v>11.500382555470543</v>
      </c>
      <c r="N8952" s="43">
        <v>5.2869990533291249</v>
      </c>
      <c r="O8952" s="43">
        <v>7.4047575142909832</v>
      </c>
      <c r="P8952" s="223"/>
      <c r="Q8952" s="223"/>
      <c r="R8952" s="223">
        <v>6</v>
      </c>
    </row>
    <row r="8953" spans="1:18" ht="48">
      <c r="A8953" s="219">
        <v>1682</v>
      </c>
      <c r="B8953" s="216" t="s">
        <v>16479</v>
      </c>
      <c r="C8953" s="220" t="s">
        <v>16480</v>
      </c>
      <c r="D8953" s="221">
        <v>852.76</v>
      </c>
      <c r="E8953" s="221">
        <v>718.85</v>
      </c>
      <c r="F8953" s="221">
        <v>72.400000000000006</v>
      </c>
      <c r="G8953" s="221">
        <v>61.51</v>
      </c>
      <c r="H8953" s="222">
        <v>9103.16</v>
      </c>
      <c r="I8953" s="222">
        <v>8267.0499999999993</v>
      </c>
      <c r="J8953" s="222">
        <v>382.73</v>
      </c>
      <c r="K8953" s="222">
        <v>453.38</v>
      </c>
      <c r="L8953" s="43">
        <v>10.674937848867208</v>
      </c>
      <c r="M8953" s="43">
        <v>11.500382555470543</v>
      </c>
      <c r="N8953" s="43">
        <v>5.2863259668508285</v>
      </c>
      <c r="O8953" s="43">
        <v>7.370834010729963</v>
      </c>
      <c r="P8953" s="223"/>
      <c r="Q8953" s="223"/>
      <c r="R8953" s="223">
        <v>6</v>
      </c>
    </row>
    <row r="8954" spans="1:18" ht="48">
      <c r="A8954" s="219">
        <v>1683</v>
      </c>
      <c r="B8954" s="216" t="s">
        <v>16481</v>
      </c>
      <c r="C8954" s="220" t="s">
        <v>16482</v>
      </c>
      <c r="D8954" s="221">
        <v>998.34</v>
      </c>
      <c r="E8954" s="221">
        <v>836.48</v>
      </c>
      <c r="F8954" s="221">
        <v>82.52</v>
      </c>
      <c r="G8954" s="221">
        <v>79.34</v>
      </c>
      <c r="H8954" s="222">
        <v>10624</v>
      </c>
      <c r="I8954" s="222">
        <v>9619.84</v>
      </c>
      <c r="J8954" s="222">
        <v>436.2</v>
      </c>
      <c r="K8954" s="222">
        <v>567.96</v>
      </c>
      <c r="L8954" s="43">
        <v>10.641665164172526</v>
      </c>
      <c r="M8954" s="43">
        <v>11.500382555470543</v>
      </c>
      <c r="N8954" s="43">
        <v>5.2859912748424627</v>
      </c>
      <c r="O8954" s="43">
        <v>7.1585581043609778</v>
      </c>
      <c r="P8954" s="223"/>
      <c r="Q8954" s="223"/>
      <c r="R8954" s="223">
        <v>6</v>
      </c>
    </row>
    <row r="8955" spans="1:18" ht="48">
      <c r="A8955" s="219">
        <v>1684</v>
      </c>
      <c r="B8955" s="216" t="s">
        <v>16483</v>
      </c>
      <c r="C8955" s="220" t="s">
        <v>16484</v>
      </c>
      <c r="D8955" s="221">
        <v>1227.8</v>
      </c>
      <c r="E8955" s="221">
        <v>1019.46</v>
      </c>
      <c r="F8955" s="221">
        <v>107.02</v>
      </c>
      <c r="G8955" s="221">
        <v>101.32</v>
      </c>
      <c r="H8955" s="222">
        <v>13005.89</v>
      </c>
      <c r="I8955" s="222">
        <v>11724.18</v>
      </c>
      <c r="J8955" s="222">
        <v>565.86</v>
      </c>
      <c r="K8955" s="222">
        <v>715.85</v>
      </c>
      <c r="L8955" s="43">
        <v>10.592840853559212</v>
      </c>
      <c r="M8955" s="43">
        <v>11.500382555470543</v>
      </c>
      <c r="N8955" s="43">
        <v>5.287422911605308</v>
      </c>
      <c r="O8955" s="43">
        <v>7.0652388472167393</v>
      </c>
      <c r="P8955" s="223"/>
      <c r="Q8955" s="223"/>
      <c r="R8955" s="223">
        <v>6</v>
      </c>
    </row>
    <row r="8956" spans="1:18" ht="48">
      <c r="A8956" s="219">
        <v>1685</v>
      </c>
      <c r="B8956" s="216" t="s">
        <v>16485</v>
      </c>
      <c r="C8956" s="220" t="s">
        <v>16486</v>
      </c>
      <c r="D8956" s="221">
        <v>1527.39</v>
      </c>
      <c r="E8956" s="221">
        <v>1280.8599999999999</v>
      </c>
      <c r="F8956" s="221">
        <v>131.72</v>
      </c>
      <c r="G8956" s="221">
        <v>114.81</v>
      </c>
      <c r="H8956" s="222">
        <v>16255.53</v>
      </c>
      <c r="I8956" s="222">
        <v>14730.38</v>
      </c>
      <c r="J8956" s="222">
        <v>696.23</v>
      </c>
      <c r="K8956" s="222">
        <v>828.92</v>
      </c>
      <c r="L8956" s="43">
        <v>10.642684579576924</v>
      </c>
      <c r="M8956" s="43">
        <v>11.500382555470544</v>
      </c>
      <c r="N8956" s="43">
        <v>5.2856817491648957</v>
      </c>
      <c r="O8956" s="43">
        <v>7.2199285776500304</v>
      </c>
      <c r="P8956" s="223"/>
      <c r="Q8956" s="223"/>
      <c r="R8956" s="223">
        <v>6</v>
      </c>
    </row>
    <row r="8957" spans="1:18" ht="48">
      <c r="A8957" s="219">
        <v>1686</v>
      </c>
      <c r="B8957" s="216" t="s">
        <v>16487</v>
      </c>
      <c r="C8957" s="220" t="s">
        <v>16488</v>
      </c>
      <c r="D8957" s="221">
        <v>1856.72</v>
      </c>
      <c r="E8957" s="221">
        <v>1542.26</v>
      </c>
      <c r="F8957" s="221">
        <v>164.81</v>
      </c>
      <c r="G8957" s="221">
        <v>149.65</v>
      </c>
      <c r="H8957" s="222">
        <v>19666.12</v>
      </c>
      <c r="I8957" s="222">
        <v>17736.580000000002</v>
      </c>
      <c r="J8957" s="222">
        <v>871.49</v>
      </c>
      <c r="K8957" s="222">
        <v>1058.05</v>
      </c>
      <c r="L8957" s="43">
        <v>10.591860916023956</v>
      </c>
      <c r="M8957" s="43">
        <v>11.500382555470544</v>
      </c>
      <c r="N8957" s="43">
        <v>5.287846611249317</v>
      </c>
      <c r="O8957" s="43">
        <v>7.0701637153357826</v>
      </c>
      <c r="P8957" s="223"/>
      <c r="Q8957" s="223"/>
      <c r="R8957" s="223">
        <v>6</v>
      </c>
    </row>
    <row r="8958" spans="1:18" ht="48">
      <c r="A8958" s="219">
        <v>1687</v>
      </c>
      <c r="B8958" s="216" t="s">
        <v>16489</v>
      </c>
      <c r="C8958" s="220" t="s">
        <v>16490</v>
      </c>
      <c r="D8958" s="221">
        <v>2506.79</v>
      </c>
      <c r="E8958" s="221">
        <v>2038.92</v>
      </c>
      <c r="F8958" s="221">
        <v>228.27</v>
      </c>
      <c r="G8958" s="221">
        <v>239.6</v>
      </c>
      <c r="H8958" s="222">
        <v>26271.25</v>
      </c>
      <c r="I8958" s="222">
        <v>23448.36</v>
      </c>
      <c r="J8958" s="222">
        <v>1207.03</v>
      </c>
      <c r="K8958" s="222">
        <v>1615.86</v>
      </c>
      <c r="L8958" s="43">
        <v>10.480036221622074</v>
      </c>
      <c r="M8958" s="43">
        <v>11.500382555470543</v>
      </c>
      <c r="N8958" s="43">
        <v>5.287729443203224</v>
      </c>
      <c r="O8958" s="43">
        <v>6.743989983305509</v>
      </c>
      <c r="P8958" s="223"/>
      <c r="Q8958" s="223"/>
      <c r="R8958" s="223">
        <v>6</v>
      </c>
    </row>
    <row r="8959" spans="1:18" ht="48">
      <c r="A8959" s="224">
        <v>1688</v>
      </c>
      <c r="B8959" s="225" t="s">
        <v>16491</v>
      </c>
      <c r="C8959" s="226" t="s">
        <v>16492</v>
      </c>
      <c r="D8959" s="227">
        <v>2865.76</v>
      </c>
      <c r="E8959" s="227">
        <v>2326.46</v>
      </c>
      <c r="F8959" s="227">
        <v>265.85000000000002</v>
      </c>
      <c r="G8959" s="227">
        <v>273.45</v>
      </c>
      <c r="H8959" s="228">
        <v>30004.78</v>
      </c>
      <c r="I8959" s="228">
        <v>26755.18</v>
      </c>
      <c r="J8959" s="228">
        <v>1405.66</v>
      </c>
      <c r="K8959" s="228">
        <v>1843.94</v>
      </c>
      <c r="L8959" s="611">
        <v>10.470095192898217</v>
      </c>
      <c r="M8959" s="611">
        <v>11.500382555470543</v>
      </c>
      <c r="N8959" s="611">
        <v>5.2874177167575702</v>
      </c>
      <c r="O8959" s="611">
        <v>6.7432437374291467</v>
      </c>
      <c r="P8959" s="229"/>
      <c r="Q8959" s="229"/>
      <c r="R8959" s="229">
        <v>6</v>
      </c>
    </row>
    <row r="8960" spans="1:18" ht="12.75" customHeight="1">
      <c r="A8960" s="630" t="s">
        <v>16493</v>
      </c>
      <c r="B8960" s="631"/>
      <c r="C8960" s="631"/>
      <c r="D8960" s="631"/>
      <c r="E8960" s="631"/>
      <c r="F8960" s="631"/>
      <c r="G8960" s="631"/>
      <c r="H8960" s="631"/>
      <c r="I8960" s="631"/>
      <c r="J8960" s="631"/>
      <c r="K8960" s="631"/>
      <c r="L8960" s="631"/>
      <c r="M8960" s="631"/>
      <c r="N8960" s="631"/>
      <c r="O8960" s="631"/>
      <c r="P8960" s="631"/>
      <c r="Q8960" s="631"/>
      <c r="R8960" s="631"/>
    </row>
    <row r="8961" spans="1:18" ht="12.75" customHeight="1">
      <c r="A8961" s="628" t="s">
        <v>16494</v>
      </c>
      <c r="B8961" s="629"/>
      <c r="C8961" s="629"/>
      <c r="D8961" s="629"/>
      <c r="E8961" s="629"/>
      <c r="F8961" s="629"/>
      <c r="G8961" s="629"/>
      <c r="H8961" s="629"/>
      <c r="I8961" s="629"/>
      <c r="J8961" s="629"/>
      <c r="K8961" s="629"/>
      <c r="L8961" s="629"/>
      <c r="M8961" s="629"/>
      <c r="N8961" s="629"/>
      <c r="O8961" s="629"/>
      <c r="P8961" s="629"/>
      <c r="Q8961" s="629"/>
      <c r="R8961" s="629"/>
    </row>
    <row r="8962" spans="1:18" ht="12.75" customHeight="1">
      <c r="A8962" s="628" t="s">
        <v>16495</v>
      </c>
      <c r="B8962" s="629"/>
      <c r="C8962" s="629"/>
      <c r="D8962" s="629"/>
      <c r="E8962" s="629"/>
      <c r="F8962" s="629"/>
      <c r="G8962" s="629"/>
      <c r="H8962" s="629"/>
      <c r="I8962" s="629"/>
      <c r="J8962" s="629"/>
      <c r="K8962" s="629"/>
      <c r="L8962" s="629"/>
      <c r="M8962" s="629"/>
      <c r="N8962" s="629"/>
      <c r="O8962" s="629"/>
      <c r="P8962" s="629"/>
      <c r="Q8962" s="629"/>
      <c r="R8962" s="629"/>
    </row>
    <row r="8963" spans="1:18" ht="36">
      <c r="A8963" s="219">
        <v>1689</v>
      </c>
      <c r="B8963" s="216" t="s">
        <v>16496</v>
      </c>
      <c r="C8963" s="220" t="s">
        <v>16497</v>
      </c>
      <c r="D8963" s="221">
        <v>36.56</v>
      </c>
      <c r="E8963" s="221">
        <v>34.47</v>
      </c>
      <c r="F8963" s="221"/>
      <c r="G8963" s="221">
        <v>2.09</v>
      </c>
      <c r="H8963" s="222">
        <v>413.9</v>
      </c>
      <c r="I8963" s="222">
        <v>396.42</v>
      </c>
      <c r="J8963" s="222"/>
      <c r="K8963" s="222">
        <v>17.48</v>
      </c>
      <c r="L8963" s="43">
        <v>11.321115973741794</v>
      </c>
      <c r="M8963" s="43">
        <v>11.500435161009575</v>
      </c>
      <c r="N8963" s="43" t="s">
        <v>1690</v>
      </c>
      <c r="O8963" s="43">
        <v>8.3636363636363651</v>
      </c>
      <c r="P8963" s="223"/>
      <c r="Q8963" s="223"/>
      <c r="R8963" s="223">
        <v>1</v>
      </c>
    </row>
    <row r="8964" spans="1:18" ht="36">
      <c r="A8964" s="219">
        <v>1690</v>
      </c>
      <c r="B8964" s="216" t="s">
        <v>16498</v>
      </c>
      <c r="C8964" s="220" t="s">
        <v>16499</v>
      </c>
      <c r="D8964" s="221">
        <v>36.56</v>
      </c>
      <c r="E8964" s="221">
        <v>34.47</v>
      </c>
      <c r="F8964" s="221"/>
      <c r="G8964" s="221">
        <v>2.09</v>
      </c>
      <c r="H8964" s="222">
        <v>413.9</v>
      </c>
      <c r="I8964" s="222">
        <v>396.42</v>
      </c>
      <c r="J8964" s="222"/>
      <c r="K8964" s="222">
        <v>17.48</v>
      </c>
      <c r="L8964" s="43">
        <v>11.321115973741794</v>
      </c>
      <c r="M8964" s="43">
        <v>11.500435161009575</v>
      </c>
      <c r="N8964" s="43" t="s">
        <v>1690</v>
      </c>
      <c r="O8964" s="43">
        <v>8.3636363636363651</v>
      </c>
      <c r="P8964" s="223"/>
      <c r="Q8964" s="223"/>
      <c r="R8964" s="223">
        <v>1</v>
      </c>
    </row>
    <row r="8965" spans="1:18" ht="36">
      <c r="A8965" s="219">
        <v>1691</v>
      </c>
      <c r="B8965" s="216" t="s">
        <v>16500</v>
      </c>
      <c r="C8965" s="220" t="s">
        <v>16501</v>
      </c>
      <c r="D8965" s="221">
        <v>36.83</v>
      </c>
      <c r="E8965" s="221">
        <v>34.47</v>
      </c>
      <c r="F8965" s="221"/>
      <c r="G8965" s="221">
        <v>2.36</v>
      </c>
      <c r="H8965" s="222">
        <v>415.19</v>
      </c>
      <c r="I8965" s="222">
        <v>396.42</v>
      </c>
      <c r="J8965" s="222"/>
      <c r="K8965" s="222">
        <v>18.77</v>
      </c>
      <c r="L8965" s="43">
        <v>11.273146891121369</v>
      </c>
      <c r="M8965" s="43">
        <v>11.500435161009575</v>
      </c>
      <c r="N8965" s="43" t="s">
        <v>1690</v>
      </c>
      <c r="O8965" s="43">
        <v>7.9533898305084749</v>
      </c>
      <c r="P8965" s="223"/>
      <c r="Q8965" s="223"/>
      <c r="R8965" s="223">
        <v>1</v>
      </c>
    </row>
    <row r="8966" spans="1:18" ht="36">
      <c r="A8966" s="219">
        <v>1692</v>
      </c>
      <c r="B8966" s="216" t="s">
        <v>16502</v>
      </c>
      <c r="C8966" s="220" t="s">
        <v>16503</v>
      </c>
      <c r="D8966" s="221">
        <v>36.83</v>
      </c>
      <c r="E8966" s="221">
        <v>34.47</v>
      </c>
      <c r="F8966" s="221"/>
      <c r="G8966" s="221">
        <v>2.36</v>
      </c>
      <c r="H8966" s="222">
        <v>415.19</v>
      </c>
      <c r="I8966" s="222">
        <v>396.42</v>
      </c>
      <c r="J8966" s="222"/>
      <c r="K8966" s="222">
        <v>18.77</v>
      </c>
      <c r="L8966" s="43">
        <v>11.273146891121369</v>
      </c>
      <c r="M8966" s="43">
        <v>11.500435161009575</v>
      </c>
      <c r="N8966" s="43" t="s">
        <v>1690</v>
      </c>
      <c r="O8966" s="43">
        <v>7.9533898305084749</v>
      </c>
      <c r="P8966" s="223"/>
      <c r="Q8966" s="223"/>
      <c r="R8966" s="223">
        <v>1</v>
      </c>
    </row>
    <row r="8967" spans="1:18" ht="36">
      <c r="A8967" s="219">
        <v>1693</v>
      </c>
      <c r="B8967" s="216" t="s">
        <v>16504</v>
      </c>
      <c r="C8967" s="220" t="s">
        <v>16505</v>
      </c>
      <c r="D8967" s="221">
        <v>39.450000000000003</v>
      </c>
      <c r="E8967" s="221">
        <v>36.770000000000003</v>
      </c>
      <c r="F8967" s="221"/>
      <c r="G8967" s="221">
        <v>2.68</v>
      </c>
      <c r="H8967" s="222">
        <v>443.48</v>
      </c>
      <c r="I8967" s="222">
        <v>422.85</v>
      </c>
      <c r="J8967" s="222"/>
      <c r="K8967" s="222">
        <v>20.63</v>
      </c>
      <c r="L8967" s="43">
        <v>11.241571609632446</v>
      </c>
      <c r="M8967" s="43">
        <v>11.49986401958118</v>
      </c>
      <c r="N8967" s="43" t="s">
        <v>1690</v>
      </c>
      <c r="O8967" s="43">
        <v>7.6977611940298498</v>
      </c>
      <c r="P8967" s="223"/>
      <c r="Q8967" s="223"/>
      <c r="R8967" s="223">
        <v>1</v>
      </c>
    </row>
    <row r="8968" spans="1:18" ht="36">
      <c r="A8968" s="219">
        <v>1694</v>
      </c>
      <c r="B8968" s="216" t="s">
        <v>16506</v>
      </c>
      <c r="C8968" s="220" t="s">
        <v>16507</v>
      </c>
      <c r="D8968" s="221">
        <v>41.92</v>
      </c>
      <c r="E8968" s="221">
        <v>36.770000000000003</v>
      </c>
      <c r="F8968" s="221">
        <v>1.05</v>
      </c>
      <c r="G8968" s="221">
        <v>4.0999999999999996</v>
      </c>
      <c r="H8968" s="222">
        <v>458.96</v>
      </c>
      <c r="I8968" s="222">
        <v>422.85</v>
      </c>
      <c r="J8968" s="222">
        <v>5.78</v>
      </c>
      <c r="K8968" s="222">
        <v>30.33</v>
      </c>
      <c r="L8968" s="43">
        <v>10.948473282442746</v>
      </c>
      <c r="M8968" s="43">
        <v>11.49986401958118</v>
      </c>
      <c r="N8968" s="43">
        <v>5.5047619047619047</v>
      </c>
      <c r="O8968" s="43">
        <v>7.397560975609756</v>
      </c>
      <c r="P8968" s="223"/>
      <c r="Q8968" s="223"/>
      <c r="R8968" s="223">
        <v>1</v>
      </c>
    </row>
    <row r="8969" spans="1:18" ht="36">
      <c r="A8969" s="219">
        <v>1695</v>
      </c>
      <c r="B8969" s="216" t="s">
        <v>16508</v>
      </c>
      <c r="C8969" s="220" t="s">
        <v>16509</v>
      </c>
      <c r="D8969" s="221">
        <v>97.44</v>
      </c>
      <c r="E8969" s="221">
        <v>40.1</v>
      </c>
      <c r="F8969" s="221">
        <v>52.64</v>
      </c>
      <c r="G8969" s="221">
        <v>4.7</v>
      </c>
      <c r="H8969" s="222">
        <v>777.88</v>
      </c>
      <c r="I8969" s="222">
        <v>461.17</v>
      </c>
      <c r="J8969" s="222">
        <v>283.12</v>
      </c>
      <c r="K8969" s="222">
        <v>33.590000000000003</v>
      </c>
      <c r="L8969" s="43">
        <v>7.9831691297208538</v>
      </c>
      <c r="M8969" s="43">
        <v>11.500498753117206</v>
      </c>
      <c r="N8969" s="43">
        <v>5.3784194528875382</v>
      </c>
      <c r="O8969" s="43">
        <v>7.1468085106382979</v>
      </c>
      <c r="P8969" s="223"/>
      <c r="Q8969" s="223"/>
      <c r="R8969" s="223">
        <v>1</v>
      </c>
    </row>
    <row r="8970" spans="1:18" ht="36">
      <c r="A8970" s="219">
        <v>1696</v>
      </c>
      <c r="B8970" s="216" t="s">
        <v>16510</v>
      </c>
      <c r="C8970" s="220" t="s">
        <v>16511</v>
      </c>
      <c r="D8970" s="221">
        <v>152.62</v>
      </c>
      <c r="E8970" s="221">
        <v>50.1</v>
      </c>
      <c r="F8970" s="221">
        <v>95.13</v>
      </c>
      <c r="G8970" s="221">
        <v>7.39</v>
      </c>
      <c r="H8970" s="222">
        <v>1141.8699999999999</v>
      </c>
      <c r="I8970" s="222">
        <v>576.13</v>
      </c>
      <c r="J8970" s="222">
        <v>511.52</v>
      </c>
      <c r="K8970" s="222">
        <v>54.22</v>
      </c>
      <c r="L8970" s="43">
        <v>7.4817848250556933</v>
      </c>
      <c r="M8970" s="43">
        <v>11.499600798403193</v>
      </c>
      <c r="N8970" s="43">
        <v>5.3770629664669398</v>
      </c>
      <c r="O8970" s="43">
        <v>7.3369418132611637</v>
      </c>
      <c r="P8970" s="223"/>
      <c r="Q8970" s="223"/>
      <c r="R8970" s="223">
        <v>1</v>
      </c>
    </row>
    <row r="8971" spans="1:18" ht="36">
      <c r="A8971" s="219">
        <v>1697</v>
      </c>
      <c r="B8971" s="216" t="s">
        <v>16512</v>
      </c>
      <c r="C8971" s="220" t="s">
        <v>16513</v>
      </c>
      <c r="D8971" s="221">
        <v>155.72</v>
      </c>
      <c r="E8971" s="221">
        <v>50.1</v>
      </c>
      <c r="F8971" s="221">
        <v>97.69</v>
      </c>
      <c r="G8971" s="221">
        <v>7.93</v>
      </c>
      <c r="H8971" s="222">
        <v>1158.3800000000001</v>
      </c>
      <c r="I8971" s="222">
        <v>576.13</v>
      </c>
      <c r="J8971" s="222">
        <v>525.45000000000005</v>
      </c>
      <c r="K8971" s="222">
        <v>56.8</v>
      </c>
      <c r="L8971" s="43">
        <v>7.4388646288209612</v>
      </c>
      <c r="M8971" s="43">
        <v>11.499600798403193</v>
      </c>
      <c r="N8971" s="43">
        <v>5.3787491043095512</v>
      </c>
      <c r="O8971" s="43">
        <v>7.1626733921815884</v>
      </c>
      <c r="P8971" s="223"/>
      <c r="Q8971" s="223"/>
      <c r="R8971" s="223">
        <v>1</v>
      </c>
    </row>
    <row r="8972" spans="1:18" ht="36">
      <c r="A8972" s="219">
        <v>1698</v>
      </c>
      <c r="B8972" s="216" t="s">
        <v>16514</v>
      </c>
      <c r="C8972" s="220" t="s">
        <v>16515</v>
      </c>
      <c r="D8972" s="221">
        <v>164.52</v>
      </c>
      <c r="E8972" s="221">
        <v>51.36</v>
      </c>
      <c r="F8972" s="221">
        <v>100.26</v>
      </c>
      <c r="G8972" s="221">
        <v>12.9</v>
      </c>
      <c r="H8972" s="222">
        <v>1222.6600000000001</v>
      </c>
      <c r="I8972" s="222">
        <v>590.66999999999996</v>
      </c>
      <c r="J8972" s="222">
        <v>539.38</v>
      </c>
      <c r="K8972" s="222">
        <v>92.61</v>
      </c>
      <c r="L8972" s="43">
        <v>7.4316800389010451</v>
      </c>
      <c r="M8972" s="43">
        <v>11.500584112149532</v>
      </c>
      <c r="N8972" s="43">
        <v>5.3798124875324156</v>
      </c>
      <c r="O8972" s="43">
        <v>7.1790697674418604</v>
      </c>
      <c r="P8972" s="223"/>
      <c r="Q8972" s="223"/>
      <c r="R8972" s="223">
        <v>1</v>
      </c>
    </row>
    <row r="8973" spans="1:18" ht="36">
      <c r="A8973" s="219">
        <v>1699</v>
      </c>
      <c r="B8973" s="216" t="s">
        <v>16516</v>
      </c>
      <c r="C8973" s="220" t="s">
        <v>16517</v>
      </c>
      <c r="D8973" s="221">
        <v>243.89</v>
      </c>
      <c r="E8973" s="221">
        <v>67.680000000000007</v>
      </c>
      <c r="F8973" s="221">
        <v>158.97</v>
      </c>
      <c r="G8973" s="221">
        <v>17.239999999999998</v>
      </c>
      <c r="H8973" s="222">
        <v>1762.08</v>
      </c>
      <c r="I8973" s="222">
        <v>778.3</v>
      </c>
      <c r="J8973" s="222">
        <v>855.13</v>
      </c>
      <c r="K8973" s="222">
        <v>128.65</v>
      </c>
      <c r="L8973" s="43">
        <v>7.2248964697199556</v>
      </c>
      <c r="M8973" s="43">
        <v>11.499704491725767</v>
      </c>
      <c r="N8973" s="43">
        <v>5.379191042335032</v>
      </c>
      <c r="O8973" s="43">
        <v>7.4622969837587014</v>
      </c>
      <c r="P8973" s="223"/>
      <c r="Q8973" s="223"/>
      <c r="R8973" s="223">
        <v>1</v>
      </c>
    </row>
    <row r="8974" spans="1:18" ht="36">
      <c r="A8974" s="219">
        <v>1700</v>
      </c>
      <c r="B8974" s="216" t="s">
        <v>16518</v>
      </c>
      <c r="C8974" s="220" t="s">
        <v>16519</v>
      </c>
      <c r="D8974" s="221">
        <v>248.07</v>
      </c>
      <c r="E8974" s="221">
        <v>67.680000000000007</v>
      </c>
      <c r="F8974" s="221">
        <v>161.54</v>
      </c>
      <c r="G8974" s="221">
        <v>18.850000000000001</v>
      </c>
      <c r="H8974" s="222">
        <v>1783.73</v>
      </c>
      <c r="I8974" s="222">
        <v>778.3</v>
      </c>
      <c r="J8974" s="222">
        <v>869.06</v>
      </c>
      <c r="K8974" s="222">
        <v>136.37</v>
      </c>
      <c r="L8974" s="43">
        <v>7.1904301205304959</v>
      </c>
      <c r="M8974" s="43">
        <v>11.499704491725767</v>
      </c>
      <c r="N8974" s="43">
        <v>5.3798440014856999</v>
      </c>
      <c r="O8974" s="43">
        <v>7.2344827586206897</v>
      </c>
      <c r="P8974" s="223"/>
      <c r="Q8974" s="223"/>
      <c r="R8974" s="223">
        <v>1</v>
      </c>
    </row>
    <row r="8975" spans="1:18" ht="36">
      <c r="A8975" s="219">
        <v>1701</v>
      </c>
      <c r="B8975" s="216" t="s">
        <v>16520</v>
      </c>
      <c r="C8975" s="220" t="s">
        <v>16521</v>
      </c>
      <c r="D8975" s="221">
        <v>350.74</v>
      </c>
      <c r="E8975" s="221">
        <v>88.93</v>
      </c>
      <c r="F8975" s="221">
        <v>223.86</v>
      </c>
      <c r="G8975" s="221">
        <v>37.950000000000003</v>
      </c>
      <c r="H8975" s="222">
        <v>2508.44</v>
      </c>
      <c r="I8975" s="222">
        <v>1022.76</v>
      </c>
      <c r="J8975" s="222">
        <v>1204.52</v>
      </c>
      <c r="K8975" s="222">
        <v>281.16000000000003</v>
      </c>
      <c r="L8975" s="43">
        <v>7.1518503734960372</v>
      </c>
      <c r="M8975" s="43">
        <v>11.500730911953221</v>
      </c>
      <c r="N8975" s="43">
        <v>5.380684356294112</v>
      </c>
      <c r="O8975" s="43">
        <v>7.4086956521739129</v>
      </c>
      <c r="P8975" s="223"/>
      <c r="Q8975" s="223"/>
      <c r="R8975" s="223">
        <v>1</v>
      </c>
    </row>
    <row r="8976" spans="1:18" ht="36">
      <c r="A8976" s="219">
        <v>1702</v>
      </c>
      <c r="B8976" s="216" t="s">
        <v>16522</v>
      </c>
      <c r="C8976" s="220" t="s">
        <v>16523</v>
      </c>
      <c r="D8976" s="221">
        <v>473.99</v>
      </c>
      <c r="E8976" s="221">
        <v>108.93</v>
      </c>
      <c r="F8976" s="221">
        <v>313.14999999999998</v>
      </c>
      <c r="G8976" s="221">
        <v>51.91</v>
      </c>
      <c r="H8976" s="222">
        <v>3319.13</v>
      </c>
      <c r="I8976" s="222">
        <v>1252.69</v>
      </c>
      <c r="J8976" s="222">
        <v>1685.43</v>
      </c>
      <c r="K8976" s="222">
        <v>381.01</v>
      </c>
      <c r="L8976" s="43">
        <v>7.0025316989809916</v>
      </c>
      <c r="M8976" s="43">
        <v>11.499954098962636</v>
      </c>
      <c r="N8976" s="43">
        <v>5.3821810633881535</v>
      </c>
      <c r="O8976" s="43">
        <v>7.3398189173569639</v>
      </c>
      <c r="P8976" s="223"/>
      <c r="Q8976" s="223"/>
      <c r="R8976" s="223">
        <v>1</v>
      </c>
    </row>
    <row r="8977" spans="1:18" ht="36">
      <c r="A8977" s="219">
        <v>1703</v>
      </c>
      <c r="B8977" s="216" t="s">
        <v>16524</v>
      </c>
      <c r="C8977" s="220" t="s">
        <v>16525</v>
      </c>
      <c r="D8977" s="221">
        <v>605.78</v>
      </c>
      <c r="E8977" s="221">
        <v>131.56</v>
      </c>
      <c r="F8977" s="221">
        <v>401.85</v>
      </c>
      <c r="G8977" s="221">
        <v>72.37</v>
      </c>
      <c r="H8977" s="222">
        <v>4208.4399999999996</v>
      </c>
      <c r="I8977" s="222">
        <v>1513</v>
      </c>
      <c r="J8977" s="222">
        <v>2162.96</v>
      </c>
      <c r="K8977" s="222">
        <v>532.48</v>
      </c>
      <c r="L8977" s="43">
        <v>6.947142526989996</v>
      </c>
      <c r="M8977" s="43">
        <v>11.500456065673458</v>
      </c>
      <c r="N8977" s="43">
        <v>5.3825059101654844</v>
      </c>
      <c r="O8977" s="43">
        <v>7.3577449219289761</v>
      </c>
      <c r="P8977" s="223"/>
      <c r="Q8977" s="223"/>
      <c r="R8977" s="223">
        <v>1</v>
      </c>
    </row>
    <row r="8978" spans="1:18" ht="36">
      <c r="A8978" s="219">
        <v>1704</v>
      </c>
      <c r="B8978" s="216" t="s">
        <v>16526</v>
      </c>
      <c r="C8978" s="220" t="s">
        <v>16527</v>
      </c>
      <c r="D8978" s="221">
        <v>733.91</v>
      </c>
      <c r="E8978" s="221">
        <v>162.81</v>
      </c>
      <c r="F8978" s="221">
        <v>491.13</v>
      </c>
      <c r="G8978" s="221">
        <v>79.97</v>
      </c>
      <c r="H8978" s="222">
        <v>5089.46</v>
      </c>
      <c r="I8978" s="222">
        <v>1872.42</v>
      </c>
      <c r="J8978" s="222">
        <v>2643.88</v>
      </c>
      <c r="K8978" s="222">
        <v>573.16</v>
      </c>
      <c r="L8978" s="43">
        <v>6.9347195160169504</v>
      </c>
      <c r="M8978" s="43">
        <v>11.500644923530496</v>
      </c>
      <c r="N8978" s="43">
        <v>5.3832590149247652</v>
      </c>
      <c r="O8978" s="43">
        <v>7.1671876953857696</v>
      </c>
      <c r="P8978" s="223"/>
      <c r="Q8978" s="223"/>
      <c r="R8978" s="223">
        <v>1</v>
      </c>
    </row>
    <row r="8979" spans="1:18" ht="36">
      <c r="A8979" s="219">
        <v>1705</v>
      </c>
      <c r="B8979" s="216" t="s">
        <v>16528</v>
      </c>
      <c r="C8979" s="220" t="s">
        <v>16529</v>
      </c>
      <c r="D8979" s="221">
        <v>804.93</v>
      </c>
      <c r="E8979" s="221">
        <v>181.66</v>
      </c>
      <c r="F8979" s="221">
        <v>507.91</v>
      </c>
      <c r="G8979" s="221">
        <v>115.36</v>
      </c>
      <c r="H8979" s="222">
        <v>5684.88</v>
      </c>
      <c r="I8979" s="222">
        <v>2089.13</v>
      </c>
      <c r="J8979" s="222">
        <v>2736.3</v>
      </c>
      <c r="K8979" s="222">
        <v>859.45</v>
      </c>
      <c r="L8979" s="43">
        <v>7.0625768700383889</v>
      </c>
      <c r="M8979" s="43">
        <v>11.500220191566664</v>
      </c>
      <c r="N8979" s="43">
        <v>5.3873717784646891</v>
      </c>
      <c r="O8979" s="43">
        <v>7.4501560332871017</v>
      </c>
      <c r="P8979" s="223"/>
      <c r="Q8979" s="223"/>
      <c r="R8979" s="223">
        <v>1</v>
      </c>
    </row>
    <row r="8980" spans="1:18" ht="36">
      <c r="A8980" s="219">
        <v>1706</v>
      </c>
      <c r="B8980" s="216" t="s">
        <v>16530</v>
      </c>
      <c r="C8980" s="220" t="s">
        <v>16531</v>
      </c>
      <c r="D8980" s="221">
        <v>1122.77</v>
      </c>
      <c r="E8980" s="221">
        <v>231.75</v>
      </c>
      <c r="F8980" s="221">
        <v>690.19</v>
      </c>
      <c r="G8980" s="221">
        <v>200.83</v>
      </c>
      <c r="H8980" s="222">
        <v>7937.04</v>
      </c>
      <c r="I8980" s="222">
        <v>2665.26</v>
      </c>
      <c r="J8980" s="222">
        <v>3720.53</v>
      </c>
      <c r="K8980" s="222">
        <v>1551.25</v>
      </c>
      <c r="L8980" s="43">
        <v>7.0691593113460458</v>
      </c>
      <c r="M8980" s="43">
        <v>11.500582524271845</v>
      </c>
      <c r="N8980" s="43">
        <v>5.39058809892928</v>
      </c>
      <c r="O8980" s="43">
        <v>7.7241945924413677</v>
      </c>
      <c r="P8980" s="223"/>
      <c r="Q8980" s="223"/>
      <c r="R8980" s="223">
        <v>1</v>
      </c>
    </row>
    <row r="8981" spans="1:18" ht="36">
      <c r="A8981" s="219">
        <v>1707</v>
      </c>
      <c r="B8981" s="216" t="s">
        <v>16532</v>
      </c>
      <c r="C8981" s="220" t="s">
        <v>16533</v>
      </c>
      <c r="D8981" s="221">
        <v>1479.2</v>
      </c>
      <c r="E8981" s="221">
        <v>294.37</v>
      </c>
      <c r="F8981" s="221">
        <v>888.01</v>
      </c>
      <c r="G8981" s="221">
        <v>296.82</v>
      </c>
      <c r="H8981" s="222">
        <v>10459.870000000001</v>
      </c>
      <c r="I8981" s="222">
        <v>3385.43</v>
      </c>
      <c r="J8981" s="222">
        <v>4786.03</v>
      </c>
      <c r="K8981" s="222">
        <v>2288.41</v>
      </c>
      <c r="L8981" s="43">
        <v>7.0713020551649546</v>
      </c>
      <c r="M8981" s="43">
        <v>11.500594489927641</v>
      </c>
      <c r="N8981" s="43">
        <v>5.3896127295863785</v>
      </c>
      <c r="O8981" s="43">
        <v>7.7097567549356505</v>
      </c>
      <c r="P8981" s="223"/>
      <c r="Q8981" s="223"/>
      <c r="R8981" s="223">
        <v>1</v>
      </c>
    </row>
    <row r="8982" spans="1:18" ht="36">
      <c r="A8982" s="219">
        <v>1708</v>
      </c>
      <c r="B8982" s="216" t="s">
        <v>16534</v>
      </c>
      <c r="C8982" s="220" t="s">
        <v>16535</v>
      </c>
      <c r="D8982" s="221">
        <v>2387</v>
      </c>
      <c r="E8982" s="221">
        <v>457.19</v>
      </c>
      <c r="F8982" s="221">
        <v>1460.59</v>
      </c>
      <c r="G8982" s="221">
        <v>469.22</v>
      </c>
      <c r="H8982" s="222">
        <v>16754.43</v>
      </c>
      <c r="I8982" s="222">
        <v>5257.85</v>
      </c>
      <c r="J8982" s="222">
        <v>7869.69</v>
      </c>
      <c r="K8982" s="222">
        <v>3626.89</v>
      </c>
      <c r="L8982" s="43">
        <v>7.0190322580645166</v>
      </c>
      <c r="M8982" s="43">
        <v>11.500360900282159</v>
      </c>
      <c r="N8982" s="43">
        <v>5.3880212790721558</v>
      </c>
      <c r="O8982" s="43">
        <v>7.7296151059204634</v>
      </c>
      <c r="P8982" s="223"/>
      <c r="Q8982" s="223"/>
      <c r="R8982" s="223">
        <v>1</v>
      </c>
    </row>
    <row r="8983" spans="1:18" ht="36">
      <c r="A8983" s="219">
        <v>1709</v>
      </c>
      <c r="B8983" s="216" t="s">
        <v>16536</v>
      </c>
      <c r="C8983" s="220" t="s">
        <v>16537</v>
      </c>
      <c r="D8983" s="221">
        <v>2792.93</v>
      </c>
      <c r="E8983" s="221">
        <v>563.58000000000004</v>
      </c>
      <c r="F8983" s="221">
        <v>1758</v>
      </c>
      <c r="G8983" s="221">
        <v>471.35</v>
      </c>
      <c r="H8983" s="222">
        <v>19601.34</v>
      </c>
      <c r="I8983" s="222">
        <v>6481.47</v>
      </c>
      <c r="J8983" s="222">
        <v>9468.48</v>
      </c>
      <c r="K8983" s="222">
        <v>3651.39</v>
      </c>
      <c r="L8983" s="43">
        <v>7.0181995252297771</v>
      </c>
      <c r="M8983" s="43">
        <v>11.500532311295645</v>
      </c>
      <c r="N8983" s="43">
        <v>5.3859385665529009</v>
      </c>
      <c r="O8983" s="43">
        <v>7.7466638379123784</v>
      </c>
      <c r="P8983" s="223"/>
      <c r="Q8983" s="223"/>
      <c r="R8983" s="223">
        <v>1</v>
      </c>
    </row>
    <row r="8984" spans="1:18" ht="36">
      <c r="A8984" s="219">
        <v>1710</v>
      </c>
      <c r="B8984" s="216" t="s">
        <v>16538</v>
      </c>
      <c r="C8984" s="220" t="s">
        <v>16539</v>
      </c>
      <c r="D8984" s="221">
        <v>3840.48</v>
      </c>
      <c r="E8984" s="221">
        <v>738.92</v>
      </c>
      <c r="F8984" s="221">
        <v>2401.92</v>
      </c>
      <c r="G8984" s="221">
        <v>699.64</v>
      </c>
      <c r="H8984" s="222">
        <v>26883.64</v>
      </c>
      <c r="I8984" s="222">
        <v>8497.92</v>
      </c>
      <c r="J8984" s="222">
        <v>12944.92</v>
      </c>
      <c r="K8984" s="222">
        <v>5440.8</v>
      </c>
      <c r="L8984" s="43">
        <v>7.0000729075532222</v>
      </c>
      <c r="M8984" s="43">
        <v>11.500460131002004</v>
      </c>
      <c r="N8984" s="43">
        <v>5.3894051425526248</v>
      </c>
      <c r="O8984" s="43">
        <v>7.7765708078440348</v>
      </c>
      <c r="P8984" s="223"/>
      <c r="Q8984" s="223"/>
      <c r="R8984" s="223">
        <v>1</v>
      </c>
    </row>
    <row r="8985" spans="1:18" ht="12.75" customHeight="1">
      <c r="A8985" s="628" t="s">
        <v>16540</v>
      </c>
      <c r="B8985" s="629"/>
      <c r="C8985" s="629"/>
      <c r="D8985" s="629"/>
      <c r="E8985" s="629"/>
      <c r="F8985" s="629"/>
      <c r="G8985" s="629"/>
      <c r="H8985" s="629"/>
      <c r="I8985" s="629"/>
      <c r="J8985" s="629"/>
      <c r="K8985" s="629"/>
      <c r="L8985" s="629"/>
      <c r="M8985" s="629"/>
      <c r="N8985" s="629"/>
      <c r="O8985" s="629"/>
      <c r="P8985" s="629"/>
      <c r="Q8985" s="629"/>
      <c r="R8985" s="629"/>
    </row>
    <row r="8986" spans="1:18" ht="36">
      <c r="A8986" s="219">
        <v>1711</v>
      </c>
      <c r="B8986" s="216" t="s">
        <v>16541</v>
      </c>
      <c r="C8986" s="220" t="s">
        <v>16542</v>
      </c>
      <c r="D8986" s="221">
        <v>50.7</v>
      </c>
      <c r="E8986" s="221">
        <v>48.26</v>
      </c>
      <c r="F8986" s="221"/>
      <c r="G8986" s="221">
        <v>2.44</v>
      </c>
      <c r="H8986" s="222">
        <v>576.27</v>
      </c>
      <c r="I8986" s="222">
        <v>554.99</v>
      </c>
      <c r="J8986" s="222"/>
      <c r="K8986" s="222">
        <v>21.28</v>
      </c>
      <c r="L8986" s="43">
        <v>11.366272189349111</v>
      </c>
      <c r="M8986" s="43">
        <v>11.5</v>
      </c>
      <c r="N8986" s="43" t="s">
        <v>1690</v>
      </c>
      <c r="O8986" s="43">
        <v>8.721311475409836</v>
      </c>
      <c r="P8986" s="223"/>
      <c r="Q8986" s="223"/>
      <c r="R8986" s="223">
        <v>2</v>
      </c>
    </row>
    <row r="8987" spans="1:18" ht="36">
      <c r="A8987" s="219">
        <v>1712</v>
      </c>
      <c r="B8987" s="216" t="s">
        <v>16543</v>
      </c>
      <c r="C8987" s="220" t="s">
        <v>16544</v>
      </c>
      <c r="D8987" s="221">
        <v>50.7</v>
      </c>
      <c r="E8987" s="221">
        <v>48.26</v>
      </c>
      <c r="F8987" s="221"/>
      <c r="G8987" s="221">
        <v>2.44</v>
      </c>
      <c r="H8987" s="222">
        <v>576.27</v>
      </c>
      <c r="I8987" s="222">
        <v>554.99</v>
      </c>
      <c r="J8987" s="222"/>
      <c r="K8987" s="222">
        <v>21.28</v>
      </c>
      <c r="L8987" s="43">
        <v>11.366272189349111</v>
      </c>
      <c r="M8987" s="43">
        <v>11.5</v>
      </c>
      <c r="N8987" s="43" t="s">
        <v>1690</v>
      </c>
      <c r="O8987" s="43">
        <v>8.721311475409836</v>
      </c>
      <c r="P8987" s="223"/>
      <c r="Q8987" s="223"/>
      <c r="R8987" s="223">
        <v>2</v>
      </c>
    </row>
    <row r="8988" spans="1:18" ht="36">
      <c r="A8988" s="219">
        <v>1713</v>
      </c>
      <c r="B8988" s="216" t="s">
        <v>16545</v>
      </c>
      <c r="C8988" s="220" t="s">
        <v>16546</v>
      </c>
      <c r="D8988" s="221">
        <v>52.94</v>
      </c>
      <c r="E8988" s="221">
        <v>48.26</v>
      </c>
      <c r="F8988" s="221">
        <v>1.05</v>
      </c>
      <c r="G8988" s="221">
        <v>3.63</v>
      </c>
      <c r="H8988" s="222">
        <v>590.72</v>
      </c>
      <c r="I8988" s="222">
        <v>554.99</v>
      </c>
      <c r="J8988" s="222">
        <v>5.78</v>
      </c>
      <c r="K8988" s="222">
        <v>29.95</v>
      </c>
      <c r="L8988" s="43">
        <v>11.158292406497923</v>
      </c>
      <c r="M8988" s="43">
        <v>11.5</v>
      </c>
      <c r="N8988" s="43">
        <v>5.5047619047619047</v>
      </c>
      <c r="O8988" s="43">
        <v>8.2506887052341593</v>
      </c>
      <c r="P8988" s="223"/>
      <c r="Q8988" s="223"/>
      <c r="R8988" s="223">
        <v>2</v>
      </c>
    </row>
    <row r="8989" spans="1:18" ht="36">
      <c r="A8989" s="219">
        <v>1714</v>
      </c>
      <c r="B8989" s="216" t="s">
        <v>16547</v>
      </c>
      <c r="C8989" s="220" t="s">
        <v>16548</v>
      </c>
      <c r="D8989" s="221">
        <v>52.94</v>
      </c>
      <c r="E8989" s="221">
        <v>48.26</v>
      </c>
      <c r="F8989" s="221">
        <v>1.05</v>
      </c>
      <c r="G8989" s="221">
        <v>3.63</v>
      </c>
      <c r="H8989" s="222">
        <v>590.72</v>
      </c>
      <c r="I8989" s="222">
        <v>554.99</v>
      </c>
      <c r="J8989" s="222">
        <v>5.78</v>
      </c>
      <c r="K8989" s="222">
        <v>29.95</v>
      </c>
      <c r="L8989" s="43">
        <v>11.158292406497923</v>
      </c>
      <c r="M8989" s="43">
        <v>11.5</v>
      </c>
      <c r="N8989" s="43">
        <v>5.5047619047619047</v>
      </c>
      <c r="O8989" s="43">
        <v>8.2506887052341593</v>
      </c>
      <c r="P8989" s="223"/>
      <c r="Q8989" s="223"/>
      <c r="R8989" s="223">
        <v>2</v>
      </c>
    </row>
    <row r="8990" spans="1:18" ht="36">
      <c r="A8990" s="219">
        <v>1715</v>
      </c>
      <c r="B8990" s="216" t="s">
        <v>16549</v>
      </c>
      <c r="C8990" s="220" t="s">
        <v>16550</v>
      </c>
      <c r="D8990" s="221">
        <v>154.80000000000001</v>
      </c>
      <c r="E8990" s="221">
        <v>60.09</v>
      </c>
      <c r="F8990" s="221">
        <v>90.58</v>
      </c>
      <c r="G8990" s="221">
        <v>4.13</v>
      </c>
      <c r="H8990" s="222">
        <v>1212.02</v>
      </c>
      <c r="I8990" s="222">
        <v>691.09</v>
      </c>
      <c r="J8990" s="222">
        <v>487.05</v>
      </c>
      <c r="K8990" s="222">
        <v>33.880000000000003</v>
      </c>
      <c r="L8990" s="43">
        <v>7.829586563307493</v>
      </c>
      <c r="M8990" s="43">
        <v>11.500915293726077</v>
      </c>
      <c r="N8990" s="43">
        <v>5.3770147935526609</v>
      </c>
      <c r="O8990" s="43">
        <v>8.2033898305084758</v>
      </c>
      <c r="P8990" s="223"/>
      <c r="Q8990" s="223"/>
      <c r="R8990" s="223">
        <v>2</v>
      </c>
    </row>
    <row r="8991" spans="1:18" ht="36">
      <c r="A8991" s="219">
        <v>1716</v>
      </c>
      <c r="B8991" s="216" t="s">
        <v>16551</v>
      </c>
      <c r="C8991" s="220" t="s">
        <v>16552</v>
      </c>
      <c r="D8991" s="221">
        <v>192.92</v>
      </c>
      <c r="E8991" s="221">
        <v>60.09</v>
      </c>
      <c r="F8991" s="221">
        <v>126.52</v>
      </c>
      <c r="G8991" s="221">
        <v>6.31</v>
      </c>
      <c r="H8991" s="222">
        <v>1421.24</v>
      </c>
      <c r="I8991" s="222">
        <v>691.09</v>
      </c>
      <c r="J8991" s="222">
        <v>680.43</v>
      </c>
      <c r="K8991" s="222">
        <v>49.72</v>
      </c>
      <c r="L8991" s="43">
        <v>7.3669914990669714</v>
      </c>
      <c r="M8991" s="43">
        <v>11.500915293726077</v>
      </c>
      <c r="N8991" s="43">
        <v>5.3780429971545995</v>
      </c>
      <c r="O8991" s="43">
        <v>7.8795562599049127</v>
      </c>
      <c r="P8991" s="223"/>
      <c r="Q8991" s="223"/>
      <c r="R8991" s="223">
        <v>2</v>
      </c>
    </row>
    <row r="8992" spans="1:18" ht="36">
      <c r="A8992" s="219">
        <v>1717</v>
      </c>
      <c r="B8992" s="216" t="s">
        <v>16553</v>
      </c>
      <c r="C8992" s="220" t="s">
        <v>16554</v>
      </c>
      <c r="D8992" s="221">
        <v>286.73</v>
      </c>
      <c r="E8992" s="221">
        <v>76.41</v>
      </c>
      <c r="F8992" s="221">
        <v>200.88</v>
      </c>
      <c r="G8992" s="221">
        <v>9.44</v>
      </c>
      <c r="H8992" s="222">
        <v>2033.2</v>
      </c>
      <c r="I8992" s="222">
        <v>878.73</v>
      </c>
      <c r="J8992" s="222">
        <v>1080.1300000000001</v>
      </c>
      <c r="K8992" s="222">
        <v>74.34</v>
      </c>
      <c r="L8992" s="43">
        <v>7.0909915251281692</v>
      </c>
      <c r="M8992" s="43">
        <v>11.50019630938359</v>
      </c>
      <c r="N8992" s="43">
        <v>5.3769912385503789</v>
      </c>
      <c r="O8992" s="43">
        <v>7.8750000000000009</v>
      </c>
      <c r="P8992" s="223"/>
      <c r="Q8992" s="223"/>
      <c r="R8992" s="223">
        <v>2</v>
      </c>
    </row>
    <row r="8993" spans="1:18" ht="36">
      <c r="A8993" s="219">
        <v>1718</v>
      </c>
      <c r="B8993" s="216" t="s">
        <v>16555</v>
      </c>
      <c r="C8993" s="220" t="s">
        <v>16556</v>
      </c>
      <c r="D8993" s="221">
        <v>297.49</v>
      </c>
      <c r="E8993" s="221">
        <v>78.94</v>
      </c>
      <c r="F8993" s="221">
        <v>201.93</v>
      </c>
      <c r="G8993" s="221">
        <v>16.62</v>
      </c>
      <c r="H8993" s="222">
        <v>2124.2800000000002</v>
      </c>
      <c r="I8993" s="222">
        <v>907.8</v>
      </c>
      <c r="J8993" s="222">
        <v>1085.9100000000001</v>
      </c>
      <c r="K8993" s="222">
        <v>130.57</v>
      </c>
      <c r="L8993" s="43">
        <v>7.1406769975461364</v>
      </c>
      <c r="M8993" s="43">
        <v>11.499873321510007</v>
      </c>
      <c r="N8993" s="43">
        <v>5.3776556232357748</v>
      </c>
      <c r="O8993" s="43">
        <v>7.8561973525872437</v>
      </c>
      <c r="P8993" s="223"/>
      <c r="Q8993" s="223"/>
      <c r="R8993" s="223">
        <v>2</v>
      </c>
    </row>
    <row r="8994" spans="1:18" ht="36">
      <c r="A8994" s="219">
        <v>1719</v>
      </c>
      <c r="B8994" s="216" t="s">
        <v>16557</v>
      </c>
      <c r="C8994" s="220" t="s">
        <v>16558</v>
      </c>
      <c r="D8994" s="221">
        <v>299.31</v>
      </c>
      <c r="E8994" s="221">
        <v>80.2</v>
      </c>
      <c r="F8994" s="221">
        <v>201.93</v>
      </c>
      <c r="G8994" s="221">
        <v>17.18</v>
      </c>
      <c r="H8994" s="222">
        <v>2141.63</v>
      </c>
      <c r="I8994" s="222">
        <v>922.34</v>
      </c>
      <c r="J8994" s="222">
        <v>1085.9100000000001</v>
      </c>
      <c r="K8994" s="222">
        <v>133.38</v>
      </c>
      <c r="L8994" s="43">
        <v>7.1552236811332737</v>
      </c>
      <c r="M8994" s="43">
        <v>11.500498753117206</v>
      </c>
      <c r="N8994" s="43">
        <v>5.3776556232357748</v>
      </c>
      <c r="O8994" s="43">
        <v>7.7636786961583235</v>
      </c>
      <c r="P8994" s="223"/>
      <c r="Q8994" s="223"/>
      <c r="R8994" s="223">
        <v>2</v>
      </c>
    </row>
    <row r="8995" spans="1:18" ht="36">
      <c r="A8995" s="219">
        <v>1720</v>
      </c>
      <c r="B8995" s="216" t="s">
        <v>16559</v>
      </c>
      <c r="C8995" s="220" t="s">
        <v>16560</v>
      </c>
      <c r="D8995" s="221">
        <v>456.4</v>
      </c>
      <c r="E8995" s="221">
        <v>107.66</v>
      </c>
      <c r="F8995" s="221">
        <v>320.39999999999998</v>
      </c>
      <c r="G8995" s="221">
        <v>28.34</v>
      </c>
      <c r="H8995" s="222">
        <v>3182.13</v>
      </c>
      <c r="I8995" s="222">
        <v>1238.1500000000001</v>
      </c>
      <c r="J8995" s="222">
        <v>1723.18</v>
      </c>
      <c r="K8995" s="222">
        <v>220.8</v>
      </c>
      <c r="L8995" s="43">
        <v>6.9722392638036812</v>
      </c>
      <c r="M8995" s="43">
        <v>11.500557310050159</v>
      </c>
      <c r="N8995" s="43">
        <v>5.3782147315855191</v>
      </c>
      <c r="O8995" s="43">
        <v>7.7911079745942136</v>
      </c>
      <c r="P8995" s="223"/>
      <c r="Q8995" s="223"/>
      <c r="R8995" s="223">
        <v>2</v>
      </c>
    </row>
    <row r="8996" spans="1:18" ht="36">
      <c r="A8996" s="219">
        <v>1721</v>
      </c>
      <c r="B8996" s="216" t="s">
        <v>16561</v>
      </c>
      <c r="C8996" s="220" t="s">
        <v>16562</v>
      </c>
      <c r="D8996" s="221">
        <v>450.24</v>
      </c>
      <c r="E8996" s="221">
        <v>114.9</v>
      </c>
      <c r="F8996" s="221">
        <v>306.85000000000002</v>
      </c>
      <c r="G8996" s="221">
        <v>28.49</v>
      </c>
      <c r="H8996" s="222">
        <v>3194.7</v>
      </c>
      <c r="I8996" s="222">
        <v>1321.4</v>
      </c>
      <c r="J8996" s="222">
        <v>1650.78</v>
      </c>
      <c r="K8996" s="222">
        <v>222.52</v>
      </c>
      <c r="L8996" s="43">
        <v>7.0955490405117265</v>
      </c>
      <c r="M8996" s="43">
        <v>11.500435161009573</v>
      </c>
      <c r="N8996" s="43">
        <v>5.3797620987453145</v>
      </c>
      <c r="O8996" s="43">
        <v>7.8104598104598111</v>
      </c>
      <c r="P8996" s="223"/>
      <c r="Q8996" s="223"/>
      <c r="R8996" s="223">
        <v>2</v>
      </c>
    </row>
    <row r="8997" spans="1:18" ht="36">
      <c r="A8997" s="219">
        <v>1722</v>
      </c>
      <c r="B8997" s="216" t="s">
        <v>16563</v>
      </c>
      <c r="C8997" s="220" t="s">
        <v>16564</v>
      </c>
      <c r="D8997" s="221">
        <v>617.62</v>
      </c>
      <c r="E8997" s="221">
        <v>143.63</v>
      </c>
      <c r="F8997" s="221">
        <v>426.84</v>
      </c>
      <c r="G8997" s="221">
        <v>47.15</v>
      </c>
      <c r="H8997" s="222">
        <v>4317.4799999999996</v>
      </c>
      <c r="I8997" s="222">
        <v>1651.75</v>
      </c>
      <c r="J8997" s="222">
        <v>2296.21</v>
      </c>
      <c r="K8997" s="222">
        <v>369.52</v>
      </c>
      <c r="L8997" s="43">
        <v>6.9905119652860979</v>
      </c>
      <c r="M8997" s="43">
        <v>11.500034811668872</v>
      </c>
      <c r="N8997" s="43">
        <v>5.3795567425733299</v>
      </c>
      <c r="O8997" s="43">
        <v>7.8371155885471895</v>
      </c>
      <c r="P8997" s="223"/>
      <c r="Q8997" s="223"/>
      <c r="R8997" s="223">
        <v>2</v>
      </c>
    </row>
    <row r="8998" spans="1:18" ht="36">
      <c r="A8998" s="219">
        <v>1723</v>
      </c>
      <c r="B8998" s="216" t="s">
        <v>16565</v>
      </c>
      <c r="C8998" s="220" t="s">
        <v>16566</v>
      </c>
      <c r="D8998" s="221">
        <v>804.17</v>
      </c>
      <c r="E8998" s="221">
        <v>175.8</v>
      </c>
      <c r="F8998" s="221">
        <v>551.6</v>
      </c>
      <c r="G8998" s="221">
        <v>76.77</v>
      </c>
      <c r="H8998" s="222">
        <v>5589.66</v>
      </c>
      <c r="I8998" s="222">
        <v>2021.74</v>
      </c>
      <c r="J8998" s="222">
        <v>2968.13</v>
      </c>
      <c r="K8998" s="222">
        <v>599.79</v>
      </c>
      <c r="L8998" s="43">
        <v>6.950843727072634</v>
      </c>
      <c r="M8998" s="43">
        <v>11.500227531285551</v>
      </c>
      <c r="N8998" s="43">
        <v>5.3809463379260336</v>
      </c>
      <c r="O8998" s="43">
        <v>7.8128175068386092</v>
      </c>
      <c r="P8998" s="223"/>
      <c r="Q8998" s="223"/>
      <c r="R8998" s="223">
        <v>2</v>
      </c>
    </row>
    <row r="8999" spans="1:18" ht="36">
      <c r="A8999" s="219">
        <v>1724</v>
      </c>
      <c r="B8999" s="216" t="s">
        <v>16567</v>
      </c>
      <c r="C8999" s="220" t="s">
        <v>16568</v>
      </c>
      <c r="D8999" s="221">
        <v>1009.35</v>
      </c>
      <c r="E8999" s="221">
        <v>212.57</v>
      </c>
      <c r="F8999" s="221">
        <v>714.99</v>
      </c>
      <c r="G8999" s="221">
        <v>81.790000000000006</v>
      </c>
      <c r="H8999" s="222">
        <v>6921.76</v>
      </c>
      <c r="I8999" s="222">
        <v>2444.59</v>
      </c>
      <c r="J8999" s="222">
        <v>3848.39</v>
      </c>
      <c r="K8999" s="222">
        <v>628.78</v>
      </c>
      <c r="L8999" s="43">
        <v>6.857641056125229</v>
      </c>
      <c r="M8999" s="43">
        <v>11.500164651644166</v>
      </c>
      <c r="N8999" s="43">
        <v>5.3824389152295833</v>
      </c>
      <c r="O8999" s="43">
        <v>7.6877368871500176</v>
      </c>
      <c r="P8999" s="223"/>
      <c r="Q8999" s="223"/>
      <c r="R8999" s="223">
        <v>2</v>
      </c>
    </row>
    <row r="9000" spans="1:18" ht="36">
      <c r="A9000" s="219">
        <v>1725</v>
      </c>
      <c r="B9000" s="216" t="s">
        <v>16569</v>
      </c>
      <c r="C9000" s="220" t="s">
        <v>16570</v>
      </c>
      <c r="D9000" s="221">
        <v>1366.3</v>
      </c>
      <c r="E9000" s="221">
        <v>250.48</v>
      </c>
      <c r="F9000" s="221">
        <v>952.49</v>
      </c>
      <c r="G9000" s="221">
        <v>163.33000000000001</v>
      </c>
      <c r="H9000" s="222">
        <v>9281.8700000000008</v>
      </c>
      <c r="I9000" s="222">
        <v>2880.65</v>
      </c>
      <c r="J9000" s="222">
        <v>5128</v>
      </c>
      <c r="K9000" s="222">
        <v>1273.22</v>
      </c>
      <c r="L9000" s="43">
        <v>6.7934348239771651</v>
      </c>
      <c r="M9000" s="43">
        <v>11.500519003513256</v>
      </c>
      <c r="N9000" s="43">
        <v>5.3837835567827481</v>
      </c>
      <c r="O9000" s="43">
        <v>7.7953835792567192</v>
      </c>
      <c r="P9000" s="223"/>
      <c r="Q9000" s="223"/>
      <c r="R9000" s="223">
        <v>2</v>
      </c>
    </row>
    <row r="9001" spans="1:18" ht="36">
      <c r="A9001" s="219">
        <v>1726</v>
      </c>
      <c r="B9001" s="216" t="s">
        <v>16571</v>
      </c>
      <c r="C9001" s="220" t="s">
        <v>16572</v>
      </c>
      <c r="D9001" s="221">
        <v>1581.2</v>
      </c>
      <c r="E9001" s="221">
        <v>275.76</v>
      </c>
      <c r="F9001" s="221">
        <v>1055.32</v>
      </c>
      <c r="G9001" s="221">
        <v>250.12</v>
      </c>
      <c r="H9001" s="222">
        <v>10803.92</v>
      </c>
      <c r="I9001" s="222">
        <v>3171.36</v>
      </c>
      <c r="J9001" s="222">
        <v>5681.32</v>
      </c>
      <c r="K9001" s="222">
        <v>1951.24</v>
      </c>
      <c r="L9001" s="43">
        <v>6.8327346319251197</v>
      </c>
      <c r="M9001" s="43">
        <v>11.500435161009575</v>
      </c>
      <c r="N9001" s="43">
        <v>5.3835045294318311</v>
      </c>
      <c r="O9001" s="43">
        <v>7.8012154166000318</v>
      </c>
      <c r="P9001" s="223"/>
      <c r="Q9001" s="223"/>
      <c r="R9001" s="223">
        <v>2</v>
      </c>
    </row>
    <row r="9002" spans="1:18" ht="36">
      <c r="A9002" s="219">
        <v>1727</v>
      </c>
      <c r="B9002" s="216" t="s">
        <v>16573</v>
      </c>
      <c r="C9002" s="220" t="s">
        <v>16574</v>
      </c>
      <c r="D9002" s="221">
        <v>1881.9</v>
      </c>
      <c r="E9002" s="221">
        <v>337.81</v>
      </c>
      <c r="F9002" s="221">
        <v>1292.73</v>
      </c>
      <c r="G9002" s="221">
        <v>251.36</v>
      </c>
      <c r="H9002" s="222">
        <v>12808.66</v>
      </c>
      <c r="I9002" s="222">
        <v>3884.92</v>
      </c>
      <c r="J9002" s="222">
        <v>6958.24</v>
      </c>
      <c r="K9002" s="222">
        <v>1965.5</v>
      </c>
      <c r="L9002" s="43">
        <v>6.8062383761092509</v>
      </c>
      <c r="M9002" s="43">
        <v>11.500310825612031</v>
      </c>
      <c r="N9002" s="43">
        <v>5.3825934263148527</v>
      </c>
      <c r="O9002" s="43">
        <v>7.8194621260343729</v>
      </c>
      <c r="P9002" s="223"/>
      <c r="Q9002" s="223"/>
      <c r="R9002" s="223">
        <v>2</v>
      </c>
    </row>
    <row r="9003" spans="1:18" ht="36">
      <c r="A9003" s="219">
        <v>1728</v>
      </c>
      <c r="B9003" s="216" t="s">
        <v>16575</v>
      </c>
      <c r="C9003" s="220" t="s">
        <v>16576</v>
      </c>
      <c r="D9003" s="221">
        <v>2459.2600000000002</v>
      </c>
      <c r="E9003" s="221">
        <v>426.28</v>
      </c>
      <c r="F9003" s="221">
        <v>1779.85</v>
      </c>
      <c r="G9003" s="221">
        <v>253.13</v>
      </c>
      <c r="H9003" s="222">
        <v>16472.650000000001</v>
      </c>
      <c r="I9003" s="222">
        <v>4902.3900000000003</v>
      </c>
      <c r="J9003" s="222">
        <v>9584.4</v>
      </c>
      <c r="K9003" s="222">
        <v>1985.86</v>
      </c>
      <c r="L9003" s="43">
        <v>6.6982140969234649</v>
      </c>
      <c r="M9003" s="43">
        <v>11.500398798911515</v>
      </c>
      <c r="N9003" s="43">
        <v>5.3849481697895891</v>
      </c>
      <c r="O9003" s="43">
        <v>7.8452178722395605</v>
      </c>
      <c r="P9003" s="223"/>
      <c r="Q9003" s="223"/>
      <c r="R9003" s="223">
        <v>2</v>
      </c>
    </row>
    <row r="9004" spans="1:18" ht="12.75" customHeight="1">
      <c r="A9004" s="628" t="s">
        <v>16577</v>
      </c>
      <c r="B9004" s="629"/>
      <c r="C9004" s="629"/>
      <c r="D9004" s="629"/>
      <c r="E9004" s="629"/>
      <c r="F9004" s="629"/>
      <c r="G9004" s="629"/>
      <c r="H9004" s="629"/>
      <c r="I9004" s="629"/>
      <c r="J9004" s="629"/>
      <c r="K9004" s="629"/>
      <c r="L9004" s="629"/>
      <c r="M9004" s="629"/>
      <c r="N9004" s="629"/>
      <c r="O9004" s="629"/>
      <c r="P9004" s="629"/>
      <c r="Q9004" s="629"/>
      <c r="R9004" s="629"/>
    </row>
    <row r="9005" spans="1:18" ht="36">
      <c r="A9005" s="219">
        <v>1729</v>
      </c>
      <c r="B9005" s="216" t="s">
        <v>16578</v>
      </c>
      <c r="C9005" s="220" t="s">
        <v>16579</v>
      </c>
      <c r="D9005" s="221">
        <v>55.61</v>
      </c>
      <c r="E9005" s="221">
        <v>50.56</v>
      </c>
      <c r="F9005" s="221">
        <v>2.1</v>
      </c>
      <c r="G9005" s="221">
        <v>2.95</v>
      </c>
      <c r="H9005" s="222">
        <v>616.71</v>
      </c>
      <c r="I9005" s="222">
        <v>581.41999999999996</v>
      </c>
      <c r="J9005" s="222">
        <v>11.55</v>
      </c>
      <c r="K9005" s="222">
        <v>23.74</v>
      </c>
      <c r="L9005" s="43">
        <v>11.089911886351377</v>
      </c>
      <c r="M9005" s="43">
        <v>11.499604430379746</v>
      </c>
      <c r="N9005" s="43">
        <v>5.5</v>
      </c>
      <c r="O9005" s="43">
        <v>8.0474576271186429</v>
      </c>
      <c r="P9005" s="223"/>
      <c r="Q9005" s="223"/>
      <c r="R9005" s="223">
        <v>3</v>
      </c>
    </row>
    <row r="9006" spans="1:18" ht="36">
      <c r="A9006" s="219">
        <v>1730</v>
      </c>
      <c r="B9006" s="216" t="s">
        <v>16580</v>
      </c>
      <c r="C9006" s="220" t="s">
        <v>16581</v>
      </c>
      <c r="D9006" s="221">
        <v>58.08</v>
      </c>
      <c r="E9006" s="221">
        <v>50.56</v>
      </c>
      <c r="F9006" s="221">
        <v>3.15</v>
      </c>
      <c r="G9006" s="221">
        <v>4.37</v>
      </c>
      <c r="H9006" s="222">
        <v>632.19000000000005</v>
      </c>
      <c r="I9006" s="222">
        <v>581.41999999999996</v>
      </c>
      <c r="J9006" s="222">
        <v>17.329999999999998</v>
      </c>
      <c r="K9006" s="222">
        <v>33.44</v>
      </c>
      <c r="L9006" s="43">
        <v>10.884814049586778</v>
      </c>
      <c r="M9006" s="43">
        <v>11.499604430379746</v>
      </c>
      <c r="N9006" s="43">
        <v>5.5015873015873016</v>
      </c>
      <c r="O9006" s="43">
        <v>7.6521739130434776</v>
      </c>
      <c r="P9006" s="223"/>
      <c r="Q9006" s="223"/>
      <c r="R9006" s="223">
        <v>3</v>
      </c>
    </row>
    <row r="9007" spans="1:18" ht="36">
      <c r="A9007" s="219">
        <v>1731</v>
      </c>
      <c r="B9007" s="216" t="s">
        <v>16582</v>
      </c>
      <c r="C9007" s="220" t="s">
        <v>16583</v>
      </c>
      <c r="D9007" s="221">
        <v>60.84</v>
      </c>
      <c r="E9007" s="221">
        <v>51.71</v>
      </c>
      <c r="F9007" s="221">
        <v>4.2</v>
      </c>
      <c r="G9007" s="221">
        <v>4.93</v>
      </c>
      <c r="H9007" s="222">
        <v>653.98</v>
      </c>
      <c r="I9007" s="222">
        <v>594.63</v>
      </c>
      <c r="J9007" s="222">
        <v>23.11</v>
      </c>
      <c r="K9007" s="222">
        <v>36.24</v>
      </c>
      <c r="L9007" s="43">
        <v>10.749178172255094</v>
      </c>
      <c r="M9007" s="43">
        <v>11.499323148327209</v>
      </c>
      <c r="N9007" s="43">
        <v>5.5023809523809524</v>
      </c>
      <c r="O9007" s="43">
        <v>7.3509127789046662</v>
      </c>
      <c r="P9007" s="223"/>
      <c r="Q9007" s="223"/>
      <c r="R9007" s="223">
        <v>3</v>
      </c>
    </row>
    <row r="9008" spans="1:18" ht="36">
      <c r="A9008" s="219">
        <v>1732</v>
      </c>
      <c r="B9008" s="216" t="s">
        <v>16584</v>
      </c>
      <c r="C9008" s="220" t="s">
        <v>16585</v>
      </c>
      <c r="D9008" s="221">
        <v>73.760000000000005</v>
      </c>
      <c r="E9008" s="221">
        <v>60.9</v>
      </c>
      <c r="F9008" s="221">
        <v>5.25</v>
      </c>
      <c r="G9008" s="221">
        <v>7.61</v>
      </c>
      <c r="H9008" s="222">
        <v>785.97</v>
      </c>
      <c r="I9008" s="222">
        <v>700.34</v>
      </c>
      <c r="J9008" s="222">
        <v>28.88</v>
      </c>
      <c r="K9008" s="222">
        <v>56.75</v>
      </c>
      <c r="L9008" s="43">
        <v>10.655775488069414</v>
      </c>
      <c r="M9008" s="43">
        <v>11.499835796387522</v>
      </c>
      <c r="N9008" s="43">
        <v>5.5009523809523806</v>
      </c>
      <c r="O9008" s="43">
        <v>7.4572930354796316</v>
      </c>
      <c r="P9008" s="223"/>
      <c r="Q9008" s="223"/>
      <c r="R9008" s="223">
        <v>3</v>
      </c>
    </row>
    <row r="9009" spans="1:18" ht="36">
      <c r="A9009" s="219">
        <v>1733</v>
      </c>
      <c r="B9009" s="216" t="s">
        <v>16586</v>
      </c>
      <c r="C9009" s="220" t="s">
        <v>16587</v>
      </c>
      <c r="D9009" s="221">
        <v>217.64</v>
      </c>
      <c r="E9009" s="221">
        <v>66.41</v>
      </c>
      <c r="F9009" s="221">
        <v>142.97</v>
      </c>
      <c r="G9009" s="221">
        <v>8.26</v>
      </c>
      <c r="H9009" s="222">
        <v>1594.18</v>
      </c>
      <c r="I9009" s="222">
        <v>763.77</v>
      </c>
      <c r="J9009" s="222">
        <v>769.81</v>
      </c>
      <c r="K9009" s="222">
        <v>60.6</v>
      </c>
      <c r="L9009" s="43">
        <v>7.3248483734607612</v>
      </c>
      <c r="M9009" s="43">
        <v>11.500828188525825</v>
      </c>
      <c r="N9009" s="43">
        <v>5.3844163111142196</v>
      </c>
      <c r="O9009" s="43">
        <v>7.336561743341405</v>
      </c>
      <c r="P9009" s="223"/>
      <c r="Q9009" s="223"/>
      <c r="R9009" s="223">
        <v>3</v>
      </c>
    </row>
    <row r="9010" spans="1:18" ht="36">
      <c r="A9010" s="219">
        <v>1734</v>
      </c>
      <c r="B9010" s="216" t="s">
        <v>16588</v>
      </c>
      <c r="C9010" s="220" t="s">
        <v>16589</v>
      </c>
      <c r="D9010" s="221">
        <v>274.77</v>
      </c>
      <c r="E9010" s="221">
        <v>68.94</v>
      </c>
      <c r="F9010" s="221">
        <v>192.58</v>
      </c>
      <c r="G9010" s="221">
        <v>13.25</v>
      </c>
      <c r="H9010" s="222">
        <v>1926.08</v>
      </c>
      <c r="I9010" s="222">
        <v>792.84</v>
      </c>
      <c r="J9010" s="222">
        <v>1036.6099999999999</v>
      </c>
      <c r="K9010" s="222">
        <v>96.63</v>
      </c>
      <c r="L9010" s="43">
        <v>7.0097900061869929</v>
      </c>
      <c r="M9010" s="43">
        <v>11.500435161009575</v>
      </c>
      <c r="N9010" s="43">
        <v>5.3827500259632348</v>
      </c>
      <c r="O9010" s="43">
        <v>7.292830188679245</v>
      </c>
      <c r="P9010" s="223"/>
      <c r="Q9010" s="223"/>
      <c r="R9010" s="223">
        <v>3</v>
      </c>
    </row>
    <row r="9011" spans="1:18" ht="36">
      <c r="A9011" s="219">
        <v>1735</v>
      </c>
      <c r="B9011" s="216" t="s">
        <v>16590</v>
      </c>
      <c r="C9011" s="220" t="s">
        <v>16591</v>
      </c>
      <c r="D9011" s="221">
        <v>386.03</v>
      </c>
      <c r="E9011" s="221">
        <v>92.72</v>
      </c>
      <c r="F9011" s="221">
        <v>275.57</v>
      </c>
      <c r="G9011" s="221">
        <v>17.739999999999998</v>
      </c>
      <c r="H9011" s="222">
        <v>2683.65</v>
      </c>
      <c r="I9011" s="222">
        <v>1066.3699999999999</v>
      </c>
      <c r="J9011" s="222">
        <v>1482.88</v>
      </c>
      <c r="K9011" s="222">
        <v>134.4</v>
      </c>
      <c r="L9011" s="43">
        <v>6.9519208351682522</v>
      </c>
      <c r="M9011" s="43">
        <v>11.500970664365832</v>
      </c>
      <c r="N9011" s="43">
        <v>5.3811372790942418</v>
      </c>
      <c r="O9011" s="43">
        <v>7.5760992108230001</v>
      </c>
      <c r="P9011" s="223"/>
      <c r="Q9011" s="223"/>
      <c r="R9011" s="223">
        <v>3</v>
      </c>
    </row>
    <row r="9012" spans="1:18" ht="36">
      <c r="A9012" s="219">
        <v>1736</v>
      </c>
      <c r="B9012" s="216" t="s">
        <v>16592</v>
      </c>
      <c r="C9012" s="220" t="s">
        <v>16593</v>
      </c>
      <c r="D9012" s="221">
        <v>389.73</v>
      </c>
      <c r="E9012" s="221">
        <v>92.72</v>
      </c>
      <c r="F9012" s="221">
        <v>277.66000000000003</v>
      </c>
      <c r="G9012" s="221">
        <v>19.350000000000001</v>
      </c>
      <c r="H9012" s="222">
        <v>2702.92</v>
      </c>
      <c r="I9012" s="222">
        <v>1066.3699999999999</v>
      </c>
      <c r="J9012" s="222">
        <v>1494.43</v>
      </c>
      <c r="K9012" s="222">
        <v>142.12</v>
      </c>
      <c r="L9012" s="43">
        <v>6.9353655094552638</v>
      </c>
      <c r="M9012" s="43">
        <v>11.500970664365832</v>
      </c>
      <c r="N9012" s="43">
        <v>5.3822300655477919</v>
      </c>
      <c r="O9012" s="43">
        <v>7.3447028423772611</v>
      </c>
      <c r="P9012" s="223"/>
      <c r="Q9012" s="223"/>
      <c r="R9012" s="223">
        <v>3</v>
      </c>
    </row>
    <row r="9013" spans="1:18" ht="36">
      <c r="A9013" s="219">
        <v>1737</v>
      </c>
      <c r="B9013" s="216" t="s">
        <v>16594</v>
      </c>
      <c r="C9013" s="220" t="s">
        <v>16595</v>
      </c>
      <c r="D9013" s="221">
        <v>498.96</v>
      </c>
      <c r="E9013" s="221">
        <v>113.98</v>
      </c>
      <c r="F9013" s="221">
        <v>346.53</v>
      </c>
      <c r="G9013" s="221">
        <v>38.450000000000003</v>
      </c>
      <c r="H9013" s="222">
        <v>3462.63</v>
      </c>
      <c r="I9013" s="222">
        <v>1310.83</v>
      </c>
      <c r="J9013" s="222">
        <v>1864.89</v>
      </c>
      <c r="K9013" s="222">
        <v>286.91000000000003</v>
      </c>
      <c r="L9013" s="43">
        <v>6.9396945646945651</v>
      </c>
      <c r="M9013" s="43">
        <v>11.500526408141779</v>
      </c>
      <c r="N9013" s="43">
        <v>5.3816119816466115</v>
      </c>
      <c r="O9013" s="43">
        <v>7.4618985695708711</v>
      </c>
      <c r="P9013" s="223"/>
      <c r="Q9013" s="223"/>
      <c r="R9013" s="223">
        <v>3</v>
      </c>
    </row>
    <row r="9014" spans="1:18" ht="36">
      <c r="A9014" s="219">
        <v>1738</v>
      </c>
      <c r="B9014" s="216" t="s">
        <v>16596</v>
      </c>
      <c r="C9014" s="220" t="s">
        <v>16597</v>
      </c>
      <c r="D9014" s="221">
        <v>663.33</v>
      </c>
      <c r="E9014" s="221">
        <v>143.63</v>
      </c>
      <c r="F9014" s="221">
        <v>467.1</v>
      </c>
      <c r="G9014" s="221">
        <v>52.6</v>
      </c>
      <c r="H9014" s="222">
        <v>4554.42</v>
      </c>
      <c r="I9014" s="222">
        <v>1651.75</v>
      </c>
      <c r="J9014" s="222">
        <v>2513.7199999999998</v>
      </c>
      <c r="K9014" s="222">
        <v>388.95</v>
      </c>
      <c r="L9014" s="43">
        <v>6.865994301478902</v>
      </c>
      <c r="M9014" s="43">
        <v>11.500034811668872</v>
      </c>
      <c r="N9014" s="43">
        <v>5.3815457075572679</v>
      </c>
      <c r="O9014" s="43">
        <v>7.3944866920152084</v>
      </c>
      <c r="P9014" s="223"/>
      <c r="Q9014" s="223"/>
      <c r="R9014" s="223">
        <v>3</v>
      </c>
    </row>
    <row r="9015" spans="1:18" ht="36">
      <c r="A9015" s="219">
        <v>1739</v>
      </c>
      <c r="B9015" s="216" t="s">
        <v>16598</v>
      </c>
      <c r="C9015" s="220" t="s">
        <v>16599</v>
      </c>
      <c r="D9015" s="221">
        <v>818.18</v>
      </c>
      <c r="E9015" s="221">
        <v>163.16</v>
      </c>
      <c r="F9015" s="221">
        <v>582.02</v>
      </c>
      <c r="G9015" s="221">
        <v>73</v>
      </c>
      <c r="H9015" s="222">
        <v>5551.76</v>
      </c>
      <c r="I9015" s="222">
        <v>1876.39</v>
      </c>
      <c r="J9015" s="222">
        <v>3135.65</v>
      </c>
      <c r="K9015" s="222">
        <v>539.72</v>
      </c>
      <c r="L9015" s="43">
        <v>6.785499523332275</v>
      </c>
      <c r="M9015" s="43">
        <v>11.50030644765874</v>
      </c>
      <c r="N9015" s="43">
        <v>5.3875296381567646</v>
      </c>
      <c r="O9015" s="43">
        <v>7.393424657534247</v>
      </c>
      <c r="P9015" s="223"/>
      <c r="Q9015" s="223"/>
      <c r="R9015" s="223">
        <v>3</v>
      </c>
    </row>
    <row r="9016" spans="1:18" ht="36">
      <c r="A9016" s="219">
        <v>1740</v>
      </c>
      <c r="B9016" s="216" t="s">
        <v>16600</v>
      </c>
      <c r="C9016" s="220" t="s">
        <v>16601</v>
      </c>
      <c r="D9016" s="221">
        <v>977.99</v>
      </c>
      <c r="E9016" s="221">
        <v>199.93</v>
      </c>
      <c r="F9016" s="221">
        <v>697.35</v>
      </c>
      <c r="G9016" s="221">
        <v>80.709999999999994</v>
      </c>
      <c r="H9016" s="222">
        <v>6636.5</v>
      </c>
      <c r="I9016" s="222">
        <v>2299.2399999999998</v>
      </c>
      <c r="J9016" s="222">
        <v>3755.59</v>
      </c>
      <c r="K9016" s="222">
        <v>581.66999999999996</v>
      </c>
      <c r="L9016" s="43">
        <v>6.7858567061012893</v>
      </c>
      <c r="M9016" s="43">
        <v>11.500225078777571</v>
      </c>
      <c r="N9016" s="43">
        <v>5.3855165985516598</v>
      </c>
      <c r="O9016" s="43">
        <v>7.2069136414322887</v>
      </c>
      <c r="P9016" s="223"/>
      <c r="Q9016" s="223"/>
      <c r="R9016" s="223">
        <v>3</v>
      </c>
    </row>
    <row r="9017" spans="1:18" ht="36">
      <c r="A9017" s="219">
        <v>1741</v>
      </c>
      <c r="B9017" s="216" t="s">
        <v>16602</v>
      </c>
      <c r="C9017" s="220" t="s">
        <v>16603</v>
      </c>
      <c r="D9017" s="221">
        <v>1122.23</v>
      </c>
      <c r="E9017" s="221">
        <v>225.2</v>
      </c>
      <c r="F9017" s="221">
        <v>780.8</v>
      </c>
      <c r="G9017" s="221">
        <v>116.23</v>
      </c>
      <c r="H9017" s="222">
        <v>7663.62</v>
      </c>
      <c r="I9017" s="222">
        <v>2589.94</v>
      </c>
      <c r="J9017" s="222">
        <v>4204.2299999999996</v>
      </c>
      <c r="K9017" s="222">
        <v>869.45</v>
      </c>
      <c r="L9017" s="43">
        <v>6.8289209876763231</v>
      </c>
      <c r="M9017" s="43">
        <v>11.500621669627</v>
      </c>
      <c r="N9017" s="43">
        <v>5.3845158811475411</v>
      </c>
      <c r="O9017" s="43">
        <v>7.4804267400843161</v>
      </c>
      <c r="P9017" s="223"/>
      <c r="Q9017" s="223"/>
      <c r="R9017" s="223">
        <v>3</v>
      </c>
    </row>
    <row r="9018" spans="1:18" ht="36">
      <c r="A9018" s="219">
        <v>1742</v>
      </c>
      <c r="B9018" s="216" t="s">
        <v>16604</v>
      </c>
      <c r="C9018" s="220" t="s">
        <v>16605</v>
      </c>
      <c r="D9018" s="221">
        <v>1379.45</v>
      </c>
      <c r="E9018" s="221">
        <v>281.51</v>
      </c>
      <c r="F9018" s="221">
        <v>896.12</v>
      </c>
      <c r="G9018" s="221">
        <v>201.82</v>
      </c>
      <c r="H9018" s="222">
        <v>9624.24</v>
      </c>
      <c r="I9018" s="222">
        <v>3237.43</v>
      </c>
      <c r="J9018" s="222">
        <v>4824.17</v>
      </c>
      <c r="K9018" s="222">
        <v>1562.64</v>
      </c>
      <c r="L9018" s="43">
        <v>6.9768675921562942</v>
      </c>
      <c r="M9018" s="43">
        <v>11.500230897659053</v>
      </c>
      <c r="N9018" s="43">
        <v>5.3833973128598851</v>
      </c>
      <c r="O9018" s="43">
        <v>7.7427410563868806</v>
      </c>
      <c r="P9018" s="223"/>
      <c r="Q9018" s="223"/>
      <c r="R9018" s="223">
        <v>3</v>
      </c>
    </row>
    <row r="9019" spans="1:18" ht="36">
      <c r="A9019" s="219">
        <v>1743</v>
      </c>
      <c r="B9019" s="216" t="s">
        <v>16606</v>
      </c>
      <c r="C9019" s="220" t="s">
        <v>16607</v>
      </c>
      <c r="D9019" s="221">
        <v>1743.29</v>
      </c>
      <c r="E9019" s="221">
        <v>350.45</v>
      </c>
      <c r="F9019" s="221">
        <v>1094.9000000000001</v>
      </c>
      <c r="G9019" s="221">
        <v>297.94</v>
      </c>
      <c r="H9019" s="222">
        <v>12224.31</v>
      </c>
      <c r="I9019" s="222">
        <v>4030.27</v>
      </c>
      <c r="J9019" s="222">
        <v>5892.75</v>
      </c>
      <c r="K9019" s="222">
        <v>2301.29</v>
      </c>
      <c r="L9019" s="43">
        <v>7.0122068043756345</v>
      </c>
      <c r="M9019" s="43">
        <v>11.500271080039949</v>
      </c>
      <c r="N9019" s="43">
        <v>5.3819983560142477</v>
      </c>
      <c r="O9019" s="43">
        <v>7.7240048331878901</v>
      </c>
      <c r="P9019" s="223"/>
      <c r="Q9019" s="223"/>
      <c r="R9019" s="223">
        <v>3</v>
      </c>
    </row>
    <row r="9020" spans="1:18" ht="36">
      <c r="A9020" s="219">
        <v>1744</v>
      </c>
      <c r="B9020" s="216" t="s">
        <v>16608</v>
      </c>
      <c r="C9020" s="220" t="s">
        <v>16609</v>
      </c>
      <c r="D9020" s="221">
        <v>2785.51</v>
      </c>
      <c r="E9020" s="221">
        <v>538.88</v>
      </c>
      <c r="F9020" s="221">
        <v>1775.77</v>
      </c>
      <c r="G9020" s="221">
        <v>470.86</v>
      </c>
      <c r="H9020" s="222">
        <v>19394.34</v>
      </c>
      <c r="I9020" s="222">
        <v>6197.37</v>
      </c>
      <c r="J9020" s="222">
        <v>9551.2199999999993</v>
      </c>
      <c r="K9020" s="222">
        <v>3645.75</v>
      </c>
      <c r="L9020" s="43">
        <v>6.9625813585303939</v>
      </c>
      <c r="M9020" s="43">
        <v>11.500463925178147</v>
      </c>
      <c r="N9020" s="43">
        <v>5.3786357467464816</v>
      </c>
      <c r="O9020" s="43">
        <v>7.7427473134264959</v>
      </c>
      <c r="P9020" s="223"/>
      <c r="Q9020" s="223"/>
      <c r="R9020" s="223">
        <v>3</v>
      </c>
    </row>
    <row r="9021" spans="1:18" ht="36">
      <c r="A9021" s="219">
        <v>1745</v>
      </c>
      <c r="B9021" s="216" t="s">
        <v>16610</v>
      </c>
      <c r="C9021" s="220" t="s">
        <v>16611</v>
      </c>
      <c r="D9021" s="221">
        <v>3242.41</v>
      </c>
      <c r="E9021" s="221">
        <v>664.12</v>
      </c>
      <c r="F9021" s="221">
        <v>2104.9299999999998</v>
      </c>
      <c r="G9021" s="221">
        <v>473.36</v>
      </c>
      <c r="H9021" s="222">
        <v>22632.49</v>
      </c>
      <c r="I9021" s="222">
        <v>7637.69</v>
      </c>
      <c r="J9021" s="222">
        <v>11320.3</v>
      </c>
      <c r="K9021" s="222">
        <v>3674.5</v>
      </c>
      <c r="L9021" s="43">
        <v>6.9801443987651171</v>
      </c>
      <c r="M9021" s="43">
        <v>11.500466783111484</v>
      </c>
      <c r="N9021" s="43">
        <v>5.3779935674820543</v>
      </c>
      <c r="O9021" s="43">
        <v>7.7625908399526784</v>
      </c>
      <c r="P9021" s="223"/>
      <c r="Q9021" s="223"/>
      <c r="R9021" s="223">
        <v>3</v>
      </c>
    </row>
    <row r="9022" spans="1:18" ht="36">
      <c r="A9022" s="219">
        <v>1746</v>
      </c>
      <c r="B9022" s="216" t="s">
        <v>16612</v>
      </c>
      <c r="C9022" s="220" t="s">
        <v>16613</v>
      </c>
      <c r="D9022" s="221">
        <v>4308.45</v>
      </c>
      <c r="E9022" s="221">
        <v>838.77</v>
      </c>
      <c r="F9022" s="221">
        <v>2768.04</v>
      </c>
      <c r="G9022" s="221">
        <v>701.64</v>
      </c>
      <c r="H9022" s="222">
        <v>29994.97</v>
      </c>
      <c r="I9022" s="222">
        <v>9646.2199999999993</v>
      </c>
      <c r="J9022" s="222">
        <v>14884.95</v>
      </c>
      <c r="K9022" s="222">
        <v>5463.8</v>
      </c>
      <c r="L9022" s="43">
        <v>6.9618934883774912</v>
      </c>
      <c r="M9022" s="43">
        <v>11.500435161009573</v>
      </c>
      <c r="N9022" s="43">
        <v>5.3774331295790523</v>
      </c>
      <c r="O9022" s="43">
        <v>7.7871843110427008</v>
      </c>
      <c r="P9022" s="223"/>
      <c r="Q9022" s="223"/>
      <c r="R9022" s="223">
        <v>3</v>
      </c>
    </row>
    <row r="9023" spans="1:18" ht="36">
      <c r="A9023" s="219">
        <v>1747</v>
      </c>
      <c r="B9023" s="216" t="s">
        <v>16614</v>
      </c>
      <c r="C9023" s="220" t="s">
        <v>16615</v>
      </c>
      <c r="D9023" s="221">
        <v>4961.1499999999996</v>
      </c>
      <c r="E9023" s="221">
        <v>1001.93</v>
      </c>
      <c r="F9023" s="221">
        <v>3254.32</v>
      </c>
      <c r="G9023" s="221">
        <v>704.9</v>
      </c>
      <c r="H9023" s="222">
        <v>34521.85</v>
      </c>
      <c r="I9023" s="222">
        <v>11522.61</v>
      </c>
      <c r="J9023" s="222">
        <v>17497.95</v>
      </c>
      <c r="K9023" s="222">
        <v>5501.29</v>
      </c>
      <c r="L9023" s="43">
        <v>6.9584370559245334</v>
      </c>
      <c r="M9023" s="43">
        <v>11.500414200592857</v>
      </c>
      <c r="N9023" s="43">
        <v>5.376837557462081</v>
      </c>
      <c r="O9023" s="43">
        <v>7.8043552276918717</v>
      </c>
      <c r="P9023" s="223"/>
      <c r="Q9023" s="223"/>
      <c r="R9023" s="223">
        <v>3</v>
      </c>
    </row>
    <row r="9024" spans="1:18" ht="12.75" customHeight="1">
      <c r="A9024" s="628" t="s">
        <v>16616</v>
      </c>
      <c r="B9024" s="629"/>
      <c r="C9024" s="629"/>
      <c r="D9024" s="629"/>
      <c r="E9024" s="629"/>
      <c r="F9024" s="629"/>
      <c r="G9024" s="629"/>
      <c r="H9024" s="629"/>
      <c r="I9024" s="629"/>
      <c r="J9024" s="629"/>
      <c r="K9024" s="629"/>
      <c r="L9024" s="629"/>
      <c r="M9024" s="629"/>
      <c r="N9024" s="629"/>
      <c r="O9024" s="629"/>
      <c r="P9024" s="629"/>
      <c r="Q9024" s="629"/>
      <c r="R9024" s="629"/>
    </row>
    <row r="9025" spans="1:18" ht="36">
      <c r="A9025" s="219">
        <v>1748</v>
      </c>
      <c r="B9025" s="216" t="s">
        <v>16617</v>
      </c>
      <c r="C9025" s="220" t="s">
        <v>16618</v>
      </c>
      <c r="D9025" s="221">
        <v>247.16</v>
      </c>
      <c r="E9025" s="221">
        <v>70.09</v>
      </c>
      <c r="F9025" s="221">
        <v>172.74</v>
      </c>
      <c r="G9025" s="221">
        <v>4.33</v>
      </c>
      <c r="H9025" s="222">
        <v>1771.78</v>
      </c>
      <c r="I9025" s="222">
        <v>806.05</v>
      </c>
      <c r="J9025" s="222">
        <v>929.55</v>
      </c>
      <c r="K9025" s="222">
        <v>36.18</v>
      </c>
      <c r="L9025" s="43">
        <v>7.1685547823272371</v>
      </c>
      <c r="M9025" s="43">
        <v>11.500214010557853</v>
      </c>
      <c r="N9025" s="43">
        <v>5.3812087530392496</v>
      </c>
      <c r="O9025" s="43">
        <v>8.3556581986143179</v>
      </c>
      <c r="P9025" s="223"/>
      <c r="Q9025" s="223"/>
      <c r="R9025" s="223">
        <v>4</v>
      </c>
    </row>
    <row r="9026" spans="1:18" ht="36">
      <c r="A9026" s="219">
        <v>1749</v>
      </c>
      <c r="B9026" s="216" t="s">
        <v>16619</v>
      </c>
      <c r="C9026" s="220" t="s">
        <v>16620</v>
      </c>
      <c r="D9026" s="221">
        <v>288.7</v>
      </c>
      <c r="E9026" s="221">
        <v>76.41</v>
      </c>
      <c r="F9026" s="221">
        <v>205.65</v>
      </c>
      <c r="G9026" s="221">
        <v>6.64</v>
      </c>
      <c r="H9026" s="222">
        <v>2038.88</v>
      </c>
      <c r="I9026" s="222">
        <v>878.73</v>
      </c>
      <c r="J9026" s="222">
        <v>1106.6300000000001</v>
      </c>
      <c r="K9026" s="222">
        <v>53.52</v>
      </c>
      <c r="L9026" s="43">
        <v>7.062279182542432</v>
      </c>
      <c r="M9026" s="43">
        <v>11.50019630938359</v>
      </c>
      <c r="N9026" s="43">
        <v>5.381132992949186</v>
      </c>
      <c r="O9026" s="43">
        <v>8.0602409638554224</v>
      </c>
      <c r="P9026" s="223"/>
      <c r="Q9026" s="223"/>
      <c r="R9026" s="223">
        <v>4</v>
      </c>
    </row>
    <row r="9027" spans="1:18" ht="36">
      <c r="A9027" s="219">
        <v>1750</v>
      </c>
      <c r="B9027" s="216" t="s">
        <v>16621</v>
      </c>
      <c r="C9027" s="220" t="s">
        <v>16622</v>
      </c>
      <c r="D9027" s="221">
        <v>393.69</v>
      </c>
      <c r="E9027" s="221">
        <v>92.72</v>
      </c>
      <c r="F9027" s="221">
        <v>291.20999999999998</v>
      </c>
      <c r="G9027" s="221">
        <v>9.76</v>
      </c>
      <c r="H9027" s="222">
        <v>2711.21</v>
      </c>
      <c r="I9027" s="222">
        <v>1066.3699999999999</v>
      </c>
      <c r="J9027" s="222">
        <v>1566.82</v>
      </c>
      <c r="K9027" s="222">
        <v>78.02</v>
      </c>
      <c r="L9027" s="43">
        <v>6.886662094541391</v>
      </c>
      <c r="M9027" s="43">
        <v>11.500970664365832</v>
      </c>
      <c r="N9027" s="43">
        <v>5.3803784210707049</v>
      </c>
      <c r="O9027" s="43">
        <v>7.9938524590163933</v>
      </c>
      <c r="P9027" s="223"/>
      <c r="Q9027" s="223"/>
      <c r="R9027" s="223">
        <v>4</v>
      </c>
    </row>
    <row r="9028" spans="1:18" ht="36">
      <c r="A9028" s="219">
        <v>1751</v>
      </c>
      <c r="B9028" s="216" t="s">
        <v>16623</v>
      </c>
      <c r="C9028" s="220" t="s">
        <v>16624</v>
      </c>
      <c r="D9028" s="221">
        <v>407.73</v>
      </c>
      <c r="E9028" s="221">
        <v>96.4</v>
      </c>
      <c r="F9028" s="221">
        <v>294.36</v>
      </c>
      <c r="G9028" s="221">
        <v>16.97</v>
      </c>
      <c r="H9028" s="222">
        <v>2827.4</v>
      </c>
      <c r="I9028" s="222">
        <v>1108.6500000000001</v>
      </c>
      <c r="J9028" s="222">
        <v>1584.15</v>
      </c>
      <c r="K9028" s="222">
        <v>134.6</v>
      </c>
      <c r="L9028" s="43">
        <v>6.9344909621563291</v>
      </c>
      <c r="M9028" s="43">
        <v>11.500518672199171</v>
      </c>
      <c r="N9028" s="43">
        <v>5.3816754993885043</v>
      </c>
      <c r="O9028" s="43">
        <v>7.9316440777843251</v>
      </c>
      <c r="P9028" s="223"/>
      <c r="Q9028" s="223"/>
      <c r="R9028" s="223">
        <v>4</v>
      </c>
    </row>
    <row r="9029" spans="1:18" ht="36">
      <c r="A9029" s="219">
        <v>1752</v>
      </c>
      <c r="B9029" s="216" t="s">
        <v>16625</v>
      </c>
      <c r="C9029" s="220" t="s">
        <v>16626</v>
      </c>
      <c r="D9029" s="221">
        <v>412.7</v>
      </c>
      <c r="E9029" s="221">
        <v>97.67</v>
      </c>
      <c r="F9029" s="221">
        <v>297.5</v>
      </c>
      <c r="G9029" s="221">
        <v>17.53</v>
      </c>
      <c r="H9029" s="222">
        <v>2862.08</v>
      </c>
      <c r="I9029" s="222">
        <v>1123.19</v>
      </c>
      <c r="J9029" s="222">
        <v>1601.48</v>
      </c>
      <c r="K9029" s="222">
        <v>137.41</v>
      </c>
      <c r="L9029" s="43">
        <v>6.9350133268718199</v>
      </c>
      <c r="M9029" s="43">
        <v>11.499846421623836</v>
      </c>
      <c r="N9029" s="43">
        <v>5.3831260504201683</v>
      </c>
      <c r="O9029" s="43">
        <v>7.8385624643468335</v>
      </c>
      <c r="P9029" s="223"/>
      <c r="Q9029" s="223"/>
      <c r="R9029" s="223">
        <v>4</v>
      </c>
    </row>
    <row r="9030" spans="1:18" ht="36">
      <c r="A9030" s="219">
        <v>1753</v>
      </c>
      <c r="B9030" s="216" t="s">
        <v>16627</v>
      </c>
      <c r="C9030" s="220" t="s">
        <v>16628</v>
      </c>
      <c r="D9030" s="221">
        <v>596.08000000000004</v>
      </c>
      <c r="E9030" s="221">
        <v>130.99</v>
      </c>
      <c r="F9030" s="221">
        <v>436.28</v>
      </c>
      <c r="G9030" s="221">
        <v>28.81</v>
      </c>
      <c r="H9030" s="222">
        <v>4080.79</v>
      </c>
      <c r="I9030" s="222">
        <v>1506.4</v>
      </c>
      <c r="J9030" s="222">
        <v>2348.19</v>
      </c>
      <c r="K9030" s="222">
        <v>226.2</v>
      </c>
      <c r="L9030" s="43">
        <v>6.8460441551469593</v>
      </c>
      <c r="M9030" s="43">
        <v>11.500114512558211</v>
      </c>
      <c r="N9030" s="43">
        <v>5.3823003575685346</v>
      </c>
      <c r="O9030" s="43">
        <v>7.8514404720583126</v>
      </c>
      <c r="P9030" s="223"/>
      <c r="Q9030" s="223"/>
      <c r="R9030" s="223">
        <v>4</v>
      </c>
    </row>
    <row r="9031" spans="1:18" ht="36">
      <c r="A9031" s="219">
        <v>1754</v>
      </c>
      <c r="B9031" s="216" t="s">
        <v>16629</v>
      </c>
      <c r="C9031" s="220" t="s">
        <v>16630</v>
      </c>
      <c r="D9031" s="221">
        <v>614.21</v>
      </c>
      <c r="E9031" s="221">
        <v>143.63</v>
      </c>
      <c r="F9031" s="221">
        <v>441.52</v>
      </c>
      <c r="G9031" s="221">
        <v>29.06</v>
      </c>
      <c r="H9031" s="222">
        <v>4257.8999999999996</v>
      </c>
      <c r="I9031" s="222">
        <v>1651.75</v>
      </c>
      <c r="J9031" s="222">
        <v>2377.0700000000002</v>
      </c>
      <c r="K9031" s="222">
        <v>229.08</v>
      </c>
      <c r="L9031" s="43">
        <v>6.9323195649696352</v>
      </c>
      <c r="M9031" s="43">
        <v>11.500034811668872</v>
      </c>
      <c r="N9031" s="43">
        <v>5.3838331219423816</v>
      </c>
      <c r="O9031" s="43">
        <v>7.8830006882312462</v>
      </c>
      <c r="P9031" s="223"/>
      <c r="Q9031" s="223"/>
      <c r="R9031" s="223">
        <v>4</v>
      </c>
    </row>
    <row r="9032" spans="1:18" ht="36">
      <c r="A9032" s="219">
        <v>1755</v>
      </c>
      <c r="B9032" s="216" t="s">
        <v>16631</v>
      </c>
      <c r="C9032" s="220" t="s">
        <v>16632</v>
      </c>
      <c r="D9032" s="221">
        <v>796.39</v>
      </c>
      <c r="E9032" s="221">
        <v>168.9</v>
      </c>
      <c r="F9032" s="221">
        <v>579.83000000000004</v>
      </c>
      <c r="G9032" s="221">
        <v>47.66</v>
      </c>
      <c r="H9032" s="222">
        <v>5439.24</v>
      </c>
      <c r="I9032" s="222">
        <v>1942.46</v>
      </c>
      <c r="J9032" s="222">
        <v>3121.4</v>
      </c>
      <c r="K9032" s="222">
        <v>375.38</v>
      </c>
      <c r="L9032" s="43">
        <v>6.8298697874157135</v>
      </c>
      <c r="M9032" s="43">
        <v>11.500651272942569</v>
      </c>
      <c r="N9032" s="43">
        <v>5.3833020023110221</v>
      </c>
      <c r="O9032" s="43">
        <v>7.8762064624423003</v>
      </c>
      <c r="P9032" s="223"/>
      <c r="Q9032" s="223"/>
      <c r="R9032" s="223">
        <v>4</v>
      </c>
    </row>
    <row r="9033" spans="1:18" ht="36">
      <c r="A9033" s="219">
        <v>1756</v>
      </c>
      <c r="B9033" s="216" t="s">
        <v>16633</v>
      </c>
      <c r="C9033" s="220" t="s">
        <v>16634</v>
      </c>
      <c r="D9033" s="221">
        <v>1032.24</v>
      </c>
      <c r="E9033" s="221">
        <v>212.57</v>
      </c>
      <c r="F9033" s="221">
        <v>742.17</v>
      </c>
      <c r="G9033" s="221">
        <v>77.5</v>
      </c>
      <c r="H9033" s="222">
        <v>7048.66</v>
      </c>
      <c r="I9033" s="222">
        <v>2444.59</v>
      </c>
      <c r="J9033" s="222">
        <v>3995.88</v>
      </c>
      <c r="K9033" s="222">
        <v>608.19000000000005</v>
      </c>
      <c r="L9033" s="43">
        <v>6.8285088739052933</v>
      </c>
      <c r="M9033" s="43">
        <v>11.500164651644166</v>
      </c>
      <c r="N9033" s="43">
        <v>5.3840494765350257</v>
      </c>
      <c r="O9033" s="43">
        <v>7.8476129032258068</v>
      </c>
      <c r="P9033" s="223"/>
      <c r="Q9033" s="223"/>
      <c r="R9033" s="223">
        <v>4</v>
      </c>
    </row>
    <row r="9034" spans="1:18" ht="36">
      <c r="A9034" s="219">
        <v>1757</v>
      </c>
      <c r="B9034" s="216" t="s">
        <v>16635</v>
      </c>
      <c r="C9034" s="220" t="s">
        <v>16636</v>
      </c>
      <c r="D9034" s="221">
        <v>1237.55</v>
      </c>
      <c r="E9034" s="221">
        <v>250.48</v>
      </c>
      <c r="F9034" s="221">
        <v>904.52</v>
      </c>
      <c r="G9034" s="221">
        <v>82.55</v>
      </c>
      <c r="H9034" s="222">
        <v>8388.5499999999993</v>
      </c>
      <c r="I9034" s="222">
        <v>2880.65</v>
      </c>
      <c r="J9034" s="222">
        <v>4870.38</v>
      </c>
      <c r="K9034" s="222">
        <v>637.52</v>
      </c>
      <c r="L9034" s="43">
        <v>6.778352389802432</v>
      </c>
      <c r="M9034" s="43">
        <v>11.500519003513256</v>
      </c>
      <c r="N9034" s="43">
        <v>5.3844912218635299</v>
      </c>
      <c r="O9034" s="43">
        <v>7.7228346456692911</v>
      </c>
      <c r="P9034" s="223"/>
      <c r="Q9034" s="223"/>
      <c r="R9034" s="223">
        <v>4</v>
      </c>
    </row>
    <row r="9035" spans="1:18" ht="36">
      <c r="A9035" s="219">
        <v>1758</v>
      </c>
      <c r="B9035" s="216" t="s">
        <v>16637</v>
      </c>
      <c r="C9035" s="220" t="s">
        <v>16638</v>
      </c>
      <c r="D9035" s="221">
        <v>1529.39</v>
      </c>
      <c r="E9035" s="221">
        <v>294.14</v>
      </c>
      <c r="F9035" s="221">
        <v>1071.05</v>
      </c>
      <c r="G9035" s="221">
        <v>164.2</v>
      </c>
      <c r="H9035" s="222">
        <v>10433.959999999999</v>
      </c>
      <c r="I9035" s="222">
        <v>3382.78</v>
      </c>
      <c r="J9035" s="222">
        <v>5767.96</v>
      </c>
      <c r="K9035" s="222">
        <v>1283.22</v>
      </c>
      <c r="L9035" s="43">
        <v>6.8223017019857579</v>
      </c>
      <c r="M9035" s="43">
        <v>11.50057795607534</v>
      </c>
      <c r="N9035" s="43">
        <v>5.3853321506932454</v>
      </c>
      <c r="O9035" s="43">
        <v>7.8149817295980517</v>
      </c>
      <c r="P9035" s="223"/>
      <c r="Q9035" s="223"/>
      <c r="R9035" s="223">
        <v>4</v>
      </c>
    </row>
    <row r="9036" spans="1:18" ht="36">
      <c r="A9036" s="219">
        <v>1759</v>
      </c>
      <c r="B9036" s="216" t="s">
        <v>16639</v>
      </c>
      <c r="C9036" s="220" t="s">
        <v>16640</v>
      </c>
      <c r="D9036" s="221">
        <v>1765.18</v>
      </c>
      <c r="E9036" s="221">
        <v>319.42</v>
      </c>
      <c r="F9036" s="221">
        <v>1194.77</v>
      </c>
      <c r="G9036" s="221">
        <v>250.99</v>
      </c>
      <c r="H9036" s="222">
        <v>12068.85</v>
      </c>
      <c r="I9036" s="222">
        <v>3673.49</v>
      </c>
      <c r="J9036" s="222">
        <v>6434.11</v>
      </c>
      <c r="K9036" s="222">
        <v>1961.25</v>
      </c>
      <c r="L9036" s="43">
        <v>6.8371780781563354</v>
      </c>
      <c r="M9036" s="43">
        <v>11.50050090789556</v>
      </c>
      <c r="N9036" s="43">
        <v>5.3852289562007751</v>
      </c>
      <c r="O9036" s="43">
        <v>7.8140563369058524</v>
      </c>
      <c r="P9036" s="223"/>
      <c r="Q9036" s="223"/>
      <c r="R9036" s="223">
        <v>4</v>
      </c>
    </row>
    <row r="9037" spans="1:18" ht="36">
      <c r="A9037" s="219">
        <v>1760</v>
      </c>
      <c r="B9037" s="216" t="s">
        <v>16641</v>
      </c>
      <c r="C9037" s="220" t="s">
        <v>16642</v>
      </c>
      <c r="D9037" s="221">
        <v>2108.39</v>
      </c>
      <c r="E9037" s="221">
        <v>388.36</v>
      </c>
      <c r="F9037" s="221">
        <v>1467.66</v>
      </c>
      <c r="G9037" s="221">
        <v>252.37</v>
      </c>
      <c r="H9037" s="222">
        <v>14345.5</v>
      </c>
      <c r="I9037" s="222">
        <v>4466.33</v>
      </c>
      <c r="J9037" s="222">
        <v>7902.05</v>
      </c>
      <c r="K9037" s="222">
        <v>1977.12</v>
      </c>
      <c r="L9037" s="43">
        <v>6.804006848827779</v>
      </c>
      <c r="M9037" s="43">
        <v>11.500489236790607</v>
      </c>
      <c r="N9037" s="43">
        <v>5.3841148494883013</v>
      </c>
      <c r="O9037" s="43">
        <v>7.8342116733367666</v>
      </c>
      <c r="P9037" s="223"/>
      <c r="Q9037" s="223"/>
      <c r="R9037" s="223">
        <v>4</v>
      </c>
    </row>
    <row r="9038" spans="1:18" ht="36">
      <c r="A9038" s="219">
        <v>1761</v>
      </c>
      <c r="B9038" s="216" t="s">
        <v>16643</v>
      </c>
      <c r="C9038" s="220" t="s">
        <v>16644</v>
      </c>
      <c r="D9038" s="221">
        <v>2284.5100000000002</v>
      </c>
      <c r="E9038" s="221">
        <v>482.58</v>
      </c>
      <c r="F9038" s="221">
        <v>1547.68</v>
      </c>
      <c r="G9038" s="221">
        <v>254.25</v>
      </c>
      <c r="H9038" s="222">
        <v>15884.98</v>
      </c>
      <c r="I9038" s="222">
        <v>5549.88</v>
      </c>
      <c r="J9038" s="222">
        <v>8336.36</v>
      </c>
      <c r="K9038" s="222">
        <v>1998.74</v>
      </c>
      <c r="L9038" s="43">
        <v>6.9533422922202126</v>
      </c>
      <c r="M9038" s="43">
        <v>11.500435161009575</v>
      </c>
      <c r="N9038" s="43">
        <v>5.3863589372480103</v>
      </c>
      <c r="O9038" s="43">
        <v>7.8613176007866272</v>
      </c>
      <c r="P9038" s="223"/>
      <c r="Q9038" s="223"/>
      <c r="R9038" s="223">
        <v>4</v>
      </c>
    </row>
    <row r="9039" spans="1:18" ht="12.75" customHeight="1">
      <c r="A9039" s="628" t="s">
        <v>16645</v>
      </c>
      <c r="B9039" s="629"/>
      <c r="C9039" s="629"/>
      <c r="D9039" s="629"/>
      <c r="E9039" s="629"/>
      <c r="F9039" s="629"/>
      <c r="G9039" s="629"/>
      <c r="H9039" s="629"/>
      <c r="I9039" s="629"/>
      <c r="J9039" s="629"/>
      <c r="K9039" s="629"/>
      <c r="L9039" s="629"/>
      <c r="M9039" s="629"/>
      <c r="N9039" s="629"/>
      <c r="O9039" s="629"/>
      <c r="P9039" s="629"/>
      <c r="Q9039" s="629"/>
      <c r="R9039" s="629"/>
    </row>
    <row r="9040" spans="1:18" ht="36">
      <c r="A9040" s="219">
        <v>1762</v>
      </c>
      <c r="B9040" s="216" t="s">
        <v>16646</v>
      </c>
      <c r="C9040" s="220" t="s">
        <v>16647</v>
      </c>
      <c r="D9040" s="221">
        <v>48.8</v>
      </c>
      <c r="E9040" s="221">
        <v>41.36</v>
      </c>
      <c r="F9040" s="221">
        <v>3.78</v>
      </c>
      <c r="G9040" s="221">
        <v>3.66</v>
      </c>
      <c r="H9040" s="222">
        <v>515.30999999999995</v>
      </c>
      <c r="I9040" s="222">
        <v>475.7</v>
      </c>
      <c r="J9040" s="222">
        <v>20.04</v>
      </c>
      <c r="K9040" s="222">
        <v>19.57</v>
      </c>
      <c r="L9040" s="43">
        <v>10.559631147540983</v>
      </c>
      <c r="M9040" s="43">
        <v>11.501450676982591</v>
      </c>
      <c r="N9040" s="43">
        <v>5.3015873015873014</v>
      </c>
      <c r="O9040" s="43">
        <v>5.3469945355191255</v>
      </c>
      <c r="P9040" s="223"/>
      <c r="Q9040" s="223"/>
      <c r="R9040" s="223">
        <v>5</v>
      </c>
    </row>
    <row r="9041" spans="1:18" ht="36">
      <c r="A9041" s="219">
        <v>1763</v>
      </c>
      <c r="B9041" s="216" t="s">
        <v>16648</v>
      </c>
      <c r="C9041" s="220" t="s">
        <v>16649</v>
      </c>
      <c r="D9041" s="221">
        <v>52.46</v>
      </c>
      <c r="E9041" s="221">
        <v>42.51</v>
      </c>
      <c r="F9041" s="221">
        <v>4.93</v>
      </c>
      <c r="G9041" s="221">
        <v>5.0199999999999996</v>
      </c>
      <c r="H9041" s="222">
        <v>538.58000000000004</v>
      </c>
      <c r="I9041" s="222">
        <v>488.92</v>
      </c>
      <c r="J9041" s="222">
        <v>26.1</v>
      </c>
      <c r="K9041" s="222">
        <v>23.56</v>
      </c>
      <c r="L9041" s="43">
        <v>10.266488753335876</v>
      </c>
      <c r="M9041" s="43">
        <v>11.501293813220419</v>
      </c>
      <c r="N9041" s="43">
        <v>5.2941176470588243</v>
      </c>
      <c r="O9041" s="43">
        <v>4.6932270916334664</v>
      </c>
      <c r="P9041" s="223"/>
      <c r="Q9041" s="223"/>
      <c r="R9041" s="223">
        <v>5</v>
      </c>
    </row>
    <row r="9042" spans="1:18" ht="36">
      <c r="A9042" s="219">
        <v>1764</v>
      </c>
      <c r="B9042" s="216" t="s">
        <v>16650</v>
      </c>
      <c r="C9042" s="220" t="s">
        <v>16651</v>
      </c>
      <c r="D9042" s="221">
        <v>54.14</v>
      </c>
      <c r="E9042" s="221">
        <v>42.51</v>
      </c>
      <c r="F9042" s="221">
        <v>4.93</v>
      </c>
      <c r="G9042" s="221">
        <v>6.7</v>
      </c>
      <c r="H9042" s="222">
        <v>544.22</v>
      </c>
      <c r="I9042" s="222">
        <v>488.92</v>
      </c>
      <c r="J9042" s="222">
        <v>26.1</v>
      </c>
      <c r="K9042" s="222">
        <v>29.2</v>
      </c>
      <c r="L9042" s="43">
        <v>10.052087181381603</v>
      </c>
      <c r="M9042" s="43">
        <v>11.501293813220419</v>
      </c>
      <c r="N9042" s="43">
        <v>5.2941176470588243</v>
      </c>
      <c r="O9042" s="43">
        <v>4.3582089552238807</v>
      </c>
      <c r="P9042" s="223"/>
      <c r="Q9042" s="223"/>
      <c r="R9042" s="223">
        <v>5</v>
      </c>
    </row>
    <row r="9043" spans="1:18" ht="36">
      <c r="A9043" s="219">
        <v>1765</v>
      </c>
      <c r="B9043" s="216" t="s">
        <v>16652</v>
      </c>
      <c r="C9043" s="220" t="s">
        <v>16653</v>
      </c>
      <c r="D9043" s="221">
        <v>55.82</v>
      </c>
      <c r="E9043" s="221">
        <v>42.51</v>
      </c>
      <c r="F9043" s="221">
        <v>4.93</v>
      </c>
      <c r="G9043" s="221">
        <v>8.3800000000000008</v>
      </c>
      <c r="H9043" s="222">
        <v>549.80999999999995</v>
      </c>
      <c r="I9043" s="222">
        <v>488.92</v>
      </c>
      <c r="J9043" s="222">
        <v>26.1</v>
      </c>
      <c r="K9043" s="222">
        <v>34.79</v>
      </c>
      <c r="L9043" s="43">
        <v>9.8496954496596185</v>
      </c>
      <c r="M9043" s="43">
        <v>11.501293813220419</v>
      </c>
      <c r="N9043" s="43">
        <v>5.2941176470588243</v>
      </c>
      <c r="O9043" s="43">
        <v>4.1515513126491639</v>
      </c>
      <c r="P9043" s="223"/>
      <c r="Q9043" s="223"/>
      <c r="R9043" s="223">
        <v>5</v>
      </c>
    </row>
    <row r="9044" spans="1:18" ht="36">
      <c r="A9044" s="219">
        <v>1766</v>
      </c>
      <c r="B9044" s="216" t="s">
        <v>16654</v>
      </c>
      <c r="C9044" s="220" t="s">
        <v>16655</v>
      </c>
      <c r="D9044" s="221">
        <v>60.07</v>
      </c>
      <c r="E9044" s="221">
        <v>44.81</v>
      </c>
      <c r="F9044" s="221">
        <v>5.37</v>
      </c>
      <c r="G9044" s="221">
        <v>9.89</v>
      </c>
      <c r="H9044" s="222">
        <v>583.92999999999995</v>
      </c>
      <c r="I9044" s="222">
        <v>515.35</v>
      </c>
      <c r="J9044" s="222">
        <v>28.43</v>
      </c>
      <c r="K9044" s="222">
        <v>40.15</v>
      </c>
      <c r="L9044" s="43">
        <v>9.7208257033460956</v>
      </c>
      <c r="M9044" s="43">
        <v>11.500781075652757</v>
      </c>
      <c r="N9044" s="43">
        <v>5.2942271880819369</v>
      </c>
      <c r="O9044" s="43">
        <v>4.0596562184024263</v>
      </c>
      <c r="P9044" s="223"/>
      <c r="Q9044" s="223"/>
      <c r="R9044" s="223">
        <v>5</v>
      </c>
    </row>
    <row r="9045" spans="1:18" ht="36">
      <c r="A9045" s="219">
        <v>1767</v>
      </c>
      <c r="B9045" s="216" t="s">
        <v>16656</v>
      </c>
      <c r="C9045" s="220" t="s">
        <v>16657</v>
      </c>
      <c r="D9045" s="221">
        <v>64.900000000000006</v>
      </c>
      <c r="E9045" s="221">
        <v>45.96</v>
      </c>
      <c r="F9045" s="221">
        <v>7.21</v>
      </c>
      <c r="G9045" s="221">
        <v>11.73</v>
      </c>
      <c r="H9045" s="222">
        <v>613.07000000000005</v>
      </c>
      <c r="I9045" s="222">
        <v>528.55999999999995</v>
      </c>
      <c r="J9045" s="222">
        <v>38.409999999999997</v>
      </c>
      <c r="K9045" s="222">
        <v>46.1</v>
      </c>
      <c r="L9045" s="43">
        <v>9.4463790446841287</v>
      </c>
      <c r="M9045" s="43">
        <v>11.500435161009571</v>
      </c>
      <c r="N9045" s="43">
        <v>5.3273231622746184</v>
      </c>
      <c r="O9045" s="43">
        <v>3.9300937766410913</v>
      </c>
      <c r="P9045" s="223"/>
      <c r="Q9045" s="223"/>
      <c r="R9045" s="223">
        <v>5</v>
      </c>
    </row>
    <row r="9046" spans="1:18" ht="36">
      <c r="A9046" s="219">
        <v>1768</v>
      </c>
      <c r="B9046" s="216" t="s">
        <v>16658</v>
      </c>
      <c r="C9046" s="220" t="s">
        <v>16659</v>
      </c>
      <c r="D9046" s="221">
        <v>111.36</v>
      </c>
      <c r="E9046" s="221">
        <v>50.1</v>
      </c>
      <c r="F9046" s="221">
        <v>56.84</v>
      </c>
      <c r="G9046" s="221">
        <v>4.42</v>
      </c>
      <c r="H9046" s="222">
        <v>911.43</v>
      </c>
      <c r="I9046" s="222">
        <v>576.13</v>
      </c>
      <c r="J9046" s="222">
        <v>305.26</v>
      </c>
      <c r="K9046" s="222">
        <v>30.04</v>
      </c>
      <c r="L9046" s="43">
        <v>8.1845366379310338</v>
      </c>
      <c r="M9046" s="43">
        <v>11.499600798403193</v>
      </c>
      <c r="N9046" s="43">
        <v>5.3705137227304709</v>
      </c>
      <c r="O9046" s="43">
        <v>6.7963800904977374</v>
      </c>
      <c r="P9046" s="223"/>
      <c r="Q9046" s="223"/>
      <c r="R9046" s="223">
        <v>5</v>
      </c>
    </row>
    <row r="9047" spans="1:18" ht="36">
      <c r="A9047" s="219">
        <v>1769</v>
      </c>
      <c r="B9047" s="216" t="s">
        <v>16660</v>
      </c>
      <c r="C9047" s="220" t="s">
        <v>16661</v>
      </c>
      <c r="D9047" s="221">
        <v>166.82</v>
      </c>
      <c r="E9047" s="221">
        <v>60.09</v>
      </c>
      <c r="F9047" s="221">
        <v>100.85</v>
      </c>
      <c r="G9047" s="221">
        <v>5.88</v>
      </c>
      <c r="H9047" s="222">
        <v>1272.3699999999999</v>
      </c>
      <c r="I9047" s="222">
        <v>691.09</v>
      </c>
      <c r="J9047" s="222">
        <v>541.82000000000005</v>
      </c>
      <c r="K9047" s="222">
        <v>39.46</v>
      </c>
      <c r="L9047" s="43">
        <v>7.6272029732645965</v>
      </c>
      <c r="M9047" s="43">
        <v>11.500915293726077</v>
      </c>
      <c r="N9047" s="43">
        <v>5.3725334655428867</v>
      </c>
      <c r="O9047" s="43">
        <v>6.7108843537414966</v>
      </c>
      <c r="P9047" s="223"/>
      <c r="Q9047" s="223"/>
      <c r="R9047" s="223">
        <v>5</v>
      </c>
    </row>
    <row r="9048" spans="1:18" ht="36">
      <c r="A9048" s="219">
        <v>1770</v>
      </c>
      <c r="B9048" s="216" t="s">
        <v>16662</v>
      </c>
      <c r="C9048" s="220" t="s">
        <v>16663</v>
      </c>
      <c r="D9048" s="221">
        <v>172.69</v>
      </c>
      <c r="E9048" s="221">
        <v>62.62</v>
      </c>
      <c r="F9048" s="221">
        <v>103.41</v>
      </c>
      <c r="G9048" s="221">
        <v>6.66</v>
      </c>
      <c r="H9048" s="222">
        <v>1319.82</v>
      </c>
      <c r="I9048" s="222">
        <v>720.16</v>
      </c>
      <c r="J9048" s="222">
        <v>555.75</v>
      </c>
      <c r="K9048" s="222">
        <v>43.91</v>
      </c>
      <c r="L9048" s="43">
        <v>7.6427123747756092</v>
      </c>
      <c r="M9048" s="43">
        <v>11.50047908016608</v>
      </c>
      <c r="N9048" s="43">
        <v>5.3742384682332469</v>
      </c>
      <c r="O9048" s="43">
        <v>6.5930930930930929</v>
      </c>
      <c r="P9048" s="223"/>
      <c r="Q9048" s="223"/>
      <c r="R9048" s="223">
        <v>5</v>
      </c>
    </row>
    <row r="9049" spans="1:18" ht="36">
      <c r="A9049" s="219">
        <v>1771</v>
      </c>
      <c r="B9049" s="216" t="s">
        <v>16664</v>
      </c>
      <c r="C9049" s="220" t="s">
        <v>16665</v>
      </c>
      <c r="D9049" s="221">
        <v>182.02</v>
      </c>
      <c r="E9049" s="221">
        <v>67.680000000000007</v>
      </c>
      <c r="F9049" s="221">
        <v>106.32</v>
      </c>
      <c r="G9049" s="221">
        <v>8.02</v>
      </c>
      <c r="H9049" s="222">
        <v>1401.58</v>
      </c>
      <c r="I9049" s="222">
        <v>778.3</v>
      </c>
      <c r="J9049" s="222">
        <v>571.13</v>
      </c>
      <c r="K9049" s="222">
        <v>52.15</v>
      </c>
      <c r="L9049" s="43">
        <v>7.7001428414459943</v>
      </c>
      <c r="M9049" s="43">
        <v>11.499704491725767</v>
      </c>
      <c r="N9049" s="43">
        <v>5.3718021068472535</v>
      </c>
      <c r="O9049" s="43">
        <v>6.5024937655860349</v>
      </c>
      <c r="P9049" s="223"/>
      <c r="Q9049" s="223"/>
      <c r="R9049" s="223">
        <v>5</v>
      </c>
    </row>
    <row r="9050" spans="1:18" ht="36">
      <c r="A9050" s="219">
        <v>1772</v>
      </c>
      <c r="B9050" s="216" t="s">
        <v>16666</v>
      </c>
      <c r="C9050" s="220" t="s">
        <v>16667</v>
      </c>
      <c r="D9050" s="221">
        <v>261.18</v>
      </c>
      <c r="E9050" s="221">
        <v>85.14</v>
      </c>
      <c r="F9050" s="221">
        <v>166</v>
      </c>
      <c r="G9050" s="221">
        <v>10.039999999999999</v>
      </c>
      <c r="H9050" s="222">
        <v>1936.45</v>
      </c>
      <c r="I9050" s="222">
        <v>979.16</v>
      </c>
      <c r="J9050" s="222">
        <v>892</v>
      </c>
      <c r="K9050" s="222">
        <v>65.290000000000006</v>
      </c>
      <c r="L9050" s="43">
        <v>7.4142353932154066</v>
      </c>
      <c r="M9050" s="43">
        <v>11.500587268029127</v>
      </c>
      <c r="N9050" s="43">
        <v>5.3734939759036147</v>
      </c>
      <c r="O9050" s="43">
        <v>6.502988047808766</v>
      </c>
      <c r="P9050" s="223"/>
      <c r="Q9050" s="223"/>
      <c r="R9050" s="223">
        <v>5</v>
      </c>
    </row>
    <row r="9051" spans="1:18" ht="36">
      <c r="A9051" s="219">
        <v>1773</v>
      </c>
      <c r="B9051" s="216" t="s">
        <v>16668</v>
      </c>
      <c r="C9051" s="220" t="s">
        <v>16669</v>
      </c>
      <c r="D9051" s="221">
        <v>279.89999999999998</v>
      </c>
      <c r="E9051" s="221">
        <v>95.14</v>
      </c>
      <c r="F9051" s="221">
        <v>172.68</v>
      </c>
      <c r="G9051" s="221">
        <v>12.08</v>
      </c>
      <c r="H9051" s="222">
        <v>2099.71</v>
      </c>
      <c r="I9051" s="222">
        <v>1094.1199999999999</v>
      </c>
      <c r="J9051" s="222">
        <v>927.43</v>
      </c>
      <c r="K9051" s="222">
        <v>78.16</v>
      </c>
      <c r="L9051" s="43">
        <v>7.5016434440871747</v>
      </c>
      <c r="M9051" s="43">
        <v>11.500105108261508</v>
      </c>
      <c r="N9051" s="43">
        <v>5.3708014825110029</v>
      </c>
      <c r="O9051" s="43">
        <v>6.4701986754966887</v>
      </c>
      <c r="P9051" s="223"/>
      <c r="Q9051" s="223"/>
      <c r="R9051" s="223">
        <v>5</v>
      </c>
    </row>
    <row r="9052" spans="1:18" ht="36">
      <c r="A9052" s="219">
        <v>1774</v>
      </c>
      <c r="B9052" s="216" t="s">
        <v>16670</v>
      </c>
      <c r="C9052" s="220" t="s">
        <v>16671</v>
      </c>
      <c r="D9052" s="221">
        <v>377.86</v>
      </c>
      <c r="E9052" s="221">
        <v>121.79</v>
      </c>
      <c r="F9052" s="221">
        <v>239.82</v>
      </c>
      <c r="G9052" s="221">
        <v>16.25</v>
      </c>
      <c r="H9052" s="222">
        <v>2792.7</v>
      </c>
      <c r="I9052" s="222">
        <v>1400.68</v>
      </c>
      <c r="J9052" s="222">
        <v>1288.1600000000001</v>
      </c>
      <c r="K9052" s="222">
        <v>103.86</v>
      </c>
      <c r="L9052" s="43">
        <v>7.3908325834965325</v>
      </c>
      <c r="M9052" s="43">
        <v>11.500780031201248</v>
      </c>
      <c r="N9052" s="43">
        <v>5.3713618547243769</v>
      </c>
      <c r="O9052" s="43">
        <v>6.3913846153846157</v>
      </c>
      <c r="P9052" s="223"/>
      <c r="Q9052" s="223"/>
      <c r="R9052" s="223">
        <v>5</v>
      </c>
    </row>
    <row r="9053" spans="1:18" ht="36">
      <c r="A9053" s="219">
        <v>1775</v>
      </c>
      <c r="B9053" s="216" t="s">
        <v>16672</v>
      </c>
      <c r="C9053" s="220" t="s">
        <v>16673</v>
      </c>
      <c r="D9053" s="221">
        <v>515.72</v>
      </c>
      <c r="E9053" s="221">
        <v>163.16</v>
      </c>
      <c r="F9053" s="221">
        <v>320.79000000000002</v>
      </c>
      <c r="G9053" s="221">
        <v>31.77</v>
      </c>
      <c r="H9053" s="222">
        <v>3792.49</v>
      </c>
      <c r="I9053" s="222">
        <v>1876.39</v>
      </c>
      <c r="J9053" s="222">
        <v>1723.07</v>
      </c>
      <c r="K9053" s="222">
        <v>193.03</v>
      </c>
      <c r="L9053" s="43">
        <v>7.3537772434654451</v>
      </c>
      <c r="M9053" s="43">
        <v>11.50030644765874</v>
      </c>
      <c r="N9053" s="43">
        <v>5.3713332709872494</v>
      </c>
      <c r="O9053" s="43">
        <v>6.0758577274158014</v>
      </c>
      <c r="P9053" s="223"/>
      <c r="Q9053" s="223"/>
      <c r="R9053" s="223">
        <v>5</v>
      </c>
    </row>
    <row r="9054" spans="1:18" ht="36">
      <c r="A9054" s="219">
        <v>1776</v>
      </c>
      <c r="B9054" s="216" t="s">
        <v>16674</v>
      </c>
      <c r="C9054" s="220" t="s">
        <v>16675</v>
      </c>
      <c r="D9054" s="221">
        <v>634.41999999999996</v>
      </c>
      <c r="E9054" s="221">
        <v>188.44</v>
      </c>
      <c r="F9054" s="221">
        <v>409.16</v>
      </c>
      <c r="G9054" s="221">
        <v>36.82</v>
      </c>
      <c r="H9054" s="222">
        <v>4589.12</v>
      </c>
      <c r="I9054" s="222">
        <v>2167.1</v>
      </c>
      <c r="J9054" s="222">
        <v>2198.17</v>
      </c>
      <c r="K9054" s="222">
        <v>223.85</v>
      </c>
      <c r="L9054" s="43">
        <v>7.2335676681063017</v>
      </c>
      <c r="M9054" s="43">
        <v>11.500212269157291</v>
      </c>
      <c r="N9054" s="43">
        <v>5.3723971062664972</v>
      </c>
      <c r="O9054" s="43">
        <v>6.0795763172189021</v>
      </c>
      <c r="P9054" s="223"/>
      <c r="Q9054" s="223"/>
      <c r="R9054" s="223">
        <v>5</v>
      </c>
    </row>
    <row r="9055" spans="1:18" ht="36">
      <c r="A9055" s="219">
        <v>1777</v>
      </c>
      <c r="B9055" s="216" t="s">
        <v>16676</v>
      </c>
      <c r="C9055" s="220" t="s">
        <v>16677</v>
      </c>
      <c r="D9055" s="221">
        <v>782.8</v>
      </c>
      <c r="E9055" s="221">
        <v>225.2</v>
      </c>
      <c r="F9055" s="221">
        <v>495.05</v>
      </c>
      <c r="G9055" s="221">
        <v>62.55</v>
      </c>
      <c r="H9055" s="222">
        <v>5616.98</v>
      </c>
      <c r="I9055" s="222">
        <v>2589.94</v>
      </c>
      <c r="J9055" s="222">
        <v>2659.82</v>
      </c>
      <c r="K9055" s="222">
        <v>367.22</v>
      </c>
      <c r="L9055" s="43">
        <v>7.1754982115482884</v>
      </c>
      <c r="M9055" s="43">
        <v>11.500621669627</v>
      </c>
      <c r="N9055" s="43">
        <v>5.3728310271689734</v>
      </c>
      <c r="O9055" s="43">
        <v>5.8708233413269388</v>
      </c>
      <c r="P9055" s="223"/>
      <c r="Q9055" s="223"/>
      <c r="R9055" s="223">
        <v>5</v>
      </c>
    </row>
    <row r="9056" spans="1:18" ht="36">
      <c r="A9056" s="219">
        <v>1778</v>
      </c>
      <c r="B9056" s="216" t="s">
        <v>16678</v>
      </c>
      <c r="C9056" s="220" t="s">
        <v>16679</v>
      </c>
      <c r="D9056" s="221">
        <v>800.37</v>
      </c>
      <c r="E9056" s="221">
        <v>257.38</v>
      </c>
      <c r="F9056" s="221">
        <v>470.93</v>
      </c>
      <c r="G9056" s="221">
        <v>72.06</v>
      </c>
      <c r="H9056" s="222">
        <v>5912.35</v>
      </c>
      <c r="I9056" s="222">
        <v>2959.94</v>
      </c>
      <c r="J9056" s="222">
        <v>2529.73</v>
      </c>
      <c r="K9056" s="222">
        <v>422.68</v>
      </c>
      <c r="L9056" s="43">
        <v>7.387021002786212</v>
      </c>
      <c r="M9056" s="43">
        <v>11.50027197140415</v>
      </c>
      <c r="N9056" s="43">
        <v>5.3717749984074068</v>
      </c>
      <c r="O9056" s="43">
        <v>5.8656674993061335</v>
      </c>
      <c r="P9056" s="223"/>
      <c r="Q9056" s="223"/>
      <c r="R9056" s="223">
        <v>5</v>
      </c>
    </row>
    <row r="9057" spans="1:18" ht="36">
      <c r="A9057" s="219">
        <v>1779</v>
      </c>
      <c r="B9057" s="216" t="s">
        <v>16680</v>
      </c>
      <c r="C9057" s="220" t="s">
        <v>16681</v>
      </c>
      <c r="D9057" s="221">
        <v>996.25</v>
      </c>
      <c r="E9057" s="221">
        <v>306.77999999999997</v>
      </c>
      <c r="F9057" s="221">
        <v>601.41999999999996</v>
      </c>
      <c r="G9057" s="221">
        <v>88.05</v>
      </c>
      <c r="H9057" s="222">
        <v>7275.81</v>
      </c>
      <c r="I9057" s="222">
        <v>3528.14</v>
      </c>
      <c r="J9057" s="222">
        <v>3231.77</v>
      </c>
      <c r="K9057" s="222">
        <v>515.9</v>
      </c>
      <c r="L9057" s="43">
        <v>7.3031969887076542</v>
      </c>
      <c r="M9057" s="43">
        <v>11.500554143034096</v>
      </c>
      <c r="N9057" s="43">
        <v>5.3735658940507465</v>
      </c>
      <c r="O9057" s="43">
        <v>5.8591709256104485</v>
      </c>
      <c r="P9057" s="223"/>
      <c r="Q9057" s="223"/>
      <c r="R9057" s="223">
        <v>5</v>
      </c>
    </row>
    <row r="9058" spans="1:18" ht="36">
      <c r="A9058" s="219">
        <v>1780</v>
      </c>
      <c r="B9058" s="216" t="s">
        <v>16682</v>
      </c>
      <c r="C9058" s="220" t="s">
        <v>16683</v>
      </c>
      <c r="D9058" s="221">
        <v>1334.81</v>
      </c>
      <c r="E9058" s="221">
        <v>394.11</v>
      </c>
      <c r="F9058" s="221">
        <v>805.27</v>
      </c>
      <c r="G9058" s="221">
        <v>135.43</v>
      </c>
      <c r="H9058" s="222">
        <v>9642.59</v>
      </c>
      <c r="I9058" s="222">
        <v>4532.3999999999996</v>
      </c>
      <c r="J9058" s="222">
        <v>4327.67</v>
      </c>
      <c r="K9058" s="222">
        <v>782.52</v>
      </c>
      <c r="L9058" s="43">
        <v>7.2239419842524404</v>
      </c>
      <c r="M9058" s="43">
        <v>11.500342543959807</v>
      </c>
      <c r="N9058" s="43">
        <v>5.3741850559439692</v>
      </c>
      <c r="O9058" s="43">
        <v>5.7780403160304212</v>
      </c>
      <c r="P9058" s="223"/>
      <c r="Q9058" s="223"/>
      <c r="R9058" s="223">
        <v>5</v>
      </c>
    </row>
    <row r="9059" spans="1:18" ht="36">
      <c r="A9059" s="219">
        <v>1781</v>
      </c>
      <c r="B9059" s="216" t="s">
        <v>16684</v>
      </c>
      <c r="C9059" s="220" t="s">
        <v>16685</v>
      </c>
      <c r="D9059" s="221">
        <v>2206.7600000000002</v>
      </c>
      <c r="E9059" s="221">
        <v>600.92999999999995</v>
      </c>
      <c r="F9059" s="221">
        <v>1370.98</v>
      </c>
      <c r="G9059" s="221">
        <v>234.85</v>
      </c>
      <c r="H9059" s="222">
        <v>15649.81</v>
      </c>
      <c r="I9059" s="222">
        <v>6910.92</v>
      </c>
      <c r="J9059" s="222">
        <v>7369.39</v>
      </c>
      <c r="K9059" s="222">
        <v>1369.5</v>
      </c>
      <c r="L9059" s="43">
        <v>7.0917589588355767</v>
      </c>
      <c r="M9059" s="43">
        <v>11.500374419649544</v>
      </c>
      <c r="N9059" s="43">
        <v>5.3752717034530049</v>
      </c>
      <c r="O9059" s="43">
        <v>5.8313817330210771</v>
      </c>
      <c r="P9059" s="223"/>
      <c r="Q9059" s="223"/>
      <c r="R9059" s="223">
        <v>5</v>
      </c>
    </row>
    <row r="9060" spans="1:18" ht="36">
      <c r="A9060" s="219">
        <v>1782</v>
      </c>
      <c r="B9060" s="216" t="s">
        <v>16686</v>
      </c>
      <c r="C9060" s="220" t="s">
        <v>16687</v>
      </c>
      <c r="D9060" s="221">
        <v>2827.59</v>
      </c>
      <c r="E9060" s="221">
        <v>764.09</v>
      </c>
      <c r="F9060" s="221">
        <v>1771.29</v>
      </c>
      <c r="G9060" s="221">
        <v>292.20999999999998</v>
      </c>
      <c r="H9060" s="222">
        <v>20018.099999999999</v>
      </c>
      <c r="I9060" s="222">
        <v>8787.31</v>
      </c>
      <c r="J9060" s="222">
        <v>9524.0300000000007</v>
      </c>
      <c r="K9060" s="222">
        <v>1706.76</v>
      </c>
      <c r="L9060" s="43">
        <v>7.0795624542454876</v>
      </c>
      <c r="M9060" s="43">
        <v>11.500359905246762</v>
      </c>
      <c r="N9060" s="43">
        <v>5.3768891598778294</v>
      </c>
      <c r="O9060" s="43">
        <v>5.8408678689983233</v>
      </c>
      <c r="P9060" s="223"/>
      <c r="Q9060" s="223"/>
      <c r="R9060" s="223">
        <v>5</v>
      </c>
    </row>
    <row r="9061" spans="1:18" ht="36">
      <c r="A9061" s="219">
        <v>1783</v>
      </c>
      <c r="B9061" s="216" t="s">
        <v>16688</v>
      </c>
      <c r="C9061" s="220" t="s">
        <v>16689</v>
      </c>
      <c r="D9061" s="221">
        <v>3699.89</v>
      </c>
      <c r="E9061" s="221">
        <v>964.01</v>
      </c>
      <c r="F9061" s="221">
        <v>2313.87</v>
      </c>
      <c r="G9061" s="221">
        <v>422.01</v>
      </c>
      <c r="H9061" s="222">
        <v>25965.25</v>
      </c>
      <c r="I9061" s="222">
        <v>11086.55</v>
      </c>
      <c r="J9061" s="222">
        <v>12444.15</v>
      </c>
      <c r="K9061" s="222">
        <v>2434.5500000000002</v>
      </c>
      <c r="L9061" s="43">
        <v>7.017843773733814</v>
      </c>
      <c r="M9061" s="43">
        <v>11.500451240132364</v>
      </c>
      <c r="N9061" s="43">
        <v>5.3780679121990431</v>
      </c>
      <c r="O9061" s="43">
        <v>5.7689391246652928</v>
      </c>
      <c r="P9061" s="223"/>
      <c r="Q9061" s="223"/>
      <c r="R9061" s="223">
        <v>5</v>
      </c>
    </row>
    <row r="9062" spans="1:18" ht="36">
      <c r="A9062" s="219">
        <v>1784</v>
      </c>
      <c r="B9062" s="216" t="s">
        <v>16690</v>
      </c>
      <c r="C9062" s="220" t="s">
        <v>16691</v>
      </c>
      <c r="D9062" s="221">
        <v>4876.9799999999996</v>
      </c>
      <c r="E9062" s="221">
        <v>1139.81</v>
      </c>
      <c r="F9062" s="221">
        <v>3243.19</v>
      </c>
      <c r="G9062" s="221">
        <v>493.98</v>
      </c>
      <c r="H9062" s="222">
        <v>33401.29</v>
      </c>
      <c r="I9062" s="222">
        <v>13108.29</v>
      </c>
      <c r="J9062" s="222">
        <v>17441.7</v>
      </c>
      <c r="K9062" s="222">
        <v>2851.3</v>
      </c>
      <c r="L9062" s="43">
        <v>6.848765014414659</v>
      </c>
      <c r="M9062" s="43">
        <v>11.500416736122688</v>
      </c>
      <c r="N9062" s="43">
        <v>5.3779457879433519</v>
      </c>
      <c r="O9062" s="43">
        <v>5.7720960362767721</v>
      </c>
      <c r="P9062" s="223"/>
      <c r="Q9062" s="223"/>
      <c r="R9062" s="223">
        <v>5</v>
      </c>
    </row>
    <row r="9063" spans="1:18" ht="12.75" customHeight="1">
      <c r="A9063" s="628" t="s">
        <v>16692</v>
      </c>
      <c r="B9063" s="629"/>
      <c r="C9063" s="629"/>
      <c r="D9063" s="629"/>
      <c r="E9063" s="629"/>
      <c r="F9063" s="629"/>
      <c r="G9063" s="629"/>
      <c r="H9063" s="629"/>
      <c r="I9063" s="629"/>
      <c r="J9063" s="629"/>
      <c r="K9063" s="629"/>
      <c r="L9063" s="629"/>
      <c r="M9063" s="629"/>
      <c r="N9063" s="629"/>
      <c r="O9063" s="629"/>
      <c r="P9063" s="629"/>
      <c r="Q9063" s="629"/>
      <c r="R9063" s="629"/>
    </row>
    <row r="9064" spans="1:18" ht="36">
      <c r="A9064" s="219">
        <v>1785</v>
      </c>
      <c r="B9064" s="216" t="s">
        <v>16693</v>
      </c>
      <c r="C9064" s="220" t="s">
        <v>16694</v>
      </c>
      <c r="D9064" s="221">
        <v>61.69</v>
      </c>
      <c r="E9064" s="221">
        <v>54</v>
      </c>
      <c r="F9064" s="221">
        <v>3.78</v>
      </c>
      <c r="G9064" s="221">
        <v>3.91</v>
      </c>
      <c r="H9064" s="222">
        <v>663.54</v>
      </c>
      <c r="I9064" s="222">
        <v>621.05999999999995</v>
      </c>
      <c r="J9064" s="222">
        <v>20.04</v>
      </c>
      <c r="K9064" s="222">
        <v>22.44</v>
      </c>
      <c r="L9064" s="43">
        <v>10.756038255795104</v>
      </c>
      <c r="M9064" s="43">
        <v>11.50111111111111</v>
      </c>
      <c r="N9064" s="43">
        <v>5.3015873015873014</v>
      </c>
      <c r="O9064" s="43">
        <v>5.7391304347826084</v>
      </c>
      <c r="P9064" s="223"/>
      <c r="Q9064" s="223"/>
      <c r="R9064" s="223">
        <v>6</v>
      </c>
    </row>
    <row r="9065" spans="1:18" ht="36">
      <c r="A9065" s="219">
        <v>1786</v>
      </c>
      <c r="B9065" s="216" t="s">
        <v>16695</v>
      </c>
      <c r="C9065" s="220" t="s">
        <v>16696</v>
      </c>
      <c r="D9065" s="221">
        <v>65.349999999999994</v>
      </c>
      <c r="E9065" s="221">
        <v>55.15</v>
      </c>
      <c r="F9065" s="221">
        <v>4.93</v>
      </c>
      <c r="G9065" s="221">
        <v>5.27</v>
      </c>
      <c r="H9065" s="222">
        <v>686.8</v>
      </c>
      <c r="I9065" s="222">
        <v>634.27</v>
      </c>
      <c r="J9065" s="222">
        <v>26.1</v>
      </c>
      <c r="K9065" s="222">
        <v>26.43</v>
      </c>
      <c r="L9065" s="43">
        <v>10.509563886763582</v>
      </c>
      <c r="M9065" s="43">
        <v>11.50081595648232</v>
      </c>
      <c r="N9065" s="43">
        <v>5.2941176470588243</v>
      </c>
      <c r="O9065" s="43">
        <v>5.0151802656546494</v>
      </c>
      <c r="P9065" s="223"/>
      <c r="Q9065" s="223"/>
      <c r="R9065" s="223">
        <v>6</v>
      </c>
    </row>
    <row r="9066" spans="1:18" ht="36">
      <c r="A9066" s="219">
        <v>1787</v>
      </c>
      <c r="B9066" s="216" t="s">
        <v>16697</v>
      </c>
      <c r="C9066" s="220" t="s">
        <v>16698</v>
      </c>
      <c r="D9066" s="221">
        <v>67.03</v>
      </c>
      <c r="E9066" s="221">
        <v>55.15</v>
      </c>
      <c r="F9066" s="221">
        <v>4.93</v>
      </c>
      <c r="G9066" s="221">
        <v>6.95</v>
      </c>
      <c r="H9066" s="222">
        <v>692.44</v>
      </c>
      <c r="I9066" s="222">
        <v>634.27</v>
      </c>
      <c r="J9066" s="222">
        <v>26.1</v>
      </c>
      <c r="K9066" s="222">
        <v>32.07</v>
      </c>
      <c r="L9066" s="43">
        <v>10.330299865731762</v>
      </c>
      <c r="M9066" s="43">
        <v>11.50081595648232</v>
      </c>
      <c r="N9066" s="43">
        <v>5.2941176470588243</v>
      </c>
      <c r="O9066" s="43">
        <v>4.6143884892086326</v>
      </c>
      <c r="P9066" s="223"/>
      <c r="Q9066" s="223"/>
      <c r="R9066" s="223">
        <v>6</v>
      </c>
    </row>
    <row r="9067" spans="1:18" ht="36">
      <c r="A9067" s="219">
        <v>1788</v>
      </c>
      <c r="B9067" s="216" t="s">
        <v>16699</v>
      </c>
      <c r="C9067" s="220" t="s">
        <v>16700</v>
      </c>
      <c r="D9067" s="221">
        <v>68.75</v>
      </c>
      <c r="E9067" s="221">
        <v>55.15</v>
      </c>
      <c r="F9067" s="221">
        <v>4.93</v>
      </c>
      <c r="G9067" s="221">
        <v>8.67</v>
      </c>
      <c r="H9067" s="222">
        <v>698.34</v>
      </c>
      <c r="I9067" s="222">
        <v>634.27</v>
      </c>
      <c r="J9067" s="222">
        <v>26.1</v>
      </c>
      <c r="K9067" s="222">
        <v>37.97</v>
      </c>
      <c r="L9067" s="43">
        <v>10.157672727272727</v>
      </c>
      <c r="M9067" s="43">
        <v>11.50081595648232</v>
      </c>
      <c r="N9067" s="43">
        <v>5.2941176470588243</v>
      </c>
      <c r="O9067" s="43">
        <v>4.3794694348327567</v>
      </c>
      <c r="P9067" s="223"/>
      <c r="Q9067" s="223"/>
      <c r="R9067" s="223">
        <v>6</v>
      </c>
    </row>
    <row r="9068" spans="1:18" ht="36">
      <c r="A9068" s="219">
        <v>1789</v>
      </c>
      <c r="B9068" s="216" t="s">
        <v>16701</v>
      </c>
      <c r="C9068" s="220" t="s">
        <v>16702</v>
      </c>
      <c r="D9068" s="221">
        <v>73.319999999999993</v>
      </c>
      <c r="E9068" s="221">
        <v>55.15</v>
      </c>
      <c r="F9068" s="221">
        <v>5.37</v>
      </c>
      <c r="G9068" s="221">
        <v>12.8</v>
      </c>
      <c r="H9068" s="222">
        <v>714.14</v>
      </c>
      <c r="I9068" s="222">
        <v>634.27</v>
      </c>
      <c r="J9068" s="222">
        <v>28.43</v>
      </c>
      <c r="K9068" s="222">
        <v>51.44</v>
      </c>
      <c r="L9068" s="43">
        <v>9.7400436442989644</v>
      </c>
      <c r="M9068" s="43">
        <v>11.50081595648232</v>
      </c>
      <c r="N9068" s="43">
        <v>5.2942271880819369</v>
      </c>
      <c r="O9068" s="43">
        <v>4.0187499999999998</v>
      </c>
      <c r="P9068" s="223"/>
      <c r="Q9068" s="223"/>
      <c r="R9068" s="223">
        <v>6</v>
      </c>
    </row>
    <row r="9069" spans="1:18" ht="36">
      <c r="A9069" s="219">
        <v>1790</v>
      </c>
      <c r="B9069" s="216" t="s">
        <v>16703</v>
      </c>
      <c r="C9069" s="220" t="s">
        <v>16704</v>
      </c>
      <c r="D9069" s="221">
        <v>84.41</v>
      </c>
      <c r="E9069" s="221">
        <v>62.05</v>
      </c>
      <c r="F9069" s="221">
        <v>7.21</v>
      </c>
      <c r="G9069" s="221">
        <v>15.15</v>
      </c>
      <c r="H9069" s="222">
        <v>811.83</v>
      </c>
      <c r="I9069" s="222">
        <v>713.56</v>
      </c>
      <c r="J9069" s="222">
        <v>38.409999999999997</v>
      </c>
      <c r="K9069" s="222">
        <v>59.86</v>
      </c>
      <c r="L9069" s="43">
        <v>9.6176993247245601</v>
      </c>
      <c r="M9069" s="43">
        <v>11.499758259468171</v>
      </c>
      <c r="N9069" s="43">
        <v>5.3273231622746184</v>
      </c>
      <c r="O9069" s="43">
        <v>3.951155115511551</v>
      </c>
      <c r="P9069" s="223"/>
      <c r="Q9069" s="223"/>
      <c r="R9069" s="223">
        <v>6</v>
      </c>
    </row>
    <row r="9070" spans="1:18" ht="36">
      <c r="A9070" s="219">
        <v>1791</v>
      </c>
      <c r="B9070" s="216" t="s">
        <v>16705</v>
      </c>
      <c r="C9070" s="220" t="s">
        <v>16706</v>
      </c>
      <c r="D9070" s="221">
        <v>317.45</v>
      </c>
      <c r="E9070" s="221">
        <v>86.4</v>
      </c>
      <c r="F9070" s="221">
        <v>223.73</v>
      </c>
      <c r="G9070" s="221">
        <v>7.32</v>
      </c>
      <c r="H9070" s="222">
        <v>2246.27</v>
      </c>
      <c r="I9070" s="222">
        <v>993.69</v>
      </c>
      <c r="J9070" s="222">
        <v>1202.49</v>
      </c>
      <c r="K9070" s="222">
        <v>50.09</v>
      </c>
      <c r="L9070" s="43">
        <v>7.0759804693652546</v>
      </c>
      <c r="M9070" s="43">
        <v>11.501041666666666</v>
      </c>
      <c r="N9070" s="43">
        <v>5.3747374066955711</v>
      </c>
      <c r="O9070" s="43">
        <v>6.8428961748633883</v>
      </c>
      <c r="P9070" s="223"/>
      <c r="Q9070" s="223"/>
      <c r="R9070" s="223">
        <v>6</v>
      </c>
    </row>
    <row r="9071" spans="1:18" ht="36">
      <c r="A9071" s="219">
        <v>1792</v>
      </c>
      <c r="B9071" s="216" t="s">
        <v>16707</v>
      </c>
      <c r="C9071" s="220" t="s">
        <v>16708</v>
      </c>
      <c r="D9071" s="221">
        <v>325.16000000000003</v>
      </c>
      <c r="E9071" s="221">
        <v>92.72</v>
      </c>
      <c r="F9071" s="221">
        <v>225.93</v>
      </c>
      <c r="G9071" s="221">
        <v>6.51</v>
      </c>
      <c r="H9071" s="222">
        <v>2327.23</v>
      </c>
      <c r="I9071" s="222">
        <v>1066.3699999999999</v>
      </c>
      <c r="J9071" s="222">
        <v>1214.1400000000001</v>
      </c>
      <c r="K9071" s="222">
        <v>46.72</v>
      </c>
      <c r="L9071" s="43">
        <v>7.1571841554926801</v>
      </c>
      <c r="M9071" s="43">
        <v>11.500970664365832</v>
      </c>
      <c r="N9071" s="43">
        <v>5.373965387509406</v>
      </c>
      <c r="O9071" s="43">
        <v>7.1766513056835635</v>
      </c>
      <c r="P9071" s="223"/>
      <c r="Q9071" s="223"/>
      <c r="R9071" s="223">
        <v>6</v>
      </c>
    </row>
    <row r="9072" spans="1:18" ht="36">
      <c r="A9072" s="219">
        <v>1793</v>
      </c>
      <c r="B9072" s="216" t="s">
        <v>16709</v>
      </c>
      <c r="C9072" s="220" t="s">
        <v>16710</v>
      </c>
      <c r="D9072" s="221">
        <v>330.66</v>
      </c>
      <c r="E9072" s="221">
        <v>95.14</v>
      </c>
      <c r="F9072" s="221">
        <v>228.21</v>
      </c>
      <c r="G9072" s="221">
        <v>7.31</v>
      </c>
      <c r="H9072" s="222">
        <v>2371.94</v>
      </c>
      <c r="I9072" s="222">
        <v>1094.1199999999999</v>
      </c>
      <c r="J9072" s="222">
        <v>1226.44</v>
      </c>
      <c r="K9072" s="222">
        <v>51.38</v>
      </c>
      <c r="L9072" s="43">
        <v>7.1733502691586519</v>
      </c>
      <c r="M9072" s="43">
        <v>11.500105108261508</v>
      </c>
      <c r="N9072" s="43">
        <v>5.3741729109153846</v>
      </c>
      <c r="O9072" s="43">
        <v>7.0287277701778397</v>
      </c>
      <c r="P9072" s="223"/>
      <c r="Q9072" s="223"/>
      <c r="R9072" s="223">
        <v>6</v>
      </c>
    </row>
    <row r="9073" spans="1:18" ht="36">
      <c r="A9073" s="219">
        <v>1794</v>
      </c>
      <c r="B9073" s="216" t="s">
        <v>16711</v>
      </c>
      <c r="C9073" s="220" t="s">
        <v>16712</v>
      </c>
      <c r="D9073" s="221">
        <v>412.72</v>
      </c>
      <c r="E9073" s="221">
        <v>106.51</v>
      </c>
      <c r="F9073" s="221">
        <v>297.41000000000003</v>
      </c>
      <c r="G9073" s="221">
        <v>8.8000000000000007</v>
      </c>
      <c r="H9073" s="222">
        <v>2884.42</v>
      </c>
      <c r="I9073" s="222">
        <v>1224.94</v>
      </c>
      <c r="J9073" s="222">
        <v>1598.36</v>
      </c>
      <c r="K9073" s="222">
        <v>61.12</v>
      </c>
      <c r="L9073" s="43">
        <v>6.9888059701492535</v>
      </c>
      <c r="M9073" s="43">
        <v>11.500704159233875</v>
      </c>
      <c r="N9073" s="43">
        <v>5.3742644833731203</v>
      </c>
      <c r="O9073" s="43">
        <v>6.9454545454545444</v>
      </c>
      <c r="P9073" s="223"/>
      <c r="Q9073" s="223"/>
      <c r="R9073" s="223">
        <v>6</v>
      </c>
    </row>
    <row r="9074" spans="1:18" ht="36">
      <c r="A9074" s="219">
        <v>1795</v>
      </c>
      <c r="B9074" s="216" t="s">
        <v>16713</v>
      </c>
      <c r="C9074" s="220" t="s">
        <v>16714</v>
      </c>
      <c r="D9074" s="221">
        <v>487.91</v>
      </c>
      <c r="E9074" s="221">
        <v>150.52000000000001</v>
      </c>
      <c r="F9074" s="221">
        <v>320.87</v>
      </c>
      <c r="G9074" s="221">
        <v>16.52</v>
      </c>
      <c r="H9074" s="222">
        <v>3563.5</v>
      </c>
      <c r="I9074" s="222">
        <v>1731.03</v>
      </c>
      <c r="J9074" s="222">
        <v>1724.15</v>
      </c>
      <c r="K9074" s="222">
        <v>108.32</v>
      </c>
      <c r="L9074" s="43">
        <v>7.3036010739685597</v>
      </c>
      <c r="M9074" s="43">
        <v>11.500332181769863</v>
      </c>
      <c r="N9074" s="43">
        <v>5.3733599276965753</v>
      </c>
      <c r="O9074" s="43">
        <v>6.5569007263922519</v>
      </c>
      <c r="P9074" s="223"/>
      <c r="Q9074" s="223"/>
      <c r="R9074" s="223">
        <v>6</v>
      </c>
    </row>
    <row r="9075" spans="1:18" ht="36">
      <c r="A9075" s="219">
        <v>1796</v>
      </c>
      <c r="B9075" s="216" t="s">
        <v>16715</v>
      </c>
      <c r="C9075" s="220" t="s">
        <v>16716</v>
      </c>
      <c r="D9075" s="221">
        <v>620.86</v>
      </c>
      <c r="E9075" s="221">
        <v>175.8</v>
      </c>
      <c r="F9075" s="221">
        <v>425.05</v>
      </c>
      <c r="G9075" s="221">
        <v>20.010000000000002</v>
      </c>
      <c r="H9075" s="222">
        <v>4436.5200000000004</v>
      </c>
      <c r="I9075" s="222">
        <v>2021.74</v>
      </c>
      <c r="J9075" s="222">
        <v>2284.33</v>
      </c>
      <c r="K9075" s="222">
        <v>130.44999999999999</v>
      </c>
      <c r="L9075" s="43">
        <v>7.1457655510098901</v>
      </c>
      <c r="M9075" s="43">
        <v>11.500227531285551</v>
      </c>
      <c r="N9075" s="43">
        <v>5.3742618515468763</v>
      </c>
      <c r="O9075" s="43">
        <v>6.5192403798100935</v>
      </c>
      <c r="P9075" s="223"/>
      <c r="Q9075" s="223"/>
      <c r="R9075" s="223">
        <v>6</v>
      </c>
    </row>
    <row r="9076" spans="1:18" ht="36">
      <c r="A9076" s="219">
        <v>1797</v>
      </c>
      <c r="B9076" s="216" t="s">
        <v>16717</v>
      </c>
      <c r="C9076" s="220" t="s">
        <v>16718</v>
      </c>
      <c r="D9076" s="221">
        <v>805</v>
      </c>
      <c r="E9076" s="221">
        <v>219.46</v>
      </c>
      <c r="F9076" s="221">
        <v>547.15</v>
      </c>
      <c r="G9076" s="221">
        <v>38.39</v>
      </c>
      <c r="H9076" s="222">
        <v>5698.77</v>
      </c>
      <c r="I9076" s="222">
        <v>2523.87</v>
      </c>
      <c r="J9076" s="222">
        <v>2940.34</v>
      </c>
      <c r="K9076" s="222">
        <v>234.56</v>
      </c>
      <c r="L9076" s="43">
        <v>7.0792173913043488</v>
      </c>
      <c r="M9076" s="43">
        <v>11.500364531121843</v>
      </c>
      <c r="N9076" s="43">
        <v>5.3739194005300197</v>
      </c>
      <c r="O9076" s="43">
        <v>6.1099244594946605</v>
      </c>
      <c r="P9076" s="223"/>
      <c r="Q9076" s="223"/>
      <c r="R9076" s="223">
        <v>6</v>
      </c>
    </row>
    <row r="9077" spans="1:18" ht="36">
      <c r="A9077" s="219">
        <v>1798</v>
      </c>
      <c r="B9077" s="216" t="s">
        <v>16719</v>
      </c>
      <c r="C9077" s="220" t="s">
        <v>16720</v>
      </c>
      <c r="D9077" s="221">
        <v>1010.9</v>
      </c>
      <c r="E9077" s="221">
        <v>268.87</v>
      </c>
      <c r="F9077" s="221">
        <v>694.71</v>
      </c>
      <c r="G9077" s="221">
        <v>47.32</v>
      </c>
      <c r="H9077" s="222">
        <v>7115.88</v>
      </c>
      <c r="I9077" s="222">
        <v>3092.08</v>
      </c>
      <c r="J9077" s="222">
        <v>3733.25</v>
      </c>
      <c r="K9077" s="222">
        <v>290.55</v>
      </c>
      <c r="L9077" s="43">
        <v>7.0391532297952324</v>
      </c>
      <c r="M9077" s="43">
        <v>11.500278945215159</v>
      </c>
      <c r="N9077" s="43">
        <v>5.3738250493011472</v>
      </c>
      <c r="O9077" s="43">
        <v>6.1401098901098905</v>
      </c>
      <c r="P9077" s="223"/>
      <c r="Q9077" s="223"/>
      <c r="R9077" s="223">
        <v>6</v>
      </c>
    </row>
    <row r="9078" spans="1:18" ht="36">
      <c r="A9078" s="219">
        <v>1799</v>
      </c>
      <c r="B9078" s="216" t="s">
        <v>16721</v>
      </c>
      <c r="C9078" s="220" t="s">
        <v>16722</v>
      </c>
      <c r="D9078" s="221">
        <v>1233.76</v>
      </c>
      <c r="E9078" s="221">
        <v>314.83</v>
      </c>
      <c r="F9078" s="221">
        <v>829.65</v>
      </c>
      <c r="G9078" s="221">
        <v>89.28</v>
      </c>
      <c r="H9078" s="222">
        <v>8603</v>
      </c>
      <c r="I9078" s="222">
        <v>3620.64</v>
      </c>
      <c r="J9078" s="222">
        <v>4459.9799999999996</v>
      </c>
      <c r="K9078" s="222">
        <v>522.38</v>
      </c>
      <c r="L9078" s="43">
        <v>6.9729931267021144</v>
      </c>
      <c r="M9078" s="43">
        <v>11.500301750150875</v>
      </c>
      <c r="N9078" s="43">
        <v>5.375736756463569</v>
      </c>
      <c r="O9078" s="43">
        <v>5.8510304659498207</v>
      </c>
      <c r="P9078" s="223"/>
      <c r="Q9078" s="223"/>
      <c r="R9078" s="223">
        <v>6</v>
      </c>
    </row>
    <row r="9079" spans="1:18" ht="36">
      <c r="A9079" s="219">
        <v>1800</v>
      </c>
      <c r="B9079" s="216" t="s">
        <v>16723</v>
      </c>
      <c r="C9079" s="220" t="s">
        <v>16724</v>
      </c>
      <c r="D9079" s="221">
        <v>1416.02</v>
      </c>
      <c r="E9079" s="221">
        <v>350.45</v>
      </c>
      <c r="F9079" s="221">
        <v>962.23</v>
      </c>
      <c r="G9079" s="221">
        <v>103.34</v>
      </c>
      <c r="H9079" s="222">
        <v>9807.9599999999991</v>
      </c>
      <c r="I9079" s="222">
        <v>4030.27</v>
      </c>
      <c r="J9079" s="222">
        <v>5174.71</v>
      </c>
      <c r="K9079" s="222">
        <v>602.98</v>
      </c>
      <c r="L9079" s="43">
        <v>6.9264275928306089</v>
      </c>
      <c r="M9079" s="43">
        <v>11.500271080039949</v>
      </c>
      <c r="N9079" s="43">
        <v>5.3778306641863169</v>
      </c>
      <c r="O9079" s="43">
        <v>5.8349138765240953</v>
      </c>
      <c r="P9079" s="223"/>
      <c r="Q9079" s="223"/>
      <c r="R9079" s="223">
        <v>6</v>
      </c>
    </row>
    <row r="9080" spans="1:18" ht="36">
      <c r="A9080" s="219">
        <v>1801</v>
      </c>
      <c r="B9080" s="216" t="s">
        <v>16725</v>
      </c>
      <c r="C9080" s="220" t="s">
        <v>16726</v>
      </c>
      <c r="D9080" s="221">
        <v>1776.78</v>
      </c>
      <c r="E9080" s="221">
        <v>432.02</v>
      </c>
      <c r="F9080" s="221">
        <v>1196.01</v>
      </c>
      <c r="G9080" s="221">
        <v>148.75</v>
      </c>
      <c r="H9080" s="222">
        <v>12264.86</v>
      </c>
      <c r="I9080" s="222">
        <v>4968.46</v>
      </c>
      <c r="J9080" s="222">
        <v>6431.66</v>
      </c>
      <c r="K9080" s="222">
        <v>864.74</v>
      </c>
      <c r="L9080" s="43">
        <v>6.9028579790407374</v>
      </c>
      <c r="M9080" s="43">
        <v>11.500532382760058</v>
      </c>
      <c r="N9080" s="43">
        <v>5.3775971772811264</v>
      </c>
      <c r="O9080" s="43">
        <v>5.8133781512605038</v>
      </c>
      <c r="P9080" s="223"/>
      <c r="Q9080" s="223"/>
      <c r="R9080" s="223">
        <v>6</v>
      </c>
    </row>
    <row r="9081" spans="1:18" ht="36">
      <c r="A9081" s="219">
        <v>1802</v>
      </c>
      <c r="B9081" s="216" t="s">
        <v>16727</v>
      </c>
      <c r="C9081" s="220" t="s">
        <v>16728</v>
      </c>
      <c r="D9081" s="221">
        <v>2226.54</v>
      </c>
      <c r="E9081" s="221">
        <v>513.6</v>
      </c>
      <c r="F9081" s="221">
        <v>1529.46</v>
      </c>
      <c r="G9081" s="221">
        <v>183.48</v>
      </c>
      <c r="H9081" s="222">
        <v>15193.31</v>
      </c>
      <c r="I9081" s="222">
        <v>5906.66</v>
      </c>
      <c r="J9081" s="222">
        <v>8226.5400000000009</v>
      </c>
      <c r="K9081" s="222">
        <v>1060.1099999999999</v>
      </c>
      <c r="L9081" s="43">
        <v>6.8237309906850987</v>
      </c>
      <c r="M9081" s="43">
        <v>11.500506230529595</v>
      </c>
      <c r="N9081" s="43">
        <v>5.3787219018477117</v>
      </c>
      <c r="O9081" s="43">
        <v>5.7777959450621319</v>
      </c>
      <c r="P9081" s="223"/>
      <c r="Q9081" s="223"/>
      <c r="R9081" s="223">
        <v>6</v>
      </c>
    </row>
    <row r="9082" spans="1:18" ht="12.75" customHeight="1">
      <c r="A9082" s="628" t="s">
        <v>16729</v>
      </c>
      <c r="B9082" s="629"/>
      <c r="C9082" s="629"/>
      <c r="D9082" s="629"/>
      <c r="E9082" s="629"/>
      <c r="F9082" s="629"/>
      <c r="G9082" s="629"/>
      <c r="H9082" s="629"/>
      <c r="I9082" s="629"/>
      <c r="J9082" s="629"/>
      <c r="K9082" s="629"/>
      <c r="L9082" s="629"/>
      <c r="M9082" s="629"/>
      <c r="N9082" s="629"/>
      <c r="O9082" s="629"/>
      <c r="P9082" s="629"/>
      <c r="Q9082" s="629"/>
      <c r="R9082" s="629"/>
    </row>
    <row r="9083" spans="1:18" ht="36">
      <c r="A9083" s="219">
        <v>1803</v>
      </c>
      <c r="B9083" s="216" t="s">
        <v>16730</v>
      </c>
      <c r="C9083" s="220" t="s">
        <v>16731</v>
      </c>
      <c r="D9083" s="221">
        <v>203.06</v>
      </c>
      <c r="E9083" s="221">
        <v>63.88</v>
      </c>
      <c r="F9083" s="221">
        <v>121.62</v>
      </c>
      <c r="G9083" s="221">
        <v>17.559999999999999</v>
      </c>
      <c r="H9083" s="222">
        <v>1500.01</v>
      </c>
      <c r="I9083" s="222">
        <v>734.7</v>
      </c>
      <c r="J9083" s="222">
        <v>653.63</v>
      </c>
      <c r="K9083" s="222">
        <v>111.68</v>
      </c>
      <c r="L9083" s="43">
        <v>7.3870284644932527</v>
      </c>
      <c r="M9083" s="43">
        <v>11.501252348152788</v>
      </c>
      <c r="N9083" s="43">
        <v>5.374362769281368</v>
      </c>
      <c r="O9083" s="43">
        <v>6.35990888382688</v>
      </c>
      <c r="P9083" s="223"/>
      <c r="Q9083" s="223"/>
      <c r="R9083" s="223">
        <v>7</v>
      </c>
    </row>
    <row r="9084" spans="1:18" ht="36">
      <c r="A9084" s="219">
        <v>1804</v>
      </c>
      <c r="B9084" s="216" t="s">
        <v>16732</v>
      </c>
      <c r="C9084" s="220" t="s">
        <v>16733</v>
      </c>
      <c r="D9084" s="221">
        <v>198.88</v>
      </c>
      <c r="E9084" s="221">
        <v>65.150000000000006</v>
      </c>
      <c r="F9084" s="221">
        <v>121.62</v>
      </c>
      <c r="G9084" s="221">
        <v>12.11</v>
      </c>
      <c r="H9084" s="222">
        <v>1453.33</v>
      </c>
      <c r="I9084" s="222">
        <v>749.23</v>
      </c>
      <c r="J9084" s="222">
        <v>653.63</v>
      </c>
      <c r="K9084" s="222">
        <v>50.47</v>
      </c>
      <c r="L9084" s="43">
        <v>7.3075724054706352</v>
      </c>
      <c r="M9084" s="43">
        <v>11.500076745970835</v>
      </c>
      <c r="N9084" s="43">
        <v>5.374362769281368</v>
      </c>
      <c r="O9084" s="43">
        <v>4.1676300578034686</v>
      </c>
      <c r="P9084" s="223"/>
      <c r="Q9084" s="223"/>
      <c r="R9084" s="223">
        <v>7</v>
      </c>
    </row>
    <row r="9085" spans="1:18" ht="36">
      <c r="A9085" s="219">
        <v>1805</v>
      </c>
      <c r="B9085" s="216" t="s">
        <v>16734</v>
      </c>
      <c r="C9085" s="220" t="s">
        <v>16735</v>
      </c>
      <c r="D9085" s="221">
        <v>204.68</v>
      </c>
      <c r="E9085" s="221">
        <v>65.150000000000006</v>
      </c>
      <c r="F9085" s="221">
        <v>134.81</v>
      </c>
      <c r="G9085" s="221">
        <v>4.72</v>
      </c>
      <c r="H9085" s="222">
        <v>1507.39</v>
      </c>
      <c r="I9085" s="222">
        <v>749.23</v>
      </c>
      <c r="J9085" s="222">
        <v>724.67</v>
      </c>
      <c r="K9085" s="222">
        <v>33.49</v>
      </c>
      <c r="L9085" s="43">
        <v>7.3646179401993361</v>
      </c>
      <c r="M9085" s="43">
        <v>11.500076745970835</v>
      </c>
      <c r="N9085" s="43">
        <v>5.3754914323863208</v>
      </c>
      <c r="O9085" s="43">
        <v>7.0953389830508486</v>
      </c>
      <c r="P9085" s="223"/>
      <c r="Q9085" s="223"/>
      <c r="R9085" s="223">
        <v>7</v>
      </c>
    </row>
    <row r="9086" spans="1:18" ht="36">
      <c r="A9086" s="219">
        <v>1806</v>
      </c>
      <c r="B9086" s="216" t="s">
        <v>16736</v>
      </c>
      <c r="C9086" s="220" t="s">
        <v>16737</v>
      </c>
      <c r="D9086" s="221">
        <v>257.93</v>
      </c>
      <c r="E9086" s="221">
        <v>76.41</v>
      </c>
      <c r="F9086" s="221">
        <v>175.31</v>
      </c>
      <c r="G9086" s="221">
        <v>6.21</v>
      </c>
      <c r="H9086" s="222">
        <v>1864.52</v>
      </c>
      <c r="I9086" s="222">
        <v>878.73</v>
      </c>
      <c r="J9086" s="222">
        <v>942.53</v>
      </c>
      <c r="K9086" s="222">
        <v>43.26</v>
      </c>
      <c r="L9086" s="43">
        <v>7.2287830031403866</v>
      </c>
      <c r="M9086" s="43">
        <v>11.50019630938359</v>
      </c>
      <c r="N9086" s="43">
        <v>5.376361873253094</v>
      </c>
      <c r="O9086" s="43">
        <v>6.9661835748792269</v>
      </c>
      <c r="P9086" s="223"/>
      <c r="Q9086" s="223"/>
      <c r="R9086" s="223">
        <v>7</v>
      </c>
    </row>
    <row r="9087" spans="1:18" ht="36">
      <c r="A9087" s="219">
        <v>1807</v>
      </c>
      <c r="B9087" s="216" t="s">
        <v>16738</v>
      </c>
      <c r="C9087" s="220" t="s">
        <v>16739</v>
      </c>
      <c r="D9087" s="221">
        <v>261.7</v>
      </c>
      <c r="E9087" s="221">
        <v>77.67</v>
      </c>
      <c r="F9087" s="221">
        <v>177.07</v>
      </c>
      <c r="G9087" s="221">
        <v>6.96</v>
      </c>
      <c r="H9087" s="222">
        <v>1892.66</v>
      </c>
      <c r="I9087" s="222">
        <v>893.27</v>
      </c>
      <c r="J9087" s="222">
        <v>952.03</v>
      </c>
      <c r="K9087" s="222">
        <v>47.36</v>
      </c>
      <c r="L9087" s="43">
        <v>7.2321742453190678</v>
      </c>
      <c r="M9087" s="43">
        <v>11.500836873953906</v>
      </c>
      <c r="N9087" s="43">
        <v>5.3765742361777829</v>
      </c>
      <c r="O9087" s="43">
        <v>6.804597701149425</v>
      </c>
      <c r="P9087" s="223"/>
      <c r="Q9087" s="223"/>
      <c r="R9087" s="223">
        <v>7</v>
      </c>
    </row>
    <row r="9088" spans="1:18" ht="36">
      <c r="A9088" s="219">
        <v>1808</v>
      </c>
      <c r="B9088" s="216" t="s">
        <v>16740</v>
      </c>
      <c r="C9088" s="220" t="s">
        <v>16741</v>
      </c>
      <c r="D9088" s="221">
        <v>272.08999999999997</v>
      </c>
      <c r="E9088" s="221">
        <v>83.88</v>
      </c>
      <c r="F9088" s="221">
        <v>179.88</v>
      </c>
      <c r="G9088" s="221">
        <v>8.33</v>
      </c>
      <c r="H9088" s="222">
        <v>1987.28</v>
      </c>
      <c r="I9088" s="222">
        <v>964.62</v>
      </c>
      <c r="J9088" s="222">
        <v>966.94</v>
      </c>
      <c r="K9088" s="222">
        <v>55.72</v>
      </c>
      <c r="L9088" s="43">
        <v>7.3037597853651368</v>
      </c>
      <c r="M9088" s="43">
        <v>11.5</v>
      </c>
      <c r="N9088" s="43">
        <v>5.3754725372470542</v>
      </c>
      <c r="O9088" s="43">
        <v>6.6890756302521011</v>
      </c>
      <c r="P9088" s="223"/>
      <c r="Q9088" s="223"/>
      <c r="R9088" s="223">
        <v>7</v>
      </c>
    </row>
    <row r="9089" spans="1:18" ht="36">
      <c r="A9089" s="219">
        <v>1809</v>
      </c>
      <c r="B9089" s="216" t="s">
        <v>16742</v>
      </c>
      <c r="C9089" s="220" t="s">
        <v>16743</v>
      </c>
      <c r="D9089" s="221">
        <v>399.08</v>
      </c>
      <c r="E9089" s="221">
        <v>107.66</v>
      </c>
      <c r="F9089" s="221">
        <v>280.95999999999998</v>
      </c>
      <c r="G9089" s="221">
        <v>10.46</v>
      </c>
      <c r="H9089" s="222">
        <v>2818.91</v>
      </c>
      <c r="I9089" s="222">
        <v>1238.1500000000001</v>
      </c>
      <c r="J9089" s="222">
        <v>1510.57</v>
      </c>
      <c r="K9089" s="222">
        <v>70.19</v>
      </c>
      <c r="L9089" s="43">
        <v>7.0635210985266115</v>
      </c>
      <c r="M9089" s="43">
        <v>11.500557310050159</v>
      </c>
      <c r="N9089" s="43">
        <v>5.3764592824601367</v>
      </c>
      <c r="O9089" s="43">
        <v>6.7103250478011462</v>
      </c>
      <c r="P9089" s="223"/>
      <c r="Q9089" s="223"/>
      <c r="R9089" s="223">
        <v>7</v>
      </c>
    </row>
    <row r="9090" spans="1:18" ht="36">
      <c r="A9090" s="219">
        <v>1810</v>
      </c>
      <c r="B9090" s="216" t="s">
        <v>16744</v>
      </c>
      <c r="C9090" s="220" t="s">
        <v>16745</v>
      </c>
      <c r="D9090" s="221">
        <v>412.5</v>
      </c>
      <c r="E9090" s="221">
        <v>118.35</v>
      </c>
      <c r="F9090" s="221">
        <v>281.58</v>
      </c>
      <c r="G9090" s="221">
        <v>12.57</v>
      </c>
      <c r="H9090" s="222">
        <v>2958.15</v>
      </c>
      <c r="I9090" s="222">
        <v>1361.04</v>
      </c>
      <c r="J9090" s="222">
        <v>1513.37</v>
      </c>
      <c r="K9090" s="222">
        <v>83.74</v>
      </c>
      <c r="L9090" s="43">
        <v>7.1712727272727275</v>
      </c>
      <c r="M9090" s="43">
        <v>11.500126742712295</v>
      </c>
      <c r="N9090" s="43">
        <v>5.3745649548973651</v>
      </c>
      <c r="O9090" s="43">
        <v>6.6618933969769287</v>
      </c>
      <c r="P9090" s="223"/>
      <c r="Q9090" s="223"/>
      <c r="R9090" s="223">
        <v>7</v>
      </c>
    </row>
    <row r="9091" spans="1:18" ht="36">
      <c r="A9091" s="219">
        <v>1811</v>
      </c>
      <c r="B9091" s="216" t="s">
        <v>16746</v>
      </c>
      <c r="C9091" s="220" t="s">
        <v>16747</v>
      </c>
      <c r="D9091" s="221">
        <v>514.53</v>
      </c>
      <c r="E9091" s="221">
        <v>150.52000000000001</v>
      </c>
      <c r="F9091" s="221">
        <v>347.2</v>
      </c>
      <c r="G9091" s="221">
        <v>16.809999999999999</v>
      </c>
      <c r="H9091" s="222">
        <v>3707.28</v>
      </c>
      <c r="I9091" s="222">
        <v>1731.03</v>
      </c>
      <c r="J9091" s="222">
        <v>1865.94</v>
      </c>
      <c r="K9091" s="222">
        <v>110.31</v>
      </c>
      <c r="L9091" s="43">
        <v>7.2051775406681831</v>
      </c>
      <c r="M9091" s="43">
        <v>11.500332181769863</v>
      </c>
      <c r="N9091" s="43">
        <v>5.3742511520737333</v>
      </c>
      <c r="O9091" s="43">
        <v>6.5621653777513389</v>
      </c>
      <c r="P9091" s="223"/>
      <c r="Q9091" s="223"/>
      <c r="R9091" s="223">
        <v>7</v>
      </c>
    </row>
    <row r="9092" spans="1:18" ht="36">
      <c r="A9092" s="219">
        <v>1812</v>
      </c>
      <c r="B9092" s="216" t="s">
        <v>16748</v>
      </c>
      <c r="C9092" s="220" t="s">
        <v>16749</v>
      </c>
      <c r="D9092" s="221">
        <v>687.99</v>
      </c>
      <c r="E9092" s="221">
        <v>194.18</v>
      </c>
      <c r="F9092" s="221">
        <v>461.44</v>
      </c>
      <c r="G9092" s="221">
        <v>32.369999999999997</v>
      </c>
      <c r="H9092" s="222">
        <v>4912.4799999999996</v>
      </c>
      <c r="I9092" s="222">
        <v>2233.17</v>
      </c>
      <c r="J9092" s="222">
        <v>2479.31</v>
      </c>
      <c r="K9092" s="222">
        <v>200</v>
      </c>
      <c r="L9092" s="43">
        <v>7.1403363420979948</v>
      </c>
      <c r="M9092" s="43">
        <v>11.500514986095375</v>
      </c>
      <c r="N9092" s="43">
        <v>5.3729845700416083</v>
      </c>
      <c r="O9092" s="43">
        <v>6.1785603954278656</v>
      </c>
      <c r="P9092" s="223"/>
      <c r="Q9092" s="223"/>
      <c r="R9092" s="223">
        <v>7</v>
      </c>
    </row>
    <row r="9093" spans="1:18" ht="36">
      <c r="A9093" s="219">
        <v>1813</v>
      </c>
      <c r="B9093" s="216" t="s">
        <v>16750</v>
      </c>
      <c r="C9093" s="220" t="s">
        <v>16751</v>
      </c>
      <c r="D9093" s="221">
        <v>806.23</v>
      </c>
      <c r="E9093" s="221">
        <v>219.46</v>
      </c>
      <c r="F9093" s="221">
        <v>549.34</v>
      </c>
      <c r="G9093" s="221">
        <v>37.43</v>
      </c>
      <c r="H9093" s="222">
        <v>5706.71</v>
      </c>
      <c r="I9093" s="222">
        <v>2523.87</v>
      </c>
      <c r="J9093" s="222">
        <v>2952.03</v>
      </c>
      <c r="K9093" s="222">
        <v>230.81</v>
      </c>
      <c r="L9093" s="43">
        <v>7.0782655073614231</v>
      </c>
      <c r="M9093" s="43">
        <v>11.500364531121843</v>
      </c>
      <c r="N9093" s="43">
        <v>5.3737758036917027</v>
      </c>
      <c r="O9093" s="43">
        <v>6.1664440288538609</v>
      </c>
      <c r="P9093" s="223"/>
      <c r="Q9093" s="223"/>
      <c r="R9093" s="223">
        <v>7</v>
      </c>
    </row>
    <row r="9094" spans="1:18" ht="36">
      <c r="A9094" s="219">
        <v>1814</v>
      </c>
      <c r="B9094" s="216" t="s">
        <v>16752</v>
      </c>
      <c r="C9094" s="220" t="s">
        <v>16753</v>
      </c>
      <c r="D9094" s="221">
        <v>991.97</v>
      </c>
      <c r="E9094" s="221">
        <v>263.12</v>
      </c>
      <c r="F9094" s="221">
        <v>665.58</v>
      </c>
      <c r="G9094" s="221">
        <v>63.27</v>
      </c>
      <c r="H9094" s="222">
        <v>6978.5</v>
      </c>
      <c r="I9094" s="222">
        <v>3026.01</v>
      </c>
      <c r="J9094" s="222">
        <v>3576.81</v>
      </c>
      <c r="K9094" s="222">
        <v>375.68</v>
      </c>
      <c r="L9094" s="43">
        <v>7.0349909775497244</v>
      </c>
      <c r="M9094" s="43">
        <v>11.500494071146246</v>
      </c>
      <c r="N9094" s="43">
        <v>5.3739745785630575</v>
      </c>
      <c r="O9094" s="43">
        <v>5.9377272008850959</v>
      </c>
      <c r="P9094" s="223"/>
      <c r="Q9094" s="223"/>
      <c r="R9094" s="223">
        <v>7</v>
      </c>
    </row>
    <row r="9095" spans="1:18" ht="36">
      <c r="A9095" s="219">
        <v>1815</v>
      </c>
      <c r="B9095" s="216" t="s">
        <v>16754</v>
      </c>
      <c r="C9095" s="220" t="s">
        <v>16755</v>
      </c>
      <c r="D9095" s="221">
        <v>1048.42</v>
      </c>
      <c r="E9095" s="221">
        <v>294.14</v>
      </c>
      <c r="F9095" s="221">
        <v>681.49</v>
      </c>
      <c r="G9095" s="221">
        <v>72.790000000000006</v>
      </c>
      <c r="H9095" s="222">
        <v>7476.04</v>
      </c>
      <c r="I9095" s="222">
        <v>3382.78</v>
      </c>
      <c r="J9095" s="222">
        <v>3662.19</v>
      </c>
      <c r="K9095" s="222">
        <v>431.07</v>
      </c>
      <c r="L9095" s="43">
        <v>7.1307682035825328</v>
      </c>
      <c r="M9095" s="43">
        <v>11.50057795607534</v>
      </c>
      <c r="N9095" s="43">
        <v>5.3737985883872108</v>
      </c>
      <c r="O9095" s="43">
        <v>5.9221046847094376</v>
      </c>
      <c r="P9095" s="223"/>
      <c r="Q9095" s="223"/>
      <c r="R9095" s="223">
        <v>7</v>
      </c>
    </row>
    <row r="9096" spans="1:18" ht="36">
      <c r="A9096" s="219">
        <v>1816</v>
      </c>
      <c r="B9096" s="216" t="s">
        <v>16756</v>
      </c>
      <c r="C9096" s="220" t="s">
        <v>16757</v>
      </c>
      <c r="D9096" s="221">
        <v>1271.68</v>
      </c>
      <c r="E9096" s="221">
        <v>357.34</v>
      </c>
      <c r="F9096" s="221">
        <v>825.28</v>
      </c>
      <c r="G9096" s="221">
        <v>89.06</v>
      </c>
      <c r="H9096" s="222">
        <v>9073.36</v>
      </c>
      <c r="I9096" s="222">
        <v>4109.55</v>
      </c>
      <c r="J9096" s="222">
        <v>4436.29</v>
      </c>
      <c r="K9096" s="222">
        <v>527.52</v>
      </c>
      <c r="L9096" s="43">
        <v>7.1349396074484144</v>
      </c>
      <c r="M9096" s="43">
        <v>11.500391783735379</v>
      </c>
      <c r="N9096" s="43">
        <v>5.3754968010856921</v>
      </c>
      <c r="O9096" s="43">
        <v>5.9231978441500113</v>
      </c>
      <c r="P9096" s="223"/>
      <c r="Q9096" s="223"/>
      <c r="R9096" s="223">
        <v>7</v>
      </c>
    </row>
    <row r="9097" spans="1:18" ht="36">
      <c r="A9097" s="219">
        <v>1817</v>
      </c>
      <c r="B9097" s="216" t="s">
        <v>16758</v>
      </c>
      <c r="C9097" s="220" t="s">
        <v>16759</v>
      </c>
      <c r="D9097" s="221">
        <v>1629.18</v>
      </c>
      <c r="E9097" s="221">
        <v>450.41</v>
      </c>
      <c r="F9097" s="221">
        <v>1042.21</v>
      </c>
      <c r="G9097" s="221">
        <v>136.56</v>
      </c>
      <c r="H9097" s="222">
        <v>11577.61</v>
      </c>
      <c r="I9097" s="222">
        <v>5179.8900000000003</v>
      </c>
      <c r="J9097" s="222">
        <v>5602.2</v>
      </c>
      <c r="K9097" s="222">
        <v>795.52</v>
      </c>
      <c r="L9097" s="43">
        <v>7.1064032212524095</v>
      </c>
      <c r="M9097" s="43">
        <v>11.500388534890433</v>
      </c>
      <c r="N9097" s="43">
        <v>5.375308239222421</v>
      </c>
      <c r="O9097" s="43">
        <v>5.825424721734036</v>
      </c>
      <c r="P9097" s="223"/>
      <c r="Q9097" s="223"/>
      <c r="R9097" s="223">
        <v>7</v>
      </c>
    </row>
    <row r="9098" spans="1:18" ht="36">
      <c r="A9098" s="219">
        <v>1818</v>
      </c>
      <c r="B9098" s="216" t="s">
        <v>16760</v>
      </c>
      <c r="C9098" s="220" t="s">
        <v>16761</v>
      </c>
      <c r="D9098" s="221">
        <v>2543.64</v>
      </c>
      <c r="E9098" s="221">
        <v>676.76</v>
      </c>
      <c r="F9098" s="221">
        <v>1630.51</v>
      </c>
      <c r="G9098" s="221">
        <v>236.37</v>
      </c>
      <c r="H9098" s="222">
        <v>17938.71</v>
      </c>
      <c r="I9098" s="222">
        <v>7783.05</v>
      </c>
      <c r="J9098" s="222">
        <v>8768.68</v>
      </c>
      <c r="K9098" s="222">
        <v>1386.98</v>
      </c>
      <c r="L9098" s="43">
        <v>7.0523776949568333</v>
      </c>
      <c r="M9098" s="43">
        <v>11.500458064897453</v>
      </c>
      <c r="N9098" s="43">
        <v>5.3778756340040852</v>
      </c>
      <c r="O9098" s="43">
        <v>5.8678343275373352</v>
      </c>
      <c r="P9098" s="223"/>
      <c r="Q9098" s="223"/>
      <c r="R9098" s="223">
        <v>7</v>
      </c>
    </row>
    <row r="9099" spans="1:18" ht="36">
      <c r="A9099" s="219">
        <v>1819</v>
      </c>
      <c r="B9099" s="216" t="s">
        <v>16762</v>
      </c>
      <c r="C9099" s="220" t="s">
        <v>16763</v>
      </c>
      <c r="D9099" s="221">
        <v>3285.63</v>
      </c>
      <c r="E9099" s="221">
        <v>851.41</v>
      </c>
      <c r="F9099" s="221">
        <v>2140.2600000000002</v>
      </c>
      <c r="G9099" s="221">
        <v>293.95999999999998</v>
      </c>
      <c r="H9099" s="222">
        <v>23030.74</v>
      </c>
      <c r="I9099" s="222">
        <v>9791.57</v>
      </c>
      <c r="J9099" s="222">
        <v>11512.28</v>
      </c>
      <c r="K9099" s="222">
        <v>1726.89</v>
      </c>
      <c r="L9099" s="43">
        <v>7.0095354619966344</v>
      </c>
      <c r="M9099" s="43">
        <v>11.50041695540339</v>
      </c>
      <c r="N9099" s="43">
        <v>5.3789165802285703</v>
      </c>
      <c r="O9099" s="43">
        <v>5.8745747720778345</v>
      </c>
      <c r="P9099" s="223"/>
      <c r="Q9099" s="223"/>
      <c r="R9099" s="223">
        <v>7</v>
      </c>
    </row>
    <row r="9100" spans="1:18" ht="36">
      <c r="A9100" s="219">
        <v>1820</v>
      </c>
      <c r="B9100" s="216" t="s">
        <v>16764</v>
      </c>
      <c r="C9100" s="220" t="s">
        <v>16765</v>
      </c>
      <c r="D9100" s="221">
        <v>4190.1400000000003</v>
      </c>
      <c r="E9100" s="221">
        <v>1076.6099999999999</v>
      </c>
      <c r="F9100" s="221">
        <v>2689.27</v>
      </c>
      <c r="G9100" s="221">
        <v>424.26</v>
      </c>
      <c r="H9100" s="222">
        <v>29306.22</v>
      </c>
      <c r="I9100" s="222">
        <v>12381.52</v>
      </c>
      <c r="J9100" s="222">
        <v>14464.27</v>
      </c>
      <c r="K9100" s="222">
        <v>2460.4299999999998</v>
      </c>
      <c r="L9100" s="43">
        <v>6.9940908895645491</v>
      </c>
      <c r="M9100" s="43">
        <v>11.500469064935308</v>
      </c>
      <c r="N9100" s="43">
        <v>5.3785116407054705</v>
      </c>
      <c r="O9100" s="43">
        <v>5.7993447414321402</v>
      </c>
      <c r="P9100" s="223"/>
      <c r="Q9100" s="223"/>
      <c r="R9100" s="223">
        <v>7</v>
      </c>
    </row>
    <row r="9101" spans="1:18" ht="36">
      <c r="A9101" s="219">
        <v>1821</v>
      </c>
      <c r="B9101" s="216" t="s">
        <v>16766</v>
      </c>
      <c r="C9101" s="220" t="s">
        <v>16767</v>
      </c>
      <c r="D9101" s="221">
        <v>5519.24</v>
      </c>
      <c r="E9101" s="221">
        <v>1286.8800000000001</v>
      </c>
      <c r="F9101" s="221">
        <v>3735.44</v>
      </c>
      <c r="G9101" s="221">
        <v>496.92</v>
      </c>
      <c r="H9101" s="222">
        <v>37773.550000000003</v>
      </c>
      <c r="I9101" s="222">
        <v>14799.68</v>
      </c>
      <c r="J9101" s="222">
        <v>20088.759999999998</v>
      </c>
      <c r="K9101" s="222">
        <v>2885.11</v>
      </c>
      <c r="L9101" s="43">
        <v>6.8439767069379123</v>
      </c>
      <c r="M9101" s="43">
        <v>11.500435161009573</v>
      </c>
      <c r="N9101" s="43">
        <v>5.3778831944831129</v>
      </c>
      <c r="O9101" s="43">
        <v>5.8059848667793608</v>
      </c>
      <c r="P9101" s="223"/>
      <c r="Q9101" s="223"/>
      <c r="R9101" s="223">
        <v>7</v>
      </c>
    </row>
    <row r="9102" spans="1:18" ht="12.75" customHeight="1">
      <c r="A9102" s="628" t="s">
        <v>16768</v>
      </c>
      <c r="B9102" s="629"/>
      <c r="C9102" s="629"/>
      <c r="D9102" s="629"/>
      <c r="E9102" s="629"/>
      <c r="F9102" s="629"/>
      <c r="G9102" s="629"/>
      <c r="H9102" s="629"/>
      <c r="I9102" s="629"/>
      <c r="J9102" s="629"/>
      <c r="K9102" s="629"/>
      <c r="L9102" s="629"/>
      <c r="M9102" s="629"/>
      <c r="N9102" s="629"/>
      <c r="O9102" s="629"/>
      <c r="P9102" s="629"/>
      <c r="Q9102" s="629"/>
      <c r="R9102" s="629"/>
    </row>
    <row r="9103" spans="1:18" ht="36">
      <c r="A9103" s="219">
        <v>1822</v>
      </c>
      <c r="B9103" s="216" t="s">
        <v>16769</v>
      </c>
      <c r="C9103" s="220" t="s">
        <v>16770</v>
      </c>
      <c r="D9103" s="221">
        <v>267.48</v>
      </c>
      <c r="E9103" s="221">
        <v>76.41</v>
      </c>
      <c r="F9103" s="221">
        <v>177.84</v>
      </c>
      <c r="G9103" s="221">
        <v>13.23</v>
      </c>
      <c r="H9103" s="222">
        <v>1891.7</v>
      </c>
      <c r="I9103" s="222">
        <v>878.73</v>
      </c>
      <c r="J9103" s="222">
        <v>956.58</v>
      </c>
      <c r="K9103" s="222">
        <v>56.39</v>
      </c>
      <c r="L9103" s="43">
        <v>7.0723044713623446</v>
      </c>
      <c r="M9103" s="43">
        <v>11.50019630938359</v>
      </c>
      <c r="N9103" s="43">
        <v>5.3788798920377872</v>
      </c>
      <c r="O9103" s="43">
        <v>4.2622826908541196</v>
      </c>
      <c r="P9103" s="223"/>
      <c r="Q9103" s="223"/>
      <c r="R9103" s="223">
        <v>8</v>
      </c>
    </row>
    <row r="9104" spans="1:18" ht="36">
      <c r="A9104" s="219">
        <v>1823</v>
      </c>
      <c r="B9104" s="216" t="s">
        <v>16771</v>
      </c>
      <c r="C9104" s="220" t="s">
        <v>16772</v>
      </c>
      <c r="D9104" s="221">
        <v>313.64</v>
      </c>
      <c r="E9104" s="221">
        <v>85.14</v>
      </c>
      <c r="F9104" s="221">
        <v>212.89</v>
      </c>
      <c r="G9104" s="221">
        <v>15.61</v>
      </c>
      <c r="H9104" s="222">
        <v>2189.4</v>
      </c>
      <c r="I9104" s="222">
        <v>979.16</v>
      </c>
      <c r="J9104" s="222">
        <v>1145.0899999999999</v>
      </c>
      <c r="K9104" s="222">
        <v>65.150000000000006</v>
      </c>
      <c r="L9104" s="43">
        <v>6.9806147175105222</v>
      </c>
      <c r="M9104" s="43">
        <v>11.500587268029127</v>
      </c>
      <c r="N9104" s="43">
        <v>5.3787871670815912</v>
      </c>
      <c r="O9104" s="43">
        <v>4.1736066623959003</v>
      </c>
      <c r="P9104" s="223"/>
      <c r="Q9104" s="223"/>
      <c r="R9104" s="223">
        <v>8</v>
      </c>
    </row>
    <row r="9105" spans="1:18" ht="36">
      <c r="A9105" s="219">
        <v>1824</v>
      </c>
      <c r="B9105" s="216" t="s">
        <v>16773</v>
      </c>
      <c r="C9105" s="220" t="s">
        <v>16774</v>
      </c>
      <c r="D9105" s="221">
        <v>407.29</v>
      </c>
      <c r="E9105" s="221">
        <v>102.72</v>
      </c>
      <c r="F9105" s="221">
        <v>296.93</v>
      </c>
      <c r="G9105" s="221">
        <v>7.64</v>
      </c>
      <c r="H9105" s="222">
        <v>2832.22</v>
      </c>
      <c r="I9105" s="222">
        <v>1181.33</v>
      </c>
      <c r="J9105" s="222">
        <v>1597.12</v>
      </c>
      <c r="K9105" s="222">
        <v>53.77</v>
      </c>
      <c r="L9105" s="43">
        <v>6.9538166908099868</v>
      </c>
      <c r="M9105" s="43">
        <v>11.500486760124611</v>
      </c>
      <c r="N9105" s="43">
        <v>5.3787761425251741</v>
      </c>
      <c r="O9105" s="43">
        <v>7.0379581151832467</v>
      </c>
      <c r="P9105" s="223"/>
      <c r="Q9105" s="223"/>
      <c r="R9105" s="223">
        <v>8</v>
      </c>
    </row>
    <row r="9106" spans="1:18" ht="36">
      <c r="A9106" s="219">
        <v>1825</v>
      </c>
      <c r="B9106" s="216" t="s">
        <v>16775</v>
      </c>
      <c r="C9106" s="220" t="s">
        <v>16776</v>
      </c>
      <c r="D9106" s="221">
        <v>419.77</v>
      </c>
      <c r="E9106" s="221">
        <v>110.19</v>
      </c>
      <c r="F9106" s="221">
        <v>302.72000000000003</v>
      </c>
      <c r="G9106" s="221">
        <v>6.86</v>
      </c>
      <c r="H9106" s="222">
        <v>2946.39</v>
      </c>
      <c r="I9106" s="222">
        <v>1267.22</v>
      </c>
      <c r="J9106" s="222">
        <v>1628.43</v>
      </c>
      <c r="K9106" s="222">
        <v>50.74</v>
      </c>
      <c r="L9106" s="43">
        <v>7.0190580556018771</v>
      </c>
      <c r="M9106" s="43">
        <v>11.500317633179055</v>
      </c>
      <c r="N9106" s="43">
        <v>5.3793274312896404</v>
      </c>
      <c r="O9106" s="43">
        <v>7.3965014577259476</v>
      </c>
      <c r="P9106" s="223"/>
      <c r="Q9106" s="223"/>
      <c r="R9106" s="223">
        <v>8</v>
      </c>
    </row>
    <row r="9107" spans="1:18" ht="36">
      <c r="A9107" s="219">
        <v>1826</v>
      </c>
      <c r="B9107" s="216" t="s">
        <v>16777</v>
      </c>
      <c r="C9107" s="220" t="s">
        <v>16778</v>
      </c>
      <c r="D9107" s="221">
        <v>428.77</v>
      </c>
      <c r="E9107" s="221">
        <v>113.98</v>
      </c>
      <c r="F9107" s="221">
        <v>307.10000000000002</v>
      </c>
      <c r="G9107" s="221">
        <v>7.69</v>
      </c>
      <c r="H9107" s="222">
        <v>3018.86</v>
      </c>
      <c r="I9107" s="222">
        <v>1310.83</v>
      </c>
      <c r="J9107" s="222">
        <v>1652.28</v>
      </c>
      <c r="K9107" s="222">
        <v>55.75</v>
      </c>
      <c r="L9107" s="43">
        <v>7.0407444550691523</v>
      </c>
      <c r="M9107" s="43">
        <v>11.500526408141779</v>
      </c>
      <c r="N9107" s="43">
        <v>5.3802670140019533</v>
      </c>
      <c r="O9107" s="43">
        <v>7.2496749024707405</v>
      </c>
      <c r="P9107" s="223"/>
      <c r="Q9107" s="223"/>
      <c r="R9107" s="223">
        <v>8</v>
      </c>
    </row>
    <row r="9108" spans="1:18" ht="36">
      <c r="A9108" s="219">
        <v>1827</v>
      </c>
      <c r="B9108" s="216" t="s">
        <v>16779</v>
      </c>
      <c r="C9108" s="220" t="s">
        <v>16780</v>
      </c>
      <c r="D9108" s="221">
        <v>614.84</v>
      </c>
      <c r="E9108" s="221">
        <v>156.26</v>
      </c>
      <c r="F9108" s="221">
        <v>448.78</v>
      </c>
      <c r="G9108" s="221">
        <v>9.8000000000000007</v>
      </c>
      <c r="H9108" s="222">
        <v>4284.1000000000004</v>
      </c>
      <c r="I9108" s="222">
        <v>1797.1</v>
      </c>
      <c r="J9108" s="222">
        <v>2414.38</v>
      </c>
      <c r="K9108" s="222">
        <v>72.62</v>
      </c>
      <c r="L9108" s="43">
        <v>6.9678290286903914</v>
      </c>
      <c r="M9108" s="43">
        <v>11.500703954946884</v>
      </c>
      <c r="N9108" s="43">
        <v>5.3798743259503548</v>
      </c>
      <c r="O9108" s="43">
        <v>7.4102040816326529</v>
      </c>
      <c r="P9108" s="223"/>
      <c r="Q9108" s="223"/>
      <c r="R9108" s="223">
        <v>8</v>
      </c>
    </row>
    <row r="9109" spans="1:18" ht="36">
      <c r="A9109" s="219">
        <v>1828</v>
      </c>
      <c r="B9109" s="216" t="s">
        <v>16781</v>
      </c>
      <c r="C9109" s="220" t="s">
        <v>16782</v>
      </c>
      <c r="D9109" s="221">
        <v>645.53</v>
      </c>
      <c r="E9109" s="221">
        <v>168.9</v>
      </c>
      <c r="F9109" s="221">
        <v>459.74</v>
      </c>
      <c r="G9109" s="221">
        <v>16.89</v>
      </c>
      <c r="H9109" s="222">
        <v>4528.58</v>
      </c>
      <c r="I9109" s="222">
        <v>1942.46</v>
      </c>
      <c r="J9109" s="222">
        <v>2473.5500000000002</v>
      </c>
      <c r="K9109" s="222">
        <v>112.57</v>
      </c>
      <c r="L9109" s="43">
        <v>7.0152897619010739</v>
      </c>
      <c r="M9109" s="43">
        <v>11.500651272942569</v>
      </c>
      <c r="N9109" s="43">
        <v>5.3803236611998093</v>
      </c>
      <c r="O9109" s="43">
        <v>6.664890467732385</v>
      </c>
      <c r="P9109" s="223"/>
      <c r="Q9109" s="223"/>
      <c r="R9109" s="223">
        <v>8</v>
      </c>
    </row>
    <row r="9110" spans="1:18" ht="36">
      <c r="A9110" s="219">
        <v>1829</v>
      </c>
      <c r="B9110" s="216" t="s">
        <v>16783</v>
      </c>
      <c r="C9110" s="220" t="s">
        <v>16784</v>
      </c>
      <c r="D9110" s="221">
        <v>820.4</v>
      </c>
      <c r="E9110" s="221">
        <v>199.93</v>
      </c>
      <c r="F9110" s="221">
        <v>599.98</v>
      </c>
      <c r="G9110" s="221">
        <v>20.49</v>
      </c>
      <c r="H9110" s="222">
        <v>5663.35</v>
      </c>
      <c r="I9110" s="222">
        <v>2299.2399999999998</v>
      </c>
      <c r="J9110" s="222">
        <v>3228.14</v>
      </c>
      <c r="K9110" s="222">
        <v>135.97</v>
      </c>
      <c r="L9110" s="43">
        <v>6.9031569965870316</v>
      </c>
      <c r="M9110" s="43">
        <v>11.500225078777571</v>
      </c>
      <c r="N9110" s="43">
        <v>5.3804126804226806</v>
      </c>
      <c r="O9110" s="43">
        <v>6.6359199609565644</v>
      </c>
      <c r="P9110" s="223"/>
      <c r="Q9110" s="223"/>
      <c r="R9110" s="223">
        <v>8</v>
      </c>
    </row>
    <row r="9111" spans="1:18" ht="36">
      <c r="A9111" s="219">
        <v>1830</v>
      </c>
      <c r="B9111" s="216" t="s">
        <v>16785</v>
      </c>
      <c r="C9111" s="220" t="s">
        <v>16786</v>
      </c>
      <c r="D9111" s="221">
        <v>1064.58</v>
      </c>
      <c r="E9111" s="221">
        <v>257.38</v>
      </c>
      <c r="F9111" s="221">
        <v>768.05</v>
      </c>
      <c r="G9111" s="221">
        <v>39.15</v>
      </c>
      <c r="H9111" s="222">
        <v>7336.15</v>
      </c>
      <c r="I9111" s="222">
        <v>2959.94</v>
      </c>
      <c r="J9111" s="222">
        <v>4132.91</v>
      </c>
      <c r="K9111" s="222">
        <v>243.3</v>
      </c>
      <c r="L9111" s="43">
        <v>6.8911213812019767</v>
      </c>
      <c r="M9111" s="43">
        <v>11.50027197140415</v>
      </c>
      <c r="N9111" s="43">
        <v>5.3810429008528091</v>
      </c>
      <c r="O9111" s="43">
        <v>6.214559386973181</v>
      </c>
      <c r="P9111" s="223"/>
      <c r="Q9111" s="223"/>
      <c r="R9111" s="223">
        <v>8</v>
      </c>
    </row>
    <row r="9112" spans="1:18" ht="36">
      <c r="A9112" s="219">
        <v>1831</v>
      </c>
      <c r="B9112" s="216" t="s">
        <v>16787</v>
      </c>
      <c r="C9112" s="220" t="s">
        <v>16788</v>
      </c>
      <c r="D9112" s="221">
        <v>1302.8399999999999</v>
      </c>
      <c r="E9112" s="221">
        <v>313.68</v>
      </c>
      <c r="F9112" s="221">
        <v>940.95</v>
      </c>
      <c r="G9112" s="221">
        <v>48.21</v>
      </c>
      <c r="H9112" s="222">
        <v>8971.56</v>
      </c>
      <c r="I9112" s="222">
        <v>3607.42</v>
      </c>
      <c r="J9112" s="222">
        <v>5063.3500000000004</v>
      </c>
      <c r="K9112" s="222">
        <v>300.79000000000002</v>
      </c>
      <c r="L9112" s="43">
        <v>6.8861563967946946</v>
      </c>
      <c r="M9112" s="43">
        <v>11.500318796225452</v>
      </c>
      <c r="N9112" s="43">
        <v>5.3811042031988947</v>
      </c>
      <c r="O9112" s="43">
        <v>6.2391619995851491</v>
      </c>
      <c r="P9112" s="223"/>
      <c r="Q9112" s="223"/>
      <c r="R9112" s="223">
        <v>8</v>
      </c>
    </row>
    <row r="9113" spans="1:18" ht="36">
      <c r="A9113" s="219">
        <v>1832</v>
      </c>
      <c r="B9113" s="216" t="s">
        <v>16789</v>
      </c>
      <c r="C9113" s="220" t="s">
        <v>16790</v>
      </c>
      <c r="D9113" s="221">
        <v>1576.47</v>
      </c>
      <c r="E9113" s="221">
        <v>369.98</v>
      </c>
      <c r="F9113" s="221">
        <v>1116.1099999999999</v>
      </c>
      <c r="G9113" s="221">
        <v>90.38</v>
      </c>
      <c r="H9113" s="222">
        <v>10796.54</v>
      </c>
      <c r="I9113" s="222">
        <v>4254.91</v>
      </c>
      <c r="J9113" s="222">
        <v>6006.6</v>
      </c>
      <c r="K9113" s="222">
        <v>535.03</v>
      </c>
      <c r="L9113" s="43">
        <v>6.8485540479679292</v>
      </c>
      <c r="M9113" s="43">
        <v>11.500378398832368</v>
      </c>
      <c r="N9113" s="43">
        <v>5.381727607493886</v>
      </c>
      <c r="O9113" s="43">
        <v>5.9197831378623587</v>
      </c>
      <c r="P9113" s="223"/>
      <c r="Q9113" s="223"/>
      <c r="R9113" s="223">
        <v>8</v>
      </c>
    </row>
    <row r="9114" spans="1:18" ht="36">
      <c r="A9114" s="219">
        <v>1833</v>
      </c>
      <c r="B9114" s="216" t="s">
        <v>16791</v>
      </c>
      <c r="C9114" s="220" t="s">
        <v>16792</v>
      </c>
      <c r="D9114" s="221">
        <v>1745.18</v>
      </c>
      <c r="E9114" s="221">
        <v>401</v>
      </c>
      <c r="F9114" s="221">
        <v>1239.83</v>
      </c>
      <c r="G9114" s="221">
        <v>104.35</v>
      </c>
      <c r="H9114" s="222">
        <v>11899.03</v>
      </c>
      <c r="I9114" s="222">
        <v>4611.6899999999996</v>
      </c>
      <c r="J9114" s="222">
        <v>6672.75</v>
      </c>
      <c r="K9114" s="222">
        <v>614.59</v>
      </c>
      <c r="L9114" s="43">
        <v>6.818225054149142</v>
      </c>
      <c r="M9114" s="43">
        <v>11.500473815461346</v>
      </c>
      <c r="N9114" s="43">
        <v>5.3819878531734195</v>
      </c>
      <c r="O9114" s="43">
        <v>5.8896981312889318</v>
      </c>
      <c r="P9114" s="223"/>
      <c r="Q9114" s="223"/>
      <c r="R9114" s="223">
        <v>8</v>
      </c>
    </row>
    <row r="9115" spans="1:18" ht="36">
      <c r="A9115" s="219">
        <v>1834</v>
      </c>
      <c r="B9115" s="216" t="s">
        <v>16793</v>
      </c>
      <c r="C9115" s="220" t="s">
        <v>16794</v>
      </c>
      <c r="D9115" s="221">
        <v>2154.65</v>
      </c>
      <c r="E9115" s="221">
        <v>482.58</v>
      </c>
      <c r="F9115" s="221">
        <v>1522.31</v>
      </c>
      <c r="G9115" s="221">
        <v>149.76</v>
      </c>
      <c r="H9115" s="222">
        <v>14617.74</v>
      </c>
      <c r="I9115" s="222">
        <v>5549.88</v>
      </c>
      <c r="J9115" s="222">
        <v>8191.5</v>
      </c>
      <c r="K9115" s="222">
        <v>876.36</v>
      </c>
      <c r="L9115" s="43">
        <v>6.7842758684705169</v>
      </c>
      <c r="M9115" s="43">
        <v>11.500435161009575</v>
      </c>
      <c r="N9115" s="43">
        <v>5.3809670829200362</v>
      </c>
      <c r="O9115" s="43">
        <v>5.8517628205128212</v>
      </c>
      <c r="P9115" s="223"/>
      <c r="Q9115" s="223"/>
      <c r="R9115" s="223">
        <v>8</v>
      </c>
    </row>
    <row r="9116" spans="1:18" ht="36">
      <c r="A9116" s="219">
        <v>1835</v>
      </c>
      <c r="B9116" s="216" t="s">
        <v>16795</v>
      </c>
      <c r="C9116" s="220" t="s">
        <v>16796</v>
      </c>
      <c r="D9116" s="221">
        <v>2386.42</v>
      </c>
      <c r="E9116" s="221">
        <v>582.54</v>
      </c>
      <c r="F9116" s="221">
        <v>1619.02</v>
      </c>
      <c r="G9116" s="221">
        <v>184.86</v>
      </c>
      <c r="H9116" s="222">
        <v>16491.02</v>
      </c>
      <c r="I9116" s="222">
        <v>6699.5</v>
      </c>
      <c r="J9116" s="222">
        <v>8715.5400000000009</v>
      </c>
      <c r="K9116" s="222">
        <v>1075.98</v>
      </c>
      <c r="L9116" s="43">
        <v>6.9103594505577393</v>
      </c>
      <c r="M9116" s="43">
        <v>11.500497819892196</v>
      </c>
      <c r="N9116" s="43">
        <v>5.3832194784499272</v>
      </c>
      <c r="O9116" s="43">
        <v>5.8205128205128203</v>
      </c>
      <c r="P9116" s="223"/>
      <c r="Q9116" s="223"/>
      <c r="R9116" s="223">
        <v>8</v>
      </c>
    </row>
    <row r="9117" spans="1:18" ht="12.75" customHeight="1">
      <c r="A9117" s="628" t="s">
        <v>16797</v>
      </c>
      <c r="B9117" s="629"/>
      <c r="C9117" s="629"/>
      <c r="D9117" s="629"/>
      <c r="E9117" s="629"/>
      <c r="F9117" s="629"/>
      <c r="G9117" s="629"/>
      <c r="H9117" s="629"/>
      <c r="I9117" s="629"/>
      <c r="J9117" s="629"/>
      <c r="K9117" s="629"/>
      <c r="L9117" s="629"/>
      <c r="M9117" s="629"/>
      <c r="N9117" s="629"/>
      <c r="O9117" s="629"/>
      <c r="P9117" s="629"/>
      <c r="Q9117" s="629"/>
      <c r="R9117" s="629"/>
    </row>
    <row r="9118" spans="1:18" ht="36">
      <c r="A9118" s="219">
        <v>1836</v>
      </c>
      <c r="B9118" s="216" t="s">
        <v>16798</v>
      </c>
      <c r="C9118" s="220" t="s">
        <v>16799</v>
      </c>
      <c r="D9118" s="221">
        <v>61.69</v>
      </c>
      <c r="E9118" s="221">
        <v>54</v>
      </c>
      <c r="F9118" s="221">
        <v>3.78</v>
      </c>
      <c r="G9118" s="221">
        <v>3.91</v>
      </c>
      <c r="H9118" s="222">
        <v>663.54</v>
      </c>
      <c r="I9118" s="222">
        <v>621.05999999999995</v>
      </c>
      <c r="J9118" s="222">
        <v>20.04</v>
      </c>
      <c r="K9118" s="222">
        <v>22.44</v>
      </c>
      <c r="L9118" s="43">
        <v>10.756038255795104</v>
      </c>
      <c r="M9118" s="43">
        <v>11.50111111111111</v>
      </c>
      <c r="N9118" s="43">
        <v>5.3015873015873014</v>
      </c>
      <c r="O9118" s="43">
        <v>5.7391304347826084</v>
      </c>
      <c r="P9118" s="223"/>
      <c r="Q9118" s="223"/>
      <c r="R9118" s="223">
        <v>9</v>
      </c>
    </row>
    <row r="9119" spans="1:18" ht="36">
      <c r="A9119" s="219">
        <v>1837</v>
      </c>
      <c r="B9119" s="216" t="s">
        <v>16800</v>
      </c>
      <c r="C9119" s="220" t="s">
        <v>16801</v>
      </c>
      <c r="D9119" s="221">
        <v>65.349999999999994</v>
      </c>
      <c r="E9119" s="221">
        <v>55.15</v>
      </c>
      <c r="F9119" s="221">
        <v>4.93</v>
      </c>
      <c r="G9119" s="221">
        <v>5.27</v>
      </c>
      <c r="H9119" s="222">
        <v>686.8</v>
      </c>
      <c r="I9119" s="222">
        <v>634.27</v>
      </c>
      <c r="J9119" s="222">
        <v>26.1</v>
      </c>
      <c r="K9119" s="222">
        <v>26.43</v>
      </c>
      <c r="L9119" s="43">
        <v>10.509563886763582</v>
      </c>
      <c r="M9119" s="43">
        <v>11.50081595648232</v>
      </c>
      <c r="N9119" s="43">
        <v>5.2941176470588243</v>
      </c>
      <c r="O9119" s="43">
        <v>5.0151802656546494</v>
      </c>
      <c r="P9119" s="223"/>
      <c r="Q9119" s="223"/>
      <c r="R9119" s="223">
        <v>9</v>
      </c>
    </row>
    <row r="9120" spans="1:18" ht="36">
      <c r="A9120" s="219">
        <v>1838</v>
      </c>
      <c r="B9120" s="216" t="s">
        <v>16802</v>
      </c>
      <c r="C9120" s="220" t="s">
        <v>16803</v>
      </c>
      <c r="D9120" s="221">
        <v>67.03</v>
      </c>
      <c r="E9120" s="221">
        <v>55.15</v>
      </c>
      <c r="F9120" s="221">
        <v>4.93</v>
      </c>
      <c r="G9120" s="221">
        <v>6.95</v>
      </c>
      <c r="H9120" s="222">
        <v>692.44</v>
      </c>
      <c r="I9120" s="222">
        <v>634.27</v>
      </c>
      <c r="J9120" s="222">
        <v>26.1</v>
      </c>
      <c r="K9120" s="222">
        <v>32.07</v>
      </c>
      <c r="L9120" s="43">
        <v>10.330299865731762</v>
      </c>
      <c r="M9120" s="43">
        <v>11.50081595648232</v>
      </c>
      <c r="N9120" s="43">
        <v>5.2941176470588243</v>
      </c>
      <c r="O9120" s="43">
        <v>4.6143884892086326</v>
      </c>
      <c r="P9120" s="223"/>
      <c r="Q9120" s="223"/>
      <c r="R9120" s="223">
        <v>9</v>
      </c>
    </row>
    <row r="9121" spans="1:18" ht="36">
      <c r="A9121" s="219">
        <v>1839</v>
      </c>
      <c r="B9121" s="216" t="s">
        <v>16804</v>
      </c>
      <c r="C9121" s="220" t="s">
        <v>16805</v>
      </c>
      <c r="D9121" s="221">
        <v>68.75</v>
      </c>
      <c r="E9121" s="221">
        <v>55.15</v>
      </c>
      <c r="F9121" s="221">
        <v>4.93</v>
      </c>
      <c r="G9121" s="221">
        <v>8.67</v>
      </c>
      <c r="H9121" s="222">
        <v>698.34</v>
      </c>
      <c r="I9121" s="222">
        <v>634.27</v>
      </c>
      <c r="J9121" s="222">
        <v>26.1</v>
      </c>
      <c r="K9121" s="222">
        <v>37.97</v>
      </c>
      <c r="L9121" s="43">
        <v>10.157672727272727</v>
      </c>
      <c r="M9121" s="43">
        <v>11.50081595648232</v>
      </c>
      <c r="N9121" s="43">
        <v>5.2941176470588243</v>
      </c>
      <c r="O9121" s="43">
        <v>4.3794694348327567</v>
      </c>
      <c r="P9121" s="223"/>
      <c r="Q9121" s="223"/>
      <c r="R9121" s="223">
        <v>9</v>
      </c>
    </row>
    <row r="9122" spans="1:18" ht="36">
      <c r="A9122" s="219">
        <v>1840</v>
      </c>
      <c r="B9122" s="216" t="s">
        <v>16806</v>
      </c>
      <c r="C9122" s="220" t="s">
        <v>16807</v>
      </c>
      <c r="D9122" s="221">
        <v>73.319999999999993</v>
      </c>
      <c r="E9122" s="221">
        <v>55.15</v>
      </c>
      <c r="F9122" s="221">
        <v>5.37</v>
      </c>
      <c r="G9122" s="221">
        <v>12.8</v>
      </c>
      <c r="H9122" s="222">
        <v>714.14</v>
      </c>
      <c r="I9122" s="222">
        <v>634.27</v>
      </c>
      <c r="J9122" s="222">
        <v>28.43</v>
      </c>
      <c r="K9122" s="222">
        <v>51.44</v>
      </c>
      <c r="L9122" s="43">
        <v>9.7400436442989644</v>
      </c>
      <c r="M9122" s="43">
        <v>11.50081595648232</v>
      </c>
      <c r="N9122" s="43">
        <v>5.2942271880819369</v>
      </c>
      <c r="O9122" s="43">
        <v>4.0187499999999998</v>
      </c>
      <c r="P9122" s="223"/>
      <c r="Q9122" s="223"/>
      <c r="R9122" s="223">
        <v>9</v>
      </c>
    </row>
    <row r="9123" spans="1:18" ht="36">
      <c r="A9123" s="219">
        <v>1841</v>
      </c>
      <c r="B9123" s="216" t="s">
        <v>16808</v>
      </c>
      <c r="C9123" s="220" t="s">
        <v>16809</v>
      </c>
      <c r="D9123" s="221">
        <v>83.36</v>
      </c>
      <c r="E9123" s="221">
        <v>62.05</v>
      </c>
      <c r="F9123" s="221">
        <v>6.16</v>
      </c>
      <c r="G9123" s="221">
        <v>15.15</v>
      </c>
      <c r="H9123" s="222">
        <v>806.05</v>
      </c>
      <c r="I9123" s="222">
        <v>713.56</v>
      </c>
      <c r="J9123" s="222">
        <v>32.630000000000003</v>
      </c>
      <c r="K9123" s="222">
        <v>59.86</v>
      </c>
      <c r="L9123" s="43">
        <v>9.6695057581573884</v>
      </c>
      <c r="M9123" s="43">
        <v>11.499758259468171</v>
      </c>
      <c r="N9123" s="43">
        <v>5.2970779220779223</v>
      </c>
      <c r="O9123" s="43">
        <v>3.951155115511551</v>
      </c>
      <c r="P9123" s="223"/>
      <c r="Q9123" s="223"/>
      <c r="R9123" s="223">
        <v>9</v>
      </c>
    </row>
    <row r="9124" spans="1:18" ht="36">
      <c r="A9124" s="219">
        <v>1842</v>
      </c>
      <c r="B9124" s="216" t="s">
        <v>16810</v>
      </c>
      <c r="C9124" s="220" t="s">
        <v>16811</v>
      </c>
      <c r="D9124" s="221">
        <v>92.62</v>
      </c>
      <c r="E9124" s="221">
        <v>79.28</v>
      </c>
      <c r="F9124" s="221">
        <v>6.16</v>
      </c>
      <c r="G9124" s="221">
        <v>7.18</v>
      </c>
      <c r="H9124" s="222">
        <v>992.88</v>
      </c>
      <c r="I9124" s="222">
        <v>911.77</v>
      </c>
      <c r="J9124" s="222">
        <v>32.630000000000003</v>
      </c>
      <c r="K9124" s="222">
        <v>48.48</v>
      </c>
      <c r="L9124" s="43">
        <v>10.719930900453464</v>
      </c>
      <c r="M9124" s="43">
        <v>11.500630676084763</v>
      </c>
      <c r="N9124" s="43">
        <v>5.2970779220779223</v>
      </c>
      <c r="O9124" s="43">
        <v>6.7520891364902509</v>
      </c>
      <c r="P9124" s="223"/>
      <c r="Q9124" s="223"/>
      <c r="R9124" s="223">
        <v>9</v>
      </c>
    </row>
    <row r="9125" spans="1:18" ht="36">
      <c r="A9125" s="219">
        <v>1843</v>
      </c>
      <c r="B9125" s="216" t="s">
        <v>16812</v>
      </c>
      <c r="C9125" s="220" t="s">
        <v>16813</v>
      </c>
      <c r="D9125" s="221">
        <v>101.33</v>
      </c>
      <c r="E9125" s="221">
        <v>85.03</v>
      </c>
      <c r="F9125" s="221">
        <v>9.94</v>
      </c>
      <c r="G9125" s="221">
        <v>6.36</v>
      </c>
      <c r="H9125" s="222">
        <v>1075.69</v>
      </c>
      <c r="I9125" s="222">
        <v>977.84</v>
      </c>
      <c r="J9125" s="222">
        <v>52.86</v>
      </c>
      <c r="K9125" s="222">
        <v>44.99</v>
      </c>
      <c r="L9125" s="43">
        <v>10.615711043126419</v>
      </c>
      <c r="M9125" s="43">
        <v>11.499941197224508</v>
      </c>
      <c r="N9125" s="43">
        <v>5.3179074446680081</v>
      </c>
      <c r="O9125" s="43">
        <v>7.0738993710691824</v>
      </c>
      <c r="P9125" s="223"/>
      <c r="Q9125" s="223"/>
      <c r="R9125" s="223">
        <v>9</v>
      </c>
    </row>
    <row r="9126" spans="1:18" ht="36">
      <c r="A9126" s="219">
        <v>1844</v>
      </c>
      <c r="B9126" s="216" t="s">
        <v>16814</v>
      </c>
      <c r="C9126" s="220" t="s">
        <v>16815</v>
      </c>
      <c r="D9126" s="221">
        <v>105.74</v>
      </c>
      <c r="E9126" s="221">
        <v>87.32</v>
      </c>
      <c r="F9126" s="221">
        <v>11.26</v>
      </c>
      <c r="G9126" s="221">
        <v>7.16</v>
      </c>
      <c r="H9126" s="222">
        <v>1113.77</v>
      </c>
      <c r="I9126" s="222">
        <v>1004.26</v>
      </c>
      <c r="J9126" s="222">
        <v>59.85</v>
      </c>
      <c r="K9126" s="222">
        <v>49.66</v>
      </c>
      <c r="L9126" s="43">
        <v>10.533100056742954</v>
      </c>
      <c r="M9126" s="43">
        <v>11.500916170407697</v>
      </c>
      <c r="N9126" s="43">
        <v>5.3152753108348136</v>
      </c>
      <c r="O9126" s="43">
        <v>6.9357541899441335</v>
      </c>
      <c r="P9126" s="223"/>
      <c r="Q9126" s="223"/>
      <c r="R9126" s="223">
        <v>9</v>
      </c>
    </row>
    <row r="9127" spans="1:18" ht="12.75" customHeight="1">
      <c r="A9127" s="628" t="s">
        <v>16816</v>
      </c>
      <c r="B9127" s="629"/>
      <c r="C9127" s="629"/>
      <c r="D9127" s="629"/>
      <c r="E9127" s="629"/>
      <c r="F9127" s="629"/>
      <c r="G9127" s="629"/>
      <c r="H9127" s="629"/>
      <c r="I9127" s="629"/>
      <c r="J9127" s="629"/>
      <c r="K9127" s="629"/>
      <c r="L9127" s="629"/>
      <c r="M9127" s="629"/>
      <c r="N9127" s="629"/>
      <c r="O9127" s="629"/>
      <c r="P9127" s="629"/>
      <c r="Q9127" s="629"/>
      <c r="R9127" s="629"/>
    </row>
    <row r="9128" spans="1:18" ht="12.75" customHeight="1">
      <c r="A9128" s="628" t="s">
        <v>16817</v>
      </c>
      <c r="B9128" s="629"/>
      <c r="C9128" s="629"/>
      <c r="D9128" s="629"/>
      <c r="E9128" s="629"/>
      <c r="F9128" s="629"/>
      <c r="G9128" s="629"/>
      <c r="H9128" s="629"/>
      <c r="I9128" s="629"/>
      <c r="J9128" s="629"/>
      <c r="K9128" s="629"/>
      <c r="L9128" s="629"/>
      <c r="M9128" s="629"/>
      <c r="N9128" s="629"/>
      <c r="O9128" s="629"/>
      <c r="P9128" s="629"/>
      <c r="Q9128" s="629"/>
      <c r="R9128" s="629"/>
    </row>
    <row r="9129" spans="1:18" ht="36">
      <c r="A9129" s="219">
        <v>1845</v>
      </c>
      <c r="B9129" s="216" t="s">
        <v>16818</v>
      </c>
      <c r="C9129" s="220" t="s">
        <v>16819</v>
      </c>
      <c r="D9129" s="221">
        <v>992.52</v>
      </c>
      <c r="E9129" s="221">
        <v>258.52999999999997</v>
      </c>
      <c r="F9129" s="221">
        <v>637.28</v>
      </c>
      <c r="G9129" s="221">
        <v>96.71</v>
      </c>
      <c r="H9129" s="222">
        <v>6980.88</v>
      </c>
      <c r="I9129" s="222">
        <v>2973.15</v>
      </c>
      <c r="J9129" s="222">
        <v>3460.45</v>
      </c>
      <c r="K9129" s="222">
        <v>547.28</v>
      </c>
      <c r="L9129" s="43">
        <v>7.0334905090073754</v>
      </c>
      <c r="M9129" s="43">
        <v>11.500212741267939</v>
      </c>
      <c r="N9129" s="43">
        <v>5.4300307557117753</v>
      </c>
      <c r="O9129" s="43">
        <v>5.6589804570365008</v>
      </c>
      <c r="P9129" s="223"/>
      <c r="Q9129" s="223"/>
      <c r="R9129" s="223">
        <v>1</v>
      </c>
    </row>
    <row r="9130" spans="1:18" ht="36">
      <c r="A9130" s="219">
        <v>1846</v>
      </c>
      <c r="B9130" s="216" t="s">
        <v>16820</v>
      </c>
      <c r="C9130" s="220" t="s">
        <v>16821</v>
      </c>
      <c r="D9130" s="221">
        <v>1230.33</v>
      </c>
      <c r="E9130" s="221">
        <v>324.02</v>
      </c>
      <c r="F9130" s="221">
        <v>782.14</v>
      </c>
      <c r="G9130" s="221">
        <v>124.17</v>
      </c>
      <c r="H9130" s="222">
        <v>8672.4599999999991</v>
      </c>
      <c r="I9130" s="222">
        <v>3726.35</v>
      </c>
      <c r="J9130" s="222">
        <v>4244.3900000000003</v>
      </c>
      <c r="K9130" s="222">
        <v>701.72</v>
      </c>
      <c r="L9130" s="43">
        <v>7.0488893223769233</v>
      </c>
      <c r="M9130" s="43">
        <v>11.500370347509413</v>
      </c>
      <c r="N9130" s="43">
        <v>5.4266371749303195</v>
      </c>
      <c r="O9130" s="43">
        <v>5.6512845292743821</v>
      </c>
      <c r="P9130" s="223"/>
      <c r="Q9130" s="223"/>
      <c r="R9130" s="223">
        <v>1</v>
      </c>
    </row>
    <row r="9131" spans="1:18" ht="12.75" customHeight="1">
      <c r="A9131" s="628" t="s">
        <v>16822</v>
      </c>
      <c r="B9131" s="629"/>
      <c r="C9131" s="629"/>
      <c r="D9131" s="629"/>
      <c r="E9131" s="629"/>
      <c r="F9131" s="629"/>
      <c r="G9131" s="629"/>
      <c r="H9131" s="629"/>
      <c r="I9131" s="629"/>
      <c r="J9131" s="629"/>
      <c r="K9131" s="629"/>
      <c r="L9131" s="629"/>
      <c r="M9131" s="629"/>
      <c r="N9131" s="629"/>
      <c r="O9131" s="629"/>
      <c r="P9131" s="629"/>
      <c r="Q9131" s="629"/>
      <c r="R9131" s="629"/>
    </row>
    <row r="9132" spans="1:18" ht="36">
      <c r="A9132" s="219">
        <v>1847</v>
      </c>
      <c r="B9132" s="216" t="s">
        <v>16823</v>
      </c>
      <c r="C9132" s="220" t="s">
        <v>16824</v>
      </c>
      <c r="D9132" s="221">
        <v>14074.13</v>
      </c>
      <c r="E9132" s="221">
        <v>3619.35</v>
      </c>
      <c r="F9132" s="221">
        <v>9485.2999999999993</v>
      </c>
      <c r="G9132" s="221">
        <v>969.48</v>
      </c>
      <c r="H9132" s="222">
        <v>99003.34</v>
      </c>
      <c r="I9132" s="222">
        <v>41624.1</v>
      </c>
      <c r="J9132" s="222">
        <v>51766.12</v>
      </c>
      <c r="K9132" s="222">
        <v>5613.12</v>
      </c>
      <c r="L9132" s="43">
        <v>7.0344198895420185</v>
      </c>
      <c r="M9132" s="43">
        <v>11.500435161009573</v>
      </c>
      <c r="N9132" s="43">
        <v>5.4575100418542384</v>
      </c>
      <c r="O9132" s="43">
        <v>5.7898254734496843</v>
      </c>
      <c r="P9132" s="223"/>
      <c r="Q9132" s="223"/>
      <c r="R9132" s="223">
        <v>2</v>
      </c>
    </row>
    <row r="9133" spans="1:18" ht="36">
      <c r="A9133" s="219">
        <v>1848</v>
      </c>
      <c r="B9133" s="216" t="s">
        <v>16825</v>
      </c>
      <c r="C9133" s="220" t="s">
        <v>16826</v>
      </c>
      <c r="D9133" s="221">
        <v>16982.36</v>
      </c>
      <c r="E9133" s="221">
        <v>4274.28</v>
      </c>
      <c r="F9133" s="221">
        <v>11508.42</v>
      </c>
      <c r="G9133" s="221">
        <v>1199.6600000000001</v>
      </c>
      <c r="H9133" s="222">
        <v>118773.31</v>
      </c>
      <c r="I9133" s="222">
        <v>49156.08</v>
      </c>
      <c r="J9133" s="222">
        <v>62696.63</v>
      </c>
      <c r="K9133" s="222">
        <v>6920.6</v>
      </c>
      <c r="L9133" s="43">
        <v>6.9939225172473076</v>
      </c>
      <c r="M9133" s="43">
        <v>11.500435161009575</v>
      </c>
      <c r="N9133" s="43">
        <v>5.4478920651140639</v>
      </c>
      <c r="O9133" s="43">
        <v>5.7688011603287599</v>
      </c>
      <c r="P9133" s="223"/>
      <c r="Q9133" s="223"/>
      <c r="R9133" s="223">
        <v>2</v>
      </c>
    </row>
    <row r="9134" spans="1:18" ht="36">
      <c r="A9134" s="219">
        <v>1849</v>
      </c>
      <c r="B9134" s="216" t="s">
        <v>16827</v>
      </c>
      <c r="C9134" s="220" t="s">
        <v>16828</v>
      </c>
      <c r="D9134" s="221">
        <v>41053.879999999997</v>
      </c>
      <c r="E9134" s="221">
        <v>8778.36</v>
      </c>
      <c r="F9134" s="221">
        <v>29798.38</v>
      </c>
      <c r="G9134" s="221">
        <v>2477.14</v>
      </c>
      <c r="H9134" s="222">
        <v>277120.13</v>
      </c>
      <c r="I9134" s="222">
        <v>100954.96</v>
      </c>
      <c r="J9134" s="222">
        <v>161880.93</v>
      </c>
      <c r="K9134" s="222">
        <v>14284.24</v>
      </c>
      <c r="L9134" s="43">
        <v>6.750156867024506</v>
      </c>
      <c r="M9134" s="43">
        <v>11.500435161009573</v>
      </c>
      <c r="N9134" s="43">
        <v>5.4325412992249911</v>
      </c>
      <c r="O9134" s="43">
        <v>5.7664241827268548</v>
      </c>
      <c r="P9134" s="223"/>
      <c r="Q9134" s="223"/>
      <c r="R9134" s="223">
        <v>2</v>
      </c>
    </row>
    <row r="9135" spans="1:18" ht="36">
      <c r="A9135" s="219">
        <v>1850</v>
      </c>
      <c r="B9135" s="216" t="s">
        <v>16829</v>
      </c>
      <c r="C9135" s="220" t="s">
        <v>16830</v>
      </c>
      <c r="D9135" s="221">
        <v>52408.800000000003</v>
      </c>
      <c r="E9135" s="221">
        <v>13328.4</v>
      </c>
      <c r="F9135" s="221">
        <v>34916.85</v>
      </c>
      <c r="G9135" s="221">
        <v>4163.55</v>
      </c>
      <c r="H9135" s="222">
        <v>367194.17</v>
      </c>
      <c r="I9135" s="222">
        <v>153282.4</v>
      </c>
      <c r="J9135" s="222">
        <v>190079.03</v>
      </c>
      <c r="K9135" s="222">
        <v>23832.74</v>
      </c>
      <c r="L9135" s="43">
        <v>7.0063456900367873</v>
      </c>
      <c r="M9135" s="43">
        <v>11.500435161009573</v>
      </c>
      <c r="N9135" s="43">
        <v>5.443762252322303</v>
      </c>
      <c r="O9135" s="43">
        <v>5.7241392561636104</v>
      </c>
      <c r="P9135" s="223"/>
      <c r="Q9135" s="223"/>
      <c r="R9135" s="223">
        <v>2</v>
      </c>
    </row>
    <row r="9136" spans="1:18" ht="36">
      <c r="A9136" s="219">
        <v>1851</v>
      </c>
      <c r="B9136" s="216" t="s">
        <v>16831</v>
      </c>
      <c r="C9136" s="220" t="s">
        <v>16832</v>
      </c>
      <c r="D9136" s="221">
        <v>62721.78</v>
      </c>
      <c r="E9136" s="221">
        <v>16545.599999999999</v>
      </c>
      <c r="F9136" s="221">
        <v>40695.5</v>
      </c>
      <c r="G9136" s="221">
        <v>5480.68</v>
      </c>
      <c r="H9136" s="222">
        <v>442028.58</v>
      </c>
      <c r="I9136" s="222">
        <v>190281.60000000001</v>
      </c>
      <c r="J9136" s="222">
        <v>220498.17</v>
      </c>
      <c r="K9136" s="222">
        <v>31248.81</v>
      </c>
      <c r="L9136" s="43">
        <v>7.0474495462341791</v>
      </c>
      <c r="M9136" s="43">
        <v>11.500435161009575</v>
      </c>
      <c r="N9136" s="43">
        <v>5.4182445233502481</v>
      </c>
      <c r="O9136" s="43">
        <v>5.7016300896968986</v>
      </c>
      <c r="P9136" s="223"/>
      <c r="Q9136" s="223"/>
      <c r="R9136" s="223">
        <v>2</v>
      </c>
    </row>
    <row r="9137" spans="1:18" ht="36">
      <c r="A9137" s="219">
        <v>1852</v>
      </c>
      <c r="B9137" s="216" t="s">
        <v>16833</v>
      </c>
      <c r="C9137" s="220" t="s">
        <v>16834</v>
      </c>
      <c r="D9137" s="221">
        <v>80776.36</v>
      </c>
      <c r="E9137" s="221">
        <v>20796.900000000001</v>
      </c>
      <c r="F9137" s="221">
        <v>50906.47</v>
      </c>
      <c r="G9137" s="221">
        <v>9072.99</v>
      </c>
      <c r="H9137" s="222">
        <v>566563.85</v>
      </c>
      <c r="I9137" s="222">
        <v>239173.4</v>
      </c>
      <c r="J9137" s="222">
        <v>276473.34999999998</v>
      </c>
      <c r="K9137" s="222">
        <v>50917.1</v>
      </c>
      <c r="L9137" s="43">
        <v>7.0139809469008005</v>
      </c>
      <c r="M9137" s="43">
        <v>11.500435161009573</v>
      </c>
      <c r="N9137" s="43">
        <v>5.4310061176899511</v>
      </c>
      <c r="O9137" s="43">
        <v>5.6119427002564759</v>
      </c>
      <c r="P9137" s="223"/>
      <c r="Q9137" s="223"/>
      <c r="R9137" s="223">
        <v>2</v>
      </c>
    </row>
    <row r="9138" spans="1:18" ht="12.75" customHeight="1">
      <c r="A9138" s="628" t="s">
        <v>16835</v>
      </c>
      <c r="B9138" s="629"/>
      <c r="C9138" s="629"/>
      <c r="D9138" s="629"/>
      <c r="E9138" s="629"/>
      <c r="F9138" s="629"/>
      <c r="G9138" s="629"/>
      <c r="H9138" s="629"/>
      <c r="I9138" s="629"/>
      <c r="J9138" s="629"/>
      <c r="K9138" s="629"/>
      <c r="L9138" s="629"/>
      <c r="M9138" s="629"/>
      <c r="N9138" s="629"/>
      <c r="O9138" s="629"/>
      <c r="P9138" s="629"/>
      <c r="Q9138" s="629"/>
      <c r="R9138" s="629"/>
    </row>
    <row r="9139" spans="1:18" ht="12.75" customHeight="1">
      <c r="A9139" s="628" t="s">
        <v>16836</v>
      </c>
      <c r="B9139" s="629"/>
      <c r="C9139" s="629"/>
      <c r="D9139" s="629"/>
      <c r="E9139" s="629"/>
      <c r="F9139" s="629"/>
      <c r="G9139" s="629"/>
      <c r="H9139" s="629"/>
      <c r="I9139" s="629"/>
      <c r="J9139" s="629"/>
      <c r="K9139" s="629"/>
      <c r="L9139" s="629"/>
      <c r="M9139" s="629"/>
      <c r="N9139" s="629"/>
      <c r="O9139" s="629"/>
      <c r="P9139" s="629"/>
      <c r="Q9139" s="629"/>
      <c r="R9139" s="629"/>
    </row>
    <row r="9140" spans="1:18" ht="36">
      <c r="A9140" s="219">
        <v>1853</v>
      </c>
      <c r="B9140" s="216" t="s">
        <v>16837</v>
      </c>
      <c r="C9140" s="220" t="s">
        <v>16838</v>
      </c>
      <c r="D9140" s="221">
        <v>288.55</v>
      </c>
      <c r="E9140" s="221">
        <v>241.29</v>
      </c>
      <c r="F9140" s="221">
        <v>30.95</v>
      </c>
      <c r="G9140" s="221">
        <v>16.309999999999999</v>
      </c>
      <c r="H9140" s="222">
        <v>3055.04</v>
      </c>
      <c r="I9140" s="222">
        <v>2774.94</v>
      </c>
      <c r="J9140" s="222">
        <v>163.35</v>
      </c>
      <c r="K9140" s="222">
        <v>116.75</v>
      </c>
      <c r="L9140" s="43">
        <v>10.5875584820655</v>
      </c>
      <c r="M9140" s="43">
        <v>11.500435161009575</v>
      </c>
      <c r="N9140" s="43">
        <v>5.2778675282714058</v>
      </c>
      <c r="O9140" s="43">
        <v>7.1581851624770083</v>
      </c>
      <c r="P9140" s="223"/>
      <c r="Q9140" s="223"/>
      <c r="R9140" s="223">
        <v>1</v>
      </c>
    </row>
    <row r="9141" spans="1:18" ht="36">
      <c r="A9141" s="219">
        <v>1854</v>
      </c>
      <c r="B9141" s="216" t="s">
        <v>16839</v>
      </c>
      <c r="C9141" s="220" t="s">
        <v>16840</v>
      </c>
      <c r="D9141" s="221">
        <v>477.77</v>
      </c>
      <c r="E9141" s="221">
        <v>356.19</v>
      </c>
      <c r="F9141" s="221">
        <v>82.88</v>
      </c>
      <c r="G9141" s="221">
        <v>38.700000000000003</v>
      </c>
      <c r="H9141" s="222">
        <v>4780.8</v>
      </c>
      <c r="I9141" s="222">
        <v>4096.34</v>
      </c>
      <c r="J9141" s="222">
        <v>434.28</v>
      </c>
      <c r="K9141" s="222">
        <v>250.18</v>
      </c>
      <c r="L9141" s="43">
        <v>10.006488477719406</v>
      </c>
      <c r="M9141" s="43">
        <v>11.500435161009573</v>
      </c>
      <c r="N9141" s="43">
        <v>5.2398648648648649</v>
      </c>
      <c r="O9141" s="43">
        <v>6.4645994832041342</v>
      </c>
      <c r="P9141" s="223"/>
      <c r="Q9141" s="223"/>
      <c r="R9141" s="223">
        <v>1</v>
      </c>
    </row>
    <row r="9142" spans="1:18" ht="36">
      <c r="A9142" s="219">
        <v>1855</v>
      </c>
      <c r="B9142" s="216" t="s">
        <v>16841</v>
      </c>
      <c r="C9142" s="220" t="s">
        <v>16842</v>
      </c>
      <c r="D9142" s="221">
        <v>719.58</v>
      </c>
      <c r="E9142" s="221">
        <v>597.48</v>
      </c>
      <c r="F9142" s="221">
        <v>94.36</v>
      </c>
      <c r="G9142" s="221">
        <v>27.74</v>
      </c>
      <c r="H9142" s="222">
        <v>7559.07</v>
      </c>
      <c r="I9142" s="222">
        <v>6871.28</v>
      </c>
      <c r="J9142" s="222">
        <v>466.21</v>
      </c>
      <c r="K9142" s="222">
        <v>221.58</v>
      </c>
      <c r="L9142" s="43">
        <v>10.504836154423412</v>
      </c>
      <c r="M9142" s="43">
        <v>11.500435161009573</v>
      </c>
      <c r="N9142" s="43">
        <v>4.9407587961000425</v>
      </c>
      <c r="O9142" s="43">
        <v>7.9877433309300656</v>
      </c>
      <c r="P9142" s="223"/>
      <c r="Q9142" s="223"/>
      <c r="R9142" s="223">
        <v>1</v>
      </c>
    </row>
    <row r="9143" spans="1:18" ht="12.75" customHeight="1">
      <c r="A9143" s="628" t="s">
        <v>16843</v>
      </c>
      <c r="B9143" s="629"/>
      <c r="C9143" s="629"/>
      <c r="D9143" s="629"/>
      <c r="E9143" s="629"/>
      <c r="F9143" s="629"/>
      <c r="G9143" s="629"/>
      <c r="H9143" s="629"/>
      <c r="I9143" s="629"/>
      <c r="J9143" s="629"/>
      <c r="K9143" s="629"/>
      <c r="L9143" s="629"/>
      <c r="M9143" s="629"/>
      <c r="N9143" s="629"/>
      <c r="O9143" s="629"/>
      <c r="P9143" s="629"/>
      <c r="Q9143" s="629"/>
      <c r="R9143" s="629"/>
    </row>
    <row r="9144" spans="1:18" ht="36">
      <c r="A9144" s="219">
        <v>1856</v>
      </c>
      <c r="B9144" s="216" t="s">
        <v>16844</v>
      </c>
      <c r="C9144" s="220" t="s">
        <v>16845</v>
      </c>
      <c r="D9144" s="221">
        <v>1589.36</v>
      </c>
      <c r="E9144" s="221">
        <v>1183.47</v>
      </c>
      <c r="F9144" s="221">
        <v>267.38</v>
      </c>
      <c r="G9144" s="221">
        <v>138.51</v>
      </c>
      <c r="H9144" s="222">
        <v>15907.23</v>
      </c>
      <c r="I9144" s="222">
        <v>13610.42</v>
      </c>
      <c r="J9144" s="222">
        <v>1412.62</v>
      </c>
      <c r="K9144" s="222">
        <v>884.19</v>
      </c>
      <c r="L9144" s="43">
        <v>10.008575778929885</v>
      </c>
      <c r="M9144" s="43">
        <v>11.500435161009573</v>
      </c>
      <c r="N9144" s="43">
        <v>5.2831924601690474</v>
      </c>
      <c r="O9144" s="43">
        <v>6.3835824128221796</v>
      </c>
      <c r="P9144" s="223"/>
      <c r="Q9144" s="223"/>
      <c r="R9144" s="223">
        <v>2</v>
      </c>
    </row>
    <row r="9145" spans="1:18" ht="36">
      <c r="A9145" s="224">
        <v>1857</v>
      </c>
      <c r="B9145" s="225" t="s">
        <v>16846</v>
      </c>
      <c r="C9145" s="226" t="s">
        <v>16847</v>
      </c>
      <c r="D9145" s="227">
        <v>2918.13</v>
      </c>
      <c r="E9145" s="227">
        <v>2412.9</v>
      </c>
      <c r="F9145" s="227">
        <v>342.13</v>
      </c>
      <c r="G9145" s="227">
        <v>163.1</v>
      </c>
      <c r="H9145" s="228">
        <v>30718.92</v>
      </c>
      <c r="I9145" s="228">
        <v>27749.4</v>
      </c>
      <c r="J9145" s="228">
        <v>1802.55</v>
      </c>
      <c r="K9145" s="228">
        <v>1166.97</v>
      </c>
      <c r="L9145" s="611">
        <v>10.526919636890748</v>
      </c>
      <c r="M9145" s="611">
        <v>11.500435161009573</v>
      </c>
      <c r="N9145" s="611">
        <v>5.2686113465641711</v>
      </c>
      <c r="O9145" s="611">
        <v>7.1549356223175966</v>
      </c>
      <c r="P9145" s="229"/>
      <c r="Q9145" s="229"/>
      <c r="R9145" s="229">
        <v>2</v>
      </c>
    </row>
    <row r="9146" spans="1:18" ht="12.75" customHeight="1">
      <c r="A9146" s="630" t="s">
        <v>16848</v>
      </c>
      <c r="B9146" s="631"/>
      <c r="C9146" s="631"/>
      <c r="D9146" s="631"/>
      <c r="E9146" s="631"/>
      <c r="F9146" s="631"/>
      <c r="G9146" s="631"/>
      <c r="H9146" s="631"/>
      <c r="I9146" s="631"/>
      <c r="J9146" s="631"/>
      <c r="K9146" s="631"/>
      <c r="L9146" s="631"/>
      <c r="M9146" s="631"/>
      <c r="N9146" s="631"/>
      <c r="O9146" s="631"/>
      <c r="P9146" s="631"/>
      <c r="Q9146" s="631"/>
      <c r="R9146" s="631"/>
    </row>
    <row r="9147" spans="1:18" ht="12.75" customHeight="1">
      <c r="A9147" s="628" t="s">
        <v>16849</v>
      </c>
      <c r="B9147" s="629"/>
      <c r="C9147" s="629"/>
      <c r="D9147" s="629"/>
      <c r="E9147" s="629"/>
      <c r="F9147" s="629"/>
      <c r="G9147" s="629"/>
      <c r="H9147" s="629"/>
      <c r="I9147" s="629"/>
      <c r="J9147" s="629"/>
      <c r="K9147" s="629"/>
      <c r="L9147" s="629"/>
      <c r="M9147" s="629"/>
      <c r="N9147" s="629"/>
      <c r="O9147" s="629"/>
      <c r="P9147" s="629"/>
      <c r="Q9147" s="629"/>
      <c r="R9147" s="629"/>
    </row>
    <row r="9148" spans="1:18" ht="12.75" customHeight="1">
      <c r="A9148" s="628" t="s">
        <v>16850</v>
      </c>
      <c r="B9148" s="629"/>
      <c r="C9148" s="629"/>
      <c r="D9148" s="629"/>
      <c r="E9148" s="629"/>
      <c r="F9148" s="629"/>
      <c r="G9148" s="629"/>
      <c r="H9148" s="629"/>
      <c r="I9148" s="629"/>
      <c r="J9148" s="629"/>
      <c r="K9148" s="629"/>
      <c r="L9148" s="629"/>
      <c r="M9148" s="629"/>
      <c r="N9148" s="629"/>
      <c r="O9148" s="629"/>
      <c r="P9148" s="629"/>
      <c r="Q9148" s="629"/>
      <c r="R9148" s="629"/>
    </row>
    <row r="9149" spans="1:18" ht="36">
      <c r="A9149" s="219">
        <v>1858</v>
      </c>
      <c r="B9149" s="216" t="s">
        <v>16851</v>
      </c>
      <c r="C9149" s="220" t="s">
        <v>16852</v>
      </c>
      <c r="D9149" s="221">
        <v>237.91</v>
      </c>
      <c r="E9149" s="221">
        <v>137.88</v>
      </c>
      <c r="F9149" s="221">
        <v>44.66</v>
      </c>
      <c r="G9149" s="221">
        <v>55.37</v>
      </c>
      <c r="H9149" s="222">
        <v>2151.66</v>
      </c>
      <c r="I9149" s="222">
        <v>1585.68</v>
      </c>
      <c r="J9149" s="222">
        <v>244.34</v>
      </c>
      <c r="K9149" s="222">
        <v>321.64</v>
      </c>
      <c r="L9149" s="43">
        <v>9.0440082384094822</v>
      </c>
      <c r="M9149" s="43">
        <v>11.500435161009575</v>
      </c>
      <c r="N9149" s="43">
        <v>5.4711150918047471</v>
      </c>
      <c r="O9149" s="43">
        <v>5.8089217988080186</v>
      </c>
      <c r="P9149" s="223"/>
      <c r="Q9149" s="223"/>
      <c r="R9149" s="223">
        <v>1</v>
      </c>
    </row>
    <row r="9150" spans="1:18" ht="36">
      <c r="A9150" s="219">
        <v>1859</v>
      </c>
      <c r="B9150" s="216" t="s">
        <v>16853</v>
      </c>
      <c r="C9150" s="220" t="s">
        <v>16854</v>
      </c>
      <c r="D9150" s="221">
        <v>333.67</v>
      </c>
      <c r="E9150" s="221">
        <v>198.39</v>
      </c>
      <c r="F9150" s="221">
        <v>57.41</v>
      </c>
      <c r="G9150" s="221">
        <v>77.87</v>
      </c>
      <c r="H9150" s="222">
        <v>3019.91</v>
      </c>
      <c r="I9150" s="222">
        <v>2281.5700000000002</v>
      </c>
      <c r="J9150" s="222">
        <v>308.85000000000002</v>
      </c>
      <c r="K9150" s="222">
        <v>429.49</v>
      </c>
      <c r="L9150" s="43">
        <v>9.0505889052057409</v>
      </c>
      <c r="M9150" s="43">
        <v>11.500428449014569</v>
      </c>
      <c r="N9150" s="43">
        <v>5.3797247866225399</v>
      </c>
      <c r="O9150" s="43">
        <v>5.5154745087967125</v>
      </c>
      <c r="P9150" s="223"/>
      <c r="Q9150" s="223"/>
      <c r="R9150" s="223">
        <v>1</v>
      </c>
    </row>
    <row r="9151" spans="1:18" ht="36">
      <c r="A9151" s="219">
        <v>1860</v>
      </c>
      <c r="B9151" s="216" t="s">
        <v>16855</v>
      </c>
      <c r="C9151" s="220" t="s">
        <v>16856</v>
      </c>
      <c r="D9151" s="221">
        <v>551.97</v>
      </c>
      <c r="E9151" s="221">
        <v>338.43</v>
      </c>
      <c r="F9151" s="221">
        <v>102.08</v>
      </c>
      <c r="G9151" s="221">
        <v>111.46</v>
      </c>
      <c r="H9151" s="222">
        <v>5022.8</v>
      </c>
      <c r="I9151" s="222">
        <v>3892.09</v>
      </c>
      <c r="J9151" s="222">
        <v>531.65</v>
      </c>
      <c r="K9151" s="222">
        <v>599.05999999999995</v>
      </c>
      <c r="L9151" s="43">
        <v>9.0997699150316134</v>
      </c>
      <c r="M9151" s="43">
        <v>11.500428449014567</v>
      </c>
      <c r="N9151" s="43">
        <v>5.2081700626959249</v>
      </c>
      <c r="O9151" s="43">
        <v>5.3746635564328011</v>
      </c>
      <c r="P9151" s="223"/>
      <c r="Q9151" s="223"/>
      <c r="R9151" s="223">
        <v>1</v>
      </c>
    </row>
    <row r="9152" spans="1:18" ht="36">
      <c r="A9152" s="219">
        <v>1861</v>
      </c>
      <c r="B9152" s="216" t="s">
        <v>16857</v>
      </c>
      <c r="C9152" s="220" t="s">
        <v>16858</v>
      </c>
      <c r="D9152" s="221">
        <v>849.47</v>
      </c>
      <c r="E9152" s="221">
        <v>490.14</v>
      </c>
      <c r="F9152" s="221">
        <v>169.55</v>
      </c>
      <c r="G9152" s="221">
        <v>189.78</v>
      </c>
      <c r="H9152" s="222">
        <v>7534.14</v>
      </c>
      <c r="I9152" s="222">
        <v>5636.82</v>
      </c>
      <c r="J9152" s="222">
        <v>882.28</v>
      </c>
      <c r="K9152" s="222">
        <v>1015.04</v>
      </c>
      <c r="L9152" s="43">
        <v>8.8692243398825159</v>
      </c>
      <c r="M9152" s="43">
        <v>11.500428449014567</v>
      </c>
      <c r="N9152" s="43">
        <v>5.2036567384252423</v>
      </c>
      <c r="O9152" s="43">
        <v>5.3485087996627669</v>
      </c>
      <c r="P9152" s="223"/>
      <c r="Q9152" s="223"/>
      <c r="R9152" s="223">
        <v>1</v>
      </c>
    </row>
    <row r="9153" spans="1:18" ht="12.75" customHeight="1">
      <c r="A9153" s="628" t="s">
        <v>16859</v>
      </c>
      <c r="B9153" s="629"/>
      <c r="C9153" s="629"/>
      <c r="D9153" s="629"/>
      <c r="E9153" s="629"/>
      <c r="F9153" s="629"/>
      <c r="G9153" s="629"/>
      <c r="H9153" s="629"/>
      <c r="I9153" s="629"/>
      <c r="J9153" s="629"/>
      <c r="K9153" s="629"/>
      <c r="L9153" s="629"/>
      <c r="M9153" s="629"/>
      <c r="N9153" s="629"/>
      <c r="O9153" s="629"/>
      <c r="P9153" s="629"/>
      <c r="Q9153" s="629"/>
      <c r="R9153" s="629"/>
    </row>
    <row r="9154" spans="1:18" ht="36">
      <c r="A9154" s="219">
        <v>1862</v>
      </c>
      <c r="B9154" s="216" t="s">
        <v>16860</v>
      </c>
      <c r="C9154" s="220" t="s">
        <v>16861</v>
      </c>
      <c r="D9154" s="221">
        <v>86.67</v>
      </c>
      <c r="E9154" s="221">
        <v>55.5</v>
      </c>
      <c r="F9154" s="221">
        <v>12.89</v>
      </c>
      <c r="G9154" s="221">
        <v>18.28</v>
      </c>
      <c r="H9154" s="222">
        <v>841.12</v>
      </c>
      <c r="I9154" s="222">
        <v>638.25</v>
      </c>
      <c r="J9154" s="222">
        <v>71.44</v>
      </c>
      <c r="K9154" s="222">
        <v>131.43</v>
      </c>
      <c r="L9154" s="43">
        <v>9.7048575054805575</v>
      </c>
      <c r="M9154" s="43">
        <v>11.5</v>
      </c>
      <c r="N9154" s="43">
        <v>5.5422808378588044</v>
      </c>
      <c r="O9154" s="43">
        <v>7.1898249452954044</v>
      </c>
      <c r="P9154" s="223"/>
      <c r="Q9154" s="223"/>
      <c r="R9154" s="223">
        <v>2</v>
      </c>
    </row>
    <row r="9155" spans="1:18" ht="36">
      <c r="A9155" s="219">
        <v>1863</v>
      </c>
      <c r="B9155" s="216" t="s">
        <v>16862</v>
      </c>
      <c r="C9155" s="220" t="s">
        <v>16863</v>
      </c>
      <c r="D9155" s="221">
        <v>97.04</v>
      </c>
      <c r="E9155" s="221">
        <v>59.25</v>
      </c>
      <c r="F9155" s="221">
        <v>16.809999999999999</v>
      </c>
      <c r="G9155" s="221">
        <v>20.98</v>
      </c>
      <c r="H9155" s="222">
        <v>921.8</v>
      </c>
      <c r="I9155" s="222">
        <v>681.4</v>
      </c>
      <c r="J9155" s="222">
        <v>93.17</v>
      </c>
      <c r="K9155" s="222">
        <v>147.22999999999999</v>
      </c>
      <c r="L9155" s="43">
        <v>9.4991755976916732</v>
      </c>
      <c r="M9155" s="43">
        <v>11.50042194092827</v>
      </c>
      <c r="N9155" s="43">
        <v>5.5425342058298641</v>
      </c>
      <c r="O9155" s="43">
        <v>7.0176358436606288</v>
      </c>
      <c r="P9155" s="223"/>
      <c r="Q9155" s="223"/>
      <c r="R9155" s="223">
        <v>2</v>
      </c>
    </row>
    <row r="9156" spans="1:18" ht="36">
      <c r="A9156" s="219">
        <v>1864</v>
      </c>
      <c r="B9156" s="216" t="s">
        <v>16864</v>
      </c>
      <c r="C9156" s="220" t="s">
        <v>16865</v>
      </c>
      <c r="D9156" s="221">
        <v>147.87</v>
      </c>
      <c r="E9156" s="221">
        <v>94.8</v>
      </c>
      <c r="F9156" s="221">
        <v>27.14</v>
      </c>
      <c r="G9156" s="221">
        <v>25.93</v>
      </c>
      <c r="H9156" s="222">
        <v>1421.65</v>
      </c>
      <c r="I9156" s="222">
        <v>1090.24</v>
      </c>
      <c r="J9156" s="222">
        <v>148.30000000000001</v>
      </c>
      <c r="K9156" s="222">
        <v>183.11</v>
      </c>
      <c r="L9156" s="43">
        <v>9.614188138229526</v>
      </c>
      <c r="M9156" s="43">
        <v>11.50042194092827</v>
      </c>
      <c r="N9156" s="43">
        <v>5.4642593957258665</v>
      </c>
      <c r="O9156" s="43">
        <v>7.0617045892788282</v>
      </c>
      <c r="P9156" s="223"/>
      <c r="Q9156" s="223"/>
      <c r="R9156" s="223">
        <v>2</v>
      </c>
    </row>
    <row r="9157" spans="1:18" ht="36">
      <c r="A9157" s="219">
        <v>1865</v>
      </c>
      <c r="B9157" s="216" t="s">
        <v>16866</v>
      </c>
      <c r="C9157" s="220" t="s">
        <v>16867</v>
      </c>
      <c r="D9157" s="221">
        <v>200.76</v>
      </c>
      <c r="E9157" s="221">
        <v>132.22</v>
      </c>
      <c r="F9157" s="221">
        <v>34.47</v>
      </c>
      <c r="G9157" s="221">
        <v>34.07</v>
      </c>
      <c r="H9157" s="222">
        <v>1941.77</v>
      </c>
      <c r="I9157" s="222">
        <v>1520.53</v>
      </c>
      <c r="J9157" s="222">
        <v>188.37</v>
      </c>
      <c r="K9157" s="222">
        <v>232.87</v>
      </c>
      <c r="L9157" s="43">
        <v>9.6720960350667475</v>
      </c>
      <c r="M9157" s="43">
        <v>11.5</v>
      </c>
      <c r="N9157" s="43">
        <v>5.464751958224543</v>
      </c>
      <c r="O9157" s="43">
        <v>6.8350454945700028</v>
      </c>
      <c r="P9157" s="223"/>
      <c r="Q9157" s="223"/>
      <c r="R9157" s="223">
        <v>2</v>
      </c>
    </row>
    <row r="9158" spans="1:18" ht="36">
      <c r="A9158" s="219">
        <v>1866</v>
      </c>
      <c r="B9158" s="216" t="s">
        <v>16868</v>
      </c>
      <c r="C9158" s="220" t="s">
        <v>16869</v>
      </c>
      <c r="D9158" s="221">
        <v>281.97000000000003</v>
      </c>
      <c r="E9158" s="221">
        <v>180.3</v>
      </c>
      <c r="F9158" s="221">
        <v>52.29</v>
      </c>
      <c r="G9158" s="221">
        <v>49.38</v>
      </c>
      <c r="H9158" s="222">
        <v>2691.84</v>
      </c>
      <c r="I9158" s="222">
        <v>2073.4499999999998</v>
      </c>
      <c r="J9158" s="222">
        <v>288.83</v>
      </c>
      <c r="K9158" s="222">
        <v>329.56</v>
      </c>
      <c r="L9158" s="43">
        <v>9.546547505053729</v>
      </c>
      <c r="M9158" s="43">
        <v>11.499999999999998</v>
      </c>
      <c r="N9158" s="43">
        <v>5.5236182826544269</v>
      </c>
      <c r="O9158" s="43">
        <v>6.6739570676387201</v>
      </c>
      <c r="P9158" s="223"/>
      <c r="Q9158" s="223"/>
      <c r="R9158" s="223">
        <v>2</v>
      </c>
    </row>
    <row r="9159" spans="1:18" ht="36">
      <c r="A9159" s="219">
        <v>1867</v>
      </c>
      <c r="B9159" s="216" t="s">
        <v>16870</v>
      </c>
      <c r="C9159" s="220" t="s">
        <v>16871</v>
      </c>
      <c r="D9159" s="221">
        <v>615.71</v>
      </c>
      <c r="E9159" s="221">
        <v>360.6</v>
      </c>
      <c r="F9159" s="221">
        <v>117.69</v>
      </c>
      <c r="G9159" s="221">
        <v>137.41999999999999</v>
      </c>
      <c r="H9159" s="222">
        <v>5461.56</v>
      </c>
      <c r="I9159" s="222">
        <v>4146.8999999999996</v>
      </c>
      <c r="J9159" s="222">
        <v>617.4</v>
      </c>
      <c r="K9159" s="222">
        <v>697.26</v>
      </c>
      <c r="L9159" s="43">
        <v>8.8703448051842582</v>
      </c>
      <c r="M9159" s="43">
        <v>11.499999999999998</v>
      </c>
      <c r="N9159" s="43">
        <v>5.24598521539638</v>
      </c>
      <c r="O9159" s="43">
        <v>5.0739339251928399</v>
      </c>
      <c r="P9159" s="223"/>
      <c r="Q9159" s="223"/>
      <c r="R9159" s="223">
        <v>2</v>
      </c>
    </row>
    <row r="9160" spans="1:18" ht="36">
      <c r="A9160" s="219">
        <v>1868</v>
      </c>
      <c r="B9160" s="216" t="s">
        <v>16872</v>
      </c>
      <c r="C9160" s="220" t="s">
        <v>16873</v>
      </c>
      <c r="D9160" s="221">
        <v>822.75</v>
      </c>
      <c r="E9160" s="221">
        <v>445.32</v>
      </c>
      <c r="F9160" s="221">
        <v>157.69</v>
      </c>
      <c r="G9160" s="221">
        <v>219.74</v>
      </c>
      <c r="H9160" s="222">
        <v>7025.56</v>
      </c>
      <c r="I9160" s="222">
        <v>5121.3599999999997</v>
      </c>
      <c r="J9160" s="222">
        <v>833.73</v>
      </c>
      <c r="K9160" s="222">
        <v>1070.47</v>
      </c>
      <c r="L9160" s="43">
        <v>8.5391188088726828</v>
      </c>
      <c r="M9160" s="43">
        <v>11.500404203718674</v>
      </c>
      <c r="N9160" s="43">
        <v>5.2871456655463254</v>
      </c>
      <c r="O9160" s="43">
        <v>4.8715299899881677</v>
      </c>
      <c r="P9160" s="223"/>
      <c r="Q9160" s="223"/>
      <c r="R9160" s="223">
        <v>2</v>
      </c>
    </row>
    <row r="9161" spans="1:18" ht="36">
      <c r="A9161" s="219">
        <v>1869</v>
      </c>
      <c r="B9161" s="216" t="s">
        <v>16874</v>
      </c>
      <c r="C9161" s="220" t="s">
        <v>16875</v>
      </c>
      <c r="D9161" s="221">
        <v>993.14</v>
      </c>
      <c r="E9161" s="221">
        <v>519.54</v>
      </c>
      <c r="F9161" s="221">
        <v>174.01</v>
      </c>
      <c r="G9161" s="221">
        <v>299.58999999999997</v>
      </c>
      <c r="H9161" s="222">
        <v>8376.42</v>
      </c>
      <c r="I9161" s="222">
        <v>5974.92</v>
      </c>
      <c r="J9161" s="222">
        <v>925.82</v>
      </c>
      <c r="K9161" s="222">
        <v>1475.68</v>
      </c>
      <c r="L9161" s="43">
        <v>8.4342791550033223</v>
      </c>
      <c r="M9161" s="43">
        <v>11.500404203718675</v>
      </c>
      <c r="N9161" s="43">
        <v>5.3204988219067877</v>
      </c>
      <c r="O9161" s="43">
        <v>4.9256650756033249</v>
      </c>
      <c r="P9161" s="223"/>
      <c r="Q9161" s="223"/>
      <c r="R9161" s="223">
        <v>2</v>
      </c>
    </row>
    <row r="9162" spans="1:18" ht="36">
      <c r="A9162" s="219">
        <v>1870</v>
      </c>
      <c r="B9162" s="216" t="s">
        <v>16876</v>
      </c>
      <c r="C9162" s="220" t="s">
        <v>16877</v>
      </c>
      <c r="D9162" s="221">
        <v>1140.6600000000001</v>
      </c>
      <c r="E9162" s="221">
        <v>610.55999999999995</v>
      </c>
      <c r="F9162" s="221">
        <v>203.34</v>
      </c>
      <c r="G9162" s="221">
        <v>326.76</v>
      </c>
      <c r="H9162" s="222">
        <v>9711.7199999999993</v>
      </c>
      <c r="I9162" s="222">
        <v>7021.44</v>
      </c>
      <c r="J9162" s="222">
        <v>1080.0999999999999</v>
      </c>
      <c r="K9162" s="222">
        <v>1610.18</v>
      </c>
      <c r="L9162" s="43">
        <v>8.5141234022408074</v>
      </c>
      <c r="M9162" s="43">
        <v>11.5</v>
      </c>
      <c r="N9162" s="43">
        <v>5.3117930559653779</v>
      </c>
      <c r="O9162" s="43">
        <v>4.9277145305422945</v>
      </c>
      <c r="P9162" s="223"/>
      <c r="Q9162" s="223"/>
      <c r="R9162" s="223">
        <v>2</v>
      </c>
    </row>
    <row r="9163" spans="1:18" ht="36">
      <c r="A9163" s="219">
        <v>1871</v>
      </c>
      <c r="B9163" s="216" t="s">
        <v>16878</v>
      </c>
      <c r="C9163" s="220" t="s">
        <v>16879</v>
      </c>
      <c r="D9163" s="221">
        <v>1444.18</v>
      </c>
      <c r="E9163" s="221">
        <v>737.76</v>
      </c>
      <c r="F9163" s="221">
        <v>262.08</v>
      </c>
      <c r="G9163" s="221">
        <v>444.34</v>
      </c>
      <c r="H9163" s="222">
        <v>12058.02</v>
      </c>
      <c r="I9163" s="222">
        <v>8484.24</v>
      </c>
      <c r="J9163" s="222">
        <v>1391.22</v>
      </c>
      <c r="K9163" s="222">
        <v>2182.56</v>
      </c>
      <c r="L9163" s="43">
        <v>8.3493885803708672</v>
      </c>
      <c r="M9163" s="43">
        <v>11.5</v>
      </c>
      <c r="N9163" s="43">
        <v>5.3083791208791213</v>
      </c>
      <c r="O9163" s="43">
        <v>4.9119142998604675</v>
      </c>
      <c r="P9163" s="223"/>
      <c r="Q9163" s="223"/>
      <c r="R9163" s="223">
        <v>2</v>
      </c>
    </row>
    <row r="9164" spans="1:18" ht="36">
      <c r="A9164" s="219">
        <v>1872</v>
      </c>
      <c r="B9164" s="216" t="s">
        <v>16880</v>
      </c>
      <c r="C9164" s="220" t="s">
        <v>16881</v>
      </c>
      <c r="D9164" s="221">
        <v>1600.38</v>
      </c>
      <c r="E9164" s="221">
        <v>826.8</v>
      </c>
      <c r="F9164" s="221">
        <v>378.13</v>
      </c>
      <c r="G9164" s="221">
        <v>395.45</v>
      </c>
      <c r="H9164" s="222">
        <v>13443.04</v>
      </c>
      <c r="I9164" s="222">
        <v>9508.2000000000007</v>
      </c>
      <c r="J9164" s="222">
        <v>1931.56</v>
      </c>
      <c r="K9164" s="222">
        <v>2003.28</v>
      </c>
      <c r="L9164" s="43">
        <v>8.3999050225571423</v>
      </c>
      <c r="M9164" s="43">
        <v>11.500000000000002</v>
      </c>
      <c r="N9164" s="43">
        <v>5.108190304921588</v>
      </c>
      <c r="O9164" s="43">
        <v>5.0658237451005181</v>
      </c>
      <c r="P9164" s="223"/>
      <c r="Q9164" s="223"/>
      <c r="R9164" s="223">
        <v>2</v>
      </c>
    </row>
    <row r="9165" spans="1:18" ht="12.75" customHeight="1">
      <c r="A9165" s="628" t="s">
        <v>16882</v>
      </c>
      <c r="B9165" s="629"/>
      <c r="C9165" s="629"/>
      <c r="D9165" s="629"/>
      <c r="E9165" s="629"/>
      <c r="F9165" s="629"/>
      <c r="G9165" s="629"/>
      <c r="H9165" s="629"/>
      <c r="I9165" s="629"/>
      <c r="J9165" s="629"/>
      <c r="K9165" s="629"/>
      <c r="L9165" s="629"/>
      <c r="M9165" s="629"/>
      <c r="N9165" s="629"/>
      <c r="O9165" s="629"/>
      <c r="P9165" s="629"/>
      <c r="Q9165" s="629"/>
      <c r="R9165" s="629"/>
    </row>
    <row r="9166" spans="1:18" ht="36">
      <c r="A9166" s="219">
        <v>1873</v>
      </c>
      <c r="B9166" s="216" t="s">
        <v>16883</v>
      </c>
      <c r="C9166" s="220" t="s">
        <v>16884</v>
      </c>
      <c r="D9166" s="221">
        <v>624.6</v>
      </c>
      <c r="E9166" s="221">
        <v>300.95999999999998</v>
      </c>
      <c r="F9166" s="221">
        <v>118.63</v>
      </c>
      <c r="G9166" s="221">
        <v>205.01</v>
      </c>
      <c r="H9166" s="222">
        <v>5100.6499999999996</v>
      </c>
      <c r="I9166" s="222">
        <v>3461.04</v>
      </c>
      <c r="J9166" s="222">
        <v>648.46</v>
      </c>
      <c r="K9166" s="222">
        <v>991.15</v>
      </c>
      <c r="L9166" s="43">
        <v>8.1662664105027201</v>
      </c>
      <c r="M9166" s="43">
        <v>11.5</v>
      </c>
      <c r="N9166" s="43">
        <v>5.4662395684059684</v>
      </c>
      <c r="O9166" s="43">
        <v>4.8346422125749964</v>
      </c>
      <c r="P9166" s="223"/>
      <c r="Q9166" s="223"/>
      <c r="R9166" s="223">
        <v>3</v>
      </c>
    </row>
    <row r="9167" spans="1:18" ht="12.75" customHeight="1">
      <c r="A9167" s="628" t="s">
        <v>16885</v>
      </c>
      <c r="B9167" s="629"/>
      <c r="C9167" s="629"/>
      <c r="D9167" s="629"/>
      <c r="E9167" s="629"/>
      <c r="F9167" s="629"/>
      <c r="G9167" s="629"/>
      <c r="H9167" s="629"/>
      <c r="I9167" s="629"/>
      <c r="J9167" s="629"/>
      <c r="K9167" s="629"/>
      <c r="L9167" s="629"/>
      <c r="M9167" s="629"/>
      <c r="N9167" s="629"/>
      <c r="O9167" s="629"/>
      <c r="P9167" s="629"/>
      <c r="Q9167" s="629"/>
      <c r="R9167" s="629"/>
    </row>
    <row r="9168" spans="1:18" ht="36">
      <c r="A9168" s="219">
        <v>1874</v>
      </c>
      <c r="B9168" s="216" t="s">
        <v>16886</v>
      </c>
      <c r="C9168" s="220" t="s">
        <v>16887</v>
      </c>
      <c r="D9168" s="221">
        <v>87.27</v>
      </c>
      <c r="E9168" s="221">
        <v>58.35</v>
      </c>
      <c r="F9168" s="221">
        <v>12.89</v>
      </c>
      <c r="G9168" s="221">
        <v>16.03</v>
      </c>
      <c r="H9168" s="222">
        <v>852.52</v>
      </c>
      <c r="I9168" s="222">
        <v>671.05</v>
      </c>
      <c r="J9168" s="222">
        <v>71.44</v>
      </c>
      <c r="K9168" s="222">
        <v>110.03</v>
      </c>
      <c r="L9168" s="43">
        <v>9.7687636071960586</v>
      </c>
      <c r="M9168" s="43">
        <v>11.500428449014565</v>
      </c>
      <c r="N9168" s="43">
        <v>5.5422808378588044</v>
      </c>
      <c r="O9168" s="43">
        <v>6.8640049906425444</v>
      </c>
      <c r="P9168" s="223"/>
      <c r="Q9168" s="223"/>
      <c r="R9168" s="223">
        <v>4</v>
      </c>
    </row>
    <row r="9169" spans="1:18" ht="36">
      <c r="A9169" s="219">
        <v>1875</v>
      </c>
      <c r="B9169" s="216" t="s">
        <v>16888</v>
      </c>
      <c r="C9169" s="220" t="s">
        <v>16889</v>
      </c>
      <c r="D9169" s="221">
        <v>149.46</v>
      </c>
      <c r="E9169" s="221">
        <v>93.36</v>
      </c>
      <c r="F9169" s="221">
        <v>27.66</v>
      </c>
      <c r="G9169" s="221">
        <v>28.44</v>
      </c>
      <c r="H9169" s="222">
        <v>1416.64</v>
      </c>
      <c r="I9169" s="222">
        <v>1073.68</v>
      </c>
      <c r="J9169" s="222">
        <v>150.97999999999999</v>
      </c>
      <c r="K9169" s="222">
        <v>191.98</v>
      </c>
      <c r="L9169" s="43">
        <v>9.4783888665863785</v>
      </c>
      <c r="M9169" s="43">
        <v>11.500428449014567</v>
      </c>
      <c r="N9169" s="43">
        <v>5.4584237165582064</v>
      </c>
      <c r="O9169" s="43">
        <v>6.7503516174402245</v>
      </c>
      <c r="P9169" s="223"/>
      <c r="Q9169" s="223"/>
      <c r="R9169" s="223">
        <v>4</v>
      </c>
    </row>
    <row r="9170" spans="1:18" ht="36">
      <c r="A9170" s="219">
        <v>1876</v>
      </c>
      <c r="B9170" s="216" t="s">
        <v>16890</v>
      </c>
      <c r="C9170" s="220" t="s">
        <v>16891</v>
      </c>
      <c r="D9170" s="221">
        <v>219.59</v>
      </c>
      <c r="E9170" s="221">
        <v>136.07</v>
      </c>
      <c r="F9170" s="221">
        <v>34.979999999999997</v>
      </c>
      <c r="G9170" s="221">
        <v>48.54</v>
      </c>
      <c r="H9170" s="222">
        <v>2042</v>
      </c>
      <c r="I9170" s="222">
        <v>1564.86</v>
      </c>
      <c r="J9170" s="222">
        <v>191.04</v>
      </c>
      <c r="K9170" s="222">
        <v>286.10000000000002</v>
      </c>
      <c r="L9170" s="43">
        <v>9.2991484129514088</v>
      </c>
      <c r="M9170" s="43">
        <v>11.500404203718674</v>
      </c>
      <c r="N9170" s="43">
        <v>5.4614065180102918</v>
      </c>
      <c r="O9170" s="43">
        <v>5.8941079522043678</v>
      </c>
      <c r="P9170" s="223"/>
      <c r="Q9170" s="223"/>
      <c r="R9170" s="223">
        <v>4</v>
      </c>
    </row>
    <row r="9171" spans="1:18" ht="36">
      <c r="A9171" s="219">
        <v>1877</v>
      </c>
      <c r="B9171" s="216" t="s">
        <v>16892</v>
      </c>
      <c r="C9171" s="220" t="s">
        <v>16893</v>
      </c>
      <c r="D9171" s="221">
        <v>341.62</v>
      </c>
      <c r="E9171" s="221">
        <v>197.92</v>
      </c>
      <c r="F9171" s="221">
        <v>55.05</v>
      </c>
      <c r="G9171" s="221">
        <v>88.65</v>
      </c>
      <c r="H9171" s="222">
        <v>3056.21</v>
      </c>
      <c r="I9171" s="222">
        <v>2276.16</v>
      </c>
      <c r="J9171" s="222">
        <v>305.20999999999998</v>
      </c>
      <c r="K9171" s="222">
        <v>474.84</v>
      </c>
      <c r="L9171" s="43">
        <v>8.9462268017095017</v>
      </c>
      <c r="M9171" s="43">
        <v>11.500404203718674</v>
      </c>
      <c r="N9171" s="43">
        <v>5.5442325158946408</v>
      </c>
      <c r="O9171" s="43">
        <v>5.3563451776649744</v>
      </c>
      <c r="P9171" s="223"/>
      <c r="Q9171" s="223"/>
      <c r="R9171" s="223">
        <v>4</v>
      </c>
    </row>
    <row r="9172" spans="1:18" ht="36">
      <c r="A9172" s="219">
        <v>1878</v>
      </c>
      <c r="B9172" s="216" t="s">
        <v>16894</v>
      </c>
      <c r="C9172" s="220" t="s">
        <v>16895</v>
      </c>
      <c r="D9172" s="221">
        <v>403.29</v>
      </c>
      <c r="E9172" s="221">
        <v>222.66</v>
      </c>
      <c r="F9172" s="221">
        <v>69.81</v>
      </c>
      <c r="G9172" s="221">
        <v>110.82</v>
      </c>
      <c r="H9172" s="222">
        <v>3488.95</v>
      </c>
      <c r="I9172" s="222">
        <v>2560.6799999999998</v>
      </c>
      <c r="J9172" s="222">
        <v>381.67</v>
      </c>
      <c r="K9172" s="222">
        <v>546.6</v>
      </c>
      <c r="L9172" s="43">
        <v>8.6512187259788238</v>
      </c>
      <c r="M9172" s="43">
        <v>11.500404203718674</v>
      </c>
      <c r="N9172" s="43">
        <v>5.4672682996705344</v>
      </c>
      <c r="O9172" s="43">
        <v>4.9323226854358424</v>
      </c>
      <c r="P9172" s="223"/>
      <c r="Q9172" s="223"/>
      <c r="R9172" s="223">
        <v>4</v>
      </c>
    </row>
    <row r="9173" spans="1:18" ht="36">
      <c r="A9173" s="219">
        <v>1879</v>
      </c>
      <c r="B9173" s="216" t="s">
        <v>16896</v>
      </c>
      <c r="C9173" s="220" t="s">
        <v>16897</v>
      </c>
      <c r="D9173" s="221">
        <v>688.5</v>
      </c>
      <c r="E9173" s="221">
        <v>395.84</v>
      </c>
      <c r="F9173" s="221">
        <v>129.04</v>
      </c>
      <c r="G9173" s="221">
        <v>163.62</v>
      </c>
      <c r="H9173" s="222">
        <v>6029.44</v>
      </c>
      <c r="I9173" s="222">
        <v>4552.32</v>
      </c>
      <c r="J9173" s="222">
        <v>678.88</v>
      </c>
      <c r="K9173" s="222">
        <v>798.24</v>
      </c>
      <c r="L9173" s="43">
        <v>8.7573565722585318</v>
      </c>
      <c r="M9173" s="43">
        <v>11.500404203718674</v>
      </c>
      <c r="N9173" s="43">
        <v>5.2610043397396158</v>
      </c>
      <c r="O9173" s="43">
        <v>4.8786211954528786</v>
      </c>
      <c r="P9173" s="223"/>
      <c r="Q9173" s="223"/>
      <c r="R9173" s="223">
        <v>4</v>
      </c>
    </row>
    <row r="9174" spans="1:18" ht="36">
      <c r="A9174" s="219">
        <v>1880</v>
      </c>
      <c r="B9174" s="216" t="s">
        <v>16898</v>
      </c>
      <c r="C9174" s="220" t="s">
        <v>16899</v>
      </c>
      <c r="D9174" s="221">
        <v>795.73</v>
      </c>
      <c r="E9174" s="221">
        <v>494.8</v>
      </c>
      <c r="F9174" s="221">
        <v>148.24</v>
      </c>
      <c r="G9174" s="221">
        <v>152.69</v>
      </c>
      <c r="H9174" s="222">
        <v>7285.62</v>
      </c>
      <c r="I9174" s="222">
        <v>5690.4</v>
      </c>
      <c r="J9174" s="222">
        <v>761.49</v>
      </c>
      <c r="K9174" s="222">
        <v>833.73</v>
      </c>
      <c r="L9174" s="43">
        <v>9.1558945873600344</v>
      </c>
      <c r="M9174" s="43">
        <v>11.500404203718674</v>
      </c>
      <c r="N9174" s="43">
        <v>5.1368726389638422</v>
      </c>
      <c r="O9174" s="43">
        <v>5.4602789966598992</v>
      </c>
      <c r="P9174" s="223"/>
      <c r="Q9174" s="223"/>
      <c r="R9174" s="223">
        <v>4</v>
      </c>
    </row>
    <row r="9175" spans="1:18" ht="36">
      <c r="A9175" s="219">
        <v>1881</v>
      </c>
      <c r="B9175" s="216" t="s">
        <v>16900</v>
      </c>
      <c r="C9175" s="220" t="s">
        <v>16901</v>
      </c>
      <c r="D9175" s="221">
        <v>1140.73</v>
      </c>
      <c r="E9175" s="221">
        <v>576.84</v>
      </c>
      <c r="F9175" s="221">
        <v>205.62</v>
      </c>
      <c r="G9175" s="221">
        <v>358.27</v>
      </c>
      <c r="H9175" s="222">
        <v>9369.74</v>
      </c>
      <c r="I9175" s="222">
        <v>6633.66</v>
      </c>
      <c r="J9175" s="222">
        <v>1107.5999999999999</v>
      </c>
      <c r="K9175" s="222">
        <v>1628.48</v>
      </c>
      <c r="L9175" s="43">
        <v>8.2138104547088258</v>
      </c>
      <c r="M9175" s="43">
        <v>11.5</v>
      </c>
      <c r="N9175" s="43">
        <v>5.3866355412897571</v>
      </c>
      <c r="O9175" s="43">
        <v>4.5453987216345215</v>
      </c>
      <c r="P9175" s="223"/>
      <c r="Q9175" s="223"/>
      <c r="R9175" s="223">
        <v>4</v>
      </c>
    </row>
    <row r="9176" spans="1:18" ht="36">
      <c r="A9176" s="219">
        <v>1882</v>
      </c>
      <c r="B9176" s="216" t="s">
        <v>16902</v>
      </c>
      <c r="C9176" s="220" t="s">
        <v>16903</v>
      </c>
      <c r="D9176" s="221">
        <v>1218.53</v>
      </c>
      <c r="E9176" s="221">
        <v>689.7</v>
      </c>
      <c r="F9176" s="221">
        <v>224.87</v>
      </c>
      <c r="G9176" s="221">
        <v>303.95999999999998</v>
      </c>
      <c r="H9176" s="222">
        <v>10651.84</v>
      </c>
      <c r="I9176" s="222">
        <v>7931.55</v>
      </c>
      <c r="J9176" s="222">
        <v>1177.43</v>
      </c>
      <c r="K9176" s="222">
        <v>1542.86</v>
      </c>
      <c r="L9176" s="43">
        <v>8.7415492437609252</v>
      </c>
      <c r="M9176" s="43">
        <v>11.5</v>
      </c>
      <c r="N9176" s="43">
        <v>5.2360474941077069</v>
      </c>
      <c r="O9176" s="43">
        <v>5.0758652454270301</v>
      </c>
      <c r="P9176" s="223"/>
      <c r="Q9176" s="223"/>
      <c r="R9176" s="223">
        <v>4</v>
      </c>
    </row>
    <row r="9177" spans="1:18" ht="12.75" customHeight="1">
      <c r="A9177" s="628" t="s">
        <v>16904</v>
      </c>
      <c r="B9177" s="629"/>
      <c r="C9177" s="629"/>
      <c r="D9177" s="629"/>
      <c r="E9177" s="629"/>
      <c r="F9177" s="629"/>
      <c r="G9177" s="629"/>
      <c r="H9177" s="629"/>
      <c r="I9177" s="629"/>
      <c r="J9177" s="629"/>
      <c r="K9177" s="629"/>
      <c r="L9177" s="629"/>
      <c r="M9177" s="629"/>
      <c r="N9177" s="629"/>
      <c r="O9177" s="629"/>
      <c r="P9177" s="629"/>
      <c r="Q9177" s="629"/>
      <c r="R9177" s="629"/>
    </row>
    <row r="9178" spans="1:18" ht="36">
      <c r="A9178" s="219">
        <v>1883</v>
      </c>
      <c r="B9178" s="216" t="s">
        <v>16905</v>
      </c>
      <c r="C9178" s="220" t="s">
        <v>16906</v>
      </c>
      <c r="D9178" s="221">
        <v>366.37</v>
      </c>
      <c r="E9178" s="221">
        <v>213.18</v>
      </c>
      <c r="F9178" s="221">
        <v>60.8</v>
      </c>
      <c r="G9178" s="221">
        <v>92.39</v>
      </c>
      <c r="H9178" s="222">
        <v>3281.01</v>
      </c>
      <c r="I9178" s="222">
        <v>2451.5700000000002</v>
      </c>
      <c r="J9178" s="222">
        <v>334.7</v>
      </c>
      <c r="K9178" s="222">
        <v>494.74</v>
      </c>
      <c r="L9178" s="43">
        <v>8.9554548680295873</v>
      </c>
      <c r="M9178" s="43">
        <v>11.5</v>
      </c>
      <c r="N9178" s="43">
        <v>5.5049342105263159</v>
      </c>
      <c r="O9178" s="43">
        <v>5.3549085398852689</v>
      </c>
      <c r="P9178" s="223"/>
      <c r="Q9178" s="223"/>
      <c r="R9178" s="223">
        <v>5</v>
      </c>
    </row>
    <row r="9179" spans="1:18" ht="12.75" customHeight="1">
      <c r="A9179" s="628" t="s">
        <v>16907</v>
      </c>
      <c r="B9179" s="629"/>
      <c r="C9179" s="629"/>
      <c r="D9179" s="629"/>
      <c r="E9179" s="629"/>
      <c r="F9179" s="629"/>
      <c r="G9179" s="629"/>
      <c r="H9179" s="629"/>
      <c r="I9179" s="629"/>
      <c r="J9179" s="629"/>
      <c r="K9179" s="629"/>
      <c r="L9179" s="629"/>
      <c r="M9179" s="629"/>
      <c r="N9179" s="629"/>
      <c r="O9179" s="629"/>
      <c r="P9179" s="629"/>
      <c r="Q9179" s="629"/>
      <c r="R9179" s="629"/>
    </row>
    <row r="9180" spans="1:18" ht="36">
      <c r="A9180" s="219">
        <v>1884</v>
      </c>
      <c r="B9180" s="216" t="s">
        <v>16908</v>
      </c>
      <c r="C9180" s="220" t="s">
        <v>16909</v>
      </c>
      <c r="D9180" s="221">
        <v>2723.4</v>
      </c>
      <c r="E9180" s="221">
        <v>1012.6</v>
      </c>
      <c r="F9180" s="221">
        <v>778.35</v>
      </c>
      <c r="G9180" s="221">
        <v>932.45</v>
      </c>
      <c r="H9180" s="222">
        <v>20090.080000000002</v>
      </c>
      <c r="I9180" s="222">
        <v>11644.9</v>
      </c>
      <c r="J9180" s="222">
        <v>3004.15</v>
      </c>
      <c r="K9180" s="222">
        <v>5441.03</v>
      </c>
      <c r="L9180" s="43">
        <v>7.376837776309026</v>
      </c>
      <c r="M9180" s="43">
        <v>11.5</v>
      </c>
      <c r="N9180" s="43">
        <v>3.8596389798933641</v>
      </c>
      <c r="O9180" s="43">
        <v>5.8351975977264194</v>
      </c>
      <c r="P9180" s="223"/>
      <c r="Q9180" s="223"/>
      <c r="R9180" s="223">
        <v>6</v>
      </c>
    </row>
    <row r="9181" spans="1:18" ht="36">
      <c r="A9181" s="219">
        <v>1885</v>
      </c>
      <c r="B9181" s="216" t="s">
        <v>16910</v>
      </c>
      <c r="C9181" s="220" t="s">
        <v>16911</v>
      </c>
      <c r="D9181" s="221">
        <v>3646.54</v>
      </c>
      <c r="E9181" s="221">
        <v>1342</v>
      </c>
      <c r="F9181" s="221">
        <v>942.13</v>
      </c>
      <c r="G9181" s="221">
        <v>1362.41</v>
      </c>
      <c r="H9181" s="222">
        <v>27097.31</v>
      </c>
      <c r="I9181" s="222">
        <v>15433</v>
      </c>
      <c r="J9181" s="222">
        <v>3738.95</v>
      </c>
      <c r="K9181" s="222">
        <v>7925.36</v>
      </c>
      <c r="L9181" s="43">
        <v>7.4309646953002026</v>
      </c>
      <c r="M9181" s="43">
        <v>11.5</v>
      </c>
      <c r="N9181" s="43">
        <v>3.9686136732722659</v>
      </c>
      <c r="O9181" s="43">
        <v>5.8171622345696221</v>
      </c>
      <c r="P9181" s="223"/>
      <c r="Q9181" s="223"/>
      <c r="R9181" s="223">
        <v>6</v>
      </c>
    </row>
    <row r="9182" spans="1:18" ht="36">
      <c r="A9182" s="219">
        <v>1886</v>
      </c>
      <c r="B9182" s="216" t="s">
        <v>16912</v>
      </c>
      <c r="C9182" s="220" t="s">
        <v>16913</v>
      </c>
      <c r="D9182" s="221">
        <v>6139.05</v>
      </c>
      <c r="E9182" s="221">
        <v>2009.76</v>
      </c>
      <c r="F9182" s="221">
        <v>1399.15</v>
      </c>
      <c r="G9182" s="221">
        <v>2730.14</v>
      </c>
      <c r="H9182" s="222">
        <v>44008.19</v>
      </c>
      <c r="I9182" s="222">
        <v>23112.240000000002</v>
      </c>
      <c r="J9182" s="222">
        <v>5833.94</v>
      </c>
      <c r="K9182" s="222">
        <v>15062.01</v>
      </c>
      <c r="L9182" s="43">
        <v>7.1685667977944476</v>
      </c>
      <c r="M9182" s="43">
        <v>11.5</v>
      </c>
      <c r="N9182" s="43">
        <v>4.1696315620197968</v>
      </c>
      <c r="O9182" s="43">
        <v>5.5169368603807865</v>
      </c>
      <c r="P9182" s="223"/>
      <c r="Q9182" s="223"/>
      <c r="R9182" s="223">
        <v>6</v>
      </c>
    </row>
    <row r="9183" spans="1:18" ht="36">
      <c r="A9183" s="219">
        <v>1887</v>
      </c>
      <c r="B9183" s="216" t="s">
        <v>16914</v>
      </c>
      <c r="C9183" s="220" t="s">
        <v>16915</v>
      </c>
      <c r="D9183" s="221">
        <v>8748.39</v>
      </c>
      <c r="E9183" s="221">
        <v>2569.44</v>
      </c>
      <c r="F9183" s="221">
        <v>1851.41</v>
      </c>
      <c r="G9183" s="221">
        <v>4327.54</v>
      </c>
      <c r="H9183" s="222">
        <v>60895.16</v>
      </c>
      <c r="I9183" s="222">
        <v>29548.560000000001</v>
      </c>
      <c r="J9183" s="222">
        <v>7984.35</v>
      </c>
      <c r="K9183" s="222">
        <v>23362.25</v>
      </c>
      <c r="L9183" s="43">
        <v>6.960727631026967</v>
      </c>
      <c r="M9183" s="43">
        <v>11.5</v>
      </c>
      <c r="N9183" s="43">
        <v>4.3125779811062923</v>
      </c>
      <c r="O9183" s="43">
        <v>5.3985058485883437</v>
      </c>
      <c r="P9183" s="223"/>
      <c r="Q9183" s="223"/>
      <c r="R9183" s="223">
        <v>6</v>
      </c>
    </row>
    <row r="9184" spans="1:18" ht="36">
      <c r="A9184" s="219">
        <v>1888</v>
      </c>
      <c r="B9184" s="216" t="s">
        <v>16916</v>
      </c>
      <c r="C9184" s="220" t="s">
        <v>16917</v>
      </c>
      <c r="D9184" s="221">
        <v>7762.37</v>
      </c>
      <c r="E9184" s="221">
        <v>2569.44</v>
      </c>
      <c r="F9184" s="221">
        <v>1725.05</v>
      </c>
      <c r="G9184" s="221">
        <v>3467.88</v>
      </c>
      <c r="H9184" s="222">
        <v>55832.24</v>
      </c>
      <c r="I9184" s="222">
        <v>29548.560000000001</v>
      </c>
      <c r="J9184" s="222">
        <v>7291.82</v>
      </c>
      <c r="K9184" s="222">
        <v>18991.86</v>
      </c>
      <c r="L9184" s="43">
        <v>7.1926795553419893</v>
      </c>
      <c r="M9184" s="43">
        <v>11.5</v>
      </c>
      <c r="N9184" s="43">
        <v>4.2270195066809659</v>
      </c>
      <c r="O9184" s="43">
        <v>5.476504377314094</v>
      </c>
      <c r="P9184" s="223"/>
      <c r="Q9184" s="223"/>
      <c r="R9184" s="223">
        <v>6</v>
      </c>
    </row>
    <row r="9185" spans="1:18" ht="12.75" customHeight="1">
      <c r="A9185" s="628" t="s">
        <v>16918</v>
      </c>
      <c r="B9185" s="629"/>
      <c r="C9185" s="629"/>
      <c r="D9185" s="629"/>
      <c r="E9185" s="629"/>
      <c r="F9185" s="629"/>
      <c r="G9185" s="629"/>
      <c r="H9185" s="629"/>
      <c r="I9185" s="629"/>
      <c r="J9185" s="629"/>
      <c r="K9185" s="629"/>
      <c r="L9185" s="629"/>
      <c r="M9185" s="629"/>
      <c r="N9185" s="629"/>
      <c r="O9185" s="629"/>
      <c r="P9185" s="629"/>
      <c r="Q9185" s="629"/>
      <c r="R9185" s="629"/>
    </row>
    <row r="9186" spans="1:18" ht="36">
      <c r="A9186" s="219">
        <v>1889</v>
      </c>
      <c r="B9186" s="216" t="s">
        <v>16919</v>
      </c>
      <c r="C9186" s="220" t="s">
        <v>16920</v>
      </c>
      <c r="D9186" s="221">
        <v>2738.71</v>
      </c>
      <c r="E9186" s="221">
        <v>1009.68</v>
      </c>
      <c r="F9186" s="221">
        <v>779.01</v>
      </c>
      <c r="G9186" s="221">
        <v>950.02</v>
      </c>
      <c r="H9186" s="222">
        <v>20124.73</v>
      </c>
      <c r="I9186" s="222">
        <v>11611.32</v>
      </c>
      <c r="J9186" s="222">
        <v>3010.14</v>
      </c>
      <c r="K9186" s="222">
        <v>5503.27</v>
      </c>
      <c r="L9186" s="43">
        <v>7.3482515490869789</v>
      </c>
      <c r="M9186" s="43">
        <v>11.5</v>
      </c>
      <c r="N9186" s="43">
        <v>3.8640582277506064</v>
      </c>
      <c r="O9186" s="43">
        <v>5.7927938359192446</v>
      </c>
      <c r="P9186" s="223"/>
      <c r="Q9186" s="223"/>
      <c r="R9186" s="223">
        <v>7</v>
      </c>
    </row>
    <row r="9187" spans="1:18" ht="36">
      <c r="A9187" s="219">
        <v>1890</v>
      </c>
      <c r="B9187" s="216" t="s">
        <v>16921</v>
      </c>
      <c r="C9187" s="220" t="s">
        <v>16922</v>
      </c>
      <c r="D9187" s="221">
        <v>3662.43</v>
      </c>
      <c r="E9187" s="221">
        <v>1342</v>
      </c>
      <c r="F9187" s="221">
        <v>941.13</v>
      </c>
      <c r="G9187" s="221">
        <v>1379.3</v>
      </c>
      <c r="H9187" s="222">
        <v>27151.01</v>
      </c>
      <c r="I9187" s="222">
        <v>15433</v>
      </c>
      <c r="J9187" s="222">
        <v>3733.64</v>
      </c>
      <c r="K9187" s="222">
        <v>7984.37</v>
      </c>
      <c r="L9187" s="43">
        <v>7.4133867404974296</v>
      </c>
      <c r="M9187" s="43">
        <v>11.5</v>
      </c>
      <c r="N9187" s="43">
        <v>3.9671883799262586</v>
      </c>
      <c r="O9187" s="43">
        <v>5.7887116653374902</v>
      </c>
      <c r="P9187" s="223"/>
      <c r="Q9187" s="223"/>
      <c r="R9187" s="223">
        <v>7</v>
      </c>
    </row>
    <row r="9188" spans="1:18" ht="36">
      <c r="A9188" s="219">
        <v>1891</v>
      </c>
      <c r="B9188" s="216" t="s">
        <v>16923</v>
      </c>
      <c r="C9188" s="220" t="s">
        <v>16924</v>
      </c>
      <c r="D9188" s="221">
        <v>7491.04</v>
      </c>
      <c r="E9188" s="221">
        <v>2353.1999999999998</v>
      </c>
      <c r="F9188" s="221">
        <v>1664.56</v>
      </c>
      <c r="G9188" s="221">
        <v>3473.28</v>
      </c>
      <c r="H9188" s="222">
        <v>53021.74</v>
      </c>
      <c r="I9188" s="222">
        <v>27061.8</v>
      </c>
      <c r="J9188" s="222">
        <v>6994.23</v>
      </c>
      <c r="K9188" s="222">
        <v>18965.71</v>
      </c>
      <c r="L9188" s="43">
        <v>7.0780212093380888</v>
      </c>
      <c r="M9188" s="43">
        <v>11.5</v>
      </c>
      <c r="N9188" s="43">
        <v>4.2018491373095594</v>
      </c>
      <c r="O9188" s="43">
        <v>5.460461005159388</v>
      </c>
      <c r="P9188" s="223"/>
      <c r="Q9188" s="223"/>
      <c r="R9188" s="223">
        <v>7</v>
      </c>
    </row>
    <row r="9189" spans="1:18" ht="36">
      <c r="A9189" s="219">
        <v>1892</v>
      </c>
      <c r="B9189" s="216" t="s">
        <v>16925</v>
      </c>
      <c r="C9189" s="220" t="s">
        <v>16926</v>
      </c>
      <c r="D9189" s="221">
        <v>8475.7000000000007</v>
      </c>
      <c r="E9189" s="221">
        <v>2771.35</v>
      </c>
      <c r="F9189" s="221">
        <v>1804.7</v>
      </c>
      <c r="G9189" s="221">
        <v>3899.65</v>
      </c>
      <c r="H9189" s="222">
        <v>61014.32</v>
      </c>
      <c r="I9189" s="222">
        <v>31871.599999999999</v>
      </c>
      <c r="J9189" s="222">
        <v>7710.44</v>
      </c>
      <c r="K9189" s="222">
        <v>21432.28</v>
      </c>
      <c r="L9189" s="43">
        <v>7.198735207711457</v>
      </c>
      <c r="M9189" s="43">
        <v>11.500387897595035</v>
      </c>
      <c r="N9189" s="43">
        <v>4.2724220091982046</v>
      </c>
      <c r="O9189" s="43">
        <v>5.4959496365058396</v>
      </c>
      <c r="P9189" s="223"/>
      <c r="Q9189" s="223"/>
      <c r="R9189" s="223">
        <v>7</v>
      </c>
    </row>
    <row r="9190" spans="1:18" ht="12.75" customHeight="1">
      <c r="A9190" s="628" t="s">
        <v>16927</v>
      </c>
      <c r="B9190" s="629"/>
      <c r="C9190" s="629"/>
      <c r="D9190" s="629"/>
      <c r="E9190" s="629"/>
      <c r="F9190" s="629"/>
      <c r="G9190" s="629"/>
      <c r="H9190" s="629"/>
      <c r="I9190" s="629"/>
      <c r="J9190" s="629"/>
      <c r="K9190" s="629"/>
      <c r="L9190" s="629"/>
      <c r="M9190" s="629"/>
      <c r="N9190" s="629"/>
      <c r="O9190" s="629"/>
      <c r="P9190" s="629"/>
      <c r="Q9190" s="629"/>
      <c r="R9190" s="629"/>
    </row>
    <row r="9191" spans="1:18" ht="36">
      <c r="A9191" s="219">
        <v>1893</v>
      </c>
      <c r="B9191" s="216" t="s">
        <v>16928</v>
      </c>
      <c r="C9191" s="220" t="s">
        <v>16929</v>
      </c>
      <c r="D9191" s="221">
        <v>408.9</v>
      </c>
      <c r="E9191" s="221">
        <v>250.8</v>
      </c>
      <c r="F9191" s="221">
        <v>93.91</v>
      </c>
      <c r="G9191" s="221">
        <v>64.19</v>
      </c>
      <c r="H9191" s="222">
        <v>3740.44</v>
      </c>
      <c r="I9191" s="222">
        <v>2884.2</v>
      </c>
      <c r="J9191" s="222">
        <v>523.09</v>
      </c>
      <c r="K9191" s="222">
        <v>333.15</v>
      </c>
      <c r="L9191" s="43">
        <v>9.1475666422108102</v>
      </c>
      <c r="M9191" s="43">
        <v>11.499999999999998</v>
      </c>
      <c r="N9191" s="43">
        <v>5.5701203279735925</v>
      </c>
      <c r="O9191" s="43">
        <v>5.1900607571272781</v>
      </c>
      <c r="P9191" s="223"/>
      <c r="Q9191" s="223"/>
      <c r="R9191" s="223">
        <v>8</v>
      </c>
    </row>
    <row r="9192" spans="1:18" ht="36">
      <c r="A9192" s="219">
        <v>1894</v>
      </c>
      <c r="B9192" s="216" t="s">
        <v>16930</v>
      </c>
      <c r="C9192" s="220" t="s">
        <v>16931</v>
      </c>
      <c r="D9192" s="221">
        <v>2454.86</v>
      </c>
      <c r="E9192" s="221">
        <v>877.8</v>
      </c>
      <c r="F9192" s="221">
        <v>691.12</v>
      </c>
      <c r="G9192" s="221">
        <v>885.94</v>
      </c>
      <c r="H9192" s="222">
        <v>18010.490000000002</v>
      </c>
      <c r="I9192" s="222">
        <v>10094.700000000001</v>
      </c>
      <c r="J9192" s="222">
        <v>2691.43</v>
      </c>
      <c r="K9192" s="222">
        <v>5224.3599999999997</v>
      </c>
      <c r="L9192" s="43">
        <v>7.3366668567657625</v>
      </c>
      <c r="M9192" s="43">
        <v>11.500000000000002</v>
      </c>
      <c r="N9192" s="43">
        <v>3.8943020025465906</v>
      </c>
      <c r="O9192" s="43">
        <v>5.8969681919768826</v>
      </c>
      <c r="P9192" s="223"/>
      <c r="Q9192" s="223"/>
      <c r="R9192" s="223">
        <v>8</v>
      </c>
    </row>
    <row r="9193" spans="1:18" ht="36">
      <c r="A9193" s="219">
        <v>1895</v>
      </c>
      <c r="B9193" s="216" t="s">
        <v>16932</v>
      </c>
      <c r="C9193" s="220" t="s">
        <v>16933</v>
      </c>
      <c r="D9193" s="221">
        <v>2728.28</v>
      </c>
      <c r="E9193" s="221">
        <v>1053.3599999999999</v>
      </c>
      <c r="F9193" s="221">
        <v>829.89</v>
      </c>
      <c r="G9193" s="221">
        <v>845.03</v>
      </c>
      <c r="H9193" s="222">
        <v>20423.22</v>
      </c>
      <c r="I9193" s="222">
        <v>12113.64</v>
      </c>
      <c r="J9193" s="222">
        <v>3318.71</v>
      </c>
      <c r="K9193" s="222">
        <v>4990.87</v>
      </c>
      <c r="L9193" s="43">
        <v>7.4857492632720977</v>
      </c>
      <c r="M9193" s="43">
        <v>11.5</v>
      </c>
      <c r="N9193" s="43">
        <v>3.9989757678728508</v>
      </c>
      <c r="O9193" s="43">
        <v>5.9061453439522857</v>
      </c>
      <c r="P9193" s="223"/>
      <c r="Q9193" s="223"/>
      <c r="R9193" s="223">
        <v>8</v>
      </c>
    </row>
    <row r="9194" spans="1:18" ht="36">
      <c r="A9194" s="219">
        <v>1896</v>
      </c>
      <c r="B9194" s="216" t="s">
        <v>16934</v>
      </c>
      <c r="C9194" s="220" t="s">
        <v>16935</v>
      </c>
      <c r="D9194" s="221">
        <v>3998.5</v>
      </c>
      <c r="E9194" s="221">
        <v>1417.02</v>
      </c>
      <c r="F9194" s="221">
        <v>1151.4100000000001</v>
      </c>
      <c r="G9194" s="221">
        <v>1430.07</v>
      </c>
      <c r="H9194" s="222">
        <v>29164.07</v>
      </c>
      <c r="I9194" s="222">
        <v>16295.73</v>
      </c>
      <c r="J9194" s="222">
        <v>4575.6499999999996</v>
      </c>
      <c r="K9194" s="222">
        <v>8292.69</v>
      </c>
      <c r="L9194" s="43">
        <v>7.2937526572464675</v>
      </c>
      <c r="M9194" s="43">
        <v>11.5</v>
      </c>
      <c r="N9194" s="43">
        <v>3.9739536741907742</v>
      </c>
      <c r="O9194" s="43">
        <v>5.7988000587383839</v>
      </c>
      <c r="P9194" s="223"/>
      <c r="Q9194" s="223"/>
      <c r="R9194" s="223">
        <v>8</v>
      </c>
    </row>
    <row r="9195" spans="1:18" ht="36">
      <c r="A9195" s="219">
        <v>1897</v>
      </c>
      <c r="B9195" s="216" t="s">
        <v>16936</v>
      </c>
      <c r="C9195" s="220" t="s">
        <v>16937</v>
      </c>
      <c r="D9195" s="221">
        <v>4349.32</v>
      </c>
      <c r="E9195" s="221">
        <v>1628.16</v>
      </c>
      <c r="F9195" s="221">
        <v>1208.18</v>
      </c>
      <c r="G9195" s="221">
        <v>1512.98</v>
      </c>
      <c r="H9195" s="222">
        <v>32140.87</v>
      </c>
      <c r="I9195" s="222">
        <v>18723.84</v>
      </c>
      <c r="J9195" s="222">
        <v>4866.5200000000004</v>
      </c>
      <c r="K9195" s="222">
        <v>8550.51</v>
      </c>
      <c r="L9195" s="43">
        <v>7.3898609437797171</v>
      </c>
      <c r="M9195" s="43">
        <v>11.5</v>
      </c>
      <c r="N9195" s="43">
        <v>4.0279759638464467</v>
      </c>
      <c r="O9195" s="43">
        <v>5.651436238416899</v>
      </c>
      <c r="P9195" s="223"/>
      <c r="Q9195" s="223"/>
      <c r="R9195" s="223">
        <v>8</v>
      </c>
    </row>
    <row r="9196" spans="1:18" ht="36">
      <c r="A9196" s="219">
        <v>1898</v>
      </c>
      <c r="B9196" s="216" t="s">
        <v>16938</v>
      </c>
      <c r="C9196" s="220" t="s">
        <v>16939</v>
      </c>
      <c r="D9196" s="221">
        <v>5503.61</v>
      </c>
      <c r="E9196" s="221">
        <v>2014</v>
      </c>
      <c r="F9196" s="221">
        <v>1382.16</v>
      </c>
      <c r="G9196" s="221">
        <v>2107.4499999999998</v>
      </c>
      <c r="H9196" s="222">
        <v>40693.089999999997</v>
      </c>
      <c r="I9196" s="222">
        <v>23161.759999999998</v>
      </c>
      <c r="J9196" s="222">
        <v>5751.18</v>
      </c>
      <c r="K9196" s="222">
        <v>11780.15</v>
      </c>
      <c r="L9196" s="43">
        <v>7.3938905554717715</v>
      </c>
      <c r="M9196" s="43">
        <v>11.500377358490566</v>
      </c>
      <c r="N9196" s="43">
        <v>4.1610088557041154</v>
      </c>
      <c r="O9196" s="43">
        <v>5.5897648817291046</v>
      </c>
      <c r="P9196" s="223"/>
      <c r="Q9196" s="223"/>
      <c r="R9196" s="223">
        <v>8</v>
      </c>
    </row>
    <row r="9197" spans="1:18" ht="36">
      <c r="A9197" s="219">
        <v>1899</v>
      </c>
      <c r="B9197" s="216" t="s">
        <v>16940</v>
      </c>
      <c r="C9197" s="220" t="s">
        <v>16941</v>
      </c>
      <c r="D9197" s="221">
        <v>5978.7</v>
      </c>
      <c r="E9197" s="221">
        <v>2014</v>
      </c>
      <c r="F9197" s="221">
        <v>1479.67</v>
      </c>
      <c r="G9197" s="221">
        <v>2485.0300000000002</v>
      </c>
      <c r="H9197" s="222">
        <v>42888.43</v>
      </c>
      <c r="I9197" s="222">
        <v>23161.759999999998</v>
      </c>
      <c r="J9197" s="222">
        <v>6345.78</v>
      </c>
      <c r="K9197" s="222">
        <v>13380.89</v>
      </c>
      <c r="L9197" s="43">
        <v>7.1735377255925208</v>
      </c>
      <c r="M9197" s="43">
        <v>11.500377358490566</v>
      </c>
      <c r="N9197" s="43">
        <v>4.2886454412132435</v>
      </c>
      <c r="O9197" s="43">
        <v>5.3845989786843615</v>
      </c>
      <c r="P9197" s="223"/>
      <c r="Q9197" s="223"/>
      <c r="R9197" s="223">
        <v>8</v>
      </c>
    </row>
    <row r="9198" spans="1:18" ht="12.75" customHeight="1">
      <c r="A9198" s="628" t="s">
        <v>16942</v>
      </c>
      <c r="B9198" s="629"/>
      <c r="C9198" s="629"/>
      <c r="D9198" s="629"/>
      <c r="E9198" s="629"/>
      <c r="F9198" s="629"/>
      <c r="G9198" s="629"/>
      <c r="H9198" s="629"/>
      <c r="I9198" s="629"/>
      <c r="J9198" s="629"/>
      <c r="K9198" s="629"/>
      <c r="L9198" s="629"/>
      <c r="M9198" s="629"/>
      <c r="N9198" s="629"/>
      <c r="O9198" s="629"/>
      <c r="P9198" s="629"/>
      <c r="Q9198" s="629"/>
      <c r="R9198" s="629"/>
    </row>
    <row r="9199" spans="1:18" ht="36">
      <c r="A9199" s="219">
        <v>1900</v>
      </c>
      <c r="B9199" s="216" t="s">
        <v>16943</v>
      </c>
      <c r="C9199" s="220" t="s">
        <v>16944</v>
      </c>
      <c r="D9199" s="221">
        <v>471.18</v>
      </c>
      <c r="E9199" s="221">
        <v>275.88</v>
      </c>
      <c r="F9199" s="221">
        <v>104.64</v>
      </c>
      <c r="G9199" s="221">
        <v>90.66</v>
      </c>
      <c r="H9199" s="222">
        <v>4192.68</v>
      </c>
      <c r="I9199" s="222">
        <v>3172.62</v>
      </c>
      <c r="J9199" s="222">
        <v>585.82000000000005</v>
      </c>
      <c r="K9199" s="222">
        <v>434.24</v>
      </c>
      <c r="L9199" s="43">
        <v>8.8982554437794477</v>
      </c>
      <c r="M9199" s="43">
        <v>11.5</v>
      </c>
      <c r="N9199" s="43">
        <v>5.5984327217125385</v>
      </c>
      <c r="O9199" s="43">
        <v>4.7897639532318559</v>
      </c>
      <c r="P9199" s="223"/>
      <c r="Q9199" s="223"/>
      <c r="R9199" s="223">
        <v>9</v>
      </c>
    </row>
    <row r="9200" spans="1:18" ht="36">
      <c r="A9200" s="219">
        <v>1901</v>
      </c>
      <c r="B9200" s="216" t="s">
        <v>16945</v>
      </c>
      <c r="C9200" s="220" t="s">
        <v>16946</v>
      </c>
      <c r="D9200" s="221">
        <v>2484.4899999999998</v>
      </c>
      <c r="E9200" s="221">
        <v>877.8</v>
      </c>
      <c r="F9200" s="221">
        <v>688.53</v>
      </c>
      <c r="G9200" s="221">
        <v>918.16</v>
      </c>
      <c r="H9200" s="222">
        <v>18114.57</v>
      </c>
      <c r="I9200" s="222">
        <v>10094.700000000001</v>
      </c>
      <c r="J9200" s="222">
        <v>2681.27</v>
      </c>
      <c r="K9200" s="222">
        <v>5338.6</v>
      </c>
      <c r="L9200" s="43">
        <v>7.2910617470788779</v>
      </c>
      <c r="M9200" s="43">
        <v>11.500000000000002</v>
      </c>
      <c r="N9200" s="43">
        <v>3.8941948789449987</v>
      </c>
      <c r="O9200" s="43">
        <v>5.8144549969504231</v>
      </c>
      <c r="P9200" s="223"/>
      <c r="Q9200" s="223"/>
      <c r="R9200" s="223">
        <v>9</v>
      </c>
    </row>
    <row r="9201" spans="1:18" ht="36">
      <c r="A9201" s="219">
        <v>1902</v>
      </c>
      <c r="B9201" s="216" t="s">
        <v>16947</v>
      </c>
      <c r="C9201" s="220" t="s">
        <v>16948</v>
      </c>
      <c r="D9201" s="221">
        <v>3948.35</v>
      </c>
      <c r="E9201" s="221">
        <v>1329.24</v>
      </c>
      <c r="F9201" s="221">
        <v>1127.94</v>
      </c>
      <c r="G9201" s="221">
        <v>1491.17</v>
      </c>
      <c r="H9201" s="222">
        <v>28204.07</v>
      </c>
      <c r="I9201" s="222">
        <v>15286.26</v>
      </c>
      <c r="J9201" s="222">
        <v>4428.6899999999996</v>
      </c>
      <c r="K9201" s="222">
        <v>8489.1200000000008</v>
      </c>
      <c r="L9201" s="43">
        <v>7.1432547773120421</v>
      </c>
      <c r="M9201" s="43">
        <v>11.5</v>
      </c>
      <c r="N9201" s="43">
        <v>3.9263524655566782</v>
      </c>
      <c r="O9201" s="43">
        <v>5.6929256892238982</v>
      </c>
      <c r="P9201" s="223"/>
      <c r="Q9201" s="223"/>
      <c r="R9201" s="223">
        <v>9</v>
      </c>
    </row>
    <row r="9202" spans="1:18" ht="36">
      <c r="A9202" s="219">
        <v>1903</v>
      </c>
      <c r="B9202" s="216" t="s">
        <v>16949</v>
      </c>
      <c r="C9202" s="220" t="s">
        <v>16950</v>
      </c>
      <c r="D9202" s="221">
        <v>3811.13</v>
      </c>
      <c r="E9202" s="221">
        <v>1329.24</v>
      </c>
      <c r="F9202" s="221">
        <v>962.54</v>
      </c>
      <c r="G9202" s="221">
        <v>1519.35</v>
      </c>
      <c r="H9202" s="222">
        <v>27650.53</v>
      </c>
      <c r="I9202" s="222">
        <v>15286.26</v>
      </c>
      <c r="J9202" s="222">
        <v>3893.42</v>
      </c>
      <c r="K9202" s="222">
        <v>8470.85</v>
      </c>
      <c r="L9202" s="43">
        <v>7.2552051491289982</v>
      </c>
      <c r="M9202" s="43">
        <v>11.5</v>
      </c>
      <c r="N9202" s="43">
        <v>4.0449435867600307</v>
      </c>
      <c r="O9202" s="43">
        <v>5.5753118109717974</v>
      </c>
      <c r="P9202" s="223"/>
      <c r="Q9202" s="223"/>
      <c r="R9202" s="223">
        <v>9</v>
      </c>
    </row>
    <row r="9203" spans="1:18" ht="36">
      <c r="A9203" s="219">
        <v>1904</v>
      </c>
      <c r="B9203" s="216" t="s">
        <v>16951</v>
      </c>
      <c r="C9203" s="220" t="s">
        <v>16952</v>
      </c>
      <c r="D9203" s="221">
        <v>5988.08</v>
      </c>
      <c r="E9203" s="221">
        <v>1933.5</v>
      </c>
      <c r="F9203" s="221">
        <v>1356.89</v>
      </c>
      <c r="G9203" s="221">
        <v>2697.69</v>
      </c>
      <c r="H9203" s="222">
        <v>42644.37</v>
      </c>
      <c r="I9203" s="222">
        <v>22236</v>
      </c>
      <c r="J9203" s="222">
        <v>5615.46</v>
      </c>
      <c r="K9203" s="222">
        <v>14792.91</v>
      </c>
      <c r="L9203" s="43">
        <v>7.1215431323562814</v>
      </c>
      <c r="M9203" s="43">
        <v>11.500387897595035</v>
      </c>
      <c r="N9203" s="43">
        <v>4.1384784322973855</v>
      </c>
      <c r="O9203" s="43">
        <v>5.4835470346852304</v>
      </c>
      <c r="P9203" s="223"/>
      <c r="Q9203" s="223"/>
      <c r="R9203" s="223">
        <v>9</v>
      </c>
    </row>
    <row r="9204" spans="1:18" ht="12.75" customHeight="1">
      <c r="A9204" s="628" t="s">
        <v>16953</v>
      </c>
      <c r="B9204" s="629"/>
      <c r="C9204" s="629"/>
      <c r="D9204" s="629"/>
      <c r="E9204" s="629"/>
      <c r="F9204" s="629"/>
      <c r="G9204" s="629"/>
      <c r="H9204" s="629"/>
      <c r="I9204" s="629"/>
      <c r="J9204" s="629"/>
      <c r="K9204" s="629"/>
      <c r="L9204" s="629"/>
      <c r="M9204" s="629"/>
      <c r="N9204" s="629"/>
      <c r="O9204" s="629"/>
      <c r="P9204" s="629"/>
      <c r="Q9204" s="629"/>
      <c r="R9204" s="629"/>
    </row>
    <row r="9205" spans="1:18" ht="36">
      <c r="A9205" s="219">
        <v>1905</v>
      </c>
      <c r="B9205" s="216" t="s">
        <v>16954</v>
      </c>
      <c r="C9205" s="220" t="s">
        <v>16955</v>
      </c>
      <c r="D9205" s="221">
        <v>500.9</v>
      </c>
      <c r="E9205" s="221">
        <v>336.56</v>
      </c>
      <c r="F9205" s="221">
        <v>99.46</v>
      </c>
      <c r="G9205" s="221">
        <v>64.88</v>
      </c>
      <c r="H9205" s="222">
        <v>4771.7700000000004</v>
      </c>
      <c r="I9205" s="222">
        <v>3870.44</v>
      </c>
      <c r="J9205" s="222">
        <v>552.83000000000004</v>
      </c>
      <c r="K9205" s="222">
        <v>348.5</v>
      </c>
      <c r="L9205" s="43">
        <v>9.5263924935116808</v>
      </c>
      <c r="M9205" s="43">
        <v>11.5</v>
      </c>
      <c r="N9205" s="43">
        <v>5.5583149004624985</v>
      </c>
      <c r="O9205" s="43">
        <v>5.3714549938347727</v>
      </c>
      <c r="P9205" s="223"/>
      <c r="Q9205" s="223"/>
      <c r="R9205" s="223">
        <v>10</v>
      </c>
    </row>
    <row r="9206" spans="1:18" ht="36">
      <c r="A9206" s="219">
        <v>1906</v>
      </c>
      <c r="B9206" s="216" t="s">
        <v>16956</v>
      </c>
      <c r="C9206" s="220" t="s">
        <v>16957</v>
      </c>
      <c r="D9206" s="221">
        <v>749.24</v>
      </c>
      <c r="E9206" s="221">
        <v>426.36</v>
      </c>
      <c r="F9206" s="221">
        <v>167.58</v>
      </c>
      <c r="G9206" s="221">
        <v>155.30000000000001</v>
      </c>
      <c r="H9206" s="222">
        <v>6536.53</v>
      </c>
      <c r="I9206" s="222">
        <v>4903.1400000000003</v>
      </c>
      <c r="J9206" s="222">
        <v>894.52</v>
      </c>
      <c r="K9206" s="222">
        <v>738.87</v>
      </c>
      <c r="L9206" s="43">
        <v>8.7242138700549887</v>
      </c>
      <c r="M9206" s="43">
        <v>11.5</v>
      </c>
      <c r="N9206" s="43">
        <v>5.3378684807256231</v>
      </c>
      <c r="O9206" s="43">
        <v>4.757694784288474</v>
      </c>
      <c r="P9206" s="223"/>
      <c r="Q9206" s="223"/>
      <c r="R9206" s="223">
        <v>10</v>
      </c>
    </row>
    <row r="9207" spans="1:18" ht="36">
      <c r="A9207" s="219">
        <v>1907</v>
      </c>
      <c r="B9207" s="216" t="s">
        <v>16958</v>
      </c>
      <c r="C9207" s="220" t="s">
        <v>16959</v>
      </c>
      <c r="D9207" s="221">
        <v>1319.84</v>
      </c>
      <c r="E9207" s="221">
        <v>653.5</v>
      </c>
      <c r="F9207" s="221">
        <v>289.57</v>
      </c>
      <c r="G9207" s="221">
        <v>376.77</v>
      </c>
      <c r="H9207" s="222">
        <v>10888.47</v>
      </c>
      <c r="I9207" s="222">
        <v>7515.5</v>
      </c>
      <c r="J9207" s="222">
        <v>1567.79</v>
      </c>
      <c r="K9207" s="222">
        <v>1805.18</v>
      </c>
      <c r="L9207" s="43">
        <v>8.2498408898048243</v>
      </c>
      <c r="M9207" s="43">
        <v>11.500382555470543</v>
      </c>
      <c r="N9207" s="43">
        <v>5.4142003660600198</v>
      </c>
      <c r="O9207" s="43">
        <v>4.7911988746450094</v>
      </c>
      <c r="P9207" s="223"/>
      <c r="Q9207" s="223"/>
      <c r="R9207" s="223">
        <v>10</v>
      </c>
    </row>
    <row r="9208" spans="1:18" ht="36">
      <c r="A9208" s="219">
        <v>1908</v>
      </c>
      <c r="B9208" s="216" t="s">
        <v>16960</v>
      </c>
      <c r="C9208" s="220" t="s">
        <v>16961</v>
      </c>
      <c r="D9208" s="221">
        <v>1846.81</v>
      </c>
      <c r="E9208" s="221">
        <v>862.62</v>
      </c>
      <c r="F9208" s="221">
        <v>391.83</v>
      </c>
      <c r="G9208" s="221">
        <v>592.36</v>
      </c>
      <c r="H9208" s="222">
        <v>14808.06</v>
      </c>
      <c r="I9208" s="222">
        <v>9920.4599999999991</v>
      </c>
      <c r="J9208" s="222">
        <v>2127.59</v>
      </c>
      <c r="K9208" s="222">
        <v>2760.01</v>
      </c>
      <c r="L9208" s="43">
        <v>8.0181827042305382</v>
      </c>
      <c r="M9208" s="43">
        <v>11.500382555470543</v>
      </c>
      <c r="N9208" s="43">
        <v>5.4298803052344136</v>
      </c>
      <c r="O9208" s="43">
        <v>4.6593456681747591</v>
      </c>
      <c r="P9208" s="223"/>
      <c r="Q9208" s="223"/>
      <c r="R9208" s="223">
        <v>10</v>
      </c>
    </row>
    <row r="9209" spans="1:18" ht="36">
      <c r="A9209" s="219">
        <v>1909</v>
      </c>
      <c r="B9209" s="216" t="s">
        <v>16962</v>
      </c>
      <c r="C9209" s="220" t="s">
        <v>16963</v>
      </c>
      <c r="D9209" s="221">
        <v>3910.05</v>
      </c>
      <c r="E9209" s="221">
        <v>1131.48</v>
      </c>
      <c r="F9209" s="221">
        <v>1282.78</v>
      </c>
      <c r="G9209" s="221">
        <v>1495.79</v>
      </c>
      <c r="H9209" s="222">
        <v>26893.62</v>
      </c>
      <c r="I9209" s="222">
        <v>13012.44</v>
      </c>
      <c r="J9209" s="222">
        <v>5359.15</v>
      </c>
      <c r="K9209" s="222">
        <v>8522.0300000000007</v>
      </c>
      <c r="L9209" s="43">
        <v>6.8780757279318676</v>
      </c>
      <c r="M9209" s="43">
        <v>11.5003711952487</v>
      </c>
      <c r="N9209" s="43">
        <v>4.1777623598746469</v>
      </c>
      <c r="O9209" s="43">
        <v>5.6973438784856167</v>
      </c>
      <c r="P9209" s="223"/>
      <c r="Q9209" s="223"/>
      <c r="R9209" s="223">
        <v>10</v>
      </c>
    </row>
    <row r="9210" spans="1:18" ht="36">
      <c r="A9210" s="219">
        <v>1910</v>
      </c>
      <c r="B9210" s="216" t="s">
        <v>16964</v>
      </c>
      <c r="C9210" s="220" t="s">
        <v>16965</v>
      </c>
      <c r="D9210" s="221">
        <v>2642.75</v>
      </c>
      <c r="E9210" s="221">
        <v>1131.48</v>
      </c>
      <c r="F9210" s="221">
        <v>542.77</v>
      </c>
      <c r="G9210" s="221">
        <v>968.5</v>
      </c>
      <c r="H9210" s="222">
        <v>20376.41</v>
      </c>
      <c r="I9210" s="222">
        <v>13012.44</v>
      </c>
      <c r="J9210" s="222">
        <v>2969.38</v>
      </c>
      <c r="K9210" s="222">
        <v>4394.59</v>
      </c>
      <c r="L9210" s="43">
        <v>7.7103055529278217</v>
      </c>
      <c r="M9210" s="43">
        <v>11.5003711952487</v>
      </c>
      <c r="N9210" s="43">
        <v>5.4707887318753805</v>
      </c>
      <c r="O9210" s="43">
        <v>4.5375219411461023</v>
      </c>
      <c r="P9210" s="223"/>
      <c r="Q9210" s="223"/>
      <c r="R9210" s="223">
        <v>10</v>
      </c>
    </row>
    <row r="9211" spans="1:18" ht="36">
      <c r="A9211" s="219">
        <v>1911</v>
      </c>
      <c r="B9211" s="216" t="s">
        <v>16966</v>
      </c>
      <c r="C9211" s="220" t="s">
        <v>16967</v>
      </c>
      <c r="D9211" s="221">
        <v>6198.7</v>
      </c>
      <c r="E9211" s="221">
        <v>2544.48</v>
      </c>
      <c r="F9211" s="221">
        <v>1614.45</v>
      </c>
      <c r="G9211" s="221">
        <v>2039.77</v>
      </c>
      <c r="H9211" s="222">
        <v>47772</v>
      </c>
      <c r="I9211" s="222">
        <v>29261.52</v>
      </c>
      <c r="J9211" s="222">
        <v>7169.23</v>
      </c>
      <c r="K9211" s="222">
        <v>11341.25</v>
      </c>
      <c r="L9211" s="43">
        <v>7.7067772274831823</v>
      </c>
      <c r="M9211" s="43">
        <v>11.5</v>
      </c>
      <c r="N9211" s="43">
        <v>4.4406640032209106</v>
      </c>
      <c r="O9211" s="43">
        <v>5.5600631443741211</v>
      </c>
      <c r="P9211" s="223"/>
      <c r="Q9211" s="223"/>
      <c r="R9211" s="223">
        <v>10</v>
      </c>
    </row>
    <row r="9212" spans="1:18" ht="12.75" customHeight="1">
      <c r="A9212" s="628" t="s">
        <v>16968</v>
      </c>
      <c r="B9212" s="629"/>
      <c r="C9212" s="629"/>
      <c r="D9212" s="629"/>
      <c r="E9212" s="629"/>
      <c r="F9212" s="629"/>
      <c r="G9212" s="629"/>
      <c r="H9212" s="629"/>
      <c r="I9212" s="629"/>
      <c r="J9212" s="629"/>
      <c r="K9212" s="629"/>
      <c r="L9212" s="629"/>
      <c r="M9212" s="629"/>
      <c r="N9212" s="629"/>
      <c r="O9212" s="629"/>
      <c r="P9212" s="629"/>
      <c r="Q9212" s="629"/>
      <c r="R9212" s="629"/>
    </row>
    <row r="9213" spans="1:18" ht="36">
      <c r="A9213" s="219">
        <v>1912</v>
      </c>
      <c r="B9213" s="216" t="s">
        <v>16969</v>
      </c>
      <c r="C9213" s="220" t="s">
        <v>16970</v>
      </c>
      <c r="D9213" s="221">
        <v>181.15</v>
      </c>
      <c r="E9213" s="221">
        <v>97.6</v>
      </c>
      <c r="F9213" s="221">
        <v>61.92</v>
      </c>
      <c r="G9213" s="221">
        <v>21.63</v>
      </c>
      <c r="H9213" s="222">
        <v>1582.64</v>
      </c>
      <c r="I9213" s="222">
        <v>1122.4000000000001</v>
      </c>
      <c r="J9213" s="222">
        <v>346.79</v>
      </c>
      <c r="K9213" s="222">
        <v>113.45</v>
      </c>
      <c r="L9213" s="43">
        <v>8.7366271046094397</v>
      </c>
      <c r="M9213" s="43">
        <v>11.500000000000002</v>
      </c>
      <c r="N9213" s="43">
        <v>5.6006136950904395</v>
      </c>
      <c r="O9213" s="43">
        <v>5.2450300508552941</v>
      </c>
      <c r="P9213" s="223"/>
      <c r="Q9213" s="223"/>
      <c r="R9213" s="223">
        <v>11</v>
      </c>
    </row>
    <row r="9214" spans="1:18" ht="36">
      <c r="A9214" s="219">
        <v>1913</v>
      </c>
      <c r="B9214" s="216" t="s">
        <v>16971</v>
      </c>
      <c r="C9214" s="220" t="s">
        <v>16972</v>
      </c>
      <c r="D9214" s="221">
        <v>477.83</v>
      </c>
      <c r="E9214" s="221">
        <v>284.51</v>
      </c>
      <c r="F9214" s="221">
        <v>104.88</v>
      </c>
      <c r="G9214" s="221">
        <v>88.44</v>
      </c>
      <c r="H9214" s="222">
        <v>4282.9399999999996</v>
      </c>
      <c r="I9214" s="222">
        <v>3271.98</v>
      </c>
      <c r="J9214" s="222">
        <v>585.08000000000004</v>
      </c>
      <c r="K9214" s="222">
        <v>425.88</v>
      </c>
      <c r="L9214" s="43">
        <v>8.9633133122658677</v>
      </c>
      <c r="M9214" s="43">
        <v>11.500404203718675</v>
      </c>
      <c r="N9214" s="43">
        <v>5.5785659801678111</v>
      </c>
      <c r="O9214" s="43">
        <v>4.8154681139755766</v>
      </c>
      <c r="P9214" s="223"/>
      <c r="Q9214" s="223"/>
      <c r="R9214" s="223">
        <v>11</v>
      </c>
    </row>
    <row r="9215" spans="1:18" ht="36">
      <c r="A9215" s="219">
        <v>1914</v>
      </c>
      <c r="B9215" s="216" t="s">
        <v>16973</v>
      </c>
      <c r="C9215" s="220" t="s">
        <v>16974</v>
      </c>
      <c r="D9215" s="221">
        <v>788.94</v>
      </c>
      <c r="E9215" s="221">
        <v>432.95</v>
      </c>
      <c r="F9215" s="221">
        <v>177.34</v>
      </c>
      <c r="G9215" s="221">
        <v>178.65</v>
      </c>
      <c r="H9215" s="222">
        <v>6750.96</v>
      </c>
      <c r="I9215" s="222">
        <v>4979.1000000000004</v>
      </c>
      <c r="J9215" s="222">
        <v>949.53</v>
      </c>
      <c r="K9215" s="222">
        <v>822.33</v>
      </c>
      <c r="L9215" s="43">
        <v>8.5570005323598739</v>
      </c>
      <c r="M9215" s="43">
        <v>11.500404203718675</v>
      </c>
      <c r="N9215" s="43">
        <v>5.3542911920604483</v>
      </c>
      <c r="O9215" s="43">
        <v>4.6030226700251893</v>
      </c>
      <c r="P9215" s="223"/>
      <c r="Q9215" s="223"/>
      <c r="R9215" s="223">
        <v>11</v>
      </c>
    </row>
    <row r="9216" spans="1:18" ht="36">
      <c r="A9216" s="219">
        <v>1915</v>
      </c>
      <c r="B9216" s="216" t="s">
        <v>16975</v>
      </c>
      <c r="C9216" s="220" t="s">
        <v>16976</v>
      </c>
      <c r="D9216" s="221">
        <v>1408.63</v>
      </c>
      <c r="E9216" s="221">
        <v>692.72</v>
      </c>
      <c r="F9216" s="221">
        <v>324.70999999999998</v>
      </c>
      <c r="G9216" s="221">
        <v>391.2</v>
      </c>
      <c r="H9216" s="222">
        <v>11552.12</v>
      </c>
      <c r="I9216" s="222">
        <v>7966.56</v>
      </c>
      <c r="J9216" s="222">
        <v>1725.7</v>
      </c>
      <c r="K9216" s="222">
        <v>1859.86</v>
      </c>
      <c r="L9216" s="43">
        <v>8.2009612176369941</v>
      </c>
      <c r="M9216" s="43">
        <v>11.500404203718674</v>
      </c>
      <c r="N9216" s="43">
        <v>5.3145884019586713</v>
      </c>
      <c r="O9216" s="43">
        <v>4.7542433537832309</v>
      </c>
      <c r="P9216" s="223"/>
      <c r="Q9216" s="223"/>
      <c r="R9216" s="223">
        <v>11</v>
      </c>
    </row>
    <row r="9217" spans="1:18" ht="36">
      <c r="A9217" s="219">
        <v>1916</v>
      </c>
      <c r="B9217" s="216" t="s">
        <v>16977</v>
      </c>
      <c r="C9217" s="220" t="s">
        <v>16978</v>
      </c>
      <c r="D9217" s="221">
        <v>1462.23</v>
      </c>
      <c r="E9217" s="221">
        <v>692.72</v>
      </c>
      <c r="F9217" s="221">
        <v>318.26</v>
      </c>
      <c r="G9217" s="221">
        <v>451.25</v>
      </c>
      <c r="H9217" s="222">
        <v>11608.93</v>
      </c>
      <c r="I9217" s="222">
        <v>7966.56</v>
      </c>
      <c r="J9217" s="222">
        <v>1705.9</v>
      </c>
      <c r="K9217" s="222">
        <v>1936.47</v>
      </c>
      <c r="L9217" s="43">
        <v>7.9391956121813942</v>
      </c>
      <c r="M9217" s="43">
        <v>11.500404203718674</v>
      </c>
      <c r="N9217" s="43">
        <v>5.3600829510463148</v>
      </c>
      <c r="O9217" s="43">
        <v>4.2913462603878116</v>
      </c>
      <c r="P9217" s="223"/>
      <c r="Q9217" s="223"/>
      <c r="R9217" s="223">
        <v>11</v>
      </c>
    </row>
    <row r="9218" spans="1:18" ht="36">
      <c r="A9218" s="219">
        <v>1917</v>
      </c>
      <c r="B9218" s="216" t="s">
        <v>16979</v>
      </c>
      <c r="C9218" s="220" t="s">
        <v>16980</v>
      </c>
      <c r="D9218" s="221">
        <v>3869.61</v>
      </c>
      <c r="E9218" s="221">
        <v>1097.8800000000001</v>
      </c>
      <c r="F9218" s="221">
        <v>1259.82</v>
      </c>
      <c r="G9218" s="221">
        <v>1511.91</v>
      </c>
      <c r="H9218" s="222">
        <v>26428.81</v>
      </c>
      <c r="I9218" s="222">
        <v>12626.04</v>
      </c>
      <c r="J9218" s="222">
        <v>5239.03</v>
      </c>
      <c r="K9218" s="222">
        <v>8563.74</v>
      </c>
      <c r="L9218" s="43">
        <v>6.829838149064118</v>
      </c>
      <c r="M9218" s="43">
        <v>11.500382555470543</v>
      </c>
      <c r="N9218" s="43">
        <v>4.1585543966598406</v>
      </c>
      <c r="O9218" s="43">
        <v>5.6641863602992233</v>
      </c>
      <c r="P9218" s="223"/>
      <c r="Q9218" s="223"/>
      <c r="R9218" s="223">
        <v>11</v>
      </c>
    </row>
    <row r="9219" spans="1:18" ht="36">
      <c r="A9219" s="219">
        <v>1918</v>
      </c>
      <c r="B9219" s="216" t="s">
        <v>16981</v>
      </c>
      <c r="C9219" s="220" t="s">
        <v>16982</v>
      </c>
      <c r="D9219" s="221">
        <v>2605.0700000000002</v>
      </c>
      <c r="E9219" s="221">
        <v>1097.8800000000001</v>
      </c>
      <c r="F9219" s="221">
        <v>528.08000000000004</v>
      </c>
      <c r="G9219" s="221">
        <v>979.11</v>
      </c>
      <c r="H9219" s="222">
        <v>19937.669999999998</v>
      </c>
      <c r="I9219" s="222">
        <v>12626.04</v>
      </c>
      <c r="J9219" s="222">
        <v>2890.26</v>
      </c>
      <c r="K9219" s="222">
        <v>4421.37</v>
      </c>
      <c r="L9219" s="43">
        <v>7.6534104649779069</v>
      </c>
      <c r="M9219" s="43">
        <v>11.500382555470543</v>
      </c>
      <c r="N9219" s="43">
        <v>5.4731480078775947</v>
      </c>
      <c r="O9219" s="43">
        <v>4.5157030364310442</v>
      </c>
      <c r="P9219" s="223"/>
      <c r="Q9219" s="223"/>
      <c r="R9219" s="223">
        <v>11</v>
      </c>
    </row>
    <row r="9220" spans="1:18" ht="36">
      <c r="A9220" s="219">
        <v>1919</v>
      </c>
      <c r="B9220" s="216" t="s">
        <v>16983</v>
      </c>
      <c r="C9220" s="220" t="s">
        <v>16984</v>
      </c>
      <c r="D9220" s="221">
        <v>5931.47</v>
      </c>
      <c r="E9220" s="221">
        <v>2365.67</v>
      </c>
      <c r="F9220" s="221">
        <v>1540.82</v>
      </c>
      <c r="G9220" s="221">
        <v>2024.98</v>
      </c>
      <c r="H9220" s="222">
        <v>45217.1</v>
      </c>
      <c r="I9220" s="222">
        <v>27206.11</v>
      </c>
      <c r="J9220" s="222">
        <v>6761.6</v>
      </c>
      <c r="K9220" s="222">
        <v>11249.39</v>
      </c>
      <c r="L9220" s="43">
        <v>7.6232535948087063</v>
      </c>
      <c r="M9220" s="43">
        <v>11.500382555470543</v>
      </c>
      <c r="N9220" s="43">
        <v>4.3883127166054443</v>
      </c>
      <c r="O9220" s="43">
        <v>5.5553091882388959</v>
      </c>
      <c r="P9220" s="223"/>
      <c r="Q9220" s="223"/>
      <c r="R9220" s="223">
        <v>11</v>
      </c>
    </row>
    <row r="9221" spans="1:18" ht="12.75" customHeight="1">
      <c r="A9221" s="628" t="s">
        <v>16985</v>
      </c>
      <c r="B9221" s="629"/>
      <c r="C9221" s="629"/>
      <c r="D9221" s="629"/>
      <c r="E9221" s="629"/>
      <c r="F9221" s="629"/>
      <c r="G9221" s="629"/>
      <c r="H9221" s="629"/>
      <c r="I9221" s="629"/>
      <c r="J9221" s="629"/>
      <c r="K9221" s="629"/>
      <c r="L9221" s="629"/>
      <c r="M9221" s="629"/>
      <c r="N9221" s="629"/>
      <c r="O9221" s="629"/>
      <c r="P9221" s="629"/>
      <c r="Q9221" s="629"/>
      <c r="R9221" s="629"/>
    </row>
    <row r="9222" spans="1:18" ht="36">
      <c r="A9222" s="219">
        <v>1920</v>
      </c>
      <c r="B9222" s="216" t="s">
        <v>16986</v>
      </c>
      <c r="C9222" s="220" t="s">
        <v>16987</v>
      </c>
      <c r="D9222" s="221">
        <v>143.32</v>
      </c>
      <c r="E9222" s="221">
        <v>75.239999999999995</v>
      </c>
      <c r="F9222" s="221">
        <v>53.66</v>
      </c>
      <c r="G9222" s="221">
        <v>14.42</v>
      </c>
      <c r="H9222" s="222">
        <v>1242.25</v>
      </c>
      <c r="I9222" s="222">
        <v>865.26</v>
      </c>
      <c r="J9222" s="222">
        <v>302.8</v>
      </c>
      <c r="K9222" s="222">
        <v>74.19</v>
      </c>
      <c r="L9222" s="43">
        <v>8.6676667596985766</v>
      </c>
      <c r="M9222" s="43">
        <v>11.5</v>
      </c>
      <c r="N9222" s="43">
        <v>5.6429370108087964</v>
      </c>
      <c r="O9222" s="43">
        <v>5.1449375866851597</v>
      </c>
      <c r="P9222" s="223"/>
      <c r="Q9222" s="223"/>
      <c r="R9222" s="223">
        <v>12</v>
      </c>
    </row>
    <row r="9223" spans="1:18" ht="36">
      <c r="A9223" s="219">
        <v>1921</v>
      </c>
      <c r="B9223" s="216" t="s">
        <v>16988</v>
      </c>
      <c r="C9223" s="220" t="s">
        <v>16989</v>
      </c>
      <c r="D9223" s="221">
        <v>809.32</v>
      </c>
      <c r="E9223" s="221">
        <v>551.76</v>
      </c>
      <c r="F9223" s="221">
        <v>162.35</v>
      </c>
      <c r="G9223" s="221">
        <v>95.21</v>
      </c>
      <c r="H9223" s="222">
        <v>7764.41</v>
      </c>
      <c r="I9223" s="222">
        <v>6345.24</v>
      </c>
      <c r="J9223" s="222">
        <v>887.74</v>
      </c>
      <c r="K9223" s="222">
        <v>531.42999999999995</v>
      </c>
      <c r="L9223" s="43">
        <v>9.5937453664805012</v>
      </c>
      <c r="M9223" s="43">
        <v>11.5</v>
      </c>
      <c r="N9223" s="43">
        <v>5.4680628272251308</v>
      </c>
      <c r="O9223" s="43">
        <v>5.5816615901690998</v>
      </c>
      <c r="P9223" s="223"/>
      <c r="Q9223" s="223"/>
      <c r="R9223" s="223">
        <v>12</v>
      </c>
    </row>
    <row r="9224" spans="1:18" ht="36">
      <c r="A9224" s="219">
        <v>1922</v>
      </c>
      <c r="B9224" s="216" t="s">
        <v>16990</v>
      </c>
      <c r="C9224" s="220" t="s">
        <v>16991</v>
      </c>
      <c r="D9224" s="221">
        <v>3670.03</v>
      </c>
      <c r="E9224" s="221">
        <v>1276.1099999999999</v>
      </c>
      <c r="F9224" s="221">
        <v>1084.76</v>
      </c>
      <c r="G9224" s="221">
        <v>1309.1600000000001</v>
      </c>
      <c r="H9224" s="222">
        <v>26601.74</v>
      </c>
      <c r="I9224" s="222">
        <v>14675.76</v>
      </c>
      <c r="J9224" s="222">
        <v>4344.6099999999997</v>
      </c>
      <c r="K9224" s="222">
        <v>7581.37</v>
      </c>
      <c r="L9224" s="43">
        <v>7.2483712667198903</v>
      </c>
      <c r="M9224" s="43">
        <v>11.500387897595036</v>
      </c>
      <c r="N9224" s="43">
        <v>4.0051347763560603</v>
      </c>
      <c r="O9224" s="43">
        <v>5.7910186684591638</v>
      </c>
      <c r="P9224" s="223"/>
      <c r="Q9224" s="223"/>
      <c r="R9224" s="223">
        <v>12</v>
      </c>
    </row>
    <row r="9225" spans="1:18" ht="36">
      <c r="A9225" s="219">
        <v>1923</v>
      </c>
      <c r="B9225" s="216" t="s">
        <v>16992</v>
      </c>
      <c r="C9225" s="220" t="s">
        <v>16993</v>
      </c>
      <c r="D9225" s="221">
        <v>4961.9399999999996</v>
      </c>
      <c r="E9225" s="221">
        <v>1740.15</v>
      </c>
      <c r="F9225" s="221">
        <v>1257.75</v>
      </c>
      <c r="G9225" s="221">
        <v>1964.04</v>
      </c>
      <c r="H9225" s="222">
        <v>36035.22</v>
      </c>
      <c r="I9225" s="222">
        <v>20012.400000000001</v>
      </c>
      <c r="J9225" s="222">
        <v>5135.22</v>
      </c>
      <c r="K9225" s="222">
        <v>10887.6</v>
      </c>
      <c r="L9225" s="43">
        <v>7.2623248165032237</v>
      </c>
      <c r="M9225" s="43">
        <v>11.500387897595035</v>
      </c>
      <c r="N9225" s="43">
        <v>4.082862254025045</v>
      </c>
      <c r="O9225" s="43">
        <v>5.543471619722613</v>
      </c>
      <c r="P9225" s="223"/>
      <c r="Q9225" s="223"/>
      <c r="R9225" s="223">
        <v>12</v>
      </c>
    </row>
    <row r="9226" spans="1:18" ht="36">
      <c r="A9226" s="219">
        <v>1924</v>
      </c>
      <c r="B9226" s="216" t="s">
        <v>16994</v>
      </c>
      <c r="C9226" s="220" t="s">
        <v>16995</v>
      </c>
      <c r="D9226" s="221">
        <v>6125.36</v>
      </c>
      <c r="E9226" s="221">
        <v>2038.92</v>
      </c>
      <c r="F9226" s="221">
        <v>1408.08</v>
      </c>
      <c r="G9226" s="221">
        <v>2678.36</v>
      </c>
      <c r="H9226" s="222">
        <v>44091.360000000001</v>
      </c>
      <c r="I9226" s="222">
        <v>23448.36</v>
      </c>
      <c r="J9226" s="222">
        <v>5896.92</v>
      </c>
      <c r="K9226" s="222">
        <v>14746.08</v>
      </c>
      <c r="L9226" s="43">
        <v>7.1981663118575892</v>
      </c>
      <c r="M9226" s="43">
        <v>11.500382555470543</v>
      </c>
      <c r="N9226" s="43">
        <v>4.1879154593489005</v>
      </c>
      <c r="O9226" s="43">
        <v>5.5056377783419705</v>
      </c>
      <c r="P9226" s="223"/>
      <c r="Q9226" s="223"/>
      <c r="R9226" s="223">
        <v>12</v>
      </c>
    </row>
    <row r="9227" spans="1:18" ht="36">
      <c r="A9227" s="219">
        <v>1925</v>
      </c>
      <c r="B9227" s="216" t="s">
        <v>16996</v>
      </c>
      <c r="C9227" s="220" t="s">
        <v>16997</v>
      </c>
      <c r="D9227" s="221">
        <v>7763.92</v>
      </c>
      <c r="E9227" s="221">
        <v>2517.5</v>
      </c>
      <c r="F9227" s="221">
        <v>1687.47</v>
      </c>
      <c r="G9227" s="221">
        <v>3558.95</v>
      </c>
      <c r="H9227" s="222">
        <v>55264.84</v>
      </c>
      <c r="I9227" s="222">
        <v>28952.2</v>
      </c>
      <c r="J9227" s="222">
        <v>7460.69</v>
      </c>
      <c r="K9227" s="222">
        <v>18851.95</v>
      </c>
      <c r="L9227" s="43">
        <v>7.1181619594225589</v>
      </c>
      <c r="M9227" s="43">
        <v>11.500377358490566</v>
      </c>
      <c r="N9227" s="43">
        <v>4.421228229242594</v>
      </c>
      <c r="O9227" s="43">
        <v>5.2970539063487827</v>
      </c>
      <c r="P9227" s="223"/>
      <c r="Q9227" s="223"/>
      <c r="R9227" s="223">
        <v>12</v>
      </c>
    </row>
    <row r="9228" spans="1:18" ht="36">
      <c r="A9228" s="219">
        <v>1926</v>
      </c>
      <c r="B9228" s="216" t="s">
        <v>16998</v>
      </c>
      <c r="C9228" s="220" t="s">
        <v>16999</v>
      </c>
      <c r="D9228" s="221">
        <v>13143.32</v>
      </c>
      <c r="E9228" s="221">
        <v>4284.28</v>
      </c>
      <c r="F9228" s="221">
        <v>2797.55</v>
      </c>
      <c r="G9228" s="221">
        <v>6061.49</v>
      </c>
      <c r="H9228" s="222">
        <v>93494.26</v>
      </c>
      <c r="I9228" s="222">
        <v>49270.76</v>
      </c>
      <c r="J9228" s="222">
        <v>12183.49</v>
      </c>
      <c r="K9228" s="222">
        <v>32040.01</v>
      </c>
      <c r="L9228" s="43">
        <v>7.1134431787402264</v>
      </c>
      <c r="M9228" s="43">
        <v>11.500359453630482</v>
      </c>
      <c r="N9228" s="43">
        <v>4.3550571035370229</v>
      </c>
      <c r="O9228" s="43">
        <v>5.2858307115907142</v>
      </c>
      <c r="P9228" s="223"/>
      <c r="Q9228" s="223"/>
      <c r="R9228" s="223">
        <v>12</v>
      </c>
    </row>
    <row r="9229" spans="1:18" ht="12.75" customHeight="1">
      <c r="A9229" s="628" t="s">
        <v>17000</v>
      </c>
      <c r="B9229" s="629"/>
      <c r="C9229" s="629"/>
      <c r="D9229" s="629"/>
      <c r="E9229" s="629"/>
      <c r="F9229" s="629"/>
      <c r="G9229" s="629"/>
      <c r="H9229" s="629"/>
      <c r="I9229" s="629"/>
      <c r="J9229" s="629"/>
      <c r="K9229" s="629"/>
      <c r="L9229" s="629"/>
      <c r="M9229" s="629"/>
      <c r="N9229" s="629"/>
      <c r="O9229" s="629"/>
      <c r="P9229" s="629"/>
      <c r="Q9229" s="629"/>
      <c r="R9229" s="629"/>
    </row>
    <row r="9230" spans="1:18" ht="36">
      <c r="A9230" s="219">
        <v>1927</v>
      </c>
      <c r="B9230" s="216" t="s">
        <v>17001</v>
      </c>
      <c r="C9230" s="220" t="s">
        <v>17002</v>
      </c>
      <c r="D9230" s="221">
        <v>3603.5</v>
      </c>
      <c r="E9230" s="221">
        <v>1246.56</v>
      </c>
      <c r="F9230" s="221">
        <v>1018.22</v>
      </c>
      <c r="G9230" s="221">
        <v>1338.72</v>
      </c>
      <c r="H9230" s="222">
        <v>26006.61</v>
      </c>
      <c r="I9230" s="222">
        <v>14335.44</v>
      </c>
      <c r="J9230" s="222">
        <v>3993.39</v>
      </c>
      <c r="K9230" s="222">
        <v>7677.78</v>
      </c>
      <c r="L9230" s="43">
        <v>7.2170417649507428</v>
      </c>
      <c r="M9230" s="43">
        <v>11.500000000000002</v>
      </c>
      <c r="N9230" s="43">
        <v>3.9219323918210209</v>
      </c>
      <c r="O9230" s="43">
        <v>5.7351649336679813</v>
      </c>
      <c r="P9230" s="223"/>
      <c r="Q9230" s="223"/>
      <c r="R9230" s="223">
        <v>13</v>
      </c>
    </row>
    <row r="9231" spans="1:18" ht="36">
      <c r="A9231" s="219">
        <v>1928</v>
      </c>
      <c r="B9231" s="216" t="s">
        <v>17003</v>
      </c>
      <c r="C9231" s="220" t="s">
        <v>17004</v>
      </c>
      <c r="D9231" s="221">
        <v>5017.6000000000004</v>
      </c>
      <c r="E9231" s="221">
        <v>1742.64</v>
      </c>
      <c r="F9231" s="221">
        <v>1280.97</v>
      </c>
      <c r="G9231" s="221">
        <v>1993.99</v>
      </c>
      <c r="H9231" s="222">
        <v>36261.9</v>
      </c>
      <c r="I9231" s="222">
        <v>20040.36</v>
      </c>
      <c r="J9231" s="222">
        <v>5232.47</v>
      </c>
      <c r="K9231" s="222">
        <v>10989.07</v>
      </c>
      <c r="L9231" s="43">
        <v>7.2269411670918364</v>
      </c>
      <c r="M9231" s="43">
        <v>11.5</v>
      </c>
      <c r="N9231" s="43">
        <v>4.0847716964487848</v>
      </c>
      <c r="O9231" s="43">
        <v>5.5110958430082393</v>
      </c>
      <c r="P9231" s="223"/>
      <c r="Q9231" s="223"/>
      <c r="R9231" s="223">
        <v>13</v>
      </c>
    </row>
    <row r="9232" spans="1:18" ht="36">
      <c r="A9232" s="219">
        <v>1929</v>
      </c>
      <c r="B9232" s="216" t="s">
        <v>17005</v>
      </c>
      <c r="C9232" s="220" t="s">
        <v>17006</v>
      </c>
      <c r="D9232" s="221">
        <v>7595.86</v>
      </c>
      <c r="E9232" s="221">
        <v>2626.65</v>
      </c>
      <c r="F9232" s="221">
        <v>1761.62</v>
      </c>
      <c r="G9232" s="221">
        <v>3207.59</v>
      </c>
      <c r="H9232" s="222">
        <v>55139.97</v>
      </c>
      <c r="I9232" s="222">
        <v>30207.45</v>
      </c>
      <c r="J9232" s="222">
        <v>7434.23</v>
      </c>
      <c r="K9232" s="222">
        <v>17498.29</v>
      </c>
      <c r="L9232" s="43">
        <v>7.2592135716034791</v>
      </c>
      <c r="M9232" s="43">
        <v>11.5003711952487</v>
      </c>
      <c r="N9232" s="43">
        <v>4.2201098988431101</v>
      </c>
      <c r="O9232" s="43">
        <v>5.4552763913093631</v>
      </c>
      <c r="P9232" s="223"/>
      <c r="Q9232" s="223"/>
      <c r="R9232" s="223">
        <v>13</v>
      </c>
    </row>
    <row r="9233" spans="1:18" ht="36">
      <c r="A9233" s="219">
        <v>1930</v>
      </c>
      <c r="B9233" s="216" t="s">
        <v>17007</v>
      </c>
      <c r="C9233" s="220" t="s">
        <v>17008</v>
      </c>
      <c r="D9233" s="221">
        <v>7929.36</v>
      </c>
      <c r="E9233" s="221">
        <v>2626.65</v>
      </c>
      <c r="F9233" s="221">
        <v>1667.93</v>
      </c>
      <c r="G9233" s="221">
        <v>3634.78</v>
      </c>
      <c r="H9233" s="222">
        <v>56693.54</v>
      </c>
      <c r="I9233" s="222">
        <v>30207.45</v>
      </c>
      <c r="J9233" s="222">
        <v>7360.34</v>
      </c>
      <c r="K9233" s="222">
        <v>19125.75</v>
      </c>
      <c r="L9233" s="43">
        <v>7.1498254588012156</v>
      </c>
      <c r="M9233" s="43">
        <v>11.5003711952487</v>
      </c>
      <c r="N9233" s="43">
        <v>4.4128590528379483</v>
      </c>
      <c r="O9233" s="43">
        <v>5.2618727956024847</v>
      </c>
      <c r="P9233" s="223"/>
      <c r="Q9233" s="223"/>
      <c r="R9233" s="223">
        <v>13</v>
      </c>
    </row>
    <row r="9234" spans="1:18" ht="36">
      <c r="A9234" s="219">
        <v>1931</v>
      </c>
      <c r="B9234" s="216" t="s">
        <v>17009</v>
      </c>
      <c r="C9234" s="220" t="s">
        <v>17010</v>
      </c>
      <c r="D9234" s="221">
        <v>13023.95</v>
      </c>
      <c r="E9234" s="221">
        <v>4131.3599999999997</v>
      </c>
      <c r="F9234" s="221">
        <v>2771.94</v>
      </c>
      <c r="G9234" s="221">
        <v>6120.65</v>
      </c>
      <c r="H9234" s="222">
        <v>91747.43</v>
      </c>
      <c r="I9234" s="222">
        <v>47510.64</v>
      </c>
      <c r="J9234" s="222">
        <v>12044.36</v>
      </c>
      <c r="K9234" s="222">
        <v>32192.43</v>
      </c>
      <c r="L9234" s="43">
        <v>7.0445164485428755</v>
      </c>
      <c r="M9234" s="43">
        <v>11.5</v>
      </c>
      <c r="N9234" s="43">
        <v>4.3451012648181422</v>
      </c>
      <c r="O9234" s="43">
        <v>5.259642358246265</v>
      </c>
      <c r="P9234" s="223"/>
      <c r="Q9234" s="223"/>
      <c r="R9234" s="223">
        <v>13</v>
      </c>
    </row>
    <row r="9235" spans="1:18" ht="12.75" customHeight="1">
      <c r="A9235" s="628" t="s">
        <v>17011</v>
      </c>
      <c r="B9235" s="629"/>
      <c r="C9235" s="629"/>
      <c r="D9235" s="629"/>
      <c r="E9235" s="629"/>
      <c r="F9235" s="629"/>
      <c r="G9235" s="629"/>
      <c r="H9235" s="629"/>
      <c r="I9235" s="629"/>
      <c r="J9235" s="629"/>
      <c r="K9235" s="629"/>
      <c r="L9235" s="629"/>
      <c r="M9235" s="629"/>
      <c r="N9235" s="629"/>
      <c r="O9235" s="629"/>
      <c r="P9235" s="629"/>
      <c r="Q9235" s="629"/>
      <c r="R9235" s="629"/>
    </row>
    <row r="9236" spans="1:18" ht="36">
      <c r="A9236" s="219">
        <v>1932</v>
      </c>
      <c r="B9236" s="216" t="s">
        <v>17012</v>
      </c>
      <c r="C9236" s="220" t="s">
        <v>17013</v>
      </c>
      <c r="D9236" s="221">
        <v>154.05000000000001</v>
      </c>
      <c r="E9236" s="221">
        <v>91.49</v>
      </c>
      <c r="F9236" s="221">
        <v>51.55</v>
      </c>
      <c r="G9236" s="221">
        <v>11.01</v>
      </c>
      <c r="H9236" s="222">
        <v>1408.8</v>
      </c>
      <c r="I9236" s="222">
        <v>1052.17</v>
      </c>
      <c r="J9236" s="222">
        <v>291.85000000000002</v>
      </c>
      <c r="K9236" s="222">
        <v>64.78</v>
      </c>
      <c r="L9236" s="43">
        <v>9.1450827653359283</v>
      </c>
      <c r="M9236" s="43">
        <v>11.500382555470544</v>
      </c>
      <c r="N9236" s="43">
        <v>5.6614936954413198</v>
      </c>
      <c r="O9236" s="43">
        <v>5.8837420526793824</v>
      </c>
      <c r="P9236" s="223"/>
      <c r="Q9236" s="223"/>
      <c r="R9236" s="223">
        <v>14</v>
      </c>
    </row>
    <row r="9237" spans="1:18" ht="36">
      <c r="A9237" s="219">
        <v>1933</v>
      </c>
      <c r="B9237" s="216" t="s">
        <v>17014</v>
      </c>
      <c r="C9237" s="220" t="s">
        <v>17015</v>
      </c>
      <c r="D9237" s="221">
        <v>183.27</v>
      </c>
      <c r="E9237" s="221">
        <v>104.56</v>
      </c>
      <c r="F9237" s="221">
        <v>59.01</v>
      </c>
      <c r="G9237" s="221">
        <v>19.7</v>
      </c>
      <c r="H9237" s="222">
        <v>1641.93</v>
      </c>
      <c r="I9237" s="222">
        <v>1202.48</v>
      </c>
      <c r="J9237" s="222">
        <v>331.79</v>
      </c>
      <c r="K9237" s="222">
        <v>107.66</v>
      </c>
      <c r="L9237" s="43">
        <v>8.9590767719757736</v>
      </c>
      <c r="M9237" s="43">
        <v>11.500382555470543</v>
      </c>
      <c r="N9237" s="43">
        <v>5.6226063379088291</v>
      </c>
      <c r="O9237" s="43">
        <v>5.4649746192893405</v>
      </c>
      <c r="P9237" s="223"/>
      <c r="Q9237" s="223"/>
      <c r="R9237" s="223">
        <v>14</v>
      </c>
    </row>
    <row r="9238" spans="1:18" ht="36">
      <c r="A9238" s="219">
        <v>1934</v>
      </c>
      <c r="B9238" s="216" t="s">
        <v>17016</v>
      </c>
      <c r="C9238" s="220" t="s">
        <v>17017</v>
      </c>
      <c r="D9238" s="221">
        <v>379.74</v>
      </c>
      <c r="E9238" s="221">
        <v>209.12</v>
      </c>
      <c r="F9238" s="221">
        <v>90.89</v>
      </c>
      <c r="G9238" s="221">
        <v>79.73</v>
      </c>
      <c r="H9238" s="222">
        <v>3279.12</v>
      </c>
      <c r="I9238" s="222">
        <v>2404.96</v>
      </c>
      <c r="J9238" s="222">
        <v>506.01</v>
      </c>
      <c r="K9238" s="222">
        <v>368.15</v>
      </c>
      <c r="L9238" s="43">
        <v>8.6351714330857945</v>
      </c>
      <c r="M9238" s="43">
        <v>11.500382555470543</v>
      </c>
      <c r="N9238" s="43">
        <v>5.5672791286170096</v>
      </c>
      <c r="O9238" s="43">
        <v>4.6174589238680541</v>
      </c>
      <c r="P9238" s="223"/>
      <c r="Q9238" s="223"/>
      <c r="R9238" s="223">
        <v>14</v>
      </c>
    </row>
    <row r="9239" spans="1:18" ht="36">
      <c r="A9239" s="219">
        <v>1935</v>
      </c>
      <c r="B9239" s="216" t="s">
        <v>17018</v>
      </c>
      <c r="C9239" s="220" t="s">
        <v>17019</v>
      </c>
      <c r="D9239" s="221">
        <v>1184.53</v>
      </c>
      <c r="E9239" s="221">
        <v>575.08000000000004</v>
      </c>
      <c r="F9239" s="221">
        <v>242.75</v>
      </c>
      <c r="G9239" s="221">
        <v>366.7</v>
      </c>
      <c r="H9239" s="222">
        <v>9672.26</v>
      </c>
      <c r="I9239" s="222">
        <v>6613.64</v>
      </c>
      <c r="J9239" s="222">
        <v>1302.46</v>
      </c>
      <c r="K9239" s="222">
        <v>1756.16</v>
      </c>
      <c r="L9239" s="43">
        <v>8.1654833562678864</v>
      </c>
      <c r="M9239" s="43">
        <v>11.500382555470543</v>
      </c>
      <c r="N9239" s="43">
        <v>5.3654376930998975</v>
      </c>
      <c r="O9239" s="43">
        <v>4.7890919007362971</v>
      </c>
      <c r="P9239" s="223"/>
      <c r="Q9239" s="223"/>
      <c r="R9239" s="223">
        <v>14</v>
      </c>
    </row>
    <row r="9240" spans="1:18" ht="36">
      <c r="A9240" s="219">
        <v>1936</v>
      </c>
      <c r="B9240" s="216" t="s">
        <v>17020</v>
      </c>
      <c r="C9240" s="220" t="s">
        <v>17021</v>
      </c>
      <c r="D9240" s="221">
        <v>1570.85</v>
      </c>
      <c r="E9240" s="221">
        <v>718.85</v>
      </c>
      <c r="F9240" s="221">
        <v>301.95</v>
      </c>
      <c r="G9240" s="221">
        <v>550.04999999999995</v>
      </c>
      <c r="H9240" s="222">
        <v>12345.74</v>
      </c>
      <c r="I9240" s="222">
        <v>8267.0499999999993</v>
      </c>
      <c r="J9240" s="222">
        <v>1631.23</v>
      </c>
      <c r="K9240" s="222">
        <v>2447.46</v>
      </c>
      <c r="L9240" s="43">
        <v>7.8592736416589748</v>
      </c>
      <c r="M9240" s="43">
        <v>11.500382555470543</v>
      </c>
      <c r="N9240" s="43">
        <v>5.4023182646133465</v>
      </c>
      <c r="O9240" s="43">
        <v>4.4495227706572136</v>
      </c>
      <c r="P9240" s="223"/>
      <c r="Q9240" s="223"/>
      <c r="R9240" s="223">
        <v>14</v>
      </c>
    </row>
    <row r="9241" spans="1:18" ht="36">
      <c r="A9241" s="219">
        <v>1937</v>
      </c>
      <c r="B9241" s="216" t="s">
        <v>17022</v>
      </c>
      <c r="C9241" s="220" t="s">
        <v>17023</v>
      </c>
      <c r="D9241" s="221">
        <v>5211.8500000000004</v>
      </c>
      <c r="E9241" s="221">
        <v>1983.6</v>
      </c>
      <c r="F9241" s="221">
        <v>1298.32</v>
      </c>
      <c r="G9241" s="221">
        <v>1929.93</v>
      </c>
      <c r="H9241" s="222">
        <v>38496.980000000003</v>
      </c>
      <c r="I9241" s="222">
        <v>22811.4</v>
      </c>
      <c r="J9241" s="222">
        <v>5447.39</v>
      </c>
      <c r="K9241" s="222">
        <v>10238.19</v>
      </c>
      <c r="L9241" s="43">
        <v>7.3864328405460631</v>
      </c>
      <c r="M9241" s="43">
        <v>11.500000000000002</v>
      </c>
      <c r="N9241" s="43">
        <v>4.1957221640273588</v>
      </c>
      <c r="O9241" s="43">
        <v>5.3049540656915015</v>
      </c>
      <c r="P9241" s="223"/>
      <c r="Q9241" s="223"/>
      <c r="R9241" s="223">
        <v>14</v>
      </c>
    </row>
    <row r="9242" spans="1:18" ht="36">
      <c r="A9242" s="219">
        <v>1938</v>
      </c>
      <c r="B9242" s="216" t="s">
        <v>17024</v>
      </c>
      <c r="C9242" s="220" t="s">
        <v>17025</v>
      </c>
      <c r="D9242" s="221">
        <v>8191.01</v>
      </c>
      <c r="E9242" s="221">
        <v>2982.24</v>
      </c>
      <c r="F9242" s="221">
        <v>1891.08</v>
      </c>
      <c r="G9242" s="221">
        <v>3317.69</v>
      </c>
      <c r="H9242" s="222">
        <v>59451.68</v>
      </c>
      <c r="I9242" s="222">
        <v>34295.760000000002</v>
      </c>
      <c r="J9242" s="222">
        <v>8377.3700000000008</v>
      </c>
      <c r="K9242" s="222">
        <v>16778.55</v>
      </c>
      <c r="L9242" s="43">
        <v>7.2581623023290165</v>
      </c>
      <c r="M9242" s="43">
        <v>11.500000000000002</v>
      </c>
      <c r="N9242" s="43">
        <v>4.4299395054677753</v>
      </c>
      <c r="O9242" s="43">
        <v>5.0572989037553233</v>
      </c>
      <c r="P9242" s="223"/>
      <c r="Q9242" s="223"/>
      <c r="R9242" s="223">
        <v>14</v>
      </c>
    </row>
    <row r="9243" spans="1:18" ht="36">
      <c r="A9243" s="219">
        <v>1939</v>
      </c>
      <c r="B9243" s="216" t="s">
        <v>17026</v>
      </c>
      <c r="C9243" s="220" t="s">
        <v>17027</v>
      </c>
      <c r="D9243" s="221">
        <v>11139.68</v>
      </c>
      <c r="E9243" s="221">
        <v>4339.92</v>
      </c>
      <c r="F9243" s="221">
        <v>2588.14</v>
      </c>
      <c r="G9243" s="221">
        <v>4211.62</v>
      </c>
      <c r="H9243" s="222">
        <v>83087.39</v>
      </c>
      <c r="I9243" s="222">
        <v>49910.64</v>
      </c>
      <c r="J9243" s="222">
        <v>11685.83</v>
      </c>
      <c r="K9243" s="222">
        <v>21490.92</v>
      </c>
      <c r="L9243" s="43">
        <v>7.4586873231547042</v>
      </c>
      <c r="M9243" s="43">
        <v>11.500359453630482</v>
      </c>
      <c r="N9243" s="43">
        <v>4.5151460121940854</v>
      </c>
      <c r="O9243" s="43">
        <v>5.102768055997454</v>
      </c>
      <c r="P9243" s="223"/>
      <c r="Q9243" s="223"/>
      <c r="R9243" s="223">
        <v>14</v>
      </c>
    </row>
    <row r="9244" spans="1:18" ht="12.75" customHeight="1">
      <c r="A9244" s="628" t="s">
        <v>17028</v>
      </c>
      <c r="B9244" s="629"/>
      <c r="C9244" s="629"/>
      <c r="D9244" s="629"/>
      <c r="E9244" s="629"/>
      <c r="F9244" s="629"/>
      <c r="G9244" s="629"/>
      <c r="H9244" s="629"/>
      <c r="I9244" s="629"/>
      <c r="J9244" s="629"/>
      <c r="K9244" s="629"/>
      <c r="L9244" s="629"/>
      <c r="M9244" s="629"/>
      <c r="N9244" s="629"/>
      <c r="O9244" s="629"/>
      <c r="P9244" s="629"/>
      <c r="Q9244" s="629"/>
      <c r="R9244" s="629"/>
    </row>
    <row r="9245" spans="1:18" ht="36">
      <c r="A9245" s="219">
        <v>1940</v>
      </c>
      <c r="B9245" s="216" t="s">
        <v>17029</v>
      </c>
      <c r="C9245" s="220" t="s">
        <v>17030</v>
      </c>
      <c r="D9245" s="221">
        <v>199.96</v>
      </c>
      <c r="E9245" s="221">
        <v>108.18</v>
      </c>
      <c r="F9245" s="221">
        <v>60.96</v>
      </c>
      <c r="G9245" s="221">
        <v>30.82</v>
      </c>
      <c r="H9245" s="222">
        <v>1736.63</v>
      </c>
      <c r="I9245" s="222">
        <v>1244.07</v>
      </c>
      <c r="J9245" s="222">
        <v>343.73</v>
      </c>
      <c r="K9245" s="222">
        <v>148.83000000000001</v>
      </c>
      <c r="L9245" s="43">
        <v>8.6848869773954789</v>
      </c>
      <c r="M9245" s="43">
        <v>11.499999999999998</v>
      </c>
      <c r="N9245" s="43">
        <v>5.6386154855643049</v>
      </c>
      <c r="O9245" s="43">
        <v>4.8290071382219342</v>
      </c>
      <c r="P9245" s="223"/>
      <c r="Q9245" s="223"/>
      <c r="R9245" s="223">
        <v>15</v>
      </c>
    </row>
    <row r="9246" spans="1:18" ht="36">
      <c r="A9246" s="219">
        <v>1941</v>
      </c>
      <c r="B9246" s="216" t="s">
        <v>17031</v>
      </c>
      <c r="C9246" s="220" t="s">
        <v>17032</v>
      </c>
      <c r="D9246" s="221">
        <v>388.21</v>
      </c>
      <c r="E9246" s="221">
        <v>225.72</v>
      </c>
      <c r="F9246" s="221">
        <v>90.92</v>
      </c>
      <c r="G9246" s="221">
        <v>71.569999999999993</v>
      </c>
      <c r="H9246" s="222">
        <v>3445.12</v>
      </c>
      <c r="I9246" s="222">
        <v>2595.7800000000002</v>
      </c>
      <c r="J9246" s="222">
        <v>508.37</v>
      </c>
      <c r="K9246" s="222">
        <v>340.97</v>
      </c>
      <c r="L9246" s="43">
        <v>8.8743721181834569</v>
      </c>
      <c r="M9246" s="43">
        <v>11.500000000000002</v>
      </c>
      <c r="N9246" s="43">
        <v>5.5913990321161462</v>
      </c>
      <c r="O9246" s="43">
        <v>4.7641469889618566</v>
      </c>
      <c r="P9246" s="223"/>
      <c r="Q9246" s="223"/>
      <c r="R9246" s="223">
        <v>15</v>
      </c>
    </row>
    <row r="9247" spans="1:18" ht="36">
      <c r="A9247" s="219">
        <v>1942</v>
      </c>
      <c r="B9247" s="216" t="s">
        <v>17033</v>
      </c>
      <c r="C9247" s="220" t="s">
        <v>17034</v>
      </c>
      <c r="D9247" s="221">
        <v>1106.5899999999999</v>
      </c>
      <c r="E9247" s="221">
        <v>562.01</v>
      </c>
      <c r="F9247" s="221">
        <v>240.33</v>
      </c>
      <c r="G9247" s="221">
        <v>304.25</v>
      </c>
      <c r="H9247" s="222">
        <v>9276.91</v>
      </c>
      <c r="I9247" s="222">
        <v>6463.33</v>
      </c>
      <c r="J9247" s="222">
        <v>1291.4000000000001</v>
      </c>
      <c r="K9247" s="222">
        <v>1522.18</v>
      </c>
      <c r="L9247" s="43">
        <v>8.3833307729149915</v>
      </c>
      <c r="M9247" s="43">
        <v>11.500382555470543</v>
      </c>
      <c r="N9247" s="43">
        <v>5.3734448466691633</v>
      </c>
      <c r="O9247" s="43">
        <v>5.0030566967953991</v>
      </c>
      <c r="P9247" s="223"/>
      <c r="Q9247" s="223"/>
      <c r="R9247" s="223">
        <v>15</v>
      </c>
    </row>
    <row r="9248" spans="1:18" ht="36">
      <c r="A9248" s="219">
        <v>1943</v>
      </c>
      <c r="B9248" s="216" t="s">
        <v>17035</v>
      </c>
      <c r="C9248" s="220" t="s">
        <v>17036</v>
      </c>
      <c r="D9248" s="221">
        <v>1425.52</v>
      </c>
      <c r="E9248" s="221">
        <v>718.85</v>
      </c>
      <c r="F9248" s="221">
        <v>312.24</v>
      </c>
      <c r="G9248" s="221">
        <v>394.43</v>
      </c>
      <c r="H9248" s="222">
        <v>11814.4</v>
      </c>
      <c r="I9248" s="222">
        <v>8267.0499999999993</v>
      </c>
      <c r="J9248" s="222">
        <v>1671</v>
      </c>
      <c r="K9248" s="222">
        <v>1876.35</v>
      </c>
      <c r="L9248" s="43">
        <v>8.2877827038554344</v>
      </c>
      <c r="M9248" s="43">
        <v>11.500382555470543</v>
      </c>
      <c r="N9248" s="43">
        <v>5.351652574942352</v>
      </c>
      <c r="O9248" s="43">
        <v>4.7571178662880609</v>
      </c>
      <c r="P9248" s="223"/>
      <c r="Q9248" s="223"/>
      <c r="R9248" s="223">
        <v>15</v>
      </c>
    </row>
    <row r="9249" spans="1:18" ht="36">
      <c r="A9249" s="219">
        <v>1944</v>
      </c>
      <c r="B9249" s="216" t="s">
        <v>17037</v>
      </c>
      <c r="C9249" s="220" t="s">
        <v>17038</v>
      </c>
      <c r="D9249" s="221">
        <v>4744.53</v>
      </c>
      <c r="E9249" s="221">
        <v>1882.08</v>
      </c>
      <c r="F9249" s="221">
        <v>1306.56</v>
      </c>
      <c r="G9249" s="221">
        <v>1555.89</v>
      </c>
      <c r="H9249" s="222">
        <v>35955.870000000003</v>
      </c>
      <c r="I9249" s="222">
        <v>21644.639999999999</v>
      </c>
      <c r="J9249" s="222">
        <v>5462.03</v>
      </c>
      <c r="K9249" s="222">
        <v>8849.2000000000007</v>
      </c>
      <c r="L9249" s="43">
        <v>7.5783839495166019</v>
      </c>
      <c r="M9249" s="43">
        <v>11.500382555470543</v>
      </c>
      <c r="N9249" s="43">
        <v>4.180466262552045</v>
      </c>
      <c r="O9249" s="43">
        <v>5.6875486056212203</v>
      </c>
      <c r="P9249" s="223"/>
      <c r="Q9249" s="223"/>
      <c r="R9249" s="223">
        <v>15</v>
      </c>
    </row>
    <row r="9250" spans="1:18" ht="36">
      <c r="A9250" s="219">
        <v>1945</v>
      </c>
      <c r="B9250" s="216" t="s">
        <v>17039</v>
      </c>
      <c r="C9250" s="220" t="s">
        <v>17040</v>
      </c>
      <c r="D9250" s="221">
        <v>6429.22</v>
      </c>
      <c r="E9250" s="221">
        <v>2545.83</v>
      </c>
      <c r="F9250" s="221">
        <v>1617.83</v>
      </c>
      <c r="G9250" s="221">
        <v>2265.56</v>
      </c>
      <c r="H9250" s="222">
        <v>48636.36</v>
      </c>
      <c r="I9250" s="222">
        <v>29277.99</v>
      </c>
      <c r="J9250" s="222">
        <v>7215.33</v>
      </c>
      <c r="K9250" s="222">
        <v>12143.04</v>
      </c>
      <c r="L9250" s="43">
        <v>7.5648927863722193</v>
      </c>
      <c r="M9250" s="43">
        <v>11.500371195248702</v>
      </c>
      <c r="N9250" s="43">
        <v>4.459881446134637</v>
      </c>
      <c r="O9250" s="43">
        <v>5.3598403926623002</v>
      </c>
      <c r="P9250" s="223"/>
      <c r="Q9250" s="223"/>
      <c r="R9250" s="223">
        <v>15</v>
      </c>
    </row>
    <row r="9251" spans="1:18" ht="36">
      <c r="A9251" s="219">
        <v>1946</v>
      </c>
      <c r="B9251" s="216" t="s">
        <v>17041</v>
      </c>
      <c r="C9251" s="220" t="s">
        <v>17042</v>
      </c>
      <c r="D9251" s="221">
        <v>7720.49</v>
      </c>
      <c r="E9251" s="221">
        <v>3071.16</v>
      </c>
      <c r="F9251" s="221">
        <v>1910.58</v>
      </c>
      <c r="G9251" s="221">
        <v>2738.75</v>
      </c>
      <c r="H9251" s="222">
        <v>58460.75</v>
      </c>
      <c r="I9251" s="222">
        <v>35319.480000000003</v>
      </c>
      <c r="J9251" s="222">
        <v>8477.9500000000007</v>
      </c>
      <c r="K9251" s="222">
        <v>14663.32</v>
      </c>
      <c r="L9251" s="43">
        <v>7.5721553942819693</v>
      </c>
      <c r="M9251" s="43">
        <v>11.500371195248702</v>
      </c>
      <c r="N9251" s="43">
        <v>4.4373698039338842</v>
      </c>
      <c r="O9251" s="43">
        <v>5.3540191693290735</v>
      </c>
      <c r="P9251" s="223"/>
      <c r="Q9251" s="223"/>
      <c r="R9251" s="223">
        <v>15</v>
      </c>
    </row>
    <row r="9252" spans="1:18" ht="36">
      <c r="A9252" s="219">
        <v>1947</v>
      </c>
      <c r="B9252" s="216" t="s">
        <v>17043</v>
      </c>
      <c r="C9252" s="220" t="s">
        <v>17044</v>
      </c>
      <c r="D9252" s="221">
        <v>11474.8</v>
      </c>
      <c r="E9252" s="221">
        <v>4437.29</v>
      </c>
      <c r="F9252" s="221">
        <v>2863.81</v>
      </c>
      <c r="G9252" s="221">
        <v>4173.7</v>
      </c>
      <c r="H9252" s="222">
        <v>85560.78</v>
      </c>
      <c r="I9252" s="222">
        <v>51030.43</v>
      </c>
      <c r="J9252" s="222">
        <v>13199.61</v>
      </c>
      <c r="K9252" s="222">
        <v>21330.74</v>
      </c>
      <c r="L9252" s="43">
        <v>7.456407083347858</v>
      </c>
      <c r="M9252" s="43">
        <v>11.500359453630482</v>
      </c>
      <c r="N9252" s="43">
        <v>4.6091081461409802</v>
      </c>
      <c r="O9252" s="43">
        <v>5.1107506528979085</v>
      </c>
      <c r="P9252" s="223"/>
      <c r="Q9252" s="223"/>
      <c r="R9252" s="223">
        <v>15</v>
      </c>
    </row>
    <row r="9253" spans="1:18" ht="36">
      <c r="A9253" s="219">
        <v>1948</v>
      </c>
      <c r="B9253" s="216" t="s">
        <v>17045</v>
      </c>
      <c r="C9253" s="220" t="s">
        <v>17046</v>
      </c>
      <c r="D9253" s="221">
        <v>14139.91</v>
      </c>
      <c r="E9253" s="221">
        <v>5717.01</v>
      </c>
      <c r="F9253" s="221">
        <v>3654.19</v>
      </c>
      <c r="G9253" s="221">
        <v>4768.71</v>
      </c>
      <c r="H9253" s="222">
        <v>107234.8</v>
      </c>
      <c r="I9253" s="222">
        <v>65747.67</v>
      </c>
      <c r="J9253" s="222">
        <v>16609.669999999998</v>
      </c>
      <c r="K9253" s="222">
        <v>24877.46</v>
      </c>
      <c r="L9253" s="43">
        <v>7.5838389353256144</v>
      </c>
      <c r="M9253" s="43">
        <v>11.50035945363048</v>
      </c>
      <c r="N9253" s="43">
        <v>4.5453766771842732</v>
      </c>
      <c r="O9253" s="43">
        <v>5.2168112550354291</v>
      </c>
      <c r="P9253" s="223"/>
      <c r="Q9253" s="223"/>
      <c r="R9253" s="223">
        <v>15</v>
      </c>
    </row>
    <row r="9254" spans="1:18" ht="12.75" customHeight="1">
      <c r="A9254" s="628" t="s">
        <v>17047</v>
      </c>
      <c r="B9254" s="629"/>
      <c r="C9254" s="629"/>
      <c r="D9254" s="629"/>
      <c r="E9254" s="629"/>
      <c r="F9254" s="629"/>
      <c r="G9254" s="629"/>
      <c r="H9254" s="629"/>
      <c r="I9254" s="629"/>
      <c r="J9254" s="629"/>
      <c r="K9254" s="629"/>
      <c r="L9254" s="629"/>
      <c r="M9254" s="629"/>
      <c r="N9254" s="629"/>
      <c r="O9254" s="629"/>
      <c r="P9254" s="629"/>
      <c r="Q9254" s="629"/>
      <c r="R9254" s="629"/>
    </row>
    <row r="9255" spans="1:18" ht="36">
      <c r="A9255" s="219">
        <v>1949</v>
      </c>
      <c r="B9255" s="216" t="s">
        <v>17048</v>
      </c>
      <c r="C9255" s="220" t="s">
        <v>17049</v>
      </c>
      <c r="D9255" s="221">
        <v>150.54</v>
      </c>
      <c r="E9255" s="221">
        <v>89.04</v>
      </c>
      <c r="F9255" s="221">
        <v>52.03</v>
      </c>
      <c r="G9255" s="221">
        <v>9.4700000000000006</v>
      </c>
      <c r="H9255" s="222">
        <v>1376.47</v>
      </c>
      <c r="I9255" s="222">
        <v>1023.96</v>
      </c>
      <c r="J9255" s="222">
        <v>294.38</v>
      </c>
      <c r="K9255" s="222">
        <v>58.13</v>
      </c>
      <c r="L9255" s="43">
        <v>9.1435498870732044</v>
      </c>
      <c r="M9255" s="43">
        <v>11.5</v>
      </c>
      <c r="N9255" s="43">
        <v>5.657889679031328</v>
      </c>
      <c r="O9255" s="43">
        <v>6.1383315733896513</v>
      </c>
      <c r="P9255" s="223"/>
      <c r="Q9255" s="223"/>
      <c r="R9255" s="223">
        <v>16</v>
      </c>
    </row>
    <row r="9256" spans="1:18" ht="36">
      <c r="A9256" s="219">
        <v>1950</v>
      </c>
      <c r="B9256" s="216" t="s">
        <v>17050</v>
      </c>
      <c r="C9256" s="220" t="s">
        <v>17051</v>
      </c>
      <c r="D9256" s="221">
        <v>176.07</v>
      </c>
      <c r="E9256" s="221">
        <v>101.76</v>
      </c>
      <c r="F9256" s="221">
        <v>57.69</v>
      </c>
      <c r="G9256" s="221">
        <v>16.62</v>
      </c>
      <c r="H9256" s="222">
        <v>1590.86</v>
      </c>
      <c r="I9256" s="222">
        <v>1170.24</v>
      </c>
      <c r="J9256" s="222">
        <v>324.8</v>
      </c>
      <c r="K9256" s="222">
        <v>95.82</v>
      </c>
      <c r="L9256" s="43">
        <v>9.0353836542284309</v>
      </c>
      <c r="M9256" s="43">
        <v>11.5</v>
      </c>
      <c r="N9256" s="43">
        <v>5.6300918703414808</v>
      </c>
      <c r="O9256" s="43">
        <v>5.765342960288808</v>
      </c>
      <c r="P9256" s="223"/>
      <c r="Q9256" s="223"/>
      <c r="R9256" s="223">
        <v>16</v>
      </c>
    </row>
    <row r="9257" spans="1:18" ht="36">
      <c r="A9257" s="219">
        <v>1951</v>
      </c>
      <c r="B9257" s="216" t="s">
        <v>17052</v>
      </c>
      <c r="C9257" s="220" t="s">
        <v>17053</v>
      </c>
      <c r="D9257" s="221">
        <v>780.88</v>
      </c>
      <c r="E9257" s="221">
        <v>534.24</v>
      </c>
      <c r="F9257" s="221">
        <v>175.76</v>
      </c>
      <c r="G9257" s="221">
        <v>70.88</v>
      </c>
      <c r="H9257" s="222">
        <v>7488.05</v>
      </c>
      <c r="I9257" s="222">
        <v>6143.76</v>
      </c>
      <c r="J9257" s="222">
        <v>928.65</v>
      </c>
      <c r="K9257" s="222">
        <v>415.64</v>
      </c>
      <c r="L9257" s="43">
        <v>9.5892454666530078</v>
      </c>
      <c r="M9257" s="43">
        <v>11.5</v>
      </c>
      <c r="N9257" s="43">
        <v>5.2836253982703685</v>
      </c>
      <c r="O9257" s="43">
        <v>5.8639954853273135</v>
      </c>
      <c r="P9257" s="223"/>
      <c r="Q9257" s="223"/>
      <c r="R9257" s="223">
        <v>16</v>
      </c>
    </row>
    <row r="9258" spans="1:18" ht="36">
      <c r="A9258" s="219">
        <v>1952</v>
      </c>
      <c r="B9258" s="216" t="s">
        <v>17054</v>
      </c>
      <c r="C9258" s="220" t="s">
        <v>17055</v>
      </c>
      <c r="D9258" s="221">
        <v>4420.46</v>
      </c>
      <c r="E9258" s="221">
        <v>1508.13</v>
      </c>
      <c r="F9258" s="221">
        <v>1144.1500000000001</v>
      </c>
      <c r="G9258" s="221">
        <v>1768.18</v>
      </c>
      <c r="H9258" s="222">
        <v>31917.37</v>
      </c>
      <c r="I9258" s="222">
        <v>17344.080000000002</v>
      </c>
      <c r="J9258" s="222">
        <v>4638.22</v>
      </c>
      <c r="K9258" s="222">
        <v>9935.07</v>
      </c>
      <c r="L9258" s="43">
        <v>7.220372992855947</v>
      </c>
      <c r="M9258" s="43">
        <v>11.500387897595035</v>
      </c>
      <c r="N9258" s="43">
        <v>4.0538565747498145</v>
      </c>
      <c r="O9258" s="43">
        <v>5.6188114332251233</v>
      </c>
      <c r="P9258" s="223"/>
      <c r="Q9258" s="223"/>
      <c r="R9258" s="223">
        <v>16</v>
      </c>
    </row>
    <row r="9259" spans="1:18" ht="36">
      <c r="A9259" s="219">
        <v>1953</v>
      </c>
      <c r="B9259" s="216" t="s">
        <v>17056</v>
      </c>
      <c r="C9259" s="220" t="s">
        <v>17057</v>
      </c>
      <c r="D9259" s="221">
        <v>4547.3</v>
      </c>
      <c r="E9259" s="221">
        <v>1662.81</v>
      </c>
      <c r="F9259" s="221">
        <v>1248.83</v>
      </c>
      <c r="G9259" s="221">
        <v>1635.66</v>
      </c>
      <c r="H9259" s="222">
        <v>33317.17</v>
      </c>
      <c r="I9259" s="222">
        <v>19122.96</v>
      </c>
      <c r="J9259" s="222">
        <v>5105.41</v>
      </c>
      <c r="K9259" s="222">
        <v>9088.7999999999993</v>
      </c>
      <c r="L9259" s="43">
        <v>7.3268027180964523</v>
      </c>
      <c r="M9259" s="43">
        <v>11.500387897595035</v>
      </c>
      <c r="N9259" s="43">
        <v>4.0881545126238157</v>
      </c>
      <c r="O9259" s="43">
        <v>5.5566560287590328</v>
      </c>
      <c r="P9259" s="223"/>
      <c r="Q9259" s="223"/>
      <c r="R9259" s="223">
        <v>16</v>
      </c>
    </row>
    <row r="9260" spans="1:18" ht="36">
      <c r="A9260" s="219">
        <v>1954</v>
      </c>
      <c r="B9260" s="216" t="s">
        <v>17058</v>
      </c>
      <c r="C9260" s="220" t="s">
        <v>17059</v>
      </c>
      <c r="D9260" s="221">
        <v>9405.5300000000007</v>
      </c>
      <c r="E9260" s="221">
        <v>3435.77</v>
      </c>
      <c r="F9260" s="221">
        <v>2224.12</v>
      </c>
      <c r="G9260" s="221">
        <v>3745.64</v>
      </c>
      <c r="H9260" s="222">
        <v>69346.67</v>
      </c>
      <c r="I9260" s="222">
        <v>39512.589999999997</v>
      </c>
      <c r="J9260" s="222">
        <v>9970.61</v>
      </c>
      <c r="K9260" s="222">
        <v>19863.47</v>
      </c>
      <c r="L9260" s="43">
        <v>7.3729678178688491</v>
      </c>
      <c r="M9260" s="43">
        <v>11.50035945363048</v>
      </c>
      <c r="N9260" s="43">
        <v>4.4829460640612924</v>
      </c>
      <c r="O9260" s="43">
        <v>5.303091060539721</v>
      </c>
      <c r="P9260" s="223"/>
      <c r="Q9260" s="223"/>
      <c r="R9260" s="223">
        <v>16</v>
      </c>
    </row>
    <row r="9261" spans="1:18" ht="12.75" customHeight="1">
      <c r="A9261" s="628" t="s">
        <v>17060</v>
      </c>
      <c r="B9261" s="629"/>
      <c r="C9261" s="629"/>
      <c r="D9261" s="629"/>
      <c r="E9261" s="629"/>
      <c r="F9261" s="629"/>
      <c r="G9261" s="629"/>
      <c r="H9261" s="629"/>
      <c r="I9261" s="629"/>
      <c r="J9261" s="629"/>
      <c r="K9261" s="629"/>
      <c r="L9261" s="629"/>
      <c r="M9261" s="629"/>
      <c r="N9261" s="629"/>
      <c r="O9261" s="629"/>
      <c r="P9261" s="629"/>
      <c r="Q9261" s="629"/>
      <c r="R9261" s="629"/>
    </row>
    <row r="9262" spans="1:18" ht="36">
      <c r="A9262" s="219">
        <v>1955</v>
      </c>
      <c r="B9262" s="216" t="s">
        <v>17061</v>
      </c>
      <c r="C9262" s="220" t="s">
        <v>17062</v>
      </c>
      <c r="D9262" s="221">
        <v>206.58</v>
      </c>
      <c r="E9262" s="221">
        <v>116.01</v>
      </c>
      <c r="F9262" s="221">
        <v>60.09</v>
      </c>
      <c r="G9262" s="221">
        <v>30.48</v>
      </c>
      <c r="H9262" s="222">
        <v>1821.9</v>
      </c>
      <c r="I9262" s="222">
        <v>1334.16</v>
      </c>
      <c r="J9262" s="222">
        <v>339.3</v>
      </c>
      <c r="K9262" s="222">
        <v>148.44</v>
      </c>
      <c r="L9262" s="43">
        <v>8.8193435957014223</v>
      </c>
      <c r="M9262" s="43">
        <v>11.500387897595035</v>
      </c>
      <c r="N9262" s="43">
        <v>5.6465302046929606</v>
      </c>
      <c r="O9262" s="43">
        <v>4.8700787401574805</v>
      </c>
      <c r="P9262" s="223"/>
      <c r="Q9262" s="223"/>
      <c r="R9262" s="223">
        <v>17</v>
      </c>
    </row>
    <row r="9263" spans="1:18" ht="36">
      <c r="A9263" s="219">
        <v>1956</v>
      </c>
      <c r="B9263" s="216" t="s">
        <v>17063</v>
      </c>
      <c r="C9263" s="220" t="s">
        <v>17064</v>
      </c>
      <c r="D9263" s="221">
        <v>646.13</v>
      </c>
      <c r="E9263" s="221">
        <v>360.92</v>
      </c>
      <c r="F9263" s="221">
        <v>183.82</v>
      </c>
      <c r="G9263" s="221">
        <v>101.39</v>
      </c>
      <c r="H9263" s="222">
        <v>5625.84</v>
      </c>
      <c r="I9263" s="222">
        <v>4150.72</v>
      </c>
      <c r="J9263" s="222">
        <v>975.62</v>
      </c>
      <c r="K9263" s="222">
        <v>499.5</v>
      </c>
      <c r="L9263" s="43">
        <v>8.7069784718245558</v>
      </c>
      <c r="M9263" s="43">
        <v>11.500387897595035</v>
      </c>
      <c r="N9263" s="43">
        <v>5.3074747035143073</v>
      </c>
      <c r="O9263" s="43">
        <v>4.9265213531906502</v>
      </c>
      <c r="P9263" s="223"/>
      <c r="Q9263" s="223"/>
      <c r="R9263" s="223">
        <v>17</v>
      </c>
    </row>
    <row r="9264" spans="1:18" ht="36">
      <c r="A9264" s="219">
        <v>1957</v>
      </c>
      <c r="B9264" s="216" t="s">
        <v>17065</v>
      </c>
      <c r="C9264" s="220" t="s">
        <v>17066</v>
      </c>
      <c r="D9264" s="221">
        <v>4398.9399999999996</v>
      </c>
      <c r="E9264" s="221">
        <v>1482.35</v>
      </c>
      <c r="F9264" s="221">
        <v>1128.99</v>
      </c>
      <c r="G9264" s="221">
        <v>1787.6</v>
      </c>
      <c r="H9264" s="222">
        <v>31599.49</v>
      </c>
      <c r="I9264" s="222">
        <v>17047.599999999999</v>
      </c>
      <c r="J9264" s="222">
        <v>4559.28</v>
      </c>
      <c r="K9264" s="222">
        <v>9992.61</v>
      </c>
      <c r="L9264" s="43">
        <v>7.1834328269992325</v>
      </c>
      <c r="M9264" s="43">
        <v>11.500387897595035</v>
      </c>
      <c r="N9264" s="43">
        <v>4.0383705790131001</v>
      </c>
      <c r="O9264" s="43">
        <v>5.5899586037144777</v>
      </c>
      <c r="P9264" s="223"/>
      <c r="Q9264" s="223"/>
      <c r="R9264" s="223">
        <v>17</v>
      </c>
    </row>
    <row r="9265" spans="1:18" ht="36">
      <c r="A9265" s="219">
        <v>1958</v>
      </c>
      <c r="B9265" s="216" t="s">
        <v>17067</v>
      </c>
      <c r="C9265" s="220" t="s">
        <v>17068</v>
      </c>
      <c r="D9265" s="221">
        <v>6117.23</v>
      </c>
      <c r="E9265" s="221">
        <v>1753.04</v>
      </c>
      <c r="F9265" s="221">
        <v>1598.9</v>
      </c>
      <c r="G9265" s="221">
        <v>2765.29</v>
      </c>
      <c r="H9265" s="222">
        <v>41811.67</v>
      </c>
      <c r="I9265" s="222">
        <v>20160.64</v>
      </c>
      <c r="J9265" s="222">
        <v>6610.96</v>
      </c>
      <c r="K9265" s="222">
        <v>15040.07</v>
      </c>
      <c r="L9265" s="43">
        <v>6.8350658713175738</v>
      </c>
      <c r="M9265" s="43">
        <v>11.500387897595035</v>
      </c>
      <c r="N9265" s="43">
        <v>4.1346926011632998</v>
      </c>
      <c r="O9265" s="43">
        <v>5.4388762118982097</v>
      </c>
      <c r="P9265" s="223"/>
      <c r="Q9265" s="223"/>
      <c r="R9265" s="223">
        <v>17</v>
      </c>
    </row>
    <row r="9266" spans="1:18" ht="36">
      <c r="A9266" s="219">
        <v>1959</v>
      </c>
      <c r="B9266" s="216" t="s">
        <v>17069</v>
      </c>
      <c r="C9266" s="220" t="s">
        <v>17070</v>
      </c>
      <c r="D9266" s="221">
        <v>4800.8599999999997</v>
      </c>
      <c r="E9266" s="221">
        <v>1740.15</v>
      </c>
      <c r="F9266" s="221">
        <v>1279.75</v>
      </c>
      <c r="G9266" s="221">
        <v>1780.96</v>
      </c>
      <c r="H9266" s="222">
        <v>35208.699999999997</v>
      </c>
      <c r="I9266" s="222">
        <v>20012.400000000001</v>
      </c>
      <c r="J9266" s="222">
        <v>5128.6400000000003</v>
      </c>
      <c r="K9266" s="222">
        <v>10067.66</v>
      </c>
      <c r="L9266" s="43">
        <v>7.3338318551259567</v>
      </c>
      <c r="M9266" s="43">
        <v>11.500387897595035</v>
      </c>
      <c r="N9266" s="43">
        <v>4.0075327212346163</v>
      </c>
      <c r="O9266" s="43">
        <v>5.6529399874225135</v>
      </c>
      <c r="P9266" s="223"/>
      <c r="Q9266" s="223"/>
      <c r="R9266" s="223">
        <v>17</v>
      </c>
    </row>
    <row r="9267" spans="1:18" ht="36">
      <c r="A9267" s="219">
        <v>1960</v>
      </c>
      <c r="B9267" s="216" t="s">
        <v>17071</v>
      </c>
      <c r="C9267" s="220" t="s">
        <v>17072</v>
      </c>
      <c r="D9267" s="221">
        <v>10409.719999999999</v>
      </c>
      <c r="E9267" s="221">
        <v>3255.84</v>
      </c>
      <c r="F9267" s="221">
        <v>2215.79</v>
      </c>
      <c r="G9267" s="221">
        <v>4938.09</v>
      </c>
      <c r="H9267" s="222">
        <v>73199.95</v>
      </c>
      <c r="I9267" s="222">
        <v>37442.160000000003</v>
      </c>
      <c r="J9267" s="222">
        <v>9890.08</v>
      </c>
      <c r="K9267" s="222">
        <v>25867.71</v>
      </c>
      <c r="L9267" s="43">
        <v>7.0318846232175316</v>
      </c>
      <c r="M9267" s="43">
        <v>11.5</v>
      </c>
      <c r="N9267" s="43">
        <v>4.4634554718633082</v>
      </c>
      <c r="O9267" s="43">
        <v>5.2384039173040584</v>
      </c>
      <c r="P9267" s="223"/>
      <c r="Q9267" s="223"/>
      <c r="R9267" s="223">
        <v>17</v>
      </c>
    </row>
    <row r="9268" spans="1:18" ht="36">
      <c r="A9268" s="219">
        <v>1961</v>
      </c>
      <c r="B9268" s="216" t="s">
        <v>17073</v>
      </c>
      <c r="C9268" s="220" t="s">
        <v>17074</v>
      </c>
      <c r="D9268" s="221">
        <v>14244.39</v>
      </c>
      <c r="E9268" s="221">
        <v>4309.2</v>
      </c>
      <c r="F9268" s="221">
        <v>3053.58</v>
      </c>
      <c r="G9268" s="221">
        <v>6881.61</v>
      </c>
      <c r="H9268" s="222">
        <v>98194.45</v>
      </c>
      <c r="I9268" s="222">
        <v>49555.8</v>
      </c>
      <c r="J9268" s="222">
        <v>13653.48</v>
      </c>
      <c r="K9268" s="222">
        <v>34985.17</v>
      </c>
      <c r="L9268" s="43">
        <v>6.893552479256746</v>
      </c>
      <c r="M9268" s="43">
        <v>11.500000000000002</v>
      </c>
      <c r="N9268" s="43">
        <v>4.4713025366946342</v>
      </c>
      <c r="O9268" s="43">
        <v>5.0838640957566614</v>
      </c>
      <c r="P9268" s="223"/>
      <c r="Q9268" s="223"/>
      <c r="R9268" s="223">
        <v>17</v>
      </c>
    </row>
    <row r="9269" spans="1:18" ht="12.75" customHeight="1">
      <c r="A9269" s="628" t="s">
        <v>17075</v>
      </c>
      <c r="B9269" s="629"/>
      <c r="C9269" s="629"/>
      <c r="D9269" s="629"/>
      <c r="E9269" s="629"/>
      <c r="F9269" s="629"/>
      <c r="G9269" s="629"/>
      <c r="H9269" s="629"/>
      <c r="I9269" s="629"/>
      <c r="J9269" s="629"/>
      <c r="K9269" s="629"/>
      <c r="L9269" s="629"/>
      <c r="M9269" s="629"/>
      <c r="N9269" s="629"/>
      <c r="O9269" s="629"/>
      <c r="P9269" s="629"/>
      <c r="Q9269" s="629"/>
      <c r="R9269" s="629"/>
    </row>
    <row r="9270" spans="1:18" ht="12.75" customHeight="1">
      <c r="A9270" s="628" t="s">
        <v>17076</v>
      </c>
      <c r="B9270" s="629"/>
      <c r="C9270" s="629"/>
      <c r="D9270" s="629"/>
      <c r="E9270" s="629"/>
      <c r="F9270" s="629"/>
      <c r="G9270" s="629"/>
      <c r="H9270" s="629"/>
      <c r="I9270" s="629"/>
      <c r="J9270" s="629"/>
      <c r="K9270" s="629"/>
      <c r="L9270" s="629"/>
      <c r="M9270" s="629"/>
      <c r="N9270" s="629"/>
      <c r="O9270" s="629"/>
      <c r="P9270" s="629"/>
      <c r="Q9270" s="629"/>
      <c r="R9270" s="629"/>
    </row>
    <row r="9271" spans="1:18" ht="24">
      <c r="A9271" s="219">
        <v>1962</v>
      </c>
      <c r="B9271" s="216" t="s">
        <v>17077</v>
      </c>
      <c r="C9271" s="220" t="s">
        <v>17078</v>
      </c>
      <c r="D9271" s="221">
        <v>1541.83</v>
      </c>
      <c r="E9271" s="221">
        <v>756.4</v>
      </c>
      <c r="F9271" s="221">
        <v>296.74</v>
      </c>
      <c r="G9271" s="221">
        <v>488.69</v>
      </c>
      <c r="H9271" s="222">
        <v>12563.8</v>
      </c>
      <c r="I9271" s="222">
        <v>8698.6</v>
      </c>
      <c r="J9271" s="222">
        <v>1570.06</v>
      </c>
      <c r="K9271" s="222">
        <v>2295.14</v>
      </c>
      <c r="L9271" s="43">
        <v>8.1486285777290615</v>
      </c>
      <c r="M9271" s="43">
        <v>11.5</v>
      </c>
      <c r="N9271" s="43">
        <v>5.2910291837972636</v>
      </c>
      <c r="O9271" s="43">
        <v>4.6965151732181951</v>
      </c>
      <c r="P9271" s="223"/>
      <c r="Q9271" s="223"/>
      <c r="R9271" s="223">
        <v>1</v>
      </c>
    </row>
    <row r="9272" spans="1:18" ht="12.75" customHeight="1">
      <c r="A9272" s="628" t="s">
        <v>17079</v>
      </c>
      <c r="B9272" s="629"/>
      <c r="C9272" s="629"/>
      <c r="D9272" s="629"/>
      <c r="E9272" s="629"/>
      <c r="F9272" s="629"/>
      <c r="G9272" s="629"/>
      <c r="H9272" s="629"/>
      <c r="I9272" s="629"/>
      <c r="J9272" s="629"/>
      <c r="K9272" s="629"/>
      <c r="L9272" s="629"/>
      <c r="M9272" s="629"/>
      <c r="N9272" s="629"/>
      <c r="O9272" s="629"/>
      <c r="P9272" s="629"/>
      <c r="Q9272" s="629"/>
      <c r="R9272" s="629"/>
    </row>
    <row r="9273" spans="1:18" ht="24">
      <c r="A9273" s="219">
        <v>1963</v>
      </c>
      <c r="B9273" s="216" t="s">
        <v>17080</v>
      </c>
      <c r="C9273" s="220" t="s">
        <v>17081</v>
      </c>
      <c r="D9273" s="221">
        <v>199.59</v>
      </c>
      <c r="E9273" s="221">
        <v>133.19999999999999</v>
      </c>
      <c r="F9273" s="221">
        <v>32.47</v>
      </c>
      <c r="G9273" s="221">
        <v>33.92</v>
      </c>
      <c r="H9273" s="222">
        <v>1926.4</v>
      </c>
      <c r="I9273" s="222">
        <v>1531.8</v>
      </c>
      <c r="J9273" s="222">
        <v>177.02</v>
      </c>
      <c r="K9273" s="222">
        <v>217.58</v>
      </c>
      <c r="L9273" s="43">
        <v>9.6517861616313443</v>
      </c>
      <c r="M9273" s="43">
        <v>11.5</v>
      </c>
      <c r="N9273" s="43">
        <v>5.4518016630736073</v>
      </c>
      <c r="O9273" s="43">
        <v>6.4145047169811322</v>
      </c>
      <c r="P9273" s="223"/>
      <c r="Q9273" s="223"/>
      <c r="R9273" s="223">
        <v>2</v>
      </c>
    </row>
    <row r="9274" spans="1:18" ht="24">
      <c r="A9274" s="219">
        <v>1964</v>
      </c>
      <c r="B9274" s="216" t="s">
        <v>17082</v>
      </c>
      <c r="C9274" s="220" t="s">
        <v>17083</v>
      </c>
      <c r="D9274" s="221">
        <v>288.25</v>
      </c>
      <c r="E9274" s="221">
        <v>180.46</v>
      </c>
      <c r="F9274" s="221">
        <v>45.42</v>
      </c>
      <c r="G9274" s="221">
        <v>62.37</v>
      </c>
      <c r="H9274" s="222">
        <v>2699.31</v>
      </c>
      <c r="I9274" s="222">
        <v>2075.36</v>
      </c>
      <c r="J9274" s="222">
        <v>248.11</v>
      </c>
      <c r="K9274" s="222">
        <v>375.84</v>
      </c>
      <c r="L9274" s="43">
        <v>9.3644752818733732</v>
      </c>
      <c r="M9274" s="43">
        <v>11.500387897595035</v>
      </c>
      <c r="N9274" s="43">
        <v>5.4625715543813298</v>
      </c>
      <c r="O9274" s="43">
        <v>6.0259740259740262</v>
      </c>
      <c r="P9274" s="223"/>
      <c r="Q9274" s="223"/>
      <c r="R9274" s="223">
        <v>2</v>
      </c>
    </row>
    <row r="9275" spans="1:18" ht="12.75" customHeight="1">
      <c r="A9275" s="628" t="s">
        <v>17084</v>
      </c>
      <c r="B9275" s="629"/>
      <c r="C9275" s="629"/>
      <c r="D9275" s="629"/>
      <c r="E9275" s="629"/>
      <c r="F9275" s="629"/>
      <c r="G9275" s="629"/>
      <c r="H9275" s="629"/>
      <c r="I9275" s="629"/>
      <c r="J9275" s="629"/>
      <c r="K9275" s="629"/>
      <c r="L9275" s="629"/>
      <c r="M9275" s="629"/>
      <c r="N9275" s="629"/>
      <c r="O9275" s="629"/>
      <c r="P9275" s="629"/>
      <c r="Q9275" s="629"/>
      <c r="R9275" s="629"/>
    </row>
    <row r="9276" spans="1:18" ht="24">
      <c r="A9276" s="219">
        <v>1965</v>
      </c>
      <c r="B9276" s="216" t="s">
        <v>17085</v>
      </c>
      <c r="C9276" s="220" t="s">
        <v>17086</v>
      </c>
      <c r="D9276" s="221">
        <v>107.15</v>
      </c>
      <c r="E9276" s="221">
        <v>61.85</v>
      </c>
      <c r="F9276" s="221">
        <v>20.43</v>
      </c>
      <c r="G9276" s="221">
        <v>24.87</v>
      </c>
      <c r="H9276" s="222">
        <v>996.95</v>
      </c>
      <c r="I9276" s="222">
        <v>711.3</v>
      </c>
      <c r="J9276" s="222">
        <v>112.45</v>
      </c>
      <c r="K9276" s="222">
        <v>173.2</v>
      </c>
      <c r="L9276" s="43">
        <v>9.3042463835744282</v>
      </c>
      <c r="M9276" s="43">
        <v>11.500404203718674</v>
      </c>
      <c r="N9276" s="43">
        <v>5.5041605482134122</v>
      </c>
      <c r="O9276" s="43">
        <v>6.9642139123441886</v>
      </c>
      <c r="P9276" s="223"/>
      <c r="Q9276" s="223"/>
      <c r="R9276" s="223">
        <v>3</v>
      </c>
    </row>
    <row r="9277" spans="1:18" ht="24">
      <c r="A9277" s="219">
        <v>1966</v>
      </c>
      <c r="B9277" s="216" t="s">
        <v>17087</v>
      </c>
      <c r="C9277" s="220" t="s">
        <v>17088</v>
      </c>
      <c r="D9277" s="221">
        <v>139.13</v>
      </c>
      <c r="E9277" s="221">
        <v>86.59</v>
      </c>
      <c r="F9277" s="221">
        <v>26.88</v>
      </c>
      <c r="G9277" s="221">
        <v>25.66</v>
      </c>
      <c r="H9277" s="222">
        <v>1323.55</v>
      </c>
      <c r="I9277" s="222">
        <v>995.82</v>
      </c>
      <c r="J9277" s="222">
        <v>147.13</v>
      </c>
      <c r="K9277" s="222">
        <v>180.6</v>
      </c>
      <c r="L9277" s="43">
        <v>9.5130453532667296</v>
      </c>
      <c r="M9277" s="43">
        <v>11.500404203718674</v>
      </c>
      <c r="N9277" s="43">
        <v>5.4735863095238093</v>
      </c>
      <c r="O9277" s="43">
        <v>7.0381917381137953</v>
      </c>
      <c r="P9277" s="223"/>
      <c r="Q9277" s="223"/>
      <c r="R9277" s="223">
        <v>3</v>
      </c>
    </row>
    <row r="9278" spans="1:18" ht="24">
      <c r="A9278" s="219">
        <v>1967</v>
      </c>
      <c r="B9278" s="216" t="s">
        <v>17089</v>
      </c>
      <c r="C9278" s="220" t="s">
        <v>17090</v>
      </c>
      <c r="D9278" s="221">
        <v>268.25</v>
      </c>
      <c r="E9278" s="221">
        <v>173.18</v>
      </c>
      <c r="F9278" s="221">
        <v>41.07</v>
      </c>
      <c r="G9278" s="221">
        <v>54</v>
      </c>
      <c r="H9278" s="222">
        <v>2548.71</v>
      </c>
      <c r="I9278" s="222">
        <v>1991.64</v>
      </c>
      <c r="J9278" s="222">
        <v>226.28</v>
      </c>
      <c r="K9278" s="222">
        <v>330.79</v>
      </c>
      <c r="L9278" s="43">
        <v>9.5012488350419382</v>
      </c>
      <c r="M9278" s="43">
        <v>11.500404203718674</v>
      </c>
      <c r="N9278" s="43">
        <v>5.5096177258339418</v>
      </c>
      <c r="O9278" s="43">
        <v>6.1257407407407412</v>
      </c>
      <c r="P9278" s="223"/>
      <c r="Q9278" s="223"/>
      <c r="R9278" s="223">
        <v>3</v>
      </c>
    </row>
    <row r="9279" spans="1:18" ht="24">
      <c r="A9279" s="219">
        <v>1968</v>
      </c>
      <c r="B9279" s="216" t="s">
        <v>17091</v>
      </c>
      <c r="C9279" s="220" t="s">
        <v>17092</v>
      </c>
      <c r="D9279" s="221">
        <v>344.51</v>
      </c>
      <c r="E9279" s="221">
        <v>210.29</v>
      </c>
      <c r="F9279" s="221">
        <v>58.3</v>
      </c>
      <c r="G9279" s="221">
        <v>75.92</v>
      </c>
      <c r="H9279" s="222">
        <v>3148.29</v>
      </c>
      <c r="I9279" s="222">
        <v>2418.42</v>
      </c>
      <c r="J9279" s="222">
        <v>313.36</v>
      </c>
      <c r="K9279" s="222">
        <v>416.51</v>
      </c>
      <c r="L9279" s="43">
        <v>9.1384575193753452</v>
      </c>
      <c r="M9279" s="43">
        <v>11.500404203718675</v>
      </c>
      <c r="N9279" s="43">
        <v>5.3749571183533451</v>
      </c>
      <c r="O9279" s="43">
        <v>5.4861696522655423</v>
      </c>
      <c r="P9279" s="223"/>
      <c r="Q9279" s="223"/>
      <c r="R9279" s="223">
        <v>3</v>
      </c>
    </row>
    <row r="9280" spans="1:18" ht="24">
      <c r="A9280" s="219">
        <v>1969</v>
      </c>
      <c r="B9280" s="216" t="s">
        <v>17093</v>
      </c>
      <c r="C9280" s="220" t="s">
        <v>17094</v>
      </c>
      <c r="D9280" s="221">
        <v>639.61</v>
      </c>
      <c r="E9280" s="221">
        <v>408.21</v>
      </c>
      <c r="F9280" s="221">
        <v>118.55</v>
      </c>
      <c r="G9280" s="221">
        <v>112.85</v>
      </c>
      <c r="H9280" s="222">
        <v>5919.56</v>
      </c>
      <c r="I9280" s="222">
        <v>4694.58</v>
      </c>
      <c r="J9280" s="222">
        <v>609.94000000000005</v>
      </c>
      <c r="K9280" s="222">
        <v>615.04</v>
      </c>
      <c r="L9280" s="43">
        <v>9.254952236519129</v>
      </c>
      <c r="M9280" s="43">
        <v>11.500404203718675</v>
      </c>
      <c r="N9280" s="43">
        <v>5.1450021088148468</v>
      </c>
      <c r="O9280" s="43">
        <v>5.4500664599025255</v>
      </c>
      <c r="P9280" s="223"/>
      <c r="Q9280" s="223"/>
      <c r="R9280" s="223">
        <v>3</v>
      </c>
    </row>
    <row r="9281" spans="1:18" ht="24">
      <c r="A9281" s="219">
        <v>1970</v>
      </c>
      <c r="B9281" s="216" t="s">
        <v>17095</v>
      </c>
      <c r="C9281" s="220" t="s">
        <v>17096</v>
      </c>
      <c r="D9281" s="221">
        <v>905.24</v>
      </c>
      <c r="E9281" s="221">
        <v>540</v>
      </c>
      <c r="F9281" s="221">
        <v>171.96</v>
      </c>
      <c r="G9281" s="221">
        <v>193.28</v>
      </c>
      <c r="H9281" s="222">
        <v>8136.96</v>
      </c>
      <c r="I9281" s="222">
        <v>6210</v>
      </c>
      <c r="J9281" s="222">
        <v>884.87</v>
      </c>
      <c r="K9281" s="222">
        <v>1042.0899999999999</v>
      </c>
      <c r="L9281" s="43">
        <v>8.9887322698952765</v>
      </c>
      <c r="M9281" s="43">
        <v>11.5</v>
      </c>
      <c r="N9281" s="43">
        <v>5.145789718539195</v>
      </c>
      <c r="O9281" s="43">
        <v>5.3916080298013238</v>
      </c>
      <c r="P9281" s="223"/>
      <c r="Q9281" s="223"/>
      <c r="R9281" s="223">
        <v>3</v>
      </c>
    </row>
    <row r="9282" spans="1:18" ht="12.75" customHeight="1">
      <c r="A9282" s="628" t="s">
        <v>17097</v>
      </c>
      <c r="B9282" s="629"/>
      <c r="C9282" s="629"/>
      <c r="D9282" s="629"/>
      <c r="E9282" s="629"/>
      <c r="F9282" s="629"/>
      <c r="G9282" s="629"/>
      <c r="H9282" s="629"/>
      <c r="I9282" s="629"/>
      <c r="J9282" s="629"/>
      <c r="K9282" s="629"/>
      <c r="L9282" s="629"/>
      <c r="M9282" s="629"/>
      <c r="N9282" s="629"/>
      <c r="O9282" s="629"/>
      <c r="P9282" s="629"/>
      <c r="Q9282" s="629"/>
      <c r="R9282" s="629"/>
    </row>
    <row r="9283" spans="1:18" ht="24">
      <c r="A9283" s="219">
        <v>1971</v>
      </c>
      <c r="B9283" s="216" t="s">
        <v>17098</v>
      </c>
      <c r="C9283" s="220" t="s">
        <v>17099</v>
      </c>
      <c r="D9283" s="221">
        <v>291.88</v>
      </c>
      <c r="E9283" s="221">
        <v>128.37</v>
      </c>
      <c r="F9283" s="221">
        <v>59.67</v>
      </c>
      <c r="G9283" s="221">
        <v>103.84</v>
      </c>
      <c r="H9283" s="222">
        <v>2235.29</v>
      </c>
      <c r="I9283" s="222">
        <v>1476.31</v>
      </c>
      <c r="J9283" s="222">
        <v>333.97</v>
      </c>
      <c r="K9283" s="222">
        <v>425.01</v>
      </c>
      <c r="L9283" s="43">
        <v>7.658249965739345</v>
      </c>
      <c r="M9283" s="43">
        <v>11.500428449014567</v>
      </c>
      <c r="N9283" s="43">
        <v>5.5969498910675384</v>
      </c>
      <c r="O9283" s="43">
        <v>4.0929314329738054</v>
      </c>
      <c r="P9283" s="223"/>
      <c r="Q9283" s="223"/>
      <c r="R9283" s="223">
        <v>4</v>
      </c>
    </row>
    <row r="9284" spans="1:18" ht="24">
      <c r="A9284" s="219">
        <v>1972</v>
      </c>
      <c r="B9284" s="216" t="s">
        <v>17100</v>
      </c>
      <c r="C9284" s="220" t="s">
        <v>17101</v>
      </c>
      <c r="D9284" s="221">
        <v>7176.6</v>
      </c>
      <c r="E9284" s="221">
        <v>2044.02</v>
      </c>
      <c r="F9284" s="221">
        <v>1488.16</v>
      </c>
      <c r="G9284" s="221">
        <v>3644.42</v>
      </c>
      <c r="H9284" s="222">
        <v>50044.9</v>
      </c>
      <c r="I9284" s="222">
        <v>23506.23</v>
      </c>
      <c r="J9284" s="222">
        <v>6050.76</v>
      </c>
      <c r="K9284" s="222">
        <v>20487.91</v>
      </c>
      <c r="L9284" s="43">
        <v>6.9733439233063006</v>
      </c>
      <c r="M9284" s="43">
        <v>11.5</v>
      </c>
      <c r="N9284" s="43">
        <v>4.0659337705623049</v>
      </c>
      <c r="O9284" s="43">
        <v>5.6217203286119597</v>
      </c>
      <c r="P9284" s="223"/>
      <c r="Q9284" s="223"/>
      <c r="R9284" s="223">
        <v>4</v>
      </c>
    </row>
    <row r="9285" spans="1:18" ht="12.75" customHeight="1">
      <c r="A9285" s="628" t="s">
        <v>17102</v>
      </c>
      <c r="B9285" s="629"/>
      <c r="C9285" s="629"/>
      <c r="D9285" s="629"/>
      <c r="E9285" s="629"/>
      <c r="F9285" s="629"/>
      <c r="G9285" s="629"/>
      <c r="H9285" s="629"/>
      <c r="I9285" s="629"/>
      <c r="J9285" s="629"/>
      <c r="K9285" s="629"/>
      <c r="L9285" s="629"/>
      <c r="M9285" s="629"/>
      <c r="N9285" s="629"/>
      <c r="O9285" s="629"/>
      <c r="P9285" s="629"/>
      <c r="Q9285" s="629"/>
      <c r="R9285" s="629"/>
    </row>
    <row r="9286" spans="1:18" ht="24">
      <c r="A9286" s="219">
        <v>1973</v>
      </c>
      <c r="B9286" s="216" t="s">
        <v>17103</v>
      </c>
      <c r="C9286" s="220" t="s">
        <v>17104</v>
      </c>
      <c r="D9286" s="221">
        <v>325.36</v>
      </c>
      <c r="E9286" s="221">
        <v>136.07</v>
      </c>
      <c r="F9286" s="221">
        <v>85.46</v>
      </c>
      <c r="G9286" s="221">
        <v>103.83</v>
      </c>
      <c r="H9286" s="222">
        <v>2479.38</v>
      </c>
      <c r="I9286" s="222">
        <v>1564.86</v>
      </c>
      <c r="J9286" s="222">
        <v>488.35</v>
      </c>
      <c r="K9286" s="222">
        <v>426.17</v>
      </c>
      <c r="L9286" s="43">
        <v>7.620420457339562</v>
      </c>
      <c r="M9286" s="43">
        <v>11.500404203718674</v>
      </c>
      <c r="N9286" s="43">
        <v>5.714369295576879</v>
      </c>
      <c r="O9286" s="43">
        <v>4.1044977366849658</v>
      </c>
      <c r="P9286" s="223"/>
      <c r="Q9286" s="223"/>
      <c r="R9286" s="223">
        <v>5</v>
      </c>
    </row>
    <row r="9287" spans="1:18" ht="24">
      <c r="A9287" s="219">
        <v>1974</v>
      </c>
      <c r="B9287" s="216" t="s">
        <v>17105</v>
      </c>
      <c r="C9287" s="220" t="s">
        <v>17106</v>
      </c>
      <c r="D9287" s="221">
        <v>409.06</v>
      </c>
      <c r="E9287" s="221">
        <v>272.14</v>
      </c>
      <c r="F9287" s="221">
        <v>90.23</v>
      </c>
      <c r="G9287" s="221">
        <v>46.69</v>
      </c>
      <c r="H9287" s="222">
        <v>3901.73</v>
      </c>
      <c r="I9287" s="222">
        <v>3129.72</v>
      </c>
      <c r="J9287" s="222">
        <v>499.84</v>
      </c>
      <c r="K9287" s="222">
        <v>272.17</v>
      </c>
      <c r="L9287" s="43">
        <v>9.5382828924852099</v>
      </c>
      <c r="M9287" s="43">
        <v>11.500404203718674</v>
      </c>
      <c r="N9287" s="43">
        <v>5.5396209686357079</v>
      </c>
      <c r="O9287" s="43">
        <v>5.829299635896338</v>
      </c>
      <c r="P9287" s="223"/>
      <c r="Q9287" s="223"/>
      <c r="R9287" s="223">
        <v>5</v>
      </c>
    </row>
    <row r="9288" spans="1:18" ht="24">
      <c r="A9288" s="219">
        <v>1975</v>
      </c>
      <c r="B9288" s="216" t="s">
        <v>17107</v>
      </c>
      <c r="C9288" s="220" t="s">
        <v>17108</v>
      </c>
      <c r="D9288" s="221">
        <v>2510</v>
      </c>
      <c r="E9288" s="221">
        <v>989.6</v>
      </c>
      <c r="F9288" s="221">
        <v>724.08</v>
      </c>
      <c r="G9288" s="221">
        <v>796.32</v>
      </c>
      <c r="H9288" s="222">
        <v>19064.57</v>
      </c>
      <c r="I9288" s="222">
        <v>11380.8</v>
      </c>
      <c r="J9288" s="222">
        <v>2738.5</v>
      </c>
      <c r="K9288" s="222">
        <v>4945.2700000000004</v>
      </c>
      <c r="L9288" s="43">
        <v>7.5954462151394422</v>
      </c>
      <c r="M9288" s="43">
        <v>11.500404203718674</v>
      </c>
      <c r="N9288" s="43">
        <v>3.7820406584907742</v>
      </c>
      <c r="O9288" s="43">
        <v>6.2101542093630702</v>
      </c>
      <c r="P9288" s="223"/>
      <c r="Q9288" s="223"/>
      <c r="R9288" s="223">
        <v>5</v>
      </c>
    </row>
    <row r="9289" spans="1:18" ht="24">
      <c r="A9289" s="219">
        <v>1976</v>
      </c>
      <c r="B9289" s="216" t="s">
        <v>17109</v>
      </c>
      <c r="C9289" s="220" t="s">
        <v>17110</v>
      </c>
      <c r="D9289" s="221">
        <v>3828.83</v>
      </c>
      <c r="E9289" s="221">
        <v>1417.02</v>
      </c>
      <c r="F9289" s="221">
        <v>1096.57</v>
      </c>
      <c r="G9289" s="221">
        <v>1315.24</v>
      </c>
      <c r="H9289" s="222">
        <v>28391.61</v>
      </c>
      <c r="I9289" s="222">
        <v>16295.73</v>
      </c>
      <c r="J9289" s="222">
        <v>4229.1899999999996</v>
      </c>
      <c r="K9289" s="222">
        <v>7866.69</v>
      </c>
      <c r="L9289" s="43">
        <v>7.4152182259332484</v>
      </c>
      <c r="M9289" s="43">
        <v>11.5</v>
      </c>
      <c r="N9289" s="43">
        <v>3.8567442114958461</v>
      </c>
      <c r="O9289" s="43">
        <v>5.9811821416623578</v>
      </c>
      <c r="P9289" s="223"/>
      <c r="Q9289" s="223"/>
      <c r="R9289" s="223">
        <v>5</v>
      </c>
    </row>
    <row r="9290" spans="1:18" ht="24">
      <c r="A9290" s="219">
        <v>1977</v>
      </c>
      <c r="B9290" s="216" t="s">
        <v>17111</v>
      </c>
      <c r="C9290" s="220" t="s">
        <v>17112</v>
      </c>
      <c r="D9290" s="221">
        <v>2692.66</v>
      </c>
      <c r="E9290" s="221">
        <v>1053.3599999999999</v>
      </c>
      <c r="F9290" s="221">
        <v>669.49</v>
      </c>
      <c r="G9290" s="221">
        <v>969.81</v>
      </c>
      <c r="H9290" s="222">
        <v>20248.27</v>
      </c>
      <c r="I9290" s="222">
        <v>12113.64</v>
      </c>
      <c r="J9290" s="222">
        <v>2774.18</v>
      </c>
      <c r="K9290" s="222">
        <v>5360.45</v>
      </c>
      <c r="L9290" s="43">
        <v>7.5198019801980207</v>
      </c>
      <c r="M9290" s="43">
        <v>11.5</v>
      </c>
      <c r="N9290" s="43">
        <v>4.1437213401245723</v>
      </c>
      <c r="O9290" s="43">
        <v>5.527319784287644</v>
      </c>
      <c r="P9290" s="223"/>
      <c r="Q9290" s="223"/>
      <c r="R9290" s="223">
        <v>5</v>
      </c>
    </row>
    <row r="9291" spans="1:18" ht="12.75" customHeight="1">
      <c r="A9291" s="628" t="s">
        <v>17113</v>
      </c>
      <c r="B9291" s="629"/>
      <c r="C9291" s="629"/>
      <c r="D9291" s="629"/>
      <c r="E9291" s="629"/>
      <c r="F9291" s="629"/>
      <c r="G9291" s="629"/>
      <c r="H9291" s="629"/>
      <c r="I9291" s="629"/>
      <c r="J9291" s="629"/>
      <c r="K9291" s="629"/>
      <c r="L9291" s="629"/>
      <c r="M9291" s="629"/>
      <c r="N9291" s="629"/>
      <c r="O9291" s="629"/>
      <c r="P9291" s="629"/>
      <c r="Q9291" s="629"/>
      <c r="R9291" s="629"/>
    </row>
    <row r="9292" spans="1:18" ht="24">
      <c r="A9292" s="219">
        <v>1978</v>
      </c>
      <c r="B9292" s="216" t="s">
        <v>17114</v>
      </c>
      <c r="C9292" s="220" t="s">
        <v>17115</v>
      </c>
      <c r="D9292" s="221">
        <v>443.37</v>
      </c>
      <c r="E9292" s="221">
        <v>279.83999999999997</v>
      </c>
      <c r="F9292" s="221">
        <v>92.81</v>
      </c>
      <c r="G9292" s="221">
        <v>70.72</v>
      </c>
      <c r="H9292" s="222">
        <v>4090.64</v>
      </c>
      <c r="I9292" s="222">
        <v>3218.16</v>
      </c>
      <c r="J9292" s="222">
        <v>513.35</v>
      </c>
      <c r="K9292" s="222">
        <v>359.13</v>
      </c>
      <c r="L9292" s="43">
        <v>9.2262444459480797</v>
      </c>
      <c r="M9292" s="43">
        <v>11.5</v>
      </c>
      <c r="N9292" s="43">
        <v>5.5311927594009269</v>
      </c>
      <c r="O9292" s="43">
        <v>5.0781957013574663</v>
      </c>
      <c r="P9292" s="223"/>
      <c r="Q9292" s="223"/>
      <c r="R9292" s="223">
        <v>6</v>
      </c>
    </row>
    <row r="9293" spans="1:18" ht="24">
      <c r="A9293" s="219">
        <v>1979</v>
      </c>
      <c r="B9293" s="216" t="s">
        <v>17116</v>
      </c>
      <c r="C9293" s="220" t="s">
        <v>17117</v>
      </c>
      <c r="D9293" s="221">
        <v>709.34</v>
      </c>
      <c r="E9293" s="221">
        <v>445.2</v>
      </c>
      <c r="F9293" s="221">
        <v>159.4</v>
      </c>
      <c r="G9293" s="221">
        <v>104.74</v>
      </c>
      <c r="H9293" s="222">
        <v>6513.84</v>
      </c>
      <c r="I9293" s="222">
        <v>5119.8</v>
      </c>
      <c r="J9293" s="222">
        <v>836.26</v>
      </c>
      <c r="K9293" s="222">
        <v>557.78</v>
      </c>
      <c r="L9293" s="43">
        <v>9.1829588067781316</v>
      </c>
      <c r="M9293" s="43">
        <v>11.5</v>
      </c>
      <c r="N9293" s="43">
        <v>5.2462986198243406</v>
      </c>
      <c r="O9293" s="43">
        <v>5.3253771243078099</v>
      </c>
      <c r="P9293" s="223"/>
      <c r="Q9293" s="223"/>
      <c r="R9293" s="223">
        <v>6</v>
      </c>
    </row>
    <row r="9294" spans="1:18" ht="24">
      <c r="A9294" s="219">
        <v>1980</v>
      </c>
      <c r="B9294" s="216" t="s">
        <v>17118</v>
      </c>
      <c r="C9294" s="220" t="s">
        <v>17119</v>
      </c>
      <c r="D9294" s="221">
        <v>1191.92</v>
      </c>
      <c r="E9294" s="221">
        <v>653.5</v>
      </c>
      <c r="F9294" s="221">
        <v>272.16000000000003</v>
      </c>
      <c r="G9294" s="221">
        <v>266.26</v>
      </c>
      <c r="H9294" s="222">
        <v>10362.200000000001</v>
      </c>
      <c r="I9294" s="222">
        <v>7515.5</v>
      </c>
      <c r="J9294" s="222">
        <v>1443.85</v>
      </c>
      <c r="K9294" s="222">
        <v>1402.85</v>
      </c>
      <c r="L9294" s="43">
        <v>8.6937042754547278</v>
      </c>
      <c r="M9294" s="43">
        <v>11.500382555470543</v>
      </c>
      <c r="N9294" s="43">
        <v>5.30515138154027</v>
      </c>
      <c r="O9294" s="43">
        <v>5.2687223015098024</v>
      </c>
      <c r="P9294" s="223"/>
      <c r="Q9294" s="223"/>
      <c r="R9294" s="223">
        <v>6</v>
      </c>
    </row>
    <row r="9295" spans="1:18" ht="24">
      <c r="A9295" s="219">
        <v>1981</v>
      </c>
      <c r="B9295" s="216" t="s">
        <v>17120</v>
      </c>
      <c r="C9295" s="220" t="s">
        <v>17121</v>
      </c>
      <c r="D9295" s="221">
        <v>1622.26</v>
      </c>
      <c r="E9295" s="221">
        <v>887.75</v>
      </c>
      <c r="F9295" s="221">
        <v>353.87</v>
      </c>
      <c r="G9295" s="221">
        <v>380.64</v>
      </c>
      <c r="H9295" s="222">
        <v>14066.57</v>
      </c>
      <c r="I9295" s="222">
        <v>10209.459999999999</v>
      </c>
      <c r="J9295" s="222">
        <v>1863.58</v>
      </c>
      <c r="K9295" s="222">
        <v>1993.53</v>
      </c>
      <c r="L9295" s="43">
        <v>8.6709713609409089</v>
      </c>
      <c r="M9295" s="43">
        <v>11.500377358490566</v>
      </c>
      <c r="N9295" s="43">
        <v>5.2662842286715454</v>
      </c>
      <c r="O9295" s="43">
        <v>5.2373108448928125</v>
      </c>
      <c r="P9295" s="223"/>
      <c r="Q9295" s="223"/>
      <c r="R9295" s="223">
        <v>6</v>
      </c>
    </row>
    <row r="9296" spans="1:18" ht="24">
      <c r="A9296" s="219">
        <v>1982</v>
      </c>
      <c r="B9296" s="216" t="s">
        <v>17122</v>
      </c>
      <c r="C9296" s="220" t="s">
        <v>17123</v>
      </c>
      <c r="D9296" s="221">
        <v>4651.3599999999997</v>
      </c>
      <c r="E9296" s="221">
        <v>1908</v>
      </c>
      <c r="F9296" s="221">
        <v>1261.6400000000001</v>
      </c>
      <c r="G9296" s="221">
        <v>1481.72</v>
      </c>
      <c r="H9296" s="222">
        <v>35783.51</v>
      </c>
      <c r="I9296" s="222">
        <v>21942.720000000001</v>
      </c>
      <c r="J9296" s="222">
        <v>5238.13</v>
      </c>
      <c r="K9296" s="222">
        <v>8602.66</v>
      </c>
      <c r="L9296" s="43">
        <v>7.6931284613532398</v>
      </c>
      <c r="M9296" s="43">
        <v>11.500377358490567</v>
      </c>
      <c r="N9296" s="43">
        <v>4.1518420468596426</v>
      </c>
      <c r="O9296" s="43">
        <v>5.8058607564182161</v>
      </c>
      <c r="P9296" s="223"/>
      <c r="Q9296" s="223"/>
      <c r="R9296" s="223">
        <v>6</v>
      </c>
    </row>
    <row r="9297" spans="1:18" ht="24">
      <c r="A9297" s="219">
        <v>1983</v>
      </c>
      <c r="B9297" s="216" t="s">
        <v>17124</v>
      </c>
      <c r="C9297" s="220" t="s">
        <v>17125</v>
      </c>
      <c r="D9297" s="221">
        <v>5145.8900000000003</v>
      </c>
      <c r="E9297" s="221">
        <v>2080.25</v>
      </c>
      <c r="F9297" s="221">
        <v>1353.28</v>
      </c>
      <c r="G9297" s="221">
        <v>1712.36</v>
      </c>
      <c r="H9297" s="222">
        <v>39753.58</v>
      </c>
      <c r="I9297" s="222">
        <v>23923.66</v>
      </c>
      <c r="J9297" s="222">
        <v>5726.55</v>
      </c>
      <c r="K9297" s="222">
        <v>10103.370000000001</v>
      </c>
      <c r="L9297" s="43">
        <v>7.7253069925707702</v>
      </c>
      <c r="M9297" s="43">
        <v>11.500377358490566</v>
      </c>
      <c r="N9297" s="43">
        <v>4.2316076495625445</v>
      </c>
      <c r="O9297" s="43">
        <v>5.9002604592492238</v>
      </c>
      <c r="P9297" s="223"/>
      <c r="Q9297" s="223"/>
      <c r="R9297" s="223">
        <v>6</v>
      </c>
    </row>
    <row r="9298" spans="1:18" ht="12.75" customHeight="1">
      <c r="A9298" s="628" t="s">
        <v>17126</v>
      </c>
      <c r="B9298" s="629"/>
      <c r="C9298" s="629"/>
      <c r="D9298" s="629"/>
      <c r="E9298" s="629"/>
      <c r="F9298" s="629"/>
      <c r="G9298" s="629"/>
      <c r="H9298" s="629"/>
      <c r="I9298" s="629"/>
      <c r="J9298" s="629"/>
      <c r="K9298" s="629"/>
      <c r="L9298" s="629"/>
      <c r="M9298" s="629"/>
      <c r="N9298" s="629"/>
      <c r="O9298" s="629"/>
      <c r="P9298" s="629"/>
      <c r="Q9298" s="629"/>
      <c r="R9298" s="629"/>
    </row>
    <row r="9299" spans="1:18" ht="24">
      <c r="A9299" s="219">
        <v>1984</v>
      </c>
      <c r="B9299" s="216" t="s">
        <v>17127</v>
      </c>
      <c r="C9299" s="220" t="s">
        <v>17128</v>
      </c>
      <c r="D9299" s="221">
        <v>365.3</v>
      </c>
      <c r="E9299" s="221">
        <v>141.79</v>
      </c>
      <c r="F9299" s="221">
        <v>119.21</v>
      </c>
      <c r="G9299" s="221">
        <v>104.3</v>
      </c>
      <c r="H9299" s="222">
        <v>2727.51</v>
      </c>
      <c r="I9299" s="222">
        <v>1630.64</v>
      </c>
      <c r="J9299" s="222">
        <v>667.11</v>
      </c>
      <c r="K9299" s="222">
        <v>429.76</v>
      </c>
      <c r="L9299" s="43">
        <v>7.4664932931836852</v>
      </c>
      <c r="M9299" s="43">
        <v>11.500387897595036</v>
      </c>
      <c r="N9299" s="43">
        <v>5.5960909319687948</v>
      </c>
      <c r="O9299" s="43">
        <v>4.1204218600191753</v>
      </c>
      <c r="P9299" s="223"/>
      <c r="Q9299" s="223"/>
      <c r="R9299" s="223">
        <v>7</v>
      </c>
    </row>
    <row r="9300" spans="1:18" ht="24">
      <c r="A9300" s="219">
        <v>1985</v>
      </c>
      <c r="B9300" s="216" t="s">
        <v>17129</v>
      </c>
      <c r="C9300" s="220" t="s">
        <v>17130</v>
      </c>
      <c r="D9300" s="221">
        <v>2891.02</v>
      </c>
      <c r="E9300" s="221">
        <v>1147.21</v>
      </c>
      <c r="F9300" s="221">
        <v>723.62</v>
      </c>
      <c r="G9300" s="221">
        <v>1020.19</v>
      </c>
      <c r="H9300" s="222">
        <v>21871.85</v>
      </c>
      <c r="I9300" s="222">
        <v>13193.36</v>
      </c>
      <c r="J9300" s="222">
        <v>3041.42</v>
      </c>
      <c r="K9300" s="222">
        <v>5637.07</v>
      </c>
      <c r="L9300" s="43">
        <v>7.5654440301346924</v>
      </c>
      <c r="M9300" s="43">
        <v>11.500387897595035</v>
      </c>
      <c r="N9300" s="43">
        <v>4.203062380807606</v>
      </c>
      <c r="O9300" s="43">
        <v>5.5255099540281707</v>
      </c>
      <c r="P9300" s="223"/>
      <c r="Q9300" s="223"/>
      <c r="R9300" s="223">
        <v>7</v>
      </c>
    </row>
    <row r="9301" spans="1:18" ht="12.75" customHeight="1">
      <c r="A9301" s="628" t="s">
        <v>17131</v>
      </c>
      <c r="B9301" s="629"/>
      <c r="C9301" s="629"/>
      <c r="D9301" s="629"/>
      <c r="E9301" s="629"/>
      <c r="F9301" s="629"/>
      <c r="G9301" s="629"/>
      <c r="H9301" s="629"/>
      <c r="I9301" s="629"/>
      <c r="J9301" s="629"/>
      <c r="K9301" s="629"/>
      <c r="L9301" s="629"/>
      <c r="M9301" s="629"/>
      <c r="N9301" s="629"/>
      <c r="O9301" s="629"/>
      <c r="P9301" s="629"/>
      <c r="Q9301" s="629"/>
      <c r="R9301" s="629"/>
    </row>
    <row r="9302" spans="1:18" ht="24">
      <c r="A9302" s="219">
        <v>1986</v>
      </c>
      <c r="B9302" s="216" t="s">
        <v>17132</v>
      </c>
      <c r="C9302" s="220" t="s">
        <v>17133</v>
      </c>
      <c r="D9302" s="221">
        <v>143.53</v>
      </c>
      <c r="E9302" s="221">
        <v>64.45</v>
      </c>
      <c r="F9302" s="221">
        <v>64.760000000000005</v>
      </c>
      <c r="G9302" s="221">
        <v>14.32</v>
      </c>
      <c r="H9302" s="222">
        <v>1183.47</v>
      </c>
      <c r="I9302" s="222">
        <v>741.2</v>
      </c>
      <c r="J9302" s="222">
        <v>361.02</v>
      </c>
      <c r="K9302" s="222">
        <v>81.25</v>
      </c>
      <c r="L9302" s="43">
        <v>8.2454539120741313</v>
      </c>
      <c r="M9302" s="43">
        <v>11.500387897595035</v>
      </c>
      <c r="N9302" s="43">
        <v>5.5747374922791844</v>
      </c>
      <c r="O9302" s="43">
        <v>5.6738826815642458</v>
      </c>
      <c r="P9302" s="223"/>
      <c r="Q9302" s="223"/>
      <c r="R9302" s="223">
        <v>8</v>
      </c>
    </row>
    <row r="9303" spans="1:18" ht="24">
      <c r="A9303" s="219">
        <v>1987</v>
      </c>
      <c r="B9303" s="216" t="s">
        <v>17134</v>
      </c>
      <c r="C9303" s="220" t="s">
        <v>17135</v>
      </c>
      <c r="D9303" s="221">
        <v>367.69</v>
      </c>
      <c r="E9303" s="221">
        <v>244.91</v>
      </c>
      <c r="F9303" s="221">
        <v>85.12</v>
      </c>
      <c r="G9303" s="221">
        <v>37.659999999999997</v>
      </c>
      <c r="H9303" s="222">
        <v>3508.15</v>
      </c>
      <c r="I9303" s="222">
        <v>2816.56</v>
      </c>
      <c r="J9303" s="222">
        <v>471.42</v>
      </c>
      <c r="K9303" s="222">
        <v>220.17</v>
      </c>
      <c r="L9303" s="43">
        <v>9.5410536049389432</v>
      </c>
      <c r="M9303" s="43">
        <v>11.500387897595035</v>
      </c>
      <c r="N9303" s="43">
        <v>5.5382988721804507</v>
      </c>
      <c r="O9303" s="43">
        <v>5.8462559745087628</v>
      </c>
      <c r="P9303" s="223"/>
      <c r="Q9303" s="223"/>
      <c r="R9303" s="223">
        <v>8</v>
      </c>
    </row>
    <row r="9304" spans="1:18" ht="24">
      <c r="A9304" s="219">
        <v>1988</v>
      </c>
      <c r="B9304" s="216" t="s">
        <v>17136</v>
      </c>
      <c r="C9304" s="220" t="s">
        <v>17137</v>
      </c>
      <c r="D9304" s="221">
        <v>1045.73</v>
      </c>
      <c r="E9304" s="221">
        <v>583</v>
      </c>
      <c r="F9304" s="221">
        <v>232.63</v>
      </c>
      <c r="G9304" s="221">
        <v>230.1</v>
      </c>
      <c r="H9304" s="222">
        <v>9199.74</v>
      </c>
      <c r="I9304" s="222">
        <v>6704.72</v>
      </c>
      <c r="J9304" s="222">
        <v>1235.26</v>
      </c>
      <c r="K9304" s="222">
        <v>1259.76</v>
      </c>
      <c r="L9304" s="43">
        <v>8.7974333719028817</v>
      </c>
      <c r="M9304" s="43">
        <v>11.500377358490567</v>
      </c>
      <c r="N9304" s="43">
        <v>5.3099772170399344</v>
      </c>
      <c r="O9304" s="43">
        <v>5.4748370273794</v>
      </c>
      <c r="P9304" s="223"/>
      <c r="Q9304" s="223"/>
      <c r="R9304" s="223">
        <v>8</v>
      </c>
    </row>
    <row r="9305" spans="1:18" ht="24">
      <c r="A9305" s="219">
        <v>1989</v>
      </c>
      <c r="B9305" s="216" t="s">
        <v>17138</v>
      </c>
      <c r="C9305" s="220" t="s">
        <v>17139</v>
      </c>
      <c r="D9305" s="221">
        <v>4048.72</v>
      </c>
      <c r="E9305" s="221">
        <v>1696</v>
      </c>
      <c r="F9305" s="221">
        <v>1164.48</v>
      </c>
      <c r="G9305" s="221">
        <v>1188.24</v>
      </c>
      <c r="H9305" s="222">
        <v>31656.13</v>
      </c>
      <c r="I9305" s="222">
        <v>19504.64</v>
      </c>
      <c r="J9305" s="222">
        <v>4668.72</v>
      </c>
      <c r="K9305" s="222">
        <v>7482.77</v>
      </c>
      <c r="L9305" s="43">
        <v>7.8187995218241824</v>
      </c>
      <c r="M9305" s="43">
        <v>11.500377358490566</v>
      </c>
      <c r="N9305" s="43">
        <v>4.0092745259686726</v>
      </c>
      <c r="O9305" s="43">
        <v>6.2973557530465225</v>
      </c>
      <c r="P9305" s="223"/>
      <c r="Q9305" s="223"/>
      <c r="R9305" s="223">
        <v>8</v>
      </c>
    </row>
    <row r="9306" spans="1:18" ht="24">
      <c r="A9306" s="219">
        <v>1990</v>
      </c>
      <c r="B9306" s="216" t="s">
        <v>17140</v>
      </c>
      <c r="C9306" s="220" t="s">
        <v>17141</v>
      </c>
      <c r="D9306" s="221">
        <v>5900.31</v>
      </c>
      <c r="E9306" s="221">
        <v>2476.08</v>
      </c>
      <c r="F9306" s="221">
        <v>1568.1</v>
      </c>
      <c r="G9306" s="221">
        <v>1856.13</v>
      </c>
      <c r="H9306" s="222">
        <v>46003.66</v>
      </c>
      <c r="I9306" s="222">
        <v>28474.92</v>
      </c>
      <c r="J9306" s="222">
        <v>6874.03</v>
      </c>
      <c r="K9306" s="222">
        <v>10654.71</v>
      </c>
      <c r="L9306" s="43">
        <v>7.7968208450064491</v>
      </c>
      <c r="M9306" s="43">
        <v>11.5</v>
      </c>
      <c r="N9306" s="43">
        <v>4.3836681334098593</v>
      </c>
      <c r="O9306" s="43">
        <v>5.7402822000614169</v>
      </c>
      <c r="P9306" s="223"/>
      <c r="Q9306" s="223"/>
      <c r="R9306" s="223">
        <v>8</v>
      </c>
    </row>
    <row r="9307" spans="1:18" ht="24">
      <c r="A9307" s="219">
        <v>1991</v>
      </c>
      <c r="B9307" s="216" t="s">
        <v>17142</v>
      </c>
      <c r="C9307" s="220" t="s">
        <v>17143</v>
      </c>
      <c r="D9307" s="221">
        <v>6966.03</v>
      </c>
      <c r="E9307" s="221">
        <v>2968.56</v>
      </c>
      <c r="F9307" s="221">
        <v>1796</v>
      </c>
      <c r="G9307" s="221">
        <v>2201.4699999999998</v>
      </c>
      <c r="H9307" s="222">
        <v>54683.31</v>
      </c>
      <c r="I9307" s="222">
        <v>34138.44</v>
      </c>
      <c r="J9307" s="222">
        <v>7785.44</v>
      </c>
      <c r="K9307" s="222">
        <v>12759.43</v>
      </c>
      <c r="L9307" s="43">
        <v>7.8499963393783831</v>
      </c>
      <c r="M9307" s="43">
        <v>11.500000000000002</v>
      </c>
      <c r="N9307" s="43">
        <v>4.3348775055679285</v>
      </c>
      <c r="O9307" s="43">
        <v>5.7958682153288494</v>
      </c>
      <c r="P9307" s="223"/>
      <c r="Q9307" s="223"/>
      <c r="R9307" s="223">
        <v>8</v>
      </c>
    </row>
    <row r="9308" spans="1:18" ht="24">
      <c r="A9308" s="219">
        <v>1992</v>
      </c>
      <c r="B9308" s="216" t="s">
        <v>17144</v>
      </c>
      <c r="C9308" s="220" t="s">
        <v>17145</v>
      </c>
      <c r="D9308" s="221">
        <v>9666.44</v>
      </c>
      <c r="E9308" s="221">
        <v>4306.6000000000004</v>
      </c>
      <c r="F9308" s="221">
        <v>2466.52</v>
      </c>
      <c r="G9308" s="221">
        <v>2893.32</v>
      </c>
      <c r="H9308" s="222">
        <v>77152.850000000006</v>
      </c>
      <c r="I9308" s="222">
        <v>49525.9</v>
      </c>
      <c r="J9308" s="222">
        <v>10936.65</v>
      </c>
      <c r="K9308" s="222">
        <v>16690.3</v>
      </c>
      <c r="L9308" s="43">
        <v>7.9815164631446534</v>
      </c>
      <c r="M9308" s="43">
        <v>11.5</v>
      </c>
      <c r="N9308" s="43">
        <v>4.4340406726886465</v>
      </c>
      <c r="O9308" s="43">
        <v>5.7685634496011495</v>
      </c>
      <c r="P9308" s="223"/>
      <c r="Q9308" s="223"/>
      <c r="R9308" s="223">
        <v>8</v>
      </c>
    </row>
    <row r="9309" spans="1:18" ht="24">
      <c r="A9309" s="219">
        <v>1993</v>
      </c>
      <c r="B9309" s="216" t="s">
        <v>17146</v>
      </c>
      <c r="C9309" s="220" t="s">
        <v>17147</v>
      </c>
      <c r="D9309" s="221">
        <v>9884.2099999999991</v>
      </c>
      <c r="E9309" s="221">
        <v>4306.6000000000004</v>
      </c>
      <c r="F9309" s="221">
        <v>2616.38</v>
      </c>
      <c r="G9309" s="221">
        <v>2961.23</v>
      </c>
      <c r="H9309" s="222">
        <v>78108.55</v>
      </c>
      <c r="I9309" s="222">
        <v>49525.9</v>
      </c>
      <c r="J9309" s="222">
        <v>11645.22</v>
      </c>
      <c r="K9309" s="222">
        <v>16937.43</v>
      </c>
      <c r="L9309" s="43">
        <v>7.9023563845770184</v>
      </c>
      <c r="M9309" s="43">
        <v>11.5</v>
      </c>
      <c r="N9309" s="43">
        <v>4.4508901612151135</v>
      </c>
      <c r="O9309" s="43">
        <v>5.7197279508852743</v>
      </c>
      <c r="P9309" s="223"/>
      <c r="Q9309" s="223"/>
      <c r="R9309" s="223">
        <v>8</v>
      </c>
    </row>
    <row r="9310" spans="1:18" ht="24">
      <c r="A9310" s="219">
        <v>1994</v>
      </c>
      <c r="B9310" s="216" t="s">
        <v>17148</v>
      </c>
      <c r="C9310" s="220" t="s">
        <v>17149</v>
      </c>
      <c r="D9310" s="221">
        <v>12843.16</v>
      </c>
      <c r="E9310" s="221">
        <v>5803.32</v>
      </c>
      <c r="F9310" s="221">
        <v>3459.8</v>
      </c>
      <c r="G9310" s="221">
        <v>3580.04</v>
      </c>
      <c r="H9310" s="222">
        <v>102729.58</v>
      </c>
      <c r="I9310" s="222">
        <v>66738.179999999993</v>
      </c>
      <c r="J9310" s="222">
        <v>15366.89</v>
      </c>
      <c r="K9310" s="222">
        <v>20624.509999999998</v>
      </c>
      <c r="L9310" s="43">
        <v>7.9987775594168413</v>
      </c>
      <c r="M9310" s="43">
        <v>11.5</v>
      </c>
      <c r="N9310" s="43">
        <v>4.4415544251112777</v>
      </c>
      <c r="O9310" s="43">
        <v>5.7609719444475473</v>
      </c>
      <c r="P9310" s="223"/>
      <c r="Q9310" s="223"/>
      <c r="R9310" s="223">
        <v>8</v>
      </c>
    </row>
    <row r="9311" spans="1:18" ht="24">
      <c r="A9311" s="219">
        <v>1995</v>
      </c>
      <c r="B9311" s="216" t="s">
        <v>17150</v>
      </c>
      <c r="C9311" s="220" t="s">
        <v>17151</v>
      </c>
      <c r="D9311" s="221">
        <v>14390.61</v>
      </c>
      <c r="E9311" s="221">
        <v>5803.32</v>
      </c>
      <c r="F9311" s="221">
        <v>3816.92</v>
      </c>
      <c r="G9311" s="221">
        <v>4770.37</v>
      </c>
      <c r="H9311" s="222">
        <v>109168.83</v>
      </c>
      <c r="I9311" s="222">
        <v>66738.179999999993</v>
      </c>
      <c r="J9311" s="222">
        <v>17473.34</v>
      </c>
      <c r="K9311" s="222">
        <v>24957.31</v>
      </c>
      <c r="L9311" s="43">
        <v>7.5861155295015292</v>
      </c>
      <c r="M9311" s="43">
        <v>11.5</v>
      </c>
      <c r="N9311" s="43">
        <v>4.5778638273791437</v>
      </c>
      <c r="O9311" s="43">
        <v>5.231734645321013</v>
      </c>
      <c r="P9311" s="223"/>
      <c r="Q9311" s="223"/>
      <c r="R9311" s="223">
        <v>8</v>
      </c>
    </row>
    <row r="9312" spans="1:18" ht="12.75" customHeight="1">
      <c r="A9312" s="628" t="s">
        <v>17152</v>
      </c>
      <c r="B9312" s="629"/>
      <c r="C9312" s="629"/>
      <c r="D9312" s="629"/>
      <c r="E9312" s="629"/>
      <c r="F9312" s="629"/>
      <c r="G9312" s="629"/>
      <c r="H9312" s="629"/>
      <c r="I9312" s="629"/>
      <c r="J9312" s="629"/>
      <c r="K9312" s="629"/>
      <c r="L9312" s="629"/>
      <c r="M9312" s="629"/>
      <c r="N9312" s="629"/>
      <c r="O9312" s="629"/>
      <c r="P9312" s="629"/>
      <c r="Q9312" s="629"/>
      <c r="R9312" s="629"/>
    </row>
    <row r="9313" spans="1:18" ht="24">
      <c r="A9313" s="219">
        <v>1996</v>
      </c>
      <c r="B9313" s="216" t="s">
        <v>17153</v>
      </c>
      <c r="C9313" s="220" t="s">
        <v>17154</v>
      </c>
      <c r="D9313" s="221">
        <v>354.07</v>
      </c>
      <c r="E9313" s="221">
        <v>150.47999999999999</v>
      </c>
      <c r="F9313" s="221">
        <v>90.84</v>
      </c>
      <c r="G9313" s="221">
        <v>112.75</v>
      </c>
      <c r="H9313" s="222">
        <v>2711.78</v>
      </c>
      <c r="I9313" s="222">
        <v>1730.52</v>
      </c>
      <c r="J9313" s="222">
        <v>520.42999999999995</v>
      </c>
      <c r="K9313" s="222">
        <v>460.83</v>
      </c>
      <c r="L9313" s="43">
        <v>7.6588810122292212</v>
      </c>
      <c r="M9313" s="43">
        <v>11.5</v>
      </c>
      <c r="N9313" s="43">
        <v>5.7290841039189777</v>
      </c>
      <c r="O9313" s="43">
        <v>4.0871840354767182</v>
      </c>
      <c r="P9313" s="223"/>
      <c r="Q9313" s="223"/>
      <c r="R9313" s="223">
        <v>9</v>
      </c>
    </row>
    <row r="9314" spans="1:18" ht="24">
      <c r="A9314" s="219">
        <v>1997</v>
      </c>
      <c r="B9314" s="216" t="s">
        <v>17155</v>
      </c>
      <c r="C9314" s="220" t="s">
        <v>17156</v>
      </c>
      <c r="D9314" s="221">
        <v>669.44</v>
      </c>
      <c r="E9314" s="221">
        <v>438.26</v>
      </c>
      <c r="F9314" s="221">
        <v>170.67</v>
      </c>
      <c r="G9314" s="221">
        <v>60.51</v>
      </c>
      <c r="H9314" s="222">
        <v>6300.25</v>
      </c>
      <c r="I9314" s="222">
        <v>5040.16</v>
      </c>
      <c r="J9314" s="222">
        <v>898.23</v>
      </c>
      <c r="K9314" s="222">
        <v>361.86</v>
      </c>
      <c r="L9314" s="43">
        <v>9.4112243068833639</v>
      </c>
      <c r="M9314" s="43">
        <v>11.500387897595035</v>
      </c>
      <c r="N9314" s="43">
        <v>5.2629636139919151</v>
      </c>
      <c r="O9314" s="43">
        <v>5.9801685671789793</v>
      </c>
      <c r="P9314" s="223"/>
      <c r="Q9314" s="223"/>
      <c r="R9314" s="223">
        <v>9</v>
      </c>
    </row>
    <row r="9315" spans="1:18" ht="24">
      <c r="A9315" s="219">
        <v>1998</v>
      </c>
      <c r="B9315" s="216" t="s">
        <v>17157</v>
      </c>
      <c r="C9315" s="220" t="s">
        <v>17158</v>
      </c>
      <c r="D9315" s="221">
        <v>5791.82</v>
      </c>
      <c r="E9315" s="221">
        <v>1659.89</v>
      </c>
      <c r="F9315" s="221">
        <v>1643.05</v>
      </c>
      <c r="G9315" s="221">
        <v>2488.88</v>
      </c>
      <c r="H9315" s="222">
        <v>39316.400000000001</v>
      </c>
      <c r="I9315" s="222">
        <v>19089.37</v>
      </c>
      <c r="J9315" s="222">
        <v>6704.27</v>
      </c>
      <c r="K9315" s="222">
        <v>13522.76</v>
      </c>
      <c r="L9315" s="43">
        <v>6.7882634474137671</v>
      </c>
      <c r="M9315" s="43">
        <v>11.500382555470543</v>
      </c>
      <c r="N9315" s="43">
        <v>4.0803809987523207</v>
      </c>
      <c r="O9315" s="43">
        <v>5.433271190254251</v>
      </c>
      <c r="P9315" s="223"/>
      <c r="Q9315" s="223"/>
      <c r="R9315" s="223">
        <v>9</v>
      </c>
    </row>
    <row r="9316" spans="1:18" ht="24">
      <c r="A9316" s="219">
        <v>1999</v>
      </c>
      <c r="B9316" s="216" t="s">
        <v>17159</v>
      </c>
      <c r="C9316" s="220" t="s">
        <v>17160</v>
      </c>
      <c r="D9316" s="221">
        <v>12817.74</v>
      </c>
      <c r="E9316" s="221">
        <v>4175.7</v>
      </c>
      <c r="F9316" s="221">
        <v>2908.54</v>
      </c>
      <c r="G9316" s="221">
        <v>5733.5</v>
      </c>
      <c r="H9316" s="222">
        <v>91480.04</v>
      </c>
      <c r="I9316" s="222">
        <v>48022.1</v>
      </c>
      <c r="J9316" s="222">
        <v>12470.01</v>
      </c>
      <c r="K9316" s="222">
        <v>30987.93</v>
      </c>
      <c r="L9316" s="43">
        <v>7.1369867074850948</v>
      </c>
      <c r="M9316" s="43">
        <v>11.5003711952487</v>
      </c>
      <c r="N9316" s="43">
        <v>4.2873778596821772</v>
      </c>
      <c r="O9316" s="43">
        <v>5.4047143978372718</v>
      </c>
      <c r="P9316" s="223"/>
      <c r="Q9316" s="223"/>
      <c r="R9316" s="223">
        <v>9</v>
      </c>
    </row>
    <row r="9317" spans="1:18" ht="24">
      <c r="A9317" s="219">
        <v>2000</v>
      </c>
      <c r="B9317" s="216" t="s">
        <v>17161</v>
      </c>
      <c r="C9317" s="220" t="s">
        <v>17162</v>
      </c>
      <c r="D9317" s="221">
        <v>10799.55</v>
      </c>
      <c r="E9317" s="221">
        <v>3898.8</v>
      </c>
      <c r="F9317" s="221">
        <v>2301.48</v>
      </c>
      <c r="G9317" s="221">
        <v>4599.2700000000004</v>
      </c>
      <c r="H9317" s="222">
        <v>79827.02</v>
      </c>
      <c r="I9317" s="222">
        <v>44836.2</v>
      </c>
      <c r="J9317" s="222">
        <v>10206.57</v>
      </c>
      <c r="K9317" s="222">
        <v>24784.25</v>
      </c>
      <c r="L9317" s="43">
        <v>7.3916987281877491</v>
      </c>
      <c r="M9317" s="43">
        <v>11.499999999999998</v>
      </c>
      <c r="N9317" s="43">
        <v>4.4347854424109698</v>
      </c>
      <c r="O9317" s="43">
        <v>5.3887356036936289</v>
      </c>
      <c r="P9317" s="223"/>
      <c r="Q9317" s="223"/>
      <c r="R9317" s="223">
        <v>9</v>
      </c>
    </row>
    <row r="9318" spans="1:18" ht="12.75" customHeight="1">
      <c r="A9318" s="628" t="s">
        <v>17163</v>
      </c>
      <c r="B9318" s="629"/>
      <c r="C9318" s="629"/>
      <c r="D9318" s="629"/>
      <c r="E9318" s="629"/>
      <c r="F9318" s="629"/>
      <c r="G9318" s="629"/>
      <c r="H9318" s="629"/>
      <c r="I9318" s="629"/>
      <c r="J9318" s="629"/>
      <c r="K9318" s="629"/>
      <c r="L9318" s="629"/>
      <c r="M9318" s="629"/>
      <c r="N9318" s="629"/>
      <c r="O9318" s="629"/>
      <c r="P9318" s="629"/>
      <c r="Q9318" s="629"/>
      <c r="R9318" s="629"/>
    </row>
    <row r="9319" spans="1:18" ht="12.75" customHeight="1">
      <c r="A9319" s="628" t="s">
        <v>17164</v>
      </c>
      <c r="B9319" s="629"/>
      <c r="C9319" s="629"/>
      <c r="D9319" s="629"/>
      <c r="E9319" s="629"/>
      <c r="F9319" s="629"/>
      <c r="G9319" s="629"/>
      <c r="H9319" s="629"/>
      <c r="I9319" s="629"/>
      <c r="J9319" s="629"/>
      <c r="K9319" s="629"/>
      <c r="L9319" s="629"/>
      <c r="M9319" s="629"/>
      <c r="N9319" s="629"/>
      <c r="O9319" s="629"/>
      <c r="P9319" s="629"/>
      <c r="Q9319" s="629"/>
      <c r="R9319" s="629"/>
    </row>
    <row r="9320" spans="1:18" ht="36">
      <c r="A9320" s="219">
        <v>2001</v>
      </c>
      <c r="B9320" s="216" t="s">
        <v>17165</v>
      </c>
      <c r="C9320" s="220" t="s">
        <v>17166</v>
      </c>
      <c r="D9320" s="221">
        <v>101.3</v>
      </c>
      <c r="E9320" s="221">
        <v>78.680000000000007</v>
      </c>
      <c r="F9320" s="221">
        <v>16.72</v>
      </c>
      <c r="G9320" s="221">
        <v>5.9</v>
      </c>
      <c r="H9320" s="222">
        <v>1035.6600000000001</v>
      </c>
      <c r="I9320" s="222">
        <v>904.82</v>
      </c>
      <c r="J9320" s="222">
        <v>89.62</v>
      </c>
      <c r="K9320" s="222">
        <v>41.22</v>
      </c>
      <c r="L9320" s="43">
        <v>10.223692003948669</v>
      </c>
      <c r="M9320" s="43">
        <v>11.5</v>
      </c>
      <c r="N9320" s="43">
        <v>5.3600478468899526</v>
      </c>
      <c r="O9320" s="43">
        <v>6.986440677966101</v>
      </c>
      <c r="P9320" s="223"/>
      <c r="Q9320" s="223"/>
      <c r="R9320" s="223">
        <v>1</v>
      </c>
    </row>
    <row r="9321" spans="1:18" ht="36">
      <c r="A9321" s="219">
        <v>2002</v>
      </c>
      <c r="B9321" s="216" t="s">
        <v>17167</v>
      </c>
      <c r="C9321" s="220" t="s">
        <v>17168</v>
      </c>
      <c r="D9321" s="221">
        <v>158.35</v>
      </c>
      <c r="E9321" s="221">
        <v>123.64</v>
      </c>
      <c r="F9321" s="221">
        <v>21.51</v>
      </c>
      <c r="G9321" s="221">
        <v>13.2</v>
      </c>
      <c r="H9321" s="222">
        <v>1622.65</v>
      </c>
      <c r="I9321" s="222">
        <v>1421.86</v>
      </c>
      <c r="J9321" s="222">
        <v>114.96</v>
      </c>
      <c r="K9321" s="222">
        <v>85.83</v>
      </c>
      <c r="L9321" s="43">
        <v>10.247237132933376</v>
      </c>
      <c r="M9321" s="43">
        <v>11.5</v>
      </c>
      <c r="N9321" s="43">
        <v>5.3444909344490927</v>
      </c>
      <c r="O9321" s="43">
        <v>6.5022727272727279</v>
      </c>
      <c r="P9321" s="223"/>
      <c r="Q9321" s="223"/>
      <c r="R9321" s="223">
        <v>1</v>
      </c>
    </row>
    <row r="9322" spans="1:18" ht="36">
      <c r="A9322" s="219">
        <v>2003</v>
      </c>
      <c r="B9322" s="216" t="s">
        <v>17169</v>
      </c>
      <c r="C9322" s="220" t="s">
        <v>17170</v>
      </c>
      <c r="D9322" s="221">
        <v>162.61000000000001</v>
      </c>
      <c r="E9322" s="221">
        <v>123.64</v>
      </c>
      <c r="F9322" s="221">
        <v>23.69</v>
      </c>
      <c r="G9322" s="221">
        <v>15.28</v>
      </c>
      <c r="H9322" s="222">
        <v>1645.12</v>
      </c>
      <c r="I9322" s="222">
        <v>1421.86</v>
      </c>
      <c r="J9322" s="222">
        <v>126.31</v>
      </c>
      <c r="K9322" s="222">
        <v>96.95</v>
      </c>
      <c r="L9322" s="43">
        <v>10.116966976200723</v>
      </c>
      <c r="M9322" s="43">
        <v>11.5</v>
      </c>
      <c r="N9322" s="43">
        <v>5.3317855635289151</v>
      </c>
      <c r="O9322" s="43">
        <v>6.3448952879581153</v>
      </c>
      <c r="P9322" s="223"/>
      <c r="Q9322" s="223"/>
      <c r="R9322" s="223">
        <v>1</v>
      </c>
    </row>
    <row r="9323" spans="1:18" ht="12.75" customHeight="1">
      <c r="A9323" s="628" t="s">
        <v>17171</v>
      </c>
      <c r="B9323" s="629"/>
      <c r="C9323" s="629"/>
      <c r="D9323" s="629"/>
      <c r="E9323" s="629"/>
      <c r="F9323" s="629"/>
      <c r="G9323" s="629"/>
      <c r="H9323" s="629"/>
      <c r="I9323" s="629"/>
      <c r="J9323" s="629"/>
      <c r="K9323" s="629"/>
      <c r="L9323" s="629"/>
      <c r="M9323" s="629"/>
      <c r="N9323" s="629"/>
      <c r="O9323" s="629"/>
      <c r="P9323" s="629"/>
      <c r="Q9323" s="629"/>
      <c r="R9323" s="629"/>
    </row>
    <row r="9324" spans="1:18" ht="36">
      <c r="A9324" s="219">
        <v>2004</v>
      </c>
      <c r="B9324" s="216" t="s">
        <v>17172</v>
      </c>
      <c r="C9324" s="220" t="s">
        <v>17173</v>
      </c>
      <c r="D9324" s="221">
        <v>78.52</v>
      </c>
      <c r="E9324" s="221">
        <v>64.260000000000005</v>
      </c>
      <c r="F9324" s="221">
        <v>10.029999999999999</v>
      </c>
      <c r="G9324" s="221">
        <v>4.2300000000000004</v>
      </c>
      <c r="H9324" s="222">
        <v>823.13</v>
      </c>
      <c r="I9324" s="222">
        <v>739.02</v>
      </c>
      <c r="J9324" s="222">
        <v>53.52</v>
      </c>
      <c r="K9324" s="222">
        <v>30.59</v>
      </c>
      <c r="L9324" s="43">
        <v>10.48306164034641</v>
      </c>
      <c r="M9324" s="43">
        <v>11.500466853408028</v>
      </c>
      <c r="N9324" s="43">
        <v>5.3359920239282159</v>
      </c>
      <c r="O9324" s="43">
        <v>7.2316784869976356</v>
      </c>
      <c r="P9324" s="223"/>
      <c r="Q9324" s="223"/>
      <c r="R9324" s="223">
        <v>2</v>
      </c>
    </row>
    <row r="9325" spans="1:18" ht="36">
      <c r="A9325" s="219">
        <v>2005</v>
      </c>
      <c r="B9325" s="216" t="s">
        <v>17174</v>
      </c>
      <c r="C9325" s="220" t="s">
        <v>17175</v>
      </c>
      <c r="D9325" s="221">
        <v>95.96</v>
      </c>
      <c r="E9325" s="221">
        <v>78.680000000000007</v>
      </c>
      <c r="F9325" s="221">
        <v>11.9</v>
      </c>
      <c r="G9325" s="221">
        <v>5.38</v>
      </c>
      <c r="H9325" s="222">
        <v>1006.69</v>
      </c>
      <c r="I9325" s="222">
        <v>904.82</v>
      </c>
      <c r="J9325" s="222">
        <v>63.43</v>
      </c>
      <c r="K9325" s="222">
        <v>38.44</v>
      </c>
      <c r="L9325" s="43">
        <v>10.490725302209254</v>
      </c>
      <c r="M9325" s="43">
        <v>11.5</v>
      </c>
      <c r="N9325" s="43">
        <v>5.3302521008403358</v>
      </c>
      <c r="O9325" s="43">
        <v>7.1449814126394049</v>
      </c>
      <c r="P9325" s="223"/>
      <c r="Q9325" s="223"/>
      <c r="R9325" s="223">
        <v>2</v>
      </c>
    </row>
    <row r="9326" spans="1:18" ht="36">
      <c r="A9326" s="219">
        <v>2006</v>
      </c>
      <c r="B9326" s="216" t="s">
        <v>17176</v>
      </c>
      <c r="C9326" s="220" t="s">
        <v>17177</v>
      </c>
      <c r="D9326" s="221">
        <v>97.8</v>
      </c>
      <c r="E9326" s="221">
        <v>78.680000000000007</v>
      </c>
      <c r="F9326" s="221">
        <v>13.22</v>
      </c>
      <c r="G9326" s="221">
        <v>5.9</v>
      </c>
      <c r="H9326" s="222">
        <v>1016.47</v>
      </c>
      <c r="I9326" s="222">
        <v>904.82</v>
      </c>
      <c r="J9326" s="222">
        <v>70.430000000000007</v>
      </c>
      <c r="K9326" s="222">
        <v>41.22</v>
      </c>
      <c r="L9326" s="43">
        <v>10.393353783231085</v>
      </c>
      <c r="M9326" s="43">
        <v>11.5</v>
      </c>
      <c r="N9326" s="43">
        <v>5.327534039334342</v>
      </c>
      <c r="O9326" s="43">
        <v>6.986440677966101</v>
      </c>
      <c r="P9326" s="223"/>
      <c r="Q9326" s="223"/>
      <c r="R9326" s="223">
        <v>2</v>
      </c>
    </row>
    <row r="9327" spans="1:18" ht="36">
      <c r="A9327" s="219">
        <v>2007</v>
      </c>
      <c r="B9327" s="216" t="s">
        <v>17178</v>
      </c>
      <c r="C9327" s="220" t="s">
        <v>17179</v>
      </c>
      <c r="D9327" s="221">
        <v>137.34</v>
      </c>
      <c r="E9327" s="221">
        <v>101.16</v>
      </c>
      <c r="F9327" s="221">
        <v>23.43</v>
      </c>
      <c r="G9327" s="221">
        <v>12.75</v>
      </c>
      <c r="H9327" s="222">
        <v>1369.62</v>
      </c>
      <c r="I9327" s="222">
        <v>1163.3399999999999</v>
      </c>
      <c r="J9327" s="222">
        <v>125.63</v>
      </c>
      <c r="K9327" s="222">
        <v>80.650000000000006</v>
      </c>
      <c r="L9327" s="43">
        <v>9.9724770642201825</v>
      </c>
      <c r="M9327" s="43">
        <v>11.5</v>
      </c>
      <c r="N9327" s="43">
        <v>5.3619291506615445</v>
      </c>
      <c r="O9327" s="43">
        <v>6.325490196078432</v>
      </c>
      <c r="P9327" s="223"/>
      <c r="Q9327" s="223"/>
      <c r="R9327" s="223">
        <v>2</v>
      </c>
    </row>
    <row r="9328" spans="1:18" ht="36">
      <c r="A9328" s="219">
        <v>2008</v>
      </c>
      <c r="B9328" s="216" t="s">
        <v>17180</v>
      </c>
      <c r="C9328" s="220" t="s">
        <v>17181</v>
      </c>
      <c r="D9328" s="221">
        <v>144.01</v>
      </c>
      <c r="E9328" s="221">
        <v>102.24</v>
      </c>
      <c r="F9328" s="221">
        <v>26.92</v>
      </c>
      <c r="G9328" s="221">
        <v>14.85</v>
      </c>
      <c r="H9328" s="222">
        <v>1411.9</v>
      </c>
      <c r="I9328" s="222">
        <v>1175.76</v>
      </c>
      <c r="J9328" s="222">
        <v>144.13999999999999</v>
      </c>
      <c r="K9328" s="222">
        <v>92</v>
      </c>
      <c r="L9328" s="43">
        <v>9.8041802652593582</v>
      </c>
      <c r="M9328" s="43">
        <v>11.5</v>
      </c>
      <c r="N9328" s="43">
        <v>5.3543833580980671</v>
      </c>
      <c r="O9328" s="43">
        <v>6.1952861952861955</v>
      </c>
      <c r="P9328" s="223"/>
      <c r="Q9328" s="223"/>
      <c r="R9328" s="223">
        <v>2</v>
      </c>
    </row>
    <row r="9329" spans="1:18" ht="36">
      <c r="A9329" s="219">
        <v>2009</v>
      </c>
      <c r="B9329" s="216" t="s">
        <v>17182</v>
      </c>
      <c r="C9329" s="220" t="s">
        <v>17183</v>
      </c>
      <c r="D9329" s="221">
        <v>183.94</v>
      </c>
      <c r="E9329" s="221">
        <v>146.4</v>
      </c>
      <c r="F9329" s="221">
        <v>22.49</v>
      </c>
      <c r="G9329" s="221">
        <v>15.05</v>
      </c>
      <c r="H9329" s="222">
        <v>1902.75</v>
      </c>
      <c r="I9329" s="222">
        <v>1683.6</v>
      </c>
      <c r="J9329" s="222">
        <v>120.62</v>
      </c>
      <c r="K9329" s="222">
        <v>98.53</v>
      </c>
      <c r="L9329" s="43">
        <v>10.344405784494944</v>
      </c>
      <c r="M9329" s="43">
        <v>11.499999999999998</v>
      </c>
      <c r="N9329" s="43">
        <v>5.3632725655847047</v>
      </c>
      <c r="O9329" s="43">
        <v>6.5468438538205982</v>
      </c>
      <c r="P9329" s="223"/>
      <c r="Q9329" s="223"/>
      <c r="R9329" s="223">
        <v>2</v>
      </c>
    </row>
    <row r="9330" spans="1:18" ht="36">
      <c r="A9330" s="219">
        <v>2010</v>
      </c>
      <c r="B9330" s="216" t="s">
        <v>17184</v>
      </c>
      <c r="C9330" s="220" t="s">
        <v>17185</v>
      </c>
      <c r="D9330" s="221">
        <v>211.93</v>
      </c>
      <c r="E9330" s="221">
        <v>158.6</v>
      </c>
      <c r="F9330" s="221">
        <v>35.619999999999997</v>
      </c>
      <c r="G9330" s="221">
        <v>17.71</v>
      </c>
      <c r="H9330" s="222">
        <v>2128.77</v>
      </c>
      <c r="I9330" s="222">
        <v>1823.9</v>
      </c>
      <c r="J9330" s="222">
        <v>190.61</v>
      </c>
      <c r="K9330" s="222">
        <v>114.26</v>
      </c>
      <c r="L9330" s="43">
        <v>10.044684565658471</v>
      </c>
      <c r="M9330" s="43">
        <v>11.500000000000002</v>
      </c>
      <c r="N9330" s="43">
        <v>5.3512071869736113</v>
      </c>
      <c r="O9330" s="43">
        <v>6.4517221908526254</v>
      </c>
      <c r="P9330" s="223"/>
      <c r="Q9330" s="223"/>
      <c r="R9330" s="223">
        <v>2</v>
      </c>
    </row>
    <row r="9331" spans="1:18" ht="36">
      <c r="A9331" s="219">
        <v>2011</v>
      </c>
      <c r="B9331" s="216" t="s">
        <v>17186</v>
      </c>
      <c r="C9331" s="220" t="s">
        <v>17187</v>
      </c>
      <c r="D9331" s="221">
        <v>301.04000000000002</v>
      </c>
      <c r="E9331" s="221">
        <v>219.6</v>
      </c>
      <c r="F9331" s="221">
        <v>57.66</v>
      </c>
      <c r="G9331" s="221">
        <v>23.78</v>
      </c>
      <c r="H9331" s="222">
        <v>2987.84</v>
      </c>
      <c r="I9331" s="222">
        <v>2525.4</v>
      </c>
      <c r="J9331" s="222">
        <v>308.22000000000003</v>
      </c>
      <c r="K9331" s="222">
        <v>154.22</v>
      </c>
      <c r="L9331" s="43">
        <v>9.9250597927185762</v>
      </c>
      <c r="M9331" s="43">
        <v>11.5</v>
      </c>
      <c r="N9331" s="43">
        <v>5.3454734651404792</v>
      </c>
      <c r="O9331" s="43">
        <v>6.4852817493692179</v>
      </c>
      <c r="P9331" s="223"/>
      <c r="Q9331" s="223"/>
      <c r="R9331" s="223">
        <v>2</v>
      </c>
    </row>
    <row r="9332" spans="1:18" ht="36">
      <c r="A9332" s="219">
        <v>2012</v>
      </c>
      <c r="B9332" s="216" t="s">
        <v>17188</v>
      </c>
      <c r="C9332" s="220" t="s">
        <v>17189</v>
      </c>
      <c r="D9332" s="221">
        <v>411.16</v>
      </c>
      <c r="E9332" s="221">
        <v>280.60000000000002</v>
      </c>
      <c r="F9332" s="221">
        <v>71.290000000000006</v>
      </c>
      <c r="G9332" s="221">
        <v>59.27</v>
      </c>
      <c r="H9332" s="222">
        <v>3960.05</v>
      </c>
      <c r="I9332" s="222">
        <v>3226.9</v>
      </c>
      <c r="J9332" s="222">
        <v>381.51</v>
      </c>
      <c r="K9332" s="222">
        <v>351.64</v>
      </c>
      <c r="L9332" s="43">
        <v>9.6314086973440993</v>
      </c>
      <c r="M9332" s="43">
        <v>11.5</v>
      </c>
      <c r="N9332" s="43">
        <v>5.35152195258802</v>
      </c>
      <c r="O9332" s="43">
        <v>5.9328496709971308</v>
      </c>
      <c r="P9332" s="223"/>
      <c r="Q9332" s="223"/>
      <c r="R9332" s="223">
        <v>2</v>
      </c>
    </row>
    <row r="9333" spans="1:18" ht="36">
      <c r="A9333" s="219">
        <v>2013</v>
      </c>
      <c r="B9333" s="216" t="s">
        <v>17190</v>
      </c>
      <c r="C9333" s="220" t="s">
        <v>17191</v>
      </c>
      <c r="D9333" s="221">
        <v>513.13</v>
      </c>
      <c r="E9333" s="221">
        <v>341.6</v>
      </c>
      <c r="F9333" s="221">
        <v>85.07</v>
      </c>
      <c r="G9333" s="221">
        <v>86.46</v>
      </c>
      <c r="H9333" s="222">
        <v>4888.6400000000003</v>
      </c>
      <c r="I9333" s="222">
        <v>3928.4</v>
      </c>
      <c r="J9333" s="222">
        <v>455.64</v>
      </c>
      <c r="K9333" s="222">
        <v>504.6</v>
      </c>
      <c r="L9333" s="43">
        <v>9.5270983961179443</v>
      </c>
      <c r="M9333" s="43">
        <v>11.5</v>
      </c>
      <c r="N9333" s="43">
        <v>5.3560597155283887</v>
      </c>
      <c r="O9333" s="43">
        <v>5.8362248438584325</v>
      </c>
      <c r="P9333" s="223"/>
      <c r="Q9333" s="223"/>
      <c r="R9333" s="223">
        <v>2</v>
      </c>
    </row>
    <row r="9334" spans="1:18" ht="12.75" customHeight="1">
      <c r="A9334" s="628" t="s">
        <v>17192</v>
      </c>
      <c r="B9334" s="629"/>
      <c r="C9334" s="629"/>
      <c r="D9334" s="629"/>
      <c r="E9334" s="629"/>
      <c r="F9334" s="629"/>
      <c r="G9334" s="629"/>
      <c r="H9334" s="629"/>
      <c r="I9334" s="629"/>
      <c r="J9334" s="629"/>
      <c r="K9334" s="629"/>
      <c r="L9334" s="629"/>
      <c r="M9334" s="629"/>
      <c r="N9334" s="629"/>
      <c r="O9334" s="629"/>
      <c r="P9334" s="629"/>
      <c r="Q9334" s="629"/>
      <c r="R9334" s="629"/>
    </row>
    <row r="9335" spans="1:18" ht="36">
      <c r="A9335" s="219">
        <v>2014</v>
      </c>
      <c r="B9335" s="216" t="s">
        <v>17193</v>
      </c>
      <c r="C9335" s="220" t="s">
        <v>17194</v>
      </c>
      <c r="D9335" s="221">
        <v>74.88</v>
      </c>
      <c r="E9335" s="221">
        <v>61</v>
      </c>
      <c r="F9335" s="221">
        <v>9.7200000000000006</v>
      </c>
      <c r="G9335" s="221">
        <v>4.16</v>
      </c>
      <c r="H9335" s="222">
        <v>783.22</v>
      </c>
      <c r="I9335" s="222">
        <v>701.5</v>
      </c>
      <c r="J9335" s="222">
        <v>51.94</v>
      </c>
      <c r="K9335" s="222">
        <v>29.78</v>
      </c>
      <c r="L9335" s="43">
        <v>10.459668803418804</v>
      </c>
      <c r="M9335" s="43">
        <v>11.5</v>
      </c>
      <c r="N9335" s="43">
        <v>5.3436213991769543</v>
      </c>
      <c r="O9335" s="43">
        <v>7.1586538461538458</v>
      </c>
      <c r="P9335" s="223"/>
      <c r="Q9335" s="223"/>
      <c r="R9335" s="223">
        <v>3</v>
      </c>
    </row>
    <row r="9336" spans="1:18" ht="12.75" customHeight="1">
      <c r="A9336" s="628" t="s">
        <v>17195</v>
      </c>
      <c r="B9336" s="629"/>
      <c r="C9336" s="629"/>
      <c r="D9336" s="629"/>
      <c r="E9336" s="629"/>
      <c r="F9336" s="629"/>
      <c r="G9336" s="629"/>
      <c r="H9336" s="629"/>
      <c r="I9336" s="629"/>
      <c r="J9336" s="629"/>
      <c r="K9336" s="629"/>
      <c r="L9336" s="629"/>
      <c r="M9336" s="629"/>
      <c r="N9336" s="629"/>
      <c r="O9336" s="629"/>
      <c r="P9336" s="629"/>
      <c r="Q9336" s="629"/>
      <c r="R9336" s="629"/>
    </row>
    <row r="9337" spans="1:18" ht="48">
      <c r="A9337" s="219">
        <v>2015</v>
      </c>
      <c r="B9337" s="216" t="s">
        <v>17196</v>
      </c>
      <c r="C9337" s="220" t="s">
        <v>17197</v>
      </c>
      <c r="D9337" s="221">
        <v>110.65</v>
      </c>
      <c r="E9337" s="221">
        <v>94.8</v>
      </c>
      <c r="F9337" s="221">
        <v>11.01</v>
      </c>
      <c r="G9337" s="221">
        <v>4.84</v>
      </c>
      <c r="H9337" s="222">
        <v>1186.49</v>
      </c>
      <c r="I9337" s="222">
        <v>1090.24</v>
      </c>
      <c r="J9337" s="222">
        <v>58.65</v>
      </c>
      <c r="K9337" s="222">
        <v>37.6</v>
      </c>
      <c r="L9337" s="43">
        <v>10.722910076818797</v>
      </c>
      <c r="M9337" s="43">
        <v>11.50042194092827</v>
      </c>
      <c r="N9337" s="43">
        <v>5.3269754768392374</v>
      </c>
      <c r="O9337" s="43">
        <v>7.7685950413223148</v>
      </c>
      <c r="P9337" s="223"/>
      <c r="Q9337" s="223"/>
      <c r="R9337" s="223">
        <v>4</v>
      </c>
    </row>
    <row r="9338" spans="1:18" ht="48">
      <c r="A9338" s="219">
        <v>2016</v>
      </c>
      <c r="B9338" s="216" t="s">
        <v>17198</v>
      </c>
      <c r="C9338" s="220" t="s">
        <v>17199</v>
      </c>
      <c r="D9338" s="221">
        <v>125.63</v>
      </c>
      <c r="E9338" s="221">
        <v>106.65</v>
      </c>
      <c r="F9338" s="221">
        <v>13.04</v>
      </c>
      <c r="G9338" s="221">
        <v>5.94</v>
      </c>
      <c r="H9338" s="222">
        <v>1340.75</v>
      </c>
      <c r="I9338" s="222">
        <v>1226.52</v>
      </c>
      <c r="J9338" s="222">
        <v>69.349999999999994</v>
      </c>
      <c r="K9338" s="222">
        <v>44.88</v>
      </c>
      <c r="L9338" s="43">
        <v>10.672212051261642</v>
      </c>
      <c r="M9338" s="43">
        <v>11.50042194092827</v>
      </c>
      <c r="N9338" s="43">
        <v>5.3182515337423313</v>
      </c>
      <c r="O9338" s="43">
        <v>7.5555555555555554</v>
      </c>
      <c r="P9338" s="223"/>
      <c r="Q9338" s="223"/>
      <c r="R9338" s="223">
        <v>4</v>
      </c>
    </row>
    <row r="9339" spans="1:18" ht="48">
      <c r="A9339" s="219">
        <v>2017</v>
      </c>
      <c r="B9339" s="216" t="s">
        <v>17200</v>
      </c>
      <c r="C9339" s="220" t="s">
        <v>17201</v>
      </c>
      <c r="D9339" s="221">
        <v>128.52000000000001</v>
      </c>
      <c r="E9339" s="221">
        <v>106.65</v>
      </c>
      <c r="F9339" s="221">
        <v>15.41</v>
      </c>
      <c r="G9339" s="221">
        <v>6.46</v>
      </c>
      <c r="H9339" s="222">
        <v>1356.3</v>
      </c>
      <c r="I9339" s="222">
        <v>1226.52</v>
      </c>
      <c r="J9339" s="222">
        <v>82.12</v>
      </c>
      <c r="K9339" s="222">
        <v>47.66</v>
      </c>
      <c r="L9339" s="43">
        <v>10.553221288515404</v>
      </c>
      <c r="M9339" s="43">
        <v>11.50042194092827</v>
      </c>
      <c r="N9339" s="43">
        <v>5.3290071382219342</v>
      </c>
      <c r="O9339" s="43">
        <v>7.3777089783281733</v>
      </c>
      <c r="P9339" s="223"/>
      <c r="Q9339" s="223"/>
      <c r="R9339" s="223">
        <v>4</v>
      </c>
    </row>
    <row r="9340" spans="1:18" ht="48">
      <c r="A9340" s="219">
        <v>2018</v>
      </c>
      <c r="B9340" s="216" t="s">
        <v>17202</v>
      </c>
      <c r="C9340" s="220" t="s">
        <v>17203</v>
      </c>
      <c r="D9340" s="221">
        <v>213.9</v>
      </c>
      <c r="E9340" s="221">
        <v>177.75</v>
      </c>
      <c r="F9340" s="221">
        <v>21.86</v>
      </c>
      <c r="G9340" s="221">
        <v>14.29</v>
      </c>
      <c r="H9340" s="222">
        <v>2259.04</v>
      </c>
      <c r="I9340" s="222">
        <v>2044.2</v>
      </c>
      <c r="J9340" s="222">
        <v>116.48</v>
      </c>
      <c r="K9340" s="222">
        <v>98.36</v>
      </c>
      <c r="L9340" s="43">
        <v>10.561196820944366</v>
      </c>
      <c r="M9340" s="43">
        <v>11.50042194092827</v>
      </c>
      <c r="N9340" s="43">
        <v>5.3284537968892955</v>
      </c>
      <c r="O9340" s="43">
        <v>6.8831350594821554</v>
      </c>
      <c r="P9340" s="223"/>
      <c r="Q9340" s="223"/>
      <c r="R9340" s="223">
        <v>4</v>
      </c>
    </row>
    <row r="9341" spans="1:18" ht="48">
      <c r="A9341" s="219">
        <v>2019</v>
      </c>
      <c r="B9341" s="216" t="s">
        <v>17204</v>
      </c>
      <c r="C9341" s="220" t="s">
        <v>17205</v>
      </c>
      <c r="D9341" s="221">
        <v>221.93</v>
      </c>
      <c r="E9341" s="221">
        <v>177.75</v>
      </c>
      <c r="F9341" s="221">
        <v>27.81</v>
      </c>
      <c r="G9341" s="221">
        <v>16.37</v>
      </c>
      <c r="H9341" s="222">
        <v>2302.1</v>
      </c>
      <c r="I9341" s="222">
        <v>2044.2</v>
      </c>
      <c r="J9341" s="222">
        <v>148.41999999999999</v>
      </c>
      <c r="K9341" s="222">
        <v>109.48</v>
      </c>
      <c r="L9341" s="43">
        <v>10.373090614157617</v>
      </c>
      <c r="M9341" s="43">
        <v>11.50042194092827</v>
      </c>
      <c r="N9341" s="43">
        <v>5.3369291621718808</v>
      </c>
      <c r="O9341" s="43">
        <v>6.6878436163714108</v>
      </c>
      <c r="P9341" s="223"/>
      <c r="Q9341" s="223"/>
      <c r="R9341" s="223">
        <v>4</v>
      </c>
    </row>
    <row r="9342" spans="1:18" ht="48">
      <c r="A9342" s="219">
        <v>2020</v>
      </c>
      <c r="B9342" s="216" t="s">
        <v>17206</v>
      </c>
      <c r="C9342" s="220" t="s">
        <v>17207</v>
      </c>
      <c r="D9342" s="221">
        <v>309.16000000000003</v>
      </c>
      <c r="E9342" s="221">
        <v>248.85</v>
      </c>
      <c r="F9342" s="221">
        <v>35.94</v>
      </c>
      <c r="G9342" s="221">
        <v>24.37</v>
      </c>
      <c r="H9342" s="222">
        <v>3214.47</v>
      </c>
      <c r="I9342" s="222">
        <v>2861.88</v>
      </c>
      <c r="J9342" s="222">
        <v>191.59</v>
      </c>
      <c r="K9342" s="222">
        <v>161</v>
      </c>
      <c r="L9342" s="43">
        <v>10.397431750549876</v>
      </c>
      <c r="M9342" s="43">
        <v>11.500421940928272</v>
      </c>
      <c r="N9342" s="43">
        <v>5.3308291597106292</v>
      </c>
      <c r="O9342" s="43">
        <v>6.6064833812064014</v>
      </c>
      <c r="P9342" s="223"/>
      <c r="Q9342" s="223"/>
      <c r="R9342" s="223">
        <v>4</v>
      </c>
    </row>
    <row r="9343" spans="1:18" ht="48">
      <c r="A9343" s="219">
        <v>2021</v>
      </c>
      <c r="B9343" s="216" t="s">
        <v>17208</v>
      </c>
      <c r="C9343" s="220" t="s">
        <v>17209</v>
      </c>
      <c r="D9343" s="221">
        <v>433.15</v>
      </c>
      <c r="E9343" s="221">
        <v>331.8</v>
      </c>
      <c r="F9343" s="221">
        <v>62.51</v>
      </c>
      <c r="G9343" s="221">
        <v>38.840000000000003</v>
      </c>
      <c r="H9343" s="222">
        <v>4398.0200000000004</v>
      </c>
      <c r="I9343" s="222">
        <v>3815.84</v>
      </c>
      <c r="J9343" s="222">
        <v>333.55</v>
      </c>
      <c r="K9343" s="222">
        <v>248.63</v>
      </c>
      <c r="L9343" s="43">
        <v>10.153572665358423</v>
      </c>
      <c r="M9343" s="43">
        <v>11.50042194092827</v>
      </c>
      <c r="N9343" s="43">
        <v>5.3359462486002247</v>
      </c>
      <c r="O9343" s="43">
        <v>6.4013903192584953</v>
      </c>
      <c r="P9343" s="223"/>
      <c r="Q9343" s="223"/>
      <c r="R9343" s="223">
        <v>4</v>
      </c>
    </row>
    <row r="9344" spans="1:18" ht="48">
      <c r="A9344" s="219">
        <v>2022</v>
      </c>
      <c r="B9344" s="216" t="s">
        <v>17210</v>
      </c>
      <c r="C9344" s="220" t="s">
        <v>17211</v>
      </c>
      <c r="D9344" s="221">
        <v>576.51</v>
      </c>
      <c r="E9344" s="221">
        <v>439.2</v>
      </c>
      <c r="F9344" s="221">
        <v>74.87</v>
      </c>
      <c r="G9344" s="221">
        <v>62.44</v>
      </c>
      <c r="H9344" s="222">
        <v>5839.05</v>
      </c>
      <c r="I9344" s="222">
        <v>5050.8</v>
      </c>
      <c r="J9344" s="222">
        <v>400.16</v>
      </c>
      <c r="K9344" s="222">
        <v>388.09</v>
      </c>
      <c r="L9344" s="43">
        <v>10.128271842639331</v>
      </c>
      <c r="M9344" s="43">
        <v>11.5</v>
      </c>
      <c r="N9344" s="43">
        <v>5.3447308668358486</v>
      </c>
      <c r="O9344" s="43">
        <v>6.2154067905188981</v>
      </c>
      <c r="P9344" s="223"/>
      <c r="Q9344" s="223"/>
      <c r="R9344" s="223">
        <v>4</v>
      </c>
    </row>
    <row r="9345" spans="1:18" ht="48">
      <c r="A9345" s="224">
        <v>2023</v>
      </c>
      <c r="B9345" s="225" t="s">
        <v>17212</v>
      </c>
      <c r="C9345" s="226" t="s">
        <v>17213</v>
      </c>
      <c r="D9345" s="227">
        <v>711.5</v>
      </c>
      <c r="E9345" s="227">
        <v>524.6</v>
      </c>
      <c r="F9345" s="227">
        <v>96.78</v>
      </c>
      <c r="G9345" s="227">
        <v>90.12</v>
      </c>
      <c r="H9345" s="228">
        <v>7097.82</v>
      </c>
      <c r="I9345" s="228">
        <v>6032.9</v>
      </c>
      <c r="J9345" s="228">
        <v>518.23</v>
      </c>
      <c r="K9345" s="228">
        <v>546.69000000000005</v>
      </c>
      <c r="L9345" s="611">
        <v>9.975853829936753</v>
      </c>
      <c r="M9345" s="611">
        <v>11.499999999999998</v>
      </c>
      <c r="N9345" s="611">
        <v>5.3547220500103325</v>
      </c>
      <c r="O9345" s="611">
        <v>6.0662450066577902</v>
      </c>
      <c r="P9345" s="229"/>
      <c r="Q9345" s="229"/>
      <c r="R9345" s="229">
        <v>4</v>
      </c>
    </row>
    <row r="9346" spans="1:18" ht="12.75" customHeight="1">
      <c r="A9346" s="630" t="s">
        <v>17214</v>
      </c>
      <c r="B9346" s="631"/>
      <c r="C9346" s="631"/>
      <c r="D9346" s="631"/>
      <c r="E9346" s="631"/>
      <c r="F9346" s="631"/>
      <c r="G9346" s="631"/>
      <c r="H9346" s="631"/>
      <c r="I9346" s="631"/>
      <c r="J9346" s="631"/>
      <c r="K9346" s="631"/>
      <c r="L9346" s="631"/>
      <c r="M9346" s="631"/>
      <c r="N9346" s="631"/>
      <c r="O9346" s="631"/>
      <c r="P9346" s="631"/>
      <c r="Q9346" s="631"/>
      <c r="R9346" s="631"/>
    </row>
    <row r="9347" spans="1:18" ht="12.75" customHeight="1">
      <c r="A9347" s="628" t="s">
        <v>17215</v>
      </c>
      <c r="B9347" s="629"/>
      <c r="C9347" s="629"/>
      <c r="D9347" s="629"/>
      <c r="E9347" s="629"/>
      <c r="F9347" s="629"/>
      <c r="G9347" s="629"/>
      <c r="H9347" s="629"/>
      <c r="I9347" s="629"/>
      <c r="J9347" s="629"/>
      <c r="K9347" s="629"/>
      <c r="L9347" s="629"/>
      <c r="M9347" s="629"/>
      <c r="N9347" s="629"/>
      <c r="O9347" s="629"/>
      <c r="P9347" s="629"/>
      <c r="Q9347" s="629"/>
      <c r="R9347" s="629"/>
    </row>
    <row r="9348" spans="1:18" ht="12.75" customHeight="1">
      <c r="A9348" s="628" t="s">
        <v>17216</v>
      </c>
      <c r="B9348" s="629"/>
      <c r="C9348" s="629"/>
      <c r="D9348" s="629"/>
      <c r="E9348" s="629"/>
      <c r="F9348" s="629"/>
      <c r="G9348" s="629"/>
      <c r="H9348" s="629"/>
      <c r="I9348" s="629"/>
      <c r="J9348" s="629"/>
      <c r="K9348" s="629"/>
      <c r="L9348" s="629"/>
      <c r="M9348" s="629"/>
      <c r="N9348" s="629"/>
      <c r="O9348" s="629"/>
      <c r="P9348" s="629"/>
      <c r="Q9348" s="629"/>
      <c r="R9348" s="629"/>
    </row>
    <row r="9349" spans="1:18" ht="24">
      <c r="A9349" s="219">
        <v>2024</v>
      </c>
      <c r="B9349" s="216" t="s">
        <v>17217</v>
      </c>
      <c r="C9349" s="220" t="s">
        <v>17218</v>
      </c>
      <c r="D9349" s="221">
        <v>3546.84</v>
      </c>
      <c r="E9349" s="221">
        <v>2631.21</v>
      </c>
      <c r="F9349" s="221">
        <v>256.64</v>
      </c>
      <c r="G9349" s="221">
        <v>658.99</v>
      </c>
      <c r="H9349" s="222">
        <v>37101.14</v>
      </c>
      <c r="I9349" s="222">
        <v>30260.06</v>
      </c>
      <c r="J9349" s="222">
        <v>1393.34</v>
      </c>
      <c r="K9349" s="222">
        <v>5447.74</v>
      </c>
      <c r="L9349" s="43">
        <v>10.460336524906676</v>
      </c>
      <c r="M9349" s="43">
        <v>11.500435161009573</v>
      </c>
      <c r="N9349" s="43">
        <v>5.429161471321696</v>
      </c>
      <c r="O9349" s="43">
        <v>8.2668022276514055</v>
      </c>
      <c r="P9349" s="223"/>
      <c r="Q9349" s="223"/>
      <c r="R9349" s="223">
        <v>1</v>
      </c>
    </row>
    <row r="9350" spans="1:18" ht="24">
      <c r="A9350" s="219">
        <v>2025</v>
      </c>
      <c r="B9350" s="216" t="s">
        <v>17219</v>
      </c>
      <c r="C9350" s="220" t="s">
        <v>17220</v>
      </c>
      <c r="D9350" s="221">
        <v>5563.27</v>
      </c>
      <c r="E9350" s="221">
        <v>3883.62</v>
      </c>
      <c r="F9350" s="221">
        <v>474.78</v>
      </c>
      <c r="G9350" s="221">
        <v>1204.8699999999999</v>
      </c>
      <c r="H9350" s="222">
        <v>58183.23</v>
      </c>
      <c r="I9350" s="222">
        <v>44663.32</v>
      </c>
      <c r="J9350" s="222">
        <v>2577.6799999999998</v>
      </c>
      <c r="K9350" s="222">
        <v>10942.23</v>
      </c>
      <c r="L9350" s="43">
        <v>10.458458784132354</v>
      </c>
      <c r="M9350" s="43">
        <v>11.500435161009573</v>
      </c>
      <c r="N9350" s="43">
        <v>5.4292093179999155</v>
      </c>
      <c r="O9350" s="43">
        <v>9.0816685617535509</v>
      </c>
      <c r="P9350" s="223"/>
      <c r="Q9350" s="223"/>
      <c r="R9350" s="223">
        <v>1</v>
      </c>
    </row>
    <row r="9351" spans="1:18" ht="24">
      <c r="A9351" s="219">
        <v>2026</v>
      </c>
      <c r="B9351" s="216" t="s">
        <v>17221</v>
      </c>
      <c r="C9351" s="220" t="s">
        <v>17222</v>
      </c>
      <c r="D9351" s="221">
        <v>8339.32</v>
      </c>
      <c r="E9351" s="221">
        <v>5136.03</v>
      </c>
      <c r="F9351" s="221">
        <v>810.98</v>
      </c>
      <c r="G9351" s="221">
        <v>2392.31</v>
      </c>
      <c r="H9351" s="222">
        <v>86428.26</v>
      </c>
      <c r="I9351" s="222">
        <v>59066.58</v>
      </c>
      <c r="J9351" s="222">
        <v>4402.95</v>
      </c>
      <c r="K9351" s="222">
        <v>22958.73</v>
      </c>
      <c r="L9351" s="43">
        <v>10.363945741379393</v>
      </c>
      <c r="M9351" s="43">
        <v>11.500435161009575</v>
      </c>
      <c r="N9351" s="43">
        <v>5.4291721127524717</v>
      </c>
      <c r="O9351" s="43">
        <v>9.5968875271181417</v>
      </c>
      <c r="P9351" s="223"/>
      <c r="Q9351" s="223"/>
      <c r="R9351" s="223">
        <v>1</v>
      </c>
    </row>
    <row r="9352" spans="1:18" ht="24">
      <c r="A9352" s="219">
        <v>2027</v>
      </c>
      <c r="B9352" s="216" t="s">
        <v>17223</v>
      </c>
      <c r="C9352" s="220" t="s">
        <v>17224</v>
      </c>
      <c r="D9352" s="221">
        <v>8760.2099999999991</v>
      </c>
      <c r="E9352" s="221">
        <v>5136.03</v>
      </c>
      <c r="F9352" s="221">
        <v>1231.8699999999999</v>
      </c>
      <c r="G9352" s="221">
        <v>2392.31</v>
      </c>
      <c r="H9352" s="222">
        <v>88713.34</v>
      </c>
      <c r="I9352" s="222">
        <v>59066.58</v>
      </c>
      <c r="J9352" s="222">
        <v>6688.03</v>
      </c>
      <c r="K9352" s="222">
        <v>22958.73</v>
      </c>
      <c r="L9352" s="43">
        <v>10.126850840333736</v>
      </c>
      <c r="M9352" s="43">
        <v>11.500435161009575</v>
      </c>
      <c r="N9352" s="43">
        <v>5.429168662277676</v>
      </c>
      <c r="O9352" s="43">
        <v>9.5968875271181417</v>
      </c>
      <c r="P9352" s="223"/>
      <c r="Q9352" s="223"/>
      <c r="R9352" s="223">
        <v>1</v>
      </c>
    </row>
    <row r="9353" spans="1:18" ht="24">
      <c r="A9353" s="219">
        <v>2028</v>
      </c>
      <c r="B9353" s="216" t="s">
        <v>17225</v>
      </c>
      <c r="C9353" s="220" t="s">
        <v>17226</v>
      </c>
      <c r="D9353" s="221">
        <v>13272.78</v>
      </c>
      <c r="E9353" s="221">
        <v>9019.65</v>
      </c>
      <c r="F9353" s="221">
        <v>1540.18</v>
      </c>
      <c r="G9353" s="221">
        <v>2712.95</v>
      </c>
      <c r="H9353" s="222">
        <v>137222.09</v>
      </c>
      <c r="I9353" s="222">
        <v>103729.9</v>
      </c>
      <c r="J9353" s="222">
        <v>8327.27</v>
      </c>
      <c r="K9353" s="222">
        <v>25164.92</v>
      </c>
      <c r="L9353" s="43">
        <v>10.338609545249751</v>
      </c>
      <c r="M9353" s="43">
        <v>11.500435161009573</v>
      </c>
      <c r="N9353" s="43">
        <v>5.4066862314794379</v>
      </c>
      <c r="O9353" s="43">
        <v>9.2758510108922021</v>
      </c>
      <c r="P9353" s="223"/>
      <c r="Q9353" s="223"/>
      <c r="R9353" s="223">
        <v>1</v>
      </c>
    </row>
    <row r="9354" spans="1:18" ht="12.75" customHeight="1">
      <c r="A9354" s="628" t="s">
        <v>17227</v>
      </c>
      <c r="B9354" s="629"/>
      <c r="C9354" s="629"/>
      <c r="D9354" s="629"/>
      <c r="E9354" s="629"/>
      <c r="F9354" s="629"/>
      <c r="G9354" s="629"/>
      <c r="H9354" s="629"/>
      <c r="I9354" s="629"/>
      <c r="J9354" s="629"/>
      <c r="K9354" s="629"/>
      <c r="L9354" s="629"/>
      <c r="M9354" s="629"/>
      <c r="N9354" s="629"/>
      <c r="O9354" s="629"/>
      <c r="P9354" s="629"/>
      <c r="Q9354" s="629"/>
      <c r="R9354" s="629"/>
    </row>
    <row r="9355" spans="1:18" ht="24">
      <c r="A9355" s="219">
        <v>2029</v>
      </c>
      <c r="B9355" s="216" t="s">
        <v>17228</v>
      </c>
      <c r="C9355" s="220" t="s">
        <v>17229</v>
      </c>
      <c r="D9355" s="221">
        <v>3596.47</v>
      </c>
      <c r="E9355" s="221">
        <v>2631.21</v>
      </c>
      <c r="F9355" s="221">
        <v>503.01</v>
      </c>
      <c r="G9355" s="221">
        <v>462.25</v>
      </c>
      <c r="H9355" s="222">
        <v>36476.080000000002</v>
      </c>
      <c r="I9355" s="222">
        <v>30260.06</v>
      </c>
      <c r="J9355" s="222">
        <v>2730.94</v>
      </c>
      <c r="K9355" s="222">
        <v>3485.08</v>
      </c>
      <c r="L9355" s="43">
        <v>10.142189424630264</v>
      </c>
      <c r="M9355" s="43">
        <v>11.500435161009573</v>
      </c>
      <c r="N9355" s="43">
        <v>5.4291962386433674</v>
      </c>
      <c r="O9355" s="43">
        <v>7.5393834505137907</v>
      </c>
      <c r="P9355" s="223"/>
      <c r="Q9355" s="223"/>
      <c r="R9355" s="223">
        <v>2</v>
      </c>
    </row>
    <row r="9356" spans="1:18" ht="24">
      <c r="A9356" s="219">
        <v>2030</v>
      </c>
      <c r="B9356" s="216" t="s">
        <v>17230</v>
      </c>
      <c r="C9356" s="220" t="s">
        <v>17231</v>
      </c>
      <c r="D9356" s="221">
        <v>4985.9799999999996</v>
      </c>
      <c r="E9356" s="221">
        <v>3883.62</v>
      </c>
      <c r="F9356" s="221">
        <v>418.32</v>
      </c>
      <c r="G9356" s="221">
        <v>684.04</v>
      </c>
      <c r="H9356" s="222">
        <v>52670.29</v>
      </c>
      <c r="I9356" s="222">
        <v>44663.32</v>
      </c>
      <c r="J9356" s="222">
        <v>2271.15</v>
      </c>
      <c r="K9356" s="222">
        <v>5735.82</v>
      </c>
      <c r="L9356" s="43">
        <v>10.563678554667288</v>
      </c>
      <c r="M9356" s="43">
        <v>11.500435161009573</v>
      </c>
      <c r="N9356" s="43">
        <v>5.4292168674698802</v>
      </c>
      <c r="O9356" s="43">
        <v>8.3852113911467168</v>
      </c>
      <c r="P9356" s="223"/>
      <c r="Q9356" s="223"/>
      <c r="R9356" s="223">
        <v>2</v>
      </c>
    </row>
    <row r="9357" spans="1:18" ht="24">
      <c r="A9357" s="219">
        <v>2031</v>
      </c>
      <c r="B9357" s="216" t="s">
        <v>17232</v>
      </c>
      <c r="C9357" s="220" t="s">
        <v>17233</v>
      </c>
      <c r="D9357" s="221">
        <v>5814.78</v>
      </c>
      <c r="E9357" s="221">
        <v>3883.62</v>
      </c>
      <c r="F9357" s="221">
        <v>726.29</v>
      </c>
      <c r="G9357" s="221">
        <v>1204.8699999999999</v>
      </c>
      <c r="H9357" s="222">
        <v>59548.7</v>
      </c>
      <c r="I9357" s="222">
        <v>44663.32</v>
      </c>
      <c r="J9357" s="222">
        <v>3943.15</v>
      </c>
      <c r="K9357" s="222">
        <v>10942.23</v>
      </c>
      <c r="L9357" s="43">
        <v>10.240920550734508</v>
      </c>
      <c r="M9357" s="43">
        <v>11.500435161009573</v>
      </c>
      <c r="N9357" s="43">
        <v>5.4291674124660956</v>
      </c>
      <c r="O9357" s="43">
        <v>9.0816685617535509</v>
      </c>
      <c r="P9357" s="223"/>
      <c r="Q9357" s="223"/>
      <c r="R9357" s="223">
        <v>2</v>
      </c>
    </row>
    <row r="9358" spans="1:18" ht="12.75" customHeight="1">
      <c r="A9358" s="628" t="s">
        <v>17234</v>
      </c>
      <c r="B9358" s="629"/>
      <c r="C9358" s="629"/>
      <c r="D9358" s="629"/>
      <c r="E9358" s="629"/>
      <c r="F9358" s="629"/>
      <c r="G9358" s="629"/>
      <c r="H9358" s="629"/>
      <c r="I9358" s="629"/>
      <c r="J9358" s="629"/>
      <c r="K9358" s="629"/>
      <c r="L9358" s="629"/>
      <c r="M9358" s="629"/>
      <c r="N9358" s="629"/>
      <c r="O9358" s="629"/>
      <c r="P9358" s="629"/>
      <c r="Q9358" s="629"/>
      <c r="R9358" s="629"/>
    </row>
    <row r="9359" spans="1:18" ht="36">
      <c r="A9359" s="219">
        <v>2032</v>
      </c>
      <c r="B9359" s="216" t="s">
        <v>17235</v>
      </c>
      <c r="C9359" s="220" t="s">
        <v>17236</v>
      </c>
      <c r="D9359" s="221">
        <v>5907.93</v>
      </c>
      <c r="E9359" s="221">
        <v>3883.62</v>
      </c>
      <c r="F9359" s="221">
        <v>1778.15</v>
      </c>
      <c r="G9359" s="221">
        <v>246.16</v>
      </c>
      <c r="H9359" s="222">
        <v>56282.62</v>
      </c>
      <c r="I9359" s="222">
        <v>44663.32</v>
      </c>
      <c r="J9359" s="222">
        <v>9662.02</v>
      </c>
      <c r="K9359" s="222">
        <v>1957.28</v>
      </c>
      <c r="L9359" s="43">
        <v>9.5266226918734649</v>
      </c>
      <c r="M9359" s="43">
        <v>11.500435161009573</v>
      </c>
      <c r="N9359" s="43">
        <v>5.4337485588954815</v>
      </c>
      <c r="O9359" s="43">
        <v>7.9512512187195323</v>
      </c>
      <c r="P9359" s="223"/>
      <c r="Q9359" s="223"/>
      <c r="R9359" s="223">
        <v>3</v>
      </c>
    </row>
    <row r="9360" spans="1:18" ht="36">
      <c r="A9360" s="219">
        <v>2033</v>
      </c>
      <c r="B9360" s="216" t="s">
        <v>17237</v>
      </c>
      <c r="C9360" s="220" t="s">
        <v>17238</v>
      </c>
      <c r="D9360" s="221">
        <v>7911.68</v>
      </c>
      <c r="E9360" s="221">
        <v>5136.03</v>
      </c>
      <c r="F9360" s="221">
        <v>2504.44</v>
      </c>
      <c r="G9360" s="221">
        <v>271.20999999999998</v>
      </c>
      <c r="H9360" s="222">
        <v>74917.100000000006</v>
      </c>
      <c r="I9360" s="222">
        <v>59066.58</v>
      </c>
      <c r="J9360" s="222">
        <v>13605.17</v>
      </c>
      <c r="K9360" s="222">
        <v>2245.35</v>
      </c>
      <c r="L9360" s="43">
        <v>9.4691772164698271</v>
      </c>
      <c r="M9360" s="43">
        <v>11.500435161009575</v>
      </c>
      <c r="N9360" s="43">
        <v>5.4324200220408549</v>
      </c>
      <c r="O9360" s="43">
        <v>8.2790088861030195</v>
      </c>
      <c r="P9360" s="223"/>
      <c r="Q9360" s="223"/>
      <c r="R9360" s="223">
        <v>3</v>
      </c>
    </row>
    <row r="9361" spans="1:18" ht="12.75" customHeight="1">
      <c r="A9361" s="628" t="s">
        <v>17239</v>
      </c>
      <c r="B9361" s="629"/>
      <c r="C9361" s="629"/>
      <c r="D9361" s="629"/>
      <c r="E9361" s="629"/>
      <c r="F9361" s="629"/>
      <c r="G9361" s="629"/>
      <c r="H9361" s="629"/>
      <c r="I9361" s="629"/>
      <c r="J9361" s="629"/>
      <c r="K9361" s="629"/>
      <c r="L9361" s="629"/>
      <c r="M9361" s="629"/>
      <c r="N9361" s="629"/>
      <c r="O9361" s="629"/>
      <c r="P9361" s="629"/>
      <c r="Q9361" s="629"/>
      <c r="R9361" s="629"/>
    </row>
    <row r="9362" spans="1:18" ht="36">
      <c r="A9362" s="219">
        <v>2034</v>
      </c>
      <c r="B9362" s="216" t="s">
        <v>17240</v>
      </c>
      <c r="C9362" s="220" t="s">
        <v>17241</v>
      </c>
      <c r="D9362" s="221">
        <v>8223</v>
      </c>
      <c r="E9362" s="221">
        <v>6514.83</v>
      </c>
      <c r="F9362" s="221">
        <v>1168.24</v>
      </c>
      <c r="G9362" s="221">
        <v>539.92999999999995</v>
      </c>
      <c r="H9362" s="222">
        <v>85482.09</v>
      </c>
      <c r="I9362" s="222">
        <v>74923.38</v>
      </c>
      <c r="J9362" s="222">
        <v>6180.31</v>
      </c>
      <c r="K9362" s="222">
        <v>4378.3999999999996</v>
      </c>
      <c r="L9362" s="43">
        <v>10.395487048522437</v>
      </c>
      <c r="M9362" s="43">
        <v>11.500435161009575</v>
      </c>
      <c r="N9362" s="43">
        <v>5.2902742587139633</v>
      </c>
      <c r="O9362" s="43">
        <v>8.1091993406552696</v>
      </c>
      <c r="P9362" s="223"/>
      <c r="Q9362" s="223"/>
      <c r="R9362" s="223">
        <v>4</v>
      </c>
    </row>
    <row r="9363" spans="1:18" ht="36">
      <c r="A9363" s="219">
        <v>2035</v>
      </c>
      <c r="B9363" s="216" t="s">
        <v>17242</v>
      </c>
      <c r="C9363" s="220" t="s">
        <v>17243</v>
      </c>
      <c r="D9363" s="221">
        <v>14872.3</v>
      </c>
      <c r="E9363" s="221">
        <v>9019.65</v>
      </c>
      <c r="F9363" s="221">
        <v>4545.0600000000004</v>
      </c>
      <c r="G9363" s="221">
        <v>1307.5899999999999</v>
      </c>
      <c r="H9363" s="222">
        <v>140308.67000000001</v>
      </c>
      <c r="I9363" s="222">
        <v>103729.9</v>
      </c>
      <c r="J9363" s="222">
        <v>24455.26</v>
      </c>
      <c r="K9363" s="222">
        <v>12123.51</v>
      </c>
      <c r="L9363" s="43">
        <v>9.4342280615641165</v>
      </c>
      <c r="M9363" s="43">
        <v>11.500435161009573</v>
      </c>
      <c r="N9363" s="43">
        <v>5.3806242381838736</v>
      </c>
      <c r="O9363" s="43">
        <v>9.2716447816211502</v>
      </c>
      <c r="P9363" s="223"/>
      <c r="Q9363" s="223"/>
      <c r="R9363" s="223">
        <v>4</v>
      </c>
    </row>
    <row r="9364" spans="1:18" ht="12.75" customHeight="1">
      <c r="A9364" s="628" t="s">
        <v>17244</v>
      </c>
      <c r="B9364" s="629"/>
      <c r="C9364" s="629"/>
      <c r="D9364" s="629"/>
      <c r="E9364" s="629"/>
      <c r="F9364" s="629"/>
      <c r="G9364" s="629"/>
      <c r="H9364" s="629"/>
      <c r="I9364" s="629"/>
      <c r="J9364" s="629"/>
      <c r="K9364" s="629"/>
      <c r="L9364" s="629"/>
      <c r="M9364" s="629"/>
      <c r="N9364" s="629"/>
      <c r="O9364" s="629"/>
      <c r="P9364" s="629"/>
      <c r="Q9364" s="629"/>
      <c r="R9364" s="629"/>
    </row>
    <row r="9365" spans="1:18" ht="12.75" customHeight="1">
      <c r="A9365" s="628" t="s">
        <v>17245</v>
      </c>
      <c r="B9365" s="629"/>
      <c r="C9365" s="629"/>
      <c r="D9365" s="629"/>
      <c r="E9365" s="629"/>
      <c r="F9365" s="629"/>
      <c r="G9365" s="629"/>
      <c r="H9365" s="629"/>
      <c r="I9365" s="629"/>
      <c r="J9365" s="629"/>
      <c r="K9365" s="629"/>
      <c r="L9365" s="629"/>
      <c r="M9365" s="629"/>
      <c r="N9365" s="629"/>
      <c r="O9365" s="629"/>
      <c r="P9365" s="629"/>
      <c r="Q9365" s="629"/>
      <c r="R9365" s="629"/>
    </row>
    <row r="9366" spans="1:18" ht="24">
      <c r="A9366" s="219">
        <v>2036</v>
      </c>
      <c r="B9366" s="216" t="s">
        <v>17246</v>
      </c>
      <c r="C9366" s="220" t="s">
        <v>17247</v>
      </c>
      <c r="D9366" s="221">
        <v>6982.35</v>
      </c>
      <c r="E9366" s="221">
        <v>5136.03</v>
      </c>
      <c r="F9366" s="221">
        <v>1333.97</v>
      </c>
      <c r="G9366" s="221">
        <v>512.35</v>
      </c>
      <c r="H9366" s="222">
        <v>70311.77</v>
      </c>
      <c r="I9366" s="222">
        <v>59066.58</v>
      </c>
      <c r="J9366" s="222">
        <v>7183.96</v>
      </c>
      <c r="K9366" s="222">
        <v>4061.23</v>
      </c>
      <c r="L9366" s="43">
        <v>10.069929178571684</v>
      </c>
      <c r="M9366" s="43">
        <v>11.500435161009575</v>
      </c>
      <c r="N9366" s="43">
        <v>5.3853984722295101</v>
      </c>
      <c r="O9366" s="43">
        <v>7.9266712208451251</v>
      </c>
      <c r="P9366" s="223"/>
      <c r="Q9366" s="223"/>
      <c r="R9366" s="223">
        <v>1</v>
      </c>
    </row>
    <row r="9367" spans="1:18" ht="24">
      <c r="A9367" s="219">
        <v>2037</v>
      </c>
      <c r="B9367" s="216" t="s">
        <v>17248</v>
      </c>
      <c r="C9367" s="220" t="s">
        <v>17249</v>
      </c>
      <c r="D9367" s="221">
        <v>7433.16</v>
      </c>
      <c r="E9367" s="221">
        <v>5136.03</v>
      </c>
      <c r="F9367" s="221">
        <v>1588.04</v>
      </c>
      <c r="G9367" s="221">
        <v>709.09</v>
      </c>
      <c r="H9367" s="222">
        <v>73653.83</v>
      </c>
      <c r="I9367" s="222">
        <v>59066.58</v>
      </c>
      <c r="J9367" s="222">
        <v>8563.36</v>
      </c>
      <c r="K9367" s="222">
        <v>6023.89</v>
      </c>
      <c r="L9367" s="43">
        <v>9.9088180531563967</v>
      </c>
      <c r="M9367" s="43">
        <v>11.500435161009575</v>
      </c>
      <c r="N9367" s="43">
        <v>5.3924082516813181</v>
      </c>
      <c r="O9367" s="43">
        <v>8.495240378513305</v>
      </c>
      <c r="P9367" s="223"/>
      <c r="Q9367" s="223"/>
      <c r="R9367" s="223">
        <v>1</v>
      </c>
    </row>
    <row r="9368" spans="1:18" ht="24">
      <c r="A9368" s="219">
        <v>2038</v>
      </c>
      <c r="B9368" s="216" t="s">
        <v>17250</v>
      </c>
      <c r="C9368" s="220" t="s">
        <v>17251</v>
      </c>
      <c r="D9368" s="221">
        <v>11149.15</v>
      </c>
      <c r="E9368" s="221">
        <v>6514.83</v>
      </c>
      <c r="F9368" s="221">
        <v>3376.82</v>
      </c>
      <c r="G9368" s="221">
        <v>1257.5</v>
      </c>
      <c r="H9368" s="222">
        <v>104745.79</v>
      </c>
      <c r="I9368" s="222">
        <v>74923.38</v>
      </c>
      <c r="J9368" s="222">
        <v>18274.939999999999</v>
      </c>
      <c r="K9368" s="222">
        <v>11547.47</v>
      </c>
      <c r="L9368" s="43">
        <v>9.3949574631249906</v>
      </c>
      <c r="M9368" s="43">
        <v>11.500435161009575</v>
      </c>
      <c r="N9368" s="43">
        <v>5.41187863137508</v>
      </c>
      <c r="O9368" s="43">
        <v>9.1828787276341934</v>
      </c>
      <c r="P9368" s="223"/>
      <c r="Q9368" s="223"/>
      <c r="R9368" s="223">
        <v>1</v>
      </c>
    </row>
    <row r="9369" spans="1:18" ht="24">
      <c r="A9369" s="219">
        <v>2039</v>
      </c>
      <c r="B9369" s="216" t="s">
        <v>17252</v>
      </c>
      <c r="C9369" s="220" t="s">
        <v>17253</v>
      </c>
      <c r="D9369" s="221">
        <v>14916.25</v>
      </c>
      <c r="E9369" s="221">
        <v>7767.24</v>
      </c>
      <c r="F9369" s="221">
        <v>4704.08</v>
      </c>
      <c r="G9369" s="221">
        <v>2444.9299999999998</v>
      </c>
      <c r="H9369" s="222">
        <v>138187.45000000001</v>
      </c>
      <c r="I9369" s="222">
        <v>89326.64</v>
      </c>
      <c r="J9369" s="222">
        <v>25296.95</v>
      </c>
      <c r="K9369" s="222">
        <v>23563.86</v>
      </c>
      <c r="L9369" s="43">
        <v>9.2642219056398236</v>
      </c>
      <c r="M9369" s="43">
        <v>11.500435161009573</v>
      </c>
      <c r="N9369" s="43">
        <v>5.3776615193619159</v>
      </c>
      <c r="O9369" s="43">
        <v>9.6378464823123782</v>
      </c>
      <c r="P9369" s="223"/>
      <c r="Q9369" s="223"/>
      <c r="R9369" s="223">
        <v>1</v>
      </c>
    </row>
    <row r="9370" spans="1:18" ht="24">
      <c r="A9370" s="219">
        <v>2040</v>
      </c>
      <c r="B9370" s="216" t="s">
        <v>17254</v>
      </c>
      <c r="C9370" s="220" t="s">
        <v>17255</v>
      </c>
      <c r="D9370" s="221">
        <v>21907.599999999999</v>
      </c>
      <c r="E9370" s="221">
        <v>10272.06</v>
      </c>
      <c r="F9370" s="221">
        <v>7781.19</v>
      </c>
      <c r="G9370" s="221">
        <v>3854.35</v>
      </c>
      <c r="H9370" s="222">
        <v>196223.16</v>
      </c>
      <c r="I9370" s="222">
        <v>118133.16</v>
      </c>
      <c r="J9370" s="222">
        <v>42003.09</v>
      </c>
      <c r="K9370" s="222">
        <v>36086.910000000003</v>
      </c>
      <c r="L9370" s="43">
        <v>8.9568533294381858</v>
      </c>
      <c r="M9370" s="43">
        <v>11.500435161009575</v>
      </c>
      <c r="N9370" s="43">
        <v>5.3980290932363815</v>
      </c>
      <c r="O9370" s="43">
        <v>9.3626448039228407</v>
      </c>
      <c r="P9370" s="223"/>
      <c r="Q9370" s="223"/>
      <c r="R9370" s="223">
        <v>1</v>
      </c>
    </row>
    <row r="9371" spans="1:18" ht="24">
      <c r="A9371" s="219">
        <v>2041</v>
      </c>
      <c r="B9371" s="216" t="s">
        <v>17256</v>
      </c>
      <c r="C9371" s="220" t="s">
        <v>17257</v>
      </c>
      <c r="D9371" s="221">
        <v>23521.759999999998</v>
      </c>
      <c r="E9371" s="221">
        <v>10272.06</v>
      </c>
      <c r="F9371" s="221">
        <v>12494.02</v>
      </c>
      <c r="G9371" s="221">
        <v>755.68</v>
      </c>
      <c r="H9371" s="222">
        <v>190998.74</v>
      </c>
      <c r="I9371" s="222">
        <v>118133.16</v>
      </c>
      <c r="J9371" s="222">
        <v>67537.41</v>
      </c>
      <c r="K9371" s="222">
        <v>5328.17</v>
      </c>
      <c r="L9371" s="43">
        <v>8.1200871023256767</v>
      </c>
      <c r="M9371" s="43">
        <v>11.500435161009575</v>
      </c>
      <c r="N9371" s="43">
        <v>5.4055788289117519</v>
      </c>
      <c r="O9371" s="43">
        <v>7.05082839297057</v>
      </c>
      <c r="P9371" s="223"/>
      <c r="Q9371" s="223"/>
      <c r="R9371" s="223">
        <v>1</v>
      </c>
    </row>
    <row r="9372" spans="1:18" ht="24">
      <c r="A9372" s="219">
        <v>2042</v>
      </c>
      <c r="B9372" s="216" t="s">
        <v>17258</v>
      </c>
      <c r="C9372" s="220" t="s">
        <v>17259</v>
      </c>
      <c r="D9372" s="221">
        <v>29781.94</v>
      </c>
      <c r="E9372" s="221">
        <v>12868.8</v>
      </c>
      <c r="F9372" s="221">
        <v>15653.12</v>
      </c>
      <c r="G9372" s="221">
        <v>1260.02</v>
      </c>
      <c r="H9372" s="222">
        <v>240947.91</v>
      </c>
      <c r="I9372" s="222">
        <v>147996.79999999999</v>
      </c>
      <c r="J9372" s="222">
        <v>84521.01</v>
      </c>
      <c r="K9372" s="222">
        <v>8430.1</v>
      </c>
      <c r="L9372" s="43">
        <v>8.0904034458467109</v>
      </c>
      <c r="M9372" s="43">
        <v>11.500435161009573</v>
      </c>
      <c r="N9372" s="43">
        <v>5.399627039210074</v>
      </c>
      <c r="O9372" s="43">
        <v>6.6904493579466999</v>
      </c>
      <c r="P9372" s="223"/>
      <c r="Q9372" s="223"/>
      <c r="R9372" s="223">
        <v>1</v>
      </c>
    </row>
    <row r="9373" spans="1:18" ht="24">
      <c r="A9373" s="219">
        <v>2043</v>
      </c>
      <c r="B9373" s="216" t="s">
        <v>17260</v>
      </c>
      <c r="C9373" s="220" t="s">
        <v>17261</v>
      </c>
      <c r="D9373" s="221">
        <v>50324.52</v>
      </c>
      <c r="E9373" s="221">
        <v>15511.5</v>
      </c>
      <c r="F9373" s="221">
        <v>33177.69</v>
      </c>
      <c r="G9373" s="221">
        <v>1635.33</v>
      </c>
      <c r="H9373" s="222">
        <v>368712.41</v>
      </c>
      <c r="I9373" s="222">
        <v>178389</v>
      </c>
      <c r="J9373" s="222">
        <v>179560.7</v>
      </c>
      <c r="K9373" s="222">
        <v>10762.71</v>
      </c>
      <c r="L9373" s="43">
        <v>7.3266950186509474</v>
      </c>
      <c r="M9373" s="43">
        <v>11.500435161009573</v>
      </c>
      <c r="N9373" s="43">
        <v>5.4120916796799294</v>
      </c>
      <c r="O9373" s="43">
        <v>6.5813688980205827</v>
      </c>
      <c r="P9373" s="223"/>
      <c r="Q9373" s="223"/>
      <c r="R9373" s="223">
        <v>1</v>
      </c>
    </row>
    <row r="9374" spans="1:18" ht="12.75" customHeight="1">
      <c r="A9374" s="628" t="s">
        <v>17262</v>
      </c>
      <c r="B9374" s="629"/>
      <c r="C9374" s="629"/>
      <c r="D9374" s="629"/>
      <c r="E9374" s="629"/>
      <c r="F9374" s="629"/>
      <c r="G9374" s="629"/>
      <c r="H9374" s="629"/>
      <c r="I9374" s="629"/>
      <c r="J9374" s="629"/>
      <c r="K9374" s="629"/>
      <c r="L9374" s="629"/>
      <c r="M9374" s="629"/>
      <c r="N9374" s="629"/>
      <c r="O9374" s="629"/>
      <c r="P9374" s="629"/>
      <c r="Q9374" s="629"/>
      <c r="R9374" s="629"/>
    </row>
    <row r="9375" spans="1:18" ht="24">
      <c r="A9375" s="219">
        <v>2044</v>
      </c>
      <c r="B9375" s="216" t="s">
        <v>17263</v>
      </c>
      <c r="C9375" s="220" t="s">
        <v>17264</v>
      </c>
      <c r="D9375" s="221">
        <v>30246.97</v>
      </c>
      <c r="E9375" s="221">
        <v>19418.099999999999</v>
      </c>
      <c r="F9375" s="221">
        <v>9522.73</v>
      </c>
      <c r="G9375" s="221">
        <v>1306.1400000000001</v>
      </c>
      <c r="H9375" s="222">
        <v>284473.2</v>
      </c>
      <c r="I9375" s="222">
        <v>223316.6</v>
      </c>
      <c r="J9375" s="222">
        <v>50810.18</v>
      </c>
      <c r="K9375" s="222">
        <v>10346.42</v>
      </c>
      <c r="L9375" s="43">
        <v>9.4050147832989559</v>
      </c>
      <c r="M9375" s="43">
        <v>11.500435161009575</v>
      </c>
      <c r="N9375" s="43">
        <v>5.3356736986137383</v>
      </c>
      <c r="O9375" s="43">
        <v>7.9213713690722276</v>
      </c>
      <c r="P9375" s="223"/>
      <c r="Q9375" s="223"/>
      <c r="R9375" s="223">
        <v>2</v>
      </c>
    </row>
    <row r="9376" spans="1:18" ht="12.75" customHeight="1">
      <c r="A9376" s="628" t="s">
        <v>17265</v>
      </c>
      <c r="B9376" s="629"/>
      <c r="C9376" s="629"/>
      <c r="D9376" s="629"/>
      <c r="E9376" s="629"/>
      <c r="F9376" s="629"/>
      <c r="G9376" s="629"/>
      <c r="H9376" s="629"/>
      <c r="I9376" s="629"/>
      <c r="J9376" s="629"/>
      <c r="K9376" s="629"/>
      <c r="L9376" s="629"/>
      <c r="M9376" s="629"/>
      <c r="N9376" s="629"/>
      <c r="O9376" s="629"/>
      <c r="P9376" s="629"/>
      <c r="Q9376" s="629"/>
      <c r="R9376" s="629"/>
    </row>
    <row r="9377" spans="1:18" ht="36">
      <c r="A9377" s="219">
        <v>2045</v>
      </c>
      <c r="B9377" s="216" t="s">
        <v>17266</v>
      </c>
      <c r="C9377" s="220" t="s">
        <v>17267</v>
      </c>
      <c r="D9377" s="221">
        <v>8411.48</v>
      </c>
      <c r="E9377" s="221">
        <v>6514.83</v>
      </c>
      <c r="F9377" s="221">
        <v>1329.36</v>
      </c>
      <c r="G9377" s="221">
        <v>567.29</v>
      </c>
      <c r="H9377" s="222">
        <v>86582.44</v>
      </c>
      <c r="I9377" s="222">
        <v>74923.38</v>
      </c>
      <c r="J9377" s="222">
        <v>6996.71</v>
      </c>
      <c r="K9377" s="222">
        <v>4662.3500000000004</v>
      </c>
      <c r="L9377" s="43">
        <v>10.293365733497554</v>
      </c>
      <c r="M9377" s="43">
        <v>11.500435161009575</v>
      </c>
      <c r="N9377" s="43">
        <v>5.2632168863212376</v>
      </c>
      <c r="O9377" s="43">
        <v>8.2186359710201149</v>
      </c>
      <c r="P9377" s="223"/>
      <c r="Q9377" s="223"/>
      <c r="R9377" s="223">
        <v>3</v>
      </c>
    </row>
    <row r="9378" spans="1:18" ht="36">
      <c r="A9378" s="219">
        <v>2046</v>
      </c>
      <c r="B9378" s="216" t="s">
        <v>17268</v>
      </c>
      <c r="C9378" s="220" t="s">
        <v>17269</v>
      </c>
      <c r="D9378" s="221">
        <v>10342</v>
      </c>
      <c r="E9378" s="221">
        <v>7767.24</v>
      </c>
      <c r="F9378" s="221">
        <v>1722.02</v>
      </c>
      <c r="G9378" s="221">
        <v>852.74</v>
      </c>
      <c r="H9378" s="222">
        <v>106008.68</v>
      </c>
      <c r="I9378" s="222">
        <v>89326.64</v>
      </c>
      <c r="J9378" s="222">
        <v>9128.52</v>
      </c>
      <c r="K9378" s="222">
        <v>7553.52</v>
      </c>
      <c r="L9378" s="43">
        <v>10.250307484045639</v>
      </c>
      <c r="M9378" s="43">
        <v>11.500435161009573</v>
      </c>
      <c r="N9378" s="43">
        <v>5.3010534140137748</v>
      </c>
      <c r="O9378" s="43">
        <v>8.8579402866055315</v>
      </c>
      <c r="P9378" s="223"/>
      <c r="Q9378" s="223"/>
      <c r="R9378" s="223">
        <v>3</v>
      </c>
    </row>
    <row r="9379" spans="1:18" ht="36">
      <c r="A9379" s="219">
        <v>2047</v>
      </c>
      <c r="B9379" s="216" t="s">
        <v>17270</v>
      </c>
      <c r="C9379" s="220" t="s">
        <v>17271</v>
      </c>
      <c r="D9379" s="221">
        <v>11709.65</v>
      </c>
      <c r="E9379" s="221">
        <v>7767.24</v>
      </c>
      <c r="F9379" s="221">
        <v>2515.4699999999998</v>
      </c>
      <c r="G9379" s="221">
        <v>1426.94</v>
      </c>
      <c r="H9379" s="222">
        <v>115920.34</v>
      </c>
      <c r="I9379" s="222">
        <v>89326.64</v>
      </c>
      <c r="J9379" s="222">
        <v>13252.38</v>
      </c>
      <c r="K9379" s="222">
        <v>13341.32</v>
      </c>
      <c r="L9379" s="43">
        <v>9.8995563488234062</v>
      </c>
      <c r="M9379" s="43">
        <v>11.500435161009573</v>
      </c>
      <c r="N9379" s="43">
        <v>5.268351441281351</v>
      </c>
      <c r="O9379" s="43">
        <v>9.3496012446213577</v>
      </c>
      <c r="P9379" s="223"/>
      <c r="Q9379" s="223"/>
      <c r="R9379" s="223">
        <v>3</v>
      </c>
    </row>
    <row r="9380" spans="1:18" ht="36">
      <c r="A9380" s="219">
        <v>2048</v>
      </c>
      <c r="B9380" s="216" t="s">
        <v>17272</v>
      </c>
      <c r="C9380" s="220" t="s">
        <v>17273</v>
      </c>
      <c r="D9380" s="221">
        <v>16864.47</v>
      </c>
      <c r="E9380" s="221">
        <v>10272.06</v>
      </c>
      <c r="F9380" s="221">
        <v>4306.8100000000004</v>
      </c>
      <c r="G9380" s="221">
        <v>2285.6</v>
      </c>
      <c r="H9380" s="222">
        <v>161735.71</v>
      </c>
      <c r="I9380" s="222">
        <v>118133.16</v>
      </c>
      <c r="J9380" s="222">
        <v>22977.88</v>
      </c>
      <c r="K9380" s="222">
        <v>20624.669999999998</v>
      </c>
      <c r="L9380" s="43">
        <v>9.5903227317549842</v>
      </c>
      <c r="M9380" s="43">
        <v>11.500435161009575</v>
      </c>
      <c r="N9380" s="43">
        <v>5.3352434864783911</v>
      </c>
      <c r="O9380" s="43">
        <v>9.0237443122156105</v>
      </c>
      <c r="P9380" s="223"/>
      <c r="Q9380" s="223"/>
      <c r="R9380" s="223">
        <v>3</v>
      </c>
    </row>
    <row r="9381" spans="1:18" ht="36">
      <c r="A9381" s="219">
        <v>2049</v>
      </c>
      <c r="B9381" s="216" t="s">
        <v>17274</v>
      </c>
      <c r="C9381" s="220" t="s">
        <v>17275</v>
      </c>
      <c r="D9381" s="221">
        <v>22514.73</v>
      </c>
      <c r="E9381" s="221">
        <v>14132.7</v>
      </c>
      <c r="F9381" s="221">
        <v>5604.4</v>
      </c>
      <c r="G9381" s="221">
        <v>2777.63</v>
      </c>
      <c r="H9381" s="222">
        <v>216092.86</v>
      </c>
      <c r="I9381" s="222">
        <v>162532.20000000001</v>
      </c>
      <c r="J9381" s="222">
        <v>29806.39</v>
      </c>
      <c r="K9381" s="222">
        <v>23754.27</v>
      </c>
      <c r="L9381" s="43">
        <v>9.5978437227539484</v>
      </c>
      <c r="M9381" s="43">
        <v>11.500435161009573</v>
      </c>
      <c r="N9381" s="43">
        <v>5.3183909071443871</v>
      </c>
      <c r="O9381" s="43">
        <v>8.551992165983231</v>
      </c>
      <c r="P9381" s="223"/>
      <c r="Q9381" s="223"/>
      <c r="R9381" s="223">
        <v>3</v>
      </c>
    </row>
    <row r="9382" spans="1:18" ht="12.75" customHeight="1">
      <c r="A9382" s="628" t="s">
        <v>17276</v>
      </c>
      <c r="B9382" s="629"/>
      <c r="C9382" s="629"/>
      <c r="D9382" s="629"/>
      <c r="E9382" s="629"/>
      <c r="F9382" s="629"/>
      <c r="G9382" s="629"/>
      <c r="H9382" s="629"/>
      <c r="I9382" s="629"/>
      <c r="J9382" s="629"/>
      <c r="K9382" s="629"/>
      <c r="L9382" s="629"/>
      <c r="M9382" s="629"/>
      <c r="N9382" s="629"/>
      <c r="O9382" s="629"/>
      <c r="P9382" s="629"/>
      <c r="Q9382" s="629"/>
      <c r="R9382" s="629"/>
    </row>
    <row r="9383" spans="1:18" ht="12.75" customHeight="1">
      <c r="A9383" s="628" t="s">
        <v>17277</v>
      </c>
      <c r="B9383" s="629"/>
      <c r="C9383" s="629"/>
      <c r="D9383" s="629"/>
      <c r="E9383" s="629"/>
      <c r="F9383" s="629"/>
      <c r="G9383" s="629"/>
      <c r="H9383" s="629"/>
      <c r="I9383" s="629"/>
      <c r="J9383" s="629"/>
      <c r="K9383" s="629"/>
      <c r="L9383" s="629"/>
      <c r="M9383" s="629"/>
      <c r="N9383" s="629"/>
      <c r="O9383" s="629"/>
      <c r="P9383" s="629"/>
      <c r="Q9383" s="629"/>
      <c r="R9383" s="629"/>
    </row>
    <row r="9384" spans="1:18" ht="36">
      <c r="A9384" s="219">
        <v>2050</v>
      </c>
      <c r="B9384" s="216" t="s">
        <v>17278</v>
      </c>
      <c r="C9384" s="220" t="s">
        <v>17279</v>
      </c>
      <c r="D9384" s="221">
        <v>88284.86</v>
      </c>
      <c r="E9384" s="221">
        <v>35044.5</v>
      </c>
      <c r="F9384" s="221">
        <v>31732.28</v>
      </c>
      <c r="G9384" s="221">
        <v>21508.080000000002</v>
      </c>
      <c r="H9384" s="222">
        <v>662097.18999999994</v>
      </c>
      <c r="I9384" s="222">
        <v>403027</v>
      </c>
      <c r="J9384" s="222">
        <v>170998.78</v>
      </c>
      <c r="K9384" s="222">
        <v>88071.41</v>
      </c>
      <c r="L9384" s="43">
        <v>7.499555303140311</v>
      </c>
      <c r="M9384" s="43">
        <v>11.500435161009573</v>
      </c>
      <c r="N9384" s="43">
        <v>5.3887958886030249</v>
      </c>
      <c r="O9384" s="43">
        <v>4.0948057660190962</v>
      </c>
      <c r="P9384" s="223"/>
      <c r="Q9384" s="223"/>
      <c r="R9384" s="223">
        <v>1</v>
      </c>
    </row>
    <row r="9385" spans="1:18" ht="36">
      <c r="A9385" s="219">
        <v>2051</v>
      </c>
      <c r="B9385" s="216" t="s">
        <v>17280</v>
      </c>
      <c r="C9385" s="220" t="s">
        <v>17281</v>
      </c>
      <c r="D9385" s="221">
        <v>107998.22</v>
      </c>
      <c r="E9385" s="221">
        <v>42627.9</v>
      </c>
      <c r="F9385" s="221">
        <v>43208.84</v>
      </c>
      <c r="G9385" s="221">
        <v>22161.48</v>
      </c>
      <c r="H9385" s="222">
        <v>816028.29</v>
      </c>
      <c r="I9385" s="222">
        <v>490239.4</v>
      </c>
      <c r="J9385" s="222">
        <v>233199.11</v>
      </c>
      <c r="K9385" s="222">
        <v>92589.78</v>
      </c>
      <c r="L9385" s="43">
        <v>7.5559420331186944</v>
      </c>
      <c r="M9385" s="43">
        <v>11.500435161009573</v>
      </c>
      <c r="N9385" s="43">
        <v>5.3970231554468944</v>
      </c>
      <c r="O9385" s="43">
        <v>4.177960136236389</v>
      </c>
      <c r="P9385" s="223"/>
      <c r="Q9385" s="223"/>
      <c r="R9385" s="223">
        <v>1</v>
      </c>
    </row>
    <row r="9386" spans="1:18" ht="36">
      <c r="A9386" s="219">
        <v>2052</v>
      </c>
      <c r="B9386" s="216" t="s">
        <v>17282</v>
      </c>
      <c r="C9386" s="220" t="s">
        <v>17283</v>
      </c>
      <c r="D9386" s="221">
        <v>181261.88</v>
      </c>
      <c r="E9386" s="221">
        <v>83877</v>
      </c>
      <c r="F9386" s="221">
        <v>71301.56</v>
      </c>
      <c r="G9386" s="221">
        <v>26083.32</v>
      </c>
      <c r="H9386" s="222">
        <v>1468435.56</v>
      </c>
      <c r="I9386" s="222">
        <v>964622</v>
      </c>
      <c r="J9386" s="222">
        <v>384769.81</v>
      </c>
      <c r="K9386" s="222">
        <v>119043.75</v>
      </c>
      <c r="L9386" s="43">
        <v>8.1011824438762297</v>
      </c>
      <c r="M9386" s="43">
        <v>11.500435161009573</v>
      </c>
      <c r="N9386" s="43">
        <v>5.3963729545328318</v>
      </c>
      <c r="O9386" s="43">
        <v>4.5639799688076517</v>
      </c>
      <c r="P9386" s="223"/>
      <c r="Q9386" s="223"/>
      <c r="R9386" s="223">
        <v>1</v>
      </c>
    </row>
    <row r="9387" spans="1:18" ht="12.75" customHeight="1">
      <c r="A9387" s="628" t="s">
        <v>17284</v>
      </c>
      <c r="B9387" s="629"/>
      <c r="C9387" s="629"/>
      <c r="D9387" s="629"/>
      <c r="E9387" s="629"/>
      <c r="F9387" s="629"/>
      <c r="G9387" s="629"/>
      <c r="H9387" s="629"/>
      <c r="I9387" s="629"/>
      <c r="J9387" s="629"/>
      <c r="K9387" s="629"/>
      <c r="L9387" s="629"/>
      <c r="M9387" s="629"/>
      <c r="N9387" s="629"/>
      <c r="O9387" s="629"/>
      <c r="P9387" s="629"/>
      <c r="Q9387" s="629"/>
      <c r="R9387" s="629"/>
    </row>
    <row r="9388" spans="1:18" ht="12.75" customHeight="1">
      <c r="A9388" s="628" t="s">
        <v>17285</v>
      </c>
      <c r="B9388" s="629"/>
      <c r="C9388" s="629"/>
      <c r="D9388" s="629"/>
      <c r="E9388" s="629"/>
      <c r="F9388" s="629"/>
      <c r="G9388" s="629"/>
      <c r="H9388" s="629"/>
      <c r="I9388" s="629"/>
      <c r="J9388" s="629"/>
      <c r="K9388" s="629"/>
      <c r="L9388" s="629"/>
      <c r="M9388" s="629"/>
      <c r="N9388" s="629"/>
      <c r="O9388" s="629"/>
      <c r="P9388" s="629"/>
      <c r="Q9388" s="629"/>
      <c r="R9388" s="629"/>
    </row>
    <row r="9389" spans="1:18" ht="24">
      <c r="A9389" s="219">
        <v>2053</v>
      </c>
      <c r="B9389" s="216" t="s">
        <v>17286</v>
      </c>
      <c r="C9389" s="220" t="s">
        <v>17287</v>
      </c>
      <c r="D9389" s="221">
        <v>6076.97</v>
      </c>
      <c r="E9389" s="221">
        <v>5136.03</v>
      </c>
      <c r="F9389" s="221">
        <v>428.59</v>
      </c>
      <c r="G9389" s="221">
        <v>512.35</v>
      </c>
      <c r="H9389" s="222">
        <v>65454.69</v>
      </c>
      <c r="I9389" s="222">
        <v>59066.58</v>
      </c>
      <c r="J9389" s="222">
        <v>2326.88</v>
      </c>
      <c r="K9389" s="222">
        <v>4061.23</v>
      </c>
      <c r="L9389" s="43">
        <v>10.770941768677483</v>
      </c>
      <c r="M9389" s="43">
        <v>11.500435161009575</v>
      </c>
      <c r="N9389" s="43">
        <v>5.4291514034391852</v>
      </c>
      <c r="O9389" s="43">
        <v>7.9266712208451251</v>
      </c>
      <c r="P9389" s="223"/>
      <c r="Q9389" s="223"/>
      <c r="R9389" s="223">
        <v>1</v>
      </c>
    </row>
    <row r="9390" spans="1:18" ht="24">
      <c r="A9390" s="219">
        <v>2054</v>
      </c>
      <c r="B9390" s="216" t="s">
        <v>17288</v>
      </c>
      <c r="C9390" s="220" t="s">
        <v>17289</v>
      </c>
      <c r="D9390" s="221">
        <v>12615.13</v>
      </c>
      <c r="E9390" s="221">
        <v>7767.24</v>
      </c>
      <c r="F9390" s="221">
        <v>1285.77</v>
      </c>
      <c r="G9390" s="221">
        <v>3562.12</v>
      </c>
      <c r="H9390" s="222">
        <v>130506.76</v>
      </c>
      <c r="I9390" s="222">
        <v>89326.64</v>
      </c>
      <c r="J9390" s="222">
        <v>6980.64</v>
      </c>
      <c r="K9390" s="222">
        <v>34199.480000000003</v>
      </c>
      <c r="L9390" s="43">
        <v>10.345256846342448</v>
      </c>
      <c r="M9390" s="43">
        <v>11.500435161009573</v>
      </c>
      <c r="N9390" s="43">
        <v>5.4291514034391843</v>
      </c>
      <c r="O9390" s="43">
        <v>9.600878128754788</v>
      </c>
      <c r="P9390" s="223"/>
      <c r="Q9390" s="223"/>
      <c r="R9390" s="223">
        <v>1</v>
      </c>
    </row>
    <row r="9391" spans="1:18" ht="24">
      <c r="A9391" s="219">
        <v>2055</v>
      </c>
      <c r="B9391" s="216" t="s">
        <v>17290</v>
      </c>
      <c r="C9391" s="220" t="s">
        <v>17291</v>
      </c>
      <c r="D9391" s="221">
        <v>11459.92</v>
      </c>
      <c r="E9391" s="221">
        <v>9019.65</v>
      </c>
      <c r="F9391" s="221">
        <v>1872.39</v>
      </c>
      <c r="G9391" s="221">
        <v>567.88</v>
      </c>
      <c r="H9391" s="222">
        <v>118267.6</v>
      </c>
      <c r="I9391" s="222">
        <v>103729.9</v>
      </c>
      <c r="J9391" s="222">
        <v>10127.93</v>
      </c>
      <c r="K9391" s="222">
        <v>4409.7700000000004</v>
      </c>
      <c r="L9391" s="43">
        <v>10.320106946645351</v>
      </c>
      <c r="M9391" s="43">
        <v>11.500435161009573</v>
      </c>
      <c r="N9391" s="43">
        <v>5.4090921229017459</v>
      </c>
      <c r="O9391" s="43">
        <v>7.7653201380573371</v>
      </c>
      <c r="P9391" s="223"/>
      <c r="Q9391" s="223"/>
      <c r="R9391" s="223">
        <v>1</v>
      </c>
    </row>
    <row r="9392" spans="1:18" ht="24">
      <c r="A9392" s="219">
        <v>2056</v>
      </c>
      <c r="B9392" s="216" t="s">
        <v>17292</v>
      </c>
      <c r="C9392" s="220" t="s">
        <v>17293</v>
      </c>
      <c r="D9392" s="221">
        <v>17050.21</v>
      </c>
      <c r="E9392" s="221">
        <v>11604.9</v>
      </c>
      <c r="F9392" s="221">
        <v>4063.9</v>
      </c>
      <c r="G9392" s="221">
        <v>1381.41</v>
      </c>
      <c r="H9392" s="222">
        <v>164172.51999999999</v>
      </c>
      <c r="I9392" s="222">
        <v>133461.4</v>
      </c>
      <c r="J9392" s="222">
        <v>21873.59</v>
      </c>
      <c r="K9392" s="222">
        <v>8837.5300000000007</v>
      </c>
      <c r="L9392" s="43">
        <v>9.6287682087200093</v>
      </c>
      <c r="M9392" s="43">
        <v>11.500435161009573</v>
      </c>
      <c r="N9392" s="43">
        <v>5.3824134452127268</v>
      </c>
      <c r="O9392" s="43">
        <v>6.39747070022658</v>
      </c>
      <c r="P9392" s="223"/>
      <c r="Q9392" s="223"/>
      <c r="R9392" s="223">
        <v>1</v>
      </c>
    </row>
    <row r="9393" spans="1:18" ht="24">
      <c r="A9393" s="219">
        <v>2057</v>
      </c>
      <c r="B9393" s="216" t="s">
        <v>17294</v>
      </c>
      <c r="C9393" s="220" t="s">
        <v>17295</v>
      </c>
      <c r="D9393" s="221">
        <v>26818.02</v>
      </c>
      <c r="E9393" s="221">
        <v>18039.3</v>
      </c>
      <c r="F9393" s="221">
        <v>6270.2</v>
      </c>
      <c r="G9393" s="221">
        <v>2508.52</v>
      </c>
      <c r="H9393" s="222">
        <v>257112.98</v>
      </c>
      <c r="I9393" s="222">
        <v>207459.8</v>
      </c>
      <c r="J9393" s="222">
        <v>33716.160000000003</v>
      </c>
      <c r="K9393" s="222">
        <v>15937.02</v>
      </c>
      <c r="L9393" s="43">
        <v>9.587321509939958</v>
      </c>
      <c r="M9393" s="43">
        <v>11.500435161009573</v>
      </c>
      <c r="N9393" s="43">
        <v>5.377206468693184</v>
      </c>
      <c r="O9393" s="43">
        <v>6.353156442842792</v>
      </c>
      <c r="P9393" s="223"/>
      <c r="Q9393" s="223"/>
      <c r="R9393" s="223">
        <v>1</v>
      </c>
    </row>
    <row r="9394" spans="1:18" ht="24">
      <c r="A9394" s="219">
        <v>2058</v>
      </c>
      <c r="B9394" s="216" t="s">
        <v>17296</v>
      </c>
      <c r="C9394" s="220" t="s">
        <v>17297</v>
      </c>
      <c r="D9394" s="221">
        <v>38758.29</v>
      </c>
      <c r="E9394" s="221">
        <v>25852.5</v>
      </c>
      <c r="F9394" s="221">
        <v>8613.34</v>
      </c>
      <c r="G9394" s="221">
        <v>4292.45</v>
      </c>
      <c r="H9394" s="222">
        <v>370323.97</v>
      </c>
      <c r="I9394" s="222">
        <v>297315</v>
      </c>
      <c r="J9394" s="222">
        <v>46416.23</v>
      </c>
      <c r="K9394" s="222">
        <v>26592.74</v>
      </c>
      <c r="L9394" s="43">
        <v>9.5547035227818355</v>
      </c>
      <c r="M9394" s="43">
        <v>11.500435161009573</v>
      </c>
      <c r="N9394" s="43">
        <v>5.3888770209930179</v>
      </c>
      <c r="O9394" s="43">
        <v>6.1952358210346077</v>
      </c>
      <c r="P9394" s="223"/>
      <c r="Q9394" s="223"/>
      <c r="R9394" s="223">
        <v>1</v>
      </c>
    </row>
    <row r="9395" spans="1:18" ht="24">
      <c r="A9395" s="219">
        <v>2059</v>
      </c>
      <c r="B9395" s="216" t="s">
        <v>17298</v>
      </c>
      <c r="C9395" s="220" t="s">
        <v>17299</v>
      </c>
      <c r="D9395" s="221">
        <v>51656.39</v>
      </c>
      <c r="E9395" s="221">
        <v>30908.1</v>
      </c>
      <c r="F9395" s="221">
        <v>14793.72</v>
      </c>
      <c r="G9395" s="221">
        <v>5954.57</v>
      </c>
      <c r="H9395" s="222">
        <v>472075.63</v>
      </c>
      <c r="I9395" s="222">
        <v>355456.6</v>
      </c>
      <c r="J9395" s="222">
        <v>80374.44</v>
      </c>
      <c r="K9395" s="222">
        <v>36244.589999999997</v>
      </c>
      <c r="L9395" s="43">
        <v>9.138765407338763</v>
      </c>
      <c r="M9395" s="43">
        <v>11.500435161009573</v>
      </c>
      <c r="N9395" s="43">
        <v>5.4330107640268981</v>
      </c>
      <c r="O9395" s="43">
        <v>6.0868526190808065</v>
      </c>
      <c r="P9395" s="223"/>
      <c r="Q9395" s="223"/>
      <c r="R9395" s="223">
        <v>1</v>
      </c>
    </row>
    <row r="9396" spans="1:18" ht="24">
      <c r="A9396" s="219">
        <v>2060</v>
      </c>
      <c r="B9396" s="216" t="s">
        <v>17300</v>
      </c>
      <c r="C9396" s="220" t="s">
        <v>17301</v>
      </c>
      <c r="D9396" s="221">
        <v>64574.53</v>
      </c>
      <c r="E9396" s="221">
        <v>37457.4</v>
      </c>
      <c r="F9396" s="221">
        <v>19855.439999999999</v>
      </c>
      <c r="G9396" s="221">
        <v>7261.69</v>
      </c>
      <c r="H9396" s="222">
        <v>582711.93000000005</v>
      </c>
      <c r="I9396" s="222">
        <v>430776.4</v>
      </c>
      <c r="J9396" s="222">
        <v>107764.86</v>
      </c>
      <c r="K9396" s="222">
        <v>44170.67</v>
      </c>
      <c r="L9396" s="43">
        <v>9.023866375798633</v>
      </c>
      <c r="M9396" s="43">
        <v>11.500435161009573</v>
      </c>
      <c r="N9396" s="43">
        <v>5.4274727732047241</v>
      </c>
      <c r="O9396" s="43">
        <v>6.0826983801291439</v>
      </c>
      <c r="P9396" s="223"/>
      <c r="Q9396" s="223"/>
      <c r="R9396" s="223">
        <v>1</v>
      </c>
    </row>
    <row r="9397" spans="1:18" ht="24">
      <c r="A9397" s="219">
        <v>2061</v>
      </c>
      <c r="B9397" s="216" t="s">
        <v>17302</v>
      </c>
      <c r="C9397" s="220" t="s">
        <v>17303</v>
      </c>
      <c r="D9397" s="221">
        <v>96362.94</v>
      </c>
      <c r="E9397" s="221">
        <v>54232.800000000003</v>
      </c>
      <c r="F9397" s="221">
        <v>29787.98</v>
      </c>
      <c r="G9397" s="221">
        <v>12342.16</v>
      </c>
      <c r="H9397" s="222">
        <v>858769.66</v>
      </c>
      <c r="I9397" s="222">
        <v>623700.80000000005</v>
      </c>
      <c r="J9397" s="222">
        <v>161284.15</v>
      </c>
      <c r="K9397" s="222">
        <v>73784.710000000006</v>
      </c>
      <c r="L9397" s="43">
        <v>8.911825023188376</v>
      </c>
      <c r="M9397" s="43">
        <v>11.500435161009573</v>
      </c>
      <c r="N9397" s="43">
        <v>5.4144037292894653</v>
      </c>
      <c r="O9397" s="43">
        <v>5.9782655548137447</v>
      </c>
      <c r="P9397" s="223"/>
      <c r="Q9397" s="223"/>
      <c r="R9397" s="223">
        <v>1</v>
      </c>
    </row>
    <row r="9398" spans="1:18" ht="12.75" customHeight="1">
      <c r="A9398" s="628" t="s">
        <v>17304</v>
      </c>
      <c r="B9398" s="629"/>
      <c r="C9398" s="629"/>
      <c r="D9398" s="629"/>
      <c r="E9398" s="629"/>
      <c r="F9398" s="629"/>
      <c r="G9398" s="629"/>
      <c r="H9398" s="629"/>
      <c r="I9398" s="629"/>
      <c r="J9398" s="629"/>
      <c r="K9398" s="629"/>
      <c r="L9398" s="629"/>
      <c r="M9398" s="629"/>
      <c r="N9398" s="629"/>
      <c r="O9398" s="629"/>
      <c r="P9398" s="629"/>
      <c r="Q9398" s="629"/>
      <c r="R9398" s="629"/>
    </row>
    <row r="9399" spans="1:18" ht="36">
      <c r="A9399" s="219">
        <v>2062</v>
      </c>
      <c r="B9399" s="216" t="s">
        <v>17305</v>
      </c>
      <c r="C9399" s="220" t="s">
        <v>17306</v>
      </c>
      <c r="D9399" s="221">
        <v>11773.98</v>
      </c>
      <c r="E9399" s="221">
        <v>7767.24</v>
      </c>
      <c r="F9399" s="221">
        <v>3242.31</v>
      </c>
      <c r="G9399" s="221">
        <v>764.43</v>
      </c>
      <c r="H9399" s="222">
        <v>111878.54</v>
      </c>
      <c r="I9399" s="222">
        <v>89326.64</v>
      </c>
      <c r="J9399" s="222">
        <v>17416.009999999998</v>
      </c>
      <c r="K9399" s="222">
        <v>5135.8900000000003</v>
      </c>
      <c r="L9399" s="43">
        <v>9.5021853273064849</v>
      </c>
      <c r="M9399" s="43">
        <v>11.500435161009573</v>
      </c>
      <c r="N9399" s="43">
        <v>5.3714820606296128</v>
      </c>
      <c r="O9399" s="43">
        <v>6.7185877058723502</v>
      </c>
      <c r="P9399" s="223"/>
      <c r="Q9399" s="223"/>
      <c r="R9399" s="223">
        <v>2</v>
      </c>
    </row>
    <row r="9400" spans="1:18" ht="36">
      <c r="A9400" s="219">
        <v>2063</v>
      </c>
      <c r="B9400" s="216" t="s">
        <v>17307</v>
      </c>
      <c r="C9400" s="220" t="s">
        <v>17308</v>
      </c>
      <c r="D9400" s="221">
        <v>21641.78</v>
      </c>
      <c r="E9400" s="221">
        <v>15511.5</v>
      </c>
      <c r="F9400" s="221">
        <v>4670.74</v>
      </c>
      <c r="G9400" s="221">
        <v>1459.54</v>
      </c>
      <c r="H9400" s="222">
        <v>213406.83</v>
      </c>
      <c r="I9400" s="222">
        <v>178389</v>
      </c>
      <c r="J9400" s="222">
        <v>25281.8</v>
      </c>
      <c r="K9400" s="222">
        <v>9736.0300000000007</v>
      </c>
      <c r="L9400" s="43">
        <v>9.8608723496865789</v>
      </c>
      <c r="M9400" s="43">
        <v>11.500435161009573</v>
      </c>
      <c r="N9400" s="43">
        <v>5.4128039668232439</v>
      </c>
      <c r="O9400" s="43">
        <v>6.670615399372406</v>
      </c>
      <c r="P9400" s="223"/>
      <c r="Q9400" s="223"/>
      <c r="R9400" s="223">
        <v>2</v>
      </c>
    </row>
    <row r="9401" spans="1:18" ht="36">
      <c r="A9401" s="219">
        <v>2064</v>
      </c>
      <c r="B9401" s="216" t="s">
        <v>17309</v>
      </c>
      <c r="C9401" s="220" t="s">
        <v>17310</v>
      </c>
      <c r="D9401" s="221">
        <v>31038.35</v>
      </c>
      <c r="E9401" s="221">
        <v>21945.9</v>
      </c>
      <c r="F9401" s="221">
        <v>6505.8</v>
      </c>
      <c r="G9401" s="221">
        <v>2586.65</v>
      </c>
      <c r="H9401" s="222">
        <v>304476.74</v>
      </c>
      <c r="I9401" s="222">
        <v>252387.4</v>
      </c>
      <c r="J9401" s="222">
        <v>35253.83</v>
      </c>
      <c r="K9401" s="222">
        <v>16835.509999999998</v>
      </c>
      <c r="L9401" s="43">
        <v>9.8096947808114798</v>
      </c>
      <c r="M9401" s="43">
        <v>11.500435161009573</v>
      </c>
      <c r="N9401" s="43">
        <v>5.4188308893602635</v>
      </c>
      <c r="O9401" s="43">
        <v>6.508615390563083</v>
      </c>
      <c r="P9401" s="223"/>
      <c r="Q9401" s="223"/>
      <c r="R9401" s="223">
        <v>2</v>
      </c>
    </row>
    <row r="9402" spans="1:18" ht="36">
      <c r="A9402" s="219">
        <v>2065</v>
      </c>
      <c r="B9402" s="216" t="s">
        <v>17311</v>
      </c>
      <c r="C9402" s="220" t="s">
        <v>17312</v>
      </c>
      <c r="D9402" s="221">
        <v>43518.37</v>
      </c>
      <c r="E9402" s="221">
        <v>30908.1</v>
      </c>
      <c r="F9402" s="221">
        <v>8216.7099999999991</v>
      </c>
      <c r="G9402" s="221">
        <v>4393.5600000000004</v>
      </c>
      <c r="H9402" s="222">
        <v>427955.28</v>
      </c>
      <c r="I9402" s="222">
        <v>355456.6</v>
      </c>
      <c r="J9402" s="222">
        <v>44743.18</v>
      </c>
      <c r="K9402" s="222">
        <v>27755.5</v>
      </c>
      <c r="L9402" s="43">
        <v>9.8338995693083167</v>
      </c>
      <c r="M9402" s="43">
        <v>11.500435161009573</v>
      </c>
      <c r="N9402" s="43">
        <v>5.4453887261446496</v>
      </c>
      <c r="O9402" s="43">
        <v>6.3173144329427613</v>
      </c>
      <c r="P9402" s="223"/>
      <c r="Q9402" s="223"/>
      <c r="R9402" s="223">
        <v>2</v>
      </c>
    </row>
    <row r="9403" spans="1:18" ht="36">
      <c r="A9403" s="219">
        <v>2066</v>
      </c>
      <c r="B9403" s="216" t="s">
        <v>17313</v>
      </c>
      <c r="C9403" s="220" t="s">
        <v>17314</v>
      </c>
      <c r="D9403" s="221">
        <v>62413.65</v>
      </c>
      <c r="E9403" s="221">
        <v>38836.199999999997</v>
      </c>
      <c r="F9403" s="221">
        <v>17177.09</v>
      </c>
      <c r="G9403" s="221">
        <v>6400.36</v>
      </c>
      <c r="H9403" s="222">
        <v>580176.92000000004</v>
      </c>
      <c r="I9403" s="222">
        <v>446633.2</v>
      </c>
      <c r="J9403" s="222">
        <v>93859.6</v>
      </c>
      <c r="K9403" s="222">
        <v>39684.120000000003</v>
      </c>
      <c r="L9403" s="43">
        <v>9.2956736226770911</v>
      </c>
      <c r="M9403" s="43">
        <v>11.500435161009575</v>
      </c>
      <c r="N9403" s="43">
        <v>5.46423171794524</v>
      </c>
      <c r="O9403" s="43">
        <v>6.2002949834071837</v>
      </c>
      <c r="P9403" s="223"/>
      <c r="Q9403" s="223"/>
      <c r="R9403" s="223">
        <v>2</v>
      </c>
    </row>
    <row r="9404" spans="1:18" ht="36">
      <c r="A9404" s="219">
        <v>2067</v>
      </c>
      <c r="B9404" s="216" t="s">
        <v>17315</v>
      </c>
      <c r="C9404" s="220" t="s">
        <v>17316</v>
      </c>
      <c r="D9404" s="221">
        <v>88315.67</v>
      </c>
      <c r="E9404" s="221">
        <v>51360.3</v>
      </c>
      <c r="F9404" s="221">
        <v>28818.86</v>
      </c>
      <c r="G9404" s="221">
        <v>8136.51</v>
      </c>
      <c r="H9404" s="222">
        <v>798569.26</v>
      </c>
      <c r="I9404" s="222">
        <v>590665.80000000005</v>
      </c>
      <c r="J9404" s="222">
        <v>157196.22</v>
      </c>
      <c r="K9404" s="222">
        <v>50707.24</v>
      </c>
      <c r="L9404" s="43">
        <v>9.0422148187292244</v>
      </c>
      <c r="M9404" s="43">
        <v>11.500435161009573</v>
      </c>
      <c r="N9404" s="43">
        <v>5.4546300582326985</v>
      </c>
      <c r="O9404" s="43">
        <v>6.2320626411077962</v>
      </c>
      <c r="P9404" s="223"/>
      <c r="Q9404" s="223"/>
      <c r="R9404" s="223">
        <v>2</v>
      </c>
    </row>
    <row r="9405" spans="1:18" ht="12.75" customHeight="1">
      <c r="A9405" s="628" t="s">
        <v>17317</v>
      </c>
      <c r="B9405" s="629"/>
      <c r="C9405" s="629"/>
      <c r="D9405" s="629"/>
      <c r="E9405" s="629"/>
      <c r="F9405" s="629"/>
      <c r="G9405" s="629"/>
      <c r="H9405" s="629"/>
      <c r="I9405" s="629"/>
      <c r="J9405" s="629"/>
      <c r="K9405" s="629"/>
      <c r="L9405" s="629"/>
      <c r="M9405" s="629"/>
      <c r="N9405" s="629"/>
      <c r="O9405" s="629"/>
      <c r="P9405" s="629"/>
      <c r="Q9405" s="629"/>
      <c r="R9405" s="629"/>
    </row>
    <row r="9406" spans="1:18" ht="36">
      <c r="A9406" s="219">
        <v>2068</v>
      </c>
      <c r="B9406" s="216" t="s">
        <v>17318</v>
      </c>
      <c r="C9406" s="220" t="s">
        <v>17319</v>
      </c>
      <c r="D9406" s="221">
        <v>47806.85</v>
      </c>
      <c r="E9406" s="221">
        <v>32286.9</v>
      </c>
      <c r="F9406" s="221">
        <v>11098.81</v>
      </c>
      <c r="G9406" s="221">
        <v>4421.1400000000003</v>
      </c>
      <c r="H9406" s="222">
        <v>458893.93</v>
      </c>
      <c r="I9406" s="222">
        <v>371313.4</v>
      </c>
      <c r="J9406" s="222">
        <v>59507.86</v>
      </c>
      <c r="K9406" s="222">
        <v>28072.67</v>
      </c>
      <c r="L9406" s="43">
        <v>9.5989158457417716</v>
      </c>
      <c r="M9406" s="43">
        <v>11.500435161009573</v>
      </c>
      <c r="N9406" s="43">
        <v>5.361643275270052</v>
      </c>
      <c r="O9406" s="43">
        <v>6.3496451141560764</v>
      </c>
      <c r="P9406" s="223"/>
      <c r="Q9406" s="223"/>
      <c r="R9406" s="223">
        <v>3</v>
      </c>
    </row>
    <row r="9407" spans="1:18" ht="36">
      <c r="A9407" s="219">
        <v>2069</v>
      </c>
      <c r="B9407" s="216" t="s">
        <v>17320</v>
      </c>
      <c r="C9407" s="220" t="s">
        <v>17321</v>
      </c>
      <c r="D9407" s="221">
        <v>109467.76</v>
      </c>
      <c r="E9407" s="221">
        <v>59403.3</v>
      </c>
      <c r="F9407" s="221">
        <v>42363.85</v>
      </c>
      <c r="G9407" s="221">
        <v>7700.61</v>
      </c>
      <c r="H9407" s="222">
        <v>961141.52</v>
      </c>
      <c r="I9407" s="222">
        <v>683163.8</v>
      </c>
      <c r="J9407" s="222">
        <v>228759.47</v>
      </c>
      <c r="K9407" s="222">
        <v>49218.25</v>
      </c>
      <c r="L9407" s="43">
        <v>8.7801332556727214</v>
      </c>
      <c r="M9407" s="43">
        <v>11.500435161009573</v>
      </c>
      <c r="N9407" s="43">
        <v>5.3998744212341423</v>
      </c>
      <c r="O9407" s="43">
        <v>6.3914741819154592</v>
      </c>
      <c r="P9407" s="223"/>
      <c r="Q9407" s="223"/>
      <c r="R9407" s="223">
        <v>3</v>
      </c>
    </row>
    <row r="9408" spans="1:18" ht="36">
      <c r="A9408" s="219">
        <v>2070</v>
      </c>
      <c r="B9408" s="216" t="s">
        <v>17322</v>
      </c>
      <c r="C9408" s="220" t="s">
        <v>17323</v>
      </c>
      <c r="D9408" s="221">
        <v>259863.71</v>
      </c>
      <c r="E9408" s="221">
        <v>114900</v>
      </c>
      <c r="F9408" s="221">
        <v>114756.78</v>
      </c>
      <c r="G9408" s="221">
        <v>30206.93</v>
      </c>
      <c r="H9408" s="222">
        <v>2097571.04</v>
      </c>
      <c r="I9408" s="222">
        <v>1321400</v>
      </c>
      <c r="J9408" s="222">
        <v>620043.19999999995</v>
      </c>
      <c r="K9408" s="222">
        <v>156127.84</v>
      </c>
      <c r="L9408" s="43">
        <v>8.0718121048914444</v>
      </c>
      <c r="M9408" s="43">
        <v>11.500435161009573</v>
      </c>
      <c r="N9408" s="43">
        <v>5.4031073371002565</v>
      </c>
      <c r="O9408" s="43">
        <v>5.1686099845300397</v>
      </c>
      <c r="P9408" s="223"/>
      <c r="Q9408" s="223"/>
      <c r="R9408" s="223">
        <v>3</v>
      </c>
    </row>
    <row r="9409" spans="1:18" ht="12.75" customHeight="1">
      <c r="A9409" s="628" t="s">
        <v>17324</v>
      </c>
      <c r="B9409" s="629"/>
      <c r="C9409" s="629"/>
      <c r="D9409" s="629"/>
      <c r="E9409" s="629"/>
      <c r="F9409" s="629"/>
      <c r="G9409" s="629"/>
      <c r="H9409" s="629"/>
      <c r="I9409" s="629"/>
      <c r="J9409" s="629"/>
      <c r="K9409" s="629"/>
      <c r="L9409" s="629"/>
      <c r="M9409" s="629"/>
      <c r="N9409" s="629"/>
      <c r="O9409" s="629"/>
      <c r="P9409" s="629"/>
      <c r="Q9409" s="629"/>
      <c r="R9409" s="629"/>
    </row>
    <row r="9410" spans="1:18" ht="12.75" customHeight="1">
      <c r="A9410" s="628" t="s">
        <v>17325</v>
      </c>
      <c r="B9410" s="629"/>
      <c r="C9410" s="629"/>
      <c r="D9410" s="629"/>
      <c r="E9410" s="629"/>
      <c r="F9410" s="629"/>
      <c r="G9410" s="629"/>
      <c r="H9410" s="629"/>
      <c r="I9410" s="629"/>
      <c r="J9410" s="629"/>
      <c r="K9410" s="629"/>
      <c r="L9410" s="629"/>
      <c r="M9410" s="629"/>
      <c r="N9410" s="629"/>
      <c r="O9410" s="629"/>
      <c r="P9410" s="629"/>
      <c r="Q9410" s="629"/>
      <c r="R9410" s="629"/>
    </row>
    <row r="9411" spans="1:18" ht="24">
      <c r="A9411" s="219">
        <v>2071</v>
      </c>
      <c r="B9411" s="216" t="s">
        <v>17326</v>
      </c>
      <c r="C9411" s="220" t="s">
        <v>17327</v>
      </c>
      <c r="D9411" s="221">
        <v>4960.32</v>
      </c>
      <c r="E9411" s="221">
        <v>3883.62</v>
      </c>
      <c r="F9411" s="221">
        <v>392.66</v>
      </c>
      <c r="G9411" s="221">
        <v>684.04</v>
      </c>
      <c r="H9411" s="222">
        <v>52530.95</v>
      </c>
      <c r="I9411" s="222">
        <v>44663.32</v>
      </c>
      <c r="J9411" s="222">
        <v>2131.81</v>
      </c>
      <c r="K9411" s="222">
        <v>5735.82</v>
      </c>
      <c r="L9411" s="43">
        <v>10.590234097800142</v>
      </c>
      <c r="M9411" s="43">
        <v>11.500435161009573</v>
      </c>
      <c r="N9411" s="43">
        <v>5.4291499006774302</v>
      </c>
      <c r="O9411" s="43">
        <v>8.3852113911467168</v>
      </c>
      <c r="P9411" s="223"/>
      <c r="Q9411" s="223"/>
      <c r="R9411" s="223">
        <v>1</v>
      </c>
    </row>
    <row r="9412" spans="1:18" ht="24">
      <c r="A9412" s="219">
        <v>2072</v>
      </c>
      <c r="B9412" s="216" t="s">
        <v>17328</v>
      </c>
      <c r="C9412" s="220" t="s">
        <v>17329</v>
      </c>
      <c r="D9412" s="221">
        <v>5899.47</v>
      </c>
      <c r="E9412" s="221">
        <v>3883.62</v>
      </c>
      <c r="F9412" s="221">
        <v>810.98</v>
      </c>
      <c r="G9412" s="221">
        <v>1204.8699999999999</v>
      </c>
      <c r="H9412" s="222">
        <v>60008.5</v>
      </c>
      <c r="I9412" s="222">
        <v>44663.32</v>
      </c>
      <c r="J9412" s="222">
        <v>4402.95</v>
      </c>
      <c r="K9412" s="222">
        <v>10942.23</v>
      </c>
      <c r="L9412" s="43">
        <v>10.171845945483238</v>
      </c>
      <c r="M9412" s="43">
        <v>11.500435161009573</v>
      </c>
      <c r="N9412" s="43">
        <v>5.4291721127524717</v>
      </c>
      <c r="O9412" s="43">
        <v>9.0816685617535509</v>
      </c>
      <c r="P9412" s="223"/>
      <c r="Q9412" s="223"/>
      <c r="R9412" s="223">
        <v>1</v>
      </c>
    </row>
    <row r="9413" spans="1:18" ht="24">
      <c r="A9413" s="219">
        <v>2073</v>
      </c>
      <c r="B9413" s="216" t="s">
        <v>17330</v>
      </c>
      <c r="C9413" s="220" t="s">
        <v>17331</v>
      </c>
      <c r="D9413" s="221">
        <v>12493.67</v>
      </c>
      <c r="E9413" s="221">
        <v>7767.24</v>
      </c>
      <c r="F9413" s="221">
        <v>2281.5</v>
      </c>
      <c r="G9413" s="221">
        <v>2444.9299999999998</v>
      </c>
      <c r="H9413" s="222">
        <v>125056.5</v>
      </c>
      <c r="I9413" s="222">
        <v>89326.64</v>
      </c>
      <c r="J9413" s="222">
        <v>12166</v>
      </c>
      <c r="K9413" s="222">
        <v>23563.86</v>
      </c>
      <c r="L9413" s="43">
        <v>10.009588855796576</v>
      </c>
      <c r="M9413" s="43">
        <v>11.500435161009573</v>
      </c>
      <c r="N9413" s="43">
        <v>5.3324567170721018</v>
      </c>
      <c r="O9413" s="43">
        <v>9.6378464823123782</v>
      </c>
      <c r="P9413" s="223"/>
      <c r="Q9413" s="223"/>
      <c r="R9413" s="223">
        <v>1</v>
      </c>
    </row>
    <row r="9414" spans="1:18" ht="24">
      <c r="A9414" s="219">
        <v>2074</v>
      </c>
      <c r="B9414" s="216" t="s">
        <v>17332</v>
      </c>
      <c r="C9414" s="220" t="s">
        <v>17333</v>
      </c>
      <c r="D9414" s="221">
        <v>22880.77</v>
      </c>
      <c r="E9414" s="221">
        <v>11604.9</v>
      </c>
      <c r="F9414" s="221">
        <v>7394.86</v>
      </c>
      <c r="G9414" s="221">
        <v>3881.01</v>
      </c>
      <c r="H9414" s="222">
        <v>209782.37</v>
      </c>
      <c r="I9414" s="222">
        <v>133461.4</v>
      </c>
      <c r="J9414" s="222">
        <v>39927.47</v>
      </c>
      <c r="K9414" s="222">
        <v>36393.5</v>
      </c>
      <c r="L9414" s="43">
        <v>9.1685013222894156</v>
      </c>
      <c r="M9414" s="43">
        <v>11.500435161009573</v>
      </c>
      <c r="N9414" s="43">
        <v>5.3993544164460179</v>
      </c>
      <c r="O9414" s="43">
        <v>9.3773270360035141</v>
      </c>
      <c r="P9414" s="223"/>
      <c r="Q9414" s="223"/>
      <c r="R9414" s="223">
        <v>1</v>
      </c>
    </row>
    <row r="9415" spans="1:18" ht="24">
      <c r="A9415" s="219">
        <v>2075</v>
      </c>
      <c r="B9415" s="216" t="s">
        <v>17334</v>
      </c>
      <c r="C9415" s="220" t="s">
        <v>17335</v>
      </c>
      <c r="D9415" s="221">
        <v>29747.68</v>
      </c>
      <c r="E9415" s="221">
        <v>14132.7</v>
      </c>
      <c r="F9415" s="221">
        <v>13712.31</v>
      </c>
      <c r="G9415" s="221">
        <v>1902.67</v>
      </c>
      <c r="H9415" s="222">
        <v>248982.66</v>
      </c>
      <c r="I9415" s="222">
        <v>162532.20000000001</v>
      </c>
      <c r="J9415" s="222">
        <v>74254.77</v>
      </c>
      <c r="K9415" s="222">
        <v>12195.69</v>
      </c>
      <c r="L9415" s="43">
        <v>8.3698177471318775</v>
      </c>
      <c r="M9415" s="43">
        <v>11.500435161009573</v>
      </c>
      <c r="N9415" s="43">
        <v>5.4151904383725284</v>
      </c>
      <c r="O9415" s="43">
        <v>6.4097767873567149</v>
      </c>
      <c r="P9415" s="223"/>
      <c r="Q9415" s="223"/>
      <c r="R9415" s="223">
        <v>1</v>
      </c>
    </row>
    <row r="9416" spans="1:18" ht="12.75" customHeight="1">
      <c r="A9416" s="628" t="s">
        <v>17336</v>
      </c>
      <c r="B9416" s="629"/>
      <c r="C9416" s="629"/>
      <c r="D9416" s="629"/>
      <c r="E9416" s="629"/>
      <c r="F9416" s="629"/>
      <c r="G9416" s="629"/>
      <c r="H9416" s="629"/>
      <c r="I9416" s="629"/>
      <c r="J9416" s="629"/>
      <c r="K9416" s="629"/>
      <c r="L9416" s="629"/>
      <c r="M9416" s="629"/>
      <c r="N9416" s="629"/>
      <c r="O9416" s="629"/>
      <c r="P9416" s="629"/>
      <c r="Q9416" s="629"/>
      <c r="R9416" s="629"/>
    </row>
    <row r="9417" spans="1:18" ht="24">
      <c r="A9417" s="219">
        <v>2076</v>
      </c>
      <c r="B9417" s="216" t="s">
        <v>17337</v>
      </c>
      <c r="C9417" s="220" t="s">
        <v>17338</v>
      </c>
      <c r="D9417" s="221">
        <v>5468.69</v>
      </c>
      <c r="E9417" s="221">
        <v>2631.21</v>
      </c>
      <c r="F9417" s="221">
        <v>2670.02</v>
      </c>
      <c r="G9417" s="221">
        <v>167.46</v>
      </c>
      <c r="H9417" s="222">
        <v>45960.42</v>
      </c>
      <c r="I9417" s="222">
        <v>30260.06</v>
      </c>
      <c r="J9417" s="222">
        <v>14483.25</v>
      </c>
      <c r="K9417" s="222">
        <v>1217.1099999999999</v>
      </c>
      <c r="L9417" s="43">
        <v>8.4042832927081257</v>
      </c>
      <c r="M9417" s="43">
        <v>11.500435161009573</v>
      </c>
      <c r="N9417" s="43">
        <v>5.424397570055655</v>
      </c>
      <c r="O9417" s="43">
        <v>7.2680640152872318</v>
      </c>
      <c r="P9417" s="223"/>
      <c r="Q9417" s="223"/>
      <c r="R9417" s="223">
        <v>2</v>
      </c>
    </row>
    <row r="9418" spans="1:18" ht="24">
      <c r="A9418" s="219">
        <v>2077</v>
      </c>
      <c r="B9418" s="216" t="s">
        <v>17339</v>
      </c>
      <c r="C9418" s="220" t="s">
        <v>17340</v>
      </c>
      <c r="D9418" s="221">
        <v>5468.69</v>
      </c>
      <c r="E9418" s="221">
        <v>2631.21</v>
      </c>
      <c r="F9418" s="221">
        <v>2670.02</v>
      </c>
      <c r="G9418" s="221">
        <v>167.46</v>
      </c>
      <c r="H9418" s="222">
        <v>45960.42</v>
      </c>
      <c r="I9418" s="222">
        <v>30260.06</v>
      </c>
      <c r="J9418" s="222">
        <v>14483.25</v>
      </c>
      <c r="K9418" s="222">
        <v>1217.1099999999999</v>
      </c>
      <c r="L9418" s="43">
        <v>8.4042832927081257</v>
      </c>
      <c r="M9418" s="43">
        <v>11.500435161009573</v>
      </c>
      <c r="N9418" s="43">
        <v>5.424397570055655</v>
      </c>
      <c r="O9418" s="43">
        <v>7.2680640152872318</v>
      </c>
      <c r="P9418" s="223"/>
      <c r="Q9418" s="223"/>
      <c r="R9418" s="223">
        <v>2</v>
      </c>
    </row>
    <row r="9419" spans="1:18" ht="24">
      <c r="A9419" s="219">
        <v>2078</v>
      </c>
      <c r="B9419" s="216" t="s">
        <v>17341</v>
      </c>
      <c r="C9419" s="220" t="s">
        <v>17342</v>
      </c>
      <c r="D9419" s="221">
        <v>6746.15</v>
      </c>
      <c r="E9419" s="221">
        <v>3883.62</v>
      </c>
      <c r="F9419" s="221">
        <v>2670.02</v>
      </c>
      <c r="G9419" s="221">
        <v>192.51</v>
      </c>
      <c r="H9419" s="222">
        <v>60651.76</v>
      </c>
      <c r="I9419" s="222">
        <v>44663.32</v>
      </c>
      <c r="J9419" s="222">
        <v>14483.25</v>
      </c>
      <c r="K9419" s="222">
        <v>1505.19</v>
      </c>
      <c r="L9419" s="43">
        <v>8.990573882881348</v>
      </c>
      <c r="M9419" s="43">
        <v>11.500435161009573</v>
      </c>
      <c r="N9419" s="43">
        <v>5.424397570055655</v>
      </c>
      <c r="O9419" s="43">
        <v>7.8187626616799131</v>
      </c>
      <c r="P9419" s="223"/>
      <c r="Q9419" s="223"/>
      <c r="R9419" s="223">
        <v>2</v>
      </c>
    </row>
    <row r="9420" spans="1:18" ht="12.75" customHeight="1">
      <c r="A9420" s="628" t="s">
        <v>17343</v>
      </c>
      <c r="B9420" s="629"/>
      <c r="C9420" s="629"/>
      <c r="D9420" s="629"/>
      <c r="E9420" s="629"/>
      <c r="F9420" s="629"/>
      <c r="G9420" s="629"/>
      <c r="H9420" s="629"/>
      <c r="I9420" s="629"/>
      <c r="J9420" s="629"/>
      <c r="K9420" s="629"/>
      <c r="L9420" s="629"/>
      <c r="M9420" s="629"/>
      <c r="N9420" s="629"/>
      <c r="O9420" s="629"/>
      <c r="P9420" s="629"/>
      <c r="Q9420" s="629"/>
      <c r="R9420" s="629"/>
    </row>
    <row r="9421" spans="1:18" ht="24">
      <c r="A9421" s="219">
        <v>2079</v>
      </c>
      <c r="B9421" s="216" t="s">
        <v>17344</v>
      </c>
      <c r="C9421" s="220" t="s">
        <v>17345</v>
      </c>
      <c r="D9421" s="221">
        <v>4727.74</v>
      </c>
      <c r="E9421" s="221">
        <v>3883.62</v>
      </c>
      <c r="F9421" s="221">
        <v>476.88</v>
      </c>
      <c r="G9421" s="221">
        <v>367.24</v>
      </c>
      <c r="H9421" s="222">
        <v>49690.89</v>
      </c>
      <c r="I9421" s="222">
        <v>44663.32</v>
      </c>
      <c r="J9421" s="222">
        <v>2543.2600000000002</v>
      </c>
      <c r="K9421" s="222">
        <v>2484.31</v>
      </c>
      <c r="L9421" s="43">
        <v>10.51049550102163</v>
      </c>
      <c r="M9421" s="43">
        <v>11.500435161009573</v>
      </c>
      <c r="N9421" s="43">
        <v>5.3331236369736628</v>
      </c>
      <c r="O9421" s="43">
        <v>6.7648132011763424</v>
      </c>
      <c r="P9421" s="223"/>
      <c r="Q9421" s="223"/>
      <c r="R9421" s="223">
        <v>3</v>
      </c>
    </row>
    <row r="9422" spans="1:18" ht="24">
      <c r="A9422" s="219">
        <v>2080</v>
      </c>
      <c r="B9422" s="216" t="s">
        <v>17346</v>
      </c>
      <c r="C9422" s="220" t="s">
        <v>17347</v>
      </c>
      <c r="D9422" s="221">
        <v>5287.21</v>
      </c>
      <c r="E9422" s="221">
        <v>3883.62</v>
      </c>
      <c r="F9422" s="221">
        <v>1036.3499999999999</v>
      </c>
      <c r="G9422" s="221">
        <v>367.24</v>
      </c>
      <c r="H9422" s="222">
        <v>52728.37</v>
      </c>
      <c r="I9422" s="222">
        <v>44663.32</v>
      </c>
      <c r="J9422" s="222">
        <v>5580.74</v>
      </c>
      <c r="K9422" s="222">
        <v>2484.31</v>
      </c>
      <c r="L9422" s="43">
        <v>9.9728155303080452</v>
      </c>
      <c r="M9422" s="43">
        <v>11.500435161009573</v>
      </c>
      <c r="N9422" s="43">
        <v>5.3849954166063592</v>
      </c>
      <c r="O9422" s="43">
        <v>6.7648132011763424</v>
      </c>
      <c r="P9422" s="223"/>
      <c r="Q9422" s="223"/>
      <c r="R9422" s="223">
        <v>3</v>
      </c>
    </row>
    <row r="9423" spans="1:18" ht="24">
      <c r="A9423" s="219">
        <v>2081</v>
      </c>
      <c r="B9423" s="216" t="s">
        <v>17348</v>
      </c>
      <c r="C9423" s="220" t="s">
        <v>17349</v>
      </c>
      <c r="D9423" s="221">
        <v>7422.1</v>
      </c>
      <c r="E9423" s="221">
        <v>5136.03</v>
      </c>
      <c r="F9423" s="221">
        <v>1817.96</v>
      </c>
      <c r="G9423" s="221">
        <v>468.11</v>
      </c>
      <c r="H9423" s="222">
        <v>71965.47</v>
      </c>
      <c r="I9423" s="222">
        <v>59066.58</v>
      </c>
      <c r="J9423" s="222">
        <v>9682.9699999999993</v>
      </c>
      <c r="K9423" s="222">
        <v>3215.92</v>
      </c>
      <c r="L9423" s="43">
        <v>9.6961062233060726</v>
      </c>
      <c r="M9423" s="43">
        <v>11.500435161009575</v>
      </c>
      <c r="N9423" s="43">
        <v>5.3262833065634005</v>
      </c>
      <c r="O9423" s="43">
        <v>6.8700091858751149</v>
      </c>
      <c r="P9423" s="223"/>
      <c r="Q9423" s="223"/>
      <c r="R9423" s="223">
        <v>3</v>
      </c>
    </row>
    <row r="9424" spans="1:18" ht="24">
      <c r="A9424" s="219">
        <v>2082</v>
      </c>
      <c r="B9424" s="216" t="s">
        <v>17350</v>
      </c>
      <c r="C9424" s="220" t="s">
        <v>17351</v>
      </c>
      <c r="D9424" s="221">
        <v>10287.76</v>
      </c>
      <c r="E9424" s="221">
        <v>6514.83</v>
      </c>
      <c r="F9424" s="221">
        <v>2952.26</v>
      </c>
      <c r="G9424" s="221">
        <v>820.67</v>
      </c>
      <c r="H9424" s="222">
        <v>96066.9</v>
      </c>
      <c r="I9424" s="222">
        <v>74923.38</v>
      </c>
      <c r="J9424" s="222">
        <v>15846.65</v>
      </c>
      <c r="K9424" s="222">
        <v>5296.87</v>
      </c>
      <c r="L9424" s="43">
        <v>9.3379802794777476</v>
      </c>
      <c r="M9424" s="43">
        <v>11.500435161009575</v>
      </c>
      <c r="N9424" s="43">
        <v>5.3676336095059369</v>
      </c>
      <c r="O9424" s="43">
        <v>6.4543239060767421</v>
      </c>
      <c r="P9424" s="223"/>
      <c r="Q9424" s="223"/>
      <c r="R9424" s="223">
        <v>3</v>
      </c>
    </row>
    <row r="9425" spans="1:18" ht="24">
      <c r="A9425" s="219">
        <v>2083</v>
      </c>
      <c r="B9425" s="216" t="s">
        <v>17352</v>
      </c>
      <c r="C9425" s="220" t="s">
        <v>17353</v>
      </c>
      <c r="D9425" s="221">
        <v>16392.189999999999</v>
      </c>
      <c r="E9425" s="221">
        <v>10272.06</v>
      </c>
      <c r="F9425" s="221">
        <v>4682.17</v>
      </c>
      <c r="G9425" s="221">
        <v>1437.96</v>
      </c>
      <c r="H9425" s="222">
        <v>152544.57</v>
      </c>
      <c r="I9425" s="222">
        <v>118133.16</v>
      </c>
      <c r="J9425" s="222">
        <v>25199.87</v>
      </c>
      <c r="K9425" s="222">
        <v>9211.5400000000009</v>
      </c>
      <c r="L9425" s="43">
        <v>9.3059298360987768</v>
      </c>
      <c r="M9425" s="43">
        <v>11.500435161009575</v>
      </c>
      <c r="N9425" s="43">
        <v>5.3820920641497425</v>
      </c>
      <c r="O9425" s="43">
        <v>6.4059779131547474</v>
      </c>
      <c r="P9425" s="223"/>
      <c r="Q9425" s="223"/>
      <c r="R9425" s="223">
        <v>3</v>
      </c>
    </row>
    <row r="9426" spans="1:18" ht="24">
      <c r="A9426" s="219">
        <v>2084</v>
      </c>
      <c r="B9426" s="216" t="s">
        <v>17354</v>
      </c>
      <c r="C9426" s="220" t="s">
        <v>17355</v>
      </c>
      <c r="D9426" s="221">
        <v>22734.45</v>
      </c>
      <c r="E9426" s="221">
        <v>15511.5</v>
      </c>
      <c r="F9426" s="221">
        <v>5575.51</v>
      </c>
      <c r="G9426" s="221">
        <v>1647.44</v>
      </c>
      <c r="H9426" s="222">
        <v>219520.09</v>
      </c>
      <c r="I9426" s="222">
        <v>178389</v>
      </c>
      <c r="J9426" s="222">
        <v>30080.36</v>
      </c>
      <c r="K9426" s="222">
        <v>11050.73</v>
      </c>
      <c r="L9426" s="43">
        <v>9.6558346474183452</v>
      </c>
      <c r="M9426" s="43">
        <v>11.500435161009573</v>
      </c>
      <c r="N9426" s="43">
        <v>5.3950867274921936</v>
      </c>
      <c r="O9426" s="43">
        <v>6.7078194046520654</v>
      </c>
      <c r="P9426" s="223"/>
      <c r="Q9426" s="223"/>
      <c r="R9426" s="223">
        <v>3</v>
      </c>
    </row>
    <row r="9427" spans="1:18" ht="24">
      <c r="A9427" s="219">
        <v>2085</v>
      </c>
      <c r="B9427" s="216" t="s">
        <v>17356</v>
      </c>
      <c r="C9427" s="220" t="s">
        <v>17357</v>
      </c>
      <c r="D9427" s="221">
        <v>35646.93</v>
      </c>
      <c r="E9427" s="221">
        <v>26312.1</v>
      </c>
      <c r="F9427" s="221">
        <v>6591.15</v>
      </c>
      <c r="G9427" s="221">
        <v>2743.68</v>
      </c>
      <c r="H9427" s="222">
        <v>355641.74</v>
      </c>
      <c r="I9427" s="222">
        <v>302600.59999999998</v>
      </c>
      <c r="J9427" s="222">
        <v>35025.300000000003</v>
      </c>
      <c r="K9427" s="222">
        <v>18015.84</v>
      </c>
      <c r="L9427" s="43">
        <v>9.9767845365645798</v>
      </c>
      <c r="M9427" s="43">
        <v>11.500435161009573</v>
      </c>
      <c r="N9427" s="43">
        <v>5.3139892128080843</v>
      </c>
      <c r="O9427" s="43">
        <v>6.5663051084674606</v>
      </c>
      <c r="P9427" s="223"/>
      <c r="Q9427" s="223"/>
      <c r="R9427" s="223">
        <v>3</v>
      </c>
    </row>
    <row r="9428" spans="1:18" ht="24">
      <c r="A9428" s="219">
        <v>2086</v>
      </c>
      <c r="B9428" s="216" t="s">
        <v>17358</v>
      </c>
      <c r="C9428" s="220" t="s">
        <v>17359</v>
      </c>
      <c r="D9428" s="221">
        <v>55240.44</v>
      </c>
      <c r="E9428" s="221">
        <v>38836.199999999997</v>
      </c>
      <c r="F9428" s="221">
        <v>11822.49</v>
      </c>
      <c r="G9428" s="221">
        <v>4581.75</v>
      </c>
      <c r="H9428" s="222">
        <v>539432.87</v>
      </c>
      <c r="I9428" s="222">
        <v>446633.2</v>
      </c>
      <c r="J9428" s="222">
        <v>63060.61</v>
      </c>
      <c r="K9428" s="222">
        <v>29739.06</v>
      </c>
      <c r="L9428" s="43">
        <v>9.7651805452671994</v>
      </c>
      <c r="M9428" s="43">
        <v>11.500435161009575</v>
      </c>
      <c r="N9428" s="43">
        <v>5.3339533380869852</v>
      </c>
      <c r="O9428" s="43">
        <v>6.4907644458994929</v>
      </c>
      <c r="P9428" s="223"/>
      <c r="Q9428" s="223"/>
      <c r="R9428" s="223">
        <v>3</v>
      </c>
    </row>
    <row r="9429" spans="1:18" ht="24">
      <c r="A9429" s="219">
        <v>2087</v>
      </c>
      <c r="B9429" s="216" t="s">
        <v>17360</v>
      </c>
      <c r="C9429" s="220" t="s">
        <v>17361</v>
      </c>
      <c r="D9429" s="221">
        <v>88131.77</v>
      </c>
      <c r="E9429" s="221">
        <v>57564.9</v>
      </c>
      <c r="F9429" s="221">
        <v>22996.98</v>
      </c>
      <c r="G9429" s="221">
        <v>7569.89</v>
      </c>
      <c r="H9429" s="222">
        <v>833520.82</v>
      </c>
      <c r="I9429" s="222">
        <v>662021.4</v>
      </c>
      <c r="J9429" s="222">
        <v>123361.38</v>
      </c>
      <c r="K9429" s="222">
        <v>48138.04</v>
      </c>
      <c r="L9429" s="43">
        <v>9.4576657203185626</v>
      </c>
      <c r="M9429" s="43">
        <v>11.500435161009573</v>
      </c>
      <c r="N9429" s="43">
        <v>5.3642426092469533</v>
      </c>
      <c r="O9429" s="43">
        <v>6.3591465661984516</v>
      </c>
      <c r="P9429" s="223"/>
      <c r="Q9429" s="223"/>
      <c r="R9429" s="223">
        <v>3</v>
      </c>
    </row>
    <row r="9430" spans="1:18" ht="12.75" customHeight="1">
      <c r="A9430" s="628" t="s">
        <v>17362</v>
      </c>
      <c r="B9430" s="629"/>
      <c r="C9430" s="629"/>
      <c r="D9430" s="629"/>
      <c r="E9430" s="629"/>
      <c r="F9430" s="629"/>
      <c r="G9430" s="629"/>
      <c r="H9430" s="629"/>
      <c r="I9430" s="629"/>
      <c r="J9430" s="629"/>
      <c r="K9430" s="629"/>
      <c r="L9430" s="629"/>
      <c r="M9430" s="629"/>
      <c r="N9430" s="629"/>
      <c r="O9430" s="629"/>
      <c r="P9430" s="629"/>
      <c r="Q9430" s="629"/>
      <c r="R9430" s="629"/>
    </row>
    <row r="9431" spans="1:18" ht="36">
      <c r="A9431" s="219">
        <v>2088</v>
      </c>
      <c r="B9431" s="216" t="s">
        <v>17363</v>
      </c>
      <c r="C9431" s="220" t="s">
        <v>17364</v>
      </c>
      <c r="D9431" s="221">
        <v>11026.95</v>
      </c>
      <c r="E9431" s="221">
        <v>7767.24</v>
      </c>
      <c r="F9431" s="221">
        <v>2813.48</v>
      </c>
      <c r="G9431" s="221">
        <v>446.23</v>
      </c>
      <c r="H9431" s="222">
        <v>107729.41</v>
      </c>
      <c r="I9431" s="222">
        <v>89326.64</v>
      </c>
      <c r="J9431" s="222">
        <v>15046.65</v>
      </c>
      <c r="K9431" s="222">
        <v>3356.12</v>
      </c>
      <c r="L9431" s="43">
        <v>9.7696470918975784</v>
      </c>
      <c r="M9431" s="43">
        <v>11.500435161009573</v>
      </c>
      <c r="N9431" s="43">
        <v>5.3480564994242004</v>
      </c>
      <c r="O9431" s="43">
        <v>7.5210541648925435</v>
      </c>
      <c r="P9431" s="223"/>
      <c r="Q9431" s="223"/>
      <c r="R9431" s="223">
        <v>4</v>
      </c>
    </row>
    <row r="9432" spans="1:18" ht="36">
      <c r="A9432" s="219">
        <v>2089</v>
      </c>
      <c r="B9432" s="216" t="s">
        <v>17365</v>
      </c>
      <c r="C9432" s="220" t="s">
        <v>17366</v>
      </c>
      <c r="D9432" s="221">
        <v>11700.64</v>
      </c>
      <c r="E9432" s="221">
        <v>7767.24</v>
      </c>
      <c r="F9432" s="221">
        <v>3239.9</v>
      </c>
      <c r="G9432" s="221">
        <v>693.5</v>
      </c>
      <c r="H9432" s="222">
        <v>111379.36</v>
      </c>
      <c r="I9432" s="222">
        <v>89326.64</v>
      </c>
      <c r="J9432" s="222">
        <v>17360.68</v>
      </c>
      <c r="K9432" s="222">
        <v>4692.04</v>
      </c>
      <c r="L9432" s="43">
        <v>9.5190827168428402</v>
      </c>
      <c r="M9432" s="43">
        <v>11.500435161009573</v>
      </c>
      <c r="N9432" s="43">
        <v>5.3583999506157598</v>
      </c>
      <c r="O9432" s="43">
        <v>6.7657390050468633</v>
      </c>
      <c r="P9432" s="223"/>
      <c r="Q9432" s="223"/>
      <c r="R9432" s="223">
        <v>4</v>
      </c>
    </row>
    <row r="9433" spans="1:18" ht="36">
      <c r="A9433" s="219">
        <v>2090</v>
      </c>
      <c r="B9433" s="216" t="s">
        <v>17367</v>
      </c>
      <c r="C9433" s="220" t="s">
        <v>17368</v>
      </c>
      <c r="D9433" s="221">
        <v>21015.4</v>
      </c>
      <c r="E9433" s="221">
        <v>11604.9</v>
      </c>
      <c r="F9433" s="221">
        <v>8204.75</v>
      </c>
      <c r="G9433" s="221">
        <v>1205.75</v>
      </c>
      <c r="H9433" s="222">
        <v>185586.91</v>
      </c>
      <c r="I9433" s="222">
        <v>133461.4</v>
      </c>
      <c r="J9433" s="222">
        <v>44198.89</v>
      </c>
      <c r="K9433" s="222">
        <v>7926.62</v>
      </c>
      <c r="L9433" s="43">
        <v>8.8309958411450644</v>
      </c>
      <c r="M9433" s="43">
        <v>11.500435161009573</v>
      </c>
      <c r="N9433" s="43">
        <v>5.3869880252292877</v>
      </c>
      <c r="O9433" s="43">
        <v>6.5740161725067381</v>
      </c>
      <c r="P9433" s="223"/>
      <c r="Q9433" s="223"/>
      <c r="R9433" s="223">
        <v>4</v>
      </c>
    </row>
    <row r="9434" spans="1:18" ht="36">
      <c r="A9434" s="219">
        <v>2091</v>
      </c>
      <c r="B9434" s="216" t="s">
        <v>17369</v>
      </c>
      <c r="C9434" s="220" t="s">
        <v>17370</v>
      </c>
      <c r="D9434" s="221">
        <v>29846.74</v>
      </c>
      <c r="E9434" s="221">
        <v>16775.400000000001</v>
      </c>
      <c r="F9434" s="221">
        <v>11401.34</v>
      </c>
      <c r="G9434" s="221">
        <v>1670</v>
      </c>
      <c r="H9434" s="222">
        <v>265272.69</v>
      </c>
      <c r="I9434" s="222">
        <v>192924.4</v>
      </c>
      <c r="J9434" s="222">
        <v>61289.54</v>
      </c>
      <c r="K9434" s="222">
        <v>11058.75</v>
      </c>
      <c r="L9434" s="43">
        <v>8.8878279503892212</v>
      </c>
      <c r="M9434" s="43">
        <v>11.500435161009571</v>
      </c>
      <c r="N9434" s="43">
        <v>5.3756435647037977</v>
      </c>
      <c r="O9434" s="43">
        <v>6.6220059880239521</v>
      </c>
      <c r="P9434" s="223"/>
      <c r="Q9434" s="223"/>
      <c r="R9434" s="223">
        <v>4</v>
      </c>
    </row>
    <row r="9435" spans="1:18" ht="36">
      <c r="A9435" s="219">
        <v>2092</v>
      </c>
      <c r="B9435" s="216" t="s">
        <v>17371</v>
      </c>
      <c r="C9435" s="220" t="s">
        <v>17372</v>
      </c>
      <c r="D9435" s="221">
        <v>37546.480000000003</v>
      </c>
      <c r="E9435" s="221">
        <v>19418.099999999999</v>
      </c>
      <c r="F9435" s="221">
        <v>16125.94</v>
      </c>
      <c r="G9435" s="221">
        <v>2002.44</v>
      </c>
      <c r="H9435" s="222">
        <v>323429.8</v>
      </c>
      <c r="I9435" s="222">
        <v>223316.6</v>
      </c>
      <c r="J9435" s="222">
        <v>86936.76</v>
      </c>
      <c r="K9435" s="222">
        <v>13176.44</v>
      </c>
      <c r="L9435" s="43">
        <v>8.6141177548467915</v>
      </c>
      <c r="M9435" s="43">
        <v>11.500435161009575</v>
      </c>
      <c r="N9435" s="43">
        <v>5.391112704127635</v>
      </c>
      <c r="O9435" s="43">
        <v>6.5801921655580191</v>
      </c>
      <c r="P9435" s="223"/>
      <c r="Q9435" s="223"/>
      <c r="R9435" s="223">
        <v>4</v>
      </c>
    </row>
    <row r="9436" spans="1:18" ht="36">
      <c r="A9436" s="219">
        <v>2093</v>
      </c>
      <c r="B9436" s="216" t="s">
        <v>17373</v>
      </c>
      <c r="C9436" s="220" t="s">
        <v>17374</v>
      </c>
      <c r="D9436" s="221">
        <v>85072.65</v>
      </c>
      <c r="E9436" s="221">
        <v>37457.4</v>
      </c>
      <c r="F9436" s="221">
        <v>30807.26</v>
      </c>
      <c r="G9436" s="221">
        <v>16807.990000000002</v>
      </c>
      <c r="H9436" s="222">
        <v>669986.91</v>
      </c>
      <c r="I9436" s="222">
        <v>430776.4</v>
      </c>
      <c r="J9436" s="222">
        <v>165586.43</v>
      </c>
      <c r="K9436" s="222">
        <v>73624.08</v>
      </c>
      <c r="L9436" s="43">
        <v>7.8754677325791551</v>
      </c>
      <c r="M9436" s="43">
        <v>11.500435161009573</v>
      </c>
      <c r="N9436" s="43">
        <v>5.3749158477579639</v>
      </c>
      <c r="O9436" s="43">
        <v>4.3803024632927547</v>
      </c>
      <c r="P9436" s="223"/>
      <c r="Q9436" s="223"/>
      <c r="R9436" s="223">
        <v>4</v>
      </c>
    </row>
    <row r="9437" spans="1:18" ht="36">
      <c r="A9437" s="219">
        <v>2094</v>
      </c>
      <c r="B9437" s="216" t="s">
        <v>17375</v>
      </c>
      <c r="C9437" s="220" t="s">
        <v>17376</v>
      </c>
      <c r="D9437" s="221">
        <v>98336.93</v>
      </c>
      <c r="E9437" s="221">
        <v>43891.8</v>
      </c>
      <c r="F9437" s="221">
        <v>36199.58</v>
      </c>
      <c r="G9437" s="221">
        <v>18245.55</v>
      </c>
      <c r="H9437" s="222">
        <v>781810.21</v>
      </c>
      <c r="I9437" s="222">
        <v>504774.8</v>
      </c>
      <c r="J9437" s="222">
        <v>194880.86</v>
      </c>
      <c r="K9437" s="222">
        <v>82154.55</v>
      </c>
      <c r="L9437" s="43">
        <v>7.9503215119691051</v>
      </c>
      <c r="M9437" s="43">
        <v>11.500435161009573</v>
      </c>
      <c r="N9437" s="43">
        <v>5.3835116319029108</v>
      </c>
      <c r="O9437" s="43">
        <v>4.5027171008821334</v>
      </c>
      <c r="P9437" s="223"/>
      <c r="Q9437" s="223"/>
      <c r="R9437" s="223">
        <v>4</v>
      </c>
    </row>
    <row r="9438" spans="1:18" ht="36">
      <c r="A9438" s="219">
        <v>2095</v>
      </c>
      <c r="B9438" s="216" t="s">
        <v>17377</v>
      </c>
      <c r="C9438" s="220" t="s">
        <v>17378</v>
      </c>
      <c r="D9438" s="221">
        <v>114577.39</v>
      </c>
      <c r="E9438" s="221">
        <v>50326.2</v>
      </c>
      <c r="F9438" s="221">
        <v>44143.99</v>
      </c>
      <c r="G9438" s="221">
        <v>20107.2</v>
      </c>
      <c r="H9438" s="222">
        <v>908774.78</v>
      </c>
      <c r="I9438" s="222">
        <v>578773.19999999995</v>
      </c>
      <c r="J9438" s="222">
        <v>237065.55</v>
      </c>
      <c r="K9438" s="222">
        <v>92936.03</v>
      </c>
      <c r="L9438" s="43">
        <v>7.9315367543282322</v>
      </c>
      <c r="M9438" s="43">
        <v>11.500435161009573</v>
      </c>
      <c r="N9438" s="43">
        <v>5.3702791705054302</v>
      </c>
      <c r="O9438" s="43">
        <v>4.6220274329593378</v>
      </c>
      <c r="P9438" s="223"/>
      <c r="Q9438" s="223"/>
      <c r="R9438" s="223">
        <v>4</v>
      </c>
    </row>
    <row r="9439" spans="1:18" ht="36">
      <c r="A9439" s="224">
        <v>2096</v>
      </c>
      <c r="B9439" s="225" t="s">
        <v>17379</v>
      </c>
      <c r="C9439" s="226" t="s">
        <v>17380</v>
      </c>
      <c r="D9439" s="227">
        <v>177964.57</v>
      </c>
      <c r="E9439" s="227">
        <v>94218</v>
      </c>
      <c r="F9439" s="227">
        <v>58570.27</v>
      </c>
      <c r="G9439" s="227">
        <v>25176.3</v>
      </c>
      <c r="H9439" s="228">
        <v>1522924.64</v>
      </c>
      <c r="I9439" s="228">
        <v>1083548</v>
      </c>
      <c r="J9439" s="228">
        <v>313699.15999999997</v>
      </c>
      <c r="K9439" s="228">
        <v>125677.48</v>
      </c>
      <c r="L9439" s="611">
        <v>8.5574597235843051</v>
      </c>
      <c r="M9439" s="611">
        <v>11.500435161009573</v>
      </c>
      <c r="N9439" s="611">
        <v>5.3559452602830753</v>
      </c>
      <c r="O9439" s="611">
        <v>4.9918963469612292</v>
      </c>
      <c r="P9439" s="229"/>
      <c r="Q9439" s="229"/>
      <c r="R9439" s="229">
        <v>4</v>
      </c>
    </row>
    <row r="9440" spans="1:18" ht="12.75" customHeight="1">
      <c r="A9440" s="630" t="s">
        <v>17381</v>
      </c>
      <c r="B9440" s="631"/>
      <c r="C9440" s="631"/>
      <c r="D9440" s="631"/>
      <c r="E9440" s="631"/>
      <c r="F9440" s="631"/>
      <c r="G9440" s="631"/>
      <c r="H9440" s="631"/>
      <c r="I9440" s="631"/>
      <c r="J9440" s="631"/>
      <c r="K9440" s="631"/>
      <c r="L9440" s="631"/>
      <c r="M9440" s="631"/>
      <c r="N9440" s="631"/>
      <c r="O9440" s="631"/>
      <c r="P9440" s="631"/>
      <c r="Q9440" s="631"/>
      <c r="R9440" s="631"/>
    </row>
    <row r="9441" spans="1:18" ht="12.75" customHeight="1">
      <c r="A9441" s="628" t="s">
        <v>17382</v>
      </c>
      <c r="B9441" s="629"/>
      <c r="C9441" s="629"/>
      <c r="D9441" s="629"/>
      <c r="E9441" s="629"/>
      <c r="F9441" s="629"/>
      <c r="G9441" s="629"/>
      <c r="H9441" s="629"/>
      <c r="I9441" s="629"/>
      <c r="J9441" s="629"/>
      <c r="K9441" s="629"/>
      <c r="L9441" s="629"/>
      <c r="M9441" s="629"/>
      <c r="N9441" s="629"/>
      <c r="O9441" s="629"/>
      <c r="P9441" s="629"/>
      <c r="Q9441" s="629"/>
      <c r="R9441" s="629"/>
    </row>
    <row r="9442" spans="1:18" ht="24">
      <c r="A9442" s="219">
        <v>2097</v>
      </c>
      <c r="B9442" s="216" t="s">
        <v>17383</v>
      </c>
      <c r="C9442" s="220" t="s">
        <v>17384</v>
      </c>
      <c r="D9442" s="221">
        <v>168.04</v>
      </c>
      <c r="E9442" s="221">
        <v>98.96</v>
      </c>
      <c r="F9442" s="221">
        <v>46.18</v>
      </c>
      <c r="G9442" s="221">
        <v>22.9</v>
      </c>
      <c r="H9442" s="222">
        <v>1583.47</v>
      </c>
      <c r="I9442" s="222">
        <v>1138.08</v>
      </c>
      <c r="J9442" s="222">
        <v>273.10000000000002</v>
      </c>
      <c r="K9442" s="222">
        <v>172.29</v>
      </c>
      <c r="L9442" s="43">
        <v>9.4231730540347538</v>
      </c>
      <c r="M9442" s="43">
        <v>11.500404203718674</v>
      </c>
      <c r="N9442" s="43">
        <v>5.9138155045474239</v>
      </c>
      <c r="O9442" s="43">
        <v>7.5235807860262014</v>
      </c>
      <c r="P9442" s="223"/>
      <c r="Q9442" s="223"/>
      <c r="R9442" s="223">
        <v>1</v>
      </c>
    </row>
    <row r="9443" spans="1:18" ht="24">
      <c r="A9443" s="219">
        <v>2098</v>
      </c>
      <c r="B9443" s="216" t="s">
        <v>17385</v>
      </c>
      <c r="C9443" s="220" t="s">
        <v>17386</v>
      </c>
      <c r="D9443" s="221">
        <v>275.77999999999997</v>
      </c>
      <c r="E9443" s="221">
        <v>185.55</v>
      </c>
      <c r="F9443" s="221">
        <v>58.64</v>
      </c>
      <c r="G9443" s="221">
        <v>31.59</v>
      </c>
      <c r="H9443" s="222">
        <v>2743.42</v>
      </c>
      <c r="I9443" s="222">
        <v>2133.9</v>
      </c>
      <c r="J9443" s="222">
        <v>342.28</v>
      </c>
      <c r="K9443" s="222">
        <v>267.24</v>
      </c>
      <c r="L9443" s="43">
        <v>9.9478569874537683</v>
      </c>
      <c r="M9443" s="43">
        <v>11.500404203718674</v>
      </c>
      <c r="N9443" s="43">
        <v>5.8369713506139149</v>
      </c>
      <c r="O9443" s="43">
        <v>8.4596391263057935</v>
      </c>
      <c r="P9443" s="223"/>
      <c r="Q9443" s="223"/>
      <c r="R9443" s="223">
        <v>1</v>
      </c>
    </row>
    <row r="9444" spans="1:18" ht="24">
      <c r="A9444" s="219">
        <v>2099</v>
      </c>
      <c r="B9444" s="216" t="s">
        <v>17387</v>
      </c>
      <c r="C9444" s="220" t="s">
        <v>17388</v>
      </c>
      <c r="D9444" s="221">
        <v>384.06</v>
      </c>
      <c r="E9444" s="221">
        <v>247.4</v>
      </c>
      <c r="F9444" s="221">
        <v>68.94</v>
      </c>
      <c r="G9444" s="221">
        <v>67.72</v>
      </c>
      <c r="H9444" s="222">
        <v>3748.93</v>
      </c>
      <c r="I9444" s="222">
        <v>2845.2</v>
      </c>
      <c r="J9444" s="222">
        <v>398.23</v>
      </c>
      <c r="K9444" s="222">
        <v>505.5</v>
      </c>
      <c r="L9444" s="43">
        <v>9.7613133364578442</v>
      </c>
      <c r="M9444" s="43">
        <v>11.500404203718674</v>
      </c>
      <c r="N9444" s="43">
        <v>5.7764722947490572</v>
      </c>
      <c r="O9444" s="43">
        <v>7.4645599527466038</v>
      </c>
      <c r="P9444" s="223"/>
      <c r="Q9444" s="223"/>
      <c r="R9444" s="223">
        <v>1</v>
      </c>
    </row>
    <row r="9445" spans="1:18" ht="12.75" customHeight="1">
      <c r="A9445" s="628" t="s">
        <v>17389</v>
      </c>
      <c r="B9445" s="629"/>
      <c r="C9445" s="629"/>
      <c r="D9445" s="629"/>
      <c r="E9445" s="629"/>
      <c r="F9445" s="629"/>
      <c r="G9445" s="629"/>
      <c r="H9445" s="629"/>
      <c r="I9445" s="629"/>
      <c r="J9445" s="629"/>
      <c r="K9445" s="629"/>
      <c r="L9445" s="629"/>
      <c r="M9445" s="629"/>
      <c r="N9445" s="629"/>
      <c r="O9445" s="629"/>
      <c r="P9445" s="629"/>
      <c r="Q9445" s="629"/>
      <c r="R9445" s="629"/>
    </row>
    <row r="9446" spans="1:18" ht="24">
      <c r="A9446" s="219">
        <v>2100</v>
      </c>
      <c r="B9446" s="216" t="s">
        <v>17390</v>
      </c>
      <c r="C9446" s="220" t="s">
        <v>17391</v>
      </c>
      <c r="D9446" s="221">
        <v>332.76</v>
      </c>
      <c r="E9446" s="221">
        <v>222.66</v>
      </c>
      <c r="F9446" s="221">
        <v>63.8</v>
      </c>
      <c r="G9446" s="221">
        <v>46.3</v>
      </c>
      <c r="H9446" s="222">
        <v>3279.78</v>
      </c>
      <c r="I9446" s="222">
        <v>2560.6799999999998</v>
      </c>
      <c r="J9446" s="222">
        <v>368.87</v>
      </c>
      <c r="K9446" s="222">
        <v>350.23</v>
      </c>
      <c r="L9446" s="43">
        <v>9.8562928236566911</v>
      </c>
      <c r="M9446" s="43">
        <v>11.500404203718674</v>
      </c>
      <c r="N9446" s="43">
        <v>5.7816614420062695</v>
      </c>
      <c r="O9446" s="43">
        <v>7.5643628509719232</v>
      </c>
      <c r="P9446" s="223"/>
      <c r="Q9446" s="223"/>
      <c r="R9446" s="223">
        <v>2</v>
      </c>
    </row>
    <row r="9447" spans="1:18" ht="24">
      <c r="A9447" s="219">
        <v>2101</v>
      </c>
      <c r="B9447" s="216" t="s">
        <v>17392</v>
      </c>
      <c r="C9447" s="220" t="s">
        <v>17393</v>
      </c>
      <c r="D9447" s="221">
        <v>533.55999999999995</v>
      </c>
      <c r="E9447" s="221">
        <v>358.73</v>
      </c>
      <c r="F9447" s="221">
        <v>83.97</v>
      </c>
      <c r="G9447" s="221">
        <v>90.86</v>
      </c>
      <c r="H9447" s="222">
        <v>5286.75</v>
      </c>
      <c r="I9447" s="222">
        <v>4125.54</v>
      </c>
      <c r="J9447" s="222">
        <v>480.66</v>
      </c>
      <c r="K9447" s="222">
        <v>680.55</v>
      </c>
      <c r="L9447" s="43">
        <v>9.908445160806659</v>
      </c>
      <c r="M9447" s="43">
        <v>11.500404203718674</v>
      </c>
      <c r="N9447" s="43">
        <v>5.7241872097177566</v>
      </c>
      <c r="O9447" s="43">
        <v>7.4900946511116002</v>
      </c>
      <c r="P9447" s="223"/>
      <c r="Q9447" s="223"/>
      <c r="R9447" s="223">
        <v>2</v>
      </c>
    </row>
    <row r="9448" spans="1:18" ht="12.75" customHeight="1">
      <c r="A9448" s="628" t="s">
        <v>17394</v>
      </c>
      <c r="B9448" s="629"/>
      <c r="C9448" s="629"/>
      <c r="D9448" s="629"/>
      <c r="E9448" s="629"/>
      <c r="F9448" s="629"/>
      <c r="G9448" s="629"/>
      <c r="H9448" s="629"/>
      <c r="I9448" s="629"/>
      <c r="J9448" s="629"/>
      <c r="K9448" s="629"/>
      <c r="L9448" s="629"/>
      <c r="M9448" s="629"/>
      <c r="N9448" s="629"/>
      <c r="O9448" s="629"/>
      <c r="P9448" s="629"/>
      <c r="Q9448" s="629"/>
      <c r="R9448" s="629"/>
    </row>
    <row r="9449" spans="1:18" ht="24">
      <c r="A9449" s="219">
        <v>2102</v>
      </c>
      <c r="B9449" s="216" t="s">
        <v>17395</v>
      </c>
      <c r="C9449" s="220" t="s">
        <v>17396</v>
      </c>
      <c r="D9449" s="221">
        <v>1744.35</v>
      </c>
      <c r="E9449" s="221">
        <v>438.8</v>
      </c>
      <c r="F9449" s="221">
        <v>1296.77</v>
      </c>
      <c r="G9449" s="221">
        <v>8.7799999999999994</v>
      </c>
      <c r="H9449" s="222">
        <v>13023.18</v>
      </c>
      <c r="I9449" s="222">
        <v>5046.3999999999996</v>
      </c>
      <c r="J9449" s="222">
        <v>7875.81</v>
      </c>
      <c r="K9449" s="222">
        <v>100.97</v>
      </c>
      <c r="L9449" s="43">
        <v>7.4659214033880819</v>
      </c>
      <c r="M9449" s="43">
        <v>11.500455788514129</v>
      </c>
      <c r="N9449" s="43">
        <v>6.0734054612614425</v>
      </c>
      <c r="O9449" s="43">
        <v>11.5</v>
      </c>
      <c r="P9449" s="223"/>
      <c r="Q9449" s="223"/>
      <c r="R9449" s="223">
        <v>3</v>
      </c>
    </row>
    <row r="9450" spans="1:18" ht="24">
      <c r="A9450" s="219">
        <v>2103</v>
      </c>
      <c r="B9450" s="216" t="s">
        <v>17397</v>
      </c>
      <c r="C9450" s="220" t="s">
        <v>17398</v>
      </c>
      <c r="D9450" s="221">
        <v>684.43</v>
      </c>
      <c r="E9450" s="221">
        <v>307.16000000000003</v>
      </c>
      <c r="F9450" s="221">
        <v>371.13</v>
      </c>
      <c r="G9450" s="221">
        <v>6.14</v>
      </c>
      <c r="H9450" s="222">
        <v>5850.99</v>
      </c>
      <c r="I9450" s="222">
        <v>3532.48</v>
      </c>
      <c r="J9450" s="222">
        <v>2247.9</v>
      </c>
      <c r="K9450" s="222">
        <v>70.61</v>
      </c>
      <c r="L9450" s="43">
        <v>8.548704761626464</v>
      </c>
      <c r="M9450" s="43">
        <v>11.500455788514129</v>
      </c>
      <c r="N9450" s="43">
        <v>6.0569072831622348</v>
      </c>
      <c r="O9450" s="43">
        <v>11.5</v>
      </c>
      <c r="P9450" s="223"/>
      <c r="Q9450" s="223"/>
      <c r="R9450" s="223">
        <v>3</v>
      </c>
    </row>
    <row r="9451" spans="1:18" ht="24">
      <c r="A9451" s="219">
        <v>2104</v>
      </c>
      <c r="B9451" s="216" t="s">
        <v>17399</v>
      </c>
      <c r="C9451" s="220" t="s">
        <v>17400</v>
      </c>
      <c r="D9451" s="221">
        <v>599.04999999999995</v>
      </c>
      <c r="E9451" s="221">
        <v>296.19</v>
      </c>
      <c r="F9451" s="221">
        <v>296.94</v>
      </c>
      <c r="G9451" s="221">
        <v>5.92</v>
      </c>
      <c r="H9451" s="222">
        <v>5271.17</v>
      </c>
      <c r="I9451" s="222">
        <v>3406.32</v>
      </c>
      <c r="J9451" s="222">
        <v>1796.77</v>
      </c>
      <c r="K9451" s="222">
        <v>68.08</v>
      </c>
      <c r="L9451" s="43">
        <v>8.7992154244220018</v>
      </c>
      <c r="M9451" s="43">
        <v>11.500455788514131</v>
      </c>
      <c r="N9451" s="43">
        <v>6.0509530544891224</v>
      </c>
      <c r="O9451" s="43">
        <v>11.5</v>
      </c>
      <c r="P9451" s="223"/>
      <c r="Q9451" s="223"/>
      <c r="R9451" s="223">
        <v>3</v>
      </c>
    </row>
    <row r="9452" spans="1:18" ht="24">
      <c r="A9452" s="224">
        <v>2105</v>
      </c>
      <c r="B9452" s="225" t="s">
        <v>17401</v>
      </c>
      <c r="C9452" s="226" t="s">
        <v>17402</v>
      </c>
      <c r="D9452" s="227">
        <v>1043.6600000000001</v>
      </c>
      <c r="E9452" s="227">
        <v>296.19</v>
      </c>
      <c r="F9452" s="227">
        <v>741.55</v>
      </c>
      <c r="G9452" s="227">
        <v>5.92</v>
      </c>
      <c r="H9452" s="228">
        <v>7981.61</v>
      </c>
      <c r="I9452" s="228">
        <v>3406.32</v>
      </c>
      <c r="J9452" s="228">
        <v>4507.21</v>
      </c>
      <c r="K9452" s="228">
        <v>68.08</v>
      </c>
      <c r="L9452" s="611">
        <v>7.647710940344556</v>
      </c>
      <c r="M9452" s="611">
        <v>11.500455788514131</v>
      </c>
      <c r="N9452" s="611">
        <v>6.0780931831973577</v>
      </c>
      <c r="O9452" s="611">
        <v>11.5</v>
      </c>
      <c r="P9452" s="229"/>
      <c r="Q9452" s="229"/>
      <c r="R9452" s="229">
        <v>3</v>
      </c>
    </row>
    <row r="9453" spans="1:18" ht="12.75" customHeight="1">
      <c r="A9453" s="630" t="s">
        <v>17403</v>
      </c>
      <c r="B9453" s="631"/>
      <c r="C9453" s="631"/>
      <c r="D9453" s="631"/>
      <c r="E9453" s="631"/>
      <c r="F9453" s="631"/>
      <c r="G9453" s="631"/>
      <c r="H9453" s="631"/>
      <c r="I9453" s="631"/>
      <c r="J9453" s="631"/>
      <c r="K9453" s="631"/>
      <c r="L9453" s="631"/>
      <c r="M9453" s="631"/>
      <c r="N9453" s="631"/>
      <c r="O9453" s="631"/>
      <c r="P9453" s="631"/>
      <c r="Q9453" s="631"/>
      <c r="R9453" s="631"/>
    </row>
    <row r="9454" spans="1:18" ht="12.75" customHeight="1">
      <c r="A9454" s="628" t="s">
        <v>17404</v>
      </c>
      <c r="B9454" s="629"/>
      <c r="C9454" s="629"/>
      <c r="D9454" s="629"/>
      <c r="E9454" s="629"/>
      <c r="F9454" s="629"/>
      <c r="G9454" s="629"/>
      <c r="H9454" s="629"/>
      <c r="I9454" s="629"/>
      <c r="J9454" s="629"/>
      <c r="K9454" s="629"/>
      <c r="L9454" s="629"/>
      <c r="M9454" s="629"/>
      <c r="N9454" s="629"/>
      <c r="O9454" s="629"/>
      <c r="P9454" s="629"/>
      <c r="Q9454" s="629"/>
      <c r="R9454" s="629"/>
    </row>
    <row r="9455" spans="1:18" ht="24">
      <c r="A9455" s="219">
        <v>2106</v>
      </c>
      <c r="B9455" s="216" t="s">
        <v>17405</v>
      </c>
      <c r="C9455" s="220" t="s">
        <v>17406</v>
      </c>
      <c r="D9455" s="221">
        <v>212.04</v>
      </c>
      <c r="E9455" s="221">
        <v>108.35</v>
      </c>
      <c r="F9455" s="221">
        <v>90.52</v>
      </c>
      <c r="G9455" s="221">
        <v>13.17</v>
      </c>
      <c r="H9455" s="222">
        <v>1844.33</v>
      </c>
      <c r="I9455" s="222">
        <v>1246.08</v>
      </c>
      <c r="J9455" s="222">
        <v>512.80999999999995</v>
      </c>
      <c r="K9455" s="222">
        <v>85.44</v>
      </c>
      <c r="L9455" s="43">
        <v>8.6980286738351253</v>
      </c>
      <c r="M9455" s="43">
        <v>11.500507614213198</v>
      </c>
      <c r="N9455" s="43">
        <v>5.665156871409633</v>
      </c>
      <c r="O9455" s="43">
        <v>6.4874715261958995</v>
      </c>
      <c r="P9455" s="223"/>
      <c r="Q9455" s="223"/>
      <c r="R9455" s="223">
        <v>1</v>
      </c>
    </row>
    <row r="9456" spans="1:18" ht="24">
      <c r="A9456" s="219">
        <v>2107</v>
      </c>
      <c r="B9456" s="216" t="s">
        <v>17407</v>
      </c>
      <c r="C9456" s="220" t="s">
        <v>17408</v>
      </c>
      <c r="D9456" s="221">
        <v>260.23</v>
      </c>
      <c r="E9456" s="221">
        <v>134.43</v>
      </c>
      <c r="F9456" s="221">
        <v>107.15</v>
      </c>
      <c r="G9456" s="221">
        <v>18.649999999999999</v>
      </c>
      <c r="H9456" s="222">
        <v>2276.15</v>
      </c>
      <c r="I9456" s="222">
        <v>1546.04</v>
      </c>
      <c r="J9456" s="222">
        <v>610.80999999999995</v>
      </c>
      <c r="K9456" s="222">
        <v>119.3</v>
      </c>
      <c r="L9456" s="43">
        <v>8.7466856242554663</v>
      </c>
      <c r="M9456" s="43">
        <v>11.500706687495351</v>
      </c>
      <c r="N9456" s="43">
        <v>5.7005132991133918</v>
      </c>
      <c r="O9456" s="43">
        <v>6.3967828418230566</v>
      </c>
      <c r="P9456" s="223"/>
      <c r="Q9456" s="223"/>
      <c r="R9456" s="223">
        <v>1</v>
      </c>
    </row>
    <row r="9457" spans="1:18" ht="24">
      <c r="A9457" s="219">
        <v>2108</v>
      </c>
      <c r="B9457" s="216" t="s">
        <v>17409</v>
      </c>
      <c r="C9457" s="220" t="s">
        <v>17410</v>
      </c>
      <c r="D9457" s="221">
        <v>280.39</v>
      </c>
      <c r="E9457" s="221">
        <v>134.43</v>
      </c>
      <c r="F9457" s="221">
        <v>123.46</v>
      </c>
      <c r="G9457" s="221">
        <v>22.5</v>
      </c>
      <c r="H9457" s="222">
        <v>2384.2199999999998</v>
      </c>
      <c r="I9457" s="222">
        <v>1546.04</v>
      </c>
      <c r="J9457" s="222">
        <v>697.07</v>
      </c>
      <c r="K9457" s="222">
        <v>141.11000000000001</v>
      </c>
      <c r="L9457" s="43">
        <v>8.5032276472056783</v>
      </c>
      <c r="M9457" s="43">
        <v>11.500706687495351</v>
      </c>
      <c r="N9457" s="43">
        <v>5.646120200874778</v>
      </c>
      <c r="O9457" s="43">
        <v>6.2715555555555564</v>
      </c>
      <c r="P9457" s="223"/>
      <c r="Q9457" s="223"/>
      <c r="R9457" s="223">
        <v>1</v>
      </c>
    </row>
    <row r="9458" spans="1:18" ht="24">
      <c r="A9458" s="219">
        <v>2109</v>
      </c>
      <c r="B9458" s="216" t="s">
        <v>17411</v>
      </c>
      <c r="C9458" s="220" t="s">
        <v>17412</v>
      </c>
      <c r="D9458" s="221">
        <v>303.83</v>
      </c>
      <c r="E9458" s="221">
        <v>134.43</v>
      </c>
      <c r="F9458" s="221">
        <v>141.86000000000001</v>
      </c>
      <c r="G9458" s="221">
        <v>27.54</v>
      </c>
      <c r="H9458" s="222">
        <v>2506.59</v>
      </c>
      <c r="I9458" s="222">
        <v>1546.04</v>
      </c>
      <c r="J9458" s="222">
        <v>792.74</v>
      </c>
      <c r="K9458" s="222">
        <v>167.81</v>
      </c>
      <c r="L9458" s="43">
        <v>8.2499753151433382</v>
      </c>
      <c r="M9458" s="43">
        <v>11.500706687495351</v>
      </c>
      <c r="N9458" s="43">
        <v>5.5881855350345404</v>
      </c>
      <c r="O9458" s="43">
        <v>6.0933188090050834</v>
      </c>
      <c r="P9458" s="223"/>
      <c r="Q9458" s="223"/>
      <c r="R9458" s="223">
        <v>1</v>
      </c>
    </row>
    <row r="9459" spans="1:18" ht="24">
      <c r="A9459" s="219">
        <v>2110</v>
      </c>
      <c r="B9459" s="216" t="s">
        <v>17413</v>
      </c>
      <c r="C9459" s="220" t="s">
        <v>17414</v>
      </c>
      <c r="D9459" s="221">
        <v>315.95999999999998</v>
      </c>
      <c r="E9459" s="221">
        <v>135.58000000000001</v>
      </c>
      <c r="F9459" s="221">
        <v>151.28</v>
      </c>
      <c r="G9459" s="221">
        <v>29.1</v>
      </c>
      <c r="H9459" s="222">
        <v>2578.85</v>
      </c>
      <c r="I9459" s="222">
        <v>1559.25</v>
      </c>
      <c r="J9459" s="222">
        <v>842.84</v>
      </c>
      <c r="K9459" s="222">
        <v>176.76</v>
      </c>
      <c r="L9459" s="43">
        <v>8.1619508798582103</v>
      </c>
      <c r="M9459" s="43">
        <v>11.500590057530609</v>
      </c>
      <c r="N9459" s="43">
        <v>5.5713907985193023</v>
      </c>
      <c r="O9459" s="43">
        <v>6.0742268041237111</v>
      </c>
      <c r="P9459" s="223"/>
      <c r="Q9459" s="223"/>
      <c r="R9459" s="223">
        <v>1</v>
      </c>
    </row>
    <row r="9460" spans="1:18" ht="24">
      <c r="A9460" s="219">
        <v>2111</v>
      </c>
      <c r="B9460" s="216" t="s">
        <v>17415</v>
      </c>
      <c r="C9460" s="220" t="s">
        <v>17416</v>
      </c>
      <c r="D9460" s="221">
        <v>510.34</v>
      </c>
      <c r="E9460" s="221">
        <v>274.61</v>
      </c>
      <c r="F9460" s="221">
        <v>194.13</v>
      </c>
      <c r="G9460" s="221">
        <v>41.6</v>
      </c>
      <c r="H9460" s="222">
        <v>4488.26</v>
      </c>
      <c r="I9460" s="222">
        <v>3158.15</v>
      </c>
      <c r="J9460" s="222">
        <v>1068.57</v>
      </c>
      <c r="K9460" s="222">
        <v>261.54000000000002</v>
      </c>
      <c r="L9460" s="43">
        <v>8.7946467061174918</v>
      </c>
      <c r="M9460" s="43">
        <v>11.500491606277993</v>
      </c>
      <c r="N9460" s="43">
        <v>5.5044042651831244</v>
      </c>
      <c r="O9460" s="43">
        <v>6.2870192307692312</v>
      </c>
      <c r="P9460" s="223"/>
      <c r="Q9460" s="223"/>
      <c r="R9460" s="223">
        <v>1</v>
      </c>
    </row>
    <row r="9461" spans="1:18" ht="24">
      <c r="A9461" s="219">
        <v>2112</v>
      </c>
      <c r="B9461" s="216" t="s">
        <v>17417</v>
      </c>
      <c r="C9461" s="220" t="s">
        <v>17418</v>
      </c>
      <c r="D9461" s="221">
        <v>554.79999999999995</v>
      </c>
      <c r="E9461" s="221">
        <v>267.72000000000003</v>
      </c>
      <c r="F9461" s="221">
        <v>242.54</v>
      </c>
      <c r="G9461" s="221">
        <v>44.54</v>
      </c>
      <c r="H9461" s="222">
        <v>4683.91</v>
      </c>
      <c r="I9461" s="222">
        <v>3078.86</v>
      </c>
      <c r="J9461" s="222">
        <v>1327.68</v>
      </c>
      <c r="K9461" s="222">
        <v>277.37</v>
      </c>
      <c r="L9461" s="43">
        <v>8.4425198269646717</v>
      </c>
      <c r="M9461" s="43">
        <v>11.500298819662333</v>
      </c>
      <c r="N9461" s="43">
        <v>5.4740661334212914</v>
      </c>
      <c r="O9461" s="43">
        <v>6.2274360125729684</v>
      </c>
      <c r="P9461" s="223"/>
      <c r="Q9461" s="223"/>
      <c r="R9461" s="223">
        <v>1</v>
      </c>
    </row>
    <row r="9462" spans="1:18" ht="12.75" customHeight="1">
      <c r="A9462" s="628" t="s">
        <v>17419</v>
      </c>
      <c r="B9462" s="629"/>
      <c r="C9462" s="629"/>
      <c r="D9462" s="629"/>
      <c r="E9462" s="629"/>
      <c r="F9462" s="629"/>
      <c r="G9462" s="629"/>
      <c r="H9462" s="629"/>
      <c r="I9462" s="629"/>
      <c r="J9462" s="629"/>
      <c r="K9462" s="629"/>
      <c r="L9462" s="629"/>
      <c r="M9462" s="629"/>
      <c r="N9462" s="629"/>
      <c r="O9462" s="629"/>
      <c r="P9462" s="629"/>
      <c r="Q9462" s="629"/>
      <c r="R9462" s="629"/>
    </row>
    <row r="9463" spans="1:18" ht="24">
      <c r="A9463" s="219">
        <v>2113</v>
      </c>
      <c r="B9463" s="216" t="s">
        <v>17420</v>
      </c>
      <c r="C9463" s="220" t="s">
        <v>17421</v>
      </c>
      <c r="D9463" s="221">
        <v>72.66</v>
      </c>
      <c r="E9463" s="221">
        <v>71.239999999999995</v>
      </c>
      <c r="F9463" s="221"/>
      <c r="G9463" s="221">
        <v>1.42</v>
      </c>
      <c r="H9463" s="222">
        <v>835.6</v>
      </c>
      <c r="I9463" s="222">
        <v>819.27</v>
      </c>
      <c r="J9463" s="222"/>
      <c r="K9463" s="222">
        <v>16.329999999999998</v>
      </c>
      <c r="L9463" s="43">
        <v>11.500137627305259</v>
      </c>
      <c r="M9463" s="43">
        <v>11.500140370578327</v>
      </c>
      <c r="N9463" s="43" t="s">
        <v>1690</v>
      </c>
      <c r="O9463" s="43">
        <v>11.5</v>
      </c>
      <c r="P9463" s="223"/>
      <c r="Q9463" s="223"/>
      <c r="R9463" s="223">
        <v>2</v>
      </c>
    </row>
    <row r="9464" spans="1:18" ht="24">
      <c r="A9464" s="219">
        <v>2114</v>
      </c>
      <c r="B9464" s="216" t="s">
        <v>17422</v>
      </c>
      <c r="C9464" s="220" t="s">
        <v>17423</v>
      </c>
      <c r="D9464" s="221">
        <v>72.66</v>
      </c>
      <c r="E9464" s="221">
        <v>71.239999999999995</v>
      </c>
      <c r="F9464" s="221"/>
      <c r="G9464" s="221">
        <v>1.42</v>
      </c>
      <c r="H9464" s="222">
        <v>835.6</v>
      </c>
      <c r="I9464" s="222">
        <v>819.27</v>
      </c>
      <c r="J9464" s="222"/>
      <c r="K9464" s="222">
        <v>16.329999999999998</v>
      </c>
      <c r="L9464" s="43">
        <v>11.500137627305259</v>
      </c>
      <c r="M9464" s="43">
        <v>11.500140370578327</v>
      </c>
      <c r="N9464" s="43" t="s">
        <v>1690</v>
      </c>
      <c r="O9464" s="43">
        <v>11.5</v>
      </c>
      <c r="P9464" s="223"/>
      <c r="Q9464" s="223"/>
      <c r="R9464" s="223">
        <v>2</v>
      </c>
    </row>
    <row r="9465" spans="1:18" ht="24">
      <c r="A9465" s="219">
        <v>2115</v>
      </c>
      <c r="B9465" s="216" t="s">
        <v>17424</v>
      </c>
      <c r="C9465" s="220" t="s">
        <v>17425</v>
      </c>
      <c r="D9465" s="221">
        <v>72.66</v>
      </c>
      <c r="E9465" s="221">
        <v>71.239999999999995</v>
      </c>
      <c r="F9465" s="221"/>
      <c r="G9465" s="221">
        <v>1.42</v>
      </c>
      <c r="H9465" s="222">
        <v>835.6</v>
      </c>
      <c r="I9465" s="222">
        <v>819.27</v>
      </c>
      <c r="J9465" s="222"/>
      <c r="K9465" s="222">
        <v>16.329999999999998</v>
      </c>
      <c r="L9465" s="43">
        <v>11.500137627305259</v>
      </c>
      <c r="M9465" s="43">
        <v>11.500140370578327</v>
      </c>
      <c r="N9465" s="43" t="s">
        <v>1690</v>
      </c>
      <c r="O9465" s="43">
        <v>11.5</v>
      </c>
      <c r="P9465" s="223"/>
      <c r="Q9465" s="223"/>
      <c r="R9465" s="223">
        <v>2</v>
      </c>
    </row>
    <row r="9466" spans="1:18" ht="24">
      <c r="A9466" s="219">
        <v>2116</v>
      </c>
      <c r="B9466" s="216" t="s">
        <v>17426</v>
      </c>
      <c r="C9466" s="220" t="s">
        <v>17427</v>
      </c>
      <c r="D9466" s="221">
        <v>12.07</v>
      </c>
      <c r="E9466" s="221">
        <v>11.83</v>
      </c>
      <c r="F9466" s="221"/>
      <c r="G9466" s="221">
        <v>0.24</v>
      </c>
      <c r="H9466" s="222">
        <v>138.86000000000001</v>
      </c>
      <c r="I9466" s="222">
        <v>136.1</v>
      </c>
      <c r="J9466" s="222"/>
      <c r="K9466" s="222">
        <v>2.76</v>
      </c>
      <c r="L9466" s="43">
        <v>11.504556752278377</v>
      </c>
      <c r="M9466" s="43">
        <v>11.504649196956889</v>
      </c>
      <c r="N9466" s="43" t="s">
        <v>1690</v>
      </c>
      <c r="O9466" s="43">
        <v>11.5</v>
      </c>
      <c r="P9466" s="223"/>
      <c r="Q9466" s="223"/>
      <c r="R9466" s="223">
        <v>2</v>
      </c>
    </row>
    <row r="9467" spans="1:18" ht="24">
      <c r="A9467" s="219">
        <v>2117</v>
      </c>
      <c r="B9467" s="216" t="s">
        <v>17428</v>
      </c>
      <c r="C9467" s="220" t="s">
        <v>17429</v>
      </c>
      <c r="D9467" s="221">
        <v>3.63</v>
      </c>
      <c r="E9467" s="221">
        <v>3.56</v>
      </c>
      <c r="F9467" s="221"/>
      <c r="G9467" s="221">
        <v>7.0000000000000007E-2</v>
      </c>
      <c r="H9467" s="222">
        <v>41.77</v>
      </c>
      <c r="I9467" s="222">
        <v>40.96</v>
      </c>
      <c r="J9467" s="222"/>
      <c r="K9467" s="222">
        <v>0.81</v>
      </c>
      <c r="L9467" s="43">
        <v>11.5021951219512</v>
      </c>
      <c r="M9467" s="43">
        <v>11.5021951219512</v>
      </c>
      <c r="N9467" s="43" t="s">
        <v>1690</v>
      </c>
      <c r="O9467" s="43">
        <v>11.5021951219512</v>
      </c>
      <c r="P9467" s="223"/>
      <c r="Q9467" s="223"/>
      <c r="R9467" s="223">
        <v>2</v>
      </c>
    </row>
    <row r="9468" spans="1:18" ht="12.75" customHeight="1">
      <c r="A9468" s="628" t="s">
        <v>17430</v>
      </c>
      <c r="B9468" s="629"/>
      <c r="C9468" s="629"/>
      <c r="D9468" s="629"/>
      <c r="E9468" s="629"/>
      <c r="F9468" s="629"/>
      <c r="G9468" s="629"/>
      <c r="H9468" s="629"/>
      <c r="I9468" s="629"/>
      <c r="J9468" s="629"/>
      <c r="K9468" s="629"/>
      <c r="L9468" s="629"/>
      <c r="M9468" s="629"/>
      <c r="N9468" s="629"/>
      <c r="O9468" s="629"/>
      <c r="P9468" s="629"/>
      <c r="Q9468" s="629"/>
      <c r="R9468" s="629"/>
    </row>
    <row r="9469" spans="1:18" ht="36">
      <c r="A9469" s="219">
        <v>2118</v>
      </c>
      <c r="B9469" s="216" t="s">
        <v>17431</v>
      </c>
      <c r="C9469" s="220" t="s">
        <v>17432</v>
      </c>
      <c r="D9469" s="221">
        <v>225.11</v>
      </c>
      <c r="E9469" s="221">
        <v>165.46</v>
      </c>
      <c r="F9469" s="221">
        <v>42.98</v>
      </c>
      <c r="G9469" s="221">
        <v>16.670000000000002</v>
      </c>
      <c r="H9469" s="222">
        <v>2252.4299999999998</v>
      </c>
      <c r="I9469" s="222">
        <v>1902.82</v>
      </c>
      <c r="J9469" s="222">
        <v>239.57</v>
      </c>
      <c r="K9469" s="222">
        <v>110.04</v>
      </c>
      <c r="L9469" s="43">
        <v>10.005908222646704</v>
      </c>
      <c r="M9469" s="43">
        <v>11.500181312703976</v>
      </c>
      <c r="N9469" s="43">
        <v>5.5739879013494651</v>
      </c>
      <c r="O9469" s="43">
        <v>6.6010797840431907</v>
      </c>
      <c r="P9469" s="223"/>
      <c r="Q9469" s="223"/>
      <c r="R9469" s="223">
        <v>3</v>
      </c>
    </row>
    <row r="9470" spans="1:18" ht="36">
      <c r="A9470" s="219">
        <v>2119</v>
      </c>
      <c r="B9470" s="216" t="s">
        <v>17433</v>
      </c>
      <c r="C9470" s="220" t="s">
        <v>17434</v>
      </c>
      <c r="D9470" s="221">
        <v>272.57</v>
      </c>
      <c r="E9470" s="221">
        <v>206.82</v>
      </c>
      <c r="F9470" s="221">
        <v>44.83</v>
      </c>
      <c r="G9470" s="221">
        <v>20.92</v>
      </c>
      <c r="H9470" s="222">
        <v>2765.7</v>
      </c>
      <c r="I9470" s="222">
        <v>2378.52</v>
      </c>
      <c r="J9470" s="222">
        <v>249.35</v>
      </c>
      <c r="K9470" s="222">
        <v>137.83000000000001</v>
      </c>
      <c r="L9470" s="43">
        <v>10.146751293245771</v>
      </c>
      <c r="M9470" s="43">
        <v>11.500435161009573</v>
      </c>
      <c r="N9470" s="43">
        <v>5.5621235779611871</v>
      </c>
      <c r="O9470" s="43">
        <v>6.5884321223709366</v>
      </c>
      <c r="P9470" s="223"/>
      <c r="Q9470" s="223"/>
      <c r="R9470" s="223">
        <v>3</v>
      </c>
    </row>
    <row r="9471" spans="1:18" ht="36">
      <c r="A9471" s="219">
        <v>2120</v>
      </c>
      <c r="B9471" s="216" t="s">
        <v>17435</v>
      </c>
      <c r="C9471" s="220" t="s">
        <v>17436</v>
      </c>
      <c r="D9471" s="221">
        <v>318.86</v>
      </c>
      <c r="E9471" s="221">
        <v>247.04</v>
      </c>
      <c r="F9471" s="221">
        <v>46.68</v>
      </c>
      <c r="G9471" s="221">
        <v>25.14</v>
      </c>
      <c r="H9471" s="222">
        <v>3265.44</v>
      </c>
      <c r="I9471" s="222">
        <v>2841.01</v>
      </c>
      <c r="J9471" s="222">
        <v>259.14</v>
      </c>
      <c r="K9471" s="222">
        <v>165.29</v>
      </c>
      <c r="L9471" s="43">
        <v>10.240983503732044</v>
      </c>
      <c r="M9471" s="43">
        <v>11.500202396373059</v>
      </c>
      <c r="N9471" s="43">
        <v>5.551413881748072</v>
      </c>
      <c r="O9471" s="43">
        <v>6.5747812251392199</v>
      </c>
      <c r="P9471" s="223"/>
      <c r="Q9471" s="223"/>
      <c r="R9471" s="223">
        <v>3</v>
      </c>
    </row>
    <row r="9472" spans="1:18" ht="36">
      <c r="A9472" s="224">
        <v>2121</v>
      </c>
      <c r="B9472" s="225" t="s">
        <v>17437</v>
      </c>
      <c r="C9472" s="226" t="s">
        <v>17438</v>
      </c>
      <c r="D9472" s="227">
        <v>380.29</v>
      </c>
      <c r="E9472" s="227">
        <v>302.19</v>
      </c>
      <c r="F9472" s="227">
        <v>48.44</v>
      </c>
      <c r="G9472" s="227">
        <v>29.66</v>
      </c>
      <c r="H9472" s="228">
        <v>3939.93</v>
      </c>
      <c r="I9472" s="228">
        <v>3475.28</v>
      </c>
      <c r="J9472" s="228">
        <v>268.45999999999998</v>
      </c>
      <c r="K9472" s="228">
        <v>196.19</v>
      </c>
      <c r="L9472" s="611">
        <v>10.360330274264376</v>
      </c>
      <c r="M9472" s="611">
        <v>11.500314371752872</v>
      </c>
      <c r="N9472" s="611">
        <v>5.5421139554087526</v>
      </c>
      <c r="O9472" s="611">
        <v>6.6146325016857723</v>
      </c>
      <c r="P9472" s="229"/>
      <c r="Q9472" s="229"/>
      <c r="R9472" s="229">
        <v>3</v>
      </c>
    </row>
    <row r="9473" spans="1:18" ht="12.75" customHeight="1">
      <c r="A9473" s="630" t="s">
        <v>17439</v>
      </c>
      <c r="B9473" s="631"/>
      <c r="C9473" s="631"/>
      <c r="D9473" s="631"/>
      <c r="E9473" s="631"/>
      <c r="F9473" s="631"/>
      <c r="G9473" s="631"/>
      <c r="H9473" s="631"/>
      <c r="I9473" s="631"/>
      <c r="J9473" s="631"/>
      <c r="K9473" s="631"/>
      <c r="L9473" s="631"/>
      <c r="M9473" s="631"/>
      <c r="N9473" s="631"/>
      <c r="O9473" s="631"/>
      <c r="P9473" s="631"/>
      <c r="Q9473" s="631"/>
      <c r="R9473" s="631"/>
    </row>
    <row r="9474" spans="1:18" ht="12.75" customHeight="1">
      <c r="A9474" s="628" t="s">
        <v>17440</v>
      </c>
      <c r="B9474" s="629"/>
      <c r="C9474" s="629"/>
      <c r="D9474" s="629"/>
      <c r="E9474" s="629"/>
      <c r="F9474" s="629"/>
      <c r="G9474" s="629"/>
      <c r="H9474" s="629"/>
      <c r="I9474" s="629"/>
      <c r="J9474" s="629"/>
      <c r="K9474" s="629"/>
      <c r="L9474" s="629"/>
      <c r="M9474" s="629"/>
      <c r="N9474" s="629"/>
      <c r="O9474" s="629"/>
      <c r="P9474" s="629"/>
      <c r="Q9474" s="629"/>
      <c r="R9474" s="629"/>
    </row>
    <row r="9475" spans="1:18" ht="24">
      <c r="A9475" s="219">
        <v>2122</v>
      </c>
      <c r="B9475" s="216" t="s">
        <v>17441</v>
      </c>
      <c r="C9475" s="220" t="s">
        <v>17442</v>
      </c>
      <c r="D9475" s="221">
        <v>13920.88</v>
      </c>
      <c r="E9475" s="221">
        <v>6202.32</v>
      </c>
      <c r="F9475" s="221">
        <v>6174.48</v>
      </c>
      <c r="G9475" s="221">
        <v>1544.08</v>
      </c>
      <c r="H9475" s="222">
        <v>110862.59</v>
      </c>
      <c r="I9475" s="222">
        <v>71326.679999999993</v>
      </c>
      <c r="J9475" s="222">
        <v>31406.5</v>
      </c>
      <c r="K9475" s="222">
        <v>8129.41</v>
      </c>
      <c r="L9475" s="43">
        <v>7.96376306670268</v>
      </c>
      <c r="M9475" s="43">
        <v>11.5</v>
      </c>
      <c r="N9475" s="43">
        <v>5.0865012114380486</v>
      </c>
      <c r="O9475" s="43">
        <v>5.2648891249158076</v>
      </c>
      <c r="P9475" s="223"/>
      <c r="Q9475" s="223"/>
      <c r="R9475" s="223">
        <v>1</v>
      </c>
    </row>
    <row r="9476" spans="1:18" ht="24">
      <c r="A9476" s="219">
        <v>2123</v>
      </c>
      <c r="B9476" s="216" t="s">
        <v>17443</v>
      </c>
      <c r="C9476" s="220" t="s">
        <v>17444</v>
      </c>
      <c r="D9476" s="221">
        <v>13339.79</v>
      </c>
      <c r="E9476" s="221">
        <v>5601.32</v>
      </c>
      <c r="F9476" s="221">
        <v>6235.45</v>
      </c>
      <c r="G9476" s="221">
        <v>1503.02</v>
      </c>
      <c r="H9476" s="222">
        <v>103441.45</v>
      </c>
      <c r="I9476" s="222">
        <v>64415.18</v>
      </c>
      <c r="J9476" s="222">
        <v>31314.22</v>
      </c>
      <c r="K9476" s="222">
        <v>7712.05</v>
      </c>
      <c r="L9476" s="43">
        <v>7.7543537042187314</v>
      </c>
      <c r="M9476" s="43">
        <v>11.5</v>
      </c>
      <c r="N9476" s="43">
        <v>5.0219663376340122</v>
      </c>
      <c r="O9476" s="43">
        <v>5.1310361804899474</v>
      </c>
      <c r="P9476" s="223"/>
      <c r="Q9476" s="223"/>
      <c r="R9476" s="223">
        <v>1</v>
      </c>
    </row>
    <row r="9477" spans="1:18" ht="24">
      <c r="A9477" s="219">
        <v>2124</v>
      </c>
      <c r="B9477" s="216" t="s">
        <v>17445</v>
      </c>
      <c r="C9477" s="220" t="s">
        <v>17446</v>
      </c>
      <c r="D9477" s="221">
        <v>12719.56</v>
      </c>
      <c r="E9477" s="221">
        <v>5168.6000000000004</v>
      </c>
      <c r="F9477" s="221">
        <v>6220.97</v>
      </c>
      <c r="G9477" s="221">
        <v>1329.99</v>
      </c>
      <c r="H9477" s="222">
        <v>96858.22</v>
      </c>
      <c r="I9477" s="222">
        <v>59438.9</v>
      </c>
      <c r="J9477" s="222">
        <v>30802.69</v>
      </c>
      <c r="K9477" s="222">
        <v>6616.63</v>
      </c>
      <c r="L9477" s="43">
        <v>7.6149033457132171</v>
      </c>
      <c r="M9477" s="43">
        <v>11.5</v>
      </c>
      <c r="N9477" s="43">
        <v>4.951428796473861</v>
      </c>
      <c r="O9477" s="43">
        <v>4.9749471800539853</v>
      </c>
      <c r="P9477" s="223"/>
      <c r="Q9477" s="223"/>
      <c r="R9477" s="223">
        <v>1</v>
      </c>
    </row>
    <row r="9478" spans="1:18" ht="12.75" customHeight="1">
      <c r="A9478" s="628" t="s">
        <v>17447</v>
      </c>
      <c r="B9478" s="629"/>
      <c r="C9478" s="629"/>
      <c r="D9478" s="629"/>
      <c r="E9478" s="629"/>
      <c r="F9478" s="629"/>
      <c r="G9478" s="629"/>
      <c r="H9478" s="629"/>
      <c r="I9478" s="629"/>
      <c r="J9478" s="629"/>
      <c r="K9478" s="629"/>
      <c r="L9478" s="629"/>
      <c r="M9478" s="629"/>
      <c r="N9478" s="629"/>
      <c r="O9478" s="629"/>
      <c r="P9478" s="629"/>
      <c r="Q9478" s="629"/>
      <c r="R9478" s="629"/>
    </row>
    <row r="9479" spans="1:18" ht="24">
      <c r="A9479" s="224">
        <v>2125</v>
      </c>
      <c r="B9479" s="225" t="s">
        <v>17448</v>
      </c>
      <c r="C9479" s="226" t="s">
        <v>17449</v>
      </c>
      <c r="D9479" s="227">
        <v>14705.93</v>
      </c>
      <c r="E9479" s="227">
        <v>6102.75</v>
      </c>
      <c r="F9479" s="227">
        <v>7041.94</v>
      </c>
      <c r="G9479" s="227">
        <v>1561.24</v>
      </c>
      <c r="H9479" s="228">
        <v>113653.07</v>
      </c>
      <c r="I9479" s="228">
        <v>70184.2</v>
      </c>
      <c r="J9479" s="228">
        <v>35387.589999999997</v>
      </c>
      <c r="K9479" s="228">
        <v>8081.28</v>
      </c>
      <c r="L9479" s="611">
        <v>7.7283837200367476</v>
      </c>
      <c r="M9479" s="611">
        <v>11.50042194092827</v>
      </c>
      <c r="N9479" s="611">
        <v>5.0252615046421862</v>
      </c>
      <c r="O9479" s="611">
        <v>5.1761932822628163</v>
      </c>
      <c r="P9479" s="229"/>
      <c r="Q9479" s="229"/>
      <c r="R9479" s="229">
        <v>2</v>
      </c>
    </row>
    <row r="9480" spans="1:18" ht="12.75" customHeight="1">
      <c r="A9480" s="630" t="s">
        <v>17450</v>
      </c>
      <c r="B9480" s="631"/>
      <c r="C9480" s="631"/>
      <c r="D9480" s="631"/>
      <c r="E9480" s="631"/>
      <c r="F9480" s="631"/>
      <c r="G9480" s="631"/>
      <c r="H9480" s="631"/>
      <c r="I9480" s="631"/>
      <c r="J9480" s="631"/>
      <c r="K9480" s="631"/>
      <c r="L9480" s="631"/>
      <c r="M9480" s="631"/>
      <c r="N9480" s="631"/>
      <c r="O9480" s="631"/>
      <c r="P9480" s="631"/>
      <c r="Q9480" s="631"/>
      <c r="R9480" s="631"/>
    </row>
    <row r="9481" spans="1:18" ht="12.75" customHeight="1">
      <c r="A9481" s="628" t="s">
        <v>17451</v>
      </c>
      <c r="B9481" s="629"/>
      <c r="C9481" s="629"/>
      <c r="D9481" s="629"/>
      <c r="E9481" s="629"/>
      <c r="F9481" s="629"/>
      <c r="G9481" s="629"/>
      <c r="H9481" s="629"/>
      <c r="I9481" s="629"/>
      <c r="J9481" s="629"/>
      <c r="K9481" s="629"/>
      <c r="L9481" s="629"/>
      <c r="M9481" s="629"/>
      <c r="N9481" s="629"/>
      <c r="O9481" s="629"/>
      <c r="P9481" s="629"/>
      <c r="Q9481" s="629"/>
      <c r="R9481" s="629"/>
    </row>
    <row r="9482" spans="1:18" ht="12.75" customHeight="1">
      <c r="A9482" s="628" t="s">
        <v>17452</v>
      </c>
      <c r="B9482" s="629"/>
      <c r="C9482" s="629"/>
      <c r="D9482" s="629"/>
      <c r="E9482" s="629"/>
      <c r="F9482" s="629"/>
      <c r="G9482" s="629"/>
      <c r="H9482" s="629"/>
      <c r="I9482" s="629"/>
      <c r="J9482" s="629"/>
      <c r="K9482" s="629"/>
      <c r="L9482" s="629"/>
      <c r="M9482" s="629"/>
      <c r="N9482" s="629"/>
      <c r="O9482" s="629"/>
      <c r="P9482" s="629"/>
      <c r="Q9482" s="629"/>
      <c r="R9482" s="629"/>
    </row>
    <row r="9483" spans="1:18" ht="60">
      <c r="A9483" s="219">
        <v>2126</v>
      </c>
      <c r="B9483" s="216" t="s">
        <v>17453</v>
      </c>
      <c r="C9483" s="220" t="s">
        <v>17454</v>
      </c>
      <c r="D9483" s="221">
        <v>915.26</v>
      </c>
      <c r="E9483" s="221">
        <v>553.82000000000005</v>
      </c>
      <c r="F9483" s="221">
        <v>321.10000000000002</v>
      </c>
      <c r="G9483" s="221">
        <v>40.340000000000003</v>
      </c>
      <c r="H9483" s="222">
        <v>8379.52</v>
      </c>
      <c r="I9483" s="222">
        <v>6369.15</v>
      </c>
      <c r="J9483" s="222">
        <v>1690.18</v>
      </c>
      <c r="K9483" s="222">
        <v>320.19</v>
      </c>
      <c r="L9483" s="43">
        <v>9.1553438367239917</v>
      </c>
      <c r="M9483" s="43">
        <v>11.500397240980822</v>
      </c>
      <c r="N9483" s="43">
        <v>5.2637184677670508</v>
      </c>
      <c r="O9483" s="43">
        <v>7.9372830937035195</v>
      </c>
      <c r="P9483" s="223"/>
      <c r="Q9483" s="223"/>
      <c r="R9483" s="223">
        <v>1</v>
      </c>
    </row>
    <row r="9484" spans="1:18" ht="60">
      <c r="A9484" s="219">
        <v>2127</v>
      </c>
      <c r="B9484" s="216" t="s">
        <v>17455</v>
      </c>
      <c r="C9484" s="220" t="s">
        <v>17456</v>
      </c>
      <c r="D9484" s="221">
        <v>995.66</v>
      </c>
      <c r="E9484" s="221">
        <v>595.17999999999995</v>
      </c>
      <c r="F9484" s="221">
        <v>348.28</v>
      </c>
      <c r="G9484" s="221">
        <v>52.2</v>
      </c>
      <c r="H9484" s="222">
        <v>9080.5499999999993</v>
      </c>
      <c r="I9484" s="222">
        <v>6844.85</v>
      </c>
      <c r="J9484" s="222">
        <v>1833.58</v>
      </c>
      <c r="K9484" s="222">
        <v>402.12</v>
      </c>
      <c r="L9484" s="43">
        <v>9.120131370146435</v>
      </c>
      <c r="M9484" s="43">
        <v>11.500470445915523</v>
      </c>
      <c r="N9484" s="43">
        <v>5.264672102905708</v>
      </c>
      <c r="O9484" s="43">
        <v>7.703448275862069</v>
      </c>
      <c r="P9484" s="223"/>
      <c r="Q9484" s="223"/>
      <c r="R9484" s="223">
        <v>1</v>
      </c>
    </row>
    <row r="9485" spans="1:18" ht="60">
      <c r="A9485" s="219">
        <v>2128</v>
      </c>
      <c r="B9485" s="216" t="s">
        <v>17457</v>
      </c>
      <c r="C9485" s="220" t="s">
        <v>17458</v>
      </c>
      <c r="D9485" s="221">
        <v>1005.86</v>
      </c>
      <c r="E9485" s="221">
        <v>595.17999999999995</v>
      </c>
      <c r="F9485" s="221">
        <v>348.13</v>
      </c>
      <c r="G9485" s="221">
        <v>62.55</v>
      </c>
      <c r="H9485" s="222">
        <v>9148.65</v>
      </c>
      <c r="I9485" s="222">
        <v>6844.85</v>
      </c>
      <c r="J9485" s="222">
        <v>1832.79</v>
      </c>
      <c r="K9485" s="222">
        <v>471.01</v>
      </c>
      <c r="L9485" s="43">
        <v>9.095351241723499</v>
      </c>
      <c r="M9485" s="43">
        <v>11.500470445915523</v>
      </c>
      <c r="N9485" s="43">
        <v>5.2646712435009908</v>
      </c>
      <c r="O9485" s="43">
        <v>7.5301358912869709</v>
      </c>
      <c r="P9485" s="223"/>
      <c r="Q9485" s="223"/>
      <c r="R9485" s="223">
        <v>1</v>
      </c>
    </row>
    <row r="9486" spans="1:18" ht="60">
      <c r="A9486" s="219">
        <v>2129</v>
      </c>
      <c r="B9486" s="216" t="s">
        <v>17459</v>
      </c>
      <c r="C9486" s="220" t="s">
        <v>17460</v>
      </c>
      <c r="D9486" s="221">
        <v>1047.28</v>
      </c>
      <c r="E9486" s="221">
        <v>607.82000000000005</v>
      </c>
      <c r="F9486" s="221">
        <v>362.07</v>
      </c>
      <c r="G9486" s="221">
        <v>77.39</v>
      </c>
      <c r="H9486" s="222">
        <v>9465.85</v>
      </c>
      <c r="I9486" s="222">
        <v>6990.21</v>
      </c>
      <c r="J9486" s="222">
        <v>1906.72</v>
      </c>
      <c r="K9486" s="222">
        <v>568.91999999999996</v>
      </c>
      <c r="L9486" s="43">
        <v>9.0385092811855472</v>
      </c>
      <c r="M9486" s="43">
        <v>11.500460662696192</v>
      </c>
      <c r="N9486" s="43">
        <v>5.2661640014361861</v>
      </c>
      <c r="O9486" s="43">
        <v>7.3513373820907084</v>
      </c>
      <c r="P9486" s="223"/>
      <c r="Q9486" s="223"/>
      <c r="R9486" s="223">
        <v>1</v>
      </c>
    </row>
    <row r="9487" spans="1:18" ht="60">
      <c r="A9487" s="219">
        <v>2130</v>
      </c>
      <c r="B9487" s="216" t="s">
        <v>17461</v>
      </c>
      <c r="C9487" s="220" t="s">
        <v>17462</v>
      </c>
      <c r="D9487" s="221">
        <v>1111.81</v>
      </c>
      <c r="E9487" s="221">
        <v>642.29</v>
      </c>
      <c r="F9487" s="221">
        <v>380.96</v>
      </c>
      <c r="G9487" s="221">
        <v>88.56</v>
      </c>
      <c r="H9487" s="222">
        <v>10040.040000000001</v>
      </c>
      <c r="I9487" s="222">
        <v>7386.63</v>
      </c>
      <c r="J9487" s="222">
        <v>2006.75</v>
      </c>
      <c r="K9487" s="222">
        <v>646.66</v>
      </c>
      <c r="L9487" s="43">
        <v>9.0303559061350427</v>
      </c>
      <c r="M9487" s="43">
        <v>11.500459294088341</v>
      </c>
      <c r="N9487" s="43">
        <v>5.2676133977320454</v>
      </c>
      <c r="O9487" s="43">
        <v>7.3019421860885272</v>
      </c>
      <c r="P9487" s="223"/>
      <c r="Q9487" s="223"/>
      <c r="R9487" s="223">
        <v>1</v>
      </c>
    </row>
    <row r="9488" spans="1:18" ht="60">
      <c r="A9488" s="219">
        <v>2131</v>
      </c>
      <c r="B9488" s="216" t="s">
        <v>17463</v>
      </c>
      <c r="C9488" s="220" t="s">
        <v>17464</v>
      </c>
      <c r="D9488" s="221">
        <v>1206.8</v>
      </c>
      <c r="E9488" s="221">
        <v>711.23</v>
      </c>
      <c r="F9488" s="221">
        <v>394.64</v>
      </c>
      <c r="G9488" s="221">
        <v>100.93</v>
      </c>
      <c r="H9488" s="222">
        <v>10995.23</v>
      </c>
      <c r="I9488" s="222">
        <v>8179.47</v>
      </c>
      <c r="J9488" s="222">
        <v>2078.87</v>
      </c>
      <c r="K9488" s="222">
        <v>736.89</v>
      </c>
      <c r="L9488" s="43">
        <v>9.1110623135565127</v>
      </c>
      <c r="M9488" s="43">
        <v>11.500456954852861</v>
      </c>
      <c r="N9488" s="43">
        <v>5.2677630245286844</v>
      </c>
      <c r="O9488" s="43">
        <v>7.3010006935499847</v>
      </c>
      <c r="P9488" s="223"/>
      <c r="Q9488" s="223"/>
      <c r="R9488" s="223">
        <v>1</v>
      </c>
    </row>
    <row r="9489" spans="1:18" ht="60">
      <c r="A9489" s="219">
        <v>2132</v>
      </c>
      <c r="B9489" s="216" t="s">
        <v>17465</v>
      </c>
      <c r="C9489" s="220" t="s">
        <v>17466</v>
      </c>
      <c r="D9489" s="221">
        <v>1220.68</v>
      </c>
      <c r="E9489" s="221">
        <v>751.45</v>
      </c>
      <c r="F9489" s="221">
        <v>371.28</v>
      </c>
      <c r="G9489" s="221">
        <v>97.95</v>
      </c>
      <c r="H9489" s="222">
        <v>11219.11</v>
      </c>
      <c r="I9489" s="222">
        <v>8641.9599999999991</v>
      </c>
      <c r="J9489" s="222">
        <v>2011.3</v>
      </c>
      <c r="K9489" s="222">
        <v>565.85</v>
      </c>
      <c r="L9489" s="43">
        <v>9.1908690238227866</v>
      </c>
      <c r="M9489" s="43">
        <v>11.500379266750945</v>
      </c>
      <c r="N9489" s="43">
        <v>5.4172053436759322</v>
      </c>
      <c r="O9489" s="43">
        <v>5.7769270035732516</v>
      </c>
      <c r="P9489" s="223"/>
      <c r="Q9489" s="223"/>
      <c r="R9489" s="223">
        <v>1</v>
      </c>
    </row>
    <row r="9490" spans="1:18" ht="60">
      <c r="A9490" s="219">
        <v>2133</v>
      </c>
      <c r="B9490" s="216" t="s">
        <v>17467</v>
      </c>
      <c r="C9490" s="220" t="s">
        <v>17468</v>
      </c>
      <c r="D9490" s="221">
        <v>1412.88</v>
      </c>
      <c r="E9490" s="221">
        <v>833.03</v>
      </c>
      <c r="F9490" s="221">
        <v>431.3</v>
      </c>
      <c r="G9490" s="221">
        <v>148.55000000000001</v>
      </c>
      <c r="H9490" s="222">
        <v>12774.11</v>
      </c>
      <c r="I9490" s="222">
        <v>9580.15</v>
      </c>
      <c r="J9490" s="222">
        <v>2337.36</v>
      </c>
      <c r="K9490" s="222">
        <v>856.6</v>
      </c>
      <c r="L9490" s="43">
        <v>9.0411853802162963</v>
      </c>
      <c r="M9490" s="43">
        <v>11.500366133272511</v>
      </c>
      <c r="N9490" s="43">
        <v>5.4193368884766988</v>
      </c>
      <c r="O9490" s="43">
        <v>5.7664086166273982</v>
      </c>
      <c r="P9490" s="223"/>
      <c r="Q9490" s="223"/>
      <c r="R9490" s="223">
        <v>1</v>
      </c>
    </row>
    <row r="9491" spans="1:18" ht="60">
      <c r="A9491" s="219">
        <v>2134</v>
      </c>
      <c r="B9491" s="216" t="s">
        <v>17469</v>
      </c>
      <c r="C9491" s="220" t="s">
        <v>17470</v>
      </c>
      <c r="D9491" s="221">
        <v>1804.81</v>
      </c>
      <c r="E9491" s="221">
        <v>1147.8499999999999</v>
      </c>
      <c r="F9491" s="221">
        <v>461.57</v>
      </c>
      <c r="G9491" s="221">
        <v>195.39</v>
      </c>
      <c r="H9491" s="222">
        <v>16833.54</v>
      </c>
      <c r="I9491" s="222">
        <v>13200.79</v>
      </c>
      <c r="J9491" s="222">
        <v>2504.94</v>
      </c>
      <c r="K9491" s="222">
        <v>1127.81</v>
      </c>
      <c r="L9491" s="43">
        <v>9.3270427358004451</v>
      </c>
      <c r="M9491" s="43">
        <v>11.50044866489524</v>
      </c>
      <c r="N9491" s="43">
        <v>5.4269991550577377</v>
      </c>
      <c r="O9491" s="43">
        <v>5.7720968319770716</v>
      </c>
      <c r="P9491" s="223"/>
      <c r="Q9491" s="223"/>
      <c r="R9491" s="223">
        <v>1</v>
      </c>
    </row>
    <row r="9492" spans="1:18" ht="60">
      <c r="A9492" s="219">
        <v>2135</v>
      </c>
      <c r="B9492" s="216" t="s">
        <v>17471</v>
      </c>
      <c r="C9492" s="220" t="s">
        <v>17472</v>
      </c>
      <c r="D9492" s="221">
        <v>2223.2600000000002</v>
      </c>
      <c r="E9492" s="221">
        <v>1309.8599999999999</v>
      </c>
      <c r="F9492" s="221">
        <v>613.98</v>
      </c>
      <c r="G9492" s="221">
        <v>299.42</v>
      </c>
      <c r="H9492" s="222">
        <v>20044.54</v>
      </c>
      <c r="I9492" s="222">
        <v>15063.96</v>
      </c>
      <c r="J9492" s="222">
        <v>3312.57</v>
      </c>
      <c r="K9492" s="222">
        <v>1668.01</v>
      </c>
      <c r="L9492" s="43">
        <v>9.0158326061729159</v>
      </c>
      <c r="M9492" s="43">
        <v>11.500435161009573</v>
      </c>
      <c r="N9492" s="43">
        <v>5.3952408873253201</v>
      </c>
      <c r="O9492" s="43">
        <v>5.5708035535368374</v>
      </c>
      <c r="P9492" s="223"/>
      <c r="Q9492" s="223"/>
      <c r="R9492" s="223">
        <v>1</v>
      </c>
    </row>
    <row r="9493" spans="1:18" ht="60">
      <c r="A9493" s="219">
        <v>2136</v>
      </c>
      <c r="B9493" s="216" t="s">
        <v>17473</v>
      </c>
      <c r="C9493" s="220" t="s">
        <v>17474</v>
      </c>
      <c r="D9493" s="221">
        <v>2394.48</v>
      </c>
      <c r="E9493" s="221">
        <v>1309.8599999999999</v>
      </c>
      <c r="F9493" s="221">
        <v>707.61</v>
      </c>
      <c r="G9493" s="221">
        <v>377.01</v>
      </c>
      <c r="H9493" s="222">
        <v>20932.72</v>
      </c>
      <c r="I9493" s="222">
        <v>15063.96</v>
      </c>
      <c r="J9493" s="222">
        <v>3825.47</v>
      </c>
      <c r="K9493" s="222">
        <v>2043.29</v>
      </c>
      <c r="L9493" s="43">
        <v>8.742073435568475</v>
      </c>
      <c r="M9493" s="43">
        <v>11.500435161009573</v>
      </c>
      <c r="N9493" s="43">
        <v>5.4061841975099272</v>
      </c>
      <c r="O9493" s="43">
        <v>5.4197236147582295</v>
      </c>
      <c r="P9493" s="223"/>
      <c r="Q9493" s="223"/>
      <c r="R9493" s="223">
        <v>1</v>
      </c>
    </row>
    <row r="9494" spans="1:18" ht="60">
      <c r="A9494" s="219">
        <v>2137</v>
      </c>
      <c r="B9494" s="216" t="s">
        <v>17475</v>
      </c>
      <c r="C9494" s="220" t="s">
        <v>17476</v>
      </c>
      <c r="D9494" s="221">
        <v>2529.91</v>
      </c>
      <c r="E9494" s="221">
        <v>1332.84</v>
      </c>
      <c r="F9494" s="221">
        <v>742.67</v>
      </c>
      <c r="G9494" s="221">
        <v>454.4</v>
      </c>
      <c r="H9494" s="222">
        <v>21708.61</v>
      </c>
      <c r="I9494" s="222">
        <v>15328.24</v>
      </c>
      <c r="J9494" s="222">
        <v>4015.13</v>
      </c>
      <c r="K9494" s="222">
        <v>2365.2399999999998</v>
      </c>
      <c r="L9494" s="43">
        <v>8.5807835061326294</v>
      </c>
      <c r="M9494" s="43">
        <v>11.500435161009575</v>
      </c>
      <c r="N9494" s="43">
        <v>5.406344675293199</v>
      </c>
      <c r="O9494" s="43">
        <v>5.2051936619718306</v>
      </c>
      <c r="P9494" s="223"/>
      <c r="Q9494" s="223"/>
      <c r="R9494" s="223">
        <v>1</v>
      </c>
    </row>
    <row r="9495" spans="1:18" ht="60">
      <c r="A9495" s="219">
        <v>2138</v>
      </c>
      <c r="B9495" s="216" t="s">
        <v>17477</v>
      </c>
      <c r="C9495" s="220" t="s">
        <v>17478</v>
      </c>
      <c r="D9495" s="221">
        <v>3177.95</v>
      </c>
      <c r="E9495" s="221">
        <v>1367.31</v>
      </c>
      <c r="F9495" s="221">
        <v>777.25</v>
      </c>
      <c r="G9495" s="221">
        <v>1033.3900000000001</v>
      </c>
      <c r="H9495" s="222">
        <v>25099.09</v>
      </c>
      <c r="I9495" s="222">
        <v>15724.66</v>
      </c>
      <c r="J9495" s="222">
        <v>4203.8900000000003</v>
      </c>
      <c r="K9495" s="222">
        <v>5170.54</v>
      </c>
      <c r="L9495" s="43">
        <v>7.8978870026274803</v>
      </c>
      <c r="M9495" s="43">
        <v>11.500435161009573</v>
      </c>
      <c r="N9495" s="43">
        <v>5.4086715985847542</v>
      </c>
      <c r="O9495" s="43">
        <v>5.0034740030385425</v>
      </c>
      <c r="P9495" s="223"/>
      <c r="Q9495" s="223"/>
      <c r="R9495" s="223">
        <v>1</v>
      </c>
    </row>
    <row r="9496" spans="1:18" ht="60">
      <c r="A9496" s="219">
        <v>2139</v>
      </c>
      <c r="B9496" s="216" t="s">
        <v>17479</v>
      </c>
      <c r="C9496" s="220" t="s">
        <v>17480</v>
      </c>
      <c r="D9496" s="221">
        <v>3692.25</v>
      </c>
      <c r="E9496" s="221">
        <v>1505.19</v>
      </c>
      <c r="F9496" s="221">
        <v>814.52</v>
      </c>
      <c r="G9496" s="221">
        <v>1372.54</v>
      </c>
      <c r="H9496" s="222">
        <v>28507.33</v>
      </c>
      <c r="I9496" s="222">
        <v>17310.34</v>
      </c>
      <c r="J9496" s="222">
        <v>4416.2700000000004</v>
      </c>
      <c r="K9496" s="222">
        <v>6780.72</v>
      </c>
      <c r="L9496" s="43">
        <v>7.7208558467059385</v>
      </c>
      <c r="M9496" s="43">
        <v>11.500435161009573</v>
      </c>
      <c r="N9496" s="43">
        <v>5.4219294799391058</v>
      </c>
      <c r="O9496" s="43">
        <v>4.9402713217829719</v>
      </c>
      <c r="P9496" s="223"/>
      <c r="Q9496" s="223"/>
      <c r="R9496" s="223">
        <v>1</v>
      </c>
    </row>
    <row r="9497" spans="1:18" ht="60">
      <c r="A9497" s="219">
        <v>2140</v>
      </c>
      <c r="B9497" s="216" t="s">
        <v>17481</v>
      </c>
      <c r="C9497" s="220" t="s">
        <v>17482</v>
      </c>
      <c r="D9497" s="221">
        <v>3960.31</v>
      </c>
      <c r="E9497" s="221">
        <v>1631.58</v>
      </c>
      <c r="F9497" s="221">
        <v>871.61</v>
      </c>
      <c r="G9497" s="221">
        <v>1457.12</v>
      </c>
      <c r="H9497" s="222">
        <v>30743.81</v>
      </c>
      <c r="I9497" s="222">
        <v>18763.88</v>
      </c>
      <c r="J9497" s="222">
        <v>4736.3</v>
      </c>
      <c r="K9497" s="222">
        <v>7243.63</v>
      </c>
      <c r="L9497" s="43">
        <v>7.7629806757551814</v>
      </c>
      <c r="M9497" s="43">
        <v>11.500435161009575</v>
      </c>
      <c r="N9497" s="43">
        <v>5.4339670265370978</v>
      </c>
      <c r="O9497" s="43">
        <v>4.9711966070056004</v>
      </c>
      <c r="P9497" s="223"/>
      <c r="Q9497" s="223"/>
      <c r="R9497" s="223">
        <v>1</v>
      </c>
    </row>
    <row r="9498" spans="1:18" ht="60">
      <c r="A9498" s="219">
        <v>2141</v>
      </c>
      <c r="B9498" s="216" t="s">
        <v>17483</v>
      </c>
      <c r="C9498" s="220" t="s">
        <v>17484</v>
      </c>
      <c r="D9498" s="221">
        <v>4214.59</v>
      </c>
      <c r="E9498" s="221">
        <v>1631.58</v>
      </c>
      <c r="F9498" s="221">
        <v>933.14</v>
      </c>
      <c r="G9498" s="221">
        <v>1649.87</v>
      </c>
      <c r="H9498" s="222">
        <v>32032.06</v>
      </c>
      <c r="I9498" s="222">
        <v>18763.88</v>
      </c>
      <c r="J9498" s="222">
        <v>5088.71</v>
      </c>
      <c r="K9498" s="222">
        <v>8179.47</v>
      </c>
      <c r="L9498" s="43">
        <v>7.600279030700495</v>
      </c>
      <c r="M9498" s="43">
        <v>11.500435161009575</v>
      </c>
      <c r="N9498" s="43">
        <v>5.4533189017725103</v>
      </c>
      <c r="O9498" s="43">
        <v>4.957645147799524</v>
      </c>
      <c r="P9498" s="223"/>
      <c r="Q9498" s="223"/>
      <c r="R9498" s="223">
        <v>1</v>
      </c>
    </row>
    <row r="9499" spans="1:18" ht="60">
      <c r="A9499" s="219">
        <v>2142</v>
      </c>
      <c r="B9499" s="216" t="s">
        <v>17485</v>
      </c>
      <c r="C9499" s="220" t="s">
        <v>17486</v>
      </c>
      <c r="D9499" s="221">
        <v>4721.0200000000004</v>
      </c>
      <c r="E9499" s="221">
        <v>1872.87</v>
      </c>
      <c r="F9499" s="221">
        <v>1068.1500000000001</v>
      </c>
      <c r="G9499" s="221">
        <v>1780</v>
      </c>
      <c r="H9499" s="222">
        <v>36462.269999999997</v>
      </c>
      <c r="I9499" s="222">
        <v>21538.82</v>
      </c>
      <c r="J9499" s="222">
        <v>5826.66</v>
      </c>
      <c r="K9499" s="222">
        <v>9096.7900000000009</v>
      </c>
      <c r="L9499" s="43">
        <v>7.723388166116643</v>
      </c>
      <c r="M9499" s="43">
        <v>11.500435161009573</v>
      </c>
      <c r="N9499" s="43">
        <v>5.454908018536722</v>
      </c>
      <c r="O9499" s="43">
        <v>5.1105561797752816</v>
      </c>
      <c r="P9499" s="223"/>
      <c r="Q9499" s="223"/>
      <c r="R9499" s="223">
        <v>1</v>
      </c>
    </row>
    <row r="9500" spans="1:18" ht="60">
      <c r="A9500" s="219">
        <v>2143</v>
      </c>
      <c r="B9500" s="216" t="s">
        <v>17487</v>
      </c>
      <c r="C9500" s="220" t="s">
        <v>17488</v>
      </c>
      <c r="D9500" s="221">
        <v>5085.32</v>
      </c>
      <c r="E9500" s="221">
        <v>2056.71</v>
      </c>
      <c r="F9500" s="221">
        <v>1029.18</v>
      </c>
      <c r="G9500" s="221">
        <v>1999.43</v>
      </c>
      <c r="H9500" s="222">
        <v>39297.99</v>
      </c>
      <c r="I9500" s="222">
        <v>23653.06</v>
      </c>
      <c r="J9500" s="222">
        <v>5607.89</v>
      </c>
      <c r="K9500" s="222">
        <v>10037.040000000001</v>
      </c>
      <c r="L9500" s="43">
        <v>7.7277319814682262</v>
      </c>
      <c r="M9500" s="43">
        <v>11.500435161009573</v>
      </c>
      <c r="N9500" s="43">
        <v>5.4488913503954608</v>
      </c>
      <c r="O9500" s="43">
        <v>5.0199506859454948</v>
      </c>
      <c r="P9500" s="223"/>
      <c r="Q9500" s="223"/>
      <c r="R9500" s="223">
        <v>1</v>
      </c>
    </row>
    <row r="9501" spans="1:18" ht="60">
      <c r="A9501" s="219">
        <v>2144</v>
      </c>
      <c r="B9501" s="216" t="s">
        <v>17489</v>
      </c>
      <c r="C9501" s="220" t="s">
        <v>17490</v>
      </c>
      <c r="D9501" s="221">
        <v>4549.88</v>
      </c>
      <c r="E9501" s="221">
        <v>2240.5500000000002</v>
      </c>
      <c r="F9501" s="221">
        <v>1019.78</v>
      </c>
      <c r="G9501" s="221">
        <v>1289.55</v>
      </c>
      <c r="H9501" s="222">
        <v>39680.01</v>
      </c>
      <c r="I9501" s="222">
        <v>25767.3</v>
      </c>
      <c r="J9501" s="222">
        <v>5540.14</v>
      </c>
      <c r="K9501" s="222">
        <v>8372.57</v>
      </c>
      <c r="L9501" s="43">
        <v>8.7211113260129931</v>
      </c>
      <c r="M9501" s="43">
        <v>11.500435161009571</v>
      </c>
      <c r="N9501" s="43">
        <v>5.4326815587675776</v>
      </c>
      <c r="O9501" s="43">
        <v>6.49262921174053</v>
      </c>
      <c r="P9501" s="223"/>
      <c r="Q9501" s="223"/>
      <c r="R9501" s="223">
        <v>1</v>
      </c>
    </row>
    <row r="9502" spans="1:18" ht="12.75" customHeight="1">
      <c r="A9502" s="628" t="s">
        <v>17491</v>
      </c>
      <c r="B9502" s="629"/>
      <c r="C9502" s="629"/>
      <c r="D9502" s="629"/>
      <c r="E9502" s="629"/>
      <c r="F9502" s="629"/>
      <c r="G9502" s="629"/>
      <c r="H9502" s="629"/>
      <c r="I9502" s="629"/>
      <c r="J9502" s="629"/>
      <c r="K9502" s="629"/>
      <c r="L9502" s="629"/>
      <c r="M9502" s="629"/>
      <c r="N9502" s="629"/>
      <c r="O9502" s="629"/>
      <c r="P9502" s="629"/>
      <c r="Q9502" s="629"/>
      <c r="R9502" s="629"/>
    </row>
    <row r="9503" spans="1:18" ht="60">
      <c r="A9503" s="219">
        <v>2145</v>
      </c>
      <c r="B9503" s="216" t="s">
        <v>17492</v>
      </c>
      <c r="C9503" s="220" t="s">
        <v>17493</v>
      </c>
      <c r="D9503" s="221">
        <v>1176.43</v>
      </c>
      <c r="E9503" s="221">
        <v>711.23</v>
      </c>
      <c r="F9503" s="221">
        <v>417.1</v>
      </c>
      <c r="G9503" s="221">
        <v>48.1</v>
      </c>
      <c r="H9503" s="222">
        <v>10759.73</v>
      </c>
      <c r="I9503" s="222">
        <v>8179.47</v>
      </c>
      <c r="J9503" s="222">
        <v>2196.6</v>
      </c>
      <c r="K9503" s="222">
        <v>383.66</v>
      </c>
      <c r="L9503" s="43">
        <v>9.1460860399683774</v>
      </c>
      <c r="M9503" s="43">
        <v>11.500456954852861</v>
      </c>
      <c r="N9503" s="43">
        <v>5.266362982498201</v>
      </c>
      <c r="O9503" s="43">
        <v>7.9762993762993766</v>
      </c>
      <c r="P9503" s="223"/>
      <c r="Q9503" s="223"/>
      <c r="R9503" s="223">
        <v>2</v>
      </c>
    </row>
    <row r="9504" spans="1:18" ht="60">
      <c r="A9504" s="219">
        <v>2146</v>
      </c>
      <c r="B9504" s="216" t="s">
        <v>17494</v>
      </c>
      <c r="C9504" s="220" t="s">
        <v>17495</v>
      </c>
      <c r="D9504" s="221">
        <v>1270.01</v>
      </c>
      <c r="E9504" s="221">
        <v>751.45</v>
      </c>
      <c r="F9504" s="221">
        <v>456.51</v>
      </c>
      <c r="G9504" s="221">
        <v>62.05</v>
      </c>
      <c r="H9504" s="222">
        <v>11527.34</v>
      </c>
      <c r="I9504" s="222">
        <v>8641.9599999999991</v>
      </c>
      <c r="J9504" s="222">
        <v>2402.58</v>
      </c>
      <c r="K9504" s="222">
        <v>482.8</v>
      </c>
      <c r="L9504" s="43">
        <v>9.0765742002031473</v>
      </c>
      <c r="M9504" s="43">
        <v>11.500379266750945</v>
      </c>
      <c r="N9504" s="43">
        <v>5.2629296181901823</v>
      </c>
      <c r="O9504" s="43">
        <v>7.7808219178082201</v>
      </c>
      <c r="P9504" s="223"/>
      <c r="Q9504" s="223"/>
      <c r="R9504" s="223">
        <v>2</v>
      </c>
    </row>
    <row r="9505" spans="1:18" ht="60">
      <c r="A9505" s="219">
        <v>2147</v>
      </c>
      <c r="B9505" s="216" t="s">
        <v>17496</v>
      </c>
      <c r="C9505" s="220" t="s">
        <v>17497</v>
      </c>
      <c r="D9505" s="221">
        <v>1331.13</v>
      </c>
      <c r="E9505" s="221">
        <v>765.23</v>
      </c>
      <c r="F9505" s="221">
        <v>485.3</v>
      </c>
      <c r="G9505" s="221">
        <v>80.599999999999994</v>
      </c>
      <c r="H9505" s="222">
        <v>11958.87</v>
      </c>
      <c r="I9505" s="222">
        <v>8800.52</v>
      </c>
      <c r="J9505" s="222">
        <v>2552.86</v>
      </c>
      <c r="K9505" s="222">
        <v>605.49</v>
      </c>
      <c r="L9505" s="43">
        <v>8.9839985576164612</v>
      </c>
      <c r="M9505" s="43">
        <v>11.500490048743515</v>
      </c>
      <c r="N9505" s="43">
        <v>5.2603750257572637</v>
      </c>
      <c r="O9505" s="43">
        <v>7.5122828784119111</v>
      </c>
      <c r="P9505" s="223"/>
      <c r="Q9505" s="223"/>
      <c r="R9505" s="223">
        <v>2</v>
      </c>
    </row>
    <row r="9506" spans="1:18" ht="60">
      <c r="A9506" s="219">
        <v>2148</v>
      </c>
      <c r="B9506" s="216" t="s">
        <v>17498</v>
      </c>
      <c r="C9506" s="220" t="s">
        <v>17499</v>
      </c>
      <c r="D9506" s="221">
        <v>1414.38</v>
      </c>
      <c r="E9506" s="221">
        <v>792.81</v>
      </c>
      <c r="F9506" s="221">
        <v>516.23</v>
      </c>
      <c r="G9506" s="221">
        <v>105.34</v>
      </c>
      <c r="H9506" s="222">
        <v>12600.59</v>
      </c>
      <c r="I9506" s="222">
        <v>9117.66</v>
      </c>
      <c r="J9506" s="222">
        <v>2714.17</v>
      </c>
      <c r="K9506" s="222">
        <v>768.76</v>
      </c>
      <c r="L9506" s="43">
        <v>8.9089141531978662</v>
      </c>
      <c r="M9506" s="43">
        <v>11.500435161009575</v>
      </c>
      <c r="N9506" s="43">
        <v>5.2576758421633771</v>
      </c>
      <c r="O9506" s="43">
        <v>7.2978925384469333</v>
      </c>
      <c r="P9506" s="223"/>
      <c r="Q9506" s="223"/>
      <c r="R9506" s="223">
        <v>2</v>
      </c>
    </row>
    <row r="9507" spans="1:18" ht="60">
      <c r="A9507" s="219">
        <v>2149</v>
      </c>
      <c r="B9507" s="216" t="s">
        <v>17500</v>
      </c>
      <c r="C9507" s="220" t="s">
        <v>17501</v>
      </c>
      <c r="D9507" s="221">
        <v>1489.44</v>
      </c>
      <c r="E9507" s="221">
        <v>820.39</v>
      </c>
      <c r="F9507" s="221">
        <v>546.16999999999996</v>
      </c>
      <c r="G9507" s="221">
        <v>122.88</v>
      </c>
      <c r="H9507" s="222">
        <v>13197.07</v>
      </c>
      <c r="I9507" s="222">
        <v>9434.7999999999993</v>
      </c>
      <c r="J9507" s="222">
        <v>2870.81</v>
      </c>
      <c r="K9507" s="222">
        <v>891.46</v>
      </c>
      <c r="L9507" s="43">
        <v>8.8604240519926947</v>
      </c>
      <c r="M9507" s="43">
        <v>11.50038396372457</v>
      </c>
      <c r="N9507" s="43">
        <v>5.2562572092938096</v>
      </c>
      <c r="O9507" s="43">
        <v>7.2547200520833339</v>
      </c>
      <c r="P9507" s="223"/>
      <c r="Q9507" s="223"/>
      <c r="R9507" s="223">
        <v>2</v>
      </c>
    </row>
    <row r="9508" spans="1:18" ht="60">
      <c r="A9508" s="219">
        <v>2150</v>
      </c>
      <c r="B9508" s="216" t="s">
        <v>17502</v>
      </c>
      <c r="C9508" s="220" t="s">
        <v>17503</v>
      </c>
      <c r="D9508" s="221">
        <v>1641.69</v>
      </c>
      <c r="E9508" s="221">
        <v>901.97</v>
      </c>
      <c r="F9508" s="221">
        <v>592.64</v>
      </c>
      <c r="G9508" s="221">
        <v>147.08000000000001</v>
      </c>
      <c r="H9508" s="222">
        <v>14539.01</v>
      </c>
      <c r="I9508" s="222">
        <v>10372.99</v>
      </c>
      <c r="J9508" s="222">
        <v>3113.91</v>
      </c>
      <c r="K9508" s="222">
        <v>1052.1099999999999</v>
      </c>
      <c r="L9508" s="43">
        <v>8.856123872351052</v>
      </c>
      <c r="M9508" s="43">
        <v>11.500371409248643</v>
      </c>
      <c r="N9508" s="43">
        <v>5.2543027807775378</v>
      </c>
      <c r="O9508" s="43">
        <v>7.1533179222191992</v>
      </c>
      <c r="P9508" s="223"/>
      <c r="Q9508" s="223"/>
      <c r="R9508" s="223">
        <v>2</v>
      </c>
    </row>
    <row r="9509" spans="1:18" ht="60">
      <c r="A9509" s="219">
        <v>2151</v>
      </c>
      <c r="B9509" s="216" t="s">
        <v>17504</v>
      </c>
      <c r="C9509" s="220" t="s">
        <v>17505</v>
      </c>
      <c r="D9509" s="221">
        <v>1692.72</v>
      </c>
      <c r="E9509" s="221">
        <v>929.54</v>
      </c>
      <c r="F9509" s="221">
        <v>551.66</v>
      </c>
      <c r="G9509" s="221">
        <v>211.52</v>
      </c>
      <c r="H9509" s="222">
        <v>15148.94</v>
      </c>
      <c r="I9509" s="222">
        <v>10690.13</v>
      </c>
      <c r="J9509" s="222">
        <v>2970.78</v>
      </c>
      <c r="K9509" s="222">
        <v>1488.03</v>
      </c>
      <c r="L9509" s="43">
        <v>8.9494659482962327</v>
      </c>
      <c r="M9509" s="43">
        <v>11.500451836392193</v>
      </c>
      <c r="N9509" s="43">
        <v>5.3851647754051415</v>
      </c>
      <c r="O9509" s="43">
        <v>7.034937594553706</v>
      </c>
      <c r="P9509" s="223"/>
      <c r="Q9509" s="223"/>
      <c r="R9509" s="223">
        <v>2</v>
      </c>
    </row>
    <row r="9510" spans="1:18" ht="60">
      <c r="A9510" s="219">
        <v>2152</v>
      </c>
      <c r="B9510" s="216" t="s">
        <v>17506</v>
      </c>
      <c r="C9510" s="220" t="s">
        <v>17507</v>
      </c>
      <c r="D9510" s="221">
        <v>1881.64</v>
      </c>
      <c r="E9510" s="221">
        <v>1052.48</v>
      </c>
      <c r="F9510" s="221">
        <v>623.98</v>
      </c>
      <c r="G9510" s="221">
        <v>205.18</v>
      </c>
      <c r="H9510" s="222">
        <v>16661.25</v>
      </c>
      <c r="I9510" s="222">
        <v>12104.02</v>
      </c>
      <c r="J9510" s="222">
        <v>3384.56</v>
      </c>
      <c r="K9510" s="222">
        <v>1172.67</v>
      </c>
      <c r="L9510" s="43">
        <v>8.8546427584447613</v>
      </c>
      <c r="M9510" s="43">
        <v>11.500475068409852</v>
      </c>
      <c r="N9510" s="43">
        <v>5.4241482098785214</v>
      </c>
      <c r="O9510" s="43">
        <v>5.7153231309094457</v>
      </c>
      <c r="P9510" s="223"/>
      <c r="Q9510" s="223"/>
      <c r="R9510" s="223">
        <v>2</v>
      </c>
    </row>
    <row r="9511" spans="1:18" ht="60">
      <c r="A9511" s="219">
        <v>2153</v>
      </c>
      <c r="B9511" s="216" t="s">
        <v>17508</v>
      </c>
      <c r="C9511" s="220" t="s">
        <v>17509</v>
      </c>
      <c r="D9511" s="221">
        <v>1944.53</v>
      </c>
      <c r="E9511" s="221">
        <v>1052.48</v>
      </c>
      <c r="F9511" s="221">
        <v>633.86</v>
      </c>
      <c r="G9511" s="221">
        <v>258.19</v>
      </c>
      <c r="H9511" s="222">
        <v>16966.580000000002</v>
      </c>
      <c r="I9511" s="222">
        <v>12104.02</v>
      </c>
      <c r="J9511" s="222">
        <v>3431.69</v>
      </c>
      <c r="K9511" s="222">
        <v>1430.87</v>
      </c>
      <c r="L9511" s="43">
        <v>8.7252858017104398</v>
      </c>
      <c r="M9511" s="43">
        <v>11.500475068409852</v>
      </c>
      <c r="N9511" s="43">
        <v>5.4139557631022619</v>
      </c>
      <c r="O9511" s="43">
        <v>5.5419264882450907</v>
      </c>
      <c r="P9511" s="223"/>
      <c r="Q9511" s="223"/>
      <c r="R9511" s="223">
        <v>2</v>
      </c>
    </row>
    <row r="9512" spans="1:18" ht="60">
      <c r="A9512" s="219">
        <v>2154</v>
      </c>
      <c r="B9512" s="216" t="s">
        <v>17510</v>
      </c>
      <c r="C9512" s="220" t="s">
        <v>17511</v>
      </c>
      <c r="D9512" s="221">
        <v>2512.8000000000002</v>
      </c>
      <c r="E9512" s="221">
        <v>1344.33</v>
      </c>
      <c r="F9512" s="221">
        <v>774.07</v>
      </c>
      <c r="G9512" s="221">
        <v>394.4</v>
      </c>
      <c r="H9512" s="222">
        <v>21780.15</v>
      </c>
      <c r="I9512" s="222">
        <v>15460.38</v>
      </c>
      <c r="J9512" s="222">
        <v>4180.6400000000003</v>
      </c>
      <c r="K9512" s="222">
        <v>2139.13</v>
      </c>
      <c r="L9512" s="43">
        <v>8.6676814708691499</v>
      </c>
      <c r="M9512" s="43">
        <v>11.500435161009573</v>
      </c>
      <c r="N9512" s="43">
        <v>5.4008552198121613</v>
      </c>
      <c r="O9512" s="43">
        <v>5.4237576064908728</v>
      </c>
      <c r="P9512" s="223"/>
      <c r="Q9512" s="223"/>
      <c r="R9512" s="223">
        <v>2</v>
      </c>
    </row>
    <row r="9513" spans="1:18" ht="60">
      <c r="A9513" s="219">
        <v>2155</v>
      </c>
      <c r="B9513" s="216" t="s">
        <v>17512</v>
      </c>
      <c r="C9513" s="220" t="s">
        <v>17513</v>
      </c>
      <c r="D9513" s="221">
        <v>2830.65</v>
      </c>
      <c r="E9513" s="221">
        <v>1493.7</v>
      </c>
      <c r="F9513" s="221">
        <v>833.64</v>
      </c>
      <c r="G9513" s="221">
        <v>503.31</v>
      </c>
      <c r="H9513" s="222">
        <v>24371.81</v>
      </c>
      <c r="I9513" s="222">
        <v>17178.2</v>
      </c>
      <c r="J9513" s="222">
        <v>4515.55</v>
      </c>
      <c r="K9513" s="222">
        <v>2678.06</v>
      </c>
      <c r="L9513" s="43">
        <v>8.609969441647678</v>
      </c>
      <c r="M9513" s="43">
        <v>11.500435161009573</v>
      </c>
      <c r="N9513" s="43">
        <v>5.416666666666667</v>
      </c>
      <c r="O9513" s="43">
        <v>5.3208956706602288</v>
      </c>
      <c r="P9513" s="223"/>
      <c r="Q9513" s="223"/>
      <c r="R9513" s="223">
        <v>2</v>
      </c>
    </row>
    <row r="9514" spans="1:18" ht="60">
      <c r="A9514" s="219">
        <v>2156</v>
      </c>
      <c r="B9514" s="216" t="s">
        <v>17514</v>
      </c>
      <c r="C9514" s="220" t="s">
        <v>17515</v>
      </c>
      <c r="D9514" s="221">
        <v>3122.11</v>
      </c>
      <c r="E9514" s="221">
        <v>1585.62</v>
      </c>
      <c r="F9514" s="221">
        <v>904.94</v>
      </c>
      <c r="G9514" s="221">
        <v>631.54999999999995</v>
      </c>
      <c r="H9514" s="222">
        <v>26421.25</v>
      </c>
      <c r="I9514" s="222">
        <v>18235.32</v>
      </c>
      <c r="J9514" s="222">
        <v>4894.09</v>
      </c>
      <c r="K9514" s="222">
        <v>3291.84</v>
      </c>
      <c r="L9514" s="43">
        <v>8.4626262367437395</v>
      </c>
      <c r="M9514" s="43">
        <v>11.500435161009575</v>
      </c>
      <c r="N9514" s="43">
        <v>5.4081928083629851</v>
      </c>
      <c r="O9514" s="43">
        <v>5.2123188979494897</v>
      </c>
      <c r="P9514" s="223"/>
      <c r="Q9514" s="223"/>
      <c r="R9514" s="223">
        <v>2</v>
      </c>
    </row>
    <row r="9515" spans="1:18" ht="60">
      <c r="A9515" s="219">
        <v>2157</v>
      </c>
      <c r="B9515" s="216" t="s">
        <v>17516</v>
      </c>
      <c r="C9515" s="220" t="s">
        <v>17517</v>
      </c>
      <c r="D9515" s="221">
        <v>4280.22</v>
      </c>
      <c r="E9515" s="221">
        <v>1769.46</v>
      </c>
      <c r="F9515" s="221">
        <v>1062.68</v>
      </c>
      <c r="G9515" s="221">
        <v>1448.08</v>
      </c>
      <c r="H9515" s="222">
        <v>33303.74</v>
      </c>
      <c r="I9515" s="222">
        <v>20349.560000000001</v>
      </c>
      <c r="J9515" s="222">
        <v>5743.44</v>
      </c>
      <c r="K9515" s="222">
        <v>7210.74</v>
      </c>
      <c r="L9515" s="43">
        <v>7.78084771343529</v>
      </c>
      <c r="M9515" s="43">
        <v>11.500435161009573</v>
      </c>
      <c r="N9515" s="43">
        <v>5.404674972710505</v>
      </c>
      <c r="O9515" s="43">
        <v>4.979517706204077</v>
      </c>
      <c r="P9515" s="223"/>
      <c r="Q9515" s="223"/>
      <c r="R9515" s="223">
        <v>2</v>
      </c>
    </row>
    <row r="9516" spans="1:18" ht="60">
      <c r="A9516" s="219">
        <v>2158</v>
      </c>
      <c r="B9516" s="216" t="s">
        <v>17518</v>
      </c>
      <c r="C9516" s="220" t="s">
        <v>17519</v>
      </c>
      <c r="D9516" s="221">
        <v>4988.83</v>
      </c>
      <c r="E9516" s="221">
        <v>1895.85</v>
      </c>
      <c r="F9516" s="221">
        <v>1130.48</v>
      </c>
      <c r="G9516" s="221">
        <v>1962.5</v>
      </c>
      <c r="H9516" s="222">
        <v>37666.11</v>
      </c>
      <c r="I9516" s="222">
        <v>21803.1</v>
      </c>
      <c r="J9516" s="222">
        <v>6127.33</v>
      </c>
      <c r="K9516" s="222">
        <v>9735.68</v>
      </c>
      <c r="L9516" s="43">
        <v>7.5500888985994719</v>
      </c>
      <c r="M9516" s="43">
        <v>11.500435161009573</v>
      </c>
      <c r="N9516" s="43">
        <v>5.4201135800721811</v>
      </c>
      <c r="O9516" s="43">
        <v>4.9608560509554138</v>
      </c>
      <c r="P9516" s="223"/>
      <c r="Q9516" s="223"/>
      <c r="R9516" s="223">
        <v>2</v>
      </c>
    </row>
    <row r="9517" spans="1:18" ht="60">
      <c r="A9517" s="219">
        <v>2159</v>
      </c>
      <c r="B9517" s="216" t="s">
        <v>17520</v>
      </c>
      <c r="C9517" s="220" t="s">
        <v>17521</v>
      </c>
      <c r="D9517" s="221">
        <v>5037.01</v>
      </c>
      <c r="E9517" s="221">
        <v>1895.85</v>
      </c>
      <c r="F9517" s="221">
        <v>1141.27</v>
      </c>
      <c r="G9517" s="221">
        <v>1999.89</v>
      </c>
      <c r="H9517" s="222">
        <v>37880.230000000003</v>
      </c>
      <c r="I9517" s="222">
        <v>21803.1</v>
      </c>
      <c r="J9517" s="222">
        <v>6185.11</v>
      </c>
      <c r="K9517" s="222">
        <v>9892.02</v>
      </c>
      <c r="L9517" s="43">
        <v>7.5203801461581374</v>
      </c>
      <c r="M9517" s="43">
        <v>11.500435161009573</v>
      </c>
      <c r="N9517" s="43">
        <v>5.4194975772604206</v>
      </c>
      <c r="O9517" s="43">
        <v>4.9462820455125032</v>
      </c>
      <c r="P9517" s="223"/>
      <c r="Q9517" s="223"/>
      <c r="R9517" s="223">
        <v>2</v>
      </c>
    </row>
    <row r="9518" spans="1:18" ht="60">
      <c r="A9518" s="219">
        <v>2160</v>
      </c>
      <c r="B9518" s="216" t="s">
        <v>17522</v>
      </c>
      <c r="C9518" s="220" t="s">
        <v>17523</v>
      </c>
      <c r="D9518" s="221">
        <v>5441.63</v>
      </c>
      <c r="E9518" s="221">
        <v>1999.26</v>
      </c>
      <c r="F9518" s="221">
        <v>1214.6199999999999</v>
      </c>
      <c r="G9518" s="221">
        <v>2227.75</v>
      </c>
      <c r="H9518" s="222">
        <v>40630.839999999997</v>
      </c>
      <c r="I9518" s="222">
        <v>22992.36</v>
      </c>
      <c r="J9518" s="222">
        <v>6610.38</v>
      </c>
      <c r="K9518" s="222">
        <v>11028.1</v>
      </c>
      <c r="L9518" s="43">
        <v>7.4666671567159097</v>
      </c>
      <c r="M9518" s="43">
        <v>11.500435161009573</v>
      </c>
      <c r="N9518" s="43">
        <v>5.4423441076221373</v>
      </c>
      <c r="O9518" s="43">
        <v>4.9503310515093704</v>
      </c>
      <c r="P9518" s="223"/>
      <c r="Q9518" s="223"/>
      <c r="R9518" s="223">
        <v>2</v>
      </c>
    </row>
    <row r="9519" spans="1:18" ht="60">
      <c r="A9519" s="219">
        <v>2161</v>
      </c>
      <c r="B9519" s="216" t="s">
        <v>17524</v>
      </c>
      <c r="C9519" s="220" t="s">
        <v>17525</v>
      </c>
      <c r="D9519" s="221">
        <v>5590.57</v>
      </c>
      <c r="E9519" s="221">
        <v>1999.26</v>
      </c>
      <c r="F9519" s="221">
        <v>1202.19</v>
      </c>
      <c r="G9519" s="221">
        <v>2389.12</v>
      </c>
      <c r="H9519" s="222">
        <v>41442.769999999997</v>
      </c>
      <c r="I9519" s="222">
        <v>22992.36</v>
      </c>
      <c r="J9519" s="222">
        <v>6496.93</v>
      </c>
      <c r="K9519" s="222">
        <v>11953.48</v>
      </c>
      <c r="L9519" s="43">
        <v>7.412977567582554</v>
      </c>
      <c r="M9519" s="43">
        <v>11.500435161009573</v>
      </c>
      <c r="N9519" s="43">
        <v>5.4042455851404521</v>
      </c>
      <c r="O9519" s="43">
        <v>5.0032982855612111</v>
      </c>
      <c r="P9519" s="223"/>
      <c r="Q9519" s="223"/>
      <c r="R9519" s="223">
        <v>2</v>
      </c>
    </row>
    <row r="9520" spans="1:18" ht="60">
      <c r="A9520" s="219">
        <v>2162</v>
      </c>
      <c r="B9520" s="216" t="s">
        <v>17526</v>
      </c>
      <c r="C9520" s="220" t="s">
        <v>17527</v>
      </c>
      <c r="D9520" s="221">
        <v>6102.81</v>
      </c>
      <c r="E9520" s="221">
        <v>2010.75</v>
      </c>
      <c r="F9520" s="221">
        <v>1205.83</v>
      </c>
      <c r="G9520" s="221">
        <v>2886.23</v>
      </c>
      <c r="H9520" s="222">
        <v>43552.7</v>
      </c>
      <c r="I9520" s="222">
        <v>23124.5</v>
      </c>
      <c r="J9520" s="222">
        <v>6499.22</v>
      </c>
      <c r="K9520" s="222">
        <v>13928.98</v>
      </c>
      <c r="L9520" s="43">
        <v>7.1364994158428647</v>
      </c>
      <c r="M9520" s="43">
        <v>11.500435161009573</v>
      </c>
      <c r="N9520" s="43">
        <v>5.3898310707147781</v>
      </c>
      <c r="O9520" s="43">
        <v>4.8260117870024217</v>
      </c>
      <c r="P9520" s="223"/>
      <c r="Q9520" s="223"/>
      <c r="R9520" s="223">
        <v>2</v>
      </c>
    </row>
    <row r="9521" spans="1:18" ht="12.75" customHeight="1">
      <c r="A9521" s="628" t="s">
        <v>17528</v>
      </c>
      <c r="B9521" s="629"/>
      <c r="C9521" s="629"/>
      <c r="D9521" s="629"/>
      <c r="E9521" s="629"/>
      <c r="F9521" s="629"/>
      <c r="G9521" s="629"/>
      <c r="H9521" s="629"/>
      <c r="I9521" s="629"/>
      <c r="J9521" s="629"/>
      <c r="K9521" s="629"/>
      <c r="L9521" s="629"/>
      <c r="M9521" s="629"/>
      <c r="N9521" s="629"/>
      <c r="O9521" s="629"/>
      <c r="P9521" s="629"/>
      <c r="Q9521" s="629"/>
      <c r="R9521" s="629"/>
    </row>
    <row r="9522" spans="1:18" ht="60">
      <c r="A9522" s="219">
        <v>2163</v>
      </c>
      <c r="B9522" s="216" t="s">
        <v>17529</v>
      </c>
      <c r="C9522" s="220" t="s">
        <v>17530</v>
      </c>
      <c r="D9522" s="221">
        <v>1422.29</v>
      </c>
      <c r="E9522" s="221">
        <v>915.75</v>
      </c>
      <c r="F9522" s="221">
        <v>456.64</v>
      </c>
      <c r="G9522" s="221">
        <v>49.9</v>
      </c>
      <c r="H9522" s="222">
        <v>13310.6</v>
      </c>
      <c r="I9522" s="222">
        <v>10531.56</v>
      </c>
      <c r="J9522" s="222">
        <v>2400.06</v>
      </c>
      <c r="K9522" s="222">
        <v>378.98</v>
      </c>
      <c r="L9522" s="43">
        <v>9.3585696306660395</v>
      </c>
      <c r="M9522" s="43">
        <v>11.500475020475021</v>
      </c>
      <c r="N9522" s="43">
        <v>5.2559127540294321</v>
      </c>
      <c r="O9522" s="43">
        <v>7.5947895791583173</v>
      </c>
      <c r="P9522" s="223"/>
      <c r="Q9522" s="223"/>
      <c r="R9522" s="223">
        <v>3</v>
      </c>
    </row>
    <row r="9523" spans="1:18" ht="60">
      <c r="A9523" s="219">
        <v>2164</v>
      </c>
      <c r="B9523" s="216" t="s">
        <v>17531</v>
      </c>
      <c r="C9523" s="220" t="s">
        <v>17532</v>
      </c>
      <c r="D9523" s="221">
        <v>1456.04</v>
      </c>
      <c r="E9523" s="221">
        <v>914.6</v>
      </c>
      <c r="F9523" s="221">
        <v>462.86</v>
      </c>
      <c r="G9523" s="221">
        <v>78.58</v>
      </c>
      <c r="H9523" s="222">
        <v>13482.4</v>
      </c>
      <c r="I9523" s="222">
        <v>10518.34</v>
      </c>
      <c r="J9523" s="222">
        <v>2432.4299999999998</v>
      </c>
      <c r="K9523" s="222">
        <v>531.63</v>
      </c>
      <c r="L9523" s="43">
        <v>9.2596357242932879</v>
      </c>
      <c r="M9523" s="43">
        <v>11.500481084627159</v>
      </c>
      <c r="N9523" s="43">
        <v>5.2552175603854296</v>
      </c>
      <c r="O9523" s="43">
        <v>6.7654619496054975</v>
      </c>
      <c r="P9523" s="223"/>
      <c r="Q9523" s="223"/>
      <c r="R9523" s="223">
        <v>3</v>
      </c>
    </row>
    <row r="9524" spans="1:18" ht="60">
      <c r="A9524" s="219">
        <v>2165</v>
      </c>
      <c r="B9524" s="216" t="s">
        <v>17533</v>
      </c>
      <c r="C9524" s="220" t="s">
        <v>17534</v>
      </c>
      <c r="D9524" s="221">
        <v>1835.91</v>
      </c>
      <c r="E9524" s="221">
        <v>1119.1300000000001</v>
      </c>
      <c r="F9524" s="221">
        <v>569.51</v>
      </c>
      <c r="G9524" s="221">
        <v>147.27000000000001</v>
      </c>
      <c r="H9524" s="222">
        <v>16788.46</v>
      </c>
      <c r="I9524" s="222">
        <v>12870.44</v>
      </c>
      <c r="J9524" s="222">
        <v>2995.12</v>
      </c>
      <c r="K9524" s="222">
        <v>922.9</v>
      </c>
      <c r="L9524" s="43">
        <v>9.1444896536322577</v>
      </c>
      <c r="M9524" s="43">
        <v>11.500397630302109</v>
      </c>
      <c r="N9524" s="43">
        <v>5.2591174869624764</v>
      </c>
      <c r="O9524" s="43">
        <v>6.2667209886602828</v>
      </c>
      <c r="P9524" s="223"/>
      <c r="Q9524" s="223"/>
      <c r="R9524" s="223">
        <v>3</v>
      </c>
    </row>
    <row r="9525" spans="1:18" ht="60">
      <c r="A9525" s="219">
        <v>2166</v>
      </c>
      <c r="B9525" s="216" t="s">
        <v>17535</v>
      </c>
      <c r="C9525" s="220" t="s">
        <v>17536</v>
      </c>
      <c r="D9525" s="221">
        <v>1912.12</v>
      </c>
      <c r="E9525" s="221">
        <v>1119.1300000000001</v>
      </c>
      <c r="F9525" s="221">
        <v>591.16999999999996</v>
      </c>
      <c r="G9525" s="221">
        <v>201.82</v>
      </c>
      <c r="H9525" s="222">
        <v>17193.8</v>
      </c>
      <c r="I9525" s="222">
        <v>12870.44</v>
      </c>
      <c r="J9525" s="222">
        <v>3109.77</v>
      </c>
      <c r="K9525" s="222">
        <v>1213.5899999999999</v>
      </c>
      <c r="L9525" s="43">
        <v>8.9920088697362086</v>
      </c>
      <c r="M9525" s="43">
        <v>11.500397630302109</v>
      </c>
      <c r="N9525" s="43">
        <v>5.2603650388213206</v>
      </c>
      <c r="O9525" s="43">
        <v>6.013229610544049</v>
      </c>
      <c r="P9525" s="223"/>
      <c r="Q9525" s="223"/>
      <c r="R9525" s="223">
        <v>3</v>
      </c>
    </row>
    <row r="9526" spans="1:18" ht="60">
      <c r="A9526" s="219">
        <v>2167</v>
      </c>
      <c r="B9526" s="216" t="s">
        <v>17537</v>
      </c>
      <c r="C9526" s="220" t="s">
        <v>17538</v>
      </c>
      <c r="D9526" s="221">
        <v>2333.67</v>
      </c>
      <c r="E9526" s="221">
        <v>1321.35</v>
      </c>
      <c r="F9526" s="221">
        <v>727.5</v>
      </c>
      <c r="G9526" s="221">
        <v>284.82</v>
      </c>
      <c r="H9526" s="222">
        <v>20704.400000000001</v>
      </c>
      <c r="I9526" s="222">
        <v>15196.1</v>
      </c>
      <c r="J9526" s="222">
        <v>3827.39</v>
      </c>
      <c r="K9526" s="222">
        <v>1680.91</v>
      </c>
      <c r="L9526" s="43">
        <v>8.872034177925757</v>
      </c>
      <c r="M9526" s="43">
        <v>11.500435161009575</v>
      </c>
      <c r="N9526" s="43">
        <v>5.2610171821305842</v>
      </c>
      <c r="O9526" s="43">
        <v>5.9016571869952958</v>
      </c>
      <c r="P9526" s="223"/>
      <c r="Q9526" s="223"/>
      <c r="R9526" s="223">
        <v>3</v>
      </c>
    </row>
    <row r="9527" spans="1:18" ht="60">
      <c r="A9527" s="219">
        <v>2168</v>
      </c>
      <c r="B9527" s="216" t="s">
        <v>17539</v>
      </c>
      <c r="C9527" s="220" t="s">
        <v>17540</v>
      </c>
      <c r="D9527" s="221">
        <v>2971.09</v>
      </c>
      <c r="E9527" s="221">
        <v>1700.52</v>
      </c>
      <c r="F9527" s="221">
        <v>913.58</v>
      </c>
      <c r="G9527" s="221">
        <v>356.99</v>
      </c>
      <c r="H9527" s="222">
        <v>26480.02</v>
      </c>
      <c r="I9527" s="222">
        <v>19556.72</v>
      </c>
      <c r="J9527" s="222">
        <v>4810.9799999999996</v>
      </c>
      <c r="K9527" s="222">
        <v>2112.3200000000002</v>
      </c>
      <c r="L9527" s="43">
        <v>8.9125607100424418</v>
      </c>
      <c r="M9527" s="43">
        <v>11.500435161009575</v>
      </c>
      <c r="N9527" s="43">
        <v>5.2660741259659796</v>
      </c>
      <c r="O9527" s="43">
        <v>5.9170284881929467</v>
      </c>
      <c r="P9527" s="223"/>
      <c r="Q9527" s="223"/>
      <c r="R9527" s="223">
        <v>3</v>
      </c>
    </row>
    <row r="9528" spans="1:18" ht="60">
      <c r="A9528" s="219">
        <v>2169</v>
      </c>
      <c r="B9528" s="216" t="s">
        <v>17541</v>
      </c>
      <c r="C9528" s="220" t="s">
        <v>17542</v>
      </c>
      <c r="D9528" s="221">
        <v>3032.72</v>
      </c>
      <c r="E9528" s="221">
        <v>1700.52</v>
      </c>
      <c r="F9528" s="221">
        <v>939.32</v>
      </c>
      <c r="G9528" s="221">
        <v>392.88</v>
      </c>
      <c r="H9528" s="222">
        <v>26807.84</v>
      </c>
      <c r="I9528" s="222">
        <v>19556.72</v>
      </c>
      <c r="J9528" s="222">
        <v>4947.5600000000004</v>
      </c>
      <c r="K9528" s="222">
        <v>2303.56</v>
      </c>
      <c r="L9528" s="43">
        <v>8.8395367854599183</v>
      </c>
      <c r="M9528" s="43">
        <v>11.500435161009575</v>
      </c>
      <c r="N9528" s="43">
        <v>5.2671719967636168</v>
      </c>
      <c r="O9528" s="43">
        <v>5.863266137242924</v>
      </c>
      <c r="P9528" s="223"/>
      <c r="Q9528" s="223"/>
      <c r="R9528" s="223">
        <v>3</v>
      </c>
    </row>
    <row r="9529" spans="1:18" ht="60">
      <c r="A9529" s="219">
        <v>2170</v>
      </c>
      <c r="B9529" s="216" t="s">
        <v>17543</v>
      </c>
      <c r="C9529" s="220" t="s">
        <v>17544</v>
      </c>
      <c r="D9529" s="221">
        <v>3746.73</v>
      </c>
      <c r="E9529" s="221">
        <v>1953.3</v>
      </c>
      <c r="F9529" s="221">
        <v>1122.75</v>
      </c>
      <c r="G9529" s="221">
        <v>670.68</v>
      </c>
      <c r="H9529" s="222">
        <v>32189.46</v>
      </c>
      <c r="I9529" s="222">
        <v>22463.8</v>
      </c>
      <c r="J9529" s="222">
        <v>5910.45</v>
      </c>
      <c r="K9529" s="222">
        <v>3815.21</v>
      </c>
      <c r="L9529" s="43">
        <v>8.5913476551552943</v>
      </c>
      <c r="M9529" s="43">
        <v>11.500435161009573</v>
      </c>
      <c r="N9529" s="43">
        <v>5.264261857047428</v>
      </c>
      <c r="O9529" s="43">
        <v>5.6885698097453332</v>
      </c>
      <c r="P9529" s="223"/>
      <c r="Q9529" s="223"/>
      <c r="R9529" s="223">
        <v>3</v>
      </c>
    </row>
    <row r="9530" spans="1:18" ht="60">
      <c r="A9530" s="219">
        <v>2171</v>
      </c>
      <c r="B9530" s="216" t="s">
        <v>17545</v>
      </c>
      <c r="C9530" s="220" t="s">
        <v>17546</v>
      </c>
      <c r="D9530" s="221">
        <v>4364.8599999999997</v>
      </c>
      <c r="E9530" s="221">
        <v>2217.5700000000002</v>
      </c>
      <c r="F9530" s="221">
        <v>1241.6500000000001</v>
      </c>
      <c r="G9530" s="221">
        <v>905.64</v>
      </c>
      <c r="H9530" s="222">
        <v>37138.61</v>
      </c>
      <c r="I9530" s="222">
        <v>25503.02</v>
      </c>
      <c r="J9530" s="222">
        <v>6535.7</v>
      </c>
      <c r="K9530" s="222">
        <v>5099.8900000000003</v>
      </c>
      <c r="L9530" s="43">
        <v>8.5085455203603324</v>
      </c>
      <c r="M9530" s="43">
        <v>11.500435161009573</v>
      </c>
      <c r="N9530" s="43">
        <v>5.2637216606934318</v>
      </c>
      <c r="O9530" s="43">
        <v>5.6312552449096778</v>
      </c>
      <c r="P9530" s="223"/>
      <c r="Q9530" s="223"/>
      <c r="R9530" s="223">
        <v>3</v>
      </c>
    </row>
    <row r="9531" spans="1:18" ht="60">
      <c r="A9531" s="219">
        <v>2172</v>
      </c>
      <c r="B9531" s="216" t="s">
        <v>17547</v>
      </c>
      <c r="C9531" s="220" t="s">
        <v>17548</v>
      </c>
      <c r="D9531" s="221">
        <v>5307.72</v>
      </c>
      <c r="E9531" s="221">
        <v>2688.66</v>
      </c>
      <c r="F9531" s="221">
        <v>1431.26</v>
      </c>
      <c r="G9531" s="221">
        <v>1187.8</v>
      </c>
      <c r="H9531" s="222">
        <v>45112.04</v>
      </c>
      <c r="I9531" s="222">
        <v>30920.76</v>
      </c>
      <c r="J9531" s="222">
        <v>7529.6</v>
      </c>
      <c r="K9531" s="222">
        <v>6661.68</v>
      </c>
      <c r="L9531" s="43">
        <v>8.4993255107654502</v>
      </c>
      <c r="M9531" s="43">
        <v>11.500435161009573</v>
      </c>
      <c r="N9531" s="43">
        <v>5.2608191383815663</v>
      </c>
      <c r="O9531" s="43">
        <v>5.6084189257450756</v>
      </c>
      <c r="P9531" s="223"/>
      <c r="Q9531" s="223"/>
      <c r="R9531" s="223">
        <v>3</v>
      </c>
    </row>
    <row r="9532" spans="1:18" ht="60">
      <c r="A9532" s="219">
        <v>2173</v>
      </c>
      <c r="B9532" s="216" t="s">
        <v>17549</v>
      </c>
      <c r="C9532" s="220" t="s">
        <v>17550</v>
      </c>
      <c r="D9532" s="221">
        <v>5784.52</v>
      </c>
      <c r="E9532" s="221">
        <v>2769.09</v>
      </c>
      <c r="F9532" s="221">
        <v>1495.85</v>
      </c>
      <c r="G9532" s="221">
        <v>1519.58</v>
      </c>
      <c r="H9532" s="222">
        <v>48155.63</v>
      </c>
      <c r="I9532" s="222">
        <v>31845.74</v>
      </c>
      <c r="J9532" s="222">
        <v>7870.25</v>
      </c>
      <c r="K9532" s="222">
        <v>8439.64</v>
      </c>
      <c r="L9532" s="43">
        <v>8.3249137352796758</v>
      </c>
      <c r="M9532" s="43">
        <v>11.500435161009573</v>
      </c>
      <c r="N9532" s="43">
        <v>5.2613898452384937</v>
      </c>
      <c r="O9532" s="43">
        <v>5.5539293752221006</v>
      </c>
      <c r="P9532" s="223"/>
      <c r="Q9532" s="223"/>
      <c r="R9532" s="223">
        <v>3</v>
      </c>
    </row>
    <row r="9533" spans="1:18" ht="60">
      <c r="A9533" s="219">
        <v>2174</v>
      </c>
      <c r="B9533" s="216" t="s">
        <v>17551</v>
      </c>
      <c r="C9533" s="220" t="s">
        <v>17552</v>
      </c>
      <c r="D9533" s="221">
        <v>6099.58</v>
      </c>
      <c r="E9533" s="221">
        <v>3021.87</v>
      </c>
      <c r="F9533" s="221">
        <v>1553.07</v>
      </c>
      <c r="G9533" s="221">
        <v>1524.64</v>
      </c>
      <c r="H9533" s="222">
        <v>51424.71</v>
      </c>
      <c r="I9533" s="222">
        <v>34752.82</v>
      </c>
      <c r="J9533" s="222">
        <v>8174.06</v>
      </c>
      <c r="K9533" s="222">
        <v>8497.83</v>
      </c>
      <c r="L9533" s="43">
        <v>8.4308608133674774</v>
      </c>
      <c r="M9533" s="43">
        <v>11.500435161009573</v>
      </c>
      <c r="N9533" s="43">
        <v>5.2631626391598578</v>
      </c>
      <c r="O9533" s="43">
        <v>5.573663291006401</v>
      </c>
      <c r="P9533" s="223"/>
      <c r="Q9533" s="223"/>
      <c r="R9533" s="223">
        <v>3</v>
      </c>
    </row>
    <row r="9534" spans="1:18" ht="60">
      <c r="A9534" s="219">
        <v>2175</v>
      </c>
      <c r="B9534" s="216" t="s">
        <v>17553</v>
      </c>
      <c r="C9534" s="220" t="s">
        <v>17554</v>
      </c>
      <c r="D9534" s="221">
        <v>6306.6</v>
      </c>
      <c r="E9534" s="221">
        <v>3125.28</v>
      </c>
      <c r="F9534" s="221">
        <v>1654.61</v>
      </c>
      <c r="G9534" s="221">
        <v>1526.71</v>
      </c>
      <c r="H9534" s="222">
        <v>53172.639999999999</v>
      </c>
      <c r="I9534" s="222">
        <v>35942.080000000002</v>
      </c>
      <c r="J9534" s="222">
        <v>8708.92</v>
      </c>
      <c r="K9534" s="222">
        <v>8521.64</v>
      </c>
      <c r="L9534" s="43">
        <v>8.431268829480226</v>
      </c>
      <c r="M9534" s="43">
        <v>11.500435161009573</v>
      </c>
      <c r="N9534" s="43">
        <v>5.2634276355153178</v>
      </c>
      <c r="O9534" s="43">
        <v>5.5817018294240555</v>
      </c>
      <c r="P9534" s="223"/>
      <c r="Q9534" s="223"/>
      <c r="R9534" s="223">
        <v>3</v>
      </c>
    </row>
    <row r="9535" spans="1:18" ht="12.75" customHeight="1">
      <c r="A9535" s="628" t="s">
        <v>17555</v>
      </c>
      <c r="B9535" s="629"/>
      <c r="C9535" s="629"/>
      <c r="D9535" s="629"/>
      <c r="E9535" s="629"/>
      <c r="F9535" s="629"/>
      <c r="G9535" s="629"/>
      <c r="H9535" s="629"/>
      <c r="I9535" s="629"/>
      <c r="J9535" s="629"/>
      <c r="K9535" s="629"/>
      <c r="L9535" s="629"/>
      <c r="M9535" s="629"/>
      <c r="N9535" s="629"/>
      <c r="O9535" s="629"/>
      <c r="P9535" s="629"/>
      <c r="Q9535" s="629"/>
      <c r="R9535" s="629"/>
    </row>
    <row r="9536" spans="1:18" ht="48">
      <c r="A9536" s="219">
        <v>2176</v>
      </c>
      <c r="B9536" s="216" t="s">
        <v>17556</v>
      </c>
      <c r="C9536" s="220" t="s">
        <v>17557</v>
      </c>
      <c r="D9536" s="221">
        <v>2200.0700000000002</v>
      </c>
      <c r="E9536" s="221">
        <v>1390.29</v>
      </c>
      <c r="F9536" s="221">
        <v>733.16</v>
      </c>
      <c r="G9536" s="221">
        <v>76.62</v>
      </c>
      <c r="H9536" s="222">
        <v>20425.509999999998</v>
      </c>
      <c r="I9536" s="222">
        <v>15988.94</v>
      </c>
      <c r="J9536" s="222">
        <v>3856.66</v>
      </c>
      <c r="K9536" s="222">
        <v>579.91</v>
      </c>
      <c r="L9536" s="43">
        <v>9.2840273264032493</v>
      </c>
      <c r="M9536" s="43">
        <v>11.500435161009575</v>
      </c>
      <c r="N9536" s="43">
        <v>5.2603251677669265</v>
      </c>
      <c r="O9536" s="43">
        <v>7.5686504829026351</v>
      </c>
      <c r="P9536" s="223"/>
      <c r="Q9536" s="223"/>
      <c r="R9536" s="223">
        <v>4</v>
      </c>
    </row>
    <row r="9537" spans="1:18" ht="48">
      <c r="A9537" s="219">
        <v>2177</v>
      </c>
      <c r="B9537" s="216" t="s">
        <v>17558</v>
      </c>
      <c r="C9537" s="220" t="s">
        <v>17559</v>
      </c>
      <c r="D9537" s="221">
        <v>2389.46</v>
      </c>
      <c r="E9537" s="221">
        <v>1505.19</v>
      </c>
      <c r="F9537" s="221">
        <v>769.48</v>
      </c>
      <c r="G9537" s="221">
        <v>114.79</v>
      </c>
      <c r="H9537" s="222">
        <v>22155.74</v>
      </c>
      <c r="I9537" s="222">
        <v>17310.34</v>
      </c>
      <c r="J9537" s="222">
        <v>4047.91</v>
      </c>
      <c r="K9537" s="222">
        <v>797.49</v>
      </c>
      <c r="L9537" s="43">
        <v>9.272279092347226</v>
      </c>
      <c r="M9537" s="43">
        <v>11.500435161009573</v>
      </c>
      <c r="N9537" s="43">
        <v>5.2605785725424958</v>
      </c>
      <c r="O9537" s="43">
        <v>6.9473821761477481</v>
      </c>
      <c r="P9537" s="223"/>
      <c r="Q9537" s="223"/>
      <c r="R9537" s="223">
        <v>4</v>
      </c>
    </row>
    <row r="9538" spans="1:18" ht="48">
      <c r="A9538" s="219">
        <v>2178</v>
      </c>
      <c r="B9538" s="216" t="s">
        <v>17560</v>
      </c>
      <c r="C9538" s="220" t="s">
        <v>17561</v>
      </c>
      <c r="D9538" s="221">
        <v>2785.23</v>
      </c>
      <c r="E9538" s="221">
        <v>1677.54</v>
      </c>
      <c r="F9538" s="221">
        <v>901.88</v>
      </c>
      <c r="G9538" s="221">
        <v>205.81</v>
      </c>
      <c r="H9538" s="222">
        <v>25342.880000000001</v>
      </c>
      <c r="I9538" s="222">
        <v>19292.439999999999</v>
      </c>
      <c r="J9538" s="222">
        <v>4746.6400000000003</v>
      </c>
      <c r="K9538" s="222">
        <v>1303.8</v>
      </c>
      <c r="L9538" s="43">
        <v>9.0990259332263399</v>
      </c>
      <c r="M9538" s="43">
        <v>11.500435161009573</v>
      </c>
      <c r="N9538" s="43">
        <v>5.2630505166984527</v>
      </c>
      <c r="O9538" s="43">
        <v>6.3349691462999855</v>
      </c>
      <c r="P9538" s="223"/>
      <c r="Q9538" s="223"/>
      <c r="R9538" s="223">
        <v>4</v>
      </c>
    </row>
    <row r="9539" spans="1:18" ht="48">
      <c r="A9539" s="219">
        <v>2179</v>
      </c>
      <c r="B9539" s="216" t="s">
        <v>17562</v>
      </c>
      <c r="C9539" s="220" t="s">
        <v>17563</v>
      </c>
      <c r="D9539" s="221">
        <v>2977.02</v>
      </c>
      <c r="E9539" s="221">
        <v>1723.5</v>
      </c>
      <c r="F9539" s="221">
        <v>967.84</v>
      </c>
      <c r="G9539" s="221">
        <v>285.68</v>
      </c>
      <c r="H9539" s="222">
        <v>26650.799999999999</v>
      </c>
      <c r="I9539" s="222">
        <v>19821</v>
      </c>
      <c r="J9539" s="222">
        <v>5094.68</v>
      </c>
      <c r="K9539" s="222">
        <v>1735.12</v>
      </c>
      <c r="L9539" s="43">
        <v>8.952173650160228</v>
      </c>
      <c r="M9539" s="43">
        <v>11.500435161009573</v>
      </c>
      <c r="N9539" s="43">
        <v>5.2639692511158866</v>
      </c>
      <c r="O9539" s="43">
        <v>6.0736488378605431</v>
      </c>
      <c r="P9539" s="223"/>
      <c r="Q9539" s="223"/>
      <c r="R9539" s="223">
        <v>4</v>
      </c>
    </row>
    <row r="9540" spans="1:18" ht="48">
      <c r="A9540" s="219">
        <v>2180</v>
      </c>
      <c r="B9540" s="216" t="s">
        <v>17564</v>
      </c>
      <c r="C9540" s="220" t="s">
        <v>17565</v>
      </c>
      <c r="D9540" s="221">
        <v>3538.76</v>
      </c>
      <c r="E9540" s="221">
        <v>2010.75</v>
      </c>
      <c r="F9540" s="221">
        <v>1136.0999999999999</v>
      </c>
      <c r="G9540" s="221">
        <v>391.91</v>
      </c>
      <c r="H9540" s="222">
        <v>31444.13</v>
      </c>
      <c r="I9540" s="222">
        <v>23124.5</v>
      </c>
      <c r="J9540" s="222">
        <v>5982.91</v>
      </c>
      <c r="K9540" s="222">
        <v>2336.7199999999998</v>
      </c>
      <c r="L9540" s="43">
        <v>8.8856350812148879</v>
      </c>
      <c r="M9540" s="43">
        <v>11.500435161009573</v>
      </c>
      <c r="N9540" s="43">
        <v>5.2661825543526097</v>
      </c>
      <c r="O9540" s="43">
        <v>5.9623893240795072</v>
      </c>
      <c r="P9540" s="223"/>
      <c r="Q9540" s="223"/>
      <c r="R9540" s="223">
        <v>4</v>
      </c>
    </row>
    <row r="9541" spans="1:18" ht="48">
      <c r="A9541" s="219">
        <v>2181</v>
      </c>
      <c r="B9541" s="216" t="s">
        <v>17566</v>
      </c>
      <c r="C9541" s="220" t="s">
        <v>17567</v>
      </c>
      <c r="D9541" s="221">
        <v>4511.58</v>
      </c>
      <c r="E9541" s="221">
        <v>2642.7</v>
      </c>
      <c r="F9541" s="221">
        <v>1363.85</v>
      </c>
      <c r="G9541" s="221">
        <v>505.03</v>
      </c>
      <c r="H9541" s="222">
        <v>40596.79</v>
      </c>
      <c r="I9541" s="222">
        <v>30392.2</v>
      </c>
      <c r="J9541" s="222">
        <v>7187.13</v>
      </c>
      <c r="K9541" s="222">
        <v>3017.46</v>
      </c>
      <c r="L9541" s="43">
        <v>8.9983531268424812</v>
      </c>
      <c r="M9541" s="43">
        <v>11.500435161009575</v>
      </c>
      <c r="N9541" s="43">
        <v>5.2697364079627533</v>
      </c>
      <c r="O9541" s="43">
        <v>5.974813377423124</v>
      </c>
      <c r="P9541" s="223"/>
      <c r="Q9541" s="223"/>
      <c r="R9541" s="223">
        <v>4</v>
      </c>
    </row>
    <row r="9542" spans="1:18" ht="48">
      <c r="A9542" s="219">
        <v>2182</v>
      </c>
      <c r="B9542" s="216" t="s">
        <v>17568</v>
      </c>
      <c r="C9542" s="220" t="s">
        <v>17569</v>
      </c>
      <c r="D9542" s="221">
        <v>4769.2299999999996</v>
      </c>
      <c r="E9542" s="221">
        <v>2700.15</v>
      </c>
      <c r="F9542" s="221">
        <v>1519.84</v>
      </c>
      <c r="G9542" s="221">
        <v>549.24</v>
      </c>
      <c r="H9542" s="222">
        <v>42324.6</v>
      </c>
      <c r="I9542" s="222">
        <v>31052.9</v>
      </c>
      <c r="J9542" s="222">
        <v>8011.53</v>
      </c>
      <c r="K9542" s="222">
        <v>3260.17</v>
      </c>
      <c r="L9542" s="43">
        <v>8.8745143345990876</v>
      </c>
      <c r="M9542" s="43">
        <v>11.500435161009573</v>
      </c>
      <c r="N9542" s="43">
        <v>5.2712982945573224</v>
      </c>
      <c r="O9542" s="43">
        <v>5.9357839924258977</v>
      </c>
      <c r="P9542" s="223"/>
      <c r="Q9542" s="223"/>
      <c r="R9542" s="223">
        <v>4</v>
      </c>
    </row>
    <row r="9543" spans="1:18" ht="48">
      <c r="A9543" s="219">
        <v>2183</v>
      </c>
      <c r="B9543" s="216" t="s">
        <v>17570</v>
      </c>
      <c r="C9543" s="220" t="s">
        <v>17571</v>
      </c>
      <c r="D9543" s="221">
        <v>6025.56</v>
      </c>
      <c r="E9543" s="221">
        <v>3251.67</v>
      </c>
      <c r="F9543" s="221">
        <v>1826.04</v>
      </c>
      <c r="G9543" s="221">
        <v>947.85</v>
      </c>
      <c r="H9543" s="222">
        <v>52469.38</v>
      </c>
      <c r="I9543" s="222">
        <v>37395.620000000003</v>
      </c>
      <c r="J9543" s="222">
        <v>9621.2999999999993</v>
      </c>
      <c r="K9543" s="222">
        <v>5452.46</v>
      </c>
      <c r="L9543" s="43">
        <v>8.7078014325639437</v>
      </c>
      <c r="M9543" s="43">
        <v>11.500435161009575</v>
      </c>
      <c r="N9543" s="43">
        <v>5.2689426299533411</v>
      </c>
      <c r="O9543" s="43">
        <v>5.7524502822176506</v>
      </c>
      <c r="P9543" s="223"/>
      <c r="Q9543" s="223"/>
      <c r="R9543" s="223">
        <v>4</v>
      </c>
    </row>
    <row r="9544" spans="1:18" ht="48">
      <c r="A9544" s="219">
        <v>2184</v>
      </c>
      <c r="B9544" s="216" t="s">
        <v>17572</v>
      </c>
      <c r="C9544" s="220" t="s">
        <v>17573</v>
      </c>
      <c r="D9544" s="221">
        <v>6896.8</v>
      </c>
      <c r="E9544" s="221">
        <v>3607.86</v>
      </c>
      <c r="F9544" s="221">
        <v>1996.62</v>
      </c>
      <c r="G9544" s="221">
        <v>1292.32</v>
      </c>
      <c r="H9544" s="222">
        <v>59345.3</v>
      </c>
      <c r="I9544" s="222">
        <v>41491.96</v>
      </c>
      <c r="J9544" s="222">
        <v>10521.19</v>
      </c>
      <c r="K9544" s="222">
        <v>7332.15</v>
      </c>
      <c r="L9544" s="43">
        <v>8.6047587286857681</v>
      </c>
      <c r="M9544" s="43">
        <v>11.500435161009573</v>
      </c>
      <c r="N9544" s="43">
        <v>5.2695004557702525</v>
      </c>
      <c r="O9544" s="43">
        <v>5.673633465395568</v>
      </c>
      <c r="P9544" s="223"/>
      <c r="Q9544" s="223"/>
      <c r="R9544" s="223">
        <v>4</v>
      </c>
    </row>
    <row r="9545" spans="1:18" ht="48">
      <c r="A9545" s="219">
        <v>2185</v>
      </c>
      <c r="B9545" s="216" t="s">
        <v>17574</v>
      </c>
      <c r="C9545" s="220" t="s">
        <v>17575</v>
      </c>
      <c r="D9545" s="221">
        <v>8054.54</v>
      </c>
      <c r="E9545" s="221">
        <v>4216.83</v>
      </c>
      <c r="F9545" s="221">
        <v>2217.4</v>
      </c>
      <c r="G9545" s="221">
        <v>1620.31</v>
      </c>
      <c r="H9545" s="222">
        <v>69329.570000000007</v>
      </c>
      <c r="I9545" s="222">
        <v>48495.38</v>
      </c>
      <c r="J9545" s="222">
        <v>11679.02</v>
      </c>
      <c r="K9545" s="222">
        <v>9155.17</v>
      </c>
      <c r="L9545" s="43">
        <v>8.6075145197615264</v>
      </c>
      <c r="M9545" s="43">
        <v>11.500435161009573</v>
      </c>
      <c r="N9545" s="43">
        <v>5.2669883647515103</v>
      </c>
      <c r="O9545" s="43">
        <v>5.6502582839086353</v>
      </c>
      <c r="P9545" s="223"/>
      <c r="Q9545" s="223"/>
      <c r="R9545" s="223">
        <v>4</v>
      </c>
    </row>
    <row r="9546" spans="1:18" ht="48">
      <c r="A9546" s="219">
        <v>2186</v>
      </c>
      <c r="B9546" s="216" t="s">
        <v>17576</v>
      </c>
      <c r="C9546" s="220" t="s">
        <v>17577</v>
      </c>
      <c r="D9546" s="221">
        <v>8900.32</v>
      </c>
      <c r="E9546" s="221">
        <v>4446.63</v>
      </c>
      <c r="F9546" s="221">
        <v>2355.08</v>
      </c>
      <c r="G9546" s="221">
        <v>2098.61</v>
      </c>
      <c r="H9546" s="222">
        <v>75275.02</v>
      </c>
      <c r="I9546" s="222">
        <v>51138.18</v>
      </c>
      <c r="J9546" s="222">
        <v>12404.46</v>
      </c>
      <c r="K9546" s="222">
        <v>11732.38</v>
      </c>
      <c r="L9546" s="43">
        <v>8.4575633235658945</v>
      </c>
      <c r="M9546" s="43">
        <v>11.500435161009573</v>
      </c>
      <c r="N9546" s="43">
        <v>5.2671076991015164</v>
      </c>
      <c r="O9546" s="43">
        <v>5.5905480294099421</v>
      </c>
      <c r="P9546" s="223"/>
      <c r="Q9546" s="223"/>
      <c r="R9546" s="223">
        <v>4</v>
      </c>
    </row>
    <row r="9547" spans="1:18" ht="48">
      <c r="A9547" s="219">
        <v>2187</v>
      </c>
      <c r="B9547" s="216" t="s">
        <v>17578</v>
      </c>
      <c r="C9547" s="220" t="s">
        <v>17579</v>
      </c>
      <c r="D9547" s="221">
        <v>9236.3799999999992</v>
      </c>
      <c r="E9547" s="221">
        <v>4664.9399999999996</v>
      </c>
      <c r="F9547" s="221">
        <v>2468.46</v>
      </c>
      <c r="G9547" s="221">
        <v>2102.98</v>
      </c>
      <c r="H9547" s="222">
        <v>78436.37</v>
      </c>
      <c r="I9547" s="222">
        <v>53648.84</v>
      </c>
      <c r="J9547" s="222">
        <v>13004.9</v>
      </c>
      <c r="K9547" s="222">
        <v>11782.63</v>
      </c>
      <c r="L9547" s="43">
        <v>8.4921116281486899</v>
      </c>
      <c r="M9547" s="43">
        <v>11.500435161009573</v>
      </c>
      <c r="N9547" s="43">
        <v>5.26842646832438</v>
      </c>
      <c r="O9547" s="43">
        <v>5.6028255142702257</v>
      </c>
      <c r="P9547" s="223"/>
      <c r="Q9547" s="223"/>
      <c r="R9547" s="223">
        <v>4</v>
      </c>
    </row>
    <row r="9548" spans="1:18" ht="48">
      <c r="A9548" s="219">
        <v>2188</v>
      </c>
      <c r="B9548" s="216" t="s">
        <v>17580</v>
      </c>
      <c r="C9548" s="220" t="s">
        <v>17581</v>
      </c>
      <c r="D9548" s="221">
        <v>9681.35</v>
      </c>
      <c r="E9548" s="221">
        <v>4940.7</v>
      </c>
      <c r="F9548" s="221">
        <v>2632.16</v>
      </c>
      <c r="G9548" s="221">
        <v>2108.4899999999998</v>
      </c>
      <c r="H9548" s="222">
        <v>82534.38</v>
      </c>
      <c r="I9548" s="222">
        <v>56820.2</v>
      </c>
      <c r="J9548" s="222">
        <v>13868.18</v>
      </c>
      <c r="K9548" s="222">
        <v>11846</v>
      </c>
      <c r="L9548" s="43">
        <v>8.5250899926146673</v>
      </c>
      <c r="M9548" s="43">
        <v>11.500435161009573</v>
      </c>
      <c r="N9548" s="43">
        <v>5.2687450610905113</v>
      </c>
      <c r="O9548" s="43">
        <v>5.6182386447173105</v>
      </c>
      <c r="P9548" s="223"/>
      <c r="Q9548" s="223"/>
      <c r="R9548" s="223">
        <v>4</v>
      </c>
    </row>
    <row r="9549" spans="1:18" ht="12.75" customHeight="1">
      <c r="A9549" s="628" t="s">
        <v>17582</v>
      </c>
      <c r="B9549" s="629"/>
      <c r="C9549" s="629"/>
      <c r="D9549" s="629"/>
      <c r="E9549" s="629"/>
      <c r="F9549" s="629"/>
      <c r="G9549" s="629"/>
      <c r="H9549" s="629"/>
      <c r="I9549" s="629"/>
      <c r="J9549" s="629"/>
      <c r="K9549" s="629"/>
      <c r="L9549" s="629"/>
      <c r="M9549" s="629"/>
      <c r="N9549" s="629"/>
      <c r="O9549" s="629"/>
      <c r="P9549" s="629"/>
      <c r="Q9549" s="629"/>
      <c r="R9549" s="629"/>
    </row>
    <row r="9550" spans="1:18" ht="60">
      <c r="A9550" s="219">
        <v>2189</v>
      </c>
      <c r="B9550" s="216" t="s">
        <v>17583</v>
      </c>
      <c r="C9550" s="220" t="s">
        <v>17584</v>
      </c>
      <c r="D9550" s="221">
        <v>1603.21</v>
      </c>
      <c r="E9550" s="221">
        <v>943.33</v>
      </c>
      <c r="F9550" s="221">
        <v>599.46</v>
      </c>
      <c r="G9550" s="221">
        <v>60.42</v>
      </c>
      <c r="H9550" s="222">
        <v>14439.94</v>
      </c>
      <c r="I9550" s="222">
        <v>10848.69</v>
      </c>
      <c r="J9550" s="222">
        <v>3161.71</v>
      </c>
      <c r="K9550" s="222">
        <v>429.54</v>
      </c>
      <c r="L9550" s="43">
        <v>9.0068924220782058</v>
      </c>
      <c r="M9550" s="43">
        <v>11.500418729394804</v>
      </c>
      <c r="N9550" s="43">
        <v>5.2742635038201042</v>
      </c>
      <c r="O9550" s="43">
        <v>7.1092353525322745</v>
      </c>
      <c r="P9550" s="223"/>
      <c r="Q9550" s="223"/>
      <c r="R9550" s="223">
        <v>5</v>
      </c>
    </row>
    <row r="9551" spans="1:18" ht="60">
      <c r="A9551" s="219">
        <v>2190</v>
      </c>
      <c r="B9551" s="216" t="s">
        <v>17585</v>
      </c>
      <c r="C9551" s="220" t="s">
        <v>17586</v>
      </c>
      <c r="D9551" s="221">
        <v>1774.82</v>
      </c>
      <c r="E9551" s="221">
        <v>1011.12</v>
      </c>
      <c r="F9551" s="221">
        <v>639.96</v>
      </c>
      <c r="G9551" s="221">
        <v>123.74</v>
      </c>
      <c r="H9551" s="222">
        <v>15787.27</v>
      </c>
      <c r="I9551" s="222">
        <v>11628.32</v>
      </c>
      <c r="J9551" s="222">
        <v>3375.87</v>
      </c>
      <c r="K9551" s="222">
        <v>783.08</v>
      </c>
      <c r="L9551" s="43">
        <v>8.8951386619488186</v>
      </c>
      <c r="M9551" s="43">
        <v>11.500435161009573</v>
      </c>
      <c r="N9551" s="43">
        <v>5.2751265704106505</v>
      </c>
      <c r="O9551" s="43">
        <v>6.3284305802489094</v>
      </c>
      <c r="P9551" s="223"/>
      <c r="Q9551" s="223"/>
      <c r="R9551" s="223">
        <v>5</v>
      </c>
    </row>
    <row r="9552" spans="1:18" ht="60">
      <c r="A9552" s="219">
        <v>2191</v>
      </c>
      <c r="B9552" s="216" t="s">
        <v>17587</v>
      </c>
      <c r="C9552" s="220" t="s">
        <v>17588</v>
      </c>
      <c r="D9552" s="221">
        <v>2774.14</v>
      </c>
      <c r="E9552" s="221">
        <v>1539.66</v>
      </c>
      <c r="F9552" s="221">
        <v>988.39</v>
      </c>
      <c r="G9552" s="221">
        <v>246.09</v>
      </c>
      <c r="H9552" s="222">
        <v>24413.35</v>
      </c>
      <c r="I9552" s="222">
        <v>17706.759999999998</v>
      </c>
      <c r="J9552" s="222">
        <v>5214.54</v>
      </c>
      <c r="K9552" s="222">
        <v>1492.05</v>
      </c>
      <c r="L9552" s="43">
        <v>8.8003309133641423</v>
      </c>
      <c r="M9552" s="43">
        <v>11.500435161009571</v>
      </c>
      <c r="N9552" s="43">
        <v>5.2757919444753592</v>
      </c>
      <c r="O9552" s="43">
        <v>6.0630257222967208</v>
      </c>
      <c r="P9552" s="223"/>
      <c r="Q9552" s="223"/>
      <c r="R9552" s="223">
        <v>5</v>
      </c>
    </row>
    <row r="9553" spans="1:18" ht="60">
      <c r="A9553" s="219">
        <v>2192</v>
      </c>
      <c r="B9553" s="216" t="s">
        <v>17589</v>
      </c>
      <c r="C9553" s="220" t="s">
        <v>17590</v>
      </c>
      <c r="D9553" s="221">
        <v>2889.81</v>
      </c>
      <c r="E9553" s="221">
        <v>1539.66</v>
      </c>
      <c r="F9553" s="221">
        <v>1017.15</v>
      </c>
      <c r="G9553" s="221">
        <v>333</v>
      </c>
      <c r="H9553" s="222">
        <v>25019.42</v>
      </c>
      <c r="I9553" s="222">
        <v>17706.759999999998</v>
      </c>
      <c r="J9553" s="222">
        <v>5365.37</v>
      </c>
      <c r="K9553" s="222">
        <v>1947.29</v>
      </c>
      <c r="L9553" s="43">
        <v>8.6578079527719805</v>
      </c>
      <c r="M9553" s="43">
        <v>11.500435161009571</v>
      </c>
      <c r="N9553" s="43">
        <v>5.2749053728555273</v>
      </c>
      <c r="O9553" s="43">
        <v>5.8477177177177175</v>
      </c>
      <c r="P9553" s="223"/>
      <c r="Q9553" s="223"/>
      <c r="R9553" s="223">
        <v>5</v>
      </c>
    </row>
    <row r="9554" spans="1:18" ht="60">
      <c r="A9554" s="219">
        <v>2193</v>
      </c>
      <c r="B9554" s="216" t="s">
        <v>17591</v>
      </c>
      <c r="C9554" s="220" t="s">
        <v>17592</v>
      </c>
      <c r="D9554" s="221">
        <v>3531.9</v>
      </c>
      <c r="E9554" s="221">
        <v>1918.83</v>
      </c>
      <c r="F9554" s="221">
        <v>1158.7</v>
      </c>
      <c r="G9554" s="221">
        <v>454.37</v>
      </c>
      <c r="H9554" s="222">
        <v>30809.02</v>
      </c>
      <c r="I9554" s="222">
        <v>22067.38</v>
      </c>
      <c r="J9554" s="222">
        <v>6112.94</v>
      </c>
      <c r="K9554" s="222">
        <v>2628.7</v>
      </c>
      <c r="L9554" s="43">
        <v>8.7230725671734763</v>
      </c>
      <c r="M9554" s="43">
        <v>11.500435161009575</v>
      </c>
      <c r="N9554" s="43">
        <v>5.2756882713385682</v>
      </c>
      <c r="O9554" s="43">
        <v>5.7853731540374582</v>
      </c>
      <c r="P9554" s="223"/>
      <c r="Q9554" s="223"/>
      <c r="R9554" s="223">
        <v>5</v>
      </c>
    </row>
    <row r="9555" spans="1:18" ht="60">
      <c r="A9555" s="219">
        <v>2194</v>
      </c>
      <c r="B9555" s="216" t="s">
        <v>17593</v>
      </c>
      <c r="C9555" s="220" t="s">
        <v>17594</v>
      </c>
      <c r="D9555" s="221">
        <v>4051.7</v>
      </c>
      <c r="E9555" s="221">
        <v>2102.67</v>
      </c>
      <c r="F9555" s="221">
        <v>1378.71</v>
      </c>
      <c r="G9555" s="221">
        <v>570.32000000000005</v>
      </c>
      <c r="H9555" s="222">
        <v>34713</v>
      </c>
      <c r="I9555" s="222">
        <v>24181.62</v>
      </c>
      <c r="J9555" s="222">
        <v>7271.39</v>
      </c>
      <c r="K9555" s="222">
        <v>3259.99</v>
      </c>
      <c r="L9555" s="43">
        <v>8.5675148703013555</v>
      </c>
      <c r="M9555" s="43">
        <v>11.500435161009573</v>
      </c>
      <c r="N9555" s="43">
        <v>5.2740532816908559</v>
      </c>
      <c r="O9555" s="43">
        <v>5.7160716790573707</v>
      </c>
      <c r="P9555" s="223"/>
      <c r="Q9555" s="223"/>
      <c r="R9555" s="223">
        <v>5</v>
      </c>
    </row>
    <row r="9556" spans="1:18" ht="60">
      <c r="A9556" s="219">
        <v>2195</v>
      </c>
      <c r="B9556" s="216" t="s">
        <v>17595</v>
      </c>
      <c r="C9556" s="220" t="s">
        <v>17596</v>
      </c>
      <c r="D9556" s="221">
        <v>4304.97</v>
      </c>
      <c r="E9556" s="221">
        <v>2298</v>
      </c>
      <c r="F9556" s="221">
        <v>1495.14</v>
      </c>
      <c r="G9556" s="221">
        <v>511.83</v>
      </c>
      <c r="H9556" s="222">
        <v>37365.519999999997</v>
      </c>
      <c r="I9556" s="222">
        <v>26428</v>
      </c>
      <c r="J9556" s="222">
        <v>7885.21</v>
      </c>
      <c r="K9556" s="222">
        <v>3052.31</v>
      </c>
      <c r="L9556" s="43">
        <v>8.6796237836732875</v>
      </c>
      <c r="M9556" s="43">
        <v>11.500435161009573</v>
      </c>
      <c r="N9556" s="43">
        <v>5.273894083497197</v>
      </c>
      <c r="O9556" s="43">
        <v>5.9635230447609562</v>
      </c>
      <c r="P9556" s="223"/>
      <c r="Q9556" s="223"/>
      <c r="R9556" s="223">
        <v>5</v>
      </c>
    </row>
    <row r="9557" spans="1:18" ht="60">
      <c r="A9557" s="219">
        <v>2196</v>
      </c>
      <c r="B9557" s="216" t="s">
        <v>17597</v>
      </c>
      <c r="C9557" s="220" t="s">
        <v>17598</v>
      </c>
      <c r="D9557" s="221">
        <v>4913.83</v>
      </c>
      <c r="E9557" s="221">
        <v>2320.98</v>
      </c>
      <c r="F9557" s="221">
        <v>1558.93</v>
      </c>
      <c r="G9557" s="221">
        <v>1033.92</v>
      </c>
      <c r="H9557" s="222">
        <v>40805.160000000003</v>
      </c>
      <c r="I9557" s="222">
        <v>26692.28</v>
      </c>
      <c r="J9557" s="222">
        <v>8211.52</v>
      </c>
      <c r="K9557" s="222">
        <v>5901.36</v>
      </c>
      <c r="L9557" s="43">
        <v>8.3041456460642724</v>
      </c>
      <c r="M9557" s="43">
        <v>11.500435161009573</v>
      </c>
      <c r="N9557" s="43">
        <v>5.2674077732803912</v>
      </c>
      <c r="O9557" s="43">
        <v>5.707753017641596</v>
      </c>
      <c r="P9557" s="223"/>
      <c r="Q9557" s="223"/>
      <c r="R9557" s="223">
        <v>5</v>
      </c>
    </row>
    <row r="9558" spans="1:18" ht="60">
      <c r="A9558" s="219">
        <v>2197</v>
      </c>
      <c r="B9558" s="216" t="s">
        <v>17599</v>
      </c>
      <c r="C9558" s="220" t="s">
        <v>17600</v>
      </c>
      <c r="D9558" s="221">
        <v>5779.53</v>
      </c>
      <c r="E9558" s="221">
        <v>2458.86</v>
      </c>
      <c r="F9558" s="221">
        <v>1871.7</v>
      </c>
      <c r="G9558" s="221">
        <v>1448.97</v>
      </c>
      <c r="H9558" s="222">
        <v>46301.88</v>
      </c>
      <c r="I9558" s="222">
        <v>28277.96</v>
      </c>
      <c r="J9558" s="222">
        <v>9859.9</v>
      </c>
      <c r="K9558" s="222">
        <v>8164.02</v>
      </c>
      <c r="L9558" s="43">
        <v>8.0113573249035817</v>
      </c>
      <c r="M9558" s="43">
        <v>11.500435161009573</v>
      </c>
      <c r="N9558" s="43">
        <v>5.2678848105999894</v>
      </c>
      <c r="O9558" s="43">
        <v>5.6343609598542415</v>
      </c>
      <c r="P9558" s="223"/>
      <c r="Q9558" s="223"/>
      <c r="R9558" s="223">
        <v>5</v>
      </c>
    </row>
    <row r="9559" spans="1:18" ht="60">
      <c r="A9559" s="219">
        <v>2198</v>
      </c>
      <c r="B9559" s="216" t="s">
        <v>17601</v>
      </c>
      <c r="C9559" s="220" t="s">
        <v>17602</v>
      </c>
      <c r="D9559" s="221">
        <v>6273.77</v>
      </c>
      <c r="E9559" s="221">
        <v>2516.31</v>
      </c>
      <c r="F9559" s="221">
        <v>1927.38</v>
      </c>
      <c r="G9559" s="221">
        <v>1830.08</v>
      </c>
      <c r="H9559" s="222">
        <v>49342.14</v>
      </c>
      <c r="I9559" s="222">
        <v>28938.66</v>
      </c>
      <c r="J9559" s="222">
        <v>10156.1</v>
      </c>
      <c r="K9559" s="222">
        <v>10247.379999999999</v>
      </c>
      <c r="L9559" s="43">
        <v>7.8648308752153806</v>
      </c>
      <c r="M9559" s="43">
        <v>11.500435161009573</v>
      </c>
      <c r="N9559" s="43">
        <v>5.2693812325540366</v>
      </c>
      <c r="O9559" s="43">
        <v>5.5994164189543625</v>
      </c>
      <c r="P9559" s="223"/>
      <c r="Q9559" s="223"/>
      <c r="R9559" s="223">
        <v>5</v>
      </c>
    </row>
    <row r="9560" spans="1:18" ht="12.75" customHeight="1">
      <c r="A9560" s="628" t="s">
        <v>17603</v>
      </c>
      <c r="B9560" s="629"/>
      <c r="C9560" s="629"/>
      <c r="D9560" s="629"/>
      <c r="E9560" s="629"/>
      <c r="F9560" s="629"/>
      <c r="G9560" s="629"/>
      <c r="H9560" s="629"/>
      <c r="I9560" s="629"/>
      <c r="J9560" s="629"/>
      <c r="K9560" s="629"/>
      <c r="L9560" s="629"/>
      <c r="M9560" s="629"/>
      <c r="N9560" s="629"/>
      <c r="O9560" s="629"/>
      <c r="P9560" s="629"/>
      <c r="Q9560" s="629"/>
      <c r="R9560" s="629"/>
    </row>
    <row r="9561" spans="1:18" ht="60">
      <c r="A9561" s="219">
        <v>2199</v>
      </c>
      <c r="B9561" s="216" t="s">
        <v>17604</v>
      </c>
      <c r="C9561" s="220" t="s">
        <v>17605</v>
      </c>
      <c r="D9561" s="221">
        <v>2871.06</v>
      </c>
      <c r="E9561" s="221">
        <v>1757.97</v>
      </c>
      <c r="F9561" s="221">
        <v>1016.45</v>
      </c>
      <c r="G9561" s="221">
        <v>96.64</v>
      </c>
      <c r="H9561" s="222">
        <v>26294.63</v>
      </c>
      <c r="I9561" s="222">
        <v>20217.419999999998</v>
      </c>
      <c r="J9561" s="222">
        <v>5356</v>
      </c>
      <c r="K9561" s="222">
        <v>721.21</v>
      </c>
      <c r="L9561" s="43">
        <v>9.1585094007091463</v>
      </c>
      <c r="M9561" s="43">
        <v>11.500435161009573</v>
      </c>
      <c r="N9561" s="43">
        <v>5.2693196910817059</v>
      </c>
      <c r="O9561" s="43">
        <v>7.4628518211920536</v>
      </c>
      <c r="P9561" s="223"/>
      <c r="Q9561" s="223"/>
      <c r="R9561" s="223">
        <v>6</v>
      </c>
    </row>
    <row r="9562" spans="1:18" ht="60">
      <c r="A9562" s="219">
        <v>2200</v>
      </c>
      <c r="B9562" s="216" t="s">
        <v>17606</v>
      </c>
      <c r="C9562" s="220" t="s">
        <v>17607</v>
      </c>
      <c r="D9562" s="221">
        <v>3074.22</v>
      </c>
      <c r="E9562" s="221">
        <v>1803.93</v>
      </c>
      <c r="F9562" s="221">
        <v>1084.26</v>
      </c>
      <c r="G9562" s="221">
        <v>186.03</v>
      </c>
      <c r="H9562" s="222">
        <v>27656.720000000001</v>
      </c>
      <c r="I9562" s="222">
        <v>20745.98</v>
      </c>
      <c r="J9562" s="222">
        <v>5714.1</v>
      </c>
      <c r="K9562" s="222">
        <v>1196.6400000000001</v>
      </c>
      <c r="L9562" s="43">
        <v>8.9963372823025036</v>
      </c>
      <c r="M9562" s="43">
        <v>11.500435161009573</v>
      </c>
      <c r="N9562" s="43">
        <v>5.2700459299430031</v>
      </c>
      <c r="O9562" s="43">
        <v>6.4325108853410748</v>
      </c>
      <c r="P9562" s="223"/>
      <c r="Q9562" s="223"/>
      <c r="R9562" s="223">
        <v>6</v>
      </c>
    </row>
    <row r="9563" spans="1:18" ht="60">
      <c r="A9563" s="219">
        <v>2201</v>
      </c>
      <c r="B9563" s="216" t="s">
        <v>17608</v>
      </c>
      <c r="C9563" s="220" t="s">
        <v>17609</v>
      </c>
      <c r="D9563" s="221">
        <v>4666.3900000000003</v>
      </c>
      <c r="E9563" s="221">
        <v>2677.17</v>
      </c>
      <c r="F9563" s="221">
        <v>1635.35</v>
      </c>
      <c r="G9563" s="221">
        <v>353.87</v>
      </c>
      <c r="H9563" s="222">
        <v>41613.370000000003</v>
      </c>
      <c r="I9563" s="222">
        <v>30788.62</v>
      </c>
      <c r="J9563" s="222">
        <v>8628.99</v>
      </c>
      <c r="K9563" s="222">
        <v>2195.7600000000002</v>
      </c>
      <c r="L9563" s="43">
        <v>8.9176794052790278</v>
      </c>
      <c r="M9563" s="43">
        <v>11.500435161009573</v>
      </c>
      <c r="N9563" s="43">
        <v>5.2765401901733577</v>
      </c>
      <c r="O9563" s="43">
        <v>6.204990533246673</v>
      </c>
      <c r="P9563" s="223"/>
      <c r="Q9563" s="223"/>
      <c r="R9563" s="223">
        <v>6</v>
      </c>
    </row>
    <row r="9564" spans="1:18" ht="60">
      <c r="A9564" s="219">
        <v>2202</v>
      </c>
      <c r="B9564" s="216" t="s">
        <v>17610</v>
      </c>
      <c r="C9564" s="220" t="s">
        <v>17611</v>
      </c>
      <c r="D9564" s="221">
        <v>4784.37</v>
      </c>
      <c r="E9564" s="221">
        <v>2677.17</v>
      </c>
      <c r="F9564" s="221">
        <v>1641.01</v>
      </c>
      <c r="G9564" s="221">
        <v>466.19</v>
      </c>
      <c r="H9564" s="222">
        <v>42242.13</v>
      </c>
      <c r="I9564" s="222">
        <v>30788.62</v>
      </c>
      <c r="J9564" s="222">
        <v>8660.16</v>
      </c>
      <c r="K9564" s="222">
        <v>2793.35</v>
      </c>
      <c r="L9564" s="43">
        <v>8.8291938123514697</v>
      </c>
      <c r="M9564" s="43">
        <v>11.500435161009573</v>
      </c>
      <c r="N9564" s="43">
        <v>5.2773352996020746</v>
      </c>
      <c r="O9564" s="43">
        <v>5.9918702674875046</v>
      </c>
      <c r="P9564" s="223"/>
      <c r="Q9564" s="223"/>
      <c r="R9564" s="223">
        <v>6</v>
      </c>
    </row>
    <row r="9565" spans="1:18" ht="60">
      <c r="A9565" s="219">
        <v>2203</v>
      </c>
      <c r="B9565" s="216" t="s">
        <v>17612</v>
      </c>
      <c r="C9565" s="220" t="s">
        <v>17613</v>
      </c>
      <c r="D9565" s="221">
        <v>5638.15</v>
      </c>
      <c r="E9565" s="221">
        <v>3102.3</v>
      </c>
      <c r="F9565" s="221">
        <v>1908.4</v>
      </c>
      <c r="G9565" s="221">
        <v>627.45000000000005</v>
      </c>
      <c r="H9565" s="222">
        <v>49419.34</v>
      </c>
      <c r="I9565" s="222">
        <v>35677.800000000003</v>
      </c>
      <c r="J9565" s="222">
        <v>10069.1</v>
      </c>
      <c r="K9565" s="222">
        <v>3672.44</v>
      </c>
      <c r="L9565" s="43">
        <v>8.7651694261415543</v>
      </c>
      <c r="M9565" s="43">
        <v>11.500435161009573</v>
      </c>
      <c r="N9565" s="43">
        <v>5.2761999580800669</v>
      </c>
      <c r="O9565" s="43">
        <v>5.8529603952506175</v>
      </c>
      <c r="P9565" s="223"/>
      <c r="Q9565" s="223"/>
      <c r="R9565" s="223">
        <v>6</v>
      </c>
    </row>
    <row r="9566" spans="1:18" ht="60">
      <c r="A9566" s="219">
        <v>2204</v>
      </c>
      <c r="B9566" s="216" t="s">
        <v>17614</v>
      </c>
      <c r="C9566" s="220" t="s">
        <v>17615</v>
      </c>
      <c r="D9566" s="221">
        <v>6565.78</v>
      </c>
      <c r="E9566" s="221">
        <v>3550.41</v>
      </c>
      <c r="F9566" s="221">
        <v>2209.2600000000002</v>
      </c>
      <c r="G9566" s="221">
        <v>806.11</v>
      </c>
      <c r="H9566" s="222">
        <v>57170.38</v>
      </c>
      <c r="I9566" s="222">
        <v>40831.26</v>
      </c>
      <c r="J9566" s="222">
        <v>11655.59</v>
      </c>
      <c r="K9566" s="222">
        <v>4683.53</v>
      </c>
      <c r="L9566" s="43">
        <v>8.7073249484448159</v>
      </c>
      <c r="M9566" s="43">
        <v>11.500435161009575</v>
      </c>
      <c r="N9566" s="43">
        <v>5.2757891782768889</v>
      </c>
      <c r="O9566" s="43">
        <v>5.8100383322375357</v>
      </c>
      <c r="P9566" s="223"/>
      <c r="Q9566" s="223"/>
      <c r="R9566" s="223">
        <v>6</v>
      </c>
    </row>
    <row r="9567" spans="1:18" ht="60">
      <c r="A9567" s="219">
        <v>2205</v>
      </c>
      <c r="B9567" s="216" t="s">
        <v>17616</v>
      </c>
      <c r="C9567" s="220" t="s">
        <v>17617</v>
      </c>
      <c r="D9567" s="221">
        <v>6937.64</v>
      </c>
      <c r="E9567" s="221">
        <v>3676.8</v>
      </c>
      <c r="F9567" s="221">
        <v>2560.73</v>
      </c>
      <c r="G9567" s="221">
        <v>700.11</v>
      </c>
      <c r="H9567" s="222">
        <v>60037.03</v>
      </c>
      <c r="I9567" s="222">
        <v>42284.800000000003</v>
      </c>
      <c r="J9567" s="222">
        <v>13511.61</v>
      </c>
      <c r="K9567" s="222">
        <v>4240.62</v>
      </c>
      <c r="L9567" s="43">
        <v>8.6538116708275439</v>
      </c>
      <c r="M9567" s="43">
        <v>11.500435161009573</v>
      </c>
      <c r="N9567" s="43">
        <v>5.2764680384109219</v>
      </c>
      <c r="O9567" s="43">
        <v>6.0570767450829148</v>
      </c>
      <c r="P9567" s="223"/>
      <c r="Q9567" s="223"/>
      <c r="R9567" s="223">
        <v>6</v>
      </c>
    </row>
    <row r="9568" spans="1:18" ht="60">
      <c r="A9568" s="219">
        <v>2206</v>
      </c>
      <c r="B9568" s="216" t="s">
        <v>17618</v>
      </c>
      <c r="C9568" s="220" t="s">
        <v>17619</v>
      </c>
      <c r="D9568" s="221">
        <v>8027.68</v>
      </c>
      <c r="E9568" s="221">
        <v>3814.68</v>
      </c>
      <c r="F9568" s="221">
        <v>2813.95</v>
      </c>
      <c r="G9568" s="221">
        <v>1399.05</v>
      </c>
      <c r="H9568" s="222">
        <v>66772.55</v>
      </c>
      <c r="I9568" s="222">
        <v>43870.48</v>
      </c>
      <c r="J9568" s="222">
        <v>14833.06</v>
      </c>
      <c r="K9568" s="222">
        <v>8069.01</v>
      </c>
      <c r="L9568" s="43">
        <v>8.3177891993701785</v>
      </c>
      <c r="M9568" s="43">
        <v>11.500435161009575</v>
      </c>
      <c r="N9568" s="43">
        <v>5.2712592618916467</v>
      </c>
      <c r="O9568" s="43">
        <v>5.7674922268682325</v>
      </c>
      <c r="P9568" s="223"/>
      <c r="Q9568" s="223"/>
      <c r="R9568" s="223">
        <v>6</v>
      </c>
    </row>
    <row r="9569" spans="1:18" ht="60">
      <c r="A9569" s="219">
        <v>2207</v>
      </c>
      <c r="B9569" s="216" t="s">
        <v>17620</v>
      </c>
      <c r="C9569" s="220" t="s">
        <v>17621</v>
      </c>
      <c r="D9569" s="221">
        <v>9043.7099999999991</v>
      </c>
      <c r="E9569" s="221">
        <v>4101.93</v>
      </c>
      <c r="F9569" s="221">
        <v>2967.61</v>
      </c>
      <c r="G9569" s="221">
        <v>1974.17</v>
      </c>
      <c r="H9569" s="222">
        <v>74037.48</v>
      </c>
      <c r="I9569" s="222">
        <v>47173.98</v>
      </c>
      <c r="J9569" s="222">
        <v>15641.82</v>
      </c>
      <c r="K9569" s="222">
        <v>11221.68</v>
      </c>
      <c r="L9569" s="43">
        <v>8.1866269484536769</v>
      </c>
      <c r="M9569" s="43">
        <v>11.500435161009573</v>
      </c>
      <c r="N9569" s="43">
        <v>5.2708475844197853</v>
      </c>
      <c r="O9569" s="43">
        <v>5.6842521160791621</v>
      </c>
      <c r="P9569" s="223"/>
      <c r="Q9569" s="223"/>
      <c r="R9569" s="223">
        <v>6</v>
      </c>
    </row>
    <row r="9570" spans="1:18" ht="60">
      <c r="A9570" s="219">
        <v>2208</v>
      </c>
      <c r="B9570" s="216" t="s">
        <v>17622</v>
      </c>
      <c r="C9570" s="220" t="s">
        <v>17623</v>
      </c>
      <c r="D9570" s="221">
        <v>10549.65</v>
      </c>
      <c r="E9570" s="221">
        <v>4550.04</v>
      </c>
      <c r="F9570" s="221">
        <v>3470.44</v>
      </c>
      <c r="G9570" s="221">
        <v>2529.17</v>
      </c>
      <c r="H9570" s="222">
        <v>84928.88</v>
      </c>
      <c r="I9570" s="222">
        <v>52327.44</v>
      </c>
      <c r="J9570" s="222">
        <v>18293.34</v>
      </c>
      <c r="K9570" s="222">
        <v>14308.1</v>
      </c>
      <c r="L9570" s="43">
        <v>8.0503978804984051</v>
      </c>
      <c r="M9570" s="43">
        <v>11.500435161009575</v>
      </c>
      <c r="N9570" s="43">
        <v>5.2711875151277647</v>
      </c>
      <c r="O9570" s="43">
        <v>5.6572314237477119</v>
      </c>
      <c r="P9570" s="223"/>
      <c r="Q9570" s="223"/>
      <c r="R9570" s="223">
        <v>6</v>
      </c>
    </row>
    <row r="9571" spans="1:18" ht="12.75" customHeight="1">
      <c r="A9571" s="628" t="s">
        <v>17624</v>
      </c>
      <c r="B9571" s="629"/>
      <c r="C9571" s="629"/>
      <c r="D9571" s="629"/>
      <c r="E9571" s="629"/>
      <c r="F9571" s="629"/>
      <c r="G9571" s="629"/>
      <c r="H9571" s="629"/>
      <c r="I9571" s="629"/>
      <c r="J9571" s="629"/>
      <c r="K9571" s="629"/>
      <c r="L9571" s="629"/>
      <c r="M9571" s="629"/>
      <c r="N9571" s="629"/>
      <c r="O9571" s="629"/>
      <c r="P9571" s="629"/>
      <c r="Q9571" s="629"/>
      <c r="R9571" s="629"/>
    </row>
    <row r="9572" spans="1:18" ht="12.75" customHeight="1">
      <c r="A9572" s="628" t="s">
        <v>17625</v>
      </c>
      <c r="B9572" s="629"/>
      <c r="C9572" s="629"/>
      <c r="D9572" s="629"/>
      <c r="E9572" s="629"/>
      <c r="F9572" s="629"/>
      <c r="G9572" s="629"/>
      <c r="H9572" s="629"/>
      <c r="I9572" s="629"/>
      <c r="J9572" s="629"/>
      <c r="K9572" s="629"/>
      <c r="L9572" s="629"/>
      <c r="M9572" s="629"/>
      <c r="N9572" s="629"/>
      <c r="O9572" s="629"/>
      <c r="P9572" s="629"/>
      <c r="Q9572" s="629"/>
      <c r="R9572" s="629"/>
    </row>
    <row r="9573" spans="1:18" ht="36">
      <c r="A9573" s="219">
        <v>2209</v>
      </c>
      <c r="B9573" s="216" t="s">
        <v>17626</v>
      </c>
      <c r="C9573" s="220" t="s">
        <v>17627</v>
      </c>
      <c r="D9573" s="221">
        <v>57.39</v>
      </c>
      <c r="E9573" s="221">
        <v>38.15</v>
      </c>
      <c r="F9573" s="221">
        <v>16.149999999999999</v>
      </c>
      <c r="G9573" s="221">
        <v>3.09</v>
      </c>
      <c r="H9573" s="222">
        <v>548.04999999999995</v>
      </c>
      <c r="I9573" s="222">
        <v>438.7</v>
      </c>
      <c r="J9573" s="222">
        <v>85.43</v>
      </c>
      <c r="K9573" s="222">
        <v>23.92</v>
      </c>
      <c r="L9573" s="43">
        <v>9.5495730963582499</v>
      </c>
      <c r="M9573" s="43">
        <v>11.499344692005243</v>
      </c>
      <c r="N9573" s="43">
        <v>5.2897832817337473</v>
      </c>
      <c r="O9573" s="43">
        <v>7.7411003236245968</v>
      </c>
      <c r="P9573" s="223"/>
      <c r="Q9573" s="223"/>
      <c r="R9573" s="223">
        <v>1</v>
      </c>
    </row>
    <row r="9574" spans="1:18" ht="36">
      <c r="A9574" s="219">
        <v>2210</v>
      </c>
      <c r="B9574" s="216" t="s">
        <v>17628</v>
      </c>
      <c r="C9574" s="220" t="s">
        <v>17629</v>
      </c>
      <c r="D9574" s="221">
        <v>66.290000000000006</v>
      </c>
      <c r="E9574" s="221">
        <v>43.43</v>
      </c>
      <c r="F9574" s="221">
        <v>18.82</v>
      </c>
      <c r="G9574" s="221">
        <v>4.04</v>
      </c>
      <c r="H9574" s="222">
        <v>629.39</v>
      </c>
      <c r="I9574" s="222">
        <v>499.49</v>
      </c>
      <c r="J9574" s="222">
        <v>99.5</v>
      </c>
      <c r="K9574" s="222">
        <v>30.4</v>
      </c>
      <c r="L9574" s="43">
        <v>9.4944938904812179</v>
      </c>
      <c r="M9574" s="43">
        <v>11.501036150126641</v>
      </c>
      <c r="N9574" s="43">
        <v>5.2869287991498402</v>
      </c>
      <c r="O9574" s="43">
        <v>7.5247524752475243</v>
      </c>
      <c r="P9574" s="223"/>
      <c r="Q9574" s="223"/>
      <c r="R9574" s="223">
        <v>1</v>
      </c>
    </row>
    <row r="9575" spans="1:18" ht="36">
      <c r="A9575" s="219">
        <v>2211</v>
      </c>
      <c r="B9575" s="216" t="s">
        <v>17630</v>
      </c>
      <c r="C9575" s="220" t="s">
        <v>17631</v>
      </c>
      <c r="D9575" s="221">
        <v>68.62</v>
      </c>
      <c r="E9575" s="221">
        <v>43.43</v>
      </c>
      <c r="F9575" s="221">
        <v>19.66</v>
      </c>
      <c r="G9575" s="221">
        <v>5.53</v>
      </c>
      <c r="H9575" s="222">
        <v>643.80999999999995</v>
      </c>
      <c r="I9575" s="222">
        <v>499.49</v>
      </c>
      <c r="J9575" s="222">
        <v>103.93</v>
      </c>
      <c r="K9575" s="222">
        <v>40.39</v>
      </c>
      <c r="L9575" s="43">
        <v>9.3822500728650517</v>
      </c>
      <c r="M9575" s="43">
        <v>11.501036150126641</v>
      </c>
      <c r="N9575" s="43">
        <v>5.2863682604272642</v>
      </c>
      <c r="O9575" s="43">
        <v>7.3037974683544302</v>
      </c>
      <c r="P9575" s="223"/>
      <c r="Q9575" s="223"/>
      <c r="R9575" s="223">
        <v>1</v>
      </c>
    </row>
    <row r="9576" spans="1:18" ht="36">
      <c r="A9576" s="219">
        <v>2212</v>
      </c>
      <c r="B9576" s="216" t="s">
        <v>17632</v>
      </c>
      <c r="C9576" s="220" t="s">
        <v>17633</v>
      </c>
      <c r="D9576" s="221">
        <v>74.989999999999995</v>
      </c>
      <c r="E9576" s="221">
        <v>46.07</v>
      </c>
      <c r="F9576" s="221">
        <v>22.5</v>
      </c>
      <c r="G9576" s="221">
        <v>6.42</v>
      </c>
      <c r="H9576" s="222">
        <v>695.07</v>
      </c>
      <c r="I9576" s="222">
        <v>529.88</v>
      </c>
      <c r="J9576" s="222">
        <v>119.03</v>
      </c>
      <c r="K9576" s="222">
        <v>46.16</v>
      </c>
      <c r="L9576" s="43">
        <v>9.2688358447793053</v>
      </c>
      <c r="M9576" s="43">
        <v>11.501627957456044</v>
      </c>
      <c r="N9576" s="43">
        <v>5.2902222222222219</v>
      </c>
      <c r="O9576" s="43">
        <v>7.1900311526479745</v>
      </c>
      <c r="P9576" s="223"/>
      <c r="Q9576" s="223"/>
      <c r="R9576" s="223">
        <v>1</v>
      </c>
    </row>
    <row r="9577" spans="1:18" ht="36">
      <c r="A9577" s="219">
        <v>2213</v>
      </c>
      <c r="B9577" s="216" t="s">
        <v>17634</v>
      </c>
      <c r="C9577" s="220" t="s">
        <v>17635</v>
      </c>
      <c r="D9577" s="221">
        <v>83.56</v>
      </c>
      <c r="E9577" s="221">
        <v>51.36</v>
      </c>
      <c r="F9577" s="221">
        <v>24.84</v>
      </c>
      <c r="G9577" s="221">
        <v>7.36</v>
      </c>
      <c r="H9577" s="222">
        <v>774.74</v>
      </c>
      <c r="I9577" s="222">
        <v>590.66999999999996</v>
      </c>
      <c r="J9577" s="222">
        <v>131.41999999999999</v>
      </c>
      <c r="K9577" s="222">
        <v>52.65</v>
      </c>
      <c r="L9577" s="43">
        <v>9.2716610818573475</v>
      </c>
      <c r="M9577" s="43">
        <v>11.500584112149532</v>
      </c>
      <c r="N9577" s="43">
        <v>5.2906602254428341</v>
      </c>
      <c r="O9577" s="43">
        <v>7.1535326086956514</v>
      </c>
      <c r="P9577" s="223"/>
      <c r="Q9577" s="223"/>
      <c r="R9577" s="223">
        <v>1</v>
      </c>
    </row>
    <row r="9578" spans="1:18" ht="36">
      <c r="A9578" s="219">
        <v>2214</v>
      </c>
      <c r="B9578" s="216" t="s">
        <v>17636</v>
      </c>
      <c r="C9578" s="220" t="s">
        <v>17637</v>
      </c>
      <c r="D9578" s="221">
        <v>89.32</v>
      </c>
      <c r="E9578" s="221">
        <v>55.27</v>
      </c>
      <c r="F9578" s="221">
        <v>25.77</v>
      </c>
      <c r="G9578" s="221">
        <v>8.2799999999999994</v>
      </c>
      <c r="H9578" s="222">
        <v>830.69</v>
      </c>
      <c r="I9578" s="222">
        <v>635.59</v>
      </c>
      <c r="J9578" s="222">
        <v>136.31</v>
      </c>
      <c r="K9578" s="222">
        <v>58.79</v>
      </c>
      <c r="L9578" s="43">
        <v>9.3001567398119143</v>
      </c>
      <c r="M9578" s="43">
        <v>11.499728605029853</v>
      </c>
      <c r="N9578" s="43">
        <v>5.2894838960031043</v>
      </c>
      <c r="O9578" s="43">
        <v>7.10024154589372</v>
      </c>
      <c r="P9578" s="223"/>
      <c r="Q9578" s="223"/>
      <c r="R9578" s="223">
        <v>1</v>
      </c>
    </row>
    <row r="9579" spans="1:18" ht="36">
      <c r="A9579" s="219">
        <v>2215</v>
      </c>
      <c r="B9579" s="216" t="s">
        <v>17638</v>
      </c>
      <c r="C9579" s="220" t="s">
        <v>17639</v>
      </c>
      <c r="D9579" s="221">
        <v>98.86</v>
      </c>
      <c r="E9579" s="221">
        <v>59.17</v>
      </c>
      <c r="F9579" s="221">
        <v>26.68</v>
      </c>
      <c r="G9579" s="221">
        <v>13.01</v>
      </c>
      <c r="H9579" s="222">
        <v>918.49</v>
      </c>
      <c r="I9579" s="222">
        <v>680.52</v>
      </c>
      <c r="J9579" s="222">
        <v>148.01</v>
      </c>
      <c r="K9579" s="222">
        <v>89.96</v>
      </c>
      <c r="L9579" s="43">
        <v>9.2908152943556548</v>
      </c>
      <c r="M9579" s="43">
        <v>11.5010985296603</v>
      </c>
      <c r="N9579" s="43">
        <v>5.5476011994002992</v>
      </c>
      <c r="O9579" s="43">
        <v>6.9146810146041506</v>
      </c>
      <c r="P9579" s="223"/>
      <c r="Q9579" s="223"/>
      <c r="R9579" s="223">
        <v>1</v>
      </c>
    </row>
    <row r="9580" spans="1:18" ht="36">
      <c r="A9580" s="219">
        <v>2216</v>
      </c>
      <c r="B9580" s="216" t="s">
        <v>17640</v>
      </c>
      <c r="C9580" s="220" t="s">
        <v>17641</v>
      </c>
      <c r="D9580" s="221">
        <v>112.46</v>
      </c>
      <c r="E9580" s="221">
        <v>64.459999999999994</v>
      </c>
      <c r="F9580" s="221">
        <v>36.57</v>
      </c>
      <c r="G9580" s="221">
        <v>11.43</v>
      </c>
      <c r="H9580" s="222">
        <v>998.78</v>
      </c>
      <c r="I9580" s="222">
        <v>741.31</v>
      </c>
      <c r="J9580" s="222">
        <v>202.39</v>
      </c>
      <c r="K9580" s="222">
        <v>55.08</v>
      </c>
      <c r="L9580" s="43">
        <v>8.8812022052285258</v>
      </c>
      <c r="M9580" s="43">
        <v>11.500310269934843</v>
      </c>
      <c r="N9580" s="43">
        <v>5.5343177467869831</v>
      </c>
      <c r="O9580" s="43">
        <v>4.8188976377952759</v>
      </c>
      <c r="P9580" s="223"/>
      <c r="Q9580" s="223"/>
      <c r="R9580" s="223">
        <v>1</v>
      </c>
    </row>
    <row r="9581" spans="1:18" ht="36">
      <c r="A9581" s="219">
        <v>2217</v>
      </c>
      <c r="B9581" s="216" t="s">
        <v>17642</v>
      </c>
      <c r="C9581" s="220" t="s">
        <v>17643</v>
      </c>
      <c r="D9581" s="221">
        <v>124.32</v>
      </c>
      <c r="E9581" s="221">
        <v>68.48</v>
      </c>
      <c r="F9581" s="221">
        <v>42.55</v>
      </c>
      <c r="G9581" s="221">
        <v>13.29</v>
      </c>
      <c r="H9581" s="222">
        <v>1086.3800000000001</v>
      </c>
      <c r="I9581" s="222">
        <v>787.55</v>
      </c>
      <c r="J9581" s="222">
        <v>235.64</v>
      </c>
      <c r="K9581" s="222">
        <v>63.19</v>
      </c>
      <c r="L9581" s="43">
        <v>8.7385778635778646</v>
      </c>
      <c r="M9581" s="43">
        <v>11.500438084112147</v>
      </c>
      <c r="N9581" s="43">
        <v>5.5379553466509988</v>
      </c>
      <c r="O9581" s="43">
        <v>4.754702784048157</v>
      </c>
      <c r="P9581" s="223"/>
      <c r="Q9581" s="223"/>
      <c r="R9581" s="223">
        <v>1</v>
      </c>
    </row>
    <row r="9582" spans="1:18" ht="36">
      <c r="A9582" s="219">
        <v>2218</v>
      </c>
      <c r="B9582" s="216" t="s">
        <v>17644</v>
      </c>
      <c r="C9582" s="220" t="s">
        <v>17645</v>
      </c>
      <c r="D9582" s="221">
        <v>168.97</v>
      </c>
      <c r="E9582" s="221">
        <v>93.41</v>
      </c>
      <c r="F9582" s="221">
        <v>58.68</v>
      </c>
      <c r="G9582" s="221">
        <v>16.88</v>
      </c>
      <c r="H9582" s="222">
        <v>1478.74</v>
      </c>
      <c r="I9582" s="222">
        <v>1074.3</v>
      </c>
      <c r="J9582" s="222">
        <v>323.39999999999998</v>
      </c>
      <c r="K9582" s="222">
        <v>81.040000000000006</v>
      </c>
      <c r="L9582" s="43">
        <v>8.7514943481091318</v>
      </c>
      <c r="M9582" s="43">
        <v>11.500909966812975</v>
      </c>
      <c r="N9582" s="43">
        <v>5.5112474437627812</v>
      </c>
      <c r="O9582" s="43">
        <v>4.8009478672985786</v>
      </c>
      <c r="P9582" s="223"/>
      <c r="Q9582" s="223"/>
      <c r="R9582" s="223">
        <v>1</v>
      </c>
    </row>
    <row r="9583" spans="1:18" ht="36">
      <c r="A9583" s="219">
        <v>2219</v>
      </c>
      <c r="B9583" s="216" t="s">
        <v>17646</v>
      </c>
      <c r="C9583" s="220" t="s">
        <v>17647</v>
      </c>
      <c r="D9583" s="221">
        <v>193.5</v>
      </c>
      <c r="E9583" s="221">
        <v>110.53</v>
      </c>
      <c r="F9583" s="221">
        <v>64.62</v>
      </c>
      <c r="G9583" s="221">
        <v>18.350000000000001</v>
      </c>
      <c r="H9583" s="222">
        <v>1718.21</v>
      </c>
      <c r="I9583" s="222">
        <v>1271.19</v>
      </c>
      <c r="J9583" s="222">
        <v>354.13</v>
      </c>
      <c r="K9583" s="222">
        <v>92.89</v>
      </c>
      <c r="L9583" s="43">
        <v>8.8796382428940568</v>
      </c>
      <c r="M9583" s="43">
        <v>11.500859495159686</v>
      </c>
      <c r="N9583" s="43">
        <v>5.4801918910554006</v>
      </c>
      <c r="O9583" s="43">
        <v>5.0621253405994544</v>
      </c>
      <c r="P9583" s="223"/>
      <c r="Q9583" s="223"/>
      <c r="R9583" s="223">
        <v>1</v>
      </c>
    </row>
    <row r="9584" spans="1:18" ht="36">
      <c r="A9584" s="219">
        <v>2220</v>
      </c>
      <c r="B9584" s="216" t="s">
        <v>17648</v>
      </c>
      <c r="C9584" s="220" t="s">
        <v>17649</v>
      </c>
      <c r="D9584" s="221">
        <v>211.44</v>
      </c>
      <c r="E9584" s="221">
        <v>121.1</v>
      </c>
      <c r="F9584" s="221">
        <v>64.73</v>
      </c>
      <c r="G9584" s="221">
        <v>25.61</v>
      </c>
      <c r="H9584" s="222">
        <v>1865.68</v>
      </c>
      <c r="I9584" s="222">
        <v>1392.76</v>
      </c>
      <c r="J9584" s="222">
        <v>351.6</v>
      </c>
      <c r="K9584" s="222">
        <v>121.32</v>
      </c>
      <c r="L9584" s="43">
        <v>8.8236852062050701</v>
      </c>
      <c r="M9584" s="43">
        <v>11.5009083402147</v>
      </c>
      <c r="N9584" s="43">
        <v>5.4317936042020705</v>
      </c>
      <c r="O9584" s="43">
        <v>4.737212026552128</v>
      </c>
      <c r="P9584" s="223"/>
      <c r="Q9584" s="223"/>
      <c r="R9584" s="223">
        <v>1</v>
      </c>
    </row>
    <row r="9585" spans="1:18" ht="36">
      <c r="A9585" s="219">
        <v>2221</v>
      </c>
      <c r="B9585" s="216" t="s">
        <v>17650</v>
      </c>
      <c r="C9585" s="220" t="s">
        <v>17651</v>
      </c>
      <c r="D9585" s="221">
        <v>312.02999999999997</v>
      </c>
      <c r="E9585" s="221">
        <v>151.32</v>
      </c>
      <c r="F9585" s="221">
        <v>111.66</v>
      </c>
      <c r="G9585" s="221">
        <v>49.05</v>
      </c>
      <c r="H9585" s="222">
        <v>2564.46</v>
      </c>
      <c r="I9585" s="222">
        <v>1740.28</v>
      </c>
      <c r="J9585" s="222">
        <v>603.79</v>
      </c>
      <c r="K9585" s="222">
        <v>220.39</v>
      </c>
      <c r="L9585" s="43">
        <v>8.2186328237669457</v>
      </c>
      <c r="M9585" s="43">
        <v>11.500660851176315</v>
      </c>
      <c r="N9585" s="43">
        <v>5.4073974565645706</v>
      </c>
      <c r="O9585" s="43">
        <v>4.493170234454638</v>
      </c>
      <c r="P9585" s="223"/>
      <c r="Q9585" s="223"/>
      <c r="R9585" s="223">
        <v>1</v>
      </c>
    </row>
    <row r="9586" spans="1:18" ht="36">
      <c r="A9586" s="219">
        <v>2222</v>
      </c>
      <c r="B9586" s="216" t="s">
        <v>17652</v>
      </c>
      <c r="C9586" s="220" t="s">
        <v>17653</v>
      </c>
      <c r="D9586" s="221">
        <v>383.2</v>
      </c>
      <c r="E9586" s="221">
        <v>183.84</v>
      </c>
      <c r="F9586" s="221">
        <v>139.79</v>
      </c>
      <c r="G9586" s="221">
        <v>59.57</v>
      </c>
      <c r="H9586" s="222">
        <v>3134.2</v>
      </c>
      <c r="I9586" s="222">
        <v>2114.2399999999998</v>
      </c>
      <c r="J9586" s="222">
        <v>755.89</v>
      </c>
      <c r="K9586" s="222">
        <v>264.07</v>
      </c>
      <c r="L9586" s="43">
        <v>8.1790187891440507</v>
      </c>
      <c r="M9586" s="43">
        <v>11.500435161009571</v>
      </c>
      <c r="N9586" s="43">
        <v>5.407325273624723</v>
      </c>
      <c r="O9586" s="43">
        <v>4.4329360416316934</v>
      </c>
      <c r="P9586" s="223"/>
      <c r="Q9586" s="223"/>
      <c r="R9586" s="223">
        <v>1</v>
      </c>
    </row>
    <row r="9587" spans="1:18" ht="36">
      <c r="A9587" s="219">
        <v>2223</v>
      </c>
      <c r="B9587" s="216" t="s">
        <v>17654</v>
      </c>
      <c r="C9587" s="220" t="s">
        <v>17655</v>
      </c>
      <c r="D9587" s="221">
        <v>444.91</v>
      </c>
      <c r="E9587" s="221">
        <v>210.27</v>
      </c>
      <c r="F9587" s="221">
        <v>164.14</v>
      </c>
      <c r="G9587" s="221">
        <v>70.5</v>
      </c>
      <c r="H9587" s="222">
        <v>3617.22</v>
      </c>
      <c r="I9587" s="222">
        <v>2418.16</v>
      </c>
      <c r="J9587" s="222">
        <v>887.84</v>
      </c>
      <c r="K9587" s="222">
        <v>311.22000000000003</v>
      </c>
      <c r="L9587" s="43">
        <v>8.1302285855566279</v>
      </c>
      <c r="M9587" s="43">
        <v>11.500261568459598</v>
      </c>
      <c r="N9587" s="43">
        <v>5.4090410625076162</v>
      </c>
      <c r="O9587" s="43">
        <v>4.4144680851063836</v>
      </c>
      <c r="P9587" s="223"/>
      <c r="Q9587" s="223"/>
      <c r="R9587" s="223">
        <v>1</v>
      </c>
    </row>
    <row r="9588" spans="1:18" ht="36">
      <c r="A9588" s="219">
        <v>2224</v>
      </c>
      <c r="B9588" s="216" t="s">
        <v>17656</v>
      </c>
      <c r="C9588" s="220" t="s">
        <v>17657</v>
      </c>
      <c r="D9588" s="221">
        <v>547.16999999999996</v>
      </c>
      <c r="E9588" s="221">
        <v>256.23</v>
      </c>
      <c r="F9588" s="221">
        <v>203.18</v>
      </c>
      <c r="G9588" s="221">
        <v>87.76</v>
      </c>
      <c r="H9588" s="222">
        <v>4428.8900000000003</v>
      </c>
      <c r="I9588" s="222">
        <v>2946.72</v>
      </c>
      <c r="J9588" s="222">
        <v>1099.08</v>
      </c>
      <c r="K9588" s="222">
        <v>383.09</v>
      </c>
      <c r="L9588" s="43">
        <v>8.0941754847670762</v>
      </c>
      <c r="M9588" s="43">
        <v>11.500292705772155</v>
      </c>
      <c r="N9588" s="43">
        <v>5.4093906880598475</v>
      </c>
      <c r="O9588" s="43">
        <v>4.3652005469462161</v>
      </c>
      <c r="P9588" s="223"/>
      <c r="Q9588" s="223"/>
      <c r="R9588" s="223">
        <v>1</v>
      </c>
    </row>
    <row r="9589" spans="1:18" ht="36">
      <c r="A9589" s="219">
        <v>2225</v>
      </c>
      <c r="B9589" s="216" t="s">
        <v>17658</v>
      </c>
      <c r="C9589" s="220" t="s">
        <v>17659</v>
      </c>
      <c r="D9589" s="221">
        <v>669.85</v>
      </c>
      <c r="E9589" s="221">
        <v>289.55</v>
      </c>
      <c r="F9589" s="221">
        <v>241.03</v>
      </c>
      <c r="G9589" s="221">
        <v>139.27000000000001</v>
      </c>
      <c r="H9589" s="222">
        <v>5242.51</v>
      </c>
      <c r="I9589" s="222">
        <v>3329.93</v>
      </c>
      <c r="J9589" s="222">
        <v>1300.52</v>
      </c>
      <c r="K9589" s="222">
        <v>612.05999999999995</v>
      </c>
      <c r="L9589" s="43">
        <v>7.8263939687989845</v>
      </c>
      <c r="M9589" s="43">
        <v>11.500362631669832</v>
      </c>
      <c r="N9589" s="43">
        <v>5.3956768866946021</v>
      </c>
      <c r="O9589" s="43">
        <v>4.3947727435915835</v>
      </c>
      <c r="P9589" s="223"/>
      <c r="Q9589" s="223"/>
      <c r="R9589" s="223">
        <v>1</v>
      </c>
    </row>
    <row r="9590" spans="1:18" ht="36">
      <c r="A9590" s="219">
        <v>2226</v>
      </c>
      <c r="B9590" s="216" t="s">
        <v>17660</v>
      </c>
      <c r="C9590" s="220" t="s">
        <v>17661</v>
      </c>
      <c r="D9590" s="221">
        <v>738.71</v>
      </c>
      <c r="E9590" s="221">
        <v>303.33999999999997</v>
      </c>
      <c r="F9590" s="221">
        <v>272.98</v>
      </c>
      <c r="G9590" s="221">
        <v>162.38999999999999</v>
      </c>
      <c r="H9590" s="222">
        <v>5672.34</v>
      </c>
      <c r="I9590" s="222">
        <v>3488.5</v>
      </c>
      <c r="J9590" s="222">
        <v>1473.77</v>
      </c>
      <c r="K9590" s="222">
        <v>710.07</v>
      </c>
      <c r="L9590" s="43">
        <v>7.6787101839693515</v>
      </c>
      <c r="M9590" s="43">
        <v>11.500296696775896</v>
      </c>
      <c r="N9590" s="43">
        <v>5.398820426404864</v>
      </c>
      <c r="O9590" s="43">
        <v>4.3726214668390915</v>
      </c>
      <c r="P9590" s="223"/>
      <c r="Q9590" s="223"/>
      <c r="R9590" s="223">
        <v>1</v>
      </c>
    </row>
    <row r="9591" spans="1:18" ht="12.75" customHeight="1">
      <c r="A9591" s="628" t="s">
        <v>17662</v>
      </c>
      <c r="B9591" s="629"/>
      <c r="C9591" s="629"/>
      <c r="D9591" s="629"/>
      <c r="E9591" s="629"/>
      <c r="F9591" s="629"/>
      <c r="G9591" s="629"/>
      <c r="H9591" s="629"/>
      <c r="I9591" s="629"/>
      <c r="J9591" s="629"/>
      <c r="K9591" s="629"/>
      <c r="L9591" s="629"/>
      <c r="M9591" s="629"/>
      <c r="N9591" s="629"/>
      <c r="O9591" s="629"/>
      <c r="P9591" s="629"/>
      <c r="Q9591" s="629"/>
      <c r="R9591" s="629"/>
    </row>
    <row r="9592" spans="1:18" ht="36">
      <c r="A9592" s="219">
        <v>2227</v>
      </c>
      <c r="B9592" s="216" t="s">
        <v>17663</v>
      </c>
      <c r="C9592" s="220" t="s">
        <v>17664</v>
      </c>
      <c r="D9592" s="221">
        <v>152.63999999999999</v>
      </c>
      <c r="E9592" s="221">
        <v>92.84</v>
      </c>
      <c r="F9592" s="221">
        <v>54.21</v>
      </c>
      <c r="G9592" s="221">
        <v>5.59</v>
      </c>
      <c r="H9592" s="222">
        <v>1394.03</v>
      </c>
      <c r="I9592" s="222">
        <v>1067.69</v>
      </c>
      <c r="J9592" s="222">
        <v>285.06</v>
      </c>
      <c r="K9592" s="222">
        <v>41.28</v>
      </c>
      <c r="L9592" s="43">
        <v>9.1327961215932927</v>
      </c>
      <c r="M9592" s="43">
        <v>11.500323136579061</v>
      </c>
      <c r="N9592" s="43">
        <v>5.258439402324294</v>
      </c>
      <c r="O9592" s="43">
        <v>7.384615384615385</v>
      </c>
      <c r="P9592" s="223"/>
      <c r="Q9592" s="223"/>
      <c r="R9592" s="223">
        <v>2</v>
      </c>
    </row>
    <row r="9593" spans="1:18" ht="36">
      <c r="A9593" s="219">
        <v>2228</v>
      </c>
      <c r="B9593" s="216" t="s">
        <v>17665</v>
      </c>
      <c r="C9593" s="220" t="s">
        <v>17666</v>
      </c>
      <c r="D9593" s="221">
        <v>156.30000000000001</v>
      </c>
      <c r="E9593" s="221">
        <v>92.84</v>
      </c>
      <c r="F9593" s="221">
        <v>56.72</v>
      </c>
      <c r="G9593" s="221">
        <v>6.74</v>
      </c>
      <c r="H9593" s="222">
        <v>1413.49</v>
      </c>
      <c r="I9593" s="222">
        <v>1067.69</v>
      </c>
      <c r="J9593" s="222">
        <v>298.39999999999998</v>
      </c>
      <c r="K9593" s="222">
        <v>47.4</v>
      </c>
      <c r="L9593" s="43">
        <v>9.0434420985284696</v>
      </c>
      <c r="M9593" s="43">
        <v>11.500323136579061</v>
      </c>
      <c r="N9593" s="43">
        <v>5.2609308885754578</v>
      </c>
      <c r="O9593" s="43">
        <v>7.0326409495548958</v>
      </c>
      <c r="P9593" s="223"/>
      <c r="Q9593" s="223"/>
      <c r="R9593" s="223">
        <v>2</v>
      </c>
    </row>
    <row r="9594" spans="1:18" ht="36">
      <c r="A9594" s="219">
        <v>2229</v>
      </c>
      <c r="B9594" s="216" t="s">
        <v>17667</v>
      </c>
      <c r="C9594" s="220" t="s">
        <v>17668</v>
      </c>
      <c r="D9594" s="221">
        <v>215.12</v>
      </c>
      <c r="E9594" s="221">
        <v>125.24</v>
      </c>
      <c r="F9594" s="221">
        <v>77.33</v>
      </c>
      <c r="G9594" s="221">
        <v>12.55</v>
      </c>
      <c r="H9594" s="222">
        <v>1929.83</v>
      </c>
      <c r="I9594" s="222">
        <v>1440.33</v>
      </c>
      <c r="J9594" s="222">
        <v>407.2</v>
      </c>
      <c r="K9594" s="222">
        <v>82.3</v>
      </c>
      <c r="L9594" s="43">
        <v>8.9709464484938639</v>
      </c>
      <c r="M9594" s="43">
        <v>11.500558926860428</v>
      </c>
      <c r="N9594" s="43">
        <v>5.265744213112634</v>
      </c>
      <c r="O9594" s="43">
        <v>6.5577689243027883</v>
      </c>
      <c r="P9594" s="223"/>
      <c r="Q9594" s="223"/>
      <c r="R9594" s="223">
        <v>2</v>
      </c>
    </row>
    <row r="9595" spans="1:18" ht="36">
      <c r="A9595" s="219">
        <v>2230</v>
      </c>
      <c r="B9595" s="216" t="s">
        <v>17669</v>
      </c>
      <c r="C9595" s="220" t="s">
        <v>17670</v>
      </c>
      <c r="D9595" s="221">
        <v>230.09</v>
      </c>
      <c r="E9595" s="221">
        <v>133.28</v>
      </c>
      <c r="F9595" s="221">
        <v>82.51</v>
      </c>
      <c r="G9595" s="221">
        <v>14.3</v>
      </c>
      <c r="H9595" s="222">
        <v>2060.25</v>
      </c>
      <c r="I9595" s="222">
        <v>1532.82</v>
      </c>
      <c r="J9595" s="222">
        <v>434.76</v>
      </c>
      <c r="K9595" s="222">
        <v>92.67</v>
      </c>
      <c r="L9595" s="43">
        <v>8.9541049154678607</v>
      </c>
      <c r="M9595" s="43">
        <v>11.500750300120048</v>
      </c>
      <c r="N9595" s="43">
        <v>5.2691794933947396</v>
      </c>
      <c r="O9595" s="43">
        <v>6.4804195804195803</v>
      </c>
      <c r="P9595" s="223"/>
      <c r="Q9595" s="223"/>
      <c r="R9595" s="223">
        <v>2</v>
      </c>
    </row>
    <row r="9596" spans="1:18" ht="36">
      <c r="A9596" s="219">
        <v>2231</v>
      </c>
      <c r="B9596" s="216" t="s">
        <v>17671</v>
      </c>
      <c r="C9596" s="220" t="s">
        <v>17672</v>
      </c>
      <c r="D9596" s="221">
        <v>248.08</v>
      </c>
      <c r="E9596" s="221">
        <v>134.43</v>
      </c>
      <c r="F9596" s="221">
        <v>97.32</v>
      </c>
      <c r="G9596" s="221">
        <v>16.329999999999998</v>
      </c>
      <c r="H9596" s="222">
        <v>2162.48</v>
      </c>
      <c r="I9596" s="222">
        <v>1546.04</v>
      </c>
      <c r="J9596" s="222">
        <v>512.83000000000004</v>
      </c>
      <c r="K9596" s="222">
        <v>103.61</v>
      </c>
      <c r="L9596" s="43">
        <v>8.7168655272492739</v>
      </c>
      <c r="M9596" s="43">
        <v>11.500706687495351</v>
      </c>
      <c r="N9596" s="43">
        <v>5.2695232223592283</v>
      </c>
      <c r="O9596" s="43">
        <v>6.3447642375995104</v>
      </c>
      <c r="P9596" s="223"/>
      <c r="Q9596" s="223"/>
      <c r="R9596" s="223">
        <v>2</v>
      </c>
    </row>
    <row r="9597" spans="1:18" ht="36">
      <c r="A9597" s="219">
        <v>2232</v>
      </c>
      <c r="B9597" s="216" t="s">
        <v>17673</v>
      </c>
      <c r="C9597" s="220" t="s">
        <v>17674</v>
      </c>
      <c r="D9597" s="221">
        <v>306.22000000000003</v>
      </c>
      <c r="E9597" s="221">
        <v>170.05</v>
      </c>
      <c r="F9597" s="221">
        <v>114.11</v>
      </c>
      <c r="G9597" s="221">
        <v>22.06</v>
      </c>
      <c r="H9597" s="222">
        <v>2696.2</v>
      </c>
      <c r="I9597" s="222">
        <v>1955.67</v>
      </c>
      <c r="J9597" s="222">
        <v>601.98</v>
      </c>
      <c r="K9597" s="222">
        <v>138.55000000000001</v>
      </c>
      <c r="L9597" s="43">
        <v>8.8047808764940232</v>
      </c>
      <c r="M9597" s="43">
        <v>11.500558659217877</v>
      </c>
      <c r="N9597" s="43">
        <v>5.2754359828235913</v>
      </c>
      <c r="O9597" s="43">
        <v>6.2805983680870359</v>
      </c>
      <c r="P9597" s="223"/>
      <c r="Q9597" s="223"/>
      <c r="R9597" s="223">
        <v>2</v>
      </c>
    </row>
    <row r="9598" spans="1:18" ht="36">
      <c r="A9598" s="219">
        <v>2233</v>
      </c>
      <c r="B9598" s="216" t="s">
        <v>17675</v>
      </c>
      <c r="C9598" s="220" t="s">
        <v>17676</v>
      </c>
      <c r="D9598" s="221">
        <v>320.61</v>
      </c>
      <c r="E9598" s="221">
        <v>176.95</v>
      </c>
      <c r="F9598" s="221">
        <v>117.15</v>
      </c>
      <c r="G9598" s="221">
        <v>26.51</v>
      </c>
      <c r="H9598" s="222">
        <v>2816.36</v>
      </c>
      <c r="I9598" s="222">
        <v>2034.96</v>
      </c>
      <c r="J9598" s="222">
        <v>618.29</v>
      </c>
      <c r="K9598" s="222">
        <v>163.11000000000001</v>
      </c>
      <c r="L9598" s="43">
        <v>8.7843797760519013</v>
      </c>
      <c r="M9598" s="43">
        <v>11.500197795987567</v>
      </c>
      <c r="N9598" s="43">
        <v>5.2777635510029874</v>
      </c>
      <c r="O9598" s="43">
        <v>6.1527725386646548</v>
      </c>
      <c r="P9598" s="223"/>
      <c r="Q9598" s="223"/>
      <c r="R9598" s="223">
        <v>2</v>
      </c>
    </row>
    <row r="9599" spans="1:18" ht="36">
      <c r="A9599" s="219">
        <v>2234</v>
      </c>
      <c r="B9599" s="216" t="s">
        <v>17677</v>
      </c>
      <c r="C9599" s="220" t="s">
        <v>17678</v>
      </c>
      <c r="D9599" s="221">
        <v>467.58</v>
      </c>
      <c r="E9599" s="221">
        <v>250.48</v>
      </c>
      <c r="F9599" s="221">
        <v>166.15</v>
      </c>
      <c r="G9599" s="221">
        <v>50.95</v>
      </c>
      <c r="H9599" s="222">
        <v>4061.89</v>
      </c>
      <c r="I9599" s="222">
        <v>2880.65</v>
      </c>
      <c r="J9599" s="222">
        <v>878.83</v>
      </c>
      <c r="K9599" s="222">
        <v>302.41000000000003</v>
      </c>
      <c r="L9599" s="43">
        <v>8.6870482056546479</v>
      </c>
      <c r="M9599" s="43">
        <v>11.500519003513256</v>
      </c>
      <c r="N9599" s="43">
        <v>5.2893770689136321</v>
      </c>
      <c r="O9599" s="43">
        <v>5.9354268891069681</v>
      </c>
      <c r="P9599" s="223"/>
      <c r="Q9599" s="223"/>
      <c r="R9599" s="223">
        <v>2</v>
      </c>
    </row>
    <row r="9600" spans="1:18" ht="36">
      <c r="A9600" s="219">
        <v>2235</v>
      </c>
      <c r="B9600" s="216" t="s">
        <v>17679</v>
      </c>
      <c r="C9600" s="220" t="s">
        <v>17680</v>
      </c>
      <c r="D9600" s="221">
        <v>666.75</v>
      </c>
      <c r="E9600" s="221">
        <v>358.49</v>
      </c>
      <c r="F9600" s="221">
        <v>232.19</v>
      </c>
      <c r="G9600" s="221">
        <v>76.069999999999993</v>
      </c>
      <c r="H9600" s="222">
        <v>5801.35</v>
      </c>
      <c r="I9600" s="222">
        <v>4122.7700000000004</v>
      </c>
      <c r="J9600" s="222">
        <v>1228.93</v>
      </c>
      <c r="K9600" s="222">
        <v>449.65</v>
      </c>
      <c r="L9600" s="43">
        <v>8.7009373828271475</v>
      </c>
      <c r="M9600" s="43">
        <v>11.500376579541969</v>
      </c>
      <c r="N9600" s="43">
        <v>5.2927774667298335</v>
      </c>
      <c r="O9600" s="43">
        <v>5.9110030235309585</v>
      </c>
      <c r="P9600" s="223"/>
      <c r="Q9600" s="223"/>
      <c r="R9600" s="223">
        <v>2</v>
      </c>
    </row>
    <row r="9601" spans="1:18" ht="36">
      <c r="A9601" s="219">
        <v>2236</v>
      </c>
      <c r="B9601" s="216" t="s">
        <v>17681</v>
      </c>
      <c r="C9601" s="220" t="s">
        <v>17682</v>
      </c>
      <c r="D9601" s="221">
        <v>795</v>
      </c>
      <c r="E9601" s="221">
        <v>412.49</v>
      </c>
      <c r="F9601" s="221">
        <v>283.82</v>
      </c>
      <c r="G9601" s="221">
        <v>98.69</v>
      </c>
      <c r="H9601" s="222">
        <v>6823.34</v>
      </c>
      <c r="I9601" s="222">
        <v>4743.83</v>
      </c>
      <c r="J9601" s="222">
        <v>1502.69</v>
      </c>
      <c r="K9601" s="222">
        <v>576.82000000000005</v>
      </c>
      <c r="L9601" s="43">
        <v>8.582817610062893</v>
      </c>
      <c r="M9601" s="43">
        <v>11.500472738733059</v>
      </c>
      <c r="N9601" s="43">
        <v>5.2945176520329786</v>
      </c>
      <c r="O9601" s="43">
        <v>5.844766440368832</v>
      </c>
      <c r="P9601" s="223"/>
      <c r="Q9601" s="223"/>
      <c r="R9601" s="223">
        <v>2</v>
      </c>
    </row>
    <row r="9602" spans="1:18" ht="36">
      <c r="A9602" s="219">
        <v>2237</v>
      </c>
      <c r="B9602" s="216" t="s">
        <v>17683</v>
      </c>
      <c r="C9602" s="220" t="s">
        <v>17684</v>
      </c>
      <c r="D9602" s="221">
        <v>1071.0899999999999</v>
      </c>
      <c r="E9602" s="221">
        <v>541.17999999999995</v>
      </c>
      <c r="F9602" s="221">
        <v>388.46</v>
      </c>
      <c r="G9602" s="221">
        <v>141.44999999999999</v>
      </c>
      <c r="H9602" s="222">
        <v>9100.9699999999993</v>
      </c>
      <c r="I9602" s="222">
        <v>6223.79</v>
      </c>
      <c r="J9602" s="222">
        <v>2056.62</v>
      </c>
      <c r="K9602" s="222">
        <v>820.56</v>
      </c>
      <c r="L9602" s="43">
        <v>8.4969236945541464</v>
      </c>
      <c r="M9602" s="43">
        <v>11.500406519087919</v>
      </c>
      <c r="N9602" s="43">
        <v>5.2942902744169285</v>
      </c>
      <c r="O9602" s="43">
        <v>5.8010604453870629</v>
      </c>
      <c r="P9602" s="223"/>
      <c r="Q9602" s="223"/>
      <c r="R9602" s="223">
        <v>2</v>
      </c>
    </row>
    <row r="9603" spans="1:18" ht="36">
      <c r="A9603" s="219">
        <v>2238</v>
      </c>
      <c r="B9603" s="216" t="s">
        <v>17685</v>
      </c>
      <c r="C9603" s="220" t="s">
        <v>17686</v>
      </c>
      <c r="D9603" s="221">
        <v>1173.98</v>
      </c>
      <c r="E9603" s="221">
        <v>595.17999999999995</v>
      </c>
      <c r="F9603" s="221">
        <v>423.35</v>
      </c>
      <c r="G9603" s="221">
        <v>155.44999999999999</v>
      </c>
      <c r="H9603" s="222">
        <v>9988.0499999999993</v>
      </c>
      <c r="I9603" s="222">
        <v>6844.85</v>
      </c>
      <c r="J9603" s="222">
        <v>2241.37</v>
      </c>
      <c r="K9603" s="222">
        <v>901.83</v>
      </c>
      <c r="L9603" s="43">
        <v>8.5078536261265096</v>
      </c>
      <c r="M9603" s="43">
        <v>11.500470445915523</v>
      </c>
      <c r="N9603" s="43">
        <v>5.2943663635289946</v>
      </c>
      <c r="O9603" s="43">
        <v>5.8014152460598272</v>
      </c>
      <c r="P9603" s="223"/>
      <c r="Q9603" s="223"/>
      <c r="R9603" s="223">
        <v>2</v>
      </c>
    </row>
    <row r="9604" spans="1:18" ht="36">
      <c r="A9604" s="219">
        <v>2239</v>
      </c>
      <c r="B9604" s="216" t="s">
        <v>17687</v>
      </c>
      <c r="C9604" s="220" t="s">
        <v>17688</v>
      </c>
      <c r="D9604" s="221">
        <v>1255.93</v>
      </c>
      <c r="E9604" s="221">
        <v>629.65</v>
      </c>
      <c r="F9604" s="221">
        <v>470.14</v>
      </c>
      <c r="G9604" s="221">
        <v>156.13999999999999</v>
      </c>
      <c r="H9604" s="222">
        <v>10640.19</v>
      </c>
      <c r="I9604" s="222">
        <v>7241.27</v>
      </c>
      <c r="J9604" s="222">
        <v>2489.15</v>
      </c>
      <c r="K9604" s="222">
        <v>909.77</v>
      </c>
      <c r="L9604" s="43">
        <v>8.4719610169356567</v>
      </c>
      <c r="M9604" s="43">
        <v>11.500468514253951</v>
      </c>
      <c r="N9604" s="43">
        <v>5.2944867486280689</v>
      </c>
      <c r="O9604" s="43">
        <v>5.8266299474830285</v>
      </c>
      <c r="P9604" s="223"/>
      <c r="Q9604" s="223"/>
      <c r="R9604" s="223">
        <v>2</v>
      </c>
    </row>
    <row r="9605" spans="1:18" ht="12.75" customHeight="1">
      <c r="A9605" s="628" t="s">
        <v>17689</v>
      </c>
      <c r="B9605" s="629"/>
      <c r="C9605" s="629"/>
      <c r="D9605" s="629"/>
      <c r="E9605" s="629"/>
      <c r="F9605" s="629"/>
      <c r="G9605" s="629"/>
      <c r="H9605" s="629"/>
      <c r="I9605" s="629"/>
      <c r="J9605" s="629"/>
      <c r="K9605" s="629"/>
      <c r="L9605" s="629"/>
      <c r="M9605" s="629"/>
      <c r="N9605" s="629"/>
      <c r="O9605" s="629"/>
      <c r="P9605" s="629"/>
      <c r="Q9605" s="629"/>
      <c r="R9605" s="629"/>
    </row>
    <row r="9606" spans="1:18" ht="36">
      <c r="A9606" s="219">
        <v>2240</v>
      </c>
      <c r="B9606" s="216" t="s">
        <v>17690</v>
      </c>
      <c r="C9606" s="220" t="s">
        <v>17691</v>
      </c>
      <c r="D9606" s="221">
        <v>206.31</v>
      </c>
      <c r="E9606" s="221">
        <v>125.24</v>
      </c>
      <c r="F9606" s="221">
        <v>69.92</v>
      </c>
      <c r="G9606" s="221">
        <v>11.15</v>
      </c>
      <c r="H9606" s="222">
        <v>1884.39</v>
      </c>
      <c r="I9606" s="222">
        <v>1440.33</v>
      </c>
      <c r="J9606" s="222">
        <v>368.25</v>
      </c>
      <c r="K9606" s="222">
        <v>75.81</v>
      </c>
      <c r="L9606" s="43">
        <v>9.1337792642140467</v>
      </c>
      <c r="M9606" s="43">
        <v>11.500558926860428</v>
      </c>
      <c r="N9606" s="43">
        <v>5.2667334096109837</v>
      </c>
      <c r="O9606" s="43">
        <v>6.7991031390134529</v>
      </c>
      <c r="P9606" s="223"/>
      <c r="Q9606" s="223"/>
      <c r="R9606" s="223">
        <v>3</v>
      </c>
    </row>
    <row r="9607" spans="1:18" ht="36">
      <c r="A9607" s="219">
        <v>2241</v>
      </c>
      <c r="B9607" s="216" t="s">
        <v>17692</v>
      </c>
      <c r="C9607" s="220" t="s">
        <v>17693</v>
      </c>
      <c r="D9607" s="221">
        <v>224.54</v>
      </c>
      <c r="E9607" s="221">
        <v>135.58000000000001</v>
      </c>
      <c r="F9607" s="221">
        <v>76.52</v>
      </c>
      <c r="G9607" s="221">
        <v>12.44</v>
      </c>
      <c r="H9607" s="222">
        <v>2045.27</v>
      </c>
      <c r="I9607" s="222">
        <v>1559.25</v>
      </c>
      <c r="J9607" s="222">
        <v>403.27</v>
      </c>
      <c r="K9607" s="222">
        <v>82.75</v>
      </c>
      <c r="L9607" s="43">
        <v>9.1087111427807965</v>
      </c>
      <c r="M9607" s="43">
        <v>11.500590057530609</v>
      </c>
      <c r="N9607" s="43">
        <v>5.2701254573967589</v>
      </c>
      <c r="O9607" s="43">
        <v>6.651929260450161</v>
      </c>
      <c r="P9607" s="223"/>
      <c r="Q9607" s="223"/>
      <c r="R9607" s="223">
        <v>3</v>
      </c>
    </row>
    <row r="9608" spans="1:18" ht="36">
      <c r="A9608" s="219">
        <v>2242</v>
      </c>
      <c r="B9608" s="216" t="s">
        <v>17694</v>
      </c>
      <c r="C9608" s="220" t="s">
        <v>17695</v>
      </c>
      <c r="D9608" s="221">
        <v>346.42</v>
      </c>
      <c r="E9608" s="221">
        <v>204.52</v>
      </c>
      <c r="F9608" s="221">
        <v>118.07</v>
      </c>
      <c r="G9608" s="221">
        <v>23.83</v>
      </c>
      <c r="H9608" s="222">
        <v>3127.8</v>
      </c>
      <c r="I9608" s="222">
        <v>2352.09</v>
      </c>
      <c r="J9608" s="222">
        <v>623</v>
      </c>
      <c r="K9608" s="222">
        <v>152.71</v>
      </c>
      <c r="L9608" s="43">
        <v>9.0289244269961326</v>
      </c>
      <c r="M9608" s="43">
        <v>11.500537844709564</v>
      </c>
      <c r="N9608" s="43">
        <v>5.276530871516897</v>
      </c>
      <c r="O9608" s="43">
        <v>6.4083088543852291</v>
      </c>
      <c r="P9608" s="223"/>
      <c r="Q9608" s="223"/>
      <c r="R9608" s="223">
        <v>3</v>
      </c>
    </row>
    <row r="9609" spans="1:18" ht="36">
      <c r="A9609" s="219">
        <v>2243</v>
      </c>
      <c r="B9609" s="216" t="s">
        <v>17696</v>
      </c>
      <c r="C9609" s="220" t="s">
        <v>17697</v>
      </c>
      <c r="D9609" s="221">
        <v>384.1</v>
      </c>
      <c r="E9609" s="221">
        <v>225.2</v>
      </c>
      <c r="F9609" s="221">
        <v>131.46</v>
      </c>
      <c r="G9609" s="221">
        <v>27.44</v>
      </c>
      <c r="H9609" s="222">
        <v>3458.06</v>
      </c>
      <c r="I9609" s="222">
        <v>2589.94</v>
      </c>
      <c r="J9609" s="222">
        <v>693.89</v>
      </c>
      <c r="K9609" s="222">
        <v>174.23</v>
      </c>
      <c r="L9609" s="43">
        <v>9.0030200468627957</v>
      </c>
      <c r="M9609" s="43">
        <v>11.500621669627</v>
      </c>
      <c r="N9609" s="43">
        <v>5.2783356153963181</v>
      </c>
      <c r="O9609" s="43">
        <v>6.3494897959183669</v>
      </c>
      <c r="P9609" s="223"/>
      <c r="Q9609" s="223"/>
      <c r="R9609" s="223">
        <v>3</v>
      </c>
    </row>
    <row r="9610" spans="1:18" ht="36">
      <c r="A9610" s="219">
        <v>2244</v>
      </c>
      <c r="B9610" s="216" t="s">
        <v>17698</v>
      </c>
      <c r="C9610" s="220" t="s">
        <v>17699</v>
      </c>
      <c r="D9610" s="221">
        <v>464.85</v>
      </c>
      <c r="E9610" s="221">
        <v>279.20999999999998</v>
      </c>
      <c r="F9610" s="221">
        <v>155.81</v>
      </c>
      <c r="G9610" s="221">
        <v>29.83</v>
      </c>
      <c r="H9610" s="222">
        <v>4225.3599999999997</v>
      </c>
      <c r="I9610" s="222">
        <v>3211</v>
      </c>
      <c r="J9610" s="222">
        <v>822.54</v>
      </c>
      <c r="K9610" s="222">
        <v>191.82</v>
      </c>
      <c r="L9610" s="43">
        <v>9.0897278692051184</v>
      </c>
      <c r="M9610" s="43">
        <v>11.50030443035708</v>
      </c>
      <c r="N9610" s="43">
        <v>5.2791220075733261</v>
      </c>
      <c r="O9610" s="43">
        <v>6.4304391552128735</v>
      </c>
      <c r="P9610" s="223"/>
      <c r="Q9610" s="223"/>
      <c r="R9610" s="223">
        <v>3</v>
      </c>
    </row>
    <row r="9611" spans="1:18" ht="36">
      <c r="A9611" s="219">
        <v>2245</v>
      </c>
      <c r="B9611" s="216" t="s">
        <v>17700</v>
      </c>
      <c r="C9611" s="220" t="s">
        <v>17701</v>
      </c>
      <c r="D9611" s="221">
        <v>546.67999999999995</v>
      </c>
      <c r="E9611" s="221">
        <v>340.1</v>
      </c>
      <c r="F9611" s="221">
        <v>165.19</v>
      </c>
      <c r="G9611" s="221">
        <v>41.39</v>
      </c>
      <c r="H9611" s="222">
        <v>5045.43</v>
      </c>
      <c r="I9611" s="222">
        <v>3911.34</v>
      </c>
      <c r="J9611" s="222">
        <v>872.55</v>
      </c>
      <c r="K9611" s="222">
        <v>261.54000000000002</v>
      </c>
      <c r="L9611" s="43">
        <v>9.2292200190239271</v>
      </c>
      <c r="M9611" s="43">
        <v>11.500558659217877</v>
      </c>
      <c r="N9611" s="43">
        <v>5.2820994006901145</v>
      </c>
      <c r="O9611" s="43">
        <v>6.3189176129499884</v>
      </c>
      <c r="P9611" s="223"/>
      <c r="Q9611" s="223"/>
      <c r="R9611" s="223">
        <v>3</v>
      </c>
    </row>
    <row r="9612" spans="1:18" ht="36">
      <c r="A9612" s="219">
        <v>2246</v>
      </c>
      <c r="B9612" s="216" t="s">
        <v>17702</v>
      </c>
      <c r="C9612" s="220" t="s">
        <v>17703</v>
      </c>
      <c r="D9612" s="221">
        <v>590.02</v>
      </c>
      <c r="E9612" s="221">
        <v>380.32</v>
      </c>
      <c r="F9612" s="221">
        <v>171.85</v>
      </c>
      <c r="G9612" s="221">
        <v>37.85</v>
      </c>
      <c r="H9612" s="222">
        <v>5529.93</v>
      </c>
      <c r="I9612" s="222">
        <v>4373.83</v>
      </c>
      <c r="J9612" s="222">
        <v>907.95</v>
      </c>
      <c r="K9612" s="222">
        <v>248.15</v>
      </c>
      <c r="L9612" s="43">
        <v>9.3724450018643441</v>
      </c>
      <c r="M9612" s="43">
        <v>11.500394404711821</v>
      </c>
      <c r="N9612" s="43">
        <v>5.2833866744253717</v>
      </c>
      <c r="O9612" s="43">
        <v>6.5561426684280049</v>
      </c>
      <c r="P9612" s="223"/>
      <c r="Q9612" s="223"/>
      <c r="R9612" s="223">
        <v>3</v>
      </c>
    </row>
    <row r="9613" spans="1:18" ht="36">
      <c r="A9613" s="219">
        <v>2247</v>
      </c>
      <c r="B9613" s="216" t="s">
        <v>17704</v>
      </c>
      <c r="C9613" s="220" t="s">
        <v>17705</v>
      </c>
      <c r="D9613" s="221">
        <v>701.23</v>
      </c>
      <c r="E9613" s="221">
        <v>426.28</v>
      </c>
      <c r="F9613" s="221">
        <v>207.69</v>
      </c>
      <c r="G9613" s="221">
        <v>67.260000000000005</v>
      </c>
      <c r="H9613" s="222">
        <v>6420.61</v>
      </c>
      <c r="I9613" s="222">
        <v>4902.3900000000003</v>
      </c>
      <c r="J9613" s="222">
        <v>1098.83</v>
      </c>
      <c r="K9613" s="222">
        <v>419.39</v>
      </c>
      <c r="L9613" s="43">
        <v>9.1562112288407498</v>
      </c>
      <c r="M9613" s="43">
        <v>11.500398798911515</v>
      </c>
      <c r="N9613" s="43">
        <v>5.2907217487601708</v>
      </c>
      <c r="O9613" s="43">
        <v>6.2353553374962827</v>
      </c>
      <c r="P9613" s="223"/>
      <c r="Q9613" s="223"/>
      <c r="R9613" s="223">
        <v>3</v>
      </c>
    </row>
    <row r="9614" spans="1:18" ht="36">
      <c r="A9614" s="219">
        <v>2248</v>
      </c>
      <c r="B9614" s="216" t="s">
        <v>17706</v>
      </c>
      <c r="C9614" s="220" t="s">
        <v>17707</v>
      </c>
      <c r="D9614" s="221">
        <v>788.17</v>
      </c>
      <c r="E9614" s="221">
        <v>426.28</v>
      </c>
      <c r="F9614" s="221">
        <v>257.01</v>
      </c>
      <c r="G9614" s="221">
        <v>104.88</v>
      </c>
      <c r="H9614" s="222">
        <v>6883.58</v>
      </c>
      <c r="I9614" s="222">
        <v>4902.3900000000003</v>
      </c>
      <c r="J9614" s="222">
        <v>1360.37</v>
      </c>
      <c r="K9614" s="222">
        <v>620.82000000000005</v>
      </c>
      <c r="L9614" s="43">
        <v>8.7336234568684432</v>
      </c>
      <c r="M9614" s="43">
        <v>11.500398798911515</v>
      </c>
      <c r="N9614" s="43">
        <v>5.2930625267499316</v>
      </c>
      <c r="O9614" s="43">
        <v>5.9193363844393598</v>
      </c>
      <c r="P9614" s="223"/>
      <c r="Q9614" s="223"/>
      <c r="R9614" s="223">
        <v>3</v>
      </c>
    </row>
    <row r="9615" spans="1:18" ht="36">
      <c r="A9615" s="224">
        <v>2249</v>
      </c>
      <c r="B9615" s="225" t="s">
        <v>17708</v>
      </c>
      <c r="C9615" s="226" t="s">
        <v>17709</v>
      </c>
      <c r="D9615" s="227">
        <v>952.67</v>
      </c>
      <c r="E9615" s="227">
        <v>480.28</v>
      </c>
      <c r="F9615" s="227">
        <v>316.51</v>
      </c>
      <c r="G9615" s="227">
        <v>155.88</v>
      </c>
      <c r="H9615" s="228">
        <v>8119.47</v>
      </c>
      <c r="I9615" s="228">
        <v>5523.45</v>
      </c>
      <c r="J9615" s="228">
        <v>1675.86</v>
      </c>
      <c r="K9615" s="228">
        <v>920.16</v>
      </c>
      <c r="L9615" s="611">
        <v>8.5228568129572686</v>
      </c>
      <c r="M9615" s="611">
        <v>11.500478887315733</v>
      </c>
      <c r="N9615" s="611">
        <v>5.2948090107737507</v>
      </c>
      <c r="O9615" s="611">
        <v>5.903002309468822</v>
      </c>
      <c r="P9615" s="229"/>
      <c r="Q9615" s="229"/>
      <c r="R9615" s="229">
        <v>3</v>
      </c>
    </row>
    <row r="9616" spans="1:18" ht="12.75" customHeight="1">
      <c r="A9616" s="630" t="s">
        <v>17710</v>
      </c>
      <c r="B9616" s="631"/>
      <c r="C9616" s="631"/>
      <c r="D9616" s="631"/>
      <c r="E9616" s="631"/>
      <c r="F9616" s="631"/>
      <c r="G9616" s="631"/>
      <c r="H9616" s="631"/>
      <c r="I9616" s="631"/>
      <c r="J9616" s="631"/>
      <c r="K9616" s="631"/>
      <c r="L9616" s="631"/>
      <c r="M9616" s="631"/>
      <c r="N9616" s="631"/>
      <c r="O9616" s="631"/>
      <c r="P9616" s="631"/>
      <c r="Q9616" s="631"/>
      <c r="R9616" s="631"/>
    </row>
    <row r="9617" spans="1:18" ht="12.75" customHeight="1">
      <c r="A9617" s="628" t="s">
        <v>17711</v>
      </c>
      <c r="B9617" s="629"/>
      <c r="C9617" s="629"/>
      <c r="D9617" s="629"/>
      <c r="E9617" s="629"/>
      <c r="F9617" s="629"/>
      <c r="G9617" s="629"/>
      <c r="H9617" s="629"/>
      <c r="I9617" s="629"/>
      <c r="J9617" s="629"/>
      <c r="K9617" s="629"/>
      <c r="L9617" s="629"/>
      <c r="M9617" s="629"/>
      <c r="N9617" s="629"/>
      <c r="O9617" s="629"/>
      <c r="P9617" s="629"/>
      <c r="Q9617" s="629"/>
      <c r="R9617" s="629"/>
    </row>
    <row r="9618" spans="1:18" ht="12.75" customHeight="1">
      <c r="A9618" s="628" t="s">
        <v>17712</v>
      </c>
      <c r="B9618" s="629"/>
      <c r="C9618" s="629"/>
      <c r="D9618" s="629"/>
      <c r="E9618" s="629"/>
      <c r="F9618" s="629"/>
      <c r="G9618" s="629"/>
      <c r="H9618" s="629"/>
      <c r="I9618" s="629"/>
      <c r="J9618" s="629"/>
      <c r="K9618" s="629"/>
      <c r="L9618" s="629"/>
      <c r="M9618" s="629"/>
      <c r="N9618" s="629"/>
      <c r="O9618" s="629"/>
      <c r="P9618" s="629"/>
      <c r="Q9618" s="629"/>
      <c r="R9618" s="629"/>
    </row>
    <row r="9619" spans="1:18" ht="48">
      <c r="A9619" s="219">
        <v>2250</v>
      </c>
      <c r="B9619" s="216" t="s">
        <v>17713</v>
      </c>
      <c r="C9619" s="220" t="s">
        <v>17714</v>
      </c>
      <c r="D9619" s="221">
        <v>42.6</v>
      </c>
      <c r="E9619" s="221">
        <v>5.64</v>
      </c>
      <c r="F9619" s="221">
        <v>36.85</v>
      </c>
      <c r="G9619" s="221">
        <v>0.11</v>
      </c>
      <c r="H9619" s="222">
        <v>269.29000000000002</v>
      </c>
      <c r="I9619" s="222">
        <v>64.819999999999993</v>
      </c>
      <c r="J9619" s="222">
        <v>203.18</v>
      </c>
      <c r="K9619" s="222">
        <v>1.29</v>
      </c>
      <c r="L9619" s="43">
        <v>6.3213615023474183</v>
      </c>
      <c r="M9619" s="43">
        <v>11.5</v>
      </c>
      <c r="N9619" s="43">
        <v>5.5137042062415196</v>
      </c>
      <c r="O9619" s="43">
        <v>11.727272727272728</v>
      </c>
      <c r="P9619" s="223"/>
      <c r="Q9619" s="223"/>
      <c r="R9619" s="223">
        <v>1</v>
      </c>
    </row>
    <row r="9620" spans="1:18" ht="48">
      <c r="A9620" s="219">
        <v>2251</v>
      </c>
      <c r="B9620" s="216" t="s">
        <v>17715</v>
      </c>
      <c r="C9620" s="220" t="s">
        <v>17716</v>
      </c>
      <c r="D9620" s="221">
        <v>42.61</v>
      </c>
      <c r="E9620" s="221">
        <v>5.64</v>
      </c>
      <c r="F9620" s="221">
        <v>36.85</v>
      </c>
      <c r="G9620" s="221">
        <v>0.12</v>
      </c>
      <c r="H9620" s="222">
        <v>269.32</v>
      </c>
      <c r="I9620" s="222">
        <v>64.819999999999993</v>
      </c>
      <c r="J9620" s="222">
        <v>203.18</v>
      </c>
      <c r="K9620" s="222">
        <v>1.32</v>
      </c>
      <c r="L9620" s="43">
        <v>6.3205820229992957</v>
      </c>
      <c r="M9620" s="43">
        <v>11.5</v>
      </c>
      <c r="N9620" s="43">
        <v>5.5137042062415196</v>
      </c>
      <c r="O9620" s="43">
        <v>11.000000000000002</v>
      </c>
      <c r="P9620" s="223"/>
      <c r="Q9620" s="223"/>
      <c r="R9620" s="223">
        <v>1</v>
      </c>
    </row>
    <row r="9621" spans="1:18" ht="48">
      <c r="A9621" s="219">
        <v>2252</v>
      </c>
      <c r="B9621" s="216" t="s">
        <v>17717</v>
      </c>
      <c r="C9621" s="220" t="s">
        <v>17718</v>
      </c>
      <c r="D9621" s="221">
        <v>42.84</v>
      </c>
      <c r="E9621" s="221">
        <v>5.85</v>
      </c>
      <c r="F9621" s="221">
        <v>36.85</v>
      </c>
      <c r="G9621" s="221">
        <v>0.14000000000000001</v>
      </c>
      <c r="H9621" s="222">
        <v>271.99</v>
      </c>
      <c r="I9621" s="222">
        <v>67.319999999999993</v>
      </c>
      <c r="J9621" s="222">
        <v>203.18</v>
      </c>
      <c r="K9621" s="222">
        <v>1.49</v>
      </c>
      <c r="L9621" s="43">
        <v>6.3489729225023339</v>
      </c>
      <c r="M9621" s="43">
        <v>11.5021951219512</v>
      </c>
      <c r="N9621" s="43">
        <v>5.5137042062415196</v>
      </c>
      <c r="O9621" s="43">
        <v>10.642857142857142</v>
      </c>
      <c r="P9621" s="223"/>
      <c r="Q9621" s="223"/>
      <c r="R9621" s="223">
        <v>1</v>
      </c>
    </row>
    <row r="9622" spans="1:18" ht="48">
      <c r="A9622" s="219">
        <v>2253</v>
      </c>
      <c r="B9622" s="216" t="s">
        <v>17719</v>
      </c>
      <c r="C9622" s="220" t="s">
        <v>17720</v>
      </c>
      <c r="D9622" s="221">
        <v>46.33</v>
      </c>
      <c r="E9622" s="221">
        <v>6.29</v>
      </c>
      <c r="F9622" s="221">
        <v>39.880000000000003</v>
      </c>
      <c r="G9622" s="221">
        <v>0.16</v>
      </c>
      <c r="H9622" s="222">
        <v>293.44</v>
      </c>
      <c r="I9622" s="222">
        <v>72.3</v>
      </c>
      <c r="J9622" s="222">
        <v>219.49</v>
      </c>
      <c r="K9622" s="222">
        <v>1.65</v>
      </c>
      <c r="L9622" s="43">
        <v>6.3336930714439887</v>
      </c>
      <c r="M9622" s="43">
        <v>11.5</v>
      </c>
      <c r="N9622" s="43">
        <v>5.5037612838515546</v>
      </c>
      <c r="O9622" s="43">
        <v>10.3125</v>
      </c>
      <c r="P9622" s="223"/>
      <c r="Q9622" s="223"/>
      <c r="R9622" s="223">
        <v>1</v>
      </c>
    </row>
    <row r="9623" spans="1:18" ht="48">
      <c r="A9623" s="219">
        <v>2254</v>
      </c>
      <c r="B9623" s="216" t="s">
        <v>17721</v>
      </c>
      <c r="C9623" s="220" t="s">
        <v>17722</v>
      </c>
      <c r="D9623" s="221">
        <v>46.35</v>
      </c>
      <c r="E9623" s="221">
        <v>6.29</v>
      </c>
      <c r="F9623" s="221">
        <v>39.880000000000003</v>
      </c>
      <c r="G9623" s="221">
        <v>0.18</v>
      </c>
      <c r="H9623" s="222">
        <v>293.52999999999997</v>
      </c>
      <c r="I9623" s="222">
        <v>72.3</v>
      </c>
      <c r="J9623" s="222">
        <v>219.49</v>
      </c>
      <c r="K9623" s="222">
        <v>1.74</v>
      </c>
      <c r="L9623" s="43">
        <v>6.3329018338727066</v>
      </c>
      <c r="M9623" s="43">
        <v>11.5</v>
      </c>
      <c r="N9623" s="43">
        <v>5.5037612838515546</v>
      </c>
      <c r="O9623" s="43">
        <v>9.6666666666666679</v>
      </c>
      <c r="P9623" s="223"/>
      <c r="Q9623" s="223"/>
      <c r="R9623" s="223">
        <v>1</v>
      </c>
    </row>
    <row r="9624" spans="1:18" ht="48">
      <c r="A9624" s="219">
        <v>2255</v>
      </c>
      <c r="B9624" s="216" t="s">
        <v>17723</v>
      </c>
      <c r="C9624" s="220" t="s">
        <v>17724</v>
      </c>
      <c r="D9624" s="221">
        <v>46.37</v>
      </c>
      <c r="E9624" s="221">
        <v>6.29</v>
      </c>
      <c r="F9624" s="221">
        <v>39.880000000000003</v>
      </c>
      <c r="G9624" s="221">
        <v>0.2</v>
      </c>
      <c r="H9624" s="222">
        <v>293.64</v>
      </c>
      <c r="I9624" s="222">
        <v>72.3</v>
      </c>
      <c r="J9624" s="222">
        <v>219.49</v>
      </c>
      <c r="K9624" s="222">
        <v>1.85</v>
      </c>
      <c r="L9624" s="43">
        <v>6.3325425921932288</v>
      </c>
      <c r="M9624" s="43">
        <v>11.5</v>
      </c>
      <c r="N9624" s="43">
        <v>5.5037612838515546</v>
      </c>
      <c r="O9624" s="43">
        <v>9.25</v>
      </c>
      <c r="P9624" s="223"/>
      <c r="Q9624" s="223"/>
      <c r="R9624" s="223">
        <v>1</v>
      </c>
    </row>
    <row r="9625" spans="1:18" ht="48">
      <c r="A9625" s="219">
        <v>2256</v>
      </c>
      <c r="B9625" s="216" t="s">
        <v>17725</v>
      </c>
      <c r="C9625" s="220" t="s">
        <v>17726</v>
      </c>
      <c r="D9625" s="221">
        <v>53.76</v>
      </c>
      <c r="E9625" s="221">
        <v>7.48</v>
      </c>
      <c r="F9625" s="221">
        <v>46.03</v>
      </c>
      <c r="G9625" s="221">
        <v>0.25</v>
      </c>
      <c r="H9625" s="222">
        <v>341.37</v>
      </c>
      <c r="I9625" s="222">
        <v>86.02</v>
      </c>
      <c r="J9625" s="222">
        <v>253.08</v>
      </c>
      <c r="K9625" s="222">
        <v>2.27</v>
      </c>
      <c r="L9625" s="43">
        <v>6.3498883928571432</v>
      </c>
      <c r="M9625" s="43">
        <v>11.499999999999998</v>
      </c>
      <c r="N9625" s="43">
        <v>5.4981533782315886</v>
      </c>
      <c r="O9625" s="43">
        <v>9.08</v>
      </c>
      <c r="P9625" s="223"/>
      <c r="Q9625" s="223"/>
      <c r="R9625" s="223">
        <v>1</v>
      </c>
    </row>
    <row r="9626" spans="1:18" ht="48">
      <c r="A9626" s="219">
        <v>2257</v>
      </c>
      <c r="B9626" s="216" t="s">
        <v>17727</v>
      </c>
      <c r="C9626" s="220" t="s">
        <v>17728</v>
      </c>
      <c r="D9626" s="221">
        <v>57.2</v>
      </c>
      <c r="E9626" s="221">
        <v>7.7</v>
      </c>
      <c r="F9626" s="221">
        <v>49.15</v>
      </c>
      <c r="G9626" s="221">
        <v>0.35</v>
      </c>
      <c r="H9626" s="222">
        <v>361.63</v>
      </c>
      <c r="I9626" s="222">
        <v>88.51</v>
      </c>
      <c r="J9626" s="222">
        <v>270.36</v>
      </c>
      <c r="K9626" s="222">
        <v>2.76</v>
      </c>
      <c r="L9626" s="43">
        <v>6.322202797202797</v>
      </c>
      <c r="M9626" s="43">
        <v>11.5</v>
      </c>
      <c r="N9626" s="43">
        <v>5.5007121057985762</v>
      </c>
      <c r="O9626" s="43">
        <v>7.8857142857142852</v>
      </c>
      <c r="P9626" s="223"/>
      <c r="Q9626" s="223"/>
      <c r="R9626" s="223">
        <v>1</v>
      </c>
    </row>
    <row r="9627" spans="1:18" ht="48">
      <c r="A9627" s="219">
        <v>2258</v>
      </c>
      <c r="B9627" s="216" t="s">
        <v>17729</v>
      </c>
      <c r="C9627" s="220" t="s">
        <v>17730</v>
      </c>
      <c r="D9627" s="221">
        <v>59.24</v>
      </c>
      <c r="E9627" s="221">
        <v>8.1300000000000008</v>
      </c>
      <c r="F9627" s="221">
        <v>50.67</v>
      </c>
      <c r="G9627" s="221">
        <v>0.44</v>
      </c>
      <c r="H9627" s="222">
        <v>375.33</v>
      </c>
      <c r="I9627" s="222">
        <v>93.5</v>
      </c>
      <c r="J9627" s="222">
        <v>278.52</v>
      </c>
      <c r="K9627" s="222">
        <v>3.31</v>
      </c>
      <c r="L9627" s="43">
        <v>6.3357528696826462</v>
      </c>
      <c r="M9627" s="43">
        <v>11.50061500615006</v>
      </c>
      <c r="N9627" s="43">
        <v>5.4967436352871513</v>
      </c>
      <c r="O9627" s="43">
        <v>7.5227272727272725</v>
      </c>
      <c r="P9627" s="223"/>
      <c r="Q9627" s="223"/>
      <c r="R9627" s="223">
        <v>1</v>
      </c>
    </row>
    <row r="9628" spans="1:18" ht="48">
      <c r="A9628" s="219">
        <v>2259</v>
      </c>
      <c r="B9628" s="216" t="s">
        <v>17731</v>
      </c>
      <c r="C9628" s="220" t="s">
        <v>17732</v>
      </c>
      <c r="D9628" s="221">
        <v>71.84</v>
      </c>
      <c r="E9628" s="221">
        <v>9.86</v>
      </c>
      <c r="F9628" s="221">
        <v>61.45</v>
      </c>
      <c r="G9628" s="221">
        <v>0.53</v>
      </c>
      <c r="H9628" s="222">
        <v>454.99</v>
      </c>
      <c r="I9628" s="222">
        <v>113.44</v>
      </c>
      <c r="J9628" s="222">
        <v>337.55</v>
      </c>
      <c r="K9628" s="222">
        <v>4</v>
      </c>
      <c r="L9628" s="43">
        <v>6.333379732739421</v>
      </c>
      <c r="M9628" s="43">
        <v>11.5021951219512</v>
      </c>
      <c r="N9628" s="43">
        <v>5.4930838079739628</v>
      </c>
      <c r="O9628" s="43">
        <v>7.5471698113207539</v>
      </c>
      <c r="P9628" s="223"/>
      <c r="Q9628" s="223"/>
      <c r="R9628" s="223">
        <v>1</v>
      </c>
    </row>
    <row r="9629" spans="1:18" ht="48">
      <c r="A9629" s="219">
        <v>2260</v>
      </c>
      <c r="B9629" s="216" t="s">
        <v>17733</v>
      </c>
      <c r="C9629" s="220" t="s">
        <v>17734</v>
      </c>
      <c r="D9629" s="221">
        <v>75.75</v>
      </c>
      <c r="E9629" s="221">
        <v>10.3</v>
      </c>
      <c r="F9629" s="221">
        <v>64.569999999999993</v>
      </c>
      <c r="G9629" s="221">
        <v>0.88</v>
      </c>
      <c r="H9629" s="222">
        <v>479.13</v>
      </c>
      <c r="I9629" s="222">
        <v>118.43</v>
      </c>
      <c r="J9629" s="222">
        <v>354.83</v>
      </c>
      <c r="K9629" s="222">
        <v>5.87</v>
      </c>
      <c r="L9629" s="43">
        <v>6.3251485148514854</v>
      </c>
      <c r="M9629" s="43">
        <v>11.498058252427183</v>
      </c>
      <c r="N9629" s="43">
        <v>5.4952764441691189</v>
      </c>
      <c r="O9629" s="43">
        <v>6.6704545454545459</v>
      </c>
      <c r="P9629" s="223"/>
      <c r="Q9629" s="223"/>
      <c r="R9629" s="223">
        <v>1</v>
      </c>
    </row>
    <row r="9630" spans="1:18" ht="48">
      <c r="A9630" s="219">
        <v>2261</v>
      </c>
      <c r="B9630" s="216" t="s">
        <v>17735</v>
      </c>
      <c r="C9630" s="220" t="s">
        <v>17736</v>
      </c>
      <c r="D9630" s="221">
        <v>95.32</v>
      </c>
      <c r="E9630" s="221">
        <v>12.64</v>
      </c>
      <c r="F9630" s="221">
        <v>81.510000000000005</v>
      </c>
      <c r="G9630" s="221">
        <v>1.17</v>
      </c>
      <c r="H9630" s="222">
        <v>600.41999999999996</v>
      </c>
      <c r="I9630" s="222">
        <v>145.34</v>
      </c>
      <c r="J9630" s="222">
        <v>447.46</v>
      </c>
      <c r="K9630" s="222">
        <v>7.62</v>
      </c>
      <c r="L9630" s="43">
        <v>6.2989928661351238</v>
      </c>
      <c r="M9630" s="43">
        <v>11.498417721518987</v>
      </c>
      <c r="N9630" s="43">
        <v>5.4896331738436999</v>
      </c>
      <c r="O9630" s="43">
        <v>6.5128205128205137</v>
      </c>
      <c r="P9630" s="223"/>
      <c r="Q9630" s="223"/>
      <c r="R9630" s="223">
        <v>1</v>
      </c>
    </row>
    <row r="9631" spans="1:18" ht="48">
      <c r="A9631" s="219">
        <v>2262</v>
      </c>
      <c r="B9631" s="216" t="s">
        <v>17737</v>
      </c>
      <c r="C9631" s="220" t="s">
        <v>17738</v>
      </c>
      <c r="D9631" s="221">
        <v>105.33</v>
      </c>
      <c r="E9631" s="221">
        <v>14.81</v>
      </c>
      <c r="F9631" s="221">
        <v>88.47</v>
      </c>
      <c r="G9631" s="221">
        <v>2.0499999999999998</v>
      </c>
      <c r="H9631" s="222">
        <v>668.52</v>
      </c>
      <c r="I9631" s="222">
        <v>170.32</v>
      </c>
      <c r="J9631" s="222">
        <v>485.69</v>
      </c>
      <c r="K9631" s="222">
        <v>12.51</v>
      </c>
      <c r="L9631" s="43">
        <v>6.3469097123326685</v>
      </c>
      <c r="M9631" s="43">
        <v>11.500337609723159</v>
      </c>
      <c r="N9631" s="43">
        <v>5.4898835763535665</v>
      </c>
      <c r="O9631" s="43">
        <v>6.102439024390244</v>
      </c>
      <c r="P9631" s="223"/>
      <c r="Q9631" s="223"/>
      <c r="R9631" s="223">
        <v>1</v>
      </c>
    </row>
    <row r="9632" spans="1:18" ht="48">
      <c r="A9632" s="219">
        <v>2263</v>
      </c>
      <c r="B9632" s="216" t="s">
        <v>17739</v>
      </c>
      <c r="C9632" s="220" t="s">
        <v>17740</v>
      </c>
      <c r="D9632" s="221">
        <v>124.68</v>
      </c>
      <c r="E9632" s="221">
        <v>17.440000000000001</v>
      </c>
      <c r="F9632" s="221">
        <v>103.89</v>
      </c>
      <c r="G9632" s="221">
        <v>3.35</v>
      </c>
      <c r="H9632" s="222">
        <v>790.3</v>
      </c>
      <c r="I9632" s="222">
        <v>200.59</v>
      </c>
      <c r="J9632" s="222">
        <v>570.16</v>
      </c>
      <c r="K9632" s="222">
        <v>19.55</v>
      </c>
      <c r="L9632" s="43">
        <v>6.3386268848251515</v>
      </c>
      <c r="M9632" s="43">
        <v>11.501720183486238</v>
      </c>
      <c r="N9632" s="43">
        <v>5.4881124266050625</v>
      </c>
      <c r="O9632" s="43">
        <v>5.8358208955223878</v>
      </c>
      <c r="P9632" s="223"/>
      <c r="Q9632" s="223"/>
      <c r="R9632" s="223">
        <v>1</v>
      </c>
    </row>
    <row r="9633" spans="1:18" ht="48">
      <c r="A9633" s="219">
        <v>2264</v>
      </c>
      <c r="B9633" s="216" t="s">
        <v>17741</v>
      </c>
      <c r="C9633" s="220" t="s">
        <v>17742</v>
      </c>
      <c r="D9633" s="221">
        <v>136.93</v>
      </c>
      <c r="E9633" s="221">
        <v>19.86</v>
      </c>
      <c r="F9633" s="221">
        <v>112.68</v>
      </c>
      <c r="G9633" s="221">
        <v>4.3899999999999997</v>
      </c>
      <c r="H9633" s="222">
        <v>871.47</v>
      </c>
      <c r="I9633" s="222">
        <v>228.35</v>
      </c>
      <c r="J9633" s="222">
        <v>617.82000000000005</v>
      </c>
      <c r="K9633" s="222">
        <v>25.3</v>
      </c>
      <c r="L9633" s="43">
        <v>6.3643467465128163</v>
      </c>
      <c r="M9633" s="43">
        <v>11.497985901309164</v>
      </c>
      <c r="N9633" s="43">
        <v>5.4829605963791268</v>
      </c>
      <c r="O9633" s="43">
        <v>5.763097949886105</v>
      </c>
      <c r="P9633" s="223"/>
      <c r="Q9633" s="223"/>
      <c r="R9633" s="223">
        <v>1</v>
      </c>
    </row>
    <row r="9634" spans="1:18" ht="48">
      <c r="A9634" s="219">
        <v>2265</v>
      </c>
      <c r="B9634" s="216" t="s">
        <v>17743</v>
      </c>
      <c r="C9634" s="220" t="s">
        <v>17744</v>
      </c>
      <c r="D9634" s="221">
        <v>142.79</v>
      </c>
      <c r="E9634" s="221">
        <v>20.399999999999999</v>
      </c>
      <c r="F9634" s="221">
        <v>116.61</v>
      </c>
      <c r="G9634" s="221">
        <v>5.78</v>
      </c>
      <c r="H9634" s="222">
        <v>906.93</v>
      </c>
      <c r="I9634" s="222">
        <v>234.66</v>
      </c>
      <c r="J9634" s="222">
        <v>639.74</v>
      </c>
      <c r="K9634" s="222">
        <v>32.53</v>
      </c>
      <c r="L9634" s="43">
        <v>6.3514952027452907</v>
      </c>
      <c r="M9634" s="43">
        <v>11.502941176470589</v>
      </c>
      <c r="N9634" s="43">
        <v>5.4861504159163026</v>
      </c>
      <c r="O9634" s="43">
        <v>5.6280276816608996</v>
      </c>
      <c r="P9634" s="223"/>
      <c r="Q9634" s="223"/>
      <c r="R9634" s="223">
        <v>1</v>
      </c>
    </row>
    <row r="9635" spans="1:18" ht="48">
      <c r="A9635" s="219">
        <v>2266</v>
      </c>
      <c r="B9635" s="216" t="s">
        <v>17745</v>
      </c>
      <c r="C9635" s="220" t="s">
        <v>17746</v>
      </c>
      <c r="D9635" s="221">
        <v>172.25</v>
      </c>
      <c r="E9635" s="221">
        <v>23.37</v>
      </c>
      <c r="F9635" s="221">
        <v>141.30000000000001</v>
      </c>
      <c r="G9635" s="221">
        <v>7.58</v>
      </c>
      <c r="H9635" s="222">
        <v>1086.07</v>
      </c>
      <c r="I9635" s="222">
        <v>268.72000000000003</v>
      </c>
      <c r="J9635" s="222">
        <v>775.07</v>
      </c>
      <c r="K9635" s="222">
        <v>42.28</v>
      </c>
      <c r="L9635" s="43">
        <v>6.3051959361393317</v>
      </c>
      <c r="M9635" s="43">
        <v>11.498502353444588</v>
      </c>
      <c r="N9635" s="43">
        <v>5.4852795470629863</v>
      </c>
      <c r="O9635" s="43">
        <v>5.5778364116094989</v>
      </c>
      <c r="P9635" s="223"/>
      <c r="Q9635" s="223"/>
      <c r="R9635" s="223">
        <v>1</v>
      </c>
    </row>
    <row r="9636" spans="1:18" ht="48">
      <c r="A9636" s="219">
        <v>2267</v>
      </c>
      <c r="B9636" s="216" t="s">
        <v>17747</v>
      </c>
      <c r="C9636" s="220" t="s">
        <v>17748</v>
      </c>
      <c r="D9636" s="221">
        <v>194.27</v>
      </c>
      <c r="E9636" s="221">
        <v>27.53</v>
      </c>
      <c r="F9636" s="221">
        <v>154.96</v>
      </c>
      <c r="G9636" s="221">
        <v>11.78</v>
      </c>
      <c r="H9636" s="222">
        <v>1229.69</v>
      </c>
      <c r="I9636" s="222">
        <v>316.66000000000003</v>
      </c>
      <c r="J9636" s="222">
        <v>848.49</v>
      </c>
      <c r="K9636" s="222">
        <v>64.540000000000006</v>
      </c>
      <c r="L9636" s="43">
        <v>6.3297987337211099</v>
      </c>
      <c r="M9636" s="43">
        <v>11.502361060661098</v>
      </c>
      <c r="N9636" s="43">
        <v>5.4755420753742898</v>
      </c>
      <c r="O9636" s="43">
        <v>5.4787775891341264</v>
      </c>
      <c r="P9636" s="223"/>
      <c r="Q9636" s="223"/>
      <c r="R9636" s="223">
        <v>1</v>
      </c>
    </row>
    <row r="9637" spans="1:18" ht="48">
      <c r="A9637" s="219">
        <v>2268</v>
      </c>
      <c r="B9637" s="216" t="s">
        <v>17749</v>
      </c>
      <c r="C9637" s="220" t="s">
        <v>17750</v>
      </c>
      <c r="D9637" s="221">
        <v>236.74</v>
      </c>
      <c r="E9637" s="221">
        <v>31.15</v>
      </c>
      <c r="F9637" s="221">
        <v>188.75</v>
      </c>
      <c r="G9637" s="221">
        <v>16.84</v>
      </c>
      <c r="H9637" s="222">
        <v>1482.27</v>
      </c>
      <c r="I9637" s="222">
        <v>358.29</v>
      </c>
      <c r="J9637" s="222">
        <v>1032.77</v>
      </c>
      <c r="K9637" s="222">
        <v>91.21</v>
      </c>
      <c r="L9637" s="43">
        <v>6.2611725944073662</v>
      </c>
      <c r="M9637" s="43">
        <v>11.502086677367577</v>
      </c>
      <c r="N9637" s="43">
        <v>5.4716291390728475</v>
      </c>
      <c r="O9637" s="43">
        <v>5.4162707838479811</v>
      </c>
      <c r="P9637" s="223"/>
      <c r="Q9637" s="223"/>
      <c r="R9637" s="223">
        <v>1</v>
      </c>
    </row>
    <row r="9638" spans="1:18" ht="48">
      <c r="A9638" s="219">
        <v>2269</v>
      </c>
      <c r="B9638" s="216" t="s">
        <v>17751</v>
      </c>
      <c r="C9638" s="220" t="s">
        <v>17752</v>
      </c>
      <c r="D9638" s="221">
        <v>255.03</v>
      </c>
      <c r="E9638" s="221">
        <v>35.74</v>
      </c>
      <c r="F9638" s="221">
        <v>202.36</v>
      </c>
      <c r="G9638" s="221">
        <v>16.93</v>
      </c>
      <c r="H9638" s="222">
        <v>1611.26</v>
      </c>
      <c r="I9638" s="222">
        <v>411.05</v>
      </c>
      <c r="J9638" s="222">
        <v>1107.96</v>
      </c>
      <c r="K9638" s="222">
        <v>92.25</v>
      </c>
      <c r="L9638" s="43">
        <v>6.3179233815629532</v>
      </c>
      <c r="M9638" s="43">
        <v>11.501119194180189</v>
      </c>
      <c r="N9638" s="43">
        <v>5.4751927258351447</v>
      </c>
      <c r="O9638" s="43">
        <v>5.4489072652096873</v>
      </c>
      <c r="P9638" s="223"/>
      <c r="Q9638" s="223"/>
      <c r="R9638" s="223">
        <v>1</v>
      </c>
    </row>
    <row r="9639" spans="1:18" ht="48">
      <c r="A9639" s="219">
        <v>2270</v>
      </c>
      <c r="B9639" s="216" t="s">
        <v>17753</v>
      </c>
      <c r="C9639" s="220" t="s">
        <v>17754</v>
      </c>
      <c r="D9639" s="221">
        <v>335.79</v>
      </c>
      <c r="E9639" s="221">
        <v>45.86</v>
      </c>
      <c r="F9639" s="221">
        <v>245.75</v>
      </c>
      <c r="G9639" s="221">
        <v>44.18</v>
      </c>
      <c r="H9639" s="222">
        <v>2106.7199999999998</v>
      </c>
      <c r="I9639" s="222">
        <v>527.38</v>
      </c>
      <c r="J9639" s="222">
        <v>1344.54</v>
      </c>
      <c r="K9639" s="222">
        <v>234.8</v>
      </c>
      <c r="L9639" s="43">
        <v>6.2739212007504683</v>
      </c>
      <c r="M9639" s="43">
        <v>11.499781945050152</v>
      </c>
      <c r="N9639" s="43">
        <v>5.47116988809766</v>
      </c>
      <c r="O9639" s="43">
        <v>5.3146220009053877</v>
      </c>
      <c r="P9639" s="223"/>
      <c r="Q9639" s="223"/>
      <c r="R9639" s="223">
        <v>1</v>
      </c>
    </row>
    <row r="9640" spans="1:18" ht="48">
      <c r="A9640" s="219">
        <v>2271</v>
      </c>
      <c r="B9640" s="216" t="s">
        <v>17755</v>
      </c>
      <c r="C9640" s="220" t="s">
        <v>17756</v>
      </c>
      <c r="D9640" s="221">
        <v>377.53</v>
      </c>
      <c r="E9640" s="221">
        <v>46.65</v>
      </c>
      <c r="F9640" s="221">
        <v>268.38</v>
      </c>
      <c r="G9640" s="221">
        <v>62.5</v>
      </c>
      <c r="H9640" s="222">
        <v>2336.34</v>
      </c>
      <c r="I9640" s="222">
        <v>536.42999999999995</v>
      </c>
      <c r="J9640" s="222">
        <v>1470.12</v>
      </c>
      <c r="K9640" s="222">
        <v>329.79</v>
      </c>
      <c r="L9640" s="43">
        <v>6.1884883320530824</v>
      </c>
      <c r="M9640" s="43">
        <v>11.499035369774919</v>
      </c>
      <c r="N9640" s="43">
        <v>5.4777554214173927</v>
      </c>
      <c r="O9640" s="43">
        <v>5.2766400000000004</v>
      </c>
      <c r="P9640" s="223"/>
      <c r="Q9640" s="223"/>
      <c r="R9640" s="223">
        <v>1</v>
      </c>
    </row>
    <row r="9641" spans="1:18" ht="48">
      <c r="A9641" s="219">
        <v>2272</v>
      </c>
      <c r="B9641" s="216" t="s">
        <v>17757</v>
      </c>
      <c r="C9641" s="220" t="s">
        <v>17758</v>
      </c>
      <c r="D9641" s="221">
        <v>468.1</v>
      </c>
      <c r="E9641" s="221">
        <v>58.79</v>
      </c>
      <c r="F9641" s="221">
        <v>324.51</v>
      </c>
      <c r="G9641" s="221">
        <v>84.8</v>
      </c>
      <c r="H9641" s="222">
        <v>2899.4</v>
      </c>
      <c r="I9641" s="222">
        <v>676.03</v>
      </c>
      <c r="J9641" s="222">
        <v>1776.44</v>
      </c>
      <c r="K9641" s="222">
        <v>446.93</v>
      </c>
      <c r="L9641" s="43">
        <v>6.193975646229438</v>
      </c>
      <c r="M9641" s="43">
        <v>11.499064466746045</v>
      </c>
      <c r="N9641" s="43">
        <v>5.4742226741856959</v>
      </c>
      <c r="O9641" s="43">
        <v>5.2704009433962264</v>
      </c>
      <c r="P9641" s="223"/>
      <c r="Q9641" s="223"/>
      <c r="R9641" s="223">
        <v>1</v>
      </c>
    </row>
    <row r="9642" spans="1:18" ht="24">
      <c r="A9642" s="219">
        <v>2273</v>
      </c>
      <c r="B9642" s="216" t="s">
        <v>17759</v>
      </c>
      <c r="C9642" s="220" t="s">
        <v>17760</v>
      </c>
      <c r="D9642" s="221">
        <v>69.7</v>
      </c>
      <c r="E9642" s="221">
        <v>35.11</v>
      </c>
      <c r="F9642" s="221">
        <v>14.56</v>
      </c>
      <c r="G9642" s="221">
        <v>20.03</v>
      </c>
      <c r="H9642" s="222">
        <v>561.82000000000005</v>
      </c>
      <c r="I9642" s="222">
        <v>403.73</v>
      </c>
      <c r="J9642" s="222">
        <v>79.2</v>
      </c>
      <c r="K9642" s="222">
        <v>78.89</v>
      </c>
      <c r="L9642" s="43">
        <v>8.060545193687231</v>
      </c>
      <c r="M9642" s="43">
        <v>11.49900313301054</v>
      </c>
      <c r="N9642" s="43">
        <v>5.4395604395604398</v>
      </c>
      <c r="O9642" s="43">
        <v>3.9385921118322513</v>
      </c>
      <c r="P9642" s="223"/>
      <c r="Q9642" s="223"/>
      <c r="R9642" s="223">
        <v>1</v>
      </c>
    </row>
    <row r="9643" spans="1:18" ht="24">
      <c r="A9643" s="219">
        <v>2274</v>
      </c>
      <c r="B9643" s="216" t="s">
        <v>17761</v>
      </c>
      <c r="C9643" s="220" t="s">
        <v>17762</v>
      </c>
      <c r="D9643" s="221">
        <v>71.42</v>
      </c>
      <c r="E9643" s="221">
        <v>35.11</v>
      </c>
      <c r="F9643" s="221">
        <v>14.56</v>
      </c>
      <c r="G9643" s="221">
        <v>21.75</v>
      </c>
      <c r="H9643" s="222">
        <v>567.91999999999996</v>
      </c>
      <c r="I9643" s="222">
        <v>403.73</v>
      </c>
      <c r="J9643" s="222">
        <v>79.2</v>
      </c>
      <c r="K9643" s="222">
        <v>84.99</v>
      </c>
      <c r="L9643" s="43">
        <v>7.9518342201064121</v>
      </c>
      <c r="M9643" s="43">
        <v>11.49900313301054</v>
      </c>
      <c r="N9643" s="43">
        <v>5.4395604395604398</v>
      </c>
      <c r="O9643" s="43">
        <v>3.9075862068965517</v>
      </c>
      <c r="P9643" s="223"/>
      <c r="Q9643" s="223"/>
      <c r="R9643" s="223">
        <v>1</v>
      </c>
    </row>
    <row r="9644" spans="1:18" ht="24">
      <c r="A9644" s="219">
        <v>2275</v>
      </c>
      <c r="B9644" s="216" t="s">
        <v>17763</v>
      </c>
      <c r="C9644" s="220" t="s">
        <v>17764</v>
      </c>
      <c r="D9644" s="221">
        <v>50.81</v>
      </c>
      <c r="E9644" s="221">
        <v>35.49</v>
      </c>
      <c r="F9644" s="221">
        <v>13.43</v>
      </c>
      <c r="G9644" s="221">
        <v>1.89</v>
      </c>
      <c r="H9644" s="222">
        <v>497.02</v>
      </c>
      <c r="I9644" s="222">
        <v>408.12</v>
      </c>
      <c r="J9644" s="222">
        <v>71.89</v>
      </c>
      <c r="K9644" s="222">
        <v>17.010000000000002</v>
      </c>
      <c r="L9644" s="43">
        <v>9.781932690415271</v>
      </c>
      <c r="M9644" s="43">
        <v>11.499577345731192</v>
      </c>
      <c r="N9644" s="43">
        <v>5.3529411764705888</v>
      </c>
      <c r="O9644" s="43">
        <v>9.0000000000000018</v>
      </c>
      <c r="P9644" s="223"/>
      <c r="Q9644" s="223"/>
      <c r="R9644" s="223">
        <v>1</v>
      </c>
    </row>
    <row r="9645" spans="1:18" ht="24">
      <c r="A9645" s="219">
        <v>2276</v>
      </c>
      <c r="B9645" s="216" t="s">
        <v>17765</v>
      </c>
      <c r="C9645" s="220" t="s">
        <v>17766</v>
      </c>
      <c r="D9645" s="221">
        <v>56.94</v>
      </c>
      <c r="E9645" s="221">
        <v>36.99</v>
      </c>
      <c r="F9645" s="221">
        <v>17.98</v>
      </c>
      <c r="G9645" s="221">
        <v>1.97</v>
      </c>
      <c r="H9645" s="222">
        <v>539.4</v>
      </c>
      <c r="I9645" s="222">
        <v>425.42</v>
      </c>
      <c r="J9645" s="222">
        <v>96.36</v>
      </c>
      <c r="K9645" s="222">
        <v>17.62</v>
      </c>
      <c r="L9645" s="43">
        <v>9.4731296101159117</v>
      </c>
      <c r="M9645" s="43">
        <v>11.500946201676129</v>
      </c>
      <c r="N9645" s="43">
        <v>5.35928809788654</v>
      </c>
      <c r="O9645" s="43">
        <v>8.9441624365482237</v>
      </c>
      <c r="P9645" s="223"/>
      <c r="Q9645" s="223"/>
      <c r="R9645" s="223">
        <v>1</v>
      </c>
    </row>
    <row r="9646" spans="1:18" ht="24">
      <c r="A9646" s="219">
        <v>2277</v>
      </c>
      <c r="B9646" s="216" t="s">
        <v>17767</v>
      </c>
      <c r="C9646" s="220" t="s">
        <v>17768</v>
      </c>
      <c r="D9646" s="221">
        <v>59.23</v>
      </c>
      <c r="E9646" s="221">
        <v>38.25</v>
      </c>
      <c r="F9646" s="221">
        <v>18.91</v>
      </c>
      <c r="G9646" s="221">
        <v>2.0699999999999998</v>
      </c>
      <c r="H9646" s="222">
        <v>559.4</v>
      </c>
      <c r="I9646" s="222">
        <v>439.84</v>
      </c>
      <c r="J9646" s="222">
        <v>101.3</v>
      </c>
      <c r="K9646" s="222">
        <v>18.260000000000002</v>
      </c>
      <c r="L9646" s="43">
        <v>9.4445382407563727</v>
      </c>
      <c r="M9646" s="43">
        <v>11.499084967320261</v>
      </c>
      <c r="N9646" s="43">
        <v>5.3569539925965097</v>
      </c>
      <c r="O9646" s="43">
        <v>8.8212560386473449</v>
      </c>
      <c r="P9646" s="223"/>
      <c r="Q9646" s="223"/>
      <c r="R9646" s="223">
        <v>1</v>
      </c>
    </row>
    <row r="9647" spans="1:18" ht="24">
      <c r="A9647" s="219">
        <v>2278</v>
      </c>
      <c r="B9647" s="216" t="s">
        <v>17769</v>
      </c>
      <c r="C9647" s="220" t="s">
        <v>17770</v>
      </c>
      <c r="D9647" s="221">
        <v>59.7</v>
      </c>
      <c r="E9647" s="221">
        <v>38.619999999999997</v>
      </c>
      <c r="F9647" s="221">
        <v>18.91</v>
      </c>
      <c r="G9647" s="221">
        <v>2.17</v>
      </c>
      <c r="H9647" s="222">
        <v>564.32000000000005</v>
      </c>
      <c r="I9647" s="222">
        <v>444.17</v>
      </c>
      <c r="J9647" s="222">
        <v>101.3</v>
      </c>
      <c r="K9647" s="222">
        <v>18.850000000000001</v>
      </c>
      <c r="L9647" s="43">
        <v>9.4525963149078738</v>
      </c>
      <c r="M9647" s="43">
        <v>11.501035732780943</v>
      </c>
      <c r="N9647" s="43">
        <v>5.3569539925965097</v>
      </c>
      <c r="O9647" s="43">
        <v>8.6866359447004626</v>
      </c>
      <c r="P9647" s="223"/>
      <c r="Q9647" s="223"/>
      <c r="R9647" s="223">
        <v>1</v>
      </c>
    </row>
    <row r="9648" spans="1:18" ht="24">
      <c r="A9648" s="219">
        <v>2279</v>
      </c>
      <c r="B9648" s="216" t="s">
        <v>17771</v>
      </c>
      <c r="C9648" s="220" t="s">
        <v>17772</v>
      </c>
      <c r="D9648" s="221">
        <v>70.78</v>
      </c>
      <c r="E9648" s="221">
        <v>43.01</v>
      </c>
      <c r="F9648" s="221">
        <v>25.07</v>
      </c>
      <c r="G9648" s="221">
        <v>2.7</v>
      </c>
      <c r="H9648" s="222">
        <v>651.54</v>
      </c>
      <c r="I9648" s="222">
        <v>494.64</v>
      </c>
      <c r="J9648" s="222">
        <v>134.27000000000001</v>
      </c>
      <c r="K9648" s="222">
        <v>22.63</v>
      </c>
      <c r="L9648" s="43">
        <v>9.205142695676745</v>
      </c>
      <c r="M9648" s="43">
        <v>11.500581260172053</v>
      </c>
      <c r="N9648" s="43">
        <v>5.3558037495013968</v>
      </c>
      <c r="O9648" s="43">
        <v>8.3814814814814813</v>
      </c>
      <c r="P9648" s="223"/>
      <c r="Q9648" s="223"/>
      <c r="R9648" s="223">
        <v>1</v>
      </c>
    </row>
    <row r="9649" spans="1:18" ht="24">
      <c r="A9649" s="219">
        <v>2280</v>
      </c>
      <c r="B9649" s="216" t="s">
        <v>17773</v>
      </c>
      <c r="C9649" s="220" t="s">
        <v>17774</v>
      </c>
      <c r="D9649" s="221">
        <v>83.37</v>
      </c>
      <c r="E9649" s="221">
        <v>46.9</v>
      </c>
      <c r="F9649" s="221">
        <v>33.25</v>
      </c>
      <c r="G9649" s="221">
        <v>3.22</v>
      </c>
      <c r="H9649" s="222">
        <v>743.03</v>
      </c>
      <c r="I9649" s="222">
        <v>539.35</v>
      </c>
      <c r="J9649" s="222">
        <v>177.36</v>
      </c>
      <c r="K9649" s="222">
        <v>26.32</v>
      </c>
      <c r="L9649" s="43">
        <v>8.9124385270480975</v>
      </c>
      <c r="M9649" s="43">
        <v>11.5</v>
      </c>
      <c r="N9649" s="43">
        <v>5.334135338345865</v>
      </c>
      <c r="O9649" s="43">
        <v>8.1739130434782599</v>
      </c>
      <c r="P9649" s="223"/>
      <c r="Q9649" s="223"/>
      <c r="R9649" s="223">
        <v>1</v>
      </c>
    </row>
    <row r="9650" spans="1:18" ht="24">
      <c r="A9650" s="219">
        <v>2281</v>
      </c>
      <c r="B9650" s="216" t="s">
        <v>17775</v>
      </c>
      <c r="C9650" s="220" t="s">
        <v>17776</v>
      </c>
      <c r="D9650" s="221">
        <v>90.73</v>
      </c>
      <c r="E9650" s="221">
        <v>48.66</v>
      </c>
      <c r="F9650" s="221">
        <v>38.39</v>
      </c>
      <c r="G9650" s="221">
        <v>3.68</v>
      </c>
      <c r="H9650" s="222">
        <v>793.99</v>
      </c>
      <c r="I9650" s="222">
        <v>559.53</v>
      </c>
      <c r="J9650" s="222">
        <v>204.97</v>
      </c>
      <c r="K9650" s="222">
        <v>29.49</v>
      </c>
      <c r="L9650" s="43">
        <v>8.7511297255593519</v>
      </c>
      <c r="M9650" s="43">
        <v>11.498766954377313</v>
      </c>
      <c r="N9650" s="43">
        <v>5.3391508205261786</v>
      </c>
      <c r="O9650" s="43">
        <v>8.0135869565217384</v>
      </c>
      <c r="P9650" s="223"/>
      <c r="Q9650" s="223"/>
      <c r="R9650" s="223">
        <v>1</v>
      </c>
    </row>
    <row r="9651" spans="1:18" ht="24">
      <c r="A9651" s="219">
        <v>2282</v>
      </c>
      <c r="B9651" s="216" t="s">
        <v>17777</v>
      </c>
      <c r="C9651" s="220" t="s">
        <v>17778</v>
      </c>
      <c r="D9651" s="221">
        <v>114.34</v>
      </c>
      <c r="E9651" s="221">
        <v>63.83</v>
      </c>
      <c r="F9651" s="221">
        <v>45.35</v>
      </c>
      <c r="G9651" s="221">
        <v>5.16</v>
      </c>
      <c r="H9651" s="222">
        <v>1016.57</v>
      </c>
      <c r="I9651" s="222">
        <v>734.03</v>
      </c>
      <c r="J9651" s="222">
        <v>242.37</v>
      </c>
      <c r="K9651" s="222">
        <v>40.17</v>
      </c>
      <c r="L9651" s="43">
        <v>8.8907643869162154</v>
      </c>
      <c r="M9651" s="43">
        <v>11.499765000783331</v>
      </c>
      <c r="N9651" s="43">
        <v>5.3444321940463064</v>
      </c>
      <c r="O9651" s="43">
        <v>7.7848837209302326</v>
      </c>
      <c r="P9651" s="223"/>
      <c r="Q9651" s="223"/>
      <c r="R9651" s="223">
        <v>1</v>
      </c>
    </row>
    <row r="9652" spans="1:18" ht="24">
      <c r="A9652" s="219">
        <v>2283</v>
      </c>
      <c r="B9652" s="216" t="s">
        <v>17779</v>
      </c>
      <c r="C9652" s="220" t="s">
        <v>17780</v>
      </c>
      <c r="D9652" s="221">
        <v>122.89</v>
      </c>
      <c r="E9652" s="221">
        <v>69.22</v>
      </c>
      <c r="F9652" s="221">
        <v>47.82</v>
      </c>
      <c r="G9652" s="221">
        <v>5.85</v>
      </c>
      <c r="H9652" s="222">
        <v>1096.1500000000001</v>
      </c>
      <c r="I9652" s="222">
        <v>796.04</v>
      </c>
      <c r="J9652" s="222">
        <v>255.38</v>
      </c>
      <c r="K9652" s="222">
        <v>44.73</v>
      </c>
      <c r="L9652" s="43">
        <v>8.9197656440719353</v>
      </c>
      <c r="M9652" s="43">
        <v>11.500144466917076</v>
      </c>
      <c r="N9652" s="43">
        <v>5.3404433291509825</v>
      </c>
      <c r="O9652" s="43">
        <v>7.6461538461538465</v>
      </c>
      <c r="P9652" s="223"/>
      <c r="Q9652" s="223"/>
      <c r="R9652" s="223">
        <v>1</v>
      </c>
    </row>
    <row r="9653" spans="1:18" ht="24">
      <c r="A9653" s="219">
        <v>2284</v>
      </c>
      <c r="B9653" s="216" t="s">
        <v>17781</v>
      </c>
      <c r="C9653" s="220" t="s">
        <v>17782</v>
      </c>
      <c r="D9653" s="221">
        <v>160.68</v>
      </c>
      <c r="E9653" s="221">
        <v>86.11</v>
      </c>
      <c r="F9653" s="221">
        <v>65.83</v>
      </c>
      <c r="G9653" s="221">
        <v>8.74</v>
      </c>
      <c r="H9653" s="222">
        <v>1404.09</v>
      </c>
      <c r="I9653" s="222">
        <v>990.32</v>
      </c>
      <c r="J9653" s="222">
        <v>351.55</v>
      </c>
      <c r="K9653" s="222">
        <v>62.22</v>
      </c>
      <c r="L9653" s="43">
        <v>8.7384241971620611</v>
      </c>
      <c r="M9653" s="43">
        <v>11.500638717918942</v>
      </c>
      <c r="N9653" s="43">
        <v>5.3402703934376428</v>
      </c>
      <c r="O9653" s="43">
        <v>7.1189931350114417</v>
      </c>
      <c r="P9653" s="223"/>
      <c r="Q9653" s="223"/>
      <c r="R9653" s="223">
        <v>1</v>
      </c>
    </row>
    <row r="9654" spans="1:18" ht="24">
      <c r="A9654" s="219">
        <v>2285</v>
      </c>
      <c r="B9654" s="216" t="s">
        <v>17783</v>
      </c>
      <c r="C9654" s="220" t="s">
        <v>17784</v>
      </c>
      <c r="D9654" s="221">
        <v>249.66</v>
      </c>
      <c r="E9654" s="221">
        <v>123.64</v>
      </c>
      <c r="F9654" s="221">
        <v>98.64</v>
      </c>
      <c r="G9654" s="221">
        <v>27.38</v>
      </c>
      <c r="H9654" s="222">
        <v>2109.27</v>
      </c>
      <c r="I9654" s="222">
        <v>1421.84</v>
      </c>
      <c r="J9654" s="222">
        <v>526.02</v>
      </c>
      <c r="K9654" s="222">
        <v>161.41</v>
      </c>
      <c r="L9654" s="43">
        <v>8.4485700552751748</v>
      </c>
      <c r="M9654" s="43">
        <v>11.499838240051762</v>
      </c>
      <c r="N9654" s="43">
        <v>5.3327250608272507</v>
      </c>
      <c r="O9654" s="43">
        <v>5.8951789627465301</v>
      </c>
      <c r="P9654" s="223"/>
      <c r="Q9654" s="223"/>
      <c r="R9654" s="223">
        <v>1</v>
      </c>
    </row>
    <row r="9655" spans="1:18" ht="24">
      <c r="A9655" s="219">
        <v>2286</v>
      </c>
      <c r="B9655" s="216" t="s">
        <v>17785</v>
      </c>
      <c r="C9655" s="220" t="s">
        <v>17786</v>
      </c>
      <c r="D9655" s="221">
        <v>286.89</v>
      </c>
      <c r="E9655" s="221">
        <v>144.24</v>
      </c>
      <c r="F9655" s="221">
        <v>109.1</v>
      </c>
      <c r="G9655" s="221">
        <v>33.549999999999997</v>
      </c>
      <c r="H9655" s="222">
        <v>2436.3000000000002</v>
      </c>
      <c r="I9655" s="222">
        <v>1658.81</v>
      </c>
      <c r="J9655" s="222">
        <v>581.32000000000005</v>
      </c>
      <c r="K9655" s="222">
        <v>196.17</v>
      </c>
      <c r="L9655" s="43">
        <v>8.4921049879744857</v>
      </c>
      <c r="M9655" s="43">
        <v>11.500346644481418</v>
      </c>
      <c r="N9655" s="43">
        <v>5.3283226397800192</v>
      </c>
      <c r="O9655" s="43">
        <v>5.8470938897168407</v>
      </c>
      <c r="P9655" s="223"/>
      <c r="Q9655" s="223"/>
      <c r="R9655" s="223">
        <v>1</v>
      </c>
    </row>
    <row r="9656" spans="1:18" ht="24">
      <c r="A9656" s="219">
        <v>2287</v>
      </c>
      <c r="B9656" s="216" t="s">
        <v>17787</v>
      </c>
      <c r="C9656" s="220" t="s">
        <v>17788</v>
      </c>
      <c r="D9656" s="221">
        <v>340.19</v>
      </c>
      <c r="E9656" s="221">
        <v>167.83</v>
      </c>
      <c r="F9656" s="221">
        <v>132.58000000000001</v>
      </c>
      <c r="G9656" s="221">
        <v>39.78</v>
      </c>
      <c r="H9656" s="222">
        <v>2868.42</v>
      </c>
      <c r="I9656" s="222">
        <v>1930.08</v>
      </c>
      <c r="J9656" s="222">
        <v>706.62</v>
      </c>
      <c r="K9656" s="222">
        <v>231.72</v>
      </c>
      <c r="L9656" s="43">
        <v>8.4318175137423204</v>
      </c>
      <c r="M9656" s="43">
        <v>11.500208544360364</v>
      </c>
      <c r="N9656" s="43">
        <v>5.329763161864534</v>
      </c>
      <c r="O9656" s="43">
        <v>5.8250377073906483</v>
      </c>
      <c r="P9656" s="223"/>
      <c r="Q9656" s="223"/>
      <c r="R9656" s="223">
        <v>1</v>
      </c>
    </row>
    <row r="9657" spans="1:18" ht="24">
      <c r="A9657" s="219">
        <v>2288</v>
      </c>
      <c r="B9657" s="216" t="s">
        <v>17789</v>
      </c>
      <c r="C9657" s="220" t="s">
        <v>17790</v>
      </c>
      <c r="D9657" s="221">
        <v>390.46</v>
      </c>
      <c r="E9657" s="221">
        <v>184.19</v>
      </c>
      <c r="F9657" s="221">
        <v>152.99</v>
      </c>
      <c r="G9657" s="221">
        <v>53.28</v>
      </c>
      <c r="H9657" s="222">
        <v>3239.08</v>
      </c>
      <c r="I9657" s="222">
        <v>2118.13</v>
      </c>
      <c r="J9657" s="222">
        <v>815.41</v>
      </c>
      <c r="K9657" s="222">
        <v>305.54000000000002</v>
      </c>
      <c r="L9657" s="43">
        <v>8.2955488398299444</v>
      </c>
      <c r="M9657" s="43">
        <v>11.499701395298334</v>
      </c>
      <c r="N9657" s="43">
        <v>5.3298254787894628</v>
      </c>
      <c r="O9657" s="43">
        <v>5.7346096096096097</v>
      </c>
      <c r="P9657" s="223"/>
      <c r="Q9657" s="223"/>
      <c r="R9657" s="223">
        <v>1</v>
      </c>
    </row>
    <row r="9658" spans="1:18" ht="24">
      <c r="A9658" s="219">
        <v>2289</v>
      </c>
      <c r="B9658" s="216" t="s">
        <v>17791</v>
      </c>
      <c r="C9658" s="220" t="s">
        <v>17792</v>
      </c>
      <c r="D9658" s="221">
        <v>435.32</v>
      </c>
      <c r="E9658" s="221">
        <v>207.91</v>
      </c>
      <c r="F9658" s="221">
        <v>175.63</v>
      </c>
      <c r="G9658" s="221">
        <v>51.78</v>
      </c>
      <c r="H9658" s="222">
        <v>3626.26</v>
      </c>
      <c r="I9658" s="222">
        <v>2391</v>
      </c>
      <c r="J9658" s="222">
        <v>935.8</v>
      </c>
      <c r="K9658" s="222">
        <v>299.45999999999998</v>
      </c>
      <c r="L9658" s="43">
        <v>8.3301019939354966</v>
      </c>
      <c r="M9658" s="43">
        <v>11.500168342071088</v>
      </c>
      <c r="N9658" s="43">
        <v>5.3282468826510279</v>
      </c>
      <c r="O9658" s="43">
        <v>5.7833140208574738</v>
      </c>
      <c r="P9658" s="223"/>
      <c r="Q9658" s="223"/>
      <c r="R9658" s="223">
        <v>1</v>
      </c>
    </row>
    <row r="9659" spans="1:18" ht="24">
      <c r="A9659" s="219">
        <v>2290</v>
      </c>
      <c r="B9659" s="216" t="s">
        <v>17793</v>
      </c>
      <c r="C9659" s="220" t="s">
        <v>17794</v>
      </c>
      <c r="D9659" s="221">
        <v>550.27</v>
      </c>
      <c r="E9659" s="221">
        <v>259.36</v>
      </c>
      <c r="F9659" s="221">
        <v>216.16</v>
      </c>
      <c r="G9659" s="221">
        <v>74.75</v>
      </c>
      <c r="H9659" s="222">
        <v>4561.67</v>
      </c>
      <c r="I9659" s="222">
        <v>2982.65</v>
      </c>
      <c r="J9659" s="222">
        <v>1151.57</v>
      </c>
      <c r="K9659" s="222">
        <v>427.45</v>
      </c>
      <c r="L9659" s="43">
        <v>8.2898758791138896</v>
      </c>
      <c r="M9659" s="43">
        <v>11.500038556446638</v>
      </c>
      <c r="N9659" s="43">
        <v>5.3273963730569944</v>
      </c>
      <c r="O9659" s="43">
        <v>5.718394648829431</v>
      </c>
      <c r="P9659" s="223"/>
      <c r="Q9659" s="223"/>
      <c r="R9659" s="223">
        <v>1</v>
      </c>
    </row>
    <row r="9660" spans="1:18" ht="24">
      <c r="A9660" s="219">
        <v>2291</v>
      </c>
      <c r="B9660" s="216" t="s">
        <v>17795</v>
      </c>
      <c r="C9660" s="220" t="s">
        <v>17796</v>
      </c>
      <c r="D9660" s="221">
        <v>611.66</v>
      </c>
      <c r="E9660" s="221">
        <v>272.12</v>
      </c>
      <c r="F9660" s="221">
        <v>278.45999999999998</v>
      </c>
      <c r="G9660" s="221">
        <v>61.08</v>
      </c>
      <c r="H9660" s="222">
        <v>4970.99</v>
      </c>
      <c r="I9660" s="222">
        <v>3129.36</v>
      </c>
      <c r="J9660" s="222">
        <v>1486.79</v>
      </c>
      <c r="K9660" s="222">
        <v>354.84</v>
      </c>
      <c r="L9660" s="43">
        <v>8.1270477062420294</v>
      </c>
      <c r="M9660" s="43">
        <v>11.499926503013377</v>
      </c>
      <c r="N9660" s="43">
        <v>5.339330604036487</v>
      </c>
      <c r="O9660" s="43">
        <v>5.8094302554027504</v>
      </c>
      <c r="P9660" s="223"/>
      <c r="Q9660" s="223"/>
      <c r="R9660" s="223">
        <v>1</v>
      </c>
    </row>
    <row r="9661" spans="1:18" ht="24">
      <c r="A9661" s="219">
        <v>2292</v>
      </c>
      <c r="B9661" s="216" t="s">
        <v>17797</v>
      </c>
      <c r="C9661" s="220" t="s">
        <v>17798</v>
      </c>
      <c r="D9661" s="221">
        <v>850.88</v>
      </c>
      <c r="E9661" s="221">
        <v>350.32</v>
      </c>
      <c r="F9661" s="221">
        <v>401.77</v>
      </c>
      <c r="G9661" s="221">
        <v>98.79</v>
      </c>
      <c r="H9661" s="222">
        <v>6740.59</v>
      </c>
      <c r="I9661" s="222">
        <v>4028.8</v>
      </c>
      <c r="J9661" s="222">
        <v>2146.62</v>
      </c>
      <c r="K9661" s="222">
        <v>565.16999999999996</v>
      </c>
      <c r="L9661" s="43">
        <v>7.921904381346371</v>
      </c>
      <c r="M9661" s="43">
        <v>11.500342543959809</v>
      </c>
      <c r="N9661" s="43">
        <v>5.3429076337207855</v>
      </c>
      <c r="O9661" s="43">
        <v>5.7209231703613721</v>
      </c>
      <c r="P9661" s="223"/>
      <c r="Q9661" s="223"/>
      <c r="R9661" s="223">
        <v>1</v>
      </c>
    </row>
    <row r="9662" spans="1:18" ht="24">
      <c r="A9662" s="219">
        <v>2293</v>
      </c>
      <c r="B9662" s="216" t="s">
        <v>17799</v>
      </c>
      <c r="C9662" s="220" t="s">
        <v>17800</v>
      </c>
      <c r="D9662" s="221">
        <v>1413.26</v>
      </c>
      <c r="E9662" s="221">
        <v>571.99</v>
      </c>
      <c r="F9662" s="221">
        <v>678.54</v>
      </c>
      <c r="G9662" s="221">
        <v>162.72999999999999</v>
      </c>
      <c r="H9662" s="222">
        <v>11103.37</v>
      </c>
      <c r="I9662" s="222">
        <v>6578.1</v>
      </c>
      <c r="J9662" s="222">
        <v>3624.55</v>
      </c>
      <c r="K9662" s="222">
        <v>900.72</v>
      </c>
      <c r="L9662" s="43">
        <v>7.8565656708602809</v>
      </c>
      <c r="M9662" s="43">
        <v>11.500375880697215</v>
      </c>
      <c r="N9662" s="43">
        <v>5.34168950982993</v>
      </c>
      <c r="O9662" s="43">
        <v>5.5350580716524309</v>
      </c>
      <c r="P9662" s="223"/>
      <c r="Q9662" s="223"/>
      <c r="R9662" s="223">
        <v>1</v>
      </c>
    </row>
    <row r="9663" spans="1:18" ht="24">
      <c r="A9663" s="219">
        <v>2294</v>
      </c>
      <c r="B9663" s="216" t="s">
        <v>17801</v>
      </c>
      <c r="C9663" s="220" t="s">
        <v>17802</v>
      </c>
      <c r="D9663" s="221">
        <v>1875.93</v>
      </c>
      <c r="E9663" s="221">
        <v>757.29</v>
      </c>
      <c r="F9663" s="221">
        <v>897.97</v>
      </c>
      <c r="G9663" s="221">
        <v>220.67</v>
      </c>
      <c r="H9663" s="222">
        <v>14731.3</v>
      </c>
      <c r="I9663" s="222">
        <v>8708.84</v>
      </c>
      <c r="J9663" s="222">
        <v>4797.51</v>
      </c>
      <c r="K9663" s="222">
        <v>1224.95</v>
      </c>
      <c r="L9663" s="43">
        <v>7.8527983453540369</v>
      </c>
      <c r="M9663" s="43">
        <v>11.50000660249046</v>
      </c>
      <c r="N9663" s="43">
        <v>5.3426172366560127</v>
      </c>
      <c r="O9663" s="43">
        <v>5.5510490778084929</v>
      </c>
      <c r="P9663" s="223"/>
      <c r="Q9663" s="223"/>
      <c r="R9663" s="223">
        <v>1</v>
      </c>
    </row>
    <row r="9664" spans="1:18" ht="24">
      <c r="A9664" s="219">
        <v>2295</v>
      </c>
      <c r="B9664" s="216" t="s">
        <v>17803</v>
      </c>
      <c r="C9664" s="220" t="s">
        <v>17804</v>
      </c>
      <c r="D9664" s="221">
        <v>2265.4699999999998</v>
      </c>
      <c r="E9664" s="221">
        <v>888.96</v>
      </c>
      <c r="F9664" s="221">
        <v>1066.72</v>
      </c>
      <c r="G9664" s="221">
        <v>309.79000000000002</v>
      </c>
      <c r="H9664" s="222">
        <v>17649.25</v>
      </c>
      <c r="I9664" s="222">
        <v>10223.049999999999</v>
      </c>
      <c r="J9664" s="222">
        <v>5699.33</v>
      </c>
      <c r="K9664" s="222">
        <v>1726.87</v>
      </c>
      <c r="L9664" s="43">
        <v>7.7905467739586056</v>
      </c>
      <c r="M9664" s="43">
        <v>11.500011249100071</v>
      </c>
      <c r="N9664" s="43">
        <v>5.3428547322633868</v>
      </c>
      <c r="O9664" s="43">
        <v>5.5743245424319694</v>
      </c>
      <c r="P9664" s="223"/>
      <c r="Q9664" s="223"/>
      <c r="R9664" s="223">
        <v>1</v>
      </c>
    </row>
    <row r="9665" spans="1:18" ht="12.75" customHeight="1">
      <c r="A9665" s="628" t="s">
        <v>17805</v>
      </c>
      <c r="B9665" s="629"/>
      <c r="C9665" s="629"/>
      <c r="D9665" s="629"/>
      <c r="E9665" s="629"/>
      <c r="F9665" s="629"/>
      <c r="G9665" s="629"/>
      <c r="H9665" s="629"/>
      <c r="I9665" s="629"/>
      <c r="J9665" s="629"/>
      <c r="K9665" s="629"/>
      <c r="L9665" s="629"/>
      <c r="M9665" s="629"/>
      <c r="N9665" s="629"/>
      <c r="O9665" s="629"/>
      <c r="P9665" s="629"/>
      <c r="Q9665" s="629"/>
      <c r="R9665" s="629"/>
    </row>
    <row r="9666" spans="1:18" ht="60">
      <c r="A9666" s="219">
        <v>2296</v>
      </c>
      <c r="B9666" s="216" t="s">
        <v>17806</v>
      </c>
      <c r="C9666" s="220" t="s">
        <v>17807</v>
      </c>
      <c r="D9666" s="221">
        <v>55.97</v>
      </c>
      <c r="E9666" s="221">
        <v>6.61</v>
      </c>
      <c r="F9666" s="221">
        <v>49.23</v>
      </c>
      <c r="G9666" s="221">
        <v>0.13</v>
      </c>
      <c r="H9666" s="222">
        <v>348.89</v>
      </c>
      <c r="I9666" s="222">
        <v>76.040000000000006</v>
      </c>
      <c r="J9666" s="222">
        <v>271.33</v>
      </c>
      <c r="K9666" s="222">
        <v>1.52</v>
      </c>
      <c r="L9666" s="43">
        <v>6.2335179560478826</v>
      </c>
      <c r="M9666" s="43">
        <v>11.503782148260212</v>
      </c>
      <c r="N9666" s="43">
        <v>5.5114767418240911</v>
      </c>
      <c r="O9666" s="43">
        <v>11.692307692307692</v>
      </c>
      <c r="P9666" s="223"/>
      <c r="Q9666" s="223"/>
      <c r="R9666" s="223">
        <v>2</v>
      </c>
    </row>
    <row r="9667" spans="1:18" ht="60">
      <c r="A9667" s="219">
        <v>2297</v>
      </c>
      <c r="B9667" s="216" t="s">
        <v>17808</v>
      </c>
      <c r="C9667" s="220" t="s">
        <v>17809</v>
      </c>
      <c r="D9667" s="221">
        <v>55.98</v>
      </c>
      <c r="E9667" s="221">
        <v>6.61</v>
      </c>
      <c r="F9667" s="221">
        <v>49.23</v>
      </c>
      <c r="G9667" s="221">
        <v>0.14000000000000001</v>
      </c>
      <c r="H9667" s="222">
        <v>348.92</v>
      </c>
      <c r="I9667" s="222">
        <v>76.040000000000006</v>
      </c>
      <c r="J9667" s="222">
        <v>271.33</v>
      </c>
      <c r="K9667" s="222">
        <v>1.55</v>
      </c>
      <c r="L9667" s="43">
        <v>6.2329403358342272</v>
      </c>
      <c r="M9667" s="43">
        <v>11.503782148260212</v>
      </c>
      <c r="N9667" s="43">
        <v>5.5114767418240911</v>
      </c>
      <c r="O9667" s="43">
        <v>11.071428571428571</v>
      </c>
      <c r="P9667" s="223"/>
      <c r="Q9667" s="223"/>
      <c r="R9667" s="223">
        <v>2</v>
      </c>
    </row>
    <row r="9668" spans="1:18" ht="60">
      <c r="A9668" s="219">
        <v>2298</v>
      </c>
      <c r="B9668" s="216" t="s">
        <v>17810</v>
      </c>
      <c r="C9668" s="220" t="s">
        <v>17811</v>
      </c>
      <c r="D9668" s="221">
        <v>56.33</v>
      </c>
      <c r="E9668" s="221">
        <v>6.94</v>
      </c>
      <c r="F9668" s="221">
        <v>49.23</v>
      </c>
      <c r="G9668" s="221">
        <v>0.16</v>
      </c>
      <c r="H9668" s="222">
        <v>352.83</v>
      </c>
      <c r="I9668" s="222">
        <v>79.78</v>
      </c>
      <c r="J9668" s="222">
        <v>271.33</v>
      </c>
      <c r="K9668" s="222">
        <v>1.72</v>
      </c>
      <c r="L9668" s="43">
        <v>6.2636250665719864</v>
      </c>
      <c r="M9668" s="43">
        <v>11.495677233429394</v>
      </c>
      <c r="N9668" s="43">
        <v>5.5114767418240911</v>
      </c>
      <c r="O9668" s="43">
        <v>10.75</v>
      </c>
      <c r="P9668" s="223"/>
      <c r="Q9668" s="223"/>
      <c r="R9668" s="223">
        <v>2</v>
      </c>
    </row>
    <row r="9669" spans="1:18" ht="60">
      <c r="A9669" s="219">
        <v>2299</v>
      </c>
      <c r="B9669" s="216" t="s">
        <v>17812</v>
      </c>
      <c r="C9669" s="220" t="s">
        <v>17813</v>
      </c>
      <c r="D9669" s="221">
        <v>58.3</v>
      </c>
      <c r="E9669" s="221">
        <v>7.37</v>
      </c>
      <c r="F9669" s="221">
        <v>50.75</v>
      </c>
      <c r="G9669" s="221">
        <v>0.18</v>
      </c>
      <c r="H9669" s="222">
        <v>366.14</v>
      </c>
      <c r="I9669" s="222">
        <v>84.77</v>
      </c>
      <c r="J9669" s="222">
        <v>279.49</v>
      </c>
      <c r="K9669" s="222">
        <v>1.88</v>
      </c>
      <c r="L9669" s="43">
        <v>6.2802744425385937</v>
      </c>
      <c r="M9669" s="43">
        <v>11.502035278154681</v>
      </c>
      <c r="N9669" s="43">
        <v>5.5071921182266008</v>
      </c>
      <c r="O9669" s="43">
        <v>10.444444444444445</v>
      </c>
      <c r="P9669" s="223"/>
      <c r="Q9669" s="223"/>
      <c r="R9669" s="223">
        <v>2</v>
      </c>
    </row>
    <row r="9670" spans="1:18" ht="60">
      <c r="A9670" s="219">
        <v>2300</v>
      </c>
      <c r="B9670" s="216" t="s">
        <v>17814</v>
      </c>
      <c r="C9670" s="220" t="s">
        <v>17815</v>
      </c>
      <c r="D9670" s="221">
        <v>58.32</v>
      </c>
      <c r="E9670" s="221">
        <v>7.37</v>
      </c>
      <c r="F9670" s="221">
        <v>50.75</v>
      </c>
      <c r="G9670" s="221">
        <v>0.2</v>
      </c>
      <c r="H9670" s="222">
        <v>366.23</v>
      </c>
      <c r="I9670" s="222">
        <v>84.77</v>
      </c>
      <c r="J9670" s="222">
        <v>279.49</v>
      </c>
      <c r="K9670" s="222">
        <v>1.97</v>
      </c>
      <c r="L9670" s="43">
        <v>6.2796639231824418</v>
      </c>
      <c r="M9670" s="43">
        <v>11.502035278154681</v>
      </c>
      <c r="N9670" s="43">
        <v>5.5071921182266008</v>
      </c>
      <c r="O9670" s="43">
        <v>9.85</v>
      </c>
      <c r="P9670" s="223"/>
      <c r="Q9670" s="223"/>
      <c r="R9670" s="223">
        <v>2</v>
      </c>
    </row>
    <row r="9671" spans="1:18" ht="60">
      <c r="A9671" s="219">
        <v>2301</v>
      </c>
      <c r="B9671" s="216" t="s">
        <v>17816</v>
      </c>
      <c r="C9671" s="220" t="s">
        <v>17817</v>
      </c>
      <c r="D9671" s="221">
        <v>58.34</v>
      </c>
      <c r="E9671" s="221">
        <v>7.37</v>
      </c>
      <c r="F9671" s="221">
        <v>50.75</v>
      </c>
      <c r="G9671" s="221">
        <v>0.22</v>
      </c>
      <c r="H9671" s="222">
        <v>366.34</v>
      </c>
      <c r="I9671" s="222">
        <v>84.77</v>
      </c>
      <c r="J9671" s="222">
        <v>279.49</v>
      </c>
      <c r="K9671" s="222">
        <v>2.08</v>
      </c>
      <c r="L9671" s="43">
        <v>6.279396640383955</v>
      </c>
      <c r="M9671" s="43">
        <v>11.502035278154681</v>
      </c>
      <c r="N9671" s="43">
        <v>5.5071921182266008</v>
      </c>
      <c r="O9671" s="43">
        <v>9.454545454545455</v>
      </c>
      <c r="P9671" s="223"/>
      <c r="Q9671" s="223"/>
      <c r="R9671" s="223">
        <v>2</v>
      </c>
    </row>
    <row r="9672" spans="1:18" ht="60">
      <c r="A9672" s="219">
        <v>2302</v>
      </c>
      <c r="B9672" s="216" t="s">
        <v>17818</v>
      </c>
      <c r="C9672" s="220" t="s">
        <v>17819</v>
      </c>
      <c r="D9672" s="221">
        <v>70.709999999999994</v>
      </c>
      <c r="E9672" s="221">
        <v>8.89</v>
      </c>
      <c r="F9672" s="221">
        <v>61.54</v>
      </c>
      <c r="G9672" s="221">
        <v>0.28000000000000003</v>
      </c>
      <c r="H9672" s="222">
        <v>443.35</v>
      </c>
      <c r="I9672" s="222">
        <v>102.22</v>
      </c>
      <c r="J9672" s="222">
        <v>338.52</v>
      </c>
      <c r="K9672" s="222">
        <v>2.61</v>
      </c>
      <c r="L9672" s="43">
        <v>6.2699759581388781</v>
      </c>
      <c r="M9672" s="43">
        <v>11.498312710911135</v>
      </c>
      <c r="N9672" s="43">
        <v>5.5008124796880074</v>
      </c>
      <c r="O9672" s="43">
        <v>9.3214285714285694</v>
      </c>
      <c r="P9672" s="223"/>
      <c r="Q9672" s="223"/>
      <c r="R9672" s="223">
        <v>2</v>
      </c>
    </row>
    <row r="9673" spans="1:18" ht="60">
      <c r="A9673" s="219">
        <v>2303</v>
      </c>
      <c r="B9673" s="216" t="s">
        <v>17820</v>
      </c>
      <c r="C9673" s="220" t="s">
        <v>17821</v>
      </c>
      <c r="D9673" s="221">
        <v>70.92</v>
      </c>
      <c r="E9673" s="221">
        <v>9</v>
      </c>
      <c r="F9673" s="221">
        <v>61.54</v>
      </c>
      <c r="G9673" s="221">
        <v>0.38</v>
      </c>
      <c r="H9673" s="222">
        <v>445.09</v>
      </c>
      <c r="I9673" s="222">
        <v>103.47</v>
      </c>
      <c r="J9673" s="222">
        <v>338.52</v>
      </c>
      <c r="K9673" s="222">
        <v>3.1</v>
      </c>
      <c r="L9673" s="43">
        <v>6.27594472645234</v>
      </c>
      <c r="M9673" s="43">
        <v>11.496666666666666</v>
      </c>
      <c r="N9673" s="43">
        <v>5.5008124796880074</v>
      </c>
      <c r="O9673" s="43">
        <v>8.1578947368421062</v>
      </c>
      <c r="P9673" s="223"/>
      <c r="Q9673" s="223"/>
      <c r="R9673" s="223">
        <v>2</v>
      </c>
    </row>
    <row r="9674" spans="1:18" ht="60">
      <c r="A9674" s="219">
        <v>2304</v>
      </c>
      <c r="B9674" s="216" t="s">
        <v>17822</v>
      </c>
      <c r="C9674" s="220" t="s">
        <v>17823</v>
      </c>
      <c r="D9674" s="221">
        <v>74.69</v>
      </c>
      <c r="E9674" s="221">
        <v>9.65</v>
      </c>
      <c r="F9674" s="221">
        <v>64.569999999999993</v>
      </c>
      <c r="G9674" s="221">
        <v>0.47</v>
      </c>
      <c r="H9674" s="222">
        <v>469.44</v>
      </c>
      <c r="I9674" s="222">
        <v>110.95</v>
      </c>
      <c r="J9674" s="222">
        <v>354.83</v>
      </c>
      <c r="K9674" s="222">
        <v>3.66</v>
      </c>
      <c r="L9674" s="43">
        <v>6.2851787387869864</v>
      </c>
      <c r="M9674" s="43">
        <v>11.49740932642487</v>
      </c>
      <c r="N9674" s="43">
        <v>5.4952764441691189</v>
      </c>
      <c r="O9674" s="43">
        <v>7.7872340425531918</v>
      </c>
      <c r="P9674" s="223"/>
      <c r="Q9674" s="223"/>
      <c r="R9674" s="223">
        <v>2</v>
      </c>
    </row>
    <row r="9675" spans="1:18" ht="60">
      <c r="A9675" s="219">
        <v>2305</v>
      </c>
      <c r="B9675" s="216" t="s">
        <v>17824</v>
      </c>
      <c r="C9675" s="220" t="s">
        <v>17825</v>
      </c>
      <c r="D9675" s="221">
        <v>93.86</v>
      </c>
      <c r="E9675" s="221">
        <v>11.71</v>
      </c>
      <c r="F9675" s="221">
        <v>81.59</v>
      </c>
      <c r="G9675" s="221">
        <v>0.56000000000000005</v>
      </c>
      <c r="H9675" s="222">
        <v>587.4</v>
      </c>
      <c r="I9675" s="222">
        <v>134.63</v>
      </c>
      <c r="J9675" s="222">
        <v>448.42</v>
      </c>
      <c r="K9675" s="222">
        <v>4.3499999999999996</v>
      </c>
      <c r="L9675" s="43">
        <v>6.2582569784785846</v>
      </c>
      <c r="M9675" s="43">
        <v>11.497011101622544</v>
      </c>
      <c r="N9675" s="43">
        <v>5.4960166687094008</v>
      </c>
      <c r="O9675" s="43">
        <v>7.7678571428571415</v>
      </c>
      <c r="P9675" s="223"/>
      <c r="Q9675" s="223"/>
      <c r="R9675" s="223">
        <v>2</v>
      </c>
    </row>
    <row r="9676" spans="1:18" ht="60">
      <c r="A9676" s="219">
        <v>2306</v>
      </c>
      <c r="B9676" s="216" t="s">
        <v>17826</v>
      </c>
      <c r="C9676" s="220" t="s">
        <v>17827</v>
      </c>
      <c r="D9676" s="221">
        <v>94.75</v>
      </c>
      <c r="E9676" s="221">
        <v>12.25</v>
      </c>
      <c r="F9676" s="221">
        <v>81.59</v>
      </c>
      <c r="G9676" s="221">
        <v>0.91</v>
      </c>
      <c r="H9676" s="222">
        <v>595.5</v>
      </c>
      <c r="I9676" s="222">
        <v>140.87</v>
      </c>
      <c r="J9676" s="222">
        <v>448.42</v>
      </c>
      <c r="K9676" s="222">
        <v>6.21</v>
      </c>
      <c r="L9676" s="43">
        <v>6.2849604221635884</v>
      </c>
      <c r="M9676" s="43">
        <v>11.499591836734695</v>
      </c>
      <c r="N9676" s="43">
        <v>5.4960166687094008</v>
      </c>
      <c r="O9676" s="43">
        <v>6.8241758241758239</v>
      </c>
      <c r="P9676" s="223"/>
      <c r="Q9676" s="223"/>
      <c r="R9676" s="223">
        <v>2</v>
      </c>
    </row>
    <row r="9677" spans="1:18" ht="60">
      <c r="A9677" s="219">
        <v>2307</v>
      </c>
      <c r="B9677" s="216" t="s">
        <v>17828</v>
      </c>
      <c r="C9677" s="220" t="s">
        <v>17829</v>
      </c>
      <c r="D9677" s="221">
        <v>119.57</v>
      </c>
      <c r="E9677" s="221">
        <v>15.18</v>
      </c>
      <c r="F9677" s="221">
        <v>103.17</v>
      </c>
      <c r="G9677" s="221">
        <v>1.22</v>
      </c>
      <c r="H9677" s="222">
        <v>749.19</v>
      </c>
      <c r="I9677" s="222">
        <v>174.52</v>
      </c>
      <c r="J9677" s="222">
        <v>566.48</v>
      </c>
      <c r="K9677" s="222">
        <v>8.19</v>
      </c>
      <c r="L9677" s="43">
        <v>6.2657020991887604</v>
      </c>
      <c r="M9677" s="43">
        <v>11.496706192358367</v>
      </c>
      <c r="N9677" s="43">
        <v>5.4907434331685572</v>
      </c>
      <c r="O9677" s="43">
        <v>6.7131147540983607</v>
      </c>
      <c r="P9677" s="223"/>
      <c r="Q9677" s="223"/>
      <c r="R9677" s="223">
        <v>2</v>
      </c>
    </row>
    <row r="9678" spans="1:18" ht="60">
      <c r="A9678" s="219">
        <v>2308</v>
      </c>
      <c r="B9678" s="216" t="s">
        <v>17830</v>
      </c>
      <c r="C9678" s="220" t="s">
        <v>17831</v>
      </c>
      <c r="D9678" s="221">
        <v>131.47</v>
      </c>
      <c r="E9678" s="221">
        <v>17.760000000000002</v>
      </c>
      <c r="F9678" s="221">
        <v>111.64</v>
      </c>
      <c r="G9678" s="221">
        <v>2.0699999999999998</v>
      </c>
      <c r="H9678" s="222">
        <v>830.08</v>
      </c>
      <c r="I9678" s="222">
        <v>204.24</v>
      </c>
      <c r="J9678" s="222">
        <v>612.86</v>
      </c>
      <c r="K9678" s="222">
        <v>12.98</v>
      </c>
      <c r="L9678" s="43">
        <v>6.3138358560888417</v>
      </c>
      <c r="M9678" s="43">
        <v>11.5</v>
      </c>
      <c r="N9678" s="43">
        <v>5.489609458975278</v>
      </c>
      <c r="O9678" s="43">
        <v>6.2705314009661839</v>
      </c>
      <c r="P9678" s="223"/>
      <c r="Q9678" s="223"/>
      <c r="R9678" s="223">
        <v>2</v>
      </c>
    </row>
    <row r="9679" spans="1:18" ht="60">
      <c r="A9679" s="219">
        <v>2309</v>
      </c>
      <c r="B9679" s="216" t="s">
        <v>17832</v>
      </c>
      <c r="C9679" s="220" t="s">
        <v>17833</v>
      </c>
      <c r="D9679" s="221">
        <v>159.11000000000001</v>
      </c>
      <c r="E9679" s="221">
        <v>20.87</v>
      </c>
      <c r="F9679" s="221">
        <v>134.82</v>
      </c>
      <c r="G9679" s="221">
        <v>3.42</v>
      </c>
      <c r="H9679" s="222">
        <v>1000.38</v>
      </c>
      <c r="I9679" s="222">
        <v>239.98</v>
      </c>
      <c r="J9679" s="222">
        <v>740.05</v>
      </c>
      <c r="K9679" s="222">
        <v>20.350000000000001</v>
      </c>
      <c r="L9679" s="43">
        <v>6.2873483753378157</v>
      </c>
      <c r="M9679" s="43">
        <v>11.498802108289409</v>
      </c>
      <c r="N9679" s="43">
        <v>5.4891707461800916</v>
      </c>
      <c r="O9679" s="43">
        <v>5.9502923976608191</v>
      </c>
      <c r="P9679" s="223"/>
      <c r="Q9679" s="223"/>
      <c r="R9679" s="223">
        <v>2</v>
      </c>
    </row>
    <row r="9680" spans="1:18" ht="60">
      <c r="A9680" s="219">
        <v>2310</v>
      </c>
      <c r="B9680" s="216" t="s">
        <v>17834</v>
      </c>
      <c r="C9680" s="220" t="s">
        <v>17835</v>
      </c>
      <c r="D9680" s="221">
        <v>174.98</v>
      </c>
      <c r="E9680" s="221">
        <v>23.87</v>
      </c>
      <c r="F9680" s="221">
        <v>146.63999999999999</v>
      </c>
      <c r="G9680" s="221">
        <v>4.47</v>
      </c>
      <c r="H9680" s="222">
        <v>1104.7</v>
      </c>
      <c r="I9680" s="222">
        <v>274.45</v>
      </c>
      <c r="J9680" s="222">
        <v>804.03</v>
      </c>
      <c r="K9680" s="222">
        <v>26.22</v>
      </c>
      <c r="L9680" s="43">
        <v>6.3132929477654596</v>
      </c>
      <c r="M9680" s="43">
        <v>11.497695852534561</v>
      </c>
      <c r="N9680" s="43">
        <v>5.4830196399345335</v>
      </c>
      <c r="O9680" s="43">
        <v>5.8657718120805367</v>
      </c>
      <c r="P9680" s="223"/>
      <c r="Q9680" s="223"/>
      <c r="R9680" s="223">
        <v>2</v>
      </c>
    </row>
    <row r="9681" spans="1:18" ht="60">
      <c r="A9681" s="219">
        <v>2311</v>
      </c>
      <c r="B9681" s="216" t="s">
        <v>17836</v>
      </c>
      <c r="C9681" s="220" t="s">
        <v>17837</v>
      </c>
      <c r="D9681" s="221">
        <v>179.1</v>
      </c>
      <c r="E9681" s="221">
        <v>24.2</v>
      </c>
      <c r="F9681" s="221">
        <v>149.05000000000001</v>
      </c>
      <c r="G9681" s="221">
        <v>5.85</v>
      </c>
      <c r="H9681" s="222">
        <v>1129.4000000000001</v>
      </c>
      <c r="I9681" s="222">
        <v>278.27999999999997</v>
      </c>
      <c r="J9681" s="222">
        <v>817.79</v>
      </c>
      <c r="K9681" s="222">
        <v>33.33</v>
      </c>
      <c r="L9681" s="43">
        <v>6.3059743160245683</v>
      </c>
      <c r="M9681" s="43">
        <v>11.499173553719007</v>
      </c>
      <c r="N9681" s="43">
        <v>5.4866823213686677</v>
      </c>
      <c r="O9681" s="43">
        <v>5.6974358974358976</v>
      </c>
      <c r="P9681" s="223"/>
      <c r="Q9681" s="223"/>
      <c r="R9681" s="223">
        <v>2</v>
      </c>
    </row>
    <row r="9682" spans="1:18" ht="60">
      <c r="A9682" s="219">
        <v>2312</v>
      </c>
      <c r="B9682" s="216" t="s">
        <v>17838</v>
      </c>
      <c r="C9682" s="220" t="s">
        <v>17839</v>
      </c>
      <c r="D9682" s="221">
        <v>211.21</v>
      </c>
      <c r="E9682" s="221">
        <v>27.97</v>
      </c>
      <c r="F9682" s="221">
        <v>175.57</v>
      </c>
      <c r="G9682" s="221">
        <v>7.67</v>
      </c>
      <c r="H9682" s="222">
        <v>1327.56</v>
      </c>
      <c r="I9682" s="222">
        <v>321.68</v>
      </c>
      <c r="J9682" s="222">
        <v>962.57</v>
      </c>
      <c r="K9682" s="222">
        <v>43.31</v>
      </c>
      <c r="L9682" s="43">
        <v>6.2854978457459394</v>
      </c>
      <c r="M9682" s="43">
        <v>11.500893814801573</v>
      </c>
      <c r="N9682" s="43">
        <v>5.4825425756108679</v>
      </c>
      <c r="O9682" s="43">
        <v>5.646675358539766</v>
      </c>
      <c r="P9682" s="223"/>
      <c r="Q9682" s="223"/>
      <c r="R9682" s="223">
        <v>2</v>
      </c>
    </row>
    <row r="9683" spans="1:18" ht="60">
      <c r="A9683" s="219">
        <v>2313</v>
      </c>
      <c r="B9683" s="216" t="s">
        <v>17840</v>
      </c>
      <c r="C9683" s="220" t="s">
        <v>17841</v>
      </c>
      <c r="D9683" s="221">
        <v>240.63</v>
      </c>
      <c r="E9683" s="221">
        <v>32.86</v>
      </c>
      <c r="F9683" s="221">
        <v>195.88</v>
      </c>
      <c r="G9683" s="221">
        <v>11.89</v>
      </c>
      <c r="H9683" s="222">
        <v>1516.57</v>
      </c>
      <c r="I9683" s="222">
        <v>377.84</v>
      </c>
      <c r="J9683" s="222">
        <v>1072.93</v>
      </c>
      <c r="K9683" s="222">
        <v>65.8</v>
      </c>
      <c r="L9683" s="43">
        <v>6.3024976104392634</v>
      </c>
      <c r="M9683" s="43">
        <v>11.4984783931832</v>
      </c>
      <c r="N9683" s="43">
        <v>5.4774862160506439</v>
      </c>
      <c r="O9683" s="43">
        <v>5.5340622371740951</v>
      </c>
      <c r="P9683" s="223"/>
      <c r="Q9683" s="223"/>
      <c r="R9683" s="223">
        <v>2</v>
      </c>
    </row>
    <row r="9684" spans="1:18" ht="60">
      <c r="A9684" s="219">
        <v>2314</v>
      </c>
      <c r="B9684" s="216" t="s">
        <v>17842</v>
      </c>
      <c r="C9684" s="220" t="s">
        <v>17843</v>
      </c>
      <c r="D9684" s="221">
        <v>272.23</v>
      </c>
      <c r="E9684" s="221">
        <v>39</v>
      </c>
      <c r="F9684" s="221">
        <v>216.23</v>
      </c>
      <c r="G9684" s="221">
        <v>17</v>
      </c>
      <c r="H9684" s="222">
        <v>1723.11</v>
      </c>
      <c r="I9684" s="222">
        <v>448.53</v>
      </c>
      <c r="J9684" s="222">
        <v>1181.53</v>
      </c>
      <c r="K9684" s="222">
        <v>93.05</v>
      </c>
      <c r="L9684" s="43">
        <v>6.3296109907063869</v>
      </c>
      <c r="M9684" s="43">
        <v>11.50076923076923</v>
      </c>
      <c r="N9684" s="43">
        <v>5.4642279054710263</v>
      </c>
      <c r="O9684" s="43">
        <v>5.473529411764706</v>
      </c>
      <c r="P9684" s="223"/>
      <c r="Q9684" s="223"/>
      <c r="R9684" s="223">
        <v>2</v>
      </c>
    </row>
    <row r="9685" spans="1:18" ht="60">
      <c r="A9685" s="219">
        <v>2315</v>
      </c>
      <c r="B9685" s="216" t="s">
        <v>17844</v>
      </c>
      <c r="C9685" s="220" t="s">
        <v>17845</v>
      </c>
      <c r="D9685" s="221">
        <v>290.64999999999998</v>
      </c>
      <c r="E9685" s="221">
        <v>43.72</v>
      </c>
      <c r="F9685" s="221">
        <v>229.84</v>
      </c>
      <c r="G9685" s="221">
        <v>17.09</v>
      </c>
      <c r="H9685" s="222">
        <v>1853.63</v>
      </c>
      <c r="I9685" s="222">
        <v>502.82</v>
      </c>
      <c r="J9685" s="222">
        <v>1256.72</v>
      </c>
      <c r="K9685" s="222">
        <v>94.09</v>
      </c>
      <c r="L9685" s="43">
        <v>6.3775331154309312</v>
      </c>
      <c r="M9685" s="43">
        <v>11.500914913083257</v>
      </c>
      <c r="N9685" s="43">
        <v>5.467803689523147</v>
      </c>
      <c r="O9685" s="43">
        <v>5.5055588063194856</v>
      </c>
      <c r="P9685" s="223"/>
      <c r="Q9685" s="223"/>
      <c r="R9685" s="223">
        <v>2</v>
      </c>
    </row>
    <row r="9686" spans="1:18" ht="60">
      <c r="A9686" s="219">
        <v>2316</v>
      </c>
      <c r="B9686" s="216" t="s">
        <v>17846</v>
      </c>
      <c r="C9686" s="220" t="s">
        <v>17847</v>
      </c>
      <c r="D9686" s="221">
        <v>409.18</v>
      </c>
      <c r="E9686" s="221">
        <v>56.09</v>
      </c>
      <c r="F9686" s="221">
        <v>308.87</v>
      </c>
      <c r="G9686" s="221">
        <v>44.22</v>
      </c>
      <c r="H9686" s="222">
        <v>2570.84</v>
      </c>
      <c r="I9686" s="222">
        <v>645.01</v>
      </c>
      <c r="J9686" s="222">
        <v>1689.59</v>
      </c>
      <c r="K9686" s="222">
        <v>236.24</v>
      </c>
      <c r="L9686" s="43">
        <v>6.2829072779705752</v>
      </c>
      <c r="M9686" s="43">
        <v>11.499554287751826</v>
      </c>
      <c r="N9686" s="43">
        <v>5.4702301939327223</v>
      </c>
      <c r="O9686" s="43">
        <v>5.3423790140208052</v>
      </c>
      <c r="P9686" s="223"/>
      <c r="Q9686" s="223"/>
      <c r="R9686" s="223">
        <v>2</v>
      </c>
    </row>
    <row r="9687" spans="1:18" ht="60">
      <c r="A9687" s="219">
        <v>2317</v>
      </c>
      <c r="B9687" s="216" t="s">
        <v>17848</v>
      </c>
      <c r="C9687" s="220" t="s">
        <v>17849</v>
      </c>
      <c r="D9687" s="221">
        <v>453.8</v>
      </c>
      <c r="E9687" s="221">
        <v>57.89</v>
      </c>
      <c r="F9687" s="221">
        <v>333.1</v>
      </c>
      <c r="G9687" s="221">
        <v>62.81</v>
      </c>
      <c r="H9687" s="222">
        <v>2822.85</v>
      </c>
      <c r="I9687" s="222">
        <v>665.69</v>
      </c>
      <c r="J9687" s="222">
        <v>1824.3</v>
      </c>
      <c r="K9687" s="222">
        <v>332.86</v>
      </c>
      <c r="L9687" s="43">
        <v>6.2204715733803431</v>
      </c>
      <c r="M9687" s="43">
        <v>11.499222663672484</v>
      </c>
      <c r="N9687" s="43">
        <v>5.4767337135995193</v>
      </c>
      <c r="O9687" s="43">
        <v>5.2994746059544662</v>
      </c>
      <c r="P9687" s="223"/>
      <c r="Q9687" s="223"/>
      <c r="R9687" s="223">
        <v>2</v>
      </c>
    </row>
    <row r="9688" spans="1:18" ht="60">
      <c r="A9688" s="219">
        <v>2318</v>
      </c>
      <c r="B9688" s="216" t="s">
        <v>17850</v>
      </c>
      <c r="C9688" s="220" t="s">
        <v>17851</v>
      </c>
      <c r="D9688" s="221">
        <v>555.89</v>
      </c>
      <c r="E9688" s="221">
        <v>74.180000000000007</v>
      </c>
      <c r="F9688" s="221">
        <v>396.74</v>
      </c>
      <c r="G9688" s="221">
        <v>84.97</v>
      </c>
      <c r="H9688" s="222">
        <v>3473.25</v>
      </c>
      <c r="I9688" s="222">
        <v>853.08</v>
      </c>
      <c r="J9688" s="222">
        <v>2170.44</v>
      </c>
      <c r="K9688" s="222">
        <v>449.73</v>
      </c>
      <c r="L9688" s="43">
        <v>6.2480886506323197</v>
      </c>
      <c r="M9688" s="43">
        <v>11.500134807225667</v>
      </c>
      <c r="N9688" s="43">
        <v>5.4706860916469227</v>
      </c>
      <c r="O9688" s="43">
        <v>5.2928092267859244</v>
      </c>
      <c r="P9688" s="223"/>
      <c r="Q9688" s="223"/>
      <c r="R9688" s="223">
        <v>2</v>
      </c>
    </row>
    <row r="9689" spans="1:18" ht="24">
      <c r="A9689" s="219">
        <v>2319</v>
      </c>
      <c r="B9689" s="216" t="s">
        <v>17852</v>
      </c>
      <c r="C9689" s="220" t="s">
        <v>17760</v>
      </c>
      <c r="D9689" s="221">
        <v>78.959999999999994</v>
      </c>
      <c r="E9689" s="221">
        <v>43.12</v>
      </c>
      <c r="F9689" s="221">
        <v>15.65</v>
      </c>
      <c r="G9689" s="221">
        <v>20.190000000000001</v>
      </c>
      <c r="H9689" s="222">
        <v>660.66</v>
      </c>
      <c r="I9689" s="222">
        <v>495.89</v>
      </c>
      <c r="J9689" s="222">
        <v>84.04</v>
      </c>
      <c r="K9689" s="222">
        <v>80.73</v>
      </c>
      <c r="L9689" s="43">
        <v>8.3670212765957448</v>
      </c>
      <c r="M9689" s="43">
        <v>11.500231910946198</v>
      </c>
      <c r="N9689" s="43">
        <v>5.3699680511182111</v>
      </c>
      <c r="O9689" s="43">
        <v>3.9985141158989599</v>
      </c>
      <c r="P9689" s="223"/>
      <c r="Q9689" s="223"/>
      <c r="R9689" s="223">
        <v>2</v>
      </c>
    </row>
    <row r="9690" spans="1:18" ht="24">
      <c r="A9690" s="219">
        <v>2320</v>
      </c>
      <c r="B9690" s="216" t="s">
        <v>17853</v>
      </c>
      <c r="C9690" s="220" t="s">
        <v>17762</v>
      </c>
      <c r="D9690" s="221">
        <v>80.680000000000007</v>
      </c>
      <c r="E9690" s="221">
        <v>43.12</v>
      </c>
      <c r="F9690" s="221">
        <v>15.65</v>
      </c>
      <c r="G9690" s="221">
        <v>21.91</v>
      </c>
      <c r="H9690" s="222">
        <v>666.76</v>
      </c>
      <c r="I9690" s="222">
        <v>495.89</v>
      </c>
      <c r="J9690" s="222">
        <v>84.04</v>
      </c>
      <c r="K9690" s="222">
        <v>86.83</v>
      </c>
      <c r="L9690" s="43">
        <v>8.2642538423401088</v>
      </c>
      <c r="M9690" s="43">
        <v>11.500231910946198</v>
      </c>
      <c r="N9690" s="43">
        <v>5.3699680511182111</v>
      </c>
      <c r="O9690" s="43">
        <v>3.963030579643998</v>
      </c>
      <c r="P9690" s="223"/>
      <c r="Q9690" s="223"/>
      <c r="R9690" s="223">
        <v>2</v>
      </c>
    </row>
    <row r="9691" spans="1:18" ht="24">
      <c r="A9691" s="219">
        <v>2321</v>
      </c>
      <c r="B9691" s="216" t="s">
        <v>17854</v>
      </c>
      <c r="C9691" s="220" t="s">
        <v>17764</v>
      </c>
      <c r="D9691" s="221">
        <v>61.91</v>
      </c>
      <c r="E9691" s="221">
        <v>43.38</v>
      </c>
      <c r="F9691" s="221">
        <v>16.48</v>
      </c>
      <c r="G9691" s="221">
        <v>2.0499999999999998</v>
      </c>
      <c r="H9691" s="222">
        <v>606</v>
      </c>
      <c r="I9691" s="222">
        <v>498.81</v>
      </c>
      <c r="J9691" s="222">
        <v>88.34</v>
      </c>
      <c r="K9691" s="222">
        <v>18.850000000000001</v>
      </c>
      <c r="L9691" s="43">
        <v>9.7884025197867874</v>
      </c>
      <c r="M9691" s="43">
        <v>11.498616874135546</v>
      </c>
      <c r="N9691" s="43">
        <v>5.3604368932038833</v>
      </c>
      <c r="O9691" s="43">
        <v>9.1951219512195141</v>
      </c>
      <c r="P9691" s="223"/>
      <c r="Q9691" s="223"/>
      <c r="R9691" s="223">
        <v>2</v>
      </c>
    </row>
    <row r="9692" spans="1:18" ht="24">
      <c r="A9692" s="219">
        <v>2322</v>
      </c>
      <c r="B9692" s="216" t="s">
        <v>17855</v>
      </c>
      <c r="C9692" s="220" t="s">
        <v>17766</v>
      </c>
      <c r="D9692" s="221">
        <v>68.59</v>
      </c>
      <c r="E9692" s="221">
        <v>45.41</v>
      </c>
      <c r="F9692" s="221">
        <v>21.04</v>
      </c>
      <c r="G9692" s="221">
        <v>2.14</v>
      </c>
      <c r="H9692" s="222">
        <v>654.62</v>
      </c>
      <c r="I9692" s="222">
        <v>522.22</v>
      </c>
      <c r="J9692" s="222">
        <v>112.82</v>
      </c>
      <c r="K9692" s="222">
        <v>19.579999999999998</v>
      </c>
      <c r="L9692" s="43">
        <v>9.5439568450211389</v>
      </c>
      <c r="M9692" s="43">
        <v>11.50011010790575</v>
      </c>
      <c r="N9692" s="43">
        <v>5.3621673003802277</v>
      </c>
      <c r="O9692" s="43">
        <v>9.1495327102803721</v>
      </c>
      <c r="P9692" s="223"/>
      <c r="Q9692" s="223"/>
      <c r="R9692" s="223">
        <v>2</v>
      </c>
    </row>
    <row r="9693" spans="1:18" ht="24">
      <c r="A9693" s="219">
        <v>2323</v>
      </c>
      <c r="B9693" s="216" t="s">
        <v>17856</v>
      </c>
      <c r="C9693" s="220" t="s">
        <v>17768</v>
      </c>
      <c r="D9693" s="221">
        <v>70.739999999999995</v>
      </c>
      <c r="E9693" s="221">
        <v>46.56</v>
      </c>
      <c r="F9693" s="221">
        <v>21.94</v>
      </c>
      <c r="G9693" s="221">
        <v>2.2400000000000002</v>
      </c>
      <c r="H9693" s="222">
        <v>673.18</v>
      </c>
      <c r="I9693" s="222">
        <v>535.38</v>
      </c>
      <c r="J9693" s="222">
        <v>117.58</v>
      </c>
      <c r="K9693" s="222">
        <v>20.22</v>
      </c>
      <c r="L9693" s="43">
        <v>9.5162567147299963</v>
      </c>
      <c r="M9693" s="43">
        <v>11.498711340206185</v>
      </c>
      <c r="N9693" s="43">
        <v>5.3591613491340011</v>
      </c>
      <c r="O9693" s="43">
        <v>9.0267857142857135</v>
      </c>
      <c r="P9693" s="223"/>
      <c r="Q9693" s="223"/>
      <c r="R9693" s="223">
        <v>2</v>
      </c>
    </row>
    <row r="9694" spans="1:18" ht="24">
      <c r="A9694" s="219">
        <v>2324</v>
      </c>
      <c r="B9694" s="216" t="s">
        <v>17857</v>
      </c>
      <c r="C9694" s="220" t="s">
        <v>17770</v>
      </c>
      <c r="D9694" s="221">
        <v>71.47</v>
      </c>
      <c r="E9694" s="221">
        <v>47.19</v>
      </c>
      <c r="F9694" s="221">
        <v>21.94</v>
      </c>
      <c r="G9694" s="221">
        <v>2.34</v>
      </c>
      <c r="H9694" s="222">
        <v>681.08</v>
      </c>
      <c r="I9694" s="222">
        <v>542.70000000000005</v>
      </c>
      <c r="J9694" s="222">
        <v>117.58</v>
      </c>
      <c r="K9694" s="222">
        <v>20.8</v>
      </c>
      <c r="L9694" s="43">
        <v>9.5295928361550306</v>
      </c>
      <c r="M9694" s="43">
        <v>11.50031786395423</v>
      </c>
      <c r="N9694" s="43">
        <v>5.3591613491340011</v>
      </c>
      <c r="O9694" s="43">
        <v>8.8888888888888893</v>
      </c>
      <c r="P9694" s="223"/>
      <c r="Q9694" s="223"/>
      <c r="R9694" s="223">
        <v>2</v>
      </c>
    </row>
    <row r="9695" spans="1:18" ht="24">
      <c r="A9695" s="219">
        <v>2325</v>
      </c>
      <c r="B9695" s="216" t="s">
        <v>17858</v>
      </c>
      <c r="C9695" s="220" t="s">
        <v>17772</v>
      </c>
      <c r="D9695" s="221">
        <v>85.85</v>
      </c>
      <c r="E9695" s="221">
        <v>51.9</v>
      </c>
      <c r="F9695" s="221">
        <v>31.07</v>
      </c>
      <c r="G9695" s="221">
        <v>2.88</v>
      </c>
      <c r="H9695" s="222">
        <v>788.04</v>
      </c>
      <c r="I9695" s="222">
        <v>596.82000000000005</v>
      </c>
      <c r="J9695" s="222">
        <v>166.52</v>
      </c>
      <c r="K9695" s="222">
        <v>24.7</v>
      </c>
      <c r="L9695" s="43">
        <v>9.1792661619103093</v>
      </c>
      <c r="M9695" s="43">
        <v>11.49942196531792</v>
      </c>
      <c r="N9695" s="43">
        <v>5.359510782104925</v>
      </c>
      <c r="O9695" s="43">
        <v>8.5763888888888893</v>
      </c>
      <c r="P9695" s="223"/>
      <c r="Q9695" s="223"/>
      <c r="R9695" s="223">
        <v>2</v>
      </c>
    </row>
    <row r="9696" spans="1:18" ht="24">
      <c r="A9696" s="219">
        <v>2326</v>
      </c>
      <c r="B9696" s="216" t="s">
        <v>17859</v>
      </c>
      <c r="C9696" s="220" t="s">
        <v>17774</v>
      </c>
      <c r="D9696" s="221">
        <v>99.1</v>
      </c>
      <c r="E9696" s="221">
        <v>56.6</v>
      </c>
      <c r="F9696" s="221">
        <v>39.090000000000003</v>
      </c>
      <c r="G9696" s="221">
        <v>3.41</v>
      </c>
      <c r="H9696" s="222">
        <v>888.28</v>
      </c>
      <c r="I9696" s="222">
        <v>650.95000000000005</v>
      </c>
      <c r="J9696" s="222">
        <v>208.82</v>
      </c>
      <c r="K9696" s="222">
        <v>28.51</v>
      </c>
      <c r="L9696" s="43">
        <v>8.9634712411705344</v>
      </c>
      <c r="M9696" s="43">
        <v>11.500883392226148</v>
      </c>
      <c r="N9696" s="43">
        <v>5.3420312100281393</v>
      </c>
      <c r="O9696" s="43">
        <v>8.3607038123167161</v>
      </c>
      <c r="P9696" s="223"/>
      <c r="Q9696" s="223"/>
      <c r="R9696" s="223">
        <v>2</v>
      </c>
    </row>
    <row r="9697" spans="1:18" ht="24">
      <c r="A9697" s="219">
        <v>2327</v>
      </c>
      <c r="B9697" s="216" t="s">
        <v>17860</v>
      </c>
      <c r="C9697" s="220" t="s">
        <v>17776</v>
      </c>
      <c r="D9697" s="221">
        <v>106.98</v>
      </c>
      <c r="E9697" s="221">
        <v>58.77</v>
      </c>
      <c r="F9697" s="221">
        <v>44.32</v>
      </c>
      <c r="G9697" s="221">
        <v>3.89</v>
      </c>
      <c r="H9697" s="222">
        <v>944.59</v>
      </c>
      <c r="I9697" s="222">
        <v>675.81</v>
      </c>
      <c r="J9697" s="222">
        <v>236.88</v>
      </c>
      <c r="K9697" s="222">
        <v>31.9</v>
      </c>
      <c r="L9697" s="43">
        <v>8.8295943166947097</v>
      </c>
      <c r="M9697" s="43">
        <v>11.499234303215925</v>
      </c>
      <c r="N9697" s="43">
        <v>5.3447653429602884</v>
      </c>
      <c r="O9697" s="43">
        <v>8.2005141388174803</v>
      </c>
      <c r="P9697" s="223"/>
      <c r="Q9697" s="223"/>
      <c r="R9697" s="223">
        <v>2</v>
      </c>
    </row>
    <row r="9698" spans="1:18" ht="24">
      <c r="A9698" s="219">
        <v>2328</v>
      </c>
      <c r="B9698" s="216" t="s">
        <v>17861</v>
      </c>
      <c r="C9698" s="220" t="s">
        <v>17778</v>
      </c>
      <c r="D9698" s="221">
        <v>135.38999999999999</v>
      </c>
      <c r="E9698" s="221">
        <v>76.45</v>
      </c>
      <c r="F9698" s="221">
        <v>53.53</v>
      </c>
      <c r="G9698" s="221">
        <v>5.41</v>
      </c>
      <c r="H9698" s="222">
        <v>1208.51</v>
      </c>
      <c r="I9698" s="222">
        <v>879.14</v>
      </c>
      <c r="J9698" s="222">
        <v>286.32</v>
      </c>
      <c r="K9698" s="222">
        <v>43.05</v>
      </c>
      <c r="L9698" s="43">
        <v>8.9261393012777912</v>
      </c>
      <c r="M9698" s="43">
        <v>11.49954218443427</v>
      </c>
      <c r="N9698" s="43">
        <v>5.348776387072669</v>
      </c>
      <c r="O9698" s="43">
        <v>7.9574861367837331</v>
      </c>
      <c r="P9698" s="223"/>
      <c r="Q9698" s="223"/>
      <c r="R9698" s="223">
        <v>2</v>
      </c>
    </row>
    <row r="9699" spans="1:18" ht="24">
      <c r="A9699" s="219">
        <v>2329</v>
      </c>
      <c r="B9699" s="216" t="s">
        <v>17862</v>
      </c>
      <c r="C9699" s="220" t="s">
        <v>17780</v>
      </c>
      <c r="D9699" s="221">
        <v>143.68</v>
      </c>
      <c r="E9699" s="221">
        <v>82.68</v>
      </c>
      <c r="F9699" s="221">
        <v>54.88</v>
      </c>
      <c r="G9699" s="221">
        <v>6.12</v>
      </c>
      <c r="H9699" s="222">
        <v>1292.1099999999999</v>
      </c>
      <c r="I9699" s="222">
        <v>950.82</v>
      </c>
      <c r="J9699" s="222">
        <v>293.45</v>
      </c>
      <c r="K9699" s="222">
        <v>47.84</v>
      </c>
      <c r="L9699" s="43">
        <v>8.9929704899777274</v>
      </c>
      <c r="M9699" s="43">
        <v>11.5</v>
      </c>
      <c r="N9699" s="43">
        <v>5.3471209912536439</v>
      </c>
      <c r="O9699" s="43">
        <v>7.8169934640522882</v>
      </c>
      <c r="P9699" s="223"/>
      <c r="Q9699" s="223"/>
      <c r="R9699" s="223">
        <v>2</v>
      </c>
    </row>
    <row r="9700" spans="1:18" ht="24">
      <c r="A9700" s="219">
        <v>2330</v>
      </c>
      <c r="B9700" s="216" t="s">
        <v>17863</v>
      </c>
      <c r="C9700" s="220" t="s">
        <v>17782</v>
      </c>
      <c r="D9700" s="221">
        <v>183.22</v>
      </c>
      <c r="E9700" s="221">
        <v>100.11</v>
      </c>
      <c r="F9700" s="221">
        <v>74.09</v>
      </c>
      <c r="G9700" s="221">
        <v>9.02</v>
      </c>
      <c r="H9700" s="222">
        <v>1612.77</v>
      </c>
      <c r="I9700" s="222">
        <v>1151.22</v>
      </c>
      <c r="J9700" s="222">
        <v>396.11</v>
      </c>
      <c r="K9700" s="222">
        <v>65.44</v>
      </c>
      <c r="L9700" s="43">
        <v>8.8023687370374422</v>
      </c>
      <c r="M9700" s="43">
        <v>11.499550494456098</v>
      </c>
      <c r="N9700" s="43">
        <v>5.3463355378593604</v>
      </c>
      <c r="O9700" s="43">
        <v>7.2549889135254988</v>
      </c>
      <c r="P9700" s="223"/>
      <c r="Q9700" s="223"/>
      <c r="R9700" s="223">
        <v>2</v>
      </c>
    </row>
    <row r="9701" spans="1:18" ht="24">
      <c r="A9701" s="219">
        <v>2331</v>
      </c>
      <c r="B9701" s="216" t="s">
        <v>17864</v>
      </c>
      <c r="C9701" s="220" t="s">
        <v>17784</v>
      </c>
      <c r="D9701" s="221">
        <v>287.57</v>
      </c>
      <c r="E9701" s="221">
        <v>150.46</v>
      </c>
      <c r="F9701" s="221">
        <v>113.88</v>
      </c>
      <c r="G9701" s="221">
        <v>23.23</v>
      </c>
      <c r="H9701" s="222">
        <v>2487.5300000000002</v>
      </c>
      <c r="I9701" s="222">
        <v>1730.34</v>
      </c>
      <c r="J9701" s="222">
        <v>607.92999999999995</v>
      </c>
      <c r="K9701" s="222">
        <v>149.26</v>
      </c>
      <c r="L9701" s="43">
        <v>8.650172132002643</v>
      </c>
      <c r="M9701" s="43">
        <v>11.50033231423634</v>
      </c>
      <c r="N9701" s="43">
        <v>5.3383386020372319</v>
      </c>
      <c r="O9701" s="43">
        <v>6.4253120964270334</v>
      </c>
      <c r="P9701" s="223"/>
      <c r="Q9701" s="223"/>
      <c r="R9701" s="223">
        <v>2</v>
      </c>
    </row>
    <row r="9702" spans="1:18" ht="24">
      <c r="A9702" s="219">
        <v>2332</v>
      </c>
      <c r="B9702" s="216" t="s">
        <v>17865</v>
      </c>
      <c r="C9702" s="220" t="s">
        <v>17786</v>
      </c>
      <c r="D9702" s="221">
        <v>325.58999999999997</v>
      </c>
      <c r="E9702" s="221">
        <v>172.01</v>
      </c>
      <c r="F9702" s="221">
        <v>125.28</v>
      </c>
      <c r="G9702" s="221">
        <v>28.3</v>
      </c>
      <c r="H9702" s="222">
        <v>2826.22</v>
      </c>
      <c r="I9702" s="222">
        <v>1978.2</v>
      </c>
      <c r="J9702" s="222">
        <v>668.16</v>
      </c>
      <c r="K9702" s="222">
        <v>179.86</v>
      </c>
      <c r="L9702" s="43">
        <v>8.6803034491231301</v>
      </c>
      <c r="M9702" s="43">
        <v>11.500494157316435</v>
      </c>
      <c r="N9702" s="43">
        <v>5.333333333333333</v>
      </c>
      <c r="O9702" s="43">
        <v>6.3554770318021205</v>
      </c>
      <c r="P9702" s="223"/>
      <c r="Q9702" s="223"/>
      <c r="R9702" s="223">
        <v>2</v>
      </c>
    </row>
    <row r="9703" spans="1:18" ht="24">
      <c r="A9703" s="219">
        <v>2333</v>
      </c>
      <c r="B9703" s="216" t="s">
        <v>17866</v>
      </c>
      <c r="C9703" s="220" t="s">
        <v>17788</v>
      </c>
      <c r="D9703" s="221">
        <v>385.4</v>
      </c>
      <c r="E9703" s="221">
        <v>199.89</v>
      </c>
      <c r="F9703" s="221">
        <v>152.01</v>
      </c>
      <c r="G9703" s="221">
        <v>33.5</v>
      </c>
      <c r="H9703" s="222">
        <v>3321.74</v>
      </c>
      <c r="I9703" s="222">
        <v>2298.86</v>
      </c>
      <c r="J9703" s="222">
        <v>810.94</v>
      </c>
      <c r="K9703" s="222">
        <v>211.94</v>
      </c>
      <c r="L9703" s="43">
        <v>8.618941359626362</v>
      </c>
      <c r="M9703" s="43">
        <v>11.500625343939168</v>
      </c>
      <c r="N9703" s="43">
        <v>5.3347806065390442</v>
      </c>
      <c r="O9703" s="43">
        <v>6.3265671641791048</v>
      </c>
      <c r="P9703" s="223"/>
      <c r="Q9703" s="223"/>
      <c r="R9703" s="223">
        <v>2</v>
      </c>
    </row>
    <row r="9704" spans="1:18" ht="24">
      <c r="A9704" s="219">
        <v>2334</v>
      </c>
      <c r="B9704" s="216" t="s">
        <v>17867</v>
      </c>
      <c r="C9704" s="220" t="s">
        <v>17790</v>
      </c>
      <c r="D9704" s="221">
        <v>445.79</v>
      </c>
      <c r="E9704" s="221">
        <v>217.57</v>
      </c>
      <c r="F9704" s="221">
        <v>174.27</v>
      </c>
      <c r="G9704" s="221">
        <v>53.95</v>
      </c>
      <c r="H9704" s="222">
        <v>3745.12</v>
      </c>
      <c r="I9704" s="222">
        <v>2502.08</v>
      </c>
      <c r="J9704" s="222">
        <v>929.79</v>
      </c>
      <c r="K9704" s="222">
        <v>313.25</v>
      </c>
      <c r="L9704" s="43">
        <v>8.4010857130038801</v>
      </c>
      <c r="M9704" s="43">
        <v>11.50011490554764</v>
      </c>
      <c r="N9704" s="43">
        <v>5.3353417111378887</v>
      </c>
      <c r="O9704" s="43">
        <v>5.8063021316033359</v>
      </c>
      <c r="P9704" s="223"/>
      <c r="Q9704" s="223"/>
      <c r="R9704" s="223">
        <v>2</v>
      </c>
    </row>
    <row r="9705" spans="1:18" ht="24">
      <c r="A9705" s="219">
        <v>2335</v>
      </c>
      <c r="B9705" s="216" t="s">
        <v>17868</v>
      </c>
      <c r="C9705" s="220" t="s">
        <v>17792</v>
      </c>
      <c r="D9705" s="221">
        <v>495.34</v>
      </c>
      <c r="E9705" s="221">
        <v>244.73</v>
      </c>
      <c r="F9705" s="221">
        <v>198.1</v>
      </c>
      <c r="G9705" s="221">
        <v>52.51</v>
      </c>
      <c r="H9705" s="222">
        <v>4179.16</v>
      </c>
      <c r="I9705" s="222">
        <v>2814.46</v>
      </c>
      <c r="J9705" s="222">
        <v>1056.8399999999999</v>
      </c>
      <c r="K9705" s="222">
        <v>307.86</v>
      </c>
      <c r="L9705" s="43">
        <v>8.4369523963338313</v>
      </c>
      <c r="M9705" s="43">
        <v>11.500265598823194</v>
      </c>
      <c r="N9705" s="43">
        <v>5.3348813730439169</v>
      </c>
      <c r="O9705" s="43">
        <v>5.8628832603313663</v>
      </c>
      <c r="P9705" s="223"/>
      <c r="Q9705" s="223"/>
      <c r="R9705" s="223">
        <v>2</v>
      </c>
    </row>
    <row r="9706" spans="1:18" ht="24">
      <c r="A9706" s="219">
        <v>2336</v>
      </c>
      <c r="B9706" s="216" t="s">
        <v>17869</v>
      </c>
      <c r="C9706" s="220" t="s">
        <v>17794</v>
      </c>
      <c r="D9706" s="221">
        <v>622.42999999999995</v>
      </c>
      <c r="E9706" s="221">
        <v>302.76</v>
      </c>
      <c r="F9706" s="221">
        <v>244.05</v>
      </c>
      <c r="G9706" s="221">
        <v>75.62</v>
      </c>
      <c r="H9706" s="222">
        <v>5220.8900000000003</v>
      </c>
      <c r="I9706" s="222">
        <v>3481.88</v>
      </c>
      <c r="J9706" s="222">
        <v>1301.56</v>
      </c>
      <c r="K9706" s="222">
        <v>437.45</v>
      </c>
      <c r="L9706" s="43">
        <v>8.3879151069196549</v>
      </c>
      <c r="M9706" s="43">
        <v>11.500462412471926</v>
      </c>
      <c r="N9706" s="43">
        <v>5.3331694324933414</v>
      </c>
      <c r="O9706" s="43">
        <v>5.7848452790267118</v>
      </c>
      <c r="P9706" s="223"/>
      <c r="Q9706" s="223"/>
      <c r="R9706" s="223">
        <v>2</v>
      </c>
    </row>
    <row r="9707" spans="1:18" ht="24">
      <c r="A9707" s="219">
        <v>2337</v>
      </c>
      <c r="B9707" s="216" t="s">
        <v>17870</v>
      </c>
      <c r="C9707" s="220" t="s">
        <v>17796</v>
      </c>
      <c r="D9707" s="221">
        <v>701.18</v>
      </c>
      <c r="E9707" s="221">
        <v>317.33999999999997</v>
      </c>
      <c r="F9707" s="221">
        <v>321.85000000000002</v>
      </c>
      <c r="G9707" s="221">
        <v>61.99</v>
      </c>
      <c r="H9707" s="222">
        <v>5735.17</v>
      </c>
      <c r="I9707" s="222">
        <v>3649.53</v>
      </c>
      <c r="J9707" s="222">
        <v>1720.33</v>
      </c>
      <c r="K9707" s="222">
        <v>365.31</v>
      </c>
      <c r="L9707" s="43">
        <v>8.179312016885822</v>
      </c>
      <c r="M9707" s="43">
        <v>11.500378143316318</v>
      </c>
      <c r="N9707" s="43">
        <v>5.3451297188131113</v>
      </c>
      <c r="O9707" s="43">
        <v>5.893047265688014</v>
      </c>
      <c r="P9707" s="223"/>
      <c r="Q9707" s="223"/>
      <c r="R9707" s="223">
        <v>2</v>
      </c>
    </row>
    <row r="9708" spans="1:18" ht="24">
      <c r="A9708" s="219">
        <v>2338</v>
      </c>
      <c r="B9708" s="216" t="s">
        <v>17871</v>
      </c>
      <c r="C9708" s="220" t="s">
        <v>17798</v>
      </c>
      <c r="D9708" s="221">
        <v>977.16</v>
      </c>
      <c r="E9708" s="221">
        <v>408.48</v>
      </c>
      <c r="F9708" s="221">
        <v>468.73</v>
      </c>
      <c r="G9708" s="221">
        <v>99.95</v>
      </c>
      <c r="H9708" s="222">
        <v>7783.12</v>
      </c>
      <c r="I9708" s="222">
        <v>4697.7299999999996</v>
      </c>
      <c r="J9708" s="222">
        <v>2506.88</v>
      </c>
      <c r="K9708" s="222">
        <v>578.51</v>
      </c>
      <c r="L9708" s="43">
        <v>7.9650415489786734</v>
      </c>
      <c r="M9708" s="43">
        <v>11.500514101057577</v>
      </c>
      <c r="N9708" s="43">
        <v>5.3482388581912828</v>
      </c>
      <c r="O9708" s="43">
        <v>5.787993996998499</v>
      </c>
      <c r="P9708" s="223"/>
      <c r="Q9708" s="223"/>
      <c r="R9708" s="223">
        <v>2</v>
      </c>
    </row>
    <row r="9709" spans="1:18" ht="24">
      <c r="A9709" s="219">
        <v>2339</v>
      </c>
      <c r="B9709" s="216" t="s">
        <v>17872</v>
      </c>
      <c r="C9709" s="220" t="s">
        <v>17800</v>
      </c>
      <c r="D9709" s="221">
        <v>1603.63</v>
      </c>
      <c r="E9709" s="221">
        <v>650.95000000000005</v>
      </c>
      <c r="F9709" s="221">
        <v>788.37</v>
      </c>
      <c r="G9709" s="221">
        <v>164.31</v>
      </c>
      <c r="H9709" s="222">
        <v>12620.38</v>
      </c>
      <c r="I9709" s="222">
        <v>7486.12</v>
      </c>
      <c r="J9709" s="222">
        <v>4215.37</v>
      </c>
      <c r="K9709" s="222">
        <v>918.89</v>
      </c>
      <c r="L9709" s="43">
        <v>7.8698827036161694</v>
      </c>
      <c r="M9709" s="43">
        <v>11.500299562178354</v>
      </c>
      <c r="N9709" s="43">
        <v>5.3469436939508102</v>
      </c>
      <c r="O9709" s="43">
        <v>5.5924167731726611</v>
      </c>
      <c r="P9709" s="223"/>
      <c r="Q9709" s="223"/>
      <c r="R9709" s="223">
        <v>2</v>
      </c>
    </row>
    <row r="9710" spans="1:18" ht="24">
      <c r="A9710" s="219">
        <v>2340</v>
      </c>
      <c r="B9710" s="216" t="s">
        <v>17873</v>
      </c>
      <c r="C9710" s="220" t="s">
        <v>17802</v>
      </c>
      <c r="D9710" s="221">
        <v>2167.4899999999998</v>
      </c>
      <c r="E9710" s="221">
        <v>891.99</v>
      </c>
      <c r="F9710" s="221">
        <v>1052.1400000000001</v>
      </c>
      <c r="G9710" s="221">
        <v>223.36</v>
      </c>
      <c r="H9710" s="222">
        <v>17140.22</v>
      </c>
      <c r="I9710" s="222">
        <v>10258.209999999999</v>
      </c>
      <c r="J9710" s="222">
        <v>5626.13</v>
      </c>
      <c r="K9710" s="222">
        <v>1255.8800000000001</v>
      </c>
      <c r="L9710" s="43">
        <v>7.9078657802342818</v>
      </c>
      <c r="M9710" s="43">
        <v>11.500364353860467</v>
      </c>
      <c r="N9710" s="43">
        <v>5.3473206987663238</v>
      </c>
      <c r="O9710" s="43">
        <v>5.6226719197707737</v>
      </c>
      <c r="P9710" s="223"/>
      <c r="Q9710" s="223"/>
      <c r="R9710" s="223">
        <v>2</v>
      </c>
    </row>
    <row r="9711" spans="1:18" ht="24">
      <c r="A9711" s="219">
        <v>2341</v>
      </c>
      <c r="B9711" s="216" t="s">
        <v>17874</v>
      </c>
      <c r="C9711" s="220" t="s">
        <v>17804</v>
      </c>
      <c r="D9711" s="221">
        <v>2610.25</v>
      </c>
      <c r="E9711" s="221">
        <v>1049.25</v>
      </c>
      <c r="F9711" s="221">
        <v>1248.01</v>
      </c>
      <c r="G9711" s="221">
        <v>312.99</v>
      </c>
      <c r="H9711" s="222">
        <v>20504.32</v>
      </c>
      <c r="I9711" s="222">
        <v>12066.74</v>
      </c>
      <c r="J9711" s="222">
        <v>6673.91</v>
      </c>
      <c r="K9711" s="222">
        <v>1763.67</v>
      </c>
      <c r="L9711" s="43">
        <v>7.8553088784599172</v>
      </c>
      <c r="M9711" s="43">
        <v>11.500347867524422</v>
      </c>
      <c r="N9711" s="43">
        <v>5.3476414451807273</v>
      </c>
      <c r="O9711" s="43">
        <v>5.634908463529186</v>
      </c>
      <c r="P9711" s="223"/>
      <c r="Q9711" s="223"/>
      <c r="R9711" s="223">
        <v>2</v>
      </c>
    </row>
    <row r="9712" spans="1:18" ht="12.75">
      <c r="A9712" s="632" t="s">
        <v>18</v>
      </c>
      <c r="B9712" s="632"/>
      <c r="C9712" s="632"/>
      <c r="D9712" s="217">
        <v>30319875.530000001</v>
      </c>
      <c r="E9712" s="217">
        <v>10203360.43</v>
      </c>
      <c r="F9712" s="217">
        <v>16945007.390000001</v>
      </c>
      <c r="G9712" s="217">
        <v>3171507.71</v>
      </c>
      <c r="H9712" s="218">
        <v>233624193.69</v>
      </c>
      <c r="I9712" s="218">
        <v>117341538.63</v>
      </c>
      <c r="J9712" s="218">
        <v>97817980.829999998</v>
      </c>
      <c r="K9712" s="218">
        <v>18464674.23</v>
      </c>
      <c r="L9712" s="612">
        <v>7.7053150649922868</v>
      </c>
      <c r="M9712" s="612">
        <v>11.500283601174324</v>
      </c>
      <c r="N9712" s="612">
        <v>5.7726726568279174</v>
      </c>
      <c r="O9712" s="612">
        <v>5.8220492959167363</v>
      </c>
      <c r="P9712" s="215"/>
      <c r="Q9712" s="215"/>
      <c r="R9712" s="215"/>
    </row>
    <row r="9713" spans="1:18" ht="18">
      <c r="A9713" s="616" t="s">
        <v>18466</v>
      </c>
      <c r="B9713" s="626"/>
      <c r="C9713" s="626"/>
      <c r="D9713" s="626"/>
      <c r="E9713" s="626"/>
      <c r="F9713" s="626"/>
      <c r="G9713" s="626"/>
      <c r="H9713" s="626"/>
      <c r="I9713" s="626"/>
      <c r="J9713" s="626"/>
      <c r="K9713" s="626"/>
      <c r="L9713" s="626"/>
      <c r="M9713" s="626"/>
      <c r="N9713" s="626"/>
      <c r="O9713" s="626"/>
      <c r="P9713" s="626"/>
      <c r="Q9713" s="626"/>
      <c r="R9713" s="627"/>
    </row>
    <row r="9714" spans="1:18" ht="12.75" customHeight="1">
      <c r="A9714" s="630" t="s">
        <v>17875</v>
      </c>
      <c r="B9714" s="631"/>
      <c r="C9714" s="631"/>
      <c r="D9714" s="631"/>
      <c r="E9714" s="631"/>
      <c r="F9714" s="631"/>
      <c r="G9714" s="631"/>
      <c r="H9714" s="631"/>
      <c r="I9714" s="631"/>
      <c r="J9714" s="631"/>
      <c r="K9714" s="631"/>
      <c r="L9714" s="631"/>
      <c r="M9714" s="631"/>
      <c r="N9714" s="631"/>
      <c r="O9714" s="631"/>
      <c r="P9714" s="631"/>
      <c r="Q9714" s="631"/>
      <c r="R9714" s="631"/>
    </row>
    <row r="9715" spans="1:18" ht="12.75" customHeight="1">
      <c r="A9715" s="628" t="s">
        <v>17876</v>
      </c>
      <c r="B9715" s="629"/>
      <c r="C9715" s="629"/>
      <c r="D9715" s="629"/>
      <c r="E9715" s="629"/>
      <c r="F9715" s="629"/>
      <c r="G9715" s="629"/>
      <c r="H9715" s="629"/>
      <c r="I9715" s="629"/>
      <c r="J9715" s="629"/>
      <c r="K9715" s="629"/>
      <c r="L9715" s="629"/>
      <c r="M9715" s="629"/>
      <c r="N9715" s="629"/>
      <c r="O9715" s="629"/>
      <c r="P9715" s="629"/>
      <c r="Q9715" s="629"/>
      <c r="R9715" s="629"/>
    </row>
    <row r="9716" spans="1:18" ht="12.75" customHeight="1">
      <c r="A9716" s="628" t="s">
        <v>17877</v>
      </c>
      <c r="B9716" s="629"/>
      <c r="C9716" s="629"/>
      <c r="D9716" s="629"/>
      <c r="E9716" s="629"/>
      <c r="F9716" s="629"/>
      <c r="G9716" s="629"/>
      <c r="H9716" s="629"/>
      <c r="I9716" s="629"/>
      <c r="J9716" s="629"/>
      <c r="K9716" s="629"/>
      <c r="L9716" s="629"/>
      <c r="M9716" s="629"/>
      <c r="N9716" s="629"/>
      <c r="O9716" s="629"/>
      <c r="P9716" s="629"/>
      <c r="Q9716" s="629"/>
      <c r="R9716" s="629"/>
    </row>
    <row r="9717" spans="1:18" ht="24">
      <c r="A9717" s="234">
        <v>1</v>
      </c>
      <c r="B9717" s="231" t="s">
        <v>17878</v>
      </c>
      <c r="C9717" s="235" t="s">
        <v>17879</v>
      </c>
      <c r="D9717" s="236">
        <v>110236.83</v>
      </c>
      <c r="E9717" s="236">
        <v>18315</v>
      </c>
      <c r="F9717" s="236">
        <v>65028.09</v>
      </c>
      <c r="G9717" s="236">
        <v>26893.74</v>
      </c>
      <c r="H9717" s="237">
        <v>634488.66</v>
      </c>
      <c r="I9717" s="237">
        <v>210622.5</v>
      </c>
      <c r="J9717" s="237">
        <v>297833.63</v>
      </c>
      <c r="K9717" s="237">
        <v>126032.53</v>
      </c>
      <c r="L9717" s="43">
        <v>5.7556867337349962</v>
      </c>
      <c r="M9717" s="43">
        <v>11.5</v>
      </c>
      <c r="N9717" s="43">
        <v>4.5800765484577513</v>
      </c>
      <c r="O9717" s="43">
        <v>4.6863147334658546</v>
      </c>
      <c r="P9717" s="238"/>
      <c r="Q9717" s="238"/>
      <c r="R9717" s="238">
        <v>1</v>
      </c>
    </row>
    <row r="9718" spans="1:18" ht="24">
      <c r="A9718" s="234">
        <v>2</v>
      </c>
      <c r="B9718" s="231" t="s">
        <v>17880</v>
      </c>
      <c r="C9718" s="235" t="s">
        <v>17881</v>
      </c>
      <c r="D9718" s="236">
        <v>106204.77</v>
      </c>
      <c r="E9718" s="236">
        <v>18546</v>
      </c>
      <c r="F9718" s="236">
        <v>60760.41</v>
      </c>
      <c r="G9718" s="236">
        <v>26898.36</v>
      </c>
      <c r="H9718" s="237">
        <v>619967.61</v>
      </c>
      <c r="I9718" s="237">
        <v>213279</v>
      </c>
      <c r="J9718" s="237">
        <v>280602.95</v>
      </c>
      <c r="K9718" s="237">
        <v>126085.66</v>
      </c>
      <c r="L9718" s="43">
        <v>5.8374742490379665</v>
      </c>
      <c r="M9718" s="43">
        <v>11.5</v>
      </c>
      <c r="N9718" s="43">
        <v>4.6181872373803925</v>
      </c>
      <c r="O9718" s="43">
        <v>4.6874850362624336</v>
      </c>
      <c r="P9718" s="238"/>
      <c r="Q9718" s="238"/>
      <c r="R9718" s="238">
        <v>1</v>
      </c>
    </row>
    <row r="9719" spans="1:18" ht="24">
      <c r="A9719" s="234">
        <v>3</v>
      </c>
      <c r="B9719" s="231" t="s">
        <v>17882</v>
      </c>
      <c r="C9719" s="235" t="s">
        <v>17883</v>
      </c>
      <c r="D9719" s="236">
        <v>112106.97</v>
      </c>
      <c r="E9719" s="236">
        <v>18744</v>
      </c>
      <c r="F9719" s="236">
        <v>66460.649999999994</v>
      </c>
      <c r="G9719" s="236">
        <v>26902.32</v>
      </c>
      <c r="H9719" s="237">
        <v>645991.59</v>
      </c>
      <c r="I9719" s="237">
        <v>215556</v>
      </c>
      <c r="J9719" s="237">
        <v>304304.39</v>
      </c>
      <c r="K9719" s="237">
        <v>126131.2</v>
      </c>
      <c r="L9719" s="43">
        <v>5.7622785630545534</v>
      </c>
      <c r="M9719" s="43">
        <v>11.5</v>
      </c>
      <c r="N9719" s="43">
        <v>4.5787152247232017</v>
      </c>
      <c r="O9719" s="43">
        <v>4.6884878330196056</v>
      </c>
      <c r="P9719" s="238"/>
      <c r="Q9719" s="238"/>
      <c r="R9719" s="238">
        <v>1</v>
      </c>
    </row>
    <row r="9720" spans="1:18" ht="12.75" customHeight="1">
      <c r="A9720" s="628" t="s">
        <v>17884</v>
      </c>
      <c r="B9720" s="629"/>
      <c r="C9720" s="629"/>
      <c r="D9720" s="629"/>
      <c r="E9720" s="629"/>
      <c r="F9720" s="629"/>
      <c r="G9720" s="629"/>
      <c r="H9720" s="629"/>
      <c r="I9720" s="629"/>
      <c r="J9720" s="629"/>
      <c r="K9720" s="629"/>
      <c r="L9720" s="629"/>
      <c r="M9720" s="629"/>
      <c r="N9720" s="629"/>
      <c r="O9720" s="629"/>
      <c r="P9720" s="629"/>
      <c r="Q9720" s="629"/>
      <c r="R9720" s="629"/>
    </row>
    <row r="9721" spans="1:18" ht="24">
      <c r="A9721" s="234">
        <v>4</v>
      </c>
      <c r="B9721" s="231" t="s">
        <v>17885</v>
      </c>
      <c r="C9721" s="235" t="s">
        <v>17886</v>
      </c>
      <c r="D9721" s="236">
        <v>98886.01</v>
      </c>
      <c r="E9721" s="236">
        <v>16315.8</v>
      </c>
      <c r="F9721" s="236">
        <v>55716.45</v>
      </c>
      <c r="G9721" s="236">
        <v>26853.759999999998</v>
      </c>
      <c r="H9721" s="237">
        <v>568985.25</v>
      </c>
      <c r="I9721" s="237">
        <v>187638.8</v>
      </c>
      <c r="J9721" s="237">
        <v>255773.69</v>
      </c>
      <c r="K9721" s="237">
        <v>125572.76</v>
      </c>
      <c r="L9721" s="43">
        <v>5.753950938054837</v>
      </c>
      <c r="M9721" s="43">
        <v>11.500435161009573</v>
      </c>
      <c r="N9721" s="43">
        <v>4.5906314921356266</v>
      </c>
      <c r="O9721" s="43">
        <v>4.6761704878571937</v>
      </c>
      <c r="P9721" s="238"/>
      <c r="Q9721" s="238"/>
      <c r="R9721" s="238">
        <v>2</v>
      </c>
    </row>
    <row r="9722" spans="1:18" ht="24">
      <c r="A9722" s="234">
        <v>5</v>
      </c>
      <c r="B9722" s="231" t="s">
        <v>17887</v>
      </c>
      <c r="C9722" s="235" t="s">
        <v>17888</v>
      </c>
      <c r="D9722" s="236">
        <v>89441.55</v>
      </c>
      <c r="E9722" s="236">
        <v>14430</v>
      </c>
      <c r="F9722" s="236">
        <v>48195.51</v>
      </c>
      <c r="G9722" s="236">
        <v>26816.04</v>
      </c>
      <c r="H9722" s="237">
        <v>512886.18</v>
      </c>
      <c r="I9722" s="237">
        <v>165945</v>
      </c>
      <c r="J9722" s="237">
        <v>221802.2</v>
      </c>
      <c r="K9722" s="237">
        <v>125138.98</v>
      </c>
      <c r="L9722" s="43">
        <v>5.73431676888426</v>
      </c>
      <c r="M9722" s="43">
        <v>11.5</v>
      </c>
      <c r="N9722" s="43">
        <v>4.6021340992138065</v>
      </c>
      <c r="O9722" s="43">
        <v>4.6665719472375482</v>
      </c>
      <c r="P9722" s="238"/>
      <c r="Q9722" s="238"/>
      <c r="R9722" s="238">
        <v>2</v>
      </c>
    </row>
    <row r="9723" spans="1:18" ht="24">
      <c r="A9723" s="234">
        <v>6</v>
      </c>
      <c r="B9723" s="231" t="s">
        <v>17889</v>
      </c>
      <c r="C9723" s="235" t="s">
        <v>17890</v>
      </c>
      <c r="D9723" s="236">
        <v>101933.74</v>
      </c>
      <c r="E9723" s="236">
        <v>17855.099999999999</v>
      </c>
      <c r="F9723" s="236">
        <v>57194.1</v>
      </c>
      <c r="G9723" s="236">
        <v>26884.54</v>
      </c>
      <c r="H9723" s="237">
        <v>595628.27</v>
      </c>
      <c r="I9723" s="237">
        <v>205341.3</v>
      </c>
      <c r="J9723" s="237">
        <v>264360.24</v>
      </c>
      <c r="K9723" s="237">
        <v>125926.73</v>
      </c>
      <c r="L9723" s="43">
        <v>5.8432886892995386</v>
      </c>
      <c r="M9723" s="43">
        <v>11.500428449014567</v>
      </c>
      <c r="N9723" s="43">
        <v>4.6221592786668557</v>
      </c>
      <c r="O9723" s="43">
        <v>4.6839830623845522</v>
      </c>
      <c r="P9723" s="238"/>
      <c r="Q9723" s="238"/>
      <c r="R9723" s="238">
        <v>2</v>
      </c>
    </row>
    <row r="9724" spans="1:18" ht="12.75" customHeight="1">
      <c r="A9724" s="628" t="s">
        <v>17891</v>
      </c>
      <c r="B9724" s="629"/>
      <c r="C9724" s="629"/>
      <c r="D9724" s="629"/>
      <c r="E9724" s="629"/>
      <c r="F9724" s="629"/>
      <c r="G9724" s="629"/>
      <c r="H9724" s="629"/>
      <c r="I9724" s="629"/>
      <c r="J9724" s="629"/>
      <c r="K9724" s="629"/>
      <c r="L9724" s="629"/>
      <c r="M9724" s="629"/>
      <c r="N9724" s="629"/>
      <c r="O9724" s="629"/>
      <c r="P9724" s="629"/>
      <c r="Q9724" s="629"/>
      <c r="R9724" s="629"/>
    </row>
    <row r="9725" spans="1:18" ht="24">
      <c r="A9725" s="234">
        <v>7</v>
      </c>
      <c r="B9725" s="231" t="s">
        <v>17892</v>
      </c>
      <c r="C9725" s="235" t="s">
        <v>17893</v>
      </c>
      <c r="D9725" s="236">
        <v>123887.64</v>
      </c>
      <c r="E9725" s="236">
        <v>19552.5</v>
      </c>
      <c r="F9725" s="236">
        <v>70758.33</v>
      </c>
      <c r="G9725" s="236">
        <v>33576.81</v>
      </c>
      <c r="H9725" s="237">
        <v>705819.99</v>
      </c>
      <c r="I9725" s="237">
        <v>224862</v>
      </c>
      <c r="J9725" s="237">
        <v>323716.67</v>
      </c>
      <c r="K9725" s="237">
        <v>157241.32</v>
      </c>
      <c r="L9725" s="43">
        <v>5.6972591454643897</v>
      </c>
      <c r="M9725" s="43">
        <v>11.50042194092827</v>
      </c>
      <c r="N9725" s="43">
        <v>4.5749619868077716</v>
      </c>
      <c r="O9725" s="43">
        <v>4.6830333197227496</v>
      </c>
      <c r="P9725" s="238"/>
      <c r="Q9725" s="238"/>
      <c r="R9725" s="238">
        <v>3</v>
      </c>
    </row>
    <row r="9726" spans="1:18" ht="36">
      <c r="A9726" s="234">
        <v>8</v>
      </c>
      <c r="B9726" s="231" t="s">
        <v>17894</v>
      </c>
      <c r="C9726" s="235" t="s">
        <v>17895</v>
      </c>
      <c r="D9726" s="236">
        <v>98685.25</v>
      </c>
      <c r="E9726" s="236">
        <v>19255.5</v>
      </c>
      <c r="F9726" s="236">
        <v>45858.879999999997</v>
      </c>
      <c r="G9726" s="236">
        <v>33570.870000000003</v>
      </c>
      <c r="H9726" s="237">
        <v>595488.23</v>
      </c>
      <c r="I9726" s="237">
        <v>221446.5</v>
      </c>
      <c r="J9726" s="237">
        <v>216868.72</v>
      </c>
      <c r="K9726" s="237">
        <v>157173.01</v>
      </c>
      <c r="L9726" s="43">
        <v>6.0342171702458067</v>
      </c>
      <c r="M9726" s="43">
        <v>11.500428449014567</v>
      </c>
      <c r="N9726" s="43">
        <v>4.7290452797800562</v>
      </c>
      <c r="O9726" s="43">
        <v>4.6818271316769566</v>
      </c>
      <c r="P9726" s="238"/>
      <c r="Q9726" s="238"/>
      <c r="R9726" s="238">
        <v>3</v>
      </c>
    </row>
    <row r="9727" spans="1:18" ht="12.75" customHeight="1">
      <c r="A9727" s="628" t="s">
        <v>17896</v>
      </c>
      <c r="B9727" s="629"/>
      <c r="C9727" s="629"/>
      <c r="D9727" s="629"/>
      <c r="E9727" s="629"/>
      <c r="F9727" s="629"/>
      <c r="G9727" s="629"/>
      <c r="H9727" s="629"/>
      <c r="I9727" s="629"/>
      <c r="J9727" s="629"/>
      <c r="K9727" s="629"/>
      <c r="L9727" s="629"/>
      <c r="M9727" s="629"/>
      <c r="N9727" s="629"/>
      <c r="O9727" s="629"/>
      <c r="P9727" s="629"/>
      <c r="Q9727" s="629"/>
      <c r="R9727" s="629"/>
    </row>
    <row r="9728" spans="1:18" ht="12.75" customHeight="1">
      <c r="A9728" s="628" t="s">
        <v>17897</v>
      </c>
      <c r="B9728" s="629"/>
      <c r="C9728" s="629"/>
      <c r="D9728" s="629"/>
      <c r="E9728" s="629"/>
      <c r="F9728" s="629"/>
      <c r="G9728" s="629"/>
      <c r="H9728" s="629"/>
      <c r="I9728" s="629"/>
      <c r="J9728" s="629"/>
      <c r="K9728" s="629"/>
      <c r="L9728" s="629"/>
      <c r="M9728" s="629"/>
      <c r="N9728" s="629"/>
      <c r="O9728" s="629"/>
      <c r="P9728" s="629"/>
      <c r="Q9728" s="629"/>
      <c r="R9728" s="629"/>
    </row>
    <row r="9729" spans="1:18" ht="24">
      <c r="A9729" s="234">
        <v>9</v>
      </c>
      <c r="B9729" s="231" t="s">
        <v>17898</v>
      </c>
      <c r="C9729" s="235" t="s">
        <v>17899</v>
      </c>
      <c r="D9729" s="236">
        <v>99351.53</v>
      </c>
      <c r="E9729" s="236">
        <v>15405</v>
      </c>
      <c r="F9729" s="236">
        <v>61319.85</v>
      </c>
      <c r="G9729" s="236">
        <v>22626.68</v>
      </c>
      <c r="H9729" s="237">
        <v>560991.75</v>
      </c>
      <c r="I9729" s="237">
        <v>177164</v>
      </c>
      <c r="J9729" s="237">
        <v>277941.40999999997</v>
      </c>
      <c r="K9729" s="237">
        <v>105886.34</v>
      </c>
      <c r="L9729" s="43">
        <v>5.6465335762821169</v>
      </c>
      <c r="M9729" s="43">
        <v>11.50042194092827</v>
      </c>
      <c r="N9729" s="43">
        <v>4.5326498678649729</v>
      </c>
      <c r="O9729" s="43">
        <v>4.6797117385316804</v>
      </c>
      <c r="P9729" s="238"/>
      <c r="Q9729" s="238"/>
      <c r="R9729" s="238">
        <v>1</v>
      </c>
    </row>
    <row r="9730" spans="1:18" ht="24">
      <c r="A9730" s="234">
        <v>10</v>
      </c>
      <c r="B9730" s="231" t="s">
        <v>17900</v>
      </c>
      <c r="C9730" s="235" t="s">
        <v>17901</v>
      </c>
      <c r="D9730" s="236">
        <v>121109.38</v>
      </c>
      <c r="E9730" s="236">
        <v>16315.8</v>
      </c>
      <c r="F9730" s="236">
        <v>82148.679999999993</v>
      </c>
      <c r="G9730" s="236">
        <v>22644.9</v>
      </c>
      <c r="H9730" s="237">
        <v>659253.42000000004</v>
      </c>
      <c r="I9730" s="237">
        <v>187638.8</v>
      </c>
      <c r="J9730" s="237">
        <v>365518.75</v>
      </c>
      <c r="K9730" s="237">
        <v>106095.87</v>
      </c>
      <c r="L9730" s="43">
        <v>5.4434546688291201</v>
      </c>
      <c r="M9730" s="43">
        <v>11.500435161009573</v>
      </c>
      <c r="N9730" s="43">
        <v>4.4494780683024979</v>
      </c>
      <c r="O9730" s="43">
        <v>4.6851993164023682</v>
      </c>
      <c r="P9730" s="238"/>
      <c r="Q9730" s="238"/>
      <c r="R9730" s="238">
        <v>1</v>
      </c>
    </row>
    <row r="9731" spans="1:18" ht="12.75" customHeight="1">
      <c r="A9731" s="628" t="s">
        <v>17902</v>
      </c>
      <c r="B9731" s="629"/>
      <c r="C9731" s="629"/>
      <c r="D9731" s="629"/>
      <c r="E9731" s="629"/>
      <c r="F9731" s="629"/>
      <c r="G9731" s="629"/>
      <c r="H9731" s="629"/>
      <c r="I9731" s="629"/>
      <c r="J9731" s="629"/>
      <c r="K9731" s="629"/>
      <c r="L9731" s="629"/>
      <c r="M9731" s="629"/>
      <c r="N9731" s="629"/>
      <c r="O9731" s="629"/>
      <c r="P9731" s="629"/>
      <c r="Q9731" s="629"/>
      <c r="R9731" s="629"/>
    </row>
    <row r="9732" spans="1:18" ht="24">
      <c r="A9732" s="234">
        <v>11</v>
      </c>
      <c r="B9732" s="231" t="s">
        <v>17903</v>
      </c>
      <c r="C9732" s="235" t="s">
        <v>17904</v>
      </c>
      <c r="D9732" s="236">
        <v>102159.78</v>
      </c>
      <c r="E9732" s="236">
        <v>17068.400000000001</v>
      </c>
      <c r="F9732" s="236">
        <v>58223.43</v>
      </c>
      <c r="G9732" s="236">
        <v>26867.95</v>
      </c>
      <c r="H9732" s="237">
        <v>588999.74</v>
      </c>
      <c r="I9732" s="237">
        <v>196286.6</v>
      </c>
      <c r="J9732" s="237">
        <v>267097.52</v>
      </c>
      <c r="K9732" s="237">
        <v>125615.62</v>
      </c>
      <c r="L9732" s="43">
        <v>5.7654758066237024</v>
      </c>
      <c r="M9732" s="43">
        <v>11.5</v>
      </c>
      <c r="N9732" s="43">
        <v>4.5874576609450868</v>
      </c>
      <c r="O9732" s="43">
        <v>4.6752960311449137</v>
      </c>
      <c r="P9732" s="238"/>
      <c r="Q9732" s="238"/>
      <c r="R9732" s="238">
        <v>2</v>
      </c>
    </row>
    <row r="9733" spans="1:18" ht="24">
      <c r="A9733" s="234">
        <v>12</v>
      </c>
      <c r="B9733" s="231" t="s">
        <v>17905</v>
      </c>
      <c r="C9733" s="235" t="s">
        <v>17906</v>
      </c>
      <c r="D9733" s="236">
        <v>116813.9</v>
      </c>
      <c r="E9733" s="236">
        <v>15762</v>
      </c>
      <c r="F9733" s="236">
        <v>74210.080000000002</v>
      </c>
      <c r="G9733" s="236">
        <v>26841.82</v>
      </c>
      <c r="H9733" s="237">
        <v>638911.94999999995</v>
      </c>
      <c r="I9733" s="237">
        <v>181263</v>
      </c>
      <c r="J9733" s="237">
        <v>332333.83</v>
      </c>
      <c r="K9733" s="237">
        <v>125315.12</v>
      </c>
      <c r="L9733" s="43">
        <v>5.469485651964364</v>
      </c>
      <c r="M9733" s="43">
        <v>11.5</v>
      </c>
      <c r="N9733" s="43">
        <v>4.4782842169150072</v>
      </c>
      <c r="O9733" s="43">
        <v>4.668652125675532</v>
      </c>
      <c r="P9733" s="238"/>
      <c r="Q9733" s="238"/>
      <c r="R9733" s="238">
        <v>2</v>
      </c>
    </row>
    <row r="9734" spans="1:18" ht="24">
      <c r="A9734" s="234">
        <v>13</v>
      </c>
      <c r="B9734" s="231" t="s">
        <v>17907</v>
      </c>
      <c r="C9734" s="235" t="s">
        <v>17908</v>
      </c>
      <c r="D9734" s="236">
        <v>98696.85</v>
      </c>
      <c r="E9734" s="236">
        <v>16131.2</v>
      </c>
      <c r="F9734" s="236">
        <v>55716.45</v>
      </c>
      <c r="G9734" s="236">
        <v>26849.200000000001</v>
      </c>
      <c r="H9734" s="237">
        <v>566682.48</v>
      </c>
      <c r="I9734" s="237">
        <v>185508.8</v>
      </c>
      <c r="J9734" s="237">
        <v>255773.69</v>
      </c>
      <c r="K9734" s="237">
        <v>125399.99</v>
      </c>
      <c r="L9734" s="43">
        <v>5.7416470738427821</v>
      </c>
      <c r="M9734" s="43">
        <v>11.499999999999998</v>
      </c>
      <c r="N9734" s="43">
        <v>4.5906314921356266</v>
      </c>
      <c r="O9734" s="43">
        <v>4.6705298481891457</v>
      </c>
      <c r="P9734" s="238"/>
      <c r="Q9734" s="238"/>
      <c r="R9734" s="238">
        <v>2</v>
      </c>
    </row>
    <row r="9735" spans="1:18" ht="24">
      <c r="A9735" s="234">
        <v>14</v>
      </c>
      <c r="B9735" s="231" t="s">
        <v>17909</v>
      </c>
      <c r="C9735" s="235" t="s">
        <v>17910</v>
      </c>
      <c r="D9735" s="236">
        <v>88733.53</v>
      </c>
      <c r="E9735" s="236">
        <v>14768</v>
      </c>
      <c r="F9735" s="236">
        <v>47143.59</v>
      </c>
      <c r="G9735" s="236">
        <v>26821.94</v>
      </c>
      <c r="H9735" s="237">
        <v>513503.83</v>
      </c>
      <c r="I9735" s="237">
        <v>169832</v>
      </c>
      <c r="J9735" s="237">
        <v>218585.33</v>
      </c>
      <c r="K9735" s="237">
        <v>125086.5</v>
      </c>
      <c r="L9735" s="43">
        <v>5.7870325907241602</v>
      </c>
      <c r="M9735" s="43">
        <v>11.5</v>
      </c>
      <c r="N9735" s="43">
        <v>4.6365864373078081</v>
      </c>
      <c r="O9735" s="43">
        <v>4.663588838092994</v>
      </c>
      <c r="P9735" s="238"/>
      <c r="Q9735" s="238"/>
      <c r="R9735" s="238">
        <v>2</v>
      </c>
    </row>
    <row r="9736" spans="1:18" ht="12.75" customHeight="1">
      <c r="A9736" s="628" t="s">
        <v>17911</v>
      </c>
      <c r="B9736" s="629"/>
      <c r="C9736" s="629"/>
      <c r="D9736" s="629"/>
      <c r="E9736" s="629"/>
      <c r="F9736" s="629"/>
      <c r="G9736" s="629"/>
      <c r="H9736" s="629"/>
      <c r="I9736" s="629"/>
      <c r="J9736" s="629"/>
      <c r="K9736" s="629"/>
      <c r="L9736" s="629"/>
      <c r="M9736" s="629"/>
      <c r="N9736" s="629"/>
      <c r="O9736" s="629"/>
      <c r="P9736" s="629"/>
      <c r="Q9736" s="629"/>
      <c r="R9736" s="629"/>
    </row>
    <row r="9737" spans="1:18" ht="36">
      <c r="A9737" s="234">
        <v>15</v>
      </c>
      <c r="B9737" s="231" t="s">
        <v>17912</v>
      </c>
      <c r="C9737" s="235" t="s">
        <v>17913</v>
      </c>
      <c r="D9737" s="236">
        <v>81479.06</v>
      </c>
      <c r="E9737" s="236">
        <v>12944.6</v>
      </c>
      <c r="F9737" s="236">
        <v>41748.99</v>
      </c>
      <c r="G9737" s="236">
        <v>26785.47</v>
      </c>
      <c r="H9737" s="237">
        <v>466219.68</v>
      </c>
      <c r="I9737" s="237">
        <v>148868.79999999999</v>
      </c>
      <c r="J9737" s="237">
        <v>192683.78</v>
      </c>
      <c r="K9737" s="237">
        <v>124667.1</v>
      </c>
      <c r="L9737" s="43">
        <v>5.7219570279774947</v>
      </c>
      <c r="M9737" s="43">
        <v>11.500455788514127</v>
      </c>
      <c r="N9737" s="43">
        <v>4.6152920106570248</v>
      </c>
      <c r="O9737" s="43">
        <v>4.6542808470413251</v>
      </c>
      <c r="P9737" s="238"/>
      <c r="Q9737" s="238"/>
      <c r="R9737" s="238">
        <v>3</v>
      </c>
    </row>
    <row r="9738" spans="1:18" ht="36">
      <c r="A9738" s="234">
        <v>16</v>
      </c>
      <c r="B9738" s="231" t="s">
        <v>17914</v>
      </c>
      <c r="C9738" s="235" t="s">
        <v>17915</v>
      </c>
      <c r="D9738" s="236">
        <v>81629.73</v>
      </c>
      <c r="E9738" s="236">
        <v>12741.2</v>
      </c>
      <c r="F9738" s="236">
        <v>42107.13</v>
      </c>
      <c r="G9738" s="236">
        <v>26781.4</v>
      </c>
      <c r="H9738" s="237">
        <v>465445.56</v>
      </c>
      <c r="I9738" s="237">
        <v>146523.79999999999</v>
      </c>
      <c r="J9738" s="237">
        <v>194301.47</v>
      </c>
      <c r="K9738" s="237">
        <v>124620.29</v>
      </c>
      <c r="L9738" s="43">
        <v>5.7019122812240104</v>
      </c>
      <c r="M9738" s="43">
        <v>11.499999999999998</v>
      </c>
      <c r="N9738" s="43">
        <v>4.6144553190872903</v>
      </c>
      <c r="O9738" s="43">
        <v>4.653240308572367</v>
      </c>
      <c r="P9738" s="238"/>
      <c r="Q9738" s="238"/>
      <c r="R9738" s="238">
        <v>3</v>
      </c>
    </row>
    <row r="9739" spans="1:18" ht="24">
      <c r="A9739" s="234">
        <v>17</v>
      </c>
      <c r="B9739" s="231" t="s">
        <v>17916</v>
      </c>
      <c r="C9739" s="235" t="s">
        <v>17917</v>
      </c>
      <c r="D9739" s="236">
        <v>74972.56</v>
      </c>
      <c r="E9739" s="236">
        <v>11766</v>
      </c>
      <c r="F9739" s="236">
        <v>36444.660000000003</v>
      </c>
      <c r="G9739" s="236">
        <v>26761.9</v>
      </c>
      <c r="H9739" s="237">
        <v>429562.24</v>
      </c>
      <c r="I9739" s="237">
        <v>135309</v>
      </c>
      <c r="J9739" s="237">
        <v>169857.2</v>
      </c>
      <c r="K9739" s="237">
        <v>124396.04</v>
      </c>
      <c r="L9739" s="43">
        <v>5.729592800352556</v>
      </c>
      <c r="M9739" s="43">
        <v>11.5</v>
      </c>
      <c r="N9739" s="43">
        <v>4.6606882873924462</v>
      </c>
      <c r="O9739" s="43">
        <v>4.6482514320732085</v>
      </c>
      <c r="P9739" s="238"/>
      <c r="Q9739" s="238"/>
      <c r="R9739" s="238">
        <v>3</v>
      </c>
    </row>
    <row r="9740" spans="1:18" ht="12.75" customHeight="1">
      <c r="A9740" s="628" t="s">
        <v>17918</v>
      </c>
      <c r="B9740" s="629"/>
      <c r="C9740" s="629"/>
      <c r="D9740" s="629"/>
      <c r="E9740" s="629"/>
      <c r="F9740" s="629"/>
      <c r="G9740" s="629"/>
      <c r="H9740" s="629"/>
      <c r="I9740" s="629"/>
      <c r="J9740" s="629"/>
      <c r="K9740" s="629"/>
      <c r="L9740" s="629"/>
      <c r="M9740" s="629"/>
      <c r="N9740" s="629"/>
      <c r="O9740" s="629"/>
      <c r="P9740" s="629"/>
      <c r="Q9740" s="629"/>
      <c r="R9740" s="629"/>
    </row>
    <row r="9741" spans="1:18" ht="24">
      <c r="A9741" s="234">
        <v>18</v>
      </c>
      <c r="B9741" s="231" t="s">
        <v>17919</v>
      </c>
      <c r="C9741" s="235" t="s">
        <v>17920</v>
      </c>
      <c r="D9741" s="236">
        <v>101953.35</v>
      </c>
      <c r="E9741" s="236">
        <v>17579.7</v>
      </c>
      <c r="F9741" s="236">
        <v>57518.31</v>
      </c>
      <c r="G9741" s="236">
        <v>26855.34</v>
      </c>
      <c r="H9741" s="237">
        <v>593835.03</v>
      </c>
      <c r="I9741" s="237">
        <v>202174.2</v>
      </c>
      <c r="J9741" s="237">
        <v>265836.84999999998</v>
      </c>
      <c r="K9741" s="237">
        <v>125823.98</v>
      </c>
      <c r="L9741" s="43">
        <v>5.8245759457634296</v>
      </c>
      <c r="M9741" s="43">
        <v>11.500435161009573</v>
      </c>
      <c r="N9741" s="43">
        <v>4.6217778303987025</v>
      </c>
      <c r="O9741" s="43">
        <v>4.6852499353945989</v>
      </c>
      <c r="P9741" s="238"/>
      <c r="Q9741" s="238"/>
      <c r="R9741" s="238">
        <v>4</v>
      </c>
    </row>
    <row r="9742" spans="1:18" ht="24">
      <c r="A9742" s="234">
        <v>19</v>
      </c>
      <c r="B9742" s="231" t="s">
        <v>17921</v>
      </c>
      <c r="C9742" s="235" t="s">
        <v>17922</v>
      </c>
      <c r="D9742" s="236">
        <v>104648.62</v>
      </c>
      <c r="E9742" s="236">
        <v>18315</v>
      </c>
      <c r="F9742" s="236">
        <v>59463.57</v>
      </c>
      <c r="G9742" s="236">
        <v>26870.05</v>
      </c>
      <c r="H9742" s="237">
        <v>611312.15</v>
      </c>
      <c r="I9742" s="237">
        <v>210622.5</v>
      </c>
      <c r="J9742" s="237">
        <v>274696.51</v>
      </c>
      <c r="K9742" s="237">
        <v>125993.14</v>
      </c>
      <c r="L9742" s="43">
        <v>5.8415691482601497</v>
      </c>
      <c r="M9742" s="43">
        <v>11.5</v>
      </c>
      <c r="N9742" s="43">
        <v>4.6195764902779972</v>
      </c>
      <c r="O9742" s="43">
        <v>4.6889804819864498</v>
      </c>
      <c r="P9742" s="238"/>
      <c r="Q9742" s="238"/>
      <c r="R9742" s="238">
        <v>4</v>
      </c>
    </row>
    <row r="9743" spans="1:18" ht="24">
      <c r="A9743" s="234">
        <v>20</v>
      </c>
      <c r="B9743" s="231" t="s">
        <v>17923</v>
      </c>
      <c r="C9743" s="235" t="s">
        <v>17924</v>
      </c>
      <c r="D9743" s="236">
        <v>107153.71</v>
      </c>
      <c r="E9743" s="236">
        <v>18546</v>
      </c>
      <c r="F9743" s="236">
        <v>61733.04</v>
      </c>
      <c r="G9743" s="236">
        <v>26874.67</v>
      </c>
      <c r="H9743" s="237">
        <v>624358.05000000005</v>
      </c>
      <c r="I9743" s="237">
        <v>213279</v>
      </c>
      <c r="J9743" s="237">
        <v>285032.78000000003</v>
      </c>
      <c r="K9743" s="237">
        <v>126046.27</v>
      </c>
      <c r="L9743" s="43">
        <v>5.8267515889090538</v>
      </c>
      <c r="M9743" s="43">
        <v>11.5</v>
      </c>
      <c r="N9743" s="43">
        <v>4.6171836021683044</v>
      </c>
      <c r="O9743" s="43">
        <v>4.6901513581376078</v>
      </c>
      <c r="P9743" s="238"/>
      <c r="Q9743" s="238"/>
      <c r="R9743" s="238">
        <v>4</v>
      </c>
    </row>
    <row r="9744" spans="1:18" ht="24">
      <c r="A9744" s="234">
        <v>21</v>
      </c>
      <c r="B9744" s="231" t="s">
        <v>17925</v>
      </c>
      <c r="C9744" s="235" t="s">
        <v>17926</v>
      </c>
      <c r="D9744" s="236">
        <v>114092.77</v>
      </c>
      <c r="E9744" s="236">
        <v>18958.5</v>
      </c>
      <c r="F9744" s="236">
        <v>68251.350000000006</v>
      </c>
      <c r="G9744" s="236">
        <v>26882.92</v>
      </c>
      <c r="H9744" s="237">
        <v>656564.99</v>
      </c>
      <c r="I9744" s="237">
        <v>218031</v>
      </c>
      <c r="J9744" s="237">
        <v>312392.84000000003</v>
      </c>
      <c r="K9744" s="237">
        <v>126141.15</v>
      </c>
      <c r="L9744" s="43">
        <v>5.7546590375533873</v>
      </c>
      <c r="M9744" s="43">
        <v>11.500435161009573</v>
      </c>
      <c r="N9744" s="43">
        <v>4.5770939329405209</v>
      </c>
      <c r="O9744" s="43">
        <v>4.6922413934200602</v>
      </c>
      <c r="P9744" s="238"/>
      <c r="Q9744" s="238"/>
      <c r="R9744" s="238">
        <v>4</v>
      </c>
    </row>
    <row r="9745" spans="1:18" ht="24">
      <c r="A9745" s="234">
        <v>22</v>
      </c>
      <c r="B9745" s="231" t="s">
        <v>17927</v>
      </c>
      <c r="C9745" s="235" t="s">
        <v>17928</v>
      </c>
      <c r="D9745" s="236">
        <v>103611.74</v>
      </c>
      <c r="E9745" s="236">
        <v>18390.599999999999</v>
      </c>
      <c r="F9745" s="236">
        <v>58349.58</v>
      </c>
      <c r="G9745" s="236">
        <v>26871.56</v>
      </c>
      <c r="H9745" s="237">
        <v>606999.65</v>
      </c>
      <c r="I9745" s="237">
        <v>211491.9</v>
      </c>
      <c r="J9745" s="237">
        <v>269497.24</v>
      </c>
      <c r="K9745" s="237">
        <v>126010.51</v>
      </c>
      <c r="L9745" s="43">
        <v>5.8584061034010242</v>
      </c>
      <c r="M9745" s="43">
        <v>11.5</v>
      </c>
      <c r="N9745" s="43">
        <v>4.6186663211628938</v>
      </c>
      <c r="O9745" s="43">
        <v>4.6893634013060641</v>
      </c>
      <c r="P9745" s="238"/>
      <c r="Q9745" s="238"/>
      <c r="R9745" s="238">
        <v>4</v>
      </c>
    </row>
    <row r="9746" spans="1:18" ht="24">
      <c r="A9746" s="234">
        <v>23</v>
      </c>
      <c r="B9746" s="231" t="s">
        <v>17929</v>
      </c>
      <c r="C9746" s="235" t="s">
        <v>17930</v>
      </c>
      <c r="D9746" s="236">
        <v>124235.99</v>
      </c>
      <c r="E9746" s="236">
        <v>22717.8</v>
      </c>
      <c r="F9746" s="236">
        <v>74560.08</v>
      </c>
      <c r="G9746" s="236">
        <v>26958.11</v>
      </c>
      <c r="H9746" s="237">
        <v>731588.27</v>
      </c>
      <c r="I9746" s="237">
        <v>261254.7</v>
      </c>
      <c r="J9746" s="237">
        <v>343327.74</v>
      </c>
      <c r="K9746" s="237">
        <v>127005.83</v>
      </c>
      <c r="L9746" s="43">
        <v>5.8886983554443439</v>
      </c>
      <c r="M9746" s="43">
        <v>11.5</v>
      </c>
      <c r="N9746" s="43">
        <v>4.6047126022396974</v>
      </c>
      <c r="O9746" s="43">
        <v>4.7112290142001791</v>
      </c>
      <c r="P9746" s="238"/>
      <c r="Q9746" s="238"/>
      <c r="R9746" s="238">
        <v>4</v>
      </c>
    </row>
    <row r="9747" spans="1:18" ht="24">
      <c r="A9747" s="234">
        <v>24</v>
      </c>
      <c r="B9747" s="231" t="s">
        <v>17931</v>
      </c>
      <c r="C9747" s="235" t="s">
        <v>17932</v>
      </c>
      <c r="D9747" s="236">
        <v>147155.85</v>
      </c>
      <c r="E9747" s="236">
        <v>23256.400000000001</v>
      </c>
      <c r="F9747" s="236">
        <v>96930.57</v>
      </c>
      <c r="G9747" s="236">
        <v>26968.880000000001</v>
      </c>
      <c r="H9747" s="237">
        <v>839802.72</v>
      </c>
      <c r="I9747" s="237">
        <v>267459.20000000001</v>
      </c>
      <c r="J9747" s="237">
        <v>445213.83</v>
      </c>
      <c r="K9747" s="237">
        <v>127129.69</v>
      </c>
      <c r="L9747" s="43">
        <v>5.7068932020031822</v>
      </c>
      <c r="M9747" s="43">
        <v>11.500455788514129</v>
      </c>
      <c r="N9747" s="43">
        <v>4.5931209318174853</v>
      </c>
      <c r="O9747" s="43">
        <v>4.7139402896968656</v>
      </c>
      <c r="P9747" s="238"/>
      <c r="Q9747" s="238"/>
      <c r="R9747" s="238">
        <v>4</v>
      </c>
    </row>
    <row r="9748" spans="1:18" ht="24">
      <c r="A9748" s="234">
        <v>25</v>
      </c>
      <c r="B9748" s="231" t="s">
        <v>17933</v>
      </c>
      <c r="C9748" s="235" t="s">
        <v>17934</v>
      </c>
      <c r="D9748" s="236">
        <v>115309.48</v>
      </c>
      <c r="E9748" s="236">
        <v>16827</v>
      </c>
      <c r="F9748" s="236">
        <v>71642.19</v>
      </c>
      <c r="G9748" s="236">
        <v>26840.29</v>
      </c>
      <c r="H9748" s="237">
        <v>649206.75</v>
      </c>
      <c r="I9748" s="237">
        <v>193517.6</v>
      </c>
      <c r="J9748" s="237">
        <v>330038.25</v>
      </c>
      <c r="K9748" s="237">
        <v>125650.9</v>
      </c>
      <c r="L9748" s="43">
        <v>5.6301246870595554</v>
      </c>
      <c r="M9748" s="43">
        <v>11.50042194092827</v>
      </c>
      <c r="N9748" s="43">
        <v>4.6067582523649824</v>
      </c>
      <c r="O9748" s="43">
        <v>4.6814285538643583</v>
      </c>
      <c r="P9748" s="238"/>
      <c r="Q9748" s="238"/>
      <c r="R9748" s="238">
        <v>4</v>
      </c>
    </row>
    <row r="9749" spans="1:18" ht="36">
      <c r="A9749" s="234">
        <v>26</v>
      </c>
      <c r="B9749" s="231" t="s">
        <v>17935</v>
      </c>
      <c r="C9749" s="235" t="s">
        <v>17936</v>
      </c>
      <c r="D9749" s="236">
        <v>86279.32</v>
      </c>
      <c r="E9749" s="236">
        <v>14430</v>
      </c>
      <c r="F9749" s="236">
        <v>45056.97</v>
      </c>
      <c r="G9749" s="236">
        <v>26792.35</v>
      </c>
      <c r="H9749" s="237">
        <v>500000.82</v>
      </c>
      <c r="I9749" s="237">
        <v>165945</v>
      </c>
      <c r="J9749" s="237">
        <v>208956.23</v>
      </c>
      <c r="K9749" s="237">
        <v>125099.59</v>
      </c>
      <c r="L9749" s="43">
        <v>5.7951409445507913</v>
      </c>
      <c r="M9749" s="43">
        <v>11.5</v>
      </c>
      <c r="N9749" s="43">
        <v>4.6376005754492589</v>
      </c>
      <c r="O9749" s="43">
        <v>4.6692279699242505</v>
      </c>
      <c r="P9749" s="238"/>
      <c r="Q9749" s="238"/>
      <c r="R9749" s="238">
        <v>4</v>
      </c>
    </row>
    <row r="9750" spans="1:18" ht="12.75" customHeight="1">
      <c r="A9750" s="628" t="s">
        <v>17937</v>
      </c>
      <c r="B9750" s="629"/>
      <c r="C9750" s="629"/>
      <c r="D9750" s="629"/>
      <c r="E9750" s="629"/>
      <c r="F9750" s="629"/>
      <c r="G9750" s="629"/>
      <c r="H9750" s="629"/>
      <c r="I9750" s="629"/>
      <c r="J9750" s="629"/>
      <c r="K9750" s="629"/>
      <c r="L9750" s="629"/>
      <c r="M9750" s="629"/>
      <c r="N9750" s="629"/>
      <c r="O9750" s="629"/>
      <c r="P9750" s="629"/>
      <c r="Q9750" s="629"/>
      <c r="R9750" s="629"/>
    </row>
    <row r="9751" spans="1:18" ht="36">
      <c r="A9751" s="234">
        <v>27</v>
      </c>
      <c r="B9751" s="231" t="s">
        <v>17938</v>
      </c>
      <c r="C9751" s="235" t="s">
        <v>17939</v>
      </c>
      <c r="D9751" s="236">
        <v>95084.04</v>
      </c>
      <c r="E9751" s="236">
        <v>16571.400000000001</v>
      </c>
      <c r="F9751" s="236">
        <v>51682.53</v>
      </c>
      <c r="G9751" s="236">
        <v>26830.11</v>
      </c>
      <c r="H9751" s="237">
        <v>555366.82999999996</v>
      </c>
      <c r="I9751" s="237">
        <v>190578.2</v>
      </c>
      <c r="J9751" s="237">
        <v>239257.87</v>
      </c>
      <c r="K9751" s="237">
        <v>125530.76</v>
      </c>
      <c r="L9751" s="43">
        <v>5.8407996757394827</v>
      </c>
      <c r="M9751" s="43">
        <v>11.500428449014567</v>
      </c>
      <c r="N9751" s="43">
        <v>4.6293761160686211</v>
      </c>
      <c r="O9751" s="43">
        <v>4.6787269973921086</v>
      </c>
      <c r="P9751" s="238"/>
      <c r="Q9751" s="238"/>
      <c r="R9751" s="238">
        <v>5</v>
      </c>
    </row>
    <row r="9752" spans="1:18" ht="24">
      <c r="A9752" s="234">
        <v>28</v>
      </c>
      <c r="B9752" s="231" t="s">
        <v>17940</v>
      </c>
      <c r="C9752" s="235" t="s">
        <v>17941</v>
      </c>
      <c r="D9752" s="236">
        <v>94476.35</v>
      </c>
      <c r="E9752" s="236">
        <v>28367.200000000001</v>
      </c>
      <c r="F9752" s="236">
        <v>39043.129999999997</v>
      </c>
      <c r="G9752" s="236">
        <v>27066.02</v>
      </c>
      <c r="H9752" s="237">
        <v>650114.94999999995</v>
      </c>
      <c r="I9752" s="237">
        <v>326222.8</v>
      </c>
      <c r="J9752" s="237">
        <v>195648.43</v>
      </c>
      <c r="K9752" s="237">
        <v>128243.72</v>
      </c>
      <c r="L9752" s="43">
        <v>6.8812454122116264</v>
      </c>
      <c r="M9752" s="43">
        <v>11.5</v>
      </c>
      <c r="N9752" s="43">
        <v>5.011084664574792</v>
      </c>
      <c r="O9752" s="43">
        <v>4.7381816757691011</v>
      </c>
      <c r="P9752" s="238"/>
      <c r="Q9752" s="238"/>
      <c r="R9752" s="238">
        <v>5</v>
      </c>
    </row>
    <row r="9753" spans="1:18" ht="12.75" customHeight="1">
      <c r="A9753" s="628" t="s">
        <v>17942</v>
      </c>
      <c r="B9753" s="629"/>
      <c r="C9753" s="629"/>
      <c r="D9753" s="629"/>
      <c r="E9753" s="629"/>
      <c r="F9753" s="629"/>
      <c r="G9753" s="629"/>
      <c r="H9753" s="629"/>
      <c r="I9753" s="629"/>
      <c r="J9753" s="629"/>
      <c r="K9753" s="629"/>
      <c r="L9753" s="629"/>
      <c r="M9753" s="629"/>
      <c r="N9753" s="629"/>
      <c r="O9753" s="629"/>
      <c r="P9753" s="629"/>
      <c r="Q9753" s="629"/>
      <c r="R9753" s="629"/>
    </row>
    <row r="9754" spans="1:18" ht="12.75" customHeight="1">
      <c r="A9754" s="628" t="s">
        <v>17943</v>
      </c>
      <c r="B9754" s="629"/>
      <c r="C9754" s="629"/>
      <c r="D9754" s="629"/>
      <c r="E9754" s="629"/>
      <c r="F9754" s="629"/>
      <c r="G9754" s="629"/>
      <c r="H9754" s="629"/>
      <c r="I9754" s="629"/>
      <c r="J9754" s="629"/>
      <c r="K9754" s="629"/>
      <c r="L9754" s="629"/>
      <c r="M9754" s="629"/>
      <c r="N9754" s="629"/>
      <c r="O9754" s="629"/>
      <c r="P9754" s="629"/>
      <c r="Q9754" s="629"/>
      <c r="R9754" s="629"/>
    </row>
    <row r="9755" spans="1:18" ht="24">
      <c r="A9755" s="234">
        <v>29</v>
      </c>
      <c r="B9755" s="231" t="s">
        <v>17944</v>
      </c>
      <c r="C9755" s="235" t="s">
        <v>17945</v>
      </c>
      <c r="D9755" s="236">
        <v>99967.66</v>
      </c>
      <c r="E9755" s="236">
        <v>15392.8</v>
      </c>
      <c r="F9755" s="236">
        <v>51682.53</v>
      </c>
      <c r="G9755" s="236">
        <v>32892.33</v>
      </c>
      <c r="H9755" s="237">
        <v>571064.86</v>
      </c>
      <c r="I9755" s="237">
        <v>177017.2</v>
      </c>
      <c r="J9755" s="237">
        <v>239257.87</v>
      </c>
      <c r="K9755" s="237">
        <v>154789.79</v>
      </c>
      <c r="L9755" s="43">
        <v>5.7124960212132603</v>
      </c>
      <c r="M9755" s="43">
        <v>11.500000000000002</v>
      </c>
      <c r="N9755" s="43">
        <v>4.6293761160686211</v>
      </c>
      <c r="O9755" s="43">
        <v>4.7059539412379721</v>
      </c>
      <c r="P9755" s="238"/>
      <c r="Q9755" s="238"/>
      <c r="R9755" s="238">
        <v>1</v>
      </c>
    </row>
    <row r="9756" spans="1:18" ht="24">
      <c r="A9756" s="234">
        <v>30</v>
      </c>
      <c r="B9756" s="231" t="s">
        <v>17946</v>
      </c>
      <c r="C9756" s="235" t="s">
        <v>17947</v>
      </c>
      <c r="D9756" s="236">
        <v>83175.05</v>
      </c>
      <c r="E9756" s="236">
        <v>12179.4</v>
      </c>
      <c r="F9756" s="236">
        <v>38167.589999999997</v>
      </c>
      <c r="G9756" s="236">
        <v>32828.06</v>
      </c>
      <c r="H9756" s="237">
        <v>470625.97</v>
      </c>
      <c r="I9756" s="237">
        <v>140068.4</v>
      </c>
      <c r="J9756" s="237">
        <v>176506.88</v>
      </c>
      <c r="K9756" s="237">
        <v>154050.69</v>
      </c>
      <c r="L9756" s="43">
        <v>5.6582589370249847</v>
      </c>
      <c r="M9756" s="43">
        <v>11.500435161009573</v>
      </c>
      <c r="N9756" s="43">
        <v>4.6245225333850009</v>
      </c>
      <c r="O9756" s="43">
        <v>4.6926528707453325</v>
      </c>
      <c r="P9756" s="238"/>
      <c r="Q9756" s="238"/>
      <c r="R9756" s="238">
        <v>1</v>
      </c>
    </row>
    <row r="9757" spans="1:18" ht="12.75" customHeight="1">
      <c r="A9757" s="628" t="s">
        <v>17948</v>
      </c>
      <c r="B9757" s="629"/>
      <c r="C9757" s="629"/>
      <c r="D9757" s="629"/>
      <c r="E9757" s="629"/>
      <c r="F9757" s="629"/>
      <c r="G9757" s="629"/>
      <c r="H9757" s="629"/>
      <c r="I9757" s="629"/>
      <c r="J9757" s="629"/>
      <c r="K9757" s="629"/>
      <c r="L9757" s="629"/>
      <c r="M9757" s="629"/>
      <c r="N9757" s="629"/>
      <c r="O9757" s="629"/>
      <c r="P9757" s="629"/>
      <c r="Q9757" s="629"/>
      <c r="R9757" s="629"/>
    </row>
    <row r="9758" spans="1:18" ht="12.75" customHeight="1">
      <c r="A9758" s="628" t="s">
        <v>17949</v>
      </c>
      <c r="B9758" s="629"/>
      <c r="C9758" s="629"/>
      <c r="D9758" s="629"/>
      <c r="E9758" s="629"/>
      <c r="F9758" s="629"/>
      <c r="G9758" s="629"/>
      <c r="H9758" s="629"/>
      <c r="I9758" s="629"/>
      <c r="J9758" s="629"/>
      <c r="K9758" s="629"/>
      <c r="L9758" s="629"/>
      <c r="M9758" s="629"/>
      <c r="N9758" s="629"/>
      <c r="O9758" s="629"/>
      <c r="P9758" s="629"/>
      <c r="Q9758" s="629"/>
      <c r="R9758" s="629"/>
    </row>
    <row r="9759" spans="1:18" ht="24">
      <c r="A9759" s="234">
        <v>31</v>
      </c>
      <c r="B9759" s="231" t="s">
        <v>17950</v>
      </c>
      <c r="C9759" s="235" t="s">
        <v>17951</v>
      </c>
      <c r="D9759" s="236">
        <v>83130.429999999993</v>
      </c>
      <c r="E9759" s="236">
        <v>13983</v>
      </c>
      <c r="F9759" s="236">
        <v>42280.44</v>
      </c>
      <c r="G9759" s="236">
        <v>26866.99</v>
      </c>
      <c r="H9759" s="237">
        <v>482597.12</v>
      </c>
      <c r="I9759" s="237">
        <v>160810.4</v>
      </c>
      <c r="J9759" s="237">
        <v>196436.18</v>
      </c>
      <c r="K9759" s="237">
        <v>125350.54</v>
      </c>
      <c r="L9759" s="43">
        <v>5.8053004176689571</v>
      </c>
      <c r="M9759" s="43">
        <v>11.50042194092827</v>
      </c>
      <c r="N9759" s="43">
        <v>4.6460297007315905</v>
      </c>
      <c r="O9759" s="43">
        <v>4.6655967043572799</v>
      </c>
      <c r="P9759" s="238"/>
      <c r="Q9759" s="238"/>
      <c r="R9759" s="238">
        <v>1</v>
      </c>
    </row>
    <row r="9760" spans="1:18" ht="24">
      <c r="A9760" s="234">
        <v>32</v>
      </c>
      <c r="B9760" s="231" t="s">
        <v>17952</v>
      </c>
      <c r="C9760" s="235" t="s">
        <v>17953</v>
      </c>
      <c r="D9760" s="236">
        <v>82827.05</v>
      </c>
      <c r="E9760" s="236">
        <v>16827</v>
      </c>
      <c r="F9760" s="236">
        <v>39076.18</v>
      </c>
      <c r="G9760" s="236">
        <v>26923.87</v>
      </c>
      <c r="H9760" s="237">
        <v>504790.48</v>
      </c>
      <c r="I9760" s="237">
        <v>193517.6</v>
      </c>
      <c r="J9760" s="237">
        <v>185268.22</v>
      </c>
      <c r="K9760" s="237">
        <v>126004.66</v>
      </c>
      <c r="L9760" s="43">
        <v>6.0945123603943392</v>
      </c>
      <c r="M9760" s="43">
        <v>11.50042194092827</v>
      </c>
      <c r="N9760" s="43">
        <v>4.7412060237208449</v>
      </c>
      <c r="O9760" s="43">
        <v>4.680035225248079</v>
      </c>
      <c r="P9760" s="238"/>
      <c r="Q9760" s="238"/>
      <c r="R9760" s="238">
        <v>1</v>
      </c>
    </row>
    <row r="9761" spans="1:18" ht="24">
      <c r="A9761" s="234">
        <v>33</v>
      </c>
      <c r="B9761" s="231" t="s">
        <v>17954</v>
      </c>
      <c r="C9761" s="235" t="s">
        <v>17955</v>
      </c>
      <c r="D9761" s="236">
        <v>86379.62</v>
      </c>
      <c r="E9761" s="236">
        <v>18315</v>
      </c>
      <c r="F9761" s="236">
        <v>41110.99</v>
      </c>
      <c r="G9761" s="236">
        <v>26953.63</v>
      </c>
      <c r="H9761" s="237">
        <v>531717.77</v>
      </c>
      <c r="I9761" s="237">
        <v>210622.5</v>
      </c>
      <c r="J9761" s="237">
        <v>194748.37</v>
      </c>
      <c r="K9761" s="237">
        <v>126346.9</v>
      </c>
      <c r="L9761" s="43">
        <v>6.1555928354396565</v>
      </c>
      <c r="M9761" s="43">
        <v>11.5</v>
      </c>
      <c r="N9761" s="43">
        <v>4.7371364688614896</v>
      </c>
      <c r="O9761" s="43">
        <v>4.6875652741393274</v>
      </c>
      <c r="P9761" s="238"/>
      <c r="Q9761" s="238"/>
      <c r="R9761" s="238">
        <v>1</v>
      </c>
    </row>
    <row r="9762" spans="1:18" ht="24">
      <c r="A9762" s="234">
        <v>34</v>
      </c>
      <c r="B9762" s="231" t="s">
        <v>17956</v>
      </c>
      <c r="C9762" s="235" t="s">
        <v>17957</v>
      </c>
      <c r="D9762" s="236">
        <v>94295.679999999993</v>
      </c>
      <c r="E9762" s="236">
        <v>16983</v>
      </c>
      <c r="F9762" s="236">
        <v>50385.69</v>
      </c>
      <c r="G9762" s="236">
        <v>26926.99</v>
      </c>
      <c r="H9762" s="237">
        <v>554696.47</v>
      </c>
      <c r="I9762" s="237">
        <v>195304.5</v>
      </c>
      <c r="J9762" s="237">
        <v>233351.43</v>
      </c>
      <c r="K9762" s="237">
        <v>126040.54</v>
      </c>
      <c r="L9762" s="43">
        <v>5.8825226139734079</v>
      </c>
      <c r="M9762" s="43">
        <v>11.5</v>
      </c>
      <c r="N9762" s="43">
        <v>4.6313036499053597</v>
      </c>
      <c r="O9762" s="43">
        <v>4.6808254468843336</v>
      </c>
      <c r="P9762" s="238"/>
      <c r="Q9762" s="238"/>
      <c r="R9762" s="238">
        <v>1</v>
      </c>
    </row>
    <row r="9763" spans="1:18" ht="24">
      <c r="A9763" s="234">
        <v>35</v>
      </c>
      <c r="B9763" s="231" t="s">
        <v>17958</v>
      </c>
      <c r="C9763" s="235" t="s">
        <v>17959</v>
      </c>
      <c r="D9763" s="236">
        <v>80813.08</v>
      </c>
      <c r="E9763" s="236">
        <v>15960.8</v>
      </c>
      <c r="F9763" s="236">
        <v>37945.730000000003</v>
      </c>
      <c r="G9763" s="236">
        <v>26906.55</v>
      </c>
      <c r="H9763" s="237">
        <v>489356.15</v>
      </c>
      <c r="I9763" s="237">
        <v>183549.2</v>
      </c>
      <c r="J9763" s="237">
        <v>180001.47</v>
      </c>
      <c r="K9763" s="237">
        <v>125805.48</v>
      </c>
      <c r="L9763" s="43">
        <v>6.0554077384502607</v>
      </c>
      <c r="M9763" s="43">
        <v>11.500000000000002</v>
      </c>
      <c r="N9763" s="43">
        <v>4.7436554784952083</v>
      </c>
      <c r="O9763" s="43">
        <v>4.6756451496011193</v>
      </c>
      <c r="P9763" s="238"/>
      <c r="Q9763" s="238"/>
      <c r="R9763" s="238">
        <v>1</v>
      </c>
    </row>
    <row r="9764" spans="1:18" ht="24">
      <c r="A9764" s="234">
        <v>36</v>
      </c>
      <c r="B9764" s="231" t="s">
        <v>17960</v>
      </c>
      <c r="C9764" s="235" t="s">
        <v>17961</v>
      </c>
      <c r="D9764" s="236">
        <v>132662.04</v>
      </c>
      <c r="E9764" s="236">
        <v>24083.200000000001</v>
      </c>
      <c r="F9764" s="236">
        <v>81509.850000000006</v>
      </c>
      <c r="G9764" s="236">
        <v>27068.99</v>
      </c>
      <c r="H9764" s="237">
        <v>779736.33</v>
      </c>
      <c r="I9764" s="237">
        <v>276956.79999999999</v>
      </c>
      <c r="J9764" s="237">
        <v>375105.99</v>
      </c>
      <c r="K9764" s="237">
        <v>127673.54</v>
      </c>
      <c r="L9764" s="43">
        <v>5.8776145007268088</v>
      </c>
      <c r="M9764" s="43">
        <v>11.5</v>
      </c>
      <c r="N9764" s="43">
        <v>4.6019712954937342</v>
      </c>
      <c r="O9764" s="43">
        <v>4.7165978486822002</v>
      </c>
      <c r="P9764" s="238"/>
      <c r="Q9764" s="238"/>
      <c r="R9764" s="238">
        <v>1</v>
      </c>
    </row>
    <row r="9765" spans="1:18" ht="24">
      <c r="A9765" s="234">
        <v>37</v>
      </c>
      <c r="B9765" s="231" t="s">
        <v>17962</v>
      </c>
      <c r="C9765" s="235" t="s">
        <v>17963</v>
      </c>
      <c r="D9765" s="236">
        <v>93227.43</v>
      </c>
      <c r="E9765" s="236">
        <v>16571.400000000001</v>
      </c>
      <c r="F9765" s="236">
        <v>49737.27</v>
      </c>
      <c r="G9765" s="236">
        <v>26918.76</v>
      </c>
      <c r="H9765" s="237">
        <v>546922.31000000006</v>
      </c>
      <c r="I9765" s="237">
        <v>190578.2</v>
      </c>
      <c r="J9765" s="237">
        <v>230398.21</v>
      </c>
      <c r="K9765" s="237">
        <v>125945.9</v>
      </c>
      <c r="L9765" s="43">
        <v>5.8665385284137948</v>
      </c>
      <c r="M9765" s="43">
        <v>11.500428449014567</v>
      </c>
      <c r="N9765" s="43">
        <v>4.6323051104332826</v>
      </c>
      <c r="O9765" s="43">
        <v>4.6787407740921205</v>
      </c>
      <c r="P9765" s="238"/>
      <c r="Q9765" s="238"/>
      <c r="R9765" s="238">
        <v>1</v>
      </c>
    </row>
    <row r="9766" spans="1:18" ht="24">
      <c r="A9766" s="234">
        <v>38</v>
      </c>
      <c r="B9766" s="231" t="s">
        <v>17964</v>
      </c>
      <c r="C9766" s="235" t="s">
        <v>17965</v>
      </c>
      <c r="D9766" s="236">
        <v>105388.57</v>
      </c>
      <c r="E9766" s="236">
        <v>18958.5</v>
      </c>
      <c r="F9766" s="236">
        <v>59463.57</v>
      </c>
      <c r="G9766" s="236">
        <v>26966.5</v>
      </c>
      <c r="H9766" s="237">
        <v>619222.42000000004</v>
      </c>
      <c r="I9766" s="237">
        <v>218031</v>
      </c>
      <c r="J9766" s="237">
        <v>274696.51</v>
      </c>
      <c r="K9766" s="237">
        <v>126494.91</v>
      </c>
      <c r="L9766" s="43">
        <v>5.8756126968987248</v>
      </c>
      <c r="M9766" s="43">
        <v>11.500435161009573</v>
      </c>
      <c r="N9766" s="43">
        <v>4.6195764902779972</v>
      </c>
      <c r="O9766" s="43">
        <v>4.6908167541208536</v>
      </c>
      <c r="P9766" s="238"/>
      <c r="Q9766" s="238"/>
      <c r="R9766" s="238">
        <v>1</v>
      </c>
    </row>
    <row r="9767" spans="1:18" ht="24">
      <c r="A9767" s="234">
        <v>39</v>
      </c>
      <c r="B9767" s="231" t="s">
        <v>17966</v>
      </c>
      <c r="C9767" s="235" t="s">
        <v>17967</v>
      </c>
      <c r="D9767" s="236">
        <v>90045.22</v>
      </c>
      <c r="E9767" s="236">
        <v>14612</v>
      </c>
      <c r="F9767" s="236">
        <v>48553.65</v>
      </c>
      <c r="G9767" s="236">
        <v>26879.57</v>
      </c>
      <c r="H9767" s="237">
        <v>516953.1</v>
      </c>
      <c r="I9767" s="237">
        <v>168038</v>
      </c>
      <c r="J9767" s="237">
        <v>223419.89</v>
      </c>
      <c r="K9767" s="237">
        <v>125495.21</v>
      </c>
      <c r="L9767" s="43">
        <v>5.7410387802928344</v>
      </c>
      <c r="M9767" s="43">
        <v>11.5</v>
      </c>
      <c r="N9767" s="43">
        <v>4.6015055510759746</v>
      </c>
      <c r="O9767" s="43">
        <v>4.6687952969485753</v>
      </c>
      <c r="P9767" s="238"/>
      <c r="Q9767" s="238"/>
      <c r="R9767" s="238">
        <v>1</v>
      </c>
    </row>
    <row r="9768" spans="1:18" ht="24">
      <c r="A9768" s="234">
        <v>40</v>
      </c>
      <c r="B9768" s="231" t="s">
        <v>17968</v>
      </c>
      <c r="C9768" s="235" t="s">
        <v>17969</v>
      </c>
      <c r="D9768" s="236">
        <v>98375.02</v>
      </c>
      <c r="E9768" s="236">
        <v>15405</v>
      </c>
      <c r="F9768" s="236">
        <v>56074.59</v>
      </c>
      <c r="G9768" s="236">
        <v>26895.43</v>
      </c>
      <c r="H9768" s="237">
        <v>560232.98</v>
      </c>
      <c r="I9768" s="237">
        <v>177164</v>
      </c>
      <c r="J9768" s="237">
        <v>257391.38</v>
      </c>
      <c r="K9768" s="237">
        <v>125677.6</v>
      </c>
      <c r="L9768" s="43">
        <v>5.6948703034571171</v>
      </c>
      <c r="M9768" s="43">
        <v>11.50042194092827</v>
      </c>
      <c r="N9768" s="43">
        <v>4.5901607127221089</v>
      </c>
      <c r="O9768" s="43">
        <v>4.6728235986559801</v>
      </c>
      <c r="P9768" s="238"/>
      <c r="Q9768" s="238"/>
      <c r="R9768" s="238">
        <v>1</v>
      </c>
    </row>
    <row r="9769" spans="1:18" ht="12.75" customHeight="1">
      <c r="A9769" s="628" t="s">
        <v>17970</v>
      </c>
      <c r="B9769" s="629"/>
      <c r="C9769" s="629"/>
      <c r="D9769" s="629"/>
      <c r="E9769" s="629"/>
      <c r="F9769" s="629"/>
      <c r="G9769" s="629"/>
      <c r="H9769" s="629"/>
      <c r="I9769" s="629"/>
      <c r="J9769" s="629"/>
      <c r="K9769" s="629"/>
      <c r="L9769" s="629"/>
      <c r="M9769" s="629"/>
      <c r="N9769" s="629"/>
      <c r="O9769" s="629"/>
      <c r="P9769" s="629"/>
      <c r="Q9769" s="629"/>
      <c r="R9769" s="629"/>
    </row>
    <row r="9770" spans="1:18" ht="36">
      <c r="A9770" s="234">
        <v>41</v>
      </c>
      <c r="B9770" s="231" t="s">
        <v>17971</v>
      </c>
      <c r="C9770" s="235" t="s">
        <v>17972</v>
      </c>
      <c r="D9770" s="236">
        <v>114416.17</v>
      </c>
      <c r="E9770" s="236">
        <v>18744</v>
      </c>
      <c r="F9770" s="236">
        <v>66460.649999999994</v>
      </c>
      <c r="G9770" s="236">
        <v>29211.52</v>
      </c>
      <c r="H9770" s="237">
        <v>657102.54</v>
      </c>
      <c r="I9770" s="237">
        <v>215556</v>
      </c>
      <c r="J9770" s="237">
        <v>304304.39</v>
      </c>
      <c r="K9770" s="237">
        <v>137242.15</v>
      </c>
      <c r="L9770" s="43">
        <v>5.7430915577754442</v>
      </c>
      <c r="M9770" s="43">
        <v>11.5</v>
      </c>
      <c r="N9770" s="43">
        <v>4.5787152247232017</v>
      </c>
      <c r="O9770" s="43">
        <v>4.6982200857743788</v>
      </c>
      <c r="P9770" s="238"/>
      <c r="Q9770" s="238"/>
      <c r="R9770" s="238">
        <v>2</v>
      </c>
    </row>
    <row r="9771" spans="1:18" ht="24">
      <c r="A9771" s="234">
        <v>42</v>
      </c>
      <c r="B9771" s="231" t="s">
        <v>17973</v>
      </c>
      <c r="C9771" s="235" t="s">
        <v>17974</v>
      </c>
      <c r="D9771" s="236">
        <v>72698.58</v>
      </c>
      <c r="E9771" s="236">
        <v>13558.2</v>
      </c>
      <c r="F9771" s="236">
        <v>30032.58</v>
      </c>
      <c r="G9771" s="236">
        <v>29107.8</v>
      </c>
      <c r="H9771" s="237">
        <v>435108.79</v>
      </c>
      <c r="I9771" s="237">
        <v>155925.20000000001</v>
      </c>
      <c r="J9771" s="237">
        <v>143134.22</v>
      </c>
      <c r="K9771" s="237">
        <v>136049.37</v>
      </c>
      <c r="L9771" s="43">
        <v>5.9851071368931823</v>
      </c>
      <c r="M9771" s="43">
        <v>11.500435161009573</v>
      </c>
      <c r="N9771" s="43">
        <v>4.765964828862522</v>
      </c>
      <c r="O9771" s="43">
        <v>4.6739832622183748</v>
      </c>
      <c r="P9771" s="238"/>
      <c r="Q9771" s="238"/>
      <c r="R9771" s="238">
        <v>2</v>
      </c>
    </row>
    <row r="9772" spans="1:18" ht="36">
      <c r="A9772" s="234">
        <v>43</v>
      </c>
      <c r="B9772" s="231" t="s">
        <v>17975</v>
      </c>
      <c r="C9772" s="235" t="s">
        <v>17976</v>
      </c>
      <c r="D9772" s="236">
        <v>85001.78</v>
      </c>
      <c r="E9772" s="236">
        <v>17197.2</v>
      </c>
      <c r="F9772" s="236">
        <v>38624</v>
      </c>
      <c r="G9772" s="236">
        <v>29180.58</v>
      </c>
      <c r="H9772" s="237">
        <v>517815.66</v>
      </c>
      <c r="I9772" s="237">
        <v>197767.8</v>
      </c>
      <c r="J9772" s="237">
        <v>183161.52</v>
      </c>
      <c r="K9772" s="237">
        <v>136886.34</v>
      </c>
      <c r="L9772" s="43">
        <v>6.0918213712701075</v>
      </c>
      <c r="M9772" s="43">
        <v>11.499999999999998</v>
      </c>
      <c r="N9772" s="43">
        <v>4.7421685998342999</v>
      </c>
      <c r="O9772" s="43">
        <v>4.6910081979179301</v>
      </c>
      <c r="P9772" s="238"/>
      <c r="Q9772" s="238"/>
      <c r="R9772" s="238">
        <v>2</v>
      </c>
    </row>
    <row r="9773" spans="1:18" ht="24">
      <c r="A9773" s="234">
        <v>44</v>
      </c>
      <c r="B9773" s="231" t="s">
        <v>17977</v>
      </c>
      <c r="C9773" s="235" t="s">
        <v>17978</v>
      </c>
      <c r="D9773" s="236">
        <v>91553.5</v>
      </c>
      <c r="E9773" s="236">
        <v>18744</v>
      </c>
      <c r="F9773" s="236">
        <v>43597.98</v>
      </c>
      <c r="G9773" s="236">
        <v>29211.52</v>
      </c>
      <c r="H9773" s="237">
        <v>559133.37</v>
      </c>
      <c r="I9773" s="237">
        <v>215556</v>
      </c>
      <c r="J9773" s="237">
        <v>206335.22</v>
      </c>
      <c r="K9773" s="237">
        <v>137242.15</v>
      </c>
      <c r="L9773" s="43">
        <v>6.1071763504399064</v>
      </c>
      <c r="M9773" s="43">
        <v>11.5</v>
      </c>
      <c r="N9773" s="43">
        <v>4.7326784406066515</v>
      </c>
      <c r="O9773" s="43">
        <v>4.6982200857743788</v>
      </c>
      <c r="P9773" s="238"/>
      <c r="Q9773" s="238"/>
      <c r="R9773" s="238">
        <v>2</v>
      </c>
    </row>
    <row r="9774" spans="1:18" ht="24">
      <c r="A9774" s="234">
        <v>45</v>
      </c>
      <c r="B9774" s="231" t="s">
        <v>17979</v>
      </c>
      <c r="C9774" s="235" t="s">
        <v>17980</v>
      </c>
      <c r="D9774" s="236">
        <v>98122.36</v>
      </c>
      <c r="E9774" s="236">
        <v>22396.5</v>
      </c>
      <c r="F9774" s="236">
        <v>46441.29</v>
      </c>
      <c r="G9774" s="236">
        <v>29284.57</v>
      </c>
      <c r="H9774" s="237">
        <v>617522.14</v>
      </c>
      <c r="I9774" s="237">
        <v>257569.2</v>
      </c>
      <c r="J9774" s="237">
        <v>221870.71</v>
      </c>
      <c r="K9774" s="237">
        <v>138082.23000000001</v>
      </c>
      <c r="L9774" s="43">
        <v>6.2933885813590296</v>
      </c>
      <c r="M9774" s="43">
        <v>11.50042194092827</v>
      </c>
      <c r="N9774" s="43">
        <v>4.7774450279051246</v>
      </c>
      <c r="O9774" s="43">
        <v>4.715187212924759</v>
      </c>
      <c r="P9774" s="238"/>
      <c r="Q9774" s="238"/>
      <c r="R9774" s="238">
        <v>2</v>
      </c>
    </row>
    <row r="9775" spans="1:18" ht="24">
      <c r="A9775" s="234">
        <v>46</v>
      </c>
      <c r="B9775" s="231" t="s">
        <v>17981</v>
      </c>
      <c r="C9775" s="235" t="s">
        <v>17982</v>
      </c>
      <c r="D9775" s="236">
        <v>96463.25</v>
      </c>
      <c r="E9775" s="236">
        <v>21716.1</v>
      </c>
      <c r="F9775" s="236">
        <v>45476.19</v>
      </c>
      <c r="G9775" s="236">
        <v>29270.959999999999</v>
      </c>
      <c r="H9775" s="237">
        <v>604989.62</v>
      </c>
      <c r="I9775" s="237">
        <v>249744.6</v>
      </c>
      <c r="J9775" s="237">
        <v>217319.31</v>
      </c>
      <c r="K9775" s="237">
        <v>137925.71</v>
      </c>
      <c r="L9775" s="43">
        <v>6.2717109365483745</v>
      </c>
      <c r="M9775" s="43">
        <v>11.500435161009575</v>
      </c>
      <c r="N9775" s="43">
        <v>4.7787492751701492</v>
      </c>
      <c r="O9775" s="43">
        <v>4.7120323351198596</v>
      </c>
      <c r="P9775" s="238"/>
      <c r="Q9775" s="238"/>
      <c r="R9775" s="238">
        <v>2</v>
      </c>
    </row>
    <row r="9776" spans="1:18" ht="60">
      <c r="A9776" s="234">
        <v>47</v>
      </c>
      <c r="B9776" s="231" t="s">
        <v>17983</v>
      </c>
      <c r="C9776" s="235" t="s">
        <v>17984</v>
      </c>
      <c r="D9776" s="236">
        <v>81212.41</v>
      </c>
      <c r="E9776" s="236">
        <v>16983</v>
      </c>
      <c r="F9776" s="236">
        <v>35053.11</v>
      </c>
      <c r="G9776" s="236">
        <v>29176.3</v>
      </c>
      <c r="H9776" s="237">
        <v>500305.81</v>
      </c>
      <c r="I9776" s="237">
        <v>195304.5</v>
      </c>
      <c r="J9776" s="237">
        <v>168164.19</v>
      </c>
      <c r="K9776" s="237">
        <v>136837.12</v>
      </c>
      <c r="L9776" s="43">
        <v>6.1604600823938114</v>
      </c>
      <c r="M9776" s="43">
        <v>11.5</v>
      </c>
      <c r="N9776" s="43">
        <v>4.7974114137090833</v>
      </c>
      <c r="O9776" s="43">
        <v>4.6900093569095462</v>
      </c>
      <c r="P9776" s="238"/>
      <c r="Q9776" s="238"/>
      <c r="R9776" s="238">
        <v>2</v>
      </c>
    </row>
    <row r="9777" spans="1:18" ht="12.75" customHeight="1">
      <c r="A9777" s="628" t="s">
        <v>17985</v>
      </c>
      <c r="B9777" s="629"/>
      <c r="C9777" s="629"/>
      <c r="D9777" s="629"/>
      <c r="E9777" s="629"/>
      <c r="F9777" s="629"/>
      <c r="G9777" s="629"/>
      <c r="H9777" s="629"/>
      <c r="I9777" s="629"/>
      <c r="J9777" s="629"/>
      <c r="K9777" s="629"/>
      <c r="L9777" s="629"/>
      <c r="M9777" s="629"/>
      <c r="N9777" s="629"/>
      <c r="O9777" s="629"/>
      <c r="P9777" s="629"/>
      <c r="Q9777" s="629"/>
      <c r="R9777" s="629"/>
    </row>
    <row r="9778" spans="1:18" ht="12.75" customHeight="1">
      <c r="A9778" s="628" t="s">
        <v>17986</v>
      </c>
      <c r="B9778" s="629"/>
      <c r="C9778" s="629"/>
      <c r="D9778" s="629"/>
      <c r="E9778" s="629"/>
      <c r="F9778" s="629"/>
      <c r="G9778" s="629"/>
      <c r="H9778" s="629"/>
      <c r="I9778" s="629"/>
      <c r="J9778" s="629"/>
      <c r="K9778" s="629"/>
      <c r="L9778" s="629"/>
      <c r="M9778" s="629"/>
      <c r="N9778" s="629"/>
      <c r="O9778" s="629"/>
      <c r="P9778" s="629"/>
      <c r="Q9778" s="629"/>
      <c r="R9778" s="629"/>
    </row>
    <row r="9779" spans="1:18" ht="24">
      <c r="A9779" s="234">
        <v>48</v>
      </c>
      <c r="B9779" s="231" t="s">
        <v>17987</v>
      </c>
      <c r="C9779" s="235" t="s">
        <v>17988</v>
      </c>
      <c r="D9779" s="236">
        <v>84433.91</v>
      </c>
      <c r="E9779" s="236">
        <v>15626</v>
      </c>
      <c r="F9779" s="236">
        <v>35910.92</v>
      </c>
      <c r="G9779" s="236">
        <v>32896.99</v>
      </c>
      <c r="H9779" s="237">
        <v>505063.7</v>
      </c>
      <c r="I9779" s="237">
        <v>179699</v>
      </c>
      <c r="J9779" s="237">
        <v>170521.32</v>
      </c>
      <c r="K9779" s="237">
        <v>154843.38</v>
      </c>
      <c r="L9779" s="43">
        <v>5.9817637250246971</v>
      </c>
      <c r="M9779" s="43">
        <v>11.5</v>
      </c>
      <c r="N9779" s="43">
        <v>4.7484531167678252</v>
      </c>
      <c r="O9779" s="43">
        <v>4.7069163470578923</v>
      </c>
      <c r="P9779" s="238"/>
      <c r="Q9779" s="238"/>
      <c r="R9779" s="238">
        <v>1</v>
      </c>
    </row>
    <row r="9780" spans="1:18" ht="24">
      <c r="A9780" s="234">
        <v>49</v>
      </c>
      <c r="B9780" s="231" t="s">
        <v>17989</v>
      </c>
      <c r="C9780" s="235" t="s">
        <v>17990</v>
      </c>
      <c r="D9780" s="236">
        <v>95791.72</v>
      </c>
      <c r="E9780" s="236">
        <v>22833.599999999999</v>
      </c>
      <c r="F9780" s="236">
        <v>39916.980000000003</v>
      </c>
      <c r="G9780" s="236">
        <v>33041.14</v>
      </c>
      <c r="H9780" s="237">
        <v>613534.32999999996</v>
      </c>
      <c r="I9780" s="237">
        <v>262586.40000000002</v>
      </c>
      <c r="J9780" s="237">
        <v>194446.82</v>
      </c>
      <c r="K9780" s="237">
        <v>156501.10999999999</v>
      </c>
      <c r="L9780" s="43">
        <v>6.4048785218597173</v>
      </c>
      <c r="M9780" s="43">
        <v>11.500000000000002</v>
      </c>
      <c r="N9780" s="43">
        <v>4.8712808433904566</v>
      </c>
      <c r="O9780" s="43">
        <v>4.7365529760777019</v>
      </c>
      <c r="P9780" s="238"/>
      <c r="Q9780" s="238"/>
      <c r="R9780" s="238">
        <v>1</v>
      </c>
    </row>
    <row r="9781" spans="1:18" ht="24">
      <c r="A9781" s="234">
        <v>50</v>
      </c>
      <c r="B9781" s="231" t="s">
        <v>17991</v>
      </c>
      <c r="C9781" s="235" t="s">
        <v>17992</v>
      </c>
      <c r="D9781" s="236">
        <v>139638.23000000001</v>
      </c>
      <c r="E9781" s="236">
        <v>22592.400000000001</v>
      </c>
      <c r="F9781" s="236">
        <v>84009.51</v>
      </c>
      <c r="G9781" s="236">
        <v>33036.32</v>
      </c>
      <c r="H9781" s="237">
        <v>799829.48</v>
      </c>
      <c r="I9781" s="237">
        <v>259812.6</v>
      </c>
      <c r="J9781" s="237">
        <v>383571.20000000001</v>
      </c>
      <c r="K9781" s="237">
        <v>156445.68</v>
      </c>
      <c r="L9781" s="43">
        <v>5.7278689367517757</v>
      </c>
      <c r="M9781" s="43">
        <v>11.5</v>
      </c>
      <c r="N9781" s="43">
        <v>4.5658068949574879</v>
      </c>
      <c r="O9781" s="43">
        <v>4.7355661889701999</v>
      </c>
      <c r="P9781" s="238"/>
      <c r="Q9781" s="238"/>
      <c r="R9781" s="238">
        <v>1</v>
      </c>
    </row>
    <row r="9782" spans="1:18" ht="24">
      <c r="A9782" s="234">
        <v>51</v>
      </c>
      <c r="B9782" s="231" t="s">
        <v>17993</v>
      </c>
      <c r="C9782" s="235" t="s">
        <v>17994</v>
      </c>
      <c r="D9782" s="236">
        <v>80479.490000000005</v>
      </c>
      <c r="E9782" s="236">
        <v>12179.4</v>
      </c>
      <c r="F9782" s="236">
        <v>35472.03</v>
      </c>
      <c r="G9782" s="236">
        <v>32828.06</v>
      </c>
      <c r="H9782" s="237">
        <v>459546.46</v>
      </c>
      <c r="I9782" s="237">
        <v>140068.4</v>
      </c>
      <c r="J9782" s="237">
        <v>165427.37</v>
      </c>
      <c r="K9782" s="237">
        <v>154050.69</v>
      </c>
      <c r="L9782" s="43">
        <v>5.7101065128519082</v>
      </c>
      <c r="M9782" s="43">
        <v>11.500435161009573</v>
      </c>
      <c r="N9782" s="43">
        <v>4.6636003070588288</v>
      </c>
      <c r="O9782" s="43">
        <v>4.6926528707453325</v>
      </c>
      <c r="P9782" s="238"/>
      <c r="Q9782" s="238"/>
      <c r="R9782" s="238">
        <v>1</v>
      </c>
    </row>
    <row r="9783" spans="1:18" ht="24">
      <c r="A9783" s="234">
        <v>52</v>
      </c>
      <c r="B9783" s="231" t="s">
        <v>17995</v>
      </c>
      <c r="C9783" s="235" t="s">
        <v>17996</v>
      </c>
      <c r="D9783" s="236">
        <v>101374.32</v>
      </c>
      <c r="E9783" s="236">
        <v>15626</v>
      </c>
      <c r="F9783" s="236">
        <v>52851.33</v>
      </c>
      <c r="G9783" s="236">
        <v>32896.99</v>
      </c>
      <c r="H9783" s="237">
        <v>577374.55000000005</v>
      </c>
      <c r="I9783" s="237">
        <v>179699</v>
      </c>
      <c r="J9783" s="237">
        <v>242832.17</v>
      </c>
      <c r="K9783" s="237">
        <v>154843.38</v>
      </c>
      <c r="L9783" s="43">
        <v>5.6954714961343269</v>
      </c>
      <c r="M9783" s="43">
        <v>11.5</v>
      </c>
      <c r="N9783" s="43">
        <v>4.5946274199722126</v>
      </c>
      <c r="O9783" s="43">
        <v>4.7069163470578923</v>
      </c>
      <c r="P9783" s="238"/>
      <c r="Q9783" s="238"/>
      <c r="R9783" s="238">
        <v>1</v>
      </c>
    </row>
    <row r="9784" spans="1:18" ht="24">
      <c r="A9784" s="239">
        <v>53</v>
      </c>
      <c r="B9784" s="240" t="s">
        <v>17997</v>
      </c>
      <c r="C9784" s="241" t="s">
        <v>17998</v>
      </c>
      <c r="D9784" s="242">
        <v>101170.53</v>
      </c>
      <c r="E9784" s="242">
        <v>18956.7</v>
      </c>
      <c r="F9784" s="242">
        <v>49250.23</v>
      </c>
      <c r="G9784" s="242">
        <v>32963.599999999999</v>
      </c>
      <c r="H9784" s="243">
        <v>606289.27</v>
      </c>
      <c r="I9784" s="243">
        <v>218010.9</v>
      </c>
      <c r="J9784" s="243">
        <v>232668.97</v>
      </c>
      <c r="K9784" s="243">
        <v>155609.4</v>
      </c>
      <c r="L9784" s="611">
        <v>5.9927458124416271</v>
      </c>
      <c r="M9784" s="611">
        <v>11.50046685340803</v>
      </c>
      <c r="N9784" s="611">
        <v>4.7242209833334785</v>
      </c>
      <c r="O9784" s="611">
        <v>4.7206433763302549</v>
      </c>
      <c r="P9784" s="244"/>
      <c r="Q9784" s="244"/>
      <c r="R9784" s="244">
        <v>1</v>
      </c>
    </row>
    <row r="9785" spans="1:18" ht="12.75" customHeight="1">
      <c r="A9785" s="630" t="s">
        <v>17999</v>
      </c>
      <c r="B9785" s="631"/>
      <c r="C9785" s="631"/>
      <c r="D9785" s="631"/>
      <c r="E9785" s="631"/>
      <c r="F9785" s="631"/>
      <c r="G9785" s="631"/>
      <c r="H9785" s="631"/>
      <c r="I9785" s="631"/>
      <c r="J9785" s="631"/>
      <c r="K9785" s="631"/>
      <c r="L9785" s="631"/>
      <c r="M9785" s="631"/>
      <c r="N9785" s="631"/>
      <c r="O9785" s="631"/>
      <c r="P9785" s="631"/>
      <c r="Q9785" s="631"/>
      <c r="R9785" s="631"/>
    </row>
    <row r="9786" spans="1:18" ht="12.75" customHeight="1">
      <c r="A9786" s="628" t="s">
        <v>18000</v>
      </c>
      <c r="B9786" s="629"/>
      <c r="C9786" s="629"/>
      <c r="D9786" s="629"/>
      <c r="E9786" s="629"/>
      <c r="F9786" s="629"/>
      <c r="G9786" s="629"/>
      <c r="H9786" s="629"/>
      <c r="I9786" s="629"/>
      <c r="J9786" s="629"/>
      <c r="K9786" s="629"/>
      <c r="L9786" s="629"/>
      <c r="M9786" s="629"/>
      <c r="N9786" s="629"/>
      <c r="O9786" s="629"/>
      <c r="P9786" s="629"/>
      <c r="Q9786" s="629"/>
      <c r="R9786" s="629"/>
    </row>
    <row r="9787" spans="1:18" ht="12.75" customHeight="1">
      <c r="A9787" s="628" t="s">
        <v>18001</v>
      </c>
      <c r="B9787" s="629"/>
      <c r="C9787" s="629"/>
      <c r="D9787" s="629"/>
      <c r="E9787" s="629"/>
      <c r="F9787" s="629"/>
      <c r="G9787" s="629"/>
      <c r="H9787" s="629"/>
      <c r="I9787" s="629"/>
      <c r="J9787" s="629"/>
      <c r="K9787" s="629"/>
      <c r="L9787" s="629"/>
      <c r="M9787" s="629"/>
      <c r="N9787" s="629"/>
      <c r="O9787" s="629"/>
      <c r="P9787" s="629"/>
      <c r="Q9787" s="629"/>
      <c r="R9787" s="629"/>
    </row>
    <row r="9788" spans="1:18" ht="24">
      <c r="A9788" s="234">
        <v>54</v>
      </c>
      <c r="B9788" s="231" t="s">
        <v>18002</v>
      </c>
      <c r="C9788" s="235" t="s">
        <v>18003</v>
      </c>
      <c r="D9788" s="236">
        <v>222213.94</v>
      </c>
      <c r="E9788" s="236">
        <v>41019.300000000003</v>
      </c>
      <c r="F9788" s="236">
        <v>153846.81</v>
      </c>
      <c r="G9788" s="236">
        <v>27347.83</v>
      </c>
      <c r="H9788" s="237">
        <v>1302015.1200000001</v>
      </c>
      <c r="I9788" s="237">
        <v>471739.8</v>
      </c>
      <c r="J9788" s="237">
        <v>699020.75</v>
      </c>
      <c r="K9788" s="237">
        <v>131254.57</v>
      </c>
      <c r="L9788" s="43">
        <v>5.8592864156047098</v>
      </c>
      <c r="M9788" s="43">
        <v>11.500435161009573</v>
      </c>
      <c r="N9788" s="43">
        <v>4.5436154964799078</v>
      </c>
      <c r="O9788" s="43">
        <v>4.7994509984887284</v>
      </c>
      <c r="P9788" s="238"/>
      <c r="Q9788" s="238"/>
      <c r="R9788" s="238">
        <v>1</v>
      </c>
    </row>
    <row r="9789" spans="1:18" ht="24">
      <c r="A9789" s="234">
        <v>55</v>
      </c>
      <c r="B9789" s="231" t="s">
        <v>18004</v>
      </c>
      <c r="C9789" s="235" t="s">
        <v>18005</v>
      </c>
      <c r="D9789" s="236">
        <v>142851.5</v>
      </c>
      <c r="E9789" s="236">
        <v>27116.400000000001</v>
      </c>
      <c r="F9789" s="236">
        <v>88665.33</v>
      </c>
      <c r="G9789" s="236">
        <v>27069.77</v>
      </c>
      <c r="H9789" s="237">
        <v>844508.45</v>
      </c>
      <c r="I9789" s="237">
        <v>311850.40000000002</v>
      </c>
      <c r="J9789" s="237">
        <v>404601.17</v>
      </c>
      <c r="K9789" s="237">
        <v>128056.88</v>
      </c>
      <c r="L9789" s="43">
        <v>5.9117926658102995</v>
      </c>
      <c r="M9789" s="43">
        <v>11.500435161009573</v>
      </c>
      <c r="N9789" s="43">
        <v>4.5632398819245354</v>
      </c>
      <c r="O9789" s="43">
        <v>4.7306231268311478</v>
      </c>
      <c r="P9789" s="238"/>
      <c r="Q9789" s="238"/>
      <c r="R9789" s="238">
        <v>1</v>
      </c>
    </row>
    <row r="9790" spans="1:18" ht="24">
      <c r="A9790" s="234">
        <v>56</v>
      </c>
      <c r="B9790" s="231" t="s">
        <v>18006</v>
      </c>
      <c r="C9790" s="235" t="s">
        <v>18007</v>
      </c>
      <c r="D9790" s="236">
        <v>172395.03</v>
      </c>
      <c r="E9790" s="236">
        <v>33535.5</v>
      </c>
      <c r="F9790" s="236">
        <v>111661.38</v>
      </c>
      <c r="G9790" s="236">
        <v>27198.15</v>
      </c>
      <c r="H9790" s="237">
        <v>1027636.37</v>
      </c>
      <c r="I9790" s="237">
        <v>385672.4</v>
      </c>
      <c r="J9790" s="237">
        <v>512430.72</v>
      </c>
      <c r="K9790" s="237">
        <v>129533.25</v>
      </c>
      <c r="L9790" s="43">
        <v>5.9609396512184833</v>
      </c>
      <c r="M9790" s="43">
        <v>11.500421940928272</v>
      </c>
      <c r="N9790" s="43">
        <v>4.5891490862821147</v>
      </c>
      <c r="O9790" s="43">
        <v>4.7625757634250858</v>
      </c>
      <c r="P9790" s="238"/>
      <c r="Q9790" s="238"/>
      <c r="R9790" s="238">
        <v>1</v>
      </c>
    </row>
    <row r="9791" spans="1:18" ht="24">
      <c r="A9791" s="234">
        <v>57</v>
      </c>
      <c r="B9791" s="231" t="s">
        <v>18008</v>
      </c>
      <c r="C9791" s="235" t="s">
        <v>18009</v>
      </c>
      <c r="D9791" s="236">
        <v>86120.49</v>
      </c>
      <c r="E9791" s="236">
        <v>13983</v>
      </c>
      <c r="F9791" s="236">
        <v>45330.39</v>
      </c>
      <c r="G9791" s="236">
        <v>26807.1</v>
      </c>
      <c r="H9791" s="237">
        <v>494707.25</v>
      </c>
      <c r="I9791" s="237">
        <v>160810.4</v>
      </c>
      <c r="J9791" s="237">
        <v>208860.68</v>
      </c>
      <c r="K9791" s="237">
        <v>125036.17</v>
      </c>
      <c r="L9791" s="43">
        <v>5.7443617657075565</v>
      </c>
      <c r="M9791" s="43">
        <v>11.50042194092827</v>
      </c>
      <c r="N9791" s="43">
        <v>4.6075200323668071</v>
      </c>
      <c r="O9791" s="43">
        <v>4.6642930417687856</v>
      </c>
      <c r="P9791" s="238"/>
      <c r="Q9791" s="238"/>
      <c r="R9791" s="238">
        <v>1</v>
      </c>
    </row>
    <row r="9792" spans="1:18" ht="24">
      <c r="A9792" s="234">
        <v>58</v>
      </c>
      <c r="B9792" s="231" t="s">
        <v>18010</v>
      </c>
      <c r="C9792" s="235" t="s">
        <v>18011</v>
      </c>
      <c r="D9792" s="236">
        <v>80198.03</v>
      </c>
      <c r="E9792" s="236">
        <v>12741.2</v>
      </c>
      <c r="F9792" s="236">
        <v>40674.57</v>
      </c>
      <c r="G9792" s="236">
        <v>26782.26</v>
      </c>
      <c r="H9792" s="237">
        <v>459105.02</v>
      </c>
      <c r="I9792" s="237">
        <v>146523.79999999999</v>
      </c>
      <c r="J9792" s="237">
        <v>187830.71</v>
      </c>
      <c r="K9792" s="237">
        <v>124750.51</v>
      </c>
      <c r="L9792" s="43">
        <v>5.7246421140269907</v>
      </c>
      <c r="M9792" s="43">
        <v>11.499999999999998</v>
      </c>
      <c r="N9792" s="43">
        <v>4.6178904902989757</v>
      </c>
      <c r="O9792" s="43">
        <v>4.657953062960333</v>
      </c>
      <c r="P9792" s="238"/>
      <c r="Q9792" s="238"/>
      <c r="R9792" s="238">
        <v>1</v>
      </c>
    </row>
    <row r="9793" spans="1:18" ht="24">
      <c r="A9793" s="234">
        <v>59</v>
      </c>
      <c r="B9793" s="231" t="s">
        <v>18012</v>
      </c>
      <c r="C9793" s="235" t="s">
        <v>18013</v>
      </c>
      <c r="D9793" s="236">
        <v>199032.26</v>
      </c>
      <c r="E9793" s="236">
        <v>36901.4</v>
      </c>
      <c r="F9793" s="236">
        <v>134865.39000000001</v>
      </c>
      <c r="G9793" s="236">
        <v>27265.47</v>
      </c>
      <c r="H9793" s="237">
        <v>1167956.71</v>
      </c>
      <c r="I9793" s="237">
        <v>424366.1</v>
      </c>
      <c r="J9793" s="237">
        <v>613283.18000000005</v>
      </c>
      <c r="K9793" s="237">
        <v>130307.43</v>
      </c>
      <c r="L9793" s="43">
        <v>5.8681779024164218</v>
      </c>
      <c r="M9793" s="43">
        <v>11.499999999999998</v>
      </c>
      <c r="N9793" s="43">
        <v>4.5473726061222974</v>
      </c>
      <c r="O9793" s="43">
        <v>4.7792108480066542</v>
      </c>
      <c r="P9793" s="238"/>
      <c r="Q9793" s="238"/>
      <c r="R9793" s="238">
        <v>1</v>
      </c>
    </row>
    <row r="9794" spans="1:18" ht="24">
      <c r="A9794" s="234">
        <v>60</v>
      </c>
      <c r="B9794" s="231" t="s">
        <v>18014</v>
      </c>
      <c r="C9794" s="235" t="s">
        <v>18015</v>
      </c>
      <c r="D9794" s="236">
        <v>66916.89</v>
      </c>
      <c r="E9794" s="236">
        <v>9902.8799999999992</v>
      </c>
      <c r="F9794" s="236">
        <v>30288.51</v>
      </c>
      <c r="G9794" s="236">
        <v>26725.5</v>
      </c>
      <c r="H9794" s="237">
        <v>378898.59</v>
      </c>
      <c r="I9794" s="237">
        <v>113883.12</v>
      </c>
      <c r="J9794" s="237">
        <v>140917.70000000001</v>
      </c>
      <c r="K9794" s="237">
        <v>124097.77</v>
      </c>
      <c r="L9794" s="43">
        <v>5.6622265320459455</v>
      </c>
      <c r="M9794" s="43">
        <v>11.5</v>
      </c>
      <c r="N9794" s="43">
        <v>4.6525134448673775</v>
      </c>
      <c r="O9794" s="43">
        <v>4.6434218255972759</v>
      </c>
      <c r="P9794" s="238"/>
      <c r="Q9794" s="238"/>
      <c r="R9794" s="238">
        <v>1</v>
      </c>
    </row>
    <row r="9795" spans="1:18" ht="24">
      <c r="A9795" s="234">
        <v>61</v>
      </c>
      <c r="B9795" s="231" t="s">
        <v>18016</v>
      </c>
      <c r="C9795" s="235" t="s">
        <v>18017</v>
      </c>
      <c r="D9795" s="236">
        <v>189170.4</v>
      </c>
      <c r="E9795" s="236">
        <v>34957.5</v>
      </c>
      <c r="F9795" s="236">
        <v>126986.31</v>
      </c>
      <c r="G9795" s="236">
        <v>27226.59</v>
      </c>
      <c r="H9795" s="237">
        <v>1109580.31</v>
      </c>
      <c r="I9795" s="237">
        <v>402026</v>
      </c>
      <c r="J9795" s="237">
        <v>577694</v>
      </c>
      <c r="K9795" s="237">
        <v>129860.31</v>
      </c>
      <c r="L9795" s="43">
        <v>5.8655070243547618</v>
      </c>
      <c r="M9795" s="43">
        <v>11.50042194092827</v>
      </c>
      <c r="N9795" s="43">
        <v>4.5492620424989116</v>
      </c>
      <c r="O9795" s="43">
        <v>4.769613455081962</v>
      </c>
      <c r="P9795" s="238"/>
      <c r="Q9795" s="238"/>
      <c r="R9795" s="238">
        <v>1</v>
      </c>
    </row>
    <row r="9796" spans="1:18" ht="24">
      <c r="A9796" s="234">
        <v>62</v>
      </c>
      <c r="B9796" s="231" t="s">
        <v>18018</v>
      </c>
      <c r="C9796" s="235" t="s">
        <v>18019</v>
      </c>
      <c r="D9796" s="236">
        <v>141471.31</v>
      </c>
      <c r="E9796" s="236">
        <v>24358.799999999999</v>
      </c>
      <c r="F9796" s="236">
        <v>90097.89</v>
      </c>
      <c r="G9796" s="236">
        <v>27014.62</v>
      </c>
      <c r="H9796" s="237">
        <v>818631.38</v>
      </c>
      <c r="I9796" s="237">
        <v>280136.8</v>
      </c>
      <c r="J9796" s="237">
        <v>411071.93</v>
      </c>
      <c r="K9796" s="237">
        <v>127422.65</v>
      </c>
      <c r="L9796" s="43">
        <v>5.7865540369987389</v>
      </c>
      <c r="M9796" s="43">
        <v>11.500435161009573</v>
      </c>
      <c r="N9796" s="43">
        <v>4.5625034060176102</v>
      </c>
      <c r="O9796" s="43">
        <v>4.7168033457438971</v>
      </c>
      <c r="P9796" s="238"/>
      <c r="Q9796" s="238"/>
      <c r="R9796" s="238">
        <v>1</v>
      </c>
    </row>
    <row r="9797" spans="1:18" ht="24">
      <c r="A9797" s="234">
        <v>63</v>
      </c>
      <c r="B9797" s="231" t="s">
        <v>18020</v>
      </c>
      <c r="C9797" s="235" t="s">
        <v>18021</v>
      </c>
      <c r="D9797" s="236">
        <v>94242.87</v>
      </c>
      <c r="E9797" s="236">
        <v>15626</v>
      </c>
      <c r="F9797" s="236">
        <v>51776.91</v>
      </c>
      <c r="G9797" s="236">
        <v>26839.96</v>
      </c>
      <c r="H9797" s="237">
        <v>543092.16</v>
      </c>
      <c r="I9797" s="237">
        <v>179699</v>
      </c>
      <c r="J9797" s="237">
        <v>237979.1</v>
      </c>
      <c r="K9797" s="237">
        <v>125414.06</v>
      </c>
      <c r="L9797" s="43">
        <v>5.7626869809885886</v>
      </c>
      <c r="M9797" s="43">
        <v>11.5</v>
      </c>
      <c r="N9797" s="43">
        <v>4.5962399069392124</v>
      </c>
      <c r="O9797" s="43">
        <v>4.6726619562771328</v>
      </c>
      <c r="P9797" s="238"/>
      <c r="Q9797" s="238"/>
      <c r="R9797" s="238">
        <v>1</v>
      </c>
    </row>
    <row r="9798" spans="1:18" ht="24">
      <c r="A9798" s="234">
        <v>64</v>
      </c>
      <c r="B9798" s="231" t="s">
        <v>18022</v>
      </c>
      <c r="C9798" s="235" t="s">
        <v>18023</v>
      </c>
      <c r="D9798" s="236">
        <v>87399.52</v>
      </c>
      <c r="E9798" s="236">
        <v>14183.6</v>
      </c>
      <c r="F9798" s="236">
        <v>46404.81</v>
      </c>
      <c r="G9798" s="236">
        <v>26811.11</v>
      </c>
      <c r="H9798" s="237">
        <v>501907.44</v>
      </c>
      <c r="I9798" s="237">
        <v>163111.4</v>
      </c>
      <c r="J9798" s="237">
        <v>213713.75</v>
      </c>
      <c r="K9798" s="237">
        <v>125082.29</v>
      </c>
      <c r="L9798" s="43">
        <v>5.7426795936636719</v>
      </c>
      <c r="M9798" s="43">
        <v>11.5</v>
      </c>
      <c r="N9798" s="43">
        <v>4.6054223689311522</v>
      </c>
      <c r="O9798" s="43">
        <v>4.6653156098348783</v>
      </c>
      <c r="P9798" s="238"/>
      <c r="Q9798" s="238"/>
      <c r="R9798" s="238">
        <v>1</v>
      </c>
    </row>
    <row r="9799" spans="1:18" ht="24">
      <c r="A9799" s="234">
        <v>65</v>
      </c>
      <c r="B9799" s="231" t="s">
        <v>18024</v>
      </c>
      <c r="C9799" s="235" t="s">
        <v>18025</v>
      </c>
      <c r="D9799" s="236">
        <v>119104.24</v>
      </c>
      <c r="E9799" s="236">
        <v>20337.3</v>
      </c>
      <c r="F9799" s="236">
        <v>71832.75</v>
      </c>
      <c r="G9799" s="236">
        <v>26934.19</v>
      </c>
      <c r="H9799" s="237">
        <v>688955.25</v>
      </c>
      <c r="I9799" s="237">
        <v>233887.8</v>
      </c>
      <c r="J9799" s="237">
        <v>328569.74</v>
      </c>
      <c r="K9799" s="237">
        <v>126497.71</v>
      </c>
      <c r="L9799" s="43">
        <v>5.7844729121314238</v>
      </c>
      <c r="M9799" s="43">
        <v>11.500435161009573</v>
      </c>
      <c r="N9799" s="43">
        <v>4.5740938499500574</v>
      </c>
      <c r="O9799" s="43">
        <v>4.6965477706959078</v>
      </c>
      <c r="P9799" s="238"/>
      <c r="Q9799" s="238"/>
      <c r="R9799" s="238">
        <v>1</v>
      </c>
    </row>
    <row r="9800" spans="1:18" ht="24">
      <c r="A9800" s="234">
        <v>66</v>
      </c>
      <c r="B9800" s="231" t="s">
        <v>18026</v>
      </c>
      <c r="C9800" s="235" t="s">
        <v>18027</v>
      </c>
      <c r="D9800" s="236">
        <v>91033.11</v>
      </c>
      <c r="E9800" s="236">
        <v>14937</v>
      </c>
      <c r="F9800" s="236">
        <v>49269.93</v>
      </c>
      <c r="G9800" s="236">
        <v>26826.18</v>
      </c>
      <c r="H9800" s="237">
        <v>523692.86</v>
      </c>
      <c r="I9800" s="237">
        <v>171782</v>
      </c>
      <c r="J9800" s="237">
        <v>226655.27</v>
      </c>
      <c r="K9800" s="237">
        <v>125255.59</v>
      </c>
      <c r="L9800" s="43">
        <v>5.7527734689059837</v>
      </c>
      <c r="M9800" s="43">
        <v>11.500435161009573</v>
      </c>
      <c r="N9800" s="43">
        <v>4.6002758680598896</v>
      </c>
      <c r="O9800" s="43">
        <v>4.6691549076312766</v>
      </c>
      <c r="P9800" s="238"/>
      <c r="Q9800" s="238"/>
      <c r="R9800" s="238">
        <v>1</v>
      </c>
    </row>
    <row r="9801" spans="1:18" ht="24">
      <c r="A9801" s="234">
        <v>67</v>
      </c>
      <c r="B9801" s="231" t="s">
        <v>18028</v>
      </c>
      <c r="C9801" s="235" t="s">
        <v>18029</v>
      </c>
      <c r="D9801" s="236">
        <v>73936.92</v>
      </c>
      <c r="E9801" s="236">
        <v>11518.5</v>
      </c>
      <c r="F9801" s="236">
        <v>35660.61</v>
      </c>
      <c r="G9801" s="236">
        <v>26757.81</v>
      </c>
      <c r="H9801" s="237">
        <v>422120.39</v>
      </c>
      <c r="I9801" s="237">
        <v>132468</v>
      </c>
      <c r="J9801" s="237">
        <v>165183.04999999999</v>
      </c>
      <c r="K9801" s="237">
        <v>124469.34</v>
      </c>
      <c r="L9801" s="43">
        <v>5.7091962986827154</v>
      </c>
      <c r="M9801" s="43">
        <v>11.500455788514129</v>
      </c>
      <c r="N9801" s="43">
        <v>4.6320870562786221</v>
      </c>
      <c r="O9801" s="43">
        <v>4.6517013163633347</v>
      </c>
      <c r="P9801" s="238"/>
      <c r="Q9801" s="238"/>
      <c r="R9801" s="238">
        <v>1</v>
      </c>
    </row>
    <row r="9802" spans="1:18" ht="24">
      <c r="A9802" s="234">
        <v>68</v>
      </c>
      <c r="B9802" s="231" t="s">
        <v>18030</v>
      </c>
      <c r="C9802" s="235" t="s">
        <v>18031</v>
      </c>
      <c r="D9802" s="236">
        <v>107756.15</v>
      </c>
      <c r="E9802" s="236">
        <v>16585.2</v>
      </c>
      <c r="F9802" s="236">
        <v>64311.81</v>
      </c>
      <c r="G9802" s="236">
        <v>26859.14</v>
      </c>
      <c r="H9802" s="237">
        <v>610962.68000000005</v>
      </c>
      <c r="I9802" s="237">
        <v>190729.8</v>
      </c>
      <c r="J9802" s="237">
        <v>294598.25</v>
      </c>
      <c r="K9802" s="237">
        <v>125634.63</v>
      </c>
      <c r="L9802" s="43">
        <v>5.6698636690342044</v>
      </c>
      <c r="M9802" s="43">
        <v>11.499999999999998</v>
      </c>
      <c r="N9802" s="43">
        <v>4.5807799531687881</v>
      </c>
      <c r="O9802" s="43">
        <v>4.6775373299368486</v>
      </c>
      <c r="P9802" s="238"/>
      <c r="Q9802" s="238"/>
      <c r="R9802" s="238">
        <v>1</v>
      </c>
    </row>
    <row r="9803" spans="1:18" ht="24">
      <c r="A9803" s="234">
        <v>69</v>
      </c>
      <c r="B9803" s="231" t="s">
        <v>18032</v>
      </c>
      <c r="C9803" s="235" t="s">
        <v>18033</v>
      </c>
      <c r="D9803" s="236">
        <v>122520.79</v>
      </c>
      <c r="E9803" s="236">
        <v>19259.099999999999</v>
      </c>
      <c r="F9803" s="236">
        <v>76349.070000000007</v>
      </c>
      <c r="G9803" s="236">
        <v>26912.62</v>
      </c>
      <c r="H9803" s="237">
        <v>695665.85</v>
      </c>
      <c r="I9803" s="237">
        <v>221489.1</v>
      </c>
      <c r="J9803" s="237">
        <v>347927.1</v>
      </c>
      <c r="K9803" s="237">
        <v>126249.65</v>
      </c>
      <c r="L9803" s="43">
        <v>5.6779412702121821</v>
      </c>
      <c r="M9803" s="43">
        <v>11.500490677134447</v>
      </c>
      <c r="N9803" s="43">
        <v>4.5570574729986877</v>
      </c>
      <c r="O9803" s="43">
        <v>4.6910947354809753</v>
      </c>
      <c r="P9803" s="238"/>
      <c r="Q9803" s="238"/>
      <c r="R9803" s="238">
        <v>1</v>
      </c>
    </row>
    <row r="9804" spans="1:18" ht="24">
      <c r="A9804" s="234">
        <v>70</v>
      </c>
      <c r="B9804" s="231" t="s">
        <v>18034</v>
      </c>
      <c r="C9804" s="235" t="s">
        <v>18035</v>
      </c>
      <c r="D9804" s="236">
        <v>78707</v>
      </c>
      <c r="E9804" s="236">
        <v>12484.4</v>
      </c>
      <c r="F9804" s="236">
        <v>39445.47</v>
      </c>
      <c r="G9804" s="236">
        <v>26777.13</v>
      </c>
      <c r="H9804" s="237">
        <v>450789.57</v>
      </c>
      <c r="I9804" s="237">
        <v>143570.6</v>
      </c>
      <c r="J9804" s="237">
        <v>182527.45</v>
      </c>
      <c r="K9804" s="237">
        <v>124691.52</v>
      </c>
      <c r="L9804" s="43">
        <v>5.7274393637160612</v>
      </c>
      <c r="M9804" s="43">
        <v>11.5</v>
      </c>
      <c r="N9804" s="43">
        <v>4.6273361681328682</v>
      </c>
      <c r="O9804" s="43">
        <v>4.656642440769418</v>
      </c>
      <c r="P9804" s="238"/>
      <c r="Q9804" s="238"/>
      <c r="R9804" s="238">
        <v>1</v>
      </c>
    </row>
    <row r="9805" spans="1:18" ht="24">
      <c r="A9805" s="234">
        <v>71</v>
      </c>
      <c r="B9805" s="231" t="s">
        <v>18036</v>
      </c>
      <c r="C9805" s="235" t="s">
        <v>18037</v>
      </c>
      <c r="D9805" s="236">
        <v>131296.60999999999</v>
      </c>
      <c r="E9805" s="236">
        <v>22947.200000000001</v>
      </c>
      <c r="F9805" s="236">
        <v>81363.03</v>
      </c>
      <c r="G9805" s="236">
        <v>26986.38</v>
      </c>
      <c r="H9805" s="237">
        <v>761565.45</v>
      </c>
      <c r="I9805" s="237">
        <v>263892.8</v>
      </c>
      <c r="J9805" s="237">
        <v>370574.76</v>
      </c>
      <c r="K9805" s="237">
        <v>127097.89</v>
      </c>
      <c r="L9805" s="43">
        <v>5.8003435884597483</v>
      </c>
      <c r="M9805" s="43">
        <v>11.5</v>
      </c>
      <c r="N9805" s="43">
        <v>4.5545840660063917</v>
      </c>
      <c r="O9805" s="43">
        <v>4.7097050438035781</v>
      </c>
      <c r="P9805" s="238"/>
      <c r="Q9805" s="238"/>
      <c r="R9805" s="238">
        <v>1</v>
      </c>
    </row>
    <row r="9806" spans="1:18" ht="24">
      <c r="A9806" s="234">
        <v>72</v>
      </c>
      <c r="B9806" s="231" t="s">
        <v>18038</v>
      </c>
      <c r="C9806" s="235" t="s">
        <v>18039</v>
      </c>
      <c r="D9806" s="236">
        <v>102697.93</v>
      </c>
      <c r="E9806" s="236">
        <v>17380.8</v>
      </c>
      <c r="F9806" s="236">
        <v>58442.07</v>
      </c>
      <c r="G9806" s="236">
        <v>26875.06</v>
      </c>
      <c r="H9806" s="237">
        <v>592739.51</v>
      </c>
      <c r="I9806" s="237">
        <v>199879.2</v>
      </c>
      <c r="J9806" s="237">
        <v>267042.59999999998</v>
      </c>
      <c r="K9806" s="237">
        <v>125817.71</v>
      </c>
      <c r="L9806" s="43">
        <v>5.771679234430529</v>
      </c>
      <c r="M9806" s="43">
        <v>11.500000000000002</v>
      </c>
      <c r="N9806" s="43">
        <v>4.5693556029072893</v>
      </c>
      <c r="O9806" s="43">
        <v>4.681578757405565</v>
      </c>
      <c r="P9806" s="238"/>
      <c r="Q9806" s="238"/>
      <c r="R9806" s="238">
        <v>1</v>
      </c>
    </row>
    <row r="9807" spans="1:18" ht="12.75" customHeight="1">
      <c r="A9807" s="628" t="s">
        <v>18040</v>
      </c>
      <c r="B9807" s="629"/>
      <c r="C9807" s="629"/>
      <c r="D9807" s="629"/>
      <c r="E9807" s="629"/>
      <c r="F9807" s="629"/>
      <c r="G9807" s="629"/>
      <c r="H9807" s="629"/>
      <c r="I9807" s="629"/>
      <c r="J9807" s="629"/>
      <c r="K9807" s="629"/>
      <c r="L9807" s="629"/>
      <c r="M9807" s="629"/>
      <c r="N9807" s="629"/>
      <c r="O9807" s="629"/>
      <c r="P9807" s="629"/>
      <c r="Q9807" s="629"/>
      <c r="R9807" s="629"/>
    </row>
    <row r="9808" spans="1:18" ht="24">
      <c r="A9808" s="234">
        <v>73</v>
      </c>
      <c r="B9808" s="231" t="s">
        <v>18041</v>
      </c>
      <c r="C9808" s="235" t="s">
        <v>18003</v>
      </c>
      <c r="D9808" s="236">
        <v>244203.14</v>
      </c>
      <c r="E9808" s="236">
        <v>44462.7</v>
      </c>
      <c r="F9808" s="236">
        <v>165665.43</v>
      </c>
      <c r="G9808" s="236">
        <v>34075.01</v>
      </c>
      <c r="H9808" s="237">
        <v>1426715.24</v>
      </c>
      <c r="I9808" s="237">
        <v>511340.1</v>
      </c>
      <c r="J9808" s="237">
        <v>752404.52</v>
      </c>
      <c r="K9808" s="237">
        <v>162970.62</v>
      </c>
      <c r="L9808" s="43">
        <v>5.8423296277025756</v>
      </c>
      <c r="M9808" s="43">
        <v>11.500428449014567</v>
      </c>
      <c r="N9808" s="43">
        <v>4.5417110860123326</v>
      </c>
      <c r="O9808" s="43">
        <v>4.7827020446949238</v>
      </c>
      <c r="P9808" s="238"/>
      <c r="Q9808" s="238"/>
      <c r="R9808" s="238">
        <v>2</v>
      </c>
    </row>
    <row r="9809" spans="1:18" ht="24">
      <c r="A9809" s="234">
        <v>74</v>
      </c>
      <c r="B9809" s="231" t="s">
        <v>18042</v>
      </c>
      <c r="C9809" s="235" t="s">
        <v>18005</v>
      </c>
      <c r="D9809" s="236">
        <v>157030.76</v>
      </c>
      <c r="E9809" s="236">
        <v>27116.400000000001</v>
      </c>
      <c r="F9809" s="236">
        <v>96186.27</v>
      </c>
      <c r="G9809" s="236">
        <v>33728.089999999997</v>
      </c>
      <c r="H9809" s="237">
        <v>909404.1</v>
      </c>
      <c r="I9809" s="237">
        <v>311850.40000000002</v>
      </c>
      <c r="J9809" s="237">
        <v>438572.66</v>
      </c>
      <c r="K9809" s="237">
        <v>158981.04</v>
      </c>
      <c r="L9809" s="43">
        <v>5.7912481605514738</v>
      </c>
      <c r="M9809" s="43">
        <v>11.500435161009573</v>
      </c>
      <c r="N9809" s="43">
        <v>4.5596181242915437</v>
      </c>
      <c r="O9809" s="43">
        <v>4.7136093386847584</v>
      </c>
      <c r="P9809" s="238"/>
      <c r="Q9809" s="238"/>
      <c r="R9809" s="238">
        <v>2</v>
      </c>
    </row>
    <row r="9810" spans="1:18" ht="24">
      <c r="A9810" s="234">
        <v>75</v>
      </c>
      <c r="B9810" s="231" t="s">
        <v>18043</v>
      </c>
      <c r="C9810" s="235" t="s">
        <v>18007</v>
      </c>
      <c r="D9810" s="236">
        <v>140183.28</v>
      </c>
      <c r="E9810" s="236">
        <v>34957.5</v>
      </c>
      <c r="F9810" s="236">
        <v>71340.87</v>
      </c>
      <c r="G9810" s="236">
        <v>33884.910000000003</v>
      </c>
      <c r="H9810" s="237">
        <v>902107.3</v>
      </c>
      <c r="I9810" s="237">
        <v>402026</v>
      </c>
      <c r="J9810" s="237">
        <v>339296.83</v>
      </c>
      <c r="K9810" s="237">
        <v>160784.47</v>
      </c>
      <c r="L9810" s="43">
        <v>6.4351989766539921</v>
      </c>
      <c r="M9810" s="43">
        <v>11.50042194092827</v>
      </c>
      <c r="N9810" s="43">
        <v>4.7559951259355264</v>
      </c>
      <c r="O9810" s="43">
        <v>4.7450168821460643</v>
      </c>
      <c r="P9810" s="238"/>
      <c r="Q9810" s="238"/>
      <c r="R9810" s="238">
        <v>2</v>
      </c>
    </row>
    <row r="9811" spans="1:18" ht="24">
      <c r="A9811" s="234">
        <v>76</v>
      </c>
      <c r="B9811" s="231" t="s">
        <v>18044</v>
      </c>
      <c r="C9811" s="235" t="s">
        <v>18045</v>
      </c>
      <c r="D9811" s="236">
        <v>107028.26</v>
      </c>
      <c r="E9811" s="236">
        <v>17068.400000000001</v>
      </c>
      <c r="F9811" s="236">
        <v>56432.73</v>
      </c>
      <c r="G9811" s="236">
        <v>33527.129999999997</v>
      </c>
      <c r="H9811" s="237">
        <v>611965.67000000004</v>
      </c>
      <c r="I9811" s="237">
        <v>196286.6</v>
      </c>
      <c r="J9811" s="237">
        <v>259009.07</v>
      </c>
      <c r="K9811" s="237">
        <v>156670</v>
      </c>
      <c r="L9811" s="43">
        <v>5.7177951879251339</v>
      </c>
      <c r="M9811" s="43">
        <v>11.5</v>
      </c>
      <c r="N9811" s="43">
        <v>4.5896959087394853</v>
      </c>
      <c r="O9811" s="43">
        <v>4.6729320404102594</v>
      </c>
      <c r="P9811" s="238"/>
      <c r="Q9811" s="238"/>
      <c r="R9811" s="238">
        <v>2</v>
      </c>
    </row>
    <row r="9812" spans="1:18" ht="24">
      <c r="A9812" s="234">
        <v>77</v>
      </c>
      <c r="B9812" s="231" t="s">
        <v>18046</v>
      </c>
      <c r="C9812" s="235" t="s">
        <v>18047</v>
      </c>
      <c r="D9812" s="236">
        <v>91487.74</v>
      </c>
      <c r="E9812" s="236">
        <v>13770.6</v>
      </c>
      <c r="F9812" s="236">
        <v>44255.97</v>
      </c>
      <c r="G9812" s="236">
        <v>33461.17</v>
      </c>
      <c r="H9812" s="237">
        <v>518286.87</v>
      </c>
      <c r="I9812" s="237">
        <v>158367.79999999999</v>
      </c>
      <c r="J9812" s="237">
        <v>204007.61</v>
      </c>
      <c r="K9812" s="237">
        <v>155911.46</v>
      </c>
      <c r="L9812" s="43">
        <v>5.6650964380582574</v>
      </c>
      <c r="M9812" s="43">
        <v>11.500428449014565</v>
      </c>
      <c r="N9812" s="43">
        <v>4.6097195474418475</v>
      </c>
      <c r="O9812" s="43">
        <v>4.6594742503026643</v>
      </c>
      <c r="P9812" s="238"/>
      <c r="Q9812" s="238"/>
      <c r="R9812" s="238">
        <v>2</v>
      </c>
    </row>
    <row r="9813" spans="1:18" ht="24">
      <c r="A9813" s="234">
        <v>78</v>
      </c>
      <c r="B9813" s="231" t="s">
        <v>18048</v>
      </c>
      <c r="C9813" s="235" t="s">
        <v>18049</v>
      </c>
      <c r="D9813" s="236">
        <v>119342.22</v>
      </c>
      <c r="E9813" s="236">
        <v>18958.5</v>
      </c>
      <c r="F9813" s="236">
        <v>66818.789999999994</v>
      </c>
      <c r="G9813" s="236">
        <v>33564.93</v>
      </c>
      <c r="H9813" s="237">
        <v>681057.78</v>
      </c>
      <c r="I9813" s="237">
        <v>218031</v>
      </c>
      <c r="J9813" s="237">
        <v>305922.08</v>
      </c>
      <c r="K9813" s="237">
        <v>157104.70000000001</v>
      </c>
      <c r="L9813" s="43">
        <v>5.7067631220535366</v>
      </c>
      <c r="M9813" s="43">
        <v>11.500435161009573</v>
      </c>
      <c r="N9813" s="43">
        <v>4.5783840144366588</v>
      </c>
      <c r="O9813" s="43">
        <v>4.6806205167119375</v>
      </c>
      <c r="P9813" s="238"/>
      <c r="Q9813" s="238"/>
      <c r="R9813" s="238">
        <v>2</v>
      </c>
    </row>
    <row r="9814" spans="1:18" ht="24">
      <c r="A9814" s="234">
        <v>79</v>
      </c>
      <c r="B9814" s="231" t="s">
        <v>18050</v>
      </c>
      <c r="C9814" s="235" t="s">
        <v>18051</v>
      </c>
      <c r="D9814" s="236">
        <v>102664.5</v>
      </c>
      <c r="E9814" s="236">
        <v>22396.5</v>
      </c>
      <c r="F9814" s="236">
        <v>46634.31</v>
      </c>
      <c r="G9814" s="236">
        <v>33633.69</v>
      </c>
      <c r="H9814" s="237">
        <v>638245.63</v>
      </c>
      <c r="I9814" s="237">
        <v>257569.2</v>
      </c>
      <c r="J9814" s="237">
        <v>222780.99</v>
      </c>
      <c r="K9814" s="237">
        <v>157895.44</v>
      </c>
      <c r="L9814" s="43">
        <v>6.2168094131856675</v>
      </c>
      <c r="M9814" s="43">
        <v>11.50042194092827</v>
      </c>
      <c r="N9814" s="43">
        <v>4.7771906564072673</v>
      </c>
      <c r="O9814" s="43">
        <v>4.6945619109886545</v>
      </c>
      <c r="P9814" s="238"/>
      <c r="Q9814" s="238"/>
      <c r="R9814" s="238">
        <v>2</v>
      </c>
    </row>
    <row r="9815" spans="1:18" ht="24">
      <c r="A9815" s="234">
        <v>80</v>
      </c>
      <c r="B9815" s="231" t="s">
        <v>18052</v>
      </c>
      <c r="C9815" s="235" t="s">
        <v>18015</v>
      </c>
      <c r="D9815" s="236">
        <v>100026.03</v>
      </c>
      <c r="E9815" s="236">
        <v>14768</v>
      </c>
      <c r="F9815" s="236">
        <v>51776.91</v>
      </c>
      <c r="G9815" s="236">
        <v>33481.120000000003</v>
      </c>
      <c r="H9815" s="237">
        <v>563951.98</v>
      </c>
      <c r="I9815" s="237">
        <v>169832</v>
      </c>
      <c r="J9815" s="237">
        <v>237979.1</v>
      </c>
      <c r="K9815" s="237">
        <v>156140.88</v>
      </c>
      <c r="L9815" s="43">
        <v>5.6380522150084333</v>
      </c>
      <c r="M9815" s="43">
        <v>11.5</v>
      </c>
      <c r="N9815" s="43">
        <v>4.5962399069392124</v>
      </c>
      <c r="O9815" s="43">
        <v>4.6635500843460429</v>
      </c>
      <c r="P9815" s="238"/>
      <c r="Q9815" s="238"/>
      <c r="R9815" s="238">
        <v>2</v>
      </c>
    </row>
    <row r="9816" spans="1:18" ht="24">
      <c r="A9816" s="234">
        <v>81</v>
      </c>
      <c r="B9816" s="231" t="s">
        <v>18053</v>
      </c>
      <c r="C9816" s="235" t="s">
        <v>18054</v>
      </c>
      <c r="D9816" s="236">
        <v>99826.77</v>
      </c>
      <c r="E9816" s="236">
        <v>15626</v>
      </c>
      <c r="F9816" s="236">
        <v>50702.49</v>
      </c>
      <c r="G9816" s="236">
        <v>33498.28</v>
      </c>
      <c r="H9816" s="237">
        <v>569163.25</v>
      </c>
      <c r="I9816" s="237">
        <v>179699</v>
      </c>
      <c r="J9816" s="237">
        <v>233126.03</v>
      </c>
      <c r="K9816" s="237">
        <v>156338.22</v>
      </c>
      <c r="L9816" s="43">
        <v>5.7015092244294792</v>
      </c>
      <c r="M9816" s="43">
        <v>11.5</v>
      </c>
      <c r="N9816" s="43">
        <v>4.5979207332815415</v>
      </c>
      <c r="O9816" s="43">
        <v>4.6670521590959302</v>
      </c>
      <c r="P9816" s="238"/>
      <c r="Q9816" s="238"/>
      <c r="R9816" s="238">
        <v>2</v>
      </c>
    </row>
    <row r="9817" spans="1:18" ht="24">
      <c r="A9817" s="234">
        <v>82</v>
      </c>
      <c r="B9817" s="231" t="s">
        <v>18055</v>
      </c>
      <c r="C9817" s="235" t="s">
        <v>18017</v>
      </c>
      <c r="D9817" s="236">
        <v>162604.25</v>
      </c>
      <c r="E9817" s="236">
        <v>28367.200000000001</v>
      </c>
      <c r="F9817" s="236">
        <v>100483.95</v>
      </c>
      <c r="G9817" s="236">
        <v>33753.1</v>
      </c>
      <c r="H9817" s="237">
        <v>943476.39</v>
      </c>
      <c r="I9817" s="237">
        <v>326222.8</v>
      </c>
      <c r="J9817" s="237">
        <v>457984.94</v>
      </c>
      <c r="K9817" s="237">
        <v>159268.65</v>
      </c>
      <c r="L9817" s="43">
        <v>5.8022861641070271</v>
      </c>
      <c r="M9817" s="43">
        <v>11.5</v>
      </c>
      <c r="N9817" s="43">
        <v>4.5577919657816004</v>
      </c>
      <c r="O9817" s="43">
        <v>4.7186376955005613</v>
      </c>
      <c r="P9817" s="238"/>
      <c r="Q9817" s="238"/>
      <c r="R9817" s="238">
        <v>2</v>
      </c>
    </row>
    <row r="9818" spans="1:18" ht="24">
      <c r="A9818" s="234">
        <v>83</v>
      </c>
      <c r="B9818" s="231" t="s">
        <v>18056</v>
      </c>
      <c r="C9818" s="235" t="s">
        <v>18057</v>
      </c>
      <c r="D9818" s="236">
        <v>148129.63</v>
      </c>
      <c r="E9818" s="236">
        <v>24358.799999999999</v>
      </c>
      <c r="F9818" s="236">
        <v>90097.89</v>
      </c>
      <c r="G9818" s="236">
        <v>33672.94</v>
      </c>
      <c r="H9818" s="237">
        <v>849555.54</v>
      </c>
      <c r="I9818" s="237">
        <v>280136.8</v>
      </c>
      <c r="J9818" s="237">
        <v>411071.93</v>
      </c>
      <c r="K9818" s="237">
        <v>158346.81</v>
      </c>
      <c r="L9818" s="43">
        <v>5.7352167827598031</v>
      </c>
      <c r="M9818" s="43">
        <v>11.500435161009573</v>
      </c>
      <c r="N9818" s="43">
        <v>4.5625034060176102</v>
      </c>
      <c r="O9818" s="43">
        <v>4.702494347092947</v>
      </c>
      <c r="P9818" s="238"/>
      <c r="Q9818" s="238"/>
      <c r="R9818" s="238">
        <v>2</v>
      </c>
    </row>
    <row r="9819" spans="1:18" ht="24">
      <c r="A9819" s="234">
        <v>84</v>
      </c>
      <c r="B9819" s="231" t="s">
        <v>18058</v>
      </c>
      <c r="C9819" s="235" t="s">
        <v>18059</v>
      </c>
      <c r="D9819" s="236">
        <v>113560.93</v>
      </c>
      <c r="E9819" s="236">
        <v>17855.099999999999</v>
      </c>
      <c r="F9819" s="236">
        <v>62162.97</v>
      </c>
      <c r="G9819" s="236">
        <v>33542.86</v>
      </c>
      <c r="H9819" s="237">
        <v>647084.30000000005</v>
      </c>
      <c r="I9819" s="237">
        <v>205341.3</v>
      </c>
      <c r="J9819" s="237">
        <v>284892.11</v>
      </c>
      <c r="K9819" s="237">
        <v>156850.89000000001</v>
      </c>
      <c r="L9819" s="43">
        <v>5.698124346110939</v>
      </c>
      <c r="M9819" s="43">
        <v>11.500428449014567</v>
      </c>
      <c r="N9819" s="43">
        <v>4.582987428045989</v>
      </c>
      <c r="O9819" s="43">
        <v>4.6761334602952767</v>
      </c>
      <c r="P9819" s="238"/>
      <c r="Q9819" s="238"/>
      <c r="R9819" s="238">
        <v>2</v>
      </c>
    </row>
    <row r="9820" spans="1:18" ht="24">
      <c r="A9820" s="234">
        <v>85</v>
      </c>
      <c r="B9820" s="231" t="s">
        <v>18060</v>
      </c>
      <c r="C9820" s="235" t="s">
        <v>18061</v>
      </c>
      <c r="D9820" s="236">
        <v>156495.29</v>
      </c>
      <c r="E9820" s="236">
        <v>25889.200000000001</v>
      </c>
      <c r="F9820" s="236">
        <v>96902.55</v>
      </c>
      <c r="G9820" s="236">
        <v>33703.54</v>
      </c>
      <c r="H9820" s="237">
        <v>898244.35</v>
      </c>
      <c r="I9820" s="237">
        <v>297737.59999999998</v>
      </c>
      <c r="J9820" s="237">
        <v>441808.04</v>
      </c>
      <c r="K9820" s="237">
        <v>158698.71</v>
      </c>
      <c r="L9820" s="43">
        <v>5.7397532539158203</v>
      </c>
      <c r="M9820" s="43">
        <v>11.500455788514127</v>
      </c>
      <c r="N9820" s="43">
        <v>4.5593025157748679</v>
      </c>
      <c r="O9820" s="43">
        <v>4.7086659146190577</v>
      </c>
      <c r="P9820" s="238"/>
      <c r="Q9820" s="238"/>
      <c r="R9820" s="238">
        <v>2</v>
      </c>
    </row>
    <row r="9821" spans="1:18" ht="24">
      <c r="A9821" s="234">
        <v>86</v>
      </c>
      <c r="B9821" s="231" t="s">
        <v>18062</v>
      </c>
      <c r="C9821" s="235" t="s">
        <v>18025</v>
      </c>
      <c r="D9821" s="236">
        <v>140752.07</v>
      </c>
      <c r="E9821" s="236">
        <v>23094.9</v>
      </c>
      <c r="F9821" s="236">
        <v>84009.51</v>
      </c>
      <c r="G9821" s="236">
        <v>33647.660000000003</v>
      </c>
      <c r="H9821" s="237">
        <v>807228.69</v>
      </c>
      <c r="I9821" s="237">
        <v>265601.40000000002</v>
      </c>
      <c r="J9821" s="237">
        <v>383571.20000000001</v>
      </c>
      <c r="K9821" s="237">
        <v>158056.09</v>
      </c>
      <c r="L9821" s="43">
        <v>5.7351106097409428</v>
      </c>
      <c r="M9821" s="43">
        <v>11.500435161009573</v>
      </c>
      <c r="N9821" s="43">
        <v>4.5658068949574879</v>
      </c>
      <c r="O9821" s="43">
        <v>4.6973872774510914</v>
      </c>
      <c r="P9821" s="238"/>
      <c r="Q9821" s="238"/>
      <c r="R9821" s="238">
        <v>2</v>
      </c>
    </row>
    <row r="9822" spans="1:18" ht="24">
      <c r="A9822" s="234">
        <v>87</v>
      </c>
      <c r="B9822" s="231" t="s">
        <v>18063</v>
      </c>
      <c r="C9822" s="235" t="s">
        <v>18064</v>
      </c>
      <c r="D9822" s="236">
        <v>180468.63</v>
      </c>
      <c r="E9822" s="236">
        <v>30081</v>
      </c>
      <c r="F9822" s="236">
        <v>116600.25</v>
      </c>
      <c r="G9822" s="236">
        <v>33787.379999999997</v>
      </c>
      <c r="H9822" s="237">
        <v>1036375.36</v>
      </c>
      <c r="I9822" s="237">
        <v>345931.5</v>
      </c>
      <c r="J9822" s="237">
        <v>530780.99</v>
      </c>
      <c r="K9822" s="237">
        <v>159662.87</v>
      </c>
      <c r="L9822" s="43">
        <v>5.7426897960049894</v>
      </c>
      <c r="M9822" s="43">
        <v>11.5</v>
      </c>
      <c r="N9822" s="43">
        <v>4.5521428127298185</v>
      </c>
      <c r="O9822" s="43">
        <v>4.7255179300673804</v>
      </c>
      <c r="P9822" s="238"/>
      <c r="Q9822" s="238"/>
      <c r="R9822" s="238">
        <v>2</v>
      </c>
    </row>
    <row r="9823" spans="1:18" ht="24">
      <c r="A9823" s="234">
        <v>88</v>
      </c>
      <c r="B9823" s="231" t="s">
        <v>18065</v>
      </c>
      <c r="C9823" s="235" t="s">
        <v>18066</v>
      </c>
      <c r="D9823" s="236">
        <v>151170.43</v>
      </c>
      <c r="E9823" s="236">
        <v>23828.799999999999</v>
      </c>
      <c r="F9823" s="236">
        <v>93679.29</v>
      </c>
      <c r="G9823" s="236">
        <v>33662.339999999997</v>
      </c>
      <c r="H9823" s="237">
        <v>859504.94</v>
      </c>
      <c r="I9823" s="237">
        <v>274031.2</v>
      </c>
      <c r="J9823" s="237">
        <v>427248.83</v>
      </c>
      <c r="K9823" s="237">
        <v>158224.91</v>
      </c>
      <c r="L9823" s="43">
        <v>5.6856684207354569</v>
      </c>
      <c r="M9823" s="43">
        <v>11.5</v>
      </c>
      <c r="N9823" s="43">
        <v>4.5607607615301102</v>
      </c>
      <c r="O9823" s="43">
        <v>4.700353867259377</v>
      </c>
      <c r="P9823" s="238"/>
      <c r="Q9823" s="238"/>
      <c r="R9823" s="238">
        <v>2</v>
      </c>
    </row>
    <row r="9824" spans="1:18" ht="24">
      <c r="A9824" s="234">
        <v>89</v>
      </c>
      <c r="B9824" s="231" t="s">
        <v>18067</v>
      </c>
      <c r="C9824" s="235" t="s">
        <v>18068</v>
      </c>
      <c r="D9824" s="236">
        <v>94057.84</v>
      </c>
      <c r="E9824" s="236">
        <v>14183.6</v>
      </c>
      <c r="F9824" s="236">
        <v>46404.81</v>
      </c>
      <c r="G9824" s="236">
        <v>33469.43</v>
      </c>
      <c r="H9824" s="237">
        <v>532831.6</v>
      </c>
      <c r="I9824" s="237">
        <v>163111.4</v>
      </c>
      <c r="J9824" s="237">
        <v>213713.75</v>
      </c>
      <c r="K9824" s="237">
        <v>156006.45000000001</v>
      </c>
      <c r="L9824" s="43">
        <v>5.6649355332846261</v>
      </c>
      <c r="M9824" s="43">
        <v>11.5</v>
      </c>
      <c r="N9824" s="43">
        <v>4.6054223689311522</v>
      </c>
      <c r="O9824" s="43">
        <v>4.6611624398742375</v>
      </c>
      <c r="P9824" s="238"/>
      <c r="Q9824" s="238"/>
      <c r="R9824" s="238">
        <v>2</v>
      </c>
    </row>
    <row r="9825" spans="1:18" ht="24">
      <c r="A9825" s="234">
        <v>90</v>
      </c>
      <c r="B9825" s="231" t="s">
        <v>18069</v>
      </c>
      <c r="C9825" s="235" t="s">
        <v>18029</v>
      </c>
      <c r="D9825" s="236">
        <v>135155.54</v>
      </c>
      <c r="E9825" s="236">
        <v>21470.400000000001</v>
      </c>
      <c r="F9825" s="236">
        <v>80069.97</v>
      </c>
      <c r="G9825" s="236">
        <v>33615.17</v>
      </c>
      <c r="H9825" s="237">
        <v>770368.67</v>
      </c>
      <c r="I9825" s="237">
        <v>246909.6</v>
      </c>
      <c r="J9825" s="237">
        <v>365776.61</v>
      </c>
      <c r="K9825" s="237">
        <v>157682.46</v>
      </c>
      <c r="L9825" s="43">
        <v>5.6998675008068478</v>
      </c>
      <c r="M9825" s="43">
        <v>11.5</v>
      </c>
      <c r="N9825" s="43">
        <v>4.5682121524461667</v>
      </c>
      <c r="O9825" s="43">
        <v>4.6908125111370849</v>
      </c>
      <c r="P9825" s="238"/>
      <c r="Q9825" s="238"/>
      <c r="R9825" s="238">
        <v>2</v>
      </c>
    </row>
    <row r="9826" spans="1:18" ht="24">
      <c r="A9826" s="234">
        <v>91</v>
      </c>
      <c r="B9826" s="231" t="s">
        <v>18070</v>
      </c>
      <c r="C9826" s="235" t="s">
        <v>18071</v>
      </c>
      <c r="D9826" s="236">
        <v>130875.74</v>
      </c>
      <c r="E9826" s="236">
        <v>21275.4</v>
      </c>
      <c r="F9826" s="236">
        <v>75989.070000000007</v>
      </c>
      <c r="G9826" s="236">
        <v>33611.269999999997</v>
      </c>
      <c r="H9826" s="237">
        <v>749517.29</v>
      </c>
      <c r="I9826" s="237">
        <v>244667.1</v>
      </c>
      <c r="J9826" s="237">
        <v>347212.58</v>
      </c>
      <c r="K9826" s="237">
        <v>157637.60999999999</v>
      </c>
      <c r="L9826" s="43">
        <v>5.7269383156878426</v>
      </c>
      <c r="M9826" s="43">
        <v>11.5</v>
      </c>
      <c r="N9826" s="43">
        <v>4.5692437083385808</v>
      </c>
      <c r="O9826" s="43">
        <v>4.6900224240262274</v>
      </c>
      <c r="P9826" s="238"/>
      <c r="Q9826" s="238"/>
      <c r="R9826" s="238">
        <v>2</v>
      </c>
    </row>
    <row r="9827" spans="1:18" ht="24">
      <c r="A9827" s="234">
        <v>92</v>
      </c>
      <c r="B9827" s="231" t="s">
        <v>18072</v>
      </c>
      <c r="C9827" s="235" t="s">
        <v>18073</v>
      </c>
      <c r="D9827" s="236">
        <v>126485.26</v>
      </c>
      <c r="E9827" s="236">
        <v>18726.599999999999</v>
      </c>
      <c r="F9827" s="236">
        <v>74198.37</v>
      </c>
      <c r="G9827" s="236">
        <v>33560.29</v>
      </c>
      <c r="H9827" s="237">
        <v>711531.37</v>
      </c>
      <c r="I9827" s="237">
        <v>215355.9</v>
      </c>
      <c r="J9827" s="237">
        <v>339124.13</v>
      </c>
      <c r="K9827" s="237">
        <v>157051.34</v>
      </c>
      <c r="L9827" s="43">
        <v>5.6254093955295659</v>
      </c>
      <c r="M9827" s="43">
        <v>11.5</v>
      </c>
      <c r="N9827" s="43">
        <v>4.5705064679992295</v>
      </c>
      <c r="O9827" s="43">
        <v>4.6796776785897851</v>
      </c>
      <c r="P9827" s="238"/>
      <c r="Q9827" s="238"/>
      <c r="R9827" s="238">
        <v>2</v>
      </c>
    </row>
    <row r="9828" spans="1:18" ht="24">
      <c r="A9828" s="234">
        <v>93</v>
      </c>
      <c r="B9828" s="231" t="s">
        <v>18074</v>
      </c>
      <c r="C9828" s="235" t="s">
        <v>18075</v>
      </c>
      <c r="D9828" s="236">
        <v>99221.31</v>
      </c>
      <c r="E9828" s="236">
        <v>15171</v>
      </c>
      <c r="F9828" s="236">
        <v>50561.13</v>
      </c>
      <c r="G9828" s="236">
        <v>33489.18</v>
      </c>
      <c r="H9828" s="237">
        <v>563063.16</v>
      </c>
      <c r="I9828" s="237">
        <v>174473</v>
      </c>
      <c r="J9828" s="237">
        <v>232356.59</v>
      </c>
      <c r="K9828" s="237">
        <v>156233.57</v>
      </c>
      <c r="L9828" s="43">
        <v>5.6748208625747845</v>
      </c>
      <c r="M9828" s="43">
        <v>11.500428449014567</v>
      </c>
      <c r="N9828" s="43">
        <v>4.5955576942208376</v>
      </c>
      <c r="O9828" s="43">
        <v>4.6651954452154403</v>
      </c>
      <c r="P9828" s="238"/>
      <c r="Q9828" s="238"/>
      <c r="R9828" s="238">
        <v>2</v>
      </c>
    </row>
    <row r="9829" spans="1:18" ht="24">
      <c r="A9829" s="234">
        <v>94</v>
      </c>
      <c r="B9829" s="231" t="s">
        <v>18076</v>
      </c>
      <c r="C9829" s="235" t="s">
        <v>18077</v>
      </c>
      <c r="D9829" s="236">
        <v>127378.73</v>
      </c>
      <c r="E9829" s="236">
        <v>20655.900000000001</v>
      </c>
      <c r="F9829" s="236">
        <v>73123.95</v>
      </c>
      <c r="G9829" s="236">
        <v>33598.879999999997</v>
      </c>
      <c r="H9829" s="237">
        <v>729317.88</v>
      </c>
      <c r="I9829" s="237">
        <v>237551.7</v>
      </c>
      <c r="J9829" s="237">
        <v>334271.06</v>
      </c>
      <c r="K9829" s="237">
        <v>157495.12</v>
      </c>
      <c r="L9829" s="43">
        <v>5.7255860534957446</v>
      </c>
      <c r="M9829" s="43">
        <v>11.500428449014567</v>
      </c>
      <c r="N9829" s="43">
        <v>4.5712938100307765</v>
      </c>
      <c r="O9829" s="43">
        <v>4.6875110122718375</v>
      </c>
      <c r="P9829" s="238"/>
      <c r="Q9829" s="238"/>
      <c r="R9829" s="238">
        <v>2</v>
      </c>
    </row>
    <row r="9830" spans="1:18" ht="12.75" customHeight="1">
      <c r="A9830" s="628" t="s">
        <v>18078</v>
      </c>
      <c r="B9830" s="629"/>
      <c r="C9830" s="629"/>
      <c r="D9830" s="629"/>
      <c r="E9830" s="629"/>
      <c r="F9830" s="629"/>
      <c r="G9830" s="629"/>
      <c r="H9830" s="629"/>
      <c r="I9830" s="629"/>
      <c r="J9830" s="629"/>
      <c r="K9830" s="629"/>
      <c r="L9830" s="629"/>
      <c r="M9830" s="629"/>
      <c r="N9830" s="629"/>
      <c r="O9830" s="629"/>
      <c r="P9830" s="629"/>
      <c r="Q9830" s="629"/>
      <c r="R9830" s="629"/>
    </row>
    <row r="9831" spans="1:18" ht="12.75" customHeight="1">
      <c r="A9831" s="628" t="s">
        <v>18079</v>
      </c>
      <c r="B9831" s="629"/>
      <c r="C9831" s="629"/>
      <c r="D9831" s="629"/>
      <c r="E9831" s="629"/>
      <c r="F9831" s="629"/>
      <c r="G9831" s="629"/>
      <c r="H9831" s="629"/>
      <c r="I9831" s="629"/>
      <c r="J9831" s="629"/>
      <c r="K9831" s="629"/>
      <c r="L9831" s="629"/>
      <c r="M9831" s="629"/>
      <c r="N9831" s="629"/>
      <c r="O9831" s="629"/>
      <c r="P9831" s="629"/>
      <c r="Q9831" s="629"/>
      <c r="R9831" s="629"/>
    </row>
    <row r="9832" spans="1:18" ht="24">
      <c r="A9832" s="234">
        <v>95</v>
      </c>
      <c r="B9832" s="231" t="s">
        <v>18080</v>
      </c>
      <c r="C9832" s="235" t="s">
        <v>18081</v>
      </c>
      <c r="D9832" s="236">
        <v>114660.67</v>
      </c>
      <c r="E9832" s="236">
        <v>20107.2</v>
      </c>
      <c r="F9832" s="236">
        <v>71832.75</v>
      </c>
      <c r="G9832" s="236">
        <v>22720.720000000001</v>
      </c>
      <c r="H9832" s="237">
        <v>666770.34</v>
      </c>
      <c r="I9832" s="237">
        <v>231232.8</v>
      </c>
      <c r="J9832" s="237">
        <v>328569.74</v>
      </c>
      <c r="K9832" s="237">
        <v>106967.8</v>
      </c>
      <c r="L9832" s="43">
        <v>5.8151617289520461</v>
      </c>
      <c r="M9832" s="43">
        <v>11.499999999999998</v>
      </c>
      <c r="N9832" s="43">
        <v>4.5740938499500574</v>
      </c>
      <c r="O9832" s="43">
        <v>4.7079405934318981</v>
      </c>
      <c r="P9832" s="238"/>
      <c r="Q9832" s="238"/>
      <c r="R9832" s="238">
        <v>1</v>
      </c>
    </row>
    <row r="9833" spans="1:18" ht="24">
      <c r="A9833" s="234">
        <v>96</v>
      </c>
      <c r="B9833" s="231" t="s">
        <v>18082</v>
      </c>
      <c r="C9833" s="235" t="s">
        <v>18083</v>
      </c>
      <c r="D9833" s="236">
        <v>81911.63</v>
      </c>
      <c r="E9833" s="236">
        <v>13983</v>
      </c>
      <c r="F9833" s="236">
        <v>45330.39</v>
      </c>
      <c r="G9833" s="236">
        <v>22598.240000000002</v>
      </c>
      <c r="H9833" s="237">
        <v>475230.36</v>
      </c>
      <c r="I9833" s="237">
        <v>160810.4</v>
      </c>
      <c r="J9833" s="237">
        <v>208860.68</v>
      </c>
      <c r="K9833" s="237">
        <v>105559.28</v>
      </c>
      <c r="L9833" s="43">
        <v>5.8017446362622742</v>
      </c>
      <c r="M9833" s="43">
        <v>11.50042194092827</v>
      </c>
      <c r="N9833" s="43">
        <v>4.6075200323668071</v>
      </c>
      <c r="O9833" s="43">
        <v>4.6711283710589848</v>
      </c>
      <c r="P9833" s="238"/>
      <c r="Q9833" s="238"/>
      <c r="R9833" s="238">
        <v>1</v>
      </c>
    </row>
    <row r="9834" spans="1:18" ht="24">
      <c r="A9834" s="234">
        <v>97</v>
      </c>
      <c r="B9834" s="231" t="s">
        <v>18084</v>
      </c>
      <c r="C9834" s="235" t="s">
        <v>18085</v>
      </c>
      <c r="D9834" s="236">
        <v>163039.44</v>
      </c>
      <c r="E9834" s="236">
        <v>20487.599999999999</v>
      </c>
      <c r="F9834" s="236">
        <v>119823.51</v>
      </c>
      <c r="G9834" s="236">
        <v>22728.33</v>
      </c>
      <c r="H9834" s="237">
        <v>888002.92</v>
      </c>
      <c r="I9834" s="237">
        <v>235607.4</v>
      </c>
      <c r="J9834" s="237">
        <v>545340.19999999995</v>
      </c>
      <c r="K9834" s="237">
        <v>107055.32</v>
      </c>
      <c r="L9834" s="43">
        <v>5.4465528095533209</v>
      </c>
      <c r="M9834" s="43">
        <v>11.5</v>
      </c>
      <c r="N9834" s="43">
        <v>4.551195337208866</v>
      </c>
      <c r="O9834" s="43">
        <v>4.7102149608000232</v>
      </c>
      <c r="P9834" s="238"/>
      <c r="Q9834" s="238"/>
      <c r="R9834" s="238">
        <v>1</v>
      </c>
    </row>
    <row r="9835" spans="1:18" ht="24">
      <c r="A9835" s="234">
        <v>98</v>
      </c>
      <c r="B9835" s="231" t="s">
        <v>18086</v>
      </c>
      <c r="C9835" s="235" t="s">
        <v>18003</v>
      </c>
      <c r="D9835" s="236">
        <v>197684.78</v>
      </c>
      <c r="E9835" s="236">
        <v>50718</v>
      </c>
      <c r="F9835" s="236">
        <v>123633.84</v>
      </c>
      <c r="G9835" s="236">
        <v>23332.94</v>
      </c>
      <c r="H9835" s="237">
        <v>1276507.8500000001</v>
      </c>
      <c r="I9835" s="237">
        <v>583278.4</v>
      </c>
      <c r="J9835" s="237">
        <v>579221.12</v>
      </c>
      <c r="K9835" s="237">
        <v>114008.33</v>
      </c>
      <c r="L9835" s="43">
        <v>6.4572894787347819</v>
      </c>
      <c r="M9835" s="43">
        <v>11.50042194092827</v>
      </c>
      <c r="N9835" s="43">
        <v>4.6849723344352974</v>
      </c>
      <c r="O9835" s="43">
        <v>4.8861536523044249</v>
      </c>
      <c r="P9835" s="238"/>
      <c r="Q9835" s="238"/>
      <c r="R9835" s="238">
        <v>1</v>
      </c>
    </row>
    <row r="9836" spans="1:18" ht="24">
      <c r="A9836" s="234">
        <v>99</v>
      </c>
      <c r="B9836" s="231" t="s">
        <v>18087</v>
      </c>
      <c r="C9836" s="235" t="s">
        <v>18088</v>
      </c>
      <c r="D9836" s="236">
        <v>102335.61</v>
      </c>
      <c r="E9836" s="236">
        <v>17855.099999999999</v>
      </c>
      <c r="F9836" s="236">
        <v>61804.83</v>
      </c>
      <c r="G9836" s="236">
        <v>22675.68</v>
      </c>
      <c r="H9836" s="237">
        <v>595065.56000000006</v>
      </c>
      <c r="I9836" s="237">
        <v>205341.3</v>
      </c>
      <c r="J9836" s="237">
        <v>283274.42</v>
      </c>
      <c r="K9836" s="237">
        <v>106449.84</v>
      </c>
      <c r="L9836" s="43">
        <v>5.8148435329598369</v>
      </c>
      <c r="M9836" s="43">
        <v>11.500428449014567</v>
      </c>
      <c r="N9836" s="43">
        <v>4.5833702641039542</v>
      </c>
      <c r="O9836" s="43">
        <v>4.694449736457738</v>
      </c>
      <c r="P9836" s="238"/>
      <c r="Q9836" s="238"/>
      <c r="R9836" s="238">
        <v>1</v>
      </c>
    </row>
    <row r="9837" spans="1:18" ht="24">
      <c r="A9837" s="234">
        <v>100</v>
      </c>
      <c r="B9837" s="231" t="s">
        <v>18089</v>
      </c>
      <c r="C9837" s="235" t="s">
        <v>18007</v>
      </c>
      <c r="D9837" s="236">
        <v>169386.34</v>
      </c>
      <c r="E9837" s="236">
        <v>31625.7</v>
      </c>
      <c r="F9837" s="236">
        <v>114809.55</v>
      </c>
      <c r="G9837" s="236">
        <v>22951.09</v>
      </c>
      <c r="H9837" s="237">
        <v>996018.7</v>
      </c>
      <c r="I9837" s="237">
        <v>363709.1</v>
      </c>
      <c r="J9837" s="237">
        <v>522692.54</v>
      </c>
      <c r="K9837" s="237">
        <v>109617.06</v>
      </c>
      <c r="L9837" s="43">
        <v>5.8801595217182214</v>
      </c>
      <c r="M9837" s="43">
        <v>11.500428449014565</v>
      </c>
      <c r="N9837" s="43">
        <v>4.5526921758686445</v>
      </c>
      <c r="O9837" s="43">
        <v>4.7761156441807335</v>
      </c>
      <c r="P9837" s="238"/>
      <c r="Q9837" s="238"/>
      <c r="R9837" s="238">
        <v>1</v>
      </c>
    </row>
    <row r="9838" spans="1:18" ht="24">
      <c r="A9838" s="234">
        <v>101</v>
      </c>
      <c r="B9838" s="231" t="s">
        <v>18090</v>
      </c>
      <c r="C9838" s="235" t="s">
        <v>18091</v>
      </c>
      <c r="D9838" s="236">
        <v>91586.4</v>
      </c>
      <c r="E9838" s="236">
        <v>12944.6</v>
      </c>
      <c r="F9838" s="236">
        <v>56064.33</v>
      </c>
      <c r="G9838" s="236">
        <v>22577.47</v>
      </c>
      <c r="H9838" s="237">
        <v>506423.46</v>
      </c>
      <c r="I9838" s="237">
        <v>148868.79999999999</v>
      </c>
      <c r="J9838" s="237">
        <v>252234.23</v>
      </c>
      <c r="K9838" s="237">
        <v>105320.43</v>
      </c>
      <c r="L9838" s="43">
        <v>5.5294613610754437</v>
      </c>
      <c r="M9838" s="43">
        <v>11.500455788514127</v>
      </c>
      <c r="N9838" s="43">
        <v>4.4990144357383741</v>
      </c>
      <c r="O9838" s="43">
        <v>4.6648464154752496</v>
      </c>
      <c r="P9838" s="238"/>
      <c r="Q9838" s="238"/>
      <c r="R9838" s="238">
        <v>1</v>
      </c>
    </row>
    <row r="9839" spans="1:18" ht="24">
      <c r="A9839" s="234">
        <v>102</v>
      </c>
      <c r="B9839" s="231" t="s">
        <v>18092</v>
      </c>
      <c r="C9839" s="235" t="s">
        <v>18093</v>
      </c>
      <c r="D9839" s="236">
        <v>89639.78</v>
      </c>
      <c r="E9839" s="236">
        <v>12561</v>
      </c>
      <c r="F9839" s="236">
        <v>54508.98</v>
      </c>
      <c r="G9839" s="236">
        <v>22569.8</v>
      </c>
      <c r="H9839" s="237">
        <v>495057.57</v>
      </c>
      <c r="I9839" s="237">
        <v>144456.79999999999</v>
      </c>
      <c r="J9839" s="237">
        <v>245368.55</v>
      </c>
      <c r="K9839" s="237">
        <v>105232.22</v>
      </c>
      <c r="L9839" s="43">
        <v>5.52274414328103</v>
      </c>
      <c r="M9839" s="43">
        <v>11.50042194092827</v>
      </c>
      <c r="N9839" s="43">
        <v>4.5014335252650106</v>
      </c>
      <c r="O9839" s="43">
        <v>4.6625233719394945</v>
      </c>
      <c r="P9839" s="238"/>
      <c r="Q9839" s="238"/>
      <c r="R9839" s="238">
        <v>1</v>
      </c>
    </row>
    <row r="9840" spans="1:18" ht="24">
      <c r="A9840" s="234">
        <v>103</v>
      </c>
      <c r="B9840" s="231" t="s">
        <v>18094</v>
      </c>
      <c r="C9840" s="235" t="s">
        <v>18095</v>
      </c>
      <c r="D9840" s="236">
        <v>84199.55</v>
      </c>
      <c r="E9840" s="236">
        <v>11802</v>
      </c>
      <c r="F9840" s="236">
        <v>49842.93</v>
      </c>
      <c r="G9840" s="236">
        <v>22554.62</v>
      </c>
      <c r="H9840" s="237">
        <v>465552.16</v>
      </c>
      <c r="I9840" s="237">
        <v>135723</v>
      </c>
      <c r="J9840" s="237">
        <v>224771.51</v>
      </c>
      <c r="K9840" s="237">
        <v>105057.65</v>
      </c>
      <c r="L9840" s="43">
        <v>5.5291525904829655</v>
      </c>
      <c r="M9840" s="43">
        <v>11.5</v>
      </c>
      <c r="N9840" s="43">
        <v>4.5095966469065925</v>
      </c>
      <c r="O9840" s="43">
        <v>4.6579215256120472</v>
      </c>
      <c r="P9840" s="238"/>
      <c r="Q9840" s="238"/>
      <c r="R9840" s="238">
        <v>1</v>
      </c>
    </row>
    <row r="9841" spans="1:18" ht="24">
      <c r="A9841" s="234">
        <v>104</v>
      </c>
      <c r="B9841" s="231" t="s">
        <v>18096</v>
      </c>
      <c r="C9841" s="235" t="s">
        <v>18097</v>
      </c>
      <c r="D9841" s="236">
        <v>154486.57999999999</v>
      </c>
      <c r="E9841" s="236">
        <v>20733.3</v>
      </c>
      <c r="F9841" s="236">
        <v>111020.03</v>
      </c>
      <c r="G9841" s="236">
        <v>22733.25</v>
      </c>
      <c r="H9841" s="237">
        <v>840375.89</v>
      </c>
      <c r="I9841" s="237">
        <v>238442.4</v>
      </c>
      <c r="J9841" s="237">
        <v>494821.59</v>
      </c>
      <c r="K9841" s="237">
        <v>107111.9</v>
      </c>
      <c r="L9841" s="43">
        <v>5.4397986543556085</v>
      </c>
      <c r="M9841" s="43">
        <v>11.500455788514129</v>
      </c>
      <c r="N9841" s="43">
        <v>4.4570478858634788</v>
      </c>
      <c r="O9841" s="43">
        <v>4.7116844269957001</v>
      </c>
      <c r="P9841" s="238"/>
      <c r="Q9841" s="238"/>
      <c r="R9841" s="238">
        <v>1</v>
      </c>
    </row>
    <row r="9842" spans="1:18" ht="24">
      <c r="A9842" s="234">
        <v>105</v>
      </c>
      <c r="B9842" s="231" t="s">
        <v>18098</v>
      </c>
      <c r="C9842" s="235" t="s">
        <v>18051</v>
      </c>
      <c r="D9842" s="236">
        <v>102182.28</v>
      </c>
      <c r="E9842" s="236">
        <v>14183.6</v>
      </c>
      <c r="F9842" s="236">
        <v>65396.43</v>
      </c>
      <c r="G9842" s="236">
        <v>22602.25</v>
      </c>
      <c r="H9842" s="237">
        <v>562145.11</v>
      </c>
      <c r="I9842" s="237">
        <v>163111.4</v>
      </c>
      <c r="J9842" s="237">
        <v>293428.31</v>
      </c>
      <c r="K9842" s="237">
        <v>105605.4</v>
      </c>
      <c r="L9842" s="43">
        <v>5.5013952517011759</v>
      </c>
      <c r="M9842" s="43">
        <v>11.5</v>
      </c>
      <c r="N9842" s="43">
        <v>4.4869163347295871</v>
      </c>
      <c r="O9842" s="43">
        <v>4.672340143127343</v>
      </c>
      <c r="P9842" s="238"/>
      <c r="Q9842" s="238"/>
      <c r="R9842" s="238">
        <v>1</v>
      </c>
    </row>
    <row r="9843" spans="1:18" ht="24">
      <c r="A9843" s="234">
        <v>106</v>
      </c>
      <c r="B9843" s="231" t="s">
        <v>18099</v>
      </c>
      <c r="C9843" s="235" t="s">
        <v>18100</v>
      </c>
      <c r="D9843" s="236">
        <v>71645.22</v>
      </c>
      <c r="E9843" s="236">
        <v>9659.52</v>
      </c>
      <c r="F9843" s="236">
        <v>39473.93</v>
      </c>
      <c r="G9843" s="236">
        <v>22511.77</v>
      </c>
      <c r="H9843" s="237">
        <v>394649.67</v>
      </c>
      <c r="I9843" s="237">
        <v>111084.48</v>
      </c>
      <c r="J9843" s="237">
        <v>179000.31</v>
      </c>
      <c r="K9843" s="237">
        <v>104564.88</v>
      </c>
      <c r="L9843" s="43">
        <v>5.50838799852942</v>
      </c>
      <c r="M9843" s="43">
        <v>11.499999999999998</v>
      </c>
      <c r="N9843" s="43">
        <v>4.5346462842691366</v>
      </c>
      <c r="O9843" s="43">
        <v>4.6448982021404808</v>
      </c>
      <c r="P9843" s="238"/>
      <c r="Q9843" s="238"/>
      <c r="R9843" s="238">
        <v>1</v>
      </c>
    </row>
    <row r="9844" spans="1:18" ht="24">
      <c r="A9844" s="234">
        <v>107</v>
      </c>
      <c r="B9844" s="231" t="s">
        <v>18101</v>
      </c>
      <c r="C9844" s="235" t="s">
        <v>18102</v>
      </c>
      <c r="D9844" s="236">
        <v>134530.53</v>
      </c>
      <c r="E9844" s="236">
        <v>18958.5</v>
      </c>
      <c r="F9844" s="236">
        <v>92874.28</v>
      </c>
      <c r="G9844" s="236">
        <v>22697.75</v>
      </c>
      <c r="H9844" s="237">
        <v>739456.64</v>
      </c>
      <c r="I9844" s="237">
        <v>218031</v>
      </c>
      <c r="J9844" s="237">
        <v>414721.99</v>
      </c>
      <c r="K9844" s="237">
        <v>106703.65</v>
      </c>
      <c r="L9844" s="43">
        <v>5.496571224390479</v>
      </c>
      <c r="M9844" s="43">
        <v>11.500435161009573</v>
      </c>
      <c r="N9844" s="43">
        <v>4.4654127062950044</v>
      </c>
      <c r="O9844" s="43">
        <v>4.7010672864050402</v>
      </c>
      <c r="P9844" s="238"/>
      <c r="Q9844" s="238"/>
      <c r="R9844" s="238">
        <v>1</v>
      </c>
    </row>
    <row r="9845" spans="1:18" ht="24">
      <c r="A9845" s="234">
        <v>108</v>
      </c>
      <c r="B9845" s="231" t="s">
        <v>18103</v>
      </c>
      <c r="C9845" s="235" t="s">
        <v>18104</v>
      </c>
      <c r="D9845" s="236">
        <v>72784.240000000005</v>
      </c>
      <c r="E9845" s="236">
        <v>10267.92</v>
      </c>
      <c r="F9845" s="236">
        <v>39992.379999999997</v>
      </c>
      <c r="G9845" s="236">
        <v>22523.94</v>
      </c>
      <c r="H9845" s="237">
        <v>404079.46</v>
      </c>
      <c r="I9845" s="237">
        <v>118085.75999999999</v>
      </c>
      <c r="J9845" s="237">
        <v>181288.87</v>
      </c>
      <c r="K9845" s="237">
        <v>104704.83</v>
      </c>
      <c r="L9845" s="43">
        <v>5.5517438940078234</v>
      </c>
      <c r="M9845" s="43">
        <v>11.500455788514129</v>
      </c>
      <c r="N9845" s="43">
        <v>4.5330853027501741</v>
      </c>
      <c r="O9845" s="43">
        <v>4.6486018875916031</v>
      </c>
      <c r="P9845" s="238"/>
      <c r="Q9845" s="238"/>
      <c r="R9845" s="238">
        <v>1</v>
      </c>
    </row>
    <row r="9846" spans="1:18" ht="24">
      <c r="A9846" s="234">
        <v>109</v>
      </c>
      <c r="B9846" s="231" t="s">
        <v>18105</v>
      </c>
      <c r="C9846" s="235" t="s">
        <v>18106</v>
      </c>
      <c r="D9846" s="236">
        <v>138765.56</v>
      </c>
      <c r="E9846" s="236">
        <v>19552.5</v>
      </c>
      <c r="F9846" s="236">
        <v>96503.43</v>
      </c>
      <c r="G9846" s="236">
        <v>22709.63</v>
      </c>
      <c r="H9846" s="237">
        <v>762444.18</v>
      </c>
      <c r="I9846" s="237">
        <v>224862</v>
      </c>
      <c r="J9846" s="237">
        <v>430741.91</v>
      </c>
      <c r="K9846" s="237">
        <v>106840.27</v>
      </c>
      <c r="L9846" s="43">
        <v>5.4944770157667371</v>
      </c>
      <c r="M9846" s="43">
        <v>11.50042194092827</v>
      </c>
      <c r="N9846" s="43">
        <v>4.4634880853457748</v>
      </c>
      <c r="O9846" s="43">
        <v>4.7046239855074701</v>
      </c>
      <c r="P9846" s="238"/>
      <c r="Q9846" s="238"/>
      <c r="R9846" s="238">
        <v>1</v>
      </c>
    </row>
    <row r="9847" spans="1:18" ht="24">
      <c r="A9847" s="234">
        <v>110</v>
      </c>
      <c r="B9847" s="231" t="s">
        <v>18107</v>
      </c>
      <c r="C9847" s="235" t="s">
        <v>18108</v>
      </c>
      <c r="D9847" s="236">
        <v>101571.71</v>
      </c>
      <c r="E9847" s="236">
        <v>13585</v>
      </c>
      <c r="F9847" s="236">
        <v>65396.43</v>
      </c>
      <c r="G9847" s="236">
        <v>22590.28</v>
      </c>
      <c r="H9847" s="237">
        <v>555130.05000000005</v>
      </c>
      <c r="I9847" s="237">
        <v>156234</v>
      </c>
      <c r="J9847" s="237">
        <v>293428.31</v>
      </c>
      <c r="K9847" s="237">
        <v>105467.74</v>
      </c>
      <c r="L9847" s="43">
        <v>5.4654002576111003</v>
      </c>
      <c r="M9847" s="43">
        <v>11.500478468899521</v>
      </c>
      <c r="N9847" s="43">
        <v>4.4869163347295871</v>
      </c>
      <c r="O9847" s="43">
        <v>4.6687221229661615</v>
      </c>
      <c r="P9847" s="238"/>
      <c r="Q9847" s="238"/>
      <c r="R9847" s="238">
        <v>1</v>
      </c>
    </row>
    <row r="9848" spans="1:18" ht="24">
      <c r="A9848" s="234">
        <v>111</v>
      </c>
      <c r="B9848" s="231" t="s">
        <v>18109</v>
      </c>
      <c r="C9848" s="235" t="s">
        <v>18068</v>
      </c>
      <c r="D9848" s="236">
        <v>64741.55</v>
      </c>
      <c r="E9848" s="236">
        <v>9303.84</v>
      </c>
      <c r="F9848" s="236">
        <v>32933.050000000003</v>
      </c>
      <c r="G9848" s="236">
        <v>22504.66</v>
      </c>
      <c r="H9848" s="237">
        <v>362818.83</v>
      </c>
      <c r="I9848" s="237">
        <v>106994.16</v>
      </c>
      <c r="J9848" s="237">
        <v>151341.56</v>
      </c>
      <c r="K9848" s="237">
        <v>104483.11</v>
      </c>
      <c r="L9848" s="43">
        <v>5.6041109611987974</v>
      </c>
      <c r="M9848" s="43">
        <v>11.5</v>
      </c>
      <c r="N9848" s="43">
        <v>4.5954310335665838</v>
      </c>
      <c r="O9848" s="43">
        <v>4.6427322163498586</v>
      </c>
      <c r="P9848" s="238"/>
      <c r="Q9848" s="238"/>
      <c r="R9848" s="238">
        <v>1</v>
      </c>
    </row>
    <row r="9849" spans="1:18" ht="24">
      <c r="A9849" s="234">
        <v>112</v>
      </c>
      <c r="B9849" s="231" t="s">
        <v>18110</v>
      </c>
      <c r="C9849" s="235" t="s">
        <v>18029</v>
      </c>
      <c r="D9849" s="236">
        <v>75633.61</v>
      </c>
      <c r="E9849" s="236">
        <v>11419.2</v>
      </c>
      <c r="F9849" s="236">
        <v>41667.449999999997</v>
      </c>
      <c r="G9849" s="236">
        <v>22546.959999999999</v>
      </c>
      <c r="H9849" s="237">
        <v>426585.72</v>
      </c>
      <c r="I9849" s="237">
        <v>131320.79999999999</v>
      </c>
      <c r="J9849" s="237">
        <v>190295.36</v>
      </c>
      <c r="K9849" s="237">
        <v>104969.56</v>
      </c>
      <c r="L9849" s="43">
        <v>5.6401607697953322</v>
      </c>
      <c r="M9849" s="43">
        <v>11.499999999999998</v>
      </c>
      <c r="N9849" s="43">
        <v>4.5670027803477291</v>
      </c>
      <c r="O9849" s="43">
        <v>4.6555970294886766</v>
      </c>
      <c r="P9849" s="238"/>
      <c r="Q9849" s="238"/>
      <c r="R9849" s="238">
        <v>1</v>
      </c>
    </row>
    <row r="9850" spans="1:18" ht="24">
      <c r="A9850" s="234">
        <v>113</v>
      </c>
      <c r="B9850" s="231" t="s">
        <v>18111</v>
      </c>
      <c r="C9850" s="235" t="s">
        <v>18071</v>
      </c>
      <c r="D9850" s="236">
        <v>102182.28</v>
      </c>
      <c r="E9850" s="236">
        <v>14183.6</v>
      </c>
      <c r="F9850" s="236">
        <v>65396.43</v>
      </c>
      <c r="G9850" s="236">
        <v>22602.25</v>
      </c>
      <c r="H9850" s="237">
        <v>562145.11</v>
      </c>
      <c r="I9850" s="237">
        <v>163111.4</v>
      </c>
      <c r="J9850" s="237">
        <v>293428.31</v>
      </c>
      <c r="K9850" s="237">
        <v>105605.4</v>
      </c>
      <c r="L9850" s="43">
        <v>5.5013952517011759</v>
      </c>
      <c r="M9850" s="43">
        <v>11.5</v>
      </c>
      <c r="N9850" s="43">
        <v>4.4869163347295871</v>
      </c>
      <c r="O9850" s="43">
        <v>4.672340143127343</v>
      </c>
      <c r="P9850" s="238"/>
      <c r="Q9850" s="238"/>
      <c r="R9850" s="238">
        <v>1</v>
      </c>
    </row>
    <row r="9851" spans="1:18" ht="24">
      <c r="A9851" s="234">
        <v>114</v>
      </c>
      <c r="B9851" s="231" t="s">
        <v>18112</v>
      </c>
      <c r="C9851" s="235" t="s">
        <v>18113</v>
      </c>
      <c r="D9851" s="236">
        <v>100885.05</v>
      </c>
      <c r="E9851" s="236">
        <v>16784.099999999999</v>
      </c>
      <c r="F9851" s="236">
        <v>61446.69</v>
      </c>
      <c r="G9851" s="236">
        <v>22654.26</v>
      </c>
      <c r="H9851" s="237">
        <v>580885.04</v>
      </c>
      <c r="I9851" s="237">
        <v>193024.8</v>
      </c>
      <c r="J9851" s="237">
        <v>281656.73</v>
      </c>
      <c r="K9851" s="237">
        <v>106203.51</v>
      </c>
      <c r="L9851" s="43">
        <v>5.7578901928481976</v>
      </c>
      <c r="M9851" s="43">
        <v>11.500455788514129</v>
      </c>
      <c r="N9851" s="43">
        <v>4.5837575628565181</v>
      </c>
      <c r="O9851" s="43">
        <v>4.6880149693699993</v>
      </c>
      <c r="P9851" s="238"/>
      <c r="Q9851" s="238"/>
      <c r="R9851" s="238">
        <v>1</v>
      </c>
    </row>
    <row r="9852" spans="1:18" ht="24">
      <c r="A9852" s="234">
        <v>115</v>
      </c>
      <c r="B9852" s="231" t="s">
        <v>18114</v>
      </c>
      <c r="C9852" s="235" t="s">
        <v>18115</v>
      </c>
      <c r="D9852" s="236">
        <v>67471.789999999994</v>
      </c>
      <c r="E9852" s="236">
        <v>10267.92</v>
      </c>
      <c r="F9852" s="236">
        <v>34679.93</v>
      </c>
      <c r="G9852" s="236">
        <v>22523.94</v>
      </c>
      <c r="H9852" s="237">
        <v>381922.91</v>
      </c>
      <c r="I9852" s="237">
        <v>118085.75999999999</v>
      </c>
      <c r="J9852" s="237">
        <v>159132.32</v>
      </c>
      <c r="K9852" s="237">
        <v>104704.83</v>
      </c>
      <c r="L9852" s="43">
        <v>5.6604828477205071</v>
      </c>
      <c r="M9852" s="43">
        <v>11.500455788514129</v>
      </c>
      <c r="N9852" s="43">
        <v>4.5885998039788429</v>
      </c>
      <c r="O9852" s="43">
        <v>4.6486018875916031</v>
      </c>
      <c r="P9852" s="238"/>
      <c r="Q9852" s="238"/>
      <c r="R9852" s="238">
        <v>1</v>
      </c>
    </row>
    <row r="9853" spans="1:18" ht="24">
      <c r="A9853" s="234">
        <v>116</v>
      </c>
      <c r="B9853" s="231" t="s">
        <v>18116</v>
      </c>
      <c r="C9853" s="235" t="s">
        <v>18117</v>
      </c>
      <c r="D9853" s="236">
        <v>176903.13</v>
      </c>
      <c r="E9853" s="236">
        <v>33026.1</v>
      </c>
      <c r="F9853" s="236">
        <v>120897.93</v>
      </c>
      <c r="G9853" s="236">
        <v>22979.1</v>
      </c>
      <c r="H9853" s="237">
        <v>1039946.74</v>
      </c>
      <c r="I9853" s="237">
        <v>379814.3</v>
      </c>
      <c r="J9853" s="237">
        <v>550193.27</v>
      </c>
      <c r="K9853" s="237">
        <v>109939.17</v>
      </c>
      <c r="L9853" s="43">
        <v>5.8786226111431716</v>
      </c>
      <c r="M9853" s="43">
        <v>11.500428449014567</v>
      </c>
      <c r="N9853" s="43">
        <v>4.5508907389894935</v>
      </c>
      <c r="O9853" s="43">
        <v>4.7843113960076771</v>
      </c>
      <c r="P9853" s="238"/>
      <c r="Q9853" s="238"/>
      <c r="R9853" s="238">
        <v>1</v>
      </c>
    </row>
    <row r="9854" spans="1:18" ht="24">
      <c r="A9854" s="234">
        <v>117</v>
      </c>
      <c r="B9854" s="231" t="s">
        <v>18118</v>
      </c>
      <c r="C9854" s="235" t="s">
        <v>18119</v>
      </c>
      <c r="D9854" s="236">
        <v>114019.38</v>
      </c>
      <c r="E9854" s="236">
        <v>16131.2</v>
      </c>
      <c r="F9854" s="236">
        <v>75246.98</v>
      </c>
      <c r="G9854" s="236">
        <v>22641.200000000001</v>
      </c>
      <c r="H9854" s="237">
        <v>628473.06999999995</v>
      </c>
      <c r="I9854" s="237">
        <v>185508.8</v>
      </c>
      <c r="J9854" s="237">
        <v>336910.95</v>
      </c>
      <c r="K9854" s="237">
        <v>106053.32</v>
      </c>
      <c r="L9854" s="43">
        <v>5.5119846292796888</v>
      </c>
      <c r="M9854" s="43">
        <v>11.499999999999998</v>
      </c>
      <c r="N9854" s="43">
        <v>4.4774016179785558</v>
      </c>
      <c r="O9854" s="43">
        <v>4.6840856491705392</v>
      </c>
      <c r="P9854" s="238"/>
      <c r="Q9854" s="238"/>
      <c r="R9854" s="238">
        <v>1</v>
      </c>
    </row>
    <row r="9855" spans="1:18" ht="24">
      <c r="A9855" s="234">
        <v>118</v>
      </c>
      <c r="B9855" s="231" t="s">
        <v>18120</v>
      </c>
      <c r="C9855" s="235" t="s">
        <v>18121</v>
      </c>
      <c r="D9855" s="236">
        <v>102197.87</v>
      </c>
      <c r="E9855" s="236">
        <v>18744</v>
      </c>
      <c r="F9855" s="236">
        <v>60760.41</v>
      </c>
      <c r="G9855" s="236">
        <v>22693.46</v>
      </c>
      <c r="H9855" s="237">
        <v>602813.26</v>
      </c>
      <c r="I9855" s="237">
        <v>215556</v>
      </c>
      <c r="J9855" s="237">
        <v>280602.95</v>
      </c>
      <c r="K9855" s="237">
        <v>106654.31</v>
      </c>
      <c r="L9855" s="43">
        <v>5.8984914264847204</v>
      </c>
      <c r="M9855" s="43">
        <v>11.5</v>
      </c>
      <c r="N9855" s="43">
        <v>4.6181872373803925</v>
      </c>
      <c r="O9855" s="43">
        <v>4.6997817873519505</v>
      </c>
      <c r="P9855" s="238"/>
      <c r="Q9855" s="238"/>
      <c r="R9855" s="238">
        <v>1</v>
      </c>
    </row>
    <row r="9856" spans="1:18" ht="24">
      <c r="A9856" s="234">
        <v>119</v>
      </c>
      <c r="B9856" s="231" t="s">
        <v>18122</v>
      </c>
      <c r="C9856" s="235" t="s">
        <v>18123</v>
      </c>
      <c r="D9856" s="236">
        <v>103299.44</v>
      </c>
      <c r="E9856" s="236">
        <v>13754</v>
      </c>
      <c r="F9856" s="236">
        <v>66951.78</v>
      </c>
      <c r="G9856" s="236">
        <v>22593.66</v>
      </c>
      <c r="H9856" s="237">
        <v>563971.6</v>
      </c>
      <c r="I9856" s="237">
        <v>158171</v>
      </c>
      <c r="J9856" s="237">
        <v>300293.99</v>
      </c>
      <c r="K9856" s="237">
        <v>105506.61</v>
      </c>
      <c r="L9856" s="43">
        <v>5.4595804197970477</v>
      </c>
      <c r="M9856" s="43">
        <v>11.5</v>
      </c>
      <c r="N9856" s="43">
        <v>4.4852278759429547</v>
      </c>
      <c r="O9856" s="43">
        <v>4.6697440786486117</v>
      </c>
      <c r="P9856" s="238"/>
      <c r="Q9856" s="238"/>
      <c r="R9856" s="238">
        <v>1</v>
      </c>
    </row>
    <row r="9857" spans="1:18" ht="24">
      <c r="A9857" s="234">
        <v>120</v>
      </c>
      <c r="B9857" s="231" t="s">
        <v>18124</v>
      </c>
      <c r="C9857" s="235" t="s">
        <v>18075</v>
      </c>
      <c r="D9857" s="236">
        <v>140607.01999999999</v>
      </c>
      <c r="E9857" s="236">
        <v>19833</v>
      </c>
      <c r="F9857" s="236">
        <v>98058.78</v>
      </c>
      <c r="G9857" s="236">
        <v>22715.24</v>
      </c>
      <c r="H9857" s="237">
        <v>772591.87</v>
      </c>
      <c r="I9857" s="237">
        <v>228079.5</v>
      </c>
      <c r="J9857" s="237">
        <v>437607.59</v>
      </c>
      <c r="K9857" s="237">
        <v>106904.78</v>
      </c>
      <c r="L9857" s="43">
        <v>5.4946891698579492</v>
      </c>
      <c r="M9857" s="43">
        <v>11.5</v>
      </c>
      <c r="N9857" s="43">
        <v>4.4627068580702316</v>
      </c>
      <c r="O9857" s="43">
        <v>4.7063020245438745</v>
      </c>
      <c r="P9857" s="238"/>
      <c r="Q9857" s="238"/>
      <c r="R9857" s="238">
        <v>1</v>
      </c>
    </row>
    <row r="9858" spans="1:18" ht="24">
      <c r="A9858" s="234">
        <v>121</v>
      </c>
      <c r="B9858" s="231" t="s">
        <v>18125</v>
      </c>
      <c r="C9858" s="235" t="s">
        <v>18126</v>
      </c>
      <c r="D9858" s="236">
        <v>89121.33</v>
      </c>
      <c r="E9858" s="236">
        <v>12561</v>
      </c>
      <c r="F9858" s="236">
        <v>53990.53</v>
      </c>
      <c r="G9858" s="236">
        <v>22569.8</v>
      </c>
      <c r="H9858" s="237">
        <v>492769.01</v>
      </c>
      <c r="I9858" s="237">
        <v>144456.79999999999</v>
      </c>
      <c r="J9858" s="237">
        <v>243079.99</v>
      </c>
      <c r="K9858" s="237">
        <v>105232.22</v>
      </c>
      <c r="L9858" s="43">
        <v>5.5291927308535458</v>
      </c>
      <c r="M9858" s="43">
        <v>11.50042194092827</v>
      </c>
      <c r="N9858" s="43">
        <v>4.5022708612047335</v>
      </c>
      <c r="O9858" s="43">
        <v>4.6625233719394945</v>
      </c>
      <c r="P9858" s="238"/>
      <c r="Q9858" s="238"/>
      <c r="R9858" s="238">
        <v>1</v>
      </c>
    </row>
    <row r="9859" spans="1:18" ht="12.75" customHeight="1">
      <c r="A9859" s="628" t="s">
        <v>18127</v>
      </c>
      <c r="B9859" s="629"/>
      <c r="C9859" s="629"/>
      <c r="D9859" s="629"/>
      <c r="E9859" s="629"/>
      <c r="F9859" s="629"/>
      <c r="G9859" s="629"/>
      <c r="H9859" s="629"/>
      <c r="I9859" s="629"/>
      <c r="J9859" s="629"/>
      <c r="K9859" s="629"/>
      <c r="L9859" s="629"/>
      <c r="M9859" s="629"/>
      <c r="N9859" s="629"/>
      <c r="O9859" s="629"/>
      <c r="P9859" s="629"/>
      <c r="Q9859" s="629"/>
      <c r="R9859" s="629"/>
    </row>
    <row r="9860" spans="1:18" ht="24">
      <c r="A9860" s="234">
        <v>122</v>
      </c>
      <c r="B9860" s="231" t="s">
        <v>18128</v>
      </c>
      <c r="C9860" s="235" t="s">
        <v>18129</v>
      </c>
      <c r="D9860" s="236">
        <v>56131.81</v>
      </c>
      <c r="E9860" s="236">
        <v>9864.7999999999993</v>
      </c>
      <c r="F9860" s="236">
        <v>19543.13</v>
      </c>
      <c r="G9860" s="236">
        <v>26723.88</v>
      </c>
      <c r="H9860" s="237">
        <v>335934.68</v>
      </c>
      <c r="I9860" s="237">
        <v>113449.92</v>
      </c>
      <c r="J9860" s="237">
        <v>98525.95</v>
      </c>
      <c r="K9860" s="237">
        <v>123958.81</v>
      </c>
      <c r="L9860" s="43">
        <v>5.9847469732403074</v>
      </c>
      <c r="M9860" s="43">
        <v>11.500478468899523</v>
      </c>
      <c r="N9860" s="43">
        <v>5.0414621404043256</v>
      </c>
      <c r="O9860" s="43">
        <v>4.6385034658140958</v>
      </c>
      <c r="P9860" s="238"/>
      <c r="Q9860" s="238"/>
      <c r="R9860" s="238">
        <v>2</v>
      </c>
    </row>
    <row r="9861" spans="1:18" ht="24">
      <c r="A9861" s="234">
        <v>123</v>
      </c>
      <c r="B9861" s="231" t="s">
        <v>18130</v>
      </c>
      <c r="C9861" s="235" t="s">
        <v>18131</v>
      </c>
      <c r="D9861" s="236">
        <v>211669.6</v>
      </c>
      <c r="E9861" s="236">
        <v>39460.5</v>
      </c>
      <c r="F9861" s="236">
        <v>144893.31</v>
      </c>
      <c r="G9861" s="236">
        <v>27315.79</v>
      </c>
      <c r="H9861" s="237">
        <v>1243156.68</v>
      </c>
      <c r="I9861" s="237">
        <v>453812.4</v>
      </c>
      <c r="J9861" s="237">
        <v>658578.5</v>
      </c>
      <c r="K9861" s="237">
        <v>130765.78</v>
      </c>
      <c r="L9861" s="43">
        <v>5.8730997743653308</v>
      </c>
      <c r="M9861" s="43">
        <v>11.50042194092827</v>
      </c>
      <c r="N9861" s="43">
        <v>4.5452650643428605</v>
      </c>
      <c r="O9861" s="43">
        <v>4.7871864588210702</v>
      </c>
      <c r="P9861" s="238"/>
      <c r="Q9861" s="238"/>
      <c r="R9861" s="238">
        <v>2</v>
      </c>
    </row>
    <row r="9862" spans="1:18" ht="24">
      <c r="A9862" s="234">
        <v>124</v>
      </c>
      <c r="B9862" s="231" t="s">
        <v>18132</v>
      </c>
      <c r="C9862" s="235" t="s">
        <v>18133</v>
      </c>
      <c r="D9862" s="236">
        <v>128012.88</v>
      </c>
      <c r="E9862" s="236">
        <v>19255.5</v>
      </c>
      <c r="F9862" s="236">
        <v>81845.69</v>
      </c>
      <c r="G9862" s="236">
        <v>26911.69</v>
      </c>
      <c r="H9862" s="237">
        <v>717047.97</v>
      </c>
      <c r="I9862" s="237">
        <v>221446.5</v>
      </c>
      <c r="J9862" s="237">
        <v>369482.84</v>
      </c>
      <c r="K9862" s="237">
        <v>126118.63</v>
      </c>
      <c r="L9862" s="43">
        <v>5.601373627403742</v>
      </c>
      <c r="M9862" s="43">
        <v>11.500428449014567</v>
      </c>
      <c r="N9862" s="43">
        <v>4.5143835918543784</v>
      </c>
      <c r="O9862" s="43">
        <v>4.6863883316135109</v>
      </c>
      <c r="P9862" s="238"/>
      <c r="Q9862" s="238"/>
      <c r="R9862" s="238">
        <v>2</v>
      </c>
    </row>
    <row r="9863" spans="1:18" ht="24">
      <c r="A9863" s="234">
        <v>125</v>
      </c>
      <c r="B9863" s="231" t="s">
        <v>18134</v>
      </c>
      <c r="C9863" s="235" t="s">
        <v>18135</v>
      </c>
      <c r="D9863" s="236">
        <v>110601.36</v>
      </c>
      <c r="E9863" s="236">
        <v>34957.5</v>
      </c>
      <c r="F9863" s="236">
        <v>48418.13</v>
      </c>
      <c r="G9863" s="236">
        <v>27225.73</v>
      </c>
      <c r="H9863" s="237">
        <v>774098.02</v>
      </c>
      <c r="I9863" s="237">
        <v>402026</v>
      </c>
      <c r="J9863" s="237">
        <v>242341.93</v>
      </c>
      <c r="K9863" s="237">
        <v>129730.09</v>
      </c>
      <c r="L9863" s="43">
        <v>6.9989918749642861</v>
      </c>
      <c r="M9863" s="43">
        <v>11.50042194092827</v>
      </c>
      <c r="N9863" s="43">
        <v>5.0051897915099159</v>
      </c>
      <c r="O9863" s="43">
        <v>4.7649811410015452</v>
      </c>
      <c r="P9863" s="238"/>
      <c r="Q9863" s="238"/>
      <c r="R9863" s="238">
        <v>2</v>
      </c>
    </row>
    <row r="9864" spans="1:18" ht="24">
      <c r="A9864" s="234">
        <v>126</v>
      </c>
      <c r="B9864" s="231" t="s">
        <v>18136</v>
      </c>
      <c r="C9864" s="235" t="s">
        <v>18137</v>
      </c>
      <c r="D9864" s="236">
        <v>96215.08</v>
      </c>
      <c r="E9864" s="236">
        <v>13770.6</v>
      </c>
      <c r="F9864" s="236">
        <v>55642.49</v>
      </c>
      <c r="G9864" s="236">
        <v>26801.99</v>
      </c>
      <c r="H9864" s="237">
        <v>535846.31999999995</v>
      </c>
      <c r="I9864" s="237">
        <v>158367.79999999999</v>
      </c>
      <c r="J9864" s="237">
        <v>252621.44</v>
      </c>
      <c r="K9864" s="237">
        <v>124857.08</v>
      </c>
      <c r="L9864" s="43">
        <v>5.5692550481691638</v>
      </c>
      <c r="M9864" s="43">
        <v>11.500428449014565</v>
      </c>
      <c r="N9864" s="43">
        <v>4.5400815096520661</v>
      </c>
      <c r="O9864" s="43">
        <v>4.6585003576226987</v>
      </c>
      <c r="P9864" s="238"/>
      <c r="Q9864" s="238"/>
      <c r="R9864" s="238">
        <v>2</v>
      </c>
    </row>
    <row r="9865" spans="1:18" ht="24">
      <c r="A9865" s="234">
        <v>127</v>
      </c>
      <c r="B9865" s="231" t="s">
        <v>18138</v>
      </c>
      <c r="C9865" s="235" t="s">
        <v>18139</v>
      </c>
      <c r="D9865" s="236">
        <v>91244.19</v>
      </c>
      <c r="E9865" s="236">
        <v>12041.6</v>
      </c>
      <c r="F9865" s="236">
        <v>52435.18</v>
      </c>
      <c r="G9865" s="236">
        <v>26767.41</v>
      </c>
      <c r="H9865" s="237">
        <v>499152.12</v>
      </c>
      <c r="I9865" s="237">
        <v>138478.39999999999</v>
      </c>
      <c r="J9865" s="237">
        <v>236214.31</v>
      </c>
      <c r="K9865" s="237">
        <v>124459.41</v>
      </c>
      <c r="L9865" s="43">
        <v>5.4705085332008538</v>
      </c>
      <c r="M9865" s="43">
        <v>11.5</v>
      </c>
      <c r="N9865" s="43">
        <v>4.5048822183884942</v>
      </c>
      <c r="O9865" s="43">
        <v>4.6496620330469032</v>
      </c>
      <c r="P9865" s="238"/>
      <c r="Q9865" s="238"/>
      <c r="R9865" s="238">
        <v>2</v>
      </c>
    </row>
    <row r="9866" spans="1:18" ht="24">
      <c r="A9866" s="234">
        <v>128</v>
      </c>
      <c r="B9866" s="231" t="s">
        <v>18140</v>
      </c>
      <c r="C9866" s="235" t="s">
        <v>18047</v>
      </c>
      <c r="D9866" s="236">
        <v>82980.91</v>
      </c>
      <c r="E9866" s="236">
        <v>11928</v>
      </c>
      <c r="F9866" s="236">
        <v>44287.77</v>
      </c>
      <c r="G9866" s="236">
        <v>26765.14</v>
      </c>
      <c r="H9866" s="237">
        <v>463586.8</v>
      </c>
      <c r="I9866" s="237">
        <v>137172</v>
      </c>
      <c r="J9866" s="237">
        <v>201981.5</v>
      </c>
      <c r="K9866" s="237">
        <v>124433.3</v>
      </c>
      <c r="L9866" s="43">
        <v>5.586668066185343</v>
      </c>
      <c r="M9866" s="43">
        <v>11.5</v>
      </c>
      <c r="N9866" s="43">
        <v>4.5606608777095801</v>
      </c>
      <c r="O9866" s="43">
        <v>4.6490808566665445</v>
      </c>
      <c r="P9866" s="238"/>
      <c r="Q9866" s="238"/>
      <c r="R9866" s="238">
        <v>2</v>
      </c>
    </row>
    <row r="9867" spans="1:18" ht="24">
      <c r="A9867" s="234">
        <v>129</v>
      </c>
      <c r="B9867" s="231" t="s">
        <v>18141</v>
      </c>
      <c r="C9867" s="235" t="s">
        <v>18049</v>
      </c>
      <c r="D9867" s="236">
        <v>99472.6</v>
      </c>
      <c r="E9867" s="236">
        <v>12484.4</v>
      </c>
      <c r="F9867" s="236">
        <v>60211.93</v>
      </c>
      <c r="G9867" s="236">
        <v>26776.27</v>
      </c>
      <c r="H9867" s="237">
        <v>538674.61</v>
      </c>
      <c r="I9867" s="237">
        <v>143570.6</v>
      </c>
      <c r="J9867" s="237">
        <v>270542.71000000002</v>
      </c>
      <c r="K9867" s="237">
        <v>124561.3</v>
      </c>
      <c r="L9867" s="43">
        <v>5.4153064260912043</v>
      </c>
      <c r="M9867" s="43">
        <v>11.5</v>
      </c>
      <c r="N9867" s="43">
        <v>4.4931745253806019</v>
      </c>
      <c r="O9867" s="43">
        <v>4.6519287413818278</v>
      </c>
      <c r="P9867" s="238"/>
      <c r="Q9867" s="238"/>
      <c r="R9867" s="238">
        <v>2</v>
      </c>
    </row>
    <row r="9868" spans="1:18" ht="24">
      <c r="A9868" s="234">
        <v>130</v>
      </c>
      <c r="B9868" s="231" t="s">
        <v>18142</v>
      </c>
      <c r="C9868" s="235" t="s">
        <v>18143</v>
      </c>
      <c r="D9868" s="236">
        <v>111031.69</v>
      </c>
      <c r="E9868" s="236">
        <v>18744</v>
      </c>
      <c r="F9868" s="236">
        <v>65386.23</v>
      </c>
      <c r="G9868" s="236">
        <v>26901.46</v>
      </c>
      <c r="H9868" s="237">
        <v>641008.30000000005</v>
      </c>
      <c r="I9868" s="237">
        <v>215556</v>
      </c>
      <c r="J9868" s="237">
        <v>299451.32</v>
      </c>
      <c r="K9868" s="237">
        <v>126000.98</v>
      </c>
      <c r="L9868" s="43">
        <v>5.7732013265762241</v>
      </c>
      <c r="M9868" s="43">
        <v>11.5</v>
      </c>
      <c r="N9868" s="43">
        <v>4.5797306252402068</v>
      </c>
      <c r="O9868" s="43">
        <v>4.6837970875930157</v>
      </c>
      <c r="P9868" s="238"/>
      <c r="Q9868" s="238"/>
      <c r="R9868" s="238">
        <v>2</v>
      </c>
    </row>
    <row r="9869" spans="1:18" ht="24">
      <c r="A9869" s="234">
        <v>131</v>
      </c>
      <c r="B9869" s="231" t="s">
        <v>18144</v>
      </c>
      <c r="C9869" s="235" t="s">
        <v>18145</v>
      </c>
      <c r="D9869" s="236">
        <v>131003.34</v>
      </c>
      <c r="E9869" s="236">
        <v>21470.400000000001</v>
      </c>
      <c r="F9869" s="236">
        <v>82576.95</v>
      </c>
      <c r="G9869" s="236">
        <v>26955.99</v>
      </c>
      <c r="H9869" s="237">
        <v>750638.12</v>
      </c>
      <c r="I9869" s="237">
        <v>246909.6</v>
      </c>
      <c r="J9869" s="237">
        <v>377100.44</v>
      </c>
      <c r="K9869" s="237">
        <v>126628.08</v>
      </c>
      <c r="L9869" s="43">
        <v>5.7299158937474424</v>
      </c>
      <c r="M9869" s="43">
        <v>11.5</v>
      </c>
      <c r="N9869" s="43">
        <v>4.5666549805968861</v>
      </c>
      <c r="O9869" s="43">
        <v>4.6975859539938991</v>
      </c>
      <c r="P9869" s="238"/>
      <c r="Q9869" s="238"/>
      <c r="R9869" s="238">
        <v>2</v>
      </c>
    </row>
    <row r="9870" spans="1:18" ht="24">
      <c r="A9870" s="234">
        <v>132</v>
      </c>
      <c r="B9870" s="231" t="s">
        <v>18146</v>
      </c>
      <c r="C9870" s="235" t="s">
        <v>18147</v>
      </c>
      <c r="D9870" s="236">
        <v>87094.6</v>
      </c>
      <c r="E9870" s="236">
        <v>36379.5</v>
      </c>
      <c r="F9870" s="236">
        <v>23460.93</v>
      </c>
      <c r="G9870" s="236">
        <v>27254.17</v>
      </c>
      <c r="H9870" s="237">
        <v>680479.27</v>
      </c>
      <c r="I9870" s="237">
        <v>418379.6</v>
      </c>
      <c r="J9870" s="237">
        <v>132042.51999999999</v>
      </c>
      <c r="K9870" s="237">
        <v>130057.15</v>
      </c>
      <c r="L9870" s="43">
        <v>7.8131051752921534</v>
      </c>
      <c r="M9870" s="43">
        <v>11.50042194092827</v>
      </c>
      <c r="N9870" s="43">
        <v>5.6281877998868755</v>
      </c>
      <c r="O9870" s="43">
        <v>4.7720092007938604</v>
      </c>
      <c r="P9870" s="238"/>
      <c r="Q9870" s="238"/>
      <c r="R9870" s="238">
        <v>2</v>
      </c>
    </row>
    <row r="9871" spans="1:18" ht="24">
      <c r="A9871" s="234">
        <v>133</v>
      </c>
      <c r="B9871" s="231" t="s">
        <v>18148</v>
      </c>
      <c r="C9871" s="235" t="s">
        <v>18149</v>
      </c>
      <c r="D9871" s="236">
        <v>107305.11</v>
      </c>
      <c r="E9871" s="236">
        <v>17197.2</v>
      </c>
      <c r="F9871" s="236">
        <v>63237.39</v>
      </c>
      <c r="G9871" s="236">
        <v>26870.52</v>
      </c>
      <c r="H9871" s="237">
        <v>613158.15</v>
      </c>
      <c r="I9871" s="237">
        <v>197767.8</v>
      </c>
      <c r="J9871" s="237">
        <v>289745.18</v>
      </c>
      <c r="K9871" s="237">
        <v>125645.17</v>
      </c>
      <c r="L9871" s="43">
        <v>5.7141561105524241</v>
      </c>
      <c r="M9871" s="43">
        <v>11.499999999999998</v>
      </c>
      <c r="N9871" s="43">
        <v>4.5818649378160607</v>
      </c>
      <c r="O9871" s="43">
        <v>4.6759485860340622</v>
      </c>
      <c r="P9871" s="238"/>
      <c r="Q9871" s="238"/>
      <c r="R9871" s="238">
        <v>2</v>
      </c>
    </row>
    <row r="9872" spans="1:18" ht="24">
      <c r="A9872" s="234">
        <v>134</v>
      </c>
      <c r="B9872" s="231" t="s">
        <v>18150</v>
      </c>
      <c r="C9872" s="235" t="s">
        <v>18151</v>
      </c>
      <c r="D9872" s="236">
        <v>82859.27</v>
      </c>
      <c r="E9872" s="236">
        <v>27966</v>
      </c>
      <c r="F9872" s="236">
        <v>27807.37</v>
      </c>
      <c r="G9872" s="236">
        <v>27085.9</v>
      </c>
      <c r="H9872" s="237">
        <v>595493.87</v>
      </c>
      <c r="I9872" s="237">
        <v>321620.8</v>
      </c>
      <c r="J9872" s="237">
        <v>145751.03</v>
      </c>
      <c r="K9872" s="237">
        <v>128122.04</v>
      </c>
      <c r="L9872" s="43">
        <v>7.1868104799861259</v>
      </c>
      <c r="M9872" s="43">
        <v>11.50042194092827</v>
      </c>
      <c r="N9872" s="43">
        <v>5.2414532550183637</v>
      </c>
      <c r="O9872" s="43">
        <v>4.7302116599411494</v>
      </c>
      <c r="P9872" s="238"/>
      <c r="Q9872" s="238"/>
      <c r="R9872" s="238">
        <v>2</v>
      </c>
    </row>
    <row r="9873" spans="1:18" ht="24">
      <c r="A9873" s="234">
        <v>135</v>
      </c>
      <c r="B9873" s="231" t="s">
        <v>18152</v>
      </c>
      <c r="C9873" s="235" t="s">
        <v>18153</v>
      </c>
      <c r="D9873" s="236">
        <v>118745.83</v>
      </c>
      <c r="E9873" s="236">
        <v>16131.2</v>
      </c>
      <c r="F9873" s="236">
        <v>75765.429999999993</v>
      </c>
      <c r="G9873" s="236">
        <v>26849.200000000001</v>
      </c>
      <c r="H9873" s="237">
        <v>650108.30000000005</v>
      </c>
      <c r="I9873" s="237">
        <v>185508.8</v>
      </c>
      <c r="J9873" s="237">
        <v>339199.51</v>
      </c>
      <c r="K9873" s="237">
        <v>125399.99</v>
      </c>
      <c r="L9873" s="43">
        <v>5.4747884620453622</v>
      </c>
      <c r="M9873" s="43">
        <v>11.499999999999998</v>
      </c>
      <c r="N9873" s="43">
        <v>4.4769693777227957</v>
      </c>
      <c r="O9873" s="43">
        <v>4.6705298481891457</v>
      </c>
      <c r="P9873" s="238"/>
      <c r="Q9873" s="238"/>
      <c r="R9873" s="238">
        <v>2</v>
      </c>
    </row>
    <row r="9874" spans="1:18" ht="24">
      <c r="A9874" s="234">
        <v>136</v>
      </c>
      <c r="B9874" s="231" t="s">
        <v>18154</v>
      </c>
      <c r="C9874" s="235" t="s">
        <v>18054</v>
      </c>
      <c r="D9874" s="236">
        <v>89454.07</v>
      </c>
      <c r="E9874" s="236">
        <v>14092</v>
      </c>
      <c r="F9874" s="236">
        <v>48553.65</v>
      </c>
      <c r="G9874" s="236">
        <v>26808.42</v>
      </c>
      <c r="H9874" s="237">
        <v>510408.91</v>
      </c>
      <c r="I9874" s="237">
        <v>162058</v>
      </c>
      <c r="J9874" s="237">
        <v>223419.89</v>
      </c>
      <c r="K9874" s="237">
        <v>124931.02</v>
      </c>
      <c r="L9874" s="43">
        <v>5.705820987239596</v>
      </c>
      <c r="M9874" s="43">
        <v>11.5</v>
      </c>
      <c r="N9874" s="43">
        <v>4.6015055510759746</v>
      </c>
      <c r="O9874" s="43">
        <v>4.6601411049215136</v>
      </c>
      <c r="P9874" s="238"/>
      <c r="Q9874" s="238"/>
      <c r="R9874" s="238">
        <v>2</v>
      </c>
    </row>
    <row r="9875" spans="1:18" ht="24">
      <c r="A9875" s="234">
        <v>137</v>
      </c>
      <c r="B9875" s="231" t="s">
        <v>18155</v>
      </c>
      <c r="C9875" s="235" t="s">
        <v>18156</v>
      </c>
      <c r="D9875" s="236">
        <v>75129.440000000002</v>
      </c>
      <c r="E9875" s="236">
        <v>21788.400000000001</v>
      </c>
      <c r="F9875" s="236">
        <v>26378.69</v>
      </c>
      <c r="G9875" s="236">
        <v>26962.35</v>
      </c>
      <c r="H9875" s="237">
        <v>515500.43</v>
      </c>
      <c r="I9875" s="237">
        <v>250566.6</v>
      </c>
      <c r="J9875" s="237">
        <v>138232.60999999999</v>
      </c>
      <c r="K9875" s="237">
        <v>126701.22</v>
      </c>
      <c r="L9875" s="43">
        <v>6.861497037645961</v>
      </c>
      <c r="M9875" s="43">
        <v>11.5</v>
      </c>
      <c r="N9875" s="43">
        <v>5.2403136774419048</v>
      </c>
      <c r="O9875" s="43">
        <v>4.6991905379167624</v>
      </c>
      <c r="P9875" s="238"/>
      <c r="Q9875" s="238"/>
      <c r="R9875" s="238">
        <v>2</v>
      </c>
    </row>
    <row r="9876" spans="1:18" ht="24">
      <c r="A9876" s="234">
        <v>138</v>
      </c>
      <c r="B9876" s="231" t="s">
        <v>18157</v>
      </c>
      <c r="C9876" s="235" t="s">
        <v>18017</v>
      </c>
      <c r="D9876" s="236">
        <v>130592.3</v>
      </c>
      <c r="E9876" s="236">
        <v>17579.7</v>
      </c>
      <c r="F9876" s="236">
        <v>86134.43</v>
      </c>
      <c r="G9876" s="236">
        <v>26878.17</v>
      </c>
      <c r="H9876" s="237">
        <v>712878.06</v>
      </c>
      <c r="I9876" s="237">
        <v>202174.2</v>
      </c>
      <c r="J9876" s="237">
        <v>384970.71</v>
      </c>
      <c r="K9876" s="237">
        <v>125733.15</v>
      </c>
      <c r="L9876" s="43">
        <v>5.4588062236441202</v>
      </c>
      <c r="M9876" s="43">
        <v>11.500435161009573</v>
      </c>
      <c r="N9876" s="43">
        <v>4.469417281800089</v>
      </c>
      <c r="O9876" s="43">
        <v>4.6778910171339794</v>
      </c>
      <c r="P9876" s="238"/>
      <c r="Q9876" s="238"/>
      <c r="R9876" s="238">
        <v>2</v>
      </c>
    </row>
    <row r="9877" spans="1:18" ht="24">
      <c r="A9877" s="234">
        <v>139</v>
      </c>
      <c r="B9877" s="231" t="s">
        <v>18158</v>
      </c>
      <c r="C9877" s="235" t="s">
        <v>18159</v>
      </c>
      <c r="D9877" s="236">
        <v>80197.17</v>
      </c>
      <c r="E9877" s="236">
        <v>12741.2</v>
      </c>
      <c r="F9877" s="236">
        <v>40674.57</v>
      </c>
      <c r="G9877" s="236">
        <v>26781.4</v>
      </c>
      <c r="H9877" s="237">
        <v>458974.8</v>
      </c>
      <c r="I9877" s="237">
        <v>146523.79999999999</v>
      </c>
      <c r="J9877" s="237">
        <v>187830.71</v>
      </c>
      <c r="K9877" s="237">
        <v>124620.29</v>
      </c>
      <c r="L9877" s="43">
        <v>5.7230797545599179</v>
      </c>
      <c r="M9877" s="43">
        <v>11.499999999999998</v>
      </c>
      <c r="N9877" s="43">
        <v>4.6178904902989757</v>
      </c>
      <c r="O9877" s="43">
        <v>4.653240308572367</v>
      </c>
      <c r="P9877" s="238"/>
      <c r="Q9877" s="238"/>
      <c r="R9877" s="238">
        <v>2</v>
      </c>
    </row>
    <row r="9878" spans="1:18" ht="24">
      <c r="A9878" s="234">
        <v>140</v>
      </c>
      <c r="B9878" s="231" t="s">
        <v>18160</v>
      </c>
      <c r="C9878" s="235" t="s">
        <v>18161</v>
      </c>
      <c r="D9878" s="236">
        <v>108411.54</v>
      </c>
      <c r="E9878" s="236">
        <v>17579.7</v>
      </c>
      <c r="F9878" s="236">
        <v>63953.67</v>
      </c>
      <c r="G9878" s="236">
        <v>26878.17</v>
      </c>
      <c r="H9878" s="237">
        <v>620887.91</v>
      </c>
      <c r="I9878" s="237">
        <v>202174.2</v>
      </c>
      <c r="J9878" s="237">
        <v>292980.56</v>
      </c>
      <c r="K9878" s="237">
        <v>125733.15</v>
      </c>
      <c r="L9878" s="43">
        <v>5.7271385500104515</v>
      </c>
      <c r="M9878" s="43">
        <v>11.500435161009573</v>
      </c>
      <c r="N9878" s="43">
        <v>4.5811375641147727</v>
      </c>
      <c r="O9878" s="43">
        <v>4.6778910171339794</v>
      </c>
      <c r="P9878" s="238"/>
      <c r="Q9878" s="238"/>
      <c r="R9878" s="238">
        <v>2</v>
      </c>
    </row>
    <row r="9879" spans="1:18" ht="24">
      <c r="A9879" s="234">
        <v>141</v>
      </c>
      <c r="B9879" s="231" t="s">
        <v>18162</v>
      </c>
      <c r="C9879" s="235" t="s">
        <v>18163</v>
      </c>
      <c r="D9879" s="236">
        <v>91390.39</v>
      </c>
      <c r="E9879" s="236">
        <v>14937</v>
      </c>
      <c r="F9879" s="236">
        <v>49628.07</v>
      </c>
      <c r="G9879" s="236">
        <v>26825.32</v>
      </c>
      <c r="H9879" s="237">
        <v>525180.32999999996</v>
      </c>
      <c r="I9879" s="237">
        <v>171782</v>
      </c>
      <c r="J9879" s="237">
        <v>228272.96</v>
      </c>
      <c r="K9879" s="237">
        <v>125125.37</v>
      </c>
      <c r="L9879" s="43">
        <v>5.7465596765699321</v>
      </c>
      <c r="M9879" s="43">
        <v>11.500435161009573</v>
      </c>
      <c r="N9879" s="43">
        <v>4.5996743375271292</v>
      </c>
      <c r="O9879" s="43">
        <v>4.6644502283663343</v>
      </c>
      <c r="P9879" s="238"/>
      <c r="Q9879" s="238"/>
      <c r="R9879" s="238">
        <v>2</v>
      </c>
    </row>
    <row r="9880" spans="1:18" ht="24">
      <c r="A9880" s="234">
        <v>142</v>
      </c>
      <c r="B9880" s="231" t="s">
        <v>18164</v>
      </c>
      <c r="C9880" s="235" t="s">
        <v>18165</v>
      </c>
      <c r="D9880" s="236">
        <v>109954.94</v>
      </c>
      <c r="E9880" s="236">
        <v>18390.599999999999</v>
      </c>
      <c r="F9880" s="236">
        <v>64669.95</v>
      </c>
      <c r="G9880" s="236">
        <v>26894.39</v>
      </c>
      <c r="H9880" s="237">
        <v>633627.52</v>
      </c>
      <c r="I9880" s="237">
        <v>211491.9</v>
      </c>
      <c r="J9880" s="237">
        <v>296215.94</v>
      </c>
      <c r="K9880" s="237">
        <v>125919.67999999999</v>
      </c>
      <c r="L9880" s="43">
        <v>5.762610756733622</v>
      </c>
      <c r="M9880" s="43">
        <v>11.5</v>
      </c>
      <c r="N9880" s="43">
        <v>4.5804263030974974</v>
      </c>
      <c r="O9880" s="43">
        <v>4.6820054293850868</v>
      </c>
      <c r="P9880" s="238"/>
      <c r="Q9880" s="238"/>
      <c r="R9880" s="238">
        <v>2</v>
      </c>
    </row>
    <row r="9881" spans="1:18" ht="24">
      <c r="A9881" s="234">
        <v>143</v>
      </c>
      <c r="B9881" s="231" t="s">
        <v>18166</v>
      </c>
      <c r="C9881" s="235" t="s">
        <v>18167</v>
      </c>
      <c r="D9881" s="236">
        <v>90140.5</v>
      </c>
      <c r="E9881" s="236">
        <v>18958.5</v>
      </c>
      <c r="F9881" s="236">
        <v>44276.25</v>
      </c>
      <c r="G9881" s="236">
        <v>26905.75</v>
      </c>
      <c r="H9881" s="237">
        <v>553576.59</v>
      </c>
      <c r="I9881" s="237">
        <v>218031</v>
      </c>
      <c r="J9881" s="237">
        <v>209495.27</v>
      </c>
      <c r="K9881" s="237">
        <v>126050.32</v>
      </c>
      <c r="L9881" s="43">
        <v>6.1412638048380028</v>
      </c>
      <c r="M9881" s="43">
        <v>11.500435161009573</v>
      </c>
      <c r="N9881" s="43">
        <v>4.7315495327630499</v>
      </c>
      <c r="O9881" s="43">
        <v>4.6848840861154217</v>
      </c>
      <c r="P9881" s="238"/>
      <c r="Q9881" s="238"/>
      <c r="R9881" s="238">
        <v>2</v>
      </c>
    </row>
    <row r="9882" spans="1:18" ht="24">
      <c r="A9882" s="234">
        <v>144</v>
      </c>
      <c r="B9882" s="231" t="s">
        <v>18168</v>
      </c>
      <c r="C9882" s="235" t="s">
        <v>18169</v>
      </c>
      <c r="D9882" s="236">
        <v>184795.11</v>
      </c>
      <c r="E9882" s="236">
        <v>25482.400000000001</v>
      </c>
      <c r="F9882" s="236">
        <v>132276.48000000001</v>
      </c>
      <c r="G9882" s="236">
        <v>27036.23</v>
      </c>
      <c r="H9882" s="237">
        <v>1009250.99</v>
      </c>
      <c r="I9882" s="237">
        <v>293047.59999999998</v>
      </c>
      <c r="J9882" s="237">
        <v>588652.55000000005</v>
      </c>
      <c r="K9882" s="237">
        <v>127550.84</v>
      </c>
      <c r="L9882" s="43">
        <v>5.4614593968422653</v>
      </c>
      <c r="M9882" s="43">
        <v>11.499999999999998</v>
      </c>
      <c r="N9882" s="43">
        <v>4.4501679361289321</v>
      </c>
      <c r="O9882" s="43">
        <v>4.7177746305605481</v>
      </c>
      <c r="P9882" s="238"/>
      <c r="Q9882" s="238"/>
      <c r="R9882" s="238">
        <v>2</v>
      </c>
    </row>
    <row r="9883" spans="1:18" ht="24">
      <c r="A9883" s="234">
        <v>145</v>
      </c>
      <c r="B9883" s="231" t="s">
        <v>18170</v>
      </c>
      <c r="C9883" s="235" t="s">
        <v>18171</v>
      </c>
      <c r="D9883" s="236">
        <v>105904.56</v>
      </c>
      <c r="E9883" s="236">
        <v>17579.7</v>
      </c>
      <c r="F9883" s="236">
        <v>61446.69</v>
      </c>
      <c r="G9883" s="236">
        <v>26878.17</v>
      </c>
      <c r="H9883" s="237">
        <v>609564.07999999996</v>
      </c>
      <c r="I9883" s="237">
        <v>202174.2</v>
      </c>
      <c r="J9883" s="237">
        <v>281656.73</v>
      </c>
      <c r="K9883" s="237">
        <v>125733.15</v>
      </c>
      <c r="L9883" s="43">
        <v>5.7557869085146098</v>
      </c>
      <c r="M9883" s="43">
        <v>11.500435161009573</v>
      </c>
      <c r="N9883" s="43">
        <v>4.5837575628565181</v>
      </c>
      <c r="O9883" s="43">
        <v>4.6778910171339794</v>
      </c>
      <c r="P9883" s="238"/>
      <c r="Q9883" s="238"/>
      <c r="R9883" s="238">
        <v>2</v>
      </c>
    </row>
    <row r="9884" spans="1:18" ht="24">
      <c r="A9884" s="234">
        <v>146</v>
      </c>
      <c r="B9884" s="231" t="s">
        <v>18172</v>
      </c>
      <c r="C9884" s="235" t="s">
        <v>18064</v>
      </c>
      <c r="D9884" s="236">
        <v>127823.01</v>
      </c>
      <c r="E9884" s="236">
        <v>28860</v>
      </c>
      <c r="F9884" s="236">
        <v>71859.23</v>
      </c>
      <c r="G9884" s="236">
        <v>27103.78</v>
      </c>
      <c r="H9884" s="237">
        <v>798221.63</v>
      </c>
      <c r="I9884" s="237">
        <v>331890</v>
      </c>
      <c r="J9884" s="237">
        <v>338003.97</v>
      </c>
      <c r="K9884" s="237">
        <v>128327.66</v>
      </c>
      <c r="L9884" s="43">
        <v>6.2447413028374159</v>
      </c>
      <c r="M9884" s="43">
        <v>11.5</v>
      </c>
      <c r="N9884" s="43">
        <v>4.7036959622305998</v>
      </c>
      <c r="O9884" s="43">
        <v>4.7346775984751943</v>
      </c>
      <c r="P9884" s="238"/>
      <c r="Q9884" s="238"/>
      <c r="R9884" s="238">
        <v>2</v>
      </c>
    </row>
    <row r="9885" spans="1:18" ht="24">
      <c r="A9885" s="234">
        <v>147</v>
      </c>
      <c r="B9885" s="231" t="s">
        <v>18173</v>
      </c>
      <c r="C9885" s="235" t="s">
        <v>18174</v>
      </c>
      <c r="D9885" s="236">
        <v>73936.06</v>
      </c>
      <c r="E9885" s="236">
        <v>11518.5</v>
      </c>
      <c r="F9885" s="236">
        <v>35660.61</v>
      </c>
      <c r="G9885" s="236">
        <v>26756.95</v>
      </c>
      <c r="H9885" s="237">
        <v>421990.17</v>
      </c>
      <c r="I9885" s="237">
        <v>132468</v>
      </c>
      <c r="J9885" s="237">
        <v>165183.04999999999</v>
      </c>
      <c r="K9885" s="237">
        <v>124339.12</v>
      </c>
      <c r="L9885" s="43">
        <v>5.7075014546352616</v>
      </c>
      <c r="M9885" s="43">
        <v>11.500455788514129</v>
      </c>
      <c r="N9885" s="43">
        <v>4.6320870562786221</v>
      </c>
      <c r="O9885" s="43">
        <v>4.64698405461011</v>
      </c>
      <c r="P9885" s="238"/>
      <c r="Q9885" s="238"/>
      <c r="R9885" s="238">
        <v>2</v>
      </c>
    </row>
    <row r="9886" spans="1:18" ht="24">
      <c r="A9886" s="234">
        <v>148</v>
      </c>
      <c r="B9886" s="231" t="s">
        <v>18175</v>
      </c>
      <c r="C9886" s="235" t="s">
        <v>18027</v>
      </c>
      <c r="D9886" s="236">
        <v>94242.01</v>
      </c>
      <c r="E9886" s="236">
        <v>15626</v>
      </c>
      <c r="F9886" s="236">
        <v>51776.91</v>
      </c>
      <c r="G9886" s="236">
        <v>26839.1</v>
      </c>
      <c r="H9886" s="237">
        <v>542961.93999999994</v>
      </c>
      <c r="I9886" s="237">
        <v>179699</v>
      </c>
      <c r="J9886" s="237">
        <v>237979.1</v>
      </c>
      <c r="K9886" s="237">
        <v>125283.84</v>
      </c>
      <c r="L9886" s="43">
        <v>5.7613578063540878</v>
      </c>
      <c r="M9886" s="43">
        <v>11.5</v>
      </c>
      <c r="N9886" s="43">
        <v>4.5962399069392124</v>
      </c>
      <c r="O9886" s="43">
        <v>4.667959804911491</v>
      </c>
      <c r="P9886" s="238"/>
      <c r="Q9886" s="238"/>
      <c r="R9886" s="238">
        <v>2</v>
      </c>
    </row>
    <row r="9887" spans="1:18" ht="24">
      <c r="A9887" s="234">
        <v>149</v>
      </c>
      <c r="B9887" s="231" t="s">
        <v>18176</v>
      </c>
      <c r="C9887" s="235" t="s">
        <v>18177</v>
      </c>
      <c r="D9887" s="236">
        <v>63697.78</v>
      </c>
      <c r="E9887" s="236">
        <v>9205.56</v>
      </c>
      <c r="F9887" s="236">
        <v>27781.53</v>
      </c>
      <c r="G9887" s="236">
        <v>26710.69</v>
      </c>
      <c r="H9887" s="237">
        <v>359264.94</v>
      </c>
      <c r="I9887" s="237">
        <v>105863.94</v>
      </c>
      <c r="J9887" s="237">
        <v>129593.87</v>
      </c>
      <c r="K9887" s="237">
        <v>123807.13</v>
      </c>
      <c r="L9887" s="43">
        <v>5.6401485263693649</v>
      </c>
      <c r="M9887" s="43">
        <v>11.500000000000002</v>
      </c>
      <c r="N9887" s="43">
        <v>4.664749205677297</v>
      </c>
      <c r="O9887" s="43">
        <v>4.6351153788988606</v>
      </c>
      <c r="P9887" s="238"/>
      <c r="Q9887" s="238"/>
      <c r="R9887" s="238">
        <v>2</v>
      </c>
    </row>
    <row r="9888" spans="1:18" ht="24">
      <c r="A9888" s="234">
        <v>150</v>
      </c>
      <c r="B9888" s="231" t="s">
        <v>18178</v>
      </c>
      <c r="C9888" s="235" t="s">
        <v>18071</v>
      </c>
      <c r="D9888" s="236">
        <v>123334.72</v>
      </c>
      <c r="E9888" s="236">
        <v>20974.5</v>
      </c>
      <c r="F9888" s="236">
        <v>75414.149999999994</v>
      </c>
      <c r="G9888" s="236">
        <v>26946.07</v>
      </c>
      <c r="H9888" s="237">
        <v>712476.24</v>
      </c>
      <c r="I9888" s="237">
        <v>241215.6</v>
      </c>
      <c r="J9888" s="237">
        <v>344746.64</v>
      </c>
      <c r="K9888" s="237">
        <v>126514</v>
      </c>
      <c r="L9888" s="43">
        <v>5.7767694287545304</v>
      </c>
      <c r="M9888" s="43">
        <v>11.50042194092827</v>
      </c>
      <c r="N9888" s="43">
        <v>4.5713787134112103</v>
      </c>
      <c r="O9888" s="43">
        <v>4.6950816946589988</v>
      </c>
      <c r="P9888" s="238"/>
      <c r="Q9888" s="238"/>
      <c r="R9888" s="238">
        <v>2</v>
      </c>
    </row>
    <row r="9889" spans="1:18" ht="24">
      <c r="A9889" s="234">
        <v>151</v>
      </c>
      <c r="B9889" s="231" t="s">
        <v>18179</v>
      </c>
      <c r="C9889" s="235" t="s">
        <v>18180</v>
      </c>
      <c r="D9889" s="236">
        <v>109778.86</v>
      </c>
      <c r="E9889" s="236">
        <v>16813.5</v>
      </c>
      <c r="F9889" s="236">
        <v>66102.509999999995</v>
      </c>
      <c r="G9889" s="236">
        <v>26862.85</v>
      </c>
      <c r="H9889" s="237">
        <v>621607.17000000004</v>
      </c>
      <c r="I9889" s="237">
        <v>193363.5</v>
      </c>
      <c r="J9889" s="237">
        <v>302686.7</v>
      </c>
      <c r="K9889" s="237">
        <v>125556.97</v>
      </c>
      <c r="L9889" s="43">
        <v>5.6623576706845018</v>
      </c>
      <c r="M9889" s="43">
        <v>11.500490677134446</v>
      </c>
      <c r="N9889" s="43">
        <v>4.5790500239703462</v>
      </c>
      <c r="O9889" s="43">
        <v>4.6740003387578017</v>
      </c>
      <c r="P9889" s="238"/>
      <c r="Q9889" s="238"/>
      <c r="R9889" s="238">
        <v>2</v>
      </c>
    </row>
    <row r="9890" spans="1:18" ht="24">
      <c r="A9890" s="234">
        <v>152</v>
      </c>
      <c r="B9890" s="231" t="s">
        <v>18181</v>
      </c>
      <c r="C9890" s="235" t="s">
        <v>18033</v>
      </c>
      <c r="D9890" s="236">
        <v>104639.67999999999</v>
      </c>
      <c r="E9890" s="236">
        <v>15988.5</v>
      </c>
      <c r="F9890" s="236">
        <v>61804.83</v>
      </c>
      <c r="G9890" s="236">
        <v>26846.35</v>
      </c>
      <c r="H9890" s="237">
        <v>592517.04</v>
      </c>
      <c r="I9890" s="237">
        <v>183875.4</v>
      </c>
      <c r="J9890" s="237">
        <v>283274.42</v>
      </c>
      <c r="K9890" s="237">
        <v>125367.22</v>
      </c>
      <c r="L9890" s="43">
        <v>5.6624508026018434</v>
      </c>
      <c r="M9890" s="43">
        <v>11.500478468899521</v>
      </c>
      <c r="N9890" s="43">
        <v>4.5833702641039542</v>
      </c>
      <c r="O9890" s="43">
        <v>4.6698050200492807</v>
      </c>
      <c r="P9890" s="238"/>
      <c r="Q9890" s="238"/>
      <c r="R9890" s="238">
        <v>2</v>
      </c>
    </row>
    <row r="9891" spans="1:18" ht="24">
      <c r="A9891" s="234">
        <v>153</v>
      </c>
      <c r="B9891" s="231" t="s">
        <v>18182</v>
      </c>
      <c r="C9891" s="235" t="s">
        <v>18035</v>
      </c>
      <c r="D9891" s="236">
        <v>69136.78</v>
      </c>
      <c r="E9891" s="236">
        <v>12331</v>
      </c>
      <c r="F9891" s="236">
        <v>30032.58</v>
      </c>
      <c r="G9891" s="236">
        <v>26773.200000000001</v>
      </c>
      <c r="H9891" s="237">
        <v>409472.61</v>
      </c>
      <c r="I9891" s="237">
        <v>141812.4</v>
      </c>
      <c r="J9891" s="237">
        <v>143134.22</v>
      </c>
      <c r="K9891" s="237">
        <v>124525.99</v>
      </c>
      <c r="L9891" s="43">
        <v>5.9226450812432976</v>
      </c>
      <c r="M9891" s="43">
        <v>11.500478468899521</v>
      </c>
      <c r="N9891" s="43">
        <v>4.765964828862522</v>
      </c>
      <c r="O9891" s="43">
        <v>4.6511433074865911</v>
      </c>
      <c r="P9891" s="238"/>
      <c r="Q9891" s="238"/>
      <c r="R9891" s="238">
        <v>2</v>
      </c>
    </row>
    <row r="9892" spans="1:18" ht="24">
      <c r="A9892" s="234">
        <v>154</v>
      </c>
      <c r="B9892" s="231" t="s">
        <v>18183</v>
      </c>
      <c r="C9892" s="235" t="s">
        <v>18184</v>
      </c>
      <c r="D9892" s="236">
        <v>115079.62</v>
      </c>
      <c r="E9892" s="236">
        <v>19552.5</v>
      </c>
      <c r="F9892" s="236">
        <v>68609.490000000005</v>
      </c>
      <c r="G9892" s="236">
        <v>26917.63</v>
      </c>
      <c r="H9892" s="237">
        <v>665059.47</v>
      </c>
      <c r="I9892" s="237">
        <v>224862</v>
      </c>
      <c r="J9892" s="237">
        <v>314010.53000000003</v>
      </c>
      <c r="K9892" s="237">
        <v>126186.94</v>
      </c>
      <c r="L9892" s="43">
        <v>5.7791246616907497</v>
      </c>
      <c r="M9892" s="43">
        <v>11.50042194092827</v>
      </c>
      <c r="N9892" s="43">
        <v>4.5767798303121037</v>
      </c>
      <c r="O9892" s="43">
        <v>4.6878919132182144</v>
      </c>
      <c r="P9892" s="238"/>
      <c r="Q9892" s="238"/>
      <c r="R9892" s="238">
        <v>2</v>
      </c>
    </row>
    <row r="9893" spans="1:18" ht="12.75" customHeight="1">
      <c r="A9893" s="628" t="s">
        <v>18185</v>
      </c>
      <c r="B9893" s="629"/>
      <c r="C9893" s="629"/>
      <c r="D9893" s="629"/>
      <c r="E9893" s="629"/>
      <c r="F9893" s="629"/>
      <c r="G9893" s="629"/>
      <c r="H9893" s="629"/>
      <c r="I9893" s="629"/>
      <c r="J9893" s="629"/>
      <c r="K9893" s="629"/>
      <c r="L9893" s="629"/>
      <c r="M9893" s="629"/>
      <c r="N9893" s="629"/>
      <c r="O9893" s="629"/>
      <c r="P9893" s="629"/>
      <c r="Q9893" s="629"/>
      <c r="R9893" s="629"/>
    </row>
    <row r="9894" spans="1:18" ht="24">
      <c r="A9894" s="234">
        <v>155</v>
      </c>
      <c r="B9894" s="231" t="s">
        <v>18186</v>
      </c>
      <c r="C9894" s="235" t="s">
        <v>18003</v>
      </c>
      <c r="D9894" s="236">
        <v>326193.83</v>
      </c>
      <c r="E9894" s="236">
        <v>61150.8</v>
      </c>
      <c r="F9894" s="236">
        <v>237293.43</v>
      </c>
      <c r="G9894" s="236">
        <v>27749.599999999999</v>
      </c>
      <c r="H9894" s="237">
        <v>1914957.51</v>
      </c>
      <c r="I9894" s="237">
        <v>703260.4</v>
      </c>
      <c r="J9894" s="237">
        <v>1075942.52</v>
      </c>
      <c r="K9894" s="237">
        <v>135754.59</v>
      </c>
      <c r="L9894" s="43">
        <v>5.8706122982154501</v>
      </c>
      <c r="M9894" s="43">
        <v>11.500428449014567</v>
      </c>
      <c r="N9894" s="43">
        <v>4.5342280230851735</v>
      </c>
      <c r="O9894" s="43">
        <v>4.8921278144549829</v>
      </c>
      <c r="P9894" s="238"/>
      <c r="Q9894" s="238"/>
      <c r="R9894" s="238">
        <v>3</v>
      </c>
    </row>
    <row r="9895" spans="1:18" ht="24">
      <c r="A9895" s="234">
        <v>156</v>
      </c>
      <c r="B9895" s="231" t="s">
        <v>18187</v>
      </c>
      <c r="C9895" s="235" t="s">
        <v>18188</v>
      </c>
      <c r="D9895" s="236">
        <v>86588.62</v>
      </c>
      <c r="E9895" s="236">
        <v>29809.599999999999</v>
      </c>
      <c r="F9895" s="236">
        <v>29656.25</v>
      </c>
      <c r="G9895" s="236">
        <v>27122.77</v>
      </c>
      <c r="H9895" s="237">
        <v>626837.19999999995</v>
      </c>
      <c r="I9895" s="237">
        <v>342810.4</v>
      </c>
      <c r="J9895" s="237">
        <v>155480.75</v>
      </c>
      <c r="K9895" s="237">
        <v>128546.05</v>
      </c>
      <c r="L9895" s="43">
        <v>7.2392561516744349</v>
      </c>
      <c r="M9895" s="43">
        <v>11.500000000000002</v>
      </c>
      <c r="N9895" s="43">
        <v>5.2427650158061114</v>
      </c>
      <c r="O9895" s="43">
        <v>4.7394145214519021</v>
      </c>
      <c r="P9895" s="238"/>
      <c r="Q9895" s="238"/>
      <c r="R9895" s="238">
        <v>3</v>
      </c>
    </row>
    <row r="9896" spans="1:18" ht="24">
      <c r="A9896" s="234">
        <v>157</v>
      </c>
      <c r="B9896" s="231" t="s">
        <v>18189</v>
      </c>
      <c r="C9896" s="235" t="s">
        <v>18133</v>
      </c>
      <c r="D9896" s="236">
        <v>109011.63</v>
      </c>
      <c r="E9896" s="236">
        <v>24160.2</v>
      </c>
      <c r="F9896" s="236">
        <v>57841.65</v>
      </c>
      <c r="G9896" s="236">
        <v>27009.78</v>
      </c>
      <c r="H9896" s="237">
        <v>677785.23</v>
      </c>
      <c r="I9896" s="237">
        <v>277842.3</v>
      </c>
      <c r="J9896" s="237">
        <v>272696.27</v>
      </c>
      <c r="K9896" s="237">
        <v>127246.66</v>
      </c>
      <c r="L9896" s="43">
        <v>6.217549723823045</v>
      </c>
      <c r="M9896" s="43">
        <v>11.5</v>
      </c>
      <c r="N9896" s="43">
        <v>4.7145313109152314</v>
      </c>
      <c r="O9896" s="43">
        <v>4.7111327822736806</v>
      </c>
      <c r="P9896" s="238"/>
      <c r="Q9896" s="238"/>
      <c r="R9896" s="238">
        <v>3</v>
      </c>
    </row>
    <row r="9897" spans="1:18" ht="24">
      <c r="A9897" s="234">
        <v>158</v>
      </c>
      <c r="B9897" s="231" t="s">
        <v>18190</v>
      </c>
      <c r="C9897" s="235" t="s">
        <v>18139</v>
      </c>
      <c r="D9897" s="236">
        <v>88366.27</v>
      </c>
      <c r="E9897" s="236">
        <v>14430</v>
      </c>
      <c r="F9897" s="236">
        <v>47121.09</v>
      </c>
      <c r="G9897" s="236">
        <v>26815.18</v>
      </c>
      <c r="H9897" s="237">
        <v>507902.89</v>
      </c>
      <c r="I9897" s="237">
        <v>165945</v>
      </c>
      <c r="J9897" s="237">
        <v>216949.13</v>
      </c>
      <c r="K9897" s="237">
        <v>125008.76</v>
      </c>
      <c r="L9897" s="43">
        <v>5.7477009044288048</v>
      </c>
      <c r="M9897" s="43">
        <v>11.5</v>
      </c>
      <c r="N9897" s="43">
        <v>4.6040770703733722</v>
      </c>
      <c r="O9897" s="43">
        <v>4.6618654060871485</v>
      </c>
      <c r="P9897" s="238"/>
      <c r="Q9897" s="238"/>
      <c r="R9897" s="238">
        <v>3</v>
      </c>
    </row>
    <row r="9898" spans="1:18" ht="24">
      <c r="A9898" s="234">
        <v>159</v>
      </c>
      <c r="B9898" s="231" t="s">
        <v>18191</v>
      </c>
      <c r="C9898" s="235" t="s">
        <v>18047</v>
      </c>
      <c r="D9898" s="236">
        <v>73078.75</v>
      </c>
      <c r="E9898" s="236">
        <v>15626</v>
      </c>
      <c r="F9898" s="236">
        <v>30613.65</v>
      </c>
      <c r="G9898" s="236">
        <v>26839.1</v>
      </c>
      <c r="H9898" s="237">
        <v>452210.59</v>
      </c>
      <c r="I9898" s="237">
        <v>179699</v>
      </c>
      <c r="J9898" s="237">
        <v>147227.75</v>
      </c>
      <c r="K9898" s="237">
        <v>125283.84</v>
      </c>
      <c r="L9898" s="43">
        <v>6.1879902160340734</v>
      </c>
      <c r="M9898" s="43">
        <v>11.5</v>
      </c>
      <c r="N9898" s="43">
        <v>4.8092190901770939</v>
      </c>
      <c r="O9898" s="43">
        <v>4.667959804911491</v>
      </c>
      <c r="P9898" s="238"/>
      <c r="Q9898" s="238"/>
      <c r="R9898" s="238">
        <v>3</v>
      </c>
    </row>
    <row r="9899" spans="1:18" ht="24">
      <c r="A9899" s="234">
        <v>160</v>
      </c>
      <c r="B9899" s="231" t="s">
        <v>18192</v>
      </c>
      <c r="C9899" s="235" t="s">
        <v>18049</v>
      </c>
      <c r="D9899" s="236">
        <v>81993.67</v>
      </c>
      <c r="E9899" s="236">
        <v>13098</v>
      </c>
      <c r="F9899" s="236">
        <v>42107.13</v>
      </c>
      <c r="G9899" s="236">
        <v>26788.54</v>
      </c>
      <c r="H9899" s="237">
        <v>469630.87</v>
      </c>
      <c r="I9899" s="237">
        <v>150627</v>
      </c>
      <c r="J9899" s="237">
        <v>194301.47</v>
      </c>
      <c r="K9899" s="237">
        <v>124702.39999999999</v>
      </c>
      <c r="L9899" s="43">
        <v>5.7276478781837667</v>
      </c>
      <c r="M9899" s="43">
        <v>11.5</v>
      </c>
      <c r="N9899" s="43">
        <v>4.6144553190872903</v>
      </c>
      <c r="O9899" s="43">
        <v>4.655065188323066</v>
      </c>
      <c r="P9899" s="238"/>
      <c r="Q9899" s="238"/>
      <c r="R9899" s="238">
        <v>3</v>
      </c>
    </row>
    <row r="9900" spans="1:18" ht="24">
      <c r="A9900" s="234">
        <v>161</v>
      </c>
      <c r="B9900" s="231" t="s">
        <v>18193</v>
      </c>
      <c r="C9900" s="235" t="s">
        <v>18194</v>
      </c>
      <c r="D9900" s="236">
        <v>105036.05</v>
      </c>
      <c r="E9900" s="236">
        <v>26140.799999999999</v>
      </c>
      <c r="F9900" s="236">
        <v>51845.85</v>
      </c>
      <c r="G9900" s="236">
        <v>27049.4</v>
      </c>
      <c r="H9900" s="237">
        <v>675691.24</v>
      </c>
      <c r="I9900" s="237">
        <v>300630.40000000002</v>
      </c>
      <c r="J9900" s="237">
        <v>247358.55</v>
      </c>
      <c r="K9900" s="237">
        <v>127702.29</v>
      </c>
      <c r="L9900" s="43">
        <v>6.4329460218658259</v>
      </c>
      <c r="M9900" s="43">
        <v>11.500428449014569</v>
      </c>
      <c r="N9900" s="43">
        <v>4.7710385691429495</v>
      </c>
      <c r="O9900" s="43">
        <v>4.721076622771669</v>
      </c>
      <c r="P9900" s="238"/>
      <c r="Q9900" s="238"/>
      <c r="R9900" s="238">
        <v>3</v>
      </c>
    </row>
    <row r="9901" spans="1:18" ht="24">
      <c r="A9901" s="234">
        <v>162</v>
      </c>
      <c r="B9901" s="231" t="s">
        <v>18195</v>
      </c>
      <c r="C9901" s="235" t="s">
        <v>18149</v>
      </c>
      <c r="D9901" s="236">
        <v>72676.759999999995</v>
      </c>
      <c r="E9901" s="236">
        <v>13585</v>
      </c>
      <c r="F9901" s="236">
        <v>32293.48</v>
      </c>
      <c r="G9901" s="236">
        <v>26798.28</v>
      </c>
      <c r="H9901" s="237">
        <v>434716.13</v>
      </c>
      <c r="I9901" s="237">
        <v>156234</v>
      </c>
      <c r="J9901" s="237">
        <v>153667.72</v>
      </c>
      <c r="K9901" s="237">
        <v>124814.41</v>
      </c>
      <c r="L9901" s="43">
        <v>5.9815012391856772</v>
      </c>
      <c r="M9901" s="43">
        <v>11.500478468899521</v>
      </c>
      <c r="N9901" s="43">
        <v>4.7584750853732709</v>
      </c>
      <c r="O9901" s="43">
        <v>4.6575530220596253</v>
      </c>
      <c r="P9901" s="238"/>
      <c r="Q9901" s="238"/>
      <c r="R9901" s="238">
        <v>3</v>
      </c>
    </row>
    <row r="9902" spans="1:18" ht="24">
      <c r="A9902" s="234">
        <v>163</v>
      </c>
      <c r="B9902" s="231" t="s">
        <v>18196</v>
      </c>
      <c r="C9902" s="235" t="s">
        <v>18197</v>
      </c>
      <c r="D9902" s="236">
        <v>149995.46</v>
      </c>
      <c r="E9902" s="236">
        <v>20337.3</v>
      </c>
      <c r="F9902" s="236">
        <v>102724.83</v>
      </c>
      <c r="G9902" s="236">
        <v>26933.33</v>
      </c>
      <c r="H9902" s="237">
        <v>818459.92</v>
      </c>
      <c r="I9902" s="237">
        <v>233887.8</v>
      </c>
      <c r="J9902" s="237">
        <v>458204.63</v>
      </c>
      <c r="K9902" s="237">
        <v>126367.49</v>
      </c>
      <c r="L9902" s="43">
        <v>5.4565646186891259</v>
      </c>
      <c r="M9902" s="43">
        <v>11.500435161009573</v>
      </c>
      <c r="N9902" s="43">
        <v>4.4605051183827706</v>
      </c>
      <c r="O9902" s="43">
        <v>4.6918628331513403</v>
      </c>
      <c r="P9902" s="238"/>
      <c r="Q9902" s="238"/>
      <c r="R9902" s="238">
        <v>3</v>
      </c>
    </row>
    <row r="9903" spans="1:18" ht="24">
      <c r="A9903" s="234">
        <v>164</v>
      </c>
      <c r="B9903" s="231" t="s">
        <v>18198</v>
      </c>
      <c r="C9903" s="235" t="s">
        <v>18199</v>
      </c>
      <c r="D9903" s="236">
        <v>164286.67000000001</v>
      </c>
      <c r="E9903" s="236">
        <v>29874</v>
      </c>
      <c r="F9903" s="236">
        <v>107288.61</v>
      </c>
      <c r="G9903" s="236">
        <v>27124.06</v>
      </c>
      <c r="H9903" s="237">
        <v>960845.93</v>
      </c>
      <c r="I9903" s="237">
        <v>343564</v>
      </c>
      <c r="J9903" s="237">
        <v>488721.05</v>
      </c>
      <c r="K9903" s="237">
        <v>128560.88</v>
      </c>
      <c r="L9903" s="43">
        <v>5.8485933764437492</v>
      </c>
      <c r="M9903" s="43">
        <v>11.500435161009573</v>
      </c>
      <c r="N9903" s="43">
        <v>4.5551997551277807</v>
      </c>
      <c r="O9903" s="43">
        <v>4.7397358655009612</v>
      </c>
      <c r="P9903" s="238"/>
      <c r="Q9903" s="238"/>
      <c r="R9903" s="238">
        <v>3</v>
      </c>
    </row>
    <row r="9904" spans="1:18" ht="24">
      <c r="A9904" s="234">
        <v>165</v>
      </c>
      <c r="B9904" s="231" t="s">
        <v>18200</v>
      </c>
      <c r="C9904" s="235" t="s">
        <v>18017</v>
      </c>
      <c r="D9904" s="236">
        <v>124065.86</v>
      </c>
      <c r="E9904" s="236">
        <v>29388</v>
      </c>
      <c r="F9904" s="236">
        <v>67563.520000000004</v>
      </c>
      <c r="G9904" s="236">
        <v>27114.34</v>
      </c>
      <c r="H9904" s="237">
        <v>784413.82</v>
      </c>
      <c r="I9904" s="237">
        <v>337974.4</v>
      </c>
      <c r="J9904" s="237">
        <v>317990.32</v>
      </c>
      <c r="K9904" s="237">
        <v>128449.1</v>
      </c>
      <c r="L9904" s="43">
        <v>6.3225598081535077</v>
      </c>
      <c r="M9904" s="43">
        <v>11.500421940928272</v>
      </c>
      <c r="N9904" s="43">
        <v>4.706538676492876</v>
      </c>
      <c r="O9904" s="43">
        <v>4.7373124331995546</v>
      </c>
      <c r="P9904" s="238"/>
      <c r="Q9904" s="238"/>
      <c r="R9904" s="238">
        <v>3</v>
      </c>
    </row>
    <row r="9905" spans="1:18" ht="24">
      <c r="A9905" s="234">
        <v>166</v>
      </c>
      <c r="B9905" s="231" t="s">
        <v>18201</v>
      </c>
      <c r="C9905" s="235" t="s">
        <v>18159</v>
      </c>
      <c r="D9905" s="236">
        <v>144397.75</v>
      </c>
      <c r="E9905" s="236">
        <v>25122</v>
      </c>
      <c r="F9905" s="236">
        <v>92246.73</v>
      </c>
      <c r="G9905" s="236">
        <v>27029.02</v>
      </c>
      <c r="H9905" s="237">
        <v>837159.59</v>
      </c>
      <c r="I9905" s="237">
        <v>288913.59999999998</v>
      </c>
      <c r="J9905" s="237">
        <v>420778.07</v>
      </c>
      <c r="K9905" s="237">
        <v>127467.92</v>
      </c>
      <c r="L9905" s="43">
        <v>5.7975944223507634</v>
      </c>
      <c r="M9905" s="43">
        <v>11.50042194092827</v>
      </c>
      <c r="N9905" s="43">
        <v>4.561441581723277</v>
      </c>
      <c r="O9905" s="43">
        <v>4.7159652847199043</v>
      </c>
      <c r="P9905" s="238"/>
      <c r="Q9905" s="238"/>
      <c r="R9905" s="238">
        <v>3</v>
      </c>
    </row>
    <row r="9906" spans="1:18" ht="24">
      <c r="A9906" s="234">
        <v>167</v>
      </c>
      <c r="B9906" s="231" t="s">
        <v>18202</v>
      </c>
      <c r="C9906" s="235" t="s">
        <v>18203</v>
      </c>
      <c r="D9906" s="236">
        <v>101085.36</v>
      </c>
      <c r="E9906" s="236">
        <v>17068.400000000001</v>
      </c>
      <c r="F9906" s="236">
        <v>57149.01</v>
      </c>
      <c r="G9906" s="236">
        <v>26867.95</v>
      </c>
      <c r="H9906" s="237">
        <v>584146.67000000004</v>
      </c>
      <c r="I9906" s="237">
        <v>196286.6</v>
      </c>
      <c r="J9906" s="237">
        <v>262244.45</v>
      </c>
      <c r="K9906" s="237">
        <v>125615.62</v>
      </c>
      <c r="L9906" s="43">
        <v>5.7787464970199451</v>
      </c>
      <c r="M9906" s="43">
        <v>11.5</v>
      </c>
      <c r="N9906" s="43">
        <v>4.5887837777067357</v>
      </c>
      <c r="O9906" s="43">
        <v>4.6752960311449137</v>
      </c>
      <c r="P9906" s="238"/>
      <c r="Q9906" s="238"/>
      <c r="R9906" s="238">
        <v>3</v>
      </c>
    </row>
    <row r="9907" spans="1:18" ht="24">
      <c r="A9907" s="234">
        <v>168</v>
      </c>
      <c r="B9907" s="231" t="s">
        <v>18204</v>
      </c>
      <c r="C9907" s="235" t="s">
        <v>18023</v>
      </c>
      <c r="D9907" s="236">
        <v>93061.63</v>
      </c>
      <c r="E9907" s="236">
        <v>15171</v>
      </c>
      <c r="F9907" s="236">
        <v>51060.63</v>
      </c>
      <c r="G9907" s="236">
        <v>26830</v>
      </c>
      <c r="H9907" s="237">
        <v>534395.91</v>
      </c>
      <c r="I9907" s="237">
        <v>174473</v>
      </c>
      <c r="J9907" s="237">
        <v>234743.72</v>
      </c>
      <c r="K9907" s="237">
        <v>125179.19</v>
      </c>
      <c r="L9907" s="43">
        <v>5.7423871685892456</v>
      </c>
      <c r="M9907" s="43">
        <v>11.500428449014567</v>
      </c>
      <c r="N9907" s="43">
        <v>4.5973525982738561</v>
      </c>
      <c r="O9907" s="43">
        <v>4.6656425642937016</v>
      </c>
      <c r="P9907" s="238"/>
      <c r="Q9907" s="238"/>
      <c r="R9907" s="238">
        <v>3</v>
      </c>
    </row>
    <row r="9908" spans="1:18" ht="24">
      <c r="A9908" s="234">
        <v>169</v>
      </c>
      <c r="B9908" s="231" t="s">
        <v>18205</v>
      </c>
      <c r="C9908" s="235" t="s">
        <v>18167</v>
      </c>
      <c r="D9908" s="236">
        <v>116440.15</v>
      </c>
      <c r="E9908" s="236">
        <v>19833</v>
      </c>
      <c r="F9908" s="236">
        <v>69683.91</v>
      </c>
      <c r="G9908" s="236">
        <v>26923.24</v>
      </c>
      <c r="H9908" s="237">
        <v>673194.55</v>
      </c>
      <c r="I9908" s="237">
        <v>228079.5</v>
      </c>
      <c r="J9908" s="237">
        <v>318863.59999999998</v>
      </c>
      <c r="K9908" s="237">
        <v>126251.45</v>
      </c>
      <c r="L9908" s="43">
        <v>5.7814641255615014</v>
      </c>
      <c r="M9908" s="43">
        <v>11.5</v>
      </c>
      <c r="N9908" s="43">
        <v>4.5758568943677238</v>
      </c>
      <c r="O9908" s="43">
        <v>4.6893111676009269</v>
      </c>
      <c r="P9908" s="238"/>
      <c r="Q9908" s="238"/>
      <c r="R9908" s="238">
        <v>3</v>
      </c>
    </row>
    <row r="9909" spans="1:18" ht="24">
      <c r="A9909" s="234">
        <v>170</v>
      </c>
      <c r="B9909" s="231" t="s">
        <v>18206</v>
      </c>
      <c r="C9909" s="235" t="s">
        <v>18207</v>
      </c>
      <c r="D9909" s="236">
        <v>84155.41</v>
      </c>
      <c r="E9909" s="236">
        <v>28495.200000000001</v>
      </c>
      <c r="F9909" s="236">
        <v>28563.73</v>
      </c>
      <c r="G9909" s="236">
        <v>27096.48</v>
      </c>
      <c r="H9909" s="237">
        <v>605682.28</v>
      </c>
      <c r="I9909" s="237">
        <v>327707.2</v>
      </c>
      <c r="J9909" s="237">
        <v>149731.37</v>
      </c>
      <c r="K9909" s="237">
        <v>128243.71</v>
      </c>
      <c r="L9909" s="43">
        <v>7.197187679318537</v>
      </c>
      <c r="M9909" s="43">
        <v>11.500435161009573</v>
      </c>
      <c r="N9909" s="43">
        <v>5.2420104097048945</v>
      </c>
      <c r="O9909" s="43">
        <v>4.7328549686158503</v>
      </c>
      <c r="P9909" s="238"/>
      <c r="Q9909" s="238"/>
      <c r="R9909" s="238">
        <v>3</v>
      </c>
    </row>
    <row r="9910" spans="1:18" ht="24">
      <c r="A9910" s="234">
        <v>171</v>
      </c>
      <c r="B9910" s="231" t="s">
        <v>18208</v>
      </c>
      <c r="C9910" s="235" t="s">
        <v>18209</v>
      </c>
      <c r="D9910" s="236">
        <v>115489.39</v>
      </c>
      <c r="E9910" s="236">
        <v>20974.5</v>
      </c>
      <c r="F9910" s="236">
        <v>67568.820000000007</v>
      </c>
      <c r="G9910" s="236">
        <v>26946.07</v>
      </c>
      <c r="H9910" s="237">
        <v>679341.36</v>
      </c>
      <c r="I9910" s="237">
        <v>241215.6</v>
      </c>
      <c r="J9910" s="237">
        <v>311611.76</v>
      </c>
      <c r="K9910" s="237">
        <v>126514</v>
      </c>
      <c r="L9910" s="43">
        <v>5.8822837318648924</v>
      </c>
      <c r="M9910" s="43">
        <v>11.50042194092827</v>
      </c>
      <c r="N9910" s="43">
        <v>4.6117685642578925</v>
      </c>
      <c r="O9910" s="43">
        <v>4.6950816946589988</v>
      </c>
      <c r="P9910" s="238"/>
      <c r="Q9910" s="238"/>
      <c r="R9910" s="238">
        <v>3</v>
      </c>
    </row>
    <row r="9911" spans="1:18" ht="24">
      <c r="A9911" s="234">
        <v>172</v>
      </c>
      <c r="B9911" s="231" t="s">
        <v>18210</v>
      </c>
      <c r="C9911" s="235" t="s">
        <v>18211</v>
      </c>
      <c r="D9911" s="236">
        <v>122591.57</v>
      </c>
      <c r="E9911" s="236">
        <v>19894.8</v>
      </c>
      <c r="F9911" s="236">
        <v>75772.289999999994</v>
      </c>
      <c r="G9911" s="236">
        <v>26924.48</v>
      </c>
      <c r="H9911" s="237">
        <v>701420.24</v>
      </c>
      <c r="I9911" s="237">
        <v>228790.2</v>
      </c>
      <c r="J9911" s="237">
        <v>346364.33</v>
      </c>
      <c r="K9911" s="237">
        <v>126265.71</v>
      </c>
      <c r="L9911" s="43">
        <v>5.7216025539113327</v>
      </c>
      <c r="M9911" s="43">
        <v>11.500000000000002</v>
      </c>
      <c r="N9911" s="43">
        <v>4.5711213162489885</v>
      </c>
      <c r="O9911" s="43">
        <v>4.6896248321230347</v>
      </c>
      <c r="P9911" s="238"/>
      <c r="Q9911" s="238"/>
      <c r="R9911" s="238">
        <v>3</v>
      </c>
    </row>
    <row r="9912" spans="1:18" ht="24">
      <c r="A9912" s="234">
        <v>173</v>
      </c>
      <c r="B9912" s="231" t="s">
        <v>18212</v>
      </c>
      <c r="C9912" s="235" t="s">
        <v>18177</v>
      </c>
      <c r="D9912" s="236">
        <v>61681.53</v>
      </c>
      <c r="E9912" s="236">
        <v>8984.43</v>
      </c>
      <c r="F9912" s="236">
        <v>25990.83</v>
      </c>
      <c r="G9912" s="236">
        <v>26706.27</v>
      </c>
      <c r="H9912" s="237">
        <v>348586.76</v>
      </c>
      <c r="I9912" s="237">
        <v>103325.04</v>
      </c>
      <c r="J9912" s="237">
        <v>121505.42</v>
      </c>
      <c r="K9912" s="237">
        <v>123756.3</v>
      </c>
      <c r="L9912" s="43">
        <v>5.6513961310622483</v>
      </c>
      <c r="M9912" s="43">
        <v>11.500455788514129</v>
      </c>
      <c r="N9912" s="43">
        <v>4.6749341979459675</v>
      </c>
      <c r="O9912" s="43">
        <v>4.6339792116233376</v>
      </c>
      <c r="P9912" s="238"/>
      <c r="Q9912" s="238"/>
      <c r="R9912" s="238">
        <v>3</v>
      </c>
    </row>
    <row r="9913" spans="1:18" ht="24">
      <c r="A9913" s="234">
        <v>174</v>
      </c>
      <c r="B9913" s="231" t="s">
        <v>18213</v>
      </c>
      <c r="C9913" s="235" t="s">
        <v>18214</v>
      </c>
      <c r="D9913" s="236">
        <v>101443.5</v>
      </c>
      <c r="E9913" s="236">
        <v>17068.400000000001</v>
      </c>
      <c r="F9913" s="236">
        <v>57507.15</v>
      </c>
      <c r="G9913" s="236">
        <v>26867.95</v>
      </c>
      <c r="H9913" s="237">
        <v>585764.36</v>
      </c>
      <c r="I9913" s="237">
        <v>196286.6</v>
      </c>
      <c r="J9913" s="237">
        <v>263862.14</v>
      </c>
      <c r="K9913" s="237">
        <v>125615.62</v>
      </c>
      <c r="L9913" s="43">
        <v>5.7742916993203108</v>
      </c>
      <c r="M9913" s="43">
        <v>11.5</v>
      </c>
      <c r="N9913" s="43">
        <v>4.5883362329727699</v>
      </c>
      <c r="O9913" s="43">
        <v>4.6752960311449137</v>
      </c>
      <c r="P9913" s="238"/>
      <c r="Q9913" s="238"/>
      <c r="R9913" s="238">
        <v>3</v>
      </c>
    </row>
    <row r="9914" spans="1:18" ht="24">
      <c r="A9914" s="234">
        <v>175</v>
      </c>
      <c r="B9914" s="231" t="s">
        <v>18215</v>
      </c>
      <c r="C9914" s="235" t="s">
        <v>18216</v>
      </c>
      <c r="D9914" s="236">
        <v>99761</v>
      </c>
      <c r="E9914" s="236">
        <v>36379.5</v>
      </c>
      <c r="F9914" s="236">
        <v>36127.33</v>
      </c>
      <c r="G9914" s="236">
        <v>27254.17</v>
      </c>
      <c r="H9914" s="237">
        <v>737971.52</v>
      </c>
      <c r="I9914" s="237">
        <v>418379.6</v>
      </c>
      <c r="J9914" s="237">
        <v>189534.77</v>
      </c>
      <c r="K9914" s="237">
        <v>130057.15</v>
      </c>
      <c r="L9914" s="43">
        <v>7.3973949739878311</v>
      </c>
      <c r="M9914" s="43">
        <v>11.50042194092827</v>
      </c>
      <c r="N9914" s="43">
        <v>5.2462988546344276</v>
      </c>
      <c r="O9914" s="43">
        <v>4.7720092007938604</v>
      </c>
      <c r="P9914" s="238"/>
      <c r="Q9914" s="238"/>
      <c r="R9914" s="238">
        <v>3</v>
      </c>
    </row>
    <row r="9915" spans="1:18" ht="24">
      <c r="A9915" s="234">
        <v>176</v>
      </c>
      <c r="B9915" s="231" t="s">
        <v>18217</v>
      </c>
      <c r="C9915" s="235" t="s">
        <v>18119</v>
      </c>
      <c r="D9915" s="236">
        <v>96906.15</v>
      </c>
      <c r="E9915" s="236">
        <v>16131.2</v>
      </c>
      <c r="F9915" s="236">
        <v>53925.75</v>
      </c>
      <c r="G9915" s="236">
        <v>26849.200000000001</v>
      </c>
      <c r="H9915" s="237">
        <v>558594.03</v>
      </c>
      <c r="I9915" s="237">
        <v>185508.8</v>
      </c>
      <c r="J9915" s="237">
        <v>247685.24</v>
      </c>
      <c r="K9915" s="237">
        <v>125399.99</v>
      </c>
      <c r="L9915" s="43">
        <v>5.7642784281492974</v>
      </c>
      <c r="M9915" s="43">
        <v>11.499999999999998</v>
      </c>
      <c r="N9915" s="43">
        <v>4.5930791875866355</v>
      </c>
      <c r="O9915" s="43">
        <v>4.6705298481891457</v>
      </c>
      <c r="P9915" s="238"/>
      <c r="Q9915" s="238"/>
      <c r="R9915" s="238">
        <v>3</v>
      </c>
    </row>
    <row r="9916" spans="1:18" ht="12.75" customHeight="1">
      <c r="A9916" s="628" t="s">
        <v>18218</v>
      </c>
      <c r="B9916" s="629"/>
      <c r="C9916" s="629"/>
      <c r="D9916" s="629"/>
      <c r="E9916" s="629"/>
      <c r="F9916" s="629"/>
      <c r="G9916" s="629"/>
      <c r="H9916" s="629"/>
      <c r="I9916" s="629"/>
      <c r="J9916" s="629"/>
      <c r="K9916" s="629"/>
      <c r="L9916" s="629"/>
      <c r="M9916" s="629"/>
      <c r="N9916" s="629"/>
      <c r="O9916" s="629"/>
      <c r="P9916" s="629"/>
      <c r="Q9916" s="629"/>
      <c r="R9916" s="629"/>
    </row>
    <row r="9917" spans="1:18" ht="12.75" customHeight="1">
      <c r="A9917" s="628" t="s">
        <v>18219</v>
      </c>
      <c r="B9917" s="629"/>
      <c r="C9917" s="629"/>
      <c r="D9917" s="629"/>
      <c r="E9917" s="629"/>
      <c r="F9917" s="629"/>
      <c r="G9917" s="629"/>
      <c r="H9917" s="629"/>
      <c r="I9917" s="629"/>
      <c r="J9917" s="629"/>
      <c r="K9917" s="629"/>
      <c r="L9917" s="629"/>
      <c r="M9917" s="629"/>
      <c r="N9917" s="629"/>
      <c r="O9917" s="629"/>
      <c r="P9917" s="629"/>
      <c r="Q9917" s="629"/>
      <c r="R9917" s="629"/>
    </row>
    <row r="9918" spans="1:18" ht="24">
      <c r="A9918" s="234">
        <v>177</v>
      </c>
      <c r="B9918" s="231" t="s">
        <v>18220</v>
      </c>
      <c r="C9918" s="235" t="s">
        <v>18221</v>
      </c>
      <c r="D9918" s="236">
        <v>109314.49</v>
      </c>
      <c r="E9918" s="236">
        <v>11823.6</v>
      </c>
      <c r="F9918" s="236">
        <v>64669.95</v>
      </c>
      <c r="G9918" s="236">
        <v>32820.94</v>
      </c>
      <c r="H9918" s="237">
        <v>586156.15</v>
      </c>
      <c r="I9918" s="237">
        <v>135971.4</v>
      </c>
      <c r="J9918" s="237">
        <v>296215.94</v>
      </c>
      <c r="K9918" s="237">
        <v>153968.81</v>
      </c>
      <c r="L9918" s="43">
        <v>5.3621084450926864</v>
      </c>
      <c r="M9918" s="43">
        <v>11.5</v>
      </c>
      <c r="N9918" s="43">
        <v>4.5804263030974974</v>
      </c>
      <c r="O9918" s="43">
        <v>4.6911761210982981</v>
      </c>
      <c r="P9918" s="238"/>
      <c r="Q9918" s="238"/>
      <c r="R9918" s="238">
        <v>1</v>
      </c>
    </row>
    <row r="9919" spans="1:18" ht="24">
      <c r="A9919" s="234">
        <v>178</v>
      </c>
      <c r="B9919" s="231" t="s">
        <v>18222</v>
      </c>
      <c r="C9919" s="235" t="s">
        <v>18223</v>
      </c>
      <c r="D9919" s="236">
        <v>127627.31</v>
      </c>
      <c r="E9919" s="236">
        <v>39460.5</v>
      </c>
      <c r="F9919" s="236">
        <v>54793.13</v>
      </c>
      <c r="G9919" s="236">
        <v>33373.68</v>
      </c>
      <c r="H9919" s="237">
        <v>888231.23</v>
      </c>
      <c r="I9919" s="237">
        <v>453812.4</v>
      </c>
      <c r="J9919" s="237">
        <v>274093.51</v>
      </c>
      <c r="K9919" s="237">
        <v>160325.32</v>
      </c>
      <c r="L9919" s="43">
        <v>6.9595702518528366</v>
      </c>
      <c r="M9919" s="43">
        <v>11.50042194092827</v>
      </c>
      <c r="N9919" s="43">
        <v>5.0023335042185035</v>
      </c>
      <c r="O9919" s="43">
        <v>4.8039449050868832</v>
      </c>
      <c r="P9919" s="238"/>
      <c r="Q9919" s="238"/>
      <c r="R9919" s="238">
        <v>1</v>
      </c>
    </row>
    <row r="9920" spans="1:18" ht="24">
      <c r="A9920" s="234">
        <v>179</v>
      </c>
      <c r="B9920" s="231" t="s">
        <v>18224</v>
      </c>
      <c r="C9920" s="235" t="s">
        <v>18225</v>
      </c>
      <c r="D9920" s="236">
        <v>113956.83</v>
      </c>
      <c r="E9920" s="236">
        <v>18130.5</v>
      </c>
      <c r="F9920" s="236">
        <v>62879.25</v>
      </c>
      <c r="G9920" s="236">
        <v>32947.08</v>
      </c>
      <c r="H9920" s="237">
        <v>652055.31000000006</v>
      </c>
      <c r="I9920" s="237">
        <v>208508.4</v>
      </c>
      <c r="J9920" s="237">
        <v>288127.49</v>
      </c>
      <c r="K9920" s="237">
        <v>155419.42000000001</v>
      </c>
      <c r="L9920" s="43">
        <v>5.7219502332593848</v>
      </c>
      <c r="M9920" s="43">
        <v>11.50042194092827</v>
      </c>
      <c r="N9920" s="43">
        <v>4.5822348389969658</v>
      </c>
      <c r="O9920" s="43">
        <v>4.7172441381755226</v>
      </c>
      <c r="P9920" s="238"/>
      <c r="Q9920" s="238"/>
      <c r="R9920" s="238">
        <v>1</v>
      </c>
    </row>
    <row r="9921" spans="1:18" ht="24">
      <c r="A9921" s="234">
        <v>180</v>
      </c>
      <c r="B9921" s="231" t="s">
        <v>18226</v>
      </c>
      <c r="C9921" s="235" t="s">
        <v>18100</v>
      </c>
      <c r="D9921" s="236">
        <v>118348.94</v>
      </c>
      <c r="E9921" s="236">
        <v>23828.799999999999</v>
      </c>
      <c r="F9921" s="236">
        <v>61459.09</v>
      </c>
      <c r="G9921" s="236">
        <v>33061.050000000003</v>
      </c>
      <c r="H9921" s="237">
        <v>720311.14</v>
      </c>
      <c r="I9921" s="237">
        <v>274031.2</v>
      </c>
      <c r="J9921" s="237">
        <v>289549.87</v>
      </c>
      <c r="K9921" s="237">
        <v>156730.07</v>
      </c>
      <c r="L9921" s="43">
        <v>6.0863336841039724</v>
      </c>
      <c r="M9921" s="43">
        <v>11.5</v>
      </c>
      <c r="N9921" s="43">
        <v>4.7112619142261956</v>
      </c>
      <c r="O9921" s="43">
        <v>4.7406259026860909</v>
      </c>
      <c r="P9921" s="238"/>
      <c r="Q9921" s="238"/>
      <c r="R9921" s="238">
        <v>1</v>
      </c>
    </row>
    <row r="9922" spans="1:18" ht="24">
      <c r="A9922" s="234">
        <v>181</v>
      </c>
      <c r="B9922" s="231" t="s">
        <v>18227</v>
      </c>
      <c r="C9922" s="235" t="s">
        <v>18228</v>
      </c>
      <c r="D9922" s="236">
        <v>90289.95</v>
      </c>
      <c r="E9922" s="236">
        <v>34426.5</v>
      </c>
      <c r="F9922" s="236">
        <v>22590.45</v>
      </c>
      <c r="G9922" s="236">
        <v>33273</v>
      </c>
      <c r="H9922" s="237">
        <v>682083.94</v>
      </c>
      <c r="I9922" s="237">
        <v>395919.5</v>
      </c>
      <c r="J9922" s="237">
        <v>126996.94</v>
      </c>
      <c r="K9922" s="237">
        <v>159167.5</v>
      </c>
      <c r="L9922" s="43">
        <v>7.554372773492509</v>
      </c>
      <c r="M9922" s="43">
        <v>11.500428449014567</v>
      </c>
      <c r="N9922" s="43">
        <v>5.621709173566706</v>
      </c>
      <c r="O9922" s="43">
        <v>4.7836834670754067</v>
      </c>
      <c r="P9922" s="238"/>
      <c r="Q9922" s="238"/>
      <c r="R9922" s="238">
        <v>1</v>
      </c>
    </row>
    <row r="9923" spans="1:18" ht="24">
      <c r="A9923" s="234">
        <v>182</v>
      </c>
      <c r="B9923" s="231" t="s">
        <v>18229</v>
      </c>
      <c r="C9923" s="235" t="s">
        <v>18230</v>
      </c>
      <c r="D9923" s="236">
        <v>76823.78</v>
      </c>
      <c r="E9923" s="236">
        <v>13263.2</v>
      </c>
      <c r="F9923" s="236">
        <v>30710.85</v>
      </c>
      <c r="G9923" s="236">
        <v>32849.730000000003</v>
      </c>
      <c r="H9923" s="237">
        <v>453120.96</v>
      </c>
      <c r="I9923" s="237">
        <v>152526.79999999999</v>
      </c>
      <c r="J9923" s="237">
        <v>146294.26999999999</v>
      </c>
      <c r="K9923" s="237">
        <v>154299.89000000001</v>
      </c>
      <c r="L9923" s="43">
        <v>5.8981862126544673</v>
      </c>
      <c r="M9923" s="43">
        <v>11.499999999999998</v>
      </c>
      <c r="N9923" s="43">
        <v>4.7636021145621168</v>
      </c>
      <c r="O9923" s="43">
        <v>4.6971433250745136</v>
      </c>
      <c r="P9923" s="238"/>
      <c r="Q9923" s="238"/>
      <c r="R9923" s="238">
        <v>1</v>
      </c>
    </row>
    <row r="9924" spans="1:18" ht="24">
      <c r="A9924" s="234">
        <v>183</v>
      </c>
      <c r="B9924" s="231" t="s">
        <v>18231</v>
      </c>
      <c r="C9924" s="235" t="s">
        <v>18151</v>
      </c>
      <c r="D9924" s="236">
        <v>80482.460000000006</v>
      </c>
      <c r="E9924" s="236">
        <v>28367.200000000001</v>
      </c>
      <c r="F9924" s="236">
        <v>18963.45</v>
      </c>
      <c r="G9924" s="236">
        <v>33151.81</v>
      </c>
      <c r="H9924" s="237">
        <v>589970.30000000005</v>
      </c>
      <c r="I9924" s="237">
        <v>326222.8</v>
      </c>
      <c r="J9924" s="237">
        <v>105973.69</v>
      </c>
      <c r="K9924" s="237">
        <v>157773.81</v>
      </c>
      <c r="L9924" s="43">
        <v>7.3304208146719176</v>
      </c>
      <c r="M9924" s="43">
        <v>11.5</v>
      </c>
      <c r="N9924" s="43">
        <v>5.5883127806385442</v>
      </c>
      <c r="O9924" s="43">
        <v>4.7591311002325369</v>
      </c>
      <c r="P9924" s="238"/>
      <c r="Q9924" s="238"/>
      <c r="R9924" s="238">
        <v>1</v>
      </c>
    </row>
    <row r="9925" spans="1:18" ht="24">
      <c r="A9925" s="234">
        <v>184</v>
      </c>
      <c r="B9925" s="231" t="s">
        <v>18232</v>
      </c>
      <c r="C9925" s="235" t="s">
        <v>18017</v>
      </c>
      <c r="D9925" s="236">
        <v>161644.82</v>
      </c>
      <c r="E9925" s="236">
        <v>28367.200000000001</v>
      </c>
      <c r="F9925" s="236">
        <v>100125.81</v>
      </c>
      <c r="G9925" s="236">
        <v>33151.81</v>
      </c>
      <c r="H9925" s="237">
        <v>940363.86</v>
      </c>
      <c r="I9925" s="237">
        <v>326222.8</v>
      </c>
      <c r="J9925" s="237">
        <v>456367.25</v>
      </c>
      <c r="K9925" s="237">
        <v>157773.81</v>
      </c>
      <c r="L9925" s="43">
        <v>5.8174698081880996</v>
      </c>
      <c r="M9925" s="43">
        <v>11.5</v>
      </c>
      <c r="N9925" s="43">
        <v>4.5579381580034157</v>
      </c>
      <c r="O9925" s="43">
        <v>4.7591311002325369</v>
      </c>
      <c r="P9925" s="238"/>
      <c r="Q9925" s="238"/>
      <c r="R9925" s="238">
        <v>1</v>
      </c>
    </row>
    <row r="9926" spans="1:18" ht="24">
      <c r="A9926" s="234">
        <v>185</v>
      </c>
      <c r="B9926" s="231" t="s">
        <v>18233</v>
      </c>
      <c r="C9926" s="235" t="s">
        <v>18159</v>
      </c>
      <c r="D9926" s="236">
        <v>76669.490000000005</v>
      </c>
      <c r="E9926" s="236">
        <v>25482.400000000001</v>
      </c>
      <c r="F9926" s="236">
        <v>18092.97</v>
      </c>
      <c r="G9926" s="236">
        <v>33094.120000000003</v>
      </c>
      <c r="H9926" s="237">
        <v>551086.09</v>
      </c>
      <c r="I9926" s="237">
        <v>293047.59999999998</v>
      </c>
      <c r="J9926" s="237">
        <v>100928.11</v>
      </c>
      <c r="K9926" s="237">
        <v>157110.38</v>
      </c>
      <c r="L9926" s="43">
        <v>7.1878147356921236</v>
      </c>
      <c r="M9926" s="43">
        <v>11.499999999999998</v>
      </c>
      <c r="N9926" s="43">
        <v>5.5783052754743965</v>
      </c>
      <c r="O9926" s="43">
        <v>4.7473805014304657</v>
      </c>
      <c r="P9926" s="238"/>
      <c r="Q9926" s="238"/>
      <c r="R9926" s="238">
        <v>1</v>
      </c>
    </row>
    <row r="9927" spans="1:18" ht="24">
      <c r="A9927" s="234">
        <v>186</v>
      </c>
      <c r="B9927" s="231" t="s">
        <v>18234</v>
      </c>
      <c r="C9927" s="235" t="s">
        <v>18161</v>
      </c>
      <c r="D9927" s="236">
        <v>88424.76</v>
      </c>
      <c r="E9927" s="236">
        <v>22717.8</v>
      </c>
      <c r="F9927" s="236">
        <v>32668.13</v>
      </c>
      <c r="G9927" s="236">
        <v>33038.83</v>
      </c>
      <c r="H9927" s="237">
        <v>581626.09</v>
      </c>
      <c r="I9927" s="237">
        <v>261254.7</v>
      </c>
      <c r="J9927" s="237">
        <v>163896.85</v>
      </c>
      <c r="K9927" s="237">
        <v>156474.54</v>
      </c>
      <c r="L9927" s="43">
        <v>6.5776383221170178</v>
      </c>
      <c r="M9927" s="43">
        <v>11.5</v>
      </c>
      <c r="N9927" s="43">
        <v>5.0170257679273345</v>
      </c>
      <c r="O9927" s="43">
        <v>4.7360799398768059</v>
      </c>
      <c r="P9927" s="238"/>
      <c r="Q9927" s="238"/>
      <c r="R9927" s="238">
        <v>1</v>
      </c>
    </row>
    <row r="9928" spans="1:18" ht="24">
      <c r="A9928" s="234">
        <v>187</v>
      </c>
      <c r="B9928" s="231" t="s">
        <v>18235</v>
      </c>
      <c r="C9928" s="235" t="s">
        <v>18236</v>
      </c>
      <c r="D9928" s="236">
        <v>150726.57999999999</v>
      </c>
      <c r="E9928" s="236">
        <v>34957.5</v>
      </c>
      <c r="F9928" s="236">
        <v>82485.460000000006</v>
      </c>
      <c r="G9928" s="236">
        <v>33283.620000000003</v>
      </c>
      <c r="H9928" s="237">
        <v>948827.05</v>
      </c>
      <c r="I9928" s="237">
        <v>402026</v>
      </c>
      <c r="J9928" s="237">
        <v>387511.42</v>
      </c>
      <c r="K9928" s="237">
        <v>159289.63</v>
      </c>
      <c r="L9928" s="43">
        <v>6.2950214222335577</v>
      </c>
      <c r="M9928" s="43">
        <v>11.50042194092827</v>
      </c>
      <c r="N9928" s="43">
        <v>4.6979360968587667</v>
      </c>
      <c r="O9928" s="43">
        <v>4.7858264816146798</v>
      </c>
      <c r="P9928" s="238"/>
      <c r="Q9928" s="238"/>
      <c r="R9928" s="238">
        <v>1</v>
      </c>
    </row>
    <row r="9929" spans="1:18" ht="24">
      <c r="A9929" s="234">
        <v>188</v>
      </c>
      <c r="B9929" s="231" t="s">
        <v>18237</v>
      </c>
      <c r="C9929" s="235" t="s">
        <v>18167</v>
      </c>
      <c r="D9929" s="236">
        <v>130057.67</v>
      </c>
      <c r="E9929" s="236">
        <v>21275.4</v>
      </c>
      <c r="F9929" s="236">
        <v>75772.289999999994</v>
      </c>
      <c r="G9929" s="236">
        <v>33009.980000000003</v>
      </c>
      <c r="H9929" s="237">
        <v>747174.2</v>
      </c>
      <c r="I9929" s="237">
        <v>244667.1</v>
      </c>
      <c r="J9929" s="237">
        <v>346364.33</v>
      </c>
      <c r="K9929" s="237">
        <v>156142.76999999999</v>
      </c>
      <c r="L9929" s="43">
        <v>5.7449453000349768</v>
      </c>
      <c r="M9929" s="43">
        <v>11.5</v>
      </c>
      <c r="N9929" s="43">
        <v>4.5711213162489885</v>
      </c>
      <c r="O9929" s="43">
        <v>4.7301685732617829</v>
      </c>
      <c r="P9929" s="238"/>
      <c r="Q9929" s="238"/>
      <c r="R9929" s="238">
        <v>1</v>
      </c>
    </row>
    <row r="9930" spans="1:18" ht="24">
      <c r="A9930" s="234">
        <v>189</v>
      </c>
      <c r="B9930" s="231" t="s">
        <v>18238</v>
      </c>
      <c r="C9930" s="235" t="s">
        <v>18239</v>
      </c>
      <c r="D9930" s="236">
        <v>84884.43</v>
      </c>
      <c r="E9930" s="236">
        <v>22396.5</v>
      </c>
      <c r="F9930" s="236">
        <v>29455.53</v>
      </c>
      <c r="G9930" s="236">
        <v>33032.400000000001</v>
      </c>
      <c r="H9930" s="237">
        <v>555735.87</v>
      </c>
      <c r="I9930" s="237">
        <v>257569.2</v>
      </c>
      <c r="J9930" s="237">
        <v>141766.07</v>
      </c>
      <c r="K9930" s="237">
        <v>156400.6</v>
      </c>
      <c r="L9930" s="43">
        <v>6.5469706281823417</v>
      </c>
      <c r="M9930" s="43">
        <v>11.50042194092827</v>
      </c>
      <c r="N9930" s="43">
        <v>4.812884711291904</v>
      </c>
      <c r="O9930" s="43">
        <v>4.7347634443758251</v>
      </c>
      <c r="P9930" s="238"/>
      <c r="Q9930" s="238"/>
      <c r="R9930" s="238">
        <v>1</v>
      </c>
    </row>
    <row r="9931" spans="1:18" ht="24">
      <c r="A9931" s="234">
        <v>190</v>
      </c>
      <c r="B9931" s="231" t="s">
        <v>18240</v>
      </c>
      <c r="C9931" s="235" t="s">
        <v>18207</v>
      </c>
      <c r="D9931" s="236">
        <v>89830.62</v>
      </c>
      <c r="E9931" s="236">
        <v>28367.200000000001</v>
      </c>
      <c r="F9931" s="236">
        <v>28311.61</v>
      </c>
      <c r="G9931" s="236">
        <v>33151.81</v>
      </c>
      <c r="H9931" s="237">
        <v>632401.19999999995</v>
      </c>
      <c r="I9931" s="237">
        <v>326222.8</v>
      </c>
      <c r="J9931" s="237">
        <v>148404.59</v>
      </c>
      <c r="K9931" s="237">
        <v>157773.81</v>
      </c>
      <c r="L9931" s="43">
        <v>7.0399291466540026</v>
      </c>
      <c r="M9931" s="43">
        <v>11.5</v>
      </c>
      <c r="N9931" s="43">
        <v>5.2418279991847863</v>
      </c>
      <c r="O9931" s="43">
        <v>4.7591311002325369</v>
      </c>
      <c r="P9931" s="238"/>
      <c r="Q9931" s="238"/>
      <c r="R9931" s="238">
        <v>1</v>
      </c>
    </row>
    <row r="9932" spans="1:18" ht="24">
      <c r="A9932" s="234">
        <v>191</v>
      </c>
      <c r="B9932" s="231" t="s">
        <v>18241</v>
      </c>
      <c r="C9932" s="235" t="s">
        <v>18209</v>
      </c>
      <c r="D9932" s="236">
        <v>126235.69</v>
      </c>
      <c r="E9932" s="236">
        <v>20337.3</v>
      </c>
      <c r="F9932" s="236">
        <v>72907.17</v>
      </c>
      <c r="G9932" s="236">
        <v>32991.22</v>
      </c>
      <c r="H9932" s="237">
        <v>723237.64</v>
      </c>
      <c r="I9932" s="237">
        <v>233887.8</v>
      </c>
      <c r="J9932" s="237">
        <v>333422.81</v>
      </c>
      <c r="K9932" s="237">
        <v>155927.03</v>
      </c>
      <c r="L9932" s="43">
        <v>5.7292643625586397</v>
      </c>
      <c r="M9932" s="43">
        <v>11.500435161009573</v>
      </c>
      <c r="N9932" s="43">
        <v>4.5732513002493445</v>
      </c>
      <c r="O9932" s="43">
        <v>4.7263190024497428</v>
      </c>
      <c r="P9932" s="238"/>
      <c r="Q9932" s="238"/>
      <c r="R9932" s="238">
        <v>1</v>
      </c>
    </row>
    <row r="9933" spans="1:18" ht="24">
      <c r="A9933" s="234">
        <v>192</v>
      </c>
      <c r="B9933" s="231" t="s">
        <v>18242</v>
      </c>
      <c r="C9933" s="235" t="s">
        <v>18243</v>
      </c>
      <c r="D9933" s="236">
        <v>115069.52</v>
      </c>
      <c r="E9933" s="236">
        <v>24160.2</v>
      </c>
      <c r="F9933" s="236">
        <v>57841.65</v>
      </c>
      <c r="G9933" s="236">
        <v>33067.67</v>
      </c>
      <c r="H9933" s="237">
        <v>707344.77</v>
      </c>
      <c r="I9933" s="237">
        <v>277842.3</v>
      </c>
      <c r="J9933" s="237">
        <v>272696.27</v>
      </c>
      <c r="K9933" s="237">
        <v>156806.20000000001</v>
      </c>
      <c r="L9933" s="43">
        <v>6.147108026521706</v>
      </c>
      <c r="M9933" s="43">
        <v>11.5</v>
      </c>
      <c r="N9933" s="43">
        <v>4.7145313109152314</v>
      </c>
      <c r="O9933" s="43">
        <v>4.7419790992228972</v>
      </c>
      <c r="P9933" s="238"/>
      <c r="Q9933" s="238"/>
      <c r="R9933" s="238">
        <v>1</v>
      </c>
    </row>
    <row r="9934" spans="1:18" ht="24">
      <c r="A9934" s="234">
        <v>193</v>
      </c>
      <c r="B9934" s="231" t="s">
        <v>18244</v>
      </c>
      <c r="C9934" s="235" t="s">
        <v>18245</v>
      </c>
      <c r="D9934" s="236">
        <v>96965.9</v>
      </c>
      <c r="E9934" s="236">
        <v>26924.799999999999</v>
      </c>
      <c r="F9934" s="236">
        <v>36918.129999999997</v>
      </c>
      <c r="G9934" s="236">
        <v>33122.97</v>
      </c>
      <c r="H9934" s="237">
        <v>652141.92000000004</v>
      </c>
      <c r="I9934" s="237">
        <v>309635.20000000001</v>
      </c>
      <c r="J9934" s="237">
        <v>185064.57</v>
      </c>
      <c r="K9934" s="237">
        <v>157442.15</v>
      </c>
      <c r="L9934" s="43">
        <v>6.7254768944546495</v>
      </c>
      <c r="M9934" s="43">
        <v>11.5</v>
      </c>
      <c r="N9934" s="43">
        <v>5.0128370532310278</v>
      </c>
      <c r="O9934" s="43">
        <v>4.7532618602740024</v>
      </c>
      <c r="P9934" s="238"/>
      <c r="Q9934" s="238"/>
      <c r="R9934" s="238">
        <v>1</v>
      </c>
    </row>
    <row r="9935" spans="1:18" ht="24">
      <c r="A9935" s="234">
        <v>194</v>
      </c>
      <c r="B9935" s="231" t="s">
        <v>18246</v>
      </c>
      <c r="C9935" s="235" t="s">
        <v>18247</v>
      </c>
      <c r="D9935" s="236">
        <v>79204.7</v>
      </c>
      <c r="E9935" s="236">
        <v>27541.200000000001</v>
      </c>
      <c r="F9935" s="236">
        <v>18528.21</v>
      </c>
      <c r="G9935" s="236">
        <v>33135.29</v>
      </c>
      <c r="H9935" s="237">
        <v>577770.32999999996</v>
      </c>
      <c r="I9935" s="237">
        <v>316735.59999999998</v>
      </c>
      <c r="J9935" s="237">
        <v>103450.9</v>
      </c>
      <c r="K9935" s="237">
        <v>157583.82999999999</v>
      </c>
      <c r="L9935" s="43">
        <v>7.2946470348350534</v>
      </c>
      <c r="M9935" s="43">
        <v>11.500428449014565</v>
      </c>
      <c r="N9935" s="43">
        <v>5.583426569539097</v>
      </c>
      <c r="O9935" s="43">
        <v>4.7557703584305431</v>
      </c>
      <c r="P9935" s="238"/>
      <c r="Q9935" s="238"/>
      <c r="R9935" s="238">
        <v>1</v>
      </c>
    </row>
    <row r="9936" spans="1:18" ht="24">
      <c r="A9936" s="234">
        <v>195</v>
      </c>
      <c r="B9936" s="231" t="s">
        <v>18248</v>
      </c>
      <c r="C9936" s="235" t="s">
        <v>18177</v>
      </c>
      <c r="D9936" s="236">
        <v>74778.820000000007</v>
      </c>
      <c r="E9936" s="236">
        <v>10267.92</v>
      </c>
      <c r="F9936" s="236">
        <v>31721.07</v>
      </c>
      <c r="G9936" s="236">
        <v>32789.83</v>
      </c>
      <c r="H9936" s="237">
        <v>419085.26</v>
      </c>
      <c r="I9936" s="237">
        <v>118085.75999999999</v>
      </c>
      <c r="J9936" s="237">
        <v>147388.46</v>
      </c>
      <c r="K9936" s="237">
        <v>153611.04</v>
      </c>
      <c r="L9936" s="43">
        <v>5.6043310124444323</v>
      </c>
      <c r="M9936" s="43">
        <v>11.500455788514129</v>
      </c>
      <c r="N9936" s="43">
        <v>4.6463899231646346</v>
      </c>
      <c r="O9936" s="43">
        <v>4.6847159622358516</v>
      </c>
      <c r="P9936" s="238"/>
      <c r="Q9936" s="238"/>
      <c r="R9936" s="238">
        <v>1</v>
      </c>
    </row>
    <row r="9937" spans="1:18" ht="24">
      <c r="A9937" s="234">
        <v>196</v>
      </c>
      <c r="B9937" s="231" t="s">
        <v>18249</v>
      </c>
      <c r="C9937" s="235" t="s">
        <v>18250</v>
      </c>
      <c r="D9937" s="236">
        <v>98469.62</v>
      </c>
      <c r="E9937" s="236">
        <v>27541.200000000001</v>
      </c>
      <c r="F9937" s="236">
        <v>37793.129999999997</v>
      </c>
      <c r="G9937" s="236">
        <v>33135.29</v>
      </c>
      <c r="H9937" s="237">
        <v>663742.06000000006</v>
      </c>
      <c r="I9937" s="237">
        <v>316735.59999999998</v>
      </c>
      <c r="J9937" s="237">
        <v>189422.63</v>
      </c>
      <c r="K9937" s="237">
        <v>157583.82999999999</v>
      </c>
      <c r="L9937" s="43">
        <v>6.7405770429498979</v>
      </c>
      <c r="M9937" s="43">
        <v>11.500428449014565</v>
      </c>
      <c r="N9937" s="43">
        <v>5.0120916155925697</v>
      </c>
      <c r="O9937" s="43">
        <v>4.7557703584305431</v>
      </c>
      <c r="P9937" s="238"/>
      <c r="Q9937" s="238"/>
      <c r="R9937" s="238">
        <v>1</v>
      </c>
    </row>
    <row r="9938" spans="1:18" ht="24">
      <c r="A9938" s="234">
        <v>197</v>
      </c>
      <c r="B9938" s="231" t="s">
        <v>18251</v>
      </c>
      <c r="C9938" s="235" t="s">
        <v>18115</v>
      </c>
      <c r="D9938" s="236">
        <v>103322.18</v>
      </c>
      <c r="E9938" s="236">
        <v>16131.2</v>
      </c>
      <c r="F9938" s="236">
        <v>54283.89</v>
      </c>
      <c r="G9938" s="236">
        <v>32907.089999999997</v>
      </c>
      <c r="H9938" s="237">
        <v>589771.26</v>
      </c>
      <c r="I9938" s="237">
        <v>185508.8</v>
      </c>
      <c r="J9938" s="237">
        <v>249302.93</v>
      </c>
      <c r="K9938" s="237">
        <v>154959.53</v>
      </c>
      <c r="L9938" s="43">
        <v>5.7080799108187614</v>
      </c>
      <c r="M9938" s="43">
        <v>11.499999999999998</v>
      </c>
      <c r="N9938" s="43">
        <v>4.5925767294864093</v>
      </c>
      <c r="O9938" s="43">
        <v>4.7090013124831156</v>
      </c>
      <c r="P9938" s="238"/>
      <c r="Q9938" s="238"/>
      <c r="R9938" s="238">
        <v>1</v>
      </c>
    </row>
    <row r="9939" spans="1:18" ht="24">
      <c r="A9939" s="234">
        <v>198</v>
      </c>
      <c r="B9939" s="231" t="s">
        <v>18252</v>
      </c>
      <c r="C9939" s="235" t="s">
        <v>18253</v>
      </c>
      <c r="D9939" s="236">
        <v>104033.39</v>
      </c>
      <c r="E9939" s="236">
        <v>29809.599999999999</v>
      </c>
      <c r="F9939" s="236">
        <v>41043.129999999997</v>
      </c>
      <c r="G9939" s="236">
        <v>33180.660000000003</v>
      </c>
      <c r="H9939" s="237">
        <v>706525.7</v>
      </c>
      <c r="I9939" s="237">
        <v>342810.4</v>
      </c>
      <c r="J9939" s="237">
        <v>205609.71</v>
      </c>
      <c r="K9939" s="237">
        <v>158105.59</v>
      </c>
      <c r="L9939" s="43">
        <v>6.7913359355107046</v>
      </c>
      <c r="M9939" s="43">
        <v>11.500000000000002</v>
      </c>
      <c r="N9939" s="43">
        <v>5.0096011196027206</v>
      </c>
      <c r="O9939" s="43">
        <v>4.764992317814051</v>
      </c>
      <c r="P9939" s="238"/>
      <c r="Q9939" s="238"/>
      <c r="R9939" s="238">
        <v>1</v>
      </c>
    </row>
    <row r="9940" spans="1:18" ht="24">
      <c r="A9940" s="234">
        <v>199</v>
      </c>
      <c r="B9940" s="231" t="s">
        <v>18254</v>
      </c>
      <c r="C9940" s="235" t="s">
        <v>18255</v>
      </c>
      <c r="D9940" s="236">
        <v>111043.3</v>
      </c>
      <c r="E9940" s="236">
        <v>17380.8</v>
      </c>
      <c r="F9940" s="236">
        <v>60730.41</v>
      </c>
      <c r="G9940" s="236">
        <v>32932.089999999997</v>
      </c>
      <c r="H9940" s="237">
        <v>633547.57999999996</v>
      </c>
      <c r="I9940" s="237">
        <v>199879.2</v>
      </c>
      <c r="J9940" s="237">
        <v>278421.34999999998</v>
      </c>
      <c r="K9940" s="237">
        <v>155247.03</v>
      </c>
      <c r="L9940" s="43">
        <v>5.7054102318645068</v>
      </c>
      <c r="M9940" s="43">
        <v>11.500000000000002</v>
      </c>
      <c r="N9940" s="43">
        <v>4.5845458642548262</v>
      </c>
      <c r="O9940" s="43">
        <v>4.7141566174512466</v>
      </c>
      <c r="P9940" s="238"/>
      <c r="Q9940" s="238"/>
      <c r="R9940" s="238">
        <v>1</v>
      </c>
    </row>
    <row r="9941" spans="1:18" ht="24">
      <c r="A9941" s="234">
        <v>200</v>
      </c>
      <c r="B9941" s="231" t="s">
        <v>18256</v>
      </c>
      <c r="C9941" s="235" t="s">
        <v>18257</v>
      </c>
      <c r="D9941" s="236">
        <v>122498.04</v>
      </c>
      <c r="E9941" s="236">
        <v>19833</v>
      </c>
      <c r="F9941" s="236">
        <v>69683.91</v>
      </c>
      <c r="G9941" s="236">
        <v>32981.129999999997</v>
      </c>
      <c r="H9941" s="237">
        <v>702754.09</v>
      </c>
      <c r="I9941" s="237">
        <v>228079.5</v>
      </c>
      <c r="J9941" s="237">
        <v>318863.59999999998</v>
      </c>
      <c r="K9941" s="237">
        <v>155810.99</v>
      </c>
      <c r="L9941" s="43">
        <v>5.7368598713905952</v>
      </c>
      <c r="M9941" s="43">
        <v>11.5</v>
      </c>
      <c r="N9941" s="43">
        <v>4.5758568943677238</v>
      </c>
      <c r="O9941" s="43">
        <v>4.7242465615944633</v>
      </c>
      <c r="P9941" s="238"/>
      <c r="Q9941" s="238"/>
      <c r="R9941" s="238">
        <v>1</v>
      </c>
    </row>
    <row r="9942" spans="1:18" ht="12.75" customHeight="1">
      <c r="A9942" s="628" t="s">
        <v>18258</v>
      </c>
      <c r="B9942" s="629"/>
      <c r="C9942" s="629"/>
      <c r="D9942" s="629"/>
      <c r="E9942" s="629"/>
      <c r="F9942" s="629"/>
      <c r="G9942" s="629"/>
      <c r="H9942" s="629"/>
      <c r="I9942" s="629"/>
      <c r="J9942" s="629"/>
      <c r="K9942" s="629"/>
      <c r="L9942" s="629"/>
      <c r="M9942" s="629"/>
      <c r="N9942" s="629"/>
      <c r="O9942" s="629"/>
      <c r="P9942" s="629"/>
      <c r="Q9942" s="629"/>
      <c r="R9942" s="629"/>
    </row>
    <row r="9943" spans="1:18" ht="12.75" customHeight="1">
      <c r="A9943" s="628" t="s">
        <v>18259</v>
      </c>
      <c r="B9943" s="629"/>
      <c r="C9943" s="629"/>
      <c r="D9943" s="629"/>
      <c r="E9943" s="629"/>
      <c r="F9943" s="629"/>
      <c r="G9943" s="629"/>
      <c r="H9943" s="629"/>
      <c r="I9943" s="629"/>
      <c r="J9943" s="629"/>
      <c r="K9943" s="629"/>
      <c r="L9943" s="629"/>
      <c r="M9943" s="629"/>
      <c r="N9943" s="629"/>
      <c r="O9943" s="629"/>
      <c r="P9943" s="629"/>
      <c r="Q9943" s="629"/>
      <c r="R9943" s="629"/>
    </row>
    <row r="9944" spans="1:18" ht="24">
      <c r="A9944" s="234">
        <v>201</v>
      </c>
      <c r="B9944" s="231" t="s">
        <v>18260</v>
      </c>
      <c r="C9944" s="235" t="s">
        <v>18261</v>
      </c>
      <c r="D9944" s="236">
        <v>193490.88</v>
      </c>
      <c r="E9944" s="236">
        <v>38584.199999999997</v>
      </c>
      <c r="F9944" s="236">
        <v>127547.67</v>
      </c>
      <c r="G9944" s="236">
        <v>27359.01</v>
      </c>
      <c r="H9944" s="237">
        <v>1159511.68</v>
      </c>
      <c r="I9944" s="237">
        <v>443718.3</v>
      </c>
      <c r="J9944" s="237">
        <v>584784.61</v>
      </c>
      <c r="K9944" s="237">
        <v>131008.77</v>
      </c>
      <c r="L9944" s="43">
        <v>5.9925908652645532</v>
      </c>
      <c r="M9944" s="43">
        <v>11.5</v>
      </c>
      <c r="N9944" s="43">
        <v>4.5848317730931498</v>
      </c>
      <c r="O9944" s="43">
        <v>4.7885055051334096</v>
      </c>
      <c r="P9944" s="238"/>
      <c r="Q9944" s="238"/>
      <c r="R9944" s="238">
        <v>1</v>
      </c>
    </row>
    <row r="9945" spans="1:18" ht="24">
      <c r="A9945" s="234">
        <v>202</v>
      </c>
      <c r="B9945" s="231" t="s">
        <v>18262</v>
      </c>
      <c r="C9945" s="235" t="s">
        <v>18263</v>
      </c>
      <c r="D9945" s="236">
        <v>92155.59</v>
      </c>
      <c r="E9945" s="236">
        <v>12024.2</v>
      </c>
      <c r="F9945" s="236">
        <v>53303.58</v>
      </c>
      <c r="G9945" s="236">
        <v>26827.81</v>
      </c>
      <c r="H9945" s="237">
        <v>509825.09</v>
      </c>
      <c r="I9945" s="237">
        <v>138284.20000000001</v>
      </c>
      <c r="J9945" s="237">
        <v>246640.92</v>
      </c>
      <c r="K9945" s="237">
        <v>124899.97</v>
      </c>
      <c r="L9945" s="43">
        <v>5.5322209971201968</v>
      </c>
      <c r="M9945" s="43">
        <v>11.500490677134446</v>
      </c>
      <c r="N9945" s="43">
        <v>4.6270985926273625</v>
      </c>
      <c r="O9945" s="43">
        <v>4.6556155720500483</v>
      </c>
      <c r="P9945" s="238"/>
      <c r="Q9945" s="238"/>
      <c r="R9945" s="238">
        <v>1</v>
      </c>
    </row>
    <row r="9946" spans="1:18" ht="24">
      <c r="A9946" s="234">
        <v>203</v>
      </c>
      <c r="B9946" s="231" t="s">
        <v>18264</v>
      </c>
      <c r="C9946" s="235" t="s">
        <v>18003</v>
      </c>
      <c r="D9946" s="236">
        <v>179746.82</v>
      </c>
      <c r="E9946" s="236">
        <v>44462.7</v>
      </c>
      <c r="F9946" s="236">
        <v>107807.54</v>
      </c>
      <c r="G9946" s="236">
        <v>27476.58</v>
      </c>
      <c r="H9946" s="237">
        <v>1149187.55</v>
      </c>
      <c r="I9946" s="237">
        <v>511340.1</v>
      </c>
      <c r="J9946" s="237">
        <v>505486.62</v>
      </c>
      <c r="K9946" s="237">
        <v>132360.82999999999</v>
      </c>
      <c r="L9946" s="43">
        <v>6.3933679049231582</v>
      </c>
      <c r="M9946" s="43">
        <v>11.500428449014567</v>
      </c>
      <c r="N9946" s="43">
        <v>4.6887872592213871</v>
      </c>
      <c r="O9946" s="43">
        <v>4.8172236137102935</v>
      </c>
      <c r="P9946" s="238"/>
      <c r="Q9946" s="238"/>
      <c r="R9946" s="238">
        <v>1</v>
      </c>
    </row>
    <row r="9947" spans="1:18" ht="24">
      <c r="A9947" s="234">
        <v>204</v>
      </c>
      <c r="B9947" s="231" t="s">
        <v>18265</v>
      </c>
      <c r="C9947" s="235" t="s">
        <v>18266</v>
      </c>
      <c r="D9947" s="236">
        <v>95198.3</v>
      </c>
      <c r="E9947" s="236">
        <v>15960.8</v>
      </c>
      <c r="F9947" s="236">
        <v>52330.95</v>
      </c>
      <c r="G9947" s="236">
        <v>26906.55</v>
      </c>
      <c r="H9947" s="237">
        <v>551565.77</v>
      </c>
      <c r="I9947" s="237">
        <v>183549.2</v>
      </c>
      <c r="J9947" s="237">
        <v>242211.09</v>
      </c>
      <c r="K9947" s="237">
        <v>125805.48</v>
      </c>
      <c r="L9947" s="43">
        <v>5.7938615500486881</v>
      </c>
      <c r="M9947" s="43">
        <v>11.500000000000002</v>
      </c>
      <c r="N9947" s="43">
        <v>4.6284481745506243</v>
      </c>
      <c r="O9947" s="43">
        <v>4.6756451496011193</v>
      </c>
      <c r="P9947" s="238"/>
      <c r="Q9947" s="238"/>
      <c r="R9947" s="238">
        <v>1</v>
      </c>
    </row>
    <row r="9948" spans="1:18" ht="24">
      <c r="A9948" s="234">
        <v>205</v>
      </c>
      <c r="B9948" s="231" t="s">
        <v>18267</v>
      </c>
      <c r="C9948" s="235" t="s">
        <v>18007</v>
      </c>
      <c r="D9948" s="236">
        <v>165168.70000000001</v>
      </c>
      <c r="E9948" s="236">
        <v>32113.5</v>
      </c>
      <c r="F9948" s="236">
        <v>105825.60000000001</v>
      </c>
      <c r="G9948" s="236">
        <v>27229.599999999999</v>
      </c>
      <c r="H9948" s="237">
        <v>984691.1</v>
      </c>
      <c r="I9948" s="237">
        <v>369318.8</v>
      </c>
      <c r="J9948" s="237">
        <v>485851.74</v>
      </c>
      <c r="K9948" s="237">
        <v>129520.56</v>
      </c>
      <c r="L9948" s="43">
        <v>5.9617294317870151</v>
      </c>
      <c r="M9948" s="43">
        <v>11.50042194092827</v>
      </c>
      <c r="N9948" s="43">
        <v>4.5910605751349385</v>
      </c>
      <c r="O9948" s="43">
        <v>4.7566089843405708</v>
      </c>
      <c r="P9948" s="238"/>
      <c r="Q9948" s="238"/>
      <c r="R9948" s="238">
        <v>1</v>
      </c>
    </row>
    <row r="9949" spans="1:18" ht="24">
      <c r="A9949" s="234">
        <v>206</v>
      </c>
      <c r="B9949" s="231" t="s">
        <v>18268</v>
      </c>
      <c r="C9949" s="235" t="s">
        <v>18139</v>
      </c>
      <c r="D9949" s="236">
        <v>87173.23</v>
      </c>
      <c r="E9949" s="236">
        <v>14768</v>
      </c>
      <c r="F9949" s="236">
        <v>45522.54</v>
      </c>
      <c r="G9949" s="236">
        <v>26882.69</v>
      </c>
      <c r="H9949" s="237">
        <v>506565.37</v>
      </c>
      <c r="I9949" s="237">
        <v>169832</v>
      </c>
      <c r="J9949" s="237">
        <v>211202.28</v>
      </c>
      <c r="K9949" s="237">
        <v>125531.09</v>
      </c>
      <c r="L9949" s="43">
        <v>5.8110198509335955</v>
      </c>
      <c r="M9949" s="43">
        <v>11.5</v>
      </c>
      <c r="N9949" s="43">
        <v>4.6395100097665907</v>
      </c>
      <c r="O9949" s="43">
        <v>4.6695881252954967</v>
      </c>
      <c r="P9949" s="238"/>
      <c r="Q9949" s="238"/>
      <c r="R9949" s="238">
        <v>1</v>
      </c>
    </row>
    <row r="9950" spans="1:18" ht="24">
      <c r="A9950" s="234">
        <v>207</v>
      </c>
      <c r="B9950" s="231" t="s">
        <v>18269</v>
      </c>
      <c r="C9950" s="235" t="s">
        <v>18047</v>
      </c>
      <c r="D9950" s="236">
        <v>70789.05</v>
      </c>
      <c r="E9950" s="236">
        <v>11419.2</v>
      </c>
      <c r="F9950" s="236">
        <v>32554.14</v>
      </c>
      <c r="G9950" s="236">
        <v>26815.71</v>
      </c>
      <c r="H9950" s="237">
        <v>408219.5</v>
      </c>
      <c r="I9950" s="237">
        <v>131320.79999999999</v>
      </c>
      <c r="J9950" s="237">
        <v>152137.88</v>
      </c>
      <c r="K9950" s="237">
        <v>124760.82</v>
      </c>
      <c r="L9950" s="43">
        <v>5.7667040312025657</v>
      </c>
      <c r="M9950" s="43">
        <v>11.499999999999998</v>
      </c>
      <c r="N9950" s="43">
        <v>4.673380405687265</v>
      </c>
      <c r="O9950" s="43">
        <v>4.6525271939471304</v>
      </c>
      <c r="P9950" s="238"/>
      <c r="Q9950" s="238"/>
      <c r="R9950" s="238">
        <v>1</v>
      </c>
    </row>
    <row r="9951" spans="1:18" ht="24">
      <c r="A9951" s="234">
        <v>208</v>
      </c>
      <c r="B9951" s="231" t="s">
        <v>18270</v>
      </c>
      <c r="C9951" s="235" t="s">
        <v>18054</v>
      </c>
      <c r="D9951" s="236">
        <v>84842.11</v>
      </c>
      <c r="E9951" s="236">
        <v>13754</v>
      </c>
      <c r="F9951" s="236">
        <v>44225.7</v>
      </c>
      <c r="G9951" s="236">
        <v>26862.41</v>
      </c>
      <c r="H9951" s="237">
        <v>488764.71</v>
      </c>
      <c r="I9951" s="237">
        <v>158171</v>
      </c>
      <c r="J9951" s="237">
        <v>205295.84</v>
      </c>
      <c r="K9951" s="237">
        <v>125297.87</v>
      </c>
      <c r="L9951" s="43">
        <v>5.7608740518122428</v>
      </c>
      <c r="M9951" s="43">
        <v>11.5</v>
      </c>
      <c r="N9951" s="43">
        <v>4.6420031791469665</v>
      </c>
      <c r="O9951" s="43">
        <v>4.664431449002528</v>
      </c>
      <c r="P9951" s="238"/>
      <c r="Q9951" s="238"/>
      <c r="R9951" s="238">
        <v>1</v>
      </c>
    </row>
    <row r="9952" spans="1:18" ht="24">
      <c r="A9952" s="234">
        <v>209</v>
      </c>
      <c r="B9952" s="231" t="s">
        <v>18271</v>
      </c>
      <c r="C9952" s="235" t="s">
        <v>18149</v>
      </c>
      <c r="D9952" s="236">
        <v>76680.259999999995</v>
      </c>
      <c r="E9952" s="236">
        <v>5116.4799999999996</v>
      </c>
      <c r="F9952" s="236">
        <v>44874.12</v>
      </c>
      <c r="G9952" s="236">
        <v>26689.66</v>
      </c>
      <c r="H9952" s="237">
        <v>390399.83</v>
      </c>
      <c r="I9952" s="237">
        <v>58839.519999999997</v>
      </c>
      <c r="J9952" s="237">
        <v>208249.06</v>
      </c>
      <c r="K9952" s="237">
        <v>123311.25</v>
      </c>
      <c r="L9952" s="43">
        <v>5.091268991524025</v>
      </c>
      <c r="M9952" s="43">
        <v>11.5</v>
      </c>
      <c r="N9952" s="43">
        <v>4.6407385816145252</v>
      </c>
      <c r="O9952" s="43">
        <v>4.6201881177954309</v>
      </c>
      <c r="P9952" s="238"/>
      <c r="Q9952" s="238"/>
      <c r="R9952" s="238">
        <v>1</v>
      </c>
    </row>
    <row r="9953" spans="1:18" ht="24">
      <c r="A9953" s="234">
        <v>210</v>
      </c>
      <c r="B9953" s="231" t="s">
        <v>18272</v>
      </c>
      <c r="C9953" s="235" t="s">
        <v>18151</v>
      </c>
      <c r="D9953" s="236">
        <v>136057.64000000001</v>
      </c>
      <c r="E9953" s="236">
        <v>26140.799999999999</v>
      </c>
      <c r="F9953" s="236">
        <v>82806.69</v>
      </c>
      <c r="G9953" s="236">
        <v>27110.15</v>
      </c>
      <c r="H9953" s="237">
        <v>809789.71</v>
      </c>
      <c r="I9953" s="237">
        <v>300630.40000000002</v>
      </c>
      <c r="J9953" s="237">
        <v>381012.43</v>
      </c>
      <c r="K9953" s="237">
        <v>128146.88</v>
      </c>
      <c r="L9953" s="43">
        <v>5.9518135843014761</v>
      </c>
      <c r="M9953" s="43">
        <v>11.500428449014569</v>
      </c>
      <c r="N9953" s="43">
        <v>4.6012276302796309</v>
      </c>
      <c r="O9953" s="43">
        <v>4.726896752692257</v>
      </c>
      <c r="P9953" s="238"/>
      <c r="Q9953" s="238"/>
      <c r="R9953" s="238">
        <v>1</v>
      </c>
    </row>
    <row r="9954" spans="1:18" ht="24">
      <c r="A9954" s="234">
        <v>211</v>
      </c>
      <c r="B9954" s="231" t="s">
        <v>18273</v>
      </c>
      <c r="C9954" s="235" t="s">
        <v>18019</v>
      </c>
      <c r="D9954" s="236">
        <v>107009.62</v>
      </c>
      <c r="E9954" s="236">
        <v>18958.5</v>
      </c>
      <c r="F9954" s="236">
        <v>61084.62</v>
      </c>
      <c r="G9954" s="236">
        <v>26966.5</v>
      </c>
      <c r="H9954" s="237">
        <v>626605.47</v>
      </c>
      <c r="I9954" s="237">
        <v>218031</v>
      </c>
      <c r="J9954" s="237">
        <v>282079.56</v>
      </c>
      <c r="K9954" s="237">
        <v>126494.91</v>
      </c>
      <c r="L9954" s="43">
        <v>5.855599431153947</v>
      </c>
      <c r="M9954" s="43">
        <v>11.500435161009573</v>
      </c>
      <c r="N9954" s="43">
        <v>4.6178491410767553</v>
      </c>
      <c r="O9954" s="43">
        <v>4.6908167541208536</v>
      </c>
      <c r="P9954" s="238"/>
      <c r="Q9954" s="238"/>
      <c r="R9954" s="238">
        <v>1</v>
      </c>
    </row>
    <row r="9955" spans="1:18" ht="24">
      <c r="A9955" s="234">
        <v>212</v>
      </c>
      <c r="B9955" s="231" t="s">
        <v>18274</v>
      </c>
      <c r="C9955" s="235" t="s">
        <v>18275</v>
      </c>
      <c r="D9955" s="236">
        <v>89669.440000000002</v>
      </c>
      <c r="E9955" s="236">
        <v>15626</v>
      </c>
      <c r="F9955" s="236">
        <v>47143.59</v>
      </c>
      <c r="G9955" s="236">
        <v>26899.85</v>
      </c>
      <c r="H9955" s="237">
        <v>524012.76</v>
      </c>
      <c r="I9955" s="237">
        <v>179699</v>
      </c>
      <c r="J9955" s="237">
        <v>218585.33</v>
      </c>
      <c r="K9955" s="237">
        <v>125728.43</v>
      </c>
      <c r="L9955" s="43">
        <v>5.8438277299378694</v>
      </c>
      <c r="M9955" s="43">
        <v>11.5</v>
      </c>
      <c r="N9955" s="43">
        <v>4.6365864373078081</v>
      </c>
      <c r="O9955" s="43">
        <v>4.673945393747549</v>
      </c>
      <c r="P9955" s="238"/>
      <c r="Q9955" s="238"/>
      <c r="R9955" s="238">
        <v>1</v>
      </c>
    </row>
    <row r="9956" spans="1:18" ht="24">
      <c r="A9956" s="234">
        <v>213</v>
      </c>
      <c r="B9956" s="231" t="s">
        <v>18276</v>
      </c>
      <c r="C9956" s="235" t="s">
        <v>18277</v>
      </c>
      <c r="D9956" s="236">
        <v>126142.41</v>
      </c>
      <c r="E9956" s="236">
        <v>23094.9</v>
      </c>
      <c r="F9956" s="236">
        <v>75998.28</v>
      </c>
      <c r="G9956" s="236">
        <v>27049.23</v>
      </c>
      <c r="H9956" s="237">
        <v>743051.32</v>
      </c>
      <c r="I9956" s="237">
        <v>265601.40000000002</v>
      </c>
      <c r="J9956" s="237">
        <v>350003.62</v>
      </c>
      <c r="K9956" s="237">
        <v>127446.3</v>
      </c>
      <c r="L9956" s="43">
        <v>5.8905749462056409</v>
      </c>
      <c r="M9956" s="43">
        <v>11.500435161009573</v>
      </c>
      <c r="N9956" s="43">
        <v>4.6054150172872337</v>
      </c>
      <c r="O9956" s="43">
        <v>4.7116424386202489</v>
      </c>
      <c r="P9956" s="238"/>
      <c r="Q9956" s="238"/>
      <c r="R9956" s="238">
        <v>1</v>
      </c>
    </row>
    <row r="9957" spans="1:18" ht="24">
      <c r="A9957" s="234">
        <v>214</v>
      </c>
      <c r="B9957" s="231" t="s">
        <v>18278</v>
      </c>
      <c r="C9957" s="235" t="s">
        <v>18279</v>
      </c>
      <c r="D9957" s="236">
        <v>78661.42</v>
      </c>
      <c r="E9957" s="236">
        <v>13098</v>
      </c>
      <c r="F9957" s="236">
        <v>38714.129999999997</v>
      </c>
      <c r="G9957" s="236">
        <v>26849.29</v>
      </c>
      <c r="H9957" s="237">
        <v>455967.46</v>
      </c>
      <c r="I9957" s="237">
        <v>150627</v>
      </c>
      <c r="J9957" s="237">
        <v>180193.47</v>
      </c>
      <c r="K9957" s="237">
        <v>125146.99</v>
      </c>
      <c r="L9957" s="43">
        <v>5.7965831280442179</v>
      </c>
      <c r="M9957" s="43">
        <v>11.5</v>
      </c>
      <c r="N9957" s="43">
        <v>4.6544625954399601</v>
      </c>
      <c r="O9957" s="43">
        <v>4.6610912243861939</v>
      </c>
      <c r="P9957" s="238"/>
      <c r="Q9957" s="238"/>
      <c r="R9957" s="238">
        <v>1</v>
      </c>
    </row>
    <row r="9958" spans="1:18" ht="24">
      <c r="A9958" s="234">
        <v>215</v>
      </c>
      <c r="B9958" s="231" t="s">
        <v>18280</v>
      </c>
      <c r="C9958" s="235" t="s">
        <v>18281</v>
      </c>
      <c r="D9958" s="236">
        <v>82157.8</v>
      </c>
      <c r="E9958" s="236">
        <v>13983</v>
      </c>
      <c r="F9958" s="236">
        <v>41307.81</v>
      </c>
      <c r="G9958" s="236">
        <v>26866.99</v>
      </c>
      <c r="H9958" s="237">
        <v>478167.29</v>
      </c>
      <c r="I9958" s="237">
        <v>160810.4</v>
      </c>
      <c r="J9958" s="237">
        <v>192006.35</v>
      </c>
      <c r="K9958" s="237">
        <v>125350.54</v>
      </c>
      <c r="L9958" s="43">
        <v>5.8201082550895951</v>
      </c>
      <c r="M9958" s="43">
        <v>11.50042194092827</v>
      </c>
      <c r="N9958" s="43">
        <v>4.6481851736995985</v>
      </c>
      <c r="O9958" s="43">
        <v>4.6655967043572799</v>
      </c>
      <c r="P9958" s="238"/>
      <c r="Q9958" s="238"/>
      <c r="R9958" s="238">
        <v>1</v>
      </c>
    </row>
    <row r="9959" spans="1:18" ht="24">
      <c r="A9959" s="234">
        <v>216</v>
      </c>
      <c r="B9959" s="231" t="s">
        <v>18282</v>
      </c>
      <c r="C9959" s="235" t="s">
        <v>18283</v>
      </c>
      <c r="D9959" s="236">
        <v>82482.009999999995</v>
      </c>
      <c r="E9959" s="236">
        <v>13983</v>
      </c>
      <c r="F9959" s="236">
        <v>41632.019999999997</v>
      </c>
      <c r="G9959" s="236">
        <v>26866.99</v>
      </c>
      <c r="H9959" s="237">
        <v>479643.9</v>
      </c>
      <c r="I9959" s="237">
        <v>160810.4</v>
      </c>
      <c r="J9959" s="237">
        <v>193482.96</v>
      </c>
      <c r="K9959" s="237">
        <v>125350.54</v>
      </c>
      <c r="L9959" s="43">
        <v>5.8151335060821152</v>
      </c>
      <c r="M9959" s="43">
        <v>11.50042194092827</v>
      </c>
      <c r="N9959" s="43">
        <v>4.6474554921908666</v>
      </c>
      <c r="O9959" s="43">
        <v>4.6655967043572799</v>
      </c>
      <c r="P9959" s="238"/>
      <c r="Q9959" s="238"/>
      <c r="R9959" s="238">
        <v>1</v>
      </c>
    </row>
    <row r="9960" spans="1:18" ht="24">
      <c r="A9960" s="234">
        <v>217</v>
      </c>
      <c r="B9960" s="231" t="s">
        <v>18284</v>
      </c>
      <c r="C9960" s="235" t="s">
        <v>18285</v>
      </c>
      <c r="D9960" s="236">
        <v>79622.78</v>
      </c>
      <c r="E9960" s="236">
        <v>13404.8</v>
      </c>
      <c r="F9960" s="236">
        <v>39362.550000000003</v>
      </c>
      <c r="G9960" s="236">
        <v>26855.43</v>
      </c>
      <c r="H9960" s="237">
        <v>462519.49</v>
      </c>
      <c r="I9960" s="237">
        <v>154155.20000000001</v>
      </c>
      <c r="J9960" s="237">
        <v>183146.69</v>
      </c>
      <c r="K9960" s="237">
        <v>125217.60000000001</v>
      </c>
      <c r="L9960" s="43">
        <v>5.8088839651165154</v>
      </c>
      <c r="M9960" s="43">
        <v>11.500000000000002</v>
      </c>
      <c r="N9960" s="43">
        <v>4.6528156839432402</v>
      </c>
      <c r="O9960" s="43">
        <v>4.6626548150597475</v>
      </c>
      <c r="P9960" s="238"/>
      <c r="Q9960" s="238"/>
      <c r="R9960" s="238">
        <v>1</v>
      </c>
    </row>
    <row r="9961" spans="1:18" ht="24">
      <c r="A9961" s="234">
        <v>218</v>
      </c>
      <c r="B9961" s="231" t="s">
        <v>18286</v>
      </c>
      <c r="C9961" s="235" t="s">
        <v>18287</v>
      </c>
      <c r="D9961" s="236">
        <v>80919.62</v>
      </c>
      <c r="E9961" s="236">
        <v>13404.8</v>
      </c>
      <c r="F9961" s="236">
        <v>40659.39</v>
      </c>
      <c r="G9961" s="236">
        <v>26855.43</v>
      </c>
      <c r="H9961" s="237">
        <v>468425.93</v>
      </c>
      <c r="I9961" s="237">
        <v>154155.20000000001</v>
      </c>
      <c r="J9961" s="237">
        <v>189053.13</v>
      </c>
      <c r="K9961" s="237">
        <v>125217.60000000001</v>
      </c>
      <c r="L9961" s="43">
        <v>5.788780644298626</v>
      </c>
      <c r="M9961" s="43">
        <v>11.500000000000002</v>
      </c>
      <c r="N9961" s="43">
        <v>4.6496794467403468</v>
      </c>
      <c r="O9961" s="43">
        <v>4.6626548150597475</v>
      </c>
      <c r="P9961" s="238"/>
      <c r="Q9961" s="238"/>
      <c r="R9961" s="238">
        <v>1</v>
      </c>
    </row>
    <row r="9962" spans="1:18" ht="24">
      <c r="A9962" s="234">
        <v>219</v>
      </c>
      <c r="B9962" s="231" t="s">
        <v>18288</v>
      </c>
      <c r="C9962" s="235" t="s">
        <v>18071</v>
      </c>
      <c r="D9962" s="236">
        <v>124903.25</v>
      </c>
      <c r="E9962" s="236">
        <v>22833.599999999999</v>
      </c>
      <c r="F9962" s="236">
        <v>75025.649999999994</v>
      </c>
      <c r="G9962" s="236">
        <v>27044</v>
      </c>
      <c r="H9962" s="237">
        <v>735546.35</v>
      </c>
      <c r="I9962" s="237">
        <v>262586.40000000002</v>
      </c>
      <c r="J9962" s="237">
        <v>345573.79</v>
      </c>
      <c r="K9962" s="237">
        <v>127386.16</v>
      </c>
      <c r="L9962" s="43">
        <v>5.8889288309151278</v>
      </c>
      <c r="M9962" s="43">
        <v>11.500000000000002</v>
      </c>
      <c r="N9962" s="43">
        <v>4.6060752555959192</v>
      </c>
      <c r="O9962" s="43">
        <v>4.7103298328649608</v>
      </c>
      <c r="P9962" s="238"/>
      <c r="Q9962" s="238"/>
      <c r="R9962" s="238">
        <v>1</v>
      </c>
    </row>
    <row r="9963" spans="1:18" ht="24">
      <c r="A9963" s="234">
        <v>220</v>
      </c>
      <c r="B9963" s="231" t="s">
        <v>18289</v>
      </c>
      <c r="C9963" s="235" t="s">
        <v>18180</v>
      </c>
      <c r="D9963" s="236">
        <v>118265.78</v>
      </c>
      <c r="E9963" s="236">
        <v>19504.8</v>
      </c>
      <c r="F9963" s="236">
        <v>71783.55</v>
      </c>
      <c r="G9963" s="236">
        <v>26977.43</v>
      </c>
      <c r="H9963" s="237">
        <v>681733.49</v>
      </c>
      <c r="I9963" s="237">
        <v>224305.2</v>
      </c>
      <c r="J9963" s="237">
        <v>330807.69</v>
      </c>
      <c r="K9963" s="237">
        <v>126620.6</v>
      </c>
      <c r="L9963" s="43">
        <v>5.7644188369619682</v>
      </c>
      <c r="M9963" s="43">
        <v>11.500000000000002</v>
      </c>
      <c r="N9963" s="43">
        <v>4.6084052683379406</v>
      </c>
      <c r="O9963" s="43">
        <v>4.6935753331581251</v>
      </c>
      <c r="P9963" s="238"/>
      <c r="Q9963" s="238"/>
      <c r="R9963" s="238">
        <v>1</v>
      </c>
    </row>
    <row r="9964" spans="1:18" ht="24">
      <c r="A9964" s="234">
        <v>221</v>
      </c>
      <c r="B9964" s="231" t="s">
        <v>18290</v>
      </c>
      <c r="C9964" s="235" t="s">
        <v>18033</v>
      </c>
      <c r="D9964" s="236">
        <v>129807.83</v>
      </c>
      <c r="E9964" s="236">
        <v>21602.799999999999</v>
      </c>
      <c r="F9964" s="236">
        <v>81185.64</v>
      </c>
      <c r="G9964" s="236">
        <v>27019.39</v>
      </c>
      <c r="H9964" s="237">
        <v>749175.32</v>
      </c>
      <c r="I9964" s="237">
        <v>248442.8</v>
      </c>
      <c r="J9964" s="237">
        <v>373629.38</v>
      </c>
      <c r="K9964" s="237">
        <v>127103.14</v>
      </c>
      <c r="L9964" s="43">
        <v>5.7714185654286023</v>
      </c>
      <c r="M9964" s="43">
        <v>11.500490677134446</v>
      </c>
      <c r="N9964" s="43">
        <v>4.6021609240254806</v>
      </c>
      <c r="O9964" s="43">
        <v>4.7041454303742611</v>
      </c>
      <c r="P9964" s="238"/>
      <c r="Q9964" s="238"/>
      <c r="R9964" s="238">
        <v>1</v>
      </c>
    </row>
    <row r="9965" spans="1:18" ht="24">
      <c r="A9965" s="234">
        <v>222</v>
      </c>
      <c r="B9965" s="231" t="s">
        <v>18291</v>
      </c>
      <c r="C9965" s="235" t="s">
        <v>18035</v>
      </c>
      <c r="D9965" s="236">
        <v>97941.56</v>
      </c>
      <c r="E9965" s="236">
        <v>15789.6</v>
      </c>
      <c r="F9965" s="236">
        <v>55248.84</v>
      </c>
      <c r="G9965" s="236">
        <v>26903.119999999999</v>
      </c>
      <c r="H9965" s="237">
        <v>562847.02</v>
      </c>
      <c r="I9965" s="237">
        <v>181580.4</v>
      </c>
      <c r="J9965" s="237">
        <v>255500.58</v>
      </c>
      <c r="K9965" s="237">
        <v>125766.04</v>
      </c>
      <c r="L9965" s="43">
        <v>5.7467638865462227</v>
      </c>
      <c r="M9965" s="43">
        <v>11.5</v>
      </c>
      <c r="N9965" s="43">
        <v>4.6245419813339064</v>
      </c>
      <c r="O9965" s="43">
        <v>4.6747752677012926</v>
      </c>
      <c r="P9965" s="238"/>
      <c r="Q9965" s="238"/>
      <c r="R9965" s="238">
        <v>1</v>
      </c>
    </row>
    <row r="9966" spans="1:18" ht="24">
      <c r="A9966" s="234">
        <v>223</v>
      </c>
      <c r="B9966" s="231" t="s">
        <v>18292</v>
      </c>
      <c r="C9966" s="235" t="s">
        <v>18253</v>
      </c>
      <c r="D9966" s="236">
        <v>82686.62</v>
      </c>
      <c r="E9966" s="236">
        <v>14183.6</v>
      </c>
      <c r="F9966" s="236">
        <v>41632.019999999997</v>
      </c>
      <c r="G9966" s="236">
        <v>26871</v>
      </c>
      <c r="H9966" s="237">
        <v>481991.02</v>
      </c>
      <c r="I9966" s="237">
        <v>163111.4</v>
      </c>
      <c r="J9966" s="237">
        <v>193482.96</v>
      </c>
      <c r="K9966" s="237">
        <v>125396.66</v>
      </c>
      <c r="L9966" s="43">
        <v>5.8291295496175808</v>
      </c>
      <c r="M9966" s="43">
        <v>11.5</v>
      </c>
      <c r="N9966" s="43">
        <v>4.6474554921908666</v>
      </c>
      <c r="O9966" s="43">
        <v>4.6666167987793532</v>
      </c>
      <c r="P9966" s="238"/>
      <c r="Q9966" s="238"/>
      <c r="R9966" s="238">
        <v>1</v>
      </c>
    </row>
    <row r="9967" spans="1:18" ht="24">
      <c r="A9967" s="234">
        <v>224</v>
      </c>
      <c r="B9967" s="231" t="s">
        <v>18293</v>
      </c>
      <c r="C9967" s="235" t="s">
        <v>18294</v>
      </c>
      <c r="D9967" s="236">
        <v>94020.92</v>
      </c>
      <c r="E9967" s="236">
        <v>21716.1</v>
      </c>
      <c r="F9967" s="236">
        <v>45283.17</v>
      </c>
      <c r="G9967" s="236">
        <v>27021.65</v>
      </c>
      <c r="H9967" s="237">
        <v>593282.76</v>
      </c>
      <c r="I9967" s="237">
        <v>249744.6</v>
      </c>
      <c r="J9967" s="237">
        <v>216409.03</v>
      </c>
      <c r="K9967" s="237">
        <v>127129.13</v>
      </c>
      <c r="L9967" s="43">
        <v>6.3101143873086967</v>
      </c>
      <c r="M9967" s="43">
        <v>11.500435161009575</v>
      </c>
      <c r="N9967" s="43">
        <v>4.7790167958647771</v>
      </c>
      <c r="O9967" s="43">
        <v>4.7047138128130594</v>
      </c>
      <c r="P9967" s="238"/>
      <c r="Q9967" s="238"/>
      <c r="R9967" s="238">
        <v>1</v>
      </c>
    </row>
    <row r="9968" spans="1:18" ht="24">
      <c r="A9968" s="234">
        <v>225</v>
      </c>
      <c r="B9968" s="231" t="s">
        <v>18295</v>
      </c>
      <c r="C9968" s="235" t="s">
        <v>18119</v>
      </c>
      <c r="D9968" s="236">
        <v>93615.14</v>
      </c>
      <c r="E9968" s="236">
        <v>16315.8</v>
      </c>
      <c r="F9968" s="236">
        <v>50385.69</v>
      </c>
      <c r="G9968" s="236">
        <v>26913.65</v>
      </c>
      <c r="H9968" s="237">
        <v>546877.36</v>
      </c>
      <c r="I9968" s="237">
        <v>187638.8</v>
      </c>
      <c r="J9968" s="237">
        <v>233351.43</v>
      </c>
      <c r="K9968" s="237">
        <v>125887.13</v>
      </c>
      <c r="L9968" s="43">
        <v>5.8417619201338589</v>
      </c>
      <c r="M9968" s="43">
        <v>11.500435161009573</v>
      </c>
      <c r="N9968" s="43">
        <v>4.6313036499053597</v>
      </c>
      <c r="O9968" s="43">
        <v>4.6774454598317208</v>
      </c>
      <c r="P9968" s="238"/>
      <c r="Q9968" s="238"/>
      <c r="R9968" s="238">
        <v>1</v>
      </c>
    </row>
    <row r="9969" spans="1:18" ht="24">
      <c r="A9969" s="234">
        <v>226</v>
      </c>
      <c r="B9969" s="231" t="s">
        <v>18296</v>
      </c>
      <c r="C9969" s="235" t="s">
        <v>18297</v>
      </c>
      <c r="D9969" s="236">
        <v>123188.58</v>
      </c>
      <c r="E9969" s="236">
        <v>21470.400000000001</v>
      </c>
      <c r="F9969" s="236">
        <v>74701.440000000002</v>
      </c>
      <c r="G9969" s="236">
        <v>27016.74</v>
      </c>
      <c r="H9969" s="237">
        <v>718079.45</v>
      </c>
      <c r="I9969" s="237">
        <v>246909.6</v>
      </c>
      <c r="J9969" s="237">
        <v>344097.18</v>
      </c>
      <c r="K9969" s="237">
        <v>127072.67</v>
      </c>
      <c r="L9969" s="43">
        <v>5.8291072922506286</v>
      </c>
      <c r="M9969" s="43">
        <v>11.5</v>
      </c>
      <c r="N9969" s="43">
        <v>4.6062991556789266</v>
      </c>
      <c r="O9969" s="43">
        <v>4.7034790281877088</v>
      </c>
      <c r="P9969" s="238"/>
      <c r="Q9969" s="238"/>
      <c r="R9969" s="238">
        <v>1</v>
      </c>
    </row>
    <row r="9970" spans="1:18" ht="24">
      <c r="A9970" s="234">
        <v>227</v>
      </c>
      <c r="B9970" s="231" t="s">
        <v>18298</v>
      </c>
      <c r="C9970" s="235" t="s">
        <v>18075</v>
      </c>
      <c r="D9970" s="236">
        <v>116846.98</v>
      </c>
      <c r="E9970" s="236">
        <v>20974.5</v>
      </c>
      <c r="F9970" s="236">
        <v>68865.66</v>
      </c>
      <c r="G9970" s="236">
        <v>27006.82</v>
      </c>
      <c r="H9970" s="237">
        <v>685692.39</v>
      </c>
      <c r="I9970" s="237">
        <v>241215.6</v>
      </c>
      <c r="J9970" s="237">
        <v>317518.2</v>
      </c>
      <c r="K9970" s="237">
        <v>126958.59</v>
      </c>
      <c r="L9970" s="43">
        <v>5.8682936435327644</v>
      </c>
      <c r="M9970" s="43">
        <v>11.50042194092827</v>
      </c>
      <c r="N9970" s="43">
        <v>4.6106898561634351</v>
      </c>
      <c r="O9970" s="43">
        <v>4.700982566625763</v>
      </c>
      <c r="P9970" s="238"/>
      <c r="Q9970" s="238"/>
      <c r="R9970" s="238">
        <v>1</v>
      </c>
    </row>
    <row r="9971" spans="1:18" ht="12.75" customHeight="1">
      <c r="A9971" s="628" t="s">
        <v>18299</v>
      </c>
      <c r="B9971" s="629"/>
      <c r="C9971" s="629"/>
      <c r="D9971" s="629"/>
      <c r="E9971" s="629"/>
      <c r="F9971" s="629"/>
      <c r="G9971" s="629"/>
      <c r="H9971" s="629"/>
      <c r="I9971" s="629"/>
      <c r="J9971" s="629"/>
      <c r="K9971" s="629"/>
      <c r="L9971" s="629"/>
      <c r="M9971" s="629"/>
      <c r="N9971" s="629"/>
      <c r="O9971" s="629"/>
      <c r="P9971" s="629"/>
      <c r="Q9971" s="629"/>
      <c r="R9971" s="629"/>
    </row>
    <row r="9972" spans="1:18" ht="24">
      <c r="A9972" s="234">
        <v>228</v>
      </c>
      <c r="B9972" s="231" t="s">
        <v>18300</v>
      </c>
      <c r="C9972" s="235" t="s">
        <v>18003</v>
      </c>
      <c r="D9972" s="236">
        <v>166071.53</v>
      </c>
      <c r="E9972" s="236">
        <v>44353.8</v>
      </c>
      <c r="F9972" s="236">
        <v>91994.01</v>
      </c>
      <c r="G9972" s="236">
        <v>29723.72</v>
      </c>
      <c r="H9972" s="237">
        <v>1089897.94</v>
      </c>
      <c r="I9972" s="237">
        <v>510068.7</v>
      </c>
      <c r="J9972" s="237">
        <v>436696.79</v>
      </c>
      <c r="K9972" s="237">
        <v>143132.45000000001</v>
      </c>
      <c r="L9972" s="43">
        <v>6.5628222971149839</v>
      </c>
      <c r="M9972" s="43">
        <v>11.5</v>
      </c>
      <c r="N9972" s="43">
        <v>4.7470133109753556</v>
      </c>
      <c r="O9972" s="43">
        <v>4.8154285533573864</v>
      </c>
      <c r="P9972" s="238"/>
      <c r="Q9972" s="238"/>
      <c r="R9972" s="238">
        <v>2</v>
      </c>
    </row>
    <row r="9973" spans="1:18" ht="24">
      <c r="A9973" s="234">
        <v>229</v>
      </c>
      <c r="B9973" s="231" t="s">
        <v>18301</v>
      </c>
      <c r="C9973" s="235" t="s">
        <v>18302</v>
      </c>
      <c r="D9973" s="236">
        <v>94276.56</v>
      </c>
      <c r="E9973" s="236">
        <v>21275.4</v>
      </c>
      <c r="F9973" s="236">
        <v>43739.01</v>
      </c>
      <c r="G9973" s="236">
        <v>29262.15</v>
      </c>
      <c r="H9973" s="237">
        <v>591618.29</v>
      </c>
      <c r="I9973" s="237">
        <v>244667.1</v>
      </c>
      <c r="J9973" s="237">
        <v>209126.79</v>
      </c>
      <c r="K9973" s="237">
        <v>137824.4</v>
      </c>
      <c r="L9973" s="43">
        <v>6.2753487187059012</v>
      </c>
      <c r="M9973" s="43">
        <v>11.5</v>
      </c>
      <c r="N9973" s="43">
        <v>4.7812419622666358</v>
      </c>
      <c r="O9973" s="43">
        <v>4.7099888422415983</v>
      </c>
      <c r="P9973" s="238"/>
      <c r="Q9973" s="238"/>
      <c r="R9973" s="238">
        <v>2</v>
      </c>
    </row>
    <row r="9974" spans="1:18" ht="24">
      <c r="A9974" s="234">
        <v>230</v>
      </c>
      <c r="B9974" s="231" t="s">
        <v>18303</v>
      </c>
      <c r="C9974" s="235" t="s">
        <v>18007</v>
      </c>
      <c r="D9974" s="236">
        <v>128712.06</v>
      </c>
      <c r="E9974" s="236">
        <v>32516.7</v>
      </c>
      <c r="F9974" s="236">
        <v>66708.39</v>
      </c>
      <c r="G9974" s="236">
        <v>29486.97</v>
      </c>
      <c r="H9974" s="237">
        <v>831816.14</v>
      </c>
      <c r="I9974" s="237">
        <v>373956.2</v>
      </c>
      <c r="J9974" s="237">
        <v>317450.11</v>
      </c>
      <c r="K9974" s="237">
        <v>140409.82999999999</v>
      </c>
      <c r="L9974" s="43">
        <v>6.462612283573117</v>
      </c>
      <c r="M9974" s="43">
        <v>11.500435161009573</v>
      </c>
      <c r="N9974" s="43">
        <v>4.7587733716853302</v>
      </c>
      <c r="O9974" s="43">
        <v>4.7617584987538555</v>
      </c>
      <c r="P9974" s="238"/>
      <c r="Q9974" s="238"/>
      <c r="R9974" s="238">
        <v>2</v>
      </c>
    </row>
    <row r="9975" spans="1:18" ht="24">
      <c r="A9975" s="234">
        <v>231</v>
      </c>
      <c r="B9975" s="231" t="s">
        <v>18304</v>
      </c>
      <c r="C9975" s="235" t="s">
        <v>18049</v>
      </c>
      <c r="D9975" s="236">
        <v>72617.350000000006</v>
      </c>
      <c r="E9975" s="236">
        <v>14612</v>
      </c>
      <c r="F9975" s="236">
        <v>28876.47</v>
      </c>
      <c r="G9975" s="236">
        <v>29128.880000000001</v>
      </c>
      <c r="H9975" s="237">
        <v>443365.02</v>
      </c>
      <c r="I9975" s="237">
        <v>168038</v>
      </c>
      <c r="J9975" s="237">
        <v>139035.23000000001</v>
      </c>
      <c r="K9975" s="237">
        <v>136291.79</v>
      </c>
      <c r="L9975" s="43">
        <v>6.1054971022765221</v>
      </c>
      <c r="M9975" s="43">
        <v>11.5</v>
      </c>
      <c r="N9975" s="43">
        <v>4.8148277819276393</v>
      </c>
      <c r="O9975" s="43">
        <v>4.6789231168517293</v>
      </c>
      <c r="P9975" s="238"/>
      <c r="Q9975" s="238"/>
      <c r="R9975" s="238">
        <v>2</v>
      </c>
    </row>
    <row r="9976" spans="1:18" ht="24">
      <c r="A9976" s="234">
        <v>232</v>
      </c>
      <c r="B9976" s="231" t="s">
        <v>18305</v>
      </c>
      <c r="C9976" s="235" t="s">
        <v>18100</v>
      </c>
      <c r="D9976" s="236">
        <v>65556.08</v>
      </c>
      <c r="E9976" s="236">
        <v>12041.6</v>
      </c>
      <c r="F9976" s="236">
        <v>24437.01</v>
      </c>
      <c r="G9976" s="236">
        <v>29077.47</v>
      </c>
      <c r="H9976" s="237">
        <v>392277.77</v>
      </c>
      <c r="I9976" s="237">
        <v>138478.39999999999</v>
      </c>
      <c r="J9976" s="237">
        <v>118098.79</v>
      </c>
      <c r="K9976" s="237">
        <v>135700.57999999999</v>
      </c>
      <c r="L9976" s="43">
        <v>5.9838503156381533</v>
      </c>
      <c r="M9976" s="43">
        <v>11.5</v>
      </c>
      <c r="N9976" s="43">
        <v>4.8327839617039894</v>
      </c>
      <c r="O9976" s="43">
        <v>4.6668633825432533</v>
      </c>
      <c r="P9976" s="238"/>
      <c r="Q9976" s="238"/>
      <c r="R9976" s="238">
        <v>2</v>
      </c>
    </row>
    <row r="9977" spans="1:18" ht="24">
      <c r="A9977" s="234">
        <v>233</v>
      </c>
      <c r="B9977" s="231" t="s">
        <v>18306</v>
      </c>
      <c r="C9977" s="235" t="s">
        <v>18307</v>
      </c>
      <c r="D9977" s="236">
        <v>74276.7</v>
      </c>
      <c r="E9977" s="236">
        <v>26526.400000000001</v>
      </c>
      <c r="F9977" s="236">
        <v>18383.13</v>
      </c>
      <c r="G9977" s="236">
        <v>29367.17</v>
      </c>
      <c r="H9977" s="237">
        <v>546695.69999999995</v>
      </c>
      <c r="I9977" s="237">
        <v>305053.59999999998</v>
      </c>
      <c r="J9977" s="237">
        <v>102609.97</v>
      </c>
      <c r="K9977" s="237">
        <v>139032.13</v>
      </c>
      <c r="L9977" s="43">
        <v>7.3602583313475147</v>
      </c>
      <c r="M9977" s="43">
        <v>11.499999999999998</v>
      </c>
      <c r="N9977" s="43">
        <v>5.5817464164154851</v>
      </c>
      <c r="O9977" s="43">
        <v>4.7342706157930783</v>
      </c>
      <c r="P9977" s="238"/>
      <c r="Q9977" s="238"/>
      <c r="R9977" s="238">
        <v>2</v>
      </c>
    </row>
    <row r="9978" spans="1:18" ht="24">
      <c r="A9978" s="234">
        <v>234</v>
      </c>
      <c r="B9978" s="231" t="s">
        <v>18308</v>
      </c>
      <c r="C9978" s="235" t="s">
        <v>18309</v>
      </c>
      <c r="D9978" s="236">
        <v>130196.75</v>
      </c>
      <c r="E9978" s="236">
        <v>33026.1</v>
      </c>
      <c r="F9978" s="236">
        <v>67673.490000000005</v>
      </c>
      <c r="G9978" s="236">
        <v>29497.16</v>
      </c>
      <c r="H9978" s="237">
        <v>842342.82</v>
      </c>
      <c r="I9978" s="237">
        <v>379814.3</v>
      </c>
      <c r="J9978" s="237">
        <v>322001.51</v>
      </c>
      <c r="K9978" s="237">
        <v>140527.01</v>
      </c>
      <c r="L9978" s="43">
        <v>6.4697684081975932</v>
      </c>
      <c r="M9978" s="43">
        <v>11.500428449014567</v>
      </c>
      <c r="N9978" s="43">
        <v>4.7581632039370216</v>
      </c>
      <c r="O9978" s="43">
        <v>4.7640861018484495</v>
      </c>
      <c r="P9978" s="238"/>
      <c r="Q9978" s="238"/>
      <c r="R9978" s="238">
        <v>2</v>
      </c>
    </row>
    <row r="9979" spans="1:18" ht="24">
      <c r="A9979" s="234">
        <v>235</v>
      </c>
      <c r="B9979" s="231" t="s">
        <v>18310</v>
      </c>
      <c r="C9979" s="235" t="s">
        <v>18311</v>
      </c>
      <c r="D9979" s="236">
        <v>82004.210000000006</v>
      </c>
      <c r="E9979" s="236">
        <v>17380.8</v>
      </c>
      <c r="F9979" s="236">
        <v>35439.15</v>
      </c>
      <c r="G9979" s="236">
        <v>29184.26</v>
      </c>
      <c r="H9979" s="237">
        <v>506792.61</v>
      </c>
      <c r="I9979" s="237">
        <v>199879.2</v>
      </c>
      <c r="J9979" s="237">
        <v>169984.75</v>
      </c>
      <c r="K9979" s="237">
        <v>136928.66</v>
      </c>
      <c r="L9979" s="43">
        <v>6.1800803885556599</v>
      </c>
      <c r="M9979" s="43">
        <v>11.500000000000002</v>
      </c>
      <c r="N9979" s="43">
        <v>4.7965244651748131</v>
      </c>
      <c r="O9979" s="43">
        <v>4.6918667802438714</v>
      </c>
      <c r="P9979" s="238"/>
      <c r="Q9979" s="238"/>
      <c r="R9979" s="238">
        <v>2</v>
      </c>
    </row>
    <row r="9980" spans="1:18" ht="24">
      <c r="A9980" s="234">
        <v>236</v>
      </c>
      <c r="B9980" s="231" t="s">
        <v>18312</v>
      </c>
      <c r="C9980" s="235" t="s">
        <v>18023</v>
      </c>
      <c r="D9980" s="236">
        <v>68153.25</v>
      </c>
      <c r="E9980" s="236">
        <v>13263.2</v>
      </c>
      <c r="F9980" s="236">
        <v>25788.15</v>
      </c>
      <c r="G9980" s="236">
        <v>29101.9</v>
      </c>
      <c r="H9980" s="237">
        <v>412979.07</v>
      </c>
      <c r="I9980" s="237">
        <v>152526.79999999999</v>
      </c>
      <c r="J9980" s="237">
        <v>124470.75</v>
      </c>
      <c r="K9980" s="237">
        <v>135981.51999999999</v>
      </c>
      <c r="L9980" s="43">
        <v>6.059565317868187</v>
      </c>
      <c r="M9980" s="43">
        <v>11.499999999999998</v>
      </c>
      <c r="N9980" s="43">
        <v>4.8266645726816382</v>
      </c>
      <c r="O9980" s="43">
        <v>4.6725993835454034</v>
      </c>
      <c r="P9980" s="238"/>
      <c r="Q9980" s="238"/>
      <c r="R9980" s="238">
        <v>2</v>
      </c>
    </row>
    <row r="9981" spans="1:18" ht="24">
      <c r="A9981" s="234">
        <v>237</v>
      </c>
      <c r="B9981" s="231" t="s">
        <v>18313</v>
      </c>
      <c r="C9981" s="235" t="s">
        <v>18314</v>
      </c>
      <c r="D9981" s="236">
        <v>78215.63</v>
      </c>
      <c r="E9981" s="236">
        <v>16315.8</v>
      </c>
      <c r="F9981" s="236">
        <v>32736.87</v>
      </c>
      <c r="G9981" s="236">
        <v>29162.959999999999</v>
      </c>
      <c r="H9981" s="237">
        <v>481563.34</v>
      </c>
      <c r="I9981" s="237">
        <v>187638.8</v>
      </c>
      <c r="J9981" s="237">
        <v>157240.82999999999</v>
      </c>
      <c r="K9981" s="237">
        <v>136683.71</v>
      </c>
      <c r="L9981" s="43">
        <v>6.1568683906272952</v>
      </c>
      <c r="M9981" s="43">
        <v>11.500435161009573</v>
      </c>
      <c r="N9981" s="43">
        <v>4.8031723863643654</v>
      </c>
      <c r="O9981" s="43">
        <v>4.6868942658769894</v>
      </c>
      <c r="P9981" s="238"/>
      <c r="Q9981" s="238"/>
      <c r="R9981" s="238">
        <v>2</v>
      </c>
    </row>
    <row r="9982" spans="1:18" ht="24">
      <c r="A9982" s="234">
        <v>238</v>
      </c>
      <c r="B9982" s="231" t="s">
        <v>18315</v>
      </c>
      <c r="C9982" s="235" t="s">
        <v>18209</v>
      </c>
      <c r="D9982" s="236">
        <v>99029.15</v>
      </c>
      <c r="E9982" s="236">
        <v>22717.8</v>
      </c>
      <c r="F9982" s="236">
        <v>47020.35</v>
      </c>
      <c r="G9982" s="236">
        <v>29291</v>
      </c>
      <c r="H9982" s="237">
        <v>624012.42000000004</v>
      </c>
      <c r="I9982" s="237">
        <v>261254.7</v>
      </c>
      <c r="J9982" s="237">
        <v>224601.55</v>
      </c>
      <c r="K9982" s="237">
        <v>138156.17000000001</v>
      </c>
      <c r="L9982" s="43">
        <v>6.3013003746876555</v>
      </c>
      <c r="M9982" s="43">
        <v>11.5</v>
      </c>
      <c r="N9982" s="43">
        <v>4.7766881786290405</v>
      </c>
      <c r="O9982" s="43">
        <v>4.7166764535181462</v>
      </c>
      <c r="P9982" s="238"/>
      <c r="Q9982" s="238"/>
      <c r="R9982" s="238">
        <v>2</v>
      </c>
    </row>
    <row r="9983" spans="1:18" ht="24">
      <c r="A9983" s="234">
        <v>239</v>
      </c>
      <c r="B9983" s="231" t="s">
        <v>18316</v>
      </c>
      <c r="C9983" s="235" t="s">
        <v>18317</v>
      </c>
      <c r="D9983" s="236">
        <v>83927.02</v>
      </c>
      <c r="E9983" s="236">
        <v>18130.5</v>
      </c>
      <c r="F9983" s="236">
        <v>36597.269999999997</v>
      </c>
      <c r="G9983" s="236">
        <v>29199.25</v>
      </c>
      <c r="H9983" s="237">
        <v>521055.88</v>
      </c>
      <c r="I9983" s="237">
        <v>208508.4</v>
      </c>
      <c r="J9983" s="237">
        <v>175446.43</v>
      </c>
      <c r="K9983" s="237">
        <v>137101.04999999999</v>
      </c>
      <c r="L9983" s="43">
        <v>6.2084401423999083</v>
      </c>
      <c r="M9983" s="43">
        <v>11.50042194092827</v>
      </c>
      <c r="N9983" s="43">
        <v>4.7939758894584212</v>
      </c>
      <c r="O9983" s="43">
        <v>4.6953620384085202</v>
      </c>
      <c r="P9983" s="238"/>
      <c r="Q9983" s="238"/>
      <c r="R9983" s="238">
        <v>2</v>
      </c>
    </row>
    <row r="9984" spans="1:18" ht="24">
      <c r="A9984" s="234">
        <v>240</v>
      </c>
      <c r="B9984" s="231" t="s">
        <v>18318</v>
      </c>
      <c r="C9984" s="235" t="s">
        <v>18319</v>
      </c>
      <c r="D9984" s="236">
        <v>72645.37</v>
      </c>
      <c r="E9984" s="236">
        <v>14261</v>
      </c>
      <c r="F9984" s="236">
        <v>29262.51</v>
      </c>
      <c r="G9984" s="236">
        <v>29121.86</v>
      </c>
      <c r="H9984" s="237">
        <v>441074.85</v>
      </c>
      <c r="I9984" s="237">
        <v>164008</v>
      </c>
      <c r="J9984" s="237">
        <v>140855.79</v>
      </c>
      <c r="K9984" s="237">
        <v>136211.06</v>
      </c>
      <c r="L9984" s="43">
        <v>6.0716168146710521</v>
      </c>
      <c r="M9984" s="43">
        <v>11.500455788514129</v>
      </c>
      <c r="N9984" s="43">
        <v>4.813523856976043</v>
      </c>
      <c r="O9984" s="43">
        <v>4.6772788551280717</v>
      </c>
      <c r="P9984" s="238"/>
      <c r="Q9984" s="238"/>
      <c r="R9984" s="238">
        <v>2</v>
      </c>
    </row>
    <row r="9985" spans="1:18" ht="24">
      <c r="A9985" s="234">
        <v>241</v>
      </c>
      <c r="B9985" s="231" t="s">
        <v>18320</v>
      </c>
      <c r="C9985" s="235" t="s">
        <v>18321</v>
      </c>
      <c r="D9985" s="236">
        <v>80141.399999999994</v>
      </c>
      <c r="E9985" s="236">
        <v>17068.400000000001</v>
      </c>
      <c r="F9985" s="236">
        <v>33894.99</v>
      </c>
      <c r="G9985" s="236">
        <v>29178.01</v>
      </c>
      <c r="H9985" s="237">
        <v>495845.9</v>
      </c>
      <c r="I9985" s="237">
        <v>196286.6</v>
      </c>
      <c r="J9985" s="237">
        <v>162702.51</v>
      </c>
      <c r="K9985" s="237">
        <v>136856.79</v>
      </c>
      <c r="L9985" s="43">
        <v>6.1871379836139635</v>
      </c>
      <c r="M9985" s="43">
        <v>11.5</v>
      </c>
      <c r="N9985" s="43">
        <v>4.8001934799213695</v>
      </c>
      <c r="O9985" s="43">
        <v>4.6904086330767596</v>
      </c>
      <c r="P9985" s="238"/>
      <c r="Q9985" s="238"/>
      <c r="R9985" s="238">
        <v>2</v>
      </c>
    </row>
    <row r="9986" spans="1:18" ht="24">
      <c r="A9986" s="234">
        <v>242</v>
      </c>
      <c r="B9986" s="231" t="s">
        <v>18322</v>
      </c>
      <c r="C9986" s="235" t="s">
        <v>18027</v>
      </c>
      <c r="D9986" s="236">
        <v>92486.55</v>
      </c>
      <c r="E9986" s="236">
        <v>20655.900000000001</v>
      </c>
      <c r="F9986" s="236">
        <v>42580.89</v>
      </c>
      <c r="G9986" s="236">
        <v>29249.759999999998</v>
      </c>
      <c r="H9986" s="237">
        <v>578898.72</v>
      </c>
      <c r="I9986" s="237">
        <v>237551.7</v>
      </c>
      <c r="J9986" s="237">
        <v>203665.11</v>
      </c>
      <c r="K9986" s="237">
        <v>137681.91</v>
      </c>
      <c r="L9986" s="43">
        <v>6.2592746729118982</v>
      </c>
      <c r="M9986" s="43">
        <v>11.500428449014567</v>
      </c>
      <c r="N9986" s="43">
        <v>4.7830167476537007</v>
      </c>
      <c r="O9986" s="43">
        <v>4.7071124686151276</v>
      </c>
      <c r="P9986" s="238"/>
      <c r="Q9986" s="238"/>
      <c r="R9986" s="238">
        <v>2</v>
      </c>
    </row>
    <row r="9987" spans="1:18" ht="24">
      <c r="A9987" s="234">
        <v>243</v>
      </c>
      <c r="B9987" s="231" t="s">
        <v>18323</v>
      </c>
      <c r="C9987" s="235" t="s">
        <v>18177</v>
      </c>
      <c r="D9987" s="236">
        <v>62674.63</v>
      </c>
      <c r="E9987" s="236">
        <v>11109</v>
      </c>
      <c r="F9987" s="236">
        <v>22506.81</v>
      </c>
      <c r="G9987" s="236">
        <v>29058.82</v>
      </c>
      <c r="H9987" s="237">
        <v>372235.59</v>
      </c>
      <c r="I9987" s="237">
        <v>127753.5</v>
      </c>
      <c r="J9987" s="237">
        <v>108995.99</v>
      </c>
      <c r="K9987" s="237">
        <v>135486.1</v>
      </c>
      <c r="L9987" s="43">
        <v>5.9391749101670008</v>
      </c>
      <c r="M9987" s="43">
        <v>11.5</v>
      </c>
      <c r="N9987" s="43">
        <v>4.8428004679472565</v>
      </c>
      <c r="O9987" s="43">
        <v>4.6624776917989106</v>
      </c>
      <c r="P9987" s="238"/>
      <c r="Q9987" s="238"/>
      <c r="R9987" s="238">
        <v>2</v>
      </c>
    </row>
    <row r="9988" spans="1:18" ht="24">
      <c r="A9988" s="234">
        <v>244</v>
      </c>
      <c r="B9988" s="231" t="s">
        <v>18324</v>
      </c>
      <c r="C9988" s="235" t="s">
        <v>18071</v>
      </c>
      <c r="D9988" s="236">
        <v>99415.19</v>
      </c>
      <c r="E9988" s="236">
        <v>22717.8</v>
      </c>
      <c r="F9988" s="236">
        <v>47406.39</v>
      </c>
      <c r="G9988" s="236">
        <v>29291</v>
      </c>
      <c r="H9988" s="237">
        <v>625832.98</v>
      </c>
      <c r="I9988" s="237">
        <v>261254.7</v>
      </c>
      <c r="J9988" s="237">
        <v>226422.11</v>
      </c>
      <c r="K9988" s="237">
        <v>138156.17000000001</v>
      </c>
      <c r="L9988" s="43">
        <v>6.2951444341654428</v>
      </c>
      <c r="M9988" s="43">
        <v>11.5</v>
      </c>
      <c r="N9988" s="43">
        <v>4.7761938844109411</v>
      </c>
      <c r="O9988" s="43">
        <v>4.7166764535181462</v>
      </c>
      <c r="P9988" s="238"/>
      <c r="Q9988" s="238"/>
      <c r="R9988" s="238">
        <v>2</v>
      </c>
    </row>
    <row r="9989" spans="1:18" ht="24">
      <c r="A9989" s="234">
        <v>245</v>
      </c>
      <c r="B9989" s="231" t="s">
        <v>18325</v>
      </c>
      <c r="C9989" s="235" t="s">
        <v>18326</v>
      </c>
      <c r="D9989" s="236">
        <v>81549.16</v>
      </c>
      <c r="E9989" s="236">
        <v>15988.5</v>
      </c>
      <c r="F9989" s="236">
        <v>36404.25</v>
      </c>
      <c r="G9989" s="236">
        <v>29156.41</v>
      </c>
      <c r="H9989" s="237">
        <v>495019.94</v>
      </c>
      <c r="I9989" s="237">
        <v>183875.4</v>
      </c>
      <c r="J9989" s="237">
        <v>174536.15</v>
      </c>
      <c r="K9989" s="237">
        <v>136608.39000000001</v>
      </c>
      <c r="L9989" s="43">
        <v>6.0702028077297179</v>
      </c>
      <c r="M9989" s="43">
        <v>11.500478468899521</v>
      </c>
      <c r="N9989" s="43">
        <v>4.7943893913485374</v>
      </c>
      <c r="O9989" s="43">
        <v>4.6853638702432852</v>
      </c>
      <c r="P9989" s="238"/>
      <c r="Q9989" s="238"/>
      <c r="R9989" s="238">
        <v>2</v>
      </c>
    </row>
    <row r="9990" spans="1:18" ht="24">
      <c r="A9990" s="234">
        <v>246</v>
      </c>
      <c r="B9990" s="231" t="s">
        <v>18327</v>
      </c>
      <c r="C9990" s="235" t="s">
        <v>18075</v>
      </c>
      <c r="D9990" s="236">
        <v>106162.76</v>
      </c>
      <c r="E9990" s="236">
        <v>25737.599999999999</v>
      </c>
      <c r="F9990" s="236">
        <v>51073.77</v>
      </c>
      <c r="G9990" s="236">
        <v>29351.39</v>
      </c>
      <c r="H9990" s="237">
        <v>678561.69</v>
      </c>
      <c r="I9990" s="237">
        <v>295993.59999999998</v>
      </c>
      <c r="J9990" s="237">
        <v>243717.43</v>
      </c>
      <c r="K9990" s="237">
        <v>138850.66</v>
      </c>
      <c r="L9990" s="43">
        <v>6.3917110858835997</v>
      </c>
      <c r="M9990" s="43">
        <v>11.500435161009573</v>
      </c>
      <c r="N9990" s="43">
        <v>4.7718707665402418</v>
      </c>
      <c r="O9990" s="43">
        <v>4.7306331999949576</v>
      </c>
      <c r="P9990" s="238"/>
      <c r="Q9990" s="238"/>
      <c r="R9990" s="238">
        <v>2</v>
      </c>
    </row>
    <row r="9991" spans="1:18" ht="24">
      <c r="A9991" s="234">
        <v>247</v>
      </c>
      <c r="B9991" s="231" t="s">
        <v>18328</v>
      </c>
      <c r="C9991" s="235" t="s">
        <v>18329</v>
      </c>
      <c r="D9991" s="236">
        <v>115086.93</v>
      </c>
      <c r="E9991" s="236">
        <v>31625.7</v>
      </c>
      <c r="F9991" s="236">
        <v>53992.08</v>
      </c>
      <c r="G9991" s="236">
        <v>29469.15</v>
      </c>
      <c r="H9991" s="237">
        <v>766138.92</v>
      </c>
      <c r="I9991" s="237">
        <v>363709.1</v>
      </c>
      <c r="J9991" s="237">
        <v>262224.92</v>
      </c>
      <c r="K9991" s="237">
        <v>140204.9</v>
      </c>
      <c r="L9991" s="43">
        <v>6.657045417755084</v>
      </c>
      <c r="M9991" s="43">
        <v>11.500428449014565</v>
      </c>
      <c r="N9991" s="43">
        <v>4.8567293573427799</v>
      </c>
      <c r="O9991" s="43">
        <v>4.7576838829759254</v>
      </c>
      <c r="P9991" s="238"/>
      <c r="Q9991" s="238"/>
      <c r="R9991" s="238">
        <v>2</v>
      </c>
    </row>
    <row r="9992" spans="1:18" ht="12.75" customHeight="1">
      <c r="A9992" s="628" t="s">
        <v>18330</v>
      </c>
      <c r="B9992" s="629"/>
      <c r="C9992" s="629"/>
      <c r="D9992" s="629"/>
      <c r="E9992" s="629"/>
      <c r="F9992" s="629"/>
      <c r="G9992" s="629"/>
      <c r="H9992" s="629"/>
      <c r="I9992" s="629"/>
      <c r="J9992" s="629"/>
      <c r="K9992" s="629"/>
      <c r="L9992" s="629"/>
      <c r="M9992" s="629"/>
      <c r="N9992" s="629"/>
      <c r="O9992" s="629"/>
      <c r="P9992" s="629"/>
      <c r="Q9992" s="629"/>
      <c r="R9992" s="629"/>
    </row>
    <row r="9993" spans="1:18" ht="12.75" customHeight="1">
      <c r="A9993" s="628" t="s">
        <v>18331</v>
      </c>
      <c r="B9993" s="629"/>
      <c r="C9993" s="629"/>
      <c r="D9993" s="629"/>
      <c r="E9993" s="629"/>
      <c r="F9993" s="629"/>
      <c r="G9993" s="629"/>
      <c r="H9993" s="629"/>
      <c r="I9993" s="629"/>
      <c r="J9993" s="629"/>
      <c r="K9993" s="629"/>
      <c r="L9993" s="629"/>
      <c r="M9993" s="629"/>
      <c r="N9993" s="629"/>
      <c r="O9993" s="629"/>
      <c r="P9993" s="629"/>
      <c r="Q9993" s="629"/>
      <c r="R9993" s="629"/>
    </row>
    <row r="9994" spans="1:18" ht="24">
      <c r="A9994" s="234">
        <v>248</v>
      </c>
      <c r="B9994" s="231" t="s">
        <v>18332</v>
      </c>
      <c r="C9994" s="235" t="s">
        <v>18263</v>
      </c>
      <c r="D9994" s="236">
        <v>77885.440000000002</v>
      </c>
      <c r="E9994" s="236">
        <v>12944.6</v>
      </c>
      <c r="F9994" s="236">
        <v>32097.48</v>
      </c>
      <c r="G9994" s="236">
        <v>32843.360000000001</v>
      </c>
      <c r="H9994" s="237">
        <v>459887.76</v>
      </c>
      <c r="I9994" s="237">
        <v>148868.79999999999</v>
      </c>
      <c r="J9994" s="237">
        <v>156792.32000000001</v>
      </c>
      <c r="K9994" s="237">
        <v>154226.64000000001</v>
      </c>
      <c r="L9994" s="43">
        <v>5.9046692167367869</v>
      </c>
      <c r="M9994" s="43">
        <v>11.500455788514127</v>
      </c>
      <c r="N9994" s="43">
        <v>4.8848794360180303</v>
      </c>
      <c r="O9994" s="43">
        <v>4.6958240569783367</v>
      </c>
      <c r="P9994" s="238"/>
      <c r="Q9994" s="238"/>
      <c r="R9994" s="238">
        <v>1</v>
      </c>
    </row>
    <row r="9995" spans="1:18" ht="24">
      <c r="A9995" s="234">
        <v>249</v>
      </c>
      <c r="B9995" s="231" t="s">
        <v>18333</v>
      </c>
      <c r="C9995" s="235" t="s">
        <v>18131</v>
      </c>
      <c r="D9995" s="236">
        <v>165786.66</v>
      </c>
      <c r="E9995" s="236">
        <v>38861.1</v>
      </c>
      <c r="F9995" s="236">
        <v>93563.87</v>
      </c>
      <c r="G9995" s="236">
        <v>33361.69</v>
      </c>
      <c r="H9995" s="237">
        <v>1046232.3</v>
      </c>
      <c r="I9995" s="237">
        <v>446919.3</v>
      </c>
      <c r="J9995" s="237">
        <v>439125.57</v>
      </c>
      <c r="K9995" s="237">
        <v>160187.43</v>
      </c>
      <c r="L9995" s="43">
        <v>6.3107146256520279</v>
      </c>
      <c r="M9995" s="43">
        <v>11.500428449014567</v>
      </c>
      <c r="N9995" s="43">
        <v>4.6933241431762074</v>
      </c>
      <c r="O9995" s="43">
        <v>4.8015382314265249</v>
      </c>
      <c r="P9995" s="238"/>
      <c r="Q9995" s="238"/>
      <c r="R9995" s="238">
        <v>1</v>
      </c>
    </row>
    <row r="9996" spans="1:18" ht="24">
      <c r="A9996" s="234">
        <v>250</v>
      </c>
      <c r="B9996" s="231" t="s">
        <v>18334</v>
      </c>
      <c r="C9996" s="235" t="s">
        <v>18335</v>
      </c>
      <c r="D9996" s="236">
        <v>126235.69</v>
      </c>
      <c r="E9996" s="236">
        <v>20337.3</v>
      </c>
      <c r="F9996" s="236">
        <v>72907.17</v>
      </c>
      <c r="G9996" s="236">
        <v>32991.22</v>
      </c>
      <c r="H9996" s="237">
        <v>723237.64</v>
      </c>
      <c r="I9996" s="237">
        <v>233887.8</v>
      </c>
      <c r="J9996" s="237">
        <v>333422.81</v>
      </c>
      <c r="K9996" s="237">
        <v>155927.03</v>
      </c>
      <c r="L9996" s="43">
        <v>5.7292643625586397</v>
      </c>
      <c r="M9996" s="43">
        <v>11.500435161009573</v>
      </c>
      <c r="N9996" s="43">
        <v>4.5732513002493445</v>
      </c>
      <c r="O9996" s="43">
        <v>4.7263190024497428</v>
      </c>
      <c r="P9996" s="238"/>
      <c r="Q9996" s="238"/>
      <c r="R9996" s="238">
        <v>1</v>
      </c>
    </row>
    <row r="9997" spans="1:18" ht="24">
      <c r="A9997" s="234">
        <v>251</v>
      </c>
      <c r="B9997" s="231" t="s">
        <v>18336</v>
      </c>
      <c r="C9997" s="235" t="s">
        <v>18337</v>
      </c>
      <c r="D9997" s="236">
        <v>75474.06</v>
      </c>
      <c r="E9997" s="236">
        <v>19894.8</v>
      </c>
      <c r="F9997" s="236">
        <v>22596.89</v>
      </c>
      <c r="G9997" s="236">
        <v>32982.370000000003</v>
      </c>
      <c r="H9997" s="237">
        <v>502946.36</v>
      </c>
      <c r="I9997" s="237">
        <v>228790.2</v>
      </c>
      <c r="J9997" s="237">
        <v>118330.91</v>
      </c>
      <c r="K9997" s="237">
        <v>155825.25</v>
      </c>
      <c r="L9997" s="43">
        <v>6.6638307254174478</v>
      </c>
      <c r="M9997" s="43">
        <v>11.500000000000002</v>
      </c>
      <c r="N9997" s="43">
        <v>5.2366015854394128</v>
      </c>
      <c r="O9997" s="43">
        <v>4.7245013017560593</v>
      </c>
      <c r="P9997" s="238"/>
      <c r="Q9997" s="238"/>
      <c r="R9997" s="238">
        <v>1</v>
      </c>
    </row>
    <row r="9998" spans="1:18" ht="24">
      <c r="A9998" s="234">
        <v>252</v>
      </c>
      <c r="B9998" s="231" t="s">
        <v>18338</v>
      </c>
      <c r="C9998" s="235" t="s">
        <v>18005</v>
      </c>
      <c r="D9998" s="236">
        <v>137975.44</v>
      </c>
      <c r="E9998" s="236">
        <v>22717.8</v>
      </c>
      <c r="F9998" s="236">
        <v>82218.81</v>
      </c>
      <c r="G9998" s="236">
        <v>33038.83</v>
      </c>
      <c r="H9998" s="237">
        <v>793211.99</v>
      </c>
      <c r="I9998" s="237">
        <v>261254.7</v>
      </c>
      <c r="J9998" s="237">
        <v>375482.75</v>
      </c>
      <c r="K9998" s="237">
        <v>156474.54</v>
      </c>
      <c r="L9998" s="43">
        <v>5.7489361150071341</v>
      </c>
      <c r="M9998" s="43">
        <v>11.5</v>
      </c>
      <c r="N9998" s="43">
        <v>4.5668716197668147</v>
      </c>
      <c r="O9998" s="43">
        <v>4.7360799398768059</v>
      </c>
      <c r="P9998" s="238"/>
      <c r="Q9998" s="238"/>
      <c r="R9998" s="238">
        <v>1</v>
      </c>
    </row>
    <row r="9999" spans="1:18" ht="24">
      <c r="A9999" s="234">
        <v>253</v>
      </c>
      <c r="B9999" s="231" t="s">
        <v>18339</v>
      </c>
      <c r="C9999" s="235" t="s">
        <v>18007</v>
      </c>
      <c r="D9999" s="236">
        <v>181940.49</v>
      </c>
      <c r="E9999" s="236">
        <v>32113.5</v>
      </c>
      <c r="F9999" s="236">
        <v>116600.25</v>
      </c>
      <c r="G9999" s="236">
        <v>33226.74</v>
      </c>
      <c r="H9999" s="237">
        <v>1058735.3</v>
      </c>
      <c r="I9999" s="237">
        <v>369318.8</v>
      </c>
      <c r="J9999" s="237">
        <v>530780.99</v>
      </c>
      <c r="K9999" s="237">
        <v>158635.51</v>
      </c>
      <c r="L9999" s="43">
        <v>5.8191296505797041</v>
      </c>
      <c r="M9999" s="43">
        <v>11.50042194092827</v>
      </c>
      <c r="N9999" s="43">
        <v>4.5521428127298185</v>
      </c>
      <c r="O9999" s="43">
        <v>4.7743326609832932</v>
      </c>
      <c r="P9999" s="238"/>
      <c r="Q9999" s="238"/>
      <c r="R9999" s="238">
        <v>1</v>
      </c>
    </row>
    <row r="10000" spans="1:18" ht="24">
      <c r="A10000" s="234">
        <v>254</v>
      </c>
      <c r="B10000" s="231" t="s">
        <v>18340</v>
      </c>
      <c r="C10000" s="235" t="s">
        <v>18139</v>
      </c>
      <c r="D10000" s="236">
        <v>94424.16</v>
      </c>
      <c r="E10000" s="236">
        <v>14430</v>
      </c>
      <c r="F10000" s="236">
        <v>47121.09</v>
      </c>
      <c r="G10000" s="236">
        <v>32873.07</v>
      </c>
      <c r="H10000" s="237">
        <v>537462.43000000005</v>
      </c>
      <c r="I10000" s="237">
        <v>165945</v>
      </c>
      <c r="J10000" s="237">
        <v>216949.13</v>
      </c>
      <c r="K10000" s="237">
        <v>154568.29999999999</v>
      </c>
      <c r="L10000" s="43">
        <v>5.6920011785119407</v>
      </c>
      <c r="M10000" s="43">
        <v>11.5</v>
      </c>
      <c r="N10000" s="43">
        <v>4.6040770703733722</v>
      </c>
      <c r="O10000" s="43">
        <v>4.7019733782089714</v>
      </c>
      <c r="P10000" s="238"/>
      <c r="Q10000" s="238"/>
      <c r="R10000" s="238">
        <v>1</v>
      </c>
    </row>
    <row r="10001" spans="1:18" ht="24">
      <c r="A10001" s="234">
        <v>255</v>
      </c>
      <c r="B10001" s="231" t="s">
        <v>18341</v>
      </c>
      <c r="C10001" s="235" t="s">
        <v>18049</v>
      </c>
      <c r="D10001" s="236">
        <v>142514.38</v>
      </c>
      <c r="E10001" s="236">
        <v>24358.799999999999</v>
      </c>
      <c r="F10001" s="236">
        <v>85083.93</v>
      </c>
      <c r="G10001" s="236">
        <v>33071.65</v>
      </c>
      <c r="H10001" s="237">
        <v>825413.04</v>
      </c>
      <c r="I10001" s="237">
        <v>280136.8</v>
      </c>
      <c r="J10001" s="237">
        <v>388424.27</v>
      </c>
      <c r="K10001" s="237">
        <v>156851.97</v>
      </c>
      <c r="L10001" s="43">
        <v>5.7917877480153228</v>
      </c>
      <c r="M10001" s="43">
        <v>11.500435161009573</v>
      </c>
      <c r="N10001" s="43">
        <v>4.5651895722259193</v>
      </c>
      <c r="O10001" s="43">
        <v>4.7427923916708119</v>
      </c>
      <c r="P10001" s="238"/>
      <c r="Q10001" s="238"/>
      <c r="R10001" s="238">
        <v>1</v>
      </c>
    </row>
    <row r="10002" spans="1:18" ht="24">
      <c r="A10002" s="234">
        <v>256</v>
      </c>
      <c r="B10002" s="231" t="s">
        <v>18342</v>
      </c>
      <c r="C10002" s="235" t="s">
        <v>18100</v>
      </c>
      <c r="D10002" s="236">
        <v>131402.95000000001</v>
      </c>
      <c r="E10002" s="236">
        <v>20487.599999999999</v>
      </c>
      <c r="F10002" s="236">
        <v>77921.13</v>
      </c>
      <c r="G10002" s="236">
        <v>32994.22</v>
      </c>
      <c r="H10002" s="237">
        <v>747639.4</v>
      </c>
      <c r="I10002" s="237">
        <v>235607.4</v>
      </c>
      <c r="J10002" s="237">
        <v>356070.47</v>
      </c>
      <c r="K10002" s="237">
        <v>155961.53</v>
      </c>
      <c r="L10002" s="43">
        <v>5.689669828569297</v>
      </c>
      <c r="M10002" s="43">
        <v>11.5</v>
      </c>
      <c r="N10002" s="43">
        <v>4.5696266211745122</v>
      </c>
      <c r="O10002" s="43">
        <v>4.7269348995066407</v>
      </c>
      <c r="P10002" s="238"/>
      <c r="Q10002" s="238"/>
      <c r="R10002" s="238">
        <v>1</v>
      </c>
    </row>
    <row r="10003" spans="1:18" ht="24">
      <c r="A10003" s="234">
        <v>257</v>
      </c>
      <c r="B10003" s="231" t="s">
        <v>18343</v>
      </c>
      <c r="C10003" s="235" t="s">
        <v>18151</v>
      </c>
      <c r="D10003" s="236">
        <v>82576.73</v>
      </c>
      <c r="E10003" s="236">
        <v>30420.400000000001</v>
      </c>
      <c r="F10003" s="236">
        <v>18963.45</v>
      </c>
      <c r="G10003" s="236">
        <v>33192.879999999997</v>
      </c>
      <c r="H10003" s="237">
        <v>614066.21</v>
      </c>
      <c r="I10003" s="237">
        <v>349846.4</v>
      </c>
      <c r="J10003" s="237">
        <v>105973.69</v>
      </c>
      <c r="K10003" s="237">
        <v>158246.12</v>
      </c>
      <c r="L10003" s="43">
        <v>7.4363105683647195</v>
      </c>
      <c r="M10003" s="43">
        <v>11.500387897595035</v>
      </c>
      <c r="N10003" s="43">
        <v>5.5883127806385442</v>
      </c>
      <c r="O10003" s="43">
        <v>4.767471819257624</v>
      </c>
      <c r="P10003" s="238"/>
      <c r="Q10003" s="238"/>
      <c r="R10003" s="238">
        <v>1</v>
      </c>
    </row>
    <row r="10004" spans="1:18" ht="24">
      <c r="A10004" s="234">
        <v>258</v>
      </c>
      <c r="B10004" s="231" t="s">
        <v>18344</v>
      </c>
      <c r="C10004" s="235" t="s">
        <v>18197</v>
      </c>
      <c r="D10004" s="236">
        <v>109754.75</v>
      </c>
      <c r="E10004" s="236">
        <v>22717.8</v>
      </c>
      <c r="F10004" s="236">
        <v>53998.12</v>
      </c>
      <c r="G10004" s="236">
        <v>33038.83</v>
      </c>
      <c r="H10004" s="237">
        <v>672518.56</v>
      </c>
      <c r="I10004" s="237">
        <v>261254.7</v>
      </c>
      <c r="J10004" s="237">
        <v>254789.32</v>
      </c>
      <c r="K10004" s="237">
        <v>156474.54</v>
      </c>
      <c r="L10004" s="43">
        <v>6.1274665561171613</v>
      </c>
      <c r="M10004" s="43">
        <v>11.5</v>
      </c>
      <c r="N10004" s="43">
        <v>4.7184850139227068</v>
      </c>
      <c r="O10004" s="43">
        <v>4.7360799398768059</v>
      </c>
      <c r="P10004" s="238"/>
      <c r="Q10004" s="238"/>
      <c r="R10004" s="238">
        <v>1</v>
      </c>
    </row>
    <row r="10005" spans="1:18" ht="24">
      <c r="A10005" s="234">
        <v>259</v>
      </c>
      <c r="B10005" s="231" t="s">
        <v>18345</v>
      </c>
      <c r="C10005" s="235" t="s">
        <v>18017</v>
      </c>
      <c r="D10005" s="236">
        <v>111962.45</v>
      </c>
      <c r="E10005" s="236">
        <v>17579.7</v>
      </c>
      <c r="F10005" s="236">
        <v>61446.69</v>
      </c>
      <c r="G10005" s="236">
        <v>32936.06</v>
      </c>
      <c r="H10005" s="237">
        <v>639123.62</v>
      </c>
      <c r="I10005" s="237">
        <v>202174.2</v>
      </c>
      <c r="J10005" s="237">
        <v>281656.73</v>
      </c>
      <c r="K10005" s="237">
        <v>155292.69</v>
      </c>
      <c r="L10005" s="43">
        <v>5.7083747274197734</v>
      </c>
      <c r="M10005" s="43">
        <v>11.500435161009573</v>
      </c>
      <c r="N10005" s="43">
        <v>4.5837575628565181</v>
      </c>
      <c r="O10005" s="43">
        <v>4.7149747116078853</v>
      </c>
      <c r="P10005" s="238"/>
      <c r="Q10005" s="238"/>
      <c r="R10005" s="238">
        <v>1</v>
      </c>
    </row>
    <row r="10006" spans="1:18" ht="24">
      <c r="A10006" s="234">
        <v>260</v>
      </c>
      <c r="B10006" s="231" t="s">
        <v>18346</v>
      </c>
      <c r="C10006" s="235" t="s">
        <v>18347</v>
      </c>
      <c r="D10006" s="236">
        <v>65920.61</v>
      </c>
      <c r="E10006" s="236">
        <v>8558.5499999999993</v>
      </c>
      <c r="F10006" s="236">
        <v>24606.42</v>
      </c>
      <c r="G10006" s="236">
        <v>32755.64</v>
      </c>
      <c r="H10006" s="237">
        <v>369499.1</v>
      </c>
      <c r="I10006" s="237">
        <v>98427.42</v>
      </c>
      <c r="J10006" s="237">
        <v>117853.82</v>
      </c>
      <c r="K10006" s="237">
        <v>153217.85999999999</v>
      </c>
      <c r="L10006" s="43">
        <v>5.6052136046677958</v>
      </c>
      <c r="M10006" s="43">
        <v>11.500478468899523</v>
      </c>
      <c r="N10006" s="43">
        <v>4.7895557338288146</v>
      </c>
      <c r="O10006" s="43">
        <v>4.6776023915270768</v>
      </c>
      <c r="P10006" s="238"/>
      <c r="Q10006" s="238"/>
      <c r="R10006" s="238">
        <v>1</v>
      </c>
    </row>
    <row r="10007" spans="1:18" ht="24">
      <c r="A10007" s="234">
        <v>261</v>
      </c>
      <c r="B10007" s="231" t="s">
        <v>18348</v>
      </c>
      <c r="C10007" s="235" t="s">
        <v>18019</v>
      </c>
      <c r="D10007" s="236">
        <v>109302.57</v>
      </c>
      <c r="E10007" s="236">
        <v>22717.8</v>
      </c>
      <c r="F10007" s="236">
        <v>53545.94</v>
      </c>
      <c r="G10007" s="236">
        <v>33038.83</v>
      </c>
      <c r="H10007" s="237">
        <v>670411.86</v>
      </c>
      <c r="I10007" s="237">
        <v>261254.7</v>
      </c>
      <c r="J10007" s="237">
        <v>252682.62</v>
      </c>
      <c r="K10007" s="237">
        <v>156474.54</v>
      </c>
      <c r="L10007" s="43">
        <v>6.1335415992505933</v>
      </c>
      <c r="M10007" s="43">
        <v>11.5</v>
      </c>
      <c r="N10007" s="43">
        <v>4.7189874713190205</v>
      </c>
      <c r="O10007" s="43">
        <v>4.7360799398768059</v>
      </c>
      <c r="P10007" s="238"/>
      <c r="Q10007" s="238"/>
      <c r="R10007" s="238">
        <v>1</v>
      </c>
    </row>
    <row r="10008" spans="1:18" ht="24">
      <c r="A10008" s="234">
        <v>262</v>
      </c>
      <c r="B10008" s="231" t="s">
        <v>18349</v>
      </c>
      <c r="C10008" s="235" t="s">
        <v>18350</v>
      </c>
      <c r="D10008" s="236">
        <v>106246.02</v>
      </c>
      <c r="E10008" s="236">
        <v>21716.1</v>
      </c>
      <c r="F10008" s="236">
        <v>51511.13</v>
      </c>
      <c r="G10008" s="236">
        <v>33018.79</v>
      </c>
      <c r="H10008" s="237">
        <v>649191.15</v>
      </c>
      <c r="I10008" s="237">
        <v>249744.6</v>
      </c>
      <c r="J10008" s="237">
        <v>243202.47</v>
      </c>
      <c r="K10008" s="237">
        <v>156244.07999999999</v>
      </c>
      <c r="L10008" s="43">
        <v>6.1102632362134601</v>
      </c>
      <c r="M10008" s="43">
        <v>11.500435161009575</v>
      </c>
      <c r="N10008" s="43">
        <v>4.7213576949292317</v>
      </c>
      <c r="O10008" s="43">
        <v>4.7319747331746553</v>
      </c>
      <c r="P10008" s="238"/>
      <c r="Q10008" s="238"/>
      <c r="R10008" s="238">
        <v>1</v>
      </c>
    </row>
    <row r="10009" spans="1:18" ht="24">
      <c r="A10009" s="234">
        <v>263</v>
      </c>
      <c r="B10009" s="231" t="s">
        <v>18351</v>
      </c>
      <c r="C10009" s="235" t="s">
        <v>18309</v>
      </c>
      <c r="D10009" s="236">
        <v>146167.43</v>
      </c>
      <c r="E10009" s="236">
        <v>25482.400000000001</v>
      </c>
      <c r="F10009" s="236">
        <v>87590.91</v>
      </c>
      <c r="G10009" s="236">
        <v>33094.120000000003</v>
      </c>
      <c r="H10009" s="237">
        <v>849906.08</v>
      </c>
      <c r="I10009" s="237">
        <v>293047.59999999998</v>
      </c>
      <c r="J10009" s="237">
        <v>399748.1</v>
      </c>
      <c r="K10009" s="237">
        <v>157110.38</v>
      </c>
      <c r="L10009" s="43">
        <v>5.8146064413939547</v>
      </c>
      <c r="M10009" s="43">
        <v>11.499999999999998</v>
      </c>
      <c r="N10009" s="43">
        <v>4.5638080481182346</v>
      </c>
      <c r="O10009" s="43">
        <v>4.7473805014304657</v>
      </c>
      <c r="P10009" s="238"/>
      <c r="Q10009" s="238"/>
      <c r="R10009" s="238">
        <v>1</v>
      </c>
    </row>
    <row r="10010" spans="1:18" ht="24">
      <c r="A10010" s="234">
        <v>264</v>
      </c>
      <c r="B10010" s="231" t="s">
        <v>18352</v>
      </c>
      <c r="C10010" s="235" t="s">
        <v>18021</v>
      </c>
      <c r="D10010" s="236">
        <v>76889.149999999994</v>
      </c>
      <c r="E10010" s="236">
        <v>13770.6</v>
      </c>
      <c r="F10010" s="236">
        <v>30258.67</v>
      </c>
      <c r="G10010" s="236">
        <v>32859.879999999997</v>
      </c>
      <c r="H10010" s="237">
        <v>456971.99</v>
      </c>
      <c r="I10010" s="237">
        <v>158367.79999999999</v>
      </c>
      <c r="J10010" s="237">
        <v>144187.57</v>
      </c>
      <c r="K10010" s="237">
        <v>154416.62</v>
      </c>
      <c r="L10010" s="43">
        <v>5.9432571435631685</v>
      </c>
      <c r="M10010" s="43">
        <v>11.500428449014565</v>
      </c>
      <c r="N10010" s="43">
        <v>4.7651654881063843</v>
      </c>
      <c r="O10010" s="43">
        <v>4.6992447933467805</v>
      </c>
      <c r="P10010" s="238"/>
      <c r="Q10010" s="238"/>
      <c r="R10010" s="238">
        <v>1</v>
      </c>
    </row>
    <row r="10011" spans="1:18" ht="24">
      <c r="A10011" s="234">
        <v>265</v>
      </c>
      <c r="B10011" s="231" t="s">
        <v>18353</v>
      </c>
      <c r="C10011" s="235" t="s">
        <v>18023</v>
      </c>
      <c r="D10011" s="236">
        <v>77930.11</v>
      </c>
      <c r="E10011" s="236">
        <v>11250.72</v>
      </c>
      <c r="F10011" s="236">
        <v>33869.910000000003</v>
      </c>
      <c r="G10011" s="236">
        <v>32809.480000000003</v>
      </c>
      <c r="H10011" s="237">
        <v>440314.9</v>
      </c>
      <c r="I10011" s="237">
        <v>129383.28</v>
      </c>
      <c r="J10011" s="237">
        <v>157094.6</v>
      </c>
      <c r="K10011" s="237">
        <v>153837.01999999999</v>
      </c>
      <c r="L10011" s="43">
        <v>5.6501254778159558</v>
      </c>
      <c r="M10011" s="43">
        <v>11.5</v>
      </c>
      <c r="N10011" s="43">
        <v>4.6381758912261644</v>
      </c>
      <c r="O10011" s="43">
        <v>4.6887978718346028</v>
      </c>
      <c r="P10011" s="238"/>
      <c r="Q10011" s="238"/>
      <c r="R10011" s="238">
        <v>1</v>
      </c>
    </row>
    <row r="10012" spans="1:18" ht="24">
      <c r="A10012" s="234">
        <v>266</v>
      </c>
      <c r="B10012" s="231" t="s">
        <v>18354</v>
      </c>
      <c r="C10012" s="235" t="s">
        <v>18167</v>
      </c>
      <c r="D10012" s="236">
        <v>104943.03999999999</v>
      </c>
      <c r="E10012" s="236">
        <v>16315.8</v>
      </c>
      <c r="F10012" s="236">
        <v>55716.45</v>
      </c>
      <c r="G10012" s="236">
        <v>32910.79</v>
      </c>
      <c r="H10012" s="237">
        <v>598414.56999999995</v>
      </c>
      <c r="I10012" s="237">
        <v>187638.8</v>
      </c>
      <c r="J10012" s="237">
        <v>255773.69</v>
      </c>
      <c r="K10012" s="237">
        <v>155002.07999999999</v>
      </c>
      <c r="L10012" s="43">
        <v>5.7022797319383924</v>
      </c>
      <c r="M10012" s="43">
        <v>11.500435161009573</v>
      </c>
      <c r="N10012" s="43">
        <v>4.5906314921356266</v>
      </c>
      <c r="O10012" s="43">
        <v>4.7097647914255472</v>
      </c>
      <c r="P10012" s="238"/>
      <c r="Q10012" s="238"/>
      <c r="R10012" s="238">
        <v>1</v>
      </c>
    </row>
    <row r="10013" spans="1:18" ht="24">
      <c r="A10013" s="234">
        <v>267</v>
      </c>
      <c r="B10013" s="231" t="s">
        <v>18355</v>
      </c>
      <c r="C10013" s="235" t="s">
        <v>18277</v>
      </c>
      <c r="D10013" s="236">
        <v>130415.81</v>
      </c>
      <c r="E10013" s="236">
        <v>21275.4</v>
      </c>
      <c r="F10013" s="236">
        <v>76130.429999999993</v>
      </c>
      <c r="G10013" s="236">
        <v>33009.980000000003</v>
      </c>
      <c r="H10013" s="237">
        <v>748791.89</v>
      </c>
      <c r="I10013" s="237">
        <v>244667.1</v>
      </c>
      <c r="J10013" s="237">
        <v>347982.02</v>
      </c>
      <c r="K10013" s="237">
        <v>156142.76999999999</v>
      </c>
      <c r="L10013" s="43">
        <v>5.7415729733994674</v>
      </c>
      <c r="M10013" s="43">
        <v>11.5</v>
      </c>
      <c r="N10013" s="43">
        <v>4.5708663408311239</v>
      </c>
      <c r="O10013" s="43">
        <v>4.7301685732617829</v>
      </c>
      <c r="P10013" s="238"/>
      <c r="Q10013" s="238"/>
      <c r="R10013" s="238">
        <v>1</v>
      </c>
    </row>
    <row r="10014" spans="1:18" ht="24">
      <c r="A10014" s="234">
        <v>268</v>
      </c>
      <c r="B10014" s="231" t="s">
        <v>18356</v>
      </c>
      <c r="C10014" s="235" t="s">
        <v>18357</v>
      </c>
      <c r="D10014" s="236">
        <v>142014.88</v>
      </c>
      <c r="E10014" s="236">
        <v>24358.799999999999</v>
      </c>
      <c r="F10014" s="236">
        <v>84584.43</v>
      </c>
      <c r="G10014" s="236">
        <v>33071.65</v>
      </c>
      <c r="H10014" s="237">
        <v>823025.91</v>
      </c>
      <c r="I10014" s="237">
        <v>280136.8</v>
      </c>
      <c r="J10014" s="237">
        <v>386037.14</v>
      </c>
      <c r="K10014" s="237">
        <v>156851.97</v>
      </c>
      <c r="L10014" s="43">
        <v>5.7953498253140801</v>
      </c>
      <c r="M10014" s="43">
        <v>11.500435161009573</v>
      </c>
      <c r="N10014" s="43">
        <v>4.5639267179550664</v>
      </c>
      <c r="O10014" s="43">
        <v>4.7427923916708119</v>
      </c>
      <c r="P10014" s="238"/>
      <c r="Q10014" s="238"/>
      <c r="R10014" s="238">
        <v>1</v>
      </c>
    </row>
    <row r="10015" spans="1:18" ht="24">
      <c r="A10015" s="234">
        <v>269</v>
      </c>
      <c r="B10015" s="231" t="s">
        <v>18358</v>
      </c>
      <c r="C10015" s="235" t="s">
        <v>18359</v>
      </c>
      <c r="D10015" s="236">
        <v>103539.51</v>
      </c>
      <c r="E10015" s="236">
        <v>20974.5</v>
      </c>
      <c r="F10015" s="236">
        <v>49561.05</v>
      </c>
      <c r="G10015" s="236">
        <v>33003.96</v>
      </c>
      <c r="H10015" s="237">
        <v>631295.37</v>
      </c>
      <c r="I10015" s="237">
        <v>241215.6</v>
      </c>
      <c r="J10015" s="237">
        <v>234006.23</v>
      </c>
      <c r="K10015" s="237">
        <v>156073.54</v>
      </c>
      <c r="L10015" s="43">
        <v>6.097144655214227</v>
      </c>
      <c r="M10015" s="43">
        <v>11.50042194092827</v>
      </c>
      <c r="N10015" s="43">
        <v>4.7215753096433586</v>
      </c>
      <c r="O10015" s="43">
        <v>4.7289337400724039</v>
      </c>
      <c r="P10015" s="238"/>
      <c r="Q10015" s="238"/>
      <c r="R10015" s="238">
        <v>1</v>
      </c>
    </row>
    <row r="10016" spans="1:18" ht="24">
      <c r="A10016" s="234">
        <v>270</v>
      </c>
      <c r="B10016" s="231" t="s">
        <v>18360</v>
      </c>
      <c r="C10016" s="235" t="s">
        <v>18177</v>
      </c>
      <c r="D10016" s="236">
        <v>86926.19</v>
      </c>
      <c r="E10016" s="236">
        <v>12484.4</v>
      </c>
      <c r="F10016" s="236">
        <v>41607.629999999997</v>
      </c>
      <c r="G10016" s="236">
        <v>32834.160000000003</v>
      </c>
      <c r="H10016" s="237">
        <v>489605.78</v>
      </c>
      <c r="I10016" s="237">
        <v>143570.6</v>
      </c>
      <c r="J10016" s="237">
        <v>191914.34</v>
      </c>
      <c r="K10016" s="237">
        <v>154120.84</v>
      </c>
      <c r="L10016" s="43">
        <v>5.6324311464703563</v>
      </c>
      <c r="M10016" s="43">
        <v>11.5</v>
      </c>
      <c r="N10016" s="43">
        <v>4.6124794899397061</v>
      </c>
      <c r="O10016" s="43">
        <v>4.6939175541570117</v>
      </c>
      <c r="P10016" s="238"/>
      <c r="Q10016" s="238"/>
      <c r="R10016" s="238">
        <v>1</v>
      </c>
    </row>
    <row r="10017" spans="1:18" ht="24">
      <c r="A10017" s="234">
        <v>271</v>
      </c>
      <c r="B10017" s="231" t="s">
        <v>18361</v>
      </c>
      <c r="C10017" s="235" t="s">
        <v>18362</v>
      </c>
      <c r="D10017" s="236">
        <v>81102.78</v>
      </c>
      <c r="E10017" s="236">
        <v>14937</v>
      </c>
      <c r="F10017" s="236">
        <v>33282.57</v>
      </c>
      <c r="G10017" s="236">
        <v>32883.21</v>
      </c>
      <c r="H10017" s="237">
        <v>484631.94</v>
      </c>
      <c r="I10017" s="237">
        <v>171782</v>
      </c>
      <c r="J10017" s="237">
        <v>158165.03</v>
      </c>
      <c r="K10017" s="237">
        <v>154684.91</v>
      </c>
      <c r="L10017" s="43">
        <v>5.9755280891727756</v>
      </c>
      <c r="M10017" s="43">
        <v>11.500435161009573</v>
      </c>
      <c r="N10017" s="43">
        <v>4.7521880071160369</v>
      </c>
      <c r="O10017" s="43">
        <v>4.7040696452688167</v>
      </c>
      <c r="P10017" s="238"/>
      <c r="Q10017" s="238"/>
      <c r="R10017" s="238">
        <v>1</v>
      </c>
    </row>
    <row r="10018" spans="1:18" ht="24">
      <c r="A10018" s="234">
        <v>272</v>
      </c>
      <c r="B10018" s="231" t="s">
        <v>18363</v>
      </c>
      <c r="C10018" s="235" t="s">
        <v>18071</v>
      </c>
      <c r="D10018" s="236">
        <v>126906.36</v>
      </c>
      <c r="E10018" s="236">
        <v>28367.200000000001</v>
      </c>
      <c r="F10018" s="236">
        <v>65387.35</v>
      </c>
      <c r="G10018" s="236">
        <v>33151.81</v>
      </c>
      <c r="H10018" s="237">
        <v>791737.34</v>
      </c>
      <c r="I10018" s="237">
        <v>326222.8</v>
      </c>
      <c r="J10018" s="237">
        <v>307740.73</v>
      </c>
      <c r="K10018" s="237">
        <v>157773.81</v>
      </c>
      <c r="L10018" s="43">
        <v>6.2387522579640606</v>
      </c>
      <c r="M10018" s="43">
        <v>11.5</v>
      </c>
      <c r="N10018" s="43">
        <v>4.7064260900617629</v>
      </c>
      <c r="O10018" s="43">
        <v>4.7591311002325369</v>
      </c>
      <c r="P10018" s="238"/>
      <c r="Q10018" s="238"/>
      <c r="R10018" s="238">
        <v>1</v>
      </c>
    </row>
    <row r="10019" spans="1:18" ht="24">
      <c r="A10019" s="234">
        <v>273</v>
      </c>
      <c r="B10019" s="231" t="s">
        <v>18364</v>
      </c>
      <c r="C10019" s="235" t="s">
        <v>18365</v>
      </c>
      <c r="D10019" s="236">
        <v>94540.1</v>
      </c>
      <c r="E10019" s="236">
        <v>17028</v>
      </c>
      <c r="F10019" s="236">
        <v>44587.07</v>
      </c>
      <c r="G10019" s="236">
        <v>32925.03</v>
      </c>
      <c r="H10019" s="237">
        <v>561820.37</v>
      </c>
      <c r="I10019" s="237">
        <v>195822</v>
      </c>
      <c r="J10019" s="237">
        <v>210832.53</v>
      </c>
      <c r="K10019" s="237">
        <v>155165.84</v>
      </c>
      <c r="L10019" s="43">
        <v>5.9426673972208617</v>
      </c>
      <c r="M10019" s="43">
        <v>11.5</v>
      </c>
      <c r="N10019" s="43">
        <v>4.7285576289269509</v>
      </c>
      <c r="O10019" s="43">
        <v>4.7127015525878031</v>
      </c>
      <c r="P10019" s="238"/>
      <c r="Q10019" s="238"/>
      <c r="R10019" s="238">
        <v>1</v>
      </c>
    </row>
    <row r="10020" spans="1:18" ht="24">
      <c r="A10020" s="234">
        <v>274</v>
      </c>
      <c r="B10020" s="231" t="s">
        <v>18366</v>
      </c>
      <c r="C10020" s="235" t="s">
        <v>18115</v>
      </c>
      <c r="D10020" s="236">
        <v>77268.31</v>
      </c>
      <c r="E10020" s="236">
        <v>11091.6</v>
      </c>
      <c r="F10020" s="236">
        <v>33370.410000000003</v>
      </c>
      <c r="G10020" s="236">
        <v>32806.300000000003</v>
      </c>
      <c r="H10020" s="237">
        <v>436066</v>
      </c>
      <c r="I10020" s="237">
        <v>127558.08</v>
      </c>
      <c r="J10020" s="237">
        <v>154707.47</v>
      </c>
      <c r="K10020" s="237">
        <v>153800.45000000001</v>
      </c>
      <c r="L10020" s="43">
        <v>5.6435296695372266</v>
      </c>
      <c r="M10020" s="43">
        <v>11.50042194092827</v>
      </c>
      <c r="N10020" s="43">
        <v>4.6360674022285009</v>
      </c>
      <c r="O10020" s="43">
        <v>4.6881376442939313</v>
      </c>
      <c r="P10020" s="238"/>
      <c r="Q10020" s="238"/>
      <c r="R10020" s="238">
        <v>1</v>
      </c>
    </row>
    <row r="10021" spans="1:18" ht="24">
      <c r="A10021" s="234">
        <v>275</v>
      </c>
      <c r="B10021" s="231" t="s">
        <v>18367</v>
      </c>
      <c r="C10021" s="235" t="s">
        <v>18119</v>
      </c>
      <c r="D10021" s="236">
        <v>88004.56</v>
      </c>
      <c r="E10021" s="236">
        <v>16827</v>
      </c>
      <c r="F10021" s="236">
        <v>38256.550000000003</v>
      </c>
      <c r="G10021" s="236">
        <v>32921.01</v>
      </c>
      <c r="H10021" s="237">
        <v>529975.93999999994</v>
      </c>
      <c r="I10021" s="237">
        <v>193517.6</v>
      </c>
      <c r="J10021" s="237">
        <v>181338.73</v>
      </c>
      <c r="K10021" s="237">
        <v>155119.60999999999</v>
      </c>
      <c r="L10021" s="43">
        <v>6.0221418071972632</v>
      </c>
      <c r="M10021" s="43">
        <v>11.50042194092827</v>
      </c>
      <c r="N10021" s="43">
        <v>4.7400701317813549</v>
      </c>
      <c r="O10021" s="43">
        <v>4.7118727523851787</v>
      </c>
      <c r="P10021" s="238"/>
      <c r="Q10021" s="238"/>
      <c r="R10021" s="238">
        <v>1</v>
      </c>
    </row>
    <row r="10022" spans="1:18" ht="24">
      <c r="A10022" s="234">
        <v>276</v>
      </c>
      <c r="B10022" s="231" t="s">
        <v>18368</v>
      </c>
      <c r="C10022" s="235" t="s">
        <v>18075</v>
      </c>
      <c r="D10022" s="236">
        <v>136073.79</v>
      </c>
      <c r="E10022" s="236">
        <v>22396.5</v>
      </c>
      <c r="F10022" s="236">
        <v>80644.89</v>
      </c>
      <c r="G10022" s="236">
        <v>33032.400000000001</v>
      </c>
      <c r="H10022" s="237">
        <v>782212.35</v>
      </c>
      <c r="I10022" s="237">
        <v>257569.2</v>
      </c>
      <c r="J10022" s="237">
        <v>368242.55</v>
      </c>
      <c r="K10022" s="237">
        <v>156400.6</v>
      </c>
      <c r="L10022" s="43">
        <v>5.7484424443531701</v>
      </c>
      <c r="M10022" s="43">
        <v>11.50042194092827</v>
      </c>
      <c r="N10022" s="43">
        <v>4.566222980774107</v>
      </c>
      <c r="O10022" s="43">
        <v>4.7347634443758251</v>
      </c>
      <c r="P10022" s="238"/>
      <c r="Q10022" s="238"/>
      <c r="R10022" s="238">
        <v>1</v>
      </c>
    </row>
    <row r="10023" spans="1:18" ht="24">
      <c r="A10023" s="234">
        <v>277</v>
      </c>
      <c r="B10023" s="231" t="s">
        <v>18369</v>
      </c>
      <c r="C10023" s="235" t="s">
        <v>18370</v>
      </c>
      <c r="D10023" s="236">
        <v>77788.75</v>
      </c>
      <c r="E10023" s="236">
        <v>11250.72</v>
      </c>
      <c r="F10023" s="236">
        <v>33728.550000000003</v>
      </c>
      <c r="G10023" s="236">
        <v>32809.480000000003</v>
      </c>
      <c r="H10023" s="237">
        <v>439545.46</v>
      </c>
      <c r="I10023" s="237">
        <v>129383.28</v>
      </c>
      <c r="J10023" s="237">
        <v>156325.16</v>
      </c>
      <c r="K10023" s="237">
        <v>153837.01999999999</v>
      </c>
      <c r="L10023" s="43">
        <v>5.6505016470890714</v>
      </c>
      <c r="M10023" s="43">
        <v>11.5</v>
      </c>
      <c r="N10023" s="43">
        <v>4.634802266922236</v>
      </c>
      <c r="O10023" s="43">
        <v>4.6887978718346028</v>
      </c>
      <c r="P10023" s="238"/>
      <c r="Q10023" s="238"/>
      <c r="R10023" s="238">
        <v>1</v>
      </c>
    </row>
    <row r="10024" spans="1:18" ht="12.75" customHeight="1">
      <c r="A10024" s="628" t="s">
        <v>18371</v>
      </c>
      <c r="B10024" s="629"/>
      <c r="C10024" s="629"/>
      <c r="D10024" s="629"/>
      <c r="E10024" s="629"/>
      <c r="F10024" s="629"/>
      <c r="G10024" s="629"/>
      <c r="H10024" s="629"/>
      <c r="I10024" s="629"/>
      <c r="J10024" s="629"/>
      <c r="K10024" s="629"/>
      <c r="L10024" s="629"/>
      <c r="M10024" s="629"/>
      <c r="N10024" s="629"/>
      <c r="O10024" s="629"/>
      <c r="P10024" s="629"/>
      <c r="Q10024" s="629"/>
      <c r="R10024" s="629"/>
    </row>
    <row r="10025" spans="1:18" ht="12.75" customHeight="1">
      <c r="A10025" s="628" t="s">
        <v>18372</v>
      </c>
      <c r="B10025" s="629"/>
      <c r="C10025" s="629"/>
      <c r="D10025" s="629"/>
      <c r="E10025" s="629"/>
      <c r="F10025" s="629"/>
      <c r="G10025" s="629"/>
      <c r="H10025" s="629"/>
      <c r="I10025" s="629"/>
      <c r="J10025" s="629"/>
      <c r="K10025" s="629"/>
      <c r="L10025" s="629"/>
      <c r="M10025" s="629"/>
      <c r="N10025" s="629"/>
      <c r="O10025" s="629"/>
      <c r="P10025" s="629"/>
      <c r="Q10025" s="629"/>
      <c r="R10025" s="629"/>
    </row>
    <row r="10026" spans="1:18" ht="24">
      <c r="A10026" s="234">
        <v>278</v>
      </c>
      <c r="B10026" s="231" t="s">
        <v>18373</v>
      </c>
      <c r="C10026" s="235" t="s">
        <v>18374</v>
      </c>
      <c r="D10026" s="236">
        <v>4679.6099999999997</v>
      </c>
      <c r="E10026" s="236">
        <v>2322.6</v>
      </c>
      <c r="F10026" s="236">
        <v>2310.56</v>
      </c>
      <c r="G10026" s="236">
        <v>46.45</v>
      </c>
      <c r="H10026" s="237">
        <v>39367.5</v>
      </c>
      <c r="I10026" s="237">
        <v>26710.880000000001</v>
      </c>
      <c r="J10026" s="237">
        <v>12122.44</v>
      </c>
      <c r="K10026" s="237">
        <v>534.17999999999995</v>
      </c>
      <c r="L10026" s="43">
        <v>8.4125600210273941</v>
      </c>
      <c r="M10026" s="43">
        <v>11.500421940928272</v>
      </c>
      <c r="N10026" s="43">
        <v>5.2465376358977913</v>
      </c>
      <c r="O10026" s="43">
        <v>11.500107642626478</v>
      </c>
      <c r="P10026" s="238"/>
      <c r="Q10026" s="238"/>
      <c r="R10026" s="238">
        <v>1</v>
      </c>
    </row>
    <row r="10027" spans="1:18" ht="24">
      <c r="A10027" s="234">
        <v>279</v>
      </c>
      <c r="B10027" s="231" t="s">
        <v>18375</v>
      </c>
      <c r="C10027" s="235" t="s">
        <v>18376</v>
      </c>
      <c r="D10027" s="236">
        <v>6757.96</v>
      </c>
      <c r="E10027" s="236">
        <v>2800.8</v>
      </c>
      <c r="F10027" s="236">
        <v>3901.14</v>
      </c>
      <c r="G10027" s="236">
        <v>56.02</v>
      </c>
      <c r="H10027" s="237">
        <v>52444.39</v>
      </c>
      <c r="I10027" s="237">
        <v>32210.400000000001</v>
      </c>
      <c r="J10027" s="237">
        <v>19589.759999999998</v>
      </c>
      <c r="K10027" s="237">
        <v>644.23</v>
      </c>
      <c r="L10027" s="43">
        <v>7.7603877501494534</v>
      </c>
      <c r="M10027" s="43">
        <v>11.500428449014567</v>
      </c>
      <c r="N10027" s="43">
        <v>5.0215475476399201</v>
      </c>
      <c r="O10027" s="43">
        <v>11.5</v>
      </c>
      <c r="P10027" s="238"/>
      <c r="Q10027" s="238"/>
      <c r="R10027" s="238">
        <v>1</v>
      </c>
    </row>
    <row r="10028" spans="1:18" ht="24">
      <c r="A10028" s="239">
        <v>280</v>
      </c>
      <c r="B10028" s="240" t="s">
        <v>18377</v>
      </c>
      <c r="C10028" s="241" t="s">
        <v>18378</v>
      </c>
      <c r="D10028" s="242">
        <v>5333.86</v>
      </c>
      <c r="E10028" s="242">
        <v>2614.08</v>
      </c>
      <c r="F10028" s="242">
        <v>2667.5</v>
      </c>
      <c r="G10028" s="242">
        <v>52.28</v>
      </c>
      <c r="H10028" s="243">
        <v>44649.47</v>
      </c>
      <c r="I10028" s="243">
        <v>30063.040000000001</v>
      </c>
      <c r="J10028" s="243">
        <v>13985.21</v>
      </c>
      <c r="K10028" s="243">
        <v>601.22</v>
      </c>
      <c r="L10028" s="611">
        <v>8.3709489937868646</v>
      </c>
      <c r="M10028" s="611">
        <v>11.500428449014567</v>
      </c>
      <c r="N10028" s="611">
        <v>5.242815370196813</v>
      </c>
      <c r="O10028" s="611">
        <v>11.5</v>
      </c>
      <c r="P10028" s="244"/>
      <c r="Q10028" s="244"/>
      <c r="R10028" s="244">
        <v>1</v>
      </c>
    </row>
    <row r="10029" spans="1:18" ht="12.75" customHeight="1">
      <c r="A10029" s="630" t="s">
        <v>18379</v>
      </c>
      <c r="B10029" s="631"/>
      <c r="C10029" s="631"/>
      <c r="D10029" s="631"/>
      <c r="E10029" s="631"/>
      <c r="F10029" s="631"/>
      <c r="G10029" s="631"/>
      <c r="H10029" s="631"/>
      <c r="I10029" s="631"/>
      <c r="J10029" s="631"/>
      <c r="K10029" s="631"/>
      <c r="L10029" s="631"/>
      <c r="M10029" s="631"/>
      <c r="N10029" s="631"/>
      <c r="O10029" s="631"/>
      <c r="P10029" s="631"/>
      <c r="Q10029" s="631"/>
      <c r="R10029" s="631"/>
    </row>
    <row r="10030" spans="1:18" ht="12.75" customHeight="1">
      <c r="A10030" s="628" t="s">
        <v>18380</v>
      </c>
      <c r="B10030" s="629"/>
      <c r="C10030" s="629"/>
      <c r="D10030" s="629"/>
      <c r="E10030" s="629"/>
      <c r="F10030" s="629"/>
      <c r="G10030" s="629"/>
      <c r="H10030" s="629"/>
      <c r="I10030" s="629"/>
      <c r="J10030" s="629"/>
      <c r="K10030" s="629"/>
      <c r="L10030" s="629"/>
      <c r="M10030" s="629"/>
      <c r="N10030" s="629"/>
      <c r="O10030" s="629"/>
      <c r="P10030" s="629"/>
      <c r="Q10030" s="629"/>
      <c r="R10030" s="629"/>
    </row>
    <row r="10031" spans="1:18" ht="12.75" customHeight="1">
      <c r="A10031" s="628" t="s">
        <v>18381</v>
      </c>
      <c r="B10031" s="629"/>
      <c r="C10031" s="629"/>
      <c r="D10031" s="629"/>
      <c r="E10031" s="629"/>
      <c r="F10031" s="629"/>
      <c r="G10031" s="629"/>
      <c r="H10031" s="629"/>
      <c r="I10031" s="629"/>
      <c r="J10031" s="629"/>
      <c r="K10031" s="629"/>
      <c r="L10031" s="629"/>
      <c r="M10031" s="629"/>
      <c r="N10031" s="629"/>
      <c r="O10031" s="629"/>
      <c r="P10031" s="629"/>
      <c r="Q10031" s="629"/>
      <c r="R10031" s="629"/>
    </row>
    <row r="10032" spans="1:18" ht="24">
      <c r="A10032" s="234">
        <v>281</v>
      </c>
      <c r="B10032" s="231" t="s">
        <v>18382</v>
      </c>
      <c r="C10032" s="235" t="s">
        <v>18383</v>
      </c>
      <c r="D10032" s="236">
        <v>615.55999999999995</v>
      </c>
      <c r="E10032" s="236">
        <v>118.5</v>
      </c>
      <c r="F10032" s="236">
        <v>75.48</v>
      </c>
      <c r="G10032" s="236">
        <v>421.58</v>
      </c>
      <c r="H10032" s="237">
        <v>3227.55</v>
      </c>
      <c r="I10032" s="237">
        <v>1362.7</v>
      </c>
      <c r="J10032" s="237">
        <v>413.63</v>
      </c>
      <c r="K10032" s="237">
        <v>1451.22</v>
      </c>
      <c r="L10032" s="43">
        <v>5.2432744167912153</v>
      </c>
      <c r="M10032" s="43">
        <v>11.49957805907173</v>
      </c>
      <c r="N10032" s="43">
        <v>5.4799947005829353</v>
      </c>
      <c r="O10032" s="43">
        <v>3.4423359741923245</v>
      </c>
      <c r="P10032" s="238"/>
      <c r="Q10032" s="238"/>
      <c r="R10032" s="238">
        <v>1</v>
      </c>
    </row>
    <row r="10033" spans="1:18" ht="12.75" customHeight="1">
      <c r="A10033" s="628" t="s">
        <v>18384</v>
      </c>
      <c r="B10033" s="629"/>
      <c r="C10033" s="629"/>
      <c r="D10033" s="629"/>
      <c r="E10033" s="629"/>
      <c r="F10033" s="629"/>
      <c r="G10033" s="629"/>
      <c r="H10033" s="629"/>
      <c r="I10033" s="629"/>
      <c r="J10033" s="629"/>
      <c r="K10033" s="629"/>
      <c r="L10033" s="629"/>
      <c r="M10033" s="629"/>
      <c r="N10033" s="629"/>
      <c r="O10033" s="629"/>
      <c r="P10033" s="629"/>
      <c r="Q10033" s="629"/>
      <c r="R10033" s="629"/>
    </row>
    <row r="10034" spans="1:18" ht="12.75" customHeight="1">
      <c r="A10034" s="628" t="s">
        <v>18385</v>
      </c>
      <c r="B10034" s="629"/>
      <c r="C10034" s="629"/>
      <c r="D10034" s="629"/>
      <c r="E10034" s="629"/>
      <c r="F10034" s="629"/>
      <c r="G10034" s="629"/>
      <c r="H10034" s="629"/>
      <c r="I10034" s="629"/>
      <c r="J10034" s="629"/>
      <c r="K10034" s="629"/>
      <c r="L10034" s="629"/>
      <c r="M10034" s="629"/>
      <c r="N10034" s="629"/>
      <c r="O10034" s="629"/>
      <c r="P10034" s="629"/>
      <c r="Q10034" s="629"/>
      <c r="R10034" s="629"/>
    </row>
    <row r="10035" spans="1:18" ht="36">
      <c r="A10035" s="234">
        <v>282</v>
      </c>
      <c r="B10035" s="231" t="s">
        <v>18386</v>
      </c>
      <c r="C10035" s="235" t="s">
        <v>18387</v>
      </c>
      <c r="D10035" s="236">
        <v>13628.27</v>
      </c>
      <c r="E10035" s="236">
        <v>3093.54</v>
      </c>
      <c r="F10035" s="236">
        <v>1425.47</v>
      </c>
      <c r="G10035" s="236">
        <v>9109.26</v>
      </c>
      <c r="H10035" s="237">
        <v>82151.5</v>
      </c>
      <c r="I10035" s="237">
        <v>35577.120000000003</v>
      </c>
      <c r="J10035" s="237">
        <v>8005.37</v>
      </c>
      <c r="K10035" s="237">
        <v>38569.01</v>
      </c>
      <c r="L10035" s="43">
        <v>6.0280211648286981</v>
      </c>
      <c r="M10035" s="43">
        <v>11.500455788514131</v>
      </c>
      <c r="N10035" s="43">
        <v>5.6159512301205918</v>
      </c>
      <c r="O10035" s="43">
        <v>4.2340442582602762</v>
      </c>
      <c r="P10035" s="238"/>
      <c r="Q10035" s="238"/>
      <c r="R10035" s="238">
        <v>1</v>
      </c>
    </row>
    <row r="10036" spans="1:18" ht="36">
      <c r="A10036" s="234">
        <v>283</v>
      </c>
      <c r="B10036" s="231" t="s">
        <v>18388</v>
      </c>
      <c r="C10036" s="235" t="s">
        <v>18389</v>
      </c>
      <c r="D10036" s="236">
        <v>21915.17</v>
      </c>
      <c r="E10036" s="236">
        <v>6060.6</v>
      </c>
      <c r="F10036" s="236">
        <v>2241.23</v>
      </c>
      <c r="G10036" s="236">
        <v>13613.34</v>
      </c>
      <c r="H10036" s="237">
        <v>140346.71</v>
      </c>
      <c r="I10036" s="237">
        <v>69696.899999999994</v>
      </c>
      <c r="J10036" s="237">
        <v>12789.8</v>
      </c>
      <c r="K10036" s="237">
        <v>57860.01</v>
      </c>
      <c r="L10036" s="43">
        <v>6.4040894959975212</v>
      </c>
      <c r="M10036" s="43">
        <v>11.499999999999998</v>
      </c>
      <c r="N10036" s="43">
        <v>5.7065986087996317</v>
      </c>
      <c r="O10036" s="43">
        <v>4.2502435111442161</v>
      </c>
      <c r="P10036" s="238"/>
      <c r="Q10036" s="238"/>
      <c r="R10036" s="238">
        <v>1</v>
      </c>
    </row>
    <row r="10037" spans="1:18" ht="36">
      <c r="A10037" s="234">
        <v>284</v>
      </c>
      <c r="B10037" s="231" t="s">
        <v>18390</v>
      </c>
      <c r="C10037" s="235" t="s">
        <v>18391</v>
      </c>
      <c r="D10037" s="236">
        <v>108676.19</v>
      </c>
      <c r="E10037" s="236">
        <v>52344.68</v>
      </c>
      <c r="F10037" s="236">
        <v>18153.84</v>
      </c>
      <c r="G10037" s="236">
        <v>38177.67</v>
      </c>
      <c r="H10037" s="237">
        <v>874683.56</v>
      </c>
      <c r="I10037" s="237">
        <v>601963.81999999995</v>
      </c>
      <c r="J10037" s="237">
        <v>103232</v>
      </c>
      <c r="K10037" s="237">
        <v>169487.74</v>
      </c>
      <c r="L10037" s="43">
        <v>8.0485298573680222</v>
      </c>
      <c r="M10037" s="43">
        <v>11.499999999999998</v>
      </c>
      <c r="N10037" s="43">
        <v>5.6865104022069159</v>
      </c>
      <c r="O10037" s="43">
        <v>4.4394469332465807</v>
      </c>
      <c r="P10037" s="238"/>
      <c r="Q10037" s="238"/>
      <c r="R10037" s="238">
        <v>1</v>
      </c>
    </row>
    <row r="10038" spans="1:18" ht="36">
      <c r="A10038" s="234">
        <v>285</v>
      </c>
      <c r="B10038" s="231" t="s">
        <v>18392</v>
      </c>
      <c r="C10038" s="235" t="s">
        <v>18393</v>
      </c>
      <c r="D10038" s="236">
        <v>128378.73</v>
      </c>
      <c r="E10038" s="236">
        <v>34720.36</v>
      </c>
      <c r="F10038" s="236">
        <v>11664.99</v>
      </c>
      <c r="G10038" s="236">
        <v>81993.38</v>
      </c>
      <c r="H10038" s="237">
        <v>822320.71</v>
      </c>
      <c r="I10038" s="237">
        <v>399284.14</v>
      </c>
      <c r="J10038" s="237">
        <v>66173.63</v>
      </c>
      <c r="K10038" s="237">
        <v>356862.94</v>
      </c>
      <c r="L10038" s="43">
        <v>6.4054279863961892</v>
      </c>
      <c r="M10038" s="43">
        <v>11.5</v>
      </c>
      <c r="N10038" s="43">
        <v>5.6728406968201437</v>
      </c>
      <c r="O10038" s="43">
        <v>4.3523384448842091</v>
      </c>
      <c r="P10038" s="238"/>
      <c r="Q10038" s="238"/>
      <c r="R10038" s="238">
        <v>1</v>
      </c>
    </row>
    <row r="10039" spans="1:18" ht="36">
      <c r="A10039" s="234">
        <v>286</v>
      </c>
      <c r="B10039" s="231" t="s">
        <v>18394</v>
      </c>
      <c r="C10039" s="235" t="s">
        <v>18395</v>
      </c>
      <c r="D10039" s="236">
        <v>185433.88</v>
      </c>
      <c r="E10039" s="236">
        <v>47814.96</v>
      </c>
      <c r="F10039" s="236">
        <v>15612.84</v>
      </c>
      <c r="G10039" s="236">
        <v>122006.08</v>
      </c>
      <c r="H10039" s="237">
        <v>1253596.72</v>
      </c>
      <c r="I10039" s="237">
        <v>549872.04</v>
      </c>
      <c r="J10039" s="237">
        <v>88374.69</v>
      </c>
      <c r="K10039" s="237">
        <v>615349.99</v>
      </c>
      <c r="L10039" s="43">
        <v>6.7603434712146449</v>
      </c>
      <c r="M10039" s="43">
        <v>11.500000000000002</v>
      </c>
      <c r="N10039" s="43">
        <v>5.6603852982545133</v>
      </c>
      <c r="O10039" s="43">
        <v>5.0436010238178293</v>
      </c>
      <c r="P10039" s="238"/>
      <c r="Q10039" s="238"/>
      <c r="R10039" s="238">
        <v>1</v>
      </c>
    </row>
    <row r="10040" spans="1:18" ht="36">
      <c r="A10040" s="234">
        <v>287</v>
      </c>
      <c r="B10040" s="231" t="s">
        <v>18396</v>
      </c>
      <c r="C10040" s="235" t="s">
        <v>18397</v>
      </c>
      <c r="D10040" s="236">
        <v>271806.24</v>
      </c>
      <c r="E10040" s="236">
        <v>110871.36</v>
      </c>
      <c r="F10040" s="236">
        <v>34547.620000000003</v>
      </c>
      <c r="G10040" s="236">
        <v>126387.26</v>
      </c>
      <c r="H10040" s="237">
        <v>2115716.86</v>
      </c>
      <c r="I10040" s="237">
        <v>1275020.6399999999</v>
      </c>
      <c r="J10040" s="237">
        <v>195984.52</v>
      </c>
      <c r="K10040" s="237">
        <v>644711.69999999995</v>
      </c>
      <c r="L10040" s="43">
        <v>7.7839157040691926</v>
      </c>
      <c r="M10040" s="43">
        <v>11.499999999999998</v>
      </c>
      <c r="N10040" s="43">
        <v>5.672880505227277</v>
      </c>
      <c r="O10040" s="43">
        <v>5.1010813906401644</v>
      </c>
      <c r="P10040" s="238"/>
      <c r="Q10040" s="238"/>
      <c r="R10040" s="238">
        <v>1</v>
      </c>
    </row>
    <row r="10041" spans="1:18" ht="24">
      <c r="A10041" s="234">
        <v>288</v>
      </c>
      <c r="B10041" s="231" t="s">
        <v>18398</v>
      </c>
      <c r="C10041" s="235" t="s">
        <v>18399</v>
      </c>
      <c r="D10041" s="236">
        <v>16994.59</v>
      </c>
      <c r="E10041" s="236">
        <v>2698.92</v>
      </c>
      <c r="F10041" s="236">
        <v>1324.32</v>
      </c>
      <c r="G10041" s="236">
        <v>12971.35</v>
      </c>
      <c r="H10041" s="237">
        <v>92927.44</v>
      </c>
      <c r="I10041" s="237">
        <v>31038.84</v>
      </c>
      <c r="J10041" s="237">
        <v>7538.88</v>
      </c>
      <c r="K10041" s="237">
        <v>54349.72</v>
      </c>
      <c r="L10041" s="43">
        <v>5.4680601297236358</v>
      </c>
      <c r="M10041" s="43">
        <v>11.50046685340803</v>
      </c>
      <c r="N10041" s="43">
        <v>5.6926422616890182</v>
      </c>
      <c r="O10041" s="43">
        <v>4.1899817675107061</v>
      </c>
      <c r="P10041" s="238"/>
      <c r="Q10041" s="238"/>
      <c r="R10041" s="238">
        <v>1</v>
      </c>
    </row>
    <row r="10042" spans="1:18" ht="12.75" customHeight="1">
      <c r="A10042" s="628" t="s">
        <v>18400</v>
      </c>
      <c r="B10042" s="629"/>
      <c r="C10042" s="629"/>
      <c r="D10042" s="629"/>
      <c r="E10042" s="629"/>
      <c r="F10042" s="629"/>
      <c r="G10042" s="629"/>
      <c r="H10042" s="629"/>
      <c r="I10042" s="629"/>
      <c r="J10042" s="629"/>
      <c r="K10042" s="629"/>
      <c r="L10042" s="629"/>
      <c r="M10042" s="629"/>
      <c r="N10042" s="629"/>
      <c r="O10042" s="629"/>
      <c r="P10042" s="629"/>
      <c r="Q10042" s="629"/>
      <c r="R10042" s="629"/>
    </row>
    <row r="10043" spans="1:18" ht="24">
      <c r="A10043" s="234">
        <v>289</v>
      </c>
      <c r="B10043" s="231" t="s">
        <v>18401</v>
      </c>
      <c r="C10043" s="235" t="s">
        <v>18402</v>
      </c>
      <c r="D10043" s="236">
        <v>1556.84</v>
      </c>
      <c r="E10043" s="236">
        <v>1018.01</v>
      </c>
      <c r="F10043" s="236">
        <v>323.99</v>
      </c>
      <c r="G10043" s="236">
        <v>214.84</v>
      </c>
      <c r="H10043" s="237">
        <v>14644.4</v>
      </c>
      <c r="I10043" s="237">
        <v>11707.6</v>
      </c>
      <c r="J10043" s="237">
        <v>1826.71</v>
      </c>
      <c r="K10043" s="237">
        <v>1110.0899999999999</v>
      </c>
      <c r="L10043" s="43">
        <v>9.4064900696282212</v>
      </c>
      <c r="M10043" s="43">
        <v>11.500476419681537</v>
      </c>
      <c r="N10043" s="43">
        <v>5.6381678446865644</v>
      </c>
      <c r="O10043" s="43">
        <v>5.1670545522249114</v>
      </c>
      <c r="P10043" s="238"/>
      <c r="Q10043" s="238"/>
      <c r="R10043" s="238">
        <v>2</v>
      </c>
    </row>
    <row r="10044" spans="1:18" ht="24">
      <c r="A10044" s="234">
        <v>290</v>
      </c>
      <c r="B10044" s="231" t="s">
        <v>18403</v>
      </c>
      <c r="C10044" s="235" t="s">
        <v>18404</v>
      </c>
      <c r="D10044" s="236">
        <v>7411.94</v>
      </c>
      <c r="E10044" s="236">
        <v>5069.24</v>
      </c>
      <c r="F10044" s="236">
        <v>1814.92</v>
      </c>
      <c r="G10044" s="236">
        <v>527.78</v>
      </c>
      <c r="H10044" s="237">
        <v>71735.16</v>
      </c>
      <c r="I10044" s="237">
        <v>58296.26</v>
      </c>
      <c r="J10044" s="237">
        <v>10354.16</v>
      </c>
      <c r="K10044" s="237">
        <v>3084.74</v>
      </c>
      <c r="L10044" s="43">
        <v>9.6783244332792773</v>
      </c>
      <c r="M10044" s="43">
        <v>11.500000000000002</v>
      </c>
      <c r="N10044" s="43">
        <v>5.7050228109227952</v>
      </c>
      <c r="O10044" s="43">
        <v>5.8447459168592975</v>
      </c>
      <c r="P10044" s="238"/>
      <c r="Q10044" s="238"/>
      <c r="R10044" s="238">
        <v>2</v>
      </c>
    </row>
    <row r="10045" spans="1:18" ht="12.75" customHeight="1">
      <c r="A10045" s="628" t="s">
        <v>18405</v>
      </c>
      <c r="B10045" s="629"/>
      <c r="C10045" s="629"/>
      <c r="D10045" s="629"/>
      <c r="E10045" s="629"/>
      <c r="F10045" s="629"/>
      <c r="G10045" s="629"/>
      <c r="H10045" s="629"/>
      <c r="I10045" s="629"/>
      <c r="J10045" s="629"/>
      <c r="K10045" s="629"/>
      <c r="L10045" s="629"/>
      <c r="M10045" s="629"/>
      <c r="N10045" s="629"/>
      <c r="O10045" s="629"/>
      <c r="P10045" s="629"/>
      <c r="Q10045" s="629"/>
      <c r="R10045" s="629"/>
    </row>
    <row r="10046" spans="1:18" ht="24">
      <c r="A10046" s="234">
        <v>291</v>
      </c>
      <c r="B10046" s="231" t="s">
        <v>18406</v>
      </c>
      <c r="C10046" s="235" t="s">
        <v>18407</v>
      </c>
      <c r="D10046" s="236">
        <v>2397.4</v>
      </c>
      <c r="E10046" s="236">
        <v>413</v>
      </c>
      <c r="F10046" s="236">
        <v>166.32</v>
      </c>
      <c r="G10046" s="236">
        <v>1818.08</v>
      </c>
      <c r="H10046" s="237">
        <v>13406.21</v>
      </c>
      <c r="I10046" s="237">
        <v>4749.55</v>
      </c>
      <c r="J10046" s="237">
        <v>909.46</v>
      </c>
      <c r="K10046" s="237">
        <v>7747.2</v>
      </c>
      <c r="L10046" s="43">
        <v>5.5919788103779089</v>
      </c>
      <c r="M10046" s="43">
        <v>11.500121065375303</v>
      </c>
      <c r="N10046" s="43">
        <v>5.4681337181337186</v>
      </c>
      <c r="O10046" s="43">
        <v>4.261198627123119</v>
      </c>
      <c r="P10046" s="238"/>
      <c r="Q10046" s="238"/>
      <c r="R10046" s="238">
        <v>3</v>
      </c>
    </row>
    <row r="10047" spans="1:18" ht="24">
      <c r="A10047" s="234">
        <v>292</v>
      </c>
      <c r="B10047" s="231" t="s">
        <v>18408</v>
      </c>
      <c r="C10047" s="235" t="s">
        <v>18409</v>
      </c>
      <c r="D10047" s="236">
        <v>2669.39</v>
      </c>
      <c r="E10047" s="236">
        <v>436.85</v>
      </c>
      <c r="F10047" s="236">
        <v>167.87</v>
      </c>
      <c r="G10047" s="236">
        <v>2064.67</v>
      </c>
      <c r="H10047" s="237">
        <v>14862.89</v>
      </c>
      <c r="I10047" s="237">
        <v>5023.8</v>
      </c>
      <c r="J10047" s="237">
        <v>915.17</v>
      </c>
      <c r="K10047" s="237">
        <v>8923.92</v>
      </c>
      <c r="L10047" s="43">
        <v>5.5678975346427464</v>
      </c>
      <c r="M10047" s="43">
        <v>11.500057227881424</v>
      </c>
      <c r="N10047" s="43">
        <v>5.451659021862155</v>
      </c>
      <c r="O10047" s="43">
        <v>4.3222016109111863</v>
      </c>
      <c r="P10047" s="238"/>
      <c r="Q10047" s="238"/>
      <c r="R10047" s="238">
        <v>3</v>
      </c>
    </row>
    <row r="10048" spans="1:18" ht="24">
      <c r="A10048" s="234">
        <v>293</v>
      </c>
      <c r="B10048" s="231" t="s">
        <v>18410</v>
      </c>
      <c r="C10048" s="235" t="s">
        <v>18411</v>
      </c>
      <c r="D10048" s="236">
        <v>2881.68</v>
      </c>
      <c r="E10048" s="236">
        <v>479.39</v>
      </c>
      <c r="F10048" s="236">
        <v>172.45</v>
      </c>
      <c r="G10048" s="236">
        <v>2229.84</v>
      </c>
      <c r="H10048" s="237">
        <v>16164.19</v>
      </c>
      <c r="I10048" s="237">
        <v>5513.19</v>
      </c>
      <c r="J10048" s="237">
        <v>934.33</v>
      </c>
      <c r="K10048" s="237">
        <v>9716.67</v>
      </c>
      <c r="L10048" s="43">
        <v>5.6092938841231508</v>
      </c>
      <c r="M10048" s="43">
        <v>11.500427626775693</v>
      </c>
      <c r="N10048" s="43">
        <v>5.4179762249927519</v>
      </c>
      <c r="O10048" s="43">
        <v>4.3575637713916695</v>
      </c>
      <c r="P10048" s="238"/>
      <c r="Q10048" s="238"/>
      <c r="R10048" s="238">
        <v>3</v>
      </c>
    </row>
    <row r="10049" spans="1:18" ht="24">
      <c r="A10049" s="234">
        <v>294</v>
      </c>
      <c r="B10049" s="231" t="s">
        <v>18412</v>
      </c>
      <c r="C10049" s="235" t="s">
        <v>18413</v>
      </c>
      <c r="D10049" s="236">
        <v>3520.89</v>
      </c>
      <c r="E10049" s="236">
        <v>732.6</v>
      </c>
      <c r="F10049" s="236">
        <v>266.58999999999997</v>
      </c>
      <c r="G10049" s="236">
        <v>2521.6999999999998</v>
      </c>
      <c r="H10049" s="237">
        <v>21036.47</v>
      </c>
      <c r="I10049" s="237">
        <v>8424.9</v>
      </c>
      <c r="J10049" s="237">
        <v>1473.53</v>
      </c>
      <c r="K10049" s="237">
        <v>11138.04</v>
      </c>
      <c r="L10049" s="43">
        <v>5.9747592228101425</v>
      </c>
      <c r="M10049" s="43">
        <v>11.5</v>
      </c>
      <c r="N10049" s="43">
        <v>5.52732660639934</v>
      </c>
      <c r="O10049" s="43">
        <v>4.4168775032716034</v>
      </c>
      <c r="P10049" s="238"/>
      <c r="Q10049" s="238"/>
      <c r="R10049" s="238">
        <v>3</v>
      </c>
    </row>
    <row r="10050" spans="1:18" ht="24">
      <c r="A10050" s="234">
        <v>295</v>
      </c>
      <c r="B10050" s="231" t="s">
        <v>18414</v>
      </c>
      <c r="C10050" s="235" t="s">
        <v>18415</v>
      </c>
      <c r="D10050" s="236">
        <v>9678.82</v>
      </c>
      <c r="E10050" s="236">
        <v>4998.3999999999996</v>
      </c>
      <c r="F10050" s="236">
        <v>1539.34</v>
      </c>
      <c r="G10050" s="236">
        <v>3141.08</v>
      </c>
      <c r="H10050" s="237">
        <v>80953.02</v>
      </c>
      <c r="I10050" s="237">
        <v>57481.599999999999</v>
      </c>
      <c r="J10050" s="237">
        <v>8807.0300000000007</v>
      </c>
      <c r="K10050" s="237">
        <v>14664.39</v>
      </c>
      <c r="L10050" s="43">
        <v>8.363934859827955</v>
      </c>
      <c r="M10050" s="43">
        <v>11.5</v>
      </c>
      <c r="N10050" s="43">
        <v>5.7213026361947339</v>
      </c>
      <c r="O10050" s="43">
        <v>4.6685821437212676</v>
      </c>
      <c r="P10050" s="238"/>
      <c r="Q10050" s="238"/>
      <c r="R10050" s="238">
        <v>3</v>
      </c>
    </row>
    <row r="10051" spans="1:18" ht="24">
      <c r="A10051" s="234">
        <v>296</v>
      </c>
      <c r="B10051" s="231" t="s">
        <v>18416</v>
      </c>
      <c r="C10051" s="235" t="s">
        <v>18417</v>
      </c>
      <c r="D10051" s="236">
        <v>8340.76</v>
      </c>
      <c r="E10051" s="236">
        <v>3442.08</v>
      </c>
      <c r="F10051" s="236">
        <v>1009.67</v>
      </c>
      <c r="G10051" s="236">
        <v>3889.01</v>
      </c>
      <c r="H10051" s="237">
        <v>63341.4</v>
      </c>
      <c r="I10051" s="237">
        <v>39583.919999999998</v>
      </c>
      <c r="J10051" s="237">
        <v>5745.64</v>
      </c>
      <c r="K10051" s="237">
        <v>18011.84</v>
      </c>
      <c r="L10051" s="43">
        <v>7.5942000489164059</v>
      </c>
      <c r="M10051" s="43">
        <v>11.5</v>
      </c>
      <c r="N10051" s="43">
        <v>5.6906117840482535</v>
      </c>
      <c r="O10051" s="43">
        <v>4.631471762736532</v>
      </c>
      <c r="P10051" s="238"/>
      <c r="Q10051" s="238"/>
      <c r="R10051" s="238">
        <v>3</v>
      </c>
    </row>
    <row r="10052" spans="1:18" ht="24">
      <c r="A10052" s="234">
        <v>297</v>
      </c>
      <c r="B10052" s="231" t="s">
        <v>18418</v>
      </c>
      <c r="C10052" s="235" t="s">
        <v>18419</v>
      </c>
      <c r="D10052" s="236">
        <v>8975.15</v>
      </c>
      <c r="E10052" s="236">
        <v>3612.48</v>
      </c>
      <c r="F10052" s="236">
        <v>1141.6500000000001</v>
      </c>
      <c r="G10052" s="236">
        <v>4221.0200000000004</v>
      </c>
      <c r="H10052" s="237">
        <v>67664.28</v>
      </c>
      <c r="I10052" s="237">
        <v>41543.519999999997</v>
      </c>
      <c r="J10052" s="237">
        <v>6503.59</v>
      </c>
      <c r="K10052" s="237">
        <v>19617.169999999998</v>
      </c>
      <c r="L10052" s="43">
        <v>7.5390695420132259</v>
      </c>
      <c r="M10052" s="43">
        <v>11.499999999999998</v>
      </c>
      <c r="N10052" s="43">
        <v>5.6966583453773048</v>
      </c>
      <c r="O10052" s="43">
        <v>4.6474951551994534</v>
      </c>
      <c r="P10052" s="238"/>
      <c r="Q10052" s="238"/>
      <c r="R10052" s="238">
        <v>3</v>
      </c>
    </row>
    <row r="10053" spans="1:18" ht="24">
      <c r="A10053" s="234">
        <v>298</v>
      </c>
      <c r="B10053" s="231" t="s">
        <v>18420</v>
      </c>
      <c r="C10053" s="235" t="s">
        <v>18421</v>
      </c>
      <c r="D10053" s="236">
        <v>10645.71</v>
      </c>
      <c r="E10053" s="236">
        <v>4691.68</v>
      </c>
      <c r="F10053" s="236">
        <v>1424.4</v>
      </c>
      <c r="G10053" s="236">
        <v>4529.63</v>
      </c>
      <c r="H10053" s="237">
        <v>83227.83</v>
      </c>
      <c r="I10053" s="237">
        <v>53954.32</v>
      </c>
      <c r="J10053" s="237">
        <v>8042.51</v>
      </c>
      <c r="K10053" s="237">
        <v>21231</v>
      </c>
      <c r="L10053" s="43">
        <v>7.8179689283288774</v>
      </c>
      <c r="M10053" s="43">
        <v>11.5</v>
      </c>
      <c r="N10053" s="43">
        <v>5.6462440325751189</v>
      </c>
      <c r="O10053" s="43">
        <v>4.6871378015422893</v>
      </c>
      <c r="P10053" s="238"/>
      <c r="Q10053" s="238"/>
      <c r="R10053" s="238">
        <v>3</v>
      </c>
    </row>
    <row r="10054" spans="1:18" ht="24">
      <c r="A10054" s="234">
        <v>299</v>
      </c>
      <c r="B10054" s="231" t="s">
        <v>18422</v>
      </c>
      <c r="C10054" s="235" t="s">
        <v>18423</v>
      </c>
      <c r="D10054" s="236">
        <v>19076.349999999999</v>
      </c>
      <c r="E10054" s="236">
        <v>10644.32</v>
      </c>
      <c r="F10054" s="236">
        <v>3043.69</v>
      </c>
      <c r="G10054" s="236">
        <v>5388.34</v>
      </c>
      <c r="H10054" s="237">
        <v>165891.53</v>
      </c>
      <c r="I10054" s="237">
        <v>122409.68</v>
      </c>
      <c r="J10054" s="237">
        <v>17358.55</v>
      </c>
      <c r="K10054" s="237">
        <v>26123.3</v>
      </c>
      <c r="L10054" s="43">
        <v>8.6961882121055663</v>
      </c>
      <c r="M10054" s="43">
        <v>11.5</v>
      </c>
      <c r="N10054" s="43">
        <v>5.7031267967499968</v>
      </c>
      <c r="O10054" s="43">
        <v>4.8481164885660517</v>
      </c>
      <c r="P10054" s="238"/>
      <c r="Q10054" s="238"/>
      <c r="R10054" s="238">
        <v>3</v>
      </c>
    </row>
    <row r="10055" spans="1:18" ht="12.75" customHeight="1">
      <c r="A10055" s="628" t="s">
        <v>18424</v>
      </c>
      <c r="B10055" s="629"/>
      <c r="C10055" s="629"/>
      <c r="D10055" s="629"/>
      <c r="E10055" s="629"/>
      <c r="F10055" s="629"/>
      <c r="G10055" s="629"/>
      <c r="H10055" s="629"/>
      <c r="I10055" s="629"/>
      <c r="J10055" s="629"/>
      <c r="K10055" s="629"/>
      <c r="L10055" s="629"/>
      <c r="M10055" s="629"/>
      <c r="N10055" s="629"/>
      <c r="O10055" s="629"/>
      <c r="P10055" s="629"/>
      <c r="Q10055" s="629"/>
      <c r="R10055" s="629"/>
    </row>
    <row r="10056" spans="1:18" ht="24">
      <c r="A10056" s="234">
        <v>300</v>
      </c>
      <c r="B10056" s="231" t="s">
        <v>18425</v>
      </c>
      <c r="C10056" s="235" t="s">
        <v>18426</v>
      </c>
      <c r="D10056" s="236">
        <v>408.97</v>
      </c>
      <c r="E10056" s="236">
        <v>188.62</v>
      </c>
      <c r="F10056" s="236">
        <v>154.83000000000001</v>
      </c>
      <c r="G10056" s="236">
        <v>65.52</v>
      </c>
      <c r="H10056" s="237">
        <v>3499.27</v>
      </c>
      <c r="I10056" s="237">
        <v>2169.08</v>
      </c>
      <c r="J10056" s="237">
        <v>865.45</v>
      </c>
      <c r="K10056" s="237">
        <v>464.74</v>
      </c>
      <c r="L10056" s="43">
        <v>8.5562999731031617</v>
      </c>
      <c r="M10056" s="43">
        <v>11.499734916763863</v>
      </c>
      <c r="N10056" s="43">
        <v>5.5896790027772392</v>
      </c>
      <c r="O10056" s="43">
        <v>7.0931013431013437</v>
      </c>
      <c r="P10056" s="238"/>
      <c r="Q10056" s="238"/>
      <c r="R10056" s="238">
        <v>4</v>
      </c>
    </row>
    <row r="10057" spans="1:18" ht="24">
      <c r="A10057" s="234">
        <v>301</v>
      </c>
      <c r="B10057" s="231" t="s">
        <v>18427</v>
      </c>
      <c r="C10057" s="235" t="s">
        <v>18428</v>
      </c>
      <c r="D10057" s="236">
        <v>501.03</v>
      </c>
      <c r="E10057" s="236">
        <v>250.4</v>
      </c>
      <c r="F10057" s="236">
        <v>183.87</v>
      </c>
      <c r="G10057" s="236">
        <v>66.760000000000005</v>
      </c>
      <c r="H10057" s="237">
        <v>4376.8900000000003</v>
      </c>
      <c r="I10057" s="237">
        <v>2879.65</v>
      </c>
      <c r="J10057" s="237">
        <v>1018.24</v>
      </c>
      <c r="K10057" s="237">
        <v>479</v>
      </c>
      <c r="L10057" s="43">
        <v>8.7357842843741906</v>
      </c>
      <c r="M10057" s="43">
        <v>11.500199680511182</v>
      </c>
      <c r="N10057" s="43">
        <v>5.5378256376787949</v>
      </c>
      <c r="O10057" s="43">
        <v>7.1749550629119225</v>
      </c>
      <c r="P10057" s="238"/>
      <c r="Q10057" s="238"/>
      <c r="R10057" s="238">
        <v>4</v>
      </c>
    </row>
    <row r="10058" spans="1:18" ht="24">
      <c r="A10058" s="234">
        <v>302</v>
      </c>
      <c r="B10058" s="231" t="s">
        <v>18429</v>
      </c>
      <c r="C10058" s="235" t="s">
        <v>18430</v>
      </c>
      <c r="D10058" s="236">
        <v>261.29000000000002</v>
      </c>
      <c r="E10058" s="236">
        <v>99.27</v>
      </c>
      <c r="F10058" s="236">
        <v>98.28</v>
      </c>
      <c r="G10058" s="236">
        <v>63.74</v>
      </c>
      <c r="H10058" s="237">
        <v>2154</v>
      </c>
      <c r="I10058" s="237">
        <v>1141.69</v>
      </c>
      <c r="J10058" s="237">
        <v>568.04</v>
      </c>
      <c r="K10058" s="237">
        <v>444.27</v>
      </c>
      <c r="L10058" s="43">
        <v>8.2437138811282473</v>
      </c>
      <c r="M10058" s="43">
        <v>11.500856250629598</v>
      </c>
      <c r="N10058" s="43">
        <v>5.7798127798127794</v>
      </c>
      <c r="O10058" s="43">
        <v>6.9700345152180727</v>
      </c>
      <c r="P10058" s="238"/>
      <c r="Q10058" s="238"/>
      <c r="R10058" s="238">
        <v>4</v>
      </c>
    </row>
    <row r="10059" spans="1:18" ht="24">
      <c r="A10059" s="234">
        <v>303</v>
      </c>
      <c r="B10059" s="231" t="s">
        <v>18431</v>
      </c>
      <c r="C10059" s="235" t="s">
        <v>18432</v>
      </c>
      <c r="D10059" s="236">
        <v>665.19</v>
      </c>
      <c r="E10059" s="236">
        <v>329.67</v>
      </c>
      <c r="F10059" s="236">
        <v>267.18</v>
      </c>
      <c r="G10059" s="236">
        <v>68.34</v>
      </c>
      <c r="H10059" s="237">
        <v>5788.62</v>
      </c>
      <c r="I10059" s="237">
        <v>3791.21</v>
      </c>
      <c r="J10059" s="237">
        <v>1500.24</v>
      </c>
      <c r="K10059" s="237">
        <v>497.17</v>
      </c>
      <c r="L10059" s="43">
        <v>8.7022053849276144</v>
      </c>
      <c r="M10059" s="43">
        <v>11.500015166681832</v>
      </c>
      <c r="N10059" s="43">
        <v>5.6150909499214015</v>
      </c>
      <c r="O10059" s="43">
        <v>7.2749487854843427</v>
      </c>
      <c r="P10059" s="238"/>
      <c r="Q10059" s="238"/>
      <c r="R10059" s="238">
        <v>4</v>
      </c>
    </row>
    <row r="10060" spans="1:18" ht="24">
      <c r="A10060" s="234">
        <v>304</v>
      </c>
      <c r="B10060" s="231" t="s">
        <v>18433</v>
      </c>
      <c r="C10060" s="235" t="s">
        <v>18434</v>
      </c>
      <c r="D10060" s="236">
        <v>347.09</v>
      </c>
      <c r="E10060" s="236">
        <v>149.37</v>
      </c>
      <c r="F10060" s="236">
        <v>132.97999999999999</v>
      </c>
      <c r="G10060" s="236">
        <v>64.739999999999995</v>
      </c>
      <c r="H10060" s="237">
        <v>2930</v>
      </c>
      <c r="I10060" s="237">
        <v>1717.82</v>
      </c>
      <c r="J10060" s="237">
        <v>756.41</v>
      </c>
      <c r="K10060" s="237">
        <v>455.77</v>
      </c>
      <c r="L10060" s="43">
        <v>8.4416145668270488</v>
      </c>
      <c r="M10060" s="43">
        <v>11.500435161009573</v>
      </c>
      <c r="N10060" s="43">
        <v>5.6881485937734997</v>
      </c>
      <c r="O10060" s="43">
        <v>7.0400061785603958</v>
      </c>
      <c r="P10060" s="238"/>
      <c r="Q10060" s="238"/>
      <c r="R10060" s="238">
        <v>4</v>
      </c>
    </row>
    <row r="10061" spans="1:18" ht="24">
      <c r="A10061" s="234">
        <v>305</v>
      </c>
      <c r="B10061" s="231" t="s">
        <v>18435</v>
      </c>
      <c r="C10061" s="235" t="s">
        <v>18436</v>
      </c>
      <c r="D10061" s="236">
        <v>454.65</v>
      </c>
      <c r="E10061" s="236">
        <v>219.01</v>
      </c>
      <c r="F10061" s="236">
        <v>169.51</v>
      </c>
      <c r="G10061" s="236">
        <v>66.13</v>
      </c>
      <c r="H10061" s="237">
        <v>3934.83</v>
      </c>
      <c r="I10061" s="237">
        <v>2518.5700000000002</v>
      </c>
      <c r="J10061" s="237">
        <v>944.51</v>
      </c>
      <c r="K10061" s="237">
        <v>471.75</v>
      </c>
      <c r="L10061" s="43">
        <v>8.6546354338502152</v>
      </c>
      <c r="M10061" s="43">
        <v>11.499794529930142</v>
      </c>
      <c r="N10061" s="43">
        <v>5.572001651819952</v>
      </c>
      <c r="O10061" s="43">
        <v>7.133676092544988</v>
      </c>
      <c r="P10061" s="238"/>
      <c r="Q10061" s="238"/>
      <c r="R10061" s="238">
        <v>4</v>
      </c>
    </row>
    <row r="10062" spans="1:18" ht="36">
      <c r="A10062" s="234">
        <v>306</v>
      </c>
      <c r="B10062" s="231" t="s">
        <v>18437</v>
      </c>
      <c r="C10062" s="235" t="s">
        <v>18438</v>
      </c>
      <c r="D10062" s="236">
        <v>358.58</v>
      </c>
      <c r="E10062" s="236">
        <v>157.62</v>
      </c>
      <c r="F10062" s="236">
        <v>136.06</v>
      </c>
      <c r="G10062" s="236">
        <v>64.900000000000006</v>
      </c>
      <c r="H10062" s="237">
        <v>3038.25</v>
      </c>
      <c r="I10062" s="237">
        <v>1812.63</v>
      </c>
      <c r="J10062" s="237">
        <v>768.01</v>
      </c>
      <c r="K10062" s="237">
        <v>457.61</v>
      </c>
      <c r="L10062" s="43">
        <v>8.4730046293714096</v>
      </c>
      <c r="M10062" s="43">
        <v>11.5</v>
      </c>
      <c r="N10062" s="43">
        <v>5.6446420696751431</v>
      </c>
      <c r="O10062" s="43">
        <v>7.0510015408320488</v>
      </c>
      <c r="P10062" s="238"/>
      <c r="Q10062" s="238"/>
      <c r="R10062" s="238">
        <v>4</v>
      </c>
    </row>
    <row r="10063" spans="1:18" ht="24">
      <c r="A10063" s="234">
        <v>307</v>
      </c>
      <c r="B10063" s="231" t="s">
        <v>18439</v>
      </c>
      <c r="C10063" s="235" t="s">
        <v>18440</v>
      </c>
      <c r="D10063" s="236">
        <v>236.2</v>
      </c>
      <c r="E10063" s="236">
        <v>92.26</v>
      </c>
      <c r="F10063" s="236">
        <v>80.34</v>
      </c>
      <c r="G10063" s="236">
        <v>63.6</v>
      </c>
      <c r="H10063" s="237">
        <v>1958.17</v>
      </c>
      <c r="I10063" s="237">
        <v>1060.96</v>
      </c>
      <c r="J10063" s="237">
        <v>454.55</v>
      </c>
      <c r="K10063" s="237">
        <v>442.66</v>
      </c>
      <c r="L10063" s="43">
        <v>8.290304826418291</v>
      </c>
      <c r="M10063" s="43">
        <v>11.499674831996531</v>
      </c>
      <c r="N10063" s="43">
        <v>5.6578292257903904</v>
      </c>
      <c r="O10063" s="43">
        <v>6.9600628930817612</v>
      </c>
      <c r="P10063" s="238"/>
      <c r="Q10063" s="238"/>
      <c r="R10063" s="238">
        <v>4</v>
      </c>
    </row>
    <row r="10064" spans="1:18" ht="12.75" customHeight="1">
      <c r="A10064" s="628" t="s">
        <v>18441</v>
      </c>
      <c r="B10064" s="629"/>
      <c r="C10064" s="629"/>
      <c r="D10064" s="629"/>
      <c r="E10064" s="629"/>
      <c r="F10064" s="629"/>
      <c r="G10064" s="629"/>
      <c r="H10064" s="629"/>
      <c r="I10064" s="629"/>
      <c r="J10064" s="629"/>
      <c r="K10064" s="629"/>
      <c r="L10064" s="629"/>
      <c r="M10064" s="629"/>
      <c r="N10064" s="629"/>
      <c r="O10064" s="629"/>
      <c r="P10064" s="629"/>
      <c r="Q10064" s="629"/>
      <c r="R10064" s="629"/>
    </row>
    <row r="10065" spans="1:18" ht="24">
      <c r="A10065" s="234">
        <v>308</v>
      </c>
      <c r="B10065" s="231" t="s">
        <v>18442</v>
      </c>
      <c r="C10065" s="235" t="s">
        <v>18443</v>
      </c>
      <c r="D10065" s="236">
        <v>281.37</v>
      </c>
      <c r="E10065" s="236">
        <v>141.79</v>
      </c>
      <c r="F10065" s="236">
        <v>114.44</v>
      </c>
      <c r="G10065" s="236">
        <v>25.14</v>
      </c>
      <c r="H10065" s="237">
        <v>2572.8000000000002</v>
      </c>
      <c r="I10065" s="237">
        <v>1630.64</v>
      </c>
      <c r="J10065" s="237">
        <v>629.67999999999995</v>
      </c>
      <c r="K10065" s="237">
        <v>312.48</v>
      </c>
      <c r="L10065" s="43">
        <v>9.1438319650282551</v>
      </c>
      <c r="M10065" s="43">
        <v>11.500387897595036</v>
      </c>
      <c r="N10065" s="43">
        <v>5.5022719328905971</v>
      </c>
      <c r="O10065" s="43">
        <v>12.429594272076372</v>
      </c>
      <c r="P10065" s="238"/>
      <c r="Q10065" s="238"/>
      <c r="R10065" s="238">
        <v>5</v>
      </c>
    </row>
    <row r="10066" spans="1:18" ht="24">
      <c r="A10066" s="234">
        <v>309</v>
      </c>
      <c r="B10066" s="231" t="s">
        <v>18444</v>
      </c>
      <c r="C10066" s="235" t="s">
        <v>18445</v>
      </c>
      <c r="D10066" s="236">
        <v>299.73</v>
      </c>
      <c r="E10066" s="236">
        <v>112.09</v>
      </c>
      <c r="F10066" s="236">
        <v>148.97</v>
      </c>
      <c r="G10066" s="236">
        <v>38.67</v>
      </c>
      <c r="H10066" s="237">
        <v>2590.94</v>
      </c>
      <c r="I10066" s="237">
        <v>1289.0899999999999</v>
      </c>
      <c r="J10066" s="237">
        <v>816.04</v>
      </c>
      <c r="K10066" s="237">
        <v>485.81</v>
      </c>
      <c r="L10066" s="43">
        <v>8.6442464885063224</v>
      </c>
      <c r="M10066" s="43">
        <v>11.500490677134444</v>
      </c>
      <c r="N10066" s="43">
        <v>5.477881452641471</v>
      </c>
      <c r="O10066" s="43">
        <v>12.562968709593999</v>
      </c>
      <c r="P10066" s="238"/>
      <c r="Q10066" s="238"/>
      <c r="R10066" s="238">
        <v>5</v>
      </c>
    </row>
    <row r="10067" spans="1:18" ht="24">
      <c r="A10067" s="234">
        <v>310</v>
      </c>
      <c r="B10067" s="231" t="s">
        <v>18446</v>
      </c>
      <c r="C10067" s="235" t="s">
        <v>18447</v>
      </c>
      <c r="D10067" s="236">
        <v>346.95</v>
      </c>
      <c r="E10067" s="236">
        <v>157.85</v>
      </c>
      <c r="F10067" s="236">
        <v>135.51</v>
      </c>
      <c r="G10067" s="236">
        <v>53.59</v>
      </c>
      <c r="H10067" s="237">
        <v>3238.59</v>
      </c>
      <c r="I10067" s="237">
        <v>1815.33</v>
      </c>
      <c r="J10067" s="237">
        <v>747.25</v>
      </c>
      <c r="K10067" s="237">
        <v>676.01</v>
      </c>
      <c r="L10067" s="43">
        <v>9.3344574146130572</v>
      </c>
      <c r="M10067" s="43">
        <v>11.500348432055748</v>
      </c>
      <c r="N10067" s="43">
        <v>5.5143531842668443</v>
      </c>
      <c r="O10067" s="43">
        <v>12.614480313491322</v>
      </c>
      <c r="P10067" s="238"/>
      <c r="Q10067" s="238"/>
      <c r="R10067" s="238">
        <v>5</v>
      </c>
    </row>
    <row r="10068" spans="1:18" ht="24">
      <c r="A10068" s="234">
        <v>311</v>
      </c>
      <c r="B10068" s="231" t="s">
        <v>18448</v>
      </c>
      <c r="C10068" s="235" t="s">
        <v>18449</v>
      </c>
      <c r="D10068" s="236">
        <v>330.92</v>
      </c>
      <c r="E10068" s="236">
        <v>132.22</v>
      </c>
      <c r="F10068" s="236">
        <v>130.63</v>
      </c>
      <c r="G10068" s="236">
        <v>68.069999999999993</v>
      </c>
      <c r="H10068" s="237">
        <v>3110.07</v>
      </c>
      <c r="I10068" s="237">
        <v>1520.53</v>
      </c>
      <c r="J10068" s="237">
        <v>730.84</v>
      </c>
      <c r="K10068" s="237">
        <v>858.7</v>
      </c>
      <c r="L10068" s="43">
        <v>9.3982533542850231</v>
      </c>
      <c r="M10068" s="43">
        <v>11.5</v>
      </c>
      <c r="N10068" s="43">
        <v>5.5947332159534566</v>
      </c>
      <c r="O10068" s="43">
        <v>12.614955193183489</v>
      </c>
      <c r="P10068" s="238"/>
      <c r="Q10068" s="238"/>
      <c r="R10068" s="238">
        <v>5</v>
      </c>
    </row>
    <row r="10069" spans="1:18" ht="24">
      <c r="A10069" s="234">
        <v>312</v>
      </c>
      <c r="B10069" s="231" t="s">
        <v>18450</v>
      </c>
      <c r="C10069" s="235" t="s">
        <v>18451</v>
      </c>
      <c r="D10069" s="236">
        <v>371.44</v>
      </c>
      <c r="E10069" s="236">
        <v>132.22</v>
      </c>
      <c r="F10069" s="236">
        <v>164.13</v>
      </c>
      <c r="G10069" s="236">
        <v>75.09</v>
      </c>
      <c r="H10069" s="237">
        <v>3378.95</v>
      </c>
      <c r="I10069" s="237">
        <v>1520.53</v>
      </c>
      <c r="J10069" s="237">
        <v>909.82</v>
      </c>
      <c r="K10069" s="237">
        <v>948.6</v>
      </c>
      <c r="L10069" s="43">
        <v>9.0968931725177686</v>
      </c>
      <c r="M10069" s="43">
        <v>11.5</v>
      </c>
      <c r="N10069" s="43">
        <v>5.5432888563943221</v>
      </c>
      <c r="O10069" s="43">
        <v>12.632840591290451</v>
      </c>
      <c r="P10069" s="238"/>
      <c r="Q10069" s="238"/>
      <c r="R10069" s="238">
        <v>5</v>
      </c>
    </row>
    <row r="10070" spans="1:18" ht="24">
      <c r="A10070" s="234">
        <v>313</v>
      </c>
      <c r="B10070" s="231" t="s">
        <v>18452</v>
      </c>
      <c r="C10070" s="235" t="s">
        <v>18453</v>
      </c>
      <c r="D10070" s="236">
        <v>383.76</v>
      </c>
      <c r="E10070" s="236">
        <v>132.22</v>
      </c>
      <c r="F10070" s="236">
        <v>154.47</v>
      </c>
      <c r="G10070" s="236">
        <v>97.07</v>
      </c>
      <c r="H10070" s="237">
        <v>3608.83</v>
      </c>
      <c r="I10070" s="237">
        <v>1520.53</v>
      </c>
      <c r="J10070" s="237">
        <v>861.23</v>
      </c>
      <c r="K10070" s="237">
        <v>1227.07</v>
      </c>
      <c r="L10070" s="43">
        <v>9.4038722117990403</v>
      </c>
      <c r="M10070" s="43">
        <v>11.5</v>
      </c>
      <c r="N10070" s="43">
        <v>5.5753868064996439</v>
      </c>
      <c r="O10070" s="43">
        <v>12.641083753991964</v>
      </c>
      <c r="P10070" s="238"/>
      <c r="Q10070" s="238"/>
      <c r="R10070" s="238">
        <v>5</v>
      </c>
    </row>
    <row r="10071" spans="1:18" ht="24">
      <c r="A10071" s="234">
        <v>314</v>
      </c>
      <c r="B10071" s="231" t="s">
        <v>18454</v>
      </c>
      <c r="C10071" s="235" t="s">
        <v>18455</v>
      </c>
      <c r="D10071" s="236">
        <v>561.05999999999995</v>
      </c>
      <c r="E10071" s="236">
        <v>264.44</v>
      </c>
      <c r="F10071" s="236">
        <v>168.5</v>
      </c>
      <c r="G10071" s="236">
        <v>128.12</v>
      </c>
      <c r="H10071" s="237">
        <v>5602.68</v>
      </c>
      <c r="I10071" s="237">
        <v>3041.06</v>
      </c>
      <c r="J10071" s="237">
        <v>943.16</v>
      </c>
      <c r="K10071" s="237">
        <v>1618.46</v>
      </c>
      <c r="L10071" s="43">
        <v>9.9858838626884836</v>
      </c>
      <c r="M10071" s="43">
        <v>11.5</v>
      </c>
      <c r="N10071" s="43">
        <v>5.5973887240356079</v>
      </c>
      <c r="O10071" s="43">
        <v>12.632375897596004</v>
      </c>
      <c r="P10071" s="238"/>
      <c r="Q10071" s="238"/>
      <c r="R10071" s="238">
        <v>5</v>
      </c>
    </row>
    <row r="10072" spans="1:18" ht="24">
      <c r="A10072" s="234">
        <v>315</v>
      </c>
      <c r="B10072" s="231" t="s">
        <v>18456</v>
      </c>
      <c r="C10072" s="235" t="s">
        <v>18457</v>
      </c>
      <c r="D10072" s="236">
        <v>636.21</v>
      </c>
      <c r="E10072" s="236">
        <v>264.44</v>
      </c>
      <c r="F10072" s="236">
        <v>221.51</v>
      </c>
      <c r="G10072" s="236">
        <v>150.26</v>
      </c>
      <c r="H10072" s="237">
        <v>6177.23</v>
      </c>
      <c r="I10072" s="237">
        <v>3041.06</v>
      </c>
      <c r="J10072" s="237">
        <v>1238.5</v>
      </c>
      <c r="K10072" s="237">
        <v>1897.67</v>
      </c>
      <c r="L10072" s="43">
        <v>9.7094198456484477</v>
      </c>
      <c r="M10072" s="43">
        <v>11.5</v>
      </c>
      <c r="N10072" s="43">
        <v>5.5911696988849267</v>
      </c>
      <c r="O10072" s="43">
        <v>12.629242646080129</v>
      </c>
      <c r="P10072" s="238"/>
      <c r="Q10072" s="238"/>
      <c r="R10072" s="238">
        <v>5</v>
      </c>
    </row>
    <row r="10073" spans="1:18" ht="24">
      <c r="A10073" s="234">
        <v>316</v>
      </c>
      <c r="B10073" s="231" t="s">
        <v>18458</v>
      </c>
      <c r="C10073" s="235" t="s">
        <v>18459</v>
      </c>
      <c r="D10073" s="236">
        <v>809</v>
      </c>
      <c r="E10073" s="236">
        <v>272.14</v>
      </c>
      <c r="F10073" s="236">
        <v>248.78</v>
      </c>
      <c r="G10073" s="236">
        <v>288.08</v>
      </c>
      <c r="H10073" s="237">
        <v>8181.49</v>
      </c>
      <c r="I10073" s="237">
        <v>3129.72</v>
      </c>
      <c r="J10073" s="237">
        <v>1405.6</v>
      </c>
      <c r="K10073" s="237">
        <v>3646.17</v>
      </c>
      <c r="L10073" s="43">
        <v>10.113090234857848</v>
      </c>
      <c r="M10073" s="43">
        <v>11.500404203718674</v>
      </c>
      <c r="N10073" s="43">
        <v>5.6499718626899265</v>
      </c>
      <c r="O10073" s="43">
        <v>12.656796723132464</v>
      </c>
      <c r="P10073" s="238"/>
      <c r="Q10073" s="238"/>
      <c r="R10073" s="238">
        <v>5</v>
      </c>
    </row>
    <row r="10074" spans="1:18" ht="24">
      <c r="A10074" s="234">
        <v>317</v>
      </c>
      <c r="B10074" s="231" t="s">
        <v>18460</v>
      </c>
      <c r="C10074" s="235" t="s">
        <v>18461</v>
      </c>
      <c r="D10074" s="236">
        <v>1180.25</v>
      </c>
      <c r="E10074" s="236">
        <v>404.5</v>
      </c>
      <c r="F10074" s="236">
        <v>364.28</v>
      </c>
      <c r="G10074" s="236">
        <v>411.47</v>
      </c>
      <c r="H10074" s="237">
        <v>11859.71</v>
      </c>
      <c r="I10074" s="237">
        <v>4651.8999999999996</v>
      </c>
      <c r="J10074" s="237">
        <v>2051.8000000000002</v>
      </c>
      <c r="K10074" s="237">
        <v>5156.01</v>
      </c>
      <c r="L10074" s="43">
        <v>10.048472781190425</v>
      </c>
      <c r="M10074" s="43">
        <v>11.500370828182941</v>
      </c>
      <c r="N10074" s="43">
        <v>5.6324805094981896</v>
      </c>
      <c r="O10074" s="43">
        <v>12.530706977422412</v>
      </c>
      <c r="P10074" s="238"/>
      <c r="Q10074" s="238"/>
      <c r="R10074" s="238">
        <v>5</v>
      </c>
    </row>
    <row r="10075" spans="1:18" ht="24">
      <c r="A10075" s="234">
        <v>318</v>
      </c>
      <c r="B10075" s="231" t="s">
        <v>18462</v>
      </c>
      <c r="C10075" s="235" t="s">
        <v>18463</v>
      </c>
      <c r="D10075" s="236">
        <v>1651.66</v>
      </c>
      <c r="E10075" s="236">
        <v>539.33000000000004</v>
      </c>
      <c r="F10075" s="236">
        <v>500.51</v>
      </c>
      <c r="G10075" s="236">
        <v>611.82000000000005</v>
      </c>
      <c r="H10075" s="237">
        <v>16783.55</v>
      </c>
      <c r="I10075" s="237">
        <v>6202.54</v>
      </c>
      <c r="J10075" s="237">
        <v>2845</v>
      </c>
      <c r="K10075" s="237">
        <v>7736.01</v>
      </c>
      <c r="L10075" s="43">
        <v>10.161625273966797</v>
      </c>
      <c r="M10075" s="43">
        <v>11.500454267331689</v>
      </c>
      <c r="N10075" s="43">
        <v>5.6842021138438792</v>
      </c>
      <c r="O10075" s="43">
        <v>12.644258115131901</v>
      </c>
      <c r="P10075" s="238"/>
      <c r="Q10075" s="238"/>
      <c r="R10075" s="238">
        <v>5</v>
      </c>
    </row>
    <row r="10076" spans="1:18" ht="24">
      <c r="A10076" s="234">
        <v>319</v>
      </c>
      <c r="B10076" s="231" t="s">
        <v>18464</v>
      </c>
      <c r="C10076" s="235" t="s">
        <v>18465</v>
      </c>
      <c r="D10076" s="236">
        <v>2178.63</v>
      </c>
      <c r="E10076" s="236">
        <v>674.17</v>
      </c>
      <c r="F10076" s="236">
        <v>622.04</v>
      </c>
      <c r="G10076" s="236">
        <v>882.42</v>
      </c>
      <c r="H10076" s="237">
        <v>22452.94</v>
      </c>
      <c r="I10076" s="237">
        <v>7753.17</v>
      </c>
      <c r="J10076" s="237">
        <v>3524.09</v>
      </c>
      <c r="K10076" s="237">
        <v>11175.68</v>
      </c>
      <c r="L10076" s="43">
        <v>10.305990461895778</v>
      </c>
      <c r="M10076" s="43">
        <v>11.500318910660516</v>
      </c>
      <c r="N10076" s="43">
        <v>5.6653752170278446</v>
      </c>
      <c r="O10076" s="43">
        <v>12.664808141247933</v>
      </c>
      <c r="P10076" s="238"/>
      <c r="Q10076" s="238"/>
      <c r="R10076" s="238">
        <v>5</v>
      </c>
    </row>
    <row r="10077" spans="1:18" ht="12.75">
      <c r="A10077" s="632" t="s">
        <v>18</v>
      </c>
      <c r="B10077" s="632"/>
      <c r="C10077" s="632"/>
      <c r="D10077" s="232">
        <v>30894671.379999999</v>
      </c>
      <c r="E10077" s="232">
        <v>5841344.7400000002</v>
      </c>
      <c r="F10077" s="232">
        <v>16678260.050000001</v>
      </c>
      <c r="G10077" s="232">
        <v>8375066.5899999999</v>
      </c>
      <c r="H10077" s="233">
        <v>183923100.65000001</v>
      </c>
      <c r="I10077" s="233">
        <v>67176751.989999995</v>
      </c>
      <c r="J10077" s="233">
        <v>77302783.069999993</v>
      </c>
      <c r="K10077" s="233">
        <v>39443565.590000004</v>
      </c>
      <c r="L10077" s="612">
        <v>5.9532305227581936</v>
      </c>
      <c r="M10077" s="612">
        <v>11.500220408152112</v>
      </c>
      <c r="N10077" s="612">
        <v>4.6349429040111403</v>
      </c>
      <c r="O10077" s="612">
        <v>4.7096420268582015</v>
      </c>
      <c r="P10077" s="230"/>
      <c r="Q10077" s="230"/>
      <c r="R10077" s="230"/>
    </row>
    <row r="10078" spans="1:18" ht="18">
      <c r="A10078" s="616" t="s">
        <v>18467</v>
      </c>
      <c r="B10078" s="626"/>
      <c r="C10078" s="626"/>
      <c r="D10078" s="626"/>
      <c r="E10078" s="626"/>
      <c r="F10078" s="626"/>
      <c r="G10078" s="626"/>
      <c r="H10078" s="626"/>
      <c r="I10078" s="626"/>
      <c r="J10078" s="626"/>
      <c r="K10078" s="626"/>
      <c r="L10078" s="626"/>
      <c r="M10078" s="626"/>
      <c r="N10078" s="626"/>
      <c r="O10078" s="626"/>
      <c r="P10078" s="626"/>
      <c r="Q10078" s="626"/>
      <c r="R10078" s="627"/>
    </row>
    <row r="10079" spans="1:18" ht="12.75" customHeight="1">
      <c r="A10079" s="630" t="s">
        <v>18468</v>
      </c>
      <c r="B10079" s="631"/>
      <c r="C10079" s="631"/>
      <c r="D10079" s="631"/>
      <c r="E10079" s="631"/>
      <c r="F10079" s="631"/>
      <c r="G10079" s="631"/>
      <c r="H10079" s="631"/>
      <c r="I10079" s="631"/>
      <c r="J10079" s="631"/>
      <c r="K10079" s="631"/>
      <c r="L10079" s="631"/>
      <c r="M10079" s="631"/>
      <c r="N10079" s="631"/>
      <c r="O10079" s="631"/>
      <c r="P10079" s="631"/>
      <c r="Q10079" s="631"/>
      <c r="R10079" s="631"/>
    </row>
    <row r="10080" spans="1:18" ht="12.75" customHeight="1">
      <c r="A10080" s="628" t="s">
        <v>18469</v>
      </c>
      <c r="B10080" s="629"/>
      <c r="C10080" s="629"/>
      <c r="D10080" s="629"/>
      <c r="E10080" s="629"/>
      <c r="F10080" s="629"/>
      <c r="G10080" s="629"/>
      <c r="H10080" s="629"/>
      <c r="I10080" s="629"/>
      <c r="J10080" s="629"/>
      <c r="K10080" s="629"/>
      <c r="L10080" s="629"/>
      <c r="M10080" s="629"/>
      <c r="N10080" s="629"/>
      <c r="O10080" s="629"/>
      <c r="P10080" s="629"/>
      <c r="Q10080" s="629"/>
      <c r="R10080" s="629"/>
    </row>
    <row r="10081" spans="1:18" ht="36">
      <c r="A10081" s="249">
        <v>1</v>
      </c>
      <c r="B10081" s="246" t="s">
        <v>18470</v>
      </c>
      <c r="C10081" s="250" t="s">
        <v>18471</v>
      </c>
      <c r="D10081" s="251">
        <v>6560.78</v>
      </c>
      <c r="E10081" s="251">
        <v>2160.12</v>
      </c>
      <c r="F10081" s="251">
        <v>4236.59</v>
      </c>
      <c r="G10081" s="251">
        <v>164.07</v>
      </c>
      <c r="H10081" s="252">
        <v>50984.62</v>
      </c>
      <c r="I10081" s="252">
        <v>24842.32</v>
      </c>
      <c r="J10081" s="252">
        <v>25001.39</v>
      </c>
      <c r="K10081" s="252">
        <v>1140.9100000000001</v>
      </c>
      <c r="L10081" s="43">
        <v>7.7711217263800956</v>
      </c>
      <c r="M10081" s="43">
        <v>11.500435161009573</v>
      </c>
      <c r="N10081" s="43">
        <v>5.901300338243729</v>
      </c>
      <c r="O10081" s="43">
        <v>6.9538002072286229</v>
      </c>
      <c r="P10081" s="253"/>
      <c r="Q10081" s="253"/>
      <c r="R10081" s="253">
        <v>1</v>
      </c>
    </row>
    <row r="10082" spans="1:18" ht="36">
      <c r="A10082" s="249">
        <v>2</v>
      </c>
      <c r="B10082" s="246" t="s">
        <v>18472</v>
      </c>
      <c r="C10082" s="250" t="s">
        <v>18473</v>
      </c>
      <c r="D10082" s="251">
        <v>5974.75</v>
      </c>
      <c r="E10082" s="251">
        <v>2240.5500000000002</v>
      </c>
      <c r="F10082" s="251">
        <v>3642.16</v>
      </c>
      <c r="G10082" s="251">
        <v>92.04</v>
      </c>
      <c r="H10082" s="252">
        <v>48039.76</v>
      </c>
      <c r="I10082" s="252">
        <v>25767.3</v>
      </c>
      <c r="J10082" s="252">
        <v>21505.46</v>
      </c>
      <c r="K10082" s="252">
        <v>767</v>
      </c>
      <c r="L10082" s="43">
        <v>8.0404636177245905</v>
      </c>
      <c r="M10082" s="43">
        <v>11.500435161009571</v>
      </c>
      <c r="N10082" s="43">
        <v>5.9045895842027809</v>
      </c>
      <c r="O10082" s="43">
        <v>8.3333333333333321</v>
      </c>
      <c r="P10082" s="253"/>
      <c r="Q10082" s="253"/>
      <c r="R10082" s="253">
        <v>1</v>
      </c>
    </row>
    <row r="10083" spans="1:18" ht="36">
      <c r="A10083" s="249">
        <v>3</v>
      </c>
      <c r="B10083" s="246" t="s">
        <v>18474</v>
      </c>
      <c r="C10083" s="250" t="s">
        <v>18475</v>
      </c>
      <c r="D10083" s="251">
        <v>5451.78</v>
      </c>
      <c r="E10083" s="251">
        <v>2045.22</v>
      </c>
      <c r="F10083" s="251">
        <v>3326.04</v>
      </c>
      <c r="G10083" s="251">
        <v>80.52</v>
      </c>
      <c r="H10083" s="252">
        <v>43778.75</v>
      </c>
      <c r="I10083" s="252">
        <v>23520.92</v>
      </c>
      <c r="J10083" s="252">
        <v>19576.349999999999</v>
      </c>
      <c r="K10083" s="252">
        <v>681.48</v>
      </c>
      <c r="L10083" s="43">
        <v>8.0301754656277406</v>
      </c>
      <c r="M10083" s="43">
        <v>11.500435161009573</v>
      </c>
      <c r="N10083" s="43">
        <v>5.885783093408377</v>
      </c>
      <c r="O10083" s="43">
        <v>8.4634873323397919</v>
      </c>
      <c r="P10083" s="253"/>
      <c r="Q10083" s="253"/>
      <c r="R10083" s="253">
        <v>1</v>
      </c>
    </row>
    <row r="10084" spans="1:18" ht="36">
      <c r="A10084" s="249">
        <v>4</v>
      </c>
      <c r="B10084" s="246" t="s">
        <v>18476</v>
      </c>
      <c r="C10084" s="250" t="s">
        <v>18477</v>
      </c>
      <c r="D10084" s="251">
        <v>4817.55</v>
      </c>
      <c r="E10084" s="251">
        <v>2010.75</v>
      </c>
      <c r="F10084" s="251">
        <v>2735.14</v>
      </c>
      <c r="G10084" s="251">
        <v>71.66</v>
      </c>
      <c r="H10084" s="252">
        <v>39868.080000000002</v>
      </c>
      <c r="I10084" s="252">
        <v>23124.5</v>
      </c>
      <c r="J10084" s="252">
        <v>16113.52</v>
      </c>
      <c r="K10084" s="252">
        <v>630.05999999999995</v>
      </c>
      <c r="L10084" s="43">
        <v>8.2755923654139547</v>
      </c>
      <c r="M10084" s="43">
        <v>11.500435161009573</v>
      </c>
      <c r="N10084" s="43">
        <v>5.8912962407774376</v>
      </c>
      <c r="O10084" s="43">
        <v>8.7923527770025114</v>
      </c>
      <c r="P10084" s="253"/>
      <c r="Q10084" s="253"/>
      <c r="R10084" s="253">
        <v>1</v>
      </c>
    </row>
    <row r="10085" spans="1:18" ht="24">
      <c r="A10085" s="249">
        <v>5</v>
      </c>
      <c r="B10085" s="246" t="s">
        <v>18478</v>
      </c>
      <c r="C10085" s="250" t="s">
        <v>18479</v>
      </c>
      <c r="D10085" s="251">
        <v>6476.83</v>
      </c>
      <c r="E10085" s="251">
        <v>2458.86</v>
      </c>
      <c r="F10085" s="251">
        <v>3919.98</v>
      </c>
      <c r="G10085" s="251">
        <v>97.99</v>
      </c>
      <c r="H10085" s="252">
        <v>52180.4</v>
      </c>
      <c r="I10085" s="252">
        <v>28277.96</v>
      </c>
      <c r="J10085" s="252">
        <v>23076.78</v>
      </c>
      <c r="K10085" s="252">
        <v>825.66</v>
      </c>
      <c r="L10085" s="43">
        <v>8.0564720704418669</v>
      </c>
      <c r="M10085" s="43">
        <v>11.500435161009573</v>
      </c>
      <c r="N10085" s="43">
        <v>5.8869637089985147</v>
      </c>
      <c r="O10085" s="43">
        <v>8.4259618328400858</v>
      </c>
      <c r="P10085" s="253"/>
      <c r="Q10085" s="253"/>
      <c r="R10085" s="253">
        <v>1</v>
      </c>
    </row>
    <row r="10086" spans="1:18" ht="24">
      <c r="A10086" s="249">
        <v>6</v>
      </c>
      <c r="B10086" s="246" t="s">
        <v>18480</v>
      </c>
      <c r="C10086" s="250" t="s">
        <v>18481</v>
      </c>
      <c r="D10086" s="251">
        <v>5095.38</v>
      </c>
      <c r="E10086" s="251">
        <v>1746.48</v>
      </c>
      <c r="F10086" s="251">
        <v>3220.66</v>
      </c>
      <c r="G10086" s="251">
        <v>128.24</v>
      </c>
      <c r="H10086" s="252">
        <v>39957.85</v>
      </c>
      <c r="I10086" s="252">
        <v>20085.28</v>
      </c>
      <c r="J10086" s="252">
        <v>18973.63</v>
      </c>
      <c r="K10086" s="252">
        <v>898.94</v>
      </c>
      <c r="L10086" s="43">
        <v>7.8419764571042787</v>
      </c>
      <c r="M10086" s="43">
        <v>11.500435161009573</v>
      </c>
      <c r="N10086" s="43">
        <v>5.8912241590233068</v>
      </c>
      <c r="O10086" s="43">
        <v>7.0098253275109172</v>
      </c>
      <c r="P10086" s="253"/>
      <c r="Q10086" s="253"/>
      <c r="R10086" s="253">
        <v>1</v>
      </c>
    </row>
    <row r="10087" spans="1:18" ht="24">
      <c r="A10087" s="249">
        <v>7</v>
      </c>
      <c r="B10087" s="246" t="s">
        <v>18482</v>
      </c>
      <c r="C10087" s="250" t="s">
        <v>18483</v>
      </c>
      <c r="D10087" s="251">
        <v>3768.81</v>
      </c>
      <c r="E10087" s="251">
        <v>1124.8699999999999</v>
      </c>
      <c r="F10087" s="251">
        <v>2577.66</v>
      </c>
      <c r="G10087" s="251">
        <v>66.28</v>
      </c>
      <c r="H10087" s="252">
        <v>28652.57</v>
      </c>
      <c r="I10087" s="252">
        <v>12936.51</v>
      </c>
      <c r="J10087" s="252">
        <v>15223.99</v>
      </c>
      <c r="K10087" s="252">
        <v>492.07</v>
      </c>
      <c r="L10087" s="43">
        <v>7.6025509378291822</v>
      </c>
      <c r="M10087" s="43">
        <v>11.500448940766489</v>
      </c>
      <c r="N10087" s="43">
        <v>5.906128038608661</v>
      </c>
      <c r="O10087" s="43">
        <v>7.4241098370549183</v>
      </c>
      <c r="P10087" s="253"/>
      <c r="Q10087" s="253"/>
      <c r="R10087" s="253">
        <v>1</v>
      </c>
    </row>
    <row r="10088" spans="1:18" ht="12.75" customHeight="1">
      <c r="A10088" s="628" t="s">
        <v>18484</v>
      </c>
      <c r="B10088" s="629"/>
      <c r="C10088" s="629"/>
      <c r="D10088" s="629"/>
      <c r="E10088" s="629"/>
      <c r="F10088" s="629"/>
      <c r="G10088" s="629"/>
      <c r="H10088" s="629"/>
      <c r="I10088" s="629"/>
      <c r="J10088" s="629"/>
      <c r="K10088" s="629"/>
      <c r="L10088" s="629"/>
      <c r="M10088" s="629"/>
      <c r="N10088" s="629"/>
      <c r="O10088" s="629"/>
      <c r="P10088" s="629"/>
      <c r="Q10088" s="629"/>
      <c r="R10088" s="629"/>
    </row>
    <row r="10089" spans="1:18" ht="24">
      <c r="A10089" s="249">
        <v>8</v>
      </c>
      <c r="B10089" s="246" t="s">
        <v>18485</v>
      </c>
      <c r="C10089" s="250" t="s">
        <v>18486</v>
      </c>
      <c r="D10089" s="251">
        <v>25833.71</v>
      </c>
      <c r="E10089" s="251">
        <v>5285.4</v>
      </c>
      <c r="F10089" s="251">
        <v>20417.62</v>
      </c>
      <c r="G10089" s="251">
        <v>130.69</v>
      </c>
      <c r="H10089" s="252">
        <v>182949.32</v>
      </c>
      <c r="I10089" s="252">
        <v>60784.4</v>
      </c>
      <c r="J10089" s="252">
        <v>120816.14</v>
      </c>
      <c r="K10089" s="252">
        <v>1348.78</v>
      </c>
      <c r="L10089" s="43">
        <v>7.0818059039913361</v>
      </c>
      <c r="M10089" s="43">
        <v>11.500435161009575</v>
      </c>
      <c r="N10089" s="43">
        <v>5.9172489251930447</v>
      </c>
      <c r="O10089" s="43">
        <v>10.320452980335144</v>
      </c>
      <c r="P10089" s="253"/>
      <c r="Q10089" s="253"/>
      <c r="R10089" s="253">
        <v>2</v>
      </c>
    </row>
    <row r="10090" spans="1:18" ht="24">
      <c r="A10090" s="254">
        <v>9</v>
      </c>
      <c r="B10090" s="255" t="s">
        <v>18487</v>
      </c>
      <c r="C10090" s="256" t="s">
        <v>18488</v>
      </c>
      <c r="D10090" s="257">
        <v>43776.9</v>
      </c>
      <c r="E10090" s="257">
        <v>8410.68</v>
      </c>
      <c r="F10090" s="257">
        <v>35095.800000000003</v>
      </c>
      <c r="G10090" s="257">
        <v>270.42</v>
      </c>
      <c r="H10090" s="258">
        <v>307185.81</v>
      </c>
      <c r="I10090" s="258">
        <v>96726.48</v>
      </c>
      <c r="J10090" s="258">
        <v>207980.25</v>
      </c>
      <c r="K10090" s="258">
        <v>2479.08</v>
      </c>
      <c r="L10090" s="611">
        <v>7.0170754438984941</v>
      </c>
      <c r="M10090" s="611">
        <v>11.500435161009573</v>
      </c>
      <c r="N10090" s="611">
        <v>5.9260723505376705</v>
      </c>
      <c r="O10090" s="611">
        <v>9.1675171954737067</v>
      </c>
      <c r="P10090" s="259"/>
      <c r="Q10090" s="259"/>
      <c r="R10090" s="259">
        <v>2</v>
      </c>
    </row>
    <row r="10091" spans="1:18" ht="12.75" customHeight="1">
      <c r="A10091" s="630" t="s">
        <v>18489</v>
      </c>
      <c r="B10091" s="631"/>
      <c r="C10091" s="631"/>
      <c r="D10091" s="631"/>
      <c r="E10091" s="631"/>
      <c r="F10091" s="631"/>
      <c r="G10091" s="631"/>
      <c r="H10091" s="631"/>
      <c r="I10091" s="631"/>
      <c r="J10091" s="631"/>
      <c r="K10091" s="631"/>
      <c r="L10091" s="631"/>
      <c r="M10091" s="631"/>
      <c r="N10091" s="631"/>
      <c r="O10091" s="631"/>
      <c r="P10091" s="631"/>
      <c r="Q10091" s="631"/>
      <c r="R10091" s="631"/>
    </row>
    <row r="10092" spans="1:18" ht="12.75" customHeight="1">
      <c r="A10092" s="628" t="s">
        <v>18490</v>
      </c>
      <c r="B10092" s="629"/>
      <c r="C10092" s="629"/>
      <c r="D10092" s="629"/>
      <c r="E10092" s="629"/>
      <c r="F10092" s="629"/>
      <c r="G10092" s="629"/>
      <c r="H10092" s="629"/>
      <c r="I10092" s="629"/>
      <c r="J10092" s="629"/>
      <c r="K10092" s="629"/>
      <c r="L10092" s="629"/>
      <c r="M10092" s="629"/>
      <c r="N10092" s="629"/>
      <c r="O10092" s="629"/>
      <c r="P10092" s="629"/>
      <c r="Q10092" s="629"/>
      <c r="R10092" s="629"/>
    </row>
    <row r="10093" spans="1:18" ht="24">
      <c r="A10093" s="254">
        <v>10</v>
      </c>
      <c r="B10093" s="255" t="s">
        <v>18491</v>
      </c>
      <c r="C10093" s="256" t="s">
        <v>18492</v>
      </c>
      <c r="D10093" s="257">
        <v>7865.61</v>
      </c>
      <c r="E10093" s="257">
        <v>1965.28</v>
      </c>
      <c r="F10093" s="257">
        <v>5206.4399999999996</v>
      </c>
      <c r="G10093" s="257">
        <v>693.89</v>
      </c>
      <c r="H10093" s="258">
        <v>55442.33</v>
      </c>
      <c r="I10093" s="258">
        <v>22600.720000000001</v>
      </c>
      <c r="J10093" s="258">
        <v>28901.24</v>
      </c>
      <c r="K10093" s="258">
        <v>3940.37</v>
      </c>
      <c r="L10093" s="611">
        <v>7.0487006093615125</v>
      </c>
      <c r="M10093" s="611">
        <v>11.5</v>
      </c>
      <c r="N10093" s="611">
        <v>5.5510559998770761</v>
      </c>
      <c r="O10093" s="611">
        <v>5.6786666474513252</v>
      </c>
      <c r="P10093" s="259"/>
      <c r="Q10093" s="259"/>
      <c r="R10093" s="259">
        <v>1</v>
      </c>
    </row>
    <row r="10094" spans="1:18" ht="12.75" customHeight="1">
      <c r="A10094" s="630" t="s">
        <v>18493</v>
      </c>
      <c r="B10094" s="631"/>
      <c r="C10094" s="631"/>
      <c r="D10094" s="631"/>
      <c r="E10094" s="631"/>
      <c r="F10094" s="631"/>
      <c r="G10094" s="631"/>
      <c r="H10094" s="631"/>
      <c r="I10094" s="631"/>
      <c r="J10094" s="631"/>
      <c r="K10094" s="631"/>
      <c r="L10094" s="631"/>
      <c r="M10094" s="631"/>
      <c r="N10094" s="631"/>
      <c r="O10094" s="631"/>
      <c r="P10094" s="631"/>
      <c r="Q10094" s="631"/>
      <c r="R10094" s="631"/>
    </row>
    <row r="10095" spans="1:18" ht="12.75" customHeight="1">
      <c r="A10095" s="628" t="s">
        <v>18494</v>
      </c>
      <c r="B10095" s="629"/>
      <c r="C10095" s="629"/>
      <c r="D10095" s="629"/>
      <c r="E10095" s="629"/>
      <c r="F10095" s="629"/>
      <c r="G10095" s="629"/>
      <c r="H10095" s="629"/>
      <c r="I10095" s="629"/>
      <c r="J10095" s="629"/>
      <c r="K10095" s="629"/>
      <c r="L10095" s="629"/>
      <c r="M10095" s="629"/>
      <c r="N10095" s="629"/>
      <c r="O10095" s="629"/>
      <c r="P10095" s="629"/>
      <c r="Q10095" s="629"/>
      <c r="R10095" s="629"/>
    </row>
    <row r="10096" spans="1:18" ht="36">
      <c r="A10096" s="249">
        <v>11</v>
      </c>
      <c r="B10096" s="246" t="s">
        <v>18495</v>
      </c>
      <c r="C10096" s="250" t="s">
        <v>18496</v>
      </c>
      <c r="D10096" s="251">
        <v>6363.85</v>
      </c>
      <c r="E10096" s="251">
        <v>2826.54</v>
      </c>
      <c r="F10096" s="251">
        <v>2929.55</v>
      </c>
      <c r="G10096" s="251">
        <v>607.76</v>
      </c>
      <c r="H10096" s="252">
        <v>52546.49</v>
      </c>
      <c r="I10096" s="252">
        <v>32506.44</v>
      </c>
      <c r="J10096" s="252">
        <v>16452.439999999999</v>
      </c>
      <c r="K10096" s="252">
        <v>3587.61</v>
      </c>
      <c r="L10096" s="43">
        <v>8.2570283711903958</v>
      </c>
      <c r="M10096" s="43">
        <v>11.500435161009573</v>
      </c>
      <c r="N10096" s="43">
        <v>5.6160297656636677</v>
      </c>
      <c r="O10096" s="43">
        <v>5.9030044754508362</v>
      </c>
      <c r="P10096" s="253"/>
      <c r="Q10096" s="253"/>
      <c r="R10096" s="253">
        <v>1</v>
      </c>
    </row>
    <row r="10097" spans="1:18" ht="12.75">
      <c r="A10097" s="632" t="s">
        <v>18</v>
      </c>
      <c r="B10097" s="632"/>
      <c r="C10097" s="632"/>
      <c r="D10097" s="247">
        <v>121985.95</v>
      </c>
      <c r="E10097" s="247">
        <v>32274.75</v>
      </c>
      <c r="F10097" s="247">
        <v>87307.64</v>
      </c>
      <c r="G10097" s="247">
        <v>2403.56</v>
      </c>
      <c r="H10097" s="248">
        <v>901585.98</v>
      </c>
      <c r="I10097" s="248">
        <v>371172.83</v>
      </c>
      <c r="J10097" s="248">
        <v>513621.19</v>
      </c>
      <c r="K10097" s="248">
        <v>16791.96</v>
      </c>
      <c r="L10097" s="612">
        <v>7.3909001815373001</v>
      </c>
      <c r="M10097" s="612">
        <v>11.500409143370591</v>
      </c>
      <c r="N10097" s="612">
        <v>5.8828894012024611</v>
      </c>
      <c r="O10097" s="612">
        <v>6.9862870076053856</v>
      </c>
      <c r="P10097" s="245"/>
      <c r="Q10097" s="245"/>
      <c r="R10097" s="245"/>
    </row>
    <row r="10098" spans="1:18" ht="18">
      <c r="A10098" s="616" t="s">
        <v>18497</v>
      </c>
      <c r="B10098" s="626"/>
      <c r="C10098" s="626"/>
      <c r="D10098" s="626"/>
      <c r="E10098" s="626"/>
      <c r="F10098" s="626"/>
      <c r="G10098" s="626"/>
      <c r="H10098" s="626"/>
      <c r="I10098" s="626"/>
      <c r="J10098" s="626"/>
      <c r="K10098" s="626"/>
      <c r="L10098" s="626"/>
      <c r="M10098" s="626"/>
      <c r="N10098" s="626"/>
      <c r="O10098" s="626"/>
      <c r="P10098" s="626"/>
      <c r="Q10098" s="626"/>
      <c r="R10098" s="627"/>
    </row>
    <row r="10099" spans="1:18" ht="12.75" customHeight="1">
      <c r="A10099" s="630" t="s">
        <v>18498</v>
      </c>
      <c r="B10099" s="631"/>
      <c r="C10099" s="631"/>
      <c r="D10099" s="631"/>
      <c r="E10099" s="631"/>
      <c r="F10099" s="631"/>
      <c r="G10099" s="631"/>
      <c r="H10099" s="631"/>
      <c r="I10099" s="631"/>
      <c r="J10099" s="631"/>
      <c r="K10099" s="631"/>
      <c r="L10099" s="631"/>
      <c r="M10099" s="631"/>
      <c r="N10099" s="631"/>
      <c r="O10099" s="631"/>
      <c r="P10099" s="631"/>
      <c r="Q10099" s="631"/>
      <c r="R10099" s="631"/>
    </row>
    <row r="10100" spans="1:18" ht="12.75" customHeight="1">
      <c r="A10100" s="628" t="s">
        <v>18499</v>
      </c>
      <c r="B10100" s="629"/>
      <c r="C10100" s="629"/>
      <c r="D10100" s="629"/>
      <c r="E10100" s="629"/>
      <c r="F10100" s="629"/>
      <c r="G10100" s="629"/>
      <c r="H10100" s="629"/>
      <c r="I10100" s="629"/>
      <c r="J10100" s="629"/>
      <c r="K10100" s="629"/>
      <c r="L10100" s="629"/>
      <c r="M10100" s="629"/>
      <c r="N10100" s="629"/>
      <c r="O10100" s="629"/>
      <c r="P10100" s="629"/>
      <c r="Q10100" s="629"/>
      <c r="R10100" s="629"/>
    </row>
    <row r="10101" spans="1:18" ht="12.75" customHeight="1">
      <c r="A10101" s="628" t="s">
        <v>18500</v>
      </c>
      <c r="B10101" s="629"/>
      <c r="C10101" s="629"/>
      <c r="D10101" s="629"/>
      <c r="E10101" s="629"/>
      <c r="F10101" s="629"/>
      <c r="G10101" s="629"/>
      <c r="H10101" s="629"/>
      <c r="I10101" s="629"/>
      <c r="J10101" s="629"/>
      <c r="K10101" s="629"/>
      <c r="L10101" s="629"/>
      <c r="M10101" s="629"/>
      <c r="N10101" s="629"/>
      <c r="O10101" s="629"/>
      <c r="P10101" s="629"/>
      <c r="Q10101" s="629"/>
      <c r="R10101" s="629"/>
    </row>
    <row r="10102" spans="1:18" ht="24">
      <c r="A10102" s="264">
        <v>1</v>
      </c>
      <c r="B10102" s="261" t="s">
        <v>18501</v>
      </c>
      <c r="C10102" s="265" t="s">
        <v>18502</v>
      </c>
      <c r="D10102" s="266">
        <v>4216.3900000000003</v>
      </c>
      <c r="E10102" s="266">
        <v>1634.53</v>
      </c>
      <c r="F10102" s="266">
        <v>1396.77</v>
      </c>
      <c r="G10102" s="266">
        <v>1185.0899999999999</v>
      </c>
      <c r="H10102" s="267">
        <v>32217.59</v>
      </c>
      <c r="I10102" s="267">
        <v>18797.84</v>
      </c>
      <c r="J10102" s="267">
        <v>8269.08</v>
      </c>
      <c r="K10102" s="267">
        <v>5150.67</v>
      </c>
      <c r="L10102" s="43">
        <v>7.6410365265072722</v>
      </c>
      <c r="M10102" s="43">
        <v>11.500455788514129</v>
      </c>
      <c r="N10102" s="43">
        <v>5.9201443329968431</v>
      </c>
      <c r="O10102" s="43">
        <v>4.3462268688454042</v>
      </c>
      <c r="P10102" s="268"/>
      <c r="Q10102" s="268"/>
      <c r="R10102" s="268">
        <v>1</v>
      </c>
    </row>
    <row r="10103" spans="1:18" ht="12.75" customHeight="1">
      <c r="A10103" s="628" t="s">
        <v>18503</v>
      </c>
      <c r="B10103" s="629"/>
      <c r="C10103" s="629"/>
      <c r="D10103" s="629"/>
      <c r="E10103" s="629"/>
      <c r="F10103" s="629"/>
      <c r="G10103" s="629"/>
      <c r="H10103" s="629"/>
      <c r="I10103" s="629"/>
      <c r="J10103" s="629"/>
      <c r="K10103" s="629"/>
      <c r="L10103" s="629"/>
      <c r="M10103" s="629"/>
      <c r="N10103" s="629"/>
      <c r="O10103" s="629"/>
      <c r="P10103" s="629"/>
      <c r="Q10103" s="629"/>
      <c r="R10103" s="629"/>
    </row>
    <row r="10104" spans="1:18" ht="24">
      <c r="A10104" s="264">
        <v>2</v>
      </c>
      <c r="B10104" s="261" t="s">
        <v>18504</v>
      </c>
      <c r="C10104" s="265" t="s">
        <v>18505</v>
      </c>
      <c r="D10104" s="266">
        <v>54997.75</v>
      </c>
      <c r="E10104" s="266">
        <v>4690.9799999999996</v>
      </c>
      <c r="F10104" s="266">
        <v>43035.29</v>
      </c>
      <c r="G10104" s="266">
        <v>7271.48</v>
      </c>
      <c r="H10104" s="267">
        <v>318334.90999999997</v>
      </c>
      <c r="I10104" s="267">
        <v>53948.46</v>
      </c>
      <c r="J10104" s="267">
        <v>233585.45</v>
      </c>
      <c r="K10104" s="267">
        <v>30801</v>
      </c>
      <c r="L10104" s="43">
        <v>5.7881442422644556</v>
      </c>
      <c r="M10104" s="43">
        <v>11.50046685340803</v>
      </c>
      <c r="N10104" s="43">
        <v>5.4277652131541352</v>
      </c>
      <c r="O10104" s="43">
        <v>4.2358639506675395</v>
      </c>
      <c r="P10104" s="268"/>
      <c r="Q10104" s="268"/>
      <c r="R10104" s="268">
        <v>2</v>
      </c>
    </row>
    <row r="10105" spans="1:18" ht="24">
      <c r="A10105" s="264">
        <v>3</v>
      </c>
      <c r="B10105" s="261" t="s">
        <v>18506</v>
      </c>
      <c r="C10105" s="265" t="s">
        <v>18507</v>
      </c>
      <c r="D10105" s="266">
        <v>9949.4500000000007</v>
      </c>
      <c r="E10105" s="266">
        <v>2340.16</v>
      </c>
      <c r="F10105" s="266">
        <v>4916.8999999999996</v>
      </c>
      <c r="G10105" s="266">
        <v>2692.39</v>
      </c>
      <c r="H10105" s="267">
        <v>66919.210000000006</v>
      </c>
      <c r="I10105" s="267">
        <v>26911.84</v>
      </c>
      <c r="J10105" s="267">
        <v>28476.09</v>
      </c>
      <c r="K10105" s="267">
        <v>11531.28</v>
      </c>
      <c r="L10105" s="43">
        <v>6.7259205282704073</v>
      </c>
      <c r="M10105" s="43">
        <v>11.5</v>
      </c>
      <c r="N10105" s="43">
        <v>5.7914722691126528</v>
      </c>
      <c r="O10105" s="43">
        <v>4.282915922284662</v>
      </c>
      <c r="P10105" s="268"/>
      <c r="Q10105" s="268"/>
      <c r="R10105" s="268">
        <v>2</v>
      </c>
    </row>
    <row r="10106" spans="1:18" ht="12.75" customHeight="1">
      <c r="A10106" s="628" t="s">
        <v>18508</v>
      </c>
      <c r="B10106" s="629"/>
      <c r="C10106" s="629"/>
      <c r="D10106" s="629"/>
      <c r="E10106" s="629"/>
      <c r="F10106" s="629"/>
      <c r="G10106" s="629"/>
      <c r="H10106" s="629"/>
      <c r="I10106" s="629"/>
      <c r="J10106" s="629"/>
      <c r="K10106" s="629"/>
      <c r="L10106" s="629"/>
      <c r="M10106" s="629"/>
      <c r="N10106" s="629"/>
      <c r="O10106" s="629"/>
      <c r="P10106" s="629"/>
      <c r="Q10106" s="629"/>
      <c r="R10106" s="629"/>
    </row>
    <row r="10107" spans="1:18" ht="24">
      <c r="A10107" s="264">
        <v>4</v>
      </c>
      <c r="B10107" s="261" t="s">
        <v>18509</v>
      </c>
      <c r="C10107" s="265" t="s">
        <v>18510</v>
      </c>
      <c r="D10107" s="266">
        <v>1992.95</v>
      </c>
      <c r="E10107" s="266">
        <v>981.26</v>
      </c>
      <c r="F10107" s="266">
        <v>402.09</v>
      </c>
      <c r="G10107" s="266">
        <v>609.6</v>
      </c>
      <c r="H10107" s="267">
        <v>16074.13</v>
      </c>
      <c r="I10107" s="267">
        <v>11284.9</v>
      </c>
      <c r="J10107" s="267">
        <v>2271.21</v>
      </c>
      <c r="K10107" s="267">
        <v>2518.02</v>
      </c>
      <c r="L10107" s="43">
        <v>8.0654958729521553</v>
      </c>
      <c r="M10107" s="43">
        <v>11.500417830136763</v>
      </c>
      <c r="N10107" s="43">
        <v>5.6485115272700144</v>
      </c>
      <c r="O10107" s="43">
        <v>4.1306102362204724</v>
      </c>
      <c r="P10107" s="268"/>
      <c r="Q10107" s="268"/>
      <c r="R10107" s="268">
        <v>3</v>
      </c>
    </row>
    <row r="10108" spans="1:18" ht="24">
      <c r="A10108" s="264">
        <v>5</v>
      </c>
      <c r="B10108" s="261" t="s">
        <v>18511</v>
      </c>
      <c r="C10108" s="265" t="s">
        <v>18512</v>
      </c>
      <c r="D10108" s="266">
        <v>2973.96</v>
      </c>
      <c r="E10108" s="266">
        <v>1201.75</v>
      </c>
      <c r="F10108" s="266">
        <v>607.04</v>
      </c>
      <c r="G10108" s="266">
        <v>1165.17</v>
      </c>
      <c r="H10108" s="267">
        <v>21955.85</v>
      </c>
      <c r="I10108" s="267">
        <v>13820.7</v>
      </c>
      <c r="J10108" s="267">
        <v>3430.51</v>
      </c>
      <c r="K10108" s="267">
        <v>4704.6400000000003</v>
      </c>
      <c r="L10108" s="43">
        <v>7.3826984895560122</v>
      </c>
      <c r="M10108" s="43">
        <v>11.500478468899523</v>
      </c>
      <c r="N10108" s="43">
        <v>5.6512091460200322</v>
      </c>
      <c r="O10108" s="43">
        <v>4.0377284001476177</v>
      </c>
      <c r="P10108" s="268"/>
      <c r="Q10108" s="268"/>
      <c r="R10108" s="268">
        <v>3</v>
      </c>
    </row>
    <row r="10109" spans="1:18" ht="24">
      <c r="A10109" s="264">
        <v>6</v>
      </c>
      <c r="B10109" s="261" t="s">
        <v>18513</v>
      </c>
      <c r="C10109" s="265" t="s">
        <v>18514</v>
      </c>
      <c r="D10109" s="266">
        <v>23848.9</v>
      </c>
      <c r="E10109" s="266">
        <v>5925</v>
      </c>
      <c r="F10109" s="266">
        <v>13155.17</v>
      </c>
      <c r="G10109" s="266">
        <v>4768.7299999999996</v>
      </c>
      <c r="H10109" s="267">
        <v>162686.5</v>
      </c>
      <c r="I10109" s="267">
        <v>68140</v>
      </c>
      <c r="J10109" s="267">
        <v>73600.73</v>
      </c>
      <c r="K10109" s="267">
        <v>20945.77</v>
      </c>
      <c r="L10109" s="43">
        <v>6.8215515180993664</v>
      </c>
      <c r="M10109" s="43">
        <v>11.50042194092827</v>
      </c>
      <c r="N10109" s="43">
        <v>5.5948140540943214</v>
      </c>
      <c r="O10109" s="43">
        <v>4.3923161932002861</v>
      </c>
      <c r="P10109" s="268"/>
      <c r="Q10109" s="268"/>
      <c r="R10109" s="268">
        <v>3</v>
      </c>
    </row>
    <row r="10110" spans="1:18" ht="12.75" customHeight="1">
      <c r="A10110" s="628" t="s">
        <v>18515</v>
      </c>
      <c r="B10110" s="629"/>
      <c r="C10110" s="629"/>
      <c r="D10110" s="629"/>
      <c r="E10110" s="629"/>
      <c r="F10110" s="629"/>
      <c r="G10110" s="629"/>
      <c r="H10110" s="629"/>
      <c r="I10110" s="629"/>
      <c r="J10110" s="629"/>
      <c r="K10110" s="629"/>
      <c r="L10110" s="629"/>
      <c r="M10110" s="629"/>
      <c r="N10110" s="629"/>
      <c r="O10110" s="629"/>
      <c r="P10110" s="629"/>
      <c r="Q10110" s="629"/>
      <c r="R10110" s="629"/>
    </row>
    <row r="10111" spans="1:18" ht="12.75" customHeight="1">
      <c r="A10111" s="628" t="s">
        <v>18516</v>
      </c>
      <c r="B10111" s="629"/>
      <c r="C10111" s="629"/>
      <c r="D10111" s="629"/>
      <c r="E10111" s="629"/>
      <c r="F10111" s="629"/>
      <c r="G10111" s="629"/>
      <c r="H10111" s="629"/>
      <c r="I10111" s="629"/>
      <c r="J10111" s="629"/>
      <c r="K10111" s="629"/>
      <c r="L10111" s="629"/>
      <c r="M10111" s="629"/>
      <c r="N10111" s="629"/>
      <c r="O10111" s="629"/>
      <c r="P10111" s="629"/>
      <c r="Q10111" s="629"/>
      <c r="R10111" s="629"/>
    </row>
    <row r="10112" spans="1:18" ht="24">
      <c r="A10112" s="264">
        <v>7</v>
      </c>
      <c r="B10112" s="261" t="s">
        <v>18517</v>
      </c>
      <c r="C10112" s="265" t="s">
        <v>18518</v>
      </c>
      <c r="D10112" s="266">
        <v>51348.56</v>
      </c>
      <c r="E10112" s="266">
        <v>8816.4</v>
      </c>
      <c r="F10112" s="266">
        <v>35307.339999999997</v>
      </c>
      <c r="G10112" s="266">
        <v>7224.82</v>
      </c>
      <c r="H10112" s="267">
        <v>341543.11</v>
      </c>
      <c r="I10112" s="267">
        <v>101392.32000000001</v>
      </c>
      <c r="J10112" s="267">
        <v>198412.11</v>
      </c>
      <c r="K10112" s="267">
        <v>41738.68</v>
      </c>
      <c r="L10112" s="43">
        <v>6.6514642280134053</v>
      </c>
      <c r="M10112" s="43">
        <v>11.500421940928272</v>
      </c>
      <c r="N10112" s="43">
        <v>5.6195711713201844</v>
      </c>
      <c r="O10112" s="43">
        <v>5.7771238591411276</v>
      </c>
      <c r="P10112" s="268"/>
      <c r="Q10112" s="268"/>
      <c r="R10112" s="268">
        <v>1</v>
      </c>
    </row>
    <row r="10113" spans="1:18" ht="24">
      <c r="A10113" s="264">
        <v>8</v>
      </c>
      <c r="B10113" s="261" t="s">
        <v>18519</v>
      </c>
      <c r="C10113" s="265" t="s">
        <v>18520</v>
      </c>
      <c r="D10113" s="266">
        <v>369596.68</v>
      </c>
      <c r="E10113" s="266">
        <v>29713.439999999999</v>
      </c>
      <c r="F10113" s="266">
        <v>290699.12</v>
      </c>
      <c r="G10113" s="266">
        <v>49184.12</v>
      </c>
      <c r="H10113" s="267">
        <v>2167143.2999999998</v>
      </c>
      <c r="I10113" s="267">
        <v>341704.56</v>
      </c>
      <c r="J10113" s="267">
        <v>1616752.84</v>
      </c>
      <c r="K10113" s="267">
        <v>208685.9</v>
      </c>
      <c r="L10113" s="43">
        <v>5.8635356248329931</v>
      </c>
      <c r="M10113" s="43">
        <v>11.5</v>
      </c>
      <c r="N10113" s="43">
        <v>5.5616021128650139</v>
      </c>
      <c r="O10113" s="43">
        <v>4.2429528067189164</v>
      </c>
      <c r="P10113" s="268"/>
      <c r="Q10113" s="268"/>
      <c r="R10113" s="268">
        <v>1</v>
      </c>
    </row>
    <row r="10114" spans="1:18" ht="24">
      <c r="A10114" s="264">
        <v>9</v>
      </c>
      <c r="B10114" s="261" t="s">
        <v>18521</v>
      </c>
      <c r="C10114" s="265" t="s">
        <v>18522</v>
      </c>
      <c r="D10114" s="266">
        <v>44700.47</v>
      </c>
      <c r="E10114" s="266">
        <v>7801.71</v>
      </c>
      <c r="F10114" s="266">
        <v>27517.49</v>
      </c>
      <c r="G10114" s="266">
        <v>9381.27</v>
      </c>
      <c r="H10114" s="267">
        <v>281216.49</v>
      </c>
      <c r="I10114" s="267">
        <v>89723.06</v>
      </c>
      <c r="J10114" s="267">
        <v>152334.65</v>
      </c>
      <c r="K10114" s="267">
        <v>39158.78</v>
      </c>
      <c r="L10114" s="43">
        <v>6.2911304959433307</v>
      </c>
      <c r="M10114" s="43">
        <v>11.500435161009573</v>
      </c>
      <c r="N10114" s="43">
        <v>5.5359209724433436</v>
      </c>
      <c r="O10114" s="43">
        <v>4.1741448652474551</v>
      </c>
      <c r="P10114" s="268"/>
      <c r="Q10114" s="268"/>
      <c r="R10114" s="268">
        <v>1</v>
      </c>
    </row>
    <row r="10115" spans="1:18" ht="24">
      <c r="A10115" s="264">
        <v>10</v>
      </c>
      <c r="B10115" s="261" t="s">
        <v>18523</v>
      </c>
      <c r="C10115" s="265" t="s">
        <v>18524</v>
      </c>
      <c r="D10115" s="266">
        <v>47310.9</v>
      </c>
      <c r="E10115" s="266">
        <v>10257.93</v>
      </c>
      <c r="F10115" s="266">
        <v>24958.959999999999</v>
      </c>
      <c r="G10115" s="266">
        <v>12094.01</v>
      </c>
      <c r="H10115" s="267">
        <v>310143.86</v>
      </c>
      <c r="I10115" s="267">
        <v>117970.59</v>
      </c>
      <c r="J10115" s="267">
        <v>138074.13</v>
      </c>
      <c r="K10115" s="267">
        <v>54099.14</v>
      </c>
      <c r="L10115" s="43">
        <v>6.5554419806006647</v>
      </c>
      <c r="M10115" s="43">
        <v>11.500428449014567</v>
      </c>
      <c r="N10115" s="43">
        <v>5.5320466077112194</v>
      </c>
      <c r="O10115" s="43">
        <v>4.4732177334068686</v>
      </c>
      <c r="P10115" s="268"/>
      <c r="Q10115" s="268"/>
      <c r="R10115" s="268">
        <v>1</v>
      </c>
    </row>
    <row r="10116" spans="1:18" ht="24">
      <c r="A10116" s="269">
        <v>11</v>
      </c>
      <c r="B10116" s="270" t="s">
        <v>18525</v>
      </c>
      <c r="C10116" s="271" t="s">
        <v>18526</v>
      </c>
      <c r="D10116" s="272">
        <v>58848.43</v>
      </c>
      <c r="E10116" s="272">
        <v>13018.56</v>
      </c>
      <c r="F10116" s="272">
        <v>40984.639999999999</v>
      </c>
      <c r="G10116" s="272">
        <v>4845.2299999999996</v>
      </c>
      <c r="H10116" s="273">
        <v>399213.56</v>
      </c>
      <c r="I10116" s="273">
        <v>149713.44</v>
      </c>
      <c r="J10116" s="273">
        <v>221816.24</v>
      </c>
      <c r="K10116" s="273">
        <v>27683.88</v>
      </c>
      <c r="L10116" s="611">
        <v>6.7837588870255328</v>
      </c>
      <c r="M10116" s="611">
        <v>11.5</v>
      </c>
      <c r="N10116" s="611">
        <v>5.4121797824746052</v>
      </c>
      <c r="O10116" s="611">
        <v>5.7136358851901772</v>
      </c>
      <c r="P10116" s="274"/>
      <c r="Q10116" s="274"/>
      <c r="R10116" s="274">
        <v>1</v>
      </c>
    </row>
    <row r="10117" spans="1:18" ht="12.75" customHeight="1">
      <c r="A10117" s="630" t="s">
        <v>18527</v>
      </c>
      <c r="B10117" s="631"/>
      <c r="C10117" s="631"/>
      <c r="D10117" s="631"/>
      <c r="E10117" s="631"/>
      <c r="F10117" s="631"/>
      <c r="G10117" s="631"/>
      <c r="H10117" s="631"/>
      <c r="I10117" s="631"/>
      <c r="J10117" s="631"/>
      <c r="K10117" s="631"/>
      <c r="L10117" s="631"/>
      <c r="M10117" s="631"/>
      <c r="N10117" s="631"/>
      <c r="O10117" s="631"/>
      <c r="P10117" s="631"/>
      <c r="Q10117" s="631"/>
      <c r="R10117" s="631"/>
    </row>
    <row r="10118" spans="1:18" ht="12.75" customHeight="1">
      <c r="A10118" s="628" t="s">
        <v>18528</v>
      </c>
      <c r="B10118" s="629"/>
      <c r="C10118" s="629"/>
      <c r="D10118" s="629"/>
      <c r="E10118" s="629"/>
      <c r="F10118" s="629"/>
      <c r="G10118" s="629"/>
      <c r="H10118" s="629"/>
      <c r="I10118" s="629"/>
      <c r="J10118" s="629"/>
      <c r="K10118" s="629"/>
      <c r="L10118" s="629"/>
      <c r="M10118" s="629"/>
      <c r="N10118" s="629"/>
      <c r="O10118" s="629"/>
      <c r="P10118" s="629"/>
      <c r="Q10118" s="629"/>
      <c r="R10118" s="629"/>
    </row>
    <row r="10119" spans="1:18" ht="12.75" customHeight="1">
      <c r="A10119" s="628" t="s">
        <v>18529</v>
      </c>
      <c r="B10119" s="629"/>
      <c r="C10119" s="629"/>
      <c r="D10119" s="629"/>
      <c r="E10119" s="629"/>
      <c r="F10119" s="629"/>
      <c r="G10119" s="629"/>
      <c r="H10119" s="629"/>
      <c r="I10119" s="629"/>
      <c r="J10119" s="629"/>
      <c r="K10119" s="629"/>
      <c r="L10119" s="629"/>
      <c r="M10119" s="629"/>
      <c r="N10119" s="629"/>
      <c r="O10119" s="629"/>
      <c r="P10119" s="629"/>
      <c r="Q10119" s="629"/>
      <c r="R10119" s="629"/>
    </row>
    <row r="10120" spans="1:18" ht="24">
      <c r="A10120" s="264">
        <v>12</v>
      </c>
      <c r="B10120" s="261" t="s">
        <v>18530</v>
      </c>
      <c r="C10120" s="265" t="s">
        <v>18531</v>
      </c>
      <c r="D10120" s="266">
        <v>16126.12</v>
      </c>
      <c r="E10120" s="266">
        <v>5840.45</v>
      </c>
      <c r="F10120" s="266">
        <v>6288.45</v>
      </c>
      <c r="G10120" s="266">
        <v>3997.22</v>
      </c>
      <c r="H10120" s="267">
        <v>122597.85</v>
      </c>
      <c r="I10120" s="267">
        <v>67167.210000000006</v>
      </c>
      <c r="J10120" s="267">
        <v>35114.239999999998</v>
      </c>
      <c r="K10120" s="267">
        <v>20316.400000000001</v>
      </c>
      <c r="L10120" s="43">
        <v>7.6024393964574246</v>
      </c>
      <c r="M10120" s="43">
        <v>11.50034843205575</v>
      </c>
      <c r="N10120" s="43">
        <v>5.5839260867145324</v>
      </c>
      <c r="O10120" s="43">
        <v>5.0826324295385303</v>
      </c>
      <c r="P10120" s="268"/>
      <c r="Q10120" s="268"/>
      <c r="R10120" s="268">
        <v>1</v>
      </c>
    </row>
    <row r="10121" spans="1:18" ht="24">
      <c r="A10121" s="264">
        <v>13</v>
      </c>
      <c r="B10121" s="261" t="s">
        <v>18532</v>
      </c>
      <c r="C10121" s="265" t="s">
        <v>18533</v>
      </c>
      <c r="D10121" s="266">
        <v>20645.25</v>
      </c>
      <c r="E10121" s="266">
        <v>7580.95</v>
      </c>
      <c r="F10121" s="266">
        <v>8491.7999999999993</v>
      </c>
      <c r="G10121" s="266">
        <v>4572.5</v>
      </c>
      <c r="H10121" s="267">
        <v>158161.21</v>
      </c>
      <c r="I10121" s="267">
        <v>87183.65</v>
      </c>
      <c r="J10121" s="267">
        <v>47416.43</v>
      </c>
      <c r="K10121" s="267">
        <v>23561.13</v>
      </c>
      <c r="L10121" s="43">
        <v>7.6609006914423414</v>
      </c>
      <c r="M10121" s="43">
        <v>11.50035945363048</v>
      </c>
      <c r="N10121" s="43">
        <v>5.583790244706659</v>
      </c>
      <c r="O10121" s="43">
        <v>5.1527895024603607</v>
      </c>
      <c r="P10121" s="268"/>
      <c r="Q10121" s="268"/>
      <c r="R10121" s="268">
        <v>1</v>
      </c>
    </row>
    <row r="10122" spans="1:18" ht="24">
      <c r="A10122" s="264">
        <v>14</v>
      </c>
      <c r="B10122" s="261" t="s">
        <v>18534</v>
      </c>
      <c r="C10122" s="265" t="s">
        <v>18535</v>
      </c>
      <c r="D10122" s="266">
        <v>22510.67</v>
      </c>
      <c r="E10122" s="266">
        <v>8514.36</v>
      </c>
      <c r="F10122" s="266">
        <v>8811.4599999999991</v>
      </c>
      <c r="G10122" s="266">
        <v>5184.8500000000004</v>
      </c>
      <c r="H10122" s="267">
        <v>173927.84</v>
      </c>
      <c r="I10122" s="267">
        <v>97915.14</v>
      </c>
      <c r="J10122" s="267">
        <v>49200.35</v>
      </c>
      <c r="K10122" s="267">
        <v>26812.35</v>
      </c>
      <c r="L10122" s="43">
        <v>7.7264621621657641</v>
      </c>
      <c r="M10122" s="43">
        <v>11.5</v>
      </c>
      <c r="N10122" s="43">
        <v>5.5836773928497667</v>
      </c>
      <c r="O10122" s="43">
        <v>5.1712875010848913</v>
      </c>
      <c r="P10122" s="268"/>
      <c r="Q10122" s="268"/>
      <c r="R10122" s="268">
        <v>1</v>
      </c>
    </row>
    <row r="10123" spans="1:18" ht="24">
      <c r="A10123" s="264">
        <v>15</v>
      </c>
      <c r="B10123" s="261" t="s">
        <v>18536</v>
      </c>
      <c r="C10123" s="265" t="s">
        <v>18537</v>
      </c>
      <c r="D10123" s="266">
        <v>38958.43</v>
      </c>
      <c r="E10123" s="266">
        <v>11217.6</v>
      </c>
      <c r="F10123" s="266">
        <v>21294.6</v>
      </c>
      <c r="G10123" s="266">
        <v>6446.23</v>
      </c>
      <c r="H10123" s="267">
        <v>281486.92</v>
      </c>
      <c r="I10123" s="267">
        <v>129002.4</v>
      </c>
      <c r="J10123" s="267">
        <v>118667.26</v>
      </c>
      <c r="K10123" s="267">
        <v>33817.26</v>
      </c>
      <c r="L10123" s="43">
        <v>7.2253147778285722</v>
      </c>
      <c r="M10123" s="43">
        <v>11.499999999999998</v>
      </c>
      <c r="N10123" s="43">
        <v>5.5726456472532941</v>
      </c>
      <c r="O10123" s="43">
        <v>5.2460523437730275</v>
      </c>
      <c r="P10123" s="268"/>
      <c r="Q10123" s="268"/>
      <c r="R10123" s="268">
        <v>1</v>
      </c>
    </row>
    <row r="10124" spans="1:18" ht="24">
      <c r="A10124" s="264">
        <v>16</v>
      </c>
      <c r="B10124" s="261" t="s">
        <v>18538</v>
      </c>
      <c r="C10124" s="265" t="s">
        <v>18539</v>
      </c>
      <c r="D10124" s="266">
        <v>45062.92</v>
      </c>
      <c r="E10124" s="266">
        <v>13981.86</v>
      </c>
      <c r="F10124" s="266">
        <v>23812.31</v>
      </c>
      <c r="G10124" s="266">
        <v>7268.75</v>
      </c>
      <c r="H10124" s="267">
        <v>332759.90000000002</v>
      </c>
      <c r="I10124" s="267">
        <v>160796.57999999999</v>
      </c>
      <c r="J10124" s="267">
        <v>132626.1</v>
      </c>
      <c r="K10124" s="267">
        <v>39337.22</v>
      </c>
      <c r="L10124" s="43">
        <v>7.3843394968634977</v>
      </c>
      <c r="M10124" s="43">
        <v>11.5003711952487</v>
      </c>
      <c r="N10124" s="43">
        <v>5.5696444402076066</v>
      </c>
      <c r="O10124" s="43">
        <v>5.4118273430782464</v>
      </c>
      <c r="P10124" s="268"/>
      <c r="Q10124" s="268"/>
      <c r="R10124" s="268">
        <v>1</v>
      </c>
    </row>
    <row r="10125" spans="1:18" ht="24">
      <c r="A10125" s="264">
        <v>17</v>
      </c>
      <c r="B10125" s="261" t="s">
        <v>18540</v>
      </c>
      <c r="C10125" s="265" t="s">
        <v>18541</v>
      </c>
      <c r="D10125" s="266">
        <v>11751.73</v>
      </c>
      <c r="E10125" s="266">
        <v>2330.1999999999998</v>
      </c>
      <c r="F10125" s="266">
        <v>4552.4399999999996</v>
      </c>
      <c r="G10125" s="266">
        <v>4869.09</v>
      </c>
      <c r="H10125" s="267">
        <v>72333.08</v>
      </c>
      <c r="I10125" s="267">
        <v>26797.3</v>
      </c>
      <c r="J10125" s="267">
        <v>23483.360000000001</v>
      </c>
      <c r="K10125" s="267">
        <v>22052.42</v>
      </c>
      <c r="L10125" s="43">
        <v>6.1551005681716653</v>
      </c>
      <c r="M10125" s="43">
        <v>11.5</v>
      </c>
      <c r="N10125" s="43">
        <v>5.1584117528182691</v>
      </c>
      <c r="O10125" s="43">
        <v>4.5290639524017831</v>
      </c>
      <c r="P10125" s="268"/>
      <c r="Q10125" s="268"/>
      <c r="R10125" s="268">
        <v>1</v>
      </c>
    </row>
    <row r="10126" spans="1:18" ht="24">
      <c r="A10126" s="264">
        <v>18</v>
      </c>
      <c r="B10126" s="261" t="s">
        <v>18542</v>
      </c>
      <c r="C10126" s="265" t="s">
        <v>18543</v>
      </c>
      <c r="D10126" s="266">
        <v>12623.18</v>
      </c>
      <c r="E10126" s="266">
        <v>5116.32</v>
      </c>
      <c r="F10126" s="266">
        <v>2482.21</v>
      </c>
      <c r="G10126" s="266">
        <v>5024.6499999999996</v>
      </c>
      <c r="H10126" s="267">
        <v>95947.4</v>
      </c>
      <c r="I10126" s="267">
        <v>58837.68</v>
      </c>
      <c r="J10126" s="267">
        <v>14356.69</v>
      </c>
      <c r="K10126" s="267">
        <v>22753.03</v>
      </c>
      <c r="L10126" s="43">
        <v>7.6008897916372886</v>
      </c>
      <c r="M10126" s="43">
        <v>11.5</v>
      </c>
      <c r="N10126" s="43">
        <v>5.7838337610435859</v>
      </c>
      <c r="O10126" s="43">
        <v>4.5282815718507754</v>
      </c>
      <c r="P10126" s="268"/>
      <c r="Q10126" s="268"/>
      <c r="R10126" s="268">
        <v>1</v>
      </c>
    </row>
    <row r="10127" spans="1:18" ht="24">
      <c r="A10127" s="264">
        <v>19</v>
      </c>
      <c r="B10127" s="261" t="s">
        <v>18544</v>
      </c>
      <c r="C10127" s="265" t="s">
        <v>18545</v>
      </c>
      <c r="D10127" s="266">
        <v>8662.64</v>
      </c>
      <c r="E10127" s="266">
        <v>1778.82</v>
      </c>
      <c r="F10127" s="266">
        <v>2968.09</v>
      </c>
      <c r="G10127" s="266">
        <v>3915.73</v>
      </c>
      <c r="H10127" s="267">
        <v>53149.1</v>
      </c>
      <c r="I10127" s="267">
        <v>20457.12</v>
      </c>
      <c r="J10127" s="267">
        <v>16783</v>
      </c>
      <c r="K10127" s="267">
        <v>15908.98</v>
      </c>
      <c r="L10127" s="43">
        <v>6.1354390809268304</v>
      </c>
      <c r="M10127" s="43">
        <v>11.500387897595035</v>
      </c>
      <c r="N10127" s="43">
        <v>5.6544781324016453</v>
      </c>
      <c r="O10127" s="43">
        <v>4.0628388576331869</v>
      </c>
      <c r="P10127" s="268"/>
      <c r="Q10127" s="268"/>
      <c r="R10127" s="268">
        <v>1</v>
      </c>
    </row>
    <row r="10128" spans="1:18" ht="24">
      <c r="A10128" s="264">
        <v>20</v>
      </c>
      <c r="B10128" s="261" t="s">
        <v>18546</v>
      </c>
      <c r="C10128" s="265" t="s">
        <v>18547</v>
      </c>
      <c r="D10128" s="266">
        <v>2343.0700000000002</v>
      </c>
      <c r="E10128" s="266">
        <v>1626</v>
      </c>
      <c r="F10128" s="266">
        <v>570.94000000000005</v>
      </c>
      <c r="G10128" s="266">
        <v>146.13</v>
      </c>
      <c r="H10128" s="267">
        <v>23089.65</v>
      </c>
      <c r="I10128" s="267">
        <v>18699</v>
      </c>
      <c r="J10128" s="267">
        <v>3276.57</v>
      </c>
      <c r="K10128" s="267">
        <v>1114.08</v>
      </c>
      <c r="L10128" s="43">
        <v>9.8544431024254511</v>
      </c>
      <c r="M10128" s="43">
        <v>11.5</v>
      </c>
      <c r="N10128" s="43">
        <v>5.7389042631449891</v>
      </c>
      <c r="O10128" s="43">
        <v>7.6238965304865527</v>
      </c>
      <c r="P10128" s="268"/>
      <c r="Q10128" s="268"/>
      <c r="R10128" s="268">
        <v>1</v>
      </c>
    </row>
    <row r="10129" spans="1:18" ht="24">
      <c r="A10129" s="264">
        <v>21</v>
      </c>
      <c r="B10129" s="261" t="s">
        <v>18548</v>
      </c>
      <c r="C10129" s="265" t="s">
        <v>18549</v>
      </c>
      <c r="D10129" s="266">
        <v>4055.9</v>
      </c>
      <c r="E10129" s="266">
        <v>1623.56</v>
      </c>
      <c r="F10129" s="266">
        <v>1320.63</v>
      </c>
      <c r="G10129" s="266">
        <v>1111.71</v>
      </c>
      <c r="H10129" s="267">
        <v>30534.84</v>
      </c>
      <c r="I10129" s="267">
        <v>18671.68</v>
      </c>
      <c r="J10129" s="267">
        <v>7197.29</v>
      </c>
      <c r="K10129" s="267">
        <v>4665.87</v>
      </c>
      <c r="L10129" s="43">
        <v>7.5284992233536325</v>
      </c>
      <c r="M10129" s="43">
        <v>11.500455788514129</v>
      </c>
      <c r="N10129" s="43">
        <v>5.4498913397393665</v>
      </c>
      <c r="O10129" s="43">
        <v>4.197020805785681</v>
      </c>
      <c r="P10129" s="268"/>
      <c r="Q10129" s="268"/>
      <c r="R10129" s="268">
        <v>1</v>
      </c>
    </row>
    <row r="10130" spans="1:18" ht="24">
      <c r="A10130" s="264">
        <v>22</v>
      </c>
      <c r="B10130" s="261" t="s">
        <v>18550</v>
      </c>
      <c r="C10130" s="265" t="s">
        <v>18551</v>
      </c>
      <c r="D10130" s="266">
        <v>6998.55</v>
      </c>
      <c r="E10130" s="266">
        <v>2183.0300000000002</v>
      </c>
      <c r="F10130" s="266">
        <v>3537.16</v>
      </c>
      <c r="G10130" s="266">
        <v>1278.3599999999999</v>
      </c>
      <c r="H10130" s="267">
        <v>51622.17</v>
      </c>
      <c r="I10130" s="267">
        <v>25105.84</v>
      </c>
      <c r="J10130" s="267">
        <v>20177.46</v>
      </c>
      <c r="K10130" s="267">
        <v>6338.87</v>
      </c>
      <c r="L10130" s="43">
        <v>7.3761236256081615</v>
      </c>
      <c r="M10130" s="43">
        <v>11.500455788514129</v>
      </c>
      <c r="N10130" s="43">
        <v>5.7044238880910108</v>
      </c>
      <c r="O10130" s="43">
        <v>4.9585953878406714</v>
      </c>
      <c r="P10130" s="268"/>
      <c r="Q10130" s="268"/>
      <c r="R10130" s="268">
        <v>1</v>
      </c>
    </row>
    <row r="10131" spans="1:18" ht="24">
      <c r="A10131" s="264">
        <v>23</v>
      </c>
      <c r="B10131" s="261" t="s">
        <v>18552</v>
      </c>
      <c r="C10131" s="265" t="s">
        <v>18553</v>
      </c>
      <c r="D10131" s="266">
        <v>11331.48</v>
      </c>
      <c r="E10131" s="266">
        <v>3170.33</v>
      </c>
      <c r="F10131" s="266">
        <v>5420.12</v>
      </c>
      <c r="G10131" s="266">
        <v>2741.03</v>
      </c>
      <c r="H10131" s="267">
        <v>79728.67</v>
      </c>
      <c r="I10131" s="267">
        <v>36460.239999999998</v>
      </c>
      <c r="J10131" s="267">
        <v>30585.62</v>
      </c>
      <c r="K10131" s="267">
        <v>12682.81</v>
      </c>
      <c r="L10131" s="43">
        <v>7.0360332454366068</v>
      </c>
      <c r="M10131" s="43">
        <v>11.500455788514129</v>
      </c>
      <c r="N10131" s="43">
        <v>5.642978384242415</v>
      </c>
      <c r="O10131" s="43">
        <v>4.6270234182041055</v>
      </c>
      <c r="P10131" s="268"/>
      <c r="Q10131" s="268"/>
      <c r="R10131" s="268">
        <v>1</v>
      </c>
    </row>
    <row r="10132" spans="1:18" ht="24">
      <c r="A10132" s="264">
        <v>24</v>
      </c>
      <c r="B10132" s="261" t="s">
        <v>18554</v>
      </c>
      <c r="C10132" s="265" t="s">
        <v>18555</v>
      </c>
      <c r="D10132" s="266">
        <v>24714.59</v>
      </c>
      <c r="E10132" s="266">
        <v>10056.6</v>
      </c>
      <c r="F10132" s="266">
        <v>10343.01</v>
      </c>
      <c r="G10132" s="266">
        <v>4314.9799999999996</v>
      </c>
      <c r="H10132" s="267">
        <v>186844.31</v>
      </c>
      <c r="I10132" s="267">
        <v>115650.9</v>
      </c>
      <c r="J10132" s="267">
        <v>52402.67</v>
      </c>
      <c r="K10132" s="267">
        <v>18790.740000000002</v>
      </c>
      <c r="L10132" s="43">
        <v>7.5600813122936694</v>
      </c>
      <c r="M10132" s="43">
        <v>11.499999999999998</v>
      </c>
      <c r="N10132" s="43">
        <v>5.0664816141529396</v>
      </c>
      <c r="O10132" s="43">
        <v>4.3547687358921721</v>
      </c>
      <c r="P10132" s="268"/>
      <c r="Q10132" s="268"/>
      <c r="R10132" s="268">
        <v>1</v>
      </c>
    </row>
    <row r="10133" spans="1:18" ht="24">
      <c r="A10133" s="264">
        <v>25</v>
      </c>
      <c r="B10133" s="261" t="s">
        <v>18556</v>
      </c>
      <c r="C10133" s="265" t="s">
        <v>18557</v>
      </c>
      <c r="D10133" s="266">
        <v>54182.15</v>
      </c>
      <c r="E10133" s="266">
        <v>12336.96</v>
      </c>
      <c r="F10133" s="266">
        <v>32563.99</v>
      </c>
      <c r="G10133" s="266">
        <v>9281.2000000000007</v>
      </c>
      <c r="H10133" s="267">
        <v>341127.09</v>
      </c>
      <c r="I10133" s="267">
        <v>141875.04</v>
      </c>
      <c r="J10133" s="267">
        <v>159267.54</v>
      </c>
      <c r="K10133" s="267">
        <v>39984.51</v>
      </c>
      <c r="L10133" s="43">
        <v>6.2959312245822661</v>
      </c>
      <c r="M10133" s="43">
        <v>11.500000000000002</v>
      </c>
      <c r="N10133" s="43">
        <v>4.8909098670033986</v>
      </c>
      <c r="O10133" s="43">
        <v>4.3081185622548803</v>
      </c>
      <c r="P10133" s="268"/>
      <c r="Q10133" s="268"/>
      <c r="R10133" s="268">
        <v>1</v>
      </c>
    </row>
    <row r="10134" spans="1:18" ht="24">
      <c r="A10134" s="264">
        <v>26</v>
      </c>
      <c r="B10134" s="261" t="s">
        <v>18558</v>
      </c>
      <c r="C10134" s="265" t="s">
        <v>18559</v>
      </c>
      <c r="D10134" s="266">
        <v>87523.44</v>
      </c>
      <c r="E10134" s="266">
        <v>18437.28</v>
      </c>
      <c r="F10134" s="266">
        <v>54284.63</v>
      </c>
      <c r="G10134" s="266">
        <v>14801.53</v>
      </c>
      <c r="H10134" s="267">
        <v>537627.68999999994</v>
      </c>
      <c r="I10134" s="267">
        <v>212028.72</v>
      </c>
      <c r="J10134" s="267">
        <v>261478.1</v>
      </c>
      <c r="K10134" s="267">
        <v>64120.87</v>
      </c>
      <c r="L10134" s="43">
        <v>6.142670923354931</v>
      </c>
      <c r="M10134" s="43">
        <v>11.5</v>
      </c>
      <c r="N10134" s="43">
        <v>4.8167980513084458</v>
      </c>
      <c r="O10134" s="43">
        <v>4.3320433765968787</v>
      </c>
      <c r="P10134" s="268"/>
      <c r="Q10134" s="268"/>
      <c r="R10134" s="268">
        <v>1</v>
      </c>
    </row>
    <row r="10135" spans="1:18" ht="24">
      <c r="A10135" s="264">
        <v>27</v>
      </c>
      <c r="B10135" s="261" t="s">
        <v>18560</v>
      </c>
      <c r="C10135" s="265" t="s">
        <v>18561</v>
      </c>
      <c r="D10135" s="266">
        <v>2440.21</v>
      </c>
      <c r="E10135" s="266">
        <v>1735.02</v>
      </c>
      <c r="F10135" s="266">
        <v>620.52</v>
      </c>
      <c r="G10135" s="266">
        <v>84.67</v>
      </c>
      <c r="H10135" s="267">
        <v>24436.7</v>
      </c>
      <c r="I10135" s="267">
        <v>19953.54</v>
      </c>
      <c r="J10135" s="267">
        <v>3661.83</v>
      </c>
      <c r="K10135" s="267">
        <v>821.33</v>
      </c>
      <c r="L10135" s="43">
        <v>10.014179107535828</v>
      </c>
      <c r="M10135" s="43">
        <v>11.50046685340803</v>
      </c>
      <c r="N10135" s="43">
        <v>5.901228002320634</v>
      </c>
      <c r="O10135" s="43">
        <v>9.7003661273178228</v>
      </c>
      <c r="P10135" s="268"/>
      <c r="Q10135" s="268"/>
      <c r="R10135" s="268">
        <v>1</v>
      </c>
    </row>
    <row r="10136" spans="1:18" ht="24">
      <c r="A10136" s="264">
        <v>28</v>
      </c>
      <c r="B10136" s="261" t="s">
        <v>18562</v>
      </c>
      <c r="C10136" s="265" t="s">
        <v>18563</v>
      </c>
      <c r="D10136" s="266">
        <v>3556.87</v>
      </c>
      <c r="E10136" s="266">
        <v>2545.04</v>
      </c>
      <c r="F10136" s="266">
        <v>870.17</v>
      </c>
      <c r="G10136" s="266">
        <v>141.66</v>
      </c>
      <c r="H10136" s="267">
        <v>35756.51</v>
      </c>
      <c r="I10136" s="267">
        <v>29269.119999999999</v>
      </c>
      <c r="J10136" s="267">
        <v>5134.62</v>
      </c>
      <c r="K10136" s="267">
        <v>1352.77</v>
      </c>
      <c r="L10136" s="43">
        <v>10.052802042245009</v>
      </c>
      <c r="M10136" s="43">
        <v>11.500455788514129</v>
      </c>
      <c r="N10136" s="43">
        <v>5.9007090568509604</v>
      </c>
      <c r="O10136" s="43">
        <v>9.5494140900748263</v>
      </c>
      <c r="P10136" s="268"/>
      <c r="Q10136" s="268"/>
      <c r="R10136" s="268">
        <v>1</v>
      </c>
    </row>
    <row r="10137" spans="1:18" ht="24">
      <c r="A10137" s="264">
        <v>29</v>
      </c>
      <c r="B10137" s="261" t="s">
        <v>18564</v>
      </c>
      <c r="C10137" s="265" t="s">
        <v>18565</v>
      </c>
      <c r="D10137" s="266">
        <v>4438.83</v>
      </c>
      <c r="E10137" s="266">
        <v>3052.5</v>
      </c>
      <c r="F10137" s="266">
        <v>1176.03</v>
      </c>
      <c r="G10137" s="266">
        <v>210.3</v>
      </c>
      <c r="H10137" s="267">
        <v>44005.08</v>
      </c>
      <c r="I10137" s="267">
        <v>35103.75</v>
      </c>
      <c r="J10137" s="267">
        <v>6937.95</v>
      </c>
      <c r="K10137" s="267">
        <v>1963.38</v>
      </c>
      <c r="L10137" s="43">
        <v>9.91366643912923</v>
      </c>
      <c r="M10137" s="43">
        <v>11.5</v>
      </c>
      <c r="N10137" s="43">
        <v>5.8994668503354504</v>
      </c>
      <c r="O10137" s="43">
        <v>9.3360912981455062</v>
      </c>
      <c r="P10137" s="268"/>
      <c r="Q10137" s="268"/>
      <c r="R10137" s="268">
        <v>1</v>
      </c>
    </row>
    <row r="10138" spans="1:18" ht="12.75" customHeight="1">
      <c r="A10138" s="628" t="s">
        <v>18566</v>
      </c>
      <c r="B10138" s="629"/>
      <c r="C10138" s="629"/>
      <c r="D10138" s="629"/>
      <c r="E10138" s="629"/>
      <c r="F10138" s="629"/>
      <c r="G10138" s="629"/>
      <c r="H10138" s="629"/>
      <c r="I10138" s="629"/>
      <c r="J10138" s="629"/>
      <c r="K10138" s="629"/>
      <c r="L10138" s="629"/>
      <c r="M10138" s="629"/>
      <c r="N10138" s="629"/>
      <c r="O10138" s="629"/>
      <c r="P10138" s="629"/>
      <c r="Q10138" s="629"/>
      <c r="R10138" s="629"/>
    </row>
    <row r="10139" spans="1:18" ht="24">
      <c r="A10139" s="264">
        <v>30</v>
      </c>
      <c r="B10139" s="261" t="s">
        <v>18567</v>
      </c>
      <c r="C10139" s="265" t="s">
        <v>18568</v>
      </c>
      <c r="D10139" s="266">
        <v>12354.79</v>
      </c>
      <c r="E10139" s="266">
        <v>2808.3</v>
      </c>
      <c r="F10139" s="266">
        <v>5943.3</v>
      </c>
      <c r="G10139" s="266">
        <v>3603.19</v>
      </c>
      <c r="H10139" s="267">
        <v>80390.929999999993</v>
      </c>
      <c r="I10139" s="267">
        <v>32295.45</v>
      </c>
      <c r="J10139" s="267">
        <v>32748.6</v>
      </c>
      <c r="K10139" s="267">
        <v>15346.88</v>
      </c>
      <c r="L10139" s="43">
        <v>6.5068633299311429</v>
      </c>
      <c r="M10139" s="43">
        <v>11.5</v>
      </c>
      <c r="N10139" s="43">
        <v>5.5101711170561805</v>
      </c>
      <c r="O10139" s="43">
        <v>4.2592480551955347</v>
      </c>
      <c r="P10139" s="268"/>
      <c r="Q10139" s="268"/>
      <c r="R10139" s="268">
        <v>2</v>
      </c>
    </row>
    <row r="10140" spans="1:18" ht="24">
      <c r="A10140" s="264">
        <v>31</v>
      </c>
      <c r="B10140" s="261" t="s">
        <v>18569</v>
      </c>
      <c r="C10140" s="265" t="s">
        <v>18570</v>
      </c>
      <c r="D10140" s="266">
        <v>18289.14</v>
      </c>
      <c r="E10140" s="266">
        <v>5838.6</v>
      </c>
      <c r="F10140" s="266">
        <v>3889.29</v>
      </c>
      <c r="G10140" s="266">
        <v>8561.25</v>
      </c>
      <c r="H10140" s="267">
        <v>123013.51</v>
      </c>
      <c r="I10140" s="267">
        <v>67143.899999999994</v>
      </c>
      <c r="J10140" s="267">
        <v>22393.360000000001</v>
      </c>
      <c r="K10140" s="267">
        <v>33476.25</v>
      </c>
      <c r="L10140" s="43">
        <v>6.7260412463352566</v>
      </c>
      <c r="M10140" s="43">
        <v>11.499999999999998</v>
      </c>
      <c r="N10140" s="43">
        <v>5.7576987059334739</v>
      </c>
      <c r="O10140" s="43">
        <v>3.9102058694699955</v>
      </c>
      <c r="P10140" s="268"/>
      <c r="Q10140" s="268"/>
      <c r="R10140" s="268">
        <v>2</v>
      </c>
    </row>
    <row r="10141" spans="1:18" ht="24">
      <c r="A10141" s="264">
        <v>32</v>
      </c>
      <c r="B10141" s="261" t="s">
        <v>18571</v>
      </c>
      <c r="C10141" s="265" t="s">
        <v>18572</v>
      </c>
      <c r="D10141" s="266">
        <v>18263.64</v>
      </c>
      <c r="E10141" s="266">
        <v>3543.15</v>
      </c>
      <c r="F10141" s="266">
        <v>12450.1</v>
      </c>
      <c r="G10141" s="266">
        <v>2270.39</v>
      </c>
      <c r="H10141" s="267">
        <v>119412.27</v>
      </c>
      <c r="I10141" s="267">
        <v>40747.72</v>
      </c>
      <c r="J10141" s="267">
        <v>65695.399999999994</v>
      </c>
      <c r="K10141" s="267">
        <v>12969.15</v>
      </c>
      <c r="L10141" s="43">
        <v>6.5382514110002177</v>
      </c>
      <c r="M10141" s="43">
        <v>11.50042194092827</v>
      </c>
      <c r="N10141" s="43">
        <v>5.2766965727182908</v>
      </c>
      <c r="O10141" s="43">
        <v>5.7123005298649137</v>
      </c>
      <c r="P10141" s="268"/>
      <c r="Q10141" s="268"/>
      <c r="R10141" s="268">
        <v>2</v>
      </c>
    </row>
    <row r="10142" spans="1:18" ht="24">
      <c r="A10142" s="264">
        <v>33</v>
      </c>
      <c r="B10142" s="261" t="s">
        <v>18573</v>
      </c>
      <c r="C10142" s="265" t="s">
        <v>18574</v>
      </c>
      <c r="D10142" s="266">
        <v>1407.41</v>
      </c>
      <c r="E10142" s="266">
        <v>362.38</v>
      </c>
      <c r="F10142" s="266">
        <v>499.62</v>
      </c>
      <c r="G10142" s="266">
        <v>545.41</v>
      </c>
      <c r="H10142" s="267">
        <v>9648.94</v>
      </c>
      <c r="I10142" s="267">
        <v>4167.42</v>
      </c>
      <c r="J10142" s="267">
        <v>3092.09</v>
      </c>
      <c r="K10142" s="267">
        <v>2389.4299999999998</v>
      </c>
      <c r="L10142" s="43">
        <v>6.8558131603441783</v>
      </c>
      <c r="M10142" s="43">
        <v>11.500137976709532</v>
      </c>
      <c r="N10142" s="43">
        <v>6.1888835514991394</v>
      </c>
      <c r="O10142" s="43">
        <v>4.38097944665481</v>
      </c>
      <c r="P10142" s="268"/>
      <c r="Q10142" s="268"/>
      <c r="R10142" s="268">
        <v>2</v>
      </c>
    </row>
    <row r="10143" spans="1:18" ht="24">
      <c r="A10143" s="264">
        <v>34</v>
      </c>
      <c r="B10143" s="261" t="s">
        <v>18575</v>
      </c>
      <c r="C10143" s="265" t="s">
        <v>18576</v>
      </c>
      <c r="D10143" s="266">
        <v>2648</v>
      </c>
      <c r="E10143" s="266">
        <v>375.17</v>
      </c>
      <c r="F10143" s="266">
        <v>1318.15</v>
      </c>
      <c r="G10143" s="266">
        <v>954.68</v>
      </c>
      <c r="H10143" s="267">
        <v>18031.18</v>
      </c>
      <c r="I10143" s="267">
        <v>4314.67</v>
      </c>
      <c r="J10143" s="267">
        <v>6466.14</v>
      </c>
      <c r="K10143" s="267">
        <v>7250.37</v>
      </c>
      <c r="L10143" s="43">
        <v>6.809358006042296</v>
      </c>
      <c r="M10143" s="43">
        <v>11.500573073539995</v>
      </c>
      <c r="N10143" s="43">
        <v>4.905465994006752</v>
      </c>
      <c r="O10143" s="43">
        <v>7.5945552436418486</v>
      </c>
      <c r="P10143" s="268"/>
      <c r="Q10143" s="268"/>
      <c r="R10143" s="268">
        <v>2</v>
      </c>
    </row>
    <row r="10144" spans="1:18" ht="24">
      <c r="A10144" s="264">
        <v>35</v>
      </c>
      <c r="B10144" s="261" t="s">
        <v>18577</v>
      </c>
      <c r="C10144" s="265" t="s">
        <v>18578</v>
      </c>
      <c r="D10144" s="266">
        <v>1088.01</v>
      </c>
      <c r="E10144" s="266">
        <v>212.44</v>
      </c>
      <c r="F10144" s="266">
        <v>658.92</v>
      </c>
      <c r="G10144" s="266">
        <v>216.65</v>
      </c>
      <c r="H10144" s="267">
        <v>7972.09</v>
      </c>
      <c r="I10144" s="267">
        <v>2443.0100000000002</v>
      </c>
      <c r="J10144" s="267">
        <v>3684.5</v>
      </c>
      <c r="K10144" s="267">
        <v>1844.58</v>
      </c>
      <c r="L10144" s="43">
        <v>7.3272212571575634</v>
      </c>
      <c r="M10144" s="43">
        <v>11.499764639427605</v>
      </c>
      <c r="N10144" s="43">
        <v>5.5917258544284589</v>
      </c>
      <c r="O10144" s="43">
        <v>8.5141010846988223</v>
      </c>
      <c r="P10144" s="268"/>
      <c r="Q10144" s="268"/>
      <c r="R10144" s="268">
        <v>2</v>
      </c>
    </row>
    <row r="10145" spans="1:18" ht="24">
      <c r="A10145" s="264">
        <v>36</v>
      </c>
      <c r="B10145" s="261" t="s">
        <v>18579</v>
      </c>
      <c r="C10145" s="265" t="s">
        <v>18580</v>
      </c>
      <c r="D10145" s="266">
        <v>915.48</v>
      </c>
      <c r="E10145" s="266">
        <v>580.65</v>
      </c>
      <c r="F10145" s="266">
        <v>291.27</v>
      </c>
      <c r="G10145" s="266">
        <v>43.56</v>
      </c>
      <c r="H10145" s="267">
        <v>8844.3700000000008</v>
      </c>
      <c r="I10145" s="267">
        <v>6677.72</v>
      </c>
      <c r="J10145" s="267">
        <v>1761.01</v>
      </c>
      <c r="K10145" s="267">
        <v>405.64</v>
      </c>
      <c r="L10145" s="43">
        <v>9.6609101236509822</v>
      </c>
      <c r="M10145" s="43">
        <v>11.500421940928272</v>
      </c>
      <c r="N10145" s="43">
        <v>6.045971092113847</v>
      </c>
      <c r="O10145" s="43">
        <v>9.3122130394857656</v>
      </c>
      <c r="P10145" s="268"/>
      <c r="Q10145" s="268"/>
      <c r="R10145" s="268">
        <v>2</v>
      </c>
    </row>
    <row r="10146" spans="1:18" ht="24">
      <c r="A10146" s="264">
        <v>37</v>
      </c>
      <c r="B10146" s="261" t="s">
        <v>18581</v>
      </c>
      <c r="C10146" s="265" t="s">
        <v>18582</v>
      </c>
      <c r="D10146" s="266">
        <v>21942.43</v>
      </c>
      <c r="E10146" s="266">
        <v>6429.76</v>
      </c>
      <c r="F10146" s="266">
        <v>14917.17</v>
      </c>
      <c r="G10146" s="266">
        <v>595.5</v>
      </c>
      <c r="H10146" s="267">
        <v>155230.57999999999</v>
      </c>
      <c r="I10146" s="267">
        <v>73942.240000000005</v>
      </c>
      <c r="J10146" s="267">
        <v>75861.759999999995</v>
      </c>
      <c r="K10146" s="267">
        <v>5426.58</v>
      </c>
      <c r="L10146" s="43">
        <v>7.0744479986947653</v>
      </c>
      <c r="M10146" s="43">
        <v>11.5</v>
      </c>
      <c r="N10146" s="43">
        <v>5.0855329797810169</v>
      </c>
      <c r="O10146" s="43">
        <v>9.1126448362720396</v>
      </c>
      <c r="P10146" s="268"/>
      <c r="Q10146" s="268"/>
      <c r="R10146" s="268">
        <v>2</v>
      </c>
    </row>
    <row r="10147" spans="1:18" ht="24">
      <c r="A10147" s="264">
        <v>38</v>
      </c>
      <c r="B10147" s="261" t="s">
        <v>18583</v>
      </c>
      <c r="C10147" s="265" t="s">
        <v>18584</v>
      </c>
      <c r="D10147" s="266">
        <v>4455.3100000000004</v>
      </c>
      <c r="E10147" s="266">
        <v>1272.32</v>
      </c>
      <c r="F10147" s="266">
        <v>2954.27</v>
      </c>
      <c r="G10147" s="266">
        <v>228.72</v>
      </c>
      <c r="H10147" s="267">
        <v>34072.22</v>
      </c>
      <c r="I10147" s="267">
        <v>14631.68</v>
      </c>
      <c r="J10147" s="267">
        <v>17426.95</v>
      </c>
      <c r="K10147" s="267">
        <v>2013.59</v>
      </c>
      <c r="L10147" s="43">
        <v>7.6475531444501055</v>
      </c>
      <c r="M10147" s="43">
        <v>11.5</v>
      </c>
      <c r="N10147" s="43">
        <v>5.8989022668882667</v>
      </c>
      <c r="O10147" s="43">
        <v>8.8037338230150404</v>
      </c>
      <c r="P10147" s="268"/>
      <c r="Q10147" s="268"/>
      <c r="R10147" s="268">
        <v>2</v>
      </c>
    </row>
    <row r="10148" spans="1:18" ht="36">
      <c r="A10148" s="264">
        <v>39</v>
      </c>
      <c r="B10148" s="261" t="s">
        <v>18585</v>
      </c>
      <c r="C10148" s="265" t="s">
        <v>18586</v>
      </c>
      <c r="D10148" s="266">
        <v>27318.26</v>
      </c>
      <c r="E10148" s="266">
        <v>5053.1099999999997</v>
      </c>
      <c r="F10148" s="266">
        <v>15200.79</v>
      </c>
      <c r="G10148" s="266">
        <v>7064.36</v>
      </c>
      <c r="H10148" s="267">
        <v>160951.10999999999</v>
      </c>
      <c r="I10148" s="267">
        <v>58112.93</v>
      </c>
      <c r="J10148" s="267">
        <v>75872.429999999993</v>
      </c>
      <c r="K10148" s="267">
        <v>26965.75</v>
      </c>
      <c r="L10148" s="43">
        <v>5.8917043032755378</v>
      </c>
      <c r="M10148" s="43">
        <v>11.500428449014569</v>
      </c>
      <c r="N10148" s="43">
        <v>4.9913478181068216</v>
      </c>
      <c r="O10148" s="43">
        <v>3.8171539955494906</v>
      </c>
      <c r="P10148" s="268"/>
      <c r="Q10148" s="268"/>
      <c r="R10148" s="268">
        <v>2</v>
      </c>
    </row>
    <row r="10149" spans="1:18" ht="36">
      <c r="A10149" s="264">
        <v>40</v>
      </c>
      <c r="B10149" s="261" t="s">
        <v>18587</v>
      </c>
      <c r="C10149" s="265" t="s">
        <v>18588</v>
      </c>
      <c r="D10149" s="266">
        <v>50649.97</v>
      </c>
      <c r="E10149" s="266">
        <v>9100.7999999999993</v>
      </c>
      <c r="F10149" s="266">
        <v>29104.19</v>
      </c>
      <c r="G10149" s="266">
        <v>12444.98</v>
      </c>
      <c r="H10149" s="267">
        <v>296461.19</v>
      </c>
      <c r="I10149" s="267">
        <v>104663.03999999999</v>
      </c>
      <c r="J10149" s="267">
        <v>144143.97</v>
      </c>
      <c r="K10149" s="267">
        <v>47654.18</v>
      </c>
      <c r="L10149" s="43">
        <v>5.8531365369021939</v>
      </c>
      <c r="M10149" s="43">
        <v>11.50042194092827</v>
      </c>
      <c r="N10149" s="43">
        <v>4.9526879119466996</v>
      </c>
      <c r="O10149" s="43">
        <v>3.8291889581180527</v>
      </c>
      <c r="P10149" s="268"/>
      <c r="Q10149" s="268"/>
      <c r="R10149" s="268">
        <v>2</v>
      </c>
    </row>
    <row r="10150" spans="1:18" ht="24">
      <c r="A10150" s="264">
        <v>41</v>
      </c>
      <c r="B10150" s="261" t="s">
        <v>18589</v>
      </c>
      <c r="C10150" s="265" t="s">
        <v>18590</v>
      </c>
      <c r="D10150" s="266">
        <v>53329.81</v>
      </c>
      <c r="E10150" s="266">
        <v>7398.78</v>
      </c>
      <c r="F10150" s="266">
        <v>45134.45</v>
      </c>
      <c r="G10150" s="266">
        <v>796.58</v>
      </c>
      <c r="H10150" s="267">
        <v>306244.21000000002</v>
      </c>
      <c r="I10150" s="267">
        <v>85089.14</v>
      </c>
      <c r="J10150" s="267">
        <v>217005.64</v>
      </c>
      <c r="K10150" s="267">
        <v>4149.43</v>
      </c>
      <c r="L10150" s="43">
        <v>5.7424582986513553</v>
      </c>
      <c r="M10150" s="43">
        <v>11.500428449014567</v>
      </c>
      <c r="N10150" s="43">
        <v>4.8079823726665554</v>
      </c>
      <c r="O10150" s="43">
        <v>5.2090562153204951</v>
      </c>
      <c r="P10150" s="268"/>
      <c r="Q10150" s="268"/>
      <c r="R10150" s="268">
        <v>2</v>
      </c>
    </row>
    <row r="10151" spans="1:18" ht="24">
      <c r="A10151" s="264">
        <v>42</v>
      </c>
      <c r="B10151" s="261" t="s">
        <v>18591</v>
      </c>
      <c r="C10151" s="265" t="s">
        <v>18592</v>
      </c>
      <c r="D10151" s="266">
        <v>129601.93</v>
      </c>
      <c r="E10151" s="266">
        <v>27946.5</v>
      </c>
      <c r="F10151" s="266">
        <v>86514.37</v>
      </c>
      <c r="G10151" s="266">
        <v>15141.06</v>
      </c>
      <c r="H10151" s="267">
        <v>881710.45</v>
      </c>
      <c r="I10151" s="267">
        <v>321384.75</v>
      </c>
      <c r="J10151" s="267">
        <v>487865.49</v>
      </c>
      <c r="K10151" s="267">
        <v>72460.210000000006</v>
      </c>
      <c r="L10151" s="43">
        <v>6.8032200600716362</v>
      </c>
      <c r="M10151" s="43">
        <v>11.5</v>
      </c>
      <c r="N10151" s="43">
        <v>5.6391266560688127</v>
      </c>
      <c r="O10151" s="43">
        <v>4.7856761679829551</v>
      </c>
      <c r="P10151" s="268"/>
      <c r="Q10151" s="268"/>
      <c r="R10151" s="268">
        <v>2</v>
      </c>
    </row>
    <row r="10152" spans="1:18" ht="12.75" customHeight="1">
      <c r="A10152" s="628" t="s">
        <v>18593</v>
      </c>
      <c r="B10152" s="629"/>
      <c r="C10152" s="629"/>
      <c r="D10152" s="629"/>
      <c r="E10152" s="629"/>
      <c r="F10152" s="629"/>
      <c r="G10152" s="629"/>
      <c r="H10152" s="629"/>
      <c r="I10152" s="629"/>
      <c r="J10152" s="629"/>
      <c r="K10152" s="629"/>
      <c r="L10152" s="629"/>
      <c r="M10152" s="629"/>
      <c r="N10152" s="629"/>
      <c r="O10152" s="629"/>
      <c r="P10152" s="629"/>
      <c r="Q10152" s="629"/>
      <c r="R10152" s="629"/>
    </row>
    <row r="10153" spans="1:18" ht="24">
      <c r="A10153" s="264">
        <v>43</v>
      </c>
      <c r="B10153" s="261" t="s">
        <v>18594</v>
      </c>
      <c r="C10153" s="265" t="s">
        <v>18595</v>
      </c>
      <c r="D10153" s="266">
        <v>1384.33</v>
      </c>
      <c r="E10153" s="266">
        <v>626.04</v>
      </c>
      <c r="F10153" s="266">
        <v>654.73</v>
      </c>
      <c r="G10153" s="266">
        <v>103.56</v>
      </c>
      <c r="H10153" s="267">
        <v>12098.47</v>
      </c>
      <c r="I10153" s="267">
        <v>7199.46</v>
      </c>
      <c r="J10153" s="267">
        <v>3975.01</v>
      </c>
      <c r="K10153" s="267">
        <v>924</v>
      </c>
      <c r="L10153" s="43">
        <v>8.7395852145081019</v>
      </c>
      <c r="M10153" s="43">
        <v>11.5</v>
      </c>
      <c r="N10153" s="43">
        <v>6.0712201976387217</v>
      </c>
      <c r="O10153" s="43">
        <v>8.9223638470451903</v>
      </c>
      <c r="P10153" s="268"/>
      <c r="Q10153" s="268"/>
      <c r="R10153" s="268">
        <v>3</v>
      </c>
    </row>
    <row r="10154" spans="1:18" ht="24">
      <c r="A10154" s="264">
        <v>44</v>
      </c>
      <c r="B10154" s="261" t="s">
        <v>18596</v>
      </c>
      <c r="C10154" s="265" t="s">
        <v>18597</v>
      </c>
      <c r="D10154" s="266">
        <v>5735.73</v>
      </c>
      <c r="E10154" s="266">
        <v>1983.9</v>
      </c>
      <c r="F10154" s="266">
        <v>3376.82</v>
      </c>
      <c r="G10154" s="266">
        <v>375.01</v>
      </c>
      <c r="H10154" s="267">
        <v>46717.96</v>
      </c>
      <c r="I10154" s="267">
        <v>22815.7</v>
      </c>
      <c r="J10154" s="267">
        <v>20603.25</v>
      </c>
      <c r="K10154" s="267">
        <v>3299.01</v>
      </c>
      <c r="L10154" s="43">
        <v>8.1450765639247322</v>
      </c>
      <c r="M10154" s="43">
        <v>11.500428449014567</v>
      </c>
      <c r="N10154" s="43">
        <v>6.1013764429255923</v>
      </c>
      <c r="O10154" s="43">
        <v>8.7971254099890679</v>
      </c>
      <c r="P10154" s="268"/>
      <c r="Q10154" s="268"/>
      <c r="R10154" s="268">
        <v>3</v>
      </c>
    </row>
    <row r="10155" spans="1:18" ht="24">
      <c r="A10155" s="264">
        <v>45</v>
      </c>
      <c r="B10155" s="261" t="s">
        <v>18598</v>
      </c>
      <c r="C10155" s="265" t="s">
        <v>18599</v>
      </c>
      <c r="D10155" s="266">
        <v>6377.21</v>
      </c>
      <c r="E10155" s="266">
        <v>2227.8000000000002</v>
      </c>
      <c r="F10155" s="266">
        <v>3714.19</v>
      </c>
      <c r="G10155" s="266">
        <v>435.22</v>
      </c>
      <c r="H10155" s="267">
        <v>52106.21</v>
      </c>
      <c r="I10155" s="267">
        <v>25620.639999999999</v>
      </c>
      <c r="J10155" s="267">
        <v>22659.69</v>
      </c>
      <c r="K10155" s="267">
        <v>3825.88</v>
      </c>
      <c r="L10155" s="43">
        <v>8.1706906311694301</v>
      </c>
      <c r="M10155" s="43">
        <v>11.500421940928268</v>
      </c>
      <c r="N10155" s="43">
        <v>6.100842983261491</v>
      </c>
      <c r="O10155" s="43">
        <v>8.7906805753412058</v>
      </c>
      <c r="P10155" s="268"/>
      <c r="Q10155" s="268"/>
      <c r="R10155" s="268">
        <v>3</v>
      </c>
    </row>
    <row r="10156" spans="1:18" ht="12.75" customHeight="1">
      <c r="A10156" s="628" t="s">
        <v>18600</v>
      </c>
      <c r="B10156" s="629"/>
      <c r="C10156" s="629"/>
      <c r="D10156" s="629"/>
      <c r="E10156" s="629"/>
      <c r="F10156" s="629"/>
      <c r="G10156" s="629"/>
      <c r="H10156" s="629"/>
      <c r="I10156" s="629"/>
      <c r="J10156" s="629"/>
      <c r="K10156" s="629"/>
      <c r="L10156" s="629"/>
      <c r="M10156" s="629"/>
      <c r="N10156" s="629"/>
      <c r="O10156" s="629"/>
      <c r="P10156" s="629"/>
      <c r="Q10156" s="629"/>
      <c r="R10156" s="629"/>
    </row>
    <row r="10157" spans="1:18" ht="12.75" customHeight="1">
      <c r="A10157" s="628" t="s">
        <v>18601</v>
      </c>
      <c r="B10157" s="629"/>
      <c r="C10157" s="629"/>
      <c r="D10157" s="629"/>
      <c r="E10157" s="629"/>
      <c r="F10157" s="629"/>
      <c r="G10157" s="629"/>
      <c r="H10157" s="629"/>
      <c r="I10157" s="629"/>
      <c r="J10157" s="629"/>
      <c r="K10157" s="629"/>
      <c r="L10157" s="629"/>
      <c r="M10157" s="629"/>
      <c r="N10157" s="629"/>
      <c r="O10157" s="629"/>
      <c r="P10157" s="629"/>
      <c r="Q10157" s="629"/>
      <c r="R10157" s="629"/>
    </row>
    <row r="10158" spans="1:18" ht="24">
      <c r="A10158" s="264">
        <v>46</v>
      </c>
      <c r="B10158" s="261" t="s">
        <v>18602</v>
      </c>
      <c r="C10158" s="265" t="s">
        <v>18603</v>
      </c>
      <c r="D10158" s="266">
        <v>392930.1</v>
      </c>
      <c r="E10158" s="266">
        <v>54579.4</v>
      </c>
      <c r="F10158" s="266">
        <v>289893.98</v>
      </c>
      <c r="G10158" s="266">
        <v>48456.72</v>
      </c>
      <c r="H10158" s="267">
        <v>2415303.2000000002</v>
      </c>
      <c r="I10158" s="267">
        <v>627663.1</v>
      </c>
      <c r="J10158" s="267">
        <v>1576339.02</v>
      </c>
      <c r="K10158" s="267">
        <v>211301.08</v>
      </c>
      <c r="L10158" s="43">
        <v>6.1469029733278271</v>
      </c>
      <c r="M10158" s="43">
        <v>11.5</v>
      </c>
      <c r="N10158" s="43">
        <v>5.4376397191828545</v>
      </c>
      <c r="O10158" s="43">
        <v>4.3606145855518079</v>
      </c>
      <c r="P10158" s="268"/>
      <c r="Q10158" s="268"/>
      <c r="R10158" s="268">
        <v>1</v>
      </c>
    </row>
    <row r="10159" spans="1:18" ht="24">
      <c r="A10159" s="264">
        <v>47</v>
      </c>
      <c r="B10159" s="261" t="s">
        <v>18604</v>
      </c>
      <c r="C10159" s="265" t="s">
        <v>18605</v>
      </c>
      <c r="D10159" s="266">
        <v>474296.62</v>
      </c>
      <c r="E10159" s="266">
        <v>58064.21</v>
      </c>
      <c r="F10159" s="266">
        <v>366614.64</v>
      </c>
      <c r="G10159" s="266">
        <v>49617.77</v>
      </c>
      <c r="H10159" s="267">
        <v>2883452.2</v>
      </c>
      <c r="I10159" s="267">
        <v>667764.88</v>
      </c>
      <c r="J10159" s="267">
        <v>1994534.28</v>
      </c>
      <c r="K10159" s="267">
        <v>221153.04</v>
      </c>
      <c r="L10159" s="43">
        <v>6.0794281013429954</v>
      </c>
      <c r="M10159" s="43">
        <v>11.500455788514129</v>
      </c>
      <c r="N10159" s="43">
        <v>5.4404108903015986</v>
      </c>
      <c r="O10159" s="43">
        <v>4.4571338050863636</v>
      </c>
      <c r="P10159" s="268"/>
      <c r="Q10159" s="268"/>
      <c r="R10159" s="268">
        <v>1</v>
      </c>
    </row>
    <row r="10160" spans="1:18" ht="24">
      <c r="A10160" s="264">
        <v>48</v>
      </c>
      <c r="B10160" s="261" t="s">
        <v>18606</v>
      </c>
      <c r="C10160" s="265" t="s">
        <v>18607</v>
      </c>
      <c r="D10160" s="266">
        <v>558247.59</v>
      </c>
      <c r="E10160" s="266">
        <v>80037.119999999995</v>
      </c>
      <c r="F10160" s="266">
        <v>427072.49</v>
      </c>
      <c r="G10160" s="266">
        <v>51137.98</v>
      </c>
      <c r="H10160" s="267">
        <v>3479347.77</v>
      </c>
      <c r="I10160" s="267">
        <v>920463.35999999999</v>
      </c>
      <c r="J10160" s="267">
        <v>2323705.7200000002</v>
      </c>
      <c r="K10160" s="267">
        <v>235178.69</v>
      </c>
      <c r="L10160" s="43">
        <v>6.2326247928808796</v>
      </c>
      <c r="M10160" s="43">
        <v>11.500455788514129</v>
      </c>
      <c r="N10160" s="43">
        <v>5.4410100730206254</v>
      </c>
      <c r="O10160" s="43">
        <v>4.5989045715141659</v>
      </c>
      <c r="P10160" s="268"/>
      <c r="Q10160" s="268"/>
      <c r="R10160" s="268">
        <v>1</v>
      </c>
    </row>
    <row r="10161" spans="1:18" ht="24">
      <c r="A10161" s="264">
        <v>49</v>
      </c>
      <c r="B10161" s="261" t="s">
        <v>18608</v>
      </c>
      <c r="C10161" s="265" t="s">
        <v>18609</v>
      </c>
      <c r="D10161" s="266">
        <v>65472.94</v>
      </c>
      <c r="E10161" s="266">
        <v>11788.74</v>
      </c>
      <c r="F10161" s="266">
        <v>52190.43</v>
      </c>
      <c r="G10161" s="266">
        <v>1493.77</v>
      </c>
      <c r="H10161" s="267">
        <v>432886.72</v>
      </c>
      <c r="I10161" s="267">
        <v>135575.64000000001</v>
      </c>
      <c r="J10161" s="267">
        <v>283963.09999999998</v>
      </c>
      <c r="K10161" s="267">
        <v>13347.98</v>
      </c>
      <c r="L10161" s="43">
        <v>6.6116890428320456</v>
      </c>
      <c r="M10161" s="43">
        <v>11.500435161009575</v>
      </c>
      <c r="N10161" s="43">
        <v>5.4409036292668977</v>
      </c>
      <c r="O10161" s="43">
        <v>8.9357665504060186</v>
      </c>
      <c r="P10161" s="268"/>
      <c r="Q10161" s="268"/>
      <c r="R10161" s="268">
        <v>1</v>
      </c>
    </row>
    <row r="10162" spans="1:18" ht="24">
      <c r="A10162" s="264">
        <v>50</v>
      </c>
      <c r="B10162" s="261" t="s">
        <v>18610</v>
      </c>
      <c r="C10162" s="265" t="s">
        <v>18611</v>
      </c>
      <c r="D10162" s="266">
        <v>96101.24</v>
      </c>
      <c r="E10162" s="266">
        <v>20141.97</v>
      </c>
      <c r="F10162" s="266">
        <v>73095</v>
      </c>
      <c r="G10162" s="266">
        <v>2864.27</v>
      </c>
      <c r="H10162" s="267">
        <v>654772.56000000006</v>
      </c>
      <c r="I10162" s="267">
        <v>231641.42</v>
      </c>
      <c r="J10162" s="267">
        <v>397685.67</v>
      </c>
      <c r="K10162" s="267">
        <v>25445.47</v>
      </c>
      <c r="L10162" s="43">
        <v>6.813362241735903</v>
      </c>
      <c r="M10162" s="43">
        <v>11.500435161009573</v>
      </c>
      <c r="N10162" s="43">
        <v>5.4406685819823517</v>
      </c>
      <c r="O10162" s="43">
        <v>8.8837539757075987</v>
      </c>
      <c r="P10162" s="268"/>
      <c r="Q10162" s="268"/>
      <c r="R10162" s="268">
        <v>1</v>
      </c>
    </row>
    <row r="10163" spans="1:18" ht="24">
      <c r="A10163" s="264">
        <v>51</v>
      </c>
      <c r="B10163" s="261" t="s">
        <v>18612</v>
      </c>
      <c r="C10163" s="265" t="s">
        <v>18613</v>
      </c>
      <c r="D10163" s="266">
        <v>4930.34</v>
      </c>
      <c r="E10163" s="266">
        <v>2808.3</v>
      </c>
      <c r="F10163" s="266">
        <v>1846.69</v>
      </c>
      <c r="G10163" s="266">
        <v>275.35000000000002</v>
      </c>
      <c r="H10163" s="267">
        <v>44189.01</v>
      </c>
      <c r="I10163" s="267">
        <v>32295.45</v>
      </c>
      <c r="J10163" s="267">
        <v>9635.2000000000007</v>
      </c>
      <c r="K10163" s="267">
        <v>2258.36</v>
      </c>
      <c r="L10163" s="43">
        <v>8.9626699172876521</v>
      </c>
      <c r="M10163" s="43">
        <v>11.5</v>
      </c>
      <c r="N10163" s="43">
        <v>5.2175514027801091</v>
      </c>
      <c r="O10163" s="43">
        <v>8.2017795532958058</v>
      </c>
      <c r="P10163" s="268"/>
      <c r="Q10163" s="268"/>
      <c r="R10163" s="268">
        <v>1</v>
      </c>
    </row>
    <row r="10164" spans="1:18" ht="24">
      <c r="A10164" s="264">
        <v>52</v>
      </c>
      <c r="B10164" s="261" t="s">
        <v>18614</v>
      </c>
      <c r="C10164" s="265" t="s">
        <v>18615</v>
      </c>
      <c r="D10164" s="266">
        <v>7679.9</v>
      </c>
      <c r="E10164" s="266">
        <v>4273.5</v>
      </c>
      <c r="F10164" s="266">
        <v>2951.44</v>
      </c>
      <c r="G10164" s="266">
        <v>454.96</v>
      </c>
      <c r="H10164" s="267">
        <v>68137.710000000006</v>
      </c>
      <c r="I10164" s="267">
        <v>49145.25</v>
      </c>
      <c r="J10164" s="267">
        <v>15318.55</v>
      </c>
      <c r="K10164" s="267">
        <v>3673.91</v>
      </c>
      <c r="L10164" s="43">
        <v>8.8722131798591146</v>
      </c>
      <c r="M10164" s="43">
        <v>11.5</v>
      </c>
      <c r="N10164" s="43">
        <v>5.1901952945003114</v>
      </c>
      <c r="O10164" s="43">
        <v>8.0752373835062432</v>
      </c>
      <c r="P10164" s="268"/>
      <c r="Q10164" s="268"/>
      <c r="R10164" s="268">
        <v>1</v>
      </c>
    </row>
    <row r="10165" spans="1:18" ht="24">
      <c r="A10165" s="264">
        <v>53</v>
      </c>
      <c r="B10165" s="261" t="s">
        <v>18616</v>
      </c>
      <c r="C10165" s="265" t="s">
        <v>18617</v>
      </c>
      <c r="D10165" s="266">
        <v>32091.45</v>
      </c>
      <c r="E10165" s="266">
        <v>5794.65</v>
      </c>
      <c r="F10165" s="266">
        <v>25558.75</v>
      </c>
      <c r="G10165" s="266">
        <v>738.05</v>
      </c>
      <c r="H10165" s="267">
        <v>213104.19</v>
      </c>
      <c r="I10165" s="267">
        <v>66640.92</v>
      </c>
      <c r="J10165" s="267">
        <v>140640.1</v>
      </c>
      <c r="K10165" s="267">
        <v>5823.17</v>
      </c>
      <c r="L10165" s="43">
        <v>6.6405285519974946</v>
      </c>
      <c r="M10165" s="43">
        <v>11.50042194092827</v>
      </c>
      <c r="N10165" s="43">
        <v>5.5026204333154007</v>
      </c>
      <c r="O10165" s="43">
        <v>7.8899397059819805</v>
      </c>
      <c r="P10165" s="268"/>
      <c r="Q10165" s="268"/>
      <c r="R10165" s="268">
        <v>1</v>
      </c>
    </row>
    <row r="10166" spans="1:18" ht="24">
      <c r="A10166" s="264">
        <v>54</v>
      </c>
      <c r="B10166" s="261" t="s">
        <v>18618</v>
      </c>
      <c r="C10166" s="265" t="s">
        <v>18619</v>
      </c>
      <c r="D10166" s="266">
        <v>37978.44</v>
      </c>
      <c r="E10166" s="266">
        <v>6588.6</v>
      </c>
      <c r="F10166" s="266">
        <v>30396.97</v>
      </c>
      <c r="G10166" s="266">
        <v>992.87</v>
      </c>
      <c r="H10166" s="267">
        <v>249425.06</v>
      </c>
      <c r="I10166" s="267">
        <v>75771.679999999993</v>
      </c>
      <c r="J10166" s="267">
        <v>166128.62</v>
      </c>
      <c r="K10166" s="267">
        <v>7524.76</v>
      </c>
      <c r="L10166" s="43">
        <v>6.5675435852552129</v>
      </c>
      <c r="M10166" s="43">
        <v>11.500421940928268</v>
      </c>
      <c r="N10166" s="43">
        <v>5.4653019692423284</v>
      </c>
      <c r="O10166" s="43">
        <v>7.5787968213361268</v>
      </c>
      <c r="P10166" s="268"/>
      <c r="Q10166" s="268"/>
      <c r="R10166" s="268">
        <v>1</v>
      </c>
    </row>
    <row r="10167" spans="1:18" ht="24">
      <c r="A10167" s="264">
        <v>55</v>
      </c>
      <c r="B10167" s="261" t="s">
        <v>18620</v>
      </c>
      <c r="C10167" s="265" t="s">
        <v>18621</v>
      </c>
      <c r="D10167" s="266">
        <v>44262.83</v>
      </c>
      <c r="E10167" s="266">
        <v>9053.4</v>
      </c>
      <c r="F10167" s="266">
        <v>34037.089999999997</v>
      </c>
      <c r="G10167" s="266">
        <v>1172.3399999999999</v>
      </c>
      <c r="H10167" s="267">
        <v>299047.71000000002</v>
      </c>
      <c r="I10167" s="267">
        <v>104117.92</v>
      </c>
      <c r="J10167" s="267">
        <v>186011.04</v>
      </c>
      <c r="K10167" s="267">
        <v>8918.75</v>
      </c>
      <c r="L10167" s="43">
        <v>6.7561814280740746</v>
      </c>
      <c r="M10167" s="43">
        <v>11.50042194092827</v>
      </c>
      <c r="N10167" s="43">
        <v>5.4649513222193793</v>
      </c>
      <c r="O10167" s="43">
        <v>7.6076479519593301</v>
      </c>
      <c r="P10167" s="268"/>
      <c r="Q10167" s="268"/>
      <c r="R10167" s="268">
        <v>1</v>
      </c>
    </row>
    <row r="10168" spans="1:18" ht="24">
      <c r="A10168" s="264">
        <v>56</v>
      </c>
      <c r="B10168" s="261" t="s">
        <v>18622</v>
      </c>
      <c r="C10168" s="265" t="s">
        <v>18623</v>
      </c>
      <c r="D10168" s="266">
        <v>50984.41</v>
      </c>
      <c r="E10168" s="266">
        <v>7595.85</v>
      </c>
      <c r="F10168" s="266">
        <v>18807.650000000001</v>
      </c>
      <c r="G10168" s="266">
        <v>24580.91</v>
      </c>
      <c r="H10168" s="267">
        <v>292498.75</v>
      </c>
      <c r="I10168" s="267">
        <v>87355.48</v>
      </c>
      <c r="J10168" s="267">
        <v>104986.04</v>
      </c>
      <c r="K10168" s="267">
        <v>100157.23</v>
      </c>
      <c r="L10168" s="43">
        <v>5.7370233371338415</v>
      </c>
      <c r="M10168" s="43">
        <v>11.50042194092827</v>
      </c>
      <c r="N10168" s="43">
        <v>5.5820923932548716</v>
      </c>
      <c r="O10168" s="43">
        <v>4.0745940650691939</v>
      </c>
      <c r="P10168" s="268"/>
      <c r="Q10168" s="268"/>
      <c r="R10168" s="268">
        <v>1</v>
      </c>
    </row>
    <row r="10169" spans="1:18" ht="24">
      <c r="A10169" s="264">
        <v>57</v>
      </c>
      <c r="B10169" s="261" t="s">
        <v>18624</v>
      </c>
      <c r="C10169" s="265" t="s">
        <v>18625</v>
      </c>
      <c r="D10169" s="266">
        <v>17583.29</v>
      </c>
      <c r="E10169" s="266">
        <v>2607</v>
      </c>
      <c r="F10169" s="266">
        <v>14726.24</v>
      </c>
      <c r="G10169" s="266">
        <v>250.05</v>
      </c>
      <c r="H10169" s="267">
        <v>114320.44</v>
      </c>
      <c r="I10169" s="267">
        <v>29981.599999999999</v>
      </c>
      <c r="J10169" s="267">
        <v>82066.78</v>
      </c>
      <c r="K10169" s="267">
        <v>2272.06</v>
      </c>
      <c r="L10169" s="43">
        <v>6.5016524211339286</v>
      </c>
      <c r="M10169" s="43">
        <v>11.50042194092827</v>
      </c>
      <c r="N10169" s="43">
        <v>5.5728264648681538</v>
      </c>
      <c r="O10169" s="43">
        <v>9.0864227154569086</v>
      </c>
      <c r="P10169" s="268"/>
      <c r="Q10169" s="268"/>
      <c r="R10169" s="268">
        <v>1</v>
      </c>
    </row>
    <row r="10170" spans="1:18" ht="24">
      <c r="A10170" s="264">
        <v>58</v>
      </c>
      <c r="B10170" s="261" t="s">
        <v>18626</v>
      </c>
      <c r="C10170" s="265" t="s">
        <v>18627</v>
      </c>
      <c r="D10170" s="266">
        <v>40851.14</v>
      </c>
      <c r="E10170" s="266">
        <v>5321.52</v>
      </c>
      <c r="F10170" s="266">
        <v>35031.519999999997</v>
      </c>
      <c r="G10170" s="266">
        <v>498.1</v>
      </c>
      <c r="H10170" s="267">
        <v>257282.86</v>
      </c>
      <c r="I10170" s="267">
        <v>61199.76</v>
      </c>
      <c r="J10170" s="267">
        <v>191557.24</v>
      </c>
      <c r="K10170" s="267">
        <v>4525.8599999999997</v>
      </c>
      <c r="L10170" s="43">
        <v>6.2980582671621894</v>
      </c>
      <c r="M10170" s="43">
        <v>11.500428449014567</v>
      </c>
      <c r="N10170" s="43">
        <v>5.4681395497540501</v>
      </c>
      <c r="O10170" s="43">
        <v>9.0862477414173846</v>
      </c>
      <c r="P10170" s="268"/>
      <c r="Q10170" s="268"/>
      <c r="R10170" s="268">
        <v>1</v>
      </c>
    </row>
    <row r="10171" spans="1:18" ht="12.75" customHeight="1">
      <c r="A10171" s="628" t="s">
        <v>18628</v>
      </c>
      <c r="B10171" s="629"/>
      <c r="C10171" s="629"/>
      <c r="D10171" s="629"/>
      <c r="E10171" s="629"/>
      <c r="F10171" s="629"/>
      <c r="G10171" s="629"/>
      <c r="H10171" s="629"/>
      <c r="I10171" s="629"/>
      <c r="J10171" s="629"/>
      <c r="K10171" s="629"/>
      <c r="L10171" s="629"/>
      <c r="M10171" s="629"/>
      <c r="N10171" s="629"/>
      <c r="O10171" s="629"/>
      <c r="P10171" s="629"/>
      <c r="Q10171" s="629"/>
      <c r="R10171" s="629"/>
    </row>
    <row r="10172" spans="1:18" ht="24">
      <c r="A10172" s="264">
        <v>59</v>
      </c>
      <c r="B10172" s="261" t="s">
        <v>18629</v>
      </c>
      <c r="C10172" s="265" t="s">
        <v>18630</v>
      </c>
      <c r="D10172" s="266">
        <v>61423.73</v>
      </c>
      <c r="E10172" s="266">
        <v>24333.119999999999</v>
      </c>
      <c r="F10172" s="266">
        <v>15815.38</v>
      </c>
      <c r="G10172" s="266">
        <v>21275.23</v>
      </c>
      <c r="H10172" s="267">
        <v>478430.18</v>
      </c>
      <c r="I10172" s="267">
        <v>279830.88</v>
      </c>
      <c r="J10172" s="267">
        <v>94854.57</v>
      </c>
      <c r="K10172" s="267">
        <v>103744.73</v>
      </c>
      <c r="L10172" s="43">
        <v>7.7890121619120158</v>
      </c>
      <c r="M10172" s="43">
        <v>11.5</v>
      </c>
      <c r="N10172" s="43">
        <v>5.9976156121446342</v>
      </c>
      <c r="O10172" s="43">
        <v>4.8763153206804342</v>
      </c>
      <c r="P10172" s="268"/>
      <c r="Q10172" s="268"/>
      <c r="R10172" s="268">
        <v>2</v>
      </c>
    </row>
    <row r="10173" spans="1:18" ht="24">
      <c r="A10173" s="264">
        <v>60</v>
      </c>
      <c r="B10173" s="261" t="s">
        <v>18631</v>
      </c>
      <c r="C10173" s="265" t="s">
        <v>18632</v>
      </c>
      <c r="D10173" s="266">
        <v>76502.83</v>
      </c>
      <c r="E10173" s="266">
        <v>31296.799999999999</v>
      </c>
      <c r="F10173" s="266">
        <v>18177.21</v>
      </c>
      <c r="G10173" s="266">
        <v>27028.82</v>
      </c>
      <c r="H10173" s="267">
        <v>601973.06000000006</v>
      </c>
      <c r="I10173" s="267">
        <v>359913.2</v>
      </c>
      <c r="J10173" s="267">
        <v>109017.45</v>
      </c>
      <c r="K10173" s="267">
        <v>133042.41</v>
      </c>
      <c r="L10173" s="43">
        <v>7.8686378007192683</v>
      </c>
      <c r="M10173" s="43">
        <v>11.5</v>
      </c>
      <c r="N10173" s="43">
        <v>5.9974798112581631</v>
      </c>
      <c r="O10173" s="43">
        <v>4.9222426284240308</v>
      </c>
      <c r="P10173" s="268"/>
      <c r="Q10173" s="268"/>
      <c r="R10173" s="268">
        <v>2</v>
      </c>
    </row>
    <row r="10174" spans="1:18" ht="24">
      <c r="A10174" s="264">
        <v>61</v>
      </c>
      <c r="B10174" s="261" t="s">
        <v>18633</v>
      </c>
      <c r="C10174" s="265" t="s">
        <v>18634</v>
      </c>
      <c r="D10174" s="266">
        <v>96059.68</v>
      </c>
      <c r="E10174" s="266">
        <v>33321</v>
      </c>
      <c r="F10174" s="266">
        <v>22211.42</v>
      </c>
      <c r="G10174" s="266">
        <v>40527.26</v>
      </c>
      <c r="H10174" s="267">
        <v>724115.73</v>
      </c>
      <c r="I10174" s="267">
        <v>383206</v>
      </c>
      <c r="J10174" s="267">
        <v>133118.29999999999</v>
      </c>
      <c r="K10174" s="267">
        <v>207791.43</v>
      </c>
      <c r="L10174" s="43">
        <v>7.53818594856864</v>
      </c>
      <c r="M10174" s="43">
        <v>11.500435161009573</v>
      </c>
      <c r="N10174" s="43">
        <v>5.9932368124145148</v>
      </c>
      <c r="O10174" s="43">
        <v>5.1272015428627542</v>
      </c>
      <c r="P10174" s="268"/>
      <c r="Q10174" s="268"/>
      <c r="R10174" s="268">
        <v>2</v>
      </c>
    </row>
    <row r="10175" spans="1:18" ht="24">
      <c r="A10175" s="264">
        <v>62</v>
      </c>
      <c r="B10175" s="261" t="s">
        <v>18635</v>
      </c>
      <c r="C10175" s="265" t="s">
        <v>18636</v>
      </c>
      <c r="D10175" s="266">
        <v>2331.23</v>
      </c>
      <c r="E10175" s="266">
        <v>1465.44</v>
      </c>
      <c r="F10175" s="266">
        <v>803.87</v>
      </c>
      <c r="G10175" s="266">
        <v>61.92</v>
      </c>
      <c r="H10175" s="267">
        <v>21776.01</v>
      </c>
      <c r="I10175" s="267">
        <v>16852.560000000001</v>
      </c>
      <c r="J10175" s="267">
        <v>4311.05</v>
      </c>
      <c r="K10175" s="267">
        <v>612.4</v>
      </c>
      <c r="L10175" s="43">
        <v>9.3409959549250825</v>
      </c>
      <c r="M10175" s="43">
        <v>11.5</v>
      </c>
      <c r="N10175" s="43">
        <v>5.3628696182218523</v>
      </c>
      <c r="O10175" s="43">
        <v>9.8901808785529717</v>
      </c>
      <c r="P10175" s="268"/>
      <c r="Q10175" s="268"/>
      <c r="R10175" s="268">
        <v>2</v>
      </c>
    </row>
    <row r="10176" spans="1:18" ht="24">
      <c r="A10176" s="264">
        <v>63</v>
      </c>
      <c r="B10176" s="261" t="s">
        <v>18637</v>
      </c>
      <c r="C10176" s="265" t="s">
        <v>18638</v>
      </c>
      <c r="D10176" s="266">
        <v>8671.51</v>
      </c>
      <c r="E10176" s="266">
        <v>4339.5200000000004</v>
      </c>
      <c r="F10176" s="266">
        <v>4075.91</v>
      </c>
      <c r="G10176" s="266">
        <v>256.08</v>
      </c>
      <c r="H10176" s="267">
        <v>74284.789999999994</v>
      </c>
      <c r="I10176" s="267">
        <v>49904.480000000003</v>
      </c>
      <c r="J10176" s="267">
        <v>21950.28</v>
      </c>
      <c r="K10176" s="267">
        <v>2430.0300000000002</v>
      </c>
      <c r="L10176" s="43">
        <v>8.566534548192875</v>
      </c>
      <c r="M10176" s="43">
        <v>11.5</v>
      </c>
      <c r="N10176" s="43">
        <v>5.3853691568263287</v>
      </c>
      <c r="O10176" s="43">
        <v>9.4893392689784459</v>
      </c>
      <c r="P10176" s="268"/>
      <c r="Q10176" s="268"/>
      <c r="R10176" s="268">
        <v>2</v>
      </c>
    </row>
    <row r="10177" spans="1:18" ht="12.75" customHeight="1">
      <c r="A10177" s="628" t="s">
        <v>18639</v>
      </c>
      <c r="B10177" s="629"/>
      <c r="C10177" s="629"/>
      <c r="D10177" s="629"/>
      <c r="E10177" s="629"/>
      <c r="F10177" s="629"/>
      <c r="G10177" s="629"/>
      <c r="H10177" s="629"/>
      <c r="I10177" s="629"/>
      <c r="J10177" s="629"/>
      <c r="K10177" s="629"/>
      <c r="L10177" s="629"/>
      <c r="M10177" s="629"/>
      <c r="N10177" s="629"/>
      <c r="O10177" s="629"/>
      <c r="P10177" s="629"/>
      <c r="Q10177" s="629"/>
      <c r="R10177" s="629"/>
    </row>
    <row r="10178" spans="1:18" ht="24">
      <c r="A10178" s="264">
        <v>64</v>
      </c>
      <c r="B10178" s="261" t="s">
        <v>18640</v>
      </c>
      <c r="C10178" s="265" t="s">
        <v>18641</v>
      </c>
      <c r="D10178" s="266">
        <v>2666.17</v>
      </c>
      <c r="E10178" s="266">
        <v>1674.76</v>
      </c>
      <c r="F10178" s="266">
        <v>945.33</v>
      </c>
      <c r="G10178" s="266">
        <v>46.08</v>
      </c>
      <c r="H10178" s="267">
        <v>25280.7</v>
      </c>
      <c r="I10178" s="267">
        <v>19259.740000000002</v>
      </c>
      <c r="J10178" s="267">
        <v>5525.45</v>
      </c>
      <c r="K10178" s="267">
        <v>495.51</v>
      </c>
      <c r="L10178" s="43">
        <v>9.4820285278133056</v>
      </c>
      <c r="M10178" s="43">
        <v>11.500000000000002</v>
      </c>
      <c r="N10178" s="43">
        <v>5.8449959273481218</v>
      </c>
      <c r="O10178" s="43">
        <v>10.753255208333334</v>
      </c>
      <c r="P10178" s="268"/>
      <c r="Q10178" s="268"/>
      <c r="R10178" s="268">
        <v>3</v>
      </c>
    </row>
    <row r="10179" spans="1:18" ht="24">
      <c r="A10179" s="264">
        <v>65</v>
      </c>
      <c r="B10179" s="261" t="s">
        <v>18642</v>
      </c>
      <c r="C10179" s="265" t="s">
        <v>18643</v>
      </c>
      <c r="D10179" s="266">
        <v>8096.13</v>
      </c>
      <c r="E10179" s="266">
        <v>4181.28</v>
      </c>
      <c r="F10179" s="266">
        <v>3805.72</v>
      </c>
      <c r="G10179" s="266">
        <v>109.13</v>
      </c>
      <c r="H10179" s="267">
        <v>71541.440000000002</v>
      </c>
      <c r="I10179" s="267">
        <v>48084.72</v>
      </c>
      <c r="J10179" s="267">
        <v>22271.47</v>
      </c>
      <c r="K10179" s="267">
        <v>1185.25</v>
      </c>
      <c r="L10179" s="43">
        <v>8.8364984257910884</v>
      </c>
      <c r="M10179" s="43">
        <v>11.500000000000002</v>
      </c>
      <c r="N10179" s="43">
        <v>5.8521042010447442</v>
      </c>
      <c r="O10179" s="43">
        <v>10.860899844222487</v>
      </c>
      <c r="P10179" s="268"/>
      <c r="Q10179" s="268"/>
      <c r="R10179" s="268">
        <v>3</v>
      </c>
    </row>
    <row r="10180" spans="1:18" ht="12.75" customHeight="1">
      <c r="A10180" s="628" t="s">
        <v>18644</v>
      </c>
      <c r="B10180" s="629"/>
      <c r="C10180" s="629"/>
      <c r="D10180" s="629"/>
      <c r="E10180" s="629"/>
      <c r="F10180" s="629"/>
      <c r="G10180" s="629"/>
      <c r="H10180" s="629"/>
      <c r="I10180" s="629"/>
      <c r="J10180" s="629"/>
      <c r="K10180" s="629"/>
      <c r="L10180" s="629"/>
      <c r="M10180" s="629"/>
      <c r="N10180" s="629"/>
      <c r="O10180" s="629"/>
      <c r="P10180" s="629"/>
      <c r="Q10180" s="629"/>
      <c r="R10180" s="629"/>
    </row>
    <row r="10181" spans="1:18" ht="12.75" customHeight="1">
      <c r="A10181" s="628" t="s">
        <v>18645</v>
      </c>
      <c r="B10181" s="629"/>
      <c r="C10181" s="629"/>
      <c r="D10181" s="629"/>
      <c r="E10181" s="629"/>
      <c r="F10181" s="629"/>
      <c r="G10181" s="629"/>
      <c r="H10181" s="629"/>
      <c r="I10181" s="629"/>
      <c r="J10181" s="629"/>
      <c r="K10181" s="629"/>
      <c r="L10181" s="629"/>
      <c r="M10181" s="629"/>
      <c r="N10181" s="629"/>
      <c r="O10181" s="629"/>
      <c r="P10181" s="629"/>
      <c r="Q10181" s="629"/>
      <c r="R10181" s="629"/>
    </row>
    <row r="10182" spans="1:18" ht="24">
      <c r="A10182" s="264">
        <v>66</v>
      </c>
      <c r="B10182" s="261" t="s">
        <v>18646</v>
      </c>
      <c r="C10182" s="265" t="s">
        <v>18647</v>
      </c>
      <c r="D10182" s="266">
        <v>9407.0400000000009</v>
      </c>
      <c r="E10182" s="266">
        <v>2579.0700000000002</v>
      </c>
      <c r="F10182" s="266">
        <v>3606.36</v>
      </c>
      <c r="G10182" s="266">
        <v>3221.61</v>
      </c>
      <c r="H10182" s="267">
        <v>65713.77</v>
      </c>
      <c r="I10182" s="267">
        <v>29660.41</v>
      </c>
      <c r="J10182" s="267">
        <v>20400.29</v>
      </c>
      <c r="K10182" s="267">
        <v>15653.07</v>
      </c>
      <c r="L10182" s="43">
        <v>6.9855948311052147</v>
      </c>
      <c r="M10182" s="43">
        <v>11.500428449014567</v>
      </c>
      <c r="N10182" s="43">
        <v>5.6567536241528851</v>
      </c>
      <c r="O10182" s="43">
        <v>4.8587724771154797</v>
      </c>
      <c r="P10182" s="268"/>
      <c r="Q10182" s="268"/>
      <c r="R10182" s="268">
        <v>1</v>
      </c>
    </row>
    <row r="10183" spans="1:18" ht="24">
      <c r="A10183" s="264">
        <v>67</v>
      </c>
      <c r="B10183" s="261" t="s">
        <v>18648</v>
      </c>
      <c r="C10183" s="265" t="s">
        <v>18649</v>
      </c>
      <c r="D10183" s="266">
        <v>10974.35</v>
      </c>
      <c r="E10183" s="266">
        <v>3851.1</v>
      </c>
      <c r="F10183" s="266">
        <v>4516.05</v>
      </c>
      <c r="G10183" s="266">
        <v>2607.1999999999998</v>
      </c>
      <c r="H10183" s="267">
        <v>84193.77</v>
      </c>
      <c r="I10183" s="267">
        <v>44289.3</v>
      </c>
      <c r="J10183" s="267">
        <v>25540.84</v>
      </c>
      <c r="K10183" s="267">
        <v>14363.63</v>
      </c>
      <c r="L10183" s="43">
        <v>7.671868493350404</v>
      </c>
      <c r="M10183" s="43">
        <v>11.500428449014569</v>
      </c>
      <c r="N10183" s="43">
        <v>5.6555706867727329</v>
      </c>
      <c r="O10183" s="43">
        <v>5.5092167842896593</v>
      </c>
      <c r="P10183" s="268"/>
      <c r="Q10183" s="268"/>
      <c r="R10183" s="268">
        <v>1</v>
      </c>
    </row>
    <row r="10184" spans="1:18" ht="24">
      <c r="A10184" s="264">
        <v>68</v>
      </c>
      <c r="B10184" s="261" t="s">
        <v>18650</v>
      </c>
      <c r="C10184" s="265" t="s">
        <v>18651</v>
      </c>
      <c r="D10184" s="266">
        <v>27460.17</v>
      </c>
      <c r="E10184" s="266">
        <v>6360.15</v>
      </c>
      <c r="F10184" s="266">
        <v>15369.16</v>
      </c>
      <c r="G10184" s="266">
        <v>5730.86</v>
      </c>
      <c r="H10184" s="267">
        <v>182166.01</v>
      </c>
      <c r="I10184" s="267">
        <v>73144.45</v>
      </c>
      <c r="J10184" s="267">
        <v>80775.11</v>
      </c>
      <c r="K10184" s="267">
        <v>28246.45</v>
      </c>
      <c r="L10184" s="43">
        <v>6.6338267388730667</v>
      </c>
      <c r="M10184" s="43">
        <v>11.500428449014567</v>
      </c>
      <c r="N10184" s="43">
        <v>5.2556619880331779</v>
      </c>
      <c r="O10184" s="43">
        <v>4.9288326708382337</v>
      </c>
      <c r="P10184" s="268"/>
      <c r="Q10184" s="268"/>
      <c r="R10184" s="268">
        <v>1</v>
      </c>
    </row>
    <row r="10185" spans="1:18" ht="24">
      <c r="A10185" s="264">
        <v>69</v>
      </c>
      <c r="B10185" s="261" t="s">
        <v>18652</v>
      </c>
      <c r="C10185" s="265" t="s">
        <v>18653</v>
      </c>
      <c r="D10185" s="266">
        <v>10129.43</v>
      </c>
      <c r="E10185" s="266">
        <v>2548.2399999999998</v>
      </c>
      <c r="F10185" s="266">
        <v>4458.13</v>
      </c>
      <c r="G10185" s="266">
        <v>3123.06</v>
      </c>
      <c r="H10185" s="267">
        <v>71355.88</v>
      </c>
      <c r="I10185" s="267">
        <v>29304.76</v>
      </c>
      <c r="J10185" s="267">
        <v>25405.72</v>
      </c>
      <c r="K10185" s="267">
        <v>16645.400000000001</v>
      </c>
      <c r="L10185" s="43">
        <v>7.0444121732417324</v>
      </c>
      <c r="M10185" s="43">
        <v>11.5</v>
      </c>
      <c r="N10185" s="43">
        <v>5.6987391574494239</v>
      </c>
      <c r="O10185" s="43">
        <v>5.3298367626622616</v>
      </c>
      <c r="P10185" s="268"/>
      <c r="Q10185" s="268"/>
      <c r="R10185" s="268">
        <v>1</v>
      </c>
    </row>
    <row r="10186" spans="1:18" ht="24">
      <c r="A10186" s="264">
        <v>70</v>
      </c>
      <c r="B10186" s="261" t="s">
        <v>18654</v>
      </c>
      <c r="C10186" s="265" t="s">
        <v>18655</v>
      </c>
      <c r="D10186" s="266">
        <v>14761.19</v>
      </c>
      <c r="E10186" s="266">
        <v>3642.06</v>
      </c>
      <c r="F10186" s="266">
        <v>6981.35</v>
      </c>
      <c r="G10186" s="266">
        <v>4137.78</v>
      </c>
      <c r="H10186" s="267">
        <v>102458.76</v>
      </c>
      <c r="I10186" s="267">
        <v>41883.69</v>
      </c>
      <c r="J10186" s="267">
        <v>38250.99</v>
      </c>
      <c r="K10186" s="267">
        <v>22324.080000000002</v>
      </c>
      <c r="L10186" s="43">
        <v>6.9410907928154835</v>
      </c>
      <c r="M10186" s="43">
        <v>11.5</v>
      </c>
      <c r="N10186" s="43">
        <v>5.4790248304411033</v>
      </c>
      <c r="O10186" s="43">
        <v>5.3951829241767335</v>
      </c>
      <c r="P10186" s="268"/>
      <c r="Q10186" s="268"/>
      <c r="R10186" s="268">
        <v>1</v>
      </c>
    </row>
    <row r="10187" spans="1:18" ht="24">
      <c r="A10187" s="264">
        <v>71</v>
      </c>
      <c r="B10187" s="261" t="s">
        <v>18656</v>
      </c>
      <c r="C10187" s="265" t="s">
        <v>18657</v>
      </c>
      <c r="D10187" s="266">
        <v>28747.84</v>
      </c>
      <c r="E10187" s="266">
        <v>5541.22</v>
      </c>
      <c r="F10187" s="266">
        <v>15157.79</v>
      </c>
      <c r="G10187" s="266">
        <v>8048.83</v>
      </c>
      <c r="H10187" s="267">
        <v>186005.97</v>
      </c>
      <c r="I10187" s="267">
        <v>63724.03</v>
      </c>
      <c r="J10187" s="267">
        <v>81299.899999999994</v>
      </c>
      <c r="K10187" s="267">
        <v>40982.04</v>
      </c>
      <c r="L10187" s="43">
        <v>6.4702589829357615</v>
      </c>
      <c r="M10187" s="43">
        <v>11.5</v>
      </c>
      <c r="N10187" s="43">
        <v>5.3635721302379826</v>
      </c>
      <c r="O10187" s="43">
        <v>5.0916766784737657</v>
      </c>
      <c r="P10187" s="268"/>
      <c r="Q10187" s="268"/>
      <c r="R10187" s="268">
        <v>1</v>
      </c>
    </row>
    <row r="10188" spans="1:18" ht="24">
      <c r="A10188" s="264">
        <v>72</v>
      </c>
      <c r="B10188" s="261" t="s">
        <v>18658</v>
      </c>
      <c r="C10188" s="265" t="s">
        <v>18659</v>
      </c>
      <c r="D10188" s="266">
        <v>10485.89</v>
      </c>
      <c r="E10188" s="266">
        <v>2836.72</v>
      </c>
      <c r="F10188" s="266">
        <v>4570.21</v>
      </c>
      <c r="G10188" s="266">
        <v>3078.96</v>
      </c>
      <c r="H10188" s="267">
        <v>74873.11</v>
      </c>
      <c r="I10188" s="267">
        <v>32622.28</v>
      </c>
      <c r="J10188" s="267">
        <v>25802.68</v>
      </c>
      <c r="K10188" s="267">
        <v>16448.150000000001</v>
      </c>
      <c r="L10188" s="43">
        <v>7.1403676750375986</v>
      </c>
      <c r="M10188" s="43">
        <v>11.5</v>
      </c>
      <c r="N10188" s="43">
        <v>5.6458412195500864</v>
      </c>
      <c r="O10188" s="43">
        <v>5.3421122716761511</v>
      </c>
      <c r="P10188" s="268"/>
      <c r="Q10188" s="268"/>
      <c r="R10188" s="268">
        <v>1</v>
      </c>
    </row>
    <row r="10189" spans="1:18" ht="24">
      <c r="A10189" s="264">
        <v>73</v>
      </c>
      <c r="B10189" s="261" t="s">
        <v>18660</v>
      </c>
      <c r="C10189" s="265" t="s">
        <v>18661</v>
      </c>
      <c r="D10189" s="266">
        <v>17708.509999999998</v>
      </c>
      <c r="E10189" s="266">
        <v>4207</v>
      </c>
      <c r="F10189" s="266">
        <v>7620.74</v>
      </c>
      <c r="G10189" s="266">
        <v>5880.77</v>
      </c>
      <c r="H10189" s="267">
        <v>118134.59</v>
      </c>
      <c r="I10189" s="267">
        <v>48380.5</v>
      </c>
      <c r="J10189" s="267">
        <v>41228.97</v>
      </c>
      <c r="K10189" s="267">
        <v>28525.119999999999</v>
      </c>
      <c r="L10189" s="43">
        <v>6.671063234569143</v>
      </c>
      <c r="M10189" s="43">
        <v>11.5</v>
      </c>
      <c r="N10189" s="43">
        <v>5.4101005939055788</v>
      </c>
      <c r="O10189" s="43">
        <v>4.8505756899181565</v>
      </c>
      <c r="P10189" s="268"/>
      <c r="Q10189" s="268"/>
      <c r="R10189" s="268">
        <v>1</v>
      </c>
    </row>
    <row r="10190" spans="1:18" ht="24">
      <c r="A10190" s="264">
        <v>74</v>
      </c>
      <c r="B10190" s="261" t="s">
        <v>18662</v>
      </c>
      <c r="C10190" s="265" t="s">
        <v>18663</v>
      </c>
      <c r="D10190" s="266">
        <v>25696.34</v>
      </c>
      <c r="E10190" s="266">
        <v>5012.34</v>
      </c>
      <c r="F10190" s="266">
        <v>13189.66</v>
      </c>
      <c r="G10190" s="266">
        <v>7494.34</v>
      </c>
      <c r="H10190" s="267">
        <v>166084.01999999999</v>
      </c>
      <c r="I10190" s="267">
        <v>57641.91</v>
      </c>
      <c r="J10190" s="267">
        <v>70365.41</v>
      </c>
      <c r="K10190" s="267">
        <v>38076.699999999997</v>
      </c>
      <c r="L10190" s="43">
        <v>6.4633336887665713</v>
      </c>
      <c r="M10190" s="43">
        <v>11.5</v>
      </c>
      <c r="N10190" s="43">
        <v>5.3348918774251954</v>
      </c>
      <c r="O10190" s="43">
        <v>5.080727589087231</v>
      </c>
      <c r="P10190" s="268"/>
      <c r="Q10190" s="268"/>
      <c r="R10190" s="268">
        <v>1</v>
      </c>
    </row>
    <row r="10191" spans="1:18" ht="24">
      <c r="A10191" s="264">
        <v>75</v>
      </c>
      <c r="B10191" s="261" t="s">
        <v>18664</v>
      </c>
      <c r="C10191" s="265" t="s">
        <v>18665</v>
      </c>
      <c r="D10191" s="266">
        <v>11417.09</v>
      </c>
      <c r="E10191" s="266">
        <v>2079.46</v>
      </c>
      <c r="F10191" s="266">
        <v>7141.49</v>
      </c>
      <c r="G10191" s="266">
        <v>2196.14</v>
      </c>
      <c r="H10191" s="267">
        <v>72608.570000000007</v>
      </c>
      <c r="I10191" s="267">
        <v>23913.79</v>
      </c>
      <c r="J10191" s="267">
        <v>39320.94</v>
      </c>
      <c r="K10191" s="267">
        <v>9373.84</v>
      </c>
      <c r="L10191" s="43">
        <v>6.3596389272572962</v>
      </c>
      <c r="M10191" s="43">
        <v>11.5</v>
      </c>
      <c r="N10191" s="43">
        <v>5.5059854456142912</v>
      </c>
      <c r="O10191" s="43">
        <v>4.268325334450445</v>
      </c>
      <c r="P10191" s="268"/>
      <c r="Q10191" s="268"/>
      <c r="R10191" s="268">
        <v>1</v>
      </c>
    </row>
    <row r="10192" spans="1:18" ht="24">
      <c r="A10192" s="264">
        <v>76</v>
      </c>
      <c r="B10192" s="261" t="s">
        <v>18666</v>
      </c>
      <c r="C10192" s="265" t="s">
        <v>18667</v>
      </c>
      <c r="D10192" s="266">
        <v>12919.28</v>
      </c>
      <c r="E10192" s="266">
        <v>2211.6799999999998</v>
      </c>
      <c r="F10192" s="266">
        <v>7869.8</v>
      </c>
      <c r="G10192" s="266">
        <v>2837.8</v>
      </c>
      <c r="H10192" s="267">
        <v>80620.2</v>
      </c>
      <c r="I10192" s="267">
        <v>25434.32</v>
      </c>
      <c r="J10192" s="267">
        <v>43324.63</v>
      </c>
      <c r="K10192" s="267">
        <v>11861.25</v>
      </c>
      <c r="L10192" s="43">
        <v>6.2403013171012622</v>
      </c>
      <c r="M10192" s="43">
        <v>11.5</v>
      </c>
      <c r="N10192" s="43">
        <v>5.5051754809525013</v>
      </c>
      <c r="O10192" s="43">
        <v>4.1797343012192538</v>
      </c>
      <c r="P10192" s="268"/>
      <c r="Q10192" s="268"/>
      <c r="R10192" s="268">
        <v>1</v>
      </c>
    </row>
    <row r="10193" spans="1:18" ht="24">
      <c r="A10193" s="264">
        <v>77</v>
      </c>
      <c r="B10193" s="261" t="s">
        <v>18668</v>
      </c>
      <c r="C10193" s="265" t="s">
        <v>18669</v>
      </c>
      <c r="D10193" s="266">
        <v>20073.55</v>
      </c>
      <c r="E10193" s="266">
        <v>2745</v>
      </c>
      <c r="F10193" s="266">
        <v>13764.04</v>
      </c>
      <c r="G10193" s="266">
        <v>3564.51</v>
      </c>
      <c r="H10193" s="267">
        <v>120119.81</v>
      </c>
      <c r="I10193" s="267">
        <v>31567.5</v>
      </c>
      <c r="J10193" s="267">
        <v>74202.17</v>
      </c>
      <c r="K10193" s="267">
        <v>14350.14</v>
      </c>
      <c r="L10193" s="43">
        <v>5.9839843973786397</v>
      </c>
      <c r="M10193" s="43">
        <v>11.5</v>
      </c>
      <c r="N10193" s="43">
        <v>5.3910167363651951</v>
      </c>
      <c r="O10193" s="43">
        <v>4.0258380534771954</v>
      </c>
      <c r="P10193" s="268"/>
      <c r="Q10193" s="268"/>
      <c r="R10193" s="268">
        <v>1</v>
      </c>
    </row>
    <row r="10194" spans="1:18" ht="24">
      <c r="A10194" s="264">
        <v>78</v>
      </c>
      <c r="B10194" s="261" t="s">
        <v>18670</v>
      </c>
      <c r="C10194" s="265" t="s">
        <v>18671</v>
      </c>
      <c r="D10194" s="266">
        <v>8158.32</v>
      </c>
      <c r="E10194" s="266">
        <v>1827.04</v>
      </c>
      <c r="F10194" s="266">
        <v>3643.37</v>
      </c>
      <c r="G10194" s="266">
        <v>2687.91</v>
      </c>
      <c r="H10194" s="267">
        <v>54561.64</v>
      </c>
      <c r="I10194" s="267">
        <v>21010.959999999999</v>
      </c>
      <c r="J10194" s="267">
        <v>20905.75</v>
      </c>
      <c r="K10194" s="267">
        <v>12644.93</v>
      </c>
      <c r="L10194" s="43">
        <v>6.6878524009845162</v>
      </c>
      <c r="M10194" s="43">
        <v>11.5</v>
      </c>
      <c r="N10194" s="43">
        <v>5.7380255093498604</v>
      </c>
      <c r="O10194" s="43">
        <v>4.7043725422354177</v>
      </c>
      <c r="P10194" s="268"/>
      <c r="Q10194" s="268"/>
      <c r="R10194" s="268">
        <v>1</v>
      </c>
    </row>
    <row r="10195" spans="1:18" ht="24">
      <c r="A10195" s="264">
        <v>79</v>
      </c>
      <c r="B10195" s="261" t="s">
        <v>18672</v>
      </c>
      <c r="C10195" s="265" t="s">
        <v>18673</v>
      </c>
      <c r="D10195" s="266">
        <v>10084.620000000001</v>
      </c>
      <c r="E10195" s="266">
        <v>1995.32</v>
      </c>
      <c r="F10195" s="266">
        <v>4569.9799999999996</v>
      </c>
      <c r="G10195" s="266">
        <v>3519.32</v>
      </c>
      <c r="H10195" s="267">
        <v>65292.45</v>
      </c>
      <c r="I10195" s="267">
        <v>22946.18</v>
      </c>
      <c r="J10195" s="267">
        <v>26227.56</v>
      </c>
      <c r="K10195" s="267">
        <v>16118.71</v>
      </c>
      <c r="L10195" s="43">
        <v>6.4744581352594341</v>
      </c>
      <c r="M10195" s="43">
        <v>11.5</v>
      </c>
      <c r="N10195" s="43">
        <v>5.7390973264653242</v>
      </c>
      <c r="O10195" s="43">
        <v>4.5800637623177201</v>
      </c>
      <c r="P10195" s="268"/>
      <c r="Q10195" s="268"/>
      <c r="R10195" s="268">
        <v>1</v>
      </c>
    </row>
    <row r="10196" spans="1:18" ht="24">
      <c r="A10196" s="264">
        <v>80</v>
      </c>
      <c r="B10196" s="261" t="s">
        <v>18674</v>
      </c>
      <c r="C10196" s="265" t="s">
        <v>18675</v>
      </c>
      <c r="D10196" s="266">
        <v>42603.44</v>
      </c>
      <c r="E10196" s="266">
        <v>6190.3</v>
      </c>
      <c r="F10196" s="266">
        <v>25888.9</v>
      </c>
      <c r="G10196" s="266">
        <v>10524.24</v>
      </c>
      <c r="H10196" s="267">
        <v>269010.67</v>
      </c>
      <c r="I10196" s="267">
        <v>71188.45</v>
      </c>
      <c r="J10196" s="267">
        <v>142096.24</v>
      </c>
      <c r="K10196" s="267">
        <v>55725.98</v>
      </c>
      <c r="L10196" s="43">
        <v>6.3142945733959506</v>
      </c>
      <c r="M10196" s="43">
        <v>11.5</v>
      </c>
      <c r="N10196" s="43">
        <v>5.4886936100027421</v>
      </c>
      <c r="O10196" s="43">
        <v>5.2950122764209109</v>
      </c>
      <c r="P10196" s="268"/>
      <c r="Q10196" s="268"/>
      <c r="R10196" s="268">
        <v>1</v>
      </c>
    </row>
    <row r="10197" spans="1:18" ht="24">
      <c r="A10197" s="264">
        <v>81</v>
      </c>
      <c r="B10197" s="261" t="s">
        <v>18676</v>
      </c>
      <c r="C10197" s="265" t="s">
        <v>18677</v>
      </c>
      <c r="D10197" s="266">
        <v>7711.24</v>
      </c>
      <c r="E10197" s="266">
        <v>1274.1199999999999</v>
      </c>
      <c r="F10197" s="266">
        <v>4579.2299999999996</v>
      </c>
      <c r="G10197" s="266">
        <v>1857.89</v>
      </c>
      <c r="H10197" s="267">
        <v>47135.199999999997</v>
      </c>
      <c r="I10197" s="267">
        <v>14652.38</v>
      </c>
      <c r="J10197" s="267">
        <v>24926.04</v>
      </c>
      <c r="K10197" s="267">
        <v>7556.78</v>
      </c>
      <c r="L10197" s="43">
        <v>6.1125318366436527</v>
      </c>
      <c r="M10197" s="43">
        <v>11.5</v>
      </c>
      <c r="N10197" s="43">
        <v>5.4432819491486564</v>
      </c>
      <c r="O10197" s="43">
        <v>4.0673990386944325</v>
      </c>
      <c r="P10197" s="268"/>
      <c r="Q10197" s="268"/>
      <c r="R10197" s="268">
        <v>1</v>
      </c>
    </row>
    <row r="10198" spans="1:18" ht="24">
      <c r="A10198" s="264">
        <v>82</v>
      </c>
      <c r="B10198" s="261" t="s">
        <v>18678</v>
      </c>
      <c r="C10198" s="265" t="s">
        <v>18679</v>
      </c>
      <c r="D10198" s="266">
        <v>9598.92</v>
      </c>
      <c r="E10198" s="266">
        <v>1742.9</v>
      </c>
      <c r="F10198" s="266">
        <v>5372.04</v>
      </c>
      <c r="G10198" s="266">
        <v>2483.98</v>
      </c>
      <c r="H10198" s="267">
        <v>59240.92</v>
      </c>
      <c r="I10198" s="267">
        <v>20043.349999999999</v>
      </c>
      <c r="J10198" s="267">
        <v>29258.86</v>
      </c>
      <c r="K10198" s="267">
        <v>9938.7099999999991</v>
      </c>
      <c r="L10198" s="43">
        <v>6.171623474307526</v>
      </c>
      <c r="M10198" s="43">
        <v>11.499999999999998</v>
      </c>
      <c r="N10198" s="43">
        <v>5.4465082166178957</v>
      </c>
      <c r="O10198" s="43">
        <v>4.001123197449254</v>
      </c>
      <c r="P10198" s="268"/>
      <c r="Q10198" s="268"/>
      <c r="R10198" s="268">
        <v>1</v>
      </c>
    </row>
    <row r="10199" spans="1:18" ht="24">
      <c r="A10199" s="264">
        <v>83</v>
      </c>
      <c r="B10199" s="261" t="s">
        <v>18680</v>
      </c>
      <c r="C10199" s="265" t="s">
        <v>18681</v>
      </c>
      <c r="D10199" s="266">
        <v>10839.72</v>
      </c>
      <c r="E10199" s="266">
        <v>1478.46</v>
      </c>
      <c r="F10199" s="266">
        <v>6176.67</v>
      </c>
      <c r="G10199" s="266">
        <v>3184.59</v>
      </c>
      <c r="H10199" s="267">
        <v>63030.34</v>
      </c>
      <c r="I10199" s="267">
        <v>17002.29</v>
      </c>
      <c r="J10199" s="267">
        <v>33641.39</v>
      </c>
      <c r="K10199" s="267">
        <v>12386.66</v>
      </c>
      <c r="L10199" s="43">
        <v>5.8147572077507537</v>
      </c>
      <c r="M10199" s="43">
        <v>11.5</v>
      </c>
      <c r="N10199" s="43">
        <v>5.4465253931325455</v>
      </c>
      <c r="O10199" s="43">
        <v>3.8895619216288435</v>
      </c>
      <c r="P10199" s="268"/>
      <c r="Q10199" s="268"/>
      <c r="R10199" s="268">
        <v>1</v>
      </c>
    </row>
    <row r="10200" spans="1:18" ht="24">
      <c r="A10200" s="264">
        <v>84</v>
      </c>
      <c r="B10200" s="261" t="s">
        <v>18682</v>
      </c>
      <c r="C10200" s="265" t="s">
        <v>18683</v>
      </c>
      <c r="D10200" s="266">
        <v>3924.54</v>
      </c>
      <c r="E10200" s="266">
        <v>1101.03</v>
      </c>
      <c r="F10200" s="266">
        <v>1572.8</v>
      </c>
      <c r="G10200" s="266">
        <v>1250.71</v>
      </c>
      <c r="H10200" s="267">
        <v>26227.31</v>
      </c>
      <c r="I10200" s="267">
        <v>12661.87</v>
      </c>
      <c r="J10200" s="267">
        <v>8510.61</v>
      </c>
      <c r="K10200" s="267">
        <v>5054.83</v>
      </c>
      <c r="L10200" s="43">
        <v>6.6829004163545287</v>
      </c>
      <c r="M10200" s="43">
        <v>11.500022706011645</v>
      </c>
      <c r="N10200" s="43">
        <v>5.4111202950152597</v>
      </c>
      <c r="O10200" s="43">
        <v>4.0415683891549596</v>
      </c>
      <c r="P10200" s="268"/>
      <c r="Q10200" s="268"/>
      <c r="R10200" s="268">
        <v>1</v>
      </c>
    </row>
    <row r="10201" spans="1:18" ht="24">
      <c r="A10201" s="264">
        <v>85</v>
      </c>
      <c r="B10201" s="261" t="s">
        <v>18684</v>
      </c>
      <c r="C10201" s="265" t="s">
        <v>18685</v>
      </c>
      <c r="D10201" s="266">
        <v>10483.89</v>
      </c>
      <c r="E10201" s="266">
        <v>2740.56</v>
      </c>
      <c r="F10201" s="266">
        <v>4522.96</v>
      </c>
      <c r="G10201" s="266">
        <v>3220.37</v>
      </c>
      <c r="H10201" s="267">
        <v>69042.66</v>
      </c>
      <c r="I10201" s="267">
        <v>31516.44</v>
      </c>
      <c r="J10201" s="267">
        <v>24758.9</v>
      </c>
      <c r="K10201" s="267">
        <v>12767.32</v>
      </c>
      <c r="L10201" s="43">
        <v>6.585595613841809</v>
      </c>
      <c r="M10201" s="43">
        <v>11.5</v>
      </c>
      <c r="N10201" s="43">
        <v>5.4740479685869436</v>
      </c>
      <c r="O10201" s="43">
        <v>3.9645506572226172</v>
      </c>
      <c r="P10201" s="268"/>
      <c r="Q10201" s="268"/>
      <c r="R10201" s="268">
        <v>1</v>
      </c>
    </row>
    <row r="10202" spans="1:18" ht="24">
      <c r="A10202" s="264">
        <v>86</v>
      </c>
      <c r="B10202" s="261" t="s">
        <v>18686</v>
      </c>
      <c r="C10202" s="265" t="s">
        <v>18687</v>
      </c>
      <c r="D10202" s="266">
        <v>4196.43</v>
      </c>
      <c r="E10202" s="266">
        <v>1457.55</v>
      </c>
      <c r="F10202" s="266">
        <v>2056.38</v>
      </c>
      <c r="G10202" s="266">
        <v>682.5</v>
      </c>
      <c r="H10202" s="267">
        <v>31192.28</v>
      </c>
      <c r="I10202" s="267">
        <v>16762.439999999999</v>
      </c>
      <c r="J10202" s="267">
        <v>11239.21</v>
      </c>
      <c r="K10202" s="267">
        <v>3190.63</v>
      </c>
      <c r="L10202" s="43">
        <v>7.4330514270463217</v>
      </c>
      <c r="M10202" s="43">
        <v>11.50042194092827</v>
      </c>
      <c r="N10202" s="43">
        <v>5.4655316624359305</v>
      </c>
      <c r="O10202" s="43">
        <v>4.6749157509157513</v>
      </c>
      <c r="P10202" s="268"/>
      <c r="Q10202" s="268"/>
      <c r="R10202" s="268">
        <v>1</v>
      </c>
    </row>
    <row r="10203" spans="1:18" ht="24">
      <c r="A10203" s="264">
        <v>87</v>
      </c>
      <c r="B10203" s="261" t="s">
        <v>18688</v>
      </c>
      <c r="C10203" s="265" t="s">
        <v>18689</v>
      </c>
      <c r="D10203" s="266">
        <v>4169.22</v>
      </c>
      <c r="E10203" s="266">
        <v>1350.9</v>
      </c>
      <c r="F10203" s="266">
        <v>2252.4699999999998</v>
      </c>
      <c r="G10203" s="266">
        <v>565.85</v>
      </c>
      <c r="H10203" s="267">
        <v>30617.98</v>
      </c>
      <c r="I10203" s="267">
        <v>15535.92</v>
      </c>
      <c r="J10203" s="267">
        <v>12311.28</v>
      </c>
      <c r="K10203" s="267">
        <v>2770.78</v>
      </c>
      <c r="L10203" s="43">
        <v>7.3438149102230144</v>
      </c>
      <c r="M10203" s="43">
        <v>11.50042194092827</v>
      </c>
      <c r="N10203" s="43">
        <v>5.4656798980674557</v>
      </c>
      <c r="O10203" s="43">
        <v>4.8966687284616066</v>
      </c>
      <c r="P10203" s="268"/>
      <c r="Q10203" s="268"/>
      <c r="R10203" s="268">
        <v>1</v>
      </c>
    </row>
    <row r="10204" spans="1:18" ht="24">
      <c r="A10204" s="264">
        <v>88</v>
      </c>
      <c r="B10204" s="261" t="s">
        <v>18690</v>
      </c>
      <c r="C10204" s="265" t="s">
        <v>18691</v>
      </c>
      <c r="D10204" s="266">
        <v>6725.08</v>
      </c>
      <c r="E10204" s="266">
        <v>2452.08</v>
      </c>
      <c r="F10204" s="266">
        <v>3562.05</v>
      </c>
      <c r="G10204" s="266">
        <v>710.95</v>
      </c>
      <c r="H10204" s="267">
        <v>51803.4</v>
      </c>
      <c r="I10204" s="267">
        <v>28198.92</v>
      </c>
      <c r="J10204" s="267">
        <v>19085.599999999999</v>
      </c>
      <c r="K10204" s="267">
        <v>4518.88</v>
      </c>
      <c r="L10204" s="43">
        <v>7.7030161722983221</v>
      </c>
      <c r="M10204" s="43">
        <v>11.5</v>
      </c>
      <c r="N10204" s="43">
        <v>5.3580382083350875</v>
      </c>
      <c r="O10204" s="43">
        <v>6.3561150573176732</v>
      </c>
      <c r="P10204" s="268"/>
      <c r="Q10204" s="268"/>
      <c r="R10204" s="268">
        <v>1</v>
      </c>
    </row>
    <row r="10205" spans="1:18" ht="24">
      <c r="A10205" s="264">
        <v>89</v>
      </c>
      <c r="B10205" s="261" t="s">
        <v>18692</v>
      </c>
      <c r="C10205" s="265" t="s">
        <v>18693</v>
      </c>
      <c r="D10205" s="266">
        <v>3339.23</v>
      </c>
      <c r="E10205" s="266">
        <v>189.96</v>
      </c>
      <c r="F10205" s="266">
        <v>2739.66</v>
      </c>
      <c r="G10205" s="266">
        <v>409.61</v>
      </c>
      <c r="H10205" s="267">
        <v>19114.669999999998</v>
      </c>
      <c r="I10205" s="267">
        <v>2184.4899999999998</v>
      </c>
      <c r="J10205" s="267">
        <v>14676.03</v>
      </c>
      <c r="K10205" s="267">
        <v>2254.15</v>
      </c>
      <c r="L10205" s="43">
        <v>5.7242747579531805</v>
      </c>
      <c r="M10205" s="43">
        <v>11.499736786691933</v>
      </c>
      <c r="N10205" s="43">
        <v>5.3568800508092247</v>
      </c>
      <c r="O10205" s="43">
        <v>5.5031615439076198</v>
      </c>
      <c r="P10205" s="268"/>
      <c r="Q10205" s="268"/>
      <c r="R10205" s="268">
        <v>1</v>
      </c>
    </row>
    <row r="10206" spans="1:18" ht="12.75" customHeight="1">
      <c r="A10206" s="628" t="s">
        <v>18694</v>
      </c>
      <c r="B10206" s="629"/>
      <c r="C10206" s="629"/>
      <c r="D10206" s="629"/>
      <c r="E10206" s="629"/>
      <c r="F10206" s="629"/>
      <c r="G10206" s="629"/>
      <c r="H10206" s="629"/>
      <c r="I10206" s="629"/>
      <c r="J10206" s="629"/>
      <c r="K10206" s="629"/>
      <c r="L10206" s="629"/>
      <c r="M10206" s="629"/>
      <c r="N10206" s="629"/>
      <c r="O10206" s="629"/>
      <c r="P10206" s="629"/>
      <c r="Q10206" s="629"/>
      <c r="R10206" s="629"/>
    </row>
    <row r="10207" spans="1:18" ht="12.75" customHeight="1">
      <c r="A10207" s="628" t="s">
        <v>18695</v>
      </c>
      <c r="B10207" s="629"/>
      <c r="C10207" s="629"/>
      <c r="D10207" s="629"/>
      <c r="E10207" s="629"/>
      <c r="F10207" s="629"/>
      <c r="G10207" s="629"/>
      <c r="H10207" s="629"/>
      <c r="I10207" s="629"/>
      <c r="J10207" s="629"/>
      <c r="K10207" s="629"/>
      <c r="L10207" s="629"/>
      <c r="M10207" s="629"/>
      <c r="N10207" s="629"/>
      <c r="O10207" s="629"/>
      <c r="P10207" s="629"/>
      <c r="Q10207" s="629"/>
      <c r="R10207" s="629"/>
    </row>
    <row r="10208" spans="1:18" ht="24">
      <c r="A10208" s="264">
        <v>90</v>
      </c>
      <c r="B10208" s="261" t="s">
        <v>18696</v>
      </c>
      <c r="C10208" s="265" t="s">
        <v>18697</v>
      </c>
      <c r="D10208" s="266">
        <v>13865.34</v>
      </c>
      <c r="E10208" s="266">
        <v>2843.72</v>
      </c>
      <c r="F10208" s="266">
        <v>10709</v>
      </c>
      <c r="G10208" s="266">
        <v>312.62</v>
      </c>
      <c r="H10208" s="267">
        <v>95995.54</v>
      </c>
      <c r="I10208" s="267">
        <v>32702.78</v>
      </c>
      <c r="J10208" s="267">
        <v>60477.99</v>
      </c>
      <c r="K10208" s="267">
        <v>2814.77</v>
      </c>
      <c r="L10208" s="43">
        <v>6.9234176731331498</v>
      </c>
      <c r="M10208" s="43">
        <v>11.5</v>
      </c>
      <c r="N10208" s="43">
        <v>5.6473984499019512</v>
      </c>
      <c r="O10208" s="43">
        <v>9.0038065382892967</v>
      </c>
      <c r="P10208" s="268"/>
      <c r="Q10208" s="268"/>
      <c r="R10208" s="268">
        <v>1</v>
      </c>
    </row>
    <row r="10209" spans="1:18" ht="24">
      <c r="A10209" s="264">
        <v>91</v>
      </c>
      <c r="B10209" s="261" t="s">
        <v>18698</v>
      </c>
      <c r="C10209" s="265" t="s">
        <v>18699</v>
      </c>
      <c r="D10209" s="266">
        <v>32081.99</v>
      </c>
      <c r="E10209" s="266">
        <v>7081.2</v>
      </c>
      <c r="F10209" s="266">
        <v>24428.95</v>
      </c>
      <c r="G10209" s="266">
        <v>571.84</v>
      </c>
      <c r="H10209" s="267">
        <v>221087.63</v>
      </c>
      <c r="I10209" s="267">
        <v>81433.8</v>
      </c>
      <c r="J10209" s="267">
        <v>134478.76</v>
      </c>
      <c r="K10209" s="267">
        <v>5175.07</v>
      </c>
      <c r="L10209" s="43">
        <v>6.8913315539341538</v>
      </c>
      <c r="M10209" s="43">
        <v>11.5</v>
      </c>
      <c r="N10209" s="43">
        <v>5.5048931697842107</v>
      </c>
      <c r="O10209" s="43">
        <v>9.0498566032456615</v>
      </c>
      <c r="P10209" s="268"/>
      <c r="Q10209" s="268"/>
      <c r="R10209" s="268">
        <v>1</v>
      </c>
    </row>
    <row r="10210" spans="1:18" ht="24">
      <c r="A10210" s="264">
        <v>92</v>
      </c>
      <c r="B10210" s="261" t="s">
        <v>18700</v>
      </c>
      <c r="C10210" s="265" t="s">
        <v>18701</v>
      </c>
      <c r="D10210" s="266">
        <v>18444.27</v>
      </c>
      <c r="E10210" s="266">
        <v>3774.54</v>
      </c>
      <c r="F10210" s="266">
        <v>12475.84</v>
      </c>
      <c r="G10210" s="266">
        <v>2193.89</v>
      </c>
      <c r="H10210" s="267">
        <v>123168.85</v>
      </c>
      <c r="I10210" s="267">
        <v>43407.21</v>
      </c>
      <c r="J10210" s="267">
        <v>69175.08</v>
      </c>
      <c r="K10210" s="267">
        <v>10586.56</v>
      </c>
      <c r="L10210" s="43">
        <v>6.6778923752471639</v>
      </c>
      <c r="M10210" s="43">
        <v>11.5</v>
      </c>
      <c r="N10210" s="43">
        <v>5.5447232410803604</v>
      </c>
      <c r="O10210" s="43">
        <v>4.8254743856802298</v>
      </c>
      <c r="P10210" s="268"/>
      <c r="Q10210" s="268"/>
      <c r="R10210" s="268">
        <v>1</v>
      </c>
    </row>
    <row r="10211" spans="1:18" ht="12.75" customHeight="1">
      <c r="A10211" s="628" t="s">
        <v>18702</v>
      </c>
      <c r="B10211" s="629"/>
      <c r="C10211" s="629"/>
      <c r="D10211" s="629"/>
      <c r="E10211" s="629"/>
      <c r="F10211" s="629"/>
      <c r="G10211" s="629"/>
      <c r="H10211" s="629"/>
      <c r="I10211" s="629"/>
      <c r="J10211" s="629"/>
      <c r="K10211" s="629"/>
      <c r="L10211" s="629"/>
      <c r="M10211" s="629"/>
      <c r="N10211" s="629"/>
      <c r="O10211" s="629"/>
      <c r="P10211" s="629"/>
      <c r="Q10211" s="629"/>
      <c r="R10211" s="629"/>
    </row>
    <row r="10212" spans="1:18" ht="24">
      <c r="A10212" s="264">
        <v>93</v>
      </c>
      <c r="B10212" s="261" t="s">
        <v>18703</v>
      </c>
      <c r="C10212" s="265" t="s">
        <v>18704</v>
      </c>
      <c r="D10212" s="266">
        <v>11833.37</v>
      </c>
      <c r="E10212" s="266">
        <v>3175.8</v>
      </c>
      <c r="F10212" s="266">
        <v>5396.19</v>
      </c>
      <c r="G10212" s="266">
        <v>3261.38</v>
      </c>
      <c r="H10212" s="267">
        <v>80829.78</v>
      </c>
      <c r="I10212" s="267">
        <v>36523.040000000001</v>
      </c>
      <c r="J10212" s="267">
        <v>30780.84</v>
      </c>
      <c r="K10212" s="267">
        <v>13525.9</v>
      </c>
      <c r="L10212" s="43">
        <v>6.8306644683636186</v>
      </c>
      <c r="M10212" s="43">
        <v>11.50042194092827</v>
      </c>
      <c r="N10212" s="43">
        <v>5.7041801715654943</v>
      </c>
      <c r="O10212" s="43">
        <v>4.1472934769944008</v>
      </c>
      <c r="P10212" s="268"/>
      <c r="Q10212" s="268"/>
      <c r="R10212" s="268">
        <v>2</v>
      </c>
    </row>
    <row r="10213" spans="1:18" ht="24">
      <c r="A10213" s="264">
        <v>94</v>
      </c>
      <c r="B10213" s="261" t="s">
        <v>18705</v>
      </c>
      <c r="C10213" s="265" t="s">
        <v>18706</v>
      </c>
      <c r="D10213" s="266">
        <v>14821.79</v>
      </c>
      <c r="E10213" s="266">
        <v>3389.64</v>
      </c>
      <c r="F10213" s="266">
        <v>6718.94</v>
      </c>
      <c r="G10213" s="266">
        <v>4713.21</v>
      </c>
      <c r="H10213" s="267">
        <v>96501.49</v>
      </c>
      <c r="I10213" s="267">
        <v>38980.86</v>
      </c>
      <c r="J10213" s="267">
        <v>38321.68</v>
      </c>
      <c r="K10213" s="267">
        <v>19198.95</v>
      </c>
      <c r="L10213" s="43">
        <v>6.5107851345890069</v>
      </c>
      <c r="M10213" s="43">
        <v>11.5</v>
      </c>
      <c r="N10213" s="43">
        <v>5.703530616436522</v>
      </c>
      <c r="O10213" s="43">
        <v>4.0734340290375348</v>
      </c>
      <c r="P10213" s="268"/>
      <c r="Q10213" s="268"/>
      <c r="R10213" s="268">
        <v>2</v>
      </c>
    </row>
    <row r="10214" spans="1:18" ht="24">
      <c r="A10214" s="264">
        <v>95</v>
      </c>
      <c r="B10214" s="261" t="s">
        <v>18707</v>
      </c>
      <c r="C10214" s="265" t="s">
        <v>18708</v>
      </c>
      <c r="D10214" s="266">
        <v>22768.78</v>
      </c>
      <c r="E10214" s="266">
        <v>4627.7</v>
      </c>
      <c r="F10214" s="266">
        <v>11552.18</v>
      </c>
      <c r="G10214" s="266">
        <v>6588.9</v>
      </c>
      <c r="H10214" s="267">
        <v>144550.88</v>
      </c>
      <c r="I10214" s="267">
        <v>53218.55</v>
      </c>
      <c r="J10214" s="267">
        <v>63864.44</v>
      </c>
      <c r="K10214" s="267">
        <v>27467.89</v>
      </c>
      <c r="L10214" s="43">
        <v>6.3486440643723556</v>
      </c>
      <c r="M10214" s="43">
        <v>11.500000000000002</v>
      </c>
      <c r="N10214" s="43">
        <v>5.5283452993287847</v>
      </c>
      <c r="O10214" s="43">
        <v>4.1688127001472175</v>
      </c>
      <c r="P10214" s="268"/>
      <c r="Q10214" s="268"/>
      <c r="R10214" s="268">
        <v>2</v>
      </c>
    </row>
    <row r="10215" spans="1:18" ht="24">
      <c r="A10215" s="264">
        <v>96</v>
      </c>
      <c r="B10215" s="261" t="s">
        <v>18709</v>
      </c>
      <c r="C10215" s="265" t="s">
        <v>18710</v>
      </c>
      <c r="D10215" s="266">
        <v>6203.77</v>
      </c>
      <c r="E10215" s="266">
        <v>1051.0999999999999</v>
      </c>
      <c r="F10215" s="266">
        <v>3507.1</v>
      </c>
      <c r="G10215" s="266">
        <v>1645.57</v>
      </c>
      <c r="H10215" s="267">
        <v>38983.360000000001</v>
      </c>
      <c r="I10215" s="267">
        <v>12088.04</v>
      </c>
      <c r="J10215" s="267">
        <v>20403.36</v>
      </c>
      <c r="K10215" s="267">
        <v>6491.96</v>
      </c>
      <c r="L10215" s="43">
        <v>6.2838177430820288</v>
      </c>
      <c r="M10215" s="43">
        <v>11.500371039863003</v>
      </c>
      <c r="N10215" s="43">
        <v>5.8177297482250294</v>
      </c>
      <c r="O10215" s="43">
        <v>3.9451132434354057</v>
      </c>
      <c r="P10215" s="268"/>
      <c r="Q10215" s="268"/>
      <c r="R10215" s="268">
        <v>2</v>
      </c>
    </row>
    <row r="10216" spans="1:18" ht="24">
      <c r="A10216" s="264">
        <v>97</v>
      </c>
      <c r="B10216" s="261" t="s">
        <v>18711</v>
      </c>
      <c r="C10216" s="265" t="s">
        <v>18712</v>
      </c>
      <c r="D10216" s="266">
        <v>8352.8799999999992</v>
      </c>
      <c r="E10216" s="266">
        <v>1244.25</v>
      </c>
      <c r="F10216" s="266">
        <v>3959.31</v>
      </c>
      <c r="G10216" s="266">
        <v>3149.32</v>
      </c>
      <c r="H10216" s="267">
        <v>49014.43</v>
      </c>
      <c r="I10216" s="267">
        <v>14309.4</v>
      </c>
      <c r="J10216" s="267">
        <v>23040.2</v>
      </c>
      <c r="K10216" s="267">
        <v>11664.83</v>
      </c>
      <c r="L10216" s="43">
        <v>5.8679676949746682</v>
      </c>
      <c r="M10216" s="43">
        <v>11.50042194092827</v>
      </c>
      <c r="N10216" s="43">
        <v>5.8192462828119043</v>
      </c>
      <c r="O10216" s="43">
        <v>3.7039202113472114</v>
      </c>
      <c r="P10216" s="268"/>
      <c r="Q10216" s="268"/>
      <c r="R10216" s="268">
        <v>2</v>
      </c>
    </row>
    <row r="10217" spans="1:18" ht="24">
      <c r="A10217" s="264">
        <v>98</v>
      </c>
      <c r="B10217" s="261" t="s">
        <v>18713</v>
      </c>
      <c r="C10217" s="265" t="s">
        <v>18714</v>
      </c>
      <c r="D10217" s="266">
        <v>9730.75</v>
      </c>
      <c r="E10217" s="266">
        <v>1490.48</v>
      </c>
      <c r="F10217" s="266">
        <v>4387.75</v>
      </c>
      <c r="G10217" s="266">
        <v>3852.52</v>
      </c>
      <c r="H10217" s="267">
        <v>57490.53</v>
      </c>
      <c r="I10217" s="267">
        <v>17140.52</v>
      </c>
      <c r="J10217" s="267">
        <v>25526.76</v>
      </c>
      <c r="K10217" s="267">
        <v>14823.25</v>
      </c>
      <c r="L10217" s="43">
        <v>5.9081293836549085</v>
      </c>
      <c r="M10217" s="43">
        <v>11.5</v>
      </c>
      <c r="N10217" s="43">
        <v>5.8177334624807697</v>
      </c>
      <c r="O10217" s="43">
        <v>3.8476763261449647</v>
      </c>
      <c r="P10217" s="268"/>
      <c r="Q10217" s="268"/>
      <c r="R10217" s="268">
        <v>2</v>
      </c>
    </row>
    <row r="10218" spans="1:18" ht="24">
      <c r="A10218" s="264">
        <v>99</v>
      </c>
      <c r="B10218" s="261" t="s">
        <v>18715</v>
      </c>
      <c r="C10218" s="265" t="s">
        <v>18716</v>
      </c>
      <c r="D10218" s="266">
        <v>10963.81</v>
      </c>
      <c r="E10218" s="266">
        <v>1634.72</v>
      </c>
      <c r="F10218" s="266">
        <v>4835.22</v>
      </c>
      <c r="G10218" s="266">
        <v>4493.87</v>
      </c>
      <c r="H10218" s="267">
        <v>64105.760000000002</v>
      </c>
      <c r="I10218" s="267">
        <v>18799.28</v>
      </c>
      <c r="J10218" s="267">
        <v>28138.9</v>
      </c>
      <c r="K10218" s="267">
        <v>17167.580000000002</v>
      </c>
      <c r="L10218" s="43">
        <v>5.8470331025437332</v>
      </c>
      <c r="M10218" s="43">
        <v>11.499999999999998</v>
      </c>
      <c r="N10218" s="43">
        <v>5.8195697403634163</v>
      </c>
      <c r="O10218" s="43">
        <v>3.8202217687650069</v>
      </c>
      <c r="P10218" s="268"/>
      <c r="Q10218" s="268"/>
      <c r="R10218" s="268">
        <v>2</v>
      </c>
    </row>
    <row r="10219" spans="1:18" ht="24">
      <c r="A10219" s="264">
        <v>100</v>
      </c>
      <c r="B10219" s="261" t="s">
        <v>18717</v>
      </c>
      <c r="C10219" s="265" t="s">
        <v>18718</v>
      </c>
      <c r="D10219" s="266">
        <v>11786.91</v>
      </c>
      <c r="E10219" s="266">
        <v>2666.25</v>
      </c>
      <c r="F10219" s="266">
        <v>6024.59</v>
      </c>
      <c r="G10219" s="266">
        <v>3096.07</v>
      </c>
      <c r="H10219" s="267">
        <v>76169.5</v>
      </c>
      <c r="I10219" s="267">
        <v>30663</v>
      </c>
      <c r="J10219" s="267">
        <v>32753.69</v>
      </c>
      <c r="K10219" s="267">
        <v>12752.81</v>
      </c>
      <c r="L10219" s="43">
        <v>6.4622110459823654</v>
      </c>
      <c r="M10219" s="43">
        <v>11.50042194092827</v>
      </c>
      <c r="N10219" s="43">
        <v>5.4366670595011444</v>
      </c>
      <c r="O10219" s="43">
        <v>4.1190315464443632</v>
      </c>
      <c r="P10219" s="268"/>
      <c r="Q10219" s="268"/>
      <c r="R10219" s="268">
        <v>2</v>
      </c>
    </row>
    <row r="10220" spans="1:18" ht="12.75" customHeight="1">
      <c r="A10220" s="628" t="s">
        <v>18719</v>
      </c>
      <c r="B10220" s="629"/>
      <c r="C10220" s="629"/>
      <c r="D10220" s="629"/>
      <c r="E10220" s="629"/>
      <c r="F10220" s="629"/>
      <c r="G10220" s="629"/>
      <c r="H10220" s="629"/>
      <c r="I10220" s="629"/>
      <c r="J10220" s="629"/>
      <c r="K10220" s="629"/>
      <c r="L10220" s="629"/>
      <c r="M10220" s="629"/>
      <c r="N10220" s="629"/>
      <c r="O10220" s="629"/>
      <c r="P10220" s="629"/>
      <c r="Q10220" s="629"/>
      <c r="R10220" s="629"/>
    </row>
    <row r="10221" spans="1:18" ht="12.75" customHeight="1">
      <c r="A10221" s="628" t="s">
        <v>18720</v>
      </c>
      <c r="B10221" s="629"/>
      <c r="C10221" s="629"/>
      <c r="D10221" s="629"/>
      <c r="E10221" s="629"/>
      <c r="F10221" s="629"/>
      <c r="G10221" s="629"/>
      <c r="H10221" s="629"/>
      <c r="I10221" s="629"/>
      <c r="J10221" s="629"/>
      <c r="K10221" s="629"/>
      <c r="L10221" s="629"/>
      <c r="M10221" s="629"/>
      <c r="N10221" s="629"/>
      <c r="O10221" s="629"/>
      <c r="P10221" s="629"/>
      <c r="Q10221" s="629"/>
      <c r="R10221" s="629"/>
    </row>
    <row r="10222" spans="1:18" ht="24">
      <c r="A10222" s="264">
        <v>101</v>
      </c>
      <c r="B10222" s="261" t="s">
        <v>18721</v>
      </c>
      <c r="C10222" s="265" t="s">
        <v>18722</v>
      </c>
      <c r="D10222" s="266">
        <v>1507.1</v>
      </c>
      <c r="E10222" s="266">
        <v>1012.61</v>
      </c>
      <c r="F10222" s="266">
        <v>397.23</v>
      </c>
      <c r="G10222" s="266">
        <v>97.26</v>
      </c>
      <c r="H10222" s="267">
        <v>14819.04</v>
      </c>
      <c r="I10222" s="267">
        <v>11645.44</v>
      </c>
      <c r="J10222" s="267">
        <v>2289.41</v>
      </c>
      <c r="K10222" s="267">
        <v>884.19</v>
      </c>
      <c r="L10222" s="43">
        <v>9.8328179948244987</v>
      </c>
      <c r="M10222" s="43">
        <v>11.50041970748857</v>
      </c>
      <c r="N10222" s="43">
        <v>5.7634367998388836</v>
      </c>
      <c r="O10222" s="43">
        <v>9.0909932140653922</v>
      </c>
      <c r="P10222" s="268"/>
      <c r="Q10222" s="268"/>
      <c r="R10222" s="268">
        <v>1</v>
      </c>
    </row>
    <row r="10223" spans="1:18" ht="24">
      <c r="A10223" s="264">
        <v>102</v>
      </c>
      <c r="B10223" s="261" t="s">
        <v>18723</v>
      </c>
      <c r="C10223" s="265" t="s">
        <v>18724</v>
      </c>
      <c r="D10223" s="266">
        <v>1514.06</v>
      </c>
      <c r="E10223" s="266">
        <v>1176.48</v>
      </c>
      <c r="F10223" s="266">
        <v>283.01</v>
      </c>
      <c r="G10223" s="266">
        <v>54.57</v>
      </c>
      <c r="H10223" s="267">
        <v>15685.78</v>
      </c>
      <c r="I10223" s="267">
        <v>13529.52</v>
      </c>
      <c r="J10223" s="267">
        <v>1623.07</v>
      </c>
      <c r="K10223" s="267">
        <v>533.19000000000005</v>
      </c>
      <c r="L10223" s="43">
        <v>10.360078200335522</v>
      </c>
      <c r="M10223" s="43">
        <v>11.5</v>
      </c>
      <c r="N10223" s="43">
        <v>5.7350270308469664</v>
      </c>
      <c r="O10223" s="43">
        <v>9.7707531610775167</v>
      </c>
      <c r="P10223" s="268"/>
      <c r="Q10223" s="268"/>
      <c r="R10223" s="268">
        <v>1</v>
      </c>
    </row>
    <row r="10224" spans="1:18" ht="12.75" customHeight="1">
      <c r="A10224" s="628" t="s">
        <v>18725</v>
      </c>
      <c r="B10224" s="629"/>
      <c r="C10224" s="629"/>
      <c r="D10224" s="629"/>
      <c r="E10224" s="629"/>
      <c r="F10224" s="629"/>
      <c r="G10224" s="629"/>
      <c r="H10224" s="629"/>
      <c r="I10224" s="629"/>
      <c r="J10224" s="629"/>
      <c r="K10224" s="629"/>
      <c r="L10224" s="629"/>
      <c r="M10224" s="629"/>
      <c r="N10224" s="629"/>
      <c r="O10224" s="629"/>
      <c r="P10224" s="629"/>
      <c r="Q10224" s="629"/>
      <c r="R10224" s="629"/>
    </row>
    <row r="10225" spans="1:18" ht="24">
      <c r="A10225" s="264">
        <v>103</v>
      </c>
      <c r="B10225" s="261" t="s">
        <v>18726</v>
      </c>
      <c r="C10225" s="265" t="s">
        <v>18727</v>
      </c>
      <c r="D10225" s="266">
        <v>155798.32</v>
      </c>
      <c r="E10225" s="266">
        <v>37434.42</v>
      </c>
      <c r="F10225" s="266">
        <v>107375</v>
      </c>
      <c r="G10225" s="266">
        <v>10988.9</v>
      </c>
      <c r="H10225" s="267">
        <v>1134256.6599999999</v>
      </c>
      <c r="I10225" s="267">
        <v>430512.12</v>
      </c>
      <c r="J10225" s="267">
        <v>634352.07999999996</v>
      </c>
      <c r="K10225" s="267">
        <v>69392.460000000006</v>
      </c>
      <c r="L10225" s="43">
        <v>7.2802881314766417</v>
      </c>
      <c r="M10225" s="43">
        <v>11.500435161009573</v>
      </c>
      <c r="N10225" s="43">
        <v>5.9078191385331777</v>
      </c>
      <c r="O10225" s="43">
        <v>6.3147776392541575</v>
      </c>
      <c r="P10225" s="268"/>
      <c r="Q10225" s="268"/>
      <c r="R10225" s="268">
        <v>2</v>
      </c>
    </row>
    <row r="10226" spans="1:18" ht="36">
      <c r="A10226" s="264">
        <v>104</v>
      </c>
      <c r="B10226" s="261" t="s">
        <v>18728</v>
      </c>
      <c r="C10226" s="265" t="s">
        <v>18729</v>
      </c>
      <c r="D10226" s="266">
        <v>201508.4</v>
      </c>
      <c r="E10226" s="266">
        <v>52052.44</v>
      </c>
      <c r="F10226" s="266">
        <v>134041.53</v>
      </c>
      <c r="G10226" s="266">
        <v>15414.43</v>
      </c>
      <c r="H10226" s="267">
        <v>1492282.35</v>
      </c>
      <c r="I10226" s="267">
        <v>598603.06000000006</v>
      </c>
      <c r="J10226" s="267">
        <v>791658.28</v>
      </c>
      <c r="K10226" s="267">
        <v>102021.01</v>
      </c>
      <c r="L10226" s="43">
        <v>7.4055590238421827</v>
      </c>
      <c r="M10226" s="43">
        <v>11.5</v>
      </c>
      <c r="N10226" s="43">
        <v>5.9060671718683011</v>
      </c>
      <c r="O10226" s="43">
        <v>6.6185392518568635</v>
      </c>
      <c r="P10226" s="268"/>
      <c r="Q10226" s="268"/>
      <c r="R10226" s="268">
        <v>2</v>
      </c>
    </row>
    <row r="10227" spans="1:18" ht="24">
      <c r="A10227" s="264">
        <v>105</v>
      </c>
      <c r="B10227" s="261" t="s">
        <v>18730</v>
      </c>
      <c r="C10227" s="265" t="s">
        <v>18731</v>
      </c>
      <c r="D10227" s="266">
        <v>44125.58</v>
      </c>
      <c r="E10227" s="266">
        <v>8678.44</v>
      </c>
      <c r="F10227" s="266">
        <v>32074.85</v>
      </c>
      <c r="G10227" s="266">
        <v>3372.29</v>
      </c>
      <c r="H10227" s="267">
        <v>305437.59999999998</v>
      </c>
      <c r="I10227" s="267">
        <v>99802.06</v>
      </c>
      <c r="J10227" s="267">
        <v>182760.34</v>
      </c>
      <c r="K10227" s="267">
        <v>22875.200000000001</v>
      </c>
      <c r="L10227" s="43">
        <v>6.9220075974072177</v>
      </c>
      <c r="M10227" s="43">
        <v>11.499999999999998</v>
      </c>
      <c r="N10227" s="43">
        <v>5.6979328040505255</v>
      </c>
      <c r="O10227" s="43">
        <v>6.7832837626657261</v>
      </c>
      <c r="P10227" s="268"/>
      <c r="Q10227" s="268"/>
      <c r="R10227" s="268">
        <v>2</v>
      </c>
    </row>
    <row r="10228" spans="1:18" ht="12.75" customHeight="1">
      <c r="A10228" s="628" t="s">
        <v>18732</v>
      </c>
      <c r="B10228" s="629"/>
      <c r="C10228" s="629"/>
      <c r="D10228" s="629"/>
      <c r="E10228" s="629"/>
      <c r="F10228" s="629"/>
      <c r="G10228" s="629"/>
      <c r="H10228" s="629"/>
      <c r="I10228" s="629"/>
      <c r="J10228" s="629"/>
      <c r="K10228" s="629"/>
      <c r="L10228" s="629"/>
      <c r="M10228" s="629"/>
      <c r="N10228" s="629"/>
      <c r="O10228" s="629"/>
      <c r="P10228" s="629"/>
      <c r="Q10228" s="629"/>
      <c r="R10228" s="629"/>
    </row>
    <row r="10229" spans="1:18" ht="12.75" customHeight="1">
      <c r="A10229" s="628" t="s">
        <v>18733</v>
      </c>
      <c r="B10229" s="629"/>
      <c r="C10229" s="629"/>
      <c r="D10229" s="629"/>
      <c r="E10229" s="629"/>
      <c r="F10229" s="629"/>
      <c r="G10229" s="629"/>
      <c r="H10229" s="629"/>
      <c r="I10229" s="629"/>
      <c r="J10229" s="629"/>
      <c r="K10229" s="629"/>
      <c r="L10229" s="629"/>
      <c r="M10229" s="629"/>
      <c r="N10229" s="629"/>
      <c r="O10229" s="629"/>
      <c r="P10229" s="629"/>
      <c r="Q10229" s="629"/>
      <c r="R10229" s="629"/>
    </row>
    <row r="10230" spans="1:18" ht="24">
      <c r="A10230" s="264">
        <v>106</v>
      </c>
      <c r="B10230" s="261" t="s">
        <v>18734</v>
      </c>
      <c r="C10230" s="265" t="s">
        <v>18735</v>
      </c>
      <c r="D10230" s="266">
        <v>19089.39</v>
      </c>
      <c r="E10230" s="266">
        <v>2147.2800000000002</v>
      </c>
      <c r="F10230" s="266">
        <v>16765.919999999998</v>
      </c>
      <c r="G10230" s="266">
        <v>176.19</v>
      </c>
      <c r="H10230" s="267">
        <v>113721.75</v>
      </c>
      <c r="I10230" s="267">
        <v>24694.639999999999</v>
      </c>
      <c r="J10230" s="267">
        <v>87822.51</v>
      </c>
      <c r="K10230" s="267">
        <v>1204.5999999999999</v>
      </c>
      <c r="L10230" s="43">
        <v>5.9573276044965295</v>
      </c>
      <c r="M10230" s="43">
        <v>11.500428449014565</v>
      </c>
      <c r="N10230" s="43">
        <v>5.2381563314151567</v>
      </c>
      <c r="O10230" s="43">
        <v>6.8369373971281</v>
      </c>
      <c r="P10230" s="268"/>
      <c r="Q10230" s="268"/>
      <c r="R10230" s="268">
        <v>1</v>
      </c>
    </row>
    <row r="10231" spans="1:18" ht="24">
      <c r="A10231" s="264">
        <v>107</v>
      </c>
      <c r="B10231" s="261" t="s">
        <v>18736</v>
      </c>
      <c r="C10231" s="265" t="s">
        <v>18737</v>
      </c>
      <c r="D10231" s="266">
        <v>20091.169999999998</v>
      </c>
      <c r="E10231" s="266">
        <v>2263.98</v>
      </c>
      <c r="F10231" s="266">
        <v>17648.669999999998</v>
      </c>
      <c r="G10231" s="266">
        <v>178.52</v>
      </c>
      <c r="H10231" s="267">
        <v>119727.64</v>
      </c>
      <c r="I10231" s="267">
        <v>26036.74</v>
      </c>
      <c r="J10231" s="267">
        <v>92459.51</v>
      </c>
      <c r="K10231" s="267">
        <v>1231.3900000000001</v>
      </c>
      <c r="L10231" s="43">
        <v>5.9592169097170551</v>
      </c>
      <c r="M10231" s="43">
        <v>11.500428449014567</v>
      </c>
      <c r="N10231" s="43">
        <v>5.2388939223182263</v>
      </c>
      <c r="O10231" s="43">
        <v>6.8977705579206816</v>
      </c>
      <c r="P10231" s="268"/>
      <c r="Q10231" s="268"/>
      <c r="R10231" s="268">
        <v>1</v>
      </c>
    </row>
    <row r="10232" spans="1:18" ht="24">
      <c r="A10232" s="264">
        <v>108</v>
      </c>
      <c r="B10232" s="261" t="s">
        <v>18738</v>
      </c>
      <c r="C10232" s="265" t="s">
        <v>18739</v>
      </c>
      <c r="D10232" s="266">
        <v>55291.01</v>
      </c>
      <c r="E10232" s="266">
        <v>8510.16</v>
      </c>
      <c r="F10232" s="266">
        <v>44910.16</v>
      </c>
      <c r="G10232" s="266">
        <v>1870.69</v>
      </c>
      <c r="H10232" s="267">
        <v>335060.59000000003</v>
      </c>
      <c r="I10232" s="267">
        <v>97866.84</v>
      </c>
      <c r="J10232" s="267">
        <v>220846.9</v>
      </c>
      <c r="K10232" s="267">
        <v>16346.85</v>
      </c>
      <c r="L10232" s="43">
        <v>6.0599469968083417</v>
      </c>
      <c r="M10232" s="43">
        <v>11.5</v>
      </c>
      <c r="N10232" s="43">
        <v>4.9175264572649038</v>
      </c>
      <c r="O10232" s="43">
        <v>8.7384066841646657</v>
      </c>
      <c r="P10232" s="268"/>
      <c r="Q10232" s="268"/>
      <c r="R10232" s="268">
        <v>1</v>
      </c>
    </row>
    <row r="10233" spans="1:18" ht="24">
      <c r="A10233" s="264">
        <v>109</v>
      </c>
      <c r="B10233" s="261" t="s">
        <v>18740</v>
      </c>
      <c r="C10233" s="265" t="s">
        <v>18741</v>
      </c>
      <c r="D10233" s="266">
        <v>5521.36</v>
      </c>
      <c r="E10233" s="266">
        <v>3533.84</v>
      </c>
      <c r="F10233" s="266">
        <v>1916.84</v>
      </c>
      <c r="G10233" s="266">
        <v>70.680000000000007</v>
      </c>
      <c r="H10233" s="267">
        <v>52565.65</v>
      </c>
      <c r="I10233" s="267">
        <v>40639.160000000003</v>
      </c>
      <c r="J10233" s="267">
        <v>11113.67</v>
      </c>
      <c r="K10233" s="267">
        <v>812.82</v>
      </c>
      <c r="L10233" s="43">
        <v>9.5204170711563822</v>
      </c>
      <c r="M10233" s="43">
        <v>11.5</v>
      </c>
      <c r="N10233" s="43">
        <v>5.7979121888107512</v>
      </c>
      <c r="O10233" s="43">
        <v>11.5</v>
      </c>
      <c r="P10233" s="268"/>
      <c r="Q10233" s="268"/>
      <c r="R10233" s="268">
        <v>1</v>
      </c>
    </row>
    <row r="10234" spans="1:18" ht="12.75" customHeight="1">
      <c r="A10234" s="628" t="s">
        <v>18742</v>
      </c>
      <c r="B10234" s="629"/>
      <c r="C10234" s="629"/>
      <c r="D10234" s="629"/>
      <c r="E10234" s="629"/>
      <c r="F10234" s="629"/>
      <c r="G10234" s="629"/>
      <c r="H10234" s="629"/>
      <c r="I10234" s="629"/>
      <c r="J10234" s="629"/>
      <c r="K10234" s="629"/>
      <c r="L10234" s="629"/>
      <c r="M10234" s="629"/>
      <c r="N10234" s="629"/>
      <c r="O10234" s="629"/>
      <c r="P10234" s="629"/>
      <c r="Q10234" s="629"/>
      <c r="R10234" s="629"/>
    </row>
    <row r="10235" spans="1:18" ht="24">
      <c r="A10235" s="264">
        <v>110</v>
      </c>
      <c r="B10235" s="261" t="s">
        <v>18743</v>
      </c>
      <c r="C10235" s="265" t="s">
        <v>18744</v>
      </c>
      <c r="D10235" s="266">
        <v>170314.48</v>
      </c>
      <c r="E10235" s="266">
        <v>57912.36</v>
      </c>
      <c r="F10235" s="266">
        <v>80026.53</v>
      </c>
      <c r="G10235" s="266">
        <v>32375.59</v>
      </c>
      <c r="H10235" s="267">
        <v>1261031.67</v>
      </c>
      <c r="I10235" s="267">
        <v>665992.14</v>
      </c>
      <c r="J10235" s="267">
        <v>433458.16</v>
      </c>
      <c r="K10235" s="267">
        <v>161581.37</v>
      </c>
      <c r="L10235" s="43">
        <v>7.4041365713590519</v>
      </c>
      <c r="M10235" s="43">
        <v>11.5</v>
      </c>
      <c r="N10235" s="43">
        <v>5.4164307761438613</v>
      </c>
      <c r="O10235" s="43">
        <v>4.9908393947415322</v>
      </c>
      <c r="P10235" s="268"/>
      <c r="Q10235" s="268"/>
      <c r="R10235" s="268">
        <v>2</v>
      </c>
    </row>
    <row r="10236" spans="1:18" ht="24">
      <c r="A10236" s="264">
        <v>111</v>
      </c>
      <c r="B10236" s="261" t="s">
        <v>18745</v>
      </c>
      <c r="C10236" s="265" t="s">
        <v>18746</v>
      </c>
      <c r="D10236" s="266">
        <v>2219.46</v>
      </c>
      <c r="E10236" s="266">
        <v>420.7</v>
      </c>
      <c r="F10236" s="266">
        <v>1516.16</v>
      </c>
      <c r="G10236" s="266">
        <v>282.60000000000002</v>
      </c>
      <c r="H10236" s="267">
        <v>14621.76</v>
      </c>
      <c r="I10236" s="267">
        <v>4838.05</v>
      </c>
      <c r="J10236" s="267">
        <v>8549.52</v>
      </c>
      <c r="K10236" s="267">
        <v>1234.19</v>
      </c>
      <c r="L10236" s="43">
        <v>6.5879808602092398</v>
      </c>
      <c r="M10236" s="43">
        <v>11.5</v>
      </c>
      <c r="N10236" s="43">
        <v>5.6389299282397634</v>
      </c>
      <c r="O10236" s="43">
        <v>4.3672682236376499</v>
      </c>
      <c r="P10236" s="268"/>
      <c r="Q10236" s="268"/>
      <c r="R10236" s="268">
        <v>2</v>
      </c>
    </row>
    <row r="10237" spans="1:18" ht="24">
      <c r="A10237" s="264">
        <v>112</v>
      </c>
      <c r="B10237" s="261" t="s">
        <v>18747</v>
      </c>
      <c r="C10237" s="265" t="s">
        <v>18748</v>
      </c>
      <c r="D10237" s="266">
        <v>27318.63</v>
      </c>
      <c r="E10237" s="266">
        <v>5745</v>
      </c>
      <c r="F10237" s="266">
        <v>13646.36</v>
      </c>
      <c r="G10237" s="266">
        <v>7927.27</v>
      </c>
      <c r="H10237" s="267">
        <v>175028.57</v>
      </c>
      <c r="I10237" s="267">
        <v>66070</v>
      </c>
      <c r="J10237" s="267">
        <v>74715.960000000006</v>
      </c>
      <c r="K10237" s="267">
        <v>34242.61</v>
      </c>
      <c r="L10237" s="43">
        <v>6.4069307282246584</v>
      </c>
      <c r="M10237" s="43">
        <v>11.500435161009573</v>
      </c>
      <c r="N10237" s="43">
        <v>5.4751567450953953</v>
      </c>
      <c r="O10237" s="43">
        <v>4.3195967842649488</v>
      </c>
      <c r="P10237" s="268"/>
      <c r="Q10237" s="268"/>
      <c r="R10237" s="268">
        <v>2</v>
      </c>
    </row>
    <row r="10238" spans="1:18" ht="24">
      <c r="A10238" s="264">
        <v>113</v>
      </c>
      <c r="B10238" s="261" t="s">
        <v>18749</v>
      </c>
      <c r="C10238" s="265" t="s">
        <v>18750</v>
      </c>
      <c r="D10238" s="266">
        <v>13547.69</v>
      </c>
      <c r="E10238" s="266">
        <v>4361.12</v>
      </c>
      <c r="F10238" s="266">
        <v>8526.6299999999992</v>
      </c>
      <c r="G10238" s="266">
        <v>659.94</v>
      </c>
      <c r="H10238" s="267">
        <v>102816.63</v>
      </c>
      <c r="I10238" s="267">
        <v>50152.88</v>
      </c>
      <c r="J10238" s="267">
        <v>48316.17</v>
      </c>
      <c r="K10238" s="267">
        <v>4347.58</v>
      </c>
      <c r="L10238" s="43">
        <v>7.5892369843124552</v>
      </c>
      <c r="M10238" s="43">
        <v>11.5</v>
      </c>
      <c r="N10238" s="43">
        <v>5.6665024751865625</v>
      </c>
      <c r="O10238" s="43">
        <v>6.5878413189077785</v>
      </c>
      <c r="P10238" s="268"/>
      <c r="Q10238" s="268"/>
      <c r="R10238" s="268">
        <v>2</v>
      </c>
    </row>
    <row r="10239" spans="1:18" ht="12.75" customHeight="1">
      <c r="A10239" s="628" t="s">
        <v>18751</v>
      </c>
      <c r="B10239" s="629"/>
      <c r="C10239" s="629"/>
      <c r="D10239" s="629"/>
      <c r="E10239" s="629"/>
      <c r="F10239" s="629"/>
      <c r="G10239" s="629"/>
      <c r="H10239" s="629"/>
      <c r="I10239" s="629"/>
      <c r="J10239" s="629"/>
      <c r="K10239" s="629"/>
      <c r="L10239" s="629"/>
      <c r="M10239" s="629"/>
      <c r="N10239" s="629"/>
      <c r="O10239" s="629"/>
      <c r="P10239" s="629"/>
      <c r="Q10239" s="629"/>
      <c r="R10239" s="629"/>
    </row>
    <row r="10240" spans="1:18" ht="24">
      <c r="A10240" s="264">
        <v>114</v>
      </c>
      <c r="B10240" s="261" t="s">
        <v>18752</v>
      </c>
      <c r="C10240" s="265" t="s">
        <v>18753</v>
      </c>
      <c r="D10240" s="266">
        <v>754338.32</v>
      </c>
      <c r="E10240" s="266">
        <v>101458.98</v>
      </c>
      <c r="F10240" s="266">
        <v>597234.64</v>
      </c>
      <c r="G10240" s="266">
        <v>55644.7</v>
      </c>
      <c r="H10240" s="267">
        <v>4247923.37</v>
      </c>
      <c r="I10240" s="267">
        <v>1166821.74</v>
      </c>
      <c r="J10240" s="267">
        <v>2799642.98</v>
      </c>
      <c r="K10240" s="267">
        <v>281458.65000000002</v>
      </c>
      <c r="L10240" s="43">
        <v>5.6313238468383791</v>
      </c>
      <c r="M10240" s="43">
        <v>11.500428449014567</v>
      </c>
      <c r="N10240" s="43">
        <v>4.6876768233001354</v>
      </c>
      <c r="O10240" s="43">
        <v>5.0581394095035117</v>
      </c>
      <c r="P10240" s="268"/>
      <c r="Q10240" s="268"/>
      <c r="R10240" s="268">
        <v>3</v>
      </c>
    </row>
    <row r="10241" spans="1:18" ht="24">
      <c r="A10241" s="264">
        <v>115</v>
      </c>
      <c r="B10241" s="261" t="s">
        <v>18754</v>
      </c>
      <c r="C10241" s="265" t="s">
        <v>18755</v>
      </c>
      <c r="D10241" s="266">
        <v>125584.46</v>
      </c>
      <c r="E10241" s="266">
        <v>18048.599999999999</v>
      </c>
      <c r="F10241" s="266">
        <v>104139.27</v>
      </c>
      <c r="G10241" s="266">
        <v>3396.59</v>
      </c>
      <c r="H10241" s="267">
        <v>738636.6</v>
      </c>
      <c r="I10241" s="267">
        <v>207558.9</v>
      </c>
      <c r="J10241" s="267">
        <v>505886.45</v>
      </c>
      <c r="K10241" s="267">
        <v>25191.25</v>
      </c>
      <c r="L10241" s="43">
        <v>5.8815923562517201</v>
      </c>
      <c r="M10241" s="43">
        <v>11.5</v>
      </c>
      <c r="N10241" s="43">
        <v>4.8577875569897886</v>
      </c>
      <c r="O10241" s="43">
        <v>7.4166296197068231</v>
      </c>
      <c r="P10241" s="268"/>
      <c r="Q10241" s="268"/>
      <c r="R10241" s="268">
        <v>3</v>
      </c>
    </row>
    <row r="10242" spans="1:18" ht="24">
      <c r="A10242" s="264">
        <v>116</v>
      </c>
      <c r="B10242" s="261" t="s">
        <v>18756</v>
      </c>
      <c r="C10242" s="265" t="s">
        <v>18757</v>
      </c>
      <c r="D10242" s="266">
        <v>9895.89</v>
      </c>
      <c r="E10242" s="266">
        <v>2922.4</v>
      </c>
      <c r="F10242" s="266">
        <v>6625.14</v>
      </c>
      <c r="G10242" s="266">
        <v>348.35</v>
      </c>
      <c r="H10242" s="267">
        <v>72716.179999999993</v>
      </c>
      <c r="I10242" s="267">
        <v>33607.599999999999</v>
      </c>
      <c r="J10242" s="267">
        <v>36330.46</v>
      </c>
      <c r="K10242" s="267">
        <v>2778.12</v>
      </c>
      <c r="L10242" s="43">
        <v>7.3481192697170234</v>
      </c>
      <c r="M10242" s="43">
        <v>11.5</v>
      </c>
      <c r="N10242" s="43">
        <v>5.4837271363322131</v>
      </c>
      <c r="O10242" s="43">
        <v>7.9750825319362706</v>
      </c>
      <c r="P10242" s="268"/>
      <c r="Q10242" s="268"/>
      <c r="R10242" s="268">
        <v>3</v>
      </c>
    </row>
    <row r="10243" spans="1:18" ht="24">
      <c r="A10243" s="264">
        <v>117</v>
      </c>
      <c r="B10243" s="261" t="s">
        <v>18758</v>
      </c>
      <c r="C10243" s="265" t="s">
        <v>18759</v>
      </c>
      <c r="D10243" s="266">
        <v>15375.03</v>
      </c>
      <c r="E10243" s="266">
        <v>4882.2</v>
      </c>
      <c r="F10243" s="266">
        <v>8930.7000000000007</v>
      </c>
      <c r="G10243" s="266">
        <v>1562.13</v>
      </c>
      <c r="H10243" s="267">
        <v>115572.53</v>
      </c>
      <c r="I10243" s="267">
        <v>56147.360000000001</v>
      </c>
      <c r="J10243" s="267">
        <v>48860.88</v>
      </c>
      <c r="K10243" s="267">
        <v>10564.29</v>
      </c>
      <c r="L10243" s="43">
        <v>7.5168978532074409</v>
      </c>
      <c r="M10243" s="43">
        <v>11.50042194092827</v>
      </c>
      <c r="N10243" s="43">
        <v>5.4711142463636664</v>
      </c>
      <c r="O10243" s="43">
        <v>6.7627470184939797</v>
      </c>
      <c r="P10243" s="268"/>
      <c r="Q10243" s="268"/>
      <c r="R10243" s="268">
        <v>3</v>
      </c>
    </row>
    <row r="10244" spans="1:18" ht="24">
      <c r="A10244" s="264">
        <v>118</v>
      </c>
      <c r="B10244" s="261" t="s">
        <v>18760</v>
      </c>
      <c r="C10244" s="265" t="s">
        <v>18761</v>
      </c>
      <c r="D10244" s="266">
        <v>61555.75</v>
      </c>
      <c r="E10244" s="266">
        <v>13842.68</v>
      </c>
      <c r="F10244" s="266">
        <v>46074.04</v>
      </c>
      <c r="G10244" s="266">
        <v>1639.03</v>
      </c>
      <c r="H10244" s="267">
        <v>437338.3</v>
      </c>
      <c r="I10244" s="267">
        <v>159190.82</v>
      </c>
      <c r="J10244" s="267">
        <v>265153.33</v>
      </c>
      <c r="K10244" s="267">
        <v>12994.15</v>
      </c>
      <c r="L10244" s="43">
        <v>7.1047513839080834</v>
      </c>
      <c r="M10244" s="43">
        <v>11.5</v>
      </c>
      <c r="N10244" s="43">
        <v>5.7549398750359204</v>
      </c>
      <c r="O10244" s="43">
        <v>7.9279512882619594</v>
      </c>
      <c r="P10244" s="268"/>
      <c r="Q10244" s="268"/>
      <c r="R10244" s="268">
        <v>3</v>
      </c>
    </row>
    <row r="10245" spans="1:18" ht="12.75" customHeight="1">
      <c r="A10245" s="628" t="s">
        <v>18762</v>
      </c>
      <c r="B10245" s="629"/>
      <c r="C10245" s="629"/>
      <c r="D10245" s="629"/>
      <c r="E10245" s="629"/>
      <c r="F10245" s="629"/>
      <c r="G10245" s="629"/>
      <c r="H10245" s="629"/>
      <c r="I10245" s="629"/>
      <c r="J10245" s="629"/>
      <c r="K10245" s="629"/>
      <c r="L10245" s="629"/>
      <c r="M10245" s="629"/>
      <c r="N10245" s="629"/>
      <c r="O10245" s="629"/>
      <c r="P10245" s="629"/>
      <c r="Q10245" s="629"/>
      <c r="R10245" s="629"/>
    </row>
    <row r="10246" spans="1:18" ht="12.75" customHeight="1">
      <c r="A10246" s="628" t="s">
        <v>18763</v>
      </c>
      <c r="B10246" s="629"/>
      <c r="C10246" s="629"/>
      <c r="D10246" s="629"/>
      <c r="E10246" s="629"/>
      <c r="F10246" s="629"/>
      <c r="G10246" s="629"/>
      <c r="H10246" s="629"/>
      <c r="I10246" s="629"/>
      <c r="J10246" s="629"/>
      <c r="K10246" s="629"/>
      <c r="L10246" s="629"/>
      <c r="M10246" s="629"/>
      <c r="N10246" s="629"/>
      <c r="O10246" s="629"/>
      <c r="P10246" s="629"/>
      <c r="Q10246" s="629"/>
      <c r="R10246" s="629"/>
    </row>
    <row r="10247" spans="1:18" ht="24">
      <c r="A10247" s="264">
        <v>119</v>
      </c>
      <c r="B10247" s="261" t="s">
        <v>18764</v>
      </c>
      <c r="C10247" s="265" t="s">
        <v>18765</v>
      </c>
      <c r="D10247" s="266">
        <v>13200.76</v>
      </c>
      <c r="E10247" s="266">
        <v>3711.27</v>
      </c>
      <c r="F10247" s="266">
        <v>7154.28</v>
      </c>
      <c r="G10247" s="266">
        <v>2335.21</v>
      </c>
      <c r="H10247" s="267">
        <v>92414.25</v>
      </c>
      <c r="I10247" s="267">
        <v>42681.22</v>
      </c>
      <c r="J10247" s="267">
        <v>39423.089999999997</v>
      </c>
      <c r="K10247" s="267">
        <v>10309.94</v>
      </c>
      <c r="L10247" s="43">
        <v>7.0006764762028855</v>
      </c>
      <c r="M10247" s="43">
        <v>11.500435161009573</v>
      </c>
      <c r="N10247" s="43">
        <v>5.5104203357989903</v>
      </c>
      <c r="O10247" s="43">
        <v>4.4149947970418078</v>
      </c>
      <c r="P10247" s="268"/>
      <c r="Q10247" s="268"/>
      <c r="R10247" s="268">
        <v>1</v>
      </c>
    </row>
    <row r="10248" spans="1:18" ht="12.75" customHeight="1">
      <c r="A10248" s="628" t="s">
        <v>18766</v>
      </c>
      <c r="B10248" s="629"/>
      <c r="C10248" s="629"/>
      <c r="D10248" s="629"/>
      <c r="E10248" s="629"/>
      <c r="F10248" s="629"/>
      <c r="G10248" s="629"/>
      <c r="H10248" s="629"/>
      <c r="I10248" s="629"/>
      <c r="J10248" s="629"/>
      <c r="K10248" s="629"/>
      <c r="L10248" s="629"/>
      <c r="M10248" s="629"/>
      <c r="N10248" s="629"/>
      <c r="O10248" s="629"/>
      <c r="P10248" s="629"/>
      <c r="Q10248" s="629"/>
      <c r="R10248" s="629"/>
    </row>
    <row r="10249" spans="1:18" ht="12.75" customHeight="1">
      <c r="A10249" s="628" t="s">
        <v>18767</v>
      </c>
      <c r="B10249" s="629"/>
      <c r="C10249" s="629"/>
      <c r="D10249" s="629"/>
      <c r="E10249" s="629"/>
      <c r="F10249" s="629"/>
      <c r="G10249" s="629"/>
      <c r="H10249" s="629"/>
      <c r="I10249" s="629"/>
      <c r="J10249" s="629"/>
      <c r="K10249" s="629"/>
      <c r="L10249" s="629"/>
      <c r="M10249" s="629"/>
      <c r="N10249" s="629"/>
      <c r="O10249" s="629"/>
      <c r="P10249" s="629"/>
      <c r="Q10249" s="629"/>
      <c r="R10249" s="629"/>
    </row>
    <row r="10250" spans="1:18" ht="24">
      <c r="A10250" s="264">
        <v>120</v>
      </c>
      <c r="B10250" s="261" t="s">
        <v>18768</v>
      </c>
      <c r="C10250" s="265" t="s">
        <v>18769</v>
      </c>
      <c r="D10250" s="266">
        <v>918.62</v>
      </c>
      <c r="E10250" s="266">
        <v>155.12</v>
      </c>
      <c r="F10250" s="266">
        <v>566.41</v>
      </c>
      <c r="G10250" s="266">
        <v>197.09</v>
      </c>
      <c r="H10250" s="267">
        <v>6382.7</v>
      </c>
      <c r="I10250" s="267">
        <v>1783.89</v>
      </c>
      <c r="J10250" s="267">
        <v>3204.01</v>
      </c>
      <c r="K10250" s="267">
        <v>1394.8</v>
      </c>
      <c r="L10250" s="43">
        <v>6.9481396007054057</v>
      </c>
      <c r="M10250" s="43">
        <v>11.500064466219701</v>
      </c>
      <c r="N10250" s="43">
        <v>5.6566974453134664</v>
      </c>
      <c r="O10250" s="43">
        <v>7.0769699122228422</v>
      </c>
      <c r="P10250" s="268"/>
      <c r="Q10250" s="268"/>
      <c r="R10250" s="268">
        <v>1</v>
      </c>
    </row>
    <row r="10251" spans="1:18" ht="12.75" customHeight="1">
      <c r="A10251" s="628" t="s">
        <v>18770</v>
      </c>
      <c r="B10251" s="629"/>
      <c r="C10251" s="629"/>
      <c r="D10251" s="629"/>
      <c r="E10251" s="629"/>
      <c r="F10251" s="629"/>
      <c r="G10251" s="629"/>
      <c r="H10251" s="629"/>
      <c r="I10251" s="629"/>
      <c r="J10251" s="629"/>
      <c r="K10251" s="629"/>
      <c r="L10251" s="629"/>
      <c r="M10251" s="629"/>
      <c r="N10251" s="629"/>
      <c r="O10251" s="629"/>
      <c r="P10251" s="629"/>
      <c r="Q10251" s="629"/>
      <c r="R10251" s="629"/>
    </row>
    <row r="10252" spans="1:18" ht="12.75" customHeight="1">
      <c r="A10252" s="628" t="s">
        <v>2739</v>
      </c>
      <c r="B10252" s="629"/>
      <c r="C10252" s="629"/>
      <c r="D10252" s="629"/>
      <c r="E10252" s="629"/>
      <c r="F10252" s="629"/>
      <c r="G10252" s="629"/>
      <c r="H10252" s="629"/>
      <c r="I10252" s="629"/>
      <c r="J10252" s="629"/>
      <c r="K10252" s="629"/>
      <c r="L10252" s="629"/>
      <c r="M10252" s="629"/>
      <c r="N10252" s="629"/>
      <c r="O10252" s="629"/>
      <c r="P10252" s="629"/>
      <c r="Q10252" s="629"/>
      <c r="R10252" s="629"/>
    </row>
    <row r="10253" spans="1:18" ht="24">
      <c r="A10253" s="264">
        <v>121</v>
      </c>
      <c r="B10253" s="261" t="s">
        <v>18771</v>
      </c>
      <c r="C10253" s="265" t="s">
        <v>18772</v>
      </c>
      <c r="D10253" s="266">
        <v>1184.68</v>
      </c>
      <c r="E10253" s="266">
        <v>698.19</v>
      </c>
      <c r="F10253" s="266">
        <v>472.53</v>
      </c>
      <c r="G10253" s="266">
        <v>13.96</v>
      </c>
      <c r="H10253" s="267">
        <v>10751.87</v>
      </c>
      <c r="I10253" s="267">
        <v>8029.19</v>
      </c>
      <c r="J10253" s="267">
        <v>2562.14</v>
      </c>
      <c r="K10253" s="267">
        <v>160.54</v>
      </c>
      <c r="L10253" s="43">
        <v>9.0757588547118218</v>
      </c>
      <c r="M10253" s="43">
        <v>11.500007161374409</v>
      </c>
      <c r="N10253" s="43">
        <v>5.4221742534865509</v>
      </c>
      <c r="O10253" s="43">
        <v>11.499999999999998</v>
      </c>
      <c r="P10253" s="268"/>
      <c r="Q10253" s="268"/>
      <c r="R10253" s="268">
        <v>1</v>
      </c>
    </row>
    <row r="10254" spans="1:18" ht="24">
      <c r="A10254" s="269">
        <v>122</v>
      </c>
      <c r="B10254" s="270" t="s">
        <v>18773</v>
      </c>
      <c r="C10254" s="271" t="s">
        <v>18774</v>
      </c>
      <c r="D10254" s="272">
        <v>1724.21</v>
      </c>
      <c r="E10254" s="272">
        <v>757.58</v>
      </c>
      <c r="F10254" s="272">
        <v>951.48</v>
      </c>
      <c r="G10254" s="272">
        <v>15.15</v>
      </c>
      <c r="H10254" s="273">
        <v>14037.53</v>
      </c>
      <c r="I10254" s="273">
        <v>8712.1200000000008</v>
      </c>
      <c r="J10254" s="273">
        <v>5151.18</v>
      </c>
      <c r="K10254" s="273">
        <v>174.23</v>
      </c>
      <c r="L10254" s="611">
        <v>8.141427088347708</v>
      </c>
      <c r="M10254" s="611">
        <v>11.499934000369599</v>
      </c>
      <c r="N10254" s="611">
        <v>5.4138605120443941</v>
      </c>
      <c r="O10254" s="611">
        <v>11.5003300330033</v>
      </c>
      <c r="P10254" s="274"/>
      <c r="Q10254" s="274"/>
      <c r="R10254" s="274">
        <v>1</v>
      </c>
    </row>
    <row r="10255" spans="1:18" ht="12.75" customHeight="1">
      <c r="A10255" s="630" t="s">
        <v>18775</v>
      </c>
      <c r="B10255" s="631"/>
      <c r="C10255" s="631"/>
      <c r="D10255" s="631"/>
      <c r="E10255" s="631"/>
      <c r="F10255" s="631"/>
      <c r="G10255" s="631"/>
      <c r="H10255" s="631"/>
      <c r="I10255" s="631"/>
      <c r="J10255" s="631"/>
      <c r="K10255" s="631"/>
      <c r="L10255" s="631"/>
      <c r="M10255" s="631"/>
      <c r="N10255" s="631"/>
      <c r="O10255" s="631"/>
      <c r="P10255" s="631"/>
      <c r="Q10255" s="631"/>
      <c r="R10255" s="631"/>
    </row>
    <row r="10256" spans="1:18" ht="12.75" customHeight="1">
      <c r="A10256" s="628" t="s">
        <v>18776</v>
      </c>
      <c r="B10256" s="629"/>
      <c r="C10256" s="629"/>
      <c r="D10256" s="629"/>
      <c r="E10256" s="629"/>
      <c r="F10256" s="629"/>
      <c r="G10256" s="629"/>
      <c r="H10256" s="629"/>
      <c r="I10256" s="629"/>
      <c r="J10256" s="629"/>
      <c r="K10256" s="629"/>
      <c r="L10256" s="629"/>
      <c r="M10256" s="629"/>
      <c r="N10256" s="629"/>
      <c r="O10256" s="629"/>
      <c r="P10256" s="629"/>
      <c r="Q10256" s="629"/>
      <c r="R10256" s="629"/>
    </row>
    <row r="10257" spans="1:18" ht="12.75" customHeight="1">
      <c r="A10257" s="628" t="s">
        <v>18777</v>
      </c>
      <c r="B10257" s="629"/>
      <c r="C10257" s="629"/>
      <c r="D10257" s="629"/>
      <c r="E10257" s="629"/>
      <c r="F10257" s="629"/>
      <c r="G10257" s="629"/>
      <c r="H10257" s="629"/>
      <c r="I10257" s="629"/>
      <c r="J10257" s="629"/>
      <c r="K10257" s="629"/>
      <c r="L10257" s="629"/>
      <c r="M10257" s="629"/>
      <c r="N10257" s="629"/>
      <c r="O10257" s="629"/>
      <c r="P10257" s="629"/>
      <c r="Q10257" s="629"/>
      <c r="R10257" s="629"/>
    </row>
    <row r="10258" spans="1:18" ht="24">
      <c r="A10258" s="264">
        <v>123</v>
      </c>
      <c r="B10258" s="261" t="s">
        <v>18778</v>
      </c>
      <c r="C10258" s="265" t="s">
        <v>18779</v>
      </c>
      <c r="D10258" s="266">
        <v>585521.57999999996</v>
      </c>
      <c r="E10258" s="266">
        <v>84362.43</v>
      </c>
      <c r="F10258" s="266">
        <v>377736.61</v>
      </c>
      <c r="G10258" s="266">
        <v>123422.54</v>
      </c>
      <c r="H10258" s="267">
        <v>3626005.4</v>
      </c>
      <c r="I10258" s="267">
        <v>970204.09</v>
      </c>
      <c r="J10258" s="267">
        <v>1863460.11</v>
      </c>
      <c r="K10258" s="267">
        <v>792341.2</v>
      </c>
      <c r="L10258" s="43">
        <v>6.1927784113439515</v>
      </c>
      <c r="M10258" s="43">
        <v>11.500428449014567</v>
      </c>
      <c r="N10258" s="43">
        <v>4.9332261175320022</v>
      </c>
      <c r="O10258" s="43">
        <v>6.4197447240998278</v>
      </c>
      <c r="P10258" s="268"/>
      <c r="Q10258" s="268"/>
      <c r="R10258" s="268">
        <v>1</v>
      </c>
    </row>
    <row r="10259" spans="1:18" ht="24">
      <c r="A10259" s="264">
        <v>124</v>
      </c>
      <c r="B10259" s="261" t="s">
        <v>18780</v>
      </c>
      <c r="C10259" s="265" t="s">
        <v>18781</v>
      </c>
      <c r="D10259" s="266">
        <v>1566017.72</v>
      </c>
      <c r="E10259" s="266">
        <v>232638.03</v>
      </c>
      <c r="F10259" s="266">
        <v>1127507.83</v>
      </c>
      <c r="G10259" s="266">
        <v>205871.86</v>
      </c>
      <c r="H10259" s="267">
        <v>9457362.2799999993</v>
      </c>
      <c r="I10259" s="267">
        <v>2675438.58</v>
      </c>
      <c r="J10259" s="267">
        <v>5545658.9699999997</v>
      </c>
      <c r="K10259" s="267">
        <v>1236264.73</v>
      </c>
      <c r="L10259" s="43">
        <v>6.0391157515126963</v>
      </c>
      <c r="M10259" s="43">
        <v>11.500435161009573</v>
      </c>
      <c r="N10259" s="43">
        <v>4.9185103840919666</v>
      </c>
      <c r="O10259" s="43">
        <v>6.0050204530138309</v>
      </c>
      <c r="P10259" s="268"/>
      <c r="Q10259" s="268"/>
      <c r="R10259" s="268">
        <v>1</v>
      </c>
    </row>
    <row r="10260" spans="1:18" ht="24">
      <c r="A10260" s="264">
        <v>125</v>
      </c>
      <c r="B10260" s="261" t="s">
        <v>18782</v>
      </c>
      <c r="C10260" s="265" t="s">
        <v>18783</v>
      </c>
      <c r="D10260" s="266">
        <v>10369.83</v>
      </c>
      <c r="E10260" s="266">
        <v>3297.63</v>
      </c>
      <c r="F10260" s="266">
        <v>4789.96</v>
      </c>
      <c r="G10260" s="266">
        <v>2282.2399999999998</v>
      </c>
      <c r="H10260" s="267">
        <v>74650.06</v>
      </c>
      <c r="I10260" s="267">
        <v>37924.18</v>
      </c>
      <c r="J10260" s="267">
        <v>26847.31</v>
      </c>
      <c r="K10260" s="267">
        <v>9878.57</v>
      </c>
      <c r="L10260" s="43">
        <v>7.1987737503893507</v>
      </c>
      <c r="M10260" s="43">
        <v>11.500435161009573</v>
      </c>
      <c r="N10260" s="43">
        <v>5.6049131934295904</v>
      </c>
      <c r="O10260" s="43">
        <v>4.3284536245092546</v>
      </c>
      <c r="P10260" s="268"/>
      <c r="Q10260" s="268"/>
      <c r="R10260" s="268">
        <v>1</v>
      </c>
    </row>
    <row r="10261" spans="1:18" ht="24">
      <c r="A10261" s="264">
        <v>126</v>
      </c>
      <c r="B10261" s="261" t="s">
        <v>18784</v>
      </c>
      <c r="C10261" s="265" t="s">
        <v>18785</v>
      </c>
      <c r="D10261" s="266">
        <v>15898.11</v>
      </c>
      <c r="E10261" s="266">
        <v>3197.58</v>
      </c>
      <c r="F10261" s="266">
        <v>9089.2000000000007</v>
      </c>
      <c r="G10261" s="266">
        <v>3611.33</v>
      </c>
      <c r="H10261" s="267">
        <v>100721.83</v>
      </c>
      <c r="I10261" s="267">
        <v>36773.54</v>
      </c>
      <c r="J10261" s="267">
        <v>48362.13</v>
      </c>
      <c r="K10261" s="267">
        <v>15586.16</v>
      </c>
      <c r="L10261" s="43">
        <v>6.3354593722146841</v>
      </c>
      <c r="M10261" s="43">
        <v>11.500428449014567</v>
      </c>
      <c r="N10261" s="43">
        <v>5.3208346169079777</v>
      </c>
      <c r="O10261" s="43">
        <v>4.31590577432691</v>
      </c>
      <c r="P10261" s="268"/>
      <c r="Q10261" s="268"/>
      <c r="R10261" s="268">
        <v>1</v>
      </c>
    </row>
    <row r="10262" spans="1:18" ht="12.75" customHeight="1">
      <c r="A10262" s="628" t="s">
        <v>18786</v>
      </c>
      <c r="B10262" s="629"/>
      <c r="C10262" s="629"/>
      <c r="D10262" s="629"/>
      <c r="E10262" s="629"/>
      <c r="F10262" s="629"/>
      <c r="G10262" s="629"/>
      <c r="H10262" s="629"/>
      <c r="I10262" s="629"/>
      <c r="J10262" s="629"/>
      <c r="K10262" s="629"/>
      <c r="L10262" s="629"/>
      <c r="M10262" s="629"/>
      <c r="N10262" s="629"/>
      <c r="O10262" s="629"/>
      <c r="P10262" s="629"/>
      <c r="Q10262" s="629"/>
      <c r="R10262" s="629"/>
    </row>
    <row r="10263" spans="1:18" ht="24">
      <c r="A10263" s="264">
        <v>127</v>
      </c>
      <c r="B10263" s="261" t="s">
        <v>18787</v>
      </c>
      <c r="C10263" s="265" t="s">
        <v>18788</v>
      </c>
      <c r="D10263" s="266">
        <v>8689.7099999999991</v>
      </c>
      <c r="E10263" s="266">
        <v>1780.95</v>
      </c>
      <c r="F10263" s="266">
        <v>6873.14</v>
      </c>
      <c r="G10263" s="266">
        <v>35.619999999999997</v>
      </c>
      <c r="H10263" s="267">
        <v>58614.37</v>
      </c>
      <c r="I10263" s="267">
        <v>20481.7</v>
      </c>
      <c r="J10263" s="267">
        <v>37723.040000000001</v>
      </c>
      <c r="K10263" s="267">
        <v>409.63</v>
      </c>
      <c r="L10263" s="43">
        <v>6.7452619247362691</v>
      </c>
      <c r="M10263" s="43">
        <v>11.500435161009573</v>
      </c>
      <c r="N10263" s="43">
        <v>5.4884725176556852</v>
      </c>
      <c r="O10263" s="43">
        <v>11.5</v>
      </c>
      <c r="P10263" s="268"/>
      <c r="Q10263" s="268"/>
      <c r="R10263" s="268">
        <v>2</v>
      </c>
    </row>
    <row r="10264" spans="1:18" ht="24">
      <c r="A10264" s="264">
        <v>128</v>
      </c>
      <c r="B10264" s="261" t="s">
        <v>18789</v>
      </c>
      <c r="C10264" s="265" t="s">
        <v>18790</v>
      </c>
      <c r="D10264" s="266">
        <v>8002.51</v>
      </c>
      <c r="E10264" s="266">
        <v>1540.44</v>
      </c>
      <c r="F10264" s="266">
        <v>6431.26</v>
      </c>
      <c r="G10264" s="266">
        <v>30.81</v>
      </c>
      <c r="H10264" s="267">
        <v>53838.17</v>
      </c>
      <c r="I10264" s="267">
        <v>17715.72</v>
      </c>
      <c r="J10264" s="267">
        <v>35768.129999999997</v>
      </c>
      <c r="K10264" s="267">
        <v>354.32</v>
      </c>
      <c r="L10264" s="43">
        <v>6.727660446534899</v>
      </c>
      <c r="M10264" s="43">
        <v>11.500428449014567</v>
      </c>
      <c r="N10264" s="43">
        <v>5.5616053463862443</v>
      </c>
      <c r="O10264" s="43">
        <v>11.500162284972411</v>
      </c>
      <c r="P10264" s="268"/>
      <c r="Q10264" s="268"/>
      <c r="R10264" s="268">
        <v>2</v>
      </c>
    </row>
    <row r="10265" spans="1:18" ht="24">
      <c r="A10265" s="264">
        <v>129</v>
      </c>
      <c r="B10265" s="261" t="s">
        <v>18791</v>
      </c>
      <c r="C10265" s="265" t="s">
        <v>18792</v>
      </c>
      <c r="D10265" s="266">
        <v>10504.3</v>
      </c>
      <c r="E10265" s="266">
        <v>1727.16</v>
      </c>
      <c r="F10265" s="266">
        <v>8742.6</v>
      </c>
      <c r="G10265" s="266">
        <v>34.54</v>
      </c>
      <c r="H10265" s="267">
        <v>67432.84</v>
      </c>
      <c r="I10265" s="267">
        <v>19863.080000000002</v>
      </c>
      <c r="J10265" s="267">
        <v>47172.55</v>
      </c>
      <c r="K10265" s="267">
        <v>397.21</v>
      </c>
      <c r="L10265" s="43">
        <v>6.4195462810468094</v>
      </c>
      <c r="M10265" s="43">
        <v>11.500428449014567</v>
      </c>
      <c r="N10265" s="43">
        <v>5.3957118019811041</v>
      </c>
      <c r="O10265" s="43">
        <v>11.5</v>
      </c>
      <c r="P10265" s="268"/>
      <c r="Q10265" s="268"/>
      <c r="R10265" s="268">
        <v>2</v>
      </c>
    </row>
    <row r="10266" spans="1:18" ht="24">
      <c r="A10266" s="264">
        <v>130</v>
      </c>
      <c r="B10266" s="261" t="s">
        <v>18793</v>
      </c>
      <c r="C10266" s="265" t="s">
        <v>18794</v>
      </c>
      <c r="D10266" s="266">
        <v>12789.5</v>
      </c>
      <c r="E10266" s="266">
        <v>1738.83</v>
      </c>
      <c r="F10266" s="266">
        <v>11015.89</v>
      </c>
      <c r="G10266" s="266">
        <v>34.78</v>
      </c>
      <c r="H10266" s="267">
        <v>77700.95</v>
      </c>
      <c r="I10266" s="267">
        <v>19997.29</v>
      </c>
      <c r="J10266" s="267">
        <v>57303.69</v>
      </c>
      <c r="K10266" s="267">
        <v>399.97</v>
      </c>
      <c r="L10266" s="43">
        <v>6.0753704210485164</v>
      </c>
      <c r="M10266" s="43">
        <v>11.500428449014569</v>
      </c>
      <c r="N10266" s="43">
        <v>5.2019119653518695</v>
      </c>
      <c r="O10266" s="43">
        <v>11.5</v>
      </c>
      <c r="P10266" s="268"/>
      <c r="Q10266" s="268"/>
      <c r="R10266" s="268">
        <v>2</v>
      </c>
    </row>
    <row r="10267" spans="1:18" ht="24">
      <c r="A10267" s="264">
        <v>131</v>
      </c>
      <c r="B10267" s="261" t="s">
        <v>18795</v>
      </c>
      <c r="C10267" s="265" t="s">
        <v>18796</v>
      </c>
      <c r="D10267" s="266">
        <v>7176.68</v>
      </c>
      <c r="E10267" s="266">
        <v>1827.04</v>
      </c>
      <c r="F10267" s="266">
        <v>5095.99</v>
      </c>
      <c r="G10267" s="266">
        <v>253.65</v>
      </c>
      <c r="H10267" s="267">
        <v>51640.75</v>
      </c>
      <c r="I10267" s="267">
        <v>21010.959999999999</v>
      </c>
      <c r="J10267" s="267">
        <v>28924.400000000001</v>
      </c>
      <c r="K10267" s="267">
        <v>1705.39</v>
      </c>
      <c r="L10267" s="43">
        <v>7.1956322422067025</v>
      </c>
      <c r="M10267" s="43">
        <v>11.5</v>
      </c>
      <c r="N10267" s="43">
        <v>5.6759138067382402</v>
      </c>
      <c r="O10267" s="43">
        <v>6.7233983835994486</v>
      </c>
      <c r="P10267" s="268"/>
      <c r="Q10267" s="268"/>
      <c r="R10267" s="268">
        <v>2</v>
      </c>
    </row>
    <row r="10268" spans="1:18" ht="24">
      <c r="A10268" s="264">
        <v>132</v>
      </c>
      <c r="B10268" s="261" t="s">
        <v>18797</v>
      </c>
      <c r="C10268" s="265" t="s">
        <v>18798</v>
      </c>
      <c r="D10268" s="266">
        <v>43922.94</v>
      </c>
      <c r="E10268" s="266">
        <v>4988.3</v>
      </c>
      <c r="F10268" s="266">
        <v>38772.31</v>
      </c>
      <c r="G10268" s="266">
        <v>162.33000000000001</v>
      </c>
      <c r="H10268" s="267">
        <v>255063.28</v>
      </c>
      <c r="I10268" s="267">
        <v>57365.45</v>
      </c>
      <c r="J10268" s="267">
        <v>196002.15</v>
      </c>
      <c r="K10268" s="267">
        <v>1695.68</v>
      </c>
      <c r="L10268" s="43">
        <v>5.8070630062559561</v>
      </c>
      <c r="M10268" s="43">
        <v>11.499999999999998</v>
      </c>
      <c r="N10268" s="43">
        <v>5.0552095038959504</v>
      </c>
      <c r="O10268" s="43">
        <v>10.445881845623113</v>
      </c>
      <c r="P10268" s="268"/>
      <c r="Q10268" s="268"/>
      <c r="R10268" s="268">
        <v>2</v>
      </c>
    </row>
    <row r="10269" spans="1:18" ht="24">
      <c r="A10269" s="264">
        <v>133</v>
      </c>
      <c r="B10269" s="261" t="s">
        <v>18799</v>
      </c>
      <c r="C10269" s="265" t="s">
        <v>18800</v>
      </c>
      <c r="D10269" s="266">
        <v>9197.1200000000008</v>
      </c>
      <c r="E10269" s="266">
        <v>1734.99</v>
      </c>
      <c r="F10269" s="266">
        <v>6727.49</v>
      </c>
      <c r="G10269" s="266">
        <v>734.64</v>
      </c>
      <c r="H10269" s="267">
        <v>59501.45</v>
      </c>
      <c r="I10269" s="267">
        <v>19953.14</v>
      </c>
      <c r="J10269" s="267">
        <v>36251.620000000003</v>
      </c>
      <c r="K10269" s="267">
        <v>3296.69</v>
      </c>
      <c r="L10269" s="43">
        <v>6.4695741710448482</v>
      </c>
      <c r="M10269" s="43">
        <v>11.500435161009573</v>
      </c>
      <c r="N10269" s="43">
        <v>5.3885802877447615</v>
      </c>
      <c r="O10269" s="43">
        <v>4.4874904715234676</v>
      </c>
      <c r="P10269" s="268"/>
      <c r="Q10269" s="268"/>
      <c r="R10269" s="268">
        <v>2</v>
      </c>
    </row>
    <row r="10270" spans="1:18" ht="24">
      <c r="A10270" s="264">
        <v>134</v>
      </c>
      <c r="B10270" s="261" t="s">
        <v>18801</v>
      </c>
      <c r="C10270" s="265" t="s">
        <v>18802</v>
      </c>
      <c r="D10270" s="266">
        <v>21701.09</v>
      </c>
      <c r="E10270" s="266">
        <v>2435.88</v>
      </c>
      <c r="F10270" s="266">
        <v>18491.05</v>
      </c>
      <c r="G10270" s="266">
        <v>774.16</v>
      </c>
      <c r="H10270" s="267">
        <v>127929.42</v>
      </c>
      <c r="I10270" s="267">
        <v>28013.68</v>
      </c>
      <c r="J10270" s="267">
        <v>96234.32</v>
      </c>
      <c r="K10270" s="267">
        <v>3681.42</v>
      </c>
      <c r="L10270" s="43">
        <v>5.8950688652044665</v>
      </c>
      <c r="M10270" s="43">
        <v>11.500435161009573</v>
      </c>
      <c r="N10270" s="43">
        <v>5.2043729263616729</v>
      </c>
      <c r="O10270" s="43">
        <v>4.7553735661878687</v>
      </c>
      <c r="P10270" s="268"/>
      <c r="Q10270" s="268"/>
      <c r="R10270" s="268">
        <v>2</v>
      </c>
    </row>
    <row r="10271" spans="1:18" ht="24">
      <c r="A10271" s="264">
        <v>135</v>
      </c>
      <c r="B10271" s="261" t="s">
        <v>18803</v>
      </c>
      <c r="C10271" s="265" t="s">
        <v>18804</v>
      </c>
      <c r="D10271" s="266">
        <v>29447.57</v>
      </c>
      <c r="E10271" s="266">
        <v>2792.07</v>
      </c>
      <c r="F10271" s="266">
        <v>25455.06</v>
      </c>
      <c r="G10271" s="266">
        <v>1200.44</v>
      </c>
      <c r="H10271" s="267">
        <v>166655.76999999999</v>
      </c>
      <c r="I10271" s="267">
        <v>32110.02</v>
      </c>
      <c r="J10271" s="267">
        <v>128727.2</v>
      </c>
      <c r="K10271" s="267">
        <v>5818.55</v>
      </c>
      <c r="L10271" s="43">
        <v>5.659406531676467</v>
      </c>
      <c r="M10271" s="43">
        <v>11.500435161009573</v>
      </c>
      <c r="N10271" s="43">
        <v>5.0570377755935354</v>
      </c>
      <c r="O10271" s="43">
        <v>4.8470144280430505</v>
      </c>
      <c r="P10271" s="268"/>
      <c r="Q10271" s="268"/>
      <c r="R10271" s="268">
        <v>2</v>
      </c>
    </row>
    <row r="10272" spans="1:18" ht="24">
      <c r="A10272" s="264">
        <v>136</v>
      </c>
      <c r="B10272" s="261" t="s">
        <v>18805</v>
      </c>
      <c r="C10272" s="265" t="s">
        <v>18806</v>
      </c>
      <c r="D10272" s="266">
        <v>39340.18</v>
      </c>
      <c r="E10272" s="266">
        <v>2952.93</v>
      </c>
      <c r="F10272" s="266">
        <v>35158.42</v>
      </c>
      <c r="G10272" s="266">
        <v>1228.83</v>
      </c>
      <c r="H10272" s="267">
        <v>216063.29</v>
      </c>
      <c r="I10272" s="267">
        <v>33959.980000000003</v>
      </c>
      <c r="J10272" s="267">
        <v>176108.01</v>
      </c>
      <c r="K10272" s="267">
        <v>5995.3</v>
      </c>
      <c r="L10272" s="43">
        <v>5.4921784801187998</v>
      </c>
      <c r="M10272" s="43">
        <v>11.500435161009575</v>
      </c>
      <c r="N10272" s="43">
        <v>5.0089853298299527</v>
      </c>
      <c r="O10272" s="43">
        <v>4.8788685172074251</v>
      </c>
      <c r="P10272" s="268"/>
      <c r="Q10272" s="268"/>
      <c r="R10272" s="268">
        <v>2</v>
      </c>
    </row>
    <row r="10273" spans="1:18" ht="24">
      <c r="A10273" s="264">
        <v>137</v>
      </c>
      <c r="B10273" s="261" t="s">
        <v>18807</v>
      </c>
      <c r="C10273" s="265" t="s">
        <v>18808</v>
      </c>
      <c r="D10273" s="266">
        <v>12625.17</v>
      </c>
      <c r="E10273" s="266">
        <v>1633.8</v>
      </c>
      <c r="F10273" s="266">
        <v>3450.87</v>
      </c>
      <c r="G10273" s="266">
        <v>7540.5</v>
      </c>
      <c r="H10273" s="267">
        <v>69845.009999999995</v>
      </c>
      <c r="I10273" s="267">
        <v>18789.400000000001</v>
      </c>
      <c r="J10273" s="267">
        <v>21067.46</v>
      </c>
      <c r="K10273" s="267">
        <v>29988.15</v>
      </c>
      <c r="L10273" s="43">
        <v>5.5322035267643912</v>
      </c>
      <c r="M10273" s="43">
        <v>11.500428449014569</v>
      </c>
      <c r="N10273" s="43">
        <v>6.1049706305946039</v>
      </c>
      <c r="O10273" s="43">
        <v>3.9769444997016117</v>
      </c>
      <c r="P10273" s="268"/>
      <c r="Q10273" s="268"/>
      <c r="R10273" s="268">
        <v>2</v>
      </c>
    </row>
    <row r="10274" spans="1:18" ht="24">
      <c r="A10274" s="264">
        <v>138</v>
      </c>
      <c r="B10274" s="261" t="s">
        <v>18809</v>
      </c>
      <c r="C10274" s="265" t="s">
        <v>18810</v>
      </c>
      <c r="D10274" s="266">
        <v>29579.94</v>
      </c>
      <c r="E10274" s="266">
        <v>2788.64</v>
      </c>
      <c r="F10274" s="266">
        <v>11111.45</v>
      </c>
      <c r="G10274" s="266">
        <v>15679.85</v>
      </c>
      <c r="H10274" s="267">
        <v>158201.41</v>
      </c>
      <c r="I10274" s="267">
        <v>32069.360000000001</v>
      </c>
      <c r="J10274" s="267">
        <v>62515.54</v>
      </c>
      <c r="K10274" s="267">
        <v>63616.51</v>
      </c>
      <c r="L10274" s="43">
        <v>5.3482667645708544</v>
      </c>
      <c r="M10274" s="43">
        <v>11.5</v>
      </c>
      <c r="N10274" s="43">
        <v>5.6262270000764971</v>
      </c>
      <c r="O10274" s="43">
        <v>4.0572141952888581</v>
      </c>
      <c r="P10274" s="268"/>
      <c r="Q10274" s="268"/>
      <c r="R10274" s="268">
        <v>2</v>
      </c>
    </row>
    <row r="10275" spans="1:18" ht="24">
      <c r="A10275" s="264">
        <v>139</v>
      </c>
      <c r="B10275" s="261" t="s">
        <v>18811</v>
      </c>
      <c r="C10275" s="265" t="s">
        <v>18812</v>
      </c>
      <c r="D10275" s="266">
        <v>21531.17</v>
      </c>
      <c r="E10275" s="266">
        <v>2127.54</v>
      </c>
      <c r="F10275" s="266">
        <v>8274.16</v>
      </c>
      <c r="G10275" s="266">
        <v>11129.47</v>
      </c>
      <c r="H10275" s="267">
        <v>115418.14</v>
      </c>
      <c r="I10275" s="267">
        <v>24466.71</v>
      </c>
      <c r="J10275" s="267">
        <v>46610.39</v>
      </c>
      <c r="K10275" s="267">
        <v>44341.04</v>
      </c>
      <c r="L10275" s="43">
        <v>5.3605140826067519</v>
      </c>
      <c r="M10275" s="43">
        <v>11.5</v>
      </c>
      <c r="N10275" s="43">
        <v>5.6332473628742976</v>
      </c>
      <c r="O10275" s="43">
        <v>3.9841106539664515</v>
      </c>
      <c r="P10275" s="268"/>
      <c r="Q10275" s="268"/>
      <c r="R10275" s="268">
        <v>2</v>
      </c>
    </row>
    <row r="10276" spans="1:18" ht="24">
      <c r="A10276" s="264">
        <v>140</v>
      </c>
      <c r="B10276" s="261" t="s">
        <v>18813</v>
      </c>
      <c r="C10276" s="265" t="s">
        <v>18814</v>
      </c>
      <c r="D10276" s="266">
        <v>46287.73</v>
      </c>
      <c r="E10276" s="266">
        <v>7542.96</v>
      </c>
      <c r="F10276" s="266">
        <v>36996.6</v>
      </c>
      <c r="G10276" s="266">
        <v>1748.17</v>
      </c>
      <c r="H10276" s="267">
        <v>298117</v>
      </c>
      <c r="I10276" s="267">
        <v>86744.04</v>
      </c>
      <c r="J10276" s="267">
        <v>199977.27</v>
      </c>
      <c r="K10276" s="267">
        <v>11395.69</v>
      </c>
      <c r="L10276" s="43">
        <v>6.4405189020934914</v>
      </c>
      <c r="M10276" s="43">
        <v>11.499999999999998</v>
      </c>
      <c r="N10276" s="43">
        <v>5.4052877832016994</v>
      </c>
      <c r="O10276" s="43">
        <v>6.5186394915826265</v>
      </c>
      <c r="P10276" s="268"/>
      <c r="Q10276" s="268"/>
      <c r="R10276" s="268">
        <v>2</v>
      </c>
    </row>
    <row r="10277" spans="1:18" ht="24">
      <c r="A10277" s="264">
        <v>141</v>
      </c>
      <c r="B10277" s="261" t="s">
        <v>18815</v>
      </c>
      <c r="C10277" s="265" t="s">
        <v>18816</v>
      </c>
      <c r="D10277" s="266">
        <v>69228.92</v>
      </c>
      <c r="E10277" s="266">
        <v>8840.4</v>
      </c>
      <c r="F10277" s="266">
        <v>58009.97</v>
      </c>
      <c r="G10277" s="266">
        <v>2378.5500000000002</v>
      </c>
      <c r="H10277" s="267">
        <v>429424.94</v>
      </c>
      <c r="I10277" s="267">
        <v>101664.6</v>
      </c>
      <c r="J10277" s="267">
        <v>312656.28000000003</v>
      </c>
      <c r="K10277" s="267">
        <v>15104.06</v>
      </c>
      <c r="L10277" s="43">
        <v>6.2029703771198514</v>
      </c>
      <c r="M10277" s="43">
        <v>11.500000000000002</v>
      </c>
      <c r="N10277" s="43">
        <v>5.3896990465604446</v>
      </c>
      <c r="O10277" s="43">
        <v>6.3501124634756465</v>
      </c>
      <c r="P10277" s="268"/>
      <c r="Q10277" s="268"/>
      <c r="R10277" s="268">
        <v>2</v>
      </c>
    </row>
    <row r="10278" spans="1:18" ht="24">
      <c r="A10278" s="264">
        <v>142</v>
      </c>
      <c r="B10278" s="261" t="s">
        <v>18817</v>
      </c>
      <c r="C10278" s="265" t="s">
        <v>18818</v>
      </c>
      <c r="D10278" s="266">
        <v>56747.73</v>
      </c>
      <c r="E10278" s="266">
        <v>9845.2800000000007</v>
      </c>
      <c r="F10278" s="266">
        <v>44309.62</v>
      </c>
      <c r="G10278" s="266">
        <v>2592.83</v>
      </c>
      <c r="H10278" s="267">
        <v>369288.26</v>
      </c>
      <c r="I10278" s="267">
        <v>113220.72</v>
      </c>
      <c r="J10278" s="267">
        <v>239500.59</v>
      </c>
      <c r="K10278" s="267">
        <v>16566.95</v>
      </c>
      <c r="L10278" s="43">
        <v>6.5075424162340942</v>
      </c>
      <c r="M10278" s="43">
        <v>11.5</v>
      </c>
      <c r="N10278" s="43">
        <v>5.4051600984165509</v>
      </c>
      <c r="O10278" s="43">
        <v>6.3895241878565123</v>
      </c>
      <c r="P10278" s="268"/>
      <c r="Q10278" s="268"/>
      <c r="R10278" s="268">
        <v>2</v>
      </c>
    </row>
    <row r="10279" spans="1:18" ht="24">
      <c r="A10279" s="264">
        <v>143</v>
      </c>
      <c r="B10279" s="261" t="s">
        <v>18819</v>
      </c>
      <c r="C10279" s="265" t="s">
        <v>18820</v>
      </c>
      <c r="D10279" s="266">
        <v>64388.53</v>
      </c>
      <c r="E10279" s="266">
        <v>11040.96</v>
      </c>
      <c r="F10279" s="266">
        <v>49906.09</v>
      </c>
      <c r="G10279" s="266">
        <v>3441.48</v>
      </c>
      <c r="H10279" s="267">
        <v>418333.57</v>
      </c>
      <c r="I10279" s="267">
        <v>126971.04</v>
      </c>
      <c r="J10279" s="267">
        <v>269749.52</v>
      </c>
      <c r="K10279" s="267">
        <v>21613.01</v>
      </c>
      <c r="L10279" s="43">
        <v>6.4970200437873018</v>
      </c>
      <c r="M10279" s="43">
        <v>11.5</v>
      </c>
      <c r="N10279" s="43">
        <v>5.4051423383398705</v>
      </c>
      <c r="O10279" s="43">
        <v>6.280149819263805</v>
      </c>
      <c r="P10279" s="268"/>
      <c r="Q10279" s="268"/>
      <c r="R10279" s="268">
        <v>2</v>
      </c>
    </row>
    <row r="10280" spans="1:18" ht="24">
      <c r="A10280" s="264">
        <v>144</v>
      </c>
      <c r="B10280" s="261" t="s">
        <v>18821</v>
      </c>
      <c r="C10280" s="265" t="s">
        <v>18822</v>
      </c>
      <c r="D10280" s="266">
        <v>122458.58</v>
      </c>
      <c r="E10280" s="266">
        <v>17549.2</v>
      </c>
      <c r="F10280" s="266">
        <v>103708.8</v>
      </c>
      <c r="G10280" s="266">
        <v>1200.58</v>
      </c>
      <c r="H10280" s="267">
        <v>769617.2</v>
      </c>
      <c r="I10280" s="267">
        <v>201815.8</v>
      </c>
      <c r="J10280" s="267">
        <v>556582.30000000005</v>
      </c>
      <c r="K10280" s="267">
        <v>11219.1</v>
      </c>
      <c r="L10280" s="43">
        <v>6.2847143907760481</v>
      </c>
      <c r="M10280" s="43">
        <v>11.499999999999998</v>
      </c>
      <c r="N10280" s="43">
        <v>5.3667798682464749</v>
      </c>
      <c r="O10280" s="43">
        <v>9.3447333788668825</v>
      </c>
      <c r="P10280" s="268"/>
      <c r="Q10280" s="268"/>
      <c r="R10280" s="268">
        <v>2</v>
      </c>
    </row>
    <row r="10281" spans="1:18" ht="24">
      <c r="A10281" s="264">
        <v>145</v>
      </c>
      <c r="B10281" s="261" t="s">
        <v>18823</v>
      </c>
      <c r="C10281" s="265" t="s">
        <v>18824</v>
      </c>
      <c r="D10281" s="266">
        <v>202601.82</v>
      </c>
      <c r="E10281" s="266">
        <v>20301.78</v>
      </c>
      <c r="F10281" s="266">
        <v>180895.81</v>
      </c>
      <c r="G10281" s="266">
        <v>1404.23</v>
      </c>
      <c r="H10281" s="267">
        <v>1217559.25</v>
      </c>
      <c r="I10281" s="267">
        <v>233470.47</v>
      </c>
      <c r="J10281" s="267">
        <v>970980.78</v>
      </c>
      <c r="K10281" s="267">
        <v>13108</v>
      </c>
      <c r="L10281" s="43">
        <v>6.0096165473735628</v>
      </c>
      <c r="M10281" s="43">
        <v>11.5</v>
      </c>
      <c r="N10281" s="43">
        <v>5.3676244905838342</v>
      </c>
      <c r="O10281" s="43">
        <v>9.3346531551099172</v>
      </c>
      <c r="P10281" s="268"/>
      <c r="Q10281" s="268"/>
      <c r="R10281" s="268">
        <v>2</v>
      </c>
    </row>
    <row r="10282" spans="1:18" ht="24">
      <c r="A10282" s="264">
        <v>146</v>
      </c>
      <c r="B10282" s="261" t="s">
        <v>18825</v>
      </c>
      <c r="C10282" s="265" t="s">
        <v>18826</v>
      </c>
      <c r="D10282" s="266">
        <v>211814.3</v>
      </c>
      <c r="E10282" s="266">
        <v>21323.48</v>
      </c>
      <c r="F10282" s="266">
        <v>189023.4</v>
      </c>
      <c r="G10282" s="266">
        <v>1467.42</v>
      </c>
      <c r="H10282" s="267">
        <v>1273532.27</v>
      </c>
      <c r="I10282" s="267">
        <v>245220.02</v>
      </c>
      <c r="J10282" s="267">
        <v>1014607.45</v>
      </c>
      <c r="K10282" s="267">
        <v>13704.8</v>
      </c>
      <c r="L10282" s="43">
        <v>6.0124942933503549</v>
      </c>
      <c r="M10282" s="43">
        <v>11.5</v>
      </c>
      <c r="N10282" s="43">
        <v>5.3676288226748641</v>
      </c>
      <c r="O10282" s="43">
        <v>9.3393847705496711</v>
      </c>
      <c r="P10282" s="268"/>
      <c r="Q10282" s="268"/>
      <c r="R10282" s="268">
        <v>2</v>
      </c>
    </row>
    <row r="10283" spans="1:18" ht="24">
      <c r="A10283" s="264">
        <v>147</v>
      </c>
      <c r="B10283" s="261" t="s">
        <v>18827</v>
      </c>
      <c r="C10283" s="265" t="s">
        <v>18828</v>
      </c>
      <c r="D10283" s="266">
        <v>489517.3</v>
      </c>
      <c r="E10283" s="266">
        <v>33872.36</v>
      </c>
      <c r="F10283" s="266">
        <v>453299.13</v>
      </c>
      <c r="G10283" s="266">
        <v>2345.81</v>
      </c>
      <c r="H10283" s="267">
        <v>2894091.24</v>
      </c>
      <c r="I10283" s="267">
        <v>389532.14</v>
      </c>
      <c r="J10283" s="267">
        <v>2482661.2799999998</v>
      </c>
      <c r="K10283" s="267">
        <v>21897.82</v>
      </c>
      <c r="L10283" s="43">
        <v>5.9121327070565233</v>
      </c>
      <c r="M10283" s="43">
        <v>11.5</v>
      </c>
      <c r="N10283" s="43">
        <v>5.4768719278150826</v>
      </c>
      <c r="O10283" s="43">
        <v>9.3348651425307256</v>
      </c>
      <c r="P10283" s="268"/>
      <c r="Q10283" s="268"/>
      <c r="R10283" s="268">
        <v>2</v>
      </c>
    </row>
    <row r="10284" spans="1:18" ht="24">
      <c r="A10284" s="264">
        <v>148</v>
      </c>
      <c r="B10284" s="261" t="s">
        <v>18829</v>
      </c>
      <c r="C10284" s="265" t="s">
        <v>18830</v>
      </c>
      <c r="D10284" s="266">
        <v>31803.16</v>
      </c>
      <c r="E10284" s="266">
        <v>6908.55</v>
      </c>
      <c r="F10284" s="266">
        <v>24086.59</v>
      </c>
      <c r="G10284" s="266">
        <v>808.02</v>
      </c>
      <c r="H10284" s="267">
        <v>206101.75</v>
      </c>
      <c r="I10284" s="267">
        <v>79451.240000000005</v>
      </c>
      <c r="J10284" s="267">
        <v>119387.64</v>
      </c>
      <c r="K10284" s="267">
        <v>7262.87</v>
      </c>
      <c r="L10284" s="43">
        <v>6.4805431284186854</v>
      </c>
      <c r="M10284" s="43">
        <v>11.50042194092827</v>
      </c>
      <c r="N10284" s="43">
        <v>4.9566019930592082</v>
      </c>
      <c r="O10284" s="43">
        <v>8.9884780079700999</v>
      </c>
      <c r="P10284" s="268"/>
      <c r="Q10284" s="268"/>
      <c r="R10284" s="268">
        <v>2</v>
      </c>
    </row>
    <row r="10285" spans="1:18" ht="24">
      <c r="A10285" s="264">
        <v>149</v>
      </c>
      <c r="B10285" s="261" t="s">
        <v>18831</v>
      </c>
      <c r="C10285" s="265" t="s">
        <v>18832</v>
      </c>
      <c r="D10285" s="266">
        <v>63723.54</v>
      </c>
      <c r="E10285" s="266">
        <v>8978.94</v>
      </c>
      <c r="F10285" s="266">
        <v>52539.97</v>
      </c>
      <c r="G10285" s="266">
        <v>2204.63</v>
      </c>
      <c r="H10285" s="267">
        <v>381745.54</v>
      </c>
      <c r="I10285" s="267">
        <v>103257.81</v>
      </c>
      <c r="J10285" s="267">
        <v>259285.73</v>
      </c>
      <c r="K10285" s="267">
        <v>19202</v>
      </c>
      <c r="L10285" s="43">
        <v>5.9906518062241991</v>
      </c>
      <c r="M10285" s="43">
        <v>11.499999999999998</v>
      </c>
      <c r="N10285" s="43">
        <v>4.9350186153513222</v>
      </c>
      <c r="O10285" s="43">
        <v>8.7098515397141458</v>
      </c>
      <c r="P10285" s="268"/>
      <c r="Q10285" s="268"/>
      <c r="R10285" s="268">
        <v>2</v>
      </c>
    </row>
    <row r="10286" spans="1:18" ht="24">
      <c r="A10286" s="264">
        <v>150</v>
      </c>
      <c r="B10286" s="261" t="s">
        <v>18833</v>
      </c>
      <c r="C10286" s="265" t="s">
        <v>18834</v>
      </c>
      <c r="D10286" s="266">
        <v>55386.9</v>
      </c>
      <c r="E10286" s="266">
        <v>8365.92</v>
      </c>
      <c r="F10286" s="266">
        <v>45256.92</v>
      </c>
      <c r="G10286" s="266">
        <v>1764.06</v>
      </c>
      <c r="H10286" s="267">
        <v>334456.58</v>
      </c>
      <c r="I10286" s="267">
        <v>96208.08</v>
      </c>
      <c r="J10286" s="267">
        <v>222815.38</v>
      </c>
      <c r="K10286" s="267">
        <v>15433.12</v>
      </c>
      <c r="L10286" s="43">
        <v>6.0385502709124363</v>
      </c>
      <c r="M10286" s="43">
        <v>11.5</v>
      </c>
      <c r="N10286" s="43">
        <v>4.9233438775771754</v>
      </c>
      <c r="O10286" s="43">
        <v>8.7486366676870411</v>
      </c>
      <c r="P10286" s="268"/>
      <c r="Q10286" s="268"/>
      <c r="R10286" s="268">
        <v>2</v>
      </c>
    </row>
    <row r="10287" spans="1:18" ht="12.75" customHeight="1">
      <c r="A10287" s="628" t="s">
        <v>18835</v>
      </c>
      <c r="B10287" s="629"/>
      <c r="C10287" s="629"/>
      <c r="D10287" s="629"/>
      <c r="E10287" s="629"/>
      <c r="F10287" s="629"/>
      <c r="G10287" s="629"/>
      <c r="H10287" s="629"/>
      <c r="I10287" s="629"/>
      <c r="J10287" s="629"/>
      <c r="K10287" s="629"/>
      <c r="L10287" s="629"/>
      <c r="M10287" s="629"/>
      <c r="N10287" s="629"/>
      <c r="O10287" s="629"/>
      <c r="P10287" s="629"/>
      <c r="Q10287" s="629"/>
      <c r="R10287" s="629"/>
    </row>
    <row r="10288" spans="1:18" ht="24">
      <c r="A10288" s="264">
        <v>151</v>
      </c>
      <c r="B10288" s="261" t="s">
        <v>18836</v>
      </c>
      <c r="C10288" s="265" t="s">
        <v>18837</v>
      </c>
      <c r="D10288" s="266">
        <v>2421.35</v>
      </c>
      <c r="E10288" s="266">
        <v>71.52</v>
      </c>
      <c r="F10288" s="266">
        <v>2161.64</v>
      </c>
      <c r="G10288" s="266">
        <v>188.19</v>
      </c>
      <c r="H10288" s="267">
        <v>14971.39</v>
      </c>
      <c r="I10288" s="267">
        <v>822.47</v>
      </c>
      <c r="J10288" s="267">
        <v>12553.4</v>
      </c>
      <c r="K10288" s="267">
        <v>1595.52</v>
      </c>
      <c r="L10288" s="43">
        <v>6.1830755570239742</v>
      </c>
      <c r="M10288" s="43">
        <v>11.499860178970918</v>
      </c>
      <c r="N10288" s="43">
        <v>5.8073499750189672</v>
      </c>
      <c r="O10288" s="43">
        <v>8.4782400765184125</v>
      </c>
      <c r="P10288" s="268"/>
      <c r="Q10288" s="268"/>
      <c r="R10288" s="268">
        <v>3</v>
      </c>
    </row>
    <row r="10289" spans="1:18" ht="36">
      <c r="A10289" s="264">
        <v>152</v>
      </c>
      <c r="B10289" s="261" t="s">
        <v>18838</v>
      </c>
      <c r="C10289" s="265" t="s">
        <v>18839</v>
      </c>
      <c r="D10289" s="266">
        <v>15909.81</v>
      </c>
      <c r="E10289" s="266">
        <v>57.22</v>
      </c>
      <c r="F10289" s="266">
        <v>15023.02</v>
      </c>
      <c r="G10289" s="266">
        <v>829.57</v>
      </c>
      <c r="H10289" s="267">
        <v>89411.3</v>
      </c>
      <c r="I10289" s="267">
        <v>657.97</v>
      </c>
      <c r="J10289" s="267">
        <v>81736.179999999993</v>
      </c>
      <c r="K10289" s="267">
        <v>7017.15</v>
      </c>
      <c r="L10289" s="43">
        <v>5.6198848383481641</v>
      </c>
      <c r="M10289" s="43">
        <v>11.498951415588955</v>
      </c>
      <c r="N10289" s="43">
        <v>5.4407289612874106</v>
      </c>
      <c r="O10289" s="43">
        <v>8.4587798498017044</v>
      </c>
      <c r="P10289" s="268"/>
      <c r="Q10289" s="268"/>
      <c r="R10289" s="268">
        <v>3</v>
      </c>
    </row>
    <row r="10290" spans="1:18" ht="12.75" customHeight="1">
      <c r="A10290" s="628" t="s">
        <v>18840</v>
      </c>
      <c r="B10290" s="629"/>
      <c r="C10290" s="629"/>
      <c r="D10290" s="629"/>
      <c r="E10290" s="629"/>
      <c r="F10290" s="629"/>
      <c r="G10290" s="629"/>
      <c r="H10290" s="629"/>
      <c r="I10290" s="629"/>
      <c r="J10290" s="629"/>
      <c r="K10290" s="629"/>
      <c r="L10290" s="629"/>
      <c r="M10290" s="629"/>
      <c r="N10290" s="629"/>
      <c r="O10290" s="629"/>
      <c r="P10290" s="629"/>
      <c r="Q10290" s="629"/>
      <c r="R10290" s="629"/>
    </row>
    <row r="10291" spans="1:18" ht="24">
      <c r="A10291" s="264">
        <v>153</v>
      </c>
      <c r="B10291" s="261" t="s">
        <v>18841</v>
      </c>
      <c r="C10291" s="265" t="s">
        <v>18842</v>
      </c>
      <c r="D10291" s="266">
        <v>8182.58</v>
      </c>
      <c r="E10291" s="266">
        <v>1634.72</v>
      </c>
      <c r="F10291" s="266">
        <v>3572.37</v>
      </c>
      <c r="G10291" s="266">
        <v>2975.49</v>
      </c>
      <c r="H10291" s="267">
        <v>51405.23</v>
      </c>
      <c r="I10291" s="267">
        <v>18799.28</v>
      </c>
      <c r="J10291" s="267">
        <v>20044.37</v>
      </c>
      <c r="K10291" s="267">
        <v>12561.58</v>
      </c>
      <c r="L10291" s="43">
        <v>6.2822764946997163</v>
      </c>
      <c r="M10291" s="43">
        <v>11.499999999999998</v>
      </c>
      <c r="N10291" s="43">
        <v>5.6109445550152977</v>
      </c>
      <c r="O10291" s="43">
        <v>4.2216844956628998</v>
      </c>
      <c r="P10291" s="268"/>
      <c r="Q10291" s="268"/>
      <c r="R10291" s="268">
        <v>4</v>
      </c>
    </row>
    <row r="10292" spans="1:18" ht="24">
      <c r="A10292" s="264">
        <v>154</v>
      </c>
      <c r="B10292" s="261" t="s">
        <v>18843</v>
      </c>
      <c r="C10292" s="265" t="s">
        <v>18844</v>
      </c>
      <c r="D10292" s="266">
        <v>14492.23</v>
      </c>
      <c r="E10292" s="266">
        <v>2740.56</v>
      </c>
      <c r="F10292" s="266">
        <v>6380.28</v>
      </c>
      <c r="G10292" s="266">
        <v>5371.39</v>
      </c>
      <c r="H10292" s="267">
        <v>88289.87</v>
      </c>
      <c r="I10292" s="267">
        <v>31516.44</v>
      </c>
      <c r="J10292" s="267">
        <v>34125.81</v>
      </c>
      <c r="K10292" s="267">
        <v>22647.62</v>
      </c>
      <c r="L10292" s="43">
        <v>6.0922211419498584</v>
      </c>
      <c r="M10292" s="43">
        <v>11.5</v>
      </c>
      <c r="N10292" s="43">
        <v>5.3486383042750472</v>
      </c>
      <c r="O10292" s="43">
        <v>4.2163425109701578</v>
      </c>
      <c r="P10292" s="268"/>
      <c r="Q10292" s="268"/>
      <c r="R10292" s="268">
        <v>4</v>
      </c>
    </row>
    <row r="10293" spans="1:18" ht="24">
      <c r="A10293" s="264">
        <v>155</v>
      </c>
      <c r="B10293" s="261" t="s">
        <v>18845</v>
      </c>
      <c r="C10293" s="265" t="s">
        <v>18846</v>
      </c>
      <c r="D10293" s="266">
        <v>15544.32</v>
      </c>
      <c r="E10293" s="266">
        <v>3550.41</v>
      </c>
      <c r="F10293" s="266">
        <v>6380.28</v>
      </c>
      <c r="G10293" s="266">
        <v>5613.63</v>
      </c>
      <c r="H10293" s="267">
        <v>98608.87</v>
      </c>
      <c r="I10293" s="267">
        <v>40831.26</v>
      </c>
      <c r="J10293" s="267">
        <v>34125.81</v>
      </c>
      <c r="K10293" s="267">
        <v>23651.8</v>
      </c>
      <c r="L10293" s="43">
        <v>6.3437236238059942</v>
      </c>
      <c r="M10293" s="43">
        <v>11.500435161009575</v>
      </c>
      <c r="N10293" s="43">
        <v>5.3486383042750472</v>
      </c>
      <c r="O10293" s="43">
        <v>4.2132808895491864</v>
      </c>
      <c r="P10293" s="268"/>
      <c r="Q10293" s="268"/>
      <c r="R10293" s="268">
        <v>4</v>
      </c>
    </row>
    <row r="10294" spans="1:18" ht="24">
      <c r="A10294" s="264">
        <v>156</v>
      </c>
      <c r="B10294" s="261" t="s">
        <v>18847</v>
      </c>
      <c r="C10294" s="265" t="s">
        <v>18848</v>
      </c>
      <c r="D10294" s="266">
        <v>15662.75</v>
      </c>
      <c r="E10294" s="266">
        <v>3641.04</v>
      </c>
      <c r="F10294" s="266">
        <v>6383</v>
      </c>
      <c r="G10294" s="266">
        <v>5638.71</v>
      </c>
      <c r="H10294" s="267">
        <v>99883.05</v>
      </c>
      <c r="I10294" s="267">
        <v>41873.519999999997</v>
      </c>
      <c r="J10294" s="267">
        <v>34140.089999999997</v>
      </c>
      <c r="K10294" s="267">
        <v>23869.439999999999</v>
      </c>
      <c r="L10294" s="43">
        <v>6.3771081068139379</v>
      </c>
      <c r="M10294" s="43">
        <v>11.500428449014567</v>
      </c>
      <c r="N10294" s="43">
        <v>5.3485962713457615</v>
      </c>
      <c r="O10294" s="43">
        <v>4.2331384305984878</v>
      </c>
      <c r="P10294" s="268"/>
      <c r="Q10294" s="268"/>
      <c r="R10294" s="268">
        <v>4</v>
      </c>
    </row>
    <row r="10295" spans="1:18" ht="24">
      <c r="A10295" s="264">
        <v>157</v>
      </c>
      <c r="B10295" s="261" t="s">
        <v>18849</v>
      </c>
      <c r="C10295" s="265" t="s">
        <v>18850</v>
      </c>
      <c r="D10295" s="266">
        <v>6669.44</v>
      </c>
      <c r="E10295" s="266">
        <v>1413.27</v>
      </c>
      <c r="F10295" s="266">
        <v>4224.74</v>
      </c>
      <c r="G10295" s="266">
        <v>1031.43</v>
      </c>
      <c r="H10295" s="267">
        <v>43835.42</v>
      </c>
      <c r="I10295" s="267">
        <v>16253.22</v>
      </c>
      <c r="J10295" s="267">
        <v>23320.38</v>
      </c>
      <c r="K10295" s="267">
        <v>4261.82</v>
      </c>
      <c r="L10295" s="43">
        <v>6.5725788072161979</v>
      </c>
      <c r="M10295" s="43">
        <v>11.500435161009573</v>
      </c>
      <c r="N10295" s="43">
        <v>5.5199562576631944</v>
      </c>
      <c r="O10295" s="43">
        <v>4.131952725827249</v>
      </c>
      <c r="P10295" s="268"/>
      <c r="Q10295" s="268"/>
      <c r="R10295" s="268">
        <v>4</v>
      </c>
    </row>
    <row r="10296" spans="1:18" ht="24">
      <c r="A10296" s="264">
        <v>158</v>
      </c>
      <c r="B10296" s="261" t="s">
        <v>18851</v>
      </c>
      <c r="C10296" s="265" t="s">
        <v>18852</v>
      </c>
      <c r="D10296" s="266">
        <v>12056.91</v>
      </c>
      <c r="E10296" s="266">
        <v>1780.95</v>
      </c>
      <c r="F10296" s="266">
        <v>8910.7800000000007</v>
      </c>
      <c r="G10296" s="266">
        <v>1365.18</v>
      </c>
      <c r="H10296" s="267">
        <v>75775.64</v>
      </c>
      <c r="I10296" s="267">
        <v>20481.7</v>
      </c>
      <c r="J10296" s="267">
        <v>48086.8</v>
      </c>
      <c r="K10296" s="267">
        <v>7207.14</v>
      </c>
      <c r="L10296" s="43">
        <v>6.2848308563305189</v>
      </c>
      <c r="M10296" s="43">
        <v>11.500435161009573</v>
      </c>
      <c r="N10296" s="43">
        <v>5.3964748316084563</v>
      </c>
      <c r="O10296" s="43">
        <v>5.2792598778183093</v>
      </c>
      <c r="P10296" s="268"/>
      <c r="Q10296" s="268"/>
      <c r="R10296" s="268">
        <v>4</v>
      </c>
    </row>
    <row r="10297" spans="1:18" ht="24">
      <c r="A10297" s="264">
        <v>159</v>
      </c>
      <c r="B10297" s="261" t="s">
        <v>18853</v>
      </c>
      <c r="C10297" s="265" t="s">
        <v>18854</v>
      </c>
      <c r="D10297" s="266">
        <v>8781.86</v>
      </c>
      <c r="E10297" s="266">
        <v>1960.56</v>
      </c>
      <c r="F10297" s="266">
        <v>6697.92</v>
      </c>
      <c r="G10297" s="266">
        <v>123.38</v>
      </c>
      <c r="H10297" s="267">
        <v>60430.31</v>
      </c>
      <c r="I10297" s="267">
        <v>22547.279999999999</v>
      </c>
      <c r="J10297" s="267">
        <v>36720.44</v>
      </c>
      <c r="K10297" s="267">
        <v>1162.5899999999999</v>
      </c>
      <c r="L10297" s="43">
        <v>6.8812654722348103</v>
      </c>
      <c r="M10297" s="43">
        <v>11.500428449014567</v>
      </c>
      <c r="N10297" s="43">
        <v>5.4823646744063828</v>
      </c>
      <c r="O10297" s="43">
        <v>9.4228400064840336</v>
      </c>
      <c r="P10297" s="268"/>
      <c r="Q10297" s="268"/>
      <c r="R10297" s="268">
        <v>4</v>
      </c>
    </row>
    <row r="10298" spans="1:18" ht="24">
      <c r="A10298" s="264">
        <v>160</v>
      </c>
      <c r="B10298" s="261" t="s">
        <v>18855</v>
      </c>
      <c r="C10298" s="265" t="s">
        <v>18856</v>
      </c>
      <c r="D10298" s="266">
        <v>8786.39</v>
      </c>
      <c r="E10298" s="266">
        <v>1960.56</v>
      </c>
      <c r="F10298" s="266">
        <v>6697.99</v>
      </c>
      <c r="G10298" s="266">
        <v>127.84</v>
      </c>
      <c r="H10298" s="267">
        <v>60468.06</v>
      </c>
      <c r="I10298" s="267">
        <v>22547.279999999999</v>
      </c>
      <c r="J10298" s="267">
        <v>36720.79</v>
      </c>
      <c r="K10298" s="267">
        <v>1199.99</v>
      </c>
      <c r="L10298" s="43">
        <v>6.8820141150119678</v>
      </c>
      <c r="M10298" s="43">
        <v>11.500428449014567</v>
      </c>
      <c r="N10298" s="43">
        <v>5.4823596332631137</v>
      </c>
      <c r="O10298" s="43">
        <v>9.3866551939924907</v>
      </c>
      <c r="P10298" s="268"/>
      <c r="Q10298" s="268"/>
      <c r="R10298" s="268">
        <v>4</v>
      </c>
    </row>
    <row r="10299" spans="1:18" ht="12.75" customHeight="1">
      <c r="A10299" s="628" t="s">
        <v>18857</v>
      </c>
      <c r="B10299" s="629"/>
      <c r="C10299" s="629"/>
      <c r="D10299" s="629"/>
      <c r="E10299" s="629"/>
      <c r="F10299" s="629"/>
      <c r="G10299" s="629"/>
      <c r="H10299" s="629"/>
      <c r="I10299" s="629"/>
      <c r="J10299" s="629"/>
      <c r="K10299" s="629"/>
      <c r="L10299" s="629"/>
      <c r="M10299" s="629"/>
      <c r="N10299" s="629"/>
      <c r="O10299" s="629"/>
      <c r="P10299" s="629"/>
      <c r="Q10299" s="629"/>
      <c r="R10299" s="629"/>
    </row>
    <row r="10300" spans="1:18" ht="24">
      <c r="A10300" s="264">
        <v>161</v>
      </c>
      <c r="B10300" s="261" t="s">
        <v>18858</v>
      </c>
      <c r="C10300" s="265" t="s">
        <v>18859</v>
      </c>
      <c r="D10300" s="266">
        <v>153479.56</v>
      </c>
      <c r="E10300" s="266">
        <v>21799.56</v>
      </c>
      <c r="F10300" s="266">
        <v>95835.97</v>
      </c>
      <c r="G10300" s="266">
        <v>35844.03</v>
      </c>
      <c r="H10300" s="267">
        <v>850195.84</v>
      </c>
      <c r="I10300" s="267">
        <v>250704.28</v>
      </c>
      <c r="J10300" s="267">
        <v>454011.51</v>
      </c>
      <c r="K10300" s="267">
        <v>145480.04999999999</v>
      </c>
      <c r="L10300" s="43">
        <v>5.5394727480323764</v>
      </c>
      <c r="M10300" s="43">
        <v>11.500428449014567</v>
      </c>
      <c r="N10300" s="43">
        <v>4.7373810689243294</v>
      </c>
      <c r="O10300" s="43">
        <v>4.058696803902909</v>
      </c>
      <c r="P10300" s="268"/>
      <c r="Q10300" s="268"/>
      <c r="R10300" s="268">
        <v>5</v>
      </c>
    </row>
    <row r="10301" spans="1:18" ht="24">
      <c r="A10301" s="264">
        <v>162</v>
      </c>
      <c r="B10301" s="261" t="s">
        <v>18860</v>
      </c>
      <c r="C10301" s="265" t="s">
        <v>18861</v>
      </c>
      <c r="D10301" s="266">
        <v>11746.3</v>
      </c>
      <c r="E10301" s="266">
        <v>5733.51</v>
      </c>
      <c r="F10301" s="266">
        <v>4607.24</v>
      </c>
      <c r="G10301" s="266">
        <v>1405.55</v>
      </c>
      <c r="H10301" s="267">
        <v>99815.75</v>
      </c>
      <c r="I10301" s="267">
        <v>65937.86</v>
      </c>
      <c r="J10301" s="267">
        <v>26279.35</v>
      </c>
      <c r="K10301" s="267">
        <v>7598.54</v>
      </c>
      <c r="L10301" s="43">
        <v>8.4976332972936159</v>
      </c>
      <c r="M10301" s="43">
        <v>11.500435161009573</v>
      </c>
      <c r="N10301" s="43">
        <v>5.7039246924405935</v>
      </c>
      <c r="O10301" s="43">
        <v>5.4060972573014121</v>
      </c>
      <c r="P10301" s="268"/>
      <c r="Q10301" s="268"/>
      <c r="R10301" s="268">
        <v>5</v>
      </c>
    </row>
    <row r="10302" spans="1:18" ht="24">
      <c r="A10302" s="264">
        <v>163</v>
      </c>
      <c r="B10302" s="261" t="s">
        <v>18862</v>
      </c>
      <c r="C10302" s="265" t="s">
        <v>18863</v>
      </c>
      <c r="D10302" s="266">
        <v>15522.57</v>
      </c>
      <c r="E10302" s="266">
        <v>7284.66</v>
      </c>
      <c r="F10302" s="266">
        <v>5985.59</v>
      </c>
      <c r="G10302" s="266">
        <v>2252.3200000000002</v>
      </c>
      <c r="H10302" s="267">
        <v>129883.34</v>
      </c>
      <c r="I10302" s="267">
        <v>83776.759999999995</v>
      </c>
      <c r="J10302" s="267">
        <v>34136.92</v>
      </c>
      <c r="K10302" s="267">
        <v>11969.66</v>
      </c>
      <c r="L10302" s="43">
        <v>8.3673863284237076</v>
      </c>
      <c r="M10302" s="43">
        <v>11.500435161009573</v>
      </c>
      <c r="N10302" s="43">
        <v>5.7031838131245207</v>
      </c>
      <c r="O10302" s="43">
        <v>5.3143691837749518</v>
      </c>
      <c r="P10302" s="268"/>
      <c r="Q10302" s="268"/>
      <c r="R10302" s="268">
        <v>5</v>
      </c>
    </row>
    <row r="10303" spans="1:18" ht="24">
      <c r="A10303" s="264">
        <v>164</v>
      </c>
      <c r="B10303" s="261" t="s">
        <v>18864</v>
      </c>
      <c r="C10303" s="265" t="s">
        <v>18865</v>
      </c>
      <c r="D10303" s="266">
        <v>10560.33</v>
      </c>
      <c r="E10303" s="266">
        <v>5595.63</v>
      </c>
      <c r="F10303" s="266">
        <v>3626.74</v>
      </c>
      <c r="G10303" s="266">
        <v>1337.96</v>
      </c>
      <c r="H10303" s="267">
        <v>91849.94</v>
      </c>
      <c r="I10303" s="267">
        <v>64352.18</v>
      </c>
      <c r="J10303" s="267">
        <v>20480.77</v>
      </c>
      <c r="K10303" s="267">
        <v>7016.99</v>
      </c>
      <c r="L10303" s="43">
        <v>8.6976391836239966</v>
      </c>
      <c r="M10303" s="43">
        <v>11.500435161009573</v>
      </c>
      <c r="N10303" s="43">
        <v>5.6471569508704791</v>
      </c>
      <c r="O10303" s="43">
        <v>5.2445439325540368</v>
      </c>
      <c r="P10303" s="268"/>
      <c r="Q10303" s="268"/>
      <c r="R10303" s="268">
        <v>5</v>
      </c>
    </row>
    <row r="10304" spans="1:18" ht="24">
      <c r="A10304" s="264">
        <v>165</v>
      </c>
      <c r="B10304" s="261" t="s">
        <v>18866</v>
      </c>
      <c r="C10304" s="265" t="s">
        <v>18867</v>
      </c>
      <c r="D10304" s="266">
        <v>9901.86</v>
      </c>
      <c r="E10304" s="266">
        <v>4481.28</v>
      </c>
      <c r="F10304" s="266">
        <v>4332.78</v>
      </c>
      <c r="G10304" s="266">
        <v>1087.8</v>
      </c>
      <c r="H10304" s="267">
        <v>82401.63</v>
      </c>
      <c r="I10304" s="267">
        <v>51536.639999999999</v>
      </c>
      <c r="J10304" s="267">
        <v>24887.45</v>
      </c>
      <c r="K10304" s="267">
        <v>5977.54</v>
      </c>
      <c r="L10304" s="43">
        <v>8.3218334737109991</v>
      </c>
      <c r="M10304" s="43">
        <v>11.500428449014567</v>
      </c>
      <c r="N10304" s="43">
        <v>5.74399115579374</v>
      </c>
      <c r="O10304" s="43">
        <v>5.4950726236440524</v>
      </c>
      <c r="P10304" s="268"/>
      <c r="Q10304" s="268"/>
      <c r="R10304" s="268">
        <v>5</v>
      </c>
    </row>
    <row r="10305" spans="1:18" ht="12.75" customHeight="1">
      <c r="A10305" s="628" t="s">
        <v>18868</v>
      </c>
      <c r="B10305" s="629"/>
      <c r="C10305" s="629"/>
      <c r="D10305" s="629"/>
      <c r="E10305" s="629"/>
      <c r="F10305" s="629"/>
      <c r="G10305" s="629"/>
      <c r="H10305" s="629"/>
      <c r="I10305" s="629"/>
      <c r="J10305" s="629"/>
      <c r="K10305" s="629"/>
      <c r="L10305" s="629"/>
      <c r="M10305" s="629"/>
      <c r="N10305" s="629"/>
      <c r="O10305" s="629"/>
      <c r="P10305" s="629"/>
      <c r="Q10305" s="629"/>
      <c r="R10305" s="629"/>
    </row>
    <row r="10306" spans="1:18" ht="24">
      <c r="A10306" s="264">
        <v>166</v>
      </c>
      <c r="B10306" s="261" t="s">
        <v>18869</v>
      </c>
      <c r="C10306" s="265" t="s">
        <v>18870</v>
      </c>
      <c r="D10306" s="266">
        <v>7394.1</v>
      </c>
      <c r="E10306" s="266">
        <v>1061.97</v>
      </c>
      <c r="F10306" s="266">
        <v>6189.81</v>
      </c>
      <c r="G10306" s="266">
        <v>142.32</v>
      </c>
      <c r="H10306" s="267">
        <v>47523.63</v>
      </c>
      <c r="I10306" s="267">
        <v>12213.11</v>
      </c>
      <c r="J10306" s="267">
        <v>34036.76</v>
      </c>
      <c r="K10306" s="267">
        <v>1273.76</v>
      </c>
      <c r="L10306" s="43">
        <v>6.4272365805168983</v>
      </c>
      <c r="M10306" s="43">
        <v>11.500428449014567</v>
      </c>
      <c r="N10306" s="43">
        <v>5.4988376056777186</v>
      </c>
      <c r="O10306" s="43">
        <v>8.9499718943226529</v>
      </c>
      <c r="P10306" s="268"/>
      <c r="Q10306" s="268"/>
      <c r="R10306" s="268">
        <v>6</v>
      </c>
    </row>
    <row r="10307" spans="1:18" ht="24">
      <c r="A10307" s="264">
        <v>167</v>
      </c>
      <c r="B10307" s="261" t="s">
        <v>18871</v>
      </c>
      <c r="C10307" s="265" t="s">
        <v>18872</v>
      </c>
      <c r="D10307" s="266">
        <v>7418.83</v>
      </c>
      <c r="E10307" s="266">
        <v>1078.3499999999999</v>
      </c>
      <c r="F10307" s="266">
        <v>6190.67</v>
      </c>
      <c r="G10307" s="266">
        <v>149.81</v>
      </c>
      <c r="H10307" s="267">
        <v>47780.68</v>
      </c>
      <c r="I10307" s="267">
        <v>12401.48</v>
      </c>
      <c r="J10307" s="267">
        <v>34041.269999999997</v>
      </c>
      <c r="K10307" s="267">
        <v>1337.93</v>
      </c>
      <c r="L10307" s="43">
        <v>6.4404602882125621</v>
      </c>
      <c r="M10307" s="43">
        <v>11.50042194092827</v>
      </c>
      <c r="N10307" s="43">
        <v>5.4988022298071124</v>
      </c>
      <c r="O10307" s="43">
        <v>8.9308457379347175</v>
      </c>
      <c r="P10307" s="268"/>
      <c r="Q10307" s="268"/>
      <c r="R10307" s="268">
        <v>6</v>
      </c>
    </row>
    <row r="10308" spans="1:18" ht="24">
      <c r="A10308" s="264">
        <v>168</v>
      </c>
      <c r="B10308" s="261" t="s">
        <v>18873</v>
      </c>
      <c r="C10308" s="265" t="s">
        <v>18874</v>
      </c>
      <c r="D10308" s="266">
        <v>11772.77</v>
      </c>
      <c r="E10308" s="266">
        <v>3001.2</v>
      </c>
      <c r="F10308" s="266">
        <v>8304.0499999999993</v>
      </c>
      <c r="G10308" s="266">
        <v>467.52</v>
      </c>
      <c r="H10308" s="267">
        <v>85363.57</v>
      </c>
      <c r="I10308" s="267">
        <v>34513.800000000003</v>
      </c>
      <c r="J10308" s="267">
        <v>46707.95</v>
      </c>
      <c r="K10308" s="267">
        <v>4141.82</v>
      </c>
      <c r="L10308" s="43">
        <v>7.2509332977710432</v>
      </c>
      <c r="M10308" s="43">
        <v>11.500000000000002</v>
      </c>
      <c r="N10308" s="43">
        <v>5.6247192634919108</v>
      </c>
      <c r="O10308" s="43">
        <v>8.8591290212183438</v>
      </c>
      <c r="P10308" s="268"/>
      <c r="Q10308" s="268"/>
      <c r="R10308" s="268">
        <v>6</v>
      </c>
    </row>
    <row r="10309" spans="1:18" ht="24">
      <c r="A10309" s="264">
        <v>169</v>
      </c>
      <c r="B10309" s="261" t="s">
        <v>18875</v>
      </c>
      <c r="C10309" s="265" t="s">
        <v>18876</v>
      </c>
      <c r="D10309" s="266">
        <v>12258.55</v>
      </c>
      <c r="E10309" s="266">
        <v>3129.61</v>
      </c>
      <c r="F10309" s="266">
        <v>8608.01</v>
      </c>
      <c r="G10309" s="266">
        <v>520.92999999999995</v>
      </c>
      <c r="H10309" s="267">
        <v>89149.57</v>
      </c>
      <c r="I10309" s="267">
        <v>35991.78</v>
      </c>
      <c r="J10309" s="267">
        <v>48556.58</v>
      </c>
      <c r="K10309" s="267">
        <v>4601.21</v>
      </c>
      <c r="L10309" s="43">
        <v>7.2724400520453081</v>
      </c>
      <c r="M10309" s="43">
        <v>11.500404203718674</v>
      </c>
      <c r="N10309" s="43">
        <v>5.6408600826439557</v>
      </c>
      <c r="O10309" s="43">
        <v>8.8326838538767216</v>
      </c>
      <c r="P10309" s="268"/>
      <c r="Q10309" s="268"/>
      <c r="R10309" s="268">
        <v>6</v>
      </c>
    </row>
    <row r="10310" spans="1:18" ht="12.75" customHeight="1">
      <c r="A10310" s="628" t="s">
        <v>18877</v>
      </c>
      <c r="B10310" s="629"/>
      <c r="C10310" s="629"/>
      <c r="D10310" s="629"/>
      <c r="E10310" s="629"/>
      <c r="F10310" s="629"/>
      <c r="G10310" s="629"/>
      <c r="H10310" s="629"/>
      <c r="I10310" s="629"/>
      <c r="J10310" s="629"/>
      <c r="K10310" s="629"/>
      <c r="L10310" s="629"/>
      <c r="M10310" s="629"/>
      <c r="N10310" s="629"/>
      <c r="O10310" s="629"/>
      <c r="P10310" s="629"/>
      <c r="Q10310" s="629"/>
      <c r="R10310" s="629"/>
    </row>
    <row r="10311" spans="1:18" ht="24">
      <c r="A10311" s="264">
        <v>170</v>
      </c>
      <c r="B10311" s="261" t="s">
        <v>18878</v>
      </c>
      <c r="C10311" s="265" t="s">
        <v>18879</v>
      </c>
      <c r="D10311" s="266">
        <v>28341.07</v>
      </c>
      <c r="E10311" s="266">
        <v>5901.82</v>
      </c>
      <c r="F10311" s="266">
        <v>16191.06</v>
      </c>
      <c r="G10311" s="266">
        <v>6248.19</v>
      </c>
      <c r="H10311" s="267">
        <v>176984.2</v>
      </c>
      <c r="I10311" s="267">
        <v>67870.929999999993</v>
      </c>
      <c r="J10311" s="267">
        <v>82119.25</v>
      </c>
      <c r="K10311" s="267">
        <v>26994.02</v>
      </c>
      <c r="L10311" s="43">
        <v>6.2447959798271562</v>
      </c>
      <c r="M10311" s="43">
        <v>11.5</v>
      </c>
      <c r="N10311" s="43">
        <v>5.0718884371992941</v>
      </c>
      <c r="O10311" s="43">
        <v>4.3202943572458583</v>
      </c>
      <c r="P10311" s="268"/>
      <c r="Q10311" s="268"/>
      <c r="R10311" s="268">
        <v>7</v>
      </c>
    </row>
    <row r="10312" spans="1:18" ht="24">
      <c r="A10312" s="264">
        <v>171</v>
      </c>
      <c r="B10312" s="261" t="s">
        <v>18880</v>
      </c>
      <c r="C10312" s="265" t="s">
        <v>18881</v>
      </c>
      <c r="D10312" s="266">
        <v>82897.490000000005</v>
      </c>
      <c r="E10312" s="266">
        <v>13167</v>
      </c>
      <c r="F10312" s="266">
        <v>53965.39</v>
      </c>
      <c r="G10312" s="266">
        <v>15765.1</v>
      </c>
      <c r="H10312" s="267">
        <v>481102.46</v>
      </c>
      <c r="I10312" s="267">
        <v>151420.5</v>
      </c>
      <c r="J10312" s="267">
        <v>262115.42</v>
      </c>
      <c r="K10312" s="267">
        <v>67566.539999999994</v>
      </c>
      <c r="L10312" s="43">
        <v>5.8035829552861005</v>
      </c>
      <c r="M10312" s="43">
        <v>11.5</v>
      </c>
      <c r="N10312" s="43">
        <v>4.8571023020495172</v>
      </c>
      <c r="O10312" s="43">
        <v>4.2858300930536437</v>
      </c>
      <c r="P10312" s="268"/>
      <c r="Q10312" s="268"/>
      <c r="R10312" s="268">
        <v>7</v>
      </c>
    </row>
    <row r="10313" spans="1:18" ht="12.75" customHeight="1">
      <c r="A10313" s="628" t="s">
        <v>18882</v>
      </c>
      <c r="B10313" s="629"/>
      <c r="C10313" s="629"/>
      <c r="D10313" s="629"/>
      <c r="E10313" s="629"/>
      <c r="F10313" s="629"/>
      <c r="G10313" s="629"/>
      <c r="H10313" s="629"/>
      <c r="I10313" s="629"/>
      <c r="J10313" s="629"/>
      <c r="K10313" s="629"/>
      <c r="L10313" s="629"/>
      <c r="M10313" s="629"/>
      <c r="N10313" s="629"/>
      <c r="O10313" s="629"/>
      <c r="P10313" s="629"/>
      <c r="Q10313" s="629"/>
      <c r="R10313" s="629"/>
    </row>
    <row r="10314" spans="1:18" ht="24">
      <c r="A10314" s="264">
        <v>172</v>
      </c>
      <c r="B10314" s="261" t="s">
        <v>18883</v>
      </c>
      <c r="C10314" s="265" t="s">
        <v>18884</v>
      </c>
      <c r="D10314" s="266">
        <v>9634.11</v>
      </c>
      <c r="E10314" s="266">
        <v>3257.42</v>
      </c>
      <c r="F10314" s="266">
        <v>5917.78</v>
      </c>
      <c r="G10314" s="266">
        <v>458.91</v>
      </c>
      <c r="H10314" s="267">
        <v>76215.41</v>
      </c>
      <c r="I10314" s="267">
        <v>37460.33</v>
      </c>
      <c r="J10314" s="267">
        <v>34674.18</v>
      </c>
      <c r="K10314" s="267">
        <v>4080.9</v>
      </c>
      <c r="L10314" s="43">
        <v>7.9109964490752125</v>
      </c>
      <c r="M10314" s="43">
        <v>11.5</v>
      </c>
      <c r="N10314" s="43">
        <v>5.8593222458421907</v>
      </c>
      <c r="O10314" s="43">
        <v>8.8925933189514286</v>
      </c>
      <c r="P10314" s="268"/>
      <c r="Q10314" s="268"/>
      <c r="R10314" s="268">
        <v>8</v>
      </c>
    </row>
    <row r="10315" spans="1:18" ht="24">
      <c r="A10315" s="264">
        <v>173</v>
      </c>
      <c r="B10315" s="261" t="s">
        <v>18885</v>
      </c>
      <c r="C10315" s="265" t="s">
        <v>18886</v>
      </c>
      <c r="D10315" s="266">
        <v>6023.34</v>
      </c>
      <c r="E10315" s="266">
        <v>2573.7600000000002</v>
      </c>
      <c r="F10315" s="266">
        <v>3261.81</v>
      </c>
      <c r="G10315" s="266">
        <v>187.77</v>
      </c>
      <c r="H10315" s="267">
        <v>50116.05</v>
      </c>
      <c r="I10315" s="267">
        <v>29599.360000000001</v>
      </c>
      <c r="J10315" s="267">
        <v>18767.080000000002</v>
      </c>
      <c r="K10315" s="267">
        <v>1749.61</v>
      </c>
      <c r="L10315" s="43">
        <v>8.3203089979977882</v>
      </c>
      <c r="M10315" s="43">
        <v>11.500435161009573</v>
      </c>
      <c r="N10315" s="43">
        <v>5.7535785346172839</v>
      </c>
      <c r="O10315" s="43">
        <v>9.3178356499973365</v>
      </c>
      <c r="P10315" s="268"/>
      <c r="Q10315" s="268"/>
      <c r="R10315" s="268">
        <v>8</v>
      </c>
    </row>
    <row r="10316" spans="1:18" ht="24">
      <c r="A10316" s="264">
        <v>174</v>
      </c>
      <c r="B10316" s="261" t="s">
        <v>18887</v>
      </c>
      <c r="C10316" s="265" t="s">
        <v>18888</v>
      </c>
      <c r="D10316" s="266">
        <v>4643.3599999999997</v>
      </c>
      <c r="E10316" s="266">
        <v>1766.05</v>
      </c>
      <c r="F10316" s="266">
        <v>2764.98</v>
      </c>
      <c r="G10316" s="266">
        <v>112.33</v>
      </c>
      <c r="H10316" s="267">
        <v>37278.11</v>
      </c>
      <c r="I10316" s="267">
        <v>20310.419999999998</v>
      </c>
      <c r="J10316" s="267">
        <v>15910.2</v>
      </c>
      <c r="K10316" s="267">
        <v>1057.49</v>
      </c>
      <c r="L10316" s="43">
        <v>8.0282618620998587</v>
      </c>
      <c r="M10316" s="43">
        <v>11.500478468899521</v>
      </c>
      <c r="N10316" s="43">
        <v>5.7541826703990626</v>
      </c>
      <c r="O10316" s="43">
        <v>9.4141369180094365</v>
      </c>
      <c r="P10316" s="268"/>
      <c r="Q10316" s="268"/>
      <c r="R10316" s="268">
        <v>8</v>
      </c>
    </row>
    <row r="10317" spans="1:18" ht="24">
      <c r="A10317" s="264">
        <v>175</v>
      </c>
      <c r="B10317" s="261" t="s">
        <v>18889</v>
      </c>
      <c r="C10317" s="265" t="s">
        <v>18890</v>
      </c>
      <c r="D10317" s="266">
        <v>5242.42</v>
      </c>
      <c r="E10317" s="266">
        <v>2602.41</v>
      </c>
      <c r="F10317" s="266">
        <v>2407.08</v>
      </c>
      <c r="G10317" s="266">
        <v>232.93</v>
      </c>
      <c r="H10317" s="267">
        <v>46193.08</v>
      </c>
      <c r="I10317" s="267">
        <v>29928.83</v>
      </c>
      <c r="J10317" s="267">
        <v>14334.75</v>
      </c>
      <c r="K10317" s="267">
        <v>1929.5</v>
      </c>
      <c r="L10317" s="43">
        <v>8.8114038936216481</v>
      </c>
      <c r="M10317" s="43">
        <v>11.500428449014569</v>
      </c>
      <c r="N10317" s="43">
        <v>5.9552445286405105</v>
      </c>
      <c r="O10317" s="43">
        <v>8.2836045163783112</v>
      </c>
      <c r="P10317" s="268"/>
      <c r="Q10317" s="268"/>
      <c r="R10317" s="268">
        <v>8</v>
      </c>
    </row>
    <row r="10318" spans="1:18" ht="24">
      <c r="A10318" s="264">
        <v>176</v>
      </c>
      <c r="B10318" s="261" t="s">
        <v>18891</v>
      </c>
      <c r="C10318" s="265" t="s">
        <v>18892</v>
      </c>
      <c r="D10318" s="266">
        <v>3371.94</v>
      </c>
      <c r="E10318" s="266">
        <v>1283.7</v>
      </c>
      <c r="F10318" s="266">
        <v>2025.09</v>
      </c>
      <c r="G10318" s="266">
        <v>63.15</v>
      </c>
      <c r="H10318" s="267">
        <v>26828.63</v>
      </c>
      <c r="I10318" s="267">
        <v>14763.1</v>
      </c>
      <c r="J10318" s="267">
        <v>11453.41</v>
      </c>
      <c r="K10318" s="267">
        <v>612.12</v>
      </c>
      <c r="L10318" s="43">
        <v>7.9564375404070065</v>
      </c>
      <c r="M10318" s="43">
        <v>11.500428449014567</v>
      </c>
      <c r="N10318" s="43">
        <v>5.6557535714462075</v>
      </c>
      <c r="O10318" s="43">
        <v>9.6931116389548695</v>
      </c>
      <c r="P10318" s="268"/>
      <c r="Q10318" s="268"/>
      <c r="R10318" s="268">
        <v>8</v>
      </c>
    </row>
    <row r="10319" spans="1:18" ht="24">
      <c r="A10319" s="264">
        <v>177</v>
      </c>
      <c r="B10319" s="261" t="s">
        <v>18893</v>
      </c>
      <c r="C10319" s="265" t="s">
        <v>18894</v>
      </c>
      <c r="D10319" s="266">
        <v>5164.83</v>
      </c>
      <c r="E10319" s="266">
        <v>2310.66</v>
      </c>
      <c r="F10319" s="266">
        <v>2700.44</v>
      </c>
      <c r="G10319" s="266">
        <v>153.72999999999999</v>
      </c>
      <c r="H10319" s="267">
        <v>43835.62</v>
      </c>
      <c r="I10319" s="267">
        <v>26573.58</v>
      </c>
      <c r="J10319" s="267">
        <v>15821.56</v>
      </c>
      <c r="K10319" s="267">
        <v>1440.48</v>
      </c>
      <c r="L10319" s="43">
        <v>8.4873306575434242</v>
      </c>
      <c r="M10319" s="43">
        <v>11.500428449014569</v>
      </c>
      <c r="N10319" s="43">
        <v>5.858882256224911</v>
      </c>
      <c r="O10319" s="43">
        <v>9.3701944968451194</v>
      </c>
      <c r="P10319" s="268"/>
      <c r="Q10319" s="268"/>
      <c r="R10319" s="268">
        <v>8</v>
      </c>
    </row>
    <row r="10320" spans="1:18" ht="24">
      <c r="A10320" s="264">
        <v>178</v>
      </c>
      <c r="B10320" s="261" t="s">
        <v>18895</v>
      </c>
      <c r="C10320" s="265" t="s">
        <v>18896</v>
      </c>
      <c r="D10320" s="266">
        <v>39161.54</v>
      </c>
      <c r="E10320" s="266">
        <v>6393.87</v>
      </c>
      <c r="F10320" s="266">
        <v>22573.53</v>
      </c>
      <c r="G10320" s="266">
        <v>10194.14</v>
      </c>
      <c r="H10320" s="267">
        <v>232112.53</v>
      </c>
      <c r="I10320" s="267">
        <v>73532.490000000005</v>
      </c>
      <c r="J10320" s="267">
        <v>115801.97</v>
      </c>
      <c r="K10320" s="267">
        <v>42778.07</v>
      </c>
      <c r="L10320" s="43">
        <v>5.9270531751304976</v>
      </c>
      <c r="M10320" s="43">
        <v>11.500466853408032</v>
      </c>
      <c r="N10320" s="43">
        <v>5.1299894168080939</v>
      </c>
      <c r="O10320" s="43">
        <v>4.1963392694234143</v>
      </c>
      <c r="P10320" s="268"/>
      <c r="Q10320" s="268"/>
      <c r="R10320" s="268">
        <v>8</v>
      </c>
    </row>
    <row r="10321" spans="1:18" ht="24">
      <c r="A10321" s="264">
        <v>179</v>
      </c>
      <c r="B10321" s="261" t="s">
        <v>18897</v>
      </c>
      <c r="C10321" s="265" t="s">
        <v>18898</v>
      </c>
      <c r="D10321" s="266">
        <v>8573.58</v>
      </c>
      <c r="E10321" s="266">
        <v>1587.9</v>
      </c>
      <c r="F10321" s="266">
        <v>6876.27</v>
      </c>
      <c r="G10321" s="266">
        <v>109.41</v>
      </c>
      <c r="H10321" s="267">
        <v>61624.39</v>
      </c>
      <c r="I10321" s="267">
        <v>18261.52</v>
      </c>
      <c r="J10321" s="267">
        <v>42337.22</v>
      </c>
      <c r="K10321" s="267">
        <v>1025.6500000000001</v>
      </c>
      <c r="L10321" s="43">
        <v>7.187708051945628</v>
      </c>
      <c r="M10321" s="43">
        <v>11.50042194092827</v>
      </c>
      <c r="N10321" s="43">
        <v>6.1570037244029097</v>
      </c>
      <c r="O10321" s="43">
        <v>9.3743716296499411</v>
      </c>
      <c r="P10321" s="268"/>
      <c r="Q10321" s="268"/>
      <c r="R10321" s="268">
        <v>8</v>
      </c>
    </row>
    <row r="10322" spans="1:18" ht="24">
      <c r="A10322" s="264">
        <v>180</v>
      </c>
      <c r="B10322" s="261" t="s">
        <v>18899</v>
      </c>
      <c r="C10322" s="265" t="s">
        <v>18900</v>
      </c>
      <c r="D10322" s="266">
        <v>6049.8</v>
      </c>
      <c r="E10322" s="266">
        <v>3886.11</v>
      </c>
      <c r="F10322" s="266">
        <v>1843.59</v>
      </c>
      <c r="G10322" s="266">
        <v>320.10000000000002</v>
      </c>
      <c r="H10322" s="267">
        <v>58933.31</v>
      </c>
      <c r="I10322" s="267">
        <v>44691.93</v>
      </c>
      <c r="J10322" s="267">
        <v>11285.44</v>
      </c>
      <c r="K10322" s="267">
        <v>2955.94</v>
      </c>
      <c r="L10322" s="43">
        <v>9.7413650038017785</v>
      </c>
      <c r="M10322" s="43">
        <v>11.500428449014567</v>
      </c>
      <c r="N10322" s="43">
        <v>6.1214478273368815</v>
      </c>
      <c r="O10322" s="43">
        <v>9.2344267416432366</v>
      </c>
      <c r="P10322" s="268"/>
      <c r="Q10322" s="268"/>
      <c r="R10322" s="268">
        <v>8</v>
      </c>
    </row>
    <row r="10323" spans="1:18" ht="24">
      <c r="A10323" s="264">
        <v>181</v>
      </c>
      <c r="B10323" s="261" t="s">
        <v>18901</v>
      </c>
      <c r="C10323" s="265" t="s">
        <v>18902</v>
      </c>
      <c r="D10323" s="266">
        <v>6749.79</v>
      </c>
      <c r="E10323" s="266">
        <v>4282.2</v>
      </c>
      <c r="F10323" s="266">
        <v>2124.75</v>
      </c>
      <c r="G10323" s="266">
        <v>342.84</v>
      </c>
      <c r="H10323" s="267">
        <v>65410.94</v>
      </c>
      <c r="I10323" s="267">
        <v>49245.3</v>
      </c>
      <c r="J10323" s="267">
        <v>13004.44</v>
      </c>
      <c r="K10323" s="267">
        <v>3161.2</v>
      </c>
      <c r="L10323" s="43">
        <v>9.6908111215311887</v>
      </c>
      <c r="M10323" s="43">
        <v>11.500000000000002</v>
      </c>
      <c r="N10323" s="43">
        <v>6.1204565242969764</v>
      </c>
      <c r="O10323" s="43">
        <v>9.2206276980515689</v>
      </c>
      <c r="P10323" s="268"/>
      <c r="Q10323" s="268"/>
      <c r="R10323" s="268">
        <v>8</v>
      </c>
    </row>
    <row r="10324" spans="1:18" ht="24">
      <c r="A10324" s="264">
        <v>182</v>
      </c>
      <c r="B10324" s="261" t="s">
        <v>18903</v>
      </c>
      <c r="C10324" s="265" t="s">
        <v>18904</v>
      </c>
      <c r="D10324" s="266">
        <v>1407.12</v>
      </c>
      <c r="E10324" s="266">
        <v>986.84</v>
      </c>
      <c r="F10324" s="266">
        <v>370.1</v>
      </c>
      <c r="G10324" s="266">
        <v>50.18</v>
      </c>
      <c r="H10324" s="267">
        <v>13896.13</v>
      </c>
      <c r="I10324" s="267">
        <v>11348.68</v>
      </c>
      <c r="J10324" s="267">
        <v>2061.7600000000002</v>
      </c>
      <c r="K10324" s="267">
        <v>485.69</v>
      </c>
      <c r="L10324" s="43">
        <v>9.8755827505827511</v>
      </c>
      <c r="M10324" s="43">
        <v>11.500020266709901</v>
      </c>
      <c r="N10324" s="43">
        <v>5.5708186976492842</v>
      </c>
      <c r="O10324" s="43">
        <v>9.6789557592666409</v>
      </c>
      <c r="P10324" s="268"/>
      <c r="Q10324" s="268"/>
      <c r="R10324" s="268">
        <v>8</v>
      </c>
    </row>
    <row r="10325" spans="1:18" ht="24">
      <c r="A10325" s="264">
        <v>183</v>
      </c>
      <c r="B10325" s="261" t="s">
        <v>18905</v>
      </c>
      <c r="C10325" s="265" t="s">
        <v>18906</v>
      </c>
      <c r="D10325" s="266">
        <v>13887.94</v>
      </c>
      <c r="E10325" s="266">
        <v>3804.42</v>
      </c>
      <c r="F10325" s="266">
        <v>9756.7199999999993</v>
      </c>
      <c r="G10325" s="266">
        <v>326.8</v>
      </c>
      <c r="H10325" s="267">
        <v>97555.28</v>
      </c>
      <c r="I10325" s="267">
        <v>43752.46</v>
      </c>
      <c r="J10325" s="267">
        <v>50794.54</v>
      </c>
      <c r="K10325" s="267">
        <v>3008.28</v>
      </c>
      <c r="L10325" s="43">
        <v>7.0244600711120579</v>
      </c>
      <c r="M10325" s="43">
        <v>11.500428449014567</v>
      </c>
      <c r="N10325" s="43">
        <v>5.2061082002968213</v>
      </c>
      <c r="O10325" s="43">
        <v>9.2052631578947377</v>
      </c>
      <c r="P10325" s="268"/>
      <c r="Q10325" s="268"/>
      <c r="R10325" s="268">
        <v>8</v>
      </c>
    </row>
    <row r="10326" spans="1:18" ht="12.75" customHeight="1">
      <c r="A10326" s="628" t="s">
        <v>18907</v>
      </c>
      <c r="B10326" s="629"/>
      <c r="C10326" s="629"/>
      <c r="D10326" s="629"/>
      <c r="E10326" s="629"/>
      <c r="F10326" s="629"/>
      <c r="G10326" s="629"/>
      <c r="H10326" s="629"/>
      <c r="I10326" s="629"/>
      <c r="J10326" s="629"/>
      <c r="K10326" s="629"/>
      <c r="L10326" s="629"/>
      <c r="M10326" s="629"/>
      <c r="N10326" s="629"/>
      <c r="O10326" s="629"/>
      <c r="P10326" s="629"/>
      <c r="Q10326" s="629"/>
      <c r="R10326" s="629"/>
    </row>
    <row r="10327" spans="1:18" ht="24">
      <c r="A10327" s="264">
        <v>184</v>
      </c>
      <c r="B10327" s="261" t="s">
        <v>18908</v>
      </c>
      <c r="C10327" s="265" t="s">
        <v>18909</v>
      </c>
      <c r="D10327" s="266">
        <v>5739.99</v>
      </c>
      <c r="E10327" s="266">
        <v>1797.18</v>
      </c>
      <c r="F10327" s="266">
        <v>1230.1099999999999</v>
      </c>
      <c r="G10327" s="266">
        <v>2712.7</v>
      </c>
      <c r="H10327" s="267">
        <v>37799.4</v>
      </c>
      <c r="I10327" s="267">
        <v>20668.34</v>
      </c>
      <c r="J10327" s="267">
        <v>7298.85</v>
      </c>
      <c r="K10327" s="267">
        <v>9832.2099999999991</v>
      </c>
      <c r="L10327" s="43">
        <v>6.5852727966425038</v>
      </c>
      <c r="M10327" s="43">
        <v>11.500428449014567</v>
      </c>
      <c r="N10327" s="43">
        <v>5.9334937525912324</v>
      </c>
      <c r="O10327" s="43">
        <v>3.624510635160541</v>
      </c>
      <c r="P10327" s="268"/>
      <c r="Q10327" s="268"/>
      <c r="R10327" s="268">
        <v>9</v>
      </c>
    </row>
    <row r="10328" spans="1:18" ht="24">
      <c r="A10328" s="264">
        <v>185</v>
      </c>
      <c r="B10328" s="261" t="s">
        <v>18910</v>
      </c>
      <c r="C10328" s="265" t="s">
        <v>18911</v>
      </c>
      <c r="D10328" s="266">
        <v>8272.8799999999992</v>
      </c>
      <c r="E10328" s="266">
        <v>2030.58</v>
      </c>
      <c r="F10328" s="266">
        <v>1480.49</v>
      </c>
      <c r="G10328" s="266">
        <v>4761.8100000000004</v>
      </c>
      <c r="H10328" s="267">
        <v>48842.559999999998</v>
      </c>
      <c r="I10328" s="267">
        <v>23352.54</v>
      </c>
      <c r="J10328" s="267">
        <v>8783.19</v>
      </c>
      <c r="K10328" s="267">
        <v>16706.830000000002</v>
      </c>
      <c r="L10328" s="43">
        <v>5.9039367185309111</v>
      </c>
      <c r="M10328" s="43">
        <v>11.500428449014569</v>
      </c>
      <c r="N10328" s="43">
        <v>5.9326236583833731</v>
      </c>
      <c r="O10328" s="43">
        <v>3.5085041192319726</v>
      </c>
      <c r="P10328" s="268"/>
      <c r="Q10328" s="268"/>
      <c r="R10328" s="268">
        <v>9</v>
      </c>
    </row>
    <row r="10329" spans="1:18" ht="24">
      <c r="A10329" s="264">
        <v>186</v>
      </c>
      <c r="B10329" s="261" t="s">
        <v>18912</v>
      </c>
      <c r="C10329" s="265" t="s">
        <v>18913</v>
      </c>
      <c r="D10329" s="266">
        <v>9130.7800000000007</v>
      </c>
      <c r="E10329" s="266">
        <v>1964.79</v>
      </c>
      <c r="F10329" s="266">
        <v>1544.43</v>
      </c>
      <c r="G10329" s="266">
        <v>5621.56</v>
      </c>
      <c r="H10329" s="267">
        <v>51321.79</v>
      </c>
      <c r="I10329" s="267">
        <v>22595.94</v>
      </c>
      <c r="J10329" s="267">
        <v>9161.0400000000009</v>
      </c>
      <c r="K10329" s="267">
        <v>19564.810000000001</v>
      </c>
      <c r="L10329" s="43">
        <v>5.6207454346726129</v>
      </c>
      <c r="M10329" s="43">
        <v>11.500435161009573</v>
      </c>
      <c r="N10329" s="43">
        <v>5.93166410908879</v>
      </c>
      <c r="O10329" s="43">
        <v>3.4803168515501035</v>
      </c>
      <c r="P10329" s="268"/>
      <c r="Q10329" s="268"/>
      <c r="R10329" s="268">
        <v>9</v>
      </c>
    </row>
    <row r="10330" spans="1:18" ht="24">
      <c r="A10330" s="264">
        <v>187</v>
      </c>
      <c r="B10330" s="261" t="s">
        <v>18914</v>
      </c>
      <c r="C10330" s="265" t="s">
        <v>18915</v>
      </c>
      <c r="D10330" s="266">
        <v>11571.05</v>
      </c>
      <c r="E10330" s="266">
        <v>2171.61</v>
      </c>
      <c r="F10330" s="266">
        <v>1729.38</v>
      </c>
      <c r="G10330" s="266">
        <v>7670.06</v>
      </c>
      <c r="H10330" s="267">
        <v>61663.33</v>
      </c>
      <c r="I10330" s="267">
        <v>24974.46</v>
      </c>
      <c r="J10330" s="267">
        <v>10257.34</v>
      </c>
      <c r="K10330" s="267">
        <v>26431.53</v>
      </c>
      <c r="L10330" s="43">
        <v>5.3291041003193316</v>
      </c>
      <c r="M10330" s="43">
        <v>11.500435161009573</v>
      </c>
      <c r="N10330" s="43">
        <v>5.9312239068336625</v>
      </c>
      <c r="O10330" s="43">
        <v>3.4460656109600181</v>
      </c>
      <c r="P10330" s="268"/>
      <c r="Q10330" s="268"/>
      <c r="R10330" s="268">
        <v>9</v>
      </c>
    </row>
    <row r="10331" spans="1:18" ht="24">
      <c r="A10331" s="264">
        <v>188</v>
      </c>
      <c r="B10331" s="261" t="s">
        <v>18916</v>
      </c>
      <c r="C10331" s="265" t="s">
        <v>18917</v>
      </c>
      <c r="D10331" s="266">
        <v>13368.82</v>
      </c>
      <c r="E10331" s="266">
        <v>2229.06</v>
      </c>
      <c r="F10331" s="266">
        <v>1856.15</v>
      </c>
      <c r="G10331" s="266">
        <v>9283.61</v>
      </c>
      <c r="H10331" s="267">
        <v>68457.64</v>
      </c>
      <c r="I10331" s="267">
        <v>25635.16</v>
      </c>
      <c r="J10331" s="267">
        <v>11007.36</v>
      </c>
      <c r="K10331" s="267">
        <v>31815.119999999999</v>
      </c>
      <c r="L10331" s="43">
        <v>5.1206942721945543</v>
      </c>
      <c r="M10331" s="43">
        <v>11.500435161009573</v>
      </c>
      <c r="N10331" s="43">
        <v>5.9302103817040646</v>
      </c>
      <c r="O10331" s="43">
        <v>3.4270203078328363</v>
      </c>
      <c r="P10331" s="268"/>
      <c r="Q10331" s="268"/>
      <c r="R10331" s="268">
        <v>9</v>
      </c>
    </row>
    <row r="10332" spans="1:18" ht="24">
      <c r="A10332" s="264">
        <v>189</v>
      </c>
      <c r="B10332" s="261" t="s">
        <v>18918</v>
      </c>
      <c r="C10332" s="265" t="s">
        <v>18919</v>
      </c>
      <c r="D10332" s="266">
        <v>6249.71</v>
      </c>
      <c r="E10332" s="266">
        <v>2019.36</v>
      </c>
      <c r="F10332" s="266">
        <v>1390.43</v>
      </c>
      <c r="G10332" s="266">
        <v>2839.92</v>
      </c>
      <c r="H10332" s="267">
        <v>42258.32</v>
      </c>
      <c r="I10332" s="267">
        <v>23222.639999999999</v>
      </c>
      <c r="J10332" s="267">
        <v>8298.73</v>
      </c>
      <c r="K10332" s="267">
        <v>10736.95</v>
      </c>
      <c r="L10332" s="43">
        <v>6.7616449403252314</v>
      </c>
      <c r="M10332" s="43">
        <v>11.5</v>
      </c>
      <c r="N10332" s="43">
        <v>5.9684629934624533</v>
      </c>
      <c r="O10332" s="43">
        <v>3.7807226964139837</v>
      </c>
      <c r="P10332" s="268"/>
      <c r="Q10332" s="268"/>
      <c r="R10332" s="268">
        <v>9</v>
      </c>
    </row>
    <row r="10333" spans="1:18" ht="24">
      <c r="A10333" s="264">
        <v>190</v>
      </c>
      <c r="B10333" s="261" t="s">
        <v>18920</v>
      </c>
      <c r="C10333" s="265" t="s">
        <v>18921</v>
      </c>
      <c r="D10333" s="266">
        <v>8642.08</v>
      </c>
      <c r="E10333" s="266">
        <v>2137.14</v>
      </c>
      <c r="F10333" s="266">
        <v>1598.86</v>
      </c>
      <c r="G10333" s="266">
        <v>4906.08</v>
      </c>
      <c r="H10333" s="267">
        <v>51836.33</v>
      </c>
      <c r="I10333" s="267">
        <v>24578.04</v>
      </c>
      <c r="J10333" s="267">
        <v>9540.89</v>
      </c>
      <c r="K10333" s="267">
        <v>17717.400000000001</v>
      </c>
      <c r="L10333" s="43">
        <v>5.9981312369244444</v>
      </c>
      <c r="M10333" s="43">
        <v>11.500435161009575</v>
      </c>
      <c r="N10333" s="43">
        <v>5.9673079569193046</v>
      </c>
      <c r="O10333" s="43">
        <v>3.6113149398297626</v>
      </c>
      <c r="P10333" s="268"/>
      <c r="Q10333" s="268"/>
      <c r="R10333" s="268">
        <v>9</v>
      </c>
    </row>
    <row r="10334" spans="1:18" ht="24">
      <c r="A10334" s="264">
        <v>191</v>
      </c>
      <c r="B10334" s="261" t="s">
        <v>18922</v>
      </c>
      <c r="C10334" s="265" t="s">
        <v>18923</v>
      </c>
      <c r="D10334" s="266">
        <v>9749.52</v>
      </c>
      <c r="E10334" s="266">
        <v>2275.02</v>
      </c>
      <c r="F10334" s="266">
        <v>1671.76</v>
      </c>
      <c r="G10334" s="266">
        <v>5802.74</v>
      </c>
      <c r="H10334" s="267">
        <v>56977.17</v>
      </c>
      <c r="I10334" s="267">
        <v>26163.72</v>
      </c>
      <c r="J10334" s="267">
        <v>9975.07</v>
      </c>
      <c r="K10334" s="267">
        <v>20838.38</v>
      </c>
      <c r="L10334" s="43">
        <v>5.8441000172316171</v>
      </c>
      <c r="M10334" s="43">
        <v>11.500435161009575</v>
      </c>
      <c r="N10334" s="43">
        <v>5.9668074364741353</v>
      </c>
      <c r="O10334" s="43">
        <v>3.591127639701245</v>
      </c>
      <c r="P10334" s="268"/>
      <c r="Q10334" s="268"/>
      <c r="R10334" s="268">
        <v>9</v>
      </c>
    </row>
    <row r="10335" spans="1:18" ht="24">
      <c r="A10335" s="264">
        <v>192</v>
      </c>
      <c r="B10335" s="261" t="s">
        <v>18924</v>
      </c>
      <c r="C10335" s="265" t="s">
        <v>18925</v>
      </c>
      <c r="D10335" s="266">
        <v>12322.47</v>
      </c>
      <c r="E10335" s="266">
        <v>2378.4299999999998</v>
      </c>
      <c r="F10335" s="266">
        <v>1948.66</v>
      </c>
      <c r="G10335" s="266">
        <v>7995.38</v>
      </c>
      <c r="H10335" s="267">
        <v>67660.17</v>
      </c>
      <c r="I10335" s="267">
        <v>27352.98</v>
      </c>
      <c r="J10335" s="267">
        <v>11626.06</v>
      </c>
      <c r="K10335" s="267">
        <v>28681.13</v>
      </c>
      <c r="L10335" s="43">
        <v>5.4907960822789592</v>
      </c>
      <c r="M10335" s="43">
        <v>11.500435161009575</v>
      </c>
      <c r="N10335" s="43">
        <v>5.9661818890930176</v>
      </c>
      <c r="O10335" s="43">
        <v>3.5872128654297857</v>
      </c>
      <c r="P10335" s="268"/>
      <c r="Q10335" s="268"/>
      <c r="R10335" s="268">
        <v>9</v>
      </c>
    </row>
    <row r="10336" spans="1:18" ht="24">
      <c r="A10336" s="264">
        <v>193</v>
      </c>
      <c r="B10336" s="261" t="s">
        <v>18926</v>
      </c>
      <c r="C10336" s="265" t="s">
        <v>18927</v>
      </c>
      <c r="D10336" s="266">
        <v>13765.55</v>
      </c>
      <c r="E10336" s="266">
        <v>2435.88</v>
      </c>
      <c r="F10336" s="266">
        <v>2022.13</v>
      </c>
      <c r="G10336" s="266">
        <v>9307.5400000000009</v>
      </c>
      <c r="H10336" s="267">
        <v>72106.73</v>
      </c>
      <c r="I10336" s="267">
        <v>28013.68</v>
      </c>
      <c r="J10336" s="267">
        <v>12063.07</v>
      </c>
      <c r="K10336" s="267">
        <v>32029.98</v>
      </c>
      <c r="L10336" s="43">
        <v>5.2382018880466088</v>
      </c>
      <c r="M10336" s="43">
        <v>11.500435161009573</v>
      </c>
      <c r="N10336" s="43">
        <v>5.9655264498326019</v>
      </c>
      <c r="O10336" s="43">
        <v>3.4412938327420561</v>
      </c>
      <c r="P10336" s="268"/>
      <c r="Q10336" s="268"/>
      <c r="R10336" s="268">
        <v>9</v>
      </c>
    </row>
    <row r="10337" spans="1:18" ht="24">
      <c r="A10337" s="264">
        <v>194</v>
      </c>
      <c r="B10337" s="261" t="s">
        <v>18928</v>
      </c>
      <c r="C10337" s="265" t="s">
        <v>18929</v>
      </c>
      <c r="D10337" s="266">
        <v>1089.33</v>
      </c>
      <c r="E10337" s="266">
        <v>863.95</v>
      </c>
      <c r="F10337" s="266">
        <v>203</v>
      </c>
      <c r="G10337" s="266">
        <v>22.38</v>
      </c>
      <c r="H10337" s="267">
        <v>11332.43</v>
      </c>
      <c r="I10337" s="267">
        <v>9935.4</v>
      </c>
      <c r="J10337" s="267">
        <v>1153.6099999999999</v>
      </c>
      <c r="K10337" s="267">
        <v>243.42</v>
      </c>
      <c r="L10337" s="43">
        <v>10.403119348590419</v>
      </c>
      <c r="M10337" s="43">
        <v>11.499971063140228</v>
      </c>
      <c r="N10337" s="43">
        <v>5.6828078817733987</v>
      </c>
      <c r="O10337" s="43">
        <v>10.876675603217159</v>
      </c>
      <c r="P10337" s="268"/>
      <c r="Q10337" s="268"/>
      <c r="R10337" s="268">
        <v>9</v>
      </c>
    </row>
    <row r="10338" spans="1:18" ht="24">
      <c r="A10338" s="264">
        <v>195</v>
      </c>
      <c r="B10338" s="261" t="s">
        <v>18930</v>
      </c>
      <c r="C10338" s="265" t="s">
        <v>18931</v>
      </c>
      <c r="D10338" s="266">
        <v>1485.82</v>
      </c>
      <c r="E10338" s="266">
        <v>876.96</v>
      </c>
      <c r="F10338" s="266">
        <v>565.82000000000005</v>
      </c>
      <c r="G10338" s="266">
        <v>43.04</v>
      </c>
      <c r="H10338" s="267">
        <v>13921.29</v>
      </c>
      <c r="I10338" s="267">
        <v>10084.99</v>
      </c>
      <c r="J10338" s="267">
        <v>3411.09</v>
      </c>
      <c r="K10338" s="267">
        <v>425.21</v>
      </c>
      <c r="L10338" s="43">
        <v>9.3694323673123261</v>
      </c>
      <c r="M10338" s="43">
        <v>11.499942984856776</v>
      </c>
      <c r="N10338" s="43">
        <v>6.0285779930013073</v>
      </c>
      <c r="O10338" s="43">
        <v>9.8794144981412639</v>
      </c>
      <c r="P10338" s="268"/>
      <c r="Q10338" s="268"/>
      <c r="R10338" s="268">
        <v>9</v>
      </c>
    </row>
    <row r="10339" spans="1:18" ht="12.75" customHeight="1">
      <c r="A10339" s="628" t="s">
        <v>18932</v>
      </c>
      <c r="B10339" s="629"/>
      <c r="C10339" s="629"/>
      <c r="D10339" s="629"/>
      <c r="E10339" s="629"/>
      <c r="F10339" s="629"/>
      <c r="G10339" s="629"/>
      <c r="H10339" s="629"/>
      <c r="I10339" s="629"/>
      <c r="J10339" s="629"/>
      <c r="K10339" s="629"/>
      <c r="L10339" s="629"/>
      <c r="M10339" s="629"/>
      <c r="N10339" s="629"/>
      <c r="O10339" s="629"/>
      <c r="P10339" s="629"/>
      <c r="Q10339" s="629"/>
      <c r="R10339" s="629"/>
    </row>
    <row r="10340" spans="1:18" ht="12.75" customHeight="1">
      <c r="A10340" s="628" t="s">
        <v>18933</v>
      </c>
      <c r="B10340" s="629"/>
      <c r="C10340" s="629"/>
      <c r="D10340" s="629"/>
      <c r="E10340" s="629"/>
      <c r="F10340" s="629"/>
      <c r="G10340" s="629"/>
      <c r="H10340" s="629"/>
      <c r="I10340" s="629"/>
      <c r="J10340" s="629"/>
      <c r="K10340" s="629"/>
      <c r="L10340" s="629"/>
      <c r="M10340" s="629"/>
      <c r="N10340" s="629"/>
      <c r="O10340" s="629"/>
      <c r="P10340" s="629"/>
      <c r="Q10340" s="629"/>
      <c r="R10340" s="629"/>
    </row>
    <row r="10341" spans="1:18" ht="24">
      <c r="A10341" s="264">
        <v>196</v>
      </c>
      <c r="B10341" s="261" t="s">
        <v>18934</v>
      </c>
      <c r="C10341" s="265" t="s">
        <v>18935</v>
      </c>
      <c r="D10341" s="266">
        <v>1889755.33</v>
      </c>
      <c r="E10341" s="266">
        <v>208309.5</v>
      </c>
      <c r="F10341" s="266">
        <v>1035844.5</v>
      </c>
      <c r="G10341" s="266">
        <v>645601.32999999996</v>
      </c>
      <c r="H10341" s="267">
        <v>11874899.689999999</v>
      </c>
      <c r="I10341" s="267">
        <v>2395648.5</v>
      </c>
      <c r="J10341" s="267">
        <v>5387486.8099999996</v>
      </c>
      <c r="K10341" s="267">
        <v>4091764.38</v>
      </c>
      <c r="L10341" s="43">
        <v>6.2838291822677377</v>
      </c>
      <c r="M10341" s="43">
        <v>11.500428449014567</v>
      </c>
      <c r="N10341" s="43">
        <v>5.2010575042875642</v>
      </c>
      <c r="O10341" s="43">
        <v>6.3379119432731033</v>
      </c>
      <c r="P10341" s="268"/>
      <c r="Q10341" s="268"/>
      <c r="R10341" s="268">
        <v>1</v>
      </c>
    </row>
    <row r="10342" spans="1:18" ht="24">
      <c r="A10342" s="264">
        <v>197</v>
      </c>
      <c r="B10342" s="261" t="s">
        <v>18936</v>
      </c>
      <c r="C10342" s="265" t="s">
        <v>18937</v>
      </c>
      <c r="D10342" s="266">
        <v>3099784.72</v>
      </c>
      <c r="E10342" s="266">
        <v>311460.63</v>
      </c>
      <c r="F10342" s="266">
        <v>1784345.36</v>
      </c>
      <c r="G10342" s="266">
        <v>1003978.73</v>
      </c>
      <c r="H10342" s="267">
        <v>19420005.66</v>
      </c>
      <c r="I10342" s="267">
        <v>3581930.69</v>
      </c>
      <c r="J10342" s="267">
        <v>9494246.8599999994</v>
      </c>
      <c r="K10342" s="267">
        <v>6343828.1100000003</v>
      </c>
      <c r="L10342" s="43">
        <v>6.2649530255120425</v>
      </c>
      <c r="M10342" s="43">
        <v>11.500428449014567</v>
      </c>
      <c r="N10342" s="43">
        <v>5.320857202217848</v>
      </c>
      <c r="O10342" s="43">
        <v>6.3186877574587665</v>
      </c>
      <c r="P10342" s="268"/>
      <c r="Q10342" s="268"/>
      <c r="R10342" s="268">
        <v>1</v>
      </c>
    </row>
    <row r="10343" spans="1:18" ht="12.75" customHeight="1">
      <c r="A10343" s="628" t="s">
        <v>18938</v>
      </c>
      <c r="B10343" s="629"/>
      <c r="C10343" s="629"/>
      <c r="D10343" s="629"/>
      <c r="E10343" s="629"/>
      <c r="F10343" s="629"/>
      <c r="G10343" s="629"/>
      <c r="H10343" s="629"/>
      <c r="I10343" s="629"/>
      <c r="J10343" s="629"/>
      <c r="K10343" s="629"/>
      <c r="L10343" s="629"/>
      <c r="M10343" s="629"/>
      <c r="N10343" s="629"/>
      <c r="O10343" s="629"/>
      <c r="P10343" s="629"/>
      <c r="Q10343" s="629"/>
      <c r="R10343" s="629"/>
    </row>
    <row r="10344" spans="1:18" ht="24">
      <c r="A10344" s="264">
        <v>198</v>
      </c>
      <c r="B10344" s="261" t="s">
        <v>18939</v>
      </c>
      <c r="C10344" s="265" t="s">
        <v>18940</v>
      </c>
      <c r="D10344" s="266">
        <v>21918.82</v>
      </c>
      <c r="E10344" s="266">
        <v>13350.48</v>
      </c>
      <c r="F10344" s="266">
        <v>6917.31</v>
      </c>
      <c r="G10344" s="266">
        <v>1651.03</v>
      </c>
      <c r="H10344" s="267">
        <v>208069.61</v>
      </c>
      <c r="I10344" s="267">
        <v>153536.24</v>
      </c>
      <c r="J10344" s="267">
        <v>39506.42</v>
      </c>
      <c r="K10344" s="267">
        <v>15026.95</v>
      </c>
      <c r="L10344" s="43">
        <v>9.4927377477437194</v>
      </c>
      <c r="M10344" s="43">
        <v>11.500428449014567</v>
      </c>
      <c r="N10344" s="43">
        <v>5.7112403521021893</v>
      </c>
      <c r="O10344" s="43">
        <v>9.1015608438368787</v>
      </c>
      <c r="P10344" s="268"/>
      <c r="Q10344" s="268"/>
      <c r="R10344" s="268">
        <v>2</v>
      </c>
    </row>
    <row r="10345" spans="1:18" ht="24">
      <c r="A10345" s="264">
        <v>199</v>
      </c>
      <c r="B10345" s="261" t="s">
        <v>18941</v>
      </c>
      <c r="C10345" s="265" t="s">
        <v>18942</v>
      </c>
      <c r="D10345" s="266">
        <v>24375.09</v>
      </c>
      <c r="E10345" s="266">
        <v>14225.73</v>
      </c>
      <c r="F10345" s="266">
        <v>8296.17</v>
      </c>
      <c r="G10345" s="266">
        <v>1853.19</v>
      </c>
      <c r="H10345" s="267">
        <v>227766.56</v>
      </c>
      <c r="I10345" s="267">
        <v>163601.99</v>
      </c>
      <c r="J10345" s="267">
        <v>47374.86</v>
      </c>
      <c r="K10345" s="267">
        <v>16789.71</v>
      </c>
      <c r="L10345" s="43">
        <v>9.344234626415739</v>
      </c>
      <c r="M10345" s="43">
        <v>11.500428449014567</v>
      </c>
      <c r="N10345" s="43">
        <v>5.7104495206824355</v>
      </c>
      <c r="O10345" s="43">
        <v>9.0598967186311157</v>
      </c>
      <c r="P10345" s="268"/>
      <c r="Q10345" s="268"/>
      <c r="R10345" s="268">
        <v>2</v>
      </c>
    </row>
    <row r="10346" spans="1:18" ht="24">
      <c r="A10346" s="264">
        <v>200</v>
      </c>
      <c r="B10346" s="261" t="s">
        <v>18943</v>
      </c>
      <c r="C10346" s="265" t="s">
        <v>18944</v>
      </c>
      <c r="D10346" s="266">
        <v>51618.86</v>
      </c>
      <c r="E10346" s="266">
        <v>20072.400000000001</v>
      </c>
      <c r="F10346" s="266">
        <v>28547.06</v>
      </c>
      <c r="G10346" s="266">
        <v>2999.4</v>
      </c>
      <c r="H10346" s="267">
        <v>417638.86</v>
      </c>
      <c r="I10346" s="267">
        <v>230841.2</v>
      </c>
      <c r="J10346" s="267">
        <v>159960.57999999999</v>
      </c>
      <c r="K10346" s="267">
        <v>26837.08</v>
      </c>
      <c r="L10346" s="43">
        <v>8.0908191308370618</v>
      </c>
      <c r="M10346" s="43">
        <v>11.500428449014567</v>
      </c>
      <c r="N10346" s="43">
        <v>5.6033994393818478</v>
      </c>
      <c r="O10346" s="43">
        <v>8.9474828298993128</v>
      </c>
      <c r="P10346" s="268"/>
      <c r="Q10346" s="268"/>
      <c r="R10346" s="268">
        <v>2</v>
      </c>
    </row>
    <row r="10347" spans="1:18" ht="24">
      <c r="A10347" s="264">
        <v>201</v>
      </c>
      <c r="B10347" s="261" t="s">
        <v>18945</v>
      </c>
      <c r="C10347" s="265" t="s">
        <v>18946</v>
      </c>
      <c r="D10347" s="266">
        <v>48284.92</v>
      </c>
      <c r="E10347" s="266">
        <v>4806.8</v>
      </c>
      <c r="F10347" s="266">
        <v>40840.69</v>
      </c>
      <c r="G10347" s="266">
        <v>2637.43</v>
      </c>
      <c r="H10347" s="267">
        <v>300848.65000000002</v>
      </c>
      <c r="I10347" s="267">
        <v>55278.2</v>
      </c>
      <c r="J10347" s="267">
        <v>227527.1</v>
      </c>
      <c r="K10347" s="267">
        <v>18043.349999999999</v>
      </c>
      <c r="L10347" s="43">
        <v>6.2306958362983726</v>
      </c>
      <c r="M10347" s="43">
        <v>11.499999999999998</v>
      </c>
      <c r="N10347" s="43">
        <v>5.5710885393953919</v>
      </c>
      <c r="O10347" s="43">
        <v>6.8412621377628975</v>
      </c>
      <c r="P10347" s="268"/>
      <c r="Q10347" s="268"/>
      <c r="R10347" s="268">
        <v>2</v>
      </c>
    </row>
    <row r="10348" spans="1:18" ht="24">
      <c r="A10348" s="264">
        <v>202</v>
      </c>
      <c r="B10348" s="261" t="s">
        <v>18947</v>
      </c>
      <c r="C10348" s="265" t="s">
        <v>18948</v>
      </c>
      <c r="D10348" s="266">
        <v>188492</v>
      </c>
      <c r="E10348" s="266">
        <v>20831.080000000002</v>
      </c>
      <c r="F10348" s="266">
        <v>158865.16</v>
      </c>
      <c r="G10348" s="266">
        <v>8795.76</v>
      </c>
      <c r="H10348" s="267">
        <v>1192331.52</v>
      </c>
      <c r="I10348" s="267">
        <v>239565.84</v>
      </c>
      <c r="J10348" s="267">
        <v>886181.48</v>
      </c>
      <c r="K10348" s="267">
        <v>66584.2</v>
      </c>
      <c r="L10348" s="43">
        <v>6.3256346157927128</v>
      </c>
      <c r="M10348" s="43">
        <v>11.500404203718674</v>
      </c>
      <c r="N10348" s="43">
        <v>5.5781990211069559</v>
      </c>
      <c r="O10348" s="43">
        <v>7.5700337435309732</v>
      </c>
      <c r="P10348" s="268"/>
      <c r="Q10348" s="268"/>
      <c r="R10348" s="268">
        <v>2</v>
      </c>
    </row>
    <row r="10349" spans="1:18" ht="24">
      <c r="A10349" s="264">
        <v>203</v>
      </c>
      <c r="B10349" s="261" t="s">
        <v>18949</v>
      </c>
      <c r="C10349" s="265" t="s">
        <v>18950</v>
      </c>
      <c r="D10349" s="266">
        <v>4268.04</v>
      </c>
      <c r="E10349" s="266">
        <v>1700.52</v>
      </c>
      <c r="F10349" s="266">
        <v>1487.47</v>
      </c>
      <c r="G10349" s="266">
        <v>1080.05</v>
      </c>
      <c r="H10349" s="267">
        <v>33208.949999999997</v>
      </c>
      <c r="I10349" s="267">
        <v>19556.72</v>
      </c>
      <c r="J10349" s="267">
        <v>8975.4599999999991</v>
      </c>
      <c r="K10349" s="267">
        <v>4676.7700000000004</v>
      </c>
      <c r="L10349" s="43">
        <v>7.7808431973458534</v>
      </c>
      <c r="M10349" s="43">
        <v>11.500435161009575</v>
      </c>
      <c r="N10349" s="43">
        <v>6.0340443840884177</v>
      </c>
      <c r="O10349" s="43">
        <v>4.3301421230498596</v>
      </c>
      <c r="P10349" s="268"/>
      <c r="Q10349" s="268"/>
      <c r="R10349" s="268">
        <v>2</v>
      </c>
    </row>
    <row r="10350" spans="1:18" ht="24">
      <c r="A10350" s="264">
        <v>204</v>
      </c>
      <c r="B10350" s="261" t="s">
        <v>18951</v>
      </c>
      <c r="C10350" s="265" t="s">
        <v>18952</v>
      </c>
      <c r="D10350" s="266">
        <v>256182.77</v>
      </c>
      <c r="E10350" s="266">
        <v>58645.58</v>
      </c>
      <c r="F10350" s="266">
        <v>183986.91</v>
      </c>
      <c r="G10350" s="266">
        <v>13550.28</v>
      </c>
      <c r="H10350" s="267">
        <v>1733000.9</v>
      </c>
      <c r="I10350" s="267">
        <v>674424.17</v>
      </c>
      <c r="J10350" s="267">
        <v>964266.81</v>
      </c>
      <c r="K10350" s="267">
        <v>94309.92</v>
      </c>
      <c r="L10350" s="43">
        <v>6.7647051361026351</v>
      </c>
      <c r="M10350" s="43">
        <v>11.5</v>
      </c>
      <c r="N10350" s="43">
        <v>5.2409533373868831</v>
      </c>
      <c r="O10350" s="43">
        <v>6.9599978745826654</v>
      </c>
      <c r="P10350" s="268"/>
      <c r="Q10350" s="268"/>
      <c r="R10350" s="268">
        <v>2</v>
      </c>
    </row>
    <row r="10351" spans="1:18" ht="24">
      <c r="A10351" s="264">
        <v>205</v>
      </c>
      <c r="B10351" s="261" t="s">
        <v>18953</v>
      </c>
      <c r="C10351" s="265" t="s">
        <v>18954</v>
      </c>
      <c r="D10351" s="266">
        <v>75636.490000000005</v>
      </c>
      <c r="E10351" s="266">
        <v>11911.82</v>
      </c>
      <c r="F10351" s="266">
        <v>56447.43</v>
      </c>
      <c r="G10351" s="266">
        <v>7277.24</v>
      </c>
      <c r="H10351" s="267">
        <v>452234.09</v>
      </c>
      <c r="I10351" s="267">
        <v>136985.93</v>
      </c>
      <c r="J10351" s="267">
        <v>276251.52000000002</v>
      </c>
      <c r="K10351" s="267">
        <v>38996.639999999999</v>
      </c>
      <c r="L10351" s="43">
        <v>5.9790464893333892</v>
      </c>
      <c r="M10351" s="43">
        <v>11.5</v>
      </c>
      <c r="N10351" s="43">
        <v>4.8939609828117954</v>
      </c>
      <c r="O10351" s="43">
        <v>5.3587129186339881</v>
      </c>
      <c r="P10351" s="268"/>
      <c r="Q10351" s="268"/>
      <c r="R10351" s="268">
        <v>2</v>
      </c>
    </row>
    <row r="10352" spans="1:18" ht="36">
      <c r="A10352" s="264">
        <v>206</v>
      </c>
      <c r="B10352" s="261" t="s">
        <v>18955</v>
      </c>
      <c r="C10352" s="265" t="s">
        <v>18956</v>
      </c>
      <c r="D10352" s="266">
        <v>1654.75</v>
      </c>
      <c r="E10352" s="266">
        <v>574.5</v>
      </c>
      <c r="F10352" s="266">
        <v>1062.5</v>
      </c>
      <c r="G10352" s="266">
        <v>17.75</v>
      </c>
      <c r="H10352" s="267">
        <v>13241.91</v>
      </c>
      <c r="I10352" s="267">
        <v>6607</v>
      </c>
      <c r="J10352" s="267">
        <v>6447.94</v>
      </c>
      <c r="K10352" s="267">
        <v>186.97</v>
      </c>
      <c r="L10352" s="43">
        <v>8.0023628946970842</v>
      </c>
      <c r="M10352" s="43">
        <v>11.500435161009573</v>
      </c>
      <c r="N10352" s="43">
        <v>6.0686494117647056</v>
      </c>
      <c r="O10352" s="43">
        <v>10.533521126760563</v>
      </c>
      <c r="P10352" s="268"/>
      <c r="Q10352" s="268"/>
      <c r="R10352" s="268">
        <v>2</v>
      </c>
    </row>
    <row r="10353" spans="1:18" ht="36">
      <c r="A10353" s="264">
        <v>207</v>
      </c>
      <c r="B10353" s="261" t="s">
        <v>18957</v>
      </c>
      <c r="C10353" s="265" t="s">
        <v>18958</v>
      </c>
      <c r="D10353" s="266">
        <v>5126.8</v>
      </c>
      <c r="E10353" s="266">
        <v>1470.42</v>
      </c>
      <c r="F10353" s="266">
        <v>3490.71</v>
      </c>
      <c r="G10353" s="266">
        <v>165.67</v>
      </c>
      <c r="H10353" s="267">
        <v>38302.01</v>
      </c>
      <c r="I10353" s="267">
        <v>16910.46</v>
      </c>
      <c r="J10353" s="267">
        <v>20274.96</v>
      </c>
      <c r="K10353" s="267">
        <v>1116.5899999999999</v>
      </c>
      <c r="L10353" s="43">
        <v>7.4709389872825156</v>
      </c>
      <c r="M10353" s="43">
        <v>11.500428449014565</v>
      </c>
      <c r="N10353" s="43">
        <v>5.8082625024708436</v>
      </c>
      <c r="O10353" s="43">
        <v>6.7398442687269871</v>
      </c>
      <c r="P10353" s="268"/>
      <c r="Q10353" s="268"/>
      <c r="R10353" s="268">
        <v>2</v>
      </c>
    </row>
    <row r="10354" spans="1:18" ht="24">
      <c r="A10354" s="264">
        <v>208</v>
      </c>
      <c r="B10354" s="261" t="s">
        <v>18959</v>
      </c>
      <c r="C10354" s="265" t="s">
        <v>18960</v>
      </c>
      <c r="D10354" s="266">
        <v>6190.21</v>
      </c>
      <c r="E10354" s="266">
        <v>2851.36</v>
      </c>
      <c r="F10354" s="266">
        <v>2342.4699999999998</v>
      </c>
      <c r="G10354" s="266">
        <v>996.38</v>
      </c>
      <c r="H10354" s="267">
        <v>51707.87</v>
      </c>
      <c r="I10354" s="267">
        <v>32790.639999999999</v>
      </c>
      <c r="J10354" s="267">
        <v>13939.64</v>
      </c>
      <c r="K10354" s="267">
        <v>4977.59</v>
      </c>
      <c r="L10354" s="43">
        <v>8.3531689554958568</v>
      </c>
      <c r="M10354" s="43">
        <v>11.5</v>
      </c>
      <c r="N10354" s="43">
        <v>5.9508296797824523</v>
      </c>
      <c r="O10354" s="43">
        <v>4.9956743411148361</v>
      </c>
      <c r="P10354" s="268"/>
      <c r="Q10354" s="268"/>
      <c r="R10354" s="268">
        <v>2</v>
      </c>
    </row>
    <row r="10355" spans="1:18" ht="24">
      <c r="A10355" s="264">
        <v>209</v>
      </c>
      <c r="B10355" s="261" t="s">
        <v>18961</v>
      </c>
      <c r="C10355" s="265" t="s">
        <v>18962</v>
      </c>
      <c r="D10355" s="266">
        <v>89864.02</v>
      </c>
      <c r="E10355" s="266">
        <v>13879.92</v>
      </c>
      <c r="F10355" s="266">
        <v>56228.11</v>
      </c>
      <c r="G10355" s="266">
        <v>19755.990000000002</v>
      </c>
      <c r="H10355" s="267">
        <v>601904.55000000005</v>
      </c>
      <c r="I10355" s="267">
        <v>159625.12</v>
      </c>
      <c r="J10355" s="267">
        <v>304322.09000000003</v>
      </c>
      <c r="K10355" s="267">
        <v>137957.34</v>
      </c>
      <c r="L10355" s="43">
        <v>6.6979481888301908</v>
      </c>
      <c r="M10355" s="43">
        <v>11.500435161009573</v>
      </c>
      <c r="N10355" s="43">
        <v>5.4122767064374031</v>
      </c>
      <c r="O10355" s="43">
        <v>6.9830638707551476</v>
      </c>
      <c r="P10355" s="268"/>
      <c r="Q10355" s="268"/>
      <c r="R10355" s="268">
        <v>2</v>
      </c>
    </row>
    <row r="10356" spans="1:18" ht="24">
      <c r="A10356" s="264">
        <v>210</v>
      </c>
      <c r="B10356" s="261" t="s">
        <v>18963</v>
      </c>
      <c r="C10356" s="265" t="s">
        <v>18964</v>
      </c>
      <c r="D10356" s="266">
        <v>50086.66</v>
      </c>
      <c r="E10356" s="266">
        <v>7139.88</v>
      </c>
      <c r="F10356" s="266">
        <v>38100.629999999997</v>
      </c>
      <c r="G10356" s="266">
        <v>4846.1499999999996</v>
      </c>
      <c r="H10356" s="267">
        <v>317548.43</v>
      </c>
      <c r="I10356" s="267">
        <v>82108.62</v>
      </c>
      <c r="J10356" s="267">
        <v>208605.52</v>
      </c>
      <c r="K10356" s="267">
        <v>26834.29</v>
      </c>
      <c r="L10356" s="43">
        <v>6.339980146410241</v>
      </c>
      <c r="M10356" s="43">
        <v>11.5</v>
      </c>
      <c r="N10356" s="43">
        <v>5.4751199652079245</v>
      </c>
      <c r="O10356" s="43">
        <v>5.5372388390784444</v>
      </c>
      <c r="P10356" s="268"/>
      <c r="Q10356" s="268"/>
      <c r="R10356" s="268">
        <v>2</v>
      </c>
    </row>
    <row r="10357" spans="1:18" ht="24">
      <c r="A10357" s="264">
        <v>211</v>
      </c>
      <c r="B10357" s="261" t="s">
        <v>18965</v>
      </c>
      <c r="C10357" s="265" t="s">
        <v>18966</v>
      </c>
      <c r="D10357" s="266">
        <v>79070.09</v>
      </c>
      <c r="E10357" s="266">
        <v>14330.48</v>
      </c>
      <c r="F10357" s="266">
        <v>60556.62</v>
      </c>
      <c r="G10357" s="266">
        <v>4182.99</v>
      </c>
      <c r="H10357" s="267">
        <v>516020.03</v>
      </c>
      <c r="I10357" s="267">
        <v>164800.51999999999</v>
      </c>
      <c r="J10357" s="267">
        <v>327431.03000000003</v>
      </c>
      <c r="K10357" s="267">
        <v>23788.48</v>
      </c>
      <c r="L10357" s="43">
        <v>6.526109050843373</v>
      </c>
      <c r="M10357" s="43">
        <v>11.5</v>
      </c>
      <c r="N10357" s="43">
        <v>5.4070228820564958</v>
      </c>
      <c r="O10357" s="43">
        <v>5.6869559812478636</v>
      </c>
      <c r="P10357" s="268"/>
      <c r="Q10357" s="268"/>
      <c r="R10357" s="268">
        <v>2</v>
      </c>
    </row>
    <row r="10358" spans="1:18" ht="24">
      <c r="A10358" s="264">
        <v>212</v>
      </c>
      <c r="B10358" s="261" t="s">
        <v>18967</v>
      </c>
      <c r="C10358" s="265" t="s">
        <v>18968</v>
      </c>
      <c r="D10358" s="266">
        <v>131696.87</v>
      </c>
      <c r="E10358" s="266">
        <v>23366.1</v>
      </c>
      <c r="F10358" s="266">
        <v>100894.02</v>
      </c>
      <c r="G10358" s="266">
        <v>7436.75</v>
      </c>
      <c r="H10358" s="267">
        <v>862690.22</v>
      </c>
      <c r="I10358" s="267">
        <v>268720.8</v>
      </c>
      <c r="J10358" s="267">
        <v>548335.87</v>
      </c>
      <c r="K10358" s="267">
        <v>45633.55</v>
      </c>
      <c r="L10358" s="43">
        <v>6.5505749681066829</v>
      </c>
      <c r="M10358" s="43">
        <v>11.500455788514129</v>
      </c>
      <c r="N10358" s="43">
        <v>5.4347707624297259</v>
      </c>
      <c r="O10358" s="43">
        <v>6.1362221400477361</v>
      </c>
      <c r="P10358" s="268"/>
      <c r="Q10358" s="268"/>
      <c r="R10358" s="268">
        <v>2</v>
      </c>
    </row>
    <row r="10359" spans="1:18" ht="24">
      <c r="A10359" s="264">
        <v>213</v>
      </c>
      <c r="B10359" s="261" t="s">
        <v>18969</v>
      </c>
      <c r="C10359" s="265" t="s">
        <v>18970</v>
      </c>
      <c r="D10359" s="266">
        <v>43406.57</v>
      </c>
      <c r="E10359" s="266">
        <v>6570.21</v>
      </c>
      <c r="F10359" s="266">
        <v>34800.69</v>
      </c>
      <c r="G10359" s="266">
        <v>2035.67</v>
      </c>
      <c r="H10359" s="267">
        <v>264063.69</v>
      </c>
      <c r="I10359" s="267">
        <v>75560.23</v>
      </c>
      <c r="J10359" s="267">
        <v>175440.03</v>
      </c>
      <c r="K10359" s="267">
        <v>13063.43</v>
      </c>
      <c r="L10359" s="43">
        <v>6.0834958855306924</v>
      </c>
      <c r="M10359" s="43">
        <v>11.500428449014567</v>
      </c>
      <c r="N10359" s="43">
        <v>5.0412802159957169</v>
      </c>
      <c r="O10359" s="43">
        <v>6.4172631123905148</v>
      </c>
      <c r="P10359" s="268"/>
      <c r="Q10359" s="268"/>
      <c r="R10359" s="268">
        <v>2</v>
      </c>
    </row>
    <row r="10360" spans="1:18" ht="24">
      <c r="A10360" s="264">
        <v>214</v>
      </c>
      <c r="B10360" s="261" t="s">
        <v>18971</v>
      </c>
      <c r="C10360" s="265" t="s">
        <v>18972</v>
      </c>
      <c r="D10360" s="266">
        <v>92709.01</v>
      </c>
      <c r="E10360" s="266">
        <v>9476.0400000000009</v>
      </c>
      <c r="F10360" s="266">
        <v>79700.67</v>
      </c>
      <c r="G10360" s="266">
        <v>3532.3</v>
      </c>
      <c r="H10360" s="267">
        <v>521789.59</v>
      </c>
      <c r="I10360" s="267">
        <v>108978.52</v>
      </c>
      <c r="J10360" s="267">
        <v>386926.78</v>
      </c>
      <c r="K10360" s="267">
        <v>25884.29</v>
      </c>
      <c r="L10360" s="43">
        <v>5.6282511268322253</v>
      </c>
      <c r="M10360" s="43">
        <v>11.500428449014567</v>
      </c>
      <c r="N10360" s="43">
        <v>4.854749401730249</v>
      </c>
      <c r="O10360" s="43">
        <v>7.3278855136879653</v>
      </c>
      <c r="P10360" s="268"/>
      <c r="Q10360" s="268"/>
      <c r="R10360" s="268">
        <v>2</v>
      </c>
    </row>
    <row r="10361" spans="1:18" ht="12.75" customHeight="1">
      <c r="A10361" s="628" t="s">
        <v>18973</v>
      </c>
      <c r="B10361" s="629"/>
      <c r="C10361" s="629"/>
      <c r="D10361" s="629"/>
      <c r="E10361" s="629"/>
      <c r="F10361" s="629"/>
      <c r="G10361" s="629"/>
      <c r="H10361" s="629"/>
      <c r="I10361" s="629"/>
      <c r="J10361" s="629"/>
      <c r="K10361" s="629"/>
      <c r="L10361" s="629"/>
      <c r="M10361" s="629"/>
      <c r="N10361" s="629"/>
      <c r="O10361" s="629"/>
      <c r="P10361" s="629"/>
      <c r="Q10361" s="629"/>
      <c r="R10361" s="629"/>
    </row>
    <row r="10362" spans="1:18" ht="24">
      <c r="A10362" s="264">
        <v>215</v>
      </c>
      <c r="B10362" s="261" t="s">
        <v>18974</v>
      </c>
      <c r="C10362" s="265" t="s">
        <v>18975</v>
      </c>
      <c r="D10362" s="266">
        <v>19995.88</v>
      </c>
      <c r="E10362" s="266">
        <v>3078.56</v>
      </c>
      <c r="F10362" s="266">
        <v>16749.330000000002</v>
      </c>
      <c r="G10362" s="266">
        <v>167.99</v>
      </c>
      <c r="H10362" s="267">
        <v>129263.73</v>
      </c>
      <c r="I10362" s="267">
        <v>35403.440000000002</v>
      </c>
      <c r="J10362" s="267">
        <v>92219.49</v>
      </c>
      <c r="K10362" s="267">
        <v>1640.8</v>
      </c>
      <c r="L10362" s="43">
        <v>6.4645181907472935</v>
      </c>
      <c r="M10362" s="43">
        <v>11.500000000000002</v>
      </c>
      <c r="N10362" s="43">
        <v>5.5058614284869902</v>
      </c>
      <c r="O10362" s="43">
        <v>9.7672480504791945</v>
      </c>
      <c r="P10362" s="268"/>
      <c r="Q10362" s="268"/>
      <c r="R10362" s="268">
        <v>3</v>
      </c>
    </row>
    <row r="10363" spans="1:18" ht="24">
      <c r="A10363" s="264">
        <v>216</v>
      </c>
      <c r="B10363" s="261" t="s">
        <v>18976</v>
      </c>
      <c r="C10363" s="265" t="s">
        <v>18977</v>
      </c>
      <c r="D10363" s="266">
        <v>20019.060000000001</v>
      </c>
      <c r="E10363" s="266">
        <v>3101.28</v>
      </c>
      <c r="F10363" s="266">
        <v>16749.330000000002</v>
      </c>
      <c r="G10363" s="266">
        <v>168.45</v>
      </c>
      <c r="H10363" s="267">
        <v>129530.3</v>
      </c>
      <c r="I10363" s="267">
        <v>35664.720000000001</v>
      </c>
      <c r="J10363" s="267">
        <v>92219.49</v>
      </c>
      <c r="K10363" s="267">
        <v>1646.09</v>
      </c>
      <c r="L10363" s="43">
        <v>6.4703487576339747</v>
      </c>
      <c r="M10363" s="43">
        <v>11.5</v>
      </c>
      <c r="N10363" s="43">
        <v>5.5058614284869902</v>
      </c>
      <c r="O10363" s="43">
        <v>9.7719798159691305</v>
      </c>
      <c r="P10363" s="268"/>
      <c r="Q10363" s="268"/>
      <c r="R10363" s="268">
        <v>3</v>
      </c>
    </row>
    <row r="10364" spans="1:18" ht="24">
      <c r="A10364" s="264">
        <v>217</v>
      </c>
      <c r="B10364" s="261" t="s">
        <v>18978</v>
      </c>
      <c r="C10364" s="265" t="s">
        <v>18979</v>
      </c>
      <c r="D10364" s="266">
        <v>34827.660000000003</v>
      </c>
      <c r="E10364" s="266">
        <v>4979.32</v>
      </c>
      <c r="F10364" s="266">
        <v>29554.61</v>
      </c>
      <c r="G10364" s="266">
        <v>293.73</v>
      </c>
      <c r="H10364" s="267">
        <v>221877.25</v>
      </c>
      <c r="I10364" s="267">
        <v>57262.18</v>
      </c>
      <c r="J10364" s="267">
        <v>161768.20000000001</v>
      </c>
      <c r="K10364" s="267">
        <v>2846.87</v>
      </c>
      <c r="L10364" s="43">
        <v>6.3707194224360748</v>
      </c>
      <c r="M10364" s="43">
        <v>11.5</v>
      </c>
      <c r="N10364" s="43">
        <v>5.4735352623499347</v>
      </c>
      <c r="O10364" s="43">
        <v>9.6921322302795065</v>
      </c>
      <c r="P10364" s="268"/>
      <c r="Q10364" s="268"/>
      <c r="R10364" s="268">
        <v>3</v>
      </c>
    </row>
    <row r="10365" spans="1:18" ht="24">
      <c r="A10365" s="264">
        <v>218</v>
      </c>
      <c r="B10365" s="261" t="s">
        <v>18980</v>
      </c>
      <c r="C10365" s="265" t="s">
        <v>18981</v>
      </c>
      <c r="D10365" s="266">
        <v>55824.12</v>
      </c>
      <c r="E10365" s="266">
        <v>5024.28</v>
      </c>
      <c r="F10365" s="266">
        <v>50505.21</v>
      </c>
      <c r="G10365" s="266">
        <v>294.63</v>
      </c>
      <c r="H10365" s="267">
        <v>339440.27</v>
      </c>
      <c r="I10365" s="267">
        <v>57779.22</v>
      </c>
      <c r="J10365" s="267">
        <v>278803.83</v>
      </c>
      <c r="K10365" s="267">
        <v>2857.22</v>
      </c>
      <c r="L10365" s="43">
        <v>6.0805306021841456</v>
      </c>
      <c r="M10365" s="43">
        <v>11.5</v>
      </c>
      <c r="N10365" s="43">
        <v>5.5202984008976506</v>
      </c>
      <c r="O10365" s="43">
        <v>9.6976546855377919</v>
      </c>
      <c r="P10365" s="268"/>
      <c r="Q10365" s="268"/>
      <c r="R10365" s="268">
        <v>3</v>
      </c>
    </row>
    <row r="10366" spans="1:18" ht="24">
      <c r="A10366" s="264">
        <v>219</v>
      </c>
      <c r="B10366" s="261" t="s">
        <v>18982</v>
      </c>
      <c r="C10366" s="265" t="s">
        <v>18983</v>
      </c>
      <c r="D10366" s="266">
        <v>10759.26</v>
      </c>
      <c r="E10366" s="266">
        <v>1838.4</v>
      </c>
      <c r="F10366" s="266">
        <v>8748.09</v>
      </c>
      <c r="G10366" s="266">
        <v>172.77</v>
      </c>
      <c r="H10366" s="267">
        <v>72873.56</v>
      </c>
      <c r="I10366" s="267">
        <v>21142.400000000001</v>
      </c>
      <c r="J10366" s="267">
        <v>50116.3</v>
      </c>
      <c r="K10366" s="267">
        <v>1614.86</v>
      </c>
      <c r="L10366" s="43">
        <v>6.7731014958277793</v>
      </c>
      <c r="M10366" s="43">
        <v>11.500435161009573</v>
      </c>
      <c r="N10366" s="43">
        <v>5.72882766409582</v>
      </c>
      <c r="O10366" s="43">
        <v>9.3468773513920222</v>
      </c>
      <c r="P10366" s="268"/>
      <c r="Q10366" s="268"/>
      <c r="R10366" s="268">
        <v>3</v>
      </c>
    </row>
    <row r="10367" spans="1:18" ht="24">
      <c r="A10367" s="264">
        <v>220</v>
      </c>
      <c r="B10367" s="261" t="s">
        <v>18984</v>
      </c>
      <c r="C10367" s="265" t="s">
        <v>18985</v>
      </c>
      <c r="D10367" s="266">
        <v>18159.27</v>
      </c>
      <c r="E10367" s="266">
        <v>1972.23</v>
      </c>
      <c r="F10367" s="266">
        <v>16085.04</v>
      </c>
      <c r="G10367" s="266">
        <v>102</v>
      </c>
      <c r="H10367" s="267">
        <v>112683.37</v>
      </c>
      <c r="I10367" s="267">
        <v>22681.49</v>
      </c>
      <c r="J10367" s="267">
        <v>89000</v>
      </c>
      <c r="K10367" s="267">
        <v>1001.88</v>
      </c>
      <c r="L10367" s="43">
        <v>6.2052808290201087</v>
      </c>
      <c r="M10367" s="43">
        <v>11.500428449014567</v>
      </c>
      <c r="N10367" s="43">
        <v>5.5330916180500633</v>
      </c>
      <c r="O10367" s="43">
        <v>9.8223529411764705</v>
      </c>
      <c r="P10367" s="268"/>
      <c r="Q10367" s="268"/>
      <c r="R10367" s="268">
        <v>3</v>
      </c>
    </row>
    <row r="10368" spans="1:18" ht="24">
      <c r="A10368" s="264">
        <v>221</v>
      </c>
      <c r="B10368" s="261" t="s">
        <v>18986</v>
      </c>
      <c r="C10368" s="265" t="s">
        <v>18987</v>
      </c>
      <c r="D10368" s="266">
        <v>26100.09</v>
      </c>
      <c r="E10368" s="266">
        <v>2287.3200000000002</v>
      </c>
      <c r="F10368" s="266">
        <v>23706.84</v>
      </c>
      <c r="G10368" s="266">
        <v>105.93</v>
      </c>
      <c r="H10368" s="267">
        <v>157747.12</v>
      </c>
      <c r="I10368" s="267">
        <v>26305.16</v>
      </c>
      <c r="J10368" s="267">
        <v>130388.37</v>
      </c>
      <c r="K10368" s="267">
        <v>1053.5899999999999</v>
      </c>
      <c r="L10368" s="43">
        <v>6.0439301167160728</v>
      </c>
      <c r="M10368" s="43">
        <v>11.500428449014567</v>
      </c>
      <c r="N10368" s="43">
        <v>5.5000316364391031</v>
      </c>
      <c r="O10368" s="43">
        <v>9.9460964788067585</v>
      </c>
      <c r="P10368" s="268"/>
      <c r="Q10368" s="268"/>
      <c r="R10368" s="268">
        <v>3</v>
      </c>
    </row>
    <row r="10369" spans="1:18" ht="24">
      <c r="A10369" s="269">
        <v>222</v>
      </c>
      <c r="B10369" s="270" t="s">
        <v>18988</v>
      </c>
      <c r="C10369" s="271" t="s">
        <v>18989</v>
      </c>
      <c r="D10369" s="272">
        <v>906.93</v>
      </c>
      <c r="E10369" s="272">
        <v>299.92</v>
      </c>
      <c r="F10369" s="272">
        <v>527.57000000000005</v>
      </c>
      <c r="G10369" s="272">
        <v>79.44</v>
      </c>
      <c r="H10369" s="273">
        <v>7317.29</v>
      </c>
      <c r="I10369" s="273">
        <v>3449.2</v>
      </c>
      <c r="J10369" s="273">
        <v>3155.41</v>
      </c>
      <c r="K10369" s="273">
        <v>712.68</v>
      </c>
      <c r="L10369" s="611">
        <v>8.0681971045174379</v>
      </c>
      <c r="M10369" s="611">
        <v>11.500400106695118</v>
      </c>
      <c r="N10369" s="611">
        <v>5.9810262145307727</v>
      </c>
      <c r="O10369" s="611">
        <v>8.9712990936555883</v>
      </c>
      <c r="P10369" s="274"/>
      <c r="Q10369" s="274"/>
      <c r="R10369" s="274">
        <v>3</v>
      </c>
    </row>
    <row r="10370" spans="1:18" ht="12.75" customHeight="1">
      <c r="A10370" s="630" t="s">
        <v>18990</v>
      </c>
      <c r="B10370" s="631"/>
      <c r="C10370" s="631"/>
      <c r="D10370" s="631"/>
      <c r="E10370" s="631"/>
      <c r="F10370" s="631"/>
      <c r="G10370" s="631"/>
      <c r="H10370" s="631"/>
      <c r="I10370" s="631"/>
      <c r="J10370" s="631"/>
      <c r="K10370" s="631"/>
      <c r="L10370" s="631"/>
      <c r="M10370" s="631"/>
      <c r="N10370" s="631"/>
      <c r="O10370" s="631"/>
      <c r="P10370" s="631"/>
      <c r="Q10370" s="631"/>
      <c r="R10370" s="631"/>
    </row>
    <row r="10371" spans="1:18" ht="12.75" customHeight="1">
      <c r="A10371" s="628" t="s">
        <v>18991</v>
      </c>
      <c r="B10371" s="629"/>
      <c r="C10371" s="629"/>
      <c r="D10371" s="629"/>
      <c r="E10371" s="629"/>
      <c r="F10371" s="629"/>
      <c r="G10371" s="629"/>
      <c r="H10371" s="629"/>
      <c r="I10371" s="629"/>
      <c r="J10371" s="629"/>
      <c r="K10371" s="629"/>
      <c r="L10371" s="629"/>
      <c r="M10371" s="629"/>
      <c r="N10371" s="629"/>
      <c r="O10371" s="629"/>
      <c r="P10371" s="629"/>
      <c r="Q10371" s="629"/>
      <c r="R10371" s="629"/>
    </row>
    <row r="10372" spans="1:18" ht="24">
      <c r="A10372" s="264">
        <v>223</v>
      </c>
      <c r="B10372" s="261" t="s">
        <v>18992</v>
      </c>
      <c r="C10372" s="265" t="s">
        <v>18993</v>
      </c>
      <c r="D10372" s="266">
        <v>33442.57</v>
      </c>
      <c r="E10372" s="266">
        <v>10916.96</v>
      </c>
      <c r="F10372" s="266">
        <v>14792.32</v>
      </c>
      <c r="G10372" s="266">
        <v>7733.29</v>
      </c>
      <c r="H10372" s="267">
        <v>248879.11</v>
      </c>
      <c r="I10372" s="267">
        <v>125545.04</v>
      </c>
      <c r="J10372" s="267">
        <v>83821.77</v>
      </c>
      <c r="K10372" s="267">
        <v>39512.300000000003</v>
      </c>
      <c r="L10372" s="43">
        <v>7.4419851703980884</v>
      </c>
      <c r="M10372" s="43">
        <v>11.5</v>
      </c>
      <c r="N10372" s="43">
        <v>5.6665736003547789</v>
      </c>
      <c r="O10372" s="43">
        <v>5.1093777680650803</v>
      </c>
      <c r="P10372" s="268"/>
      <c r="Q10372" s="268"/>
      <c r="R10372" s="268">
        <v>1</v>
      </c>
    </row>
    <row r="10373" spans="1:18" ht="24">
      <c r="A10373" s="269">
        <v>224</v>
      </c>
      <c r="B10373" s="270" t="s">
        <v>18994</v>
      </c>
      <c r="C10373" s="271" t="s">
        <v>18995</v>
      </c>
      <c r="D10373" s="272">
        <v>63006.66</v>
      </c>
      <c r="E10373" s="272">
        <v>16442.189999999999</v>
      </c>
      <c r="F10373" s="272">
        <v>37520.94</v>
      </c>
      <c r="G10373" s="272">
        <v>9043.5300000000007</v>
      </c>
      <c r="H10373" s="273">
        <v>439123.66</v>
      </c>
      <c r="I10373" s="273">
        <v>189092.34</v>
      </c>
      <c r="J10373" s="273">
        <v>204108.23</v>
      </c>
      <c r="K10373" s="273">
        <v>45923.09</v>
      </c>
      <c r="L10373" s="611">
        <v>6.9694800517913498</v>
      </c>
      <c r="M10373" s="611">
        <v>11.500435161009575</v>
      </c>
      <c r="N10373" s="611">
        <v>5.4398485219186936</v>
      </c>
      <c r="O10373" s="611">
        <v>5.0780049383371306</v>
      </c>
      <c r="P10373" s="274"/>
      <c r="Q10373" s="274"/>
      <c r="R10373" s="274">
        <v>1</v>
      </c>
    </row>
    <row r="10374" spans="1:18" ht="12.75" customHeight="1">
      <c r="A10374" s="630" t="s">
        <v>18996</v>
      </c>
      <c r="B10374" s="631"/>
      <c r="C10374" s="631"/>
      <c r="D10374" s="631"/>
      <c r="E10374" s="631"/>
      <c r="F10374" s="631"/>
      <c r="G10374" s="631"/>
      <c r="H10374" s="631"/>
      <c r="I10374" s="631"/>
      <c r="J10374" s="631"/>
      <c r="K10374" s="631"/>
      <c r="L10374" s="631"/>
      <c r="M10374" s="631"/>
      <c r="N10374" s="631"/>
      <c r="O10374" s="631"/>
      <c r="P10374" s="631"/>
      <c r="Q10374" s="631"/>
      <c r="R10374" s="631"/>
    </row>
    <row r="10375" spans="1:18" ht="12.75" customHeight="1">
      <c r="A10375" s="628" t="s">
        <v>18997</v>
      </c>
      <c r="B10375" s="629"/>
      <c r="C10375" s="629"/>
      <c r="D10375" s="629"/>
      <c r="E10375" s="629"/>
      <c r="F10375" s="629"/>
      <c r="G10375" s="629"/>
      <c r="H10375" s="629"/>
      <c r="I10375" s="629"/>
      <c r="J10375" s="629"/>
      <c r="K10375" s="629"/>
      <c r="L10375" s="629"/>
      <c r="M10375" s="629"/>
      <c r="N10375" s="629"/>
      <c r="O10375" s="629"/>
      <c r="P10375" s="629"/>
      <c r="Q10375" s="629"/>
      <c r="R10375" s="629"/>
    </row>
    <row r="10376" spans="1:18" ht="24">
      <c r="A10376" s="264">
        <v>225</v>
      </c>
      <c r="B10376" s="261" t="s">
        <v>18998</v>
      </c>
      <c r="C10376" s="265" t="s">
        <v>18999</v>
      </c>
      <c r="D10376" s="266">
        <v>129731.27</v>
      </c>
      <c r="E10376" s="266">
        <v>34829.760000000002</v>
      </c>
      <c r="F10376" s="266">
        <v>85990.42</v>
      </c>
      <c r="G10376" s="266">
        <v>8911.09</v>
      </c>
      <c r="H10376" s="267">
        <v>902287.19</v>
      </c>
      <c r="I10376" s="267">
        <v>400542.24</v>
      </c>
      <c r="J10376" s="267">
        <v>449868.65</v>
      </c>
      <c r="K10376" s="267">
        <v>51876.3</v>
      </c>
      <c r="L10376" s="43">
        <v>6.9550478462131755</v>
      </c>
      <c r="M10376" s="43">
        <v>11.499999999999998</v>
      </c>
      <c r="N10376" s="43">
        <v>5.2316135913744812</v>
      </c>
      <c r="O10376" s="43">
        <v>5.8215437168741424</v>
      </c>
      <c r="P10376" s="268"/>
      <c r="Q10376" s="268"/>
      <c r="R10376" s="268">
        <v>1</v>
      </c>
    </row>
    <row r="10377" spans="1:18" ht="24">
      <c r="A10377" s="264">
        <v>226</v>
      </c>
      <c r="B10377" s="261" t="s">
        <v>19000</v>
      </c>
      <c r="C10377" s="265" t="s">
        <v>19001</v>
      </c>
      <c r="D10377" s="266">
        <v>804591.54</v>
      </c>
      <c r="E10377" s="266">
        <v>99395.32</v>
      </c>
      <c r="F10377" s="266">
        <v>627763.15</v>
      </c>
      <c r="G10377" s="266">
        <v>77433.070000000007</v>
      </c>
      <c r="H10377" s="267">
        <v>4852820.47</v>
      </c>
      <c r="I10377" s="267">
        <v>1143046.18</v>
      </c>
      <c r="J10377" s="267">
        <v>3370245.17</v>
      </c>
      <c r="K10377" s="267">
        <v>339529.12</v>
      </c>
      <c r="L10377" s="43">
        <v>6.0314087692246918</v>
      </c>
      <c r="M10377" s="43">
        <v>11.499999999999998</v>
      </c>
      <c r="N10377" s="43">
        <v>5.3686572236678751</v>
      </c>
      <c r="O10377" s="43">
        <v>4.3848076797161726</v>
      </c>
      <c r="P10377" s="268"/>
      <c r="Q10377" s="268"/>
      <c r="R10377" s="268">
        <v>1</v>
      </c>
    </row>
    <row r="10378" spans="1:18" ht="12.75">
      <c r="A10378" s="632" t="s">
        <v>18</v>
      </c>
      <c r="B10378" s="632"/>
      <c r="C10378" s="632"/>
      <c r="D10378" s="262">
        <v>17561585.649999999</v>
      </c>
      <c r="E10378" s="262">
        <v>2662887.75</v>
      </c>
      <c r="F10378" s="262">
        <v>11747858.68</v>
      </c>
      <c r="G10378" s="262">
        <v>3150839.22</v>
      </c>
      <c r="H10378" s="263">
        <v>110757325.56999999</v>
      </c>
      <c r="I10378" s="263">
        <v>30623926.199999999</v>
      </c>
      <c r="J10378" s="263">
        <v>61956290.32</v>
      </c>
      <c r="K10378" s="263">
        <v>18177109.050000001</v>
      </c>
      <c r="L10378" s="612">
        <v>6.3067952847412725</v>
      </c>
      <c r="M10378" s="612">
        <v>11.500269284726702</v>
      </c>
      <c r="N10378" s="612">
        <v>5.2738368759471665</v>
      </c>
      <c r="O10378" s="612">
        <v>5.7689738450062835</v>
      </c>
      <c r="P10378" s="260"/>
      <c r="Q10378" s="260"/>
      <c r="R10378" s="260"/>
    </row>
    <row r="10379" spans="1:18" ht="18">
      <c r="A10379" s="616" t="s">
        <v>19002</v>
      </c>
      <c r="B10379" s="626"/>
      <c r="C10379" s="626"/>
      <c r="D10379" s="626"/>
      <c r="E10379" s="626"/>
      <c r="F10379" s="626"/>
      <c r="G10379" s="626"/>
      <c r="H10379" s="626"/>
      <c r="I10379" s="626"/>
      <c r="J10379" s="626"/>
      <c r="K10379" s="626"/>
      <c r="L10379" s="626"/>
      <c r="M10379" s="626"/>
      <c r="N10379" s="626"/>
      <c r="O10379" s="626"/>
      <c r="P10379" s="626"/>
      <c r="Q10379" s="626"/>
      <c r="R10379" s="627"/>
    </row>
    <row r="10380" spans="1:18" ht="12.75" customHeight="1">
      <c r="A10380" s="630" t="s">
        <v>266</v>
      </c>
      <c r="B10380" s="631"/>
      <c r="C10380" s="631"/>
      <c r="D10380" s="631"/>
      <c r="E10380" s="631"/>
      <c r="F10380" s="631"/>
      <c r="G10380" s="631"/>
      <c r="H10380" s="631"/>
      <c r="I10380" s="631"/>
      <c r="J10380" s="631"/>
      <c r="K10380" s="631"/>
      <c r="L10380" s="631"/>
      <c r="M10380" s="631"/>
      <c r="N10380" s="631"/>
      <c r="O10380" s="631"/>
      <c r="P10380" s="631"/>
      <c r="Q10380" s="631"/>
      <c r="R10380" s="631"/>
    </row>
    <row r="10381" spans="1:18" ht="12.75" customHeight="1">
      <c r="A10381" s="628" t="s">
        <v>19003</v>
      </c>
      <c r="B10381" s="629"/>
      <c r="C10381" s="629"/>
      <c r="D10381" s="629"/>
      <c r="E10381" s="629"/>
      <c r="F10381" s="629"/>
      <c r="G10381" s="629"/>
      <c r="H10381" s="629"/>
      <c r="I10381" s="629"/>
      <c r="J10381" s="629"/>
      <c r="K10381" s="629"/>
      <c r="L10381" s="629"/>
      <c r="M10381" s="629"/>
      <c r="N10381" s="629"/>
      <c r="O10381" s="629"/>
      <c r="P10381" s="629"/>
      <c r="Q10381" s="629"/>
      <c r="R10381" s="629"/>
    </row>
    <row r="10382" spans="1:18" ht="12.75" customHeight="1">
      <c r="A10382" s="628" t="s">
        <v>19004</v>
      </c>
      <c r="B10382" s="629"/>
      <c r="C10382" s="629"/>
      <c r="D10382" s="629"/>
      <c r="E10382" s="629"/>
      <c r="F10382" s="629"/>
      <c r="G10382" s="629"/>
      <c r="H10382" s="629"/>
      <c r="I10382" s="629"/>
      <c r="J10382" s="629"/>
      <c r="K10382" s="629"/>
      <c r="L10382" s="629"/>
      <c r="M10382" s="629"/>
      <c r="N10382" s="629"/>
      <c r="O10382" s="629"/>
      <c r="P10382" s="629"/>
      <c r="Q10382" s="629"/>
      <c r="R10382" s="629"/>
    </row>
    <row r="10383" spans="1:18" ht="24">
      <c r="A10383" s="279">
        <v>1</v>
      </c>
      <c r="B10383" s="276" t="s">
        <v>19005</v>
      </c>
      <c r="C10383" s="280" t="s">
        <v>19006</v>
      </c>
      <c r="D10383" s="281">
        <v>3182.2</v>
      </c>
      <c r="E10383" s="281">
        <v>820.39</v>
      </c>
      <c r="F10383" s="281">
        <v>865.64</v>
      </c>
      <c r="G10383" s="281">
        <v>1496.17</v>
      </c>
      <c r="H10383" s="282">
        <v>20183.89</v>
      </c>
      <c r="I10383" s="282">
        <v>9434.82</v>
      </c>
      <c r="J10383" s="282">
        <v>5025.1899999999996</v>
      </c>
      <c r="K10383" s="282">
        <v>5723.88</v>
      </c>
      <c r="L10383" s="43">
        <v>6.3427471560555588</v>
      </c>
      <c r="M10383" s="43">
        <v>11.500408342373749</v>
      </c>
      <c r="N10383" s="43">
        <v>5.8051730511529041</v>
      </c>
      <c r="O10383" s="43">
        <v>3.8256882573504347</v>
      </c>
      <c r="P10383" s="283"/>
      <c r="Q10383" s="283"/>
      <c r="R10383" s="283">
        <v>1</v>
      </c>
    </row>
    <row r="10384" spans="1:18" ht="12.75" customHeight="1">
      <c r="A10384" s="628" t="s">
        <v>19007</v>
      </c>
      <c r="B10384" s="629"/>
      <c r="C10384" s="629"/>
      <c r="D10384" s="629"/>
      <c r="E10384" s="629"/>
      <c r="F10384" s="629"/>
      <c r="G10384" s="629"/>
      <c r="H10384" s="629"/>
      <c r="I10384" s="629"/>
      <c r="J10384" s="629"/>
      <c r="K10384" s="629"/>
      <c r="L10384" s="629"/>
      <c r="M10384" s="629"/>
      <c r="N10384" s="629"/>
      <c r="O10384" s="629"/>
      <c r="P10384" s="629"/>
      <c r="Q10384" s="629"/>
      <c r="R10384" s="629"/>
    </row>
    <row r="10385" spans="1:18" ht="12.75" customHeight="1">
      <c r="A10385" s="628" t="s">
        <v>19008</v>
      </c>
      <c r="B10385" s="629"/>
      <c r="C10385" s="629"/>
      <c r="D10385" s="629"/>
      <c r="E10385" s="629"/>
      <c r="F10385" s="629"/>
      <c r="G10385" s="629"/>
      <c r="H10385" s="629"/>
      <c r="I10385" s="629"/>
      <c r="J10385" s="629"/>
      <c r="K10385" s="629"/>
      <c r="L10385" s="629"/>
      <c r="M10385" s="629"/>
      <c r="N10385" s="629"/>
      <c r="O10385" s="629"/>
      <c r="P10385" s="629"/>
      <c r="Q10385" s="629"/>
      <c r="R10385" s="629"/>
    </row>
    <row r="10386" spans="1:18" ht="24">
      <c r="A10386" s="279">
        <v>2</v>
      </c>
      <c r="B10386" s="276" t="s">
        <v>19009</v>
      </c>
      <c r="C10386" s="280" t="s">
        <v>19010</v>
      </c>
      <c r="D10386" s="281">
        <v>821.03</v>
      </c>
      <c r="E10386" s="281">
        <v>381.76</v>
      </c>
      <c r="F10386" s="281">
        <v>258.87</v>
      </c>
      <c r="G10386" s="281">
        <v>180.4</v>
      </c>
      <c r="H10386" s="282">
        <v>6570.67</v>
      </c>
      <c r="I10386" s="282">
        <v>4390.37</v>
      </c>
      <c r="J10386" s="282">
        <v>1450.72</v>
      </c>
      <c r="K10386" s="282">
        <v>729.58</v>
      </c>
      <c r="L10386" s="43">
        <v>8.0029596969660073</v>
      </c>
      <c r="M10386" s="43">
        <v>11.50034052808047</v>
      </c>
      <c r="N10386" s="43">
        <v>5.6040483640437282</v>
      </c>
      <c r="O10386" s="43">
        <v>4.0442350332594232</v>
      </c>
      <c r="P10386" s="283"/>
      <c r="Q10386" s="283"/>
      <c r="R10386" s="283">
        <v>1</v>
      </c>
    </row>
    <row r="10387" spans="1:18" ht="24">
      <c r="A10387" s="279">
        <v>3</v>
      </c>
      <c r="B10387" s="276" t="s">
        <v>19011</v>
      </c>
      <c r="C10387" s="280" t="s">
        <v>19012</v>
      </c>
      <c r="D10387" s="281">
        <v>1460.37</v>
      </c>
      <c r="E10387" s="281">
        <v>550.69000000000005</v>
      </c>
      <c r="F10387" s="281">
        <v>467.79</v>
      </c>
      <c r="G10387" s="281">
        <v>441.89</v>
      </c>
      <c r="H10387" s="282">
        <v>10678.51</v>
      </c>
      <c r="I10387" s="282">
        <v>6333.23</v>
      </c>
      <c r="J10387" s="282">
        <v>2623.3</v>
      </c>
      <c r="K10387" s="282">
        <v>1721.98</v>
      </c>
      <c r="L10387" s="43">
        <v>7.3121948547285971</v>
      </c>
      <c r="M10387" s="43">
        <v>11.500535691586917</v>
      </c>
      <c r="N10387" s="43">
        <v>5.6078582269821933</v>
      </c>
      <c r="O10387" s="43">
        <v>3.8968521577768223</v>
      </c>
      <c r="P10387" s="283"/>
      <c r="Q10387" s="283"/>
      <c r="R10387" s="283">
        <v>1</v>
      </c>
    </row>
    <row r="10388" spans="1:18" ht="24">
      <c r="A10388" s="279">
        <v>4</v>
      </c>
      <c r="B10388" s="276" t="s">
        <v>19013</v>
      </c>
      <c r="C10388" s="280" t="s">
        <v>19014</v>
      </c>
      <c r="D10388" s="281">
        <v>1130.5</v>
      </c>
      <c r="E10388" s="281">
        <v>603.35</v>
      </c>
      <c r="F10388" s="281">
        <v>342.32</v>
      </c>
      <c r="G10388" s="281">
        <v>184.83</v>
      </c>
      <c r="H10388" s="282">
        <v>9639.32</v>
      </c>
      <c r="I10388" s="282">
        <v>6938.8</v>
      </c>
      <c r="J10388" s="282">
        <v>1919.99</v>
      </c>
      <c r="K10388" s="282">
        <v>780.53</v>
      </c>
      <c r="L10388" s="43">
        <v>8.5265988500663425</v>
      </c>
      <c r="M10388" s="43">
        <v>11.500455788514129</v>
      </c>
      <c r="N10388" s="43">
        <v>5.6087578873568589</v>
      </c>
      <c r="O10388" s="43">
        <v>4.2229616404263375</v>
      </c>
      <c r="P10388" s="283"/>
      <c r="Q10388" s="283"/>
      <c r="R10388" s="283">
        <v>1</v>
      </c>
    </row>
    <row r="10389" spans="1:18" ht="24">
      <c r="A10389" s="279">
        <v>5</v>
      </c>
      <c r="B10389" s="276" t="s">
        <v>19015</v>
      </c>
      <c r="C10389" s="280" t="s">
        <v>19016</v>
      </c>
      <c r="D10389" s="281">
        <v>870.83</v>
      </c>
      <c r="E10389" s="281">
        <v>471.71</v>
      </c>
      <c r="F10389" s="281">
        <v>216.93</v>
      </c>
      <c r="G10389" s="281">
        <v>182.19</v>
      </c>
      <c r="H10389" s="282">
        <v>7386.82</v>
      </c>
      <c r="I10389" s="282">
        <v>5424.88</v>
      </c>
      <c r="J10389" s="282">
        <v>1211.77</v>
      </c>
      <c r="K10389" s="282">
        <v>750.17</v>
      </c>
      <c r="L10389" s="43">
        <v>8.4825051961921378</v>
      </c>
      <c r="M10389" s="43">
        <v>11.500455788514131</v>
      </c>
      <c r="N10389" s="43">
        <v>5.5859954824136819</v>
      </c>
      <c r="O10389" s="43">
        <v>4.11751468247434</v>
      </c>
      <c r="P10389" s="283"/>
      <c r="Q10389" s="283"/>
      <c r="R10389" s="283">
        <v>1</v>
      </c>
    </row>
    <row r="10390" spans="1:18" ht="24">
      <c r="A10390" s="279">
        <v>6</v>
      </c>
      <c r="B10390" s="276" t="s">
        <v>19017</v>
      </c>
      <c r="C10390" s="280" t="s">
        <v>19018</v>
      </c>
      <c r="D10390" s="281">
        <v>693.46</v>
      </c>
      <c r="E10390" s="281">
        <v>362.01</v>
      </c>
      <c r="F10390" s="281">
        <v>151.44999999999999</v>
      </c>
      <c r="G10390" s="281">
        <v>180</v>
      </c>
      <c r="H10390" s="282">
        <v>5762.13</v>
      </c>
      <c r="I10390" s="282">
        <v>4163.28</v>
      </c>
      <c r="J10390" s="282">
        <v>873.87</v>
      </c>
      <c r="K10390" s="282">
        <v>724.98</v>
      </c>
      <c r="L10390" s="43">
        <v>8.309246387679174</v>
      </c>
      <c r="M10390" s="43">
        <v>11.500455788514129</v>
      </c>
      <c r="N10390" s="43">
        <v>5.7700231099372736</v>
      </c>
      <c r="O10390" s="43">
        <v>4.0276666666666667</v>
      </c>
      <c r="P10390" s="283"/>
      <c r="Q10390" s="283"/>
      <c r="R10390" s="283">
        <v>1</v>
      </c>
    </row>
    <row r="10391" spans="1:18" ht="24">
      <c r="A10391" s="279">
        <v>7</v>
      </c>
      <c r="B10391" s="276" t="s">
        <v>19019</v>
      </c>
      <c r="C10391" s="280" t="s">
        <v>19020</v>
      </c>
      <c r="D10391" s="281">
        <v>2075.61</v>
      </c>
      <c r="E10391" s="281">
        <v>944.52</v>
      </c>
      <c r="F10391" s="281">
        <v>681.32</v>
      </c>
      <c r="G10391" s="281">
        <v>449.77</v>
      </c>
      <c r="H10391" s="282">
        <v>16481.78</v>
      </c>
      <c r="I10391" s="282">
        <v>10862.38</v>
      </c>
      <c r="J10391" s="282">
        <v>3806.8</v>
      </c>
      <c r="K10391" s="282">
        <v>1812.6</v>
      </c>
      <c r="L10391" s="43">
        <v>7.9406921338787138</v>
      </c>
      <c r="M10391" s="43">
        <v>11.500423495532122</v>
      </c>
      <c r="N10391" s="43">
        <v>5.58738918569835</v>
      </c>
      <c r="O10391" s="43">
        <v>4.030059808346488</v>
      </c>
      <c r="P10391" s="283"/>
      <c r="Q10391" s="283"/>
      <c r="R10391" s="283">
        <v>1</v>
      </c>
    </row>
    <row r="10392" spans="1:18" ht="24">
      <c r="A10392" s="279">
        <v>8</v>
      </c>
      <c r="B10392" s="276" t="s">
        <v>19021</v>
      </c>
      <c r="C10392" s="280" t="s">
        <v>19022</v>
      </c>
      <c r="D10392" s="281">
        <v>1226.3499999999999</v>
      </c>
      <c r="E10392" s="281">
        <v>668.07</v>
      </c>
      <c r="F10392" s="281">
        <v>372.16</v>
      </c>
      <c r="G10392" s="281">
        <v>186.12</v>
      </c>
      <c r="H10392" s="282">
        <v>10558.12</v>
      </c>
      <c r="I10392" s="282">
        <v>7683.14</v>
      </c>
      <c r="J10392" s="282">
        <v>2079.62</v>
      </c>
      <c r="K10392" s="282">
        <v>795.36</v>
      </c>
      <c r="L10392" s="43">
        <v>8.609385575080525</v>
      </c>
      <c r="M10392" s="43">
        <v>11.500501444459413</v>
      </c>
      <c r="N10392" s="43">
        <v>5.5879729148753219</v>
      </c>
      <c r="O10392" s="43">
        <v>4.2733720180528687</v>
      </c>
      <c r="P10392" s="283"/>
      <c r="Q10392" s="283"/>
      <c r="R10392" s="283">
        <v>1</v>
      </c>
    </row>
    <row r="10393" spans="1:18" ht="24">
      <c r="A10393" s="279">
        <v>9</v>
      </c>
      <c r="B10393" s="276" t="s">
        <v>19023</v>
      </c>
      <c r="C10393" s="280" t="s">
        <v>19024</v>
      </c>
      <c r="D10393" s="281">
        <v>1796.97</v>
      </c>
      <c r="E10393" s="281">
        <v>733.89</v>
      </c>
      <c r="F10393" s="281">
        <v>617.52</v>
      </c>
      <c r="G10393" s="281">
        <v>445.56</v>
      </c>
      <c r="H10393" s="282">
        <v>13665.13</v>
      </c>
      <c r="I10393" s="282">
        <v>8440.1</v>
      </c>
      <c r="J10393" s="282">
        <v>3460.85</v>
      </c>
      <c r="K10393" s="282">
        <v>1764.18</v>
      </c>
      <c r="L10393" s="43">
        <v>7.6045398643271724</v>
      </c>
      <c r="M10393" s="43">
        <v>11.500497349739062</v>
      </c>
      <c r="N10393" s="43">
        <v>5.6044338644902192</v>
      </c>
      <c r="O10393" s="43">
        <v>3.9594667384863991</v>
      </c>
      <c r="P10393" s="283"/>
      <c r="Q10393" s="283"/>
      <c r="R10393" s="283">
        <v>1</v>
      </c>
    </row>
    <row r="10394" spans="1:18" ht="24">
      <c r="A10394" s="279">
        <v>10</v>
      </c>
      <c r="B10394" s="276" t="s">
        <v>19025</v>
      </c>
      <c r="C10394" s="280" t="s">
        <v>19026</v>
      </c>
      <c r="D10394" s="281">
        <v>2242.29</v>
      </c>
      <c r="E10394" s="281">
        <v>865.53</v>
      </c>
      <c r="F10394" s="281">
        <v>928.57</v>
      </c>
      <c r="G10394" s="281">
        <v>448.19</v>
      </c>
      <c r="H10394" s="282">
        <v>16947.27</v>
      </c>
      <c r="I10394" s="282">
        <v>9954.02</v>
      </c>
      <c r="J10394" s="282">
        <v>5198.82</v>
      </c>
      <c r="K10394" s="282">
        <v>1794.43</v>
      </c>
      <c r="L10394" s="43">
        <v>7.5580188111261259</v>
      </c>
      <c r="M10394" s="43">
        <v>11.500491028618304</v>
      </c>
      <c r="N10394" s="43">
        <v>5.5987378442120672</v>
      </c>
      <c r="O10394" s="43">
        <v>4.0037260983065224</v>
      </c>
      <c r="P10394" s="283"/>
      <c r="Q10394" s="283"/>
      <c r="R10394" s="283">
        <v>1</v>
      </c>
    </row>
    <row r="10395" spans="1:18" ht="12.75" customHeight="1">
      <c r="A10395" s="628" t="s">
        <v>19027</v>
      </c>
      <c r="B10395" s="629"/>
      <c r="C10395" s="629"/>
      <c r="D10395" s="629"/>
      <c r="E10395" s="629"/>
      <c r="F10395" s="629"/>
      <c r="G10395" s="629"/>
      <c r="H10395" s="629"/>
      <c r="I10395" s="629"/>
      <c r="J10395" s="629"/>
      <c r="K10395" s="629"/>
      <c r="L10395" s="629"/>
      <c r="M10395" s="629"/>
      <c r="N10395" s="629"/>
      <c r="O10395" s="629"/>
      <c r="P10395" s="629"/>
      <c r="Q10395" s="629"/>
      <c r="R10395" s="629"/>
    </row>
    <row r="10396" spans="1:18" ht="24">
      <c r="A10396" s="279">
        <v>11</v>
      </c>
      <c r="B10396" s="276" t="s">
        <v>19028</v>
      </c>
      <c r="C10396" s="280" t="s">
        <v>19029</v>
      </c>
      <c r="D10396" s="281">
        <v>1594.52</v>
      </c>
      <c r="E10396" s="281">
        <v>871.79</v>
      </c>
      <c r="F10396" s="281">
        <v>704.61</v>
      </c>
      <c r="G10396" s="281">
        <v>18.12</v>
      </c>
      <c r="H10396" s="282">
        <v>14241.75</v>
      </c>
      <c r="I10396" s="282">
        <v>10026.040000000001</v>
      </c>
      <c r="J10396" s="282">
        <v>4009.19</v>
      </c>
      <c r="K10396" s="282">
        <v>206.52</v>
      </c>
      <c r="L10396" s="43">
        <v>8.9316847703384088</v>
      </c>
      <c r="M10396" s="43">
        <v>11.50052191468129</v>
      </c>
      <c r="N10396" s="43">
        <v>5.6899419537048868</v>
      </c>
      <c r="O10396" s="43">
        <v>11.397350993377483</v>
      </c>
      <c r="P10396" s="283"/>
      <c r="Q10396" s="283"/>
      <c r="R10396" s="283">
        <v>2</v>
      </c>
    </row>
    <row r="10397" spans="1:18" ht="24">
      <c r="A10397" s="279">
        <v>12</v>
      </c>
      <c r="B10397" s="276" t="s">
        <v>19030</v>
      </c>
      <c r="C10397" s="280" t="s">
        <v>19031</v>
      </c>
      <c r="D10397" s="281">
        <v>2131.79</v>
      </c>
      <c r="E10397" s="281">
        <v>1118.94</v>
      </c>
      <c r="F10397" s="281">
        <v>989.79</v>
      </c>
      <c r="G10397" s="281">
        <v>23.06</v>
      </c>
      <c r="H10397" s="282">
        <v>18750.46</v>
      </c>
      <c r="I10397" s="282">
        <v>12868.32</v>
      </c>
      <c r="J10397" s="282">
        <v>5618.81</v>
      </c>
      <c r="K10397" s="282">
        <v>263.33</v>
      </c>
      <c r="L10397" s="43">
        <v>8.7956412216963198</v>
      </c>
      <c r="M10397" s="43">
        <v>11.500455788514129</v>
      </c>
      <c r="N10397" s="43">
        <v>5.6767698198607794</v>
      </c>
      <c r="O10397" s="43">
        <v>11.419340849956635</v>
      </c>
      <c r="P10397" s="283"/>
      <c r="Q10397" s="283"/>
      <c r="R10397" s="283">
        <v>2</v>
      </c>
    </row>
    <row r="10398" spans="1:18" ht="12.75" customHeight="1">
      <c r="A10398" s="628" t="s">
        <v>19032</v>
      </c>
      <c r="B10398" s="629"/>
      <c r="C10398" s="629"/>
      <c r="D10398" s="629"/>
      <c r="E10398" s="629"/>
      <c r="F10398" s="629"/>
      <c r="G10398" s="629"/>
      <c r="H10398" s="629"/>
      <c r="I10398" s="629"/>
      <c r="J10398" s="629"/>
      <c r="K10398" s="629"/>
      <c r="L10398" s="629"/>
      <c r="M10398" s="629"/>
      <c r="N10398" s="629"/>
      <c r="O10398" s="629"/>
      <c r="P10398" s="629"/>
      <c r="Q10398" s="629"/>
      <c r="R10398" s="629"/>
    </row>
    <row r="10399" spans="1:18" ht="24">
      <c r="A10399" s="279">
        <v>13</v>
      </c>
      <c r="B10399" s="276" t="s">
        <v>19033</v>
      </c>
      <c r="C10399" s="280" t="s">
        <v>19034</v>
      </c>
      <c r="D10399" s="281">
        <v>2064.6799999999998</v>
      </c>
      <c r="E10399" s="281">
        <v>1093.71</v>
      </c>
      <c r="F10399" s="281">
        <v>948.96</v>
      </c>
      <c r="G10399" s="281">
        <v>22.01</v>
      </c>
      <c r="H10399" s="282">
        <v>18228.759999999998</v>
      </c>
      <c r="I10399" s="282">
        <v>12578.15</v>
      </c>
      <c r="J10399" s="282">
        <v>5397.91</v>
      </c>
      <c r="K10399" s="282">
        <v>252.7</v>
      </c>
      <c r="L10399" s="43">
        <v>8.8288548346474993</v>
      </c>
      <c r="M10399" s="43">
        <v>11.500443444788838</v>
      </c>
      <c r="N10399" s="43">
        <v>5.6882376496374976</v>
      </c>
      <c r="O10399" s="43">
        <v>11.481144934120852</v>
      </c>
      <c r="P10399" s="283"/>
      <c r="Q10399" s="283"/>
      <c r="R10399" s="283">
        <v>3</v>
      </c>
    </row>
    <row r="10400" spans="1:18" ht="24">
      <c r="A10400" s="279">
        <v>14</v>
      </c>
      <c r="B10400" s="276" t="s">
        <v>19035</v>
      </c>
      <c r="C10400" s="280" t="s">
        <v>19036</v>
      </c>
      <c r="D10400" s="281">
        <v>5958.98</v>
      </c>
      <c r="E10400" s="281">
        <v>2391.46</v>
      </c>
      <c r="F10400" s="281">
        <v>3519.55</v>
      </c>
      <c r="G10400" s="281">
        <v>47.97</v>
      </c>
      <c r="H10400" s="282">
        <v>46715.39</v>
      </c>
      <c r="I10400" s="282">
        <v>27502.880000000001</v>
      </c>
      <c r="J10400" s="282">
        <v>18661.27</v>
      </c>
      <c r="K10400" s="282">
        <v>551.24</v>
      </c>
      <c r="L10400" s="43">
        <v>7.8394943429915864</v>
      </c>
      <c r="M10400" s="43">
        <v>11.500455788514129</v>
      </c>
      <c r="N10400" s="43">
        <v>5.3021749939622964</v>
      </c>
      <c r="O10400" s="43">
        <v>11.491348759641443</v>
      </c>
      <c r="P10400" s="283"/>
      <c r="Q10400" s="283"/>
      <c r="R10400" s="283">
        <v>3</v>
      </c>
    </row>
    <row r="10401" spans="1:18" ht="24">
      <c r="A10401" s="279">
        <v>15</v>
      </c>
      <c r="B10401" s="276" t="s">
        <v>19037</v>
      </c>
      <c r="C10401" s="280" t="s">
        <v>19038</v>
      </c>
      <c r="D10401" s="281">
        <v>5309.38</v>
      </c>
      <c r="E10401" s="281">
        <v>2610.86</v>
      </c>
      <c r="F10401" s="281">
        <v>2645.62</v>
      </c>
      <c r="G10401" s="281">
        <v>52.9</v>
      </c>
      <c r="H10401" s="282">
        <v>45559.78</v>
      </c>
      <c r="I10401" s="282">
        <v>30026.080000000002</v>
      </c>
      <c r="J10401" s="282">
        <v>14927.21</v>
      </c>
      <c r="K10401" s="282">
        <v>606.49</v>
      </c>
      <c r="L10401" s="43">
        <v>8.5809981579770138</v>
      </c>
      <c r="M10401" s="43">
        <v>11.500455788514129</v>
      </c>
      <c r="N10401" s="43">
        <v>5.6422350904513872</v>
      </c>
      <c r="O10401" s="43">
        <v>11.4648393194707</v>
      </c>
      <c r="P10401" s="283"/>
      <c r="Q10401" s="283"/>
      <c r="R10401" s="283">
        <v>3</v>
      </c>
    </row>
    <row r="10402" spans="1:18" ht="24">
      <c r="A10402" s="279">
        <v>16</v>
      </c>
      <c r="B10402" s="276" t="s">
        <v>19039</v>
      </c>
      <c r="C10402" s="280" t="s">
        <v>19040</v>
      </c>
      <c r="D10402" s="281">
        <v>235.9</v>
      </c>
      <c r="E10402" s="281">
        <v>99.23</v>
      </c>
      <c r="F10402" s="281">
        <v>134.69</v>
      </c>
      <c r="G10402" s="281">
        <v>1.98</v>
      </c>
      <c r="H10402" s="282">
        <v>1893.96</v>
      </c>
      <c r="I10402" s="282">
        <v>1141.19</v>
      </c>
      <c r="J10402" s="282">
        <v>730</v>
      </c>
      <c r="K10402" s="282">
        <v>22.77</v>
      </c>
      <c r="L10402" s="43">
        <v>8.0286562102585837</v>
      </c>
      <c r="M10402" s="43">
        <v>11.500453491887534</v>
      </c>
      <c r="N10402" s="43">
        <v>5.4198529957680597</v>
      </c>
      <c r="O10402" s="43">
        <v>11.5</v>
      </c>
      <c r="P10402" s="283"/>
      <c r="Q10402" s="283"/>
      <c r="R10402" s="283">
        <v>3</v>
      </c>
    </row>
    <row r="10403" spans="1:18" ht="24">
      <c r="A10403" s="279">
        <v>17</v>
      </c>
      <c r="B10403" s="276" t="s">
        <v>19041</v>
      </c>
      <c r="C10403" s="280" t="s">
        <v>19042</v>
      </c>
      <c r="D10403" s="281">
        <v>1517.1</v>
      </c>
      <c r="E10403" s="281">
        <v>767.47</v>
      </c>
      <c r="F10403" s="281">
        <v>734.28</v>
      </c>
      <c r="G10403" s="281">
        <v>15.35</v>
      </c>
      <c r="H10403" s="282">
        <v>13185.18</v>
      </c>
      <c r="I10403" s="282">
        <v>8825.93</v>
      </c>
      <c r="J10403" s="282">
        <v>4182.72</v>
      </c>
      <c r="K10403" s="282">
        <v>176.53</v>
      </c>
      <c r="L10403" s="43">
        <v>8.6910421198338952</v>
      </c>
      <c r="M10403" s="43">
        <v>11.500032574563175</v>
      </c>
      <c r="N10403" s="43">
        <v>5.6963556136623641</v>
      </c>
      <c r="O10403" s="43">
        <v>11.500325732899023</v>
      </c>
      <c r="P10403" s="283"/>
      <c r="Q10403" s="283"/>
      <c r="R10403" s="283">
        <v>3</v>
      </c>
    </row>
    <row r="10404" spans="1:18" ht="24">
      <c r="A10404" s="279">
        <v>18</v>
      </c>
      <c r="B10404" s="276" t="s">
        <v>19043</v>
      </c>
      <c r="C10404" s="280" t="s">
        <v>19044</v>
      </c>
      <c r="D10404" s="281">
        <v>827.82</v>
      </c>
      <c r="E10404" s="281">
        <v>290.70999999999998</v>
      </c>
      <c r="F10404" s="281">
        <v>531.29999999999995</v>
      </c>
      <c r="G10404" s="281">
        <v>5.81</v>
      </c>
      <c r="H10404" s="282">
        <v>6320.59</v>
      </c>
      <c r="I10404" s="282">
        <v>3343.24</v>
      </c>
      <c r="J10404" s="282">
        <v>2910.53</v>
      </c>
      <c r="K10404" s="282">
        <v>66.819999999999993</v>
      </c>
      <c r="L10404" s="43">
        <v>7.6352226329395272</v>
      </c>
      <c r="M10404" s="43">
        <v>11.500257989061264</v>
      </c>
      <c r="N10404" s="43">
        <v>5.4781291172595532</v>
      </c>
      <c r="O10404" s="43">
        <v>11.500860585197934</v>
      </c>
      <c r="P10404" s="283"/>
      <c r="Q10404" s="283"/>
      <c r="R10404" s="283">
        <v>3</v>
      </c>
    </row>
    <row r="10405" spans="1:18" ht="12.75" customHeight="1">
      <c r="A10405" s="628" t="s">
        <v>19045</v>
      </c>
      <c r="B10405" s="629"/>
      <c r="C10405" s="629"/>
      <c r="D10405" s="629"/>
      <c r="E10405" s="629"/>
      <c r="F10405" s="629"/>
      <c r="G10405" s="629"/>
      <c r="H10405" s="629"/>
      <c r="I10405" s="629"/>
      <c r="J10405" s="629"/>
      <c r="K10405" s="629"/>
      <c r="L10405" s="629"/>
      <c r="M10405" s="629"/>
      <c r="N10405" s="629"/>
      <c r="O10405" s="629"/>
      <c r="P10405" s="629"/>
      <c r="Q10405" s="629"/>
      <c r="R10405" s="629"/>
    </row>
    <row r="10406" spans="1:18" ht="12.75" customHeight="1">
      <c r="A10406" s="628" t="s">
        <v>19046</v>
      </c>
      <c r="B10406" s="629"/>
      <c r="C10406" s="629"/>
      <c r="D10406" s="629"/>
      <c r="E10406" s="629"/>
      <c r="F10406" s="629"/>
      <c r="G10406" s="629"/>
      <c r="H10406" s="629"/>
      <c r="I10406" s="629"/>
      <c r="J10406" s="629"/>
      <c r="K10406" s="629"/>
      <c r="L10406" s="629"/>
      <c r="M10406" s="629"/>
      <c r="N10406" s="629"/>
      <c r="O10406" s="629"/>
      <c r="P10406" s="629"/>
      <c r="Q10406" s="629"/>
      <c r="R10406" s="629"/>
    </row>
    <row r="10407" spans="1:18" ht="24">
      <c r="A10407" s="279">
        <v>19</v>
      </c>
      <c r="B10407" s="276" t="s">
        <v>19047</v>
      </c>
      <c r="C10407" s="280" t="s">
        <v>19048</v>
      </c>
      <c r="D10407" s="281">
        <v>8724.01</v>
      </c>
      <c r="E10407" s="281">
        <v>2435.88</v>
      </c>
      <c r="F10407" s="281">
        <v>2693.47</v>
      </c>
      <c r="G10407" s="281">
        <v>3594.66</v>
      </c>
      <c r="H10407" s="282">
        <v>62471.88</v>
      </c>
      <c r="I10407" s="282">
        <v>28013.68</v>
      </c>
      <c r="J10407" s="282">
        <v>14984.79</v>
      </c>
      <c r="K10407" s="282">
        <v>19473.41</v>
      </c>
      <c r="L10407" s="43">
        <v>7.1609133873069837</v>
      </c>
      <c r="M10407" s="43">
        <v>11.500435161009573</v>
      </c>
      <c r="N10407" s="43">
        <v>5.5633773533768718</v>
      </c>
      <c r="O10407" s="43">
        <v>5.4173162413135039</v>
      </c>
      <c r="P10407" s="283"/>
      <c r="Q10407" s="283"/>
      <c r="R10407" s="283">
        <v>1</v>
      </c>
    </row>
    <row r="10408" spans="1:18" ht="24">
      <c r="A10408" s="279">
        <v>20</v>
      </c>
      <c r="B10408" s="276" t="s">
        <v>19049</v>
      </c>
      <c r="C10408" s="280" t="s">
        <v>19050</v>
      </c>
      <c r="D10408" s="281">
        <v>9854.2099999999991</v>
      </c>
      <c r="E10408" s="281">
        <v>2527.8000000000002</v>
      </c>
      <c r="F10408" s="281">
        <v>3729.91</v>
      </c>
      <c r="G10408" s="281">
        <v>3596.5</v>
      </c>
      <c r="H10408" s="282">
        <v>68082.61</v>
      </c>
      <c r="I10408" s="282">
        <v>29070.799999999999</v>
      </c>
      <c r="J10408" s="282">
        <v>19517.240000000002</v>
      </c>
      <c r="K10408" s="282">
        <v>19494.57</v>
      </c>
      <c r="L10408" s="43">
        <v>6.9089871232701565</v>
      </c>
      <c r="M10408" s="43">
        <v>11.500435161009573</v>
      </c>
      <c r="N10408" s="43">
        <v>5.2326302779423637</v>
      </c>
      <c r="O10408" s="43">
        <v>5.4204281940775756</v>
      </c>
      <c r="P10408" s="283"/>
      <c r="Q10408" s="283"/>
      <c r="R10408" s="283">
        <v>1</v>
      </c>
    </row>
    <row r="10409" spans="1:18" ht="24">
      <c r="A10409" s="279">
        <v>21</v>
      </c>
      <c r="B10409" s="276" t="s">
        <v>19051</v>
      </c>
      <c r="C10409" s="280" t="s">
        <v>19052</v>
      </c>
      <c r="D10409" s="281">
        <v>2143.5</v>
      </c>
      <c r="E10409" s="281">
        <v>1923.2</v>
      </c>
      <c r="F10409" s="281">
        <v>149.93</v>
      </c>
      <c r="G10409" s="281">
        <v>70.37</v>
      </c>
      <c r="H10409" s="282">
        <v>23553.22</v>
      </c>
      <c r="I10409" s="282">
        <v>22116.799999999999</v>
      </c>
      <c r="J10409" s="282">
        <v>823.91</v>
      </c>
      <c r="K10409" s="282">
        <v>612.51</v>
      </c>
      <c r="L10409" s="43">
        <v>10.988206204805225</v>
      </c>
      <c r="M10409" s="43">
        <v>11.5</v>
      </c>
      <c r="N10409" s="43">
        <v>5.4952978056426325</v>
      </c>
      <c r="O10409" s="43">
        <v>8.7041352849225522</v>
      </c>
      <c r="P10409" s="283"/>
      <c r="Q10409" s="283"/>
      <c r="R10409" s="283">
        <v>1</v>
      </c>
    </row>
    <row r="10410" spans="1:18" ht="24">
      <c r="A10410" s="279">
        <v>22</v>
      </c>
      <c r="B10410" s="276" t="s">
        <v>19053</v>
      </c>
      <c r="C10410" s="280" t="s">
        <v>19054</v>
      </c>
      <c r="D10410" s="281">
        <v>2427.8200000000002</v>
      </c>
      <c r="E10410" s="281">
        <v>1959.26</v>
      </c>
      <c r="F10410" s="281">
        <v>429.37</v>
      </c>
      <c r="G10410" s="281">
        <v>39.19</v>
      </c>
      <c r="H10410" s="282">
        <v>25323.98</v>
      </c>
      <c r="I10410" s="282">
        <v>22531.49</v>
      </c>
      <c r="J10410" s="282">
        <v>2341.8000000000002</v>
      </c>
      <c r="K10410" s="282">
        <v>450.69</v>
      </c>
      <c r="L10410" s="43">
        <v>10.430748572793698</v>
      </c>
      <c r="M10410" s="43">
        <v>11.5</v>
      </c>
      <c r="N10410" s="43">
        <v>5.4540373104781423</v>
      </c>
      <c r="O10410" s="43">
        <v>11.500127583567236</v>
      </c>
      <c r="P10410" s="283"/>
      <c r="Q10410" s="283"/>
      <c r="R10410" s="283">
        <v>1</v>
      </c>
    </row>
    <row r="10411" spans="1:18" ht="12.75" customHeight="1">
      <c r="A10411" s="628" t="s">
        <v>19055</v>
      </c>
      <c r="B10411" s="629"/>
      <c r="C10411" s="629"/>
      <c r="D10411" s="629"/>
      <c r="E10411" s="629"/>
      <c r="F10411" s="629"/>
      <c r="G10411" s="629"/>
      <c r="H10411" s="629"/>
      <c r="I10411" s="629"/>
      <c r="J10411" s="629"/>
      <c r="K10411" s="629"/>
      <c r="L10411" s="629"/>
      <c r="M10411" s="629"/>
      <c r="N10411" s="629"/>
      <c r="O10411" s="629"/>
      <c r="P10411" s="629"/>
      <c r="Q10411" s="629"/>
      <c r="R10411" s="629"/>
    </row>
    <row r="10412" spans="1:18" ht="12.75" customHeight="1">
      <c r="A10412" s="628" t="s">
        <v>19056</v>
      </c>
      <c r="B10412" s="629"/>
      <c r="C10412" s="629"/>
      <c r="D10412" s="629"/>
      <c r="E10412" s="629"/>
      <c r="F10412" s="629"/>
      <c r="G10412" s="629"/>
      <c r="H10412" s="629"/>
      <c r="I10412" s="629"/>
      <c r="J10412" s="629"/>
      <c r="K10412" s="629"/>
      <c r="L10412" s="629"/>
      <c r="M10412" s="629"/>
      <c r="N10412" s="629"/>
      <c r="O10412" s="629"/>
      <c r="P10412" s="629"/>
      <c r="Q10412" s="629"/>
      <c r="R10412" s="629"/>
    </row>
    <row r="10413" spans="1:18" ht="24">
      <c r="A10413" s="279">
        <v>23</v>
      </c>
      <c r="B10413" s="276" t="s">
        <v>19057</v>
      </c>
      <c r="C10413" s="280" t="s">
        <v>19058</v>
      </c>
      <c r="D10413" s="281">
        <v>1684.93</v>
      </c>
      <c r="E10413" s="281">
        <v>1065.9000000000001</v>
      </c>
      <c r="F10413" s="281">
        <v>597.71</v>
      </c>
      <c r="G10413" s="281">
        <v>21.32</v>
      </c>
      <c r="H10413" s="282">
        <v>15852.79</v>
      </c>
      <c r="I10413" s="282">
        <v>12258.36</v>
      </c>
      <c r="J10413" s="282">
        <v>3349.25</v>
      </c>
      <c r="K10413" s="282">
        <v>245.18</v>
      </c>
      <c r="L10413" s="43">
        <v>9.4085748369368467</v>
      </c>
      <c r="M10413" s="43">
        <v>11.500478468899521</v>
      </c>
      <c r="N10413" s="43">
        <v>5.6034699101570995</v>
      </c>
      <c r="O10413" s="43">
        <v>11.5</v>
      </c>
      <c r="P10413" s="283"/>
      <c r="Q10413" s="283"/>
      <c r="R10413" s="283">
        <v>1</v>
      </c>
    </row>
    <row r="10414" spans="1:18" ht="24">
      <c r="A10414" s="279">
        <v>24</v>
      </c>
      <c r="B10414" s="276" t="s">
        <v>19059</v>
      </c>
      <c r="C10414" s="280" t="s">
        <v>19060</v>
      </c>
      <c r="D10414" s="281">
        <v>1572.17</v>
      </c>
      <c r="E10414" s="281">
        <v>1055.45</v>
      </c>
      <c r="F10414" s="281">
        <v>495.61</v>
      </c>
      <c r="G10414" s="281">
        <v>21.11</v>
      </c>
      <c r="H10414" s="282">
        <v>15165.56</v>
      </c>
      <c r="I10414" s="282">
        <v>12138.18</v>
      </c>
      <c r="J10414" s="282">
        <v>2784.61</v>
      </c>
      <c r="K10414" s="282">
        <v>242.77</v>
      </c>
      <c r="L10414" s="43">
        <v>9.6462596284116842</v>
      </c>
      <c r="M10414" s="43">
        <v>11.500478468899521</v>
      </c>
      <c r="N10414" s="43">
        <v>5.6185508766974035</v>
      </c>
      <c r="O10414" s="43">
        <v>11.500236854571295</v>
      </c>
      <c r="P10414" s="283"/>
      <c r="Q10414" s="283"/>
      <c r="R10414" s="283">
        <v>1</v>
      </c>
    </row>
    <row r="10415" spans="1:18" ht="36">
      <c r="A10415" s="279">
        <v>25</v>
      </c>
      <c r="B10415" s="276" t="s">
        <v>19061</v>
      </c>
      <c r="C10415" s="280" t="s">
        <v>19062</v>
      </c>
      <c r="D10415" s="281">
        <v>1676.04</v>
      </c>
      <c r="E10415" s="281">
        <v>1513.86</v>
      </c>
      <c r="F10415" s="281">
        <v>131.9</v>
      </c>
      <c r="G10415" s="281">
        <v>30.28</v>
      </c>
      <c r="H10415" s="282">
        <v>18435.77</v>
      </c>
      <c r="I10415" s="282">
        <v>17410.080000000002</v>
      </c>
      <c r="J10415" s="282">
        <v>677.47</v>
      </c>
      <c r="K10415" s="282">
        <v>348.22</v>
      </c>
      <c r="L10415" s="43">
        <v>10.9996002482041</v>
      </c>
      <c r="M10415" s="43">
        <v>11.500455788514131</v>
      </c>
      <c r="N10415" s="43">
        <v>5.136239575435936</v>
      </c>
      <c r="O10415" s="43">
        <v>11.5</v>
      </c>
      <c r="P10415" s="283"/>
      <c r="Q10415" s="283"/>
      <c r="R10415" s="283">
        <v>1</v>
      </c>
    </row>
    <row r="10416" spans="1:18" ht="12.75" customHeight="1">
      <c r="A10416" s="628" t="s">
        <v>19063</v>
      </c>
      <c r="B10416" s="629"/>
      <c r="C10416" s="629"/>
      <c r="D10416" s="629"/>
      <c r="E10416" s="629"/>
      <c r="F10416" s="629"/>
      <c r="G10416" s="629"/>
      <c r="H10416" s="629"/>
      <c r="I10416" s="629"/>
      <c r="J10416" s="629"/>
      <c r="K10416" s="629"/>
      <c r="L10416" s="629"/>
      <c r="M10416" s="629"/>
      <c r="N10416" s="629"/>
      <c r="O10416" s="629"/>
      <c r="P10416" s="629"/>
      <c r="Q10416" s="629"/>
      <c r="R10416" s="629"/>
    </row>
    <row r="10417" spans="1:18" ht="24">
      <c r="A10417" s="279">
        <v>26</v>
      </c>
      <c r="B10417" s="276" t="s">
        <v>19064</v>
      </c>
      <c r="C10417" s="280" t="s">
        <v>19065</v>
      </c>
      <c r="D10417" s="281">
        <v>1264.8499999999999</v>
      </c>
      <c r="E10417" s="281">
        <v>322.08999999999997</v>
      </c>
      <c r="F10417" s="281">
        <v>505.98</v>
      </c>
      <c r="G10417" s="281">
        <v>436.78</v>
      </c>
      <c r="H10417" s="282">
        <v>8178.81</v>
      </c>
      <c r="I10417" s="282">
        <v>3704.2</v>
      </c>
      <c r="J10417" s="282">
        <v>2809.96</v>
      </c>
      <c r="K10417" s="282">
        <v>1664.65</v>
      </c>
      <c r="L10417" s="43">
        <v>6.4662291971380013</v>
      </c>
      <c r="M10417" s="43">
        <v>11.500512279176627</v>
      </c>
      <c r="N10417" s="43">
        <v>5.553500138345389</v>
      </c>
      <c r="O10417" s="43">
        <v>3.811186409634141</v>
      </c>
      <c r="P10417" s="283"/>
      <c r="Q10417" s="283"/>
      <c r="R10417" s="283">
        <v>2</v>
      </c>
    </row>
    <row r="10418" spans="1:18" ht="24">
      <c r="A10418" s="279">
        <v>27</v>
      </c>
      <c r="B10418" s="276" t="s">
        <v>19066</v>
      </c>
      <c r="C10418" s="280" t="s">
        <v>19067</v>
      </c>
      <c r="D10418" s="281">
        <v>710.29</v>
      </c>
      <c r="E10418" s="281">
        <v>255.08</v>
      </c>
      <c r="F10418" s="281">
        <v>277.89</v>
      </c>
      <c r="G10418" s="281">
        <v>177.32</v>
      </c>
      <c r="H10418" s="282">
        <v>5195.42</v>
      </c>
      <c r="I10418" s="282">
        <v>2933.51</v>
      </c>
      <c r="J10418" s="282">
        <v>1566.31</v>
      </c>
      <c r="K10418" s="282">
        <v>695.6</v>
      </c>
      <c r="L10418" s="43">
        <v>7.3145053428881166</v>
      </c>
      <c r="M10418" s="43">
        <v>11.500352830484553</v>
      </c>
      <c r="N10418" s="43">
        <v>5.6364388786930082</v>
      </c>
      <c r="O10418" s="43">
        <v>3.9228513422061813</v>
      </c>
      <c r="P10418" s="283"/>
      <c r="Q10418" s="283"/>
      <c r="R10418" s="283">
        <v>2</v>
      </c>
    </row>
    <row r="10419" spans="1:18" ht="24">
      <c r="A10419" s="279">
        <v>28</v>
      </c>
      <c r="B10419" s="276" t="s">
        <v>19068</v>
      </c>
      <c r="C10419" s="280" t="s">
        <v>19069</v>
      </c>
      <c r="D10419" s="281">
        <v>1560.34</v>
      </c>
      <c r="E10419" s="281">
        <v>410.19</v>
      </c>
      <c r="F10419" s="281">
        <v>711.61</v>
      </c>
      <c r="G10419" s="281">
        <v>438.54</v>
      </c>
      <c r="H10419" s="282">
        <v>10353.35</v>
      </c>
      <c r="I10419" s="282">
        <v>4717.3999999999996</v>
      </c>
      <c r="J10419" s="282">
        <v>3951.06</v>
      </c>
      <c r="K10419" s="282">
        <v>1684.89</v>
      </c>
      <c r="L10419" s="43">
        <v>6.6353166617532082</v>
      </c>
      <c r="M10419" s="43">
        <v>11.500524147346351</v>
      </c>
      <c r="N10419" s="43">
        <v>5.5522828515619507</v>
      </c>
      <c r="O10419" s="43">
        <v>3.8420440552743194</v>
      </c>
      <c r="P10419" s="283"/>
      <c r="Q10419" s="283"/>
      <c r="R10419" s="283">
        <v>2</v>
      </c>
    </row>
    <row r="10420" spans="1:18" ht="24">
      <c r="A10420" s="279">
        <v>29</v>
      </c>
      <c r="B10420" s="276" t="s">
        <v>19070</v>
      </c>
      <c r="C10420" s="280" t="s">
        <v>19071</v>
      </c>
      <c r="D10420" s="281">
        <v>1316.27</v>
      </c>
      <c r="E10420" s="281">
        <v>369.98</v>
      </c>
      <c r="F10420" s="281">
        <v>508.55</v>
      </c>
      <c r="G10420" s="281">
        <v>437.74</v>
      </c>
      <c r="H10420" s="282">
        <v>8754.48</v>
      </c>
      <c r="I10420" s="282">
        <v>4254.91</v>
      </c>
      <c r="J10420" s="282">
        <v>2823.88</v>
      </c>
      <c r="K10420" s="282">
        <v>1675.69</v>
      </c>
      <c r="L10420" s="43">
        <v>6.6509758636146081</v>
      </c>
      <c r="M10420" s="43">
        <v>11.500378398832368</v>
      </c>
      <c r="N10420" s="43">
        <v>5.5528070002949566</v>
      </c>
      <c r="O10420" s="43">
        <v>3.8280486133321152</v>
      </c>
      <c r="P10420" s="283"/>
      <c r="Q10420" s="283"/>
      <c r="R10420" s="283">
        <v>2</v>
      </c>
    </row>
    <row r="10421" spans="1:18" ht="12.75" customHeight="1">
      <c r="A10421" s="628" t="s">
        <v>19072</v>
      </c>
      <c r="B10421" s="629"/>
      <c r="C10421" s="629"/>
      <c r="D10421" s="629"/>
      <c r="E10421" s="629"/>
      <c r="F10421" s="629"/>
      <c r="G10421" s="629"/>
      <c r="H10421" s="629"/>
      <c r="I10421" s="629"/>
      <c r="J10421" s="629"/>
      <c r="K10421" s="629"/>
      <c r="L10421" s="629"/>
      <c r="M10421" s="629"/>
      <c r="N10421" s="629"/>
      <c r="O10421" s="629"/>
      <c r="P10421" s="629"/>
      <c r="Q10421" s="629"/>
      <c r="R10421" s="629"/>
    </row>
    <row r="10422" spans="1:18" ht="12.75" customHeight="1">
      <c r="A10422" s="628" t="s">
        <v>19073</v>
      </c>
      <c r="B10422" s="629"/>
      <c r="C10422" s="629"/>
      <c r="D10422" s="629"/>
      <c r="E10422" s="629"/>
      <c r="F10422" s="629"/>
      <c r="G10422" s="629"/>
      <c r="H10422" s="629"/>
      <c r="I10422" s="629"/>
      <c r="J10422" s="629"/>
      <c r="K10422" s="629"/>
      <c r="L10422" s="629"/>
      <c r="M10422" s="629"/>
      <c r="N10422" s="629"/>
      <c r="O10422" s="629"/>
      <c r="P10422" s="629"/>
      <c r="Q10422" s="629"/>
      <c r="R10422" s="629"/>
    </row>
    <row r="10423" spans="1:18" ht="24">
      <c r="A10423" s="279">
        <v>30</v>
      </c>
      <c r="B10423" s="276" t="s">
        <v>19074</v>
      </c>
      <c r="C10423" s="280" t="s">
        <v>19075</v>
      </c>
      <c r="D10423" s="281">
        <v>2483.5700000000002</v>
      </c>
      <c r="E10423" s="281">
        <v>1052.28</v>
      </c>
      <c r="F10423" s="281">
        <v>1266.8399999999999</v>
      </c>
      <c r="G10423" s="281">
        <v>164.45</v>
      </c>
      <c r="H10423" s="282">
        <v>19621.46</v>
      </c>
      <c r="I10423" s="282">
        <v>12101.22</v>
      </c>
      <c r="J10423" s="282">
        <v>6748.36</v>
      </c>
      <c r="K10423" s="282">
        <v>771.88</v>
      </c>
      <c r="L10423" s="43">
        <v>7.9005061262617913</v>
      </c>
      <c r="M10423" s="43">
        <v>11.5</v>
      </c>
      <c r="N10423" s="43">
        <v>5.3269236841274354</v>
      </c>
      <c r="O10423" s="43">
        <v>4.6937062937062937</v>
      </c>
      <c r="P10423" s="283"/>
      <c r="Q10423" s="283"/>
      <c r="R10423" s="283">
        <v>1</v>
      </c>
    </row>
    <row r="10424" spans="1:18" ht="24">
      <c r="A10424" s="279">
        <v>31</v>
      </c>
      <c r="B10424" s="276" t="s">
        <v>19076</v>
      </c>
      <c r="C10424" s="280" t="s">
        <v>19077</v>
      </c>
      <c r="D10424" s="281">
        <v>2683.73</v>
      </c>
      <c r="E10424" s="281">
        <v>1143.3</v>
      </c>
      <c r="F10424" s="281">
        <v>1374.16</v>
      </c>
      <c r="G10424" s="281">
        <v>166.27</v>
      </c>
      <c r="H10424" s="282">
        <v>21268.49</v>
      </c>
      <c r="I10424" s="282">
        <v>13147.95</v>
      </c>
      <c r="J10424" s="282">
        <v>7327.73</v>
      </c>
      <c r="K10424" s="282">
        <v>792.81</v>
      </c>
      <c r="L10424" s="43">
        <v>7.9249738237453107</v>
      </c>
      <c r="M10424" s="43">
        <v>11.500000000000002</v>
      </c>
      <c r="N10424" s="43">
        <v>5.3325158642370605</v>
      </c>
      <c r="O10424" s="43">
        <v>4.7682083358392973</v>
      </c>
      <c r="P10424" s="283"/>
      <c r="Q10424" s="283"/>
      <c r="R10424" s="283">
        <v>1</v>
      </c>
    </row>
    <row r="10425" spans="1:18" ht="24">
      <c r="A10425" s="279">
        <v>32</v>
      </c>
      <c r="B10425" s="276" t="s">
        <v>19078</v>
      </c>
      <c r="C10425" s="280" t="s">
        <v>19079</v>
      </c>
      <c r="D10425" s="281">
        <v>12384.8</v>
      </c>
      <c r="E10425" s="281">
        <v>2829.24</v>
      </c>
      <c r="F10425" s="281">
        <v>8278.61</v>
      </c>
      <c r="G10425" s="281">
        <v>1276.95</v>
      </c>
      <c r="H10425" s="282">
        <v>81976.28</v>
      </c>
      <c r="I10425" s="282">
        <v>32536.26</v>
      </c>
      <c r="J10425" s="282">
        <v>44114.67</v>
      </c>
      <c r="K10425" s="282">
        <v>5325.35</v>
      </c>
      <c r="L10425" s="43">
        <v>6.6191040630450235</v>
      </c>
      <c r="M10425" s="43">
        <v>11.5</v>
      </c>
      <c r="N10425" s="43">
        <v>5.3287532568873273</v>
      </c>
      <c r="O10425" s="43">
        <v>4.1703668898547317</v>
      </c>
      <c r="P10425" s="283"/>
      <c r="Q10425" s="283"/>
      <c r="R10425" s="283">
        <v>1</v>
      </c>
    </row>
    <row r="10426" spans="1:18" ht="24">
      <c r="A10426" s="279">
        <v>33</v>
      </c>
      <c r="B10426" s="276" t="s">
        <v>19080</v>
      </c>
      <c r="C10426" s="280" t="s">
        <v>19081</v>
      </c>
      <c r="D10426" s="281">
        <v>17555.09</v>
      </c>
      <c r="E10426" s="281">
        <v>3934.92</v>
      </c>
      <c r="F10426" s="281">
        <v>12304.39</v>
      </c>
      <c r="G10426" s="281">
        <v>1315.78</v>
      </c>
      <c r="H10426" s="282">
        <v>116571.53</v>
      </c>
      <c r="I10426" s="282">
        <v>45251.58</v>
      </c>
      <c r="J10426" s="282">
        <v>65642.19</v>
      </c>
      <c r="K10426" s="282">
        <v>5677.76</v>
      </c>
      <c r="L10426" s="43">
        <v>6.6403265377733751</v>
      </c>
      <c r="M10426" s="43">
        <v>11.5</v>
      </c>
      <c r="N10426" s="43">
        <v>5.3348593469485284</v>
      </c>
      <c r="O10426" s="43">
        <v>4.3151286689264161</v>
      </c>
      <c r="P10426" s="283"/>
      <c r="Q10426" s="283"/>
      <c r="R10426" s="283">
        <v>1</v>
      </c>
    </row>
    <row r="10427" spans="1:18" ht="24">
      <c r="A10427" s="279">
        <v>34</v>
      </c>
      <c r="B10427" s="276" t="s">
        <v>19082</v>
      </c>
      <c r="C10427" s="280" t="s">
        <v>19083</v>
      </c>
      <c r="D10427" s="281">
        <v>30006.54</v>
      </c>
      <c r="E10427" s="281">
        <v>11832.6</v>
      </c>
      <c r="F10427" s="281">
        <v>17191.66</v>
      </c>
      <c r="G10427" s="281">
        <v>982.28</v>
      </c>
      <c r="H10427" s="282">
        <v>233732.03</v>
      </c>
      <c r="I10427" s="282">
        <v>136074.9</v>
      </c>
      <c r="J10427" s="282">
        <v>89943.14</v>
      </c>
      <c r="K10427" s="282">
        <v>7713.99</v>
      </c>
      <c r="L10427" s="43">
        <v>7.7893695840973329</v>
      </c>
      <c r="M10427" s="43">
        <v>11.5</v>
      </c>
      <c r="N10427" s="43">
        <v>5.2317891349642789</v>
      </c>
      <c r="O10427" s="43">
        <v>7.8531477786374557</v>
      </c>
      <c r="P10427" s="283"/>
      <c r="Q10427" s="283"/>
      <c r="R10427" s="283">
        <v>1</v>
      </c>
    </row>
    <row r="10428" spans="1:18" ht="24">
      <c r="A10428" s="279">
        <v>35</v>
      </c>
      <c r="B10428" s="276" t="s">
        <v>19084</v>
      </c>
      <c r="C10428" s="280" t="s">
        <v>19085</v>
      </c>
      <c r="D10428" s="281">
        <v>48514.02</v>
      </c>
      <c r="E10428" s="281">
        <v>17517.439999999999</v>
      </c>
      <c r="F10428" s="281">
        <v>29779.63</v>
      </c>
      <c r="G10428" s="281">
        <v>1216.95</v>
      </c>
      <c r="H10428" s="282">
        <v>366076.2</v>
      </c>
      <c r="I10428" s="282">
        <v>201450.56</v>
      </c>
      <c r="J10428" s="282">
        <v>154857.9</v>
      </c>
      <c r="K10428" s="282">
        <v>9767.74</v>
      </c>
      <c r="L10428" s="43">
        <v>7.5457816111713694</v>
      </c>
      <c r="M10428" s="43">
        <v>11.5</v>
      </c>
      <c r="N10428" s="43">
        <v>5.2001284099231588</v>
      </c>
      <c r="O10428" s="43">
        <v>8.0264102880151196</v>
      </c>
      <c r="P10428" s="283"/>
      <c r="Q10428" s="283"/>
      <c r="R10428" s="283">
        <v>1</v>
      </c>
    </row>
    <row r="10429" spans="1:18" ht="24">
      <c r="A10429" s="279">
        <v>36</v>
      </c>
      <c r="B10429" s="276" t="s">
        <v>19086</v>
      </c>
      <c r="C10429" s="280" t="s">
        <v>19087</v>
      </c>
      <c r="D10429" s="281">
        <v>42676.81</v>
      </c>
      <c r="E10429" s="281">
        <v>17937.599999999999</v>
      </c>
      <c r="F10429" s="281">
        <v>22233.19</v>
      </c>
      <c r="G10429" s="281">
        <v>2506.02</v>
      </c>
      <c r="H10429" s="282">
        <v>338491.4</v>
      </c>
      <c r="I10429" s="282">
        <v>206282.4</v>
      </c>
      <c r="J10429" s="282">
        <v>116083.19</v>
      </c>
      <c r="K10429" s="282">
        <v>16125.81</v>
      </c>
      <c r="L10429" s="43">
        <v>7.9315065957366553</v>
      </c>
      <c r="M10429" s="43">
        <v>11.5</v>
      </c>
      <c r="N10429" s="43">
        <v>5.2211666432032473</v>
      </c>
      <c r="O10429" s="43">
        <v>6.4348289319319081</v>
      </c>
      <c r="P10429" s="283"/>
      <c r="Q10429" s="283"/>
      <c r="R10429" s="283">
        <v>1</v>
      </c>
    </row>
    <row r="10430" spans="1:18" ht="24">
      <c r="A10430" s="279">
        <v>37</v>
      </c>
      <c r="B10430" s="276" t="s">
        <v>19088</v>
      </c>
      <c r="C10430" s="280" t="s">
        <v>19089</v>
      </c>
      <c r="D10430" s="281">
        <v>11642.15</v>
      </c>
      <c r="E10430" s="281">
        <v>4328.16</v>
      </c>
      <c r="F10430" s="281">
        <v>6556.98</v>
      </c>
      <c r="G10430" s="281">
        <v>757.01</v>
      </c>
      <c r="H10430" s="282">
        <v>85049.600000000006</v>
      </c>
      <c r="I10430" s="282">
        <v>49773.84</v>
      </c>
      <c r="J10430" s="282">
        <v>31644.560000000001</v>
      </c>
      <c r="K10430" s="282">
        <v>3631.2</v>
      </c>
      <c r="L10430" s="43">
        <v>7.3053173168186296</v>
      </c>
      <c r="M10430" s="43">
        <v>11.5</v>
      </c>
      <c r="N10430" s="43">
        <v>4.8260876196053673</v>
      </c>
      <c r="O10430" s="43">
        <v>4.7967662250168424</v>
      </c>
      <c r="P10430" s="283"/>
      <c r="Q10430" s="283"/>
      <c r="R10430" s="283">
        <v>1</v>
      </c>
    </row>
    <row r="10431" spans="1:18" ht="24">
      <c r="A10431" s="279">
        <v>38</v>
      </c>
      <c r="B10431" s="276" t="s">
        <v>19090</v>
      </c>
      <c r="C10431" s="280" t="s">
        <v>19091</v>
      </c>
      <c r="D10431" s="281">
        <v>5481.51</v>
      </c>
      <c r="E10431" s="281">
        <v>3130.2</v>
      </c>
      <c r="F10431" s="281">
        <v>1898.63</v>
      </c>
      <c r="G10431" s="281">
        <v>452.68</v>
      </c>
      <c r="H10431" s="282">
        <v>49271.77</v>
      </c>
      <c r="I10431" s="282">
        <v>35997.300000000003</v>
      </c>
      <c r="J10431" s="282">
        <v>10480.959999999999</v>
      </c>
      <c r="K10431" s="282">
        <v>2793.51</v>
      </c>
      <c r="L10431" s="43">
        <v>8.988722085702662</v>
      </c>
      <c r="M10431" s="43">
        <v>11.500000000000002</v>
      </c>
      <c r="N10431" s="43">
        <v>5.520275145762997</v>
      </c>
      <c r="O10431" s="43">
        <v>6.17104798091367</v>
      </c>
      <c r="P10431" s="283"/>
      <c r="Q10431" s="283"/>
      <c r="R10431" s="283">
        <v>1</v>
      </c>
    </row>
    <row r="10432" spans="1:18" ht="12.75" customHeight="1">
      <c r="A10432" s="628" t="s">
        <v>19092</v>
      </c>
      <c r="B10432" s="629"/>
      <c r="C10432" s="629"/>
      <c r="D10432" s="629"/>
      <c r="E10432" s="629"/>
      <c r="F10432" s="629"/>
      <c r="G10432" s="629"/>
      <c r="H10432" s="629"/>
      <c r="I10432" s="629"/>
      <c r="J10432" s="629"/>
      <c r="K10432" s="629"/>
      <c r="L10432" s="629"/>
      <c r="M10432" s="629"/>
      <c r="N10432" s="629"/>
      <c r="O10432" s="629"/>
      <c r="P10432" s="629"/>
      <c r="Q10432" s="629"/>
      <c r="R10432" s="629"/>
    </row>
    <row r="10433" spans="1:18" ht="36">
      <c r="A10433" s="279">
        <v>39</v>
      </c>
      <c r="B10433" s="276" t="s">
        <v>19093</v>
      </c>
      <c r="C10433" s="280" t="s">
        <v>19094</v>
      </c>
      <c r="D10433" s="281">
        <v>49280.42</v>
      </c>
      <c r="E10433" s="281">
        <v>7273.56</v>
      </c>
      <c r="F10433" s="281">
        <v>40152.58</v>
      </c>
      <c r="G10433" s="281">
        <v>1854.28</v>
      </c>
      <c r="H10433" s="282">
        <v>293126.63</v>
      </c>
      <c r="I10433" s="282">
        <v>83648.88</v>
      </c>
      <c r="J10433" s="282">
        <v>201041.07</v>
      </c>
      <c r="K10433" s="282">
        <v>8436.68</v>
      </c>
      <c r="L10433" s="43">
        <v>5.9481357910504826</v>
      </c>
      <c r="M10433" s="43">
        <v>11.500404203718674</v>
      </c>
      <c r="N10433" s="43">
        <v>5.0069278238160537</v>
      </c>
      <c r="O10433" s="43">
        <v>4.5498414478935221</v>
      </c>
      <c r="P10433" s="283"/>
      <c r="Q10433" s="283"/>
      <c r="R10433" s="283">
        <v>2</v>
      </c>
    </row>
    <row r="10434" spans="1:18" ht="36">
      <c r="A10434" s="279">
        <v>40</v>
      </c>
      <c r="B10434" s="276" t="s">
        <v>19095</v>
      </c>
      <c r="C10434" s="280" t="s">
        <v>19096</v>
      </c>
      <c r="D10434" s="281">
        <v>9607.77</v>
      </c>
      <c r="E10434" s="281">
        <v>2309.4899999999998</v>
      </c>
      <c r="F10434" s="281">
        <v>6844.99</v>
      </c>
      <c r="G10434" s="281">
        <v>453.29</v>
      </c>
      <c r="H10434" s="282">
        <v>66551.62</v>
      </c>
      <c r="I10434" s="282">
        <v>26560.14</v>
      </c>
      <c r="J10434" s="282">
        <v>37563.660000000003</v>
      </c>
      <c r="K10434" s="282">
        <v>2427.8200000000002</v>
      </c>
      <c r="L10434" s="43">
        <v>6.9268539942150982</v>
      </c>
      <c r="M10434" s="43">
        <v>11.500435161009575</v>
      </c>
      <c r="N10434" s="43">
        <v>5.4877596607153558</v>
      </c>
      <c r="O10434" s="43">
        <v>5.3559972644443956</v>
      </c>
      <c r="P10434" s="283"/>
      <c r="Q10434" s="283"/>
      <c r="R10434" s="283">
        <v>2</v>
      </c>
    </row>
    <row r="10435" spans="1:18" ht="36">
      <c r="A10435" s="279">
        <v>41</v>
      </c>
      <c r="B10435" s="276" t="s">
        <v>19097</v>
      </c>
      <c r="C10435" s="280" t="s">
        <v>19098</v>
      </c>
      <c r="D10435" s="281">
        <v>35273.910000000003</v>
      </c>
      <c r="E10435" s="281">
        <v>6871.02</v>
      </c>
      <c r="F10435" s="281">
        <v>26752.2</v>
      </c>
      <c r="G10435" s="281">
        <v>1650.69</v>
      </c>
      <c r="H10435" s="282">
        <v>228171.66</v>
      </c>
      <c r="I10435" s="282">
        <v>79019.72</v>
      </c>
      <c r="J10435" s="282">
        <v>140440.43</v>
      </c>
      <c r="K10435" s="282">
        <v>8711.51</v>
      </c>
      <c r="L10435" s="43">
        <v>6.4685672781951302</v>
      </c>
      <c r="M10435" s="43">
        <v>11.500435161009573</v>
      </c>
      <c r="N10435" s="43">
        <v>5.2496777835093935</v>
      </c>
      <c r="O10435" s="43">
        <v>5.2774960773979362</v>
      </c>
      <c r="P10435" s="283"/>
      <c r="Q10435" s="283"/>
      <c r="R10435" s="283">
        <v>2</v>
      </c>
    </row>
    <row r="10436" spans="1:18" ht="36">
      <c r="A10436" s="279">
        <v>42</v>
      </c>
      <c r="B10436" s="276" t="s">
        <v>19099</v>
      </c>
      <c r="C10436" s="280" t="s">
        <v>19100</v>
      </c>
      <c r="D10436" s="281">
        <v>17749.669999999998</v>
      </c>
      <c r="E10436" s="281">
        <v>5457.75</v>
      </c>
      <c r="F10436" s="281">
        <v>11456</v>
      </c>
      <c r="G10436" s="281">
        <v>835.92</v>
      </c>
      <c r="H10436" s="282">
        <v>128301.3</v>
      </c>
      <c r="I10436" s="282">
        <v>62766.5</v>
      </c>
      <c r="J10436" s="282">
        <v>60809.5</v>
      </c>
      <c r="K10436" s="282">
        <v>4725.3</v>
      </c>
      <c r="L10436" s="43">
        <v>7.2283766402417635</v>
      </c>
      <c r="M10436" s="43">
        <v>11.500435161009573</v>
      </c>
      <c r="N10436" s="43">
        <v>5.3080918296089381</v>
      </c>
      <c r="O10436" s="43">
        <v>5.6528136663795587</v>
      </c>
      <c r="P10436" s="283"/>
      <c r="Q10436" s="283"/>
      <c r="R10436" s="283">
        <v>2</v>
      </c>
    </row>
    <row r="10437" spans="1:18" ht="36">
      <c r="A10437" s="279">
        <v>43</v>
      </c>
      <c r="B10437" s="276" t="s">
        <v>19101</v>
      </c>
      <c r="C10437" s="280" t="s">
        <v>19102</v>
      </c>
      <c r="D10437" s="281">
        <v>54590.81</v>
      </c>
      <c r="E10437" s="281">
        <v>10007.790000000001</v>
      </c>
      <c r="F10437" s="281">
        <v>41186.31</v>
      </c>
      <c r="G10437" s="281">
        <v>3396.71</v>
      </c>
      <c r="H10437" s="282">
        <v>346277.75</v>
      </c>
      <c r="I10437" s="282">
        <v>115093.94</v>
      </c>
      <c r="J10437" s="282">
        <v>213148.73</v>
      </c>
      <c r="K10437" s="282">
        <v>18035.080000000002</v>
      </c>
      <c r="L10437" s="43">
        <v>6.3431509809068602</v>
      </c>
      <c r="M10437" s="43">
        <v>11.500435161009573</v>
      </c>
      <c r="N10437" s="43">
        <v>5.1752324983714253</v>
      </c>
      <c r="O10437" s="43">
        <v>5.3095730868987934</v>
      </c>
      <c r="P10437" s="283"/>
      <c r="Q10437" s="283"/>
      <c r="R10437" s="283">
        <v>2</v>
      </c>
    </row>
    <row r="10438" spans="1:18" ht="12.75" customHeight="1">
      <c r="A10438" s="628" t="s">
        <v>19103</v>
      </c>
      <c r="B10438" s="629"/>
      <c r="C10438" s="629"/>
      <c r="D10438" s="629"/>
      <c r="E10438" s="629"/>
      <c r="F10438" s="629"/>
      <c r="G10438" s="629"/>
      <c r="H10438" s="629"/>
      <c r="I10438" s="629"/>
      <c r="J10438" s="629"/>
      <c r="K10438" s="629"/>
      <c r="L10438" s="629"/>
      <c r="M10438" s="629"/>
      <c r="N10438" s="629"/>
      <c r="O10438" s="629"/>
      <c r="P10438" s="629"/>
      <c r="Q10438" s="629"/>
      <c r="R10438" s="629"/>
    </row>
    <row r="10439" spans="1:18" ht="24">
      <c r="A10439" s="279">
        <v>44</v>
      </c>
      <c r="B10439" s="276" t="s">
        <v>19104</v>
      </c>
      <c r="C10439" s="280" t="s">
        <v>19105</v>
      </c>
      <c r="D10439" s="281">
        <v>61451.199999999997</v>
      </c>
      <c r="E10439" s="281">
        <v>10860.3</v>
      </c>
      <c r="F10439" s="281">
        <v>32344.57</v>
      </c>
      <c r="G10439" s="281">
        <v>18246.330000000002</v>
      </c>
      <c r="H10439" s="282">
        <v>364238.48</v>
      </c>
      <c r="I10439" s="282">
        <v>124898.4</v>
      </c>
      <c r="J10439" s="282">
        <v>168977.52</v>
      </c>
      <c r="K10439" s="282">
        <v>70362.559999999998</v>
      </c>
      <c r="L10439" s="43">
        <v>5.9272801832999189</v>
      </c>
      <c r="M10439" s="43">
        <v>11.500455788514129</v>
      </c>
      <c r="N10439" s="43">
        <v>5.2242932894145753</v>
      </c>
      <c r="O10439" s="43">
        <v>3.8562582174059106</v>
      </c>
      <c r="P10439" s="283"/>
      <c r="Q10439" s="283"/>
      <c r="R10439" s="283">
        <v>3</v>
      </c>
    </row>
    <row r="10440" spans="1:18" ht="24">
      <c r="A10440" s="279">
        <v>45</v>
      </c>
      <c r="B10440" s="276" t="s">
        <v>19106</v>
      </c>
      <c r="C10440" s="280" t="s">
        <v>19107</v>
      </c>
      <c r="D10440" s="281">
        <v>14368.03</v>
      </c>
      <c r="E10440" s="281">
        <v>3729.6</v>
      </c>
      <c r="F10440" s="281">
        <v>7260.2</v>
      </c>
      <c r="G10440" s="281">
        <v>3378.23</v>
      </c>
      <c r="H10440" s="282">
        <v>94163.33</v>
      </c>
      <c r="I10440" s="282">
        <v>42890.400000000001</v>
      </c>
      <c r="J10440" s="282">
        <v>38182.06</v>
      </c>
      <c r="K10440" s="282">
        <v>13090.87</v>
      </c>
      <c r="L10440" s="43">
        <v>6.5536701969581079</v>
      </c>
      <c r="M10440" s="43">
        <v>11.5</v>
      </c>
      <c r="N10440" s="43">
        <v>5.2590920360320652</v>
      </c>
      <c r="O10440" s="43">
        <v>3.8750677129739541</v>
      </c>
      <c r="P10440" s="283"/>
      <c r="Q10440" s="283"/>
      <c r="R10440" s="283">
        <v>3</v>
      </c>
    </row>
    <row r="10441" spans="1:18" ht="24">
      <c r="A10441" s="279">
        <v>46</v>
      </c>
      <c r="B10441" s="276" t="s">
        <v>19108</v>
      </c>
      <c r="C10441" s="280" t="s">
        <v>19109</v>
      </c>
      <c r="D10441" s="281">
        <v>60780.89</v>
      </c>
      <c r="E10441" s="281">
        <v>16725.12</v>
      </c>
      <c r="F10441" s="281">
        <v>25494.43</v>
      </c>
      <c r="G10441" s="281">
        <v>18561.34</v>
      </c>
      <c r="H10441" s="282">
        <v>402053.91</v>
      </c>
      <c r="I10441" s="282">
        <v>192338.88</v>
      </c>
      <c r="J10441" s="282">
        <v>137724.79999999999</v>
      </c>
      <c r="K10441" s="282">
        <v>71990.23</v>
      </c>
      <c r="L10441" s="43">
        <v>6.6148078779366344</v>
      </c>
      <c r="M10441" s="43">
        <v>11.500000000000002</v>
      </c>
      <c r="N10441" s="43">
        <v>5.4021525486155202</v>
      </c>
      <c r="O10441" s="43">
        <v>3.8785039226693758</v>
      </c>
      <c r="P10441" s="283"/>
      <c r="Q10441" s="283"/>
      <c r="R10441" s="283">
        <v>3</v>
      </c>
    </row>
    <row r="10442" spans="1:18" ht="24">
      <c r="A10442" s="279">
        <v>47</v>
      </c>
      <c r="B10442" s="276" t="s">
        <v>19110</v>
      </c>
      <c r="C10442" s="280" t="s">
        <v>19111</v>
      </c>
      <c r="D10442" s="281">
        <v>17338.09</v>
      </c>
      <c r="E10442" s="281">
        <v>3181.3</v>
      </c>
      <c r="F10442" s="281">
        <v>9440.1</v>
      </c>
      <c r="G10442" s="281">
        <v>4716.6899999999996</v>
      </c>
      <c r="H10442" s="282">
        <v>105604.87</v>
      </c>
      <c r="I10442" s="282">
        <v>36586.400000000001</v>
      </c>
      <c r="J10442" s="282">
        <v>50769.9</v>
      </c>
      <c r="K10442" s="282">
        <v>18248.57</v>
      </c>
      <c r="L10442" s="43">
        <v>6.0909171656162817</v>
      </c>
      <c r="M10442" s="43">
        <v>11.500455788514129</v>
      </c>
      <c r="N10442" s="43">
        <v>5.3781104013728669</v>
      </c>
      <c r="O10442" s="43">
        <v>3.8689356307071274</v>
      </c>
      <c r="P10442" s="283"/>
      <c r="Q10442" s="283"/>
      <c r="R10442" s="283">
        <v>3</v>
      </c>
    </row>
    <row r="10443" spans="1:18" ht="24">
      <c r="A10443" s="279">
        <v>48</v>
      </c>
      <c r="B10443" s="276" t="s">
        <v>19112</v>
      </c>
      <c r="C10443" s="280" t="s">
        <v>19113</v>
      </c>
      <c r="D10443" s="281">
        <v>79147.25</v>
      </c>
      <c r="E10443" s="281">
        <v>17460.3</v>
      </c>
      <c r="F10443" s="281">
        <v>38812.300000000003</v>
      </c>
      <c r="G10443" s="281">
        <v>22874.65</v>
      </c>
      <c r="H10443" s="282">
        <v>496029.07</v>
      </c>
      <c r="I10443" s="282">
        <v>200793.45</v>
      </c>
      <c r="J10443" s="282">
        <v>207212.02</v>
      </c>
      <c r="K10443" s="282">
        <v>88023.6</v>
      </c>
      <c r="L10443" s="43">
        <v>6.2671674631778114</v>
      </c>
      <c r="M10443" s="43">
        <v>11.500000000000002</v>
      </c>
      <c r="N10443" s="43">
        <v>5.3388235172870449</v>
      </c>
      <c r="O10443" s="43">
        <v>3.8480851073131173</v>
      </c>
      <c r="P10443" s="283"/>
      <c r="Q10443" s="283"/>
      <c r="R10443" s="283">
        <v>3</v>
      </c>
    </row>
    <row r="10444" spans="1:18" ht="24">
      <c r="A10444" s="279">
        <v>49</v>
      </c>
      <c r="B10444" s="276" t="s">
        <v>19114</v>
      </c>
      <c r="C10444" s="280" t="s">
        <v>19115</v>
      </c>
      <c r="D10444" s="281">
        <v>30321.67</v>
      </c>
      <c r="E10444" s="281">
        <v>6702.67</v>
      </c>
      <c r="F10444" s="281">
        <v>16122.69</v>
      </c>
      <c r="G10444" s="281">
        <v>7496.31</v>
      </c>
      <c r="H10444" s="282">
        <v>194745.45</v>
      </c>
      <c r="I10444" s="282">
        <v>77083.759999999995</v>
      </c>
      <c r="J10444" s="282">
        <v>86490.89</v>
      </c>
      <c r="K10444" s="282">
        <v>31170.799999999999</v>
      </c>
      <c r="L10444" s="43">
        <v>6.4226492142418286</v>
      </c>
      <c r="M10444" s="43">
        <v>11.500455788514129</v>
      </c>
      <c r="N10444" s="43">
        <v>5.3645446262379295</v>
      </c>
      <c r="O10444" s="43">
        <v>4.1581524776856877</v>
      </c>
      <c r="P10444" s="283"/>
      <c r="Q10444" s="283"/>
      <c r="R10444" s="283">
        <v>3</v>
      </c>
    </row>
    <row r="10445" spans="1:18" ht="24">
      <c r="A10445" s="279">
        <v>50</v>
      </c>
      <c r="B10445" s="276" t="s">
        <v>19116</v>
      </c>
      <c r="C10445" s="280" t="s">
        <v>19117</v>
      </c>
      <c r="D10445" s="281">
        <v>87222.98</v>
      </c>
      <c r="E10445" s="281">
        <v>17277.75</v>
      </c>
      <c r="F10445" s="281">
        <v>44762.63</v>
      </c>
      <c r="G10445" s="281">
        <v>25182.6</v>
      </c>
      <c r="H10445" s="282">
        <v>540454.93000000005</v>
      </c>
      <c r="I10445" s="282">
        <v>198702</v>
      </c>
      <c r="J10445" s="282">
        <v>237146.11</v>
      </c>
      <c r="K10445" s="282">
        <v>104606.82</v>
      </c>
      <c r="L10445" s="43">
        <v>6.1962447281668211</v>
      </c>
      <c r="M10445" s="43">
        <v>11.500455788514129</v>
      </c>
      <c r="N10445" s="43">
        <v>5.2978591740476375</v>
      </c>
      <c r="O10445" s="43">
        <v>4.1539324771866291</v>
      </c>
      <c r="P10445" s="283"/>
      <c r="Q10445" s="283"/>
      <c r="R10445" s="283">
        <v>3</v>
      </c>
    </row>
    <row r="10446" spans="1:18" ht="24">
      <c r="A10446" s="279">
        <v>51</v>
      </c>
      <c r="B10446" s="276" t="s">
        <v>19118</v>
      </c>
      <c r="C10446" s="280" t="s">
        <v>19119</v>
      </c>
      <c r="D10446" s="281">
        <v>35261.53</v>
      </c>
      <c r="E10446" s="281">
        <v>4384.5</v>
      </c>
      <c r="F10446" s="281">
        <v>18598.98</v>
      </c>
      <c r="G10446" s="281">
        <v>12278.05</v>
      </c>
      <c r="H10446" s="282">
        <v>189523.73</v>
      </c>
      <c r="I10446" s="282">
        <v>50421.75</v>
      </c>
      <c r="J10446" s="282">
        <v>93048.62</v>
      </c>
      <c r="K10446" s="282">
        <v>46053.36</v>
      </c>
      <c r="L10446" s="43">
        <v>5.3748016606199451</v>
      </c>
      <c r="M10446" s="43">
        <v>11.5</v>
      </c>
      <c r="N10446" s="43">
        <v>5.0028883304353249</v>
      </c>
      <c r="O10446" s="43">
        <v>3.7508692341210539</v>
      </c>
      <c r="P10446" s="283"/>
      <c r="Q10446" s="283"/>
      <c r="R10446" s="283">
        <v>3</v>
      </c>
    </row>
    <row r="10447" spans="1:18" ht="24">
      <c r="A10447" s="279">
        <v>52</v>
      </c>
      <c r="B10447" s="276" t="s">
        <v>19120</v>
      </c>
      <c r="C10447" s="280" t="s">
        <v>19121</v>
      </c>
      <c r="D10447" s="281">
        <v>14694.71</v>
      </c>
      <c r="E10447" s="281">
        <v>1809.3</v>
      </c>
      <c r="F10447" s="281">
        <v>5534.46</v>
      </c>
      <c r="G10447" s="281">
        <v>7350.95</v>
      </c>
      <c r="H10447" s="282">
        <v>76678.36</v>
      </c>
      <c r="I10447" s="282">
        <v>20806.95</v>
      </c>
      <c r="J10447" s="282">
        <v>28423.5</v>
      </c>
      <c r="K10447" s="282">
        <v>27447.91</v>
      </c>
      <c r="L10447" s="43">
        <v>5.2180927694387984</v>
      </c>
      <c r="M10447" s="43">
        <v>11.5</v>
      </c>
      <c r="N10447" s="43">
        <v>5.1357313992693054</v>
      </c>
      <c r="O10447" s="43">
        <v>3.7339269074065258</v>
      </c>
      <c r="P10447" s="283"/>
      <c r="Q10447" s="283"/>
      <c r="R10447" s="283">
        <v>3</v>
      </c>
    </row>
    <row r="10448" spans="1:18" ht="24">
      <c r="A10448" s="279">
        <v>53</v>
      </c>
      <c r="B10448" s="276" t="s">
        <v>19122</v>
      </c>
      <c r="C10448" s="280" t="s">
        <v>19123</v>
      </c>
      <c r="D10448" s="281">
        <v>12900.75</v>
      </c>
      <c r="E10448" s="281">
        <v>4090.44</v>
      </c>
      <c r="F10448" s="281">
        <v>5143.5</v>
      </c>
      <c r="G10448" s="281">
        <v>3666.81</v>
      </c>
      <c r="H10448" s="282">
        <v>88219.39</v>
      </c>
      <c r="I10448" s="282">
        <v>47041.84</v>
      </c>
      <c r="J10448" s="282">
        <v>26991.73</v>
      </c>
      <c r="K10448" s="282">
        <v>14185.82</v>
      </c>
      <c r="L10448" s="43">
        <v>6.8383148266573652</v>
      </c>
      <c r="M10448" s="43">
        <v>11.500435161009573</v>
      </c>
      <c r="N10448" s="43">
        <v>5.2477359774472632</v>
      </c>
      <c r="O10448" s="43">
        <v>3.8687087686572252</v>
      </c>
      <c r="P10448" s="283"/>
      <c r="Q10448" s="283"/>
      <c r="R10448" s="283">
        <v>3</v>
      </c>
    </row>
    <row r="10449" spans="1:18" ht="24">
      <c r="A10449" s="279">
        <v>54</v>
      </c>
      <c r="B10449" s="276" t="s">
        <v>19124</v>
      </c>
      <c r="C10449" s="280" t="s">
        <v>19125</v>
      </c>
      <c r="D10449" s="281">
        <v>790.91</v>
      </c>
      <c r="E10449" s="281">
        <v>229.77</v>
      </c>
      <c r="F10449" s="281">
        <v>432.43</v>
      </c>
      <c r="G10449" s="281">
        <v>128.71</v>
      </c>
      <c r="H10449" s="282">
        <v>5710.94</v>
      </c>
      <c r="I10449" s="282">
        <v>2642.36</v>
      </c>
      <c r="J10449" s="282">
        <v>2353.7199999999998</v>
      </c>
      <c r="K10449" s="282">
        <v>714.86</v>
      </c>
      <c r="L10449" s="43">
        <v>7.2207204359535213</v>
      </c>
      <c r="M10449" s="43">
        <v>11.500021760891325</v>
      </c>
      <c r="N10449" s="43">
        <v>5.443008116920657</v>
      </c>
      <c r="O10449" s="43">
        <v>5.5540362054230439</v>
      </c>
      <c r="P10449" s="283"/>
      <c r="Q10449" s="283"/>
      <c r="R10449" s="283">
        <v>3</v>
      </c>
    </row>
    <row r="10450" spans="1:18" ht="24">
      <c r="A10450" s="279">
        <v>55</v>
      </c>
      <c r="B10450" s="276" t="s">
        <v>19126</v>
      </c>
      <c r="C10450" s="280" t="s">
        <v>19127</v>
      </c>
      <c r="D10450" s="281">
        <v>942.17</v>
      </c>
      <c r="E10450" s="281">
        <v>270.83999999999997</v>
      </c>
      <c r="F10450" s="281">
        <v>541.79999999999995</v>
      </c>
      <c r="G10450" s="281">
        <v>129.53</v>
      </c>
      <c r="H10450" s="282">
        <v>6787.39</v>
      </c>
      <c r="I10450" s="282">
        <v>3114.66</v>
      </c>
      <c r="J10450" s="282">
        <v>2948.44</v>
      </c>
      <c r="K10450" s="282">
        <v>724.29</v>
      </c>
      <c r="L10450" s="43">
        <v>7.2039971555027229</v>
      </c>
      <c r="M10450" s="43">
        <v>11.5</v>
      </c>
      <c r="N10450" s="43">
        <v>5.4419342930970842</v>
      </c>
      <c r="O10450" s="43">
        <v>5.5916776036439435</v>
      </c>
      <c r="P10450" s="283"/>
      <c r="Q10450" s="283"/>
      <c r="R10450" s="283">
        <v>3</v>
      </c>
    </row>
    <row r="10451" spans="1:18" ht="24">
      <c r="A10451" s="279">
        <v>56</v>
      </c>
      <c r="B10451" s="276" t="s">
        <v>19128</v>
      </c>
      <c r="C10451" s="280" t="s">
        <v>19129</v>
      </c>
      <c r="D10451" s="281">
        <v>884</v>
      </c>
      <c r="E10451" s="281">
        <v>260.85000000000002</v>
      </c>
      <c r="F10451" s="281">
        <v>493.82</v>
      </c>
      <c r="G10451" s="281">
        <v>129.33000000000001</v>
      </c>
      <c r="H10451" s="282">
        <v>6410.33</v>
      </c>
      <c r="I10451" s="282">
        <v>2999.78</v>
      </c>
      <c r="J10451" s="282">
        <v>2688.56</v>
      </c>
      <c r="K10451" s="282">
        <v>721.99</v>
      </c>
      <c r="L10451" s="43">
        <v>7.2515045248868777</v>
      </c>
      <c r="M10451" s="43">
        <v>11.500019168104274</v>
      </c>
      <c r="N10451" s="43">
        <v>5.4444129439876878</v>
      </c>
      <c r="O10451" s="43">
        <v>5.5825407871336887</v>
      </c>
      <c r="P10451" s="283"/>
      <c r="Q10451" s="283"/>
      <c r="R10451" s="283">
        <v>3</v>
      </c>
    </row>
    <row r="10452" spans="1:18" ht="24">
      <c r="A10452" s="279">
        <v>57</v>
      </c>
      <c r="B10452" s="276" t="s">
        <v>19130</v>
      </c>
      <c r="C10452" s="280" t="s">
        <v>19131</v>
      </c>
      <c r="D10452" s="281">
        <v>4229.04</v>
      </c>
      <c r="E10452" s="281">
        <v>1066.28</v>
      </c>
      <c r="F10452" s="281">
        <v>1419.27</v>
      </c>
      <c r="G10452" s="281">
        <v>1743.49</v>
      </c>
      <c r="H10452" s="282">
        <v>26800.73</v>
      </c>
      <c r="I10452" s="282">
        <v>12262.75</v>
      </c>
      <c r="J10452" s="282">
        <v>7923.16</v>
      </c>
      <c r="K10452" s="282">
        <v>6614.82</v>
      </c>
      <c r="L10452" s="43">
        <v>6.3373082307095698</v>
      </c>
      <c r="M10452" s="43">
        <v>11.500497055182503</v>
      </c>
      <c r="N10452" s="43">
        <v>5.5825600484756244</v>
      </c>
      <c r="O10452" s="43">
        <v>3.7940108632685017</v>
      </c>
      <c r="P10452" s="283"/>
      <c r="Q10452" s="283"/>
      <c r="R10452" s="283">
        <v>3</v>
      </c>
    </row>
    <row r="10453" spans="1:18" ht="24">
      <c r="A10453" s="279">
        <v>58</v>
      </c>
      <c r="B10453" s="276" t="s">
        <v>19132</v>
      </c>
      <c r="C10453" s="280" t="s">
        <v>19133</v>
      </c>
      <c r="D10453" s="281">
        <v>4984.3999999999996</v>
      </c>
      <c r="E10453" s="281">
        <v>1239.6099999999999</v>
      </c>
      <c r="F10453" s="281">
        <v>1353.22</v>
      </c>
      <c r="G10453" s="281">
        <v>2391.5700000000002</v>
      </c>
      <c r="H10453" s="282">
        <v>31044.400000000001</v>
      </c>
      <c r="I10453" s="282">
        <v>14256.08</v>
      </c>
      <c r="J10453" s="282">
        <v>7755.57</v>
      </c>
      <c r="K10453" s="282">
        <v>9032.75</v>
      </c>
      <c r="L10453" s="43">
        <v>6.2283123344835891</v>
      </c>
      <c r="M10453" s="43">
        <v>11.500455788514131</v>
      </c>
      <c r="N10453" s="43">
        <v>5.7311967012015783</v>
      </c>
      <c r="O10453" s="43">
        <v>3.7769122375677902</v>
      </c>
      <c r="P10453" s="283"/>
      <c r="Q10453" s="283"/>
      <c r="R10453" s="283">
        <v>3</v>
      </c>
    </row>
    <row r="10454" spans="1:18" ht="36">
      <c r="A10454" s="279">
        <v>59</v>
      </c>
      <c r="B10454" s="276" t="s">
        <v>19134</v>
      </c>
      <c r="C10454" s="280" t="s">
        <v>19135</v>
      </c>
      <c r="D10454" s="281">
        <v>4010.59</v>
      </c>
      <c r="E10454" s="281">
        <v>1173.79</v>
      </c>
      <c r="F10454" s="281">
        <v>1378.64</v>
      </c>
      <c r="G10454" s="281">
        <v>1458.16</v>
      </c>
      <c r="H10454" s="282">
        <v>26779.7</v>
      </c>
      <c r="I10454" s="282">
        <v>13499.12</v>
      </c>
      <c r="J10454" s="282">
        <v>7706.6</v>
      </c>
      <c r="K10454" s="282">
        <v>5573.98</v>
      </c>
      <c r="L10454" s="43">
        <v>6.6772469885976875</v>
      </c>
      <c r="M10454" s="43">
        <v>11.500455788514131</v>
      </c>
      <c r="N10454" s="43">
        <v>5.5900017408460512</v>
      </c>
      <c r="O10454" s="43">
        <v>3.8226120590333017</v>
      </c>
      <c r="P10454" s="283"/>
      <c r="Q10454" s="283"/>
      <c r="R10454" s="283">
        <v>3</v>
      </c>
    </row>
    <row r="10455" spans="1:18" ht="24">
      <c r="A10455" s="279">
        <v>60</v>
      </c>
      <c r="B10455" s="276" t="s">
        <v>19136</v>
      </c>
      <c r="C10455" s="280" t="s">
        <v>19137</v>
      </c>
      <c r="D10455" s="281">
        <v>620.11</v>
      </c>
      <c r="E10455" s="281">
        <v>219.46</v>
      </c>
      <c r="F10455" s="281">
        <v>224.04</v>
      </c>
      <c r="G10455" s="281">
        <v>176.61</v>
      </c>
      <c r="H10455" s="282">
        <v>4472.22</v>
      </c>
      <c r="I10455" s="282">
        <v>2523.87</v>
      </c>
      <c r="J10455" s="282">
        <v>1260.9100000000001</v>
      </c>
      <c r="K10455" s="282">
        <v>687.44</v>
      </c>
      <c r="L10455" s="43">
        <v>7.2119785199400113</v>
      </c>
      <c r="M10455" s="43">
        <v>11.500364531121843</v>
      </c>
      <c r="N10455" s="43">
        <v>5.628057489733977</v>
      </c>
      <c r="O10455" s="43">
        <v>3.8924183228582754</v>
      </c>
      <c r="P10455" s="283"/>
      <c r="Q10455" s="283"/>
      <c r="R10455" s="283">
        <v>3</v>
      </c>
    </row>
    <row r="10456" spans="1:18" ht="36">
      <c r="A10456" s="279">
        <v>61</v>
      </c>
      <c r="B10456" s="276" t="s">
        <v>19138</v>
      </c>
      <c r="C10456" s="280" t="s">
        <v>19139</v>
      </c>
      <c r="D10456" s="281">
        <v>3582.35</v>
      </c>
      <c r="E10456" s="281">
        <v>731.7</v>
      </c>
      <c r="F10456" s="281">
        <v>1402.02</v>
      </c>
      <c r="G10456" s="281">
        <v>1448.63</v>
      </c>
      <c r="H10456" s="282">
        <v>21727.88</v>
      </c>
      <c r="I10456" s="282">
        <v>8414.8700000000008</v>
      </c>
      <c r="J10456" s="282">
        <v>7846.76</v>
      </c>
      <c r="K10456" s="282">
        <v>5466.25</v>
      </c>
      <c r="L10456" s="43">
        <v>6.0652588384719532</v>
      </c>
      <c r="M10456" s="43">
        <v>11.50043733770671</v>
      </c>
      <c r="N10456" s="43">
        <v>5.5967532560163198</v>
      </c>
      <c r="O10456" s="43">
        <v>3.7733927918101928</v>
      </c>
      <c r="P10456" s="283"/>
      <c r="Q10456" s="283"/>
      <c r="R10456" s="283">
        <v>3</v>
      </c>
    </row>
    <row r="10457" spans="1:18" ht="36">
      <c r="A10457" s="279">
        <v>62</v>
      </c>
      <c r="B10457" s="276" t="s">
        <v>19140</v>
      </c>
      <c r="C10457" s="280" t="s">
        <v>19141</v>
      </c>
      <c r="D10457" s="281">
        <v>6736.62</v>
      </c>
      <c r="E10457" s="281">
        <v>3068.52</v>
      </c>
      <c r="F10457" s="281">
        <v>1885.25</v>
      </c>
      <c r="G10457" s="281">
        <v>1782.85</v>
      </c>
      <c r="H10457" s="282">
        <v>52096.71</v>
      </c>
      <c r="I10457" s="282">
        <v>35287.980000000003</v>
      </c>
      <c r="J10457" s="282">
        <v>9739.41</v>
      </c>
      <c r="K10457" s="282">
        <v>7069.32</v>
      </c>
      <c r="L10457" s="43">
        <v>7.7333603498490344</v>
      </c>
      <c r="M10457" s="43">
        <v>11.500000000000002</v>
      </c>
      <c r="N10457" s="43">
        <v>5.166110595411749</v>
      </c>
      <c r="O10457" s="43">
        <v>3.9651793476736685</v>
      </c>
      <c r="P10457" s="283"/>
      <c r="Q10457" s="283"/>
      <c r="R10457" s="283">
        <v>3</v>
      </c>
    </row>
    <row r="10458" spans="1:18" ht="24">
      <c r="A10458" s="279">
        <v>63</v>
      </c>
      <c r="B10458" s="276" t="s">
        <v>19142</v>
      </c>
      <c r="C10458" s="280" t="s">
        <v>19143</v>
      </c>
      <c r="D10458" s="281">
        <v>9557.68</v>
      </c>
      <c r="E10458" s="281">
        <v>5428.92</v>
      </c>
      <c r="F10458" s="281">
        <v>2293.94</v>
      </c>
      <c r="G10458" s="281">
        <v>1834.82</v>
      </c>
      <c r="H10458" s="282">
        <v>81726.350000000006</v>
      </c>
      <c r="I10458" s="282">
        <v>62432.58</v>
      </c>
      <c r="J10458" s="282">
        <v>11639.82</v>
      </c>
      <c r="K10458" s="282">
        <v>7653.95</v>
      </c>
      <c r="L10458" s="43">
        <v>8.5508564840003025</v>
      </c>
      <c r="M10458" s="43">
        <v>11.5</v>
      </c>
      <c r="N10458" s="43">
        <v>5.0741606144886084</v>
      </c>
      <c r="O10458" s="43">
        <v>4.1714991116294788</v>
      </c>
      <c r="P10458" s="283"/>
      <c r="Q10458" s="283"/>
      <c r="R10458" s="283">
        <v>3</v>
      </c>
    </row>
    <row r="10459" spans="1:18" ht="12.75" customHeight="1">
      <c r="A10459" s="628" t="s">
        <v>19144</v>
      </c>
      <c r="B10459" s="629"/>
      <c r="C10459" s="629"/>
      <c r="D10459" s="629"/>
      <c r="E10459" s="629"/>
      <c r="F10459" s="629"/>
      <c r="G10459" s="629"/>
      <c r="H10459" s="629"/>
      <c r="I10459" s="629"/>
      <c r="J10459" s="629"/>
      <c r="K10459" s="629"/>
      <c r="L10459" s="629"/>
      <c r="M10459" s="629"/>
      <c r="N10459" s="629"/>
      <c r="O10459" s="629"/>
      <c r="P10459" s="629"/>
      <c r="Q10459" s="629"/>
      <c r="R10459" s="629"/>
    </row>
    <row r="10460" spans="1:18" ht="24">
      <c r="A10460" s="279">
        <v>64</v>
      </c>
      <c r="B10460" s="276" t="s">
        <v>19145</v>
      </c>
      <c r="C10460" s="280" t="s">
        <v>19146</v>
      </c>
      <c r="D10460" s="281">
        <v>10442.57</v>
      </c>
      <c r="E10460" s="281">
        <v>4012.68</v>
      </c>
      <c r="F10460" s="281">
        <v>4012.85</v>
      </c>
      <c r="G10460" s="281">
        <v>2417.04</v>
      </c>
      <c r="H10460" s="282">
        <v>81024.47</v>
      </c>
      <c r="I10460" s="282">
        <v>46145.82</v>
      </c>
      <c r="J10460" s="282">
        <v>21962.02</v>
      </c>
      <c r="K10460" s="282">
        <v>12916.63</v>
      </c>
      <c r="L10460" s="43">
        <v>7.7590545239342426</v>
      </c>
      <c r="M10460" s="43">
        <v>11.5</v>
      </c>
      <c r="N10460" s="43">
        <v>5.4729232341104206</v>
      </c>
      <c r="O10460" s="43">
        <v>5.3439868599609435</v>
      </c>
      <c r="P10460" s="283"/>
      <c r="Q10460" s="283"/>
      <c r="R10460" s="283">
        <v>4</v>
      </c>
    </row>
    <row r="10461" spans="1:18" ht="24">
      <c r="A10461" s="279">
        <v>65</v>
      </c>
      <c r="B10461" s="276" t="s">
        <v>19147</v>
      </c>
      <c r="C10461" s="280" t="s">
        <v>19148</v>
      </c>
      <c r="D10461" s="281">
        <v>8357.84</v>
      </c>
      <c r="E10461" s="281">
        <v>2874.14</v>
      </c>
      <c r="F10461" s="281">
        <v>5370.81</v>
      </c>
      <c r="G10461" s="281">
        <v>112.89</v>
      </c>
      <c r="H10461" s="282">
        <v>62126.080000000002</v>
      </c>
      <c r="I10461" s="282">
        <v>33053.919999999998</v>
      </c>
      <c r="J10461" s="282">
        <v>28115.62</v>
      </c>
      <c r="K10461" s="282">
        <v>956.54</v>
      </c>
      <c r="L10461" s="43">
        <v>7.4332698400543684</v>
      </c>
      <c r="M10461" s="43">
        <v>11.500455788514129</v>
      </c>
      <c r="N10461" s="43">
        <v>5.2348938055898451</v>
      </c>
      <c r="O10461" s="43">
        <v>8.4732040038975995</v>
      </c>
      <c r="P10461" s="283"/>
      <c r="Q10461" s="283"/>
      <c r="R10461" s="283">
        <v>4</v>
      </c>
    </row>
    <row r="10462" spans="1:18" ht="12.75" customHeight="1">
      <c r="A10462" s="628" t="s">
        <v>19149</v>
      </c>
      <c r="B10462" s="629"/>
      <c r="C10462" s="629"/>
      <c r="D10462" s="629"/>
      <c r="E10462" s="629"/>
      <c r="F10462" s="629"/>
      <c r="G10462" s="629"/>
      <c r="H10462" s="629"/>
      <c r="I10462" s="629"/>
      <c r="J10462" s="629"/>
      <c r="K10462" s="629"/>
      <c r="L10462" s="629"/>
      <c r="M10462" s="629"/>
      <c r="N10462" s="629"/>
      <c r="O10462" s="629"/>
      <c r="P10462" s="629"/>
      <c r="Q10462" s="629"/>
      <c r="R10462" s="629"/>
    </row>
    <row r="10463" spans="1:18" ht="12.75" customHeight="1">
      <c r="A10463" s="628" t="s">
        <v>19150</v>
      </c>
      <c r="B10463" s="629"/>
      <c r="C10463" s="629"/>
      <c r="D10463" s="629"/>
      <c r="E10463" s="629"/>
      <c r="F10463" s="629"/>
      <c r="G10463" s="629"/>
      <c r="H10463" s="629"/>
      <c r="I10463" s="629"/>
      <c r="J10463" s="629"/>
      <c r="K10463" s="629"/>
      <c r="L10463" s="629"/>
      <c r="M10463" s="629"/>
      <c r="N10463" s="629"/>
      <c r="O10463" s="629"/>
      <c r="P10463" s="629"/>
      <c r="Q10463" s="629"/>
      <c r="R10463" s="629"/>
    </row>
    <row r="10464" spans="1:18" ht="24">
      <c r="A10464" s="279">
        <v>66</v>
      </c>
      <c r="B10464" s="276" t="s">
        <v>19151</v>
      </c>
      <c r="C10464" s="280" t="s">
        <v>19152</v>
      </c>
      <c r="D10464" s="281">
        <v>647.20000000000005</v>
      </c>
      <c r="E10464" s="281">
        <v>145.41</v>
      </c>
      <c r="F10464" s="281">
        <v>202.69</v>
      </c>
      <c r="G10464" s="281">
        <v>299.10000000000002</v>
      </c>
      <c r="H10464" s="282">
        <v>4125.3999999999996</v>
      </c>
      <c r="I10464" s="282">
        <v>1672.22</v>
      </c>
      <c r="J10464" s="282">
        <v>1121.99</v>
      </c>
      <c r="K10464" s="282">
        <v>1331.19</v>
      </c>
      <c r="L10464" s="43">
        <v>6.3742274412855364</v>
      </c>
      <c r="M10464" s="43">
        <v>11.500034385530569</v>
      </c>
      <c r="N10464" s="43">
        <v>5.5354975578469583</v>
      </c>
      <c r="O10464" s="43">
        <v>4.4506519558676025</v>
      </c>
      <c r="P10464" s="283"/>
      <c r="Q10464" s="283"/>
      <c r="R10464" s="283">
        <v>1</v>
      </c>
    </row>
    <row r="10465" spans="1:18" ht="24">
      <c r="A10465" s="279">
        <v>67</v>
      </c>
      <c r="B10465" s="276" t="s">
        <v>19153</v>
      </c>
      <c r="C10465" s="280" t="s">
        <v>19154</v>
      </c>
      <c r="D10465" s="281">
        <v>1475.64</v>
      </c>
      <c r="E10465" s="281">
        <v>340.38</v>
      </c>
      <c r="F10465" s="281">
        <v>559.74</v>
      </c>
      <c r="G10465" s="281">
        <v>575.52</v>
      </c>
      <c r="H10465" s="282">
        <v>9375.3799999999992</v>
      </c>
      <c r="I10465" s="282">
        <v>3914.32</v>
      </c>
      <c r="J10465" s="282">
        <v>3054.55</v>
      </c>
      <c r="K10465" s="282">
        <v>2406.5100000000002</v>
      </c>
      <c r="L10465" s="43">
        <v>6.3534330866607025</v>
      </c>
      <c r="M10465" s="43">
        <v>11.499853105352841</v>
      </c>
      <c r="N10465" s="43">
        <v>5.4570872190659951</v>
      </c>
      <c r="O10465" s="43">
        <v>4.1814532944120106</v>
      </c>
      <c r="P10465" s="283"/>
      <c r="Q10465" s="283"/>
      <c r="R10465" s="283">
        <v>1</v>
      </c>
    </row>
    <row r="10466" spans="1:18" ht="12.75" customHeight="1">
      <c r="A10466" s="628" t="s">
        <v>19155</v>
      </c>
      <c r="B10466" s="629"/>
      <c r="C10466" s="629"/>
      <c r="D10466" s="629"/>
      <c r="E10466" s="629"/>
      <c r="F10466" s="629"/>
      <c r="G10466" s="629"/>
      <c r="H10466" s="629"/>
      <c r="I10466" s="629"/>
      <c r="J10466" s="629"/>
      <c r="K10466" s="629"/>
      <c r="L10466" s="629"/>
      <c r="M10466" s="629"/>
      <c r="N10466" s="629"/>
      <c r="O10466" s="629"/>
      <c r="P10466" s="629"/>
      <c r="Q10466" s="629"/>
      <c r="R10466" s="629"/>
    </row>
    <row r="10467" spans="1:18" ht="12.75" customHeight="1">
      <c r="A10467" s="628" t="s">
        <v>19156</v>
      </c>
      <c r="B10467" s="629"/>
      <c r="C10467" s="629"/>
      <c r="D10467" s="629"/>
      <c r="E10467" s="629"/>
      <c r="F10467" s="629"/>
      <c r="G10467" s="629"/>
      <c r="H10467" s="629"/>
      <c r="I10467" s="629"/>
      <c r="J10467" s="629"/>
      <c r="K10467" s="629"/>
      <c r="L10467" s="629"/>
      <c r="M10467" s="629"/>
      <c r="N10467" s="629"/>
      <c r="O10467" s="629"/>
      <c r="P10467" s="629"/>
      <c r="Q10467" s="629"/>
      <c r="R10467" s="629"/>
    </row>
    <row r="10468" spans="1:18" ht="24">
      <c r="A10468" s="279">
        <v>68</v>
      </c>
      <c r="B10468" s="276" t="s">
        <v>19157</v>
      </c>
      <c r="C10468" s="280" t="s">
        <v>19158</v>
      </c>
      <c r="D10468" s="281">
        <v>1596.07</v>
      </c>
      <c r="E10468" s="281">
        <v>1094.8399999999999</v>
      </c>
      <c r="F10468" s="281">
        <v>471.01</v>
      </c>
      <c r="G10468" s="281">
        <v>30.22</v>
      </c>
      <c r="H10468" s="282">
        <v>15423.67</v>
      </c>
      <c r="I10468" s="282">
        <v>12590.66</v>
      </c>
      <c r="J10468" s="282">
        <v>2538.04</v>
      </c>
      <c r="K10468" s="282">
        <v>294.97000000000003</v>
      </c>
      <c r="L10468" s="43">
        <v>9.6635297950591141</v>
      </c>
      <c r="M10468" s="43">
        <v>11.5</v>
      </c>
      <c r="N10468" s="43">
        <v>5.3885055518991107</v>
      </c>
      <c r="O10468" s="43">
        <v>9.7607544672402398</v>
      </c>
      <c r="P10468" s="283"/>
      <c r="Q10468" s="283"/>
      <c r="R10468" s="283">
        <v>1</v>
      </c>
    </row>
    <row r="10469" spans="1:18" ht="24">
      <c r="A10469" s="279">
        <v>69</v>
      </c>
      <c r="B10469" s="276" t="s">
        <v>19159</v>
      </c>
      <c r="C10469" s="280" t="s">
        <v>19160</v>
      </c>
      <c r="D10469" s="281">
        <v>49312.46</v>
      </c>
      <c r="E10469" s="281">
        <v>9956.7000000000007</v>
      </c>
      <c r="F10469" s="281">
        <v>36146.879999999997</v>
      </c>
      <c r="G10469" s="281">
        <v>3208.88</v>
      </c>
      <c r="H10469" s="282">
        <v>323525.81</v>
      </c>
      <c r="I10469" s="282">
        <v>114502.05</v>
      </c>
      <c r="J10469" s="282">
        <v>194747.08</v>
      </c>
      <c r="K10469" s="282">
        <v>14276.68</v>
      </c>
      <c r="L10469" s="43">
        <v>6.5607315068037568</v>
      </c>
      <c r="M10469" s="43">
        <v>11.5</v>
      </c>
      <c r="N10469" s="43">
        <v>5.3876594605122214</v>
      </c>
      <c r="O10469" s="43">
        <v>4.4491162025379571</v>
      </c>
      <c r="P10469" s="283"/>
      <c r="Q10469" s="283"/>
      <c r="R10469" s="283">
        <v>1</v>
      </c>
    </row>
    <row r="10470" spans="1:18" ht="24">
      <c r="A10470" s="279">
        <v>70</v>
      </c>
      <c r="B10470" s="276" t="s">
        <v>19161</v>
      </c>
      <c r="C10470" s="280" t="s">
        <v>19162</v>
      </c>
      <c r="D10470" s="281">
        <v>58585.279999999999</v>
      </c>
      <c r="E10470" s="281">
        <v>11433</v>
      </c>
      <c r="F10470" s="281">
        <v>43831.09</v>
      </c>
      <c r="G10470" s="281">
        <v>3321.19</v>
      </c>
      <c r="H10470" s="282">
        <v>382792.8</v>
      </c>
      <c r="I10470" s="282">
        <v>131479.5</v>
      </c>
      <c r="J10470" s="282">
        <v>236373.02</v>
      </c>
      <c r="K10470" s="282">
        <v>14940.28</v>
      </c>
      <c r="L10470" s="43">
        <v>6.5339416317545975</v>
      </c>
      <c r="M10470" s="43">
        <v>11.5</v>
      </c>
      <c r="N10470" s="43">
        <v>5.3928163775986411</v>
      </c>
      <c r="O10470" s="43">
        <v>4.4984719332528398</v>
      </c>
      <c r="P10470" s="283"/>
      <c r="Q10470" s="283"/>
      <c r="R10470" s="283">
        <v>1</v>
      </c>
    </row>
    <row r="10471" spans="1:18" ht="24">
      <c r="A10471" s="279">
        <v>71</v>
      </c>
      <c r="B10471" s="276" t="s">
        <v>19163</v>
      </c>
      <c r="C10471" s="280" t="s">
        <v>19164</v>
      </c>
      <c r="D10471" s="281">
        <v>85371.37</v>
      </c>
      <c r="E10471" s="281">
        <v>15489.64</v>
      </c>
      <c r="F10471" s="281">
        <v>68812.800000000003</v>
      </c>
      <c r="G10471" s="281">
        <v>1068.93</v>
      </c>
      <c r="H10471" s="282">
        <v>533367.64</v>
      </c>
      <c r="I10471" s="282">
        <v>178137.92</v>
      </c>
      <c r="J10471" s="282">
        <v>347403.41</v>
      </c>
      <c r="K10471" s="282">
        <v>7826.31</v>
      </c>
      <c r="L10471" s="43">
        <v>6.2476172046905187</v>
      </c>
      <c r="M10471" s="43">
        <v>11.500455788514131</v>
      </c>
      <c r="N10471" s="43">
        <v>5.0485289074125737</v>
      </c>
      <c r="O10471" s="43">
        <v>7.321630041256209</v>
      </c>
      <c r="P10471" s="283"/>
      <c r="Q10471" s="283"/>
      <c r="R10471" s="283">
        <v>1</v>
      </c>
    </row>
    <row r="10472" spans="1:18" ht="24">
      <c r="A10472" s="279">
        <v>72</v>
      </c>
      <c r="B10472" s="276" t="s">
        <v>19165</v>
      </c>
      <c r="C10472" s="280" t="s">
        <v>19166</v>
      </c>
      <c r="D10472" s="281">
        <v>149686.57999999999</v>
      </c>
      <c r="E10472" s="281">
        <v>42431.96</v>
      </c>
      <c r="F10472" s="281">
        <v>97293.61</v>
      </c>
      <c r="G10472" s="281">
        <v>9961.01</v>
      </c>
      <c r="H10472" s="282">
        <v>1058692.47</v>
      </c>
      <c r="I10472" s="282">
        <v>487986.88</v>
      </c>
      <c r="J10472" s="282">
        <v>523121.33</v>
      </c>
      <c r="K10472" s="282">
        <v>47584.26</v>
      </c>
      <c r="L10472" s="43">
        <v>7.0727280294599559</v>
      </c>
      <c r="M10472" s="43">
        <v>11.500455788514129</v>
      </c>
      <c r="N10472" s="43">
        <v>5.3767285436320025</v>
      </c>
      <c r="O10472" s="43">
        <v>4.7770517246745063</v>
      </c>
      <c r="P10472" s="283"/>
      <c r="Q10472" s="283"/>
      <c r="R10472" s="283">
        <v>1</v>
      </c>
    </row>
    <row r="10473" spans="1:18" ht="24">
      <c r="A10473" s="279">
        <v>73</v>
      </c>
      <c r="B10473" s="276" t="s">
        <v>19167</v>
      </c>
      <c r="C10473" s="280" t="s">
        <v>19168</v>
      </c>
      <c r="D10473" s="281">
        <v>4687.01</v>
      </c>
      <c r="E10473" s="281">
        <v>1601.62</v>
      </c>
      <c r="F10473" s="281">
        <v>2809.58</v>
      </c>
      <c r="G10473" s="281">
        <v>275.81</v>
      </c>
      <c r="H10473" s="282">
        <v>35420.230000000003</v>
      </c>
      <c r="I10473" s="282">
        <v>18419.36</v>
      </c>
      <c r="J10473" s="282">
        <v>15731.86</v>
      </c>
      <c r="K10473" s="282">
        <v>1269.01</v>
      </c>
      <c r="L10473" s="43">
        <v>7.5571057027827981</v>
      </c>
      <c r="M10473" s="43">
        <v>11.500455788514131</v>
      </c>
      <c r="N10473" s="43">
        <v>5.5993636059482208</v>
      </c>
      <c r="O10473" s="43">
        <v>4.6010296943548097</v>
      </c>
      <c r="P10473" s="283"/>
      <c r="Q10473" s="283"/>
      <c r="R10473" s="283">
        <v>1</v>
      </c>
    </row>
    <row r="10474" spans="1:18" ht="24">
      <c r="A10474" s="279">
        <v>74</v>
      </c>
      <c r="B10474" s="276" t="s">
        <v>19169</v>
      </c>
      <c r="C10474" s="280" t="s">
        <v>19170</v>
      </c>
      <c r="D10474" s="281">
        <v>5332.65</v>
      </c>
      <c r="E10474" s="281">
        <v>4344.12</v>
      </c>
      <c r="F10474" s="281">
        <v>901.65</v>
      </c>
      <c r="G10474" s="281">
        <v>86.88</v>
      </c>
      <c r="H10474" s="282">
        <v>55587.75</v>
      </c>
      <c r="I10474" s="282">
        <v>49959.360000000001</v>
      </c>
      <c r="J10474" s="282">
        <v>4629.2700000000004</v>
      </c>
      <c r="K10474" s="282">
        <v>999.12</v>
      </c>
      <c r="L10474" s="43">
        <v>10.424038704959074</v>
      </c>
      <c r="M10474" s="43">
        <v>11.500455788514129</v>
      </c>
      <c r="N10474" s="43">
        <v>5.1342205955747806</v>
      </c>
      <c r="O10474" s="43">
        <v>11.5</v>
      </c>
      <c r="P10474" s="283"/>
      <c r="Q10474" s="283"/>
      <c r="R10474" s="283">
        <v>1</v>
      </c>
    </row>
    <row r="10475" spans="1:18" ht="12.75" customHeight="1">
      <c r="A10475" s="628" t="s">
        <v>19171</v>
      </c>
      <c r="B10475" s="629"/>
      <c r="C10475" s="629"/>
      <c r="D10475" s="629"/>
      <c r="E10475" s="629"/>
      <c r="F10475" s="629"/>
      <c r="G10475" s="629"/>
      <c r="H10475" s="629"/>
      <c r="I10475" s="629"/>
      <c r="J10475" s="629"/>
      <c r="K10475" s="629"/>
      <c r="L10475" s="629"/>
      <c r="M10475" s="629"/>
      <c r="N10475" s="629"/>
      <c r="O10475" s="629"/>
      <c r="P10475" s="629"/>
      <c r="Q10475" s="629"/>
      <c r="R10475" s="629"/>
    </row>
    <row r="10476" spans="1:18" ht="36">
      <c r="A10476" s="279">
        <v>75</v>
      </c>
      <c r="B10476" s="276" t="s">
        <v>19172</v>
      </c>
      <c r="C10476" s="280" t="s">
        <v>19173</v>
      </c>
      <c r="D10476" s="281">
        <v>1639.48</v>
      </c>
      <c r="E10476" s="281">
        <v>1086.8</v>
      </c>
      <c r="F10476" s="281">
        <v>522.62</v>
      </c>
      <c r="G10476" s="281">
        <v>30.06</v>
      </c>
      <c r="H10476" s="282">
        <v>15512.27</v>
      </c>
      <c r="I10476" s="282">
        <v>12498.72</v>
      </c>
      <c r="J10476" s="282">
        <v>2720.42</v>
      </c>
      <c r="K10476" s="282">
        <v>293.13</v>
      </c>
      <c r="L10476" s="43">
        <v>9.4617012711347499</v>
      </c>
      <c r="M10476" s="43">
        <v>11.500478468899521</v>
      </c>
      <c r="N10476" s="43">
        <v>5.2053499674715855</v>
      </c>
      <c r="O10476" s="43">
        <v>9.7514970059880248</v>
      </c>
      <c r="P10476" s="283"/>
      <c r="Q10476" s="283"/>
      <c r="R10476" s="283">
        <v>2</v>
      </c>
    </row>
    <row r="10477" spans="1:18" ht="24">
      <c r="A10477" s="279">
        <v>76</v>
      </c>
      <c r="B10477" s="276" t="s">
        <v>19174</v>
      </c>
      <c r="C10477" s="280" t="s">
        <v>19175</v>
      </c>
      <c r="D10477" s="281">
        <v>1710.88</v>
      </c>
      <c r="E10477" s="281">
        <v>1192.4000000000001</v>
      </c>
      <c r="F10477" s="281">
        <v>486.31</v>
      </c>
      <c r="G10477" s="281">
        <v>32.17</v>
      </c>
      <c r="H10477" s="282">
        <v>16565.509999999998</v>
      </c>
      <c r="I10477" s="282">
        <v>13712.6</v>
      </c>
      <c r="J10477" s="282">
        <v>2535.5100000000002</v>
      </c>
      <c r="K10477" s="282">
        <v>317.39999999999998</v>
      </c>
      <c r="L10477" s="43">
        <v>9.6824499672683046</v>
      </c>
      <c r="M10477" s="43">
        <v>11.5</v>
      </c>
      <c r="N10477" s="43">
        <v>5.2137731076885121</v>
      </c>
      <c r="O10477" s="43">
        <v>9.8663350948088269</v>
      </c>
      <c r="P10477" s="283"/>
      <c r="Q10477" s="283"/>
      <c r="R10477" s="283">
        <v>2</v>
      </c>
    </row>
    <row r="10478" spans="1:18" ht="36">
      <c r="A10478" s="279">
        <v>77</v>
      </c>
      <c r="B10478" s="276" t="s">
        <v>19176</v>
      </c>
      <c r="C10478" s="280" t="s">
        <v>19177</v>
      </c>
      <c r="D10478" s="281">
        <v>1275.19</v>
      </c>
      <c r="E10478" s="281">
        <v>980.72</v>
      </c>
      <c r="F10478" s="281">
        <v>266.54000000000002</v>
      </c>
      <c r="G10478" s="281">
        <v>27.93</v>
      </c>
      <c r="H10478" s="282">
        <v>12970.03</v>
      </c>
      <c r="I10478" s="282">
        <v>11278.7</v>
      </c>
      <c r="J10478" s="282">
        <v>1422.69</v>
      </c>
      <c r="K10478" s="282">
        <v>268.64</v>
      </c>
      <c r="L10478" s="43">
        <v>10.171056862114666</v>
      </c>
      <c r="M10478" s="43">
        <v>11.500428256790929</v>
      </c>
      <c r="N10478" s="43">
        <v>5.3376228708636599</v>
      </c>
      <c r="O10478" s="43">
        <v>9.6183315431435723</v>
      </c>
      <c r="P10478" s="283"/>
      <c r="Q10478" s="283"/>
      <c r="R10478" s="283">
        <v>2</v>
      </c>
    </row>
    <row r="10479" spans="1:18" ht="24">
      <c r="A10479" s="279">
        <v>78</v>
      </c>
      <c r="B10479" s="276" t="s">
        <v>19178</v>
      </c>
      <c r="C10479" s="280" t="s">
        <v>19179</v>
      </c>
      <c r="D10479" s="281">
        <v>1740.31</v>
      </c>
      <c r="E10479" s="281">
        <v>1322.48</v>
      </c>
      <c r="F10479" s="281">
        <v>383.06</v>
      </c>
      <c r="G10479" s="281">
        <v>34.770000000000003</v>
      </c>
      <c r="H10479" s="282">
        <v>17563.63</v>
      </c>
      <c r="I10479" s="282">
        <v>15208.52</v>
      </c>
      <c r="J10479" s="282">
        <v>2007.81</v>
      </c>
      <c r="K10479" s="282">
        <v>347.3</v>
      </c>
      <c r="L10479" s="43">
        <v>10.092242186736847</v>
      </c>
      <c r="M10479" s="43">
        <v>11.5</v>
      </c>
      <c r="N10479" s="43">
        <v>5.2415026366626636</v>
      </c>
      <c r="O10479" s="43">
        <v>9.9884958297382802</v>
      </c>
      <c r="P10479" s="283"/>
      <c r="Q10479" s="283"/>
      <c r="R10479" s="283">
        <v>2</v>
      </c>
    </row>
    <row r="10480" spans="1:18" ht="24">
      <c r="A10480" s="279">
        <v>79</v>
      </c>
      <c r="B10480" s="276" t="s">
        <v>19180</v>
      </c>
      <c r="C10480" s="280" t="s">
        <v>19181</v>
      </c>
      <c r="D10480" s="281">
        <v>648.20000000000005</v>
      </c>
      <c r="E10480" s="281">
        <v>490.36</v>
      </c>
      <c r="F10480" s="281">
        <v>139.71</v>
      </c>
      <c r="G10480" s="281">
        <v>18.13</v>
      </c>
      <c r="H10480" s="282">
        <v>6575.42</v>
      </c>
      <c r="I10480" s="282">
        <v>5639.35</v>
      </c>
      <c r="J10480" s="282">
        <v>780.13</v>
      </c>
      <c r="K10480" s="282">
        <v>155.94</v>
      </c>
      <c r="L10480" s="43">
        <v>10.144122184510953</v>
      </c>
      <c r="M10480" s="43">
        <v>11.500428256790929</v>
      </c>
      <c r="N10480" s="43">
        <v>5.5839238422446495</v>
      </c>
      <c r="O10480" s="43">
        <v>8.601213458356316</v>
      </c>
      <c r="P10480" s="283"/>
      <c r="Q10480" s="283"/>
      <c r="R10480" s="283">
        <v>2</v>
      </c>
    </row>
    <row r="10481" spans="1:18" ht="36">
      <c r="A10481" s="279">
        <v>80</v>
      </c>
      <c r="B10481" s="276" t="s">
        <v>19182</v>
      </c>
      <c r="C10481" s="280" t="s">
        <v>19183</v>
      </c>
      <c r="D10481" s="281">
        <v>1843.69</v>
      </c>
      <c r="E10481" s="281">
        <v>1311.64</v>
      </c>
      <c r="F10481" s="281">
        <v>497.5</v>
      </c>
      <c r="G10481" s="281">
        <v>34.549999999999997</v>
      </c>
      <c r="H10481" s="282">
        <v>17968.599999999999</v>
      </c>
      <c r="I10481" s="282">
        <v>15083.86</v>
      </c>
      <c r="J10481" s="282">
        <v>2539.9699999999998</v>
      </c>
      <c r="K10481" s="282">
        <v>344.77</v>
      </c>
      <c r="L10481" s="43">
        <v>9.7459985138499405</v>
      </c>
      <c r="M10481" s="43">
        <v>11.5</v>
      </c>
      <c r="N10481" s="43">
        <v>5.1054673366834171</v>
      </c>
      <c r="O10481" s="43">
        <v>9.9788712011577427</v>
      </c>
      <c r="P10481" s="283"/>
      <c r="Q10481" s="283"/>
      <c r="R10481" s="283">
        <v>2</v>
      </c>
    </row>
    <row r="10482" spans="1:18" ht="12.75" customHeight="1">
      <c r="A10482" s="628" t="s">
        <v>19144</v>
      </c>
      <c r="B10482" s="629"/>
      <c r="C10482" s="629"/>
      <c r="D10482" s="629"/>
      <c r="E10482" s="629"/>
      <c r="F10482" s="629"/>
      <c r="G10482" s="629"/>
      <c r="H10482" s="629"/>
      <c r="I10482" s="629"/>
      <c r="J10482" s="629"/>
      <c r="K10482" s="629"/>
      <c r="L10482" s="629"/>
      <c r="M10482" s="629"/>
      <c r="N10482" s="629"/>
      <c r="O10482" s="629"/>
      <c r="P10482" s="629"/>
      <c r="Q10482" s="629"/>
      <c r="R10482" s="629"/>
    </row>
    <row r="10483" spans="1:18" ht="24">
      <c r="A10483" s="279">
        <v>81</v>
      </c>
      <c r="B10483" s="276" t="s">
        <v>19184</v>
      </c>
      <c r="C10483" s="280" t="s">
        <v>19185</v>
      </c>
      <c r="D10483" s="281">
        <v>1103.25</v>
      </c>
      <c r="E10483" s="281">
        <v>646.67999999999995</v>
      </c>
      <c r="F10483" s="281">
        <v>227.38</v>
      </c>
      <c r="G10483" s="281">
        <v>229.19</v>
      </c>
      <c r="H10483" s="282">
        <v>9567.0300000000007</v>
      </c>
      <c r="I10483" s="282">
        <v>7436.77</v>
      </c>
      <c r="J10483" s="282">
        <v>1176.73</v>
      </c>
      <c r="K10483" s="282">
        <v>953.53</v>
      </c>
      <c r="L10483" s="43">
        <v>8.6716791298436444</v>
      </c>
      <c r="M10483" s="43">
        <v>11.499922682006558</v>
      </c>
      <c r="N10483" s="43">
        <v>5.1751693200809221</v>
      </c>
      <c r="O10483" s="43">
        <v>4.1604345739342898</v>
      </c>
      <c r="P10483" s="283"/>
      <c r="Q10483" s="283"/>
      <c r="R10483" s="283">
        <v>3</v>
      </c>
    </row>
    <row r="10484" spans="1:18" ht="12.75" customHeight="1">
      <c r="A10484" s="628" t="s">
        <v>19186</v>
      </c>
      <c r="B10484" s="629"/>
      <c r="C10484" s="629"/>
      <c r="D10484" s="629"/>
      <c r="E10484" s="629"/>
      <c r="F10484" s="629"/>
      <c r="G10484" s="629"/>
      <c r="H10484" s="629"/>
      <c r="I10484" s="629"/>
      <c r="J10484" s="629"/>
      <c r="K10484" s="629"/>
      <c r="L10484" s="629"/>
      <c r="M10484" s="629"/>
      <c r="N10484" s="629"/>
      <c r="O10484" s="629"/>
      <c r="P10484" s="629"/>
      <c r="Q10484" s="629"/>
      <c r="R10484" s="629"/>
    </row>
    <row r="10485" spans="1:18" ht="12.75" customHeight="1">
      <c r="A10485" s="628" t="s">
        <v>19187</v>
      </c>
      <c r="B10485" s="629"/>
      <c r="C10485" s="629"/>
      <c r="D10485" s="629"/>
      <c r="E10485" s="629"/>
      <c r="F10485" s="629"/>
      <c r="G10485" s="629"/>
      <c r="H10485" s="629"/>
      <c r="I10485" s="629"/>
      <c r="J10485" s="629"/>
      <c r="K10485" s="629"/>
      <c r="L10485" s="629"/>
      <c r="M10485" s="629"/>
      <c r="N10485" s="629"/>
      <c r="O10485" s="629"/>
      <c r="P10485" s="629"/>
      <c r="Q10485" s="629"/>
      <c r="R10485" s="629"/>
    </row>
    <row r="10486" spans="1:18" ht="24">
      <c r="A10486" s="279">
        <v>82</v>
      </c>
      <c r="B10486" s="276" t="s">
        <v>19188</v>
      </c>
      <c r="C10486" s="280" t="s">
        <v>19189</v>
      </c>
      <c r="D10486" s="281">
        <v>3063.01</v>
      </c>
      <c r="E10486" s="281">
        <v>698.28</v>
      </c>
      <c r="F10486" s="281">
        <v>916.08</v>
      </c>
      <c r="G10486" s="281">
        <v>1448.65</v>
      </c>
      <c r="H10486" s="282">
        <v>18517.32</v>
      </c>
      <c r="I10486" s="282">
        <v>8030.22</v>
      </c>
      <c r="J10486" s="282">
        <v>5022.4799999999996</v>
      </c>
      <c r="K10486" s="282">
        <v>5464.62</v>
      </c>
      <c r="L10486" s="43">
        <v>6.0454650817333269</v>
      </c>
      <c r="M10486" s="43">
        <v>11.5</v>
      </c>
      <c r="N10486" s="43">
        <v>5.482577940791197</v>
      </c>
      <c r="O10486" s="43">
        <v>3.7722155109929933</v>
      </c>
      <c r="P10486" s="283"/>
      <c r="Q10486" s="283"/>
      <c r="R10486" s="283">
        <v>1</v>
      </c>
    </row>
    <row r="10487" spans="1:18" ht="24">
      <c r="A10487" s="279">
        <v>83</v>
      </c>
      <c r="B10487" s="276" t="s">
        <v>19190</v>
      </c>
      <c r="C10487" s="280" t="s">
        <v>19191</v>
      </c>
      <c r="D10487" s="281">
        <v>1867.82</v>
      </c>
      <c r="E10487" s="281">
        <v>622</v>
      </c>
      <c r="F10487" s="281">
        <v>515.02</v>
      </c>
      <c r="G10487" s="281">
        <v>730.8</v>
      </c>
      <c r="H10487" s="282">
        <v>12754.79</v>
      </c>
      <c r="I10487" s="282">
        <v>7153.27</v>
      </c>
      <c r="J10487" s="282">
        <v>2797.54</v>
      </c>
      <c r="K10487" s="282">
        <v>2803.98</v>
      </c>
      <c r="L10487" s="43">
        <v>6.8287040507115258</v>
      </c>
      <c r="M10487" s="43">
        <v>11.500434083601286</v>
      </c>
      <c r="N10487" s="43">
        <v>5.4319055570657451</v>
      </c>
      <c r="O10487" s="43">
        <v>3.8368637110016421</v>
      </c>
      <c r="P10487" s="283"/>
      <c r="Q10487" s="283"/>
      <c r="R10487" s="283">
        <v>1</v>
      </c>
    </row>
    <row r="10488" spans="1:18" ht="24">
      <c r="A10488" s="279">
        <v>84</v>
      </c>
      <c r="B10488" s="276" t="s">
        <v>19192</v>
      </c>
      <c r="C10488" s="280" t="s">
        <v>19193</v>
      </c>
      <c r="D10488" s="281">
        <v>4404.58</v>
      </c>
      <c r="E10488" s="281">
        <v>1028.1600000000001</v>
      </c>
      <c r="F10488" s="281">
        <v>1629.62</v>
      </c>
      <c r="G10488" s="281">
        <v>1746.8</v>
      </c>
      <c r="H10488" s="282">
        <v>27310.62</v>
      </c>
      <c r="I10488" s="282">
        <v>11824.32</v>
      </c>
      <c r="J10488" s="282">
        <v>8844.58</v>
      </c>
      <c r="K10488" s="282">
        <v>6641.72</v>
      </c>
      <c r="L10488" s="43">
        <v>6.2005049289603091</v>
      </c>
      <c r="M10488" s="43">
        <v>11.500466853408028</v>
      </c>
      <c r="N10488" s="43">
        <v>5.4273879800198825</v>
      </c>
      <c r="O10488" s="43">
        <v>3.8022212044882071</v>
      </c>
      <c r="P10488" s="283"/>
      <c r="Q10488" s="283"/>
      <c r="R10488" s="283">
        <v>1</v>
      </c>
    </row>
    <row r="10489" spans="1:18" ht="24">
      <c r="A10489" s="279">
        <v>85</v>
      </c>
      <c r="B10489" s="276" t="s">
        <v>19194</v>
      </c>
      <c r="C10489" s="280" t="s">
        <v>19195</v>
      </c>
      <c r="D10489" s="281">
        <v>4812.96</v>
      </c>
      <c r="E10489" s="281">
        <v>1398.36</v>
      </c>
      <c r="F10489" s="281">
        <v>1019.17</v>
      </c>
      <c r="G10489" s="281">
        <v>2395.4299999999998</v>
      </c>
      <c r="H10489" s="282">
        <v>31011.18</v>
      </c>
      <c r="I10489" s="282">
        <v>16081.14</v>
      </c>
      <c r="J10489" s="282">
        <v>5854.76</v>
      </c>
      <c r="K10489" s="282">
        <v>9075.2800000000007</v>
      </c>
      <c r="L10489" s="43">
        <v>6.4432656826568264</v>
      </c>
      <c r="M10489" s="43">
        <v>11.5</v>
      </c>
      <c r="N10489" s="43">
        <v>5.7446353405221897</v>
      </c>
      <c r="O10489" s="43">
        <v>3.7885807558559428</v>
      </c>
      <c r="P10489" s="283"/>
      <c r="Q10489" s="283"/>
      <c r="R10489" s="283">
        <v>1</v>
      </c>
    </row>
    <row r="10490" spans="1:18" ht="24">
      <c r="A10490" s="279">
        <v>86</v>
      </c>
      <c r="B10490" s="276" t="s">
        <v>19196</v>
      </c>
      <c r="C10490" s="280" t="s">
        <v>19197</v>
      </c>
      <c r="D10490" s="281">
        <v>1881.49</v>
      </c>
      <c r="E10490" s="281">
        <v>565.49</v>
      </c>
      <c r="F10490" s="281">
        <v>1273.8</v>
      </c>
      <c r="G10490" s="281">
        <v>42.2</v>
      </c>
      <c r="H10490" s="282">
        <v>13695.03</v>
      </c>
      <c r="I10490" s="282">
        <v>6503.38</v>
      </c>
      <c r="J10490" s="282">
        <v>6913.34</v>
      </c>
      <c r="K10490" s="282">
        <v>278.31</v>
      </c>
      <c r="L10490" s="43">
        <v>7.2788215722645351</v>
      </c>
      <c r="M10490" s="43">
        <v>11.500433252577411</v>
      </c>
      <c r="N10490" s="43">
        <v>5.4273355314806091</v>
      </c>
      <c r="O10490" s="43">
        <v>6.595023696682464</v>
      </c>
      <c r="P10490" s="283"/>
      <c r="Q10490" s="283"/>
      <c r="R10490" s="283">
        <v>1</v>
      </c>
    </row>
    <row r="10491" spans="1:18" ht="24">
      <c r="A10491" s="279">
        <v>87</v>
      </c>
      <c r="B10491" s="276" t="s">
        <v>19198</v>
      </c>
      <c r="C10491" s="280" t="s">
        <v>19199</v>
      </c>
      <c r="D10491" s="281">
        <v>1226.22</v>
      </c>
      <c r="E10491" s="281">
        <v>398.21</v>
      </c>
      <c r="F10491" s="281">
        <v>389.17</v>
      </c>
      <c r="G10491" s="281">
        <v>438.84</v>
      </c>
      <c r="H10491" s="282">
        <v>8381.2199999999993</v>
      </c>
      <c r="I10491" s="282">
        <v>4579.6099999999997</v>
      </c>
      <c r="J10491" s="282">
        <v>2114.71</v>
      </c>
      <c r="K10491" s="282">
        <v>1686.9</v>
      </c>
      <c r="L10491" s="43">
        <v>6.8350051377403718</v>
      </c>
      <c r="M10491" s="43">
        <v>11.500489691368875</v>
      </c>
      <c r="N10491" s="43">
        <v>5.4338977824601074</v>
      </c>
      <c r="O10491" s="43">
        <v>3.843997812414548</v>
      </c>
      <c r="P10491" s="283"/>
      <c r="Q10491" s="283"/>
      <c r="R10491" s="283">
        <v>1</v>
      </c>
    </row>
    <row r="10492" spans="1:18" ht="24">
      <c r="A10492" s="279">
        <v>88</v>
      </c>
      <c r="B10492" s="276" t="s">
        <v>19200</v>
      </c>
      <c r="C10492" s="280" t="s">
        <v>19201</v>
      </c>
      <c r="D10492" s="281">
        <v>336.7</v>
      </c>
      <c r="E10492" s="281">
        <v>279.67</v>
      </c>
      <c r="F10492" s="281">
        <v>51.44</v>
      </c>
      <c r="G10492" s="281">
        <v>5.59</v>
      </c>
      <c r="H10492" s="282">
        <v>3557.8</v>
      </c>
      <c r="I10492" s="282">
        <v>3216.23</v>
      </c>
      <c r="J10492" s="282">
        <v>277.27999999999997</v>
      </c>
      <c r="K10492" s="282">
        <v>64.290000000000006</v>
      </c>
      <c r="L10492" s="43">
        <v>10.566676566676568</v>
      </c>
      <c r="M10492" s="43">
        <v>11.500089391068045</v>
      </c>
      <c r="N10492" s="43">
        <v>5.3903576982892689</v>
      </c>
      <c r="O10492" s="43">
        <v>11.500894454382827</v>
      </c>
      <c r="P10492" s="283"/>
      <c r="Q10492" s="283"/>
      <c r="R10492" s="283">
        <v>1</v>
      </c>
    </row>
    <row r="10493" spans="1:18" ht="24">
      <c r="A10493" s="279">
        <v>89</v>
      </c>
      <c r="B10493" s="276" t="s">
        <v>19202</v>
      </c>
      <c r="C10493" s="280" t="s">
        <v>19203</v>
      </c>
      <c r="D10493" s="281">
        <v>17362.43</v>
      </c>
      <c r="E10493" s="281">
        <v>4135.6899999999996</v>
      </c>
      <c r="F10493" s="281">
        <v>6034.92</v>
      </c>
      <c r="G10493" s="281">
        <v>7191.82</v>
      </c>
      <c r="H10493" s="282">
        <v>109405.18</v>
      </c>
      <c r="I10493" s="282">
        <v>47562.32</v>
      </c>
      <c r="J10493" s="282">
        <v>34392.699999999997</v>
      </c>
      <c r="K10493" s="282">
        <v>27450.16</v>
      </c>
      <c r="L10493" s="43">
        <v>6.3012596739050926</v>
      </c>
      <c r="M10493" s="43">
        <v>11.500455788514131</v>
      </c>
      <c r="N10493" s="43">
        <v>5.698948784739482</v>
      </c>
      <c r="O10493" s="43">
        <v>3.8168585976845919</v>
      </c>
      <c r="P10493" s="283"/>
      <c r="Q10493" s="283"/>
      <c r="R10493" s="283">
        <v>1</v>
      </c>
    </row>
    <row r="10494" spans="1:18" ht="12.75" customHeight="1">
      <c r="A10494" s="628" t="s">
        <v>19204</v>
      </c>
      <c r="B10494" s="629"/>
      <c r="C10494" s="629"/>
      <c r="D10494" s="629"/>
      <c r="E10494" s="629"/>
      <c r="F10494" s="629"/>
      <c r="G10494" s="629"/>
      <c r="H10494" s="629"/>
      <c r="I10494" s="629"/>
      <c r="J10494" s="629"/>
      <c r="K10494" s="629"/>
      <c r="L10494" s="629"/>
      <c r="M10494" s="629"/>
      <c r="N10494" s="629"/>
      <c r="O10494" s="629"/>
      <c r="P10494" s="629"/>
      <c r="Q10494" s="629"/>
      <c r="R10494" s="629"/>
    </row>
    <row r="10495" spans="1:18" ht="12.75" customHeight="1">
      <c r="A10495" s="628" t="s">
        <v>19205</v>
      </c>
      <c r="B10495" s="629"/>
      <c r="C10495" s="629"/>
      <c r="D10495" s="629"/>
      <c r="E10495" s="629"/>
      <c r="F10495" s="629"/>
      <c r="G10495" s="629"/>
      <c r="H10495" s="629"/>
      <c r="I10495" s="629"/>
      <c r="J10495" s="629"/>
      <c r="K10495" s="629"/>
      <c r="L10495" s="629"/>
      <c r="M10495" s="629"/>
      <c r="N10495" s="629"/>
      <c r="O10495" s="629"/>
      <c r="P10495" s="629"/>
      <c r="Q10495" s="629"/>
      <c r="R10495" s="629"/>
    </row>
    <row r="10496" spans="1:18" ht="24">
      <c r="A10496" s="279">
        <v>90</v>
      </c>
      <c r="B10496" s="276" t="s">
        <v>19206</v>
      </c>
      <c r="C10496" s="280" t="s">
        <v>19207</v>
      </c>
      <c r="D10496" s="281">
        <v>1073.7</v>
      </c>
      <c r="E10496" s="281">
        <v>309.52</v>
      </c>
      <c r="F10496" s="281">
        <v>700.63</v>
      </c>
      <c r="G10496" s="281">
        <v>63.55</v>
      </c>
      <c r="H10496" s="282">
        <v>7650.02</v>
      </c>
      <c r="I10496" s="282">
        <v>3559.61</v>
      </c>
      <c r="J10496" s="282">
        <v>3807.3</v>
      </c>
      <c r="K10496" s="282">
        <v>283.11</v>
      </c>
      <c r="L10496" s="43">
        <v>7.1249138493061377</v>
      </c>
      <c r="M10496" s="43">
        <v>11.500420005169296</v>
      </c>
      <c r="N10496" s="43">
        <v>5.4341093016285349</v>
      </c>
      <c r="O10496" s="43">
        <v>4.4549173878835564</v>
      </c>
      <c r="P10496" s="283"/>
      <c r="Q10496" s="283"/>
      <c r="R10496" s="283">
        <v>1</v>
      </c>
    </row>
    <row r="10497" spans="1:18" ht="24">
      <c r="A10497" s="279">
        <v>91</v>
      </c>
      <c r="B10497" s="276" t="s">
        <v>19208</v>
      </c>
      <c r="C10497" s="280" t="s">
        <v>19209</v>
      </c>
      <c r="D10497" s="281">
        <v>380.93</v>
      </c>
      <c r="E10497" s="281">
        <v>155.12</v>
      </c>
      <c r="F10497" s="281">
        <v>165.35</v>
      </c>
      <c r="G10497" s="281">
        <v>60.46</v>
      </c>
      <c r="H10497" s="282">
        <v>2921.64</v>
      </c>
      <c r="I10497" s="282">
        <v>1783.89</v>
      </c>
      <c r="J10497" s="282">
        <v>890.18</v>
      </c>
      <c r="K10497" s="282">
        <v>247.57</v>
      </c>
      <c r="L10497" s="43">
        <v>7.6697555981413901</v>
      </c>
      <c r="M10497" s="43">
        <v>11.500064466219701</v>
      </c>
      <c r="N10497" s="43">
        <v>5.3836105231327487</v>
      </c>
      <c r="O10497" s="43">
        <v>4.0947734039034067</v>
      </c>
      <c r="P10497" s="283"/>
      <c r="Q10497" s="283"/>
      <c r="R10497" s="283">
        <v>1</v>
      </c>
    </row>
    <row r="10498" spans="1:18" ht="24">
      <c r="A10498" s="279">
        <v>92</v>
      </c>
      <c r="B10498" s="276" t="s">
        <v>19210</v>
      </c>
      <c r="C10498" s="280" t="s">
        <v>19211</v>
      </c>
      <c r="D10498" s="281">
        <v>12870.2</v>
      </c>
      <c r="E10498" s="281">
        <v>7459.2</v>
      </c>
      <c r="F10498" s="281">
        <v>3900.05</v>
      </c>
      <c r="G10498" s="281">
        <v>1510.95</v>
      </c>
      <c r="H10498" s="282">
        <v>115409.79</v>
      </c>
      <c r="I10498" s="282">
        <v>85780.800000000003</v>
      </c>
      <c r="J10498" s="282">
        <v>21631.3</v>
      </c>
      <c r="K10498" s="282">
        <v>7997.69</v>
      </c>
      <c r="L10498" s="43">
        <v>8.9672102997622396</v>
      </c>
      <c r="M10498" s="43">
        <v>11.5</v>
      </c>
      <c r="N10498" s="43">
        <v>5.5464160715888253</v>
      </c>
      <c r="O10498" s="43">
        <v>5.2931533141401097</v>
      </c>
      <c r="P10498" s="283"/>
      <c r="Q10498" s="283"/>
      <c r="R10498" s="283">
        <v>1</v>
      </c>
    </row>
    <row r="10499" spans="1:18" ht="24">
      <c r="A10499" s="279">
        <v>93</v>
      </c>
      <c r="B10499" s="276" t="s">
        <v>19212</v>
      </c>
      <c r="C10499" s="280" t="s">
        <v>19213</v>
      </c>
      <c r="D10499" s="281">
        <v>34588.68</v>
      </c>
      <c r="E10499" s="281">
        <v>12165.73</v>
      </c>
      <c r="F10499" s="281">
        <v>20070.54</v>
      </c>
      <c r="G10499" s="281">
        <v>2352.41</v>
      </c>
      <c r="H10499" s="282">
        <v>253307.75</v>
      </c>
      <c r="I10499" s="282">
        <v>139911.44</v>
      </c>
      <c r="J10499" s="282">
        <v>100837.27</v>
      </c>
      <c r="K10499" s="282">
        <v>12559.04</v>
      </c>
      <c r="L10499" s="43">
        <v>7.3234292259779785</v>
      </c>
      <c r="M10499" s="43">
        <v>11.500455788514129</v>
      </c>
      <c r="N10499" s="43">
        <v>5.024143346417187</v>
      </c>
      <c r="O10499" s="43">
        <v>5.3387972334754581</v>
      </c>
      <c r="P10499" s="283"/>
      <c r="Q10499" s="283"/>
      <c r="R10499" s="283">
        <v>1</v>
      </c>
    </row>
    <row r="10500" spans="1:18" ht="24">
      <c r="A10500" s="279">
        <v>94</v>
      </c>
      <c r="B10500" s="276" t="s">
        <v>19214</v>
      </c>
      <c r="C10500" s="280" t="s">
        <v>19215</v>
      </c>
      <c r="D10500" s="281">
        <v>7059.29</v>
      </c>
      <c r="E10500" s="281">
        <v>6033.5</v>
      </c>
      <c r="F10500" s="281">
        <v>643.66</v>
      </c>
      <c r="G10500" s="281">
        <v>382.13</v>
      </c>
      <c r="H10500" s="282">
        <v>75317.95</v>
      </c>
      <c r="I10500" s="282">
        <v>69388</v>
      </c>
      <c r="J10500" s="282">
        <v>3149.84</v>
      </c>
      <c r="K10500" s="282">
        <v>2780.11</v>
      </c>
      <c r="L10500" s="43">
        <v>10.669337851256996</v>
      </c>
      <c r="M10500" s="43">
        <v>11.500455788514129</v>
      </c>
      <c r="N10500" s="43">
        <v>4.8936394991144399</v>
      </c>
      <c r="O10500" s="43">
        <v>7.275298982021825</v>
      </c>
      <c r="P10500" s="283"/>
      <c r="Q10500" s="283"/>
      <c r="R10500" s="283">
        <v>1</v>
      </c>
    </row>
    <row r="10501" spans="1:18" ht="24">
      <c r="A10501" s="279">
        <v>95</v>
      </c>
      <c r="B10501" s="276" t="s">
        <v>19216</v>
      </c>
      <c r="C10501" s="280" t="s">
        <v>19217</v>
      </c>
      <c r="D10501" s="281">
        <v>21208.16</v>
      </c>
      <c r="E10501" s="281">
        <v>5210.75</v>
      </c>
      <c r="F10501" s="281">
        <v>8973.9500000000007</v>
      </c>
      <c r="G10501" s="281">
        <v>7023.46</v>
      </c>
      <c r="H10501" s="282">
        <v>134849.85999999999</v>
      </c>
      <c r="I10501" s="282">
        <v>59926</v>
      </c>
      <c r="J10501" s="282">
        <v>47979.05</v>
      </c>
      <c r="K10501" s="282">
        <v>26944.81</v>
      </c>
      <c r="L10501" s="43">
        <v>6.3583950705766075</v>
      </c>
      <c r="M10501" s="43">
        <v>11.500455788514129</v>
      </c>
      <c r="N10501" s="43">
        <v>5.3464806467609023</v>
      </c>
      <c r="O10501" s="43">
        <v>3.836401147013011</v>
      </c>
      <c r="P10501" s="283"/>
      <c r="Q10501" s="283"/>
      <c r="R10501" s="283">
        <v>1</v>
      </c>
    </row>
    <row r="10502" spans="1:18" ht="12.75" customHeight="1">
      <c r="A10502" s="628" t="s">
        <v>19218</v>
      </c>
      <c r="B10502" s="629"/>
      <c r="C10502" s="629"/>
      <c r="D10502" s="629"/>
      <c r="E10502" s="629"/>
      <c r="F10502" s="629"/>
      <c r="G10502" s="629"/>
      <c r="H10502" s="629"/>
      <c r="I10502" s="629"/>
      <c r="J10502" s="629"/>
      <c r="K10502" s="629"/>
      <c r="L10502" s="629"/>
      <c r="M10502" s="629"/>
      <c r="N10502" s="629"/>
      <c r="O10502" s="629"/>
      <c r="P10502" s="629"/>
      <c r="Q10502" s="629"/>
      <c r="R10502" s="629"/>
    </row>
    <row r="10503" spans="1:18" ht="24">
      <c r="A10503" s="279">
        <v>96</v>
      </c>
      <c r="B10503" s="276" t="s">
        <v>19219</v>
      </c>
      <c r="C10503" s="280" t="s">
        <v>19220</v>
      </c>
      <c r="D10503" s="281">
        <v>1909.33</v>
      </c>
      <c r="E10503" s="281">
        <v>633.80999999999995</v>
      </c>
      <c r="F10503" s="281">
        <v>461.23</v>
      </c>
      <c r="G10503" s="281">
        <v>814.29</v>
      </c>
      <c r="H10503" s="282">
        <v>13947.63</v>
      </c>
      <c r="I10503" s="282">
        <v>7288.82</v>
      </c>
      <c r="J10503" s="282">
        <v>2472.44</v>
      </c>
      <c r="K10503" s="282">
        <v>4186.37</v>
      </c>
      <c r="L10503" s="43">
        <v>7.304986565968167</v>
      </c>
      <c r="M10503" s="43">
        <v>11.500007888799484</v>
      </c>
      <c r="N10503" s="43">
        <v>5.3605359581987297</v>
      </c>
      <c r="O10503" s="43">
        <v>5.1411290817767625</v>
      </c>
      <c r="P10503" s="283"/>
      <c r="Q10503" s="283"/>
      <c r="R10503" s="283">
        <v>2</v>
      </c>
    </row>
    <row r="10504" spans="1:18" ht="24">
      <c r="A10504" s="279">
        <v>97</v>
      </c>
      <c r="B10504" s="276" t="s">
        <v>19221</v>
      </c>
      <c r="C10504" s="280" t="s">
        <v>19222</v>
      </c>
      <c r="D10504" s="281">
        <v>2025.89</v>
      </c>
      <c r="E10504" s="281">
        <v>673.28</v>
      </c>
      <c r="F10504" s="281">
        <v>513.15</v>
      </c>
      <c r="G10504" s="281">
        <v>839.46</v>
      </c>
      <c r="H10504" s="282">
        <v>14820.27</v>
      </c>
      <c r="I10504" s="282">
        <v>7742.67</v>
      </c>
      <c r="J10504" s="282">
        <v>2752.11</v>
      </c>
      <c r="K10504" s="282">
        <v>4325.49</v>
      </c>
      <c r="L10504" s="43">
        <v>7.3154366722773689</v>
      </c>
      <c r="M10504" s="43">
        <v>11.499925736692015</v>
      </c>
      <c r="N10504" s="43">
        <v>5.363168664133295</v>
      </c>
      <c r="O10504" s="43">
        <v>5.1527053105567857</v>
      </c>
      <c r="P10504" s="283"/>
      <c r="Q10504" s="283"/>
      <c r="R10504" s="283">
        <v>2</v>
      </c>
    </row>
    <row r="10505" spans="1:18" ht="24">
      <c r="A10505" s="279">
        <v>98</v>
      </c>
      <c r="B10505" s="276" t="s">
        <v>19223</v>
      </c>
      <c r="C10505" s="280" t="s">
        <v>19224</v>
      </c>
      <c r="D10505" s="281">
        <v>3201.42</v>
      </c>
      <c r="E10505" s="281">
        <v>1020.31</v>
      </c>
      <c r="F10505" s="281">
        <v>754.06</v>
      </c>
      <c r="G10505" s="281">
        <v>1427.05</v>
      </c>
      <c r="H10505" s="282">
        <v>23262.5</v>
      </c>
      <c r="I10505" s="282">
        <v>11734.03</v>
      </c>
      <c r="J10505" s="282">
        <v>4026.15</v>
      </c>
      <c r="K10505" s="282">
        <v>7502.32</v>
      </c>
      <c r="L10505" s="43">
        <v>7.2663068263458088</v>
      </c>
      <c r="M10505" s="43">
        <v>11.50045574384256</v>
      </c>
      <c r="N10505" s="43">
        <v>5.3392966076970003</v>
      </c>
      <c r="O10505" s="43">
        <v>5.2572229424336916</v>
      </c>
      <c r="P10505" s="283"/>
      <c r="Q10505" s="283"/>
      <c r="R10505" s="283">
        <v>2</v>
      </c>
    </row>
    <row r="10506" spans="1:18" ht="12.75" customHeight="1">
      <c r="A10506" s="628" t="s">
        <v>19144</v>
      </c>
      <c r="B10506" s="629"/>
      <c r="C10506" s="629"/>
      <c r="D10506" s="629"/>
      <c r="E10506" s="629"/>
      <c r="F10506" s="629"/>
      <c r="G10506" s="629"/>
      <c r="H10506" s="629"/>
      <c r="I10506" s="629"/>
      <c r="J10506" s="629"/>
      <c r="K10506" s="629"/>
      <c r="L10506" s="629"/>
      <c r="M10506" s="629"/>
      <c r="N10506" s="629"/>
      <c r="O10506" s="629"/>
      <c r="P10506" s="629"/>
      <c r="Q10506" s="629"/>
      <c r="R10506" s="629"/>
    </row>
    <row r="10507" spans="1:18" ht="24">
      <c r="A10507" s="279">
        <v>99</v>
      </c>
      <c r="B10507" s="276" t="s">
        <v>19225</v>
      </c>
      <c r="C10507" s="280" t="s">
        <v>19226</v>
      </c>
      <c r="D10507" s="281">
        <v>82.6</v>
      </c>
      <c r="E10507" s="281">
        <v>64.790000000000006</v>
      </c>
      <c r="F10507" s="281">
        <v>2.17</v>
      </c>
      <c r="G10507" s="281">
        <v>15.64</v>
      </c>
      <c r="H10507" s="282">
        <v>824.32</v>
      </c>
      <c r="I10507" s="282">
        <v>745.12</v>
      </c>
      <c r="J10507" s="282">
        <v>11.27</v>
      </c>
      <c r="K10507" s="282">
        <v>67.930000000000007</v>
      </c>
      <c r="L10507" s="43">
        <v>9.9796610169491533</v>
      </c>
      <c r="M10507" s="43">
        <v>11.500540206822039</v>
      </c>
      <c r="N10507" s="43">
        <v>5.193548387096774</v>
      </c>
      <c r="O10507" s="43">
        <v>4.343350383631714</v>
      </c>
      <c r="P10507" s="283"/>
      <c r="Q10507" s="283"/>
      <c r="R10507" s="283">
        <v>3</v>
      </c>
    </row>
    <row r="10508" spans="1:18" ht="12.75" customHeight="1">
      <c r="A10508" s="628" t="s">
        <v>19227</v>
      </c>
      <c r="B10508" s="629"/>
      <c r="C10508" s="629"/>
      <c r="D10508" s="629"/>
      <c r="E10508" s="629"/>
      <c r="F10508" s="629"/>
      <c r="G10508" s="629"/>
      <c r="H10508" s="629"/>
      <c r="I10508" s="629"/>
      <c r="J10508" s="629"/>
      <c r="K10508" s="629"/>
      <c r="L10508" s="629"/>
      <c r="M10508" s="629"/>
      <c r="N10508" s="629"/>
      <c r="O10508" s="629"/>
      <c r="P10508" s="629"/>
      <c r="Q10508" s="629"/>
      <c r="R10508" s="629"/>
    </row>
    <row r="10509" spans="1:18" ht="12.75" customHeight="1">
      <c r="A10509" s="628" t="s">
        <v>18933</v>
      </c>
      <c r="B10509" s="629"/>
      <c r="C10509" s="629"/>
      <c r="D10509" s="629"/>
      <c r="E10509" s="629"/>
      <c r="F10509" s="629"/>
      <c r="G10509" s="629"/>
      <c r="H10509" s="629"/>
      <c r="I10509" s="629"/>
      <c r="J10509" s="629"/>
      <c r="K10509" s="629"/>
      <c r="L10509" s="629"/>
      <c r="M10509" s="629"/>
      <c r="N10509" s="629"/>
      <c r="O10509" s="629"/>
      <c r="P10509" s="629"/>
      <c r="Q10509" s="629"/>
      <c r="R10509" s="629"/>
    </row>
    <row r="10510" spans="1:18" ht="24">
      <c r="A10510" s="279">
        <v>100</v>
      </c>
      <c r="B10510" s="276" t="s">
        <v>19228</v>
      </c>
      <c r="C10510" s="280" t="s">
        <v>19229</v>
      </c>
      <c r="D10510" s="281">
        <v>30583.98</v>
      </c>
      <c r="E10510" s="281">
        <v>12501.12</v>
      </c>
      <c r="F10510" s="281">
        <v>13530.84</v>
      </c>
      <c r="G10510" s="281">
        <v>4552.0200000000004</v>
      </c>
      <c r="H10510" s="282">
        <v>235982.9</v>
      </c>
      <c r="I10510" s="282">
        <v>143768.32000000001</v>
      </c>
      <c r="J10510" s="282">
        <v>73445.350000000006</v>
      </c>
      <c r="K10510" s="282">
        <v>18769.23</v>
      </c>
      <c r="L10510" s="43">
        <v>7.7158989771769404</v>
      </c>
      <c r="M10510" s="43">
        <v>11.500435161009573</v>
      </c>
      <c r="N10510" s="43">
        <v>5.4279963402124336</v>
      </c>
      <c r="O10510" s="43">
        <v>4.1232749416742456</v>
      </c>
      <c r="P10510" s="283"/>
      <c r="Q10510" s="283"/>
      <c r="R10510" s="283">
        <v>1</v>
      </c>
    </row>
    <row r="10511" spans="1:18" ht="24">
      <c r="A10511" s="279">
        <v>101</v>
      </c>
      <c r="B10511" s="276" t="s">
        <v>19230</v>
      </c>
      <c r="C10511" s="280" t="s">
        <v>19231</v>
      </c>
      <c r="D10511" s="281">
        <v>43524.24</v>
      </c>
      <c r="E10511" s="281">
        <v>15313.28</v>
      </c>
      <c r="F10511" s="281">
        <v>23602.69</v>
      </c>
      <c r="G10511" s="281">
        <v>4608.2700000000004</v>
      </c>
      <c r="H10511" s="282">
        <v>324143.75</v>
      </c>
      <c r="I10511" s="282">
        <v>176102.72</v>
      </c>
      <c r="J10511" s="282">
        <v>128624.92</v>
      </c>
      <c r="K10511" s="282">
        <v>19416.11</v>
      </c>
      <c r="L10511" s="43">
        <v>7.4474304433575407</v>
      </c>
      <c r="M10511" s="43">
        <v>11.5</v>
      </c>
      <c r="N10511" s="43">
        <v>5.4495873139883635</v>
      </c>
      <c r="O10511" s="43">
        <v>4.2133186640539719</v>
      </c>
      <c r="P10511" s="283"/>
      <c r="Q10511" s="283"/>
      <c r="R10511" s="283">
        <v>1</v>
      </c>
    </row>
    <row r="10512" spans="1:18" ht="24">
      <c r="A10512" s="279">
        <v>102</v>
      </c>
      <c r="B10512" s="276" t="s">
        <v>19232</v>
      </c>
      <c r="C10512" s="280" t="s">
        <v>19233</v>
      </c>
      <c r="D10512" s="281">
        <v>70619.98</v>
      </c>
      <c r="E10512" s="281">
        <v>16006.24</v>
      </c>
      <c r="F10512" s="281">
        <v>48557.62</v>
      </c>
      <c r="G10512" s="281">
        <v>6056.12</v>
      </c>
      <c r="H10512" s="282">
        <v>469315.72</v>
      </c>
      <c r="I10512" s="282">
        <v>184071.76</v>
      </c>
      <c r="J10512" s="282">
        <v>260370.58</v>
      </c>
      <c r="K10512" s="282">
        <v>24873.38</v>
      </c>
      <c r="L10512" s="43">
        <v>6.6456507067829813</v>
      </c>
      <c r="M10512" s="43">
        <v>11.5</v>
      </c>
      <c r="N10512" s="43">
        <v>5.3620951768229164</v>
      </c>
      <c r="O10512" s="43">
        <v>4.1071478108095612</v>
      </c>
      <c r="P10512" s="283"/>
      <c r="Q10512" s="283"/>
      <c r="R10512" s="283">
        <v>1</v>
      </c>
    </row>
    <row r="10513" spans="1:18" ht="12.75" customHeight="1">
      <c r="A10513" s="628" t="s">
        <v>19234</v>
      </c>
      <c r="B10513" s="629"/>
      <c r="C10513" s="629"/>
      <c r="D10513" s="629"/>
      <c r="E10513" s="629"/>
      <c r="F10513" s="629"/>
      <c r="G10513" s="629"/>
      <c r="H10513" s="629"/>
      <c r="I10513" s="629"/>
      <c r="J10513" s="629"/>
      <c r="K10513" s="629"/>
      <c r="L10513" s="629"/>
      <c r="M10513" s="629"/>
      <c r="N10513" s="629"/>
      <c r="O10513" s="629"/>
      <c r="P10513" s="629"/>
      <c r="Q10513" s="629"/>
      <c r="R10513" s="629"/>
    </row>
    <row r="10514" spans="1:18" ht="12.75" customHeight="1">
      <c r="A10514" s="628" t="s">
        <v>19144</v>
      </c>
      <c r="B10514" s="629"/>
      <c r="C10514" s="629"/>
      <c r="D10514" s="629"/>
      <c r="E10514" s="629"/>
      <c r="F10514" s="629"/>
      <c r="G10514" s="629"/>
      <c r="H10514" s="629"/>
      <c r="I10514" s="629"/>
      <c r="J10514" s="629"/>
      <c r="K10514" s="629"/>
      <c r="L10514" s="629"/>
      <c r="M10514" s="629"/>
      <c r="N10514" s="629"/>
      <c r="O10514" s="629"/>
      <c r="P10514" s="629"/>
      <c r="Q10514" s="629"/>
      <c r="R10514" s="629"/>
    </row>
    <row r="10515" spans="1:18" ht="24">
      <c r="A10515" s="279">
        <v>103</v>
      </c>
      <c r="B10515" s="276" t="s">
        <v>19235</v>
      </c>
      <c r="C10515" s="280" t="s">
        <v>19236</v>
      </c>
      <c r="D10515" s="281">
        <v>1167.46</v>
      </c>
      <c r="E10515" s="281">
        <v>707</v>
      </c>
      <c r="F10515" s="281">
        <v>331.6</v>
      </c>
      <c r="G10515" s="281">
        <v>128.86000000000001</v>
      </c>
      <c r="H10515" s="282">
        <v>10446.74</v>
      </c>
      <c r="I10515" s="282">
        <v>8130.45</v>
      </c>
      <c r="J10515" s="282">
        <v>1729.84</v>
      </c>
      <c r="K10515" s="282">
        <v>586.45000000000005</v>
      </c>
      <c r="L10515" s="43">
        <v>8.9482637520771586</v>
      </c>
      <c r="M10515" s="43">
        <v>11.499929278642149</v>
      </c>
      <c r="N10515" s="43">
        <v>5.2166465621230396</v>
      </c>
      <c r="O10515" s="43">
        <v>4.5510631693310568</v>
      </c>
      <c r="P10515" s="283"/>
      <c r="Q10515" s="283"/>
      <c r="R10515" s="283">
        <v>1</v>
      </c>
    </row>
    <row r="10516" spans="1:18" ht="24">
      <c r="A10516" s="279">
        <v>104</v>
      </c>
      <c r="B10516" s="276" t="s">
        <v>19237</v>
      </c>
      <c r="C10516" s="280" t="s">
        <v>19238</v>
      </c>
      <c r="D10516" s="281">
        <v>3425.34</v>
      </c>
      <c r="E10516" s="281">
        <v>1593.48</v>
      </c>
      <c r="F10516" s="281">
        <v>1528.26</v>
      </c>
      <c r="G10516" s="281">
        <v>303.60000000000002</v>
      </c>
      <c r="H10516" s="282">
        <v>28091.81</v>
      </c>
      <c r="I10516" s="282">
        <v>18325.02</v>
      </c>
      <c r="J10516" s="282">
        <v>8202.75</v>
      </c>
      <c r="K10516" s="282">
        <v>1564.04</v>
      </c>
      <c r="L10516" s="43">
        <v>8.201174190007416</v>
      </c>
      <c r="M10516" s="43">
        <v>11.5</v>
      </c>
      <c r="N10516" s="43">
        <v>5.3673785874131363</v>
      </c>
      <c r="O10516" s="43">
        <v>5.1516469038208159</v>
      </c>
      <c r="P10516" s="283"/>
      <c r="Q10516" s="283"/>
      <c r="R10516" s="283">
        <v>1</v>
      </c>
    </row>
    <row r="10517" spans="1:18" ht="24">
      <c r="A10517" s="279">
        <v>105</v>
      </c>
      <c r="B10517" s="276" t="s">
        <v>19239</v>
      </c>
      <c r="C10517" s="280" t="s">
        <v>19240</v>
      </c>
      <c r="D10517" s="281">
        <v>4922.09</v>
      </c>
      <c r="E10517" s="281">
        <v>2826.54</v>
      </c>
      <c r="F10517" s="281">
        <v>1023.37</v>
      </c>
      <c r="G10517" s="281">
        <v>1072.18</v>
      </c>
      <c r="H10517" s="282">
        <v>42308.15</v>
      </c>
      <c r="I10517" s="282">
        <v>32506.44</v>
      </c>
      <c r="J10517" s="282">
        <v>5378.96</v>
      </c>
      <c r="K10517" s="282">
        <v>4422.75</v>
      </c>
      <c r="L10517" s="43">
        <v>8.5955661111438442</v>
      </c>
      <c r="M10517" s="43">
        <v>11.500435161009573</v>
      </c>
      <c r="N10517" s="43">
        <v>5.2561243733937868</v>
      </c>
      <c r="O10517" s="43">
        <v>4.1250069950941075</v>
      </c>
      <c r="P10517" s="283"/>
      <c r="Q10517" s="283"/>
      <c r="R10517" s="283">
        <v>1</v>
      </c>
    </row>
    <row r="10518" spans="1:18" ht="24">
      <c r="A10518" s="279">
        <v>106</v>
      </c>
      <c r="B10518" s="276" t="s">
        <v>19241</v>
      </c>
      <c r="C10518" s="280" t="s">
        <v>19242</v>
      </c>
      <c r="D10518" s="281">
        <v>2563.2399999999998</v>
      </c>
      <c r="E10518" s="281">
        <v>1766.86</v>
      </c>
      <c r="F10518" s="281">
        <v>578</v>
      </c>
      <c r="G10518" s="281">
        <v>218.38</v>
      </c>
      <c r="H10518" s="282">
        <v>24745.18</v>
      </c>
      <c r="I10518" s="282">
        <v>20318.89</v>
      </c>
      <c r="J10518" s="282">
        <v>3071.24</v>
      </c>
      <c r="K10518" s="282">
        <v>1355.05</v>
      </c>
      <c r="L10518" s="43">
        <v>9.6538677611148405</v>
      </c>
      <c r="M10518" s="43">
        <v>11.5</v>
      </c>
      <c r="N10518" s="43">
        <v>5.3135640138408302</v>
      </c>
      <c r="O10518" s="43">
        <v>6.205009616265226</v>
      </c>
      <c r="P10518" s="283"/>
      <c r="Q10518" s="283"/>
      <c r="R10518" s="283">
        <v>1</v>
      </c>
    </row>
    <row r="10519" spans="1:18" ht="24">
      <c r="A10519" s="279">
        <v>107</v>
      </c>
      <c r="B10519" s="276" t="s">
        <v>19243</v>
      </c>
      <c r="C10519" s="280" t="s">
        <v>19244</v>
      </c>
      <c r="D10519" s="281">
        <v>466.57</v>
      </c>
      <c r="E10519" s="281">
        <v>338.44</v>
      </c>
      <c r="F10519" s="281">
        <v>121.36</v>
      </c>
      <c r="G10519" s="281">
        <v>6.77</v>
      </c>
      <c r="H10519" s="282">
        <v>4619.04</v>
      </c>
      <c r="I10519" s="282">
        <v>3892.17</v>
      </c>
      <c r="J10519" s="282">
        <v>649.01</v>
      </c>
      <c r="K10519" s="282">
        <v>77.86</v>
      </c>
      <c r="L10519" s="43">
        <v>9.8999935700966635</v>
      </c>
      <c r="M10519" s="43">
        <v>11.500325020683135</v>
      </c>
      <c r="N10519" s="43">
        <v>5.3478081740276862</v>
      </c>
      <c r="O10519" s="43">
        <v>11.500738552437223</v>
      </c>
      <c r="P10519" s="283"/>
      <c r="Q10519" s="283"/>
      <c r="R10519" s="283">
        <v>1</v>
      </c>
    </row>
    <row r="10520" spans="1:18" ht="24">
      <c r="A10520" s="279">
        <v>108</v>
      </c>
      <c r="B10520" s="276" t="s">
        <v>19245</v>
      </c>
      <c r="C10520" s="280" t="s">
        <v>19246</v>
      </c>
      <c r="D10520" s="281">
        <v>944.37</v>
      </c>
      <c r="E10520" s="281">
        <v>696.29</v>
      </c>
      <c r="F10520" s="281">
        <v>234.15</v>
      </c>
      <c r="G10520" s="281">
        <v>13.93</v>
      </c>
      <c r="H10520" s="282">
        <v>9414.2099999999991</v>
      </c>
      <c r="I10520" s="282">
        <v>8007.68</v>
      </c>
      <c r="J10520" s="282">
        <v>1246.33</v>
      </c>
      <c r="K10520" s="282">
        <v>160.19999999999999</v>
      </c>
      <c r="L10520" s="43">
        <v>9.9687728326821041</v>
      </c>
      <c r="M10520" s="43">
        <v>11.500495483203839</v>
      </c>
      <c r="N10520" s="43">
        <v>5.3227845398248981</v>
      </c>
      <c r="O10520" s="43">
        <v>11.500358937544867</v>
      </c>
      <c r="P10520" s="283"/>
      <c r="Q10520" s="283"/>
      <c r="R10520" s="283">
        <v>1</v>
      </c>
    </row>
    <row r="10521" spans="1:18" ht="24">
      <c r="A10521" s="279">
        <v>109</v>
      </c>
      <c r="B10521" s="276" t="s">
        <v>19247</v>
      </c>
      <c r="C10521" s="280" t="s">
        <v>19248</v>
      </c>
      <c r="D10521" s="281">
        <v>1539.24</v>
      </c>
      <c r="E10521" s="281">
        <v>1109.93</v>
      </c>
      <c r="F10521" s="281">
        <v>369.67</v>
      </c>
      <c r="G10521" s="281">
        <v>59.64</v>
      </c>
      <c r="H10521" s="282">
        <v>15131.89</v>
      </c>
      <c r="I10521" s="282">
        <v>12764.72</v>
      </c>
      <c r="J10521" s="282">
        <v>1917.83</v>
      </c>
      <c r="K10521" s="282">
        <v>449.34</v>
      </c>
      <c r="L10521" s="43">
        <v>9.8307541384059665</v>
      </c>
      <c r="M10521" s="43">
        <v>11.500473002801977</v>
      </c>
      <c r="N10521" s="43">
        <v>5.1879514161278975</v>
      </c>
      <c r="O10521" s="43">
        <v>7.5342052313883299</v>
      </c>
      <c r="P10521" s="283"/>
      <c r="Q10521" s="283"/>
      <c r="R10521" s="283">
        <v>1</v>
      </c>
    </row>
    <row r="10522" spans="1:18" ht="24">
      <c r="A10522" s="279">
        <v>110</v>
      </c>
      <c r="B10522" s="276" t="s">
        <v>19249</v>
      </c>
      <c r="C10522" s="280" t="s">
        <v>19250</v>
      </c>
      <c r="D10522" s="281">
        <v>15963.73</v>
      </c>
      <c r="E10522" s="281">
        <v>10167.200000000001</v>
      </c>
      <c r="F10522" s="281">
        <v>5588.87</v>
      </c>
      <c r="G10522" s="281">
        <v>207.66</v>
      </c>
      <c r="H10522" s="282">
        <v>146936.88</v>
      </c>
      <c r="I10522" s="282">
        <v>116922.8</v>
      </c>
      <c r="J10522" s="282">
        <v>27652.62</v>
      </c>
      <c r="K10522" s="282">
        <v>2361.46</v>
      </c>
      <c r="L10522" s="43">
        <v>9.2044202702000106</v>
      </c>
      <c r="M10522" s="43">
        <v>11.5</v>
      </c>
      <c r="N10522" s="43">
        <v>4.9478016128483935</v>
      </c>
      <c r="O10522" s="43">
        <v>11.371761533275548</v>
      </c>
      <c r="P10522" s="283"/>
      <c r="Q10522" s="283"/>
      <c r="R10522" s="283">
        <v>1</v>
      </c>
    </row>
    <row r="10523" spans="1:18" ht="24">
      <c r="A10523" s="279">
        <v>111</v>
      </c>
      <c r="B10523" s="276" t="s">
        <v>19251</v>
      </c>
      <c r="C10523" s="280" t="s">
        <v>19252</v>
      </c>
      <c r="D10523" s="281">
        <v>74.459999999999994</v>
      </c>
      <c r="E10523" s="281">
        <v>63.06</v>
      </c>
      <c r="F10523" s="281">
        <v>10.14</v>
      </c>
      <c r="G10523" s="281">
        <v>1.26</v>
      </c>
      <c r="H10523" s="282">
        <v>792.2</v>
      </c>
      <c r="I10523" s="282">
        <v>725.15</v>
      </c>
      <c r="J10523" s="282">
        <v>52.56</v>
      </c>
      <c r="K10523" s="282">
        <v>14.49</v>
      </c>
      <c r="L10523" s="43">
        <v>10.639269406392696</v>
      </c>
      <c r="M10523" s="43">
        <v>11.499365683476054</v>
      </c>
      <c r="N10523" s="43">
        <v>5.1834319526627217</v>
      </c>
      <c r="O10523" s="43">
        <v>11.5</v>
      </c>
      <c r="P10523" s="283"/>
      <c r="Q10523" s="283"/>
      <c r="R10523" s="283">
        <v>1</v>
      </c>
    </row>
    <row r="10524" spans="1:18" ht="24">
      <c r="A10524" s="279">
        <v>112</v>
      </c>
      <c r="B10524" s="276" t="s">
        <v>19253</v>
      </c>
      <c r="C10524" s="280" t="s">
        <v>19254</v>
      </c>
      <c r="D10524" s="281">
        <v>149.41</v>
      </c>
      <c r="E10524" s="281">
        <v>79.92</v>
      </c>
      <c r="F10524" s="281">
        <v>67.89</v>
      </c>
      <c r="G10524" s="281">
        <v>1.6</v>
      </c>
      <c r="H10524" s="282">
        <v>1308.46</v>
      </c>
      <c r="I10524" s="282">
        <v>919.04</v>
      </c>
      <c r="J10524" s="282">
        <v>371.02</v>
      </c>
      <c r="K10524" s="282">
        <v>18.399999999999999</v>
      </c>
      <c r="L10524" s="43">
        <v>8.7575128840104419</v>
      </c>
      <c r="M10524" s="43">
        <v>11.4994994994995</v>
      </c>
      <c r="N10524" s="43">
        <v>5.4650169391662979</v>
      </c>
      <c r="O10524" s="43">
        <v>11.499999999999998</v>
      </c>
      <c r="P10524" s="283"/>
      <c r="Q10524" s="283"/>
      <c r="R10524" s="283">
        <v>1</v>
      </c>
    </row>
    <row r="10525" spans="1:18" ht="24">
      <c r="A10525" s="279">
        <v>113</v>
      </c>
      <c r="B10525" s="276" t="s">
        <v>19255</v>
      </c>
      <c r="C10525" s="280" t="s">
        <v>19256</v>
      </c>
      <c r="D10525" s="281">
        <v>128.82</v>
      </c>
      <c r="E10525" s="281">
        <v>81.27</v>
      </c>
      <c r="F10525" s="281">
        <v>45.92</v>
      </c>
      <c r="G10525" s="281">
        <v>1.63</v>
      </c>
      <c r="H10525" s="282">
        <v>1211.54</v>
      </c>
      <c r="I10525" s="282">
        <v>934.55</v>
      </c>
      <c r="J10525" s="282">
        <v>258.24</v>
      </c>
      <c r="K10525" s="282">
        <v>18.75</v>
      </c>
      <c r="L10525" s="43">
        <v>9.40490607048595</v>
      </c>
      <c r="M10525" s="43">
        <v>11.49932324350929</v>
      </c>
      <c r="N10525" s="43">
        <v>5.6236933797909412</v>
      </c>
      <c r="O10525" s="43">
        <v>11.503067484662578</v>
      </c>
      <c r="P10525" s="283"/>
      <c r="Q10525" s="283"/>
      <c r="R10525" s="283">
        <v>1</v>
      </c>
    </row>
    <row r="10526" spans="1:18" ht="24">
      <c r="A10526" s="284">
        <v>114</v>
      </c>
      <c r="B10526" s="285" t="s">
        <v>19257</v>
      </c>
      <c r="C10526" s="286" t="s">
        <v>19258</v>
      </c>
      <c r="D10526" s="287">
        <v>154526.74</v>
      </c>
      <c r="E10526" s="287">
        <v>58571.64</v>
      </c>
      <c r="F10526" s="287">
        <v>91672.47</v>
      </c>
      <c r="G10526" s="287">
        <v>4282.63</v>
      </c>
      <c r="H10526" s="288">
        <v>1183488.49</v>
      </c>
      <c r="I10526" s="288">
        <v>673573.86</v>
      </c>
      <c r="J10526" s="288">
        <v>482299.38</v>
      </c>
      <c r="K10526" s="288">
        <v>27615.25</v>
      </c>
      <c r="L10526" s="611">
        <v>7.6587941349180086</v>
      </c>
      <c r="M10526" s="611">
        <v>11.5</v>
      </c>
      <c r="N10526" s="611">
        <v>5.261114705429013</v>
      </c>
      <c r="O10526" s="611">
        <v>6.4481988871324392</v>
      </c>
      <c r="P10526" s="289"/>
      <c r="Q10526" s="289"/>
      <c r="R10526" s="289">
        <v>1</v>
      </c>
    </row>
    <row r="10527" spans="1:18" ht="12.75" customHeight="1">
      <c r="A10527" s="630" t="s">
        <v>19259</v>
      </c>
      <c r="B10527" s="631"/>
      <c r="C10527" s="631"/>
      <c r="D10527" s="631"/>
      <c r="E10527" s="631"/>
      <c r="F10527" s="631"/>
      <c r="G10527" s="631"/>
      <c r="H10527" s="631"/>
      <c r="I10527" s="631"/>
      <c r="J10527" s="631"/>
      <c r="K10527" s="631"/>
      <c r="L10527" s="631"/>
      <c r="M10527" s="631"/>
      <c r="N10527" s="631"/>
      <c r="O10527" s="631"/>
      <c r="P10527" s="631"/>
      <c r="Q10527" s="631"/>
      <c r="R10527" s="631"/>
    </row>
    <row r="10528" spans="1:18" ht="12.75" customHeight="1">
      <c r="A10528" s="628" t="s">
        <v>19260</v>
      </c>
      <c r="B10528" s="629"/>
      <c r="C10528" s="629"/>
      <c r="D10528" s="629"/>
      <c r="E10528" s="629"/>
      <c r="F10528" s="629"/>
      <c r="G10528" s="629"/>
      <c r="H10528" s="629"/>
      <c r="I10528" s="629"/>
      <c r="J10528" s="629"/>
      <c r="K10528" s="629"/>
      <c r="L10528" s="629"/>
      <c r="M10528" s="629"/>
      <c r="N10528" s="629"/>
      <c r="O10528" s="629"/>
      <c r="P10528" s="629"/>
      <c r="Q10528" s="629"/>
      <c r="R10528" s="629"/>
    </row>
    <row r="10529" spans="1:18" ht="12.75" customHeight="1">
      <c r="A10529" s="628" t="s">
        <v>19261</v>
      </c>
      <c r="B10529" s="629"/>
      <c r="C10529" s="629"/>
      <c r="D10529" s="629"/>
      <c r="E10529" s="629"/>
      <c r="F10529" s="629"/>
      <c r="G10529" s="629"/>
      <c r="H10529" s="629"/>
      <c r="I10529" s="629"/>
      <c r="J10529" s="629"/>
      <c r="K10529" s="629"/>
      <c r="L10529" s="629"/>
      <c r="M10529" s="629"/>
      <c r="N10529" s="629"/>
      <c r="O10529" s="629"/>
      <c r="P10529" s="629"/>
      <c r="Q10529" s="629"/>
      <c r="R10529" s="629"/>
    </row>
    <row r="10530" spans="1:18" ht="24">
      <c r="A10530" s="279">
        <v>115</v>
      </c>
      <c r="B10530" s="276" t="s">
        <v>19262</v>
      </c>
      <c r="C10530" s="280" t="s">
        <v>19263</v>
      </c>
      <c r="D10530" s="281">
        <v>1778.19</v>
      </c>
      <c r="E10530" s="281">
        <v>486.97</v>
      </c>
      <c r="F10530" s="281">
        <v>705.16</v>
      </c>
      <c r="G10530" s="281">
        <v>586.05999999999995</v>
      </c>
      <c r="H10530" s="282">
        <v>11638.31</v>
      </c>
      <c r="I10530" s="282">
        <v>5600.39</v>
      </c>
      <c r="J10530" s="282">
        <v>3782.87</v>
      </c>
      <c r="K10530" s="282">
        <v>2255.0500000000002</v>
      </c>
      <c r="L10530" s="43">
        <v>6.5450317457639509</v>
      </c>
      <c r="M10530" s="43">
        <v>11.500482575928702</v>
      </c>
      <c r="N10530" s="43">
        <v>5.3645555618583014</v>
      </c>
      <c r="O10530" s="43">
        <v>3.8478142169743719</v>
      </c>
      <c r="P10530" s="283"/>
      <c r="Q10530" s="283"/>
      <c r="R10530" s="283">
        <v>1</v>
      </c>
    </row>
    <row r="10531" spans="1:18" ht="24">
      <c r="A10531" s="279">
        <v>116</v>
      </c>
      <c r="B10531" s="276" t="s">
        <v>19264</v>
      </c>
      <c r="C10531" s="280" t="s">
        <v>19265</v>
      </c>
      <c r="D10531" s="281">
        <v>928.06</v>
      </c>
      <c r="E10531" s="281">
        <v>305.63</v>
      </c>
      <c r="F10531" s="281">
        <v>328.84</v>
      </c>
      <c r="G10531" s="281">
        <v>293.58999999999997</v>
      </c>
      <c r="H10531" s="282">
        <v>6449.39</v>
      </c>
      <c r="I10531" s="282">
        <v>3514.92</v>
      </c>
      <c r="J10531" s="282">
        <v>1798.64</v>
      </c>
      <c r="K10531" s="282">
        <v>1135.83</v>
      </c>
      <c r="L10531" s="43">
        <v>6.9493243971294971</v>
      </c>
      <c r="M10531" s="43">
        <v>11.500572587769526</v>
      </c>
      <c r="N10531" s="43">
        <v>5.4696508940518189</v>
      </c>
      <c r="O10531" s="43">
        <v>3.8687625600326987</v>
      </c>
      <c r="P10531" s="283"/>
      <c r="Q10531" s="283"/>
      <c r="R10531" s="283">
        <v>1</v>
      </c>
    </row>
    <row r="10532" spans="1:18" ht="12.75" customHeight="1">
      <c r="A10532" s="628" t="s">
        <v>19266</v>
      </c>
      <c r="B10532" s="629"/>
      <c r="C10532" s="629"/>
      <c r="D10532" s="629"/>
      <c r="E10532" s="629"/>
      <c r="F10532" s="629"/>
      <c r="G10532" s="629"/>
      <c r="H10532" s="629"/>
      <c r="I10532" s="629"/>
      <c r="J10532" s="629"/>
      <c r="K10532" s="629"/>
      <c r="L10532" s="629"/>
      <c r="M10532" s="629"/>
      <c r="N10532" s="629"/>
      <c r="O10532" s="629"/>
      <c r="P10532" s="629"/>
      <c r="Q10532" s="629"/>
      <c r="R10532" s="629"/>
    </row>
    <row r="10533" spans="1:18" ht="24">
      <c r="A10533" s="279">
        <v>117</v>
      </c>
      <c r="B10533" s="276" t="s">
        <v>19267</v>
      </c>
      <c r="C10533" s="280" t="s">
        <v>19268</v>
      </c>
      <c r="D10533" s="281">
        <v>721.61</v>
      </c>
      <c r="E10533" s="281">
        <v>315.98</v>
      </c>
      <c r="F10533" s="281">
        <v>268.92</v>
      </c>
      <c r="G10533" s="281">
        <v>136.71</v>
      </c>
      <c r="H10533" s="282">
        <v>5661.42</v>
      </c>
      <c r="I10533" s="282">
        <v>3633.85</v>
      </c>
      <c r="J10533" s="282">
        <v>1466.39</v>
      </c>
      <c r="K10533" s="282">
        <v>561.17999999999995</v>
      </c>
      <c r="L10533" s="43">
        <v>7.8455398345366607</v>
      </c>
      <c r="M10533" s="43">
        <v>11.500253180581048</v>
      </c>
      <c r="N10533" s="43">
        <v>5.4528856165402351</v>
      </c>
      <c r="O10533" s="43">
        <v>4.1048935703313578</v>
      </c>
      <c r="P10533" s="283"/>
      <c r="Q10533" s="283"/>
      <c r="R10533" s="283">
        <v>2</v>
      </c>
    </row>
    <row r="10534" spans="1:18" ht="24">
      <c r="A10534" s="279">
        <v>118</v>
      </c>
      <c r="B10534" s="276" t="s">
        <v>19269</v>
      </c>
      <c r="C10534" s="280" t="s">
        <v>19270</v>
      </c>
      <c r="D10534" s="281">
        <v>5403.83</v>
      </c>
      <c r="E10534" s="281">
        <v>1371.25</v>
      </c>
      <c r="F10534" s="281">
        <v>2551.09</v>
      </c>
      <c r="G10534" s="281">
        <v>1481.49</v>
      </c>
      <c r="H10534" s="282">
        <v>35340.44</v>
      </c>
      <c r="I10534" s="282">
        <v>15770</v>
      </c>
      <c r="J10534" s="282">
        <v>13781.17</v>
      </c>
      <c r="K10534" s="282">
        <v>5789.27</v>
      </c>
      <c r="L10534" s="43">
        <v>6.5398874501973605</v>
      </c>
      <c r="M10534" s="43">
        <v>11.500455788514129</v>
      </c>
      <c r="N10534" s="43">
        <v>5.4020712714957133</v>
      </c>
      <c r="O10534" s="43">
        <v>3.9077347805250122</v>
      </c>
      <c r="P10534" s="283"/>
      <c r="Q10534" s="283"/>
      <c r="R10534" s="283">
        <v>2</v>
      </c>
    </row>
    <row r="10535" spans="1:18" ht="24">
      <c r="A10535" s="279">
        <v>119</v>
      </c>
      <c r="B10535" s="276" t="s">
        <v>19271</v>
      </c>
      <c r="C10535" s="280" t="s">
        <v>19272</v>
      </c>
      <c r="D10535" s="281">
        <v>7692.29</v>
      </c>
      <c r="E10535" s="281">
        <v>2211.36</v>
      </c>
      <c r="F10535" s="281">
        <v>3543.94</v>
      </c>
      <c r="G10535" s="281">
        <v>1936.99</v>
      </c>
      <c r="H10535" s="282">
        <v>52090.879999999997</v>
      </c>
      <c r="I10535" s="282">
        <v>25430.639999999999</v>
      </c>
      <c r="J10535" s="282">
        <v>19013.87</v>
      </c>
      <c r="K10535" s="282">
        <v>7646.37</v>
      </c>
      <c r="L10535" s="43">
        <v>6.7718299752089424</v>
      </c>
      <c r="M10535" s="43">
        <v>11.499999999999998</v>
      </c>
      <c r="N10535" s="43">
        <v>5.3651783043730985</v>
      </c>
      <c r="O10535" s="43">
        <v>3.9475526461158807</v>
      </c>
      <c r="P10535" s="283"/>
      <c r="Q10535" s="283"/>
      <c r="R10535" s="283">
        <v>2</v>
      </c>
    </row>
    <row r="10536" spans="1:18" ht="24">
      <c r="A10536" s="279">
        <v>120</v>
      </c>
      <c r="B10536" s="276" t="s">
        <v>19273</v>
      </c>
      <c r="C10536" s="280" t="s">
        <v>19274</v>
      </c>
      <c r="D10536" s="281">
        <v>11657.93</v>
      </c>
      <c r="E10536" s="281">
        <v>3046.04</v>
      </c>
      <c r="F10536" s="281">
        <v>5486.53</v>
      </c>
      <c r="G10536" s="281">
        <v>3125.36</v>
      </c>
      <c r="H10536" s="282">
        <v>76760.67</v>
      </c>
      <c r="I10536" s="282">
        <v>35029.46</v>
      </c>
      <c r="J10536" s="282">
        <v>29439.95</v>
      </c>
      <c r="K10536" s="282">
        <v>12291.26</v>
      </c>
      <c r="L10536" s="43">
        <v>6.5844167875428994</v>
      </c>
      <c r="M10536" s="43">
        <v>11.5</v>
      </c>
      <c r="N10536" s="43">
        <v>5.3658596599307762</v>
      </c>
      <c r="O10536" s="43">
        <v>3.9327501471830444</v>
      </c>
      <c r="P10536" s="283"/>
      <c r="Q10536" s="283"/>
      <c r="R10536" s="283">
        <v>2</v>
      </c>
    </row>
    <row r="10537" spans="1:18" ht="24">
      <c r="A10537" s="279">
        <v>121</v>
      </c>
      <c r="B10537" s="276" t="s">
        <v>19275</v>
      </c>
      <c r="C10537" s="280" t="s">
        <v>19276</v>
      </c>
      <c r="D10537" s="281">
        <v>18000.84</v>
      </c>
      <c r="E10537" s="281">
        <v>3978.28</v>
      </c>
      <c r="F10537" s="281">
        <v>8769.1299999999992</v>
      </c>
      <c r="G10537" s="281">
        <v>5253.43</v>
      </c>
      <c r="H10537" s="282">
        <v>115435.42</v>
      </c>
      <c r="I10537" s="282">
        <v>45750.22</v>
      </c>
      <c r="J10537" s="282">
        <v>47415.72</v>
      </c>
      <c r="K10537" s="282">
        <v>22269.48</v>
      </c>
      <c r="L10537" s="43">
        <v>6.4127796258396828</v>
      </c>
      <c r="M10537" s="43">
        <v>11.5</v>
      </c>
      <c r="N10537" s="43">
        <v>5.4071179238989506</v>
      </c>
      <c r="O10537" s="43">
        <v>4.2390362106281039</v>
      </c>
      <c r="P10537" s="283"/>
      <c r="Q10537" s="283"/>
      <c r="R10537" s="283">
        <v>2</v>
      </c>
    </row>
    <row r="10538" spans="1:18" ht="24">
      <c r="A10538" s="279">
        <v>122</v>
      </c>
      <c r="B10538" s="276" t="s">
        <v>19277</v>
      </c>
      <c r="C10538" s="280" t="s">
        <v>19278</v>
      </c>
      <c r="D10538" s="281">
        <v>14632.63</v>
      </c>
      <c r="E10538" s="281">
        <v>4032.48</v>
      </c>
      <c r="F10538" s="281">
        <v>8573.2800000000007</v>
      </c>
      <c r="G10538" s="281">
        <v>2026.87</v>
      </c>
      <c r="H10538" s="282">
        <v>101963.35</v>
      </c>
      <c r="I10538" s="282">
        <v>46373.52</v>
      </c>
      <c r="J10538" s="282">
        <v>46329.01</v>
      </c>
      <c r="K10538" s="282">
        <v>9260.82</v>
      </c>
      <c r="L10538" s="43">
        <v>6.9682176068143598</v>
      </c>
      <c r="M10538" s="43">
        <v>11.5</v>
      </c>
      <c r="N10538" s="43">
        <v>5.4038839277382751</v>
      </c>
      <c r="O10538" s="43">
        <v>4.5690251471480661</v>
      </c>
      <c r="P10538" s="283"/>
      <c r="Q10538" s="283"/>
      <c r="R10538" s="283">
        <v>2</v>
      </c>
    </row>
    <row r="10539" spans="1:18" ht="24">
      <c r="A10539" s="279">
        <v>123</v>
      </c>
      <c r="B10539" s="276" t="s">
        <v>19279</v>
      </c>
      <c r="C10539" s="280" t="s">
        <v>19280</v>
      </c>
      <c r="D10539" s="281">
        <v>21582.2</v>
      </c>
      <c r="E10539" s="281">
        <v>4628.68</v>
      </c>
      <c r="F10539" s="281">
        <v>10151.69</v>
      </c>
      <c r="G10539" s="281">
        <v>6801.83</v>
      </c>
      <c r="H10539" s="282">
        <v>137477.76000000001</v>
      </c>
      <c r="I10539" s="282">
        <v>53229.82</v>
      </c>
      <c r="J10539" s="282">
        <v>54915.16</v>
      </c>
      <c r="K10539" s="282">
        <v>29332.78</v>
      </c>
      <c r="L10539" s="43">
        <v>6.3699604303546442</v>
      </c>
      <c r="M10539" s="43">
        <v>11.5</v>
      </c>
      <c r="N10539" s="43">
        <v>5.4094599027354064</v>
      </c>
      <c r="O10539" s="43">
        <v>4.3124835522205052</v>
      </c>
      <c r="P10539" s="283"/>
      <c r="Q10539" s="283"/>
      <c r="R10539" s="283">
        <v>2</v>
      </c>
    </row>
    <row r="10540" spans="1:18" ht="24">
      <c r="A10540" s="279">
        <v>124</v>
      </c>
      <c r="B10540" s="276" t="s">
        <v>19281</v>
      </c>
      <c r="C10540" s="280" t="s">
        <v>19282</v>
      </c>
      <c r="D10540" s="281">
        <v>32050.44</v>
      </c>
      <c r="E10540" s="281">
        <v>5911.92</v>
      </c>
      <c r="F10540" s="281">
        <v>17035.48</v>
      </c>
      <c r="G10540" s="281">
        <v>9103.0400000000009</v>
      </c>
      <c r="H10540" s="282">
        <v>196078.58</v>
      </c>
      <c r="I10540" s="282">
        <v>67989.84</v>
      </c>
      <c r="J10540" s="282">
        <v>91603.38</v>
      </c>
      <c r="K10540" s="282">
        <v>36485.360000000001</v>
      </c>
      <c r="L10540" s="43">
        <v>6.1178124231679814</v>
      </c>
      <c r="M10540" s="43">
        <v>11.50046685340803</v>
      </c>
      <c r="N10540" s="43">
        <v>5.3772115608130795</v>
      </c>
      <c r="O10540" s="43">
        <v>4.0080412697296728</v>
      </c>
      <c r="P10540" s="283"/>
      <c r="Q10540" s="283"/>
      <c r="R10540" s="283">
        <v>2</v>
      </c>
    </row>
    <row r="10541" spans="1:18" ht="24">
      <c r="A10541" s="279">
        <v>125</v>
      </c>
      <c r="B10541" s="276" t="s">
        <v>19283</v>
      </c>
      <c r="C10541" s="280" t="s">
        <v>19284</v>
      </c>
      <c r="D10541" s="281">
        <v>83084.62</v>
      </c>
      <c r="E10541" s="281">
        <v>14072.94</v>
      </c>
      <c r="F10541" s="281">
        <v>48254.2</v>
      </c>
      <c r="G10541" s="281">
        <v>20757.48</v>
      </c>
      <c r="H10541" s="282">
        <v>496028.09</v>
      </c>
      <c r="I10541" s="282">
        <v>161845.38</v>
      </c>
      <c r="J10541" s="282">
        <v>254721.98</v>
      </c>
      <c r="K10541" s="282">
        <v>79460.73</v>
      </c>
      <c r="L10541" s="43">
        <v>5.9701553669018415</v>
      </c>
      <c r="M10541" s="43">
        <v>11.50046685340803</v>
      </c>
      <c r="N10541" s="43">
        <v>5.2787525230964354</v>
      </c>
      <c r="O10541" s="43">
        <v>3.8280528272218013</v>
      </c>
      <c r="P10541" s="283"/>
      <c r="Q10541" s="283"/>
      <c r="R10541" s="283">
        <v>2</v>
      </c>
    </row>
    <row r="10542" spans="1:18" ht="24">
      <c r="A10542" s="279">
        <v>126</v>
      </c>
      <c r="B10542" s="276" t="s">
        <v>19285</v>
      </c>
      <c r="C10542" s="280" t="s">
        <v>19286</v>
      </c>
      <c r="D10542" s="281">
        <v>103552.5</v>
      </c>
      <c r="E10542" s="281">
        <v>16202.69</v>
      </c>
      <c r="F10542" s="281">
        <v>59197.24</v>
      </c>
      <c r="G10542" s="281">
        <v>28152.57</v>
      </c>
      <c r="H10542" s="282">
        <v>608036.57999999996</v>
      </c>
      <c r="I10542" s="282">
        <v>186338.32</v>
      </c>
      <c r="J10542" s="282">
        <v>314385.24</v>
      </c>
      <c r="K10542" s="282">
        <v>107313.02</v>
      </c>
      <c r="L10542" s="43">
        <v>5.8717711305859339</v>
      </c>
      <c r="M10542" s="43">
        <v>11.500455788514129</v>
      </c>
      <c r="N10542" s="43">
        <v>5.3108090850181533</v>
      </c>
      <c r="O10542" s="43">
        <v>3.8118374272757336</v>
      </c>
      <c r="P10542" s="283"/>
      <c r="Q10542" s="283"/>
      <c r="R10542" s="283">
        <v>2</v>
      </c>
    </row>
    <row r="10543" spans="1:18" ht="24">
      <c r="A10543" s="279">
        <v>127</v>
      </c>
      <c r="B10543" s="276" t="s">
        <v>19287</v>
      </c>
      <c r="C10543" s="280" t="s">
        <v>19288</v>
      </c>
      <c r="D10543" s="281">
        <v>172382.36</v>
      </c>
      <c r="E10543" s="281">
        <v>27685.35</v>
      </c>
      <c r="F10543" s="281">
        <v>99076.5</v>
      </c>
      <c r="G10543" s="281">
        <v>45620.51</v>
      </c>
      <c r="H10543" s="282">
        <v>1026635</v>
      </c>
      <c r="I10543" s="282">
        <v>318394.45</v>
      </c>
      <c r="J10543" s="282">
        <v>524993.28000000003</v>
      </c>
      <c r="K10543" s="282">
        <v>183247.27</v>
      </c>
      <c r="L10543" s="43">
        <v>5.9555687716538985</v>
      </c>
      <c r="M10543" s="43">
        <v>11.500466853408032</v>
      </c>
      <c r="N10543" s="43">
        <v>5.2988678445443673</v>
      </c>
      <c r="O10543" s="43">
        <v>4.016773815110791</v>
      </c>
      <c r="P10543" s="283"/>
      <c r="Q10543" s="283"/>
      <c r="R10543" s="283">
        <v>2</v>
      </c>
    </row>
    <row r="10544" spans="1:18" ht="36">
      <c r="A10544" s="279">
        <v>128</v>
      </c>
      <c r="B10544" s="276" t="s">
        <v>19289</v>
      </c>
      <c r="C10544" s="280" t="s">
        <v>19290</v>
      </c>
      <c r="D10544" s="281">
        <v>60717.94</v>
      </c>
      <c r="E10544" s="281">
        <v>8664.39</v>
      </c>
      <c r="F10544" s="281">
        <v>36992.720000000001</v>
      </c>
      <c r="G10544" s="281">
        <v>15060.83</v>
      </c>
      <c r="H10544" s="282">
        <v>357518.65</v>
      </c>
      <c r="I10544" s="282">
        <v>99644.53</v>
      </c>
      <c r="J10544" s="282">
        <v>193739.9</v>
      </c>
      <c r="K10544" s="282">
        <v>64134.22</v>
      </c>
      <c r="L10544" s="43">
        <v>5.8881880709391661</v>
      </c>
      <c r="M10544" s="43">
        <v>11.50046685340803</v>
      </c>
      <c r="N10544" s="43">
        <v>5.237243976652703</v>
      </c>
      <c r="O10544" s="43">
        <v>4.2583456555847192</v>
      </c>
      <c r="P10544" s="283"/>
      <c r="Q10544" s="283"/>
      <c r="R10544" s="283">
        <v>2</v>
      </c>
    </row>
    <row r="10545" spans="1:18" ht="24">
      <c r="A10545" s="279">
        <v>129</v>
      </c>
      <c r="B10545" s="276" t="s">
        <v>19291</v>
      </c>
      <c r="C10545" s="280" t="s">
        <v>19292</v>
      </c>
      <c r="D10545" s="281">
        <v>4863.05</v>
      </c>
      <c r="E10545" s="281">
        <v>1184.76</v>
      </c>
      <c r="F10545" s="281">
        <v>2478.4899999999998</v>
      </c>
      <c r="G10545" s="281">
        <v>1199.8</v>
      </c>
      <c r="H10545" s="282">
        <v>31712.29</v>
      </c>
      <c r="I10545" s="282">
        <v>13625.28</v>
      </c>
      <c r="J10545" s="282">
        <v>13322.76</v>
      </c>
      <c r="K10545" s="282">
        <v>4764.25</v>
      </c>
      <c r="L10545" s="43">
        <v>6.5210701103217117</v>
      </c>
      <c r="M10545" s="43">
        <v>11.500455788514131</v>
      </c>
      <c r="N10545" s="43">
        <v>5.3753535418742873</v>
      </c>
      <c r="O10545" s="43">
        <v>3.970870145024171</v>
      </c>
      <c r="P10545" s="283"/>
      <c r="Q10545" s="283"/>
      <c r="R10545" s="283">
        <v>2</v>
      </c>
    </row>
    <row r="10546" spans="1:18" ht="24">
      <c r="A10546" s="279">
        <v>130</v>
      </c>
      <c r="B10546" s="276" t="s">
        <v>19293</v>
      </c>
      <c r="C10546" s="280" t="s">
        <v>19294</v>
      </c>
      <c r="D10546" s="281">
        <v>5377.14</v>
      </c>
      <c r="E10546" s="281">
        <v>1404.16</v>
      </c>
      <c r="F10546" s="281">
        <v>2458.1999999999998</v>
      </c>
      <c r="G10546" s="281">
        <v>1514.78</v>
      </c>
      <c r="H10546" s="282">
        <v>35493.94</v>
      </c>
      <c r="I10546" s="282">
        <v>16148.48</v>
      </c>
      <c r="J10546" s="282">
        <v>13262.64</v>
      </c>
      <c r="K10546" s="282">
        <v>6082.82</v>
      </c>
      <c r="L10546" s="43">
        <v>6.6008956434089496</v>
      </c>
      <c r="M10546" s="43">
        <v>11.500455788514129</v>
      </c>
      <c r="N10546" s="43">
        <v>5.3952648279228708</v>
      </c>
      <c r="O10546" s="43">
        <v>4.0156458363590755</v>
      </c>
      <c r="P10546" s="283"/>
      <c r="Q10546" s="283"/>
      <c r="R10546" s="283">
        <v>2</v>
      </c>
    </row>
    <row r="10547" spans="1:18" ht="24">
      <c r="A10547" s="279">
        <v>131</v>
      </c>
      <c r="B10547" s="276" t="s">
        <v>19295</v>
      </c>
      <c r="C10547" s="280" t="s">
        <v>19296</v>
      </c>
      <c r="D10547" s="281">
        <v>8217.9500000000007</v>
      </c>
      <c r="E10547" s="281">
        <v>1886.16</v>
      </c>
      <c r="F10547" s="281">
        <v>4225.6099999999997</v>
      </c>
      <c r="G10547" s="281">
        <v>2106.1799999999998</v>
      </c>
      <c r="H10547" s="282">
        <v>52704.87</v>
      </c>
      <c r="I10547" s="282">
        <v>21690.84</v>
      </c>
      <c r="J10547" s="282">
        <v>22629.63</v>
      </c>
      <c r="K10547" s="282">
        <v>8384.4</v>
      </c>
      <c r="L10547" s="43">
        <v>6.4133841164767365</v>
      </c>
      <c r="M10547" s="43">
        <v>11.5</v>
      </c>
      <c r="N10547" s="43">
        <v>5.3553522450013142</v>
      </c>
      <c r="O10547" s="43">
        <v>3.9808563370652084</v>
      </c>
      <c r="P10547" s="283"/>
      <c r="Q10547" s="283"/>
      <c r="R10547" s="283">
        <v>2</v>
      </c>
    </row>
    <row r="10548" spans="1:18" ht="24">
      <c r="A10548" s="279">
        <v>132</v>
      </c>
      <c r="B10548" s="276" t="s">
        <v>19297</v>
      </c>
      <c r="C10548" s="280" t="s">
        <v>19298</v>
      </c>
      <c r="D10548" s="281">
        <v>17451.52</v>
      </c>
      <c r="E10548" s="281">
        <v>3320.1</v>
      </c>
      <c r="F10548" s="281">
        <v>9458.2000000000007</v>
      </c>
      <c r="G10548" s="281">
        <v>4673.22</v>
      </c>
      <c r="H10548" s="282">
        <v>106723.34</v>
      </c>
      <c r="I10548" s="282">
        <v>38182.699999999997</v>
      </c>
      <c r="J10548" s="282">
        <v>50665.5</v>
      </c>
      <c r="K10548" s="282">
        <v>17875.14</v>
      </c>
      <c r="L10548" s="43">
        <v>6.1154180266246145</v>
      </c>
      <c r="M10548" s="43">
        <v>11.50046685340803</v>
      </c>
      <c r="N10548" s="43">
        <v>5.3567803598993464</v>
      </c>
      <c r="O10548" s="43">
        <v>3.8250157279135153</v>
      </c>
      <c r="P10548" s="283"/>
      <c r="Q10548" s="283"/>
      <c r="R10548" s="283">
        <v>2</v>
      </c>
    </row>
    <row r="10549" spans="1:18" ht="24">
      <c r="A10549" s="279">
        <v>133</v>
      </c>
      <c r="B10549" s="276" t="s">
        <v>19299</v>
      </c>
      <c r="C10549" s="280" t="s">
        <v>19300</v>
      </c>
      <c r="D10549" s="281">
        <v>27028.32</v>
      </c>
      <c r="E10549" s="281">
        <v>5944.05</v>
      </c>
      <c r="F10549" s="281">
        <v>13790.73</v>
      </c>
      <c r="G10549" s="281">
        <v>7293.54</v>
      </c>
      <c r="H10549" s="282">
        <v>172403.23</v>
      </c>
      <c r="I10549" s="282">
        <v>68359.350000000006</v>
      </c>
      <c r="J10549" s="282">
        <v>73964.740000000005</v>
      </c>
      <c r="K10549" s="282">
        <v>30079.14</v>
      </c>
      <c r="L10549" s="43">
        <v>6.3786143570891571</v>
      </c>
      <c r="M10549" s="43">
        <v>11.50046685340803</v>
      </c>
      <c r="N10549" s="43">
        <v>5.3633665512993156</v>
      </c>
      <c r="O10549" s="43">
        <v>4.1240796650186331</v>
      </c>
      <c r="P10549" s="283"/>
      <c r="Q10549" s="283"/>
      <c r="R10549" s="283">
        <v>2</v>
      </c>
    </row>
    <row r="10550" spans="1:18" ht="24">
      <c r="A10550" s="279">
        <v>134</v>
      </c>
      <c r="B10550" s="276" t="s">
        <v>19301</v>
      </c>
      <c r="C10550" s="280" t="s">
        <v>19302</v>
      </c>
      <c r="D10550" s="281">
        <v>6373.32</v>
      </c>
      <c r="E10550" s="281">
        <v>1623.56</v>
      </c>
      <c r="F10550" s="281">
        <v>2973.71</v>
      </c>
      <c r="G10550" s="281">
        <v>1776.05</v>
      </c>
      <c r="H10550" s="282">
        <v>41620.589999999997</v>
      </c>
      <c r="I10550" s="282">
        <v>18671.68</v>
      </c>
      <c r="J10550" s="282">
        <v>16018.24</v>
      </c>
      <c r="K10550" s="282">
        <v>6930.67</v>
      </c>
      <c r="L10550" s="43">
        <v>6.5304409632656135</v>
      </c>
      <c r="M10550" s="43">
        <v>11.500455788514129</v>
      </c>
      <c r="N10550" s="43">
        <v>5.3866180629583917</v>
      </c>
      <c r="O10550" s="43">
        <v>3.9022944173868979</v>
      </c>
      <c r="P10550" s="283"/>
      <c r="Q10550" s="283"/>
      <c r="R10550" s="283">
        <v>2</v>
      </c>
    </row>
    <row r="10551" spans="1:18" ht="24">
      <c r="A10551" s="279">
        <v>135</v>
      </c>
      <c r="B10551" s="276" t="s">
        <v>19303</v>
      </c>
      <c r="C10551" s="280" t="s">
        <v>19304</v>
      </c>
      <c r="D10551" s="281">
        <v>20242.23</v>
      </c>
      <c r="E10551" s="281">
        <v>3780.63</v>
      </c>
      <c r="F10551" s="281">
        <v>10674.39</v>
      </c>
      <c r="G10551" s="281">
        <v>5787.21</v>
      </c>
      <c r="H10551" s="282">
        <v>123369.09</v>
      </c>
      <c r="I10551" s="282">
        <v>43479.01</v>
      </c>
      <c r="J10551" s="282">
        <v>57315.360000000001</v>
      </c>
      <c r="K10551" s="282">
        <v>22574.720000000001</v>
      </c>
      <c r="L10551" s="43">
        <v>6.0946392764038348</v>
      </c>
      <c r="M10551" s="43">
        <v>11.50046685340803</v>
      </c>
      <c r="N10551" s="43">
        <v>5.3694271991186389</v>
      </c>
      <c r="O10551" s="43">
        <v>3.9007950290381723</v>
      </c>
      <c r="P10551" s="283"/>
      <c r="Q10551" s="283"/>
      <c r="R10551" s="283">
        <v>2</v>
      </c>
    </row>
    <row r="10552" spans="1:18" ht="12.75" customHeight="1">
      <c r="A10552" s="628" t="s">
        <v>19305</v>
      </c>
      <c r="B10552" s="629"/>
      <c r="C10552" s="629"/>
      <c r="D10552" s="629"/>
      <c r="E10552" s="629"/>
      <c r="F10552" s="629"/>
      <c r="G10552" s="629"/>
      <c r="H10552" s="629"/>
      <c r="I10552" s="629"/>
      <c r="J10552" s="629"/>
      <c r="K10552" s="629"/>
      <c r="L10552" s="629"/>
      <c r="M10552" s="629"/>
      <c r="N10552" s="629"/>
      <c r="O10552" s="629"/>
      <c r="P10552" s="629"/>
      <c r="Q10552" s="629"/>
      <c r="R10552" s="629"/>
    </row>
    <row r="10553" spans="1:18" ht="12.75" customHeight="1">
      <c r="A10553" s="628" t="s">
        <v>19306</v>
      </c>
      <c r="B10553" s="629"/>
      <c r="C10553" s="629"/>
      <c r="D10553" s="629"/>
      <c r="E10553" s="629"/>
      <c r="F10553" s="629"/>
      <c r="G10553" s="629"/>
      <c r="H10553" s="629"/>
      <c r="I10553" s="629"/>
      <c r="J10553" s="629"/>
      <c r="K10553" s="629"/>
      <c r="L10553" s="629"/>
      <c r="M10553" s="629"/>
      <c r="N10553" s="629"/>
      <c r="O10553" s="629"/>
      <c r="P10553" s="629"/>
      <c r="Q10553" s="629"/>
      <c r="R10553" s="629"/>
    </row>
    <row r="10554" spans="1:18" ht="24">
      <c r="A10554" s="279">
        <v>136</v>
      </c>
      <c r="B10554" s="276" t="s">
        <v>19307</v>
      </c>
      <c r="C10554" s="280" t="s">
        <v>19308</v>
      </c>
      <c r="D10554" s="281">
        <v>1260.8399999999999</v>
      </c>
      <c r="E10554" s="281">
        <v>303.08999999999997</v>
      </c>
      <c r="F10554" s="281">
        <v>521.49</v>
      </c>
      <c r="G10554" s="281">
        <v>436.26</v>
      </c>
      <c r="H10554" s="282">
        <v>7965.25</v>
      </c>
      <c r="I10554" s="282">
        <v>3485.71</v>
      </c>
      <c r="J10554" s="282">
        <v>2820.45</v>
      </c>
      <c r="K10554" s="282">
        <v>1659.09</v>
      </c>
      <c r="L10554" s="43">
        <v>6.3174153738777328</v>
      </c>
      <c r="M10554" s="43">
        <v>11.500577386254909</v>
      </c>
      <c r="N10554" s="43">
        <v>5.4084450325030193</v>
      </c>
      <c r="O10554" s="43">
        <v>3.8029844588089672</v>
      </c>
      <c r="P10554" s="283"/>
      <c r="Q10554" s="283"/>
      <c r="R10554" s="283">
        <v>1</v>
      </c>
    </row>
    <row r="10555" spans="1:18" ht="12.75" customHeight="1">
      <c r="A10555" s="628" t="s">
        <v>19309</v>
      </c>
      <c r="B10555" s="629"/>
      <c r="C10555" s="629"/>
      <c r="D10555" s="629"/>
      <c r="E10555" s="629"/>
      <c r="F10555" s="629"/>
      <c r="G10555" s="629"/>
      <c r="H10555" s="629"/>
      <c r="I10555" s="629"/>
      <c r="J10555" s="629"/>
      <c r="K10555" s="629"/>
      <c r="L10555" s="629"/>
      <c r="M10555" s="629"/>
      <c r="N10555" s="629"/>
      <c r="O10555" s="629"/>
      <c r="P10555" s="629"/>
      <c r="Q10555" s="629"/>
      <c r="R10555" s="629"/>
    </row>
    <row r="10556" spans="1:18" ht="24">
      <c r="A10556" s="279">
        <v>137</v>
      </c>
      <c r="B10556" s="276" t="s">
        <v>19310</v>
      </c>
      <c r="C10556" s="280" t="s">
        <v>19311</v>
      </c>
      <c r="D10556" s="281">
        <v>1561.82</v>
      </c>
      <c r="E10556" s="281">
        <v>492.88</v>
      </c>
      <c r="F10556" s="281">
        <v>628.88</v>
      </c>
      <c r="G10556" s="281">
        <v>440.06</v>
      </c>
      <c r="H10556" s="282">
        <v>10686.82</v>
      </c>
      <c r="I10556" s="282">
        <v>5668.12</v>
      </c>
      <c r="J10556" s="282">
        <v>3315.91</v>
      </c>
      <c r="K10556" s="282">
        <v>1702.79</v>
      </c>
      <c r="L10556" s="43">
        <v>6.8425426745719742</v>
      </c>
      <c r="M10556" s="43">
        <v>11.5</v>
      </c>
      <c r="N10556" s="43">
        <v>5.2727229360132295</v>
      </c>
      <c r="O10556" s="43">
        <v>3.8694496205062947</v>
      </c>
      <c r="P10556" s="283"/>
      <c r="Q10556" s="283"/>
      <c r="R10556" s="283">
        <v>2</v>
      </c>
    </row>
    <row r="10557" spans="1:18" ht="24">
      <c r="A10557" s="279">
        <v>138</v>
      </c>
      <c r="B10557" s="276" t="s">
        <v>19312</v>
      </c>
      <c r="C10557" s="280" t="s">
        <v>19313</v>
      </c>
      <c r="D10557" s="281">
        <v>1945.96</v>
      </c>
      <c r="E10557" s="281">
        <v>630.74</v>
      </c>
      <c r="F10557" s="281">
        <v>872.41</v>
      </c>
      <c r="G10557" s="281">
        <v>442.81</v>
      </c>
      <c r="H10557" s="282">
        <v>13593.32</v>
      </c>
      <c r="I10557" s="282">
        <v>7253.51</v>
      </c>
      <c r="J10557" s="282">
        <v>4605.3900000000003</v>
      </c>
      <c r="K10557" s="282">
        <v>1734.42</v>
      </c>
      <c r="L10557" s="43">
        <v>6.9854056609591151</v>
      </c>
      <c r="M10557" s="43">
        <v>11.5</v>
      </c>
      <c r="N10557" s="43">
        <v>5.2789284854598186</v>
      </c>
      <c r="O10557" s="43">
        <v>3.9168492129807366</v>
      </c>
      <c r="P10557" s="283"/>
      <c r="Q10557" s="283"/>
      <c r="R10557" s="283">
        <v>2</v>
      </c>
    </row>
    <row r="10558" spans="1:18" ht="24">
      <c r="A10558" s="279">
        <v>139</v>
      </c>
      <c r="B10558" s="276" t="s">
        <v>19314</v>
      </c>
      <c r="C10558" s="280" t="s">
        <v>19315</v>
      </c>
      <c r="D10558" s="281">
        <v>2231.3000000000002</v>
      </c>
      <c r="E10558" s="281">
        <v>722.41</v>
      </c>
      <c r="F10558" s="281">
        <v>1064.24</v>
      </c>
      <c r="G10558" s="281">
        <v>444.65</v>
      </c>
      <c r="H10558" s="282">
        <v>15675.89</v>
      </c>
      <c r="I10558" s="282">
        <v>8307.98</v>
      </c>
      <c r="J10558" s="282">
        <v>5612.33</v>
      </c>
      <c r="K10558" s="282">
        <v>1755.58</v>
      </c>
      <c r="L10558" s="43">
        <v>7.0254515304979153</v>
      </c>
      <c r="M10558" s="43">
        <v>11.50036682770172</v>
      </c>
      <c r="N10558" s="43">
        <v>5.2735567165301056</v>
      </c>
      <c r="O10558" s="43">
        <v>3.9482289441133478</v>
      </c>
      <c r="P10558" s="283"/>
      <c r="Q10558" s="283"/>
      <c r="R10558" s="283">
        <v>2</v>
      </c>
    </row>
    <row r="10559" spans="1:18" ht="24">
      <c r="A10559" s="279">
        <v>140</v>
      </c>
      <c r="B10559" s="276" t="s">
        <v>19316</v>
      </c>
      <c r="C10559" s="280" t="s">
        <v>19317</v>
      </c>
      <c r="D10559" s="281">
        <v>183.08</v>
      </c>
      <c r="E10559" s="281">
        <v>78.89</v>
      </c>
      <c r="F10559" s="281">
        <v>73.930000000000007</v>
      </c>
      <c r="G10559" s="281">
        <v>30.26</v>
      </c>
      <c r="H10559" s="282">
        <v>1432.2</v>
      </c>
      <c r="I10559" s="282">
        <v>907.26</v>
      </c>
      <c r="J10559" s="282">
        <v>400.81</v>
      </c>
      <c r="K10559" s="282">
        <v>124.13</v>
      </c>
      <c r="L10559" s="43">
        <v>7.8228097006772996</v>
      </c>
      <c r="M10559" s="43">
        <v>11.500316896945113</v>
      </c>
      <c r="N10559" s="43">
        <v>5.4214797781685373</v>
      </c>
      <c r="O10559" s="43">
        <v>4.102115003304692</v>
      </c>
      <c r="P10559" s="283"/>
      <c r="Q10559" s="283"/>
      <c r="R10559" s="283">
        <v>2</v>
      </c>
    </row>
    <row r="10560" spans="1:18" ht="24">
      <c r="A10560" s="279">
        <v>141</v>
      </c>
      <c r="B10560" s="276" t="s">
        <v>19318</v>
      </c>
      <c r="C10560" s="280" t="s">
        <v>19319</v>
      </c>
      <c r="D10560" s="281">
        <v>447.96</v>
      </c>
      <c r="E10560" s="281">
        <v>109.48</v>
      </c>
      <c r="F10560" s="281">
        <v>164.21</v>
      </c>
      <c r="G10560" s="281">
        <v>174.27</v>
      </c>
      <c r="H10560" s="282">
        <v>2810.18</v>
      </c>
      <c r="I10560" s="282">
        <v>1259.07</v>
      </c>
      <c r="J10560" s="282">
        <v>890.16</v>
      </c>
      <c r="K10560" s="282">
        <v>660.95</v>
      </c>
      <c r="L10560" s="43">
        <v>6.2732833288686489</v>
      </c>
      <c r="M10560" s="43">
        <v>11.500456704420898</v>
      </c>
      <c r="N10560" s="43">
        <v>5.4208635284087441</v>
      </c>
      <c r="O10560" s="43">
        <v>3.7926780283468182</v>
      </c>
      <c r="P10560" s="283"/>
      <c r="Q10560" s="283"/>
      <c r="R10560" s="283">
        <v>2</v>
      </c>
    </row>
    <row r="10561" spans="1:18" ht="24">
      <c r="A10561" s="279">
        <v>142</v>
      </c>
      <c r="B10561" s="276" t="s">
        <v>19320</v>
      </c>
      <c r="C10561" s="280" t="s">
        <v>19321</v>
      </c>
      <c r="D10561" s="281">
        <v>389.8</v>
      </c>
      <c r="E10561" s="281">
        <v>86.11</v>
      </c>
      <c r="F10561" s="281">
        <v>129.88999999999999</v>
      </c>
      <c r="G10561" s="281">
        <v>173.8</v>
      </c>
      <c r="H10561" s="282">
        <v>2349.98</v>
      </c>
      <c r="I10561" s="282">
        <v>990.36</v>
      </c>
      <c r="J10561" s="282">
        <v>704.08</v>
      </c>
      <c r="K10561" s="282">
        <v>655.54</v>
      </c>
      <c r="L10561" s="43">
        <v>6.028681375064135</v>
      </c>
      <c r="M10561" s="43">
        <v>11.501103240041807</v>
      </c>
      <c r="N10561" s="43">
        <v>5.4205866502425142</v>
      </c>
      <c r="O10561" s="43">
        <v>3.7718066743383196</v>
      </c>
      <c r="P10561" s="283"/>
      <c r="Q10561" s="283"/>
      <c r="R10561" s="283">
        <v>2</v>
      </c>
    </row>
    <row r="10562" spans="1:18" ht="24">
      <c r="A10562" s="279">
        <v>143</v>
      </c>
      <c r="B10562" s="276" t="s">
        <v>19322</v>
      </c>
      <c r="C10562" s="280" t="s">
        <v>19323</v>
      </c>
      <c r="D10562" s="281">
        <v>292.38</v>
      </c>
      <c r="E10562" s="281">
        <v>84.07</v>
      </c>
      <c r="F10562" s="281">
        <v>34.549999999999997</v>
      </c>
      <c r="G10562" s="281">
        <v>173.76</v>
      </c>
      <c r="H10562" s="282">
        <v>1809.2</v>
      </c>
      <c r="I10562" s="282">
        <v>966.88</v>
      </c>
      <c r="J10562" s="282">
        <v>187.24</v>
      </c>
      <c r="K10562" s="282">
        <v>655.08000000000004</v>
      </c>
      <c r="L10562" s="43">
        <v>6.1878377453998228</v>
      </c>
      <c r="M10562" s="43">
        <v>11.500892113714762</v>
      </c>
      <c r="N10562" s="43">
        <v>5.4193921852387854</v>
      </c>
      <c r="O10562" s="43">
        <v>3.7700276243093929</v>
      </c>
      <c r="P10562" s="283"/>
      <c r="Q10562" s="283"/>
      <c r="R10562" s="283">
        <v>2</v>
      </c>
    </row>
    <row r="10563" spans="1:18" ht="24">
      <c r="A10563" s="279">
        <v>144</v>
      </c>
      <c r="B10563" s="276" t="s">
        <v>19324</v>
      </c>
      <c r="C10563" s="280" t="s">
        <v>19325</v>
      </c>
      <c r="D10563" s="281">
        <v>377.04</v>
      </c>
      <c r="E10563" s="281">
        <v>128.69</v>
      </c>
      <c r="F10563" s="281">
        <v>73.7</v>
      </c>
      <c r="G10563" s="281">
        <v>174.65</v>
      </c>
      <c r="H10563" s="282">
        <v>2544.89</v>
      </c>
      <c r="I10563" s="282">
        <v>1479.97</v>
      </c>
      <c r="J10563" s="282">
        <v>399.6</v>
      </c>
      <c r="K10563" s="282">
        <v>665.32</v>
      </c>
      <c r="L10563" s="43">
        <v>6.7496552089963924</v>
      </c>
      <c r="M10563" s="43">
        <v>11.50027197140415</v>
      </c>
      <c r="N10563" s="43">
        <v>5.4219810040705561</v>
      </c>
      <c r="O10563" s="43">
        <v>3.8094474663612941</v>
      </c>
      <c r="P10563" s="283"/>
      <c r="Q10563" s="283"/>
      <c r="R10563" s="283">
        <v>2</v>
      </c>
    </row>
    <row r="10564" spans="1:18" ht="24">
      <c r="A10564" s="279">
        <v>145</v>
      </c>
      <c r="B10564" s="276" t="s">
        <v>19326</v>
      </c>
      <c r="C10564" s="280" t="s">
        <v>19327</v>
      </c>
      <c r="D10564" s="281">
        <v>589.35</v>
      </c>
      <c r="E10564" s="281">
        <v>142.75</v>
      </c>
      <c r="F10564" s="281">
        <v>271.67</v>
      </c>
      <c r="G10564" s="281">
        <v>174.93</v>
      </c>
      <c r="H10564" s="282">
        <v>3801.56</v>
      </c>
      <c r="I10564" s="282">
        <v>1641.6</v>
      </c>
      <c r="J10564" s="282">
        <v>1491.42</v>
      </c>
      <c r="K10564" s="282">
        <v>668.54</v>
      </c>
      <c r="L10564" s="43">
        <v>6.4504284381097818</v>
      </c>
      <c r="M10564" s="43">
        <v>11.499824868651489</v>
      </c>
      <c r="N10564" s="43">
        <v>5.48982221077042</v>
      </c>
      <c r="O10564" s="43">
        <v>3.8217572743383066</v>
      </c>
      <c r="P10564" s="283"/>
      <c r="Q10564" s="283"/>
      <c r="R10564" s="283">
        <v>2</v>
      </c>
    </row>
    <row r="10565" spans="1:18" ht="24">
      <c r="A10565" s="279">
        <v>146</v>
      </c>
      <c r="B10565" s="276" t="s">
        <v>19328</v>
      </c>
      <c r="C10565" s="280" t="s">
        <v>19329</v>
      </c>
      <c r="D10565" s="281">
        <v>500.54</v>
      </c>
      <c r="E10565" s="281">
        <v>206.82</v>
      </c>
      <c r="F10565" s="281">
        <v>117.5</v>
      </c>
      <c r="G10565" s="281">
        <v>176.22</v>
      </c>
      <c r="H10565" s="282">
        <v>3697.63</v>
      </c>
      <c r="I10565" s="282">
        <v>2378.52</v>
      </c>
      <c r="J10565" s="282">
        <v>635.74</v>
      </c>
      <c r="K10565" s="282">
        <v>683.37</v>
      </c>
      <c r="L10565" s="43">
        <v>7.3872817357254164</v>
      </c>
      <c r="M10565" s="43">
        <v>11.500435161009573</v>
      </c>
      <c r="N10565" s="43">
        <v>5.4105531914893614</v>
      </c>
      <c r="O10565" s="43">
        <v>3.8779366700715014</v>
      </c>
      <c r="P10565" s="283"/>
      <c r="Q10565" s="283"/>
      <c r="R10565" s="283">
        <v>2</v>
      </c>
    </row>
    <row r="10566" spans="1:18" ht="24">
      <c r="A10566" s="279">
        <v>147</v>
      </c>
      <c r="B10566" s="276" t="s">
        <v>19330</v>
      </c>
      <c r="C10566" s="280" t="s">
        <v>19331</v>
      </c>
      <c r="D10566" s="281">
        <v>397.01</v>
      </c>
      <c r="E10566" s="281">
        <v>136.53</v>
      </c>
      <c r="F10566" s="281">
        <v>85.67</v>
      </c>
      <c r="G10566" s="281">
        <v>174.81</v>
      </c>
      <c r="H10566" s="282">
        <v>2701.33</v>
      </c>
      <c r="I10566" s="282">
        <v>1570.1</v>
      </c>
      <c r="J10566" s="282">
        <v>464.07</v>
      </c>
      <c r="K10566" s="282">
        <v>667.16</v>
      </c>
      <c r="L10566" s="43">
        <v>6.8041862925367118</v>
      </c>
      <c r="M10566" s="43">
        <v>11.50003662198784</v>
      </c>
      <c r="N10566" s="43">
        <v>5.4169487568577095</v>
      </c>
      <c r="O10566" s="43">
        <v>3.8164864710256849</v>
      </c>
      <c r="P10566" s="283"/>
      <c r="Q10566" s="283"/>
      <c r="R10566" s="283">
        <v>2</v>
      </c>
    </row>
    <row r="10567" spans="1:18" ht="24">
      <c r="A10567" s="279">
        <v>148</v>
      </c>
      <c r="B10567" s="276" t="s">
        <v>19332</v>
      </c>
      <c r="C10567" s="280" t="s">
        <v>19333</v>
      </c>
      <c r="D10567" s="281">
        <v>564.63</v>
      </c>
      <c r="E10567" s="281">
        <v>224.22</v>
      </c>
      <c r="F10567" s="281">
        <v>163.85</v>
      </c>
      <c r="G10567" s="281">
        <v>176.56</v>
      </c>
      <c r="H10567" s="282">
        <v>4153.12</v>
      </c>
      <c r="I10567" s="282">
        <v>2578.5300000000002</v>
      </c>
      <c r="J10567" s="282">
        <v>887.31</v>
      </c>
      <c r="K10567" s="282">
        <v>687.28</v>
      </c>
      <c r="L10567" s="43">
        <v>7.3554717248463595</v>
      </c>
      <c r="M10567" s="43">
        <v>11.500000000000002</v>
      </c>
      <c r="N10567" s="43">
        <v>5.4153799206591389</v>
      </c>
      <c r="O10567" s="43">
        <v>3.892614408699592</v>
      </c>
      <c r="P10567" s="283"/>
      <c r="Q10567" s="283"/>
      <c r="R10567" s="283">
        <v>2</v>
      </c>
    </row>
    <row r="10568" spans="1:18" ht="36">
      <c r="A10568" s="279">
        <v>149</v>
      </c>
      <c r="B10568" s="276" t="s">
        <v>19334</v>
      </c>
      <c r="C10568" s="280" t="s">
        <v>19335</v>
      </c>
      <c r="D10568" s="281">
        <v>1671.27</v>
      </c>
      <c r="E10568" s="281">
        <v>510.6</v>
      </c>
      <c r="F10568" s="281">
        <v>433.46</v>
      </c>
      <c r="G10568" s="281">
        <v>727.21</v>
      </c>
      <c r="H10568" s="282">
        <v>10987.55</v>
      </c>
      <c r="I10568" s="282">
        <v>5871.9</v>
      </c>
      <c r="J10568" s="282">
        <v>2349.23</v>
      </c>
      <c r="K10568" s="282">
        <v>2766.42</v>
      </c>
      <c r="L10568" s="43">
        <v>6.5743715856803506</v>
      </c>
      <c r="M10568" s="43">
        <v>11.499999999999998</v>
      </c>
      <c r="N10568" s="43">
        <v>5.4197157753887328</v>
      </c>
      <c r="O10568" s="43">
        <v>3.804155608421226</v>
      </c>
      <c r="P10568" s="283"/>
      <c r="Q10568" s="283"/>
      <c r="R10568" s="283">
        <v>2</v>
      </c>
    </row>
    <row r="10569" spans="1:18" ht="24">
      <c r="A10569" s="279">
        <v>150</v>
      </c>
      <c r="B10569" s="276" t="s">
        <v>19336</v>
      </c>
      <c r="C10569" s="280" t="s">
        <v>19337</v>
      </c>
      <c r="D10569" s="281">
        <v>1761.8</v>
      </c>
      <c r="E10569" s="281">
        <v>625.46</v>
      </c>
      <c r="F10569" s="281">
        <v>406.83</v>
      </c>
      <c r="G10569" s="281">
        <v>729.51</v>
      </c>
      <c r="H10569" s="282">
        <v>12181.26</v>
      </c>
      <c r="I10569" s="282">
        <v>7193.13</v>
      </c>
      <c r="J10569" s="282">
        <v>2195.2600000000002</v>
      </c>
      <c r="K10569" s="282">
        <v>2792.87</v>
      </c>
      <c r="L10569" s="43">
        <v>6.9140992167101833</v>
      </c>
      <c r="M10569" s="43">
        <v>11.500543599910465</v>
      </c>
      <c r="N10569" s="43">
        <v>5.3960130767150902</v>
      </c>
      <c r="O10569" s="43">
        <v>3.8284190758180148</v>
      </c>
      <c r="P10569" s="283"/>
      <c r="Q10569" s="283"/>
      <c r="R10569" s="283">
        <v>2</v>
      </c>
    </row>
    <row r="10570" spans="1:18" ht="36">
      <c r="A10570" s="279">
        <v>151</v>
      </c>
      <c r="B10570" s="276" t="s">
        <v>19338</v>
      </c>
      <c r="C10570" s="280" t="s">
        <v>19339</v>
      </c>
      <c r="D10570" s="281">
        <v>1073.5999999999999</v>
      </c>
      <c r="E10570" s="281">
        <v>392.28</v>
      </c>
      <c r="F10570" s="281">
        <v>243.27</v>
      </c>
      <c r="G10570" s="281">
        <v>438.05</v>
      </c>
      <c r="H10570" s="282">
        <v>7508.13</v>
      </c>
      <c r="I10570" s="282">
        <v>4511.17</v>
      </c>
      <c r="J10570" s="282">
        <v>1317.28</v>
      </c>
      <c r="K10570" s="282">
        <v>1679.68</v>
      </c>
      <c r="L10570" s="43">
        <v>6.9934146795827132</v>
      </c>
      <c r="M10570" s="43">
        <v>11.499872540022434</v>
      </c>
      <c r="N10570" s="43">
        <v>5.4148888066757097</v>
      </c>
      <c r="O10570" s="43">
        <v>3.8344481223604614</v>
      </c>
      <c r="P10570" s="283"/>
      <c r="Q10570" s="283"/>
      <c r="R10570" s="283">
        <v>2</v>
      </c>
    </row>
    <row r="10571" spans="1:18" ht="48">
      <c r="A10571" s="279">
        <v>152</v>
      </c>
      <c r="B10571" s="276" t="s">
        <v>19340</v>
      </c>
      <c r="C10571" s="280" t="s">
        <v>19341</v>
      </c>
      <c r="D10571" s="281">
        <v>1887.86</v>
      </c>
      <c r="E10571" s="281">
        <v>684.87</v>
      </c>
      <c r="F10571" s="281">
        <v>472.29</v>
      </c>
      <c r="G10571" s="281">
        <v>730.7</v>
      </c>
      <c r="H10571" s="282">
        <v>13234.87</v>
      </c>
      <c r="I10571" s="282">
        <v>7876.01</v>
      </c>
      <c r="J10571" s="282">
        <v>2552.31</v>
      </c>
      <c r="K10571" s="282">
        <v>2806.55</v>
      </c>
      <c r="L10571" s="43">
        <v>7.0105145508671205</v>
      </c>
      <c r="M10571" s="43">
        <v>11.500007300655598</v>
      </c>
      <c r="N10571" s="43">
        <v>5.4041161150987733</v>
      </c>
      <c r="O10571" s="43">
        <v>3.8409059805665802</v>
      </c>
      <c r="P10571" s="283"/>
      <c r="Q10571" s="283"/>
      <c r="R10571" s="283">
        <v>2</v>
      </c>
    </row>
    <row r="10572" spans="1:18" ht="24">
      <c r="A10572" s="279">
        <v>153</v>
      </c>
      <c r="B10572" s="276" t="s">
        <v>19342</v>
      </c>
      <c r="C10572" s="280" t="s">
        <v>19343</v>
      </c>
      <c r="D10572" s="281">
        <v>616.12</v>
      </c>
      <c r="E10572" s="281">
        <v>286.38</v>
      </c>
      <c r="F10572" s="281">
        <v>151.93</v>
      </c>
      <c r="G10572" s="281">
        <v>177.81</v>
      </c>
      <c r="H10572" s="282">
        <v>4819.0200000000004</v>
      </c>
      <c r="I10572" s="282">
        <v>3293.37</v>
      </c>
      <c r="J10572" s="282">
        <v>823.99</v>
      </c>
      <c r="K10572" s="282">
        <v>701.66</v>
      </c>
      <c r="L10572" s="43">
        <v>7.8215607349217695</v>
      </c>
      <c r="M10572" s="43">
        <v>11.5</v>
      </c>
      <c r="N10572" s="43">
        <v>5.4234844994405318</v>
      </c>
      <c r="O10572" s="43">
        <v>3.9461222653394068</v>
      </c>
      <c r="P10572" s="283"/>
      <c r="Q10572" s="283"/>
      <c r="R10572" s="283">
        <v>2</v>
      </c>
    </row>
    <row r="10573" spans="1:18" ht="24">
      <c r="A10573" s="279">
        <v>154</v>
      </c>
      <c r="B10573" s="276" t="s">
        <v>19344</v>
      </c>
      <c r="C10573" s="280" t="s">
        <v>19345</v>
      </c>
      <c r="D10573" s="281">
        <v>596.59</v>
      </c>
      <c r="E10573" s="281">
        <v>77.03</v>
      </c>
      <c r="F10573" s="281">
        <v>264.14</v>
      </c>
      <c r="G10573" s="281">
        <v>255.42</v>
      </c>
      <c r="H10573" s="282">
        <v>3270.62</v>
      </c>
      <c r="I10573" s="282">
        <v>885.89</v>
      </c>
      <c r="J10573" s="282">
        <v>1365.46</v>
      </c>
      <c r="K10573" s="282">
        <v>1019.27</v>
      </c>
      <c r="L10573" s="43">
        <v>5.4821904490521121</v>
      </c>
      <c r="M10573" s="43">
        <v>11.50058418797871</v>
      </c>
      <c r="N10573" s="43">
        <v>5.1694555917316576</v>
      </c>
      <c r="O10573" s="43">
        <v>3.9905645603320021</v>
      </c>
      <c r="P10573" s="283"/>
      <c r="Q10573" s="283"/>
      <c r="R10573" s="283">
        <v>2</v>
      </c>
    </row>
    <row r="10574" spans="1:18" ht="36">
      <c r="A10574" s="279">
        <v>155</v>
      </c>
      <c r="B10574" s="276" t="s">
        <v>19346</v>
      </c>
      <c r="C10574" s="280" t="s">
        <v>19347</v>
      </c>
      <c r="D10574" s="281">
        <v>73.78</v>
      </c>
      <c r="E10574" s="281">
        <v>69.760000000000005</v>
      </c>
      <c r="F10574" s="281">
        <v>2.62</v>
      </c>
      <c r="G10574" s="281">
        <v>1.4</v>
      </c>
      <c r="H10574" s="282">
        <v>832.61</v>
      </c>
      <c r="I10574" s="282">
        <v>802.28</v>
      </c>
      <c r="J10574" s="282">
        <v>14.23</v>
      </c>
      <c r="K10574" s="282">
        <v>16.100000000000001</v>
      </c>
      <c r="L10574" s="43">
        <v>11.285036595283275</v>
      </c>
      <c r="M10574" s="43">
        <v>11.500573394495412</v>
      </c>
      <c r="N10574" s="43">
        <v>5.4312977099236637</v>
      </c>
      <c r="O10574" s="43">
        <v>11.500000000000002</v>
      </c>
      <c r="P10574" s="283"/>
      <c r="Q10574" s="283"/>
      <c r="R10574" s="283">
        <v>2</v>
      </c>
    </row>
    <row r="10575" spans="1:18" ht="24">
      <c r="A10575" s="279">
        <v>156</v>
      </c>
      <c r="B10575" s="276" t="s">
        <v>19348</v>
      </c>
      <c r="C10575" s="280" t="s">
        <v>19349</v>
      </c>
      <c r="D10575" s="281">
        <v>489.17</v>
      </c>
      <c r="E10575" s="281">
        <v>202.32</v>
      </c>
      <c r="F10575" s="281">
        <v>110.72</v>
      </c>
      <c r="G10575" s="281">
        <v>176.13</v>
      </c>
      <c r="H10575" s="282">
        <v>3608.4</v>
      </c>
      <c r="I10575" s="282">
        <v>2326.6799999999998</v>
      </c>
      <c r="J10575" s="282">
        <v>599.38</v>
      </c>
      <c r="K10575" s="282">
        <v>682.34</v>
      </c>
      <c r="L10575" s="43">
        <v>7.3765766502442913</v>
      </c>
      <c r="M10575" s="43">
        <v>11.5</v>
      </c>
      <c r="N10575" s="43">
        <v>5.4134754335260116</v>
      </c>
      <c r="O10575" s="43">
        <v>3.8740702889910863</v>
      </c>
      <c r="P10575" s="283"/>
      <c r="Q10575" s="283"/>
      <c r="R10575" s="283">
        <v>2</v>
      </c>
    </row>
    <row r="10576" spans="1:18" ht="24">
      <c r="A10576" s="279">
        <v>157</v>
      </c>
      <c r="B10576" s="276" t="s">
        <v>19350</v>
      </c>
      <c r="C10576" s="280" t="s">
        <v>19351</v>
      </c>
      <c r="D10576" s="281">
        <v>622.4</v>
      </c>
      <c r="E10576" s="281">
        <v>257.8</v>
      </c>
      <c r="F10576" s="281">
        <v>187.36</v>
      </c>
      <c r="G10576" s="281">
        <v>177.24</v>
      </c>
      <c r="H10576" s="282">
        <v>4673.8999999999996</v>
      </c>
      <c r="I10576" s="282">
        <v>2964.76</v>
      </c>
      <c r="J10576" s="282">
        <v>1014.04</v>
      </c>
      <c r="K10576" s="282">
        <v>695.1</v>
      </c>
      <c r="L10576" s="43">
        <v>7.5094794344473002</v>
      </c>
      <c r="M10576" s="43">
        <v>11.50023273855702</v>
      </c>
      <c r="N10576" s="43">
        <v>5.4122544833475654</v>
      </c>
      <c r="O10576" s="43">
        <v>3.9218009478672986</v>
      </c>
      <c r="P10576" s="283"/>
      <c r="Q10576" s="283"/>
      <c r="R10576" s="283">
        <v>2</v>
      </c>
    </row>
    <row r="10577" spans="1:18" ht="24">
      <c r="A10577" s="279">
        <v>158</v>
      </c>
      <c r="B10577" s="276" t="s">
        <v>19352</v>
      </c>
      <c r="C10577" s="280" t="s">
        <v>19353</v>
      </c>
      <c r="D10577" s="281">
        <v>340.52</v>
      </c>
      <c r="E10577" s="281">
        <v>131.72999999999999</v>
      </c>
      <c r="F10577" s="281">
        <v>34.08</v>
      </c>
      <c r="G10577" s="281">
        <v>174.71</v>
      </c>
      <c r="H10577" s="282">
        <v>2365.8200000000002</v>
      </c>
      <c r="I10577" s="282">
        <v>1514.99</v>
      </c>
      <c r="J10577" s="282">
        <v>184.82</v>
      </c>
      <c r="K10577" s="282">
        <v>666.01</v>
      </c>
      <c r="L10577" s="43">
        <v>6.9476682720545053</v>
      </c>
      <c r="M10577" s="43">
        <v>11.500721172094437</v>
      </c>
      <c r="N10577" s="43">
        <v>5.4231220657276999</v>
      </c>
      <c r="O10577" s="43">
        <v>3.8120886039722968</v>
      </c>
      <c r="P10577" s="283"/>
      <c r="Q10577" s="283"/>
      <c r="R10577" s="283">
        <v>2</v>
      </c>
    </row>
    <row r="10578" spans="1:18" ht="24">
      <c r="A10578" s="279">
        <v>159</v>
      </c>
      <c r="B10578" s="276" t="s">
        <v>19354</v>
      </c>
      <c r="C10578" s="280" t="s">
        <v>19355</v>
      </c>
      <c r="D10578" s="281">
        <v>611.91</v>
      </c>
      <c r="E10578" s="281">
        <v>257.8</v>
      </c>
      <c r="F10578" s="281">
        <v>176.87</v>
      </c>
      <c r="G10578" s="281">
        <v>177.24</v>
      </c>
      <c r="H10578" s="282">
        <v>4617.4799999999996</v>
      </c>
      <c r="I10578" s="282">
        <v>2964.76</v>
      </c>
      <c r="J10578" s="282">
        <v>957.62</v>
      </c>
      <c r="K10578" s="282">
        <v>695.1</v>
      </c>
      <c r="L10578" s="43">
        <v>7.5460116683826053</v>
      </c>
      <c r="M10578" s="43">
        <v>11.50023273855702</v>
      </c>
      <c r="N10578" s="43">
        <v>5.4142590603267937</v>
      </c>
      <c r="O10578" s="43">
        <v>3.9218009478672986</v>
      </c>
      <c r="P10578" s="283"/>
      <c r="Q10578" s="283"/>
      <c r="R10578" s="283">
        <v>2</v>
      </c>
    </row>
    <row r="10579" spans="1:18" ht="24">
      <c r="A10579" s="279">
        <v>160</v>
      </c>
      <c r="B10579" s="276" t="s">
        <v>19356</v>
      </c>
      <c r="C10579" s="280" t="s">
        <v>19357</v>
      </c>
      <c r="D10579" s="281">
        <v>1181.5999999999999</v>
      </c>
      <c r="E10579" s="281">
        <v>406.99</v>
      </c>
      <c r="F10579" s="281">
        <v>336.27</v>
      </c>
      <c r="G10579" s="281">
        <v>438.34</v>
      </c>
      <c r="H10579" s="282">
        <v>8184.16</v>
      </c>
      <c r="I10579" s="282">
        <v>4680.54</v>
      </c>
      <c r="J10579" s="282">
        <v>1820.61</v>
      </c>
      <c r="K10579" s="282">
        <v>1683.01</v>
      </c>
      <c r="L10579" s="43">
        <v>6.9263371699390657</v>
      </c>
      <c r="M10579" s="43">
        <v>11.500380844738199</v>
      </c>
      <c r="N10579" s="43">
        <v>5.4141315014720313</v>
      </c>
      <c r="O10579" s="43">
        <v>3.8395081443628234</v>
      </c>
      <c r="P10579" s="283"/>
      <c r="Q10579" s="283"/>
      <c r="R10579" s="283">
        <v>2</v>
      </c>
    </row>
    <row r="10580" spans="1:18" ht="24">
      <c r="A10580" s="279">
        <v>161</v>
      </c>
      <c r="B10580" s="276" t="s">
        <v>19358</v>
      </c>
      <c r="C10580" s="280" t="s">
        <v>19359</v>
      </c>
      <c r="D10580" s="281">
        <v>1159.3699999999999</v>
      </c>
      <c r="E10580" s="281">
        <v>430.02</v>
      </c>
      <c r="F10580" s="281">
        <v>290.55</v>
      </c>
      <c r="G10580" s="281">
        <v>438.8</v>
      </c>
      <c r="H10580" s="282">
        <v>8208.8700000000008</v>
      </c>
      <c r="I10580" s="282">
        <v>4945.47</v>
      </c>
      <c r="J10580" s="282">
        <v>1575.1</v>
      </c>
      <c r="K10580" s="282">
        <v>1688.3</v>
      </c>
      <c r="L10580" s="43">
        <v>7.0804574898436234</v>
      </c>
      <c r="M10580" s="43">
        <v>11.500558113576114</v>
      </c>
      <c r="N10580" s="43">
        <v>5.4210979177422125</v>
      </c>
      <c r="O10580" s="43">
        <v>3.8475387420237008</v>
      </c>
      <c r="P10580" s="283"/>
      <c r="Q10580" s="283"/>
      <c r="R10580" s="283">
        <v>2</v>
      </c>
    </row>
    <row r="10581" spans="1:18" ht="24">
      <c r="A10581" s="279">
        <v>162</v>
      </c>
      <c r="B10581" s="276" t="s">
        <v>19360</v>
      </c>
      <c r="C10581" s="280" t="s">
        <v>19361</v>
      </c>
      <c r="D10581" s="281">
        <v>681.38</v>
      </c>
      <c r="E10581" s="281">
        <v>321.49</v>
      </c>
      <c r="F10581" s="281">
        <v>181.38</v>
      </c>
      <c r="G10581" s="281">
        <v>178.51</v>
      </c>
      <c r="H10581" s="282">
        <v>5389.7</v>
      </c>
      <c r="I10581" s="282">
        <v>3697.11</v>
      </c>
      <c r="J10581" s="282">
        <v>982.88</v>
      </c>
      <c r="K10581" s="282">
        <v>709.71</v>
      </c>
      <c r="L10581" s="43">
        <v>7.9099768117643601</v>
      </c>
      <c r="M10581" s="43">
        <v>11.499922237083579</v>
      </c>
      <c r="N10581" s="43">
        <v>5.4188995479104642</v>
      </c>
      <c r="O10581" s="43">
        <v>3.9757436558176016</v>
      </c>
      <c r="P10581" s="283"/>
      <c r="Q10581" s="283"/>
      <c r="R10581" s="283">
        <v>2</v>
      </c>
    </row>
    <row r="10582" spans="1:18" ht="24">
      <c r="A10582" s="279">
        <v>163</v>
      </c>
      <c r="B10582" s="276" t="s">
        <v>19362</v>
      </c>
      <c r="C10582" s="280" t="s">
        <v>19363</v>
      </c>
      <c r="D10582" s="281">
        <v>612.64</v>
      </c>
      <c r="E10582" s="281">
        <v>274.17</v>
      </c>
      <c r="F10582" s="281">
        <v>160.91</v>
      </c>
      <c r="G10582" s="281">
        <v>177.56</v>
      </c>
      <c r="H10582" s="282">
        <v>4722.45</v>
      </c>
      <c r="I10582" s="282">
        <v>3152.96</v>
      </c>
      <c r="J10582" s="282">
        <v>870.71</v>
      </c>
      <c r="K10582" s="282">
        <v>698.78</v>
      </c>
      <c r="L10582" s="43">
        <v>7.7083605379994777</v>
      </c>
      <c r="M10582" s="43">
        <v>11.500018236860342</v>
      </c>
      <c r="N10582" s="43">
        <v>5.4111615188614755</v>
      </c>
      <c r="O10582" s="43">
        <v>3.935458436584816</v>
      </c>
      <c r="P10582" s="283"/>
      <c r="Q10582" s="283"/>
      <c r="R10582" s="283">
        <v>2</v>
      </c>
    </row>
    <row r="10583" spans="1:18" ht="24">
      <c r="A10583" s="279">
        <v>164</v>
      </c>
      <c r="B10583" s="276" t="s">
        <v>19364</v>
      </c>
      <c r="C10583" s="280" t="s">
        <v>19365</v>
      </c>
      <c r="D10583" s="281">
        <v>3144.53</v>
      </c>
      <c r="E10583" s="281">
        <v>1263.78</v>
      </c>
      <c r="F10583" s="281">
        <v>1640.37</v>
      </c>
      <c r="G10583" s="281">
        <v>240.38</v>
      </c>
      <c r="H10583" s="282">
        <v>24363.88</v>
      </c>
      <c r="I10583" s="282">
        <v>14534.06</v>
      </c>
      <c r="J10583" s="282">
        <v>8744.4</v>
      </c>
      <c r="K10583" s="282">
        <v>1085.42</v>
      </c>
      <c r="L10583" s="43">
        <v>7.7480195768525029</v>
      </c>
      <c r="M10583" s="43">
        <v>11.50046685340803</v>
      </c>
      <c r="N10583" s="43">
        <v>5.3307485506318697</v>
      </c>
      <c r="O10583" s="43">
        <v>4.5154338963308103</v>
      </c>
      <c r="P10583" s="283"/>
      <c r="Q10583" s="283"/>
      <c r="R10583" s="283">
        <v>2</v>
      </c>
    </row>
    <row r="10584" spans="1:18" ht="24">
      <c r="A10584" s="279">
        <v>165</v>
      </c>
      <c r="B10584" s="276" t="s">
        <v>19366</v>
      </c>
      <c r="C10584" s="280" t="s">
        <v>19367</v>
      </c>
      <c r="D10584" s="281">
        <v>5871.4</v>
      </c>
      <c r="E10584" s="281">
        <v>3859.04</v>
      </c>
      <c r="F10584" s="281">
        <v>1680.41</v>
      </c>
      <c r="G10584" s="281">
        <v>331.95</v>
      </c>
      <c r="H10584" s="282">
        <v>55091.07</v>
      </c>
      <c r="I10584" s="282">
        <v>44378.96</v>
      </c>
      <c r="J10584" s="282">
        <v>8818.25</v>
      </c>
      <c r="K10584" s="282">
        <v>1893.86</v>
      </c>
      <c r="L10584" s="43">
        <v>9.3829529584085574</v>
      </c>
      <c r="M10584" s="43">
        <v>11.5</v>
      </c>
      <c r="N10584" s="43">
        <v>5.2476776500972973</v>
      </c>
      <c r="O10584" s="43">
        <v>5.7052568157855097</v>
      </c>
      <c r="P10584" s="283"/>
      <c r="Q10584" s="283"/>
      <c r="R10584" s="283">
        <v>2</v>
      </c>
    </row>
    <row r="10585" spans="1:18" ht="12.75" customHeight="1">
      <c r="A10585" s="628" t="s">
        <v>19368</v>
      </c>
      <c r="B10585" s="629"/>
      <c r="C10585" s="629"/>
      <c r="D10585" s="629"/>
      <c r="E10585" s="629"/>
      <c r="F10585" s="629"/>
      <c r="G10585" s="629"/>
      <c r="H10585" s="629"/>
      <c r="I10585" s="629"/>
      <c r="J10585" s="629"/>
      <c r="K10585" s="629"/>
      <c r="L10585" s="629"/>
      <c r="M10585" s="629"/>
      <c r="N10585" s="629"/>
      <c r="O10585" s="629"/>
      <c r="P10585" s="629"/>
      <c r="Q10585" s="629"/>
      <c r="R10585" s="629"/>
    </row>
    <row r="10586" spans="1:18" ht="48">
      <c r="A10586" s="279">
        <v>166</v>
      </c>
      <c r="B10586" s="276" t="s">
        <v>19369</v>
      </c>
      <c r="C10586" s="280" t="s">
        <v>19370</v>
      </c>
      <c r="D10586" s="281">
        <v>503.98</v>
      </c>
      <c r="E10586" s="281">
        <v>252.9</v>
      </c>
      <c r="F10586" s="281">
        <v>73.94</v>
      </c>
      <c r="G10586" s="281">
        <v>177.14</v>
      </c>
      <c r="H10586" s="282">
        <v>4002.03</v>
      </c>
      <c r="I10586" s="282">
        <v>2908.35</v>
      </c>
      <c r="J10586" s="282">
        <v>399.73</v>
      </c>
      <c r="K10586" s="282">
        <v>693.95</v>
      </c>
      <c r="L10586" s="43">
        <v>7.9408508274137866</v>
      </c>
      <c r="M10586" s="43">
        <v>11.5</v>
      </c>
      <c r="N10586" s="43">
        <v>5.4061401136056269</v>
      </c>
      <c r="O10586" s="43">
        <v>3.917522863271989</v>
      </c>
      <c r="P10586" s="283"/>
      <c r="Q10586" s="283"/>
      <c r="R10586" s="283">
        <v>3</v>
      </c>
    </row>
    <row r="10587" spans="1:18" ht="48">
      <c r="A10587" s="279">
        <v>167</v>
      </c>
      <c r="B10587" s="276" t="s">
        <v>19371</v>
      </c>
      <c r="C10587" s="280" t="s">
        <v>19372</v>
      </c>
      <c r="D10587" s="281">
        <v>1434.07</v>
      </c>
      <c r="E10587" s="281">
        <v>542.89</v>
      </c>
      <c r="F10587" s="281">
        <v>333.7</v>
      </c>
      <c r="G10587" s="281">
        <v>557.48</v>
      </c>
      <c r="H10587" s="282">
        <v>10787.91</v>
      </c>
      <c r="I10587" s="282">
        <v>6243.26</v>
      </c>
      <c r="J10587" s="282">
        <v>1786.3</v>
      </c>
      <c r="K10587" s="282">
        <v>2758.35</v>
      </c>
      <c r="L10587" s="43">
        <v>7.5225825796509236</v>
      </c>
      <c r="M10587" s="43">
        <v>11.500046049844352</v>
      </c>
      <c r="N10587" s="43">
        <v>5.3530116871441411</v>
      </c>
      <c r="O10587" s="43">
        <v>4.9478905072827724</v>
      </c>
      <c r="P10587" s="283"/>
      <c r="Q10587" s="283"/>
      <c r="R10587" s="283">
        <v>3</v>
      </c>
    </row>
    <row r="10588" spans="1:18" ht="24">
      <c r="A10588" s="279">
        <v>168</v>
      </c>
      <c r="B10588" s="276" t="s">
        <v>19373</v>
      </c>
      <c r="C10588" s="280" t="s">
        <v>19374</v>
      </c>
      <c r="D10588" s="281">
        <v>1264.6099999999999</v>
      </c>
      <c r="E10588" s="281">
        <v>497.57</v>
      </c>
      <c r="F10588" s="281">
        <v>229.31</v>
      </c>
      <c r="G10588" s="281">
        <v>537.73</v>
      </c>
      <c r="H10588" s="282">
        <v>9591.8700000000008</v>
      </c>
      <c r="I10588" s="282">
        <v>5722.03</v>
      </c>
      <c r="J10588" s="282">
        <v>1222.43</v>
      </c>
      <c r="K10588" s="282">
        <v>2647.41</v>
      </c>
      <c r="L10588" s="43">
        <v>7.5848443393615437</v>
      </c>
      <c r="M10588" s="43">
        <v>11.499949755813253</v>
      </c>
      <c r="N10588" s="43">
        <v>5.330905760760543</v>
      </c>
      <c r="O10588" s="43">
        <v>4.9233072359734438</v>
      </c>
      <c r="P10588" s="283"/>
      <c r="Q10588" s="283"/>
      <c r="R10588" s="283">
        <v>3</v>
      </c>
    </row>
    <row r="10589" spans="1:18" ht="24">
      <c r="A10589" s="279">
        <v>169</v>
      </c>
      <c r="B10589" s="276" t="s">
        <v>19375</v>
      </c>
      <c r="C10589" s="280" t="s">
        <v>19376</v>
      </c>
      <c r="D10589" s="281">
        <v>1669.13</v>
      </c>
      <c r="E10589" s="281">
        <v>332.39</v>
      </c>
      <c r="F10589" s="281">
        <v>613.09</v>
      </c>
      <c r="G10589" s="281">
        <v>723.65</v>
      </c>
      <c r="H10589" s="282">
        <v>9927.5</v>
      </c>
      <c r="I10589" s="282">
        <v>3822.65</v>
      </c>
      <c r="J10589" s="282">
        <v>3379.37</v>
      </c>
      <c r="K10589" s="282">
        <v>2725.48</v>
      </c>
      <c r="L10589" s="43">
        <v>5.9477092856757707</v>
      </c>
      <c r="M10589" s="43">
        <v>11.500496404825657</v>
      </c>
      <c r="N10589" s="43">
        <v>5.5120292289875872</v>
      </c>
      <c r="O10589" s="43">
        <v>3.7662958612588961</v>
      </c>
      <c r="P10589" s="283"/>
      <c r="Q10589" s="283"/>
      <c r="R10589" s="283">
        <v>3</v>
      </c>
    </row>
    <row r="10590" spans="1:18" ht="24">
      <c r="A10590" s="279">
        <v>170</v>
      </c>
      <c r="B10590" s="276" t="s">
        <v>19377</v>
      </c>
      <c r="C10590" s="280" t="s">
        <v>19378</v>
      </c>
      <c r="D10590" s="281">
        <v>525.78</v>
      </c>
      <c r="E10590" s="281">
        <v>204.19</v>
      </c>
      <c r="F10590" s="281">
        <v>145.43</v>
      </c>
      <c r="G10590" s="281">
        <v>176.16</v>
      </c>
      <c r="H10590" s="282">
        <v>3822.79</v>
      </c>
      <c r="I10590" s="282">
        <v>2348.23</v>
      </c>
      <c r="J10590" s="282">
        <v>791.88</v>
      </c>
      <c r="K10590" s="282">
        <v>682.68</v>
      </c>
      <c r="L10590" s="43">
        <v>7.2707025752215761</v>
      </c>
      <c r="M10590" s="43">
        <v>11.500220382976639</v>
      </c>
      <c r="N10590" s="43">
        <v>5.4450938595888054</v>
      </c>
      <c r="O10590" s="43">
        <v>3.8753405994550407</v>
      </c>
      <c r="P10590" s="283"/>
      <c r="Q10590" s="283"/>
      <c r="R10590" s="283">
        <v>3</v>
      </c>
    </row>
    <row r="10591" spans="1:18" ht="24">
      <c r="A10591" s="279">
        <v>171</v>
      </c>
      <c r="B10591" s="276" t="s">
        <v>19379</v>
      </c>
      <c r="C10591" s="280" t="s">
        <v>19380</v>
      </c>
      <c r="D10591" s="281">
        <v>1658.17</v>
      </c>
      <c r="E10591" s="281">
        <v>342.54</v>
      </c>
      <c r="F10591" s="281">
        <v>591.78</v>
      </c>
      <c r="G10591" s="281">
        <v>723.85</v>
      </c>
      <c r="H10591" s="282">
        <v>9932.2900000000009</v>
      </c>
      <c r="I10591" s="282">
        <v>3939.26</v>
      </c>
      <c r="J10591" s="282">
        <v>3265.25</v>
      </c>
      <c r="K10591" s="282">
        <v>2727.78</v>
      </c>
      <c r="L10591" s="43">
        <v>5.9899105640555552</v>
      </c>
      <c r="M10591" s="43">
        <v>11.500145968354062</v>
      </c>
      <c r="N10591" s="43">
        <v>5.5176754875122516</v>
      </c>
      <c r="O10591" s="43">
        <v>3.768432686330041</v>
      </c>
      <c r="P10591" s="283"/>
      <c r="Q10591" s="283"/>
      <c r="R10591" s="283">
        <v>3</v>
      </c>
    </row>
    <row r="10592" spans="1:18" ht="24">
      <c r="A10592" s="279">
        <v>172</v>
      </c>
      <c r="B10592" s="276" t="s">
        <v>19381</v>
      </c>
      <c r="C10592" s="280" t="s">
        <v>19382</v>
      </c>
      <c r="D10592" s="281">
        <v>27399.48</v>
      </c>
      <c r="E10592" s="281">
        <v>13942.87</v>
      </c>
      <c r="F10592" s="281">
        <v>5864.35</v>
      </c>
      <c r="G10592" s="281">
        <v>7592.26</v>
      </c>
      <c r="H10592" s="282">
        <v>223956.92</v>
      </c>
      <c r="I10592" s="282">
        <v>160349.35999999999</v>
      </c>
      <c r="J10592" s="282">
        <v>33380.870000000003</v>
      </c>
      <c r="K10592" s="282">
        <v>30226.69</v>
      </c>
      <c r="L10592" s="43">
        <v>8.1737653415320288</v>
      </c>
      <c r="M10592" s="43">
        <v>11.500455788514127</v>
      </c>
      <c r="N10592" s="43">
        <v>5.6921687825590217</v>
      </c>
      <c r="O10592" s="43">
        <v>3.9812506421012976</v>
      </c>
      <c r="P10592" s="283"/>
      <c r="Q10592" s="283"/>
      <c r="R10592" s="283">
        <v>3</v>
      </c>
    </row>
    <row r="10593" spans="1:18" ht="24">
      <c r="A10593" s="279">
        <v>173</v>
      </c>
      <c r="B10593" s="276" t="s">
        <v>19383</v>
      </c>
      <c r="C10593" s="280" t="s">
        <v>19384</v>
      </c>
      <c r="D10593" s="281">
        <v>4054.66</v>
      </c>
      <c r="E10593" s="281">
        <v>1838.4</v>
      </c>
      <c r="F10593" s="281">
        <v>1462.49</v>
      </c>
      <c r="G10593" s="281">
        <v>753.77</v>
      </c>
      <c r="H10593" s="282">
        <v>32358.1</v>
      </c>
      <c r="I10593" s="282">
        <v>21142.400000000001</v>
      </c>
      <c r="J10593" s="282">
        <v>8143.84</v>
      </c>
      <c r="K10593" s="282">
        <v>3071.86</v>
      </c>
      <c r="L10593" s="43">
        <v>7.9804718521405</v>
      </c>
      <c r="M10593" s="43">
        <v>11.500435161009573</v>
      </c>
      <c r="N10593" s="43">
        <v>5.5684756818850047</v>
      </c>
      <c r="O10593" s="43">
        <v>4.0753280178303726</v>
      </c>
      <c r="P10593" s="283"/>
      <c r="Q10593" s="283"/>
      <c r="R10593" s="283">
        <v>3</v>
      </c>
    </row>
    <row r="10594" spans="1:18" ht="24">
      <c r="A10594" s="279">
        <v>174</v>
      </c>
      <c r="B10594" s="276" t="s">
        <v>19385</v>
      </c>
      <c r="C10594" s="280" t="s">
        <v>19386</v>
      </c>
      <c r="D10594" s="281">
        <v>3955.01</v>
      </c>
      <c r="E10594" s="281">
        <v>1964.7</v>
      </c>
      <c r="F10594" s="281">
        <v>1234.02</v>
      </c>
      <c r="G10594" s="281">
        <v>756.29</v>
      </c>
      <c r="H10594" s="282">
        <v>32579.08</v>
      </c>
      <c r="I10594" s="282">
        <v>22594.05</v>
      </c>
      <c r="J10594" s="282">
        <v>6884.19</v>
      </c>
      <c r="K10594" s="282">
        <v>3100.84</v>
      </c>
      <c r="L10594" s="43">
        <v>8.2374203857891644</v>
      </c>
      <c r="M10594" s="43">
        <v>11.5</v>
      </c>
      <c r="N10594" s="43">
        <v>5.5786697136189041</v>
      </c>
      <c r="O10594" s="43">
        <v>4.1000674344497483</v>
      </c>
      <c r="P10594" s="283"/>
      <c r="Q10594" s="283"/>
      <c r="R10594" s="283">
        <v>3</v>
      </c>
    </row>
    <row r="10595" spans="1:18" ht="24">
      <c r="A10595" s="279">
        <v>175</v>
      </c>
      <c r="B10595" s="276" t="s">
        <v>19387</v>
      </c>
      <c r="C10595" s="280" t="s">
        <v>19388</v>
      </c>
      <c r="D10595" s="281">
        <v>2388.87</v>
      </c>
      <c r="E10595" s="281">
        <v>694.4</v>
      </c>
      <c r="F10595" s="281">
        <v>1308.26</v>
      </c>
      <c r="G10595" s="281">
        <v>386.21</v>
      </c>
      <c r="H10595" s="282">
        <v>17239.66</v>
      </c>
      <c r="I10595" s="282">
        <v>7985.93</v>
      </c>
      <c r="J10595" s="282">
        <v>7108.11</v>
      </c>
      <c r="K10595" s="282">
        <v>2145.62</v>
      </c>
      <c r="L10595" s="43">
        <v>7.2166589224193869</v>
      </c>
      <c r="M10595" s="43">
        <v>11.500475230414747</v>
      </c>
      <c r="N10595" s="43">
        <v>5.4332548575971131</v>
      </c>
      <c r="O10595" s="43">
        <v>5.5555785712436236</v>
      </c>
      <c r="P10595" s="283"/>
      <c r="Q10595" s="283"/>
      <c r="R10595" s="283">
        <v>3</v>
      </c>
    </row>
    <row r="10596" spans="1:18" ht="24">
      <c r="A10596" s="279">
        <v>176</v>
      </c>
      <c r="B10596" s="276" t="s">
        <v>19389</v>
      </c>
      <c r="C10596" s="280" t="s">
        <v>19390</v>
      </c>
      <c r="D10596" s="281">
        <v>752.08</v>
      </c>
      <c r="E10596" s="281">
        <v>254.98</v>
      </c>
      <c r="F10596" s="281">
        <v>492</v>
      </c>
      <c r="G10596" s="281">
        <v>5.0999999999999996</v>
      </c>
      <c r="H10596" s="282">
        <v>5671.96</v>
      </c>
      <c r="I10596" s="282">
        <v>2932.39</v>
      </c>
      <c r="J10596" s="282">
        <v>2680.92</v>
      </c>
      <c r="K10596" s="282">
        <v>58.65</v>
      </c>
      <c r="L10596" s="43">
        <v>7.5416976917349219</v>
      </c>
      <c r="M10596" s="43">
        <v>11.50047062514707</v>
      </c>
      <c r="N10596" s="43">
        <v>5.4490243902439026</v>
      </c>
      <c r="O10596" s="43">
        <v>11.5</v>
      </c>
      <c r="P10596" s="283"/>
      <c r="Q10596" s="283"/>
      <c r="R10596" s="283">
        <v>3</v>
      </c>
    </row>
    <row r="10597" spans="1:18" ht="24">
      <c r="A10597" s="279">
        <v>177</v>
      </c>
      <c r="B10597" s="276" t="s">
        <v>19391</v>
      </c>
      <c r="C10597" s="280" t="s">
        <v>19392</v>
      </c>
      <c r="D10597" s="281">
        <v>411.62</v>
      </c>
      <c r="E10597" s="281">
        <v>161.52000000000001</v>
      </c>
      <c r="F10597" s="281">
        <v>246.87</v>
      </c>
      <c r="G10597" s="281">
        <v>3.23</v>
      </c>
      <c r="H10597" s="282">
        <v>3241.02</v>
      </c>
      <c r="I10597" s="282">
        <v>1857.43</v>
      </c>
      <c r="J10597" s="282">
        <v>1346.44</v>
      </c>
      <c r="K10597" s="282">
        <v>37.15</v>
      </c>
      <c r="L10597" s="43">
        <v>7.8738156552159762</v>
      </c>
      <c r="M10597" s="43">
        <v>11.499690440812284</v>
      </c>
      <c r="N10597" s="43">
        <v>5.454044638878762</v>
      </c>
      <c r="O10597" s="43">
        <v>11.5015479876161</v>
      </c>
      <c r="P10597" s="283"/>
      <c r="Q10597" s="283"/>
      <c r="R10597" s="283">
        <v>3</v>
      </c>
    </row>
    <row r="10598" spans="1:18" ht="12.75" customHeight="1">
      <c r="A10598" s="628" t="s">
        <v>19393</v>
      </c>
      <c r="B10598" s="629"/>
      <c r="C10598" s="629"/>
      <c r="D10598" s="629"/>
      <c r="E10598" s="629"/>
      <c r="F10598" s="629"/>
      <c r="G10598" s="629"/>
      <c r="H10598" s="629"/>
      <c r="I10598" s="629"/>
      <c r="J10598" s="629"/>
      <c r="K10598" s="629"/>
      <c r="L10598" s="629"/>
      <c r="M10598" s="629"/>
      <c r="N10598" s="629"/>
      <c r="O10598" s="629"/>
      <c r="P10598" s="629"/>
      <c r="Q10598" s="629"/>
      <c r="R10598" s="629"/>
    </row>
    <row r="10599" spans="1:18" ht="12.75" customHeight="1">
      <c r="A10599" s="628" t="s">
        <v>19394</v>
      </c>
      <c r="B10599" s="629"/>
      <c r="C10599" s="629"/>
      <c r="D10599" s="629"/>
      <c r="E10599" s="629"/>
      <c r="F10599" s="629"/>
      <c r="G10599" s="629"/>
      <c r="H10599" s="629"/>
      <c r="I10599" s="629"/>
      <c r="J10599" s="629"/>
      <c r="K10599" s="629"/>
      <c r="L10599" s="629"/>
      <c r="M10599" s="629"/>
      <c r="N10599" s="629"/>
      <c r="O10599" s="629"/>
      <c r="P10599" s="629"/>
      <c r="Q10599" s="629"/>
      <c r="R10599" s="629"/>
    </row>
    <row r="10600" spans="1:18" ht="24">
      <c r="A10600" s="279">
        <v>178</v>
      </c>
      <c r="B10600" s="276" t="s">
        <v>19395</v>
      </c>
      <c r="C10600" s="280" t="s">
        <v>19396</v>
      </c>
      <c r="D10600" s="281">
        <v>814.63</v>
      </c>
      <c r="E10600" s="281">
        <v>184.28</v>
      </c>
      <c r="F10600" s="281">
        <v>453.22</v>
      </c>
      <c r="G10600" s="281">
        <v>177.13</v>
      </c>
      <c r="H10600" s="282">
        <v>5342.72</v>
      </c>
      <c r="I10600" s="282">
        <v>2119.2199999999998</v>
      </c>
      <c r="J10600" s="282">
        <v>2533.38</v>
      </c>
      <c r="K10600" s="282">
        <v>690.12</v>
      </c>
      <c r="L10600" s="43">
        <v>6.5584621239090142</v>
      </c>
      <c r="M10600" s="43">
        <v>11.499999999999998</v>
      </c>
      <c r="N10600" s="43">
        <v>5.5897356692114206</v>
      </c>
      <c r="O10600" s="43">
        <v>3.8961214926889856</v>
      </c>
      <c r="P10600" s="283"/>
      <c r="Q10600" s="283"/>
      <c r="R10600" s="283">
        <v>1</v>
      </c>
    </row>
    <row r="10601" spans="1:18" ht="24">
      <c r="A10601" s="279">
        <v>179</v>
      </c>
      <c r="B10601" s="276" t="s">
        <v>19397</v>
      </c>
      <c r="C10601" s="280" t="s">
        <v>19398</v>
      </c>
      <c r="D10601" s="281">
        <v>3169.18</v>
      </c>
      <c r="E10601" s="281">
        <v>1765.65</v>
      </c>
      <c r="F10601" s="281">
        <v>936.66</v>
      </c>
      <c r="G10601" s="281">
        <v>466.87</v>
      </c>
      <c r="H10601" s="282">
        <v>27623.16</v>
      </c>
      <c r="I10601" s="282">
        <v>20305.72</v>
      </c>
      <c r="J10601" s="282">
        <v>5310.05</v>
      </c>
      <c r="K10601" s="282">
        <v>2007.39</v>
      </c>
      <c r="L10601" s="43">
        <v>8.7161852592784257</v>
      </c>
      <c r="M10601" s="43">
        <v>11.50042194092827</v>
      </c>
      <c r="N10601" s="43">
        <v>5.6691328763905799</v>
      </c>
      <c r="O10601" s="43">
        <v>4.2996765694947205</v>
      </c>
      <c r="P10601" s="283"/>
      <c r="Q10601" s="283"/>
      <c r="R10601" s="283">
        <v>1</v>
      </c>
    </row>
    <row r="10602" spans="1:18" ht="24">
      <c r="A10602" s="279">
        <v>180</v>
      </c>
      <c r="B10602" s="276" t="s">
        <v>19399</v>
      </c>
      <c r="C10602" s="280" t="s">
        <v>19400</v>
      </c>
      <c r="D10602" s="281">
        <v>4505.92</v>
      </c>
      <c r="E10602" s="281">
        <v>2263.35</v>
      </c>
      <c r="F10602" s="281">
        <v>1474.86</v>
      </c>
      <c r="G10602" s="281">
        <v>767.71</v>
      </c>
      <c r="H10602" s="282">
        <v>37504.550000000003</v>
      </c>
      <c r="I10602" s="282">
        <v>26029.48</v>
      </c>
      <c r="J10602" s="282">
        <v>8257.7800000000007</v>
      </c>
      <c r="K10602" s="282">
        <v>3217.29</v>
      </c>
      <c r="L10602" s="43">
        <v>8.3233945564945682</v>
      </c>
      <c r="M10602" s="43">
        <v>11.50042194092827</v>
      </c>
      <c r="N10602" s="43">
        <v>5.5990263482635649</v>
      </c>
      <c r="O10602" s="43">
        <v>4.1907621367443433</v>
      </c>
      <c r="P10602" s="283"/>
      <c r="Q10602" s="283"/>
      <c r="R10602" s="283">
        <v>1</v>
      </c>
    </row>
    <row r="10603" spans="1:18" ht="24">
      <c r="A10603" s="279">
        <v>181</v>
      </c>
      <c r="B10603" s="276" t="s">
        <v>19401</v>
      </c>
      <c r="C10603" s="280" t="s">
        <v>19402</v>
      </c>
      <c r="D10603" s="281">
        <v>4555.21</v>
      </c>
      <c r="E10603" s="281">
        <v>2252.31</v>
      </c>
      <c r="F10603" s="281">
        <v>1535.41</v>
      </c>
      <c r="G10603" s="281">
        <v>767.49</v>
      </c>
      <c r="H10603" s="282">
        <v>37700.78</v>
      </c>
      <c r="I10603" s="282">
        <v>25902.53</v>
      </c>
      <c r="J10603" s="282">
        <v>8583.49</v>
      </c>
      <c r="K10603" s="282">
        <v>3214.76</v>
      </c>
      <c r="L10603" s="43">
        <v>8.2764087714946175</v>
      </c>
      <c r="M10603" s="43">
        <v>11.500428449014567</v>
      </c>
      <c r="N10603" s="43">
        <v>5.5903569730560561</v>
      </c>
      <c r="O10603" s="43">
        <v>4.1886669533153524</v>
      </c>
      <c r="P10603" s="283"/>
      <c r="Q10603" s="283"/>
      <c r="R10603" s="283">
        <v>1</v>
      </c>
    </row>
    <row r="10604" spans="1:18" ht="24">
      <c r="A10604" s="279">
        <v>182</v>
      </c>
      <c r="B10604" s="276" t="s">
        <v>19403</v>
      </c>
      <c r="C10604" s="280" t="s">
        <v>19404</v>
      </c>
      <c r="D10604" s="281">
        <v>7516.19</v>
      </c>
      <c r="E10604" s="281">
        <v>3932.79</v>
      </c>
      <c r="F10604" s="281">
        <v>1783.26</v>
      </c>
      <c r="G10604" s="281">
        <v>1800.14</v>
      </c>
      <c r="H10604" s="282">
        <v>62752.02</v>
      </c>
      <c r="I10604" s="282">
        <v>45228.77</v>
      </c>
      <c r="J10604" s="282">
        <v>10255.1</v>
      </c>
      <c r="K10604" s="282">
        <v>7268.15</v>
      </c>
      <c r="L10604" s="43">
        <v>8.3489134787704948</v>
      </c>
      <c r="M10604" s="43">
        <v>11.500428449014567</v>
      </c>
      <c r="N10604" s="43">
        <v>5.7507598443300472</v>
      </c>
      <c r="O10604" s="43">
        <v>4.0375470796715804</v>
      </c>
      <c r="P10604" s="283"/>
      <c r="Q10604" s="283"/>
      <c r="R10604" s="283">
        <v>1</v>
      </c>
    </row>
    <row r="10605" spans="1:18" ht="24">
      <c r="A10605" s="279">
        <v>183</v>
      </c>
      <c r="B10605" s="276" t="s">
        <v>19405</v>
      </c>
      <c r="C10605" s="280" t="s">
        <v>19406</v>
      </c>
      <c r="D10605" s="281">
        <v>11333.54</v>
      </c>
      <c r="E10605" s="281">
        <v>4745.37</v>
      </c>
      <c r="F10605" s="281">
        <v>3337.78</v>
      </c>
      <c r="G10605" s="281">
        <v>3250.39</v>
      </c>
      <c r="H10605" s="282">
        <v>85360.75</v>
      </c>
      <c r="I10605" s="282">
        <v>54573.82</v>
      </c>
      <c r="J10605" s="282">
        <v>18033.900000000001</v>
      </c>
      <c r="K10605" s="282">
        <v>12753.03</v>
      </c>
      <c r="L10605" s="43">
        <v>7.5316935397060405</v>
      </c>
      <c r="M10605" s="43">
        <v>11.500435161009573</v>
      </c>
      <c r="N10605" s="43">
        <v>5.4029624480942422</v>
      </c>
      <c r="O10605" s="43">
        <v>3.9235384061604917</v>
      </c>
      <c r="P10605" s="283"/>
      <c r="Q10605" s="283"/>
      <c r="R10605" s="283">
        <v>1</v>
      </c>
    </row>
    <row r="10606" spans="1:18" ht="24">
      <c r="A10606" s="279">
        <v>184</v>
      </c>
      <c r="B10606" s="276" t="s">
        <v>19407</v>
      </c>
      <c r="C10606" s="280" t="s">
        <v>19408</v>
      </c>
      <c r="D10606" s="281">
        <v>17421.099999999999</v>
      </c>
      <c r="E10606" s="281">
        <v>6593.55</v>
      </c>
      <c r="F10606" s="281">
        <v>4242</v>
      </c>
      <c r="G10606" s="281">
        <v>6585.55</v>
      </c>
      <c r="H10606" s="282">
        <v>124123.61</v>
      </c>
      <c r="I10606" s="282">
        <v>75828.649999999994</v>
      </c>
      <c r="J10606" s="282">
        <v>22931.49</v>
      </c>
      <c r="K10606" s="282">
        <v>25363.47</v>
      </c>
      <c r="L10606" s="43">
        <v>7.1249008386382036</v>
      </c>
      <c r="M10606" s="43">
        <v>11.500428449014565</v>
      </c>
      <c r="N10606" s="43">
        <v>5.405820367751061</v>
      </c>
      <c r="O10606" s="43">
        <v>3.8513821928312746</v>
      </c>
      <c r="P10606" s="283"/>
      <c r="Q10606" s="283"/>
      <c r="R10606" s="283">
        <v>1</v>
      </c>
    </row>
    <row r="10607" spans="1:18" ht="24">
      <c r="A10607" s="279">
        <v>185</v>
      </c>
      <c r="B10607" s="276" t="s">
        <v>19409</v>
      </c>
      <c r="C10607" s="280" t="s">
        <v>19410</v>
      </c>
      <c r="D10607" s="281">
        <v>26250.17</v>
      </c>
      <c r="E10607" s="281">
        <v>7772.22</v>
      </c>
      <c r="F10607" s="281">
        <v>7279.35</v>
      </c>
      <c r="G10607" s="281">
        <v>11198.6</v>
      </c>
      <c r="H10607" s="282">
        <v>171139.46</v>
      </c>
      <c r="I10607" s="282">
        <v>89383.86</v>
      </c>
      <c r="J10607" s="282">
        <v>39161.519999999997</v>
      </c>
      <c r="K10607" s="282">
        <v>42594.080000000002</v>
      </c>
      <c r="L10607" s="43">
        <v>6.5195562543023531</v>
      </c>
      <c r="M10607" s="43">
        <v>11.500428449014567</v>
      </c>
      <c r="N10607" s="43">
        <v>5.3798100105091793</v>
      </c>
      <c r="O10607" s="43">
        <v>3.8035182969299735</v>
      </c>
      <c r="P10607" s="283"/>
      <c r="Q10607" s="283"/>
      <c r="R10607" s="283">
        <v>1</v>
      </c>
    </row>
    <row r="10608" spans="1:18" ht="24">
      <c r="A10608" s="279">
        <v>186</v>
      </c>
      <c r="B10608" s="276" t="s">
        <v>19411</v>
      </c>
      <c r="C10608" s="280" t="s">
        <v>19412</v>
      </c>
      <c r="D10608" s="281">
        <v>23349.78</v>
      </c>
      <c r="E10608" s="281">
        <v>7905.12</v>
      </c>
      <c r="F10608" s="281">
        <v>5960.12</v>
      </c>
      <c r="G10608" s="281">
        <v>9484.5400000000009</v>
      </c>
      <c r="H10608" s="282">
        <v>159245.72</v>
      </c>
      <c r="I10608" s="282">
        <v>90912.320000000007</v>
      </c>
      <c r="J10608" s="282">
        <v>32030.57</v>
      </c>
      <c r="K10608" s="282">
        <v>36302.83</v>
      </c>
      <c r="L10608" s="43">
        <v>6.8200094390610966</v>
      </c>
      <c r="M10608" s="43">
        <v>11.500435161009575</v>
      </c>
      <c r="N10608" s="43">
        <v>5.3741485070770389</v>
      </c>
      <c r="O10608" s="43">
        <v>3.8275794081737224</v>
      </c>
      <c r="P10608" s="283"/>
      <c r="Q10608" s="283"/>
      <c r="R10608" s="283">
        <v>1</v>
      </c>
    </row>
    <row r="10609" spans="1:18" ht="24">
      <c r="A10609" s="279">
        <v>187</v>
      </c>
      <c r="B10609" s="276" t="s">
        <v>19413</v>
      </c>
      <c r="C10609" s="280" t="s">
        <v>19414</v>
      </c>
      <c r="D10609" s="281">
        <v>7971.57</v>
      </c>
      <c r="E10609" s="281">
        <v>3372.63</v>
      </c>
      <c r="F10609" s="281">
        <v>3092.05</v>
      </c>
      <c r="G10609" s="281">
        <v>1506.89</v>
      </c>
      <c r="H10609" s="282">
        <v>61398.79</v>
      </c>
      <c r="I10609" s="282">
        <v>38786.69</v>
      </c>
      <c r="J10609" s="282">
        <v>16490.740000000002</v>
      </c>
      <c r="K10609" s="282">
        <v>6121.36</v>
      </c>
      <c r="L10609" s="43">
        <v>7.7022205161593016</v>
      </c>
      <c r="M10609" s="43">
        <v>11.500428449014567</v>
      </c>
      <c r="N10609" s="43">
        <v>5.3332708073931538</v>
      </c>
      <c r="O10609" s="43">
        <v>4.0622474102290145</v>
      </c>
      <c r="P10609" s="283"/>
      <c r="Q10609" s="283"/>
      <c r="R10609" s="283">
        <v>1</v>
      </c>
    </row>
    <row r="10610" spans="1:18" ht="24">
      <c r="A10610" s="279">
        <v>188</v>
      </c>
      <c r="B10610" s="276" t="s">
        <v>19415</v>
      </c>
      <c r="C10610" s="280" t="s">
        <v>19416</v>
      </c>
      <c r="D10610" s="281">
        <v>7616.65</v>
      </c>
      <c r="E10610" s="281">
        <v>3325.95</v>
      </c>
      <c r="F10610" s="281">
        <v>2502.6999999999998</v>
      </c>
      <c r="G10610" s="281">
        <v>1788</v>
      </c>
      <c r="H10610" s="282">
        <v>59372.04</v>
      </c>
      <c r="I10610" s="282">
        <v>38249.85</v>
      </c>
      <c r="J10610" s="282">
        <v>13993.65</v>
      </c>
      <c r="K10610" s="282">
        <v>7128.54</v>
      </c>
      <c r="L10610" s="43">
        <v>7.7950332495257104</v>
      </c>
      <c r="M10610" s="43">
        <v>11.500428449014567</v>
      </c>
      <c r="N10610" s="43">
        <v>5.5914212650337634</v>
      </c>
      <c r="O10610" s="43">
        <v>3.9868791946308724</v>
      </c>
      <c r="P10610" s="283"/>
      <c r="Q10610" s="283"/>
      <c r="R10610" s="283">
        <v>1</v>
      </c>
    </row>
    <row r="10611" spans="1:18" ht="24">
      <c r="A10611" s="279">
        <v>189</v>
      </c>
      <c r="B10611" s="276" t="s">
        <v>19417</v>
      </c>
      <c r="C10611" s="280" t="s">
        <v>19418</v>
      </c>
      <c r="D10611" s="281">
        <v>7788.57</v>
      </c>
      <c r="E10611" s="281">
        <v>3360.96</v>
      </c>
      <c r="F10611" s="281">
        <v>2638.91</v>
      </c>
      <c r="G10611" s="281">
        <v>1788.7</v>
      </c>
      <c r="H10611" s="282">
        <v>60518.8</v>
      </c>
      <c r="I10611" s="282">
        <v>38652.480000000003</v>
      </c>
      <c r="J10611" s="282">
        <v>14729.73</v>
      </c>
      <c r="K10611" s="282">
        <v>7136.59</v>
      </c>
      <c r="L10611" s="43">
        <v>7.7702068544033125</v>
      </c>
      <c r="M10611" s="43">
        <v>11.500428449014569</v>
      </c>
      <c r="N10611" s="43">
        <v>5.5817477670704951</v>
      </c>
      <c r="O10611" s="43">
        <v>3.9898194219265388</v>
      </c>
      <c r="P10611" s="283"/>
      <c r="Q10611" s="283"/>
      <c r="R10611" s="283">
        <v>1</v>
      </c>
    </row>
    <row r="10612" spans="1:18" ht="24">
      <c r="A10612" s="279">
        <v>190</v>
      </c>
      <c r="B10612" s="276" t="s">
        <v>19419</v>
      </c>
      <c r="C10612" s="280" t="s">
        <v>19420</v>
      </c>
      <c r="D10612" s="281">
        <v>8737.9599999999991</v>
      </c>
      <c r="E10612" s="281">
        <v>4306.2299999999996</v>
      </c>
      <c r="F10612" s="281">
        <v>1978.15</v>
      </c>
      <c r="G10612" s="281">
        <v>2453.58</v>
      </c>
      <c r="H10612" s="282">
        <v>70642.34</v>
      </c>
      <c r="I10612" s="282">
        <v>49523.49</v>
      </c>
      <c r="J10612" s="282">
        <v>11374.85</v>
      </c>
      <c r="K10612" s="282">
        <v>9744</v>
      </c>
      <c r="L10612" s="43">
        <v>8.0845346053312213</v>
      </c>
      <c r="M10612" s="43">
        <v>11.500428449014567</v>
      </c>
      <c r="N10612" s="43">
        <v>5.7502464423830348</v>
      </c>
      <c r="O10612" s="43">
        <v>3.971339838114103</v>
      </c>
      <c r="P10612" s="283"/>
      <c r="Q10612" s="283"/>
      <c r="R10612" s="283">
        <v>1</v>
      </c>
    </row>
    <row r="10613" spans="1:18" ht="24">
      <c r="A10613" s="279">
        <v>191</v>
      </c>
      <c r="B10613" s="276" t="s">
        <v>19421</v>
      </c>
      <c r="C10613" s="280" t="s">
        <v>19422</v>
      </c>
      <c r="D10613" s="281">
        <v>8667.9500000000007</v>
      </c>
      <c r="E10613" s="281">
        <v>4329.57</v>
      </c>
      <c r="F10613" s="281">
        <v>1884.33</v>
      </c>
      <c r="G10613" s="281">
        <v>2454.0500000000002</v>
      </c>
      <c r="H10613" s="282">
        <v>70311.98</v>
      </c>
      <c r="I10613" s="282">
        <v>49791.91</v>
      </c>
      <c r="J10613" s="282">
        <v>10770.66</v>
      </c>
      <c r="K10613" s="282">
        <v>9749.41</v>
      </c>
      <c r="L10613" s="43">
        <v>8.1117196107499456</v>
      </c>
      <c r="M10613" s="43">
        <v>11.500428449014569</v>
      </c>
      <c r="N10613" s="43">
        <v>5.7159096336628936</v>
      </c>
      <c r="O10613" s="43">
        <v>3.9727837656119473</v>
      </c>
      <c r="P10613" s="283"/>
      <c r="Q10613" s="283"/>
      <c r="R10613" s="283">
        <v>1</v>
      </c>
    </row>
    <row r="10614" spans="1:18" ht="24">
      <c r="A10614" s="279">
        <v>192</v>
      </c>
      <c r="B10614" s="276" t="s">
        <v>19423</v>
      </c>
      <c r="C10614" s="280" t="s">
        <v>19424</v>
      </c>
      <c r="D10614" s="281">
        <v>12222.51</v>
      </c>
      <c r="E10614" s="281">
        <v>5823.33</v>
      </c>
      <c r="F10614" s="281">
        <v>4560.55</v>
      </c>
      <c r="G10614" s="281">
        <v>1838.63</v>
      </c>
      <c r="H10614" s="282">
        <v>100166.66</v>
      </c>
      <c r="I10614" s="282">
        <v>66970.789999999994</v>
      </c>
      <c r="J10614" s="282">
        <v>25486.94</v>
      </c>
      <c r="K10614" s="282">
        <v>7708.93</v>
      </c>
      <c r="L10614" s="43">
        <v>8.1952610388537224</v>
      </c>
      <c r="M10614" s="43">
        <v>11.500428449014567</v>
      </c>
      <c r="N10614" s="43">
        <v>5.5885671684336318</v>
      </c>
      <c r="O10614" s="43">
        <v>4.1927576510771605</v>
      </c>
      <c r="P10614" s="283"/>
      <c r="Q10614" s="283"/>
      <c r="R10614" s="283">
        <v>1</v>
      </c>
    </row>
    <row r="10615" spans="1:18" ht="24">
      <c r="A10615" s="279">
        <v>193</v>
      </c>
      <c r="B10615" s="276" t="s">
        <v>19425</v>
      </c>
      <c r="C10615" s="280" t="s">
        <v>19426</v>
      </c>
      <c r="D10615" s="281">
        <v>11190.7</v>
      </c>
      <c r="E10615" s="281">
        <v>5776.65</v>
      </c>
      <c r="F10615" s="281">
        <v>3576.36</v>
      </c>
      <c r="G10615" s="281">
        <v>1837.69</v>
      </c>
      <c r="H10615" s="282">
        <v>94291.520000000004</v>
      </c>
      <c r="I10615" s="282">
        <v>66433.95</v>
      </c>
      <c r="J10615" s="282">
        <v>20159.45</v>
      </c>
      <c r="K10615" s="282">
        <v>7698.12</v>
      </c>
      <c r="L10615" s="43">
        <v>8.4258822057601392</v>
      </c>
      <c r="M10615" s="43">
        <v>11.500428449014567</v>
      </c>
      <c r="N10615" s="43">
        <v>5.636862620094174</v>
      </c>
      <c r="O10615" s="43">
        <v>4.1890199108663593</v>
      </c>
      <c r="P10615" s="283"/>
      <c r="Q10615" s="283"/>
      <c r="R10615" s="283">
        <v>1</v>
      </c>
    </row>
    <row r="10616" spans="1:18" ht="24">
      <c r="A10616" s="279">
        <v>194</v>
      </c>
      <c r="B10616" s="276" t="s">
        <v>19427</v>
      </c>
      <c r="C10616" s="280" t="s">
        <v>19428</v>
      </c>
      <c r="D10616" s="281">
        <v>14620.69</v>
      </c>
      <c r="E10616" s="281">
        <v>7375.44</v>
      </c>
      <c r="F10616" s="281">
        <v>4730.28</v>
      </c>
      <c r="G10616" s="281">
        <v>2514.9699999999998</v>
      </c>
      <c r="H10616" s="282">
        <v>121666.84</v>
      </c>
      <c r="I10616" s="282">
        <v>84820.72</v>
      </c>
      <c r="J10616" s="282">
        <v>26396.13</v>
      </c>
      <c r="K10616" s="282">
        <v>10449.99</v>
      </c>
      <c r="L10616" s="43">
        <v>8.3215525395860244</v>
      </c>
      <c r="M10616" s="43">
        <v>11.500428449014567</v>
      </c>
      <c r="N10616" s="43">
        <v>5.5802468352824786</v>
      </c>
      <c r="O10616" s="43">
        <v>4.1551151703598856</v>
      </c>
      <c r="P10616" s="283"/>
      <c r="Q10616" s="283"/>
      <c r="R10616" s="283">
        <v>1</v>
      </c>
    </row>
    <row r="10617" spans="1:18" ht="24">
      <c r="A10617" s="279">
        <v>195</v>
      </c>
      <c r="B10617" s="276" t="s">
        <v>19429</v>
      </c>
      <c r="C10617" s="280" t="s">
        <v>19430</v>
      </c>
      <c r="D10617" s="281">
        <v>15192.78</v>
      </c>
      <c r="E10617" s="281">
        <v>7422.12</v>
      </c>
      <c r="F10617" s="281">
        <v>5254.76</v>
      </c>
      <c r="G10617" s="281">
        <v>2515.9</v>
      </c>
      <c r="H10617" s="282">
        <v>125021.07</v>
      </c>
      <c r="I10617" s="282">
        <v>85357.56</v>
      </c>
      <c r="J10617" s="282">
        <v>29202.83</v>
      </c>
      <c r="K10617" s="282">
        <v>10460.68</v>
      </c>
      <c r="L10617" s="43">
        <v>8.2289791598377651</v>
      </c>
      <c r="M10617" s="43">
        <v>11.500428449014567</v>
      </c>
      <c r="N10617" s="43">
        <v>5.5574050955704921</v>
      </c>
      <c r="O10617" s="43">
        <v>4.1578282125680674</v>
      </c>
      <c r="P10617" s="283"/>
      <c r="Q10617" s="283"/>
      <c r="R10617" s="283">
        <v>1</v>
      </c>
    </row>
    <row r="10618" spans="1:18" ht="24">
      <c r="A10618" s="279">
        <v>196</v>
      </c>
      <c r="B10618" s="276" t="s">
        <v>19431</v>
      </c>
      <c r="C10618" s="280" t="s">
        <v>19432</v>
      </c>
      <c r="D10618" s="281">
        <v>25351.65</v>
      </c>
      <c r="E10618" s="281">
        <v>11211</v>
      </c>
      <c r="F10618" s="281">
        <v>10330.07</v>
      </c>
      <c r="G10618" s="281">
        <v>3810.58</v>
      </c>
      <c r="H10618" s="282">
        <v>199767.81</v>
      </c>
      <c r="I10618" s="282">
        <v>128926.5</v>
      </c>
      <c r="J10618" s="282">
        <v>55005.86</v>
      </c>
      <c r="K10618" s="282">
        <v>15835.45</v>
      </c>
      <c r="L10618" s="43">
        <v>7.8798740910354939</v>
      </c>
      <c r="M10618" s="43">
        <v>11.5</v>
      </c>
      <c r="N10618" s="43">
        <v>5.3248293574002892</v>
      </c>
      <c r="O10618" s="43">
        <v>4.1556534700754222</v>
      </c>
      <c r="P10618" s="283"/>
      <c r="Q10618" s="283"/>
      <c r="R10618" s="283">
        <v>1</v>
      </c>
    </row>
    <row r="10619" spans="1:18" ht="24">
      <c r="A10619" s="279">
        <v>197</v>
      </c>
      <c r="B10619" s="276" t="s">
        <v>19433</v>
      </c>
      <c r="C10619" s="280" t="s">
        <v>19434</v>
      </c>
      <c r="D10619" s="281">
        <v>24288.22</v>
      </c>
      <c r="E10619" s="281">
        <v>11950.08</v>
      </c>
      <c r="F10619" s="281">
        <v>7795.78</v>
      </c>
      <c r="G10619" s="281">
        <v>4542.3599999999997</v>
      </c>
      <c r="H10619" s="282">
        <v>197488.5</v>
      </c>
      <c r="I10619" s="282">
        <v>137431.04000000001</v>
      </c>
      <c r="J10619" s="282">
        <v>41403.040000000001</v>
      </c>
      <c r="K10619" s="282">
        <v>18654.419999999998</v>
      </c>
      <c r="L10619" s="43">
        <v>8.1310404797057991</v>
      </c>
      <c r="M10619" s="43">
        <v>11.500428449014567</v>
      </c>
      <c r="N10619" s="43">
        <v>5.3109554143395536</v>
      </c>
      <c r="O10619" s="43">
        <v>4.1067682878503682</v>
      </c>
      <c r="P10619" s="283"/>
      <c r="Q10619" s="283"/>
      <c r="R10619" s="283">
        <v>1</v>
      </c>
    </row>
    <row r="10620" spans="1:18" ht="24">
      <c r="A10620" s="279">
        <v>198</v>
      </c>
      <c r="B10620" s="276" t="s">
        <v>19435</v>
      </c>
      <c r="C10620" s="280" t="s">
        <v>19436</v>
      </c>
      <c r="D10620" s="281">
        <v>24613.72</v>
      </c>
      <c r="E10620" s="281">
        <v>11476.04</v>
      </c>
      <c r="F10620" s="281">
        <v>9317.7199999999993</v>
      </c>
      <c r="G10620" s="281">
        <v>3819.96</v>
      </c>
      <c r="H10620" s="282">
        <v>197485.6</v>
      </c>
      <c r="I10620" s="282">
        <v>131974.46</v>
      </c>
      <c r="J10620" s="282">
        <v>49578.98</v>
      </c>
      <c r="K10620" s="282">
        <v>15932.16</v>
      </c>
      <c r="L10620" s="43">
        <v>8.023395082092426</v>
      </c>
      <c r="M10620" s="43">
        <v>11.499999999999998</v>
      </c>
      <c r="N10620" s="43">
        <v>5.3209347351068725</v>
      </c>
      <c r="O10620" s="43">
        <v>4.1707661860333616</v>
      </c>
      <c r="P10620" s="283"/>
      <c r="Q10620" s="283"/>
      <c r="R10620" s="283">
        <v>1</v>
      </c>
    </row>
    <row r="10621" spans="1:18" ht="24">
      <c r="A10621" s="279">
        <v>199</v>
      </c>
      <c r="B10621" s="276" t="s">
        <v>19437</v>
      </c>
      <c r="C10621" s="280" t="s">
        <v>19438</v>
      </c>
      <c r="D10621" s="281">
        <v>29538.3</v>
      </c>
      <c r="E10621" s="281">
        <v>12183.48</v>
      </c>
      <c r="F10621" s="281">
        <v>11871.61</v>
      </c>
      <c r="G10621" s="281">
        <v>5483.21</v>
      </c>
      <c r="H10621" s="282">
        <v>225746.3</v>
      </c>
      <c r="I10621" s="282">
        <v>140115.24</v>
      </c>
      <c r="J10621" s="282">
        <v>63443.47</v>
      </c>
      <c r="K10621" s="282">
        <v>22187.59</v>
      </c>
      <c r="L10621" s="43">
        <v>7.6424946594760019</v>
      </c>
      <c r="M10621" s="43">
        <v>11.500428449014567</v>
      </c>
      <c r="N10621" s="43">
        <v>5.3441336095104202</v>
      </c>
      <c r="O10621" s="43">
        <v>4.0464600115625702</v>
      </c>
      <c r="P10621" s="283"/>
      <c r="Q10621" s="283"/>
      <c r="R10621" s="283">
        <v>1</v>
      </c>
    </row>
    <row r="10622" spans="1:18" ht="24">
      <c r="A10622" s="279">
        <v>200</v>
      </c>
      <c r="B10622" s="276" t="s">
        <v>19439</v>
      </c>
      <c r="C10622" s="280" t="s">
        <v>19440</v>
      </c>
      <c r="D10622" s="281">
        <v>29183.5</v>
      </c>
      <c r="E10622" s="281">
        <v>14470.8</v>
      </c>
      <c r="F10622" s="281">
        <v>7968.92</v>
      </c>
      <c r="G10622" s="281">
        <v>6743.78</v>
      </c>
      <c r="H10622" s="282">
        <v>236511.58</v>
      </c>
      <c r="I10622" s="282">
        <v>166420.4</v>
      </c>
      <c r="J10622" s="282">
        <v>42909.93</v>
      </c>
      <c r="K10622" s="282">
        <v>27181.25</v>
      </c>
      <c r="L10622" s="43">
        <v>8.1042911234087747</v>
      </c>
      <c r="M10622" s="43">
        <v>11.500428449014567</v>
      </c>
      <c r="N10622" s="43">
        <v>5.3846606566510893</v>
      </c>
      <c r="O10622" s="43">
        <v>4.0305659437288881</v>
      </c>
      <c r="P10622" s="283"/>
      <c r="Q10622" s="283"/>
      <c r="R10622" s="283">
        <v>1</v>
      </c>
    </row>
    <row r="10623" spans="1:18" ht="24">
      <c r="A10623" s="279">
        <v>201</v>
      </c>
      <c r="B10623" s="276" t="s">
        <v>19441</v>
      </c>
      <c r="C10623" s="280" t="s">
        <v>19442</v>
      </c>
      <c r="D10623" s="281">
        <v>36919.89</v>
      </c>
      <c r="E10623" s="281">
        <v>16081.26</v>
      </c>
      <c r="F10623" s="281">
        <v>11194.64</v>
      </c>
      <c r="G10623" s="281">
        <v>9643.99</v>
      </c>
      <c r="H10623" s="282">
        <v>282881.49</v>
      </c>
      <c r="I10623" s="282">
        <v>184941.38</v>
      </c>
      <c r="J10623" s="282">
        <v>59792.44</v>
      </c>
      <c r="K10623" s="282">
        <v>38147.67</v>
      </c>
      <c r="L10623" s="43">
        <v>7.6620350168973959</v>
      </c>
      <c r="M10623" s="43">
        <v>11.500428449014567</v>
      </c>
      <c r="N10623" s="43">
        <v>5.3411668441325499</v>
      </c>
      <c r="O10623" s="43">
        <v>3.9555899580982561</v>
      </c>
      <c r="P10623" s="283"/>
      <c r="Q10623" s="283"/>
      <c r="R10623" s="283">
        <v>1</v>
      </c>
    </row>
    <row r="10624" spans="1:18" ht="24">
      <c r="A10624" s="279">
        <v>202</v>
      </c>
      <c r="B10624" s="276" t="s">
        <v>19443</v>
      </c>
      <c r="C10624" s="280" t="s">
        <v>19444</v>
      </c>
      <c r="D10624" s="281">
        <v>23766.83</v>
      </c>
      <c r="E10624" s="281">
        <v>3844.08</v>
      </c>
      <c r="F10624" s="281">
        <v>7562.99</v>
      </c>
      <c r="G10624" s="281">
        <v>12359.76</v>
      </c>
      <c r="H10624" s="282">
        <v>133414.95000000001</v>
      </c>
      <c r="I10624" s="282">
        <v>44206.92</v>
      </c>
      <c r="J10624" s="282">
        <v>40909.71</v>
      </c>
      <c r="K10624" s="282">
        <v>48298.32</v>
      </c>
      <c r="L10624" s="43">
        <v>5.6134936800574584</v>
      </c>
      <c r="M10624" s="43">
        <v>11.5</v>
      </c>
      <c r="N10624" s="43">
        <v>5.4091979494882318</v>
      </c>
      <c r="O10624" s="43">
        <v>3.9077069457659372</v>
      </c>
      <c r="P10624" s="283"/>
      <c r="Q10624" s="283"/>
      <c r="R10624" s="283">
        <v>1</v>
      </c>
    </row>
    <row r="10625" spans="1:18" ht="12.75" customHeight="1">
      <c r="A10625" s="628" t="s">
        <v>19445</v>
      </c>
      <c r="B10625" s="629"/>
      <c r="C10625" s="629"/>
      <c r="D10625" s="629"/>
      <c r="E10625" s="629"/>
      <c r="F10625" s="629"/>
      <c r="G10625" s="629"/>
      <c r="H10625" s="629"/>
      <c r="I10625" s="629"/>
      <c r="J10625" s="629"/>
      <c r="K10625" s="629"/>
      <c r="L10625" s="629"/>
      <c r="M10625" s="629"/>
      <c r="N10625" s="629"/>
      <c r="O10625" s="629"/>
      <c r="P10625" s="629"/>
      <c r="Q10625" s="629"/>
      <c r="R10625" s="629"/>
    </row>
    <row r="10626" spans="1:18" ht="12.75" customHeight="1">
      <c r="A10626" s="628" t="s">
        <v>3781</v>
      </c>
      <c r="B10626" s="629"/>
      <c r="C10626" s="629"/>
      <c r="D10626" s="629"/>
      <c r="E10626" s="629"/>
      <c r="F10626" s="629"/>
      <c r="G10626" s="629"/>
      <c r="H10626" s="629"/>
      <c r="I10626" s="629"/>
      <c r="J10626" s="629"/>
      <c r="K10626" s="629"/>
      <c r="L10626" s="629"/>
      <c r="M10626" s="629"/>
      <c r="N10626" s="629"/>
      <c r="O10626" s="629"/>
      <c r="P10626" s="629"/>
      <c r="Q10626" s="629"/>
      <c r="R10626" s="629"/>
    </row>
    <row r="10627" spans="1:18" ht="24">
      <c r="A10627" s="279">
        <v>203</v>
      </c>
      <c r="B10627" s="276" t="s">
        <v>19446</v>
      </c>
      <c r="C10627" s="280" t="s">
        <v>19447</v>
      </c>
      <c r="D10627" s="281">
        <v>3890.18</v>
      </c>
      <c r="E10627" s="281">
        <v>725.12</v>
      </c>
      <c r="F10627" s="281">
        <v>1429.76</v>
      </c>
      <c r="G10627" s="281">
        <v>1735.3</v>
      </c>
      <c r="H10627" s="282">
        <v>22736.14</v>
      </c>
      <c r="I10627" s="282">
        <v>8339.18</v>
      </c>
      <c r="J10627" s="282">
        <v>7872.61</v>
      </c>
      <c r="K10627" s="282">
        <v>6524.35</v>
      </c>
      <c r="L10627" s="43">
        <v>5.8444956274516864</v>
      </c>
      <c r="M10627" s="43">
        <v>11.50041372462489</v>
      </c>
      <c r="N10627" s="43">
        <v>5.5062458034914945</v>
      </c>
      <c r="O10627" s="43">
        <v>3.7597821702299319</v>
      </c>
      <c r="P10627" s="283"/>
      <c r="Q10627" s="283"/>
      <c r="R10627" s="283">
        <v>1</v>
      </c>
    </row>
    <row r="10628" spans="1:18" ht="12.75" customHeight="1">
      <c r="A10628" s="628" t="s">
        <v>19448</v>
      </c>
      <c r="B10628" s="629"/>
      <c r="C10628" s="629"/>
      <c r="D10628" s="629"/>
      <c r="E10628" s="629"/>
      <c r="F10628" s="629"/>
      <c r="G10628" s="629"/>
      <c r="H10628" s="629"/>
      <c r="I10628" s="629"/>
      <c r="J10628" s="629"/>
      <c r="K10628" s="629"/>
      <c r="L10628" s="629"/>
      <c r="M10628" s="629"/>
      <c r="N10628" s="629"/>
      <c r="O10628" s="629"/>
      <c r="P10628" s="629"/>
      <c r="Q10628" s="629"/>
      <c r="R10628" s="629"/>
    </row>
    <row r="10629" spans="1:18" ht="12.75" customHeight="1">
      <c r="A10629" s="628" t="s">
        <v>19449</v>
      </c>
      <c r="B10629" s="629"/>
      <c r="C10629" s="629"/>
      <c r="D10629" s="629"/>
      <c r="E10629" s="629"/>
      <c r="F10629" s="629"/>
      <c r="G10629" s="629"/>
      <c r="H10629" s="629"/>
      <c r="I10629" s="629"/>
      <c r="J10629" s="629"/>
      <c r="K10629" s="629"/>
      <c r="L10629" s="629"/>
      <c r="M10629" s="629"/>
      <c r="N10629" s="629"/>
      <c r="O10629" s="629"/>
      <c r="P10629" s="629"/>
      <c r="Q10629" s="629"/>
      <c r="R10629" s="629"/>
    </row>
    <row r="10630" spans="1:18" ht="24">
      <c r="A10630" s="279">
        <v>204</v>
      </c>
      <c r="B10630" s="276" t="s">
        <v>19450</v>
      </c>
      <c r="C10630" s="280" t="s">
        <v>19451</v>
      </c>
      <c r="D10630" s="281">
        <v>1183.94</v>
      </c>
      <c r="E10630" s="281">
        <v>360.78</v>
      </c>
      <c r="F10630" s="281">
        <v>338.73</v>
      </c>
      <c r="G10630" s="281">
        <v>484.43</v>
      </c>
      <c r="H10630" s="282">
        <v>7950.04</v>
      </c>
      <c r="I10630" s="282">
        <v>4148.95</v>
      </c>
      <c r="J10630" s="282">
        <v>1885.03</v>
      </c>
      <c r="K10630" s="282">
        <v>1916.06</v>
      </c>
      <c r="L10630" s="43">
        <v>6.7149010929607913</v>
      </c>
      <c r="M10630" s="43">
        <v>11.499944564554577</v>
      </c>
      <c r="N10630" s="43">
        <v>5.5649927671006401</v>
      </c>
      <c r="O10630" s="43">
        <v>3.9552876576595173</v>
      </c>
      <c r="P10630" s="283"/>
      <c r="Q10630" s="283"/>
      <c r="R10630" s="283">
        <v>1</v>
      </c>
    </row>
    <row r="10631" spans="1:18" ht="24">
      <c r="A10631" s="279">
        <v>205</v>
      </c>
      <c r="B10631" s="276" t="s">
        <v>19452</v>
      </c>
      <c r="C10631" s="280" t="s">
        <v>19453</v>
      </c>
      <c r="D10631" s="281">
        <v>1346.91</v>
      </c>
      <c r="E10631" s="281">
        <v>320.57</v>
      </c>
      <c r="F10631" s="281">
        <v>401.55</v>
      </c>
      <c r="G10631" s="281">
        <v>624.79</v>
      </c>
      <c r="H10631" s="282">
        <v>8440.1299999999992</v>
      </c>
      <c r="I10631" s="282">
        <v>3686.6</v>
      </c>
      <c r="J10631" s="282">
        <v>2221.83</v>
      </c>
      <c r="K10631" s="282">
        <v>2531.6999999999998</v>
      </c>
      <c r="L10631" s="43">
        <v>6.2662909919742216</v>
      </c>
      <c r="M10631" s="43">
        <v>11.500140374957107</v>
      </c>
      <c r="N10631" s="43">
        <v>5.5331341053418006</v>
      </c>
      <c r="O10631" s="43">
        <v>4.0520814993837933</v>
      </c>
      <c r="P10631" s="283"/>
      <c r="Q10631" s="283"/>
      <c r="R10631" s="283">
        <v>1</v>
      </c>
    </row>
    <row r="10632" spans="1:18" ht="24">
      <c r="A10632" s="279">
        <v>206</v>
      </c>
      <c r="B10632" s="276" t="s">
        <v>19454</v>
      </c>
      <c r="C10632" s="280" t="s">
        <v>19455</v>
      </c>
      <c r="D10632" s="281">
        <v>266.10000000000002</v>
      </c>
      <c r="E10632" s="281">
        <v>127.25</v>
      </c>
      <c r="F10632" s="281">
        <v>88.65</v>
      </c>
      <c r="G10632" s="281">
        <v>50.2</v>
      </c>
      <c r="H10632" s="282">
        <v>2188.85</v>
      </c>
      <c r="I10632" s="282">
        <v>1463.46</v>
      </c>
      <c r="J10632" s="282">
        <v>491.79</v>
      </c>
      <c r="K10632" s="282">
        <v>233.6</v>
      </c>
      <c r="L10632" s="43">
        <v>8.2256670424652381</v>
      </c>
      <c r="M10632" s="43">
        <v>11.500667976424362</v>
      </c>
      <c r="N10632" s="43">
        <v>5.547546531302876</v>
      </c>
      <c r="O10632" s="43">
        <v>4.6533864541832664</v>
      </c>
      <c r="P10632" s="283"/>
      <c r="Q10632" s="283"/>
      <c r="R10632" s="283">
        <v>1</v>
      </c>
    </row>
    <row r="10633" spans="1:18" ht="24">
      <c r="A10633" s="279">
        <v>207</v>
      </c>
      <c r="B10633" s="276" t="s">
        <v>19456</v>
      </c>
      <c r="C10633" s="280" t="s">
        <v>19457</v>
      </c>
      <c r="D10633" s="281">
        <v>811.39</v>
      </c>
      <c r="E10633" s="281">
        <v>236.69</v>
      </c>
      <c r="F10633" s="281">
        <v>211.12</v>
      </c>
      <c r="G10633" s="281">
        <v>363.58</v>
      </c>
      <c r="H10633" s="282">
        <v>5377.82</v>
      </c>
      <c r="I10633" s="282">
        <v>2722.06</v>
      </c>
      <c r="J10633" s="282">
        <v>1168.3399999999999</v>
      </c>
      <c r="K10633" s="282">
        <v>1487.42</v>
      </c>
      <c r="L10633" s="43">
        <v>6.6279101295308047</v>
      </c>
      <c r="M10633" s="43">
        <v>11.500528116946217</v>
      </c>
      <c r="N10633" s="43">
        <v>5.5340090943539213</v>
      </c>
      <c r="O10633" s="43">
        <v>4.0910391110622149</v>
      </c>
      <c r="P10633" s="283"/>
      <c r="Q10633" s="283"/>
      <c r="R10633" s="283">
        <v>1</v>
      </c>
    </row>
    <row r="10634" spans="1:18" ht="12.75" customHeight="1">
      <c r="A10634" s="628" t="s">
        <v>19458</v>
      </c>
      <c r="B10634" s="629"/>
      <c r="C10634" s="629"/>
      <c r="D10634" s="629"/>
      <c r="E10634" s="629"/>
      <c r="F10634" s="629"/>
      <c r="G10634" s="629"/>
      <c r="H10634" s="629"/>
      <c r="I10634" s="629"/>
      <c r="J10634" s="629"/>
      <c r="K10634" s="629"/>
      <c r="L10634" s="629"/>
      <c r="M10634" s="629"/>
      <c r="N10634" s="629"/>
      <c r="O10634" s="629"/>
      <c r="P10634" s="629"/>
      <c r="Q10634" s="629"/>
      <c r="R10634" s="629"/>
    </row>
    <row r="10635" spans="1:18" ht="12.75" customHeight="1">
      <c r="A10635" s="628" t="s">
        <v>19459</v>
      </c>
      <c r="B10635" s="629"/>
      <c r="C10635" s="629"/>
      <c r="D10635" s="629"/>
      <c r="E10635" s="629"/>
      <c r="F10635" s="629"/>
      <c r="G10635" s="629"/>
      <c r="H10635" s="629"/>
      <c r="I10635" s="629"/>
      <c r="J10635" s="629"/>
      <c r="K10635" s="629"/>
      <c r="L10635" s="629"/>
      <c r="M10635" s="629"/>
      <c r="N10635" s="629"/>
      <c r="O10635" s="629"/>
      <c r="P10635" s="629"/>
      <c r="Q10635" s="629"/>
      <c r="R10635" s="629"/>
    </row>
    <row r="10636" spans="1:18" ht="24">
      <c r="A10636" s="279">
        <v>208</v>
      </c>
      <c r="B10636" s="276" t="s">
        <v>19460</v>
      </c>
      <c r="C10636" s="280" t="s">
        <v>19461</v>
      </c>
      <c r="D10636" s="281">
        <v>9551.6200000000008</v>
      </c>
      <c r="E10636" s="281">
        <v>1970.64</v>
      </c>
      <c r="F10636" s="281">
        <v>4792.1499999999996</v>
      </c>
      <c r="G10636" s="281">
        <v>2788.83</v>
      </c>
      <c r="H10636" s="282">
        <v>59129.06</v>
      </c>
      <c r="I10636" s="282">
        <v>22663.279999999999</v>
      </c>
      <c r="J10636" s="282">
        <v>25728.82</v>
      </c>
      <c r="K10636" s="282">
        <v>10736.96</v>
      </c>
      <c r="L10636" s="43">
        <v>6.1904744954259057</v>
      </c>
      <c r="M10636" s="43">
        <v>11.500466853408028</v>
      </c>
      <c r="N10636" s="43">
        <v>5.3689513057813301</v>
      </c>
      <c r="O10636" s="43">
        <v>3.8499872706475475</v>
      </c>
      <c r="P10636" s="283"/>
      <c r="Q10636" s="283"/>
      <c r="R10636" s="283">
        <v>1</v>
      </c>
    </row>
    <row r="10637" spans="1:18" ht="24">
      <c r="A10637" s="279">
        <v>209</v>
      </c>
      <c r="B10637" s="276" t="s">
        <v>19462</v>
      </c>
      <c r="C10637" s="280" t="s">
        <v>19463</v>
      </c>
      <c r="D10637" s="281">
        <v>12392.17</v>
      </c>
      <c r="E10637" s="281">
        <v>3046.04</v>
      </c>
      <c r="F10637" s="281">
        <v>5967.97</v>
      </c>
      <c r="G10637" s="281">
        <v>3378.16</v>
      </c>
      <c r="H10637" s="282">
        <v>80116.69</v>
      </c>
      <c r="I10637" s="282">
        <v>35029.46</v>
      </c>
      <c r="J10637" s="282">
        <v>32034.37</v>
      </c>
      <c r="K10637" s="282">
        <v>13052.86</v>
      </c>
      <c r="L10637" s="43">
        <v>6.4651057885745598</v>
      </c>
      <c r="M10637" s="43">
        <v>11.5</v>
      </c>
      <c r="N10637" s="43">
        <v>5.367716325651771</v>
      </c>
      <c r="O10637" s="43">
        <v>3.8638963222582712</v>
      </c>
      <c r="P10637" s="283"/>
      <c r="Q10637" s="283"/>
      <c r="R10637" s="283">
        <v>1</v>
      </c>
    </row>
    <row r="10638" spans="1:18" ht="24">
      <c r="A10638" s="279">
        <v>210</v>
      </c>
      <c r="B10638" s="276" t="s">
        <v>19464</v>
      </c>
      <c r="C10638" s="280" t="s">
        <v>19465</v>
      </c>
      <c r="D10638" s="281">
        <v>12012.4</v>
      </c>
      <c r="E10638" s="281">
        <v>3035.2</v>
      </c>
      <c r="F10638" s="281">
        <v>5455.86</v>
      </c>
      <c r="G10638" s="281">
        <v>3521.34</v>
      </c>
      <c r="H10638" s="282">
        <v>77748.97</v>
      </c>
      <c r="I10638" s="282">
        <v>34904.800000000003</v>
      </c>
      <c r="J10638" s="282">
        <v>29264.04</v>
      </c>
      <c r="K10638" s="282">
        <v>13580.13</v>
      </c>
      <c r="L10638" s="43">
        <v>6.4723926942159773</v>
      </c>
      <c r="M10638" s="43">
        <v>11.500000000000002</v>
      </c>
      <c r="N10638" s="43">
        <v>5.3637813286997842</v>
      </c>
      <c r="O10638" s="43">
        <v>3.8565233689447762</v>
      </c>
      <c r="P10638" s="283"/>
      <c r="Q10638" s="283"/>
      <c r="R10638" s="283">
        <v>1</v>
      </c>
    </row>
    <row r="10639" spans="1:18" ht="12.75" customHeight="1">
      <c r="A10639" s="628" t="s">
        <v>19144</v>
      </c>
      <c r="B10639" s="629"/>
      <c r="C10639" s="629"/>
      <c r="D10639" s="629"/>
      <c r="E10639" s="629"/>
      <c r="F10639" s="629"/>
      <c r="G10639" s="629"/>
      <c r="H10639" s="629"/>
      <c r="I10639" s="629"/>
      <c r="J10639" s="629"/>
      <c r="K10639" s="629"/>
      <c r="L10639" s="629"/>
      <c r="M10639" s="629"/>
      <c r="N10639" s="629"/>
      <c r="O10639" s="629"/>
      <c r="P10639" s="629"/>
      <c r="Q10639" s="629"/>
      <c r="R10639" s="629"/>
    </row>
    <row r="10640" spans="1:18" ht="24">
      <c r="A10640" s="279">
        <v>211</v>
      </c>
      <c r="B10640" s="276" t="s">
        <v>19466</v>
      </c>
      <c r="C10640" s="280" t="s">
        <v>19467</v>
      </c>
      <c r="D10640" s="281">
        <v>113524.63</v>
      </c>
      <c r="E10640" s="281">
        <v>12888.76</v>
      </c>
      <c r="F10640" s="281">
        <v>57222.09</v>
      </c>
      <c r="G10640" s="281">
        <v>43413.78</v>
      </c>
      <c r="H10640" s="282">
        <v>612253.37</v>
      </c>
      <c r="I10640" s="282">
        <v>148220.74</v>
      </c>
      <c r="J10640" s="282">
        <v>300936.15999999997</v>
      </c>
      <c r="K10640" s="282">
        <v>163096.47</v>
      </c>
      <c r="L10640" s="43">
        <v>5.3931324858755314</v>
      </c>
      <c r="M10640" s="43">
        <v>11.499999999999998</v>
      </c>
      <c r="N10640" s="43">
        <v>5.2590906763454459</v>
      </c>
      <c r="O10640" s="43">
        <v>3.7567903555046347</v>
      </c>
      <c r="P10640" s="283"/>
      <c r="Q10640" s="283"/>
      <c r="R10640" s="283">
        <v>2</v>
      </c>
    </row>
    <row r="10641" spans="1:18" ht="12.75">
      <c r="A10641" s="632" t="s">
        <v>18</v>
      </c>
      <c r="B10641" s="632"/>
      <c r="C10641" s="632"/>
      <c r="D10641" s="277">
        <v>2937701.36</v>
      </c>
      <c r="E10641" s="277">
        <v>823371.1</v>
      </c>
      <c r="F10641" s="277">
        <v>1535505.55</v>
      </c>
      <c r="G10641" s="277">
        <v>578824.71</v>
      </c>
      <c r="H10641" s="278">
        <v>19981913.579999998</v>
      </c>
      <c r="I10641" s="278">
        <v>9468980.25</v>
      </c>
      <c r="J10641" s="278">
        <v>8141324.9400000004</v>
      </c>
      <c r="K10641" s="278">
        <v>2371608.39</v>
      </c>
      <c r="L10641" s="612">
        <v>6.8018873027992193</v>
      </c>
      <c r="M10641" s="612">
        <v>11.500258206779423</v>
      </c>
      <c r="N10641" s="612">
        <v>5.302048527274942</v>
      </c>
      <c r="O10641" s="612">
        <v>4.0972825607255094</v>
      </c>
      <c r="P10641" s="275"/>
      <c r="Q10641" s="275"/>
      <c r="R10641" s="275"/>
    </row>
    <row r="10642" spans="1:18" ht="18">
      <c r="A10642" s="616" t="s">
        <v>19468</v>
      </c>
      <c r="B10642" s="626"/>
      <c r="C10642" s="626"/>
      <c r="D10642" s="626"/>
      <c r="E10642" s="626"/>
      <c r="F10642" s="626"/>
      <c r="G10642" s="626"/>
      <c r="H10642" s="626"/>
      <c r="I10642" s="626"/>
      <c r="J10642" s="626"/>
      <c r="K10642" s="626"/>
      <c r="L10642" s="626"/>
      <c r="M10642" s="626"/>
      <c r="N10642" s="626"/>
      <c r="O10642" s="626"/>
      <c r="P10642" s="626"/>
      <c r="Q10642" s="626"/>
      <c r="R10642" s="627"/>
    </row>
    <row r="10643" spans="1:18" ht="12.75" customHeight="1">
      <c r="A10643" s="630" t="s">
        <v>266</v>
      </c>
      <c r="B10643" s="631"/>
      <c r="C10643" s="631"/>
      <c r="D10643" s="631"/>
      <c r="E10643" s="631"/>
      <c r="F10643" s="631"/>
      <c r="G10643" s="631"/>
      <c r="H10643" s="631"/>
      <c r="I10643" s="631"/>
      <c r="J10643" s="631"/>
      <c r="K10643" s="631"/>
      <c r="L10643" s="631"/>
      <c r="M10643" s="631"/>
      <c r="N10643" s="631"/>
      <c r="O10643" s="631"/>
      <c r="P10643" s="631"/>
      <c r="Q10643" s="631"/>
      <c r="R10643" s="631"/>
    </row>
    <row r="10644" spans="1:18" ht="12.75" customHeight="1">
      <c r="A10644" s="628" t="s">
        <v>19469</v>
      </c>
      <c r="B10644" s="629"/>
      <c r="C10644" s="629"/>
      <c r="D10644" s="629"/>
      <c r="E10644" s="629"/>
      <c r="F10644" s="629"/>
      <c r="G10644" s="629"/>
      <c r="H10644" s="629"/>
      <c r="I10644" s="629"/>
      <c r="J10644" s="629"/>
      <c r="K10644" s="629"/>
      <c r="L10644" s="629"/>
      <c r="M10644" s="629"/>
      <c r="N10644" s="629"/>
      <c r="O10644" s="629"/>
      <c r="P10644" s="629"/>
      <c r="Q10644" s="629"/>
      <c r="R10644" s="629"/>
    </row>
    <row r="10645" spans="1:18" ht="12.75" customHeight="1">
      <c r="A10645" s="628" t="s">
        <v>19470</v>
      </c>
      <c r="B10645" s="629"/>
      <c r="C10645" s="629"/>
      <c r="D10645" s="629"/>
      <c r="E10645" s="629"/>
      <c r="F10645" s="629"/>
      <c r="G10645" s="629"/>
      <c r="H10645" s="629"/>
      <c r="I10645" s="629"/>
      <c r="J10645" s="629"/>
      <c r="K10645" s="629"/>
      <c r="L10645" s="629"/>
      <c r="M10645" s="629"/>
      <c r="N10645" s="629"/>
      <c r="O10645" s="629"/>
      <c r="P10645" s="629"/>
      <c r="Q10645" s="629"/>
      <c r="R10645" s="629"/>
    </row>
    <row r="10646" spans="1:18" ht="36">
      <c r="A10646" s="294">
        <v>1</v>
      </c>
      <c r="B10646" s="291" t="s">
        <v>19471</v>
      </c>
      <c r="C10646" s="295" t="s">
        <v>19472</v>
      </c>
      <c r="D10646" s="296">
        <v>14837.06</v>
      </c>
      <c r="E10646" s="296">
        <v>4466.08</v>
      </c>
      <c r="F10646" s="296">
        <v>5994.78</v>
      </c>
      <c r="G10646" s="296">
        <v>4376.2</v>
      </c>
      <c r="H10646" s="297">
        <v>100939.88</v>
      </c>
      <c r="I10646" s="297">
        <v>51359.92</v>
      </c>
      <c r="J10646" s="297">
        <v>31380.28</v>
      </c>
      <c r="K10646" s="297">
        <v>18199.68</v>
      </c>
      <c r="L10646" s="43">
        <v>6.8032265152260631</v>
      </c>
      <c r="M10646" s="43">
        <v>11.5</v>
      </c>
      <c r="N10646" s="43">
        <v>5.2346007693359891</v>
      </c>
      <c r="O10646" s="43">
        <v>4.1587861615099859</v>
      </c>
      <c r="P10646" s="298"/>
      <c r="Q10646" s="298"/>
      <c r="R10646" s="298">
        <v>1</v>
      </c>
    </row>
    <row r="10647" spans="1:18" ht="36">
      <c r="A10647" s="294">
        <v>2</v>
      </c>
      <c r="B10647" s="291" t="s">
        <v>19473</v>
      </c>
      <c r="C10647" s="295" t="s">
        <v>19474</v>
      </c>
      <c r="D10647" s="296">
        <v>21524.16</v>
      </c>
      <c r="E10647" s="296">
        <v>4455.24</v>
      </c>
      <c r="F10647" s="296">
        <v>12380.01</v>
      </c>
      <c r="G10647" s="296">
        <v>4688.91</v>
      </c>
      <c r="H10647" s="297">
        <v>135917.72</v>
      </c>
      <c r="I10647" s="297">
        <v>51235.26</v>
      </c>
      <c r="J10647" s="297">
        <v>65329.07</v>
      </c>
      <c r="K10647" s="297">
        <v>19353.39</v>
      </c>
      <c r="L10647" s="43">
        <v>6.314658504675676</v>
      </c>
      <c r="M10647" s="43">
        <v>11.500000000000002</v>
      </c>
      <c r="N10647" s="43">
        <v>5.2769803901612358</v>
      </c>
      <c r="O10647" s="43">
        <v>4.1274816535186218</v>
      </c>
      <c r="P10647" s="298"/>
      <c r="Q10647" s="298"/>
      <c r="R10647" s="298">
        <v>1</v>
      </c>
    </row>
    <row r="10648" spans="1:18" ht="36">
      <c r="A10648" s="294">
        <v>3</v>
      </c>
      <c r="B10648" s="291" t="s">
        <v>19475</v>
      </c>
      <c r="C10648" s="295" t="s">
        <v>19476</v>
      </c>
      <c r="D10648" s="296">
        <v>32683.42</v>
      </c>
      <c r="E10648" s="296">
        <v>6536.52</v>
      </c>
      <c r="F10648" s="296">
        <v>20588.59</v>
      </c>
      <c r="G10648" s="296">
        <v>5558.31</v>
      </c>
      <c r="H10648" s="297">
        <v>207032.35</v>
      </c>
      <c r="I10648" s="297">
        <v>75169.98</v>
      </c>
      <c r="J10648" s="297">
        <v>108534.25</v>
      </c>
      <c r="K10648" s="297">
        <v>23328.12</v>
      </c>
      <c r="L10648" s="43">
        <v>6.3344763185737607</v>
      </c>
      <c r="M10648" s="43">
        <v>11.499999999999998</v>
      </c>
      <c r="N10648" s="43">
        <v>5.2715727497609111</v>
      </c>
      <c r="O10648" s="43">
        <v>4.1969807369506196</v>
      </c>
      <c r="P10648" s="298"/>
      <c r="Q10648" s="298"/>
      <c r="R10648" s="298">
        <v>1</v>
      </c>
    </row>
    <row r="10649" spans="1:18" ht="36">
      <c r="A10649" s="294">
        <v>4</v>
      </c>
      <c r="B10649" s="291" t="s">
        <v>19477</v>
      </c>
      <c r="C10649" s="295" t="s">
        <v>19478</v>
      </c>
      <c r="D10649" s="296">
        <v>38381.15</v>
      </c>
      <c r="E10649" s="296">
        <v>7978.24</v>
      </c>
      <c r="F10649" s="296">
        <v>24182.959999999999</v>
      </c>
      <c r="G10649" s="296">
        <v>6219.95</v>
      </c>
      <c r="H10649" s="297">
        <v>246521.17</v>
      </c>
      <c r="I10649" s="297">
        <v>91749.759999999995</v>
      </c>
      <c r="J10649" s="297">
        <v>128770.42</v>
      </c>
      <c r="K10649" s="297">
        <v>26000.99</v>
      </c>
      <c r="L10649" s="43">
        <v>6.4229750802151582</v>
      </c>
      <c r="M10649" s="43">
        <v>11.5</v>
      </c>
      <c r="N10649" s="43">
        <v>5.3248411278023866</v>
      </c>
      <c r="O10649" s="43">
        <v>4.1802570760215119</v>
      </c>
      <c r="P10649" s="298"/>
      <c r="Q10649" s="298"/>
      <c r="R10649" s="298">
        <v>1</v>
      </c>
    </row>
    <row r="10650" spans="1:18" ht="36">
      <c r="A10650" s="294">
        <v>5</v>
      </c>
      <c r="B10650" s="291" t="s">
        <v>19479</v>
      </c>
      <c r="C10650" s="295" t="s">
        <v>19480</v>
      </c>
      <c r="D10650" s="296">
        <v>12997.63</v>
      </c>
      <c r="E10650" s="296">
        <v>1799.08</v>
      </c>
      <c r="F10650" s="296">
        <v>9042.5300000000007</v>
      </c>
      <c r="G10650" s="296">
        <v>2156.02</v>
      </c>
      <c r="H10650" s="297">
        <v>78091.55</v>
      </c>
      <c r="I10650" s="297">
        <v>20690.240000000002</v>
      </c>
      <c r="J10650" s="297">
        <v>49135.28</v>
      </c>
      <c r="K10650" s="297">
        <v>8266.0300000000007</v>
      </c>
      <c r="L10650" s="43">
        <v>6.0081376374000497</v>
      </c>
      <c r="M10650" s="43">
        <v>11.500455788514131</v>
      </c>
      <c r="N10650" s="43">
        <v>5.4337978419756414</v>
      </c>
      <c r="O10650" s="43">
        <v>3.8339301119655667</v>
      </c>
      <c r="P10650" s="298"/>
      <c r="Q10650" s="298"/>
      <c r="R10650" s="298">
        <v>1</v>
      </c>
    </row>
    <row r="10651" spans="1:18" ht="36">
      <c r="A10651" s="294">
        <v>6</v>
      </c>
      <c r="B10651" s="291" t="s">
        <v>19481</v>
      </c>
      <c r="C10651" s="295" t="s">
        <v>19482</v>
      </c>
      <c r="D10651" s="296">
        <v>23545.68</v>
      </c>
      <c r="E10651" s="296">
        <v>2007.51</v>
      </c>
      <c r="F10651" s="296">
        <v>19371.04</v>
      </c>
      <c r="G10651" s="296">
        <v>2167.13</v>
      </c>
      <c r="H10651" s="297">
        <v>131052.2</v>
      </c>
      <c r="I10651" s="297">
        <v>23087.279999999999</v>
      </c>
      <c r="J10651" s="297">
        <v>99622.080000000002</v>
      </c>
      <c r="K10651" s="297">
        <v>8342.84</v>
      </c>
      <c r="L10651" s="43">
        <v>5.5658702573041001</v>
      </c>
      <c r="M10651" s="43">
        <v>11.500455788514129</v>
      </c>
      <c r="N10651" s="43">
        <v>5.1428359034930491</v>
      </c>
      <c r="O10651" s="43">
        <v>3.8497182910116141</v>
      </c>
      <c r="P10651" s="298"/>
      <c r="Q10651" s="298"/>
      <c r="R10651" s="298">
        <v>1</v>
      </c>
    </row>
    <row r="10652" spans="1:18" ht="36">
      <c r="A10652" s="294">
        <v>7</v>
      </c>
      <c r="B10652" s="291" t="s">
        <v>19483</v>
      </c>
      <c r="C10652" s="295" t="s">
        <v>19484</v>
      </c>
      <c r="D10652" s="296">
        <v>65486.65</v>
      </c>
      <c r="E10652" s="296">
        <v>3731.68</v>
      </c>
      <c r="F10652" s="296">
        <v>58893.760000000002</v>
      </c>
      <c r="G10652" s="296">
        <v>2861.21</v>
      </c>
      <c r="H10652" s="297">
        <v>374451.57</v>
      </c>
      <c r="I10652" s="297">
        <v>42914.32</v>
      </c>
      <c r="J10652" s="297">
        <v>320283.06</v>
      </c>
      <c r="K10652" s="297">
        <v>11254.19</v>
      </c>
      <c r="L10652" s="43">
        <v>5.7179832836158209</v>
      </c>
      <c r="M10652" s="43">
        <v>11.5</v>
      </c>
      <c r="N10652" s="43">
        <v>5.4383191020576707</v>
      </c>
      <c r="O10652" s="43">
        <v>3.9333673515750331</v>
      </c>
      <c r="P10652" s="298"/>
      <c r="Q10652" s="298"/>
      <c r="R10652" s="298">
        <v>1</v>
      </c>
    </row>
    <row r="10653" spans="1:18" ht="12.75" customHeight="1">
      <c r="A10653" s="628" t="s">
        <v>19485</v>
      </c>
      <c r="B10653" s="629"/>
      <c r="C10653" s="629"/>
      <c r="D10653" s="629"/>
      <c r="E10653" s="629"/>
      <c r="F10653" s="629"/>
      <c r="G10653" s="629"/>
      <c r="H10653" s="629"/>
      <c r="I10653" s="629"/>
      <c r="J10653" s="629"/>
      <c r="K10653" s="629"/>
      <c r="L10653" s="629"/>
      <c r="M10653" s="629"/>
      <c r="N10653" s="629"/>
      <c r="O10653" s="629"/>
      <c r="P10653" s="629"/>
      <c r="Q10653" s="629"/>
      <c r="R10653" s="629"/>
    </row>
    <row r="10654" spans="1:18" ht="24">
      <c r="A10654" s="294">
        <v>8</v>
      </c>
      <c r="B10654" s="291" t="s">
        <v>19486</v>
      </c>
      <c r="C10654" s="295" t="s">
        <v>19487</v>
      </c>
      <c r="D10654" s="296">
        <v>13509.51</v>
      </c>
      <c r="E10654" s="296">
        <v>3444.58</v>
      </c>
      <c r="F10654" s="296">
        <v>4875.8100000000004</v>
      </c>
      <c r="G10654" s="296">
        <v>5189.12</v>
      </c>
      <c r="H10654" s="297">
        <v>87015.94</v>
      </c>
      <c r="I10654" s="297">
        <v>39614.239999999998</v>
      </c>
      <c r="J10654" s="297">
        <v>25307.78</v>
      </c>
      <c r="K10654" s="297">
        <v>22093.919999999998</v>
      </c>
      <c r="L10654" s="43">
        <v>6.4410877966706419</v>
      </c>
      <c r="M10654" s="43">
        <v>11.500455788514129</v>
      </c>
      <c r="N10654" s="43">
        <v>5.1904770694510241</v>
      </c>
      <c r="O10654" s="43">
        <v>4.2577392698569314</v>
      </c>
      <c r="P10654" s="298"/>
      <c r="Q10654" s="298"/>
      <c r="R10654" s="298">
        <v>2</v>
      </c>
    </row>
    <row r="10655" spans="1:18" ht="24">
      <c r="A10655" s="294">
        <v>9</v>
      </c>
      <c r="B10655" s="291" t="s">
        <v>19488</v>
      </c>
      <c r="C10655" s="295" t="s">
        <v>19489</v>
      </c>
      <c r="D10655" s="296">
        <v>20024.349999999999</v>
      </c>
      <c r="E10655" s="296">
        <v>4190.54</v>
      </c>
      <c r="F10655" s="296">
        <v>10308.74</v>
      </c>
      <c r="G10655" s="296">
        <v>5525.07</v>
      </c>
      <c r="H10655" s="297">
        <v>122870.47</v>
      </c>
      <c r="I10655" s="297">
        <v>48193.120000000003</v>
      </c>
      <c r="J10655" s="297">
        <v>51168.71</v>
      </c>
      <c r="K10655" s="297">
        <v>23508.639999999999</v>
      </c>
      <c r="L10655" s="43">
        <v>6.1360528556482485</v>
      </c>
      <c r="M10655" s="43">
        <v>11.500455788514131</v>
      </c>
      <c r="N10655" s="43">
        <v>4.9636240704489589</v>
      </c>
      <c r="O10655" s="43">
        <v>4.2549035577829786</v>
      </c>
      <c r="P10655" s="298"/>
      <c r="Q10655" s="298"/>
      <c r="R10655" s="298">
        <v>2</v>
      </c>
    </row>
    <row r="10656" spans="1:18" ht="24">
      <c r="A10656" s="294">
        <v>10</v>
      </c>
      <c r="B10656" s="291" t="s">
        <v>19490</v>
      </c>
      <c r="C10656" s="295" t="s">
        <v>19491</v>
      </c>
      <c r="D10656" s="296">
        <v>28413.39</v>
      </c>
      <c r="E10656" s="296">
        <v>4607.3999999999996</v>
      </c>
      <c r="F10656" s="296">
        <v>19606.62</v>
      </c>
      <c r="G10656" s="296">
        <v>4199.37</v>
      </c>
      <c r="H10656" s="297">
        <v>172568.66</v>
      </c>
      <c r="I10656" s="297">
        <v>52987.199999999997</v>
      </c>
      <c r="J10656" s="297">
        <v>101337.31</v>
      </c>
      <c r="K10656" s="297">
        <v>18244.150000000001</v>
      </c>
      <c r="L10656" s="43">
        <v>6.073497741733739</v>
      </c>
      <c r="M10656" s="43">
        <v>11.500455788514129</v>
      </c>
      <c r="N10656" s="43">
        <v>5.1685252226033862</v>
      </c>
      <c r="O10656" s="43">
        <v>4.3444969126321338</v>
      </c>
      <c r="P10656" s="298"/>
      <c r="Q10656" s="298"/>
      <c r="R10656" s="298">
        <v>2</v>
      </c>
    </row>
    <row r="10657" spans="1:18" ht="36">
      <c r="A10657" s="294">
        <v>11</v>
      </c>
      <c r="B10657" s="291" t="s">
        <v>19492</v>
      </c>
      <c r="C10657" s="295" t="s">
        <v>19493</v>
      </c>
      <c r="D10657" s="296">
        <v>11861.66</v>
      </c>
      <c r="E10657" s="296">
        <v>2009.1</v>
      </c>
      <c r="F10657" s="296">
        <v>8587.65</v>
      </c>
      <c r="G10657" s="296">
        <v>1264.9100000000001</v>
      </c>
      <c r="H10657" s="297">
        <v>74674.06</v>
      </c>
      <c r="I10657" s="297">
        <v>23104.65</v>
      </c>
      <c r="J10657" s="297">
        <v>46262.51</v>
      </c>
      <c r="K10657" s="297">
        <v>5306.9</v>
      </c>
      <c r="L10657" s="43">
        <v>6.2954139639814324</v>
      </c>
      <c r="M10657" s="43">
        <v>11.500000000000002</v>
      </c>
      <c r="N10657" s="43">
        <v>5.3870977508398692</v>
      </c>
      <c r="O10657" s="43">
        <v>4.1954763580017547</v>
      </c>
      <c r="P10657" s="298"/>
      <c r="Q10657" s="298"/>
      <c r="R10657" s="298">
        <v>2</v>
      </c>
    </row>
    <row r="10658" spans="1:18" ht="36">
      <c r="A10658" s="294">
        <v>12</v>
      </c>
      <c r="B10658" s="291" t="s">
        <v>19494</v>
      </c>
      <c r="C10658" s="295" t="s">
        <v>19495</v>
      </c>
      <c r="D10658" s="296">
        <v>18156.669999999998</v>
      </c>
      <c r="E10658" s="296">
        <v>2786.1</v>
      </c>
      <c r="F10658" s="296">
        <v>13694.35</v>
      </c>
      <c r="G10658" s="296">
        <v>1676.22</v>
      </c>
      <c r="H10658" s="297">
        <v>113037.41</v>
      </c>
      <c r="I10658" s="297">
        <v>32040.15</v>
      </c>
      <c r="J10658" s="297">
        <v>73677.39</v>
      </c>
      <c r="K10658" s="297">
        <v>7319.87</v>
      </c>
      <c r="L10658" s="43">
        <v>6.2256685835012702</v>
      </c>
      <c r="M10658" s="43">
        <v>11.500000000000002</v>
      </c>
      <c r="N10658" s="43">
        <v>5.380130491772154</v>
      </c>
      <c r="O10658" s="43">
        <v>4.3668909808974954</v>
      </c>
      <c r="P10658" s="298"/>
      <c r="Q10658" s="298"/>
      <c r="R10658" s="298">
        <v>2</v>
      </c>
    </row>
    <row r="10659" spans="1:18" ht="12.75" customHeight="1">
      <c r="A10659" s="628" t="s">
        <v>19496</v>
      </c>
      <c r="B10659" s="629"/>
      <c r="C10659" s="629"/>
      <c r="D10659" s="629"/>
      <c r="E10659" s="629"/>
      <c r="F10659" s="629"/>
      <c r="G10659" s="629"/>
      <c r="H10659" s="629"/>
      <c r="I10659" s="629"/>
      <c r="J10659" s="629"/>
      <c r="K10659" s="629"/>
      <c r="L10659" s="629"/>
      <c r="M10659" s="629"/>
      <c r="N10659" s="629"/>
      <c r="O10659" s="629"/>
      <c r="P10659" s="629"/>
      <c r="Q10659" s="629"/>
      <c r="R10659" s="629"/>
    </row>
    <row r="10660" spans="1:18" ht="24">
      <c r="A10660" s="294">
        <v>13</v>
      </c>
      <c r="B10660" s="291" t="s">
        <v>19497</v>
      </c>
      <c r="C10660" s="295" t="s">
        <v>19498</v>
      </c>
      <c r="D10660" s="296">
        <v>4116.55</v>
      </c>
      <c r="E10660" s="296">
        <v>1542.24</v>
      </c>
      <c r="F10660" s="296">
        <v>1097.24</v>
      </c>
      <c r="G10660" s="296">
        <v>1477.07</v>
      </c>
      <c r="H10660" s="297">
        <v>29733.19</v>
      </c>
      <c r="I10660" s="297">
        <v>17736.48</v>
      </c>
      <c r="J10660" s="297">
        <v>5756.09</v>
      </c>
      <c r="K10660" s="297">
        <v>6240.62</v>
      </c>
      <c r="L10660" s="43">
        <v>7.2228419428890689</v>
      </c>
      <c r="M10660" s="43">
        <v>11.50046685340803</v>
      </c>
      <c r="N10660" s="43">
        <v>5.245971710838103</v>
      </c>
      <c r="O10660" s="43">
        <v>4.2249994922380116</v>
      </c>
      <c r="P10660" s="298"/>
      <c r="Q10660" s="298"/>
      <c r="R10660" s="298">
        <v>3</v>
      </c>
    </row>
    <row r="10661" spans="1:18" ht="24">
      <c r="A10661" s="294">
        <v>14</v>
      </c>
      <c r="B10661" s="291" t="s">
        <v>19499</v>
      </c>
      <c r="C10661" s="295" t="s">
        <v>19500</v>
      </c>
      <c r="D10661" s="296">
        <v>4511.26</v>
      </c>
      <c r="E10661" s="296">
        <v>1702.89</v>
      </c>
      <c r="F10661" s="296">
        <v>1312.78</v>
      </c>
      <c r="G10661" s="296">
        <v>1495.59</v>
      </c>
      <c r="H10661" s="297">
        <v>32915.339999999997</v>
      </c>
      <c r="I10661" s="297">
        <v>19584.03</v>
      </c>
      <c r="J10661" s="297">
        <v>6919.56</v>
      </c>
      <c r="K10661" s="297">
        <v>6411.75</v>
      </c>
      <c r="L10661" s="43">
        <v>7.2962631282612831</v>
      </c>
      <c r="M10661" s="43">
        <v>11.500466853408028</v>
      </c>
      <c r="N10661" s="43">
        <v>5.2709212510854835</v>
      </c>
      <c r="O10661" s="43">
        <v>4.287104086012878</v>
      </c>
      <c r="P10661" s="298"/>
      <c r="Q10661" s="298"/>
      <c r="R10661" s="298">
        <v>3</v>
      </c>
    </row>
    <row r="10662" spans="1:18" ht="24">
      <c r="A10662" s="294">
        <v>15</v>
      </c>
      <c r="B10662" s="291" t="s">
        <v>19501</v>
      </c>
      <c r="C10662" s="295" t="s">
        <v>19502</v>
      </c>
      <c r="D10662" s="296">
        <v>2393.4299999999998</v>
      </c>
      <c r="E10662" s="296">
        <v>587.19000000000005</v>
      </c>
      <c r="F10662" s="296">
        <v>1184.29</v>
      </c>
      <c r="G10662" s="296">
        <v>621.95000000000005</v>
      </c>
      <c r="H10662" s="297">
        <v>15611.13</v>
      </c>
      <c r="I10662" s="297">
        <v>6752.69</v>
      </c>
      <c r="J10662" s="297">
        <v>6369.29</v>
      </c>
      <c r="K10662" s="297">
        <v>2489.15</v>
      </c>
      <c r="L10662" s="43">
        <v>6.5224928241059903</v>
      </c>
      <c r="M10662" s="43">
        <v>11.500008515131388</v>
      </c>
      <c r="N10662" s="43">
        <v>5.3781506218915975</v>
      </c>
      <c r="O10662" s="43">
        <v>4.0021705924913578</v>
      </c>
      <c r="P10662" s="298"/>
      <c r="Q10662" s="298"/>
      <c r="R10662" s="298">
        <v>3</v>
      </c>
    </row>
    <row r="10663" spans="1:18" ht="24">
      <c r="A10663" s="294">
        <v>16</v>
      </c>
      <c r="B10663" s="291" t="s">
        <v>19503</v>
      </c>
      <c r="C10663" s="295" t="s">
        <v>19504</v>
      </c>
      <c r="D10663" s="296">
        <v>2920.51</v>
      </c>
      <c r="E10663" s="296">
        <v>685.98</v>
      </c>
      <c r="F10663" s="296">
        <v>1594.96</v>
      </c>
      <c r="G10663" s="296">
        <v>639.57000000000005</v>
      </c>
      <c r="H10663" s="297">
        <v>19130</v>
      </c>
      <c r="I10663" s="297">
        <v>7888.77</v>
      </c>
      <c r="J10663" s="297">
        <v>8592.23</v>
      </c>
      <c r="K10663" s="297">
        <v>2649</v>
      </c>
      <c r="L10663" s="43">
        <v>6.550225816723791</v>
      </c>
      <c r="M10663" s="43">
        <v>11.5</v>
      </c>
      <c r="N10663" s="43">
        <v>5.3871131564427941</v>
      </c>
      <c r="O10663" s="43">
        <v>4.1418453023124906</v>
      </c>
      <c r="P10663" s="298"/>
      <c r="Q10663" s="298"/>
      <c r="R10663" s="298">
        <v>3</v>
      </c>
    </row>
    <row r="10664" spans="1:18" ht="12.75" customHeight="1">
      <c r="A10664" s="628" t="s">
        <v>335</v>
      </c>
      <c r="B10664" s="629"/>
      <c r="C10664" s="629"/>
      <c r="D10664" s="629"/>
      <c r="E10664" s="629"/>
      <c r="F10664" s="629"/>
      <c r="G10664" s="629"/>
      <c r="H10664" s="629"/>
      <c r="I10664" s="629"/>
      <c r="J10664" s="629"/>
      <c r="K10664" s="629"/>
      <c r="L10664" s="629"/>
      <c r="M10664" s="629"/>
      <c r="N10664" s="629"/>
      <c r="O10664" s="629"/>
      <c r="P10664" s="629"/>
      <c r="Q10664" s="629"/>
      <c r="R10664" s="629"/>
    </row>
    <row r="10665" spans="1:18" ht="24">
      <c r="A10665" s="294">
        <v>17</v>
      </c>
      <c r="B10665" s="291" t="s">
        <v>19505</v>
      </c>
      <c r="C10665" s="295" t="s">
        <v>19506</v>
      </c>
      <c r="D10665" s="296">
        <v>5934.29</v>
      </c>
      <c r="E10665" s="296">
        <v>1907.84</v>
      </c>
      <c r="F10665" s="296">
        <v>1182.42</v>
      </c>
      <c r="G10665" s="296">
        <v>2844.03</v>
      </c>
      <c r="H10665" s="297">
        <v>40124.080000000002</v>
      </c>
      <c r="I10665" s="297">
        <v>21940.16</v>
      </c>
      <c r="J10665" s="297">
        <v>6321.16</v>
      </c>
      <c r="K10665" s="297">
        <v>11862.76</v>
      </c>
      <c r="L10665" s="43">
        <v>6.7613952132437074</v>
      </c>
      <c r="M10665" s="43">
        <v>11.5</v>
      </c>
      <c r="N10665" s="43">
        <v>5.345951523147443</v>
      </c>
      <c r="O10665" s="43">
        <v>4.1711093061606244</v>
      </c>
      <c r="P10665" s="298"/>
      <c r="Q10665" s="298"/>
      <c r="R10665" s="298">
        <v>4</v>
      </c>
    </row>
    <row r="10666" spans="1:18" ht="24">
      <c r="A10666" s="294">
        <v>18</v>
      </c>
      <c r="B10666" s="291" t="s">
        <v>19507</v>
      </c>
      <c r="C10666" s="295" t="s">
        <v>19508</v>
      </c>
      <c r="D10666" s="296">
        <v>6761.28</v>
      </c>
      <c r="E10666" s="296">
        <v>2211.36</v>
      </c>
      <c r="F10666" s="296">
        <v>1400.27</v>
      </c>
      <c r="G10666" s="296">
        <v>3149.65</v>
      </c>
      <c r="H10666" s="297">
        <v>45998.23</v>
      </c>
      <c r="I10666" s="297">
        <v>25430.639999999999</v>
      </c>
      <c r="J10666" s="297">
        <v>7536.04</v>
      </c>
      <c r="K10666" s="297">
        <v>13031.55</v>
      </c>
      <c r="L10666" s="43">
        <v>6.8031837166926978</v>
      </c>
      <c r="M10666" s="43">
        <v>11.499999999999998</v>
      </c>
      <c r="N10666" s="43">
        <v>5.3818477864983185</v>
      </c>
      <c r="O10666" s="43">
        <v>4.1374597177464159</v>
      </c>
      <c r="P10666" s="298"/>
      <c r="Q10666" s="298"/>
      <c r="R10666" s="298">
        <v>4</v>
      </c>
    </row>
    <row r="10667" spans="1:18" ht="12.75" customHeight="1">
      <c r="A10667" s="628" t="s">
        <v>3781</v>
      </c>
      <c r="B10667" s="629"/>
      <c r="C10667" s="629"/>
      <c r="D10667" s="629"/>
      <c r="E10667" s="629"/>
      <c r="F10667" s="629"/>
      <c r="G10667" s="629"/>
      <c r="H10667" s="629"/>
      <c r="I10667" s="629"/>
      <c r="J10667" s="629"/>
      <c r="K10667" s="629"/>
      <c r="L10667" s="629"/>
      <c r="M10667" s="629"/>
      <c r="N10667" s="629"/>
      <c r="O10667" s="629"/>
      <c r="P10667" s="629"/>
      <c r="Q10667" s="629"/>
      <c r="R10667" s="629"/>
    </row>
    <row r="10668" spans="1:18" ht="24">
      <c r="A10668" s="294">
        <v>19</v>
      </c>
      <c r="B10668" s="291" t="s">
        <v>19509</v>
      </c>
      <c r="C10668" s="295" t="s">
        <v>19510</v>
      </c>
      <c r="D10668" s="296">
        <v>3576.08</v>
      </c>
      <c r="E10668" s="296">
        <v>1145.97</v>
      </c>
      <c r="F10668" s="296">
        <v>1187.32</v>
      </c>
      <c r="G10668" s="296">
        <v>1242.79</v>
      </c>
      <c r="H10668" s="297">
        <v>24610.04</v>
      </c>
      <c r="I10668" s="297">
        <v>13179.19</v>
      </c>
      <c r="J10668" s="297">
        <v>6213.35</v>
      </c>
      <c r="K10668" s="297">
        <v>5217.5</v>
      </c>
      <c r="L10668" s="43">
        <v>6.8818482807990877</v>
      </c>
      <c r="M10668" s="43">
        <v>11.50046685340803</v>
      </c>
      <c r="N10668" s="43">
        <v>5.2330879628069944</v>
      </c>
      <c r="O10668" s="43">
        <v>4.1982153058843412</v>
      </c>
      <c r="P10668" s="298"/>
      <c r="Q10668" s="298"/>
      <c r="R10668" s="298">
        <v>5</v>
      </c>
    </row>
    <row r="10669" spans="1:18" ht="24">
      <c r="A10669" s="294">
        <v>20</v>
      </c>
      <c r="B10669" s="291" t="s">
        <v>19511</v>
      </c>
      <c r="C10669" s="295" t="s">
        <v>19512</v>
      </c>
      <c r="D10669" s="296">
        <v>4095.65</v>
      </c>
      <c r="E10669" s="296">
        <v>1445.85</v>
      </c>
      <c r="F10669" s="296">
        <v>1401.01</v>
      </c>
      <c r="G10669" s="296">
        <v>1248.79</v>
      </c>
      <c r="H10669" s="297">
        <v>29286.02</v>
      </c>
      <c r="I10669" s="297">
        <v>16627.95</v>
      </c>
      <c r="J10669" s="297">
        <v>7371.57</v>
      </c>
      <c r="K10669" s="297">
        <v>5286.5</v>
      </c>
      <c r="L10669" s="43">
        <v>7.150518232759147</v>
      </c>
      <c r="M10669" s="43">
        <v>11.500466853408032</v>
      </c>
      <c r="N10669" s="43">
        <v>5.2616112661579857</v>
      </c>
      <c r="O10669" s="43">
        <v>4.2332978323016679</v>
      </c>
      <c r="P10669" s="298"/>
      <c r="Q10669" s="298"/>
      <c r="R10669" s="298">
        <v>5</v>
      </c>
    </row>
    <row r="10670" spans="1:18" ht="12.75" customHeight="1">
      <c r="A10670" s="628" t="s">
        <v>19513</v>
      </c>
      <c r="B10670" s="629"/>
      <c r="C10670" s="629"/>
      <c r="D10670" s="629"/>
      <c r="E10670" s="629"/>
      <c r="F10670" s="629"/>
      <c r="G10670" s="629"/>
      <c r="H10670" s="629"/>
      <c r="I10670" s="629"/>
      <c r="J10670" s="629"/>
      <c r="K10670" s="629"/>
      <c r="L10670" s="629"/>
      <c r="M10670" s="629"/>
      <c r="N10670" s="629"/>
      <c r="O10670" s="629"/>
      <c r="P10670" s="629"/>
      <c r="Q10670" s="629"/>
      <c r="R10670" s="629"/>
    </row>
    <row r="10671" spans="1:18" ht="36">
      <c r="A10671" s="294">
        <v>21</v>
      </c>
      <c r="B10671" s="291" t="s">
        <v>19514</v>
      </c>
      <c r="C10671" s="295" t="s">
        <v>19515</v>
      </c>
      <c r="D10671" s="296">
        <v>4455.2</v>
      </c>
      <c r="E10671" s="296">
        <v>1647.68</v>
      </c>
      <c r="F10671" s="296">
        <v>1302.24</v>
      </c>
      <c r="G10671" s="296">
        <v>1505.28</v>
      </c>
      <c r="H10671" s="297">
        <v>32749.97</v>
      </c>
      <c r="I10671" s="297">
        <v>18948.32</v>
      </c>
      <c r="J10671" s="297">
        <v>6966.27</v>
      </c>
      <c r="K10671" s="297">
        <v>6835.38</v>
      </c>
      <c r="L10671" s="43">
        <v>7.3509539414616629</v>
      </c>
      <c r="M10671" s="43">
        <v>11.5</v>
      </c>
      <c r="N10671" s="43">
        <v>5.349451713969775</v>
      </c>
      <c r="O10671" s="43">
        <v>4.5409359056122449</v>
      </c>
      <c r="P10671" s="298"/>
      <c r="Q10671" s="298"/>
      <c r="R10671" s="298">
        <v>6</v>
      </c>
    </row>
    <row r="10672" spans="1:18" ht="36">
      <c r="A10672" s="294">
        <v>22</v>
      </c>
      <c r="B10672" s="291" t="s">
        <v>19516</v>
      </c>
      <c r="C10672" s="295" t="s">
        <v>19517</v>
      </c>
      <c r="D10672" s="296">
        <v>5148.84</v>
      </c>
      <c r="E10672" s="296">
        <v>1853.64</v>
      </c>
      <c r="F10672" s="296">
        <v>1516.31</v>
      </c>
      <c r="G10672" s="296">
        <v>1778.89</v>
      </c>
      <c r="H10672" s="297">
        <v>37077.870000000003</v>
      </c>
      <c r="I10672" s="297">
        <v>21316.86</v>
      </c>
      <c r="J10672" s="297">
        <v>8118.82</v>
      </c>
      <c r="K10672" s="297">
        <v>7642.19</v>
      </c>
      <c r="L10672" s="43">
        <v>7.2012084275293082</v>
      </c>
      <c r="M10672" s="43">
        <v>11.5</v>
      </c>
      <c r="N10672" s="43">
        <v>5.3543272813606713</v>
      </c>
      <c r="O10672" s="43">
        <v>4.296044162370916</v>
      </c>
      <c r="P10672" s="298"/>
      <c r="Q10672" s="298"/>
      <c r="R10672" s="298">
        <v>6</v>
      </c>
    </row>
    <row r="10673" spans="1:18" ht="36">
      <c r="A10673" s="294">
        <v>23</v>
      </c>
      <c r="B10673" s="291" t="s">
        <v>19518</v>
      </c>
      <c r="C10673" s="295" t="s">
        <v>19519</v>
      </c>
      <c r="D10673" s="296">
        <v>6868.39</v>
      </c>
      <c r="E10673" s="296">
        <v>2308.92</v>
      </c>
      <c r="F10673" s="296">
        <v>1335.79</v>
      </c>
      <c r="G10673" s="296">
        <v>3223.68</v>
      </c>
      <c r="H10673" s="297">
        <v>47428.01</v>
      </c>
      <c r="I10673" s="297">
        <v>26552.58</v>
      </c>
      <c r="J10673" s="297">
        <v>7189.7</v>
      </c>
      <c r="K10673" s="297">
        <v>13685.73</v>
      </c>
      <c r="L10673" s="43">
        <v>6.9052587287559382</v>
      </c>
      <c r="M10673" s="43">
        <v>11.5</v>
      </c>
      <c r="N10673" s="43">
        <v>5.3823580053750968</v>
      </c>
      <c r="O10673" s="43">
        <v>4.2453748511018468</v>
      </c>
      <c r="P10673" s="298"/>
      <c r="Q10673" s="298"/>
      <c r="R10673" s="298">
        <v>6</v>
      </c>
    </row>
    <row r="10674" spans="1:18" ht="12.75" customHeight="1">
      <c r="A10674" s="628" t="s">
        <v>19520</v>
      </c>
      <c r="B10674" s="629"/>
      <c r="C10674" s="629"/>
      <c r="D10674" s="629"/>
      <c r="E10674" s="629"/>
      <c r="F10674" s="629"/>
      <c r="G10674" s="629"/>
      <c r="H10674" s="629"/>
      <c r="I10674" s="629"/>
      <c r="J10674" s="629"/>
      <c r="K10674" s="629"/>
      <c r="L10674" s="629"/>
      <c r="M10674" s="629"/>
      <c r="N10674" s="629"/>
      <c r="O10674" s="629"/>
      <c r="P10674" s="629"/>
      <c r="Q10674" s="629"/>
      <c r="R10674" s="629"/>
    </row>
    <row r="10675" spans="1:18" ht="12.75" customHeight="1">
      <c r="A10675" s="628" t="s">
        <v>19521</v>
      </c>
      <c r="B10675" s="629"/>
      <c r="C10675" s="629"/>
      <c r="D10675" s="629"/>
      <c r="E10675" s="629"/>
      <c r="F10675" s="629"/>
      <c r="G10675" s="629"/>
      <c r="H10675" s="629"/>
      <c r="I10675" s="629"/>
      <c r="J10675" s="629"/>
      <c r="K10675" s="629"/>
      <c r="L10675" s="629"/>
      <c r="M10675" s="629"/>
      <c r="N10675" s="629"/>
      <c r="O10675" s="629"/>
      <c r="P10675" s="629"/>
      <c r="Q10675" s="629"/>
      <c r="R10675" s="629"/>
    </row>
    <row r="10676" spans="1:18" ht="24">
      <c r="A10676" s="294">
        <v>24</v>
      </c>
      <c r="B10676" s="291" t="s">
        <v>19522</v>
      </c>
      <c r="C10676" s="295" t="s">
        <v>19523</v>
      </c>
      <c r="D10676" s="296">
        <v>16456.22</v>
      </c>
      <c r="E10676" s="296">
        <v>6365.46</v>
      </c>
      <c r="F10676" s="296">
        <v>5333</v>
      </c>
      <c r="G10676" s="296">
        <v>4757.76</v>
      </c>
      <c r="H10676" s="297">
        <v>122140.74</v>
      </c>
      <c r="I10676" s="297">
        <v>73205.56</v>
      </c>
      <c r="J10676" s="297">
        <v>27888.77</v>
      </c>
      <c r="K10676" s="297">
        <v>21046.41</v>
      </c>
      <c r="L10676" s="43">
        <v>7.4221625622409029</v>
      </c>
      <c r="M10676" s="43">
        <v>11.500435161009573</v>
      </c>
      <c r="N10676" s="43">
        <v>5.2294712169510591</v>
      </c>
      <c r="O10676" s="43">
        <v>4.4235963983050848</v>
      </c>
      <c r="P10676" s="298"/>
      <c r="Q10676" s="298"/>
      <c r="R10676" s="298">
        <v>1</v>
      </c>
    </row>
    <row r="10677" spans="1:18" ht="24">
      <c r="A10677" s="294">
        <v>25</v>
      </c>
      <c r="B10677" s="291" t="s">
        <v>19524</v>
      </c>
      <c r="C10677" s="295" t="s">
        <v>19525</v>
      </c>
      <c r="D10677" s="296">
        <v>19824.75</v>
      </c>
      <c r="E10677" s="296">
        <v>7548.93</v>
      </c>
      <c r="F10677" s="296">
        <v>5986.79</v>
      </c>
      <c r="G10677" s="296">
        <v>6289.03</v>
      </c>
      <c r="H10677" s="297">
        <v>146602.79</v>
      </c>
      <c r="I10677" s="297">
        <v>86815.98</v>
      </c>
      <c r="J10677" s="297">
        <v>31570.41</v>
      </c>
      <c r="K10677" s="297">
        <v>28216.400000000001</v>
      </c>
      <c r="L10677" s="43">
        <v>7.3949376410799639</v>
      </c>
      <c r="M10677" s="43">
        <v>11.500435161009573</v>
      </c>
      <c r="N10677" s="43">
        <v>5.2733451482346965</v>
      </c>
      <c r="O10677" s="43">
        <v>4.4866060425852643</v>
      </c>
      <c r="P10677" s="298"/>
      <c r="Q10677" s="298"/>
      <c r="R10677" s="298">
        <v>1</v>
      </c>
    </row>
    <row r="10678" spans="1:18" ht="24">
      <c r="A10678" s="294">
        <v>26</v>
      </c>
      <c r="B10678" s="291" t="s">
        <v>19526</v>
      </c>
      <c r="C10678" s="295" t="s">
        <v>19527</v>
      </c>
      <c r="D10678" s="296">
        <v>3501.32</v>
      </c>
      <c r="E10678" s="296">
        <v>1593.48</v>
      </c>
      <c r="F10678" s="296">
        <v>1063.5</v>
      </c>
      <c r="G10678" s="296">
        <v>844.34</v>
      </c>
      <c r="H10678" s="297">
        <v>27468.29</v>
      </c>
      <c r="I10678" s="297">
        <v>18325.02</v>
      </c>
      <c r="J10678" s="297">
        <v>5578.98</v>
      </c>
      <c r="K10678" s="297">
        <v>3564.29</v>
      </c>
      <c r="L10678" s="43">
        <v>7.8451241246158592</v>
      </c>
      <c r="M10678" s="43">
        <v>11.5</v>
      </c>
      <c r="N10678" s="43">
        <v>5.2458674188998584</v>
      </c>
      <c r="O10678" s="43">
        <v>4.2213918563611816</v>
      </c>
      <c r="P10678" s="298"/>
      <c r="Q10678" s="298"/>
      <c r="R10678" s="298">
        <v>1</v>
      </c>
    </row>
    <row r="10679" spans="1:18" ht="24">
      <c r="A10679" s="294">
        <v>27</v>
      </c>
      <c r="B10679" s="291" t="s">
        <v>19528</v>
      </c>
      <c r="C10679" s="295" t="s">
        <v>19529</v>
      </c>
      <c r="D10679" s="296">
        <v>7415.66</v>
      </c>
      <c r="E10679" s="296">
        <v>3035.2</v>
      </c>
      <c r="F10679" s="296">
        <v>2275.62</v>
      </c>
      <c r="G10679" s="296">
        <v>2104.84</v>
      </c>
      <c r="H10679" s="297">
        <v>56084.17</v>
      </c>
      <c r="I10679" s="297">
        <v>34904.800000000003</v>
      </c>
      <c r="J10679" s="297">
        <v>11879.8</v>
      </c>
      <c r="K10679" s="297">
        <v>9299.57</v>
      </c>
      <c r="L10679" s="43">
        <v>7.5629370817971697</v>
      </c>
      <c r="M10679" s="43">
        <v>11.500000000000002</v>
      </c>
      <c r="N10679" s="43">
        <v>5.220467389107144</v>
      </c>
      <c r="O10679" s="43">
        <v>4.4181838049447935</v>
      </c>
      <c r="P10679" s="298"/>
      <c r="Q10679" s="298"/>
      <c r="R10679" s="298">
        <v>1</v>
      </c>
    </row>
    <row r="10680" spans="1:18" ht="24">
      <c r="A10680" s="294">
        <v>28</v>
      </c>
      <c r="B10680" s="291" t="s">
        <v>19530</v>
      </c>
      <c r="C10680" s="295" t="s">
        <v>19531</v>
      </c>
      <c r="D10680" s="296">
        <v>11286.6</v>
      </c>
      <c r="E10680" s="296">
        <v>4672.04</v>
      </c>
      <c r="F10680" s="296">
        <v>3652.58</v>
      </c>
      <c r="G10680" s="296">
        <v>2961.98</v>
      </c>
      <c r="H10680" s="297">
        <v>86216.57</v>
      </c>
      <c r="I10680" s="297">
        <v>53728.46</v>
      </c>
      <c r="J10680" s="297">
        <v>19127.189999999999</v>
      </c>
      <c r="K10680" s="297">
        <v>13360.92</v>
      </c>
      <c r="L10680" s="43">
        <v>7.6388434072262683</v>
      </c>
      <c r="M10680" s="43">
        <v>11.5</v>
      </c>
      <c r="N10680" s="43">
        <v>5.2366245229399491</v>
      </c>
      <c r="O10680" s="43">
        <v>4.5108069602090497</v>
      </c>
      <c r="P10680" s="298"/>
      <c r="Q10680" s="298"/>
      <c r="R10680" s="298">
        <v>1</v>
      </c>
    </row>
    <row r="10681" spans="1:18" ht="24">
      <c r="A10681" s="294">
        <v>29</v>
      </c>
      <c r="B10681" s="291" t="s">
        <v>19532</v>
      </c>
      <c r="C10681" s="295" t="s">
        <v>19533</v>
      </c>
      <c r="D10681" s="296">
        <v>15658.59</v>
      </c>
      <c r="E10681" s="296">
        <v>5957.2</v>
      </c>
      <c r="F10681" s="296">
        <v>5271.68</v>
      </c>
      <c r="G10681" s="296">
        <v>4429.71</v>
      </c>
      <c r="H10681" s="297">
        <v>115969.96</v>
      </c>
      <c r="I10681" s="297">
        <v>68507.8</v>
      </c>
      <c r="J10681" s="297">
        <v>27694.799999999999</v>
      </c>
      <c r="K10681" s="297">
        <v>19767.36</v>
      </c>
      <c r="L10681" s="43">
        <v>7.4061559821158873</v>
      </c>
      <c r="M10681" s="43">
        <v>11.5</v>
      </c>
      <c r="N10681" s="43">
        <v>5.2535055238557726</v>
      </c>
      <c r="O10681" s="43">
        <v>4.4624501378194061</v>
      </c>
      <c r="P10681" s="298"/>
      <c r="Q10681" s="298"/>
      <c r="R10681" s="298">
        <v>1</v>
      </c>
    </row>
    <row r="10682" spans="1:18" ht="24">
      <c r="A10682" s="294">
        <v>30</v>
      </c>
      <c r="B10682" s="291" t="s">
        <v>19534</v>
      </c>
      <c r="C10682" s="295" t="s">
        <v>19535</v>
      </c>
      <c r="D10682" s="296">
        <v>19353.349999999999</v>
      </c>
      <c r="E10682" s="296">
        <v>7620.72</v>
      </c>
      <c r="F10682" s="296">
        <v>5919.01</v>
      </c>
      <c r="G10682" s="296">
        <v>5813.62</v>
      </c>
      <c r="H10682" s="297">
        <v>144855.31</v>
      </c>
      <c r="I10682" s="297">
        <v>87638.28</v>
      </c>
      <c r="J10682" s="297">
        <v>31248.39</v>
      </c>
      <c r="K10682" s="297">
        <v>25968.639999999999</v>
      </c>
      <c r="L10682" s="43">
        <v>7.4847667199735453</v>
      </c>
      <c r="M10682" s="43">
        <v>11.5</v>
      </c>
      <c r="N10682" s="43">
        <v>5.2793271172037208</v>
      </c>
      <c r="O10682" s="43">
        <v>4.466862299221483</v>
      </c>
      <c r="P10682" s="298"/>
      <c r="Q10682" s="298"/>
      <c r="R10682" s="298">
        <v>1</v>
      </c>
    </row>
    <row r="10683" spans="1:18" ht="24">
      <c r="A10683" s="294">
        <v>31</v>
      </c>
      <c r="B10683" s="291" t="s">
        <v>19536</v>
      </c>
      <c r="C10683" s="295" t="s">
        <v>19537</v>
      </c>
      <c r="D10683" s="296">
        <v>21972.34</v>
      </c>
      <c r="E10683" s="296">
        <v>8609.84</v>
      </c>
      <c r="F10683" s="296">
        <v>7046.33</v>
      </c>
      <c r="G10683" s="296">
        <v>6316.17</v>
      </c>
      <c r="H10683" s="297">
        <v>164436.28</v>
      </c>
      <c r="I10683" s="297">
        <v>99013.16</v>
      </c>
      <c r="J10683" s="297">
        <v>36930.67</v>
      </c>
      <c r="K10683" s="297">
        <v>28492.45</v>
      </c>
      <c r="L10683" s="43">
        <v>7.4837855230712798</v>
      </c>
      <c r="M10683" s="43">
        <v>11.5</v>
      </c>
      <c r="N10683" s="43">
        <v>5.2411212645448053</v>
      </c>
      <c r="O10683" s="43">
        <v>4.5110327936075185</v>
      </c>
      <c r="P10683" s="298"/>
      <c r="Q10683" s="298"/>
      <c r="R10683" s="298">
        <v>1</v>
      </c>
    </row>
    <row r="10684" spans="1:18" ht="12.75" customHeight="1">
      <c r="A10684" s="628" t="s">
        <v>19538</v>
      </c>
      <c r="B10684" s="629"/>
      <c r="C10684" s="629"/>
      <c r="D10684" s="629"/>
      <c r="E10684" s="629"/>
      <c r="F10684" s="629"/>
      <c r="G10684" s="629"/>
      <c r="H10684" s="629"/>
      <c r="I10684" s="629"/>
      <c r="J10684" s="629"/>
      <c r="K10684" s="629"/>
      <c r="L10684" s="629"/>
      <c r="M10684" s="629"/>
      <c r="N10684" s="629"/>
      <c r="O10684" s="629"/>
      <c r="P10684" s="629"/>
      <c r="Q10684" s="629"/>
      <c r="R10684" s="629"/>
    </row>
    <row r="10685" spans="1:18" ht="24">
      <c r="A10685" s="294">
        <v>32</v>
      </c>
      <c r="B10685" s="291" t="s">
        <v>19539</v>
      </c>
      <c r="C10685" s="295" t="s">
        <v>19540</v>
      </c>
      <c r="D10685" s="296">
        <v>6045.71</v>
      </c>
      <c r="E10685" s="296">
        <v>2153.4</v>
      </c>
      <c r="F10685" s="296">
        <v>2626.64</v>
      </c>
      <c r="G10685" s="296">
        <v>1265.67</v>
      </c>
      <c r="H10685" s="297">
        <v>44051.77</v>
      </c>
      <c r="I10685" s="297">
        <v>24764.1</v>
      </c>
      <c r="J10685" s="297">
        <v>13563.77</v>
      </c>
      <c r="K10685" s="297">
        <v>5723.9</v>
      </c>
      <c r="L10685" s="43">
        <v>7.2864510537223914</v>
      </c>
      <c r="M10685" s="43">
        <v>11.499999999999998</v>
      </c>
      <c r="N10685" s="43">
        <v>5.1639242530381022</v>
      </c>
      <c r="O10685" s="43">
        <v>4.5224268569216299</v>
      </c>
      <c r="P10685" s="298"/>
      <c r="Q10685" s="298"/>
      <c r="R10685" s="298">
        <v>2</v>
      </c>
    </row>
    <row r="10686" spans="1:18" ht="24">
      <c r="A10686" s="294">
        <v>33</v>
      </c>
      <c r="B10686" s="291" t="s">
        <v>19541</v>
      </c>
      <c r="C10686" s="295" t="s">
        <v>19542</v>
      </c>
      <c r="D10686" s="296">
        <v>14071.69</v>
      </c>
      <c r="E10686" s="296">
        <v>6055.23</v>
      </c>
      <c r="F10686" s="296">
        <v>4980.6099999999997</v>
      </c>
      <c r="G10686" s="296">
        <v>3035.85</v>
      </c>
      <c r="H10686" s="297">
        <v>109267.83</v>
      </c>
      <c r="I10686" s="297">
        <v>69637.78</v>
      </c>
      <c r="J10686" s="297">
        <v>25578</v>
      </c>
      <c r="K10686" s="297">
        <v>14052.05</v>
      </c>
      <c r="L10686" s="43">
        <v>7.7650822324823814</v>
      </c>
      <c r="M10686" s="43">
        <v>11.500435161009575</v>
      </c>
      <c r="N10686" s="43">
        <v>5.1355155292223245</v>
      </c>
      <c r="O10686" s="43">
        <v>4.628703657954115</v>
      </c>
      <c r="P10686" s="298"/>
      <c r="Q10686" s="298"/>
      <c r="R10686" s="298">
        <v>2</v>
      </c>
    </row>
    <row r="10687" spans="1:18" ht="24">
      <c r="A10687" s="294">
        <v>34</v>
      </c>
      <c r="B10687" s="291" t="s">
        <v>19543</v>
      </c>
      <c r="C10687" s="295" t="s">
        <v>19544</v>
      </c>
      <c r="D10687" s="296">
        <v>16041.14</v>
      </c>
      <c r="E10687" s="296">
        <v>6698.67</v>
      </c>
      <c r="F10687" s="296">
        <v>5287.21</v>
      </c>
      <c r="G10687" s="296">
        <v>4055.26</v>
      </c>
      <c r="H10687" s="297">
        <v>122580.53</v>
      </c>
      <c r="I10687" s="297">
        <v>77037.62</v>
      </c>
      <c r="J10687" s="297">
        <v>27256.67</v>
      </c>
      <c r="K10687" s="297">
        <v>18286.240000000002</v>
      </c>
      <c r="L10687" s="43">
        <v>7.6416345721064713</v>
      </c>
      <c r="M10687" s="43">
        <v>11.500435161009573</v>
      </c>
      <c r="N10687" s="43">
        <v>5.1552085126181861</v>
      </c>
      <c r="O10687" s="43">
        <v>4.5092645107835256</v>
      </c>
      <c r="P10687" s="298"/>
      <c r="Q10687" s="298"/>
      <c r="R10687" s="298">
        <v>2</v>
      </c>
    </row>
    <row r="10688" spans="1:18" ht="24">
      <c r="A10688" s="294">
        <v>35</v>
      </c>
      <c r="B10688" s="291" t="s">
        <v>19545</v>
      </c>
      <c r="C10688" s="295" t="s">
        <v>19546</v>
      </c>
      <c r="D10688" s="296">
        <v>21279.79</v>
      </c>
      <c r="E10688" s="296">
        <v>8320.7099999999991</v>
      </c>
      <c r="F10688" s="296">
        <v>7433.38</v>
      </c>
      <c r="G10688" s="296">
        <v>5525.7</v>
      </c>
      <c r="H10688" s="297">
        <v>159329.9</v>
      </c>
      <c r="I10688" s="297">
        <v>95691.73</v>
      </c>
      <c r="J10688" s="297">
        <v>38572.269999999997</v>
      </c>
      <c r="K10688" s="297">
        <v>25065.9</v>
      </c>
      <c r="L10688" s="43">
        <v>7.4873812194575224</v>
      </c>
      <c r="M10688" s="43">
        <v>11.500428449014567</v>
      </c>
      <c r="N10688" s="43">
        <v>5.1890620417629663</v>
      </c>
      <c r="O10688" s="43">
        <v>4.536239752429557</v>
      </c>
      <c r="P10688" s="298"/>
      <c r="Q10688" s="298"/>
      <c r="R10688" s="298">
        <v>2</v>
      </c>
    </row>
    <row r="10689" spans="1:18" ht="24">
      <c r="A10689" s="294">
        <v>36</v>
      </c>
      <c r="B10689" s="291" t="s">
        <v>19547</v>
      </c>
      <c r="C10689" s="295" t="s">
        <v>19548</v>
      </c>
      <c r="D10689" s="296">
        <v>26658.62</v>
      </c>
      <c r="E10689" s="296">
        <v>10036.200000000001</v>
      </c>
      <c r="F10689" s="296">
        <v>10282.4</v>
      </c>
      <c r="G10689" s="296">
        <v>6340.02</v>
      </c>
      <c r="H10689" s="297">
        <v>197900.75</v>
      </c>
      <c r="I10689" s="297">
        <v>115420.6</v>
      </c>
      <c r="J10689" s="297">
        <v>53408.22</v>
      </c>
      <c r="K10689" s="297">
        <v>29071.93</v>
      </c>
      <c r="L10689" s="43">
        <v>7.4235181716082828</v>
      </c>
      <c r="M10689" s="43">
        <v>11.500428449014567</v>
      </c>
      <c r="N10689" s="43">
        <v>5.1941395005057185</v>
      </c>
      <c r="O10689" s="43">
        <v>4.5854634527966782</v>
      </c>
      <c r="P10689" s="298"/>
      <c r="Q10689" s="298"/>
      <c r="R10689" s="298">
        <v>2</v>
      </c>
    </row>
    <row r="10690" spans="1:18" ht="24">
      <c r="A10690" s="294">
        <v>37</v>
      </c>
      <c r="B10690" s="291" t="s">
        <v>19549</v>
      </c>
      <c r="C10690" s="295" t="s">
        <v>19550</v>
      </c>
      <c r="D10690" s="296">
        <v>27436.2</v>
      </c>
      <c r="E10690" s="296">
        <v>11411.55</v>
      </c>
      <c r="F10690" s="296">
        <v>8866.6299999999992</v>
      </c>
      <c r="G10690" s="296">
        <v>7158.02</v>
      </c>
      <c r="H10690" s="297">
        <v>210142.48</v>
      </c>
      <c r="I10690" s="297">
        <v>131237.64000000001</v>
      </c>
      <c r="J10690" s="297">
        <v>46085.71</v>
      </c>
      <c r="K10690" s="297">
        <v>32819.129999999997</v>
      </c>
      <c r="L10690" s="43">
        <v>7.6593143365334848</v>
      </c>
      <c r="M10690" s="43">
        <v>11.500421940928272</v>
      </c>
      <c r="N10690" s="43">
        <v>5.1976579602396855</v>
      </c>
      <c r="O10690" s="43">
        <v>4.5849452781635138</v>
      </c>
      <c r="P10690" s="298"/>
      <c r="Q10690" s="298"/>
      <c r="R10690" s="298">
        <v>2</v>
      </c>
    </row>
    <row r="10691" spans="1:18" ht="24">
      <c r="A10691" s="294">
        <v>38</v>
      </c>
      <c r="B10691" s="291" t="s">
        <v>19551</v>
      </c>
      <c r="C10691" s="295" t="s">
        <v>19552</v>
      </c>
      <c r="D10691" s="296">
        <v>34837.78</v>
      </c>
      <c r="E10691" s="296">
        <v>13426.05</v>
      </c>
      <c r="F10691" s="296">
        <v>12869.46</v>
      </c>
      <c r="G10691" s="296">
        <v>8542.27</v>
      </c>
      <c r="H10691" s="297">
        <v>260746.35</v>
      </c>
      <c r="I10691" s="297">
        <v>154405.24</v>
      </c>
      <c r="J10691" s="297">
        <v>67178.28</v>
      </c>
      <c r="K10691" s="297">
        <v>39162.83</v>
      </c>
      <c r="L10691" s="43">
        <v>7.4845856997776554</v>
      </c>
      <c r="M10691" s="43">
        <v>11.50042194092827</v>
      </c>
      <c r="N10691" s="43">
        <v>5.2199765957546003</v>
      </c>
      <c r="O10691" s="43">
        <v>4.5845928541242547</v>
      </c>
      <c r="P10691" s="298"/>
      <c r="Q10691" s="298"/>
      <c r="R10691" s="298">
        <v>2</v>
      </c>
    </row>
    <row r="10692" spans="1:18" ht="24">
      <c r="A10692" s="294">
        <v>39</v>
      </c>
      <c r="B10692" s="291" t="s">
        <v>19553</v>
      </c>
      <c r="C10692" s="295" t="s">
        <v>19554</v>
      </c>
      <c r="D10692" s="296">
        <v>7732.84</v>
      </c>
      <c r="E10692" s="296">
        <v>2263.5300000000002</v>
      </c>
      <c r="F10692" s="296">
        <v>3777.5</v>
      </c>
      <c r="G10692" s="296">
        <v>1691.81</v>
      </c>
      <c r="H10692" s="297">
        <v>52677.68</v>
      </c>
      <c r="I10692" s="297">
        <v>26031.58</v>
      </c>
      <c r="J10692" s="297">
        <v>19341.55</v>
      </c>
      <c r="K10692" s="297">
        <v>7304.55</v>
      </c>
      <c r="L10692" s="43">
        <v>6.8122035371221958</v>
      </c>
      <c r="M10692" s="43">
        <v>11.500435161009573</v>
      </c>
      <c r="N10692" s="43">
        <v>5.1201985440105888</v>
      </c>
      <c r="O10692" s="43">
        <v>4.317594765369634</v>
      </c>
      <c r="P10692" s="298"/>
      <c r="Q10692" s="298"/>
      <c r="R10692" s="298">
        <v>2</v>
      </c>
    </row>
    <row r="10693" spans="1:18" ht="24">
      <c r="A10693" s="294">
        <v>40</v>
      </c>
      <c r="B10693" s="291" t="s">
        <v>19555</v>
      </c>
      <c r="C10693" s="295" t="s">
        <v>19556</v>
      </c>
      <c r="D10693" s="296">
        <v>20332.509999999998</v>
      </c>
      <c r="E10693" s="296">
        <v>6078.21</v>
      </c>
      <c r="F10693" s="296">
        <v>10780.62</v>
      </c>
      <c r="G10693" s="296">
        <v>3473.68</v>
      </c>
      <c r="H10693" s="297">
        <v>140366.43</v>
      </c>
      <c r="I10693" s="297">
        <v>69902.06</v>
      </c>
      <c r="J10693" s="297">
        <v>54791.14</v>
      </c>
      <c r="K10693" s="297">
        <v>15673.23</v>
      </c>
      <c r="L10693" s="43">
        <v>6.9035465862306227</v>
      </c>
      <c r="M10693" s="43">
        <v>11.500435161009573</v>
      </c>
      <c r="N10693" s="43">
        <v>5.0823737410278813</v>
      </c>
      <c r="O10693" s="43">
        <v>4.5119959236314227</v>
      </c>
      <c r="P10693" s="298"/>
      <c r="Q10693" s="298"/>
      <c r="R10693" s="298">
        <v>2</v>
      </c>
    </row>
    <row r="10694" spans="1:18" ht="24">
      <c r="A10694" s="294">
        <v>41</v>
      </c>
      <c r="B10694" s="291" t="s">
        <v>19557</v>
      </c>
      <c r="C10694" s="295" t="s">
        <v>19558</v>
      </c>
      <c r="D10694" s="296">
        <v>22515.98</v>
      </c>
      <c r="E10694" s="296">
        <v>6664.2</v>
      </c>
      <c r="F10694" s="296">
        <v>11611.72</v>
      </c>
      <c r="G10694" s="296">
        <v>4240.0600000000004</v>
      </c>
      <c r="H10694" s="297">
        <v>154750.85</v>
      </c>
      <c r="I10694" s="297">
        <v>76641.2</v>
      </c>
      <c r="J10694" s="297">
        <v>59147.71</v>
      </c>
      <c r="K10694" s="297">
        <v>18961.939999999999</v>
      </c>
      <c r="L10694" s="43">
        <v>6.8729342449229396</v>
      </c>
      <c r="M10694" s="43">
        <v>11.500435161009573</v>
      </c>
      <c r="N10694" s="43">
        <v>5.0937940287916001</v>
      </c>
      <c r="O10694" s="43">
        <v>4.4720923760512816</v>
      </c>
      <c r="P10694" s="298"/>
      <c r="Q10694" s="298"/>
      <c r="R10694" s="298">
        <v>2</v>
      </c>
    </row>
    <row r="10695" spans="1:18" ht="24">
      <c r="A10695" s="294">
        <v>42</v>
      </c>
      <c r="B10695" s="291" t="s">
        <v>19559</v>
      </c>
      <c r="C10695" s="295" t="s">
        <v>19560</v>
      </c>
      <c r="D10695" s="296">
        <v>34427.24</v>
      </c>
      <c r="E10695" s="296">
        <v>8341.8799999999992</v>
      </c>
      <c r="F10695" s="296">
        <v>20050.39</v>
      </c>
      <c r="G10695" s="296">
        <v>6034.97</v>
      </c>
      <c r="H10695" s="297">
        <v>225393.06</v>
      </c>
      <c r="I10695" s="297">
        <v>95931.62</v>
      </c>
      <c r="J10695" s="297">
        <v>102507.45</v>
      </c>
      <c r="K10695" s="297">
        <v>26953.99</v>
      </c>
      <c r="L10695" s="43">
        <v>6.5469395745926775</v>
      </c>
      <c r="M10695" s="43">
        <v>11.5</v>
      </c>
      <c r="N10695" s="43">
        <v>5.1124915774705633</v>
      </c>
      <c r="O10695" s="43">
        <v>4.466300578130463</v>
      </c>
      <c r="P10695" s="298"/>
      <c r="Q10695" s="298"/>
      <c r="R10695" s="298">
        <v>2</v>
      </c>
    </row>
    <row r="10696" spans="1:18" ht="24">
      <c r="A10696" s="294">
        <v>43</v>
      </c>
      <c r="B10696" s="291" t="s">
        <v>19561</v>
      </c>
      <c r="C10696" s="295" t="s">
        <v>19562</v>
      </c>
      <c r="D10696" s="296">
        <v>38583.29</v>
      </c>
      <c r="E10696" s="296">
        <v>9423.68</v>
      </c>
      <c r="F10696" s="296">
        <v>21819.23</v>
      </c>
      <c r="G10696" s="296">
        <v>7340.38</v>
      </c>
      <c r="H10696" s="297">
        <v>252239.26</v>
      </c>
      <c r="I10696" s="297">
        <v>108372.32</v>
      </c>
      <c r="J10696" s="297">
        <v>111009.3</v>
      </c>
      <c r="K10696" s="297">
        <v>32857.64</v>
      </c>
      <c r="L10696" s="43">
        <v>6.5375259600723528</v>
      </c>
      <c r="M10696" s="43">
        <v>11.5</v>
      </c>
      <c r="N10696" s="43">
        <v>5.0876818292854518</v>
      </c>
      <c r="O10696" s="43">
        <v>4.476285968846299</v>
      </c>
      <c r="P10696" s="298"/>
      <c r="Q10696" s="298"/>
      <c r="R10696" s="298">
        <v>2</v>
      </c>
    </row>
    <row r="10697" spans="1:18" ht="24">
      <c r="A10697" s="294">
        <v>44</v>
      </c>
      <c r="B10697" s="291" t="s">
        <v>19563</v>
      </c>
      <c r="C10697" s="295" t="s">
        <v>19564</v>
      </c>
      <c r="D10697" s="296">
        <v>66654.009999999995</v>
      </c>
      <c r="E10697" s="296">
        <v>14327.84</v>
      </c>
      <c r="F10697" s="296">
        <v>43163.58</v>
      </c>
      <c r="G10697" s="296">
        <v>9162.59</v>
      </c>
      <c r="H10697" s="297">
        <v>428977.02</v>
      </c>
      <c r="I10697" s="297">
        <v>164770.16</v>
      </c>
      <c r="J10697" s="297">
        <v>222611.41</v>
      </c>
      <c r="K10697" s="297">
        <v>41595.449999999997</v>
      </c>
      <c r="L10697" s="43">
        <v>6.4358771512771709</v>
      </c>
      <c r="M10697" s="43">
        <v>11.5</v>
      </c>
      <c r="N10697" s="43">
        <v>5.1573898643254337</v>
      </c>
      <c r="O10697" s="43">
        <v>4.5397043848955372</v>
      </c>
      <c r="P10697" s="298"/>
      <c r="Q10697" s="298"/>
      <c r="R10697" s="298">
        <v>2</v>
      </c>
    </row>
    <row r="10698" spans="1:18" ht="12.75" customHeight="1">
      <c r="A10698" s="628" t="s">
        <v>19496</v>
      </c>
      <c r="B10698" s="629"/>
      <c r="C10698" s="629"/>
      <c r="D10698" s="629"/>
      <c r="E10698" s="629"/>
      <c r="F10698" s="629"/>
      <c r="G10698" s="629"/>
      <c r="H10698" s="629"/>
      <c r="I10698" s="629"/>
      <c r="J10698" s="629"/>
      <c r="K10698" s="629"/>
      <c r="L10698" s="629"/>
      <c r="M10698" s="629"/>
      <c r="N10698" s="629"/>
      <c r="O10698" s="629"/>
      <c r="P10698" s="629"/>
      <c r="Q10698" s="629"/>
      <c r="R10698" s="629"/>
    </row>
    <row r="10699" spans="1:18" ht="24">
      <c r="A10699" s="294">
        <v>45</v>
      </c>
      <c r="B10699" s="291" t="s">
        <v>19565</v>
      </c>
      <c r="C10699" s="295" t="s">
        <v>19566</v>
      </c>
      <c r="D10699" s="296">
        <v>4577.25</v>
      </c>
      <c r="E10699" s="296">
        <v>1475.76</v>
      </c>
      <c r="F10699" s="296">
        <v>1706.81</v>
      </c>
      <c r="G10699" s="296">
        <v>1394.68</v>
      </c>
      <c r="H10699" s="297">
        <v>32029.759999999998</v>
      </c>
      <c r="I10699" s="297">
        <v>16971.240000000002</v>
      </c>
      <c r="J10699" s="297">
        <v>9090.57</v>
      </c>
      <c r="K10699" s="297">
        <v>5967.95</v>
      </c>
      <c r="L10699" s="43">
        <v>6.9975989950297661</v>
      </c>
      <c r="M10699" s="43">
        <v>11.500000000000002</v>
      </c>
      <c r="N10699" s="43">
        <v>5.3260585536761562</v>
      </c>
      <c r="O10699" s="43">
        <v>4.2790819399432127</v>
      </c>
      <c r="P10699" s="298"/>
      <c r="Q10699" s="298"/>
      <c r="R10699" s="298">
        <v>3</v>
      </c>
    </row>
    <row r="10700" spans="1:18" ht="24">
      <c r="A10700" s="294">
        <v>46</v>
      </c>
      <c r="B10700" s="291" t="s">
        <v>19567</v>
      </c>
      <c r="C10700" s="295" t="s">
        <v>19568</v>
      </c>
      <c r="D10700" s="296">
        <v>7686.61</v>
      </c>
      <c r="E10700" s="296">
        <v>2229.12</v>
      </c>
      <c r="F10700" s="296">
        <v>3684.07</v>
      </c>
      <c r="G10700" s="296">
        <v>1773.42</v>
      </c>
      <c r="H10700" s="297">
        <v>52947.06</v>
      </c>
      <c r="I10700" s="297">
        <v>25634.880000000001</v>
      </c>
      <c r="J10700" s="297">
        <v>19583.8</v>
      </c>
      <c r="K10700" s="297">
        <v>7728.38</v>
      </c>
      <c r="L10700" s="43">
        <v>6.8882199044832504</v>
      </c>
      <c r="M10700" s="43">
        <v>11.500000000000002</v>
      </c>
      <c r="N10700" s="43">
        <v>5.3158056171571113</v>
      </c>
      <c r="O10700" s="43">
        <v>4.3578960426746063</v>
      </c>
      <c r="P10700" s="298"/>
      <c r="Q10700" s="298"/>
      <c r="R10700" s="298">
        <v>3</v>
      </c>
    </row>
    <row r="10701" spans="1:18" ht="24">
      <c r="A10701" s="294">
        <v>47</v>
      </c>
      <c r="B10701" s="291" t="s">
        <v>19569</v>
      </c>
      <c r="C10701" s="295" t="s">
        <v>19570</v>
      </c>
      <c r="D10701" s="296">
        <v>3534.41</v>
      </c>
      <c r="E10701" s="296">
        <v>590.29999999999995</v>
      </c>
      <c r="F10701" s="296">
        <v>2403.16</v>
      </c>
      <c r="G10701" s="296">
        <v>540.95000000000005</v>
      </c>
      <c r="H10701" s="297">
        <v>22237.59</v>
      </c>
      <c r="I10701" s="297">
        <v>6788.5</v>
      </c>
      <c r="J10701" s="297">
        <v>13216.62</v>
      </c>
      <c r="K10701" s="297">
        <v>2232.4699999999998</v>
      </c>
      <c r="L10701" s="43">
        <v>6.2917403470451934</v>
      </c>
      <c r="M10701" s="43">
        <v>11.500084702693547</v>
      </c>
      <c r="N10701" s="43">
        <v>5.4996837497295239</v>
      </c>
      <c r="O10701" s="43">
        <v>4.1269433404196318</v>
      </c>
      <c r="P10701" s="298"/>
      <c r="Q10701" s="298"/>
      <c r="R10701" s="298">
        <v>3</v>
      </c>
    </row>
    <row r="10702" spans="1:18" ht="24">
      <c r="A10702" s="294">
        <v>48</v>
      </c>
      <c r="B10702" s="291" t="s">
        <v>19571</v>
      </c>
      <c r="C10702" s="295" t="s">
        <v>19572</v>
      </c>
      <c r="D10702" s="296">
        <v>6343.5</v>
      </c>
      <c r="E10702" s="296">
        <v>813.22</v>
      </c>
      <c r="F10702" s="296">
        <v>4621.2</v>
      </c>
      <c r="G10702" s="296">
        <v>909.08</v>
      </c>
      <c r="H10702" s="297">
        <v>38417.86</v>
      </c>
      <c r="I10702" s="297">
        <v>9351.98</v>
      </c>
      <c r="J10702" s="297">
        <v>25195</v>
      </c>
      <c r="K10702" s="297">
        <v>3870.88</v>
      </c>
      <c r="L10702" s="43">
        <v>6.0562560100890677</v>
      </c>
      <c r="M10702" s="43">
        <v>11.499938516022723</v>
      </c>
      <c r="N10702" s="43">
        <v>5.4520470873366227</v>
      </c>
      <c r="O10702" s="43">
        <v>4.2580190962291544</v>
      </c>
      <c r="P10702" s="298"/>
      <c r="Q10702" s="298"/>
      <c r="R10702" s="298">
        <v>3</v>
      </c>
    </row>
    <row r="10703" spans="1:18" ht="12.75" customHeight="1">
      <c r="A10703" s="628" t="s">
        <v>19573</v>
      </c>
      <c r="B10703" s="629"/>
      <c r="C10703" s="629"/>
      <c r="D10703" s="629"/>
      <c r="E10703" s="629"/>
      <c r="F10703" s="629"/>
      <c r="G10703" s="629"/>
      <c r="H10703" s="629"/>
      <c r="I10703" s="629"/>
      <c r="J10703" s="629"/>
      <c r="K10703" s="629"/>
      <c r="L10703" s="629"/>
      <c r="M10703" s="629"/>
      <c r="N10703" s="629"/>
      <c r="O10703" s="629"/>
      <c r="P10703" s="629"/>
      <c r="Q10703" s="629"/>
      <c r="R10703" s="629"/>
    </row>
    <row r="10704" spans="1:18" ht="24">
      <c r="A10704" s="294">
        <v>49</v>
      </c>
      <c r="B10704" s="291" t="s">
        <v>19574</v>
      </c>
      <c r="C10704" s="295" t="s">
        <v>19575</v>
      </c>
      <c r="D10704" s="296">
        <v>6541.23</v>
      </c>
      <c r="E10704" s="296">
        <v>2257.1999999999998</v>
      </c>
      <c r="F10704" s="296">
        <v>1992.05</v>
      </c>
      <c r="G10704" s="296">
        <v>2291.98</v>
      </c>
      <c r="H10704" s="297">
        <v>45891.13</v>
      </c>
      <c r="I10704" s="297">
        <v>25958.880000000001</v>
      </c>
      <c r="J10704" s="297">
        <v>10474.49</v>
      </c>
      <c r="K10704" s="297">
        <v>9457.76</v>
      </c>
      <c r="L10704" s="43">
        <v>7.0156728933243446</v>
      </c>
      <c r="M10704" s="43">
        <v>11.500478468899523</v>
      </c>
      <c r="N10704" s="43">
        <v>5.2581461308702089</v>
      </c>
      <c r="O10704" s="43">
        <v>4.1264583460588664</v>
      </c>
      <c r="P10704" s="298"/>
      <c r="Q10704" s="298"/>
      <c r="R10704" s="298">
        <v>4</v>
      </c>
    </row>
    <row r="10705" spans="1:18" ht="24">
      <c r="A10705" s="294">
        <v>50</v>
      </c>
      <c r="B10705" s="291" t="s">
        <v>19576</v>
      </c>
      <c r="C10705" s="295" t="s">
        <v>19577</v>
      </c>
      <c r="D10705" s="296">
        <v>17028.509999999998</v>
      </c>
      <c r="E10705" s="296">
        <v>8596.1200000000008</v>
      </c>
      <c r="F10705" s="296">
        <v>4902.51</v>
      </c>
      <c r="G10705" s="296">
        <v>3529.88</v>
      </c>
      <c r="H10705" s="297">
        <v>139801.54</v>
      </c>
      <c r="I10705" s="297">
        <v>98855.38</v>
      </c>
      <c r="J10705" s="297">
        <v>25527.3</v>
      </c>
      <c r="K10705" s="297">
        <v>15418.86</v>
      </c>
      <c r="L10705" s="43">
        <v>8.2098515959411618</v>
      </c>
      <c r="M10705" s="43">
        <v>11.5</v>
      </c>
      <c r="N10705" s="43">
        <v>5.2069858093099244</v>
      </c>
      <c r="O10705" s="43">
        <v>4.368097499065124</v>
      </c>
      <c r="P10705" s="298"/>
      <c r="Q10705" s="298"/>
      <c r="R10705" s="298">
        <v>4</v>
      </c>
    </row>
    <row r="10706" spans="1:18" ht="24">
      <c r="A10706" s="294">
        <v>51</v>
      </c>
      <c r="B10706" s="291" t="s">
        <v>19578</v>
      </c>
      <c r="C10706" s="295" t="s">
        <v>19579</v>
      </c>
      <c r="D10706" s="296">
        <v>21831.99</v>
      </c>
      <c r="E10706" s="296">
        <v>10926.72</v>
      </c>
      <c r="F10706" s="296">
        <v>6005.84</v>
      </c>
      <c r="G10706" s="296">
        <v>4899.43</v>
      </c>
      <c r="H10706" s="297">
        <v>178000.63</v>
      </c>
      <c r="I10706" s="297">
        <v>125657.28</v>
      </c>
      <c r="J10706" s="297">
        <v>31131.61</v>
      </c>
      <c r="K10706" s="297">
        <v>21211.74</v>
      </c>
      <c r="L10706" s="43">
        <v>8.1532022504590742</v>
      </c>
      <c r="M10706" s="43">
        <v>11.5</v>
      </c>
      <c r="N10706" s="43">
        <v>5.1835563384971959</v>
      </c>
      <c r="O10706" s="43">
        <v>4.3294301582020767</v>
      </c>
      <c r="P10706" s="298"/>
      <c r="Q10706" s="298"/>
      <c r="R10706" s="298">
        <v>4</v>
      </c>
    </row>
    <row r="10707" spans="1:18" ht="24">
      <c r="A10707" s="294">
        <v>52</v>
      </c>
      <c r="B10707" s="291" t="s">
        <v>19580</v>
      </c>
      <c r="C10707" s="295" t="s">
        <v>19581</v>
      </c>
      <c r="D10707" s="296">
        <v>29351.16</v>
      </c>
      <c r="E10707" s="296">
        <v>13333.2</v>
      </c>
      <c r="F10707" s="296">
        <v>9021.7800000000007</v>
      </c>
      <c r="G10707" s="296">
        <v>6996.18</v>
      </c>
      <c r="H10707" s="297">
        <v>231141.99</v>
      </c>
      <c r="I10707" s="297">
        <v>153331.79999999999</v>
      </c>
      <c r="J10707" s="297">
        <v>47001.919999999998</v>
      </c>
      <c r="K10707" s="297">
        <v>30808.27</v>
      </c>
      <c r="L10707" s="43">
        <v>7.8750546826769368</v>
      </c>
      <c r="M10707" s="43">
        <v>11.499999999999998</v>
      </c>
      <c r="N10707" s="43">
        <v>5.2098277723464763</v>
      </c>
      <c r="O10707" s="43">
        <v>4.4035845275564665</v>
      </c>
      <c r="P10707" s="298"/>
      <c r="Q10707" s="298"/>
      <c r="R10707" s="298">
        <v>4</v>
      </c>
    </row>
    <row r="10708" spans="1:18" ht="24">
      <c r="A10708" s="294">
        <v>53</v>
      </c>
      <c r="B10708" s="291" t="s">
        <v>19582</v>
      </c>
      <c r="C10708" s="295" t="s">
        <v>19583</v>
      </c>
      <c r="D10708" s="296">
        <v>75651.86</v>
      </c>
      <c r="E10708" s="296">
        <v>23842.799999999999</v>
      </c>
      <c r="F10708" s="296">
        <v>44092.18</v>
      </c>
      <c r="G10708" s="296">
        <v>7716.88</v>
      </c>
      <c r="H10708" s="297">
        <v>544328.02</v>
      </c>
      <c r="I10708" s="297">
        <v>274192.2</v>
      </c>
      <c r="J10708" s="297">
        <v>235751.23</v>
      </c>
      <c r="K10708" s="297">
        <v>34384.589999999997</v>
      </c>
      <c r="L10708" s="43">
        <v>7.1951703500746715</v>
      </c>
      <c r="M10708" s="43">
        <v>11.5</v>
      </c>
      <c r="N10708" s="43">
        <v>5.3467809938179514</v>
      </c>
      <c r="O10708" s="43">
        <v>4.4557632100019688</v>
      </c>
      <c r="P10708" s="298"/>
      <c r="Q10708" s="298"/>
      <c r="R10708" s="298">
        <v>4</v>
      </c>
    </row>
    <row r="10709" spans="1:18" ht="24">
      <c r="A10709" s="294">
        <v>54</v>
      </c>
      <c r="B10709" s="291" t="s">
        <v>19584</v>
      </c>
      <c r="C10709" s="295" t="s">
        <v>19585</v>
      </c>
      <c r="D10709" s="296">
        <v>168938.71</v>
      </c>
      <c r="E10709" s="296">
        <v>40448.400000000001</v>
      </c>
      <c r="F10709" s="296">
        <v>115116.57</v>
      </c>
      <c r="G10709" s="296">
        <v>13373.74</v>
      </c>
      <c r="H10709" s="297">
        <v>1151279.8</v>
      </c>
      <c r="I10709" s="297">
        <v>465156.6</v>
      </c>
      <c r="J10709" s="297">
        <v>622061.55000000005</v>
      </c>
      <c r="K10709" s="297">
        <v>64061.65</v>
      </c>
      <c r="L10709" s="43">
        <v>6.8147779748051827</v>
      </c>
      <c r="M10709" s="43">
        <v>11.499999999999998</v>
      </c>
      <c r="N10709" s="43">
        <v>5.4037533432415508</v>
      </c>
      <c r="O10709" s="43">
        <v>4.7901073297372312</v>
      </c>
      <c r="P10709" s="298"/>
      <c r="Q10709" s="298"/>
      <c r="R10709" s="298">
        <v>4</v>
      </c>
    </row>
    <row r="10710" spans="1:18" ht="24">
      <c r="A10710" s="294">
        <v>55</v>
      </c>
      <c r="B10710" s="291" t="s">
        <v>19586</v>
      </c>
      <c r="C10710" s="295" t="s">
        <v>19587</v>
      </c>
      <c r="D10710" s="296">
        <v>190562.56</v>
      </c>
      <c r="E10710" s="296">
        <v>43434.3</v>
      </c>
      <c r="F10710" s="296">
        <v>127620.67</v>
      </c>
      <c r="G10710" s="296">
        <v>19507.59</v>
      </c>
      <c r="H10710" s="297">
        <v>1284480.44</v>
      </c>
      <c r="I10710" s="297">
        <v>499494.45</v>
      </c>
      <c r="J10710" s="297">
        <v>690487.83</v>
      </c>
      <c r="K10710" s="297">
        <v>94498.16</v>
      </c>
      <c r="L10710" s="43">
        <v>6.7404659131363474</v>
      </c>
      <c r="M10710" s="43">
        <v>11.5</v>
      </c>
      <c r="N10710" s="43">
        <v>5.41047018480627</v>
      </c>
      <c r="O10710" s="43">
        <v>4.8441739856127795</v>
      </c>
      <c r="P10710" s="298"/>
      <c r="Q10710" s="298"/>
      <c r="R10710" s="298">
        <v>4</v>
      </c>
    </row>
    <row r="10711" spans="1:18" ht="24">
      <c r="A10711" s="294">
        <v>56</v>
      </c>
      <c r="B10711" s="291" t="s">
        <v>19588</v>
      </c>
      <c r="C10711" s="295" t="s">
        <v>19589</v>
      </c>
      <c r="D10711" s="296">
        <v>250088.95999999999</v>
      </c>
      <c r="E10711" s="296">
        <v>57526.32</v>
      </c>
      <c r="F10711" s="296">
        <v>168832.85</v>
      </c>
      <c r="G10711" s="296">
        <v>23729.79</v>
      </c>
      <c r="H10711" s="297">
        <v>1688922.21</v>
      </c>
      <c r="I10711" s="297">
        <v>661552.68000000005</v>
      </c>
      <c r="J10711" s="297">
        <v>913316.42</v>
      </c>
      <c r="K10711" s="297">
        <v>114053.11</v>
      </c>
      <c r="L10711" s="43">
        <v>6.7532857507984358</v>
      </c>
      <c r="M10711" s="43">
        <v>11.500000000000002</v>
      </c>
      <c r="N10711" s="43">
        <v>5.4095895437410437</v>
      </c>
      <c r="O10711" s="43">
        <v>4.8063261411078644</v>
      </c>
      <c r="P10711" s="298"/>
      <c r="Q10711" s="298"/>
      <c r="R10711" s="298">
        <v>4</v>
      </c>
    </row>
    <row r="10712" spans="1:18" ht="24">
      <c r="A10712" s="294">
        <v>57</v>
      </c>
      <c r="B10712" s="291" t="s">
        <v>19590</v>
      </c>
      <c r="C10712" s="295" t="s">
        <v>19591</v>
      </c>
      <c r="D10712" s="296">
        <v>292784.45</v>
      </c>
      <c r="E10712" s="296">
        <v>67147.759999999995</v>
      </c>
      <c r="F10712" s="296">
        <v>194621.99</v>
      </c>
      <c r="G10712" s="296">
        <v>31014.7</v>
      </c>
      <c r="H10712" s="297">
        <v>1973692.85</v>
      </c>
      <c r="I10712" s="297">
        <v>772199.24</v>
      </c>
      <c r="J10712" s="297">
        <v>1053519.6200000001</v>
      </c>
      <c r="K10712" s="297">
        <v>147973.99</v>
      </c>
      <c r="L10712" s="43">
        <v>6.7411122756007025</v>
      </c>
      <c r="M10712" s="43">
        <v>11.5</v>
      </c>
      <c r="N10712" s="43">
        <v>5.4131581945082372</v>
      </c>
      <c r="O10712" s="43">
        <v>4.7710920950388038</v>
      </c>
      <c r="P10712" s="298"/>
      <c r="Q10712" s="298"/>
      <c r="R10712" s="298">
        <v>4</v>
      </c>
    </row>
    <row r="10713" spans="1:18" ht="24">
      <c r="A10713" s="294">
        <v>58</v>
      </c>
      <c r="B10713" s="291" t="s">
        <v>19592</v>
      </c>
      <c r="C10713" s="295" t="s">
        <v>19593</v>
      </c>
      <c r="D10713" s="296">
        <v>9201.4699999999993</v>
      </c>
      <c r="E10713" s="296">
        <v>1191.3</v>
      </c>
      <c r="F10713" s="296">
        <v>6368.65</v>
      </c>
      <c r="G10713" s="296">
        <v>1641.52</v>
      </c>
      <c r="H10713" s="297">
        <v>54618.46</v>
      </c>
      <c r="I10713" s="297">
        <v>13700.52</v>
      </c>
      <c r="J10713" s="297">
        <v>34543.269999999997</v>
      </c>
      <c r="K10713" s="297">
        <v>6374.67</v>
      </c>
      <c r="L10713" s="43">
        <v>5.9358406863251201</v>
      </c>
      <c r="M10713" s="43">
        <v>11.500478468899523</v>
      </c>
      <c r="N10713" s="43">
        <v>5.4239548412928951</v>
      </c>
      <c r="O10713" s="43">
        <v>3.8833946586090939</v>
      </c>
      <c r="P10713" s="298"/>
      <c r="Q10713" s="298"/>
      <c r="R10713" s="298">
        <v>4</v>
      </c>
    </row>
    <row r="10714" spans="1:18" ht="24">
      <c r="A10714" s="294">
        <v>59</v>
      </c>
      <c r="B10714" s="291" t="s">
        <v>19594</v>
      </c>
      <c r="C10714" s="295" t="s">
        <v>19595</v>
      </c>
      <c r="D10714" s="296">
        <v>12924.57</v>
      </c>
      <c r="E10714" s="296">
        <v>2460.6799999999998</v>
      </c>
      <c r="F10714" s="296">
        <v>6906.54</v>
      </c>
      <c r="G10714" s="296">
        <v>3557.35</v>
      </c>
      <c r="H10714" s="297">
        <v>80110.460000000006</v>
      </c>
      <c r="I10714" s="297">
        <v>28297.82</v>
      </c>
      <c r="J10714" s="297">
        <v>37274.94</v>
      </c>
      <c r="K10714" s="297">
        <v>14537.7</v>
      </c>
      <c r="L10714" s="43">
        <v>6.1983075645843542</v>
      </c>
      <c r="M10714" s="43">
        <v>11.5</v>
      </c>
      <c r="N10714" s="43">
        <v>5.3970497528429577</v>
      </c>
      <c r="O10714" s="43">
        <v>4.0866656359368632</v>
      </c>
      <c r="P10714" s="298"/>
      <c r="Q10714" s="298"/>
      <c r="R10714" s="298">
        <v>4</v>
      </c>
    </row>
    <row r="10715" spans="1:18" ht="24">
      <c r="A10715" s="294">
        <v>60</v>
      </c>
      <c r="B10715" s="291" t="s">
        <v>19596</v>
      </c>
      <c r="C10715" s="295" t="s">
        <v>19597</v>
      </c>
      <c r="D10715" s="296">
        <v>17228.650000000001</v>
      </c>
      <c r="E10715" s="296">
        <v>3273.68</v>
      </c>
      <c r="F10715" s="296">
        <v>9020.35</v>
      </c>
      <c r="G10715" s="296">
        <v>4934.62</v>
      </c>
      <c r="H10715" s="297">
        <v>106664.46</v>
      </c>
      <c r="I10715" s="297">
        <v>37647.32</v>
      </c>
      <c r="J10715" s="297">
        <v>48720.83</v>
      </c>
      <c r="K10715" s="297">
        <v>20296.310000000001</v>
      </c>
      <c r="L10715" s="43">
        <v>6.191109576200108</v>
      </c>
      <c r="M10715" s="43">
        <v>11.5</v>
      </c>
      <c r="N10715" s="43">
        <v>5.4012128132500399</v>
      </c>
      <c r="O10715" s="43">
        <v>4.1130441655081853</v>
      </c>
      <c r="P10715" s="298"/>
      <c r="Q10715" s="298"/>
      <c r="R10715" s="298">
        <v>4</v>
      </c>
    </row>
    <row r="10716" spans="1:18" ht="24">
      <c r="A10716" s="294">
        <v>61</v>
      </c>
      <c r="B10716" s="291" t="s">
        <v>19598</v>
      </c>
      <c r="C10716" s="295" t="s">
        <v>19599</v>
      </c>
      <c r="D10716" s="296">
        <v>21882.78</v>
      </c>
      <c r="E10716" s="296">
        <v>3973.8</v>
      </c>
      <c r="F10716" s="296">
        <v>10903.16</v>
      </c>
      <c r="G10716" s="296">
        <v>7005.82</v>
      </c>
      <c r="H10716" s="297">
        <v>134116.97</v>
      </c>
      <c r="I10716" s="297">
        <v>45698.7</v>
      </c>
      <c r="J10716" s="297">
        <v>58865.48</v>
      </c>
      <c r="K10716" s="297">
        <v>29552.79</v>
      </c>
      <c r="L10716" s="43">
        <v>6.1288817051581201</v>
      </c>
      <c r="M10716" s="43">
        <v>11.499999999999998</v>
      </c>
      <c r="N10716" s="43">
        <v>5.3989375557177919</v>
      </c>
      <c r="O10716" s="43">
        <v>4.218319911159579</v>
      </c>
      <c r="P10716" s="298"/>
      <c r="Q10716" s="298"/>
      <c r="R10716" s="298">
        <v>4</v>
      </c>
    </row>
    <row r="10717" spans="1:18" ht="24">
      <c r="A10717" s="294">
        <v>62</v>
      </c>
      <c r="B10717" s="291" t="s">
        <v>19600</v>
      </c>
      <c r="C10717" s="295" t="s">
        <v>19601</v>
      </c>
      <c r="D10717" s="296">
        <v>51784.61</v>
      </c>
      <c r="E10717" s="296">
        <v>8036.4</v>
      </c>
      <c r="F10717" s="296">
        <v>36078.99</v>
      </c>
      <c r="G10717" s="296">
        <v>7669.22</v>
      </c>
      <c r="H10717" s="297">
        <v>318132.02</v>
      </c>
      <c r="I10717" s="297">
        <v>92418.6</v>
      </c>
      <c r="J10717" s="297">
        <v>193439.6</v>
      </c>
      <c r="K10717" s="297">
        <v>32273.82</v>
      </c>
      <c r="L10717" s="43">
        <v>6.1433700089659844</v>
      </c>
      <c r="M10717" s="43">
        <v>11.500000000000002</v>
      </c>
      <c r="N10717" s="43">
        <v>5.3615580702231416</v>
      </c>
      <c r="O10717" s="43">
        <v>4.2082271730371534</v>
      </c>
      <c r="P10717" s="298"/>
      <c r="Q10717" s="298"/>
      <c r="R10717" s="298">
        <v>4</v>
      </c>
    </row>
    <row r="10718" spans="1:18" ht="24">
      <c r="A10718" s="294">
        <v>63</v>
      </c>
      <c r="B10718" s="291" t="s">
        <v>19602</v>
      </c>
      <c r="C10718" s="295" t="s">
        <v>19603</v>
      </c>
      <c r="D10718" s="296">
        <v>168467.52</v>
      </c>
      <c r="E10718" s="296">
        <v>12454.2</v>
      </c>
      <c r="F10718" s="296">
        <v>143698.34</v>
      </c>
      <c r="G10718" s="296">
        <v>12314.98</v>
      </c>
      <c r="H10718" s="297">
        <v>982505.09</v>
      </c>
      <c r="I10718" s="297">
        <v>143223.29999999999</v>
      </c>
      <c r="J10718" s="297">
        <v>784352.6</v>
      </c>
      <c r="K10718" s="297">
        <v>54929.19</v>
      </c>
      <c r="L10718" s="43">
        <v>5.8320149189588593</v>
      </c>
      <c r="M10718" s="43">
        <v>11.499999999999998</v>
      </c>
      <c r="N10718" s="43">
        <v>5.4583274935535098</v>
      </c>
      <c r="O10718" s="43">
        <v>4.4603555994406818</v>
      </c>
      <c r="P10718" s="298"/>
      <c r="Q10718" s="298"/>
      <c r="R10718" s="298">
        <v>4</v>
      </c>
    </row>
    <row r="10719" spans="1:18" ht="24">
      <c r="A10719" s="294">
        <v>64</v>
      </c>
      <c r="B10719" s="291" t="s">
        <v>19604</v>
      </c>
      <c r="C10719" s="295" t="s">
        <v>19605</v>
      </c>
      <c r="D10719" s="296">
        <v>197951.88</v>
      </c>
      <c r="E10719" s="296">
        <v>14729.7</v>
      </c>
      <c r="F10719" s="296">
        <v>164305.54999999999</v>
      </c>
      <c r="G10719" s="296">
        <v>18916.63</v>
      </c>
      <c r="H10719" s="297">
        <v>1153779.26</v>
      </c>
      <c r="I10719" s="297">
        <v>169391.55</v>
      </c>
      <c r="J10719" s="297">
        <v>896577.25</v>
      </c>
      <c r="K10719" s="297">
        <v>87810.46</v>
      </c>
      <c r="L10719" s="43">
        <v>5.8285845024558496</v>
      </c>
      <c r="M10719" s="43">
        <v>11.499999999999998</v>
      </c>
      <c r="N10719" s="43">
        <v>5.4567678937199631</v>
      </c>
      <c r="O10719" s="43">
        <v>4.641971640826088</v>
      </c>
      <c r="P10719" s="298"/>
      <c r="Q10719" s="298"/>
      <c r="R10719" s="298">
        <v>4</v>
      </c>
    </row>
    <row r="10720" spans="1:18" ht="24">
      <c r="A10720" s="294">
        <v>65</v>
      </c>
      <c r="B10720" s="291" t="s">
        <v>19606</v>
      </c>
      <c r="C10720" s="295" t="s">
        <v>19607</v>
      </c>
      <c r="D10720" s="296">
        <v>258279.89</v>
      </c>
      <c r="E10720" s="296">
        <v>19242.88</v>
      </c>
      <c r="F10720" s="296">
        <v>216160.41</v>
      </c>
      <c r="G10720" s="296">
        <v>22876.6</v>
      </c>
      <c r="H10720" s="297">
        <v>1505603.58</v>
      </c>
      <c r="I10720" s="297">
        <v>221293.12</v>
      </c>
      <c r="J10720" s="297">
        <v>1179446.5900000001</v>
      </c>
      <c r="K10720" s="297">
        <v>104863.87</v>
      </c>
      <c r="L10720" s="43">
        <v>5.8293488509693878</v>
      </c>
      <c r="M10720" s="43">
        <v>11.5</v>
      </c>
      <c r="N10720" s="43">
        <v>5.4563487828321575</v>
      </c>
      <c r="O10720" s="43">
        <v>4.5838922742015864</v>
      </c>
      <c r="P10720" s="298"/>
      <c r="Q10720" s="298"/>
      <c r="R10720" s="298">
        <v>4</v>
      </c>
    </row>
    <row r="10721" spans="1:18" ht="24">
      <c r="A10721" s="294">
        <v>66</v>
      </c>
      <c r="B10721" s="291" t="s">
        <v>19608</v>
      </c>
      <c r="C10721" s="295" t="s">
        <v>19609</v>
      </c>
      <c r="D10721" s="296">
        <v>298987.32</v>
      </c>
      <c r="E10721" s="296">
        <v>22693.56</v>
      </c>
      <c r="F10721" s="296">
        <v>251679.64</v>
      </c>
      <c r="G10721" s="296">
        <v>24614.12</v>
      </c>
      <c r="H10721" s="297">
        <v>1747574.08</v>
      </c>
      <c r="I10721" s="297">
        <v>260975.94</v>
      </c>
      <c r="J10721" s="297">
        <v>1373481.69</v>
      </c>
      <c r="K10721" s="297">
        <v>113116.45</v>
      </c>
      <c r="L10721" s="43">
        <v>5.844977238499613</v>
      </c>
      <c r="M10721" s="43">
        <v>11.5</v>
      </c>
      <c r="N10721" s="43">
        <v>5.4572618190331159</v>
      </c>
      <c r="O10721" s="43">
        <v>4.5955918797828241</v>
      </c>
      <c r="P10721" s="298"/>
      <c r="Q10721" s="298"/>
      <c r="R10721" s="298">
        <v>4</v>
      </c>
    </row>
    <row r="10722" spans="1:18" ht="12.75" customHeight="1">
      <c r="A10722" s="628" t="s">
        <v>19610</v>
      </c>
      <c r="B10722" s="629"/>
      <c r="C10722" s="629"/>
      <c r="D10722" s="629"/>
      <c r="E10722" s="629"/>
      <c r="F10722" s="629"/>
      <c r="G10722" s="629"/>
      <c r="H10722" s="629"/>
      <c r="I10722" s="629"/>
      <c r="J10722" s="629"/>
      <c r="K10722" s="629"/>
      <c r="L10722" s="629"/>
      <c r="M10722" s="629"/>
      <c r="N10722" s="629"/>
      <c r="O10722" s="629"/>
      <c r="P10722" s="629"/>
      <c r="Q10722" s="629"/>
      <c r="R10722" s="629"/>
    </row>
    <row r="10723" spans="1:18" ht="24">
      <c r="A10723" s="294">
        <v>67</v>
      </c>
      <c r="B10723" s="291" t="s">
        <v>19611</v>
      </c>
      <c r="C10723" s="295" t="s">
        <v>19612</v>
      </c>
      <c r="D10723" s="296">
        <v>7031.21</v>
      </c>
      <c r="E10723" s="296">
        <v>2471.52</v>
      </c>
      <c r="F10723" s="296">
        <v>2316.2800000000002</v>
      </c>
      <c r="G10723" s="296">
        <v>2243.41</v>
      </c>
      <c r="H10723" s="297">
        <v>49808.43</v>
      </c>
      <c r="I10723" s="297">
        <v>28422.48</v>
      </c>
      <c r="J10723" s="297">
        <v>12034.36</v>
      </c>
      <c r="K10723" s="297">
        <v>9351.59</v>
      </c>
      <c r="L10723" s="43">
        <v>7.083905899553562</v>
      </c>
      <c r="M10723" s="43">
        <v>11.5</v>
      </c>
      <c r="N10723" s="43">
        <v>5.1955549415442004</v>
      </c>
      <c r="O10723" s="43">
        <v>4.1684712112364659</v>
      </c>
      <c r="P10723" s="298"/>
      <c r="Q10723" s="298"/>
      <c r="R10723" s="298">
        <v>5</v>
      </c>
    </row>
    <row r="10724" spans="1:18" ht="24">
      <c r="A10724" s="294">
        <v>68</v>
      </c>
      <c r="B10724" s="291" t="s">
        <v>19613</v>
      </c>
      <c r="C10724" s="295" t="s">
        <v>19614</v>
      </c>
      <c r="D10724" s="296">
        <v>10562.65</v>
      </c>
      <c r="E10724" s="296">
        <v>3414.6</v>
      </c>
      <c r="F10724" s="296">
        <v>4248.58</v>
      </c>
      <c r="G10724" s="296">
        <v>2899.47</v>
      </c>
      <c r="H10724" s="297">
        <v>73479.850000000006</v>
      </c>
      <c r="I10724" s="297">
        <v>39267.9</v>
      </c>
      <c r="J10724" s="297">
        <v>21912.41</v>
      </c>
      <c r="K10724" s="297">
        <v>12299.54</v>
      </c>
      <c r="L10724" s="43">
        <v>6.9565733977742337</v>
      </c>
      <c r="M10724" s="43">
        <v>11.5</v>
      </c>
      <c r="N10724" s="43">
        <v>5.1575844164403168</v>
      </c>
      <c r="O10724" s="43">
        <v>4.2419959509841458</v>
      </c>
      <c r="P10724" s="298"/>
      <c r="Q10724" s="298"/>
      <c r="R10724" s="298">
        <v>5</v>
      </c>
    </row>
    <row r="10725" spans="1:18" ht="24">
      <c r="A10725" s="294">
        <v>69</v>
      </c>
      <c r="B10725" s="291" t="s">
        <v>19615</v>
      </c>
      <c r="C10725" s="295" t="s">
        <v>19616</v>
      </c>
      <c r="D10725" s="296">
        <v>17144.96</v>
      </c>
      <c r="E10725" s="296">
        <v>6848.7</v>
      </c>
      <c r="F10725" s="296">
        <v>5844.32</v>
      </c>
      <c r="G10725" s="296">
        <v>4451.9399999999996</v>
      </c>
      <c r="H10725" s="297">
        <v>127798.36</v>
      </c>
      <c r="I10725" s="297">
        <v>78760.05</v>
      </c>
      <c r="J10725" s="297">
        <v>30140.5</v>
      </c>
      <c r="K10725" s="297">
        <v>18897.810000000001</v>
      </c>
      <c r="L10725" s="43">
        <v>7.45398997722946</v>
      </c>
      <c r="M10725" s="43">
        <v>11.5</v>
      </c>
      <c r="N10725" s="43">
        <v>5.1572295835956963</v>
      </c>
      <c r="O10725" s="43">
        <v>4.2448483133195873</v>
      </c>
      <c r="P10725" s="298"/>
      <c r="Q10725" s="298"/>
      <c r="R10725" s="298">
        <v>5</v>
      </c>
    </row>
    <row r="10726" spans="1:18" ht="24">
      <c r="A10726" s="294">
        <v>70</v>
      </c>
      <c r="B10726" s="291" t="s">
        <v>19617</v>
      </c>
      <c r="C10726" s="295" t="s">
        <v>19618</v>
      </c>
      <c r="D10726" s="296">
        <v>21541.51</v>
      </c>
      <c r="E10726" s="296">
        <v>9612.6</v>
      </c>
      <c r="F10726" s="296">
        <v>6819.32</v>
      </c>
      <c r="G10726" s="296">
        <v>5109.59</v>
      </c>
      <c r="H10726" s="297">
        <v>167558.48000000001</v>
      </c>
      <c r="I10726" s="297">
        <v>110544.9</v>
      </c>
      <c r="J10726" s="297">
        <v>35268.199999999997</v>
      </c>
      <c r="K10726" s="297">
        <v>21745.38</v>
      </c>
      <c r="L10726" s="43">
        <v>7.7783999357519518</v>
      </c>
      <c r="M10726" s="43">
        <v>11.499999999999998</v>
      </c>
      <c r="N10726" s="43">
        <v>5.17180598652065</v>
      </c>
      <c r="O10726" s="43">
        <v>4.2557974318878813</v>
      </c>
      <c r="P10726" s="298"/>
      <c r="Q10726" s="298"/>
      <c r="R10726" s="298">
        <v>5</v>
      </c>
    </row>
    <row r="10727" spans="1:18" ht="24">
      <c r="A10727" s="294">
        <v>71</v>
      </c>
      <c r="B10727" s="291" t="s">
        <v>19619</v>
      </c>
      <c r="C10727" s="295" t="s">
        <v>19620</v>
      </c>
      <c r="D10727" s="296">
        <v>26649.65</v>
      </c>
      <c r="E10727" s="296">
        <v>10955.7</v>
      </c>
      <c r="F10727" s="296">
        <v>6991.43</v>
      </c>
      <c r="G10727" s="296">
        <v>8702.52</v>
      </c>
      <c r="H10727" s="297">
        <v>198304.98</v>
      </c>
      <c r="I10727" s="297">
        <v>125990.55</v>
      </c>
      <c r="J10727" s="297">
        <v>36026.370000000003</v>
      </c>
      <c r="K10727" s="297">
        <v>36288.06</v>
      </c>
      <c r="L10727" s="43">
        <v>7.4411851562778502</v>
      </c>
      <c r="M10727" s="43">
        <v>11.5</v>
      </c>
      <c r="N10727" s="43">
        <v>5.1529329479090835</v>
      </c>
      <c r="O10727" s="43">
        <v>4.1698335654500074</v>
      </c>
      <c r="P10727" s="298"/>
      <c r="Q10727" s="298"/>
      <c r="R10727" s="298">
        <v>5</v>
      </c>
    </row>
    <row r="10728" spans="1:18" ht="12.75" customHeight="1">
      <c r="A10728" s="628" t="s">
        <v>19621</v>
      </c>
      <c r="B10728" s="629"/>
      <c r="C10728" s="629"/>
      <c r="D10728" s="629"/>
      <c r="E10728" s="629"/>
      <c r="F10728" s="629"/>
      <c r="G10728" s="629"/>
      <c r="H10728" s="629"/>
      <c r="I10728" s="629"/>
      <c r="J10728" s="629"/>
      <c r="K10728" s="629"/>
      <c r="L10728" s="629"/>
      <c r="M10728" s="629"/>
      <c r="N10728" s="629"/>
      <c r="O10728" s="629"/>
      <c r="P10728" s="629"/>
      <c r="Q10728" s="629"/>
      <c r="R10728" s="629"/>
    </row>
    <row r="10729" spans="1:18" ht="24">
      <c r="A10729" s="294">
        <v>72</v>
      </c>
      <c r="B10729" s="291" t="s">
        <v>19622</v>
      </c>
      <c r="C10729" s="295" t="s">
        <v>19623</v>
      </c>
      <c r="D10729" s="296">
        <v>3204.15</v>
      </c>
      <c r="E10729" s="296">
        <v>1242.3599999999999</v>
      </c>
      <c r="F10729" s="296">
        <v>1322.16</v>
      </c>
      <c r="G10729" s="296">
        <v>639.63</v>
      </c>
      <c r="H10729" s="297">
        <v>24168.11</v>
      </c>
      <c r="I10729" s="297">
        <v>14287.72</v>
      </c>
      <c r="J10729" s="297">
        <v>7280.25</v>
      </c>
      <c r="K10729" s="297">
        <v>2600.14</v>
      </c>
      <c r="L10729" s="43">
        <v>7.5427523680227209</v>
      </c>
      <c r="M10729" s="43">
        <v>11.50046685340803</v>
      </c>
      <c r="N10729" s="43">
        <v>5.5063305500090758</v>
      </c>
      <c r="O10729" s="43">
        <v>4.065068867939277</v>
      </c>
      <c r="P10729" s="298"/>
      <c r="Q10729" s="298"/>
      <c r="R10729" s="298">
        <v>6</v>
      </c>
    </row>
    <row r="10730" spans="1:18" ht="24">
      <c r="A10730" s="294">
        <v>73</v>
      </c>
      <c r="B10730" s="291" t="s">
        <v>19624</v>
      </c>
      <c r="C10730" s="295" t="s">
        <v>19625</v>
      </c>
      <c r="D10730" s="296">
        <v>4358.63</v>
      </c>
      <c r="E10730" s="296">
        <v>1392.3</v>
      </c>
      <c r="F10730" s="296">
        <v>2014.24</v>
      </c>
      <c r="G10730" s="296">
        <v>952.09</v>
      </c>
      <c r="H10730" s="297">
        <v>30871.87</v>
      </c>
      <c r="I10730" s="297">
        <v>16012.1</v>
      </c>
      <c r="J10730" s="297">
        <v>11083.31</v>
      </c>
      <c r="K10730" s="297">
        <v>3776.46</v>
      </c>
      <c r="L10730" s="43">
        <v>7.082929727919093</v>
      </c>
      <c r="M10730" s="43">
        <v>11.50046685340803</v>
      </c>
      <c r="N10730" s="43">
        <v>5.5024773611883386</v>
      </c>
      <c r="O10730" s="43">
        <v>3.9664947641504478</v>
      </c>
      <c r="P10730" s="298"/>
      <c r="Q10730" s="298"/>
      <c r="R10730" s="298">
        <v>6</v>
      </c>
    </row>
    <row r="10731" spans="1:18" ht="24">
      <c r="A10731" s="294">
        <v>74</v>
      </c>
      <c r="B10731" s="291" t="s">
        <v>19626</v>
      </c>
      <c r="C10731" s="295" t="s">
        <v>19627</v>
      </c>
      <c r="D10731" s="296">
        <v>3723.4</v>
      </c>
      <c r="E10731" s="296">
        <v>1467.27</v>
      </c>
      <c r="F10731" s="296">
        <v>1612</v>
      </c>
      <c r="G10731" s="296">
        <v>644.13</v>
      </c>
      <c r="H10731" s="297">
        <v>28396.36</v>
      </c>
      <c r="I10731" s="297">
        <v>16874.29</v>
      </c>
      <c r="J10731" s="297">
        <v>8870.18</v>
      </c>
      <c r="K10731" s="297">
        <v>2651.89</v>
      </c>
      <c r="L10731" s="43">
        <v>7.6264596873824999</v>
      </c>
      <c r="M10731" s="43">
        <v>11.50046685340803</v>
      </c>
      <c r="N10731" s="43">
        <v>5.502593052109181</v>
      </c>
      <c r="O10731" s="43">
        <v>4.1170105413503482</v>
      </c>
      <c r="P10731" s="298"/>
      <c r="Q10731" s="298"/>
      <c r="R10731" s="298">
        <v>6</v>
      </c>
    </row>
    <row r="10732" spans="1:18" ht="24">
      <c r="A10732" s="294">
        <v>75</v>
      </c>
      <c r="B10732" s="291" t="s">
        <v>19628</v>
      </c>
      <c r="C10732" s="295" t="s">
        <v>19629</v>
      </c>
      <c r="D10732" s="296">
        <v>4700.8900000000003</v>
      </c>
      <c r="E10732" s="296">
        <v>1585.08</v>
      </c>
      <c r="F10732" s="296">
        <v>2159.87</v>
      </c>
      <c r="G10732" s="296">
        <v>955.94</v>
      </c>
      <c r="H10732" s="297">
        <v>33929.74</v>
      </c>
      <c r="I10732" s="297">
        <v>18229.16</v>
      </c>
      <c r="J10732" s="297">
        <v>11879.85</v>
      </c>
      <c r="K10732" s="297">
        <v>3820.73</v>
      </c>
      <c r="L10732" s="43">
        <v>7.2177268559783352</v>
      </c>
      <c r="M10732" s="43">
        <v>11.50046685340803</v>
      </c>
      <c r="N10732" s="43">
        <v>5.5002615898179066</v>
      </c>
      <c r="O10732" s="43">
        <v>3.9968303450007321</v>
      </c>
      <c r="P10732" s="298"/>
      <c r="Q10732" s="298"/>
      <c r="R10732" s="298">
        <v>6</v>
      </c>
    </row>
    <row r="10733" spans="1:18" ht="24">
      <c r="A10733" s="294">
        <v>76</v>
      </c>
      <c r="B10733" s="291" t="s">
        <v>19630</v>
      </c>
      <c r="C10733" s="295" t="s">
        <v>19631</v>
      </c>
      <c r="D10733" s="296">
        <v>29683.74</v>
      </c>
      <c r="E10733" s="296">
        <v>8047.5</v>
      </c>
      <c r="F10733" s="296">
        <v>17957.57</v>
      </c>
      <c r="G10733" s="296">
        <v>3678.67</v>
      </c>
      <c r="H10733" s="297">
        <v>207562.89</v>
      </c>
      <c r="I10733" s="297">
        <v>92546.25</v>
      </c>
      <c r="J10733" s="297">
        <v>98894.61</v>
      </c>
      <c r="K10733" s="297">
        <v>16122.03</v>
      </c>
      <c r="L10733" s="43">
        <v>6.9924776999124774</v>
      </c>
      <c r="M10733" s="43">
        <v>11.5</v>
      </c>
      <c r="N10733" s="43">
        <v>5.5071265210159286</v>
      </c>
      <c r="O10733" s="43">
        <v>4.3825703311251081</v>
      </c>
      <c r="P10733" s="298"/>
      <c r="Q10733" s="298"/>
      <c r="R10733" s="298">
        <v>6</v>
      </c>
    </row>
    <row r="10734" spans="1:18" ht="24">
      <c r="A10734" s="294">
        <v>77</v>
      </c>
      <c r="B10734" s="291" t="s">
        <v>19632</v>
      </c>
      <c r="C10734" s="295" t="s">
        <v>19633</v>
      </c>
      <c r="D10734" s="296">
        <v>31793.360000000001</v>
      </c>
      <c r="E10734" s="296">
        <v>9079.7999999999993</v>
      </c>
      <c r="F10734" s="296">
        <v>18886.009999999998</v>
      </c>
      <c r="G10734" s="296">
        <v>3827.55</v>
      </c>
      <c r="H10734" s="297">
        <v>225487.2</v>
      </c>
      <c r="I10734" s="297">
        <v>104417.7</v>
      </c>
      <c r="J10734" s="297">
        <v>103918.33</v>
      </c>
      <c r="K10734" s="297">
        <v>17151.169999999998</v>
      </c>
      <c r="L10734" s="43">
        <v>7.0922733551911472</v>
      </c>
      <c r="M10734" s="43">
        <v>11.5</v>
      </c>
      <c r="N10734" s="43">
        <v>5.5023972771379457</v>
      </c>
      <c r="O10734" s="43">
        <v>4.4809786939425997</v>
      </c>
      <c r="P10734" s="298"/>
      <c r="Q10734" s="298"/>
      <c r="R10734" s="298">
        <v>6</v>
      </c>
    </row>
    <row r="10735" spans="1:18" ht="24">
      <c r="A10735" s="294">
        <v>78</v>
      </c>
      <c r="B10735" s="291" t="s">
        <v>19634</v>
      </c>
      <c r="C10735" s="295" t="s">
        <v>19635</v>
      </c>
      <c r="D10735" s="296">
        <v>45046.51</v>
      </c>
      <c r="E10735" s="296">
        <v>10234.200000000001</v>
      </c>
      <c r="F10735" s="296">
        <v>29802.05</v>
      </c>
      <c r="G10735" s="296">
        <v>5010.26</v>
      </c>
      <c r="H10735" s="297">
        <v>304013.69</v>
      </c>
      <c r="I10735" s="297">
        <v>117693.3</v>
      </c>
      <c r="J10735" s="297">
        <v>164333.32</v>
      </c>
      <c r="K10735" s="297">
        <v>21987.07</v>
      </c>
      <c r="L10735" s="43">
        <v>6.7488844307805422</v>
      </c>
      <c r="M10735" s="43">
        <v>11.5</v>
      </c>
      <c r="N10735" s="43">
        <v>5.5141616096879247</v>
      </c>
      <c r="O10735" s="43">
        <v>4.3884089847632657</v>
      </c>
      <c r="P10735" s="298"/>
      <c r="Q10735" s="298"/>
      <c r="R10735" s="298">
        <v>6</v>
      </c>
    </row>
    <row r="10736" spans="1:18" ht="24">
      <c r="A10736" s="294">
        <v>79</v>
      </c>
      <c r="B10736" s="291" t="s">
        <v>19636</v>
      </c>
      <c r="C10736" s="295" t="s">
        <v>19637</v>
      </c>
      <c r="D10736" s="296">
        <v>61424.21</v>
      </c>
      <c r="E10736" s="296">
        <v>14030.4</v>
      </c>
      <c r="F10736" s="296">
        <v>41629.78</v>
      </c>
      <c r="G10736" s="296">
        <v>5764.03</v>
      </c>
      <c r="H10736" s="297">
        <v>409808.06</v>
      </c>
      <c r="I10736" s="297">
        <v>161349.6</v>
      </c>
      <c r="J10736" s="297">
        <v>222894.25</v>
      </c>
      <c r="K10736" s="297">
        <v>25564.21</v>
      </c>
      <c r="L10736" s="43">
        <v>6.6717676955063814</v>
      </c>
      <c r="M10736" s="43">
        <v>11.5</v>
      </c>
      <c r="N10736" s="43">
        <v>5.3542019679181587</v>
      </c>
      <c r="O10736" s="43">
        <v>4.4351278532554481</v>
      </c>
      <c r="P10736" s="298"/>
      <c r="Q10736" s="298"/>
      <c r="R10736" s="298">
        <v>6</v>
      </c>
    </row>
    <row r="10737" spans="1:18" ht="24">
      <c r="A10737" s="294">
        <v>80</v>
      </c>
      <c r="B10737" s="291" t="s">
        <v>19638</v>
      </c>
      <c r="C10737" s="295" t="s">
        <v>19639</v>
      </c>
      <c r="D10737" s="296">
        <v>63518.02</v>
      </c>
      <c r="E10737" s="296">
        <v>15728.7</v>
      </c>
      <c r="F10737" s="296">
        <v>41895.08</v>
      </c>
      <c r="G10737" s="296">
        <v>5894.24</v>
      </c>
      <c r="H10737" s="297">
        <v>432042.53</v>
      </c>
      <c r="I10737" s="297">
        <v>180880.05</v>
      </c>
      <c r="J10737" s="297">
        <v>224455.06</v>
      </c>
      <c r="K10737" s="297">
        <v>26707.42</v>
      </c>
      <c r="L10737" s="43">
        <v>6.8018891331940141</v>
      </c>
      <c r="M10737" s="43">
        <v>11.499999999999998</v>
      </c>
      <c r="N10737" s="43">
        <v>5.357551769802086</v>
      </c>
      <c r="O10737" s="43">
        <v>4.5311049431309209</v>
      </c>
      <c r="P10737" s="298"/>
      <c r="Q10737" s="298"/>
      <c r="R10737" s="298">
        <v>6</v>
      </c>
    </row>
    <row r="10738" spans="1:18" ht="24">
      <c r="A10738" s="294">
        <v>81</v>
      </c>
      <c r="B10738" s="291" t="s">
        <v>19640</v>
      </c>
      <c r="C10738" s="295" t="s">
        <v>19641</v>
      </c>
      <c r="D10738" s="296">
        <v>49678.75</v>
      </c>
      <c r="E10738" s="296">
        <v>14813.44</v>
      </c>
      <c r="F10738" s="296">
        <v>29152.85</v>
      </c>
      <c r="G10738" s="296">
        <v>5712.46</v>
      </c>
      <c r="H10738" s="297">
        <v>356679.5</v>
      </c>
      <c r="I10738" s="297">
        <v>170354.56</v>
      </c>
      <c r="J10738" s="297">
        <v>160705.65</v>
      </c>
      <c r="K10738" s="297">
        <v>25619.29</v>
      </c>
      <c r="L10738" s="43">
        <v>7.179719699066502</v>
      </c>
      <c r="M10738" s="43">
        <v>11.5</v>
      </c>
      <c r="N10738" s="43">
        <v>5.5125193591707156</v>
      </c>
      <c r="O10738" s="43">
        <v>4.484808646362513</v>
      </c>
      <c r="P10738" s="298"/>
      <c r="Q10738" s="298"/>
      <c r="R10738" s="298">
        <v>6</v>
      </c>
    </row>
    <row r="10739" spans="1:18" ht="24">
      <c r="A10739" s="294">
        <v>82</v>
      </c>
      <c r="B10739" s="291" t="s">
        <v>19642</v>
      </c>
      <c r="C10739" s="295" t="s">
        <v>19643</v>
      </c>
      <c r="D10739" s="296">
        <v>71370.38</v>
      </c>
      <c r="E10739" s="296">
        <v>16460.64</v>
      </c>
      <c r="F10739" s="296">
        <v>47983.78</v>
      </c>
      <c r="G10739" s="296">
        <v>6925.96</v>
      </c>
      <c r="H10739" s="297">
        <v>477410.56</v>
      </c>
      <c r="I10739" s="297">
        <v>189297.36</v>
      </c>
      <c r="J10739" s="297">
        <v>256950.73</v>
      </c>
      <c r="K10739" s="297">
        <v>31162.47</v>
      </c>
      <c r="L10739" s="43">
        <v>6.6891973953340305</v>
      </c>
      <c r="M10739" s="43">
        <v>11.5</v>
      </c>
      <c r="N10739" s="43">
        <v>5.3549497350979856</v>
      </c>
      <c r="O10739" s="43">
        <v>4.4993719282236686</v>
      </c>
      <c r="P10739" s="298"/>
      <c r="Q10739" s="298"/>
      <c r="R10739" s="298">
        <v>6</v>
      </c>
    </row>
    <row r="10740" spans="1:18" ht="24">
      <c r="A10740" s="294">
        <v>83</v>
      </c>
      <c r="B10740" s="291" t="s">
        <v>19644</v>
      </c>
      <c r="C10740" s="295" t="s">
        <v>19645</v>
      </c>
      <c r="D10740" s="296">
        <v>116115.28</v>
      </c>
      <c r="E10740" s="296">
        <v>26843.68</v>
      </c>
      <c r="F10740" s="296">
        <v>79240.2</v>
      </c>
      <c r="G10740" s="296">
        <v>10031.4</v>
      </c>
      <c r="H10740" s="297">
        <v>778492.98</v>
      </c>
      <c r="I10740" s="297">
        <v>308702.32</v>
      </c>
      <c r="J10740" s="297">
        <v>424540.4</v>
      </c>
      <c r="K10740" s="297">
        <v>45250.26</v>
      </c>
      <c r="L10740" s="43">
        <v>6.7044835098360869</v>
      </c>
      <c r="M10740" s="43">
        <v>11.5</v>
      </c>
      <c r="N10740" s="43">
        <v>5.3576391780939474</v>
      </c>
      <c r="O10740" s="43">
        <v>4.5108618936539271</v>
      </c>
      <c r="P10740" s="298"/>
      <c r="Q10740" s="298"/>
      <c r="R10740" s="298">
        <v>6</v>
      </c>
    </row>
    <row r="10741" spans="1:18" ht="36">
      <c r="A10741" s="294">
        <v>84</v>
      </c>
      <c r="B10741" s="291" t="s">
        <v>19646</v>
      </c>
      <c r="C10741" s="295" t="s">
        <v>19647</v>
      </c>
      <c r="D10741" s="296">
        <v>47262.79</v>
      </c>
      <c r="E10741" s="296">
        <v>10667.04</v>
      </c>
      <c r="F10741" s="296">
        <v>31244.09</v>
      </c>
      <c r="G10741" s="296">
        <v>5351.66</v>
      </c>
      <c r="H10741" s="297">
        <v>314586.25</v>
      </c>
      <c r="I10741" s="297">
        <v>122670.96</v>
      </c>
      <c r="J10741" s="297">
        <v>167490.96</v>
      </c>
      <c r="K10741" s="297">
        <v>24424.33</v>
      </c>
      <c r="L10741" s="43">
        <v>6.6561083253866311</v>
      </c>
      <c r="M10741" s="43">
        <v>11.5</v>
      </c>
      <c r="N10741" s="43">
        <v>5.3607245402250472</v>
      </c>
      <c r="O10741" s="43">
        <v>4.5638792449445598</v>
      </c>
      <c r="P10741" s="298"/>
      <c r="Q10741" s="298"/>
      <c r="R10741" s="298">
        <v>6</v>
      </c>
    </row>
    <row r="10742" spans="1:18" ht="12.75" customHeight="1">
      <c r="A10742" s="628" t="s">
        <v>19648</v>
      </c>
      <c r="B10742" s="629"/>
      <c r="C10742" s="629"/>
      <c r="D10742" s="629"/>
      <c r="E10742" s="629"/>
      <c r="F10742" s="629"/>
      <c r="G10742" s="629"/>
      <c r="H10742" s="629"/>
      <c r="I10742" s="629"/>
      <c r="J10742" s="629"/>
      <c r="K10742" s="629"/>
      <c r="L10742" s="629"/>
      <c r="M10742" s="629"/>
      <c r="N10742" s="629"/>
      <c r="O10742" s="629"/>
      <c r="P10742" s="629"/>
      <c r="Q10742" s="629"/>
      <c r="R10742" s="629"/>
    </row>
    <row r="10743" spans="1:18" ht="24">
      <c r="A10743" s="294">
        <v>85</v>
      </c>
      <c r="B10743" s="291" t="s">
        <v>19649</v>
      </c>
      <c r="C10743" s="295" t="s">
        <v>19650</v>
      </c>
      <c r="D10743" s="296">
        <v>7031.89</v>
      </c>
      <c r="E10743" s="296">
        <v>2676.68</v>
      </c>
      <c r="F10743" s="296">
        <v>2523.2800000000002</v>
      </c>
      <c r="G10743" s="296">
        <v>1831.93</v>
      </c>
      <c r="H10743" s="297">
        <v>51732.18</v>
      </c>
      <c r="I10743" s="297">
        <v>30783.040000000001</v>
      </c>
      <c r="J10743" s="297">
        <v>13688.15</v>
      </c>
      <c r="K10743" s="297">
        <v>7260.99</v>
      </c>
      <c r="L10743" s="43">
        <v>7.3567959680825492</v>
      </c>
      <c r="M10743" s="43">
        <v>11.500455788514131</v>
      </c>
      <c r="N10743" s="43">
        <v>5.4247447766399288</v>
      </c>
      <c r="O10743" s="43">
        <v>3.9635739356853152</v>
      </c>
      <c r="P10743" s="298"/>
      <c r="Q10743" s="298"/>
      <c r="R10743" s="298">
        <v>7</v>
      </c>
    </row>
    <row r="10744" spans="1:18" ht="24">
      <c r="A10744" s="294">
        <v>86</v>
      </c>
      <c r="B10744" s="291" t="s">
        <v>19651</v>
      </c>
      <c r="C10744" s="295" t="s">
        <v>19652</v>
      </c>
      <c r="D10744" s="296">
        <v>10347.1</v>
      </c>
      <c r="E10744" s="296">
        <v>4322.18</v>
      </c>
      <c r="F10744" s="296">
        <v>3423.89</v>
      </c>
      <c r="G10744" s="296">
        <v>2601.0300000000002</v>
      </c>
      <c r="H10744" s="297">
        <v>78726.33</v>
      </c>
      <c r="I10744" s="297">
        <v>49707.040000000001</v>
      </c>
      <c r="J10744" s="297">
        <v>18269.73</v>
      </c>
      <c r="K10744" s="297">
        <v>10749.56</v>
      </c>
      <c r="L10744" s="43">
        <v>7.608540557257589</v>
      </c>
      <c r="M10744" s="43">
        <v>11.500455788514129</v>
      </c>
      <c r="N10744" s="43">
        <v>5.3359570546950987</v>
      </c>
      <c r="O10744" s="43">
        <v>4.1328089256948202</v>
      </c>
      <c r="P10744" s="298"/>
      <c r="Q10744" s="298"/>
      <c r="R10744" s="298">
        <v>7</v>
      </c>
    </row>
    <row r="10745" spans="1:18" ht="24">
      <c r="A10745" s="294">
        <v>87</v>
      </c>
      <c r="B10745" s="291" t="s">
        <v>19653</v>
      </c>
      <c r="C10745" s="295" t="s">
        <v>19654</v>
      </c>
      <c r="D10745" s="296">
        <v>24032.97</v>
      </c>
      <c r="E10745" s="296">
        <v>9368.3799999999992</v>
      </c>
      <c r="F10745" s="296">
        <v>10802.86</v>
      </c>
      <c r="G10745" s="296">
        <v>3861.73</v>
      </c>
      <c r="H10745" s="297">
        <v>180378.44</v>
      </c>
      <c r="I10745" s="297">
        <v>107740.64</v>
      </c>
      <c r="J10745" s="297">
        <v>55870.59</v>
      </c>
      <c r="K10745" s="297">
        <v>16767.21</v>
      </c>
      <c r="L10745" s="43">
        <v>7.5054577108031175</v>
      </c>
      <c r="M10745" s="43">
        <v>11.500455788514131</v>
      </c>
      <c r="N10745" s="43">
        <v>5.1718331997267386</v>
      </c>
      <c r="O10745" s="43">
        <v>4.3418908105952507</v>
      </c>
      <c r="P10745" s="298"/>
      <c r="Q10745" s="298"/>
      <c r="R10745" s="298">
        <v>7</v>
      </c>
    </row>
    <row r="10746" spans="1:18" ht="24">
      <c r="A10746" s="294">
        <v>88</v>
      </c>
      <c r="B10746" s="291" t="s">
        <v>19655</v>
      </c>
      <c r="C10746" s="295" t="s">
        <v>19656</v>
      </c>
      <c r="D10746" s="296">
        <v>119032.28</v>
      </c>
      <c r="E10746" s="296">
        <v>19641.439999999999</v>
      </c>
      <c r="F10746" s="296">
        <v>93360.87</v>
      </c>
      <c r="G10746" s="296">
        <v>6029.97</v>
      </c>
      <c r="H10746" s="297">
        <v>752061.79</v>
      </c>
      <c r="I10746" s="297">
        <v>225876.56</v>
      </c>
      <c r="J10746" s="297">
        <v>498706.85</v>
      </c>
      <c r="K10746" s="297">
        <v>27478.38</v>
      </c>
      <c r="L10746" s="43">
        <v>6.3181331148155779</v>
      </c>
      <c r="M10746" s="43">
        <v>11.5</v>
      </c>
      <c r="N10746" s="43">
        <v>5.3417116828495708</v>
      </c>
      <c r="O10746" s="43">
        <v>4.5569679451141551</v>
      </c>
      <c r="P10746" s="298"/>
      <c r="Q10746" s="298"/>
      <c r="R10746" s="298">
        <v>7</v>
      </c>
    </row>
    <row r="10747" spans="1:18" ht="24">
      <c r="A10747" s="294">
        <v>89</v>
      </c>
      <c r="B10747" s="291" t="s">
        <v>19657</v>
      </c>
      <c r="C10747" s="295" t="s">
        <v>19658</v>
      </c>
      <c r="D10747" s="296">
        <v>130739.75</v>
      </c>
      <c r="E10747" s="296">
        <v>24264.959999999999</v>
      </c>
      <c r="F10747" s="296">
        <v>99641.19</v>
      </c>
      <c r="G10747" s="296">
        <v>6833.6</v>
      </c>
      <c r="H10747" s="297">
        <v>842699.16</v>
      </c>
      <c r="I10747" s="297">
        <v>279047.03999999998</v>
      </c>
      <c r="J10747" s="297">
        <v>532114.36</v>
      </c>
      <c r="K10747" s="297">
        <v>31537.759999999998</v>
      </c>
      <c r="L10747" s="43">
        <v>6.4456231559261816</v>
      </c>
      <c r="M10747" s="43">
        <v>11.5</v>
      </c>
      <c r="N10747" s="43">
        <v>5.3403051489047852</v>
      </c>
      <c r="O10747" s="43">
        <v>4.6151018496839145</v>
      </c>
      <c r="P10747" s="298"/>
      <c r="Q10747" s="298"/>
      <c r="R10747" s="298">
        <v>7</v>
      </c>
    </row>
    <row r="10748" spans="1:18" ht="24">
      <c r="A10748" s="294">
        <v>90</v>
      </c>
      <c r="B10748" s="291" t="s">
        <v>19659</v>
      </c>
      <c r="C10748" s="295" t="s">
        <v>19660</v>
      </c>
      <c r="D10748" s="296">
        <v>178795</v>
      </c>
      <c r="E10748" s="296">
        <v>38533.120000000003</v>
      </c>
      <c r="F10748" s="296">
        <v>132183.28</v>
      </c>
      <c r="G10748" s="296">
        <v>8078.6</v>
      </c>
      <c r="H10748" s="297">
        <v>1183748.29</v>
      </c>
      <c r="I10748" s="297">
        <v>443130.88</v>
      </c>
      <c r="J10748" s="297">
        <v>702242.74</v>
      </c>
      <c r="K10748" s="297">
        <v>38374.67</v>
      </c>
      <c r="L10748" s="43">
        <v>6.620701305964932</v>
      </c>
      <c r="M10748" s="43">
        <v>11.5</v>
      </c>
      <c r="N10748" s="43">
        <v>5.3126442315548532</v>
      </c>
      <c r="O10748" s="43">
        <v>4.7501633946475872</v>
      </c>
      <c r="P10748" s="298"/>
      <c r="Q10748" s="298"/>
      <c r="R10748" s="298">
        <v>7</v>
      </c>
    </row>
    <row r="10749" spans="1:18" ht="24">
      <c r="A10749" s="294">
        <v>91</v>
      </c>
      <c r="B10749" s="291" t="s">
        <v>19661</v>
      </c>
      <c r="C10749" s="295" t="s">
        <v>19662</v>
      </c>
      <c r="D10749" s="296">
        <v>379509.4</v>
      </c>
      <c r="E10749" s="296">
        <v>49625.31</v>
      </c>
      <c r="F10749" s="296">
        <v>311712.67</v>
      </c>
      <c r="G10749" s="296">
        <v>18171.419999999998</v>
      </c>
      <c r="H10749" s="297">
        <v>2356868.96</v>
      </c>
      <c r="I10749" s="297">
        <v>570712.66</v>
      </c>
      <c r="J10749" s="297">
        <v>1696417.82</v>
      </c>
      <c r="K10749" s="297">
        <v>89738.48</v>
      </c>
      <c r="L10749" s="43">
        <v>6.2103045668961023</v>
      </c>
      <c r="M10749" s="43">
        <v>11.500435161009575</v>
      </c>
      <c r="N10749" s="43">
        <v>5.4422485297116738</v>
      </c>
      <c r="O10749" s="43">
        <v>4.9384406942330319</v>
      </c>
      <c r="P10749" s="298"/>
      <c r="Q10749" s="298"/>
      <c r="R10749" s="298">
        <v>7</v>
      </c>
    </row>
    <row r="10750" spans="1:18" ht="24">
      <c r="A10750" s="294">
        <v>92</v>
      </c>
      <c r="B10750" s="291" t="s">
        <v>19663</v>
      </c>
      <c r="C10750" s="295" t="s">
        <v>19664</v>
      </c>
      <c r="D10750" s="296">
        <v>527999.05000000005</v>
      </c>
      <c r="E10750" s="296">
        <v>61218.720000000001</v>
      </c>
      <c r="F10750" s="296">
        <v>446094.3</v>
      </c>
      <c r="G10750" s="296">
        <v>20686.03</v>
      </c>
      <c r="H10750" s="297">
        <v>3231736.06</v>
      </c>
      <c r="I10750" s="297">
        <v>704041.92</v>
      </c>
      <c r="J10750" s="297">
        <v>2426310.7000000002</v>
      </c>
      <c r="K10750" s="297">
        <v>101383.44</v>
      </c>
      <c r="L10750" s="43">
        <v>6.1207232475134186</v>
      </c>
      <c r="M10750" s="43">
        <v>11.500435161009573</v>
      </c>
      <c r="N10750" s="43">
        <v>5.4390085235341505</v>
      </c>
      <c r="O10750" s="43">
        <v>4.9010583471067193</v>
      </c>
      <c r="P10750" s="298"/>
      <c r="Q10750" s="298"/>
      <c r="R10750" s="298">
        <v>7</v>
      </c>
    </row>
    <row r="10751" spans="1:18" ht="24">
      <c r="A10751" s="294">
        <v>93</v>
      </c>
      <c r="B10751" s="291" t="s">
        <v>19665</v>
      </c>
      <c r="C10751" s="295" t="s">
        <v>19666</v>
      </c>
      <c r="D10751" s="296">
        <v>9551.01</v>
      </c>
      <c r="E10751" s="296">
        <v>1294.46</v>
      </c>
      <c r="F10751" s="296">
        <v>6452.26</v>
      </c>
      <c r="G10751" s="296">
        <v>1804.29</v>
      </c>
      <c r="H10751" s="297">
        <v>56415.24</v>
      </c>
      <c r="I10751" s="297">
        <v>14886.88</v>
      </c>
      <c r="J10751" s="297">
        <v>34585.230000000003</v>
      </c>
      <c r="K10751" s="297">
        <v>6943.13</v>
      </c>
      <c r="L10751" s="43">
        <v>5.9067302829753077</v>
      </c>
      <c r="M10751" s="43">
        <v>11.500455788514129</v>
      </c>
      <c r="N10751" s="43">
        <v>5.3601730246456283</v>
      </c>
      <c r="O10751" s="43">
        <v>3.8481230844265615</v>
      </c>
      <c r="P10751" s="298"/>
      <c r="Q10751" s="298"/>
      <c r="R10751" s="298">
        <v>7</v>
      </c>
    </row>
    <row r="10752" spans="1:18" ht="24">
      <c r="A10752" s="294">
        <v>94</v>
      </c>
      <c r="B10752" s="291" t="s">
        <v>19667</v>
      </c>
      <c r="C10752" s="295" t="s">
        <v>19668</v>
      </c>
      <c r="D10752" s="296">
        <v>10900.55</v>
      </c>
      <c r="E10752" s="296">
        <v>1524.83</v>
      </c>
      <c r="F10752" s="296">
        <v>7566.82</v>
      </c>
      <c r="G10752" s="296">
        <v>1808.9</v>
      </c>
      <c r="H10752" s="297">
        <v>65098.25</v>
      </c>
      <c r="I10752" s="297">
        <v>17536.240000000002</v>
      </c>
      <c r="J10752" s="297">
        <v>40565.870000000003</v>
      </c>
      <c r="K10752" s="297">
        <v>6996.14</v>
      </c>
      <c r="L10752" s="43">
        <v>5.9720151735462892</v>
      </c>
      <c r="M10752" s="43">
        <v>11.500455788514131</v>
      </c>
      <c r="N10752" s="43">
        <v>5.3610195564318968</v>
      </c>
      <c r="O10752" s="43">
        <v>3.8676212062579469</v>
      </c>
      <c r="P10752" s="298"/>
      <c r="Q10752" s="298"/>
      <c r="R10752" s="298">
        <v>7</v>
      </c>
    </row>
    <row r="10753" spans="1:18" ht="24">
      <c r="A10753" s="294">
        <v>95</v>
      </c>
      <c r="B10753" s="291" t="s">
        <v>19669</v>
      </c>
      <c r="C10753" s="295" t="s">
        <v>19670</v>
      </c>
      <c r="D10753" s="296">
        <v>52350.67</v>
      </c>
      <c r="E10753" s="296">
        <v>3060.63</v>
      </c>
      <c r="F10753" s="296">
        <v>46803.839999999997</v>
      </c>
      <c r="G10753" s="296">
        <v>2486.1999999999998</v>
      </c>
      <c r="H10753" s="297">
        <v>275434.93</v>
      </c>
      <c r="I10753" s="297">
        <v>35198.639999999999</v>
      </c>
      <c r="J10753" s="297">
        <v>230198.01</v>
      </c>
      <c r="K10753" s="297">
        <v>10038.280000000001</v>
      </c>
      <c r="L10753" s="43">
        <v>5.2613448882316121</v>
      </c>
      <c r="M10753" s="43">
        <v>11.500455788514129</v>
      </c>
      <c r="N10753" s="43">
        <v>4.918357339910572</v>
      </c>
      <c r="O10753" s="43">
        <v>4.0375995495133141</v>
      </c>
      <c r="P10753" s="298"/>
      <c r="Q10753" s="298"/>
      <c r="R10753" s="298">
        <v>7</v>
      </c>
    </row>
    <row r="10754" spans="1:18" ht="24">
      <c r="A10754" s="294">
        <v>96</v>
      </c>
      <c r="B10754" s="291" t="s">
        <v>19671</v>
      </c>
      <c r="C10754" s="295" t="s">
        <v>19672</v>
      </c>
      <c r="D10754" s="296">
        <v>109187.95</v>
      </c>
      <c r="E10754" s="296">
        <v>6407.04</v>
      </c>
      <c r="F10754" s="296">
        <v>99502.34</v>
      </c>
      <c r="G10754" s="296">
        <v>3278.57</v>
      </c>
      <c r="H10754" s="297">
        <v>577081.81000000006</v>
      </c>
      <c r="I10754" s="297">
        <v>73680.960000000006</v>
      </c>
      <c r="J10754" s="297">
        <v>489471.74</v>
      </c>
      <c r="K10754" s="297">
        <v>13929.11</v>
      </c>
      <c r="L10754" s="43">
        <v>5.2852151725533822</v>
      </c>
      <c r="M10754" s="43">
        <v>11.500000000000002</v>
      </c>
      <c r="N10754" s="43">
        <v>4.9191982821710525</v>
      </c>
      <c r="O10754" s="43">
        <v>4.24853213443666</v>
      </c>
      <c r="P10754" s="298"/>
      <c r="Q10754" s="298"/>
      <c r="R10754" s="298">
        <v>7</v>
      </c>
    </row>
    <row r="10755" spans="1:18" ht="24">
      <c r="A10755" s="294">
        <v>97</v>
      </c>
      <c r="B10755" s="291" t="s">
        <v>19673</v>
      </c>
      <c r="C10755" s="295" t="s">
        <v>19674</v>
      </c>
      <c r="D10755" s="296">
        <v>131810.26999999999</v>
      </c>
      <c r="E10755" s="296">
        <v>6781.92</v>
      </c>
      <c r="F10755" s="296">
        <v>121031.12</v>
      </c>
      <c r="G10755" s="296">
        <v>3997.23</v>
      </c>
      <c r="H10755" s="297">
        <v>695794.94</v>
      </c>
      <c r="I10755" s="297">
        <v>77992.08</v>
      </c>
      <c r="J10755" s="297">
        <v>600791.52</v>
      </c>
      <c r="K10755" s="297">
        <v>17011.34</v>
      </c>
      <c r="L10755" s="43">
        <v>5.2787612073019803</v>
      </c>
      <c r="M10755" s="43">
        <v>11.5</v>
      </c>
      <c r="N10755" s="43">
        <v>4.9639424967727308</v>
      </c>
      <c r="O10755" s="43">
        <v>4.2557821291244187</v>
      </c>
      <c r="P10755" s="298"/>
      <c r="Q10755" s="298"/>
      <c r="R10755" s="298">
        <v>7</v>
      </c>
    </row>
    <row r="10756" spans="1:18" ht="24">
      <c r="A10756" s="294">
        <v>98</v>
      </c>
      <c r="B10756" s="291" t="s">
        <v>19675</v>
      </c>
      <c r="C10756" s="295" t="s">
        <v>19676</v>
      </c>
      <c r="D10756" s="296">
        <v>161702.49</v>
      </c>
      <c r="E10756" s="296">
        <v>8520</v>
      </c>
      <c r="F10756" s="296">
        <v>148190.85999999999</v>
      </c>
      <c r="G10756" s="296">
        <v>4991.63</v>
      </c>
      <c r="H10756" s="297">
        <v>856896.52</v>
      </c>
      <c r="I10756" s="297">
        <v>97980</v>
      </c>
      <c r="J10756" s="297">
        <v>737950.17</v>
      </c>
      <c r="K10756" s="297">
        <v>20966.349999999999</v>
      </c>
      <c r="L10756" s="43">
        <v>5.2992166045185822</v>
      </c>
      <c r="M10756" s="43">
        <v>11.5</v>
      </c>
      <c r="N10756" s="43">
        <v>4.9797279670284667</v>
      </c>
      <c r="O10756" s="43">
        <v>4.2003013043835375</v>
      </c>
      <c r="P10756" s="298"/>
      <c r="Q10756" s="298"/>
      <c r="R10756" s="298">
        <v>7</v>
      </c>
    </row>
    <row r="10757" spans="1:18" ht="24">
      <c r="A10757" s="294">
        <v>99</v>
      </c>
      <c r="B10757" s="291" t="s">
        <v>19677</v>
      </c>
      <c r="C10757" s="295" t="s">
        <v>19678</v>
      </c>
      <c r="D10757" s="296">
        <v>491057.18</v>
      </c>
      <c r="E10757" s="296">
        <v>14339.52</v>
      </c>
      <c r="F10757" s="296">
        <v>461738.68</v>
      </c>
      <c r="G10757" s="296">
        <v>14978.98</v>
      </c>
      <c r="H10757" s="297">
        <v>2476657.84</v>
      </c>
      <c r="I10757" s="297">
        <v>164910.72</v>
      </c>
      <c r="J10757" s="297">
        <v>2240629.75</v>
      </c>
      <c r="K10757" s="297">
        <v>71117.37</v>
      </c>
      <c r="L10757" s="43">
        <v>5.0435223042660731</v>
      </c>
      <c r="M10757" s="43">
        <v>11.500435161009573</v>
      </c>
      <c r="N10757" s="43">
        <v>4.8525927046007933</v>
      </c>
      <c r="O10757" s="43">
        <v>4.7478112661876839</v>
      </c>
      <c r="P10757" s="298"/>
      <c r="Q10757" s="298"/>
      <c r="R10757" s="298">
        <v>7</v>
      </c>
    </row>
    <row r="10758" spans="1:18" ht="24">
      <c r="A10758" s="294">
        <v>100</v>
      </c>
      <c r="B10758" s="291" t="s">
        <v>19679</v>
      </c>
      <c r="C10758" s="295" t="s">
        <v>19680</v>
      </c>
      <c r="D10758" s="296">
        <v>693481.05</v>
      </c>
      <c r="E10758" s="296">
        <v>19578.96</v>
      </c>
      <c r="F10758" s="296">
        <v>657538.80000000005</v>
      </c>
      <c r="G10758" s="296">
        <v>16363.29</v>
      </c>
      <c r="H10758" s="297">
        <v>3490175.08</v>
      </c>
      <c r="I10758" s="297">
        <v>225166.56</v>
      </c>
      <c r="J10758" s="297">
        <v>3187945.71</v>
      </c>
      <c r="K10758" s="297">
        <v>77062.81</v>
      </c>
      <c r="L10758" s="43">
        <v>5.0328341055606352</v>
      </c>
      <c r="M10758" s="43">
        <v>11.500435161009573</v>
      </c>
      <c r="N10758" s="43">
        <v>4.8483005261438556</v>
      </c>
      <c r="O10758" s="43">
        <v>4.7094936287262517</v>
      </c>
      <c r="P10758" s="298"/>
      <c r="Q10758" s="298"/>
      <c r="R10758" s="298">
        <v>7</v>
      </c>
    </row>
    <row r="10759" spans="1:18" ht="12.75" customHeight="1">
      <c r="A10759" s="628" t="s">
        <v>19681</v>
      </c>
      <c r="B10759" s="629"/>
      <c r="C10759" s="629"/>
      <c r="D10759" s="629"/>
      <c r="E10759" s="629"/>
      <c r="F10759" s="629"/>
      <c r="G10759" s="629"/>
      <c r="H10759" s="629"/>
      <c r="I10759" s="629"/>
      <c r="J10759" s="629"/>
      <c r="K10759" s="629"/>
      <c r="L10759" s="629"/>
      <c r="M10759" s="629"/>
      <c r="N10759" s="629"/>
      <c r="O10759" s="629"/>
      <c r="P10759" s="629"/>
      <c r="Q10759" s="629"/>
      <c r="R10759" s="629"/>
    </row>
    <row r="10760" spans="1:18" ht="24">
      <c r="A10760" s="294">
        <v>101</v>
      </c>
      <c r="B10760" s="291" t="s">
        <v>19682</v>
      </c>
      <c r="C10760" s="295" t="s">
        <v>19683</v>
      </c>
      <c r="D10760" s="296">
        <v>3932.65</v>
      </c>
      <c r="E10760" s="296">
        <v>715.24</v>
      </c>
      <c r="F10760" s="296">
        <v>2476.38</v>
      </c>
      <c r="G10760" s="296">
        <v>741.03</v>
      </c>
      <c r="H10760" s="297">
        <v>24838.720000000001</v>
      </c>
      <c r="I10760" s="297">
        <v>8225.6299999999992</v>
      </c>
      <c r="J10760" s="297">
        <v>13625.14</v>
      </c>
      <c r="K10760" s="297">
        <v>2987.95</v>
      </c>
      <c r="L10760" s="43">
        <v>6.3160260892782221</v>
      </c>
      <c r="M10760" s="43">
        <v>11.500517308875342</v>
      </c>
      <c r="N10760" s="43">
        <v>5.5020392669945641</v>
      </c>
      <c r="O10760" s="43">
        <v>4.032157942323523</v>
      </c>
      <c r="P10760" s="298"/>
      <c r="Q10760" s="298"/>
      <c r="R10760" s="298">
        <v>8</v>
      </c>
    </row>
    <row r="10761" spans="1:18" ht="24">
      <c r="A10761" s="294">
        <v>102</v>
      </c>
      <c r="B10761" s="291" t="s">
        <v>19684</v>
      </c>
      <c r="C10761" s="295" t="s">
        <v>19685</v>
      </c>
      <c r="D10761" s="296">
        <v>5131.7</v>
      </c>
      <c r="E10761" s="296">
        <v>1107.97</v>
      </c>
      <c r="F10761" s="296">
        <v>2954.27</v>
      </c>
      <c r="G10761" s="296">
        <v>1069.46</v>
      </c>
      <c r="H10761" s="297">
        <v>33259.589999999997</v>
      </c>
      <c r="I10761" s="297">
        <v>12742.16</v>
      </c>
      <c r="J10761" s="297">
        <v>16246.86</v>
      </c>
      <c r="K10761" s="297">
        <v>4270.57</v>
      </c>
      <c r="L10761" s="43">
        <v>6.4812031100804797</v>
      </c>
      <c r="M10761" s="43">
        <v>11.500455788514129</v>
      </c>
      <c r="N10761" s="43">
        <v>5.4994499487182962</v>
      </c>
      <c r="O10761" s="43">
        <v>3.9932021767995058</v>
      </c>
      <c r="P10761" s="298"/>
      <c r="Q10761" s="298"/>
      <c r="R10761" s="298">
        <v>8</v>
      </c>
    </row>
    <row r="10762" spans="1:18" ht="24">
      <c r="A10762" s="294">
        <v>103</v>
      </c>
      <c r="B10762" s="291" t="s">
        <v>19686</v>
      </c>
      <c r="C10762" s="295" t="s">
        <v>19687</v>
      </c>
      <c r="D10762" s="296">
        <v>6183.49</v>
      </c>
      <c r="E10762" s="296">
        <v>1393.19</v>
      </c>
      <c r="F10762" s="296">
        <v>3653.77</v>
      </c>
      <c r="G10762" s="296">
        <v>1136.53</v>
      </c>
      <c r="H10762" s="297">
        <v>40729.65</v>
      </c>
      <c r="I10762" s="297">
        <v>16022.32</v>
      </c>
      <c r="J10762" s="297">
        <v>20084.66</v>
      </c>
      <c r="K10762" s="297">
        <v>4622.67</v>
      </c>
      <c r="L10762" s="43">
        <v>6.5868385005878558</v>
      </c>
      <c r="M10762" s="43">
        <v>11.500455788514129</v>
      </c>
      <c r="N10762" s="43">
        <v>5.4969688841935866</v>
      </c>
      <c r="O10762" s="43">
        <v>4.0673541393539985</v>
      </c>
      <c r="P10762" s="298"/>
      <c r="Q10762" s="298"/>
      <c r="R10762" s="298">
        <v>8</v>
      </c>
    </row>
    <row r="10763" spans="1:18" ht="24">
      <c r="A10763" s="294">
        <v>104</v>
      </c>
      <c r="B10763" s="291" t="s">
        <v>19688</v>
      </c>
      <c r="C10763" s="295" t="s">
        <v>19689</v>
      </c>
      <c r="D10763" s="296">
        <v>7186.72</v>
      </c>
      <c r="E10763" s="296">
        <v>1634.53</v>
      </c>
      <c r="F10763" s="296">
        <v>4410.83</v>
      </c>
      <c r="G10763" s="296">
        <v>1141.3599999999999</v>
      </c>
      <c r="H10763" s="297">
        <v>47654.8</v>
      </c>
      <c r="I10763" s="297">
        <v>18797.84</v>
      </c>
      <c r="J10763" s="297">
        <v>24178.74</v>
      </c>
      <c r="K10763" s="297">
        <v>4678.22</v>
      </c>
      <c r="L10763" s="43">
        <v>6.6309526459914956</v>
      </c>
      <c r="M10763" s="43">
        <v>11.500455788514129</v>
      </c>
      <c r="N10763" s="43">
        <v>5.4816757843761836</v>
      </c>
      <c r="O10763" s="43">
        <v>4.0988119436461767</v>
      </c>
      <c r="P10763" s="298"/>
      <c r="Q10763" s="298"/>
      <c r="R10763" s="298">
        <v>8</v>
      </c>
    </row>
    <row r="10764" spans="1:18" ht="12.75" customHeight="1">
      <c r="A10764" s="628" t="s">
        <v>19690</v>
      </c>
      <c r="B10764" s="629"/>
      <c r="C10764" s="629"/>
      <c r="D10764" s="629"/>
      <c r="E10764" s="629"/>
      <c r="F10764" s="629"/>
      <c r="G10764" s="629"/>
      <c r="H10764" s="629"/>
      <c r="I10764" s="629"/>
      <c r="J10764" s="629"/>
      <c r="K10764" s="629"/>
      <c r="L10764" s="629"/>
      <c r="M10764" s="629"/>
      <c r="N10764" s="629"/>
      <c r="O10764" s="629"/>
      <c r="P10764" s="629"/>
      <c r="Q10764" s="629"/>
      <c r="R10764" s="629"/>
    </row>
    <row r="10765" spans="1:18" ht="24">
      <c r="A10765" s="294">
        <v>105</v>
      </c>
      <c r="B10765" s="291" t="s">
        <v>19691</v>
      </c>
      <c r="C10765" s="295" t="s">
        <v>19692</v>
      </c>
      <c r="D10765" s="296">
        <v>1881.97</v>
      </c>
      <c r="E10765" s="296">
        <v>561.66</v>
      </c>
      <c r="F10765" s="296">
        <v>367.72</v>
      </c>
      <c r="G10765" s="296">
        <v>952.59</v>
      </c>
      <c r="H10765" s="297">
        <v>12160.38</v>
      </c>
      <c r="I10765" s="297">
        <v>6459.39</v>
      </c>
      <c r="J10765" s="297">
        <v>1909.72</v>
      </c>
      <c r="K10765" s="297">
        <v>3791.27</v>
      </c>
      <c r="L10765" s="43">
        <v>6.4615163897405372</v>
      </c>
      <c r="M10765" s="43">
        <v>11.500534130968914</v>
      </c>
      <c r="N10765" s="43">
        <v>5.1934080278472745</v>
      </c>
      <c r="O10765" s="43">
        <v>3.9799598988022127</v>
      </c>
      <c r="P10765" s="298"/>
      <c r="Q10765" s="298"/>
      <c r="R10765" s="298">
        <v>9</v>
      </c>
    </row>
    <row r="10766" spans="1:18" ht="24">
      <c r="A10766" s="294">
        <v>106</v>
      </c>
      <c r="B10766" s="291" t="s">
        <v>19693</v>
      </c>
      <c r="C10766" s="295" t="s">
        <v>19694</v>
      </c>
      <c r="D10766" s="296">
        <v>3192.71</v>
      </c>
      <c r="E10766" s="296">
        <v>1037.76</v>
      </c>
      <c r="F10766" s="296">
        <v>843.53</v>
      </c>
      <c r="G10766" s="296">
        <v>1311.42</v>
      </c>
      <c r="H10766" s="297">
        <v>21878.41</v>
      </c>
      <c r="I10766" s="297">
        <v>11934.74</v>
      </c>
      <c r="J10766" s="297">
        <v>4415.1499999999996</v>
      </c>
      <c r="K10766" s="297">
        <v>5528.52</v>
      </c>
      <c r="L10766" s="43">
        <v>6.852614236808229</v>
      </c>
      <c r="M10766" s="43">
        <v>11.500481806968855</v>
      </c>
      <c r="N10766" s="43">
        <v>5.2341351226393842</v>
      </c>
      <c r="O10766" s="43">
        <v>4.2156746122523678</v>
      </c>
      <c r="P10766" s="298"/>
      <c r="Q10766" s="298"/>
      <c r="R10766" s="298">
        <v>9</v>
      </c>
    </row>
    <row r="10767" spans="1:18" ht="24">
      <c r="A10767" s="294">
        <v>107</v>
      </c>
      <c r="B10767" s="291" t="s">
        <v>19695</v>
      </c>
      <c r="C10767" s="295" t="s">
        <v>19696</v>
      </c>
      <c r="D10767" s="296">
        <v>11103.8</v>
      </c>
      <c r="E10767" s="296">
        <v>3598.16</v>
      </c>
      <c r="F10767" s="296">
        <v>4519.41</v>
      </c>
      <c r="G10767" s="296">
        <v>2986.23</v>
      </c>
      <c r="H10767" s="297">
        <v>77037.960000000006</v>
      </c>
      <c r="I10767" s="297">
        <v>41380.480000000003</v>
      </c>
      <c r="J10767" s="297">
        <v>22334.52</v>
      </c>
      <c r="K10767" s="297">
        <v>13322.96</v>
      </c>
      <c r="L10767" s="43">
        <v>6.9379815918874632</v>
      </c>
      <c r="M10767" s="43">
        <v>11.500455788514131</v>
      </c>
      <c r="N10767" s="43">
        <v>4.9419105591216557</v>
      </c>
      <c r="O10767" s="43">
        <v>4.46146479005301</v>
      </c>
      <c r="P10767" s="298"/>
      <c r="Q10767" s="298"/>
      <c r="R10767" s="298">
        <v>9</v>
      </c>
    </row>
    <row r="10768" spans="1:18" ht="24">
      <c r="A10768" s="294">
        <v>108</v>
      </c>
      <c r="B10768" s="291" t="s">
        <v>19697</v>
      </c>
      <c r="C10768" s="295" t="s">
        <v>19698</v>
      </c>
      <c r="D10768" s="296">
        <v>1678.19</v>
      </c>
      <c r="E10768" s="296">
        <v>253.41</v>
      </c>
      <c r="F10768" s="296">
        <v>478.35</v>
      </c>
      <c r="G10768" s="296">
        <v>946.43</v>
      </c>
      <c r="H10768" s="297">
        <v>9268.06</v>
      </c>
      <c r="I10768" s="297">
        <v>2914.3</v>
      </c>
      <c r="J10768" s="297">
        <v>2633.33</v>
      </c>
      <c r="K10768" s="297">
        <v>3720.43</v>
      </c>
      <c r="L10768" s="43">
        <v>5.5226523814347592</v>
      </c>
      <c r="M10768" s="43">
        <v>11.500335424805652</v>
      </c>
      <c r="N10768" s="43">
        <v>5.5050276993832963</v>
      </c>
      <c r="O10768" s="43">
        <v>3.9310144437517831</v>
      </c>
      <c r="P10768" s="298"/>
      <c r="Q10768" s="298"/>
      <c r="R10768" s="298">
        <v>9</v>
      </c>
    </row>
    <row r="10769" spans="1:18" ht="24">
      <c r="A10769" s="294">
        <v>109</v>
      </c>
      <c r="B10769" s="291" t="s">
        <v>19699</v>
      </c>
      <c r="C10769" s="295" t="s">
        <v>19700</v>
      </c>
      <c r="D10769" s="296">
        <v>2806.29</v>
      </c>
      <c r="E10769" s="296">
        <v>476.1</v>
      </c>
      <c r="F10769" s="296">
        <v>1030.01</v>
      </c>
      <c r="G10769" s="296">
        <v>1300.18</v>
      </c>
      <c r="H10769" s="297">
        <v>16535.73</v>
      </c>
      <c r="I10769" s="297">
        <v>5475.34</v>
      </c>
      <c r="J10769" s="297">
        <v>5661.13</v>
      </c>
      <c r="K10769" s="297">
        <v>5399.26</v>
      </c>
      <c r="L10769" s="43">
        <v>5.8923810440118451</v>
      </c>
      <c r="M10769" s="43">
        <v>11.500399075824406</v>
      </c>
      <c r="N10769" s="43">
        <v>5.4961893573848801</v>
      </c>
      <c r="O10769" s="43">
        <v>4.1527019335784274</v>
      </c>
      <c r="P10769" s="298"/>
      <c r="Q10769" s="298"/>
      <c r="R10769" s="298">
        <v>9</v>
      </c>
    </row>
    <row r="10770" spans="1:18" ht="24">
      <c r="A10770" s="294">
        <v>110</v>
      </c>
      <c r="B10770" s="291" t="s">
        <v>19701</v>
      </c>
      <c r="C10770" s="295" t="s">
        <v>19702</v>
      </c>
      <c r="D10770" s="296">
        <v>5361.25</v>
      </c>
      <c r="E10770" s="296">
        <v>953.29</v>
      </c>
      <c r="F10770" s="296">
        <v>2310.64</v>
      </c>
      <c r="G10770" s="296">
        <v>2097.3200000000002</v>
      </c>
      <c r="H10770" s="297">
        <v>32805.54</v>
      </c>
      <c r="I10770" s="297">
        <v>10963.3</v>
      </c>
      <c r="J10770" s="297">
        <v>12659.33</v>
      </c>
      <c r="K10770" s="297">
        <v>9182.91</v>
      </c>
      <c r="L10770" s="43">
        <v>6.1190095593378411</v>
      </c>
      <c r="M10770" s="43">
        <v>11.500487784409781</v>
      </c>
      <c r="N10770" s="43">
        <v>5.4787115258110308</v>
      </c>
      <c r="O10770" s="43">
        <v>4.3784019605973334</v>
      </c>
      <c r="P10770" s="298"/>
      <c r="Q10770" s="298"/>
      <c r="R10770" s="298">
        <v>9</v>
      </c>
    </row>
    <row r="10771" spans="1:18" ht="12.75" customHeight="1">
      <c r="A10771" s="628" t="s">
        <v>19703</v>
      </c>
      <c r="B10771" s="629"/>
      <c r="C10771" s="629"/>
      <c r="D10771" s="629"/>
      <c r="E10771" s="629"/>
      <c r="F10771" s="629"/>
      <c r="G10771" s="629"/>
      <c r="H10771" s="629"/>
      <c r="I10771" s="629"/>
      <c r="J10771" s="629"/>
      <c r="K10771" s="629"/>
      <c r="L10771" s="629"/>
      <c r="M10771" s="629"/>
      <c r="N10771" s="629"/>
      <c r="O10771" s="629"/>
      <c r="P10771" s="629"/>
      <c r="Q10771" s="629"/>
      <c r="R10771" s="629"/>
    </row>
    <row r="10772" spans="1:18" ht="24">
      <c r="A10772" s="294">
        <v>111</v>
      </c>
      <c r="B10772" s="291" t="s">
        <v>19704</v>
      </c>
      <c r="C10772" s="295" t="s">
        <v>19705</v>
      </c>
      <c r="D10772" s="296">
        <v>4782.3900000000003</v>
      </c>
      <c r="E10772" s="296">
        <v>1797.4</v>
      </c>
      <c r="F10772" s="296">
        <v>1497.66</v>
      </c>
      <c r="G10772" s="296">
        <v>1487.33</v>
      </c>
      <c r="H10772" s="297">
        <v>34249.71</v>
      </c>
      <c r="I10772" s="297">
        <v>20670.96</v>
      </c>
      <c r="J10772" s="297">
        <v>7767.6</v>
      </c>
      <c r="K10772" s="297">
        <v>5811.15</v>
      </c>
      <c r="L10772" s="43">
        <v>7.1616304818302137</v>
      </c>
      <c r="M10772" s="43">
        <v>11.500478468899521</v>
      </c>
      <c r="N10772" s="43">
        <v>5.1864909258443168</v>
      </c>
      <c r="O10772" s="43">
        <v>3.907101988126374</v>
      </c>
      <c r="P10772" s="298"/>
      <c r="Q10772" s="298"/>
      <c r="R10772" s="298">
        <v>10</v>
      </c>
    </row>
    <row r="10773" spans="1:18" ht="24">
      <c r="A10773" s="294">
        <v>112</v>
      </c>
      <c r="B10773" s="291" t="s">
        <v>19706</v>
      </c>
      <c r="C10773" s="295" t="s">
        <v>19707</v>
      </c>
      <c r="D10773" s="296">
        <v>14173.42</v>
      </c>
      <c r="E10773" s="296">
        <v>5344.12</v>
      </c>
      <c r="F10773" s="296">
        <v>6109.16</v>
      </c>
      <c r="G10773" s="296">
        <v>2720.14</v>
      </c>
      <c r="H10773" s="297">
        <v>103024.99</v>
      </c>
      <c r="I10773" s="297">
        <v>61457.38</v>
      </c>
      <c r="J10773" s="297">
        <v>30042.13</v>
      </c>
      <c r="K10773" s="297">
        <v>11525.48</v>
      </c>
      <c r="L10773" s="43">
        <v>7.2688871140486917</v>
      </c>
      <c r="M10773" s="43">
        <v>11.5</v>
      </c>
      <c r="N10773" s="43">
        <v>4.9175549502713958</v>
      </c>
      <c r="O10773" s="43">
        <v>4.2370907379767218</v>
      </c>
      <c r="P10773" s="298"/>
      <c r="Q10773" s="298"/>
      <c r="R10773" s="298">
        <v>10</v>
      </c>
    </row>
    <row r="10774" spans="1:18" ht="24">
      <c r="A10774" s="294">
        <v>113</v>
      </c>
      <c r="B10774" s="291" t="s">
        <v>19708</v>
      </c>
      <c r="C10774" s="295" t="s">
        <v>19709</v>
      </c>
      <c r="D10774" s="296">
        <v>28889.58</v>
      </c>
      <c r="E10774" s="296">
        <v>10977.9</v>
      </c>
      <c r="F10774" s="296">
        <v>11378.58</v>
      </c>
      <c r="G10774" s="296">
        <v>6533.1</v>
      </c>
      <c r="H10774" s="297">
        <v>210822.3</v>
      </c>
      <c r="I10774" s="297">
        <v>126245.85</v>
      </c>
      <c r="J10774" s="297">
        <v>56289.15</v>
      </c>
      <c r="K10774" s="297">
        <v>28287.3</v>
      </c>
      <c r="L10774" s="43">
        <v>7.297520420857623</v>
      </c>
      <c r="M10774" s="43">
        <v>11.500000000000002</v>
      </c>
      <c r="N10774" s="43">
        <v>4.9469397763165528</v>
      </c>
      <c r="O10774" s="43">
        <v>4.3298434127749461</v>
      </c>
      <c r="P10774" s="298"/>
      <c r="Q10774" s="298"/>
      <c r="R10774" s="298">
        <v>10</v>
      </c>
    </row>
    <row r="10775" spans="1:18" ht="24">
      <c r="A10775" s="294">
        <v>114</v>
      </c>
      <c r="B10775" s="291" t="s">
        <v>19710</v>
      </c>
      <c r="C10775" s="295" t="s">
        <v>19711</v>
      </c>
      <c r="D10775" s="296">
        <v>4342.76</v>
      </c>
      <c r="E10775" s="296">
        <v>1055.45</v>
      </c>
      <c r="F10775" s="296">
        <v>1814.82</v>
      </c>
      <c r="G10775" s="296">
        <v>1472.49</v>
      </c>
      <c r="H10775" s="297">
        <v>27762.9</v>
      </c>
      <c r="I10775" s="297">
        <v>12138.18</v>
      </c>
      <c r="J10775" s="297">
        <v>9984.23</v>
      </c>
      <c r="K10775" s="297">
        <v>5640.49</v>
      </c>
      <c r="L10775" s="43">
        <v>6.3929160257532081</v>
      </c>
      <c r="M10775" s="43">
        <v>11.500478468899521</v>
      </c>
      <c r="N10775" s="43">
        <v>5.5014987712280004</v>
      </c>
      <c r="O10775" s="43">
        <v>3.8305794945975862</v>
      </c>
      <c r="P10775" s="298"/>
      <c r="Q10775" s="298"/>
      <c r="R10775" s="298">
        <v>10</v>
      </c>
    </row>
    <row r="10776" spans="1:18" ht="24">
      <c r="A10776" s="294">
        <v>115</v>
      </c>
      <c r="B10776" s="291" t="s">
        <v>19712</v>
      </c>
      <c r="C10776" s="295" t="s">
        <v>19713</v>
      </c>
      <c r="D10776" s="296">
        <v>6326.81</v>
      </c>
      <c r="E10776" s="296">
        <v>1723.56</v>
      </c>
      <c r="F10776" s="296">
        <v>2766.58</v>
      </c>
      <c r="G10776" s="296">
        <v>1836.67</v>
      </c>
      <c r="H10776" s="297">
        <v>42439.38</v>
      </c>
      <c r="I10776" s="297">
        <v>19820.939999999999</v>
      </c>
      <c r="J10776" s="297">
        <v>15352.06</v>
      </c>
      <c r="K10776" s="297">
        <v>7266.38</v>
      </c>
      <c r="L10776" s="43">
        <v>6.7078638365937957</v>
      </c>
      <c r="M10776" s="43">
        <v>11.5</v>
      </c>
      <c r="N10776" s="43">
        <v>5.5491111769766279</v>
      </c>
      <c r="O10776" s="43">
        <v>3.9562795711804513</v>
      </c>
      <c r="P10776" s="298"/>
      <c r="Q10776" s="298"/>
      <c r="R10776" s="298">
        <v>10</v>
      </c>
    </row>
    <row r="10777" spans="1:18" ht="24">
      <c r="A10777" s="294">
        <v>116</v>
      </c>
      <c r="B10777" s="291" t="s">
        <v>19714</v>
      </c>
      <c r="C10777" s="295" t="s">
        <v>19715</v>
      </c>
      <c r="D10777" s="296">
        <v>17572</v>
      </c>
      <c r="E10777" s="296">
        <v>3307.8</v>
      </c>
      <c r="F10777" s="296">
        <v>11780</v>
      </c>
      <c r="G10777" s="296">
        <v>2484.1999999999998</v>
      </c>
      <c r="H10777" s="297">
        <v>111774.8</v>
      </c>
      <c r="I10777" s="297">
        <v>38039.699999999997</v>
      </c>
      <c r="J10777" s="297">
        <v>63668.75</v>
      </c>
      <c r="K10777" s="297">
        <v>10066.35</v>
      </c>
      <c r="L10777" s="43">
        <v>6.3609606191668568</v>
      </c>
      <c r="M10777" s="43">
        <v>11.499999999999998</v>
      </c>
      <c r="N10777" s="43">
        <v>5.4048174872665538</v>
      </c>
      <c r="O10777" s="43">
        <v>4.0521495853795999</v>
      </c>
      <c r="P10777" s="298"/>
      <c r="Q10777" s="298"/>
      <c r="R10777" s="298">
        <v>10</v>
      </c>
    </row>
    <row r="10778" spans="1:18" ht="12.75" customHeight="1">
      <c r="A10778" s="628" t="s">
        <v>19716</v>
      </c>
      <c r="B10778" s="629"/>
      <c r="C10778" s="629"/>
      <c r="D10778" s="629"/>
      <c r="E10778" s="629"/>
      <c r="F10778" s="629"/>
      <c r="G10778" s="629"/>
      <c r="H10778" s="629"/>
      <c r="I10778" s="629"/>
      <c r="J10778" s="629"/>
      <c r="K10778" s="629"/>
      <c r="L10778" s="629"/>
      <c r="M10778" s="629"/>
      <c r="N10778" s="629"/>
      <c r="O10778" s="629"/>
      <c r="P10778" s="629"/>
      <c r="Q10778" s="629"/>
      <c r="R10778" s="629"/>
    </row>
    <row r="10779" spans="1:18" ht="24">
      <c r="A10779" s="294">
        <v>117</v>
      </c>
      <c r="B10779" s="291" t="s">
        <v>19717</v>
      </c>
      <c r="C10779" s="295" t="s">
        <v>19718</v>
      </c>
      <c r="D10779" s="296">
        <v>9578.76</v>
      </c>
      <c r="E10779" s="296">
        <v>4563.6400000000003</v>
      </c>
      <c r="F10779" s="296">
        <v>2412.73</v>
      </c>
      <c r="G10779" s="296">
        <v>2602.39</v>
      </c>
      <c r="H10779" s="297">
        <v>75898.13</v>
      </c>
      <c r="I10779" s="297">
        <v>52481.86</v>
      </c>
      <c r="J10779" s="297">
        <v>12625.58</v>
      </c>
      <c r="K10779" s="297">
        <v>10790.69</v>
      </c>
      <c r="L10779" s="43">
        <v>7.923586142674</v>
      </c>
      <c r="M10779" s="43">
        <v>11.5</v>
      </c>
      <c r="N10779" s="43">
        <v>5.2329021481889813</v>
      </c>
      <c r="O10779" s="43">
        <v>4.1464538366655272</v>
      </c>
      <c r="P10779" s="298"/>
      <c r="Q10779" s="298"/>
      <c r="R10779" s="298">
        <v>11</v>
      </c>
    </row>
    <row r="10780" spans="1:18" ht="24">
      <c r="A10780" s="294">
        <v>118</v>
      </c>
      <c r="B10780" s="291" t="s">
        <v>19719</v>
      </c>
      <c r="C10780" s="295" t="s">
        <v>19720</v>
      </c>
      <c r="D10780" s="296">
        <v>14581.12</v>
      </c>
      <c r="E10780" s="296">
        <v>7865.49</v>
      </c>
      <c r="F10780" s="296">
        <v>3913.16</v>
      </c>
      <c r="G10780" s="296">
        <v>2802.47</v>
      </c>
      <c r="H10780" s="297">
        <v>123160.36</v>
      </c>
      <c r="I10780" s="297">
        <v>90456.72</v>
      </c>
      <c r="J10780" s="297">
        <v>20463.939999999999</v>
      </c>
      <c r="K10780" s="297">
        <v>12239.7</v>
      </c>
      <c r="L10780" s="43">
        <v>8.4465637756221739</v>
      </c>
      <c r="M10780" s="43">
        <v>11.500455788514129</v>
      </c>
      <c r="N10780" s="43">
        <v>5.2295178321356648</v>
      </c>
      <c r="O10780" s="43">
        <v>4.3674686972563492</v>
      </c>
      <c r="P10780" s="298"/>
      <c r="Q10780" s="298"/>
      <c r="R10780" s="298">
        <v>11</v>
      </c>
    </row>
    <row r="10781" spans="1:18" ht="24">
      <c r="A10781" s="294">
        <v>119</v>
      </c>
      <c r="B10781" s="291" t="s">
        <v>19721</v>
      </c>
      <c r="C10781" s="295" t="s">
        <v>19722</v>
      </c>
      <c r="D10781" s="296">
        <v>20646.61</v>
      </c>
      <c r="E10781" s="296">
        <v>9829.1200000000008</v>
      </c>
      <c r="F10781" s="296">
        <v>6953.49</v>
      </c>
      <c r="G10781" s="296">
        <v>3864</v>
      </c>
      <c r="H10781" s="297">
        <v>165871.82</v>
      </c>
      <c r="I10781" s="297">
        <v>113039.36</v>
      </c>
      <c r="J10781" s="297">
        <v>35988.19</v>
      </c>
      <c r="K10781" s="297">
        <v>16844.27</v>
      </c>
      <c r="L10781" s="43">
        <v>8.0338525307544444</v>
      </c>
      <c r="M10781" s="43">
        <v>11.500455788514129</v>
      </c>
      <c r="N10781" s="43">
        <v>5.175557885320897</v>
      </c>
      <c r="O10781" s="43">
        <v>4.3592831262939962</v>
      </c>
      <c r="P10781" s="298"/>
      <c r="Q10781" s="298"/>
      <c r="R10781" s="298">
        <v>11</v>
      </c>
    </row>
    <row r="10782" spans="1:18" ht="24">
      <c r="A10782" s="294">
        <v>120</v>
      </c>
      <c r="B10782" s="291" t="s">
        <v>19723</v>
      </c>
      <c r="C10782" s="295" t="s">
        <v>19724</v>
      </c>
      <c r="D10782" s="296">
        <v>36641.279999999999</v>
      </c>
      <c r="E10782" s="296">
        <v>19225.2</v>
      </c>
      <c r="F10782" s="296">
        <v>11948.59</v>
      </c>
      <c r="G10782" s="296">
        <v>5467.49</v>
      </c>
      <c r="H10782" s="297">
        <v>308130.27</v>
      </c>
      <c r="I10782" s="297">
        <v>221089.8</v>
      </c>
      <c r="J10782" s="297">
        <v>61998.46</v>
      </c>
      <c r="K10782" s="297">
        <v>25042.01</v>
      </c>
      <c r="L10782" s="43">
        <v>8.409375163749738</v>
      </c>
      <c r="M10782" s="43">
        <v>11.499999999999998</v>
      </c>
      <c r="N10782" s="43">
        <v>5.1887678797247201</v>
      </c>
      <c r="O10782" s="43">
        <v>4.5801656701704072</v>
      </c>
      <c r="P10782" s="298"/>
      <c r="Q10782" s="298"/>
      <c r="R10782" s="298">
        <v>11</v>
      </c>
    </row>
    <row r="10783" spans="1:18" ht="24">
      <c r="A10783" s="294">
        <v>121</v>
      </c>
      <c r="B10783" s="291" t="s">
        <v>19725</v>
      </c>
      <c r="C10783" s="295" t="s">
        <v>19726</v>
      </c>
      <c r="D10783" s="296">
        <v>78158.44</v>
      </c>
      <c r="E10783" s="296">
        <v>25323.72</v>
      </c>
      <c r="F10783" s="296">
        <v>41059.96</v>
      </c>
      <c r="G10783" s="296">
        <v>11774.76</v>
      </c>
      <c r="H10783" s="297">
        <v>564948.09</v>
      </c>
      <c r="I10783" s="297">
        <v>291222.78000000003</v>
      </c>
      <c r="J10783" s="297">
        <v>218812.44</v>
      </c>
      <c r="K10783" s="297">
        <v>54912.87</v>
      </c>
      <c r="L10783" s="43">
        <v>7.2282416332772241</v>
      </c>
      <c r="M10783" s="43">
        <v>11.5</v>
      </c>
      <c r="N10783" s="43">
        <v>5.3290953035511972</v>
      </c>
      <c r="O10783" s="43">
        <v>4.663608430235521</v>
      </c>
      <c r="P10783" s="298"/>
      <c r="Q10783" s="298"/>
      <c r="R10783" s="298">
        <v>11</v>
      </c>
    </row>
    <row r="10784" spans="1:18" ht="24">
      <c r="A10784" s="294">
        <v>122</v>
      </c>
      <c r="B10784" s="291" t="s">
        <v>19727</v>
      </c>
      <c r="C10784" s="295" t="s">
        <v>19728</v>
      </c>
      <c r="D10784" s="296">
        <v>164476.19</v>
      </c>
      <c r="E10784" s="296">
        <v>51917.56</v>
      </c>
      <c r="F10784" s="296">
        <v>94635.47</v>
      </c>
      <c r="G10784" s="296">
        <v>17923.16</v>
      </c>
      <c r="H10784" s="297">
        <v>1188667.75</v>
      </c>
      <c r="I10784" s="297">
        <v>597051.93999999994</v>
      </c>
      <c r="J10784" s="297">
        <v>502627.86</v>
      </c>
      <c r="K10784" s="297">
        <v>88987.95</v>
      </c>
      <c r="L10784" s="43">
        <v>7.2269898153647647</v>
      </c>
      <c r="M10784" s="43">
        <v>11.5</v>
      </c>
      <c r="N10784" s="43">
        <v>5.3111994900009476</v>
      </c>
      <c r="O10784" s="43">
        <v>4.9649699048605269</v>
      </c>
      <c r="P10784" s="298"/>
      <c r="Q10784" s="298"/>
      <c r="R10784" s="298">
        <v>11</v>
      </c>
    </row>
    <row r="10785" spans="1:18" ht="24">
      <c r="A10785" s="294">
        <v>123</v>
      </c>
      <c r="B10785" s="291" t="s">
        <v>19729</v>
      </c>
      <c r="C10785" s="295" t="s">
        <v>19730</v>
      </c>
      <c r="D10785" s="296">
        <v>212200.95999999999</v>
      </c>
      <c r="E10785" s="296">
        <v>59764.959999999999</v>
      </c>
      <c r="F10785" s="296">
        <v>129570.57</v>
      </c>
      <c r="G10785" s="296">
        <v>22865.43</v>
      </c>
      <c r="H10785" s="297">
        <v>1489031.21</v>
      </c>
      <c r="I10785" s="297">
        <v>687297.04</v>
      </c>
      <c r="J10785" s="297">
        <v>689394.31</v>
      </c>
      <c r="K10785" s="297">
        <v>112339.86</v>
      </c>
      <c r="L10785" s="43">
        <v>7.0170804599564489</v>
      </c>
      <c r="M10785" s="43">
        <v>11.5</v>
      </c>
      <c r="N10785" s="43">
        <v>5.3206087616964259</v>
      </c>
      <c r="O10785" s="43">
        <v>4.9130875736865649</v>
      </c>
      <c r="P10785" s="298"/>
      <c r="Q10785" s="298"/>
      <c r="R10785" s="298">
        <v>11</v>
      </c>
    </row>
    <row r="10786" spans="1:18" ht="24">
      <c r="A10786" s="294">
        <v>124</v>
      </c>
      <c r="B10786" s="291" t="s">
        <v>19731</v>
      </c>
      <c r="C10786" s="295" t="s">
        <v>19732</v>
      </c>
      <c r="D10786" s="296">
        <v>245063.66</v>
      </c>
      <c r="E10786" s="296">
        <v>72613.119999999995</v>
      </c>
      <c r="F10786" s="296">
        <v>147725.67000000001</v>
      </c>
      <c r="G10786" s="296">
        <v>24724.87</v>
      </c>
      <c r="H10786" s="297">
        <v>1744052.54</v>
      </c>
      <c r="I10786" s="297">
        <v>835050.88</v>
      </c>
      <c r="J10786" s="297">
        <v>787436.26</v>
      </c>
      <c r="K10786" s="297">
        <v>121565.4</v>
      </c>
      <c r="L10786" s="43">
        <v>7.1167326073559822</v>
      </c>
      <c r="M10786" s="43">
        <v>11.5</v>
      </c>
      <c r="N10786" s="43">
        <v>5.3303955906918539</v>
      </c>
      <c r="O10786" s="43">
        <v>4.9167255480008594</v>
      </c>
      <c r="P10786" s="298"/>
      <c r="Q10786" s="298"/>
      <c r="R10786" s="298">
        <v>11</v>
      </c>
    </row>
    <row r="10787" spans="1:18" ht="24">
      <c r="A10787" s="294">
        <v>125</v>
      </c>
      <c r="B10787" s="291" t="s">
        <v>19733</v>
      </c>
      <c r="C10787" s="295" t="s">
        <v>19734</v>
      </c>
      <c r="D10787" s="296">
        <v>5908.88</v>
      </c>
      <c r="E10787" s="296">
        <v>1485.08</v>
      </c>
      <c r="F10787" s="296">
        <v>2619.1</v>
      </c>
      <c r="G10787" s="296">
        <v>1804.7</v>
      </c>
      <c r="H10787" s="297">
        <v>38445.800000000003</v>
      </c>
      <c r="I10787" s="297">
        <v>17078.419999999998</v>
      </c>
      <c r="J10787" s="297">
        <v>14394.26</v>
      </c>
      <c r="K10787" s="297">
        <v>6973.12</v>
      </c>
      <c r="L10787" s="43">
        <v>6.5064445377127313</v>
      </c>
      <c r="M10787" s="43">
        <v>11.5</v>
      </c>
      <c r="N10787" s="43">
        <v>5.4958802642128974</v>
      </c>
      <c r="O10787" s="43">
        <v>3.8638665706211559</v>
      </c>
      <c r="P10787" s="298"/>
      <c r="Q10787" s="298"/>
      <c r="R10787" s="298">
        <v>11</v>
      </c>
    </row>
    <row r="10788" spans="1:18" ht="24">
      <c r="A10788" s="294">
        <v>126</v>
      </c>
      <c r="B10788" s="291" t="s">
        <v>19735</v>
      </c>
      <c r="C10788" s="295" t="s">
        <v>19736</v>
      </c>
      <c r="D10788" s="296">
        <v>7516.92</v>
      </c>
      <c r="E10788" s="296">
        <v>1897.81</v>
      </c>
      <c r="F10788" s="296">
        <v>3772.01</v>
      </c>
      <c r="G10788" s="296">
        <v>1847.1</v>
      </c>
      <c r="H10788" s="297">
        <v>49971.64</v>
      </c>
      <c r="I10788" s="297">
        <v>21825.68</v>
      </c>
      <c r="J10788" s="297">
        <v>20810.61</v>
      </c>
      <c r="K10788" s="297">
        <v>7335.35</v>
      </c>
      <c r="L10788" s="43">
        <v>6.6478876986850999</v>
      </c>
      <c r="M10788" s="43">
        <v>11.500455788514129</v>
      </c>
      <c r="N10788" s="43">
        <v>5.5171142176187233</v>
      </c>
      <c r="O10788" s="43">
        <v>3.9712793026907049</v>
      </c>
      <c r="P10788" s="298"/>
      <c r="Q10788" s="298"/>
      <c r="R10788" s="298">
        <v>11</v>
      </c>
    </row>
    <row r="10789" spans="1:18" ht="24">
      <c r="A10789" s="294">
        <v>127</v>
      </c>
      <c r="B10789" s="291" t="s">
        <v>19737</v>
      </c>
      <c r="C10789" s="295" t="s">
        <v>19738</v>
      </c>
      <c r="D10789" s="296">
        <v>13608.77</v>
      </c>
      <c r="E10789" s="296">
        <v>2808.32</v>
      </c>
      <c r="F10789" s="296">
        <v>8326.24</v>
      </c>
      <c r="G10789" s="296">
        <v>2474.21</v>
      </c>
      <c r="H10789" s="297">
        <v>87147.34</v>
      </c>
      <c r="I10789" s="297">
        <v>32296.959999999999</v>
      </c>
      <c r="J10789" s="297">
        <v>44898.91</v>
      </c>
      <c r="K10789" s="297">
        <v>9951.4699999999993</v>
      </c>
      <c r="L10789" s="43">
        <v>6.4037631615495005</v>
      </c>
      <c r="M10789" s="43">
        <v>11.500455788514129</v>
      </c>
      <c r="N10789" s="43">
        <v>5.3924592613232392</v>
      </c>
      <c r="O10789" s="43">
        <v>4.0220797749584714</v>
      </c>
      <c r="P10789" s="298"/>
      <c r="Q10789" s="298"/>
      <c r="R10789" s="298">
        <v>11</v>
      </c>
    </row>
    <row r="10790" spans="1:18" ht="24">
      <c r="A10790" s="294">
        <v>128</v>
      </c>
      <c r="B10790" s="291" t="s">
        <v>19739</v>
      </c>
      <c r="C10790" s="295" t="s">
        <v>19740</v>
      </c>
      <c r="D10790" s="296">
        <v>22878.01</v>
      </c>
      <c r="E10790" s="296">
        <v>4617.6000000000004</v>
      </c>
      <c r="F10790" s="296">
        <v>15024.58</v>
      </c>
      <c r="G10790" s="296">
        <v>3235.83</v>
      </c>
      <c r="H10790" s="297">
        <v>147438.35999999999</v>
      </c>
      <c r="I10790" s="297">
        <v>53102.400000000001</v>
      </c>
      <c r="J10790" s="297">
        <v>80847.28</v>
      </c>
      <c r="K10790" s="297">
        <v>13488.68</v>
      </c>
      <c r="L10790" s="43">
        <v>6.4445447833968075</v>
      </c>
      <c r="M10790" s="43">
        <v>11.5</v>
      </c>
      <c r="N10790" s="43">
        <v>5.381000999695166</v>
      </c>
      <c r="O10790" s="43">
        <v>4.1685379021765669</v>
      </c>
      <c r="P10790" s="298"/>
      <c r="Q10790" s="298"/>
      <c r="R10790" s="298">
        <v>11</v>
      </c>
    </row>
    <row r="10791" spans="1:18" ht="24">
      <c r="A10791" s="294">
        <v>129</v>
      </c>
      <c r="B10791" s="291" t="s">
        <v>19741</v>
      </c>
      <c r="C10791" s="295" t="s">
        <v>19742</v>
      </c>
      <c r="D10791" s="296">
        <v>37215.82</v>
      </c>
      <c r="E10791" s="296">
        <v>7755.6</v>
      </c>
      <c r="F10791" s="296">
        <v>24478.03</v>
      </c>
      <c r="G10791" s="296">
        <v>4982.1899999999996</v>
      </c>
      <c r="H10791" s="297">
        <v>241676.6</v>
      </c>
      <c r="I10791" s="297">
        <v>89189.4</v>
      </c>
      <c r="J10791" s="297">
        <v>131661.4</v>
      </c>
      <c r="K10791" s="297">
        <v>20825.8</v>
      </c>
      <c r="L10791" s="43">
        <v>6.4939211335394464</v>
      </c>
      <c r="M10791" s="43">
        <v>11.499999999999998</v>
      </c>
      <c r="N10791" s="43">
        <v>5.3787580127975989</v>
      </c>
      <c r="O10791" s="43">
        <v>4.1800493357338846</v>
      </c>
      <c r="P10791" s="298"/>
      <c r="Q10791" s="298"/>
      <c r="R10791" s="298">
        <v>11</v>
      </c>
    </row>
    <row r="10792" spans="1:18" ht="24">
      <c r="A10792" s="294">
        <v>130</v>
      </c>
      <c r="B10792" s="291" t="s">
        <v>19743</v>
      </c>
      <c r="C10792" s="295" t="s">
        <v>19744</v>
      </c>
      <c r="D10792" s="296">
        <v>156970.4</v>
      </c>
      <c r="E10792" s="296">
        <v>16994.88</v>
      </c>
      <c r="F10792" s="296">
        <v>124950.37</v>
      </c>
      <c r="G10792" s="296">
        <v>15025.15</v>
      </c>
      <c r="H10792" s="297">
        <v>950769.4</v>
      </c>
      <c r="I10792" s="297">
        <v>195441.12</v>
      </c>
      <c r="J10792" s="297">
        <v>683629</v>
      </c>
      <c r="K10792" s="297">
        <v>71699.28</v>
      </c>
      <c r="L10792" s="43">
        <v>6.0569980072676124</v>
      </c>
      <c r="M10792" s="43">
        <v>11.499999999999998</v>
      </c>
      <c r="N10792" s="43">
        <v>5.4712042869500905</v>
      </c>
      <c r="O10792" s="43">
        <v>4.7719510287750868</v>
      </c>
      <c r="P10792" s="298"/>
      <c r="Q10792" s="298"/>
      <c r="R10792" s="298">
        <v>11</v>
      </c>
    </row>
    <row r="10793" spans="1:18" ht="24">
      <c r="A10793" s="294">
        <v>131</v>
      </c>
      <c r="B10793" s="291" t="s">
        <v>19745</v>
      </c>
      <c r="C10793" s="295" t="s">
        <v>19746</v>
      </c>
      <c r="D10793" s="296">
        <v>180300.96</v>
      </c>
      <c r="E10793" s="296">
        <v>19391.52</v>
      </c>
      <c r="F10793" s="296">
        <v>145519.95000000001</v>
      </c>
      <c r="G10793" s="296">
        <v>15389.49</v>
      </c>
      <c r="H10793" s="297">
        <v>1090664.94</v>
      </c>
      <c r="I10793" s="297">
        <v>223002.48</v>
      </c>
      <c r="J10793" s="297">
        <v>794241.31</v>
      </c>
      <c r="K10793" s="297">
        <v>73421.149999999994</v>
      </c>
      <c r="L10793" s="43">
        <v>6.0491355120904515</v>
      </c>
      <c r="M10793" s="43">
        <v>11.5</v>
      </c>
      <c r="N10793" s="43">
        <v>5.457954802760721</v>
      </c>
      <c r="O10793" s="43">
        <v>4.770863102026123</v>
      </c>
      <c r="P10793" s="298"/>
      <c r="Q10793" s="298"/>
      <c r="R10793" s="298">
        <v>11</v>
      </c>
    </row>
    <row r="10794" spans="1:18" ht="24">
      <c r="A10794" s="294">
        <v>132</v>
      </c>
      <c r="B10794" s="291" t="s">
        <v>19747</v>
      </c>
      <c r="C10794" s="295" t="s">
        <v>19748</v>
      </c>
      <c r="D10794" s="296">
        <v>199559.21</v>
      </c>
      <c r="E10794" s="296">
        <v>22799.52</v>
      </c>
      <c r="F10794" s="296">
        <v>157861.15</v>
      </c>
      <c r="G10794" s="296">
        <v>18898.54</v>
      </c>
      <c r="H10794" s="297">
        <v>1213597.98</v>
      </c>
      <c r="I10794" s="297">
        <v>262194.48</v>
      </c>
      <c r="J10794" s="297">
        <v>861390.34</v>
      </c>
      <c r="K10794" s="297">
        <v>90013.16</v>
      </c>
      <c r="L10794" s="43">
        <v>6.0813929860716529</v>
      </c>
      <c r="M10794" s="43">
        <v>11.499999999999998</v>
      </c>
      <c r="N10794" s="43">
        <v>5.4566328700886819</v>
      </c>
      <c r="O10794" s="43">
        <v>4.7629689912554092</v>
      </c>
      <c r="P10794" s="298"/>
      <c r="Q10794" s="298"/>
      <c r="R10794" s="298">
        <v>11</v>
      </c>
    </row>
    <row r="10795" spans="1:18" ht="24">
      <c r="A10795" s="294">
        <v>133</v>
      </c>
      <c r="B10795" s="291" t="s">
        <v>19749</v>
      </c>
      <c r="C10795" s="295" t="s">
        <v>19750</v>
      </c>
      <c r="D10795" s="296">
        <v>229359.82</v>
      </c>
      <c r="E10795" s="296">
        <v>25196.48</v>
      </c>
      <c r="F10795" s="296">
        <v>183947.76</v>
      </c>
      <c r="G10795" s="296">
        <v>20215.580000000002</v>
      </c>
      <c r="H10795" s="297">
        <v>1388768.35</v>
      </c>
      <c r="I10795" s="297">
        <v>289759.52</v>
      </c>
      <c r="J10795" s="297">
        <v>1003747.27</v>
      </c>
      <c r="K10795" s="297">
        <v>95261.56</v>
      </c>
      <c r="L10795" s="43">
        <v>6.0549766301700103</v>
      </c>
      <c r="M10795" s="43">
        <v>11.500000000000002</v>
      </c>
      <c r="N10795" s="43">
        <v>5.4566974340975936</v>
      </c>
      <c r="O10795" s="43">
        <v>4.7122842876632767</v>
      </c>
      <c r="P10795" s="298"/>
      <c r="Q10795" s="298"/>
      <c r="R10795" s="298">
        <v>11</v>
      </c>
    </row>
    <row r="10796" spans="1:18" ht="24">
      <c r="A10796" s="294">
        <v>134</v>
      </c>
      <c r="B10796" s="291" t="s">
        <v>19751</v>
      </c>
      <c r="C10796" s="295" t="s">
        <v>19752</v>
      </c>
      <c r="D10796" s="296">
        <v>664838.06000000006</v>
      </c>
      <c r="E10796" s="296">
        <v>186578.25</v>
      </c>
      <c r="F10796" s="296">
        <v>357187.75</v>
      </c>
      <c r="G10796" s="296">
        <v>121072.06</v>
      </c>
      <c r="H10796" s="297">
        <v>4718512.4400000004</v>
      </c>
      <c r="I10796" s="297">
        <v>2145728.6</v>
      </c>
      <c r="J10796" s="297">
        <v>1947123.17</v>
      </c>
      <c r="K10796" s="297">
        <v>625660.67000000004</v>
      </c>
      <c r="L10796" s="43">
        <v>7.0972357388805332</v>
      </c>
      <c r="M10796" s="43">
        <v>11.50042194092827</v>
      </c>
      <c r="N10796" s="43">
        <v>5.4512596526616601</v>
      </c>
      <c r="O10796" s="43">
        <v>5.1676717981010656</v>
      </c>
      <c r="P10796" s="298"/>
      <c r="Q10796" s="298"/>
      <c r="R10796" s="298">
        <v>11</v>
      </c>
    </row>
    <row r="10797" spans="1:18" ht="12.75" customHeight="1">
      <c r="A10797" s="628" t="s">
        <v>19753</v>
      </c>
      <c r="B10797" s="629"/>
      <c r="C10797" s="629"/>
      <c r="D10797" s="629"/>
      <c r="E10797" s="629"/>
      <c r="F10797" s="629"/>
      <c r="G10797" s="629"/>
      <c r="H10797" s="629"/>
      <c r="I10797" s="629"/>
      <c r="J10797" s="629"/>
      <c r="K10797" s="629"/>
      <c r="L10797" s="629"/>
      <c r="M10797" s="629"/>
      <c r="N10797" s="629"/>
      <c r="O10797" s="629"/>
      <c r="P10797" s="629"/>
      <c r="Q10797" s="629"/>
      <c r="R10797" s="629"/>
    </row>
    <row r="10798" spans="1:18" ht="24">
      <c r="A10798" s="294">
        <v>135</v>
      </c>
      <c r="B10798" s="291" t="s">
        <v>19754</v>
      </c>
      <c r="C10798" s="295" t="s">
        <v>19755</v>
      </c>
      <c r="D10798" s="296">
        <v>3723.8</v>
      </c>
      <c r="E10798" s="296">
        <v>1463</v>
      </c>
      <c r="F10798" s="296">
        <v>701.05</v>
      </c>
      <c r="G10798" s="296">
        <v>1559.75</v>
      </c>
      <c r="H10798" s="297">
        <v>26795.25</v>
      </c>
      <c r="I10798" s="297">
        <v>16825.2</v>
      </c>
      <c r="J10798" s="297">
        <v>3681.75</v>
      </c>
      <c r="K10798" s="297">
        <v>6288.3</v>
      </c>
      <c r="L10798" s="43">
        <v>7.1956737741017234</v>
      </c>
      <c r="M10798" s="43">
        <v>11.500478468899521</v>
      </c>
      <c r="N10798" s="43">
        <v>5.2517652093288643</v>
      </c>
      <c r="O10798" s="43">
        <v>4.0316076294277927</v>
      </c>
      <c r="P10798" s="298"/>
      <c r="Q10798" s="298"/>
      <c r="R10798" s="298">
        <v>12</v>
      </c>
    </row>
    <row r="10799" spans="1:18" ht="24">
      <c r="A10799" s="294">
        <v>136</v>
      </c>
      <c r="B10799" s="291" t="s">
        <v>19756</v>
      </c>
      <c r="C10799" s="295" t="s">
        <v>19757</v>
      </c>
      <c r="D10799" s="296">
        <v>8979.0300000000007</v>
      </c>
      <c r="E10799" s="296">
        <v>3344</v>
      </c>
      <c r="F10799" s="296">
        <v>2582.52</v>
      </c>
      <c r="G10799" s="296">
        <v>3052.51</v>
      </c>
      <c r="H10799" s="297">
        <v>64758.26</v>
      </c>
      <c r="I10799" s="297">
        <v>38457.599999999999</v>
      </c>
      <c r="J10799" s="297">
        <v>13730.54</v>
      </c>
      <c r="K10799" s="297">
        <v>12570.12</v>
      </c>
      <c r="L10799" s="43">
        <v>7.2121665703310933</v>
      </c>
      <c r="M10799" s="43">
        <v>11.500478468899521</v>
      </c>
      <c r="N10799" s="43">
        <v>5.3167216517200258</v>
      </c>
      <c r="O10799" s="43">
        <v>4.1179619395186258</v>
      </c>
      <c r="P10799" s="298"/>
      <c r="Q10799" s="298"/>
      <c r="R10799" s="298">
        <v>12</v>
      </c>
    </row>
    <row r="10800" spans="1:18" ht="24">
      <c r="A10800" s="294">
        <v>137</v>
      </c>
      <c r="B10800" s="291" t="s">
        <v>19758</v>
      </c>
      <c r="C10800" s="295" t="s">
        <v>19759</v>
      </c>
      <c r="D10800" s="296">
        <v>21306.69</v>
      </c>
      <c r="E10800" s="296">
        <v>8292.6</v>
      </c>
      <c r="F10800" s="296">
        <v>5719.11</v>
      </c>
      <c r="G10800" s="296">
        <v>7294.98</v>
      </c>
      <c r="H10800" s="297">
        <v>156526.93</v>
      </c>
      <c r="I10800" s="297">
        <v>95364.9</v>
      </c>
      <c r="J10800" s="297">
        <v>29973.46</v>
      </c>
      <c r="K10800" s="297">
        <v>31188.57</v>
      </c>
      <c r="L10800" s="43">
        <v>7.3463747771239927</v>
      </c>
      <c r="M10800" s="43">
        <v>11.499999999999998</v>
      </c>
      <c r="N10800" s="43">
        <v>5.240930844134839</v>
      </c>
      <c r="O10800" s="43">
        <v>4.2753468823766481</v>
      </c>
      <c r="P10800" s="298"/>
      <c r="Q10800" s="298"/>
      <c r="R10800" s="298">
        <v>12</v>
      </c>
    </row>
    <row r="10801" spans="1:18" ht="24">
      <c r="A10801" s="294">
        <v>138</v>
      </c>
      <c r="B10801" s="291" t="s">
        <v>19760</v>
      </c>
      <c r="C10801" s="295" t="s">
        <v>19761</v>
      </c>
      <c r="D10801" s="296">
        <v>48815.16</v>
      </c>
      <c r="E10801" s="296">
        <v>16383.6</v>
      </c>
      <c r="F10801" s="296">
        <v>24566.12</v>
      </c>
      <c r="G10801" s="296">
        <v>7865.44</v>
      </c>
      <c r="H10801" s="297">
        <v>354358.89</v>
      </c>
      <c r="I10801" s="297">
        <v>188411.4</v>
      </c>
      <c r="J10801" s="297">
        <v>130786.8</v>
      </c>
      <c r="K10801" s="297">
        <v>35160.69</v>
      </c>
      <c r="L10801" s="43">
        <v>7.259197552563589</v>
      </c>
      <c r="M10801" s="43">
        <v>11.5</v>
      </c>
      <c r="N10801" s="43">
        <v>5.3238688079354821</v>
      </c>
      <c r="O10801" s="43">
        <v>4.4702762973209387</v>
      </c>
      <c r="P10801" s="298"/>
      <c r="Q10801" s="298"/>
      <c r="R10801" s="298">
        <v>12</v>
      </c>
    </row>
    <row r="10802" spans="1:18" ht="24">
      <c r="A10802" s="294">
        <v>139</v>
      </c>
      <c r="B10802" s="291" t="s">
        <v>19762</v>
      </c>
      <c r="C10802" s="295" t="s">
        <v>19763</v>
      </c>
      <c r="D10802" s="296">
        <v>3147</v>
      </c>
      <c r="E10802" s="296">
        <v>722.1</v>
      </c>
      <c r="F10802" s="296">
        <v>879.97</v>
      </c>
      <c r="G10802" s="296">
        <v>1544.93</v>
      </c>
      <c r="H10802" s="297">
        <v>19209.63</v>
      </c>
      <c r="I10802" s="297">
        <v>8304.44</v>
      </c>
      <c r="J10802" s="297">
        <v>4787.32</v>
      </c>
      <c r="K10802" s="297">
        <v>6117.87</v>
      </c>
      <c r="L10802" s="43">
        <v>6.1041086749285034</v>
      </c>
      <c r="M10802" s="43">
        <v>11.500401606425703</v>
      </c>
      <c r="N10802" s="43">
        <v>5.440321829153266</v>
      </c>
      <c r="O10802" s="43">
        <v>3.9599658236942772</v>
      </c>
      <c r="P10802" s="298"/>
      <c r="Q10802" s="298"/>
      <c r="R10802" s="298">
        <v>12</v>
      </c>
    </row>
    <row r="10803" spans="1:18" ht="24">
      <c r="A10803" s="294">
        <v>140</v>
      </c>
      <c r="B10803" s="291" t="s">
        <v>19764</v>
      </c>
      <c r="C10803" s="295" t="s">
        <v>19765</v>
      </c>
      <c r="D10803" s="296">
        <v>4530.12</v>
      </c>
      <c r="E10803" s="296">
        <v>946.77</v>
      </c>
      <c r="F10803" s="296">
        <v>1414.79</v>
      </c>
      <c r="G10803" s="296">
        <v>2168.56</v>
      </c>
      <c r="H10803" s="297">
        <v>27033.97</v>
      </c>
      <c r="I10803" s="297">
        <v>10888.31</v>
      </c>
      <c r="J10803" s="297">
        <v>7658.67</v>
      </c>
      <c r="K10803" s="297">
        <v>8486.99</v>
      </c>
      <c r="L10803" s="43">
        <v>5.9676057146389061</v>
      </c>
      <c r="M10803" s="43">
        <v>11.500480581344993</v>
      </c>
      <c r="N10803" s="43">
        <v>5.4132910184550358</v>
      </c>
      <c r="O10803" s="43">
        <v>3.9136523776146381</v>
      </c>
      <c r="P10803" s="298"/>
      <c r="Q10803" s="298"/>
      <c r="R10803" s="298">
        <v>12</v>
      </c>
    </row>
    <row r="10804" spans="1:18" ht="24">
      <c r="A10804" s="294">
        <v>141</v>
      </c>
      <c r="B10804" s="291" t="s">
        <v>19766</v>
      </c>
      <c r="C10804" s="295" t="s">
        <v>19767</v>
      </c>
      <c r="D10804" s="296">
        <v>15192.76</v>
      </c>
      <c r="E10804" s="296">
        <v>3060.63</v>
      </c>
      <c r="F10804" s="296">
        <v>8837.2900000000009</v>
      </c>
      <c r="G10804" s="296">
        <v>3294.84</v>
      </c>
      <c r="H10804" s="297">
        <v>96549.83</v>
      </c>
      <c r="I10804" s="297">
        <v>35198.639999999999</v>
      </c>
      <c r="J10804" s="297">
        <v>47822.83</v>
      </c>
      <c r="K10804" s="297">
        <v>13528.36</v>
      </c>
      <c r="L10804" s="43">
        <v>6.3549894818321357</v>
      </c>
      <c r="M10804" s="43">
        <v>11.500455788514129</v>
      </c>
      <c r="N10804" s="43">
        <v>5.4114813477887447</v>
      </c>
      <c r="O10804" s="43">
        <v>4.1059232011266102</v>
      </c>
      <c r="P10804" s="298"/>
      <c r="Q10804" s="298"/>
      <c r="R10804" s="298">
        <v>12</v>
      </c>
    </row>
    <row r="10805" spans="1:18" ht="24">
      <c r="A10805" s="294">
        <v>142</v>
      </c>
      <c r="B10805" s="291" t="s">
        <v>19768</v>
      </c>
      <c r="C10805" s="295" t="s">
        <v>19769</v>
      </c>
      <c r="D10805" s="296">
        <v>33905.730000000003</v>
      </c>
      <c r="E10805" s="296">
        <v>6637.8</v>
      </c>
      <c r="F10805" s="296">
        <v>22897.99</v>
      </c>
      <c r="G10805" s="296">
        <v>4369.9399999999996</v>
      </c>
      <c r="H10805" s="297">
        <v>216735.95</v>
      </c>
      <c r="I10805" s="297">
        <v>76334.7</v>
      </c>
      <c r="J10805" s="297">
        <v>121425.64</v>
      </c>
      <c r="K10805" s="297">
        <v>18975.61</v>
      </c>
      <c r="L10805" s="43">
        <v>6.3923103852947563</v>
      </c>
      <c r="M10805" s="43">
        <v>11.5</v>
      </c>
      <c r="N10805" s="43">
        <v>5.3028951449450359</v>
      </c>
      <c r="O10805" s="43">
        <v>4.3423044709996024</v>
      </c>
      <c r="P10805" s="298"/>
      <c r="Q10805" s="298"/>
      <c r="R10805" s="298">
        <v>12</v>
      </c>
    </row>
    <row r="10806" spans="1:18" ht="12.75" customHeight="1">
      <c r="A10806" s="628" t="s">
        <v>19770</v>
      </c>
      <c r="B10806" s="629"/>
      <c r="C10806" s="629"/>
      <c r="D10806" s="629"/>
      <c r="E10806" s="629"/>
      <c r="F10806" s="629"/>
      <c r="G10806" s="629"/>
      <c r="H10806" s="629"/>
      <c r="I10806" s="629"/>
      <c r="J10806" s="629"/>
      <c r="K10806" s="629"/>
      <c r="L10806" s="629"/>
      <c r="M10806" s="629"/>
      <c r="N10806" s="629"/>
      <c r="O10806" s="629"/>
      <c r="P10806" s="629"/>
      <c r="Q10806" s="629"/>
      <c r="R10806" s="629"/>
    </row>
    <row r="10807" spans="1:18" ht="24">
      <c r="A10807" s="294">
        <v>143</v>
      </c>
      <c r="B10807" s="291" t="s">
        <v>19771</v>
      </c>
      <c r="C10807" s="295" t="s">
        <v>19772</v>
      </c>
      <c r="D10807" s="296">
        <v>5056.62</v>
      </c>
      <c r="E10807" s="296">
        <v>1393.76</v>
      </c>
      <c r="F10807" s="296">
        <v>2035.59</v>
      </c>
      <c r="G10807" s="296">
        <v>1627.27</v>
      </c>
      <c r="H10807" s="297">
        <v>33243.760000000002</v>
      </c>
      <c r="I10807" s="297">
        <v>16028.24</v>
      </c>
      <c r="J10807" s="297">
        <v>10432.799999999999</v>
      </c>
      <c r="K10807" s="297">
        <v>6782.72</v>
      </c>
      <c r="L10807" s="43">
        <v>6.574304574992782</v>
      </c>
      <c r="M10807" s="43">
        <v>11.5</v>
      </c>
      <c r="N10807" s="43">
        <v>5.1251971172976871</v>
      </c>
      <c r="O10807" s="43">
        <v>4.1681589410485049</v>
      </c>
      <c r="P10807" s="298"/>
      <c r="Q10807" s="298"/>
      <c r="R10807" s="298">
        <v>13</v>
      </c>
    </row>
    <row r="10808" spans="1:18" ht="24">
      <c r="A10808" s="294">
        <v>144</v>
      </c>
      <c r="B10808" s="291" t="s">
        <v>19773</v>
      </c>
      <c r="C10808" s="295" t="s">
        <v>19774</v>
      </c>
      <c r="D10808" s="296">
        <v>8159.49</v>
      </c>
      <c r="E10808" s="296">
        <v>3102.24</v>
      </c>
      <c r="F10808" s="296">
        <v>3258.21</v>
      </c>
      <c r="G10808" s="296">
        <v>1799.04</v>
      </c>
      <c r="H10808" s="297">
        <v>60137.95</v>
      </c>
      <c r="I10808" s="297">
        <v>35675.760000000002</v>
      </c>
      <c r="J10808" s="297">
        <v>16678.71</v>
      </c>
      <c r="K10808" s="297">
        <v>7783.48</v>
      </c>
      <c r="L10808" s="43">
        <v>7.3703074579416112</v>
      </c>
      <c r="M10808" s="43">
        <v>11.500000000000002</v>
      </c>
      <c r="N10808" s="43">
        <v>5.1189794396309622</v>
      </c>
      <c r="O10808" s="43">
        <v>4.3264630024902164</v>
      </c>
      <c r="P10808" s="298"/>
      <c r="Q10808" s="298"/>
      <c r="R10808" s="298">
        <v>13</v>
      </c>
    </row>
    <row r="10809" spans="1:18" ht="24">
      <c r="A10809" s="294">
        <v>145</v>
      </c>
      <c r="B10809" s="291" t="s">
        <v>19775</v>
      </c>
      <c r="C10809" s="295" t="s">
        <v>19776</v>
      </c>
      <c r="D10809" s="296">
        <v>11007.6</v>
      </c>
      <c r="E10809" s="296">
        <v>3697.96</v>
      </c>
      <c r="F10809" s="296">
        <v>4569.67</v>
      </c>
      <c r="G10809" s="296">
        <v>2739.97</v>
      </c>
      <c r="H10809" s="297">
        <v>77671.17</v>
      </c>
      <c r="I10809" s="297">
        <v>42526.54</v>
      </c>
      <c r="J10809" s="297">
        <v>23546.7</v>
      </c>
      <c r="K10809" s="297">
        <v>11597.93</v>
      </c>
      <c r="L10809" s="43">
        <v>7.0561403030633381</v>
      </c>
      <c r="M10809" s="43">
        <v>11.5</v>
      </c>
      <c r="N10809" s="43">
        <v>5.1528228515407024</v>
      </c>
      <c r="O10809" s="43">
        <v>4.232867513147955</v>
      </c>
      <c r="P10809" s="298"/>
      <c r="Q10809" s="298"/>
      <c r="R10809" s="298">
        <v>13</v>
      </c>
    </row>
    <row r="10810" spans="1:18" ht="24">
      <c r="A10810" s="294">
        <v>146</v>
      </c>
      <c r="B10810" s="291" t="s">
        <v>19777</v>
      </c>
      <c r="C10810" s="295" t="s">
        <v>19778</v>
      </c>
      <c r="D10810" s="296">
        <v>26250.66</v>
      </c>
      <c r="E10810" s="296">
        <v>8362.56</v>
      </c>
      <c r="F10810" s="296">
        <v>13954.52</v>
      </c>
      <c r="G10810" s="296">
        <v>3933.58</v>
      </c>
      <c r="H10810" s="297">
        <v>184612.45</v>
      </c>
      <c r="I10810" s="297">
        <v>96169.44</v>
      </c>
      <c r="J10810" s="297">
        <v>71502.42</v>
      </c>
      <c r="K10810" s="297">
        <v>16940.59</v>
      </c>
      <c r="L10810" s="43">
        <v>7.0326784164664815</v>
      </c>
      <c r="M10810" s="43">
        <v>11.500000000000002</v>
      </c>
      <c r="N10810" s="43">
        <v>5.1239612684635514</v>
      </c>
      <c r="O10810" s="43">
        <v>4.3066595823651737</v>
      </c>
      <c r="P10810" s="298"/>
      <c r="Q10810" s="298"/>
      <c r="R10810" s="298">
        <v>13</v>
      </c>
    </row>
    <row r="10811" spans="1:18" ht="24">
      <c r="A10811" s="294">
        <v>147</v>
      </c>
      <c r="B10811" s="291" t="s">
        <v>19779</v>
      </c>
      <c r="C10811" s="295" t="s">
        <v>19780</v>
      </c>
      <c r="D10811" s="296">
        <v>38933.769999999997</v>
      </c>
      <c r="E10811" s="296">
        <v>10509.4</v>
      </c>
      <c r="F10811" s="296">
        <v>20891.96</v>
      </c>
      <c r="G10811" s="296">
        <v>7532.41</v>
      </c>
      <c r="H10811" s="297">
        <v>260476.72</v>
      </c>
      <c r="I10811" s="297">
        <v>120858.1</v>
      </c>
      <c r="J10811" s="297">
        <v>107562.78</v>
      </c>
      <c r="K10811" s="297">
        <v>32055.84</v>
      </c>
      <c r="L10811" s="43">
        <v>6.6902516761156194</v>
      </c>
      <c r="M10811" s="43">
        <v>11.500000000000002</v>
      </c>
      <c r="N10811" s="43">
        <v>5.148525078546963</v>
      </c>
      <c r="O10811" s="43">
        <v>4.2557216083564224</v>
      </c>
      <c r="P10811" s="298"/>
      <c r="Q10811" s="298"/>
      <c r="R10811" s="298">
        <v>13</v>
      </c>
    </row>
    <row r="10812" spans="1:18" ht="24">
      <c r="A10812" s="294">
        <v>148</v>
      </c>
      <c r="B10812" s="291" t="s">
        <v>19781</v>
      </c>
      <c r="C10812" s="295" t="s">
        <v>19782</v>
      </c>
      <c r="D10812" s="296">
        <v>43761.36</v>
      </c>
      <c r="E10812" s="296">
        <v>14915.48</v>
      </c>
      <c r="F10812" s="296">
        <v>21211.46</v>
      </c>
      <c r="G10812" s="296">
        <v>7634.42</v>
      </c>
      <c r="H10812" s="297">
        <v>313815.02</v>
      </c>
      <c r="I10812" s="297">
        <v>171528.02</v>
      </c>
      <c r="J10812" s="297">
        <v>109160.08</v>
      </c>
      <c r="K10812" s="297">
        <v>33126.92</v>
      </c>
      <c r="L10812" s="43">
        <v>7.1710527277945664</v>
      </c>
      <c r="M10812" s="43">
        <v>11.5</v>
      </c>
      <c r="N10812" s="43">
        <v>5.1462784739947178</v>
      </c>
      <c r="O10812" s="43">
        <v>4.3391534654891917</v>
      </c>
      <c r="P10812" s="298"/>
      <c r="Q10812" s="298"/>
      <c r="R10812" s="298">
        <v>13</v>
      </c>
    </row>
    <row r="10813" spans="1:18" ht="24">
      <c r="A10813" s="294">
        <v>149</v>
      </c>
      <c r="B10813" s="291" t="s">
        <v>19783</v>
      </c>
      <c r="C10813" s="295" t="s">
        <v>19784</v>
      </c>
      <c r="D10813" s="296">
        <v>13600.84</v>
      </c>
      <c r="E10813" s="296">
        <v>6283.16</v>
      </c>
      <c r="F10813" s="296">
        <v>4853</v>
      </c>
      <c r="G10813" s="296">
        <v>2464.6799999999998</v>
      </c>
      <c r="H10813" s="297">
        <v>107921.72</v>
      </c>
      <c r="I10813" s="297">
        <v>72256.34</v>
      </c>
      <c r="J10813" s="297">
        <v>24819.439999999999</v>
      </c>
      <c r="K10813" s="297">
        <v>10845.94</v>
      </c>
      <c r="L10813" s="43">
        <v>7.9349304895874075</v>
      </c>
      <c r="M10813" s="43">
        <v>11.5</v>
      </c>
      <c r="N10813" s="43">
        <v>5.1142468576138471</v>
      </c>
      <c r="O10813" s="43">
        <v>4.4005469269844362</v>
      </c>
      <c r="P10813" s="298"/>
      <c r="Q10813" s="298"/>
      <c r="R10813" s="298">
        <v>13</v>
      </c>
    </row>
    <row r="10814" spans="1:18" ht="24">
      <c r="A10814" s="294">
        <v>150</v>
      </c>
      <c r="B10814" s="291" t="s">
        <v>19785</v>
      </c>
      <c r="C10814" s="295" t="s">
        <v>19786</v>
      </c>
      <c r="D10814" s="296">
        <v>19784.55</v>
      </c>
      <c r="E10814" s="296">
        <v>7868</v>
      </c>
      <c r="F10814" s="296">
        <v>8901.84</v>
      </c>
      <c r="G10814" s="296">
        <v>3014.71</v>
      </c>
      <c r="H10814" s="297">
        <v>149261.67000000001</v>
      </c>
      <c r="I10814" s="297">
        <v>90482</v>
      </c>
      <c r="J10814" s="297">
        <v>45315.64</v>
      </c>
      <c r="K10814" s="297">
        <v>13464.03</v>
      </c>
      <c r="L10814" s="43">
        <v>7.5443550649370348</v>
      </c>
      <c r="M10814" s="43">
        <v>11.5</v>
      </c>
      <c r="N10814" s="43">
        <v>5.0905925067177122</v>
      </c>
      <c r="O10814" s="43">
        <v>4.4661111682384043</v>
      </c>
      <c r="P10814" s="298"/>
      <c r="Q10814" s="298"/>
      <c r="R10814" s="298">
        <v>13</v>
      </c>
    </row>
    <row r="10815" spans="1:18" ht="24">
      <c r="A10815" s="294">
        <v>151</v>
      </c>
      <c r="B10815" s="291" t="s">
        <v>19787</v>
      </c>
      <c r="C10815" s="295" t="s">
        <v>19788</v>
      </c>
      <c r="D10815" s="296">
        <v>27598.32</v>
      </c>
      <c r="E10815" s="296">
        <v>9947.4</v>
      </c>
      <c r="F10815" s="296">
        <v>13563.65</v>
      </c>
      <c r="G10815" s="296">
        <v>4087.27</v>
      </c>
      <c r="H10815" s="297">
        <v>201861.67</v>
      </c>
      <c r="I10815" s="297">
        <v>114395.1</v>
      </c>
      <c r="J10815" s="297">
        <v>69290.97</v>
      </c>
      <c r="K10815" s="297">
        <v>18175.599999999999</v>
      </c>
      <c r="L10815" s="43">
        <v>7.3142738398569191</v>
      </c>
      <c r="M10815" s="43">
        <v>11.500000000000002</v>
      </c>
      <c r="N10815" s="43">
        <v>5.1085784431181871</v>
      </c>
      <c r="O10815" s="43">
        <v>4.4468801914236149</v>
      </c>
      <c r="P10815" s="298"/>
      <c r="Q10815" s="298"/>
      <c r="R10815" s="298">
        <v>13</v>
      </c>
    </row>
    <row r="10816" spans="1:18" ht="24">
      <c r="A10816" s="294">
        <v>152</v>
      </c>
      <c r="B10816" s="291" t="s">
        <v>19789</v>
      </c>
      <c r="C10816" s="295" t="s">
        <v>19790</v>
      </c>
      <c r="D10816" s="296">
        <v>5339.79</v>
      </c>
      <c r="E10816" s="296">
        <v>1775.92</v>
      </c>
      <c r="F10816" s="296">
        <v>1748.37</v>
      </c>
      <c r="G10816" s="296">
        <v>1815.5</v>
      </c>
      <c r="H10816" s="297">
        <v>37043.83</v>
      </c>
      <c r="I10816" s="297">
        <v>20423.080000000002</v>
      </c>
      <c r="J10816" s="297">
        <v>9030.08</v>
      </c>
      <c r="K10816" s="297">
        <v>7590.67</v>
      </c>
      <c r="L10816" s="43">
        <v>6.9373196324200022</v>
      </c>
      <c r="M10816" s="43">
        <v>11.5</v>
      </c>
      <c r="N10816" s="43">
        <v>5.1648564091124882</v>
      </c>
      <c r="O10816" s="43">
        <v>4.1810355274029192</v>
      </c>
      <c r="P10816" s="298"/>
      <c r="Q10816" s="298"/>
      <c r="R10816" s="298">
        <v>13</v>
      </c>
    </row>
    <row r="10817" spans="1:18" ht="24">
      <c r="A10817" s="294">
        <v>153</v>
      </c>
      <c r="B10817" s="291" t="s">
        <v>19791</v>
      </c>
      <c r="C10817" s="295" t="s">
        <v>19792</v>
      </c>
      <c r="D10817" s="296">
        <v>7941.02</v>
      </c>
      <c r="E10817" s="296">
        <v>2821.24</v>
      </c>
      <c r="F10817" s="296">
        <v>2579.59</v>
      </c>
      <c r="G10817" s="296">
        <v>2540.19</v>
      </c>
      <c r="H10817" s="297">
        <v>56344.74</v>
      </c>
      <c r="I10817" s="297">
        <v>32444.26</v>
      </c>
      <c r="J10817" s="297">
        <v>13322.29</v>
      </c>
      <c r="K10817" s="297">
        <v>10578.19</v>
      </c>
      <c r="L10817" s="43">
        <v>7.0954033612810434</v>
      </c>
      <c r="M10817" s="43">
        <v>11.5</v>
      </c>
      <c r="N10817" s="43">
        <v>5.1644990095325225</v>
      </c>
      <c r="O10817" s="43">
        <v>4.1643302272664648</v>
      </c>
      <c r="P10817" s="298"/>
      <c r="Q10817" s="298"/>
      <c r="R10817" s="298">
        <v>13</v>
      </c>
    </row>
    <row r="10818" spans="1:18" ht="24">
      <c r="A10818" s="294">
        <v>154</v>
      </c>
      <c r="B10818" s="291" t="s">
        <v>19793</v>
      </c>
      <c r="C10818" s="295" t="s">
        <v>19794</v>
      </c>
      <c r="D10818" s="296">
        <v>21338.240000000002</v>
      </c>
      <c r="E10818" s="296">
        <v>8137.76</v>
      </c>
      <c r="F10818" s="296">
        <v>9345.3700000000008</v>
      </c>
      <c r="G10818" s="296">
        <v>3855.11</v>
      </c>
      <c r="H10818" s="297">
        <v>157772.10999999999</v>
      </c>
      <c r="I10818" s="297">
        <v>93584.24</v>
      </c>
      <c r="J10818" s="297">
        <v>47796.52</v>
      </c>
      <c r="K10818" s="297">
        <v>16391.349999999999</v>
      </c>
      <c r="L10818" s="43">
        <v>7.3938670668246287</v>
      </c>
      <c r="M10818" s="43">
        <v>11.5</v>
      </c>
      <c r="N10818" s="43">
        <v>5.1144598876234966</v>
      </c>
      <c r="O10818" s="43">
        <v>4.2518501417598973</v>
      </c>
      <c r="P10818" s="298"/>
      <c r="Q10818" s="298"/>
      <c r="R10818" s="298">
        <v>13</v>
      </c>
    </row>
    <row r="10819" spans="1:18" ht="12.75" customHeight="1">
      <c r="A10819" s="628" t="s">
        <v>19795</v>
      </c>
      <c r="B10819" s="629"/>
      <c r="C10819" s="629"/>
      <c r="D10819" s="629"/>
      <c r="E10819" s="629"/>
      <c r="F10819" s="629"/>
      <c r="G10819" s="629"/>
      <c r="H10819" s="629"/>
      <c r="I10819" s="629"/>
      <c r="J10819" s="629"/>
      <c r="K10819" s="629"/>
      <c r="L10819" s="629"/>
      <c r="M10819" s="629"/>
      <c r="N10819" s="629"/>
      <c r="O10819" s="629"/>
      <c r="P10819" s="629"/>
      <c r="Q10819" s="629"/>
      <c r="R10819" s="629"/>
    </row>
    <row r="10820" spans="1:18" ht="24">
      <c r="A10820" s="294">
        <v>155</v>
      </c>
      <c r="B10820" s="291" t="s">
        <v>19796</v>
      </c>
      <c r="C10820" s="295" t="s">
        <v>19797</v>
      </c>
      <c r="D10820" s="296">
        <v>2827.94</v>
      </c>
      <c r="E10820" s="296">
        <v>1191.3</v>
      </c>
      <c r="F10820" s="296">
        <v>1121.5</v>
      </c>
      <c r="G10820" s="296">
        <v>515.14</v>
      </c>
      <c r="H10820" s="297">
        <v>21670.23</v>
      </c>
      <c r="I10820" s="297">
        <v>13700.52</v>
      </c>
      <c r="J10820" s="297">
        <v>5823.68</v>
      </c>
      <c r="K10820" s="297">
        <v>2146.0300000000002</v>
      </c>
      <c r="L10820" s="43">
        <v>7.6629030318889368</v>
      </c>
      <c r="M10820" s="43">
        <v>11.500478468899523</v>
      </c>
      <c r="N10820" s="43">
        <v>5.1927596968345968</v>
      </c>
      <c r="O10820" s="43">
        <v>4.1659160616531432</v>
      </c>
      <c r="P10820" s="298"/>
      <c r="Q10820" s="298"/>
      <c r="R10820" s="298">
        <v>14</v>
      </c>
    </row>
    <row r="10821" spans="1:18" ht="24">
      <c r="A10821" s="294">
        <v>156</v>
      </c>
      <c r="B10821" s="291" t="s">
        <v>19798</v>
      </c>
      <c r="C10821" s="295" t="s">
        <v>19799</v>
      </c>
      <c r="D10821" s="296">
        <v>6114.35</v>
      </c>
      <c r="E10821" s="296">
        <v>2246.75</v>
      </c>
      <c r="F10821" s="296">
        <v>2198.44</v>
      </c>
      <c r="G10821" s="296">
        <v>1669.16</v>
      </c>
      <c r="H10821" s="297">
        <v>44326.1</v>
      </c>
      <c r="I10821" s="297">
        <v>25838.7</v>
      </c>
      <c r="J10821" s="297">
        <v>11438.82</v>
      </c>
      <c r="K10821" s="297">
        <v>7048.58</v>
      </c>
      <c r="L10821" s="43">
        <v>7.2495195728082296</v>
      </c>
      <c r="M10821" s="43">
        <v>11.500478468899521</v>
      </c>
      <c r="N10821" s="43">
        <v>5.2031531449573327</v>
      </c>
      <c r="O10821" s="43">
        <v>4.2228306453545494</v>
      </c>
      <c r="P10821" s="298"/>
      <c r="Q10821" s="298"/>
      <c r="R10821" s="298">
        <v>14</v>
      </c>
    </row>
    <row r="10822" spans="1:18" ht="24">
      <c r="A10822" s="294">
        <v>157</v>
      </c>
      <c r="B10822" s="291" t="s">
        <v>19800</v>
      </c>
      <c r="C10822" s="295" t="s">
        <v>19801</v>
      </c>
      <c r="D10822" s="296">
        <v>7970.82</v>
      </c>
      <c r="E10822" s="296">
        <v>3218.6</v>
      </c>
      <c r="F10822" s="296">
        <v>2765.35</v>
      </c>
      <c r="G10822" s="296">
        <v>1986.87</v>
      </c>
      <c r="H10822" s="297">
        <v>59916.97</v>
      </c>
      <c r="I10822" s="297">
        <v>37015.440000000002</v>
      </c>
      <c r="J10822" s="297">
        <v>14274.02</v>
      </c>
      <c r="K10822" s="297">
        <v>8627.51</v>
      </c>
      <c r="L10822" s="43">
        <v>7.5170396521311487</v>
      </c>
      <c r="M10822" s="43">
        <v>11.500478468899523</v>
      </c>
      <c r="N10822" s="43">
        <v>5.1617408284665593</v>
      </c>
      <c r="O10822" s="43">
        <v>4.342261949699779</v>
      </c>
      <c r="P10822" s="298"/>
      <c r="Q10822" s="298"/>
      <c r="R10822" s="298">
        <v>14</v>
      </c>
    </row>
    <row r="10823" spans="1:18" ht="36">
      <c r="A10823" s="294">
        <v>158</v>
      </c>
      <c r="B10823" s="291" t="s">
        <v>19802</v>
      </c>
      <c r="C10823" s="295" t="s">
        <v>19803</v>
      </c>
      <c r="D10823" s="296">
        <v>3087.6</v>
      </c>
      <c r="E10823" s="296">
        <v>1076.3499999999999</v>
      </c>
      <c r="F10823" s="296">
        <v>1203.72</v>
      </c>
      <c r="G10823" s="296">
        <v>807.53</v>
      </c>
      <c r="H10823" s="297">
        <v>21910.61</v>
      </c>
      <c r="I10823" s="297">
        <v>12378.54</v>
      </c>
      <c r="J10823" s="297">
        <v>6356.25</v>
      </c>
      <c r="K10823" s="297">
        <v>3175.82</v>
      </c>
      <c r="L10823" s="43">
        <v>7.0963240057002208</v>
      </c>
      <c r="M10823" s="43">
        <v>11.500478468899523</v>
      </c>
      <c r="N10823" s="43">
        <v>5.2805054331572121</v>
      </c>
      <c r="O10823" s="43">
        <v>3.9327579161145718</v>
      </c>
      <c r="P10823" s="298"/>
      <c r="Q10823" s="298"/>
      <c r="R10823" s="298">
        <v>14</v>
      </c>
    </row>
    <row r="10824" spans="1:18" ht="36">
      <c r="A10824" s="294">
        <v>159</v>
      </c>
      <c r="B10824" s="291" t="s">
        <v>19804</v>
      </c>
      <c r="C10824" s="295" t="s">
        <v>19805</v>
      </c>
      <c r="D10824" s="296">
        <v>6468.7</v>
      </c>
      <c r="E10824" s="296">
        <v>2299</v>
      </c>
      <c r="F10824" s="296">
        <v>2526.29</v>
      </c>
      <c r="G10824" s="296">
        <v>1643.41</v>
      </c>
      <c r="H10824" s="297">
        <v>46539.56</v>
      </c>
      <c r="I10824" s="297">
        <v>26439.599999999999</v>
      </c>
      <c r="J10824" s="297">
        <v>13245.21</v>
      </c>
      <c r="K10824" s="297">
        <v>6854.75</v>
      </c>
      <c r="L10824" s="43">
        <v>7.1945769629137226</v>
      </c>
      <c r="M10824" s="43">
        <v>11.500478468899521</v>
      </c>
      <c r="N10824" s="43">
        <v>5.2429491467725393</v>
      </c>
      <c r="O10824" s="43">
        <v>4.1710528717727167</v>
      </c>
      <c r="P10824" s="298"/>
      <c r="Q10824" s="298"/>
      <c r="R10824" s="298">
        <v>14</v>
      </c>
    </row>
    <row r="10825" spans="1:18" ht="36">
      <c r="A10825" s="294">
        <v>160</v>
      </c>
      <c r="B10825" s="291" t="s">
        <v>19806</v>
      </c>
      <c r="C10825" s="295" t="s">
        <v>19807</v>
      </c>
      <c r="D10825" s="296">
        <v>9949.6</v>
      </c>
      <c r="E10825" s="296">
        <v>4002.35</v>
      </c>
      <c r="F10825" s="296">
        <v>4154.51</v>
      </c>
      <c r="G10825" s="296">
        <v>1792.74</v>
      </c>
      <c r="H10825" s="297">
        <v>75272.08</v>
      </c>
      <c r="I10825" s="297">
        <v>46028.94</v>
      </c>
      <c r="J10825" s="297">
        <v>21509.1</v>
      </c>
      <c r="K10825" s="297">
        <v>7734.04</v>
      </c>
      <c r="L10825" s="43">
        <v>7.5653372999919597</v>
      </c>
      <c r="M10825" s="43">
        <v>11.500478468899523</v>
      </c>
      <c r="N10825" s="43">
        <v>5.1772892591424737</v>
      </c>
      <c r="O10825" s="43">
        <v>4.3140890480493548</v>
      </c>
      <c r="P10825" s="298"/>
      <c r="Q10825" s="298"/>
      <c r="R10825" s="298">
        <v>14</v>
      </c>
    </row>
    <row r="10826" spans="1:18" ht="24">
      <c r="A10826" s="294">
        <v>161</v>
      </c>
      <c r="B10826" s="291" t="s">
        <v>19808</v>
      </c>
      <c r="C10826" s="295" t="s">
        <v>19809</v>
      </c>
      <c r="D10826" s="296">
        <v>1902.49</v>
      </c>
      <c r="E10826" s="296">
        <v>728.37</v>
      </c>
      <c r="F10826" s="296">
        <v>689.96</v>
      </c>
      <c r="G10826" s="296">
        <v>484.16</v>
      </c>
      <c r="H10826" s="297">
        <v>13948.4</v>
      </c>
      <c r="I10826" s="297">
        <v>8376.5499999999993</v>
      </c>
      <c r="J10826" s="297">
        <v>3646.73</v>
      </c>
      <c r="K10826" s="297">
        <v>1925.12</v>
      </c>
      <c r="L10826" s="43">
        <v>7.3316548313000327</v>
      </c>
      <c r="M10826" s="43">
        <v>11.500405013935223</v>
      </c>
      <c r="N10826" s="43">
        <v>5.2854223433242504</v>
      </c>
      <c r="O10826" s="43">
        <v>3.9762062128222073</v>
      </c>
      <c r="P10826" s="298"/>
      <c r="Q10826" s="298"/>
      <c r="R10826" s="298">
        <v>14</v>
      </c>
    </row>
    <row r="10827" spans="1:18" ht="24">
      <c r="A10827" s="294">
        <v>162</v>
      </c>
      <c r="B10827" s="291" t="s">
        <v>19810</v>
      </c>
      <c r="C10827" s="295" t="s">
        <v>19811</v>
      </c>
      <c r="D10827" s="296">
        <v>2213.69</v>
      </c>
      <c r="E10827" s="296">
        <v>788.98</v>
      </c>
      <c r="F10827" s="296">
        <v>939.34</v>
      </c>
      <c r="G10827" s="296">
        <v>485.37</v>
      </c>
      <c r="H10827" s="297">
        <v>15976.53</v>
      </c>
      <c r="I10827" s="297">
        <v>9073.59</v>
      </c>
      <c r="J10827" s="297">
        <v>4963.91</v>
      </c>
      <c r="K10827" s="297">
        <v>1939.03</v>
      </c>
      <c r="L10827" s="43">
        <v>7.2171487425972023</v>
      </c>
      <c r="M10827" s="43">
        <v>11.50040558696038</v>
      </c>
      <c r="N10827" s="43">
        <v>5.2844656886750272</v>
      </c>
      <c r="O10827" s="43">
        <v>3.9949523044275499</v>
      </c>
      <c r="P10827" s="298"/>
      <c r="Q10827" s="298"/>
      <c r="R10827" s="298">
        <v>14</v>
      </c>
    </row>
    <row r="10828" spans="1:18" ht="24">
      <c r="A10828" s="294">
        <v>163</v>
      </c>
      <c r="B10828" s="291" t="s">
        <v>19812</v>
      </c>
      <c r="C10828" s="295" t="s">
        <v>19813</v>
      </c>
      <c r="D10828" s="296">
        <v>7418.23</v>
      </c>
      <c r="E10828" s="296">
        <v>3323.91</v>
      </c>
      <c r="F10828" s="296">
        <v>1983.06</v>
      </c>
      <c r="G10828" s="296">
        <v>2111.2600000000002</v>
      </c>
      <c r="H10828" s="297">
        <v>57680.79</v>
      </c>
      <c r="I10828" s="297">
        <v>38226.480000000003</v>
      </c>
      <c r="J10828" s="297">
        <v>10357.89</v>
      </c>
      <c r="K10828" s="297">
        <v>9096.42</v>
      </c>
      <c r="L10828" s="43">
        <v>7.7755461882416697</v>
      </c>
      <c r="M10828" s="43">
        <v>11.500455788514131</v>
      </c>
      <c r="N10828" s="43">
        <v>5.2231853801700403</v>
      </c>
      <c r="O10828" s="43">
        <v>4.3085266618038514</v>
      </c>
      <c r="P10828" s="298"/>
      <c r="Q10828" s="298"/>
      <c r="R10828" s="298">
        <v>14</v>
      </c>
    </row>
    <row r="10829" spans="1:18" ht="24">
      <c r="A10829" s="294">
        <v>164</v>
      </c>
      <c r="B10829" s="291" t="s">
        <v>19814</v>
      </c>
      <c r="C10829" s="295" t="s">
        <v>19815</v>
      </c>
      <c r="D10829" s="296">
        <v>16779.759999999998</v>
      </c>
      <c r="E10829" s="296">
        <v>8271.3799999999992</v>
      </c>
      <c r="F10829" s="296">
        <v>5806.43</v>
      </c>
      <c r="G10829" s="296">
        <v>2701.95</v>
      </c>
      <c r="H10829" s="297">
        <v>137099.16</v>
      </c>
      <c r="I10829" s="297">
        <v>95124.64</v>
      </c>
      <c r="J10829" s="297">
        <v>29846.33</v>
      </c>
      <c r="K10829" s="297">
        <v>12128.19</v>
      </c>
      <c r="L10829" s="43">
        <v>8.1705078022570063</v>
      </c>
      <c r="M10829" s="43">
        <v>11.500455788514131</v>
      </c>
      <c r="N10829" s="43">
        <v>5.1402204108204179</v>
      </c>
      <c r="O10829" s="43">
        <v>4.4886803974907012</v>
      </c>
      <c r="P10829" s="298"/>
      <c r="Q10829" s="298"/>
      <c r="R10829" s="298">
        <v>14</v>
      </c>
    </row>
    <row r="10830" spans="1:18" ht="24">
      <c r="A10830" s="294">
        <v>165</v>
      </c>
      <c r="B10830" s="291" t="s">
        <v>19816</v>
      </c>
      <c r="C10830" s="295" t="s">
        <v>19817</v>
      </c>
      <c r="D10830" s="296">
        <v>21820.41</v>
      </c>
      <c r="E10830" s="296">
        <v>10224.040000000001</v>
      </c>
      <c r="F10830" s="296">
        <v>8250.65</v>
      </c>
      <c r="G10830" s="296">
        <v>3345.72</v>
      </c>
      <c r="H10830" s="297">
        <v>175144.73</v>
      </c>
      <c r="I10830" s="297">
        <v>117581.12</v>
      </c>
      <c r="J10830" s="297">
        <v>42335.81</v>
      </c>
      <c r="K10830" s="297">
        <v>15227.8</v>
      </c>
      <c r="L10830" s="43">
        <v>8.0266470703346098</v>
      </c>
      <c r="M10830" s="43">
        <v>11.500455788514127</v>
      </c>
      <c r="N10830" s="43">
        <v>5.1312090562561741</v>
      </c>
      <c r="O10830" s="43">
        <v>4.551426897648339</v>
      </c>
      <c r="P10830" s="298"/>
      <c r="Q10830" s="298"/>
      <c r="R10830" s="298">
        <v>14</v>
      </c>
    </row>
    <row r="10831" spans="1:18" ht="12.75" customHeight="1">
      <c r="A10831" s="628" t="s">
        <v>19513</v>
      </c>
      <c r="B10831" s="629"/>
      <c r="C10831" s="629"/>
      <c r="D10831" s="629"/>
      <c r="E10831" s="629"/>
      <c r="F10831" s="629"/>
      <c r="G10831" s="629"/>
      <c r="H10831" s="629"/>
      <c r="I10831" s="629"/>
      <c r="J10831" s="629"/>
      <c r="K10831" s="629"/>
      <c r="L10831" s="629"/>
      <c r="M10831" s="629"/>
      <c r="N10831" s="629"/>
      <c r="O10831" s="629"/>
      <c r="P10831" s="629"/>
      <c r="Q10831" s="629"/>
      <c r="R10831" s="629"/>
    </row>
    <row r="10832" spans="1:18" ht="24">
      <c r="A10832" s="294">
        <v>166</v>
      </c>
      <c r="B10832" s="291" t="s">
        <v>19818</v>
      </c>
      <c r="C10832" s="295" t="s">
        <v>19819</v>
      </c>
      <c r="D10832" s="296">
        <v>3029.82</v>
      </c>
      <c r="E10832" s="296">
        <v>976.27</v>
      </c>
      <c r="F10832" s="296">
        <v>1365.52</v>
      </c>
      <c r="G10832" s="296">
        <v>688.03</v>
      </c>
      <c r="H10832" s="297">
        <v>21069.86</v>
      </c>
      <c r="I10832" s="297">
        <v>11227.13</v>
      </c>
      <c r="J10832" s="297">
        <v>7102.07</v>
      </c>
      <c r="K10832" s="297">
        <v>2740.66</v>
      </c>
      <c r="L10832" s="43">
        <v>6.9541622934695786</v>
      </c>
      <c r="M10832" s="43">
        <v>11.500025607670009</v>
      </c>
      <c r="N10832" s="43">
        <v>5.2010003515144412</v>
      </c>
      <c r="O10832" s="43">
        <v>3.9833437495458046</v>
      </c>
      <c r="P10832" s="298"/>
      <c r="Q10832" s="298"/>
      <c r="R10832" s="298">
        <v>15</v>
      </c>
    </row>
    <row r="10833" spans="1:18" ht="24">
      <c r="A10833" s="294">
        <v>167</v>
      </c>
      <c r="B10833" s="291" t="s">
        <v>19820</v>
      </c>
      <c r="C10833" s="295" t="s">
        <v>19821</v>
      </c>
      <c r="D10833" s="296">
        <v>5372.62</v>
      </c>
      <c r="E10833" s="296">
        <v>1991.76</v>
      </c>
      <c r="F10833" s="296">
        <v>1836.5</v>
      </c>
      <c r="G10833" s="296">
        <v>1544.36</v>
      </c>
      <c r="H10833" s="297">
        <v>38839.29</v>
      </c>
      <c r="I10833" s="297">
        <v>22905.24</v>
      </c>
      <c r="J10833" s="297">
        <v>9428.01</v>
      </c>
      <c r="K10833" s="297">
        <v>6506.04</v>
      </c>
      <c r="L10833" s="43">
        <v>7.229115403657806</v>
      </c>
      <c r="M10833" s="43">
        <v>11.5</v>
      </c>
      <c r="N10833" s="43">
        <v>5.1336836373536618</v>
      </c>
      <c r="O10833" s="43">
        <v>4.2127742236266155</v>
      </c>
      <c r="P10833" s="298"/>
      <c r="Q10833" s="298"/>
      <c r="R10833" s="298">
        <v>15</v>
      </c>
    </row>
    <row r="10834" spans="1:18" ht="24">
      <c r="A10834" s="294">
        <v>168</v>
      </c>
      <c r="B10834" s="291" t="s">
        <v>19822</v>
      </c>
      <c r="C10834" s="295" t="s">
        <v>19823</v>
      </c>
      <c r="D10834" s="296">
        <v>6935.67</v>
      </c>
      <c r="E10834" s="296">
        <v>2177.52</v>
      </c>
      <c r="F10834" s="296">
        <v>2613.5</v>
      </c>
      <c r="G10834" s="296">
        <v>2144.65</v>
      </c>
      <c r="H10834" s="297">
        <v>47689.99</v>
      </c>
      <c r="I10834" s="297">
        <v>25041.48</v>
      </c>
      <c r="J10834" s="297">
        <v>13459.34</v>
      </c>
      <c r="K10834" s="297">
        <v>9189.17</v>
      </c>
      <c r="L10834" s="43">
        <v>6.8760465823777652</v>
      </c>
      <c r="M10834" s="43">
        <v>11.5</v>
      </c>
      <c r="N10834" s="43">
        <v>5.1499292136981056</v>
      </c>
      <c r="O10834" s="43">
        <v>4.2846944722915161</v>
      </c>
      <c r="P10834" s="298"/>
      <c r="Q10834" s="298"/>
      <c r="R10834" s="298">
        <v>15</v>
      </c>
    </row>
    <row r="10835" spans="1:18" ht="24">
      <c r="A10835" s="294">
        <v>169</v>
      </c>
      <c r="B10835" s="291" t="s">
        <v>19824</v>
      </c>
      <c r="C10835" s="295" t="s">
        <v>19825</v>
      </c>
      <c r="D10835" s="296">
        <v>7263.88</v>
      </c>
      <c r="E10835" s="296">
        <v>2569.08</v>
      </c>
      <c r="F10835" s="296">
        <v>2099.09</v>
      </c>
      <c r="G10835" s="296">
        <v>2595.71</v>
      </c>
      <c r="H10835" s="297">
        <v>51697.7</v>
      </c>
      <c r="I10835" s="297">
        <v>29544.42</v>
      </c>
      <c r="J10835" s="297">
        <v>10930.04</v>
      </c>
      <c r="K10835" s="297">
        <v>11223.24</v>
      </c>
      <c r="L10835" s="43">
        <v>7.1170916920433704</v>
      </c>
      <c r="M10835" s="43">
        <v>11.5</v>
      </c>
      <c r="N10835" s="43">
        <v>5.2070373352262171</v>
      </c>
      <c r="O10835" s="43">
        <v>4.3237649814501617</v>
      </c>
      <c r="P10835" s="298"/>
      <c r="Q10835" s="298"/>
      <c r="R10835" s="298">
        <v>15</v>
      </c>
    </row>
    <row r="10836" spans="1:18" ht="24">
      <c r="A10836" s="294">
        <v>170</v>
      </c>
      <c r="B10836" s="291" t="s">
        <v>19826</v>
      </c>
      <c r="C10836" s="295" t="s">
        <v>19827</v>
      </c>
      <c r="D10836" s="296">
        <v>10687.6</v>
      </c>
      <c r="E10836" s="296">
        <v>3869.88</v>
      </c>
      <c r="F10836" s="296">
        <v>3158.65</v>
      </c>
      <c r="G10836" s="296">
        <v>3659.07</v>
      </c>
      <c r="H10836" s="297">
        <v>76765.72</v>
      </c>
      <c r="I10836" s="297">
        <v>44503.62</v>
      </c>
      <c r="J10836" s="297">
        <v>16351.51</v>
      </c>
      <c r="K10836" s="297">
        <v>15910.59</v>
      </c>
      <c r="L10836" s="43">
        <v>7.1826902204423817</v>
      </c>
      <c r="M10836" s="43">
        <v>11.5</v>
      </c>
      <c r="N10836" s="43">
        <v>5.1767400630015983</v>
      </c>
      <c r="O10836" s="43">
        <v>4.348260623601079</v>
      </c>
      <c r="P10836" s="298"/>
      <c r="Q10836" s="298"/>
      <c r="R10836" s="298">
        <v>15</v>
      </c>
    </row>
    <row r="10837" spans="1:18" ht="24">
      <c r="A10837" s="294">
        <v>171</v>
      </c>
      <c r="B10837" s="291" t="s">
        <v>19828</v>
      </c>
      <c r="C10837" s="295" t="s">
        <v>19829</v>
      </c>
      <c r="D10837" s="296">
        <v>19579.41</v>
      </c>
      <c r="E10837" s="296">
        <v>6298.04</v>
      </c>
      <c r="F10837" s="296">
        <v>7139.5</v>
      </c>
      <c r="G10837" s="296">
        <v>6141.87</v>
      </c>
      <c r="H10837" s="297">
        <v>136513</v>
      </c>
      <c r="I10837" s="297">
        <v>72427.460000000006</v>
      </c>
      <c r="J10837" s="297">
        <v>36764.129999999997</v>
      </c>
      <c r="K10837" s="297">
        <v>27321.41</v>
      </c>
      <c r="L10837" s="43">
        <v>6.972273423969364</v>
      </c>
      <c r="M10837" s="43">
        <v>11.500000000000002</v>
      </c>
      <c r="N10837" s="43">
        <v>5.1493984172561102</v>
      </c>
      <c r="O10837" s="43">
        <v>4.4483862406726287</v>
      </c>
      <c r="P10837" s="298"/>
      <c r="Q10837" s="298"/>
      <c r="R10837" s="298">
        <v>15</v>
      </c>
    </row>
    <row r="10838" spans="1:18" ht="12.75" customHeight="1">
      <c r="A10838" s="628" t="s">
        <v>19830</v>
      </c>
      <c r="B10838" s="629"/>
      <c r="C10838" s="629"/>
      <c r="D10838" s="629"/>
      <c r="E10838" s="629"/>
      <c r="F10838" s="629"/>
      <c r="G10838" s="629"/>
      <c r="H10838" s="629"/>
      <c r="I10838" s="629"/>
      <c r="J10838" s="629"/>
      <c r="K10838" s="629"/>
      <c r="L10838" s="629"/>
      <c r="M10838" s="629"/>
      <c r="N10838" s="629"/>
      <c r="O10838" s="629"/>
      <c r="P10838" s="629"/>
      <c r="Q10838" s="629"/>
      <c r="R10838" s="629"/>
    </row>
    <row r="10839" spans="1:18" ht="12.75" customHeight="1">
      <c r="A10839" s="628" t="s">
        <v>19831</v>
      </c>
      <c r="B10839" s="629"/>
      <c r="C10839" s="629"/>
      <c r="D10839" s="629"/>
      <c r="E10839" s="629"/>
      <c r="F10839" s="629"/>
      <c r="G10839" s="629"/>
      <c r="H10839" s="629"/>
      <c r="I10839" s="629"/>
      <c r="J10839" s="629"/>
      <c r="K10839" s="629"/>
      <c r="L10839" s="629"/>
      <c r="M10839" s="629"/>
      <c r="N10839" s="629"/>
      <c r="O10839" s="629"/>
      <c r="P10839" s="629"/>
      <c r="Q10839" s="629"/>
      <c r="R10839" s="629"/>
    </row>
    <row r="10840" spans="1:18" ht="24">
      <c r="A10840" s="294">
        <v>172</v>
      </c>
      <c r="B10840" s="291" t="s">
        <v>19832</v>
      </c>
      <c r="C10840" s="295" t="s">
        <v>19833</v>
      </c>
      <c r="D10840" s="296">
        <v>4707.05</v>
      </c>
      <c r="E10840" s="296">
        <v>1810.28</v>
      </c>
      <c r="F10840" s="296">
        <v>2856.4</v>
      </c>
      <c r="G10840" s="296">
        <v>40.369999999999997</v>
      </c>
      <c r="H10840" s="297">
        <v>36669.43</v>
      </c>
      <c r="I10840" s="297">
        <v>20818.22</v>
      </c>
      <c r="J10840" s="297">
        <v>15413.23</v>
      </c>
      <c r="K10840" s="297">
        <v>437.98</v>
      </c>
      <c r="L10840" s="43">
        <v>7.7903209016262833</v>
      </c>
      <c r="M10840" s="43">
        <v>11.5</v>
      </c>
      <c r="N10840" s="43">
        <v>5.3960334687018623</v>
      </c>
      <c r="O10840" s="43">
        <v>10.849145405003716</v>
      </c>
      <c r="P10840" s="298"/>
      <c r="Q10840" s="298"/>
      <c r="R10840" s="298">
        <v>1</v>
      </c>
    </row>
    <row r="10841" spans="1:18" ht="24">
      <c r="A10841" s="294">
        <v>173</v>
      </c>
      <c r="B10841" s="291" t="s">
        <v>19834</v>
      </c>
      <c r="C10841" s="295" t="s">
        <v>19835</v>
      </c>
      <c r="D10841" s="296">
        <v>4275.83</v>
      </c>
      <c r="E10841" s="296">
        <v>1387.52</v>
      </c>
      <c r="F10841" s="296">
        <v>2856.4</v>
      </c>
      <c r="G10841" s="296">
        <v>31.91</v>
      </c>
      <c r="H10841" s="297">
        <v>31710.400000000001</v>
      </c>
      <c r="I10841" s="297">
        <v>15956.48</v>
      </c>
      <c r="J10841" s="297">
        <v>15413.23</v>
      </c>
      <c r="K10841" s="297">
        <v>340.69</v>
      </c>
      <c r="L10841" s="43">
        <v>7.4161975569655487</v>
      </c>
      <c r="M10841" s="43">
        <v>11.5</v>
      </c>
      <c r="N10841" s="43">
        <v>5.3960334687018623</v>
      </c>
      <c r="O10841" s="43">
        <v>10.676590410529615</v>
      </c>
      <c r="P10841" s="298"/>
      <c r="Q10841" s="298"/>
      <c r="R10841" s="298">
        <v>1</v>
      </c>
    </row>
    <row r="10842" spans="1:18" ht="24">
      <c r="A10842" s="294">
        <v>174</v>
      </c>
      <c r="B10842" s="291" t="s">
        <v>19836</v>
      </c>
      <c r="C10842" s="295" t="s">
        <v>19837</v>
      </c>
      <c r="D10842" s="296">
        <v>3888.25</v>
      </c>
      <c r="E10842" s="296">
        <v>1035.22</v>
      </c>
      <c r="F10842" s="296">
        <v>2828.17</v>
      </c>
      <c r="G10842" s="296">
        <v>24.86</v>
      </c>
      <c r="H10842" s="297">
        <v>27424.61</v>
      </c>
      <c r="I10842" s="297">
        <v>11905.03</v>
      </c>
      <c r="J10842" s="297">
        <v>15259.97</v>
      </c>
      <c r="K10842" s="297">
        <v>259.61</v>
      </c>
      <c r="L10842" s="43">
        <v>7.0532013116440559</v>
      </c>
      <c r="M10842" s="43">
        <v>11.5</v>
      </c>
      <c r="N10842" s="43">
        <v>5.3957046429316478</v>
      </c>
      <c r="O10842" s="43">
        <v>10.442880128720837</v>
      </c>
      <c r="P10842" s="298"/>
      <c r="Q10842" s="298"/>
      <c r="R10842" s="298">
        <v>1</v>
      </c>
    </row>
    <row r="10843" spans="1:18" ht="24">
      <c r="A10843" s="294">
        <v>175</v>
      </c>
      <c r="B10843" s="291" t="s">
        <v>19838</v>
      </c>
      <c r="C10843" s="295" t="s">
        <v>19839</v>
      </c>
      <c r="D10843" s="296">
        <v>3627.83</v>
      </c>
      <c r="E10843" s="296">
        <v>807.58</v>
      </c>
      <c r="F10843" s="296">
        <v>2799.94</v>
      </c>
      <c r="G10843" s="296">
        <v>20.309999999999999</v>
      </c>
      <c r="H10843" s="297">
        <v>24601.16</v>
      </c>
      <c r="I10843" s="297">
        <v>9287.17</v>
      </c>
      <c r="J10843" s="297">
        <v>15106.7</v>
      </c>
      <c r="K10843" s="297">
        <v>207.29</v>
      </c>
      <c r="L10843" s="43">
        <v>6.7812328582100045</v>
      </c>
      <c r="M10843" s="43">
        <v>11.5</v>
      </c>
      <c r="N10843" s="43">
        <v>5.3953656149774636</v>
      </c>
      <c r="O10843" s="43">
        <v>10.206302314130971</v>
      </c>
      <c r="P10843" s="298"/>
      <c r="Q10843" s="298"/>
      <c r="R10843" s="298">
        <v>1</v>
      </c>
    </row>
    <row r="10844" spans="1:18" ht="24">
      <c r="A10844" s="294">
        <v>176</v>
      </c>
      <c r="B10844" s="291" t="s">
        <v>19840</v>
      </c>
      <c r="C10844" s="295" t="s">
        <v>19841</v>
      </c>
      <c r="D10844" s="296">
        <v>3474.14</v>
      </c>
      <c r="E10844" s="296">
        <v>656.9</v>
      </c>
      <c r="F10844" s="296">
        <v>2799.94</v>
      </c>
      <c r="G10844" s="296">
        <v>17.3</v>
      </c>
      <c r="H10844" s="297">
        <v>22833.77</v>
      </c>
      <c r="I10844" s="297">
        <v>7554.4</v>
      </c>
      <c r="J10844" s="297">
        <v>15106.7</v>
      </c>
      <c r="K10844" s="297">
        <v>172.67</v>
      </c>
      <c r="L10844" s="43">
        <v>6.5724956392085527</v>
      </c>
      <c r="M10844" s="43">
        <v>11.50007611508601</v>
      </c>
      <c r="N10844" s="43">
        <v>5.3953656149774636</v>
      </c>
      <c r="O10844" s="43">
        <v>9.9809248554913275</v>
      </c>
      <c r="P10844" s="298"/>
      <c r="Q10844" s="298"/>
      <c r="R10844" s="298">
        <v>1</v>
      </c>
    </row>
    <row r="10845" spans="1:18" ht="24">
      <c r="A10845" s="294">
        <v>177</v>
      </c>
      <c r="B10845" s="291" t="s">
        <v>19842</v>
      </c>
      <c r="C10845" s="295" t="s">
        <v>19843</v>
      </c>
      <c r="D10845" s="296">
        <v>4561.92</v>
      </c>
      <c r="E10845" s="296">
        <v>1615.16</v>
      </c>
      <c r="F10845" s="296">
        <v>2910.3</v>
      </c>
      <c r="G10845" s="296">
        <v>36.46</v>
      </c>
      <c r="H10845" s="297">
        <v>34673.18</v>
      </c>
      <c r="I10845" s="297">
        <v>18574.34</v>
      </c>
      <c r="J10845" s="297">
        <v>15705.83</v>
      </c>
      <c r="K10845" s="297">
        <v>393.01</v>
      </c>
      <c r="L10845" s="43">
        <v>7.6005673049943887</v>
      </c>
      <c r="M10845" s="43">
        <v>11.5</v>
      </c>
      <c r="N10845" s="43">
        <v>5.3966360856269109</v>
      </c>
      <c r="O10845" s="43">
        <v>10.77921009325288</v>
      </c>
      <c r="P10845" s="298"/>
      <c r="Q10845" s="298"/>
      <c r="R10845" s="298">
        <v>1</v>
      </c>
    </row>
    <row r="10846" spans="1:18" ht="24">
      <c r="A10846" s="294">
        <v>178</v>
      </c>
      <c r="B10846" s="291" t="s">
        <v>19844</v>
      </c>
      <c r="C10846" s="295" t="s">
        <v>19845</v>
      </c>
      <c r="D10846" s="296">
        <v>3877.79</v>
      </c>
      <c r="E10846" s="296">
        <v>997.28</v>
      </c>
      <c r="F10846" s="296">
        <v>2856.4</v>
      </c>
      <c r="G10846" s="296">
        <v>24.11</v>
      </c>
      <c r="H10846" s="297">
        <v>27132.94</v>
      </c>
      <c r="I10846" s="297">
        <v>11468.72</v>
      </c>
      <c r="J10846" s="297">
        <v>15413.23</v>
      </c>
      <c r="K10846" s="297">
        <v>250.99</v>
      </c>
      <c r="L10846" s="43">
        <v>6.9970111842054363</v>
      </c>
      <c r="M10846" s="43">
        <v>11.5</v>
      </c>
      <c r="N10846" s="43">
        <v>5.3960334687018623</v>
      </c>
      <c r="O10846" s="43">
        <v>10.410203235172128</v>
      </c>
      <c r="P10846" s="298"/>
      <c r="Q10846" s="298"/>
      <c r="R10846" s="298">
        <v>1</v>
      </c>
    </row>
    <row r="10847" spans="1:18" ht="24">
      <c r="A10847" s="294">
        <v>179</v>
      </c>
      <c r="B10847" s="291" t="s">
        <v>19846</v>
      </c>
      <c r="C10847" s="295" t="s">
        <v>19847</v>
      </c>
      <c r="D10847" s="296">
        <v>6983.06</v>
      </c>
      <c r="E10847" s="296">
        <v>1875.32</v>
      </c>
      <c r="F10847" s="296">
        <v>5066.07</v>
      </c>
      <c r="G10847" s="296">
        <v>41.67</v>
      </c>
      <c r="H10847" s="297">
        <v>49429</v>
      </c>
      <c r="I10847" s="297">
        <v>21566.18</v>
      </c>
      <c r="J10847" s="297">
        <v>27409.89</v>
      </c>
      <c r="K10847" s="297">
        <v>452.93</v>
      </c>
      <c r="L10847" s="43">
        <v>7.0784154797467007</v>
      </c>
      <c r="M10847" s="43">
        <v>11.5</v>
      </c>
      <c r="N10847" s="43">
        <v>5.4104838661921377</v>
      </c>
      <c r="O10847" s="43">
        <v>10.869450443964482</v>
      </c>
      <c r="P10847" s="298"/>
      <c r="Q10847" s="298"/>
      <c r="R10847" s="298">
        <v>1</v>
      </c>
    </row>
    <row r="10848" spans="1:18" ht="24">
      <c r="A10848" s="294">
        <v>180</v>
      </c>
      <c r="B10848" s="291" t="s">
        <v>19848</v>
      </c>
      <c r="C10848" s="295" t="s">
        <v>19849</v>
      </c>
      <c r="D10848" s="296">
        <v>7172.43</v>
      </c>
      <c r="E10848" s="296">
        <v>2254.7199999999998</v>
      </c>
      <c r="F10848" s="296">
        <v>4868.46</v>
      </c>
      <c r="G10848" s="296">
        <v>49.25</v>
      </c>
      <c r="H10848" s="297">
        <v>52806.400000000001</v>
      </c>
      <c r="I10848" s="297">
        <v>25929.279999999999</v>
      </c>
      <c r="J10848" s="297">
        <v>26337.02</v>
      </c>
      <c r="K10848" s="297">
        <v>540.1</v>
      </c>
      <c r="L10848" s="43">
        <v>7.362414133006526</v>
      </c>
      <c r="M10848" s="43">
        <v>11.5</v>
      </c>
      <c r="N10848" s="43">
        <v>5.4097229924863308</v>
      </c>
      <c r="O10848" s="43">
        <v>10.966497461928935</v>
      </c>
      <c r="P10848" s="298"/>
      <c r="Q10848" s="298"/>
      <c r="R10848" s="298">
        <v>1</v>
      </c>
    </row>
    <row r="10849" spans="1:18" ht="12.75" customHeight="1">
      <c r="A10849" s="628" t="s">
        <v>19850</v>
      </c>
      <c r="B10849" s="629"/>
      <c r="C10849" s="629"/>
      <c r="D10849" s="629"/>
      <c r="E10849" s="629"/>
      <c r="F10849" s="629"/>
      <c r="G10849" s="629"/>
      <c r="H10849" s="629"/>
      <c r="I10849" s="629"/>
      <c r="J10849" s="629"/>
      <c r="K10849" s="629"/>
      <c r="L10849" s="629"/>
      <c r="M10849" s="629"/>
      <c r="N10849" s="629"/>
      <c r="O10849" s="629"/>
      <c r="P10849" s="629"/>
      <c r="Q10849" s="629"/>
      <c r="R10849" s="629"/>
    </row>
    <row r="10850" spans="1:18" ht="24">
      <c r="A10850" s="294">
        <v>181</v>
      </c>
      <c r="B10850" s="291" t="s">
        <v>19851</v>
      </c>
      <c r="C10850" s="295" t="s">
        <v>19852</v>
      </c>
      <c r="D10850" s="296">
        <v>10692.52</v>
      </c>
      <c r="E10850" s="296">
        <v>937.48</v>
      </c>
      <c r="F10850" s="296">
        <v>9731.84</v>
      </c>
      <c r="G10850" s="296">
        <v>23.2</v>
      </c>
      <c r="H10850" s="297">
        <v>63607.31</v>
      </c>
      <c r="I10850" s="297">
        <v>10781.48</v>
      </c>
      <c r="J10850" s="297">
        <v>52587.13</v>
      </c>
      <c r="K10850" s="297">
        <v>238.7</v>
      </c>
      <c r="L10850" s="43">
        <v>5.9487669885115944</v>
      </c>
      <c r="M10850" s="43">
        <v>11.500490677134446</v>
      </c>
      <c r="N10850" s="43">
        <v>5.4036163767591736</v>
      </c>
      <c r="O10850" s="43">
        <v>10.288793103448276</v>
      </c>
      <c r="P10850" s="298"/>
      <c r="Q10850" s="298"/>
      <c r="R10850" s="298">
        <v>2</v>
      </c>
    </row>
    <row r="10851" spans="1:18" ht="24">
      <c r="A10851" s="294">
        <v>182</v>
      </c>
      <c r="B10851" s="291" t="s">
        <v>19853</v>
      </c>
      <c r="C10851" s="295" t="s">
        <v>19854</v>
      </c>
      <c r="D10851" s="296">
        <v>10512.2</v>
      </c>
      <c r="E10851" s="296">
        <v>801.95</v>
      </c>
      <c r="F10851" s="296">
        <v>9689.76</v>
      </c>
      <c r="G10851" s="296">
        <v>20.49</v>
      </c>
      <c r="H10851" s="297">
        <v>61670.07</v>
      </c>
      <c r="I10851" s="297">
        <v>9222.85</v>
      </c>
      <c r="J10851" s="297">
        <v>52239.69</v>
      </c>
      <c r="K10851" s="297">
        <v>207.53</v>
      </c>
      <c r="L10851" s="43">
        <v>5.8665236582256801</v>
      </c>
      <c r="M10851" s="43">
        <v>11.500529958226823</v>
      </c>
      <c r="N10851" s="43">
        <v>5.3912264080844112</v>
      </c>
      <c r="O10851" s="43">
        <v>10.128355295265985</v>
      </c>
      <c r="P10851" s="298"/>
      <c r="Q10851" s="298"/>
      <c r="R10851" s="298">
        <v>2</v>
      </c>
    </row>
    <row r="10852" spans="1:18" ht="24">
      <c r="A10852" s="294">
        <v>183</v>
      </c>
      <c r="B10852" s="291" t="s">
        <v>19855</v>
      </c>
      <c r="C10852" s="295" t="s">
        <v>19856</v>
      </c>
      <c r="D10852" s="296">
        <v>2313.21</v>
      </c>
      <c r="E10852" s="296">
        <v>282.26</v>
      </c>
      <c r="F10852" s="296">
        <v>2021.14</v>
      </c>
      <c r="G10852" s="296">
        <v>9.81</v>
      </c>
      <c r="H10852" s="297">
        <v>14245.63</v>
      </c>
      <c r="I10852" s="297">
        <v>3246.16</v>
      </c>
      <c r="J10852" s="297">
        <v>10912.93</v>
      </c>
      <c r="K10852" s="297">
        <v>86.54</v>
      </c>
      <c r="L10852" s="43">
        <v>6.1583816428253373</v>
      </c>
      <c r="M10852" s="43">
        <v>11.500602281584355</v>
      </c>
      <c r="N10852" s="43">
        <v>5.3993934116389761</v>
      </c>
      <c r="O10852" s="43">
        <v>8.8216106014271158</v>
      </c>
      <c r="P10852" s="298"/>
      <c r="Q10852" s="298"/>
      <c r="R10852" s="298">
        <v>2</v>
      </c>
    </row>
    <row r="10853" spans="1:18" ht="24">
      <c r="A10853" s="294">
        <v>184</v>
      </c>
      <c r="B10853" s="291" t="s">
        <v>19857</v>
      </c>
      <c r="C10853" s="295" t="s">
        <v>19858</v>
      </c>
      <c r="D10853" s="296">
        <v>571.32000000000005</v>
      </c>
      <c r="E10853" s="296">
        <v>126.36</v>
      </c>
      <c r="F10853" s="296">
        <v>442.43</v>
      </c>
      <c r="G10853" s="296">
        <v>2.5299999999999998</v>
      </c>
      <c r="H10853" s="297">
        <v>3877.6</v>
      </c>
      <c r="I10853" s="297">
        <v>1453.16</v>
      </c>
      <c r="J10853" s="297">
        <v>2395.34</v>
      </c>
      <c r="K10853" s="297">
        <v>29.1</v>
      </c>
      <c r="L10853" s="43">
        <v>6.7870895470139319</v>
      </c>
      <c r="M10853" s="43">
        <v>11.500158277936057</v>
      </c>
      <c r="N10853" s="43">
        <v>5.4140542006645118</v>
      </c>
      <c r="O10853" s="43">
        <v>11.501976284584982</v>
      </c>
      <c r="P10853" s="298"/>
      <c r="Q10853" s="298"/>
      <c r="R10853" s="298">
        <v>2</v>
      </c>
    </row>
    <row r="10854" spans="1:18" ht="24">
      <c r="A10854" s="294">
        <v>185</v>
      </c>
      <c r="B10854" s="291" t="s">
        <v>19859</v>
      </c>
      <c r="C10854" s="295" t="s">
        <v>19860</v>
      </c>
      <c r="D10854" s="296">
        <v>221.62</v>
      </c>
      <c r="E10854" s="296">
        <v>11.62</v>
      </c>
      <c r="F10854" s="296">
        <v>209.77</v>
      </c>
      <c r="G10854" s="296">
        <v>0.23</v>
      </c>
      <c r="H10854" s="297">
        <v>1271.33</v>
      </c>
      <c r="I10854" s="297">
        <v>133.6</v>
      </c>
      <c r="J10854" s="297">
        <v>1135.08</v>
      </c>
      <c r="K10854" s="297">
        <v>2.65</v>
      </c>
      <c r="L10854" s="43">
        <v>5.736530999007309</v>
      </c>
      <c r="M10854" s="43">
        <v>11.497418244406196</v>
      </c>
      <c r="N10854" s="43">
        <v>5.4110692663393234</v>
      </c>
      <c r="O10854" s="43">
        <v>11.500158277936057</v>
      </c>
      <c r="P10854" s="298"/>
      <c r="Q10854" s="298"/>
      <c r="R10854" s="298">
        <v>2</v>
      </c>
    </row>
    <row r="10855" spans="1:18" ht="12.75" customHeight="1">
      <c r="A10855" s="628" t="s">
        <v>19861</v>
      </c>
      <c r="B10855" s="629"/>
      <c r="C10855" s="629"/>
      <c r="D10855" s="629"/>
      <c r="E10855" s="629"/>
      <c r="F10855" s="629"/>
      <c r="G10855" s="629"/>
      <c r="H10855" s="629"/>
      <c r="I10855" s="629"/>
      <c r="J10855" s="629"/>
      <c r="K10855" s="629"/>
      <c r="L10855" s="629"/>
      <c r="M10855" s="629"/>
      <c r="N10855" s="629"/>
      <c r="O10855" s="629"/>
      <c r="P10855" s="629"/>
      <c r="Q10855" s="629"/>
      <c r="R10855" s="629"/>
    </row>
    <row r="10856" spans="1:18" ht="24">
      <c r="A10856" s="294">
        <v>186</v>
      </c>
      <c r="B10856" s="291" t="s">
        <v>19862</v>
      </c>
      <c r="C10856" s="295" t="s">
        <v>19863</v>
      </c>
      <c r="D10856" s="296">
        <v>975.51</v>
      </c>
      <c r="E10856" s="296">
        <v>248.18</v>
      </c>
      <c r="F10856" s="296">
        <v>722.37</v>
      </c>
      <c r="G10856" s="296">
        <v>4.96</v>
      </c>
      <c r="H10856" s="297">
        <v>6740.94</v>
      </c>
      <c r="I10856" s="297">
        <v>2854.22</v>
      </c>
      <c r="J10856" s="297">
        <v>3829.68</v>
      </c>
      <c r="K10856" s="297">
        <v>57.04</v>
      </c>
      <c r="L10856" s="43">
        <v>6.9101700648891349</v>
      </c>
      <c r="M10856" s="43">
        <v>11.500604400032234</v>
      </c>
      <c r="N10856" s="43">
        <v>5.3015490676523109</v>
      </c>
      <c r="O10856" s="43">
        <v>11.5</v>
      </c>
      <c r="P10856" s="298"/>
      <c r="Q10856" s="298"/>
      <c r="R10856" s="298">
        <v>3</v>
      </c>
    </row>
    <row r="10857" spans="1:18" ht="24">
      <c r="A10857" s="294">
        <v>187</v>
      </c>
      <c r="B10857" s="291" t="s">
        <v>19864</v>
      </c>
      <c r="C10857" s="295" t="s">
        <v>19865</v>
      </c>
      <c r="D10857" s="296">
        <v>963.77</v>
      </c>
      <c r="E10857" s="296">
        <v>172.35</v>
      </c>
      <c r="F10857" s="296">
        <v>780.65</v>
      </c>
      <c r="G10857" s="296">
        <v>10.77</v>
      </c>
      <c r="H10857" s="297">
        <v>6269.6</v>
      </c>
      <c r="I10857" s="297">
        <v>1982.1</v>
      </c>
      <c r="J10857" s="297">
        <v>4208.8100000000004</v>
      </c>
      <c r="K10857" s="297">
        <v>78.69</v>
      </c>
      <c r="L10857" s="43">
        <v>6.5052865310188119</v>
      </c>
      <c r="M10857" s="43">
        <v>11.500435161009573</v>
      </c>
      <c r="N10857" s="43">
        <v>5.3914174085697821</v>
      </c>
      <c r="O10857" s="43">
        <v>7.3064066852367686</v>
      </c>
      <c r="P10857" s="298"/>
      <c r="Q10857" s="298"/>
      <c r="R10857" s="298">
        <v>3</v>
      </c>
    </row>
    <row r="10858" spans="1:18" ht="24">
      <c r="A10858" s="294">
        <v>188</v>
      </c>
      <c r="B10858" s="291" t="s">
        <v>19866</v>
      </c>
      <c r="C10858" s="295" t="s">
        <v>19867</v>
      </c>
      <c r="D10858" s="296">
        <v>190.58</v>
      </c>
      <c r="E10858" s="296">
        <v>39.409999999999997</v>
      </c>
      <c r="F10858" s="296">
        <v>148.30000000000001</v>
      </c>
      <c r="G10858" s="296">
        <v>2.87</v>
      </c>
      <c r="H10858" s="297">
        <v>1284.6199999999999</v>
      </c>
      <c r="I10858" s="297">
        <v>453.24</v>
      </c>
      <c r="J10858" s="297">
        <v>811.51</v>
      </c>
      <c r="K10858" s="297">
        <v>19.87</v>
      </c>
      <c r="L10858" s="43">
        <v>6.7405813831461847</v>
      </c>
      <c r="M10858" s="43">
        <v>11.500634356762244</v>
      </c>
      <c r="N10858" s="43">
        <v>5.4720836142953466</v>
      </c>
      <c r="O10858" s="43">
        <v>6.9233449477351918</v>
      </c>
      <c r="P10858" s="298"/>
      <c r="Q10858" s="298"/>
      <c r="R10858" s="298">
        <v>3</v>
      </c>
    </row>
    <row r="10859" spans="1:18" ht="24">
      <c r="A10859" s="294">
        <v>189</v>
      </c>
      <c r="B10859" s="291" t="s">
        <v>19868</v>
      </c>
      <c r="C10859" s="295" t="s">
        <v>19869</v>
      </c>
      <c r="D10859" s="296">
        <v>360.89</v>
      </c>
      <c r="E10859" s="296">
        <v>108.93</v>
      </c>
      <c r="F10859" s="296">
        <v>249.78</v>
      </c>
      <c r="G10859" s="296">
        <v>2.1800000000000002</v>
      </c>
      <c r="H10859" s="297">
        <v>2671.82</v>
      </c>
      <c r="I10859" s="297">
        <v>1252.69</v>
      </c>
      <c r="J10859" s="297">
        <v>1394.06</v>
      </c>
      <c r="K10859" s="297">
        <v>25.07</v>
      </c>
      <c r="L10859" s="43">
        <v>7.4034193244478939</v>
      </c>
      <c r="M10859" s="43">
        <v>11.499954098962636</v>
      </c>
      <c r="N10859" s="43">
        <v>5.5811514132436546</v>
      </c>
      <c r="O10859" s="43">
        <v>11.5</v>
      </c>
      <c r="P10859" s="298"/>
      <c r="Q10859" s="298"/>
      <c r="R10859" s="298">
        <v>3</v>
      </c>
    </row>
    <row r="10860" spans="1:18" ht="24">
      <c r="A10860" s="294">
        <v>190</v>
      </c>
      <c r="B10860" s="291" t="s">
        <v>19870</v>
      </c>
      <c r="C10860" s="295" t="s">
        <v>19871</v>
      </c>
      <c r="D10860" s="296">
        <v>220.11</v>
      </c>
      <c r="E10860" s="296">
        <v>64.459999999999994</v>
      </c>
      <c r="F10860" s="296">
        <v>154.36000000000001</v>
      </c>
      <c r="G10860" s="296">
        <v>1.29</v>
      </c>
      <c r="H10860" s="297">
        <v>1592.5</v>
      </c>
      <c r="I10860" s="297">
        <v>741.31</v>
      </c>
      <c r="J10860" s="297">
        <v>836.35</v>
      </c>
      <c r="K10860" s="297">
        <v>14.84</v>
      </c>
      <c r="L10860" s="43">
        <v>7.2350188542092582</v>
      </c>
      <c r="M10860" s="43">
        <v>11.500310269934843</v>
      </c>
      <c r="N10860" s="43">
        <v>5.4181782845296702</v>
      </c>
      <c r="O10860" s="43">
        <v>11.503875968992247</v>
      </c>
      <c r="P10860" s="298"/>
      <c r="Q10860" s="298"/>
      <c r="R10860" s="298">
        <v>3</v>
      </c>
    </row>
    <row r="10861" spans="1:18" ht="36">
      <c r="A10861" s="294">
        <v>191</v>
      </c>
      <c r="B10861" s="291" t="s">
        <v>19872</v>
      </c>
      <c r="C10861" s="295" t="s">
        <v>19873</v>
      </c>
      <c r="D10861" s="296">
        <v>183.88</v>
      </c>
      <c r="E10861" s="296">
        <v>38.72</v>
      </c>
      <c r="F10861" s="296">
        <v>144.38999999999999</v>
      </c>
      <c r="G10861" s="296">
        <v>0.77</v>
      </c>
      <c r="H10861" s="297">
        <v>1237.0999999999999</v>
      </c>
      <c r="I10861" s="297">
        <v>445.31</v>
      </c>
      <c r="J10861" s="297">
        <v>782.93</v>
      </c>
      <c r="K10861" s="297">
        <v>8.86</v>
      </c>
      <c r="L10861" s="43">
        <v>6.7277572329780284</v>
      </c>
      <c r="M10861" s="43">
        <v>11.50077479338843</v>
      </c>
      <c r="N10861" s="43">
        <v>5.422328416095298</v>
      </c>
      <c r="O10861" s="43">
        <v>11.500158277936057</v>
      </c>
      <c r="P10861" s="298"/>
      <c r="Q10861" s="298"/>
      <c r="R10861" s="298">
        <v>3</v>
      </c>
    </row>
    <row r="10862" spans="1:18" ht="12.75" customHeight="1">
      <c r="A10862" s="628" t="s">
        <v>19874</v>
      </c>
      <c r="B10862" s="629"/>
      <c r="C10862" s="629"/>
      <c r="D10862" s="629"/>
      <c r="E10862" s="629"/>
      <c r="F10862" s="629"/>
      <c r="G10862" s="629"/>
      <c r="H10862" s="629"/>
      <c r="I10862" s="629"/>
      <c r="J10862" s="629"/>
      <c r="K10862" s="629"/>
      <c r="L10862" s="629"/>
      <c r="M10862" s="629"/>
      <c r="N10862" s="629"/>
      <c r="O10862" s="629"/>
      <c r="P10862" s="629"/>
      <c r="Q10862" s="629"/>
      <c r="R10862" s="629"/>
    </row>
    <row r="10863" spans="1:18" ht="12.75" customHeight="1">
      <c r="A10863" s="628" t="s">
        <v>19875</v>
      </c>
      <c r="B10863" s="629"/>
      <c r="C10863" s="629"/>
      <c r="D10863" s="629"/>
      <c r="E10863" s="629"/>
      <c r="F10863" s="629"/>
      <c r="G10863" s="629"/>
      <c r="H10863" s="629"/>
      <c r="I10863" s="629"/>
      <c r="J10863" s="629"/>
      <c r="K10863" s="629"/>
      <c r="L10863" s="629"/>
      <c r="M10863" s="629"/>
      <c r="N10863" s="629"/>
      <c r="O10863" s="629"/>
      <c r="P10863" s="629"/>
      <c r="Q10863" s="629"/>
      <c r="R10863" s="629"/>
    </row>
    <row r="10864" spans="1:18" ht="24">
      <c r="A10864" s="294">
        <v>192</v>
      </c>
      <c r="B10864" s="291" t="s">
        <v>19876</v>
      </c>
      <c r="C10864" s="295" t="s">
        <v>19877</v>
      </c>
      <c r="D10864" s="296">
        <v>262.05</v>
      </c>
      <c r="E10864" s="296">
        <v>246.07</v>
      </c>
      <c r="F10864" s="296">
        <v>11.06</v>
      </c>
      <c r="G10864" s="296">
        <v>4.92</v>
      </c>
      <c r="H10864" s="297">
        <v>2933.19</v>
      </c>
      <c r="I10864" s="297">
        <v>2829.78</v>
      </c>
      <c r="J10864" s="297">
        <v>46.83</v>
      </c>
      <c r="K10864" s="297">
        <v>56.58</v>
      </c>
      <c r="L10864" s="43">
        <v>11.193245563823698</v>
      </c>
      <c r="M10864" s="43">
        <v>11.499898402893487</v>
      </c>
      <c r="N10864" s="43">
        <v>4.2341772151898729</v>
      </c>
      <c r="O10864" s="43">
        <v>11.5</v>
      </c>
      <c r="P10864" s="298"/>
      <c r="Q10864" s="298"/>
      <c r="R10864" s="298">
        <v>1</v>
      </c>
    </row>
    <row r="10865" spans="1:18" ht="24">
      <c r="A10865" s="294">
        <v>193</v>
      </c>
      <c r="B10865" s="291" t="s">
        <v>19878</v>
      </c>
      <c r="C10865" s="295" t="s">
        <v>19879</v>
      </c>
      <c r="D10865" s="296">
        <v>274.95</v>
      </c>
      <c r="E10865" s="296">
        <v>256.91000000000003</v>
      </c>
      <c r="F10865" s="296">
        <v>12.9</v>
      </c>
      <c r="G10865" s="296">
        <v>5.14</v>
      </c>
      <c r="H10865" s="297">
        <v>3068.13</v>
      </c>
      <c r="I10865" s="297">
        <v>2954.44</v>
      </c>
      <c r="J10865" s="297">
        <v>54.58</v>
      </c>
      <c r="K10865" s="297">
        <v>59.11</v>
      </c>
      <c r="L10865" s="43">
        <v>11.158865248226951</v>
      </c>
      <c r="M10865" s="43">
        <v>11.499902689657857</v>
      </c>
      <c r="N10865" s="43">
        <v>4.2310077519379838</v>
      </c>
      <c r="O10865" s="43">
        <v>11.5</v>
      </c>
      <c r="P10865" s="298"/>
      <c r="Q10865" s="298"/>
      <c r="R10865" s="298">
        <v>1</v>
      </c>
    </row>
    <row r="10866" spans="1:18" ht="24">
      <c r="A10866" s="294">
        <v>194</v>
      </c>
      <c r="B10866" s="291" t="s">
        <v>19880</v>
      </c>
      <c r="C10866" s="295" t="s">
        <v>19881</v>
      </c>
      <c r="D10866" s="296">
        <v>333.25</v>
      </c>
      <c r="E10866" s="296">
        <v>301.35000000000002</v>
      </c>
      <c r="F10866" s="296">
        <v>25.87</v>
      </c>
      <c r="G10866" s="296">
        <v>6.03</v>
      </c>
      <c r="H10866" s="297">
        <v>3644.39</v>
      </c>
      <c r="I10866" s="297">
        <v>3465.55</v>
      </c>
      <c r="J10866" s="297">
        <v>109.49</v>
      </c>
      <c r="K10866" s="297">
        <v>69.349999999999994</v>
      </c>
      <c r="L10866" s="43">
        <v>10.935903975993998</v>
      </c>
      <c r="M10866" s="43">
        <v>11.500082960013273</v>
      </c>
      <c r="N10866" s="43">
        <v>4.2323154232701965</v>
      </c>
      <c r="O10866" s="43">
        <v>11.50082918739635</v>
      </c>
      <c r="P10866" s="298"/>
      <c r="Q10866" s="298"/>
      <c r="R10866" s="298">
        <v>1</v>
      </c>
    </row>
    <row r="10867" spans="1:18" ht="24">
      <c r="A10867" s="294">
        <v>195</v>
      </c>
      <c r="B10867" s="291" t="s">
        <v>19882</v>
      </c>
      <c r="C10867" s="295" t="s">
        <v>19883</v>
      </c>
      <c r="D10867" s="296">
        <v>407.38</v>
      </c>
      <c r="E10867" s="296">
        <v>357.72</v>
      </c>
      <c r="F10867" s="296">
        <v>42.51</v>
      </c>
      <c r="G10867" s="296">
        <v>7.15</v>
      </c>
      <c r="H10867" s="297">
        <v>4375.91</v>
      </c>
      <c r="I10867" s="297">
        <v>4113.78</v>
      </c>
      <c r="J10867" s="297">
        <v>179.9</v>
      </c>
      <c r="K10867" s="297">
        <v>82.23</v>
      </c>
      <c r="L10867" s="43">
        <v>10.741592616230546</v>
      </c>
      <c r="M10867" s="43">
        <v>11.499999999999998</v>
      </c>
      <c r="N10867" s="43">
        <v>4.2319454246059758</v>
      </c>
      <c r="O10867" s="43">
        <v>11.500699300699301</v>
      </c>
      <c r="P10867" s="298"/>
      <c r="Q10867" s="298"/>
      <c r="R10867" s="298">
        <v>1</v>
      </c>
    </row>
    <row r="10868" spans="1:18" ht="24">
      <c r="A10868" s="294">
        <v>196</v>
      </c>
      <c r="B10868" s="291" t="s">
        <v>19884</v>
      </c>
      <c r="C10868" s="295" t="s">
        <v>19885</v>
      </c>
      <c r="D10868" s="296">
        <v>492.34</v>
      </c>
      <c r="E10868" s="296">
        <v>423.84</v>
      </c>
      <c r="F10868" s="296">
        <v>60.02</v>
      </c>
      <c r="G10868" s="296">
        <v>8.48</v>
      </c>
      <c r="H10868" s="297">
        <v>5225.75</v>
      </c>
      <c r="I10868" s="297">
        <v>4874.21</v>
      </c>
      <c r="J10868" s="297">
        <v>254.02</v>
      </c>
      <c r="K10868" s="297">
        <v>97.52</v>
      </c>
      <c r="L10868" s="43">
        <v>10.614108136653533</v>
      </c>
      <c r="M10868" s="43">
        <v>11.500117969044924</v>
      </c>
      <c r="N10868" s="43">
        <v>4.2322559146951013</v>
      </c>
      <c r="O10868" s="43">
        <v>11.499999999999998</v>
      </c>
      <c r="P10868" s="298"/>
      <c r="Q10868" s="298"/>
      <c r="R10868" s="298">
        <v>1</v>
      </c>
    </row>
    <row r="10869" spans="1:18" ht="12.75" customHeight="1">
      <c r="A10869" s="628" t="s">
        <v>19886</v>
      </c>
      <c r="B10869" s="629"/>
      <c r="C10869" s="629"/>
      <c r="D10869" s="629"/>
      <c r="E10869" s="629"/>
      <c r="F10869" s="629"/>
      <c r="G10869" s="629"/>
      <c r="H10869" s="629"/>
      <c r="I10869" s="629"/>
      <c r="J10869" s="629"/>
      <c r="K10869" s="629"/>
      <c r="L10869" s="629"/>
      <c r="M10869" s="629"/>
      <c r="N10869" s="629"/>
      <c r="O10869" s="629"/>
      <c r="P10869" s="629"/>
      <c r="Q10869" s="629"/>
      <c r="R10869" s="629"/>
    </row>
    <row r="10870" spans="1:18" ht="24">
      <c r="A10870" s="294">
        <v>197</v>
      </c>
      <c r="B10870" s="291" t="s">
        <v>19887</v>
      </c>
      <c r="C10870" s="295" t="s">
        <v>19888</v>
      </c>
      <c r="D10870" s="296">
        <v>970.76</v>
      </c>
      <c r="E10870" s="296">
        <v>800.31</v>
      </c>
      <c r="F10870" s="296">
        <v>154.44</v>
      </c>
      <c r="G10870" s="296">
        <v>16.010000000000002</v>
      </c>
      <c r="H10870" s="297">
        <v>10042.91</v>
      </c>
      <c r="I10870" s="297">
        <v>9203.57</v>
      </c>
      <c r="J10870" s="297">
        <v>655.22</v>
      </c>
      <c r="K10870" s="297">
        <v>184.12</v>
      </c>
      <c r="L10870" s="43">
        <v>10.345409782026453</v>
      </c>
      <c r="M10870" s="43">
        <v>11.500006247579064</v>
      </c>
      <c r="N10870" s="43">
        <v>4.242553742553743</v>
      </c>
      <c r="O10870" s="43">
        <v>11.500312304809492</v>
      </c>
      <c r="P10870" s="298"/>
      <c r="Q10870" s="298"/>
      <c r="R10870" s="298">
        <v>2</v>
      </c>
    </row>
    <row r="10871" spans="1:18" ht="24">
      <c r="A10871" s="294">
        <v>198</v>
      </c>
      <c r="B10871" s="291" t="s">
        <v>19889</v>
      </c>
      <c r="C10871" s="295" t="s">
        <v>19890</v>
      </c>
      <c r="D10871" s="296">
        <v>1299.22</v>
      </c>
      <c r="E10871" s="296">
        <v>1061.1600000000001</v>
      </c>
      <c r="F10871" s="296">
        <v>216.84</v>
      </c>
      <c r="G10871" s="296">
        <v>21.22</v>
      </c>
      <c r="H10871" s="297">
        <v>13367.32</v>
      </c>
      <c r="I10871" s="297">
        <v>12203.34</v>
      </c>
      <c r="J10871" s="297">
        <v>919.95</v>
      </c>
      <c r="K10871" s="297">
        <v>244.03</v>
      </c>
      <c r="L10871" s="43">
        <v>10.288727082403287</v>
      </c>
      <c r="M10871" s="43">
        <v>11.5</v>
      </c>
      <c r="N10871" s="43">
        <v>4.2425290536801326</v>
      </c>
      <c r="O10871" s="43">
        <v>11.5</v>
      </c>
      <c r="P10871" s="298"/>
      <c r="Q10871" s="298"/>
      <c r="R10871" s="298">
        <v>2</v>
      </c>
    </row>
    <row r="10872" spans="1:18" ht="24">
      <c r="A10872" s="294">
        <v>199</v>
      </c>
      <c r="B10872" s="291" t="s">
        <v>19891</v>
      </c>
      <c r="C10872" s="295" t="s">
        <v>19892</v>
      </c>
      <c r="D10872" s="296">
        <v>1666.37</v>
      </c>
      <c r="E10872" s="296">
        <v>1365.3</v>
      </c>
      <c r="F10872" s="296">
        <v>273.76</v>
      </c>
      <c r="G10872" s="296">
        <v>27.31</v>
      </c>
      <c r="H10872" s="297">
        <v>17176.47</v>
      </c>
      <c r="I10872" s="297">
        <v>15700.95</v>
      </c>
      <c r="J10872" s="297">
        <v>1161.45</v>
      </c>
      <c r="K10872" s="297">
        <v>314.07</v>
      </c>
      <c r="L10872" s="43">
        <v>10.3077167735857</v>
      </c>
      <c r="M10872" s="43">
        <v>11.500000000000002</v>
      </c>
      <c r="N10872" s="43">
        <v>4.2425847457627119</v>
      </c>
      <c r="O10872" s="43">
        <v>11.500183083119737</v>
      </c>
      <c r="P10872" s="298"/>
      <c r="Q10872" s="298"/>
      <c r="R10872" s="298">
        <v>2</v>
      </c>
    </row>
    <row r="10873" spans="1:18" ht="24">
      <c r="A10873" s="294">
        <v>200</v>
      </c>
      <c r="B10873" s="291" t="s">
        <v>19893</v>
      </c>
      <c r="C10873" s="295" t="s">
        <v>19894</v>
      </c>
      <c r="D10873" s="296">
        <v>2197.3200000000002</v>
      </c>
      <c r="E10873" s="296">
        <v>1787.1</v>
      </c>
      <c r="F10873" s="296">
        <v>374.48</v>
      </c>
      <c r="G10873" s="296">
        <v>35.74</v>
      </c>
      <c r="H10873" s="297">
        <v>22551.439999999999</v>
      </c>
      <c r="I10873" s="297">
        <v>20551.650000000001</v>
      </c>
      <c r="J10873" s="297">
        <v>1588.78</v>
      </c>
      <c r="K10873" s="297">
        <v>411.01</v>
      </c>
      <c r="L10873" s="43">
        <v>10.263156936631896</v>
      </c>
      <c r="M10873" s="43">
        <v>11.500000000000002</v>
      </c>
      <c r="N10873" s="43">
        <v>4.242629779961546</v>
      </c>
      <c r="O10873" s="43">
        <v>11.499999999999998</v>
      </c>
      <c r="P10873" s="298"/>
      <c r="Q10873" s="298"/>
      <c r="R10873" s="298">
        <v>2</v>
      </c>
    </row>
    <row r="10874" spans="1:18" ht="12.75" customHeight="1">
      <c r="A10874" s="628" t="s">
        <v>19895</v>
      </c>
      <c r="B10874" s="629"/>
      <c r="C10874" s="629"/>
      <c r="D10874" s="629"/>
      <c r="E10874" s="629"/>
      <c r="F10874" s="629"/>
      <c r="G10874" s="629"/>
      <c r="H10874" s="629"/>
      <c r="I10874" s="629"/>
      <c r="J10874" s="629"/>
      <c r="K10874" s="629"/>
      <c r="L10874" s="629"/>
      <c r="M10874" s="629"/>
      <c r="N10874" s="629"/>
      <c r="O10874" s="629"/>
      <c r="P10874" s="629"/>
      <c r="Q10874" s="629"/>
      <c r="R10874" s="629"/>
    </row>
    <row r="10875" spans="1:18" ht="24">
      <c r="A10875" s="294">
        <v>201</v>
      </c>
      <c r="B10875" s="291" t="s">
        <v>19896</v>
      </c>
      <c r="C10875" s="295" t="s">
        <v>19897</v>
      </c>
      <c r="D10875" s="296">
        <v>919.29</v>
      </c>
      <c r="E10875" s="296">
        <v>537.24</v>
      </c>
      <c r="F10875" s="296">
        <v>61.85</v>
      </c>
      <c r="G10875" s="296">
        <v>320.2</v>
      </c>
      <c r="H10875" s="297">
        <v>7705.36</v>
      </c>
      <c r="I10875" s="297">
        <v>6178.26</v>
      </c>
      <c r="J10875" s="297">
        <v>261.77</v>
      </c>
      <c r="K10875" s="297">
        <v>1265.33</v>
      </c>
      <c r="L10875" s="43">
        <v>8.3818599136289968</v>
      </c>
      <c r="M10875" s="43">
        <v>11.5</v>
      </c>
      <c r="N10875" s="43">
        <v>4.2323362974939363</v>
      </c>
      <c r="O10875" s="43">
        <v>3.9516864459712679</v>
      </c>
      <c r="P10875" s="298"/>
      <c r="Q10875" s="298"/>
      <c r="R10875" s="298">
        <v>3</v>
      </c>
    </row>
    <row r="10876" spans="1:18" ht="24">
      <c r="A10876" s="294">
        <v>202</v>
      </c>
      <c r="B10876" s="291" t="s">
        <v>19898</v>
      </c>
      <c r="C10876" s="295" t="s">
        <v>19899</v>
      </c>
      <c r="D10876" s="296">
        <v>1178.83</v>
      </c>
      <c r="E10876" s="296">
        <v>743.7</v>
      </c>
      <c r="F10876" s="296">
        <v>110.8</v>
      </c>
      <c r="G10876" s="296">
        <v>324.33</v>
      </c>
      <c r="H10876" s="297">
        <v>10334.34</v>
      </c>
      <c r="I10876" s="297">
        <v>8552.5499999999993</v>
      </c>
      <c r="J10876" s="297">
        <v>468.96</v>
      </c>
      <c r="K10876" s="297">
        <v>1312.83</v>
      </c>
      <c r="L10876" s="43">
        <v>8.7666075685213318</v>
      </c>
      <c r="M10876" s="43">
        <v>11.499999999999998</v>
      </c>
      <c r="N10876" s="43">
        <v>4.2324909747292416</v>
      </c>
      <c r="O10876" s="43">
        <v>4.047821663120895</v>
      </c>
      <c r="P10876" s="298"/>
      <c r="Q10876" s="298"/>
      <c r="R10876" s="298">
        <v>3</v>
      </c>
    </row>
    <row r="10877" spans="1:18" ht="24">
      <c r="A10877" s="294">
        <v>203</v>
      </c>
      <c r="B10877" s="291" t="s">
        <v>19900</v>
      </c>
      <c r="C10877" s="295" t="s">
        <v>19901</v>
      </c>
      <c r="D10877" s="296">
        <v>1694.06</v>
      </c>
      <c r="E10877" s="296">
        <v>1187.7</v>
      </c>
      <c r="F10877" s="296">
        <v>166.2</v>
      </c>
      <c r="G10877" s="296">
        <v>340.16</v>
      </c>
      <c r="H10877" s="297">
        <v>15805.8</v>
      </c>
      <c r="I10877" s="297">
        <v>13658.55</v>
      </c>
      <c r="J10877" s="297">
        <v>703.45</v>
      </c>
      <c r="K10877" s="297">
        <v>1443.8</v>
      </c>
      <c r="L10877" s="43">
        <v>9.3301299835897193</v>
      </c>
      <c r="M10877" s="43">
        <v>11.499999999999998</v>
      </c>
      <c r="N10877" s="43">
        <v>4.232551143200963</v>
      </c>
      <c r="O10877" s="43">
        <v>4.2444731890874881</v>
      </c>
      <c r="P10877" s="298"/>
      <c r="Q10877" s="298"/>
      <c r="R10877" s="298">
        <v>3</v>
      </c>
    </row>
    <row r="10878" spans="1:18" ht="24">
      <c r="A10878" s="294">
        <v>204</v>
      </c>
      <c r="B10878" s="291" t="s">
        <v>19902</v>
      </c>
      <c r="C10878" s="295" t="s">
        <v>19903</v>
      </c>
      <c r="D10878" s="296">
        <v>2257.8000000000002</v>
      </c>
      <c r="E10878" s="296">
        <v>1631.7</v>
      </c>
      <c r="F10878" s="296">
        <v>277.06</v>
      </c>
      <c r="G10878" s="296">
        <v>349.04</v>
      </c>
      <c r="H10878" s="297">
        <v>21485.94</v>
      </c>
      <c r="I10878" s="297">
        <v>18764.55</v>
      </c>
      <c r="J10878" s="297">
        <v>1175.47</v>
      </c>
      <c r="K10878" s="297">
        <v>1545.92</v>
      </c>
      <c r="L10878" s="43">
        <v>9.5163167685357415</v>
      </c>
      <c r="M10878" s="43">
        <v>11.5</v>
      </c>
      <c r="N10878" s="43">
        <v>4.242655020573161</v>
      </c>
      <c r="O10878" s="43">
        <v>4.4290625716250283</v>
      </c>
      <c r="P10878" s="298"/>
      <c r="Q10878" s="298"/>
      <c r="R10878" s="298">
        <v>3</v>
      </c>
    </row>
    <row r="10879" spans="1:18" ht="12.75" customHeight="1">
      <c r="A10879" s="628" t="s">
        <v>19904</v>
      </c>
      <c r="B10879" s="629"/>
      <c r="C10879" s="629"/>
      <c r="D10879" s="629"/>
      <c r="E10879" s="629"/>
      <c r="F10879" s="629"/>
      <c r="G10879" s="629"/>
      <c r="H10879" s="629"/>
      <c r="I10879" s="629"/>
      <c r="J10879" s="629"/>
      <c r="K10879" s="629"/>
      <c r="L10879" s="629"/>
      <c r="M10879" s="629"/>
      <c r="N10879" s="629"/>
      <c r="O10879" s="629"/>
      <c r="P10879" s="629"/>
      <c r="Q10879" s="629"/>
      <c r="R10879" s="629"/>
    </row>
    <row r="10880" spans="1:18" ht="24">
      <c r="A10880" s="294">
        <v>205</v>
      </c>
      <c r="B10880" s="291" t="s">
        <v>19905</v>
      </c>
      <c r="C10880" s="295" t="s">
        <v>19906</v>
      </c>
      <c r="D10880" s="296">
        <v>82.66</v>
      </c>
      <c r="E10880" s="296">
        <v>81.040000000000006</v>
      </c>
      <c r="F10880" s="296"/>
      <c r="G10880" s="296">
        <v>1.62</v>
      </c>
      <c r="H10880" s="297">
        <v>950.59</v>
      </c>
      <c r="I10880" s="297">
        <v>931.96</v>
      </c>
      <c r="J10880" s="297"/>
      <c r="K10880" s="297">
        <v>18.63</v>
      </c>
      <c r="L10880" s="43">
        <v>11.5</v>
      </c>
      <c r="M10880" s="43">
        <v>11.5</v>
      </c>
      <c r="N10880" s="43" t="s">
        <v>1690</v>
      </c>
      <c r="O10880" s="43">
        <v>11.499999999999998</v>
      </c>
      <c r="P10880" s="298"/>
      <c r="Q10880" s="298"/>
      <c r="R10880" s="298">
        <v>4</v>
      </c>
    </row>
    <row r="10881" spans="1:18" ht="24">
      <c r="A10881" s="294">
        <v>206</v>
      </c>
      <c r="B10881" s="291" t="s">
        <v>19907</v>
      </c>
      <c r="C10881" s="295" t="s">
        <v>19908</v>
      </c>
      <c r="D10881" s="296">
        <v>142.16999999999999</v>
      </c>
      <c r="E10881" s="296">
        <v>139.38</v>
      </c>
      <c r="F10881" s="296"/>
      <c r="G10881" s="296">
        <v>2.79</v>
      </c>
      <c r="H10881" s="297">
        <v>1634.91</v>
      </c>
      <c r="I10881" s="297">
        <v>1602.82</v>
      </c>
      <c r="J10881" s="297"/>
      <c r="K10881" s="297">
        <v>32.090000000000003</v>
      </c>
      <c r="L10881" s="43">
        <v>11.499683477526906</v>
      </c>
      <c r="M10881" s="43">
        <v>11.499641268474674</v>
      </c>
      <c r="N10881" s="43" t="s">
        <v>1690</v>
      </c>
      <c r="O10881" s="43">
        <v>11.501792114695341</v>
      </c>
      <c r="P10881" s="298"/>
      <c r="Q10881" s="298"/>
      <c r="R10881" s="298">
        <v>4</v>
      </c>
    </row>
    <row r="10882" spans="1:18" ht="24">
      <c r="A10882" s="294">
        <v>207</v>
      </c>
      <c r="B10882" s="291" t="s">
        <v>19909</v>
      </c>
      <c r="C10882" s="295" t="s">
        <v>19910</v>
      </c>
      <c r="D10882" s="296">
        <v>307.25</v>
      </c>
      <c r="E10882" s="296">
        <v>301.23</v>
      </c>
      <c r="F10882" s="296"/>
      <c r="G10882" s="296">
        <v>6.02</v>
      </c>
      <c r="H10882" s="297">
        <v>3533.4</v>
      </c>
      <c r="I10882" s="297">
        <v>3464.17</v>
      </c>
      <c r="J10882" s="297"/>
      <c r="K10882" s="297">
        <v>69.23</v>
      </c>
      <c r="L10882" s="43">
        <v>11.500081366965013</v>
      </c>
      <c r="M10882" s="43">
        <v>11.500082993061779</v>
      </c>
      <c r="N10882" s="43" t="s">
        <v>1690</v>
      </c>
      <c r="O10882" s="43">
        <v>11.500000000000002</v>
      </c>
      <c r="P10882" s="298"/>
      <c r="Q10882" s="298"/>
      <c r="R10882" s="298">
        <v>4</v>
      </c>
    </row>
    <row r="10883" spans="1:18" ht="24">
      <c r="A10883" s="294">
        <v>208</v>
      </c>
      <c r="B10883" s="291" t="s">
        <v>19911</v>
      </c>
      <c r="C10883" s="295" t="s">
        <v>19912</v>
      </c>
      <c r="D10883" s="296">
        <v>472.35</v>
      </c>
      <c r="E10883" s="296">
        <v>463.09</v>
      </c>
      <c r="F10883" s="296"/>
      <c r="G10883" s="296">
        <v>9.26</v>
      </c>
      <c r="H10883" s="297">
        <v>5432</v>
      </c>
      <c r="I10883" s="297">
        <v>5325.51</v>
      </c>
      <c r="J10883" s="297"/>
      <c r="K10883" s="297">
        <v>106.49</v>
      </c>
      <c r="L10883" s="43">
        <v>11.499947073144913</v>
      </c>
      <c r="M10883" s="43">
        <v>11.499946014813537</v>
      </c>
      <c r="N10883" s="43" t="s">
        <v>1690</v>
      </c>
      <c r="O10883" s="43">
        <v>11.5</v>
      </c>
      <c r="P10883" s="298"/>
      <c r="Q10883" s="298"/>
      <c r="R10883" s="298">
        <v>4</v>
      </c>
    </row>
    <row r="10884" spans="1:18" ht="24">
      <c r="A10884" s="294">
        <v>209</v>
      </c>
      <c r="B10884" s="291" t="s">
        <v>19913</v>
      </c>
      <c r="C10884" s="295" t="s">
        <v>19914</v>
      </c>
      <c r="D10884" s="296">
        <v>590.44000000000005</v>
      </c>
      <c r="E10884" s="296">
        <v>578.86</v>
      </c>
      <c r="F10884" s="296"/>
      <c r="G10884" s="296">
        <v>11.58</v>
      </c>
      <c r="H10884" s="297">
        <v>6790.06</v>
      </c>
      <c r="I10884" s="297">
        <v>6656.89</v>
      </c>
      <c r="J10884" s="297"/>
      <c r="K10884" s="297">
        <v>133.16999999999999</v>
      </c>
      <c r="L10884" s="43">
        <v>11.5</v>
      </c>
      <c r="M10884" s="43">
        <v>11.5</v>
      </c>
      <c r="N10884" s="43" t="s">
        <v>1690</v>
      </c>
      <c r="O10884" s="43">
        <v>11.499999999999998</v>
      </c>
      <c r="P10884" s="298"/>
      <c r="Q10884" s="298"/>
      <c r="R10884" s="298">
        <v>4</v>
      </c>
    </row>
    <row r="10885" spans="1:18" ht="24">
      <c r="A10885" s="294">
        <v>210</v>
      </c>
      <c r="B10885" s="291" t="s">
        <v>19915</v>
      </c>
      <c r="C10885" s="295" t="s">
        <v>19916</v>
      </c>
      <c r="D10885" s="296">
        <v>672.99</v>
      </c>
      <c r="E10885" s="296">
        <v>659.79</v>
      </c>
      <c r="F10885" s="296"/>
      <c r="G10885" s="296">
        <v>13.2</v>
      </c>
      <c r="H10885" s="297">
        <v>7739.36</v>
      </c>
      <c r="I10885" s="297">
        <v>7587.56</v>
      </c>
      <c r="J10885" s="297"/>
      <c r="K10885" s="297">
        <v>151.80000000000001</v>
      </c>
      <c r="L10885" s="43">
        <v>11.499962852345503</v>
      </c>
      <c r="M10885" s="43">
        <v>11.499962109155945</v>
      </c>
      <c r="N10885" s="43" t="s">
        <v>1690</v>
      </c>
      <c r="O10885" s="43">
        <v>11.500000000000002</v>
      </c>
      <c r="P10885" s="298"/>
      <c r="Q10885" s="298"/>
      <c r="R10885" s="298">
        <v>4</v>
      </c>
    </row>
    <row r="10886" spans="1:18" ht="24">
      <c r="A10886" s="294">
        <v>211</v>
      </c>
      <c r="B10886" s="291" t="s">
        <v>19917</v>
      </c>
      <c r="C10886" s="295" t="s">
        <v>19918</v>
      </c>
      <c r="D10886" s="296">
        <v>802.54</v>
      </c>
      <c r="E10886" s="296">
        <v>786.8</v>
      </c>
      <c r="F10886" s="296"/>
      <c r="G10886" s="296">
        <v>15.74</v>
      </c>
      <c r="H10886" s="297">
        <v>9229.2099999999991</v>
      </c>
      <c r="I10886" s="297">
        <v>9048.2000000000007</v>
      </c>
      <c r="J10886" s="297"/>
      <c r="K10886" s="297">
        <v>181.01</v>
      </c>
      <c r="L10886" s="43">
        <v>11.5</v>
      </c>
      <c r="M10886" s="43">
        <v>11.500000000000002</v>
      </c>
      <c r="N10886" s="43" t="s">
        <v>1690</v>
      </c>
      <c r="O10886" s="43">
        <v>11.5</v>
      </c>
      <c r="P10886" s="298"/>
      <c r="Q10886" s="298"/>
      <c r="R10886" s="298">
        <v>4</v>
      </c>
    </row>
    <row r="10887" spans="1:18" ht="24">
      <c r="A10887" s="294">
        <v>212</v>
      </c>
      <c r="B10887" s="291" t="s">
        <v>19919</v>
      </c>
      <c r="C10887" s="295" t="s">
        <v>19920</v>
      </c>
      <c r="D10887" s="296">
        <v>980.24</v>
      </c>
      <c r="E10887" s="296">
        <v>961.02</v>
      </c>
      <c r="F10887" s="296"/>
      <c r="G10887" s="296">
        <v>19.22</v>
      </c>
      <c r="H10887" s="297">
        <v>11272.76</v>
      </c>
      <c r="I10887" s="297">
        <v>11051.73</v>
      </c>
      <c r="J10887" s="297"/>
      <c r="K10887" s="297">
        <v>221.03</v>
      </c>
      <c r="L10887" s="43">
        <v>11.5</v>
      </c>
      <c r="M10887" s="43">
        <v>11.5</v>
      </c>
      <c r="N10887" s="43" t="s">
        <v>1690</v>
      </c>
      <c r="O10887" s="43">
        <v>11.5</v>
      </c>
      <c r="P10887" s="298"/>
      <c r="Q10887" s="298"/>
      <c r="R10887" s="298">
        <v>4</v>
      </c>
    </row>
    <row r="10888" spans="1:18" ht="12.75" customHeight="1">
      <c r="A10888" s="628" t="s">
        <v>19921</v>
      </c>
      <c r="B10888" s="629"/>
      <c r="C10888" s="629"/>
      <c r="D10888" s="629"/>
      <c r="E10888" s="629"/>
      <c r="F10888" s="629"/>
      <c r="G10888" s="629"/>
      <c r="H10888" s="629"/>
      <c r="I10888" s="629"/>
      <c r="J10888" s="629"/>
      <c r="K10888" s="629"/>
      <c r="L10888" s="629"/>
      <c r="M10888" s="629"/>
      <c r="N10888" s="629"/>
      <c r="O10888" s="629"/>
      <c r="P10888" s="629"/>
      <c r="Q10888" s="629"/>
      <c r="R10888" s="629"/>
    </row>
    <row r="10889" spans="1:18" ht="24">
      <c r="A10889" s="294">
        <v>213</v>
      </c>
      <c r="B10889" s="291" t="s">
        <v>19922</v>
      </c>
      <c r="C10889" s="295" t="s">
        <v>19923</v>
      </c>
      <c r="D10889" s="296">
        <v>68.510000000000005</v>
      </c>
      <c r="E10889" s="296">
        <v>66.989999999999995</v>
      </c>
      <c r="F10889" s="296">
        <v>0.18</v>
      </c>
      <c r="G10889" s="296">
        <v>1.34</v>
      </c>
      <c r="H10889" s="297">
        <v>786.56</v>
      </c>
      <c r="I10889" s="297">
        <v>770.4</v>
      </c>
      <c r="J10889" s="297">
        <v>0.75</v>
      </c>
      <c r="K10889" s="297">
        <v>15.41</v>
      </c>
      <c r="L10889" s="43">
        <v>11.480951685885271</v>
      </c>
      <c r="M10889" s="43">
        <v>11.500223914017019</v>
      </c>
      <c r="N10889" s="43">
        <v>4.166666666666667</v>
      </c>
      <c r="O10889" s="43">
        <v>11.5</v>
      </c>
      <c r="P10889" s="298"/>
      <c r="Q10889" s="298"/>
      <c r="R10889" s="298">
        <v>5</v>
      </c>
    </row>
    <row r="10890" spans="1:18" ht="24">
      <c r="A10890" s="294">
        <v>214</v>
      </c>
      <c r="B10890" s="291" t="s">
        <v>19924</v>
      </c>
      <c r="C10890" s="295" t="s">
        <v>19925</v>
      </c>
      <c r="D10890" s="296">
        <v>114.29</v>
      </c>
      <c r="E10890" s="296">
        <v>111.65</v>
      </c>
      <c r="F10890" s="296">
        <v>0.41</v>
      </c>
      <c r="G10890" s="296">
        <v>2.23</v>
      </c>
      <c r="H10890" s="297">
        <v>1311.39</v>
      </c>
      <c r="I10890" s="297">
        <v>1284</v>
      </c>
      <c r="J10890" s="297">
        <v>1.74</v>
      </c>
      <c r="K10890" s="297">
        <v>25.65</v>
      </c>
      <c r="L10890" s="43">
        <v>11.47423221629189</v>
      </c>
      <c r="M10890" s="43">
        <v>11.500223914017017</v>
      </c>
      <c r="N10890" s="43">
        <v>4.2439024390243905</v>
      </c>
      <c r="O10890" s="43">
        <v>11.502242152466367</v>
      </c>
      <c r="P10890" s="298"/>
      <c r="Q10890" s="298"/>
      <c r="R10890" s="298">
        <v>5</v>
      </c>
    </row>
    <row r="10891" spans="1:18" ht="24">
      <c r="A10891" s="294">
        <v>215</v>
      </c>
      <c r="B10891" s="291" t="s">
        <v>19926</v>
      </c>
      <c r="C10891" s="295" t="s">
        <v>19927</v>
      </c>
      <c r="D10891" s="296">
        <v>159.88999999999999</v>
      </c>
      <c r="E10891" s="296">
        <v>156.1</v>
      </c>
      <c r="F10891" s="296">
        <v>0.67</v>
      </c>
      <c r="G10891" s="296">
        <v>3.12</v>
      </c>
      <c r="H10891" s="297">
        <v>1833.8</v>
      </c>
      <c r="I10891" s="297">
        <v>1795.1</v>
      </c>
      <c r="J10891" s="297">
        <v>2.82</v>
      </c>
      <c r="K10891" s="297">
        <v>35.880000000000003</v>
      </c>
      <c r="L10891" s="43">
        <v>11.469135030333355</v>
      </c>
      <c r="M10891" s="43">
        <v>11.499679692504804</v>
      </c>
      <c r="N10891" s="43">
        <v>4.2089552238805963</v>
      </c>
      <c r="O10891" s="43">
        <v>11.5</v>
      </c>
      <c r="P10891" s="298"/>
      <c r="Q10891" s="298"/>
      <c r="R10891" s="298">
        <v>5</v>
      </c>
    </row>
    <row r="10892" spans="1:18" ht="24">
      <c r="A10892" s="294">
        <v>216</v>
      </c>
      <c r="B10892" s="291" t="s">
        <v>19928</v>
      </c>
      <c r="C10892" s="295" t="s">
        <v>19929</v>
      </c>
      <c r="D10892" s="296">
        <v>228.77</v>
      </c>
      <c r="E10892" s="296">
        <v>223.3</v>
      </c>
      <c r="F10892" s="296">
        <v>1</v>
      </c>
      <c r="G10892" s="296">
        <v>4.47</v>
      </c>
      <c r="H10892" s="297">
        <v>2623.64</v>
      </c>
      <c r="I10892" s="297">
        <v>2568</v>
      </c>
      <c r="J10892" s="297">
        <v>4.2300000000000004</v>
      </c>
      <c r="K10892" s="297">
        <v>51.41</v>
      </c>
      <c r="L10892" s="43">
        <v>11.468461773833981</v>
      </c>
      <c r="M10892" s="43">
        <v>11.500223914017017</v>
      </c>
      <c r="N10892" s="43">
        <v>4.2300000000000004</v>
      </c>
      <c r="O10892" s="43">
        <v>11.501118568232663</v>
      </c>
      <c r="P10892" s="298"/>
      <c r="Q10892" s="298"/>
      <c r="R10892" s="298">
        <v>5</v>
      </c>
    </row>
    <row r="10893" spans="1:18" ht="12.75" customHeight="1">
      <c r="A10893" s="628" t="s">
        <v>19930</v>
      </c>
      <c r="B10893" s="629"/>
      <c r="C10893" s="629"/>
      <c r="D10893" s="629"/>
      <c r="E10893" s="629"/>
      <c r="F10893" s="629"/>
      <c r="G10893" s="629"/>
      <c r="H10893" s="629"/>
      <c r="I10893" s="629"/>
      <c r="J10893" s="629"/>
      <c r="K10893" s="629"/>
      <c r="L10893" s="629"/>
      <c r="M10893" s="629"/>
      <c r="N10893" s="629"/>
      <c r="O10893" s="629"/>
      <c r="P10893" s="629"/>
      <c r="Q10893" s="629"/>
      <c r="R10893" s="629"/>
    </row>
    <row r="10894" spans="1:18" ht="36">
      <c r="A10894" s="294">
        <v>217</v>
      </c>
      <c r="B10894" s="291" t="s">
        <v>19931</v>
      </c>
      <c r="C10894" s="295" t="s">
        <v>19932</v>
      </c>
      <c r="D10894" s="296">
        <v>14.25</v>
      </c>
      <c r="E10894" s="296">
        <v>11.83</v>
      </c>
      <c r="F10894" s="296">
        <v>2.1800000000000002</v>
      </c>
      <c r="G10894" s="296">
        <v>0.24</v>
      </c>
      <c r="H10894" s="297">
        <v>150.06</v>
      </c>
      <c r="I10894" s="297">
        <v>136.1</v>
      </c>
      <c r="J10894" s="297">
        <v>11.2</v>
      </c>
      <c r="K10894" s="297">
        <v>2.76</v>
      </c>
      <c r="L10894" s="43">
        <v>10.530526315789475</v>
      </c>
      <c r="M10894" s="43">
        <v>11.504649196956889</v>
      </c>
      <c r="N10894" s="43">
        <v>5.137614678899082</v>
      </c>
      <c r="O10894" s="43">
        <v>11.5</v>
      </c>
      <c r="P10894" s="298"/>
      <c r="Q10894" s="298"/>
      <c r="R10894" s="298">
        <v>6</v>
      </c>
    </row>
    <row r="10895" spans="1:18" ht="36">
      <c r="A10895" s="294">
        <v>218</v>
      </c>
      <c r="B10895" s="291" t="s">
        <v>19933</v>
      </c>
      <c r="C10895" s="295" t="s">
        <v>19934</v>
      </c>
      <c r="D10895" s="296">
        <v>16.3</v>
      </c>
      <c r="E10895" s="296">
        <v>11.83</v>
      </c>
      <c r="F10895" s="296">
        <v>4.2300000000000004</v>
      </c>
      <c r="G10895" s="296">
        <v>0.24</v>
      </c>
      <c r="H10895" s="297">
        <v>160.65</v>
      </c>
      <c r="I10895" s="297">
        <v>136.1</v>
      </c>
      <c r="J10895" s="297">
        <v>21.79</v>
      </c>
      <c r="K10895" s="297">
        <v>2.76</v>
      </c>
      <c r="L10895" s="43">
        <v>9.8558282208588963</v>
      </c>
      <c r="M10895" s="43">
        <v>11.504649196956889</v>
      </c>
      <c r="N10895" s="43">
        <v>5.1513002364066187</v>
      </c>
      <c r="O10895" s="43">
        <v>11.5</v>
      </c>
      <c r="P10895" s="298"/>
      <c r="Q10895" s="298"/>
      <c r="R10895" s="298">
        <v>6</v>
      </c>
    </row>
    <row r="10896" spans="1:18" ht="36">
      <c r="A10896" s="294">
        <v>219</v>
      </c>
      <c r="B10896" s="291" t="s">
        <v>19935</v>
      </c>
      <c r="C10896" s="295" t="s">
        <v>19936</v>
      </c>
      <c r="D10896" s="296">
        <v>20.3</v>
      </c>
      <c r="E10896" s="296">
        <v>11.83</v>
      </c>
      <c r="F10896" s="296">
        <v>8.23</v>
      </c>
      <c r="G10896" s="296">
        <v>0.24</v>
      </c>
      <c r="H10896" s="297">
        <v>181.24</v>
      </c>
      <c r="I10896" s="297">
        <v>136.1</v>
      </c>
      <c r="J10896" s="297">
        <v>42.38</v>
      </c>
      <c r="K10896" s="297">
        <v>2.76</v>
      </c>
      <c r="L10896" s="43">
        <v>8.92807881773399</v>
      </c>
      <c r="M10896" s="43">
        <v>11.504649196956889</v>
      </c>
      <c r="N10896" s="43">
        <v>5.1494532199270964</v>
      </c>
      <c r="O10896" s="43">
        <v>11.5</v>
      </c>
      <c r="P10896" s="298"/>
      <c r="Q10896" s="298"/>
      <c r="R10896" s="298">
        <v>6</v>
      </c>
    </row>
    <row r="10897" spans="1:18" ht="36">
      <c r="A10897" s="294">
        <v>220</v>
      </c>
      <c r="B10897" s="291" t="s">
        <v>19937</v>
      </c>
      <c r="C10897" s="295" t="s">
        <v>19938</v>
      </c>
      <c r="D10897" s="296">
        <v>32.369999999999997</v>
      </c>
      <c r="E10897" s="296">
        <v>23.67</v>
      </c>
      <c r="F10897" s="296">
        <v>8.23</v>
      </c>
      <c r="G10897" s="296">
        <v>0.47</v>
      </c>
      <c r="H10897" s="297">
        <v>320</v>
      </c>
      <c r="I10897" s="297">
        <v>272.20999999999998</v>
      </c>
      <c r="J10897" s="297">
        <v>42.38</v>
      </c>
      <c r="K10897" s="297">
        <v>5.41</v>
      </c>
      <c r="L10897" s="43">
        <v>9.885696632684585</v>
      </c>
      <c r="M10897" s="43">
        <v>11.500211237853822</v>
      </c>
      <c r="N10897" s="43">
        <v>5.1494532199270964</v>
      </c>
      <c r="O10897" s="43">
        <v>11.500158277936057</v>
      </c>
      <c r="P10897" s="298"/>
      <c r="Q10897" s="298"/>
      <c r="R10897" s="298">
        <v>6</v>
      </c>
    </row>
    <row r="10898" spans="1:18" ht="36">
      <c r="A10898" s="294">
        <v>221</v>
      </c>
      <c r="B10898" s="291" t="s">
        <v>19939</v>
      </c>
      <c r="C10898" s="295" t="s">
        <v>19940</v>
      </c>
      <c r="D10898" s="296">
        <v>37.08</v>
      </c>
      <c r="E10898" s="296">
        <v>23.67</v>
      </c>
      <c r="F10898" s="296">
        <v>12.94</v>
      </c>
      <c r="G10898" s="296">
        <v>0.47</v>
      </c>
      <c r="H10898" s="297">
        <v>344.21</v>
      </c>
      <c r="I10898" s="297">
        <v>272.20999999999998</v>
      </c>
      <c r="J10898" s="297">
        <v>66.59</v>
      </c>
      <c r="K10898" s="297">
        <v>5.41</v>
      </c>
      <c r="L10898" s="43">
        <v>9.2829018338727067</v>
      </c>
      <c r="M10898" s="43">
        <v>11.500211237853822</v>
      </c>
      <c r="N10898" s="43">
        <v>5.1460587326120564</v>
      </c>
      <c r="O10898" s="43">
        <v>11.500158277936057</v>
      </c>
      <c r="P10898" s="298"/>
      <c r="Q10898" s="298"/>
      <c r="R10898" s="298">
        <v>6</v>
      </c>
    </row>
    <row r="10899" spans="1:18" ht="36">
      <c r="A10899" s="294">
        <v>222</v>
      </c>
      <c r="B10899" s="291" t="s">
        <v>19941</v>
      </c>
      <c r="C10899" s="295" t="s">
        <v>19942</v>
      </c>
      <c r="D10899" s="296">
        <v>51.5</v>
      </c>
      <c r="E10899" s="296">
        <v>35.5</v>
      </c>
      <c r="F10899" s="296">
        <v>15.29</v>
      </c>
      <c r="G10899" s="296">
        <v>0.71</v>
      </c>
      <c r="H10899" s="297">
        <v>495.18</v>
      </c>
      <c r="I10899" s="297">
        <v>408.31</v>
      </c>
      <c r="J10899" s="297">
        <v>78.7</v>
      </c>
      <c r="K10899" s="297">
        <v>8.17</v>
      </c>
      <c r="L10899" s="43">
        <v>9.6151456310679606</v>
      </c>
      <c r="M10899" s="43">
        <v>11.501690140845071</v>
      </c>
      <c r="N10899" s="43">
        <v>5.1471550032701119</v>
      </c>
      <c r="O10899" s="43">
        <v>11.500158277936057</v>
      </c>
      <c r="P10899" s="298"/>
      <c r="Q10899" s="298"/>
      <c r="R10899" s="298">
        <v>6</v>
      </c>
    </row>
    <row r="10900" spans="1:18" ht="12.75" customHeight="1">
      <c r="A10900" s="628" t="s">
        <v>19943</v>
      </c>
      <c r="B10900" s="629"/>
      <c r="C10900" s="629"/>
      <c r="D10900" s="629"/>
      <c r="E10900" s="629"/>
      <c r="F10900" s="629"/>
      <c r="G10900" s="629"/>
      <c r="H10900" s="629"/>
      <c r="I10900" s="629"/>
      <c r="J10900" s="629"/>
      <c r="K10900" s="629"/>
      <c r="L10900" s="629"/>
      <c r="M10900" s="629"/>
      <c r="N10900" s="629"/>
      <c r="O10900" s="629"/>
      <c r="P10900" s="629"/>
      <c r="Q10900" s="629"/>
      <c r="R10900" s="629"/>
    </row>
    <row r="10901" spans="1:18" ht="12.75" customHeight="1">
      <c r="A10901" s="628" t="s">
        <v>19944</v>
      </c>
      <c r="B10901" s="629"/>
      <c r="C10901" s="629"/>
      <c r="D10901" s="629"/>
      <c r="E10901" s="629"/>
      <c r="F10901" s="629"/>
      <c r="G10901" s="629"/>
      <c r="H10901" s="629"/>
      <c r="I10901" s="629"/>
      <c r="J10901" s="629"/>
      <c r="K10901" s="629"/>
      <c r="L10901" s="629"/>
      <c r="M10901" s="629"/>
      <c r="N10901" s="629"/>
      <c r="O10901" s="629"/>
      <c r="P10901" s="629"/>
      <c r="Q10901" s="629"/>
      <c r="R10901" s="629"/>
    </row>
    <row r="10902" spans="1:18" ht="24">
      <c r="A10902" s="294">
        <v>223</v>
      </c>
      <c r="B10902" s="291" t="s">
        <v>19945</v>
      </c>
      <c r="C10902" s="295" t="s">
        <v>19946</v>
      </c>
      <c r="D10902" s="296">
        <v>499.2</v>
      </c>
      <c r="E10902" s="296">
        <v>269.86</v>
      </c>
      <c r="F10902" s="296">
        <v>221.18</v>
      </c>
      <c r="G10902" s="296">
        <v>8.16</v>
      </c>
      <c r="H10902" s="297">
        <v>4498.51</v>
      </c>
      <c r="I10902" s="297">
        <v>3103.54</v>
      </c>
      <c r="J10902" s="297">
        <v>1317.64</v>
      </c>
      <c r="K10902" s="297">
        <v>77.33</v>
      </c>
      <c r="L10902" s="43">
        <v>9.0114383012820518</v>
      </c>
      <c r="M10902" s="43">
        <v>11.500555843770844</v>
      </c>
      <c r="N10902" s="43">
        <v>5.9573198300027128</v>
      </c>
      <c r="O10902" s="43">
        <v>9.4767156862745097</v>
      </c>
      <c r="P10902" s="298"/>
      <c r="Q10902" s="298"/>
      <c r="R10902" s="298">
        <v>1</v>
      </c>
    </row>
    <row r="10903" spans="1:18" ht="24">
      <c r="A10903" s="294">
        <v>224</v>
      </c>
      <c r="B10903" s="291" t="s">
        <v>19947</v>
      </c>
      <c r="C10903" s="295" t="s">
        <v>19948</v>
      </c>
      <c r="D10903" s="296">
        <v>569.04</v>
      </c>
      <c r="E10903" s="296">
        <v>296.19</v>
      </c>
      <c r="F10903" s="296">
        <v>261.43</v>
      </c>
      <c r="G10903" s="296">
        <v>11.42</v>
      </c>
      <c r="H10903" s="297">
        <v>5054.28</v>
      </c>
      <c r="I10903" s="297">
        <v>3406.32</v>
      </c>
      <c r="J10903" s="297">
        <v>1549.54</v>
      </c>
      <c r="K10903" s="297">
        <v>98.42</v>
      </c>
      <c r="L10903" s="43">
        <v>8.8821172501054413</v>
      </c>
      <c r="M10903" s="43">
        <v>11.500455788514131</v>
      </c>
      <c r="N10903" s="43">
        <v>5.9271697968863553</v>
      </c>
      <c r="O10903" s="43">
        <v>8.6182136602451838</v>
      </c>
      <c r="P10903" s="298"/>
      <c r="Q10903" s="298"/>
      <c r="R10903" s="298">
        <v>1</v>
      </c>
    </row>
    <row r="10904" spans="1:18" ht="24">
      <c r="A10904" s="294">
        <v>225</v>
      </c>
      <c r="B10904" s="291" t="s">
        <v>19949</v>
      </c>
      <c r="C10904" s="295" t="s">
        <v>19950</v>
      </c>
      <c r="D10904" s="296">
        <v>873.91</v>
      </c>
      <c r="E10904" s="296">
        <v>437.7</v>
      </c>
      <c r="F10904" s="296">
        <v>424.45</v>
      </c>
      <c r="G10904" s="296">
        <v>11.76</v>
      </c>
      <c r="H10904" s="297">
        <v>7677.48</v>
      </c>
      <c r="I10904" s="297">
        <v>5033.78</v>
      </c>
      <c r="J10904" s="297">
        <v>2525.66</v>
      </c>
      <c r="K10904" s="297">
        <v>118.04</v>
      </c>
      <c r="L10904" s="43">
        <v>8.7852067146502506</v>
      </c>
      <c r="M10904" s="43">
        <v>11.500525474068997</v>
      </c>
      <c r="N10904" s="43">
        <v>5.9504299681941335</v>
      </c>
      <c r="O10904" s="43">
        <v>10.037414965986395</v>
      </c>
      <c r="P10904" s="298"/>
      <c r="Q10904" s="298"/>
      <c r="R10904" s="298">
        <v>1</v>
      </c>
    </row>
    <row r="10905" spans="1:18" ht="24">
      <c r="A10905" s="294">
        <v>226</v>
      </c>
      <c r="B10905" s="291" t="s">
        <v>19951</v>
      </c>
      <c r="C10905" s="295" t="s">
        <v>19952</v>
      </c>
      <c r="D10905" s="296">
        <v>996.21</v>
      </c>
      <c r="E10905" s="296">
        <v>490.36</v>
      </c>
      <c r="F10905" s="296">
        <v>490.33</v>
      </c>
      <c r="G10905" s="296">
        <v>15.52</v>
      </c>
      <c r="H10905" s="297">
        <v>8693.3700000000008</v>
      </c>
      <c r="I10905" s="297">
        <v>5639.35</v>
      </c>
      <c r="J10905" s="297">
        <v>2909.07</v>
      </c>
      <c r="K10905" s="297">
        <v>144.94999999999999</v>
      </c>
      <c r="L10905" s="43">
        <v>8.7264432198030537</v>
      </c>
      <c r="M10905" s="43">
        <v>11.500428256790929</v>
      </c>
      <c r="N10905" s="43">
        <v>5.9328819366549066</v>
      </c>
      <c r="O10905" s="43">
        <v>9.3395618556701034</v>
      </c>
      <c r="P10905" s="298"/>
      <c r="Q10905" s="298"/>
      <c r="R10905" s="298">
        <v>1</v>
      </c>
    </row>
    <row r="10906" spans="1:18" ht="24">
      <c r="A10906" s="294">
        <v>227</v>
      </c>
      <c r="B10906" s="291" t="s">
        <v>19953</v>
      </c>
      <c r="C10906" s="295" t="s">
        <v>19954</v>
      </c>
      <c r="D10906" s="296">
        <v>1678.42</v>
      </c>
      <c r="E10906" s="296">
        <v>919.29</v>
      </c>
      <c r="F10906" s="296">
        <v>737.53</v>
      </c>
      <c r="G10906" s="296">
        <v>21.6</v>
      </c>
      <c r="H10906" s="297">
        <v>15158.09</v>
      </c>
      <c r="I10906" s="297">
        <v>10572.21</v>
      </c>
      <c r="J10906" s="297">
        <v>4355.1899999999996</v>
      </c>
      <c r="K10906" s="297">
        <v>230.69</v>
      </c>
      <c r="L10906" s="43">
        <v>9.0311662158458539</v>
      </c>
      <c r="M10906" s="43">
        <v>11.500407923506184</v>
      </c>
      <c r="N10906" s="43">
        <v>5.9051021653356468</v>
      </c>
      <c r="O10906" s="43">
        <v>10.680092592592592</v>
      </c>
      <c r="P10906" s="298"/>
      <c r="Q10906" s="298"/>
      <c r="R10906" s="298">
        <v>1</v>
      </c>
    </row>
    <row r="10907" spans="1:18" ht="12.75" customHeight="1">
      <c r="A10907" s="628" t="s">
        <v>19955</v>
      </c>
      <c r="B10907" s="629"/>
      <c r="C10907" s="629"/>
      <c r="D10907" s="629"/>
      <c r="E10907" s="629"/>
      <c r="F10907" s="629"/>
      <c r="G10907" s="629"/>
      <c r="H10907" s="629"/>
      <c r="I10907" s="629"/>
      <c r="J10907" s="629"/>
      <c r="K10907" s="629"/>
      <c r="L10907" s="629"/>
      <c r="M10907" s="629"/>
      <c r="N10907" s="629"/>
      <c r="O10907" s="629"/>
      <c r="P10907" s="629"/>
      <c r="Q10907" s="629"/>
      <c r="R10907" s="629"/>
    </row>
    <row r="10908" spans="1:18" ht="36">
      <c r="A10908" s="294">
        <v>228</v>
      </c>
      <c r="B10908" s="291" t="s">
        <v>19956</v>
      </c>
      <c r="C10908" s="295" t="s">
        <v>19957</v>
      </c>
      <c r="D10908" s="296">
        <v>531.67999999999995</v>
      </c>
      <c r="E10908" s="296">
        <v>390.24</v>
      </c>
      <c r="F10908" s="296">
        <v>123.53</v>
      </c>
      <c r="G10908" s="296">
        <v>17.91</v>
      </c>
      <c r="H10908" s="297">
        <v>5300.02</v>
      </c>
      <c r="I10908" s="297">
        <v>4487.76</v>
      </c>
      <c r="J10908" s="297">
        <v>668.87</v>
      </c>
      <c r="K10908" s="297">
        <v>143.38999999999999</v>
      </c>
      <c r="L10908" s="43">
        <v>9.9684396629551628</v>
      </c>
      <c r="M10908" s="43">
        <v>11.5</v>
      </c>
      <c r="N10908" s="43">
        <v>5.4146361207803775</v>
      </c>
      <c r="O10908" s="43">
        <v>8.0061418202121715</v>
      </c>
      <c r="P10908" s="298"/>
      <c r="Q10908" s="298"/>
      <c r="R10908" s="298">
        <v>2</v>
      </c>
    </row>
    <row r="10909" spans="1:18" ht="36">
      <c r="A10909" s="294">
        <v>229</v>
      </c>
      <c r="B10909" s="291" t="s">
        <v>19958</v>
      </c>
      <c r="C10909" s="295" t="s">
        <v>19959</v>
      </c>
      <c r="D10909" s="296">
        <v>579.83000000000004</v>
      </c>
      <c r="E10909" s="296">
        <v>426.01</v>
      </c>
      <c r="F10909" s="296">
        <v>135.19</v>
      </c>
      <c r="G10909" s="296">
        <v>18.63</v>
      </c>
      <c r="H10909" s="297">
        <v>5782.95</v>
      </c>
      <c r="I10909" s="297">
        <v>4899.1400000000003</v>
      </c>
      <c r="J10909" s="297">
        <v>732.14</v>
      </c>
      <c r="K10909" s="297">
        <v>151.66999999999999</v>
      </c>
      <c r="L10909" s="43">
        <v>9.9735267233499467</v>
      </c>
      <c r="M10909" s="43">
        <v>11.500058684068451</v>
      </c>
      <c r="N10909" s="43">
        <v>5.4156372512759816</v>
      </c>
      <c r="O10909" s="43">
        <v>8.141170155662909</v>
      </c>
      <c r="P10909" s="298"/>
      <c r="Q10909" s="298"/>
      <c r="R10909" s="298">
        <v>2</v>
      </c>
    </row>
    <row r="10910" spans="1:18" ht="36">
      <c r="A10910" s="294">
        <v>230</v>
      </c>
      <c r="B10910" s="291" t="s">
        <v>19960</v>
      </c>
      <c r="C10910" s="295" t="s">
        <v>19961</v>
      </c>
      <c r="D10910" s="296">
        <v>700.22</v>
      </c>
      <c r="E10910" s="296">
        <v>474.79</v>
      </c>
      <c r="F10910" s="296">
        <v>204.26</v>
      </c>
      <c r="G10910" s="296">
        <v>21.17</v>
      </c>
      <c r="H10910" s="297">
        <v>6733.63</v>
      </c>
      <c r="I10910" s="297">
        <v>5460.11</v>
      </c>
      <c r="J10910" s="297">
        <v>1102.24</v>
      </c>
      <c r="K10910" s="297">
        <v>171.28</v>
      </c>
      <c r="L10910" s="43">
        <v>9.6164491159921166</v>
      </c>
      <c r="M10910" s="43">
        <v>11.500052654857935</v>
      </c>
      <c r="N10910" s="43">
        <v>5.3962596690492513</v>
      </c>
      <c r="O10910" s="43">
        <v>8.090694378837977</v>
      </c>
      <c r="P10910" s="298"/>
      <c r="Q10910" s="298"/>
      <c r="R10910" s="298">
        <v>2</v>
      </c>
    </row>
    <row r="10911" spans="1:18" ht="36">
      <c r="A10911" s="294">
        <v>231</v>
      </c>
      <c r="B10911" s="291" t="s">
        <v>19962</v>
      </c>
      <c r="C10911" s="295" t="s">
        <v>19963</v>
      </c>
      <c r="D10911" s="296">
        <v>2210.66</v>
      </c>
      <c r="E10911" s="296">
        <v>1246.5999999999999</v>
      </c>
      <c r="F10911" s="296">
        <v>922.71</v>
      </c>
      <c r="G10911" s="296">
        <v>41.35</v>
      </c>
      <c r="H10911" s="297">
        <v>19624.05</v>
      </c>
      <c r="I10911" s="297">
        <v>14335.9</v>
      </c>
      <c r="J10911" s="297">
        <v>4914.45</v>
      </c>
      <c r="K10911" s="297">
        <v>373.7</v>
      </c>
      <c r="L10911" s="43">
        <v>8.8770095808491583</v>
      </c>
      <c r="M10911" s="43">
        <v>11.5</v>
      </c>
      <c r="N10911" s="43">
        <v>5.3261046265890686</v>
      </c>
      <c r="O10911" s="43">
        <v>9.0374848851269647</v>
      </c>
      <c r="P10911" s="298"/>
      <c r="Q10911" s="298"/>
      <c r="R10911" s="298">
        <v>2</v>
      </c>
    </row>
    <row r="10912" spans="1:18" ht="36">
      <c r="A10912" s="294">
        <v>232</v>
      </c>
      <c r="B10912" s="291" t="s">
        <v>19964</v>
      </c>
      <c r="C10912" s="295" t="s">
        <v>19965</v>
      </c>
      <c r="D10912" s="296">
        <v>2790.27</v>
      </c>
      <c r="E10912" s="296">
        <v>1560.96</v>
      </c>
      <c r="F10912" s="296">
        <v>1172.46</v>
      </c>
      <c r="G10912" s="296">
        <v>56.85</v>
      </c>
      <c r="H10912" s="297">
        <v>24693.11</v>
      </c>
      <c r="I10912" s="297">
        <v>17951.04</v>
      </c>
      <c r="J10912" s="297">
        <v>6247.63</v>
      </c>
      <c r="K10912" s="297">
        <v>494.44</v>
      </c>
      <c r="L10912" s="43">
        <v>8.8497206363541885</v>
      </c>
      <c r="M10912" s="43">
        <v>11.5</v>
      </c>
      <c r="N10912" s="43">
        <v>5.3286508708186204</v>
      </c>
      <c r="O10912" s="43">
        <v>8.6972735268249775</v>
      </c>
      <c r="P10912" s="298"/>
      <c r="Q10912" s="298"/>
      <c r="R10912" s="298">
        <v>2</v>
      </c>
    </row>
    <row r="10913" spans="1:18" ht="12.75" customHeight="1">
      <c r="A10913" s="628" t="s">
        <v>19966</v>
      </c>
      <c r="B10913" s="629"/>
      <c r="C10913" s="629"/>
      <c r="D10913" s="629"/>
      <c r="E10913" s="629"/>
      <c r="F10913" s="629"/>
      <c r="G10913" s="629"/>
      <c r="H10913" s="629"/>
      <c r="I10913" s="629"/>
      <c r="J10913" s="629"/>
      <c r="K10913" s="629"/>
      <c r="L10913" s="629"/>
      <c r="M10913" s="629"/>
      <c r="N10913" s="629"/>
      <c r="O10913" s="629"/>
      <c r="P10913" s="629"/>
      <c r="Q10913" s="629"/>
      <c r="R10913" s="629"/>
    </row>
    <row r="10914" spans="1:18" ht="12.75" customHeight="1">
      <c r="A10914" s="628" t="s">
        <v>19967</v>
      </c>
      <c r="B10914" s="629"/>
      <c r="C10914" s="629"/>
      <c r="D10914" s="629"/>
      <c r="E10914" s="629"/>
      <c r="F10914" s="629"/>
      <c r="G10914" s="629"/>
      <c r="H10914" s="629"/>
      <c r="I10914" s="629"/>
      <c r="J10914" s="629"/>
      <c r="K10914" s="629"/>
      <c r="L10914" s="629"/>
      <c r="M10914" s="629"/>
      <c r="N10914" s="629"/>
      <c r="O10914" s="629"/>
      <c r="P10914" s="629"/>
      <c r="Q10914" s="629"/>
      <c r="R10914" s="629"/>
    </row>
    <row r="10915" spans="1:18" ht="24">
      <c r="A10915" s="294">
        <v>233</v>
      </c>
      <c r="B10915" s="291" t="s">
        <v>19968</v>
      </c>
      <c r="C10915" s="295" t="s">
        <v>19969</v>
      </c>
      <c r="D10915" s="296">
        <v>69.14</v>
      </c>
      <c r="E10915" s="296">
        <v>63.71</v>
      </c>
      <c r="F10915" s="296"/>
      <c r="G10915" s="296">
        <v>5.43</v>
      </c>
      <c r="H10915" s="297">
        <v>768.81</v>
      </c>
      <c r="I10915" s="297">
        <v>732.64</v>
      </c>
      <c r="J10915" s="297"/>
      <c r="K10915" s="297">
        <v>36.17</v>
      </c>
      <c r="L10915" s="43">
        <v>11.119612380676887</v>
      </c>
      <c r="M10915" s="43">
        <v>11.499607596923559</v>
      </c>
      <c r="N10915" s="43" t="s">
        <v>1690</v>
      </c>
      <c r="O10915" s="43">
        <v>6.6611418047882145</v>
      </c>
      <c r="P10915" s="298"/>
      <c r="Q10915" s="298"/>
      <c r="R10915" s="298">
        <v>1</v>
      </c>
    </row>
    <row r="10916" spans="1:18" ht="24">
      <c r="A10916" s="294">
        <v>234</v>
      </c>
      <c r="B10916" s="291" t="s">
        <v>19970</v>
      </c>
      <c r="C10916" s="295" t="s">
        <v>19971</v>
      </c>
      <c r="D10916" s="296">
        <v>82.14</v>
      </c>
      <c r="E10916" s="296">
        <v>76.45</v>
      </c>
      <c r="F10916" s="296"/>
      <c r="G10916" s="296">
        <v>5.69</v>
      </c>
      <c r="H10916" s="297">
        <v>918.33</v>
      </c>
      <c r="I10916" s="297">
        <v>879.17</v>
      </c>
      <c r="J10916" s="297"/>
      <c r="K10916" s="297">
        <v>39.159999999999997</v>
      </c>
      <c r="L10916" s="43">
        <v>11.180058436815195</v>
      </c>
      <c r="M10916" s="43">
        <v>11.499934597776324</v>
      </c>
      <c r="N10916" s="43" t="s">
        <v>1690</v>
      </c>
      <c r="O10916" s="43">
        <v>6.8822495606326877</v>
      </c>
      <c r="P10916" s="298"/>
      <c r="Q10916" s="298"/>
      <c r="R10916" s="298">
        <v>1</v>
      </c>
    </row>
    <row r="10917" spans="1:18" ht="24">
      <c r="A10917" s="294">
        <v>235</v>
      </c>
      <c r="B10917" s="291" t="s">
        <v>19972</v>
      </c>
      <c r="C10917" s="295" t="s">
        <v>19973</v>
      </c>
      <c r="D10917" s="296">
        <v>108.13</v>
      </c>
      <c r="E10917" s="296">
        <v>101.93</v>
      </c>
      <c r="F10917" s="296"/>
      <c r="G10917" s="296">
        <v>6.2</v>
      </c>
      <c r="H10917" s="297">
        <v>1217.24</v>
      </c>
      <c r="I10917" s="297">
        <v>1172.22</v>
      </c>
      <c r="J10917" s="297"/>
      <c r="K10917" s="297">
        <v>45.02</v>
      </c>
      <c r="L10917" s="43">
        <v>11.257190418940166</v>
      </c>
      <c r="M10917" s="43">
        <v>11.500245266359265</v>
      </c>
      <c r="N10917" s="43" t="s">
        <v>1690</v>
      </c>
      <c r="O10917" s="43">
        <v>7.2612903225806456</v>
      </c>
      <c r="P10917" s="298"/>
      <c r="Q10917" s="298"/>
      <c r="R10917" s="298">
        <v>1</v>
      </c>
    </row>
    <row r="10918" spans="1:18" ht="24">
      <c r="A10918" s="294">
        <v>236</v>
      </c>
      <c r="B10918" s="291" t="s">
        <v>19974</v>
      </c>
      <c r="C10918" s="295" t="s">
        <v>19975</v>
      </c>
      <c r="D10918" s="296">
        <v>136.19999999999999</v>
      </c>
      <c r="E10918" s="296">
        <v>127.41</v>
      </c>
      <c r="F10918" s="296"/>
      <c r="G10918" s="296">
        <v>8.7899999999999991</v>
      </c>
      <c r="H10918" s="297">
        <v>1526.95</v>
      </c>
      <c r="I10918" s="297">
        <v>1465.28</v>
      </c>
      <c r="J10918" s="297"/>
      <c r="K10918" s="297">
        <v>61.67</v>
      </c>
      <c r="L10918" s="43">
        <v>11.211086637298092</v>
      </c>
      <c r="M10918" s="43">
        <v>11.50051016403736</v>
      </c>
      <c r="N10918" s="43" t="s">
        <v>1690</v>
      </c>
      <c r="O10918" s="43">
        <v>7.0159271899886244</v>
      </c>
      <c r="P10918" s="298"/>
      <c r="Q10918" s="298"/>
      <c r="R10918" s="298">
        <v>1</v>
      </c>
    </row>
    <row r="10919" spans="1:18" ht="24">
      <c r="A10919" s="294">
        <v>237</v>
      </c>
      <c r="B10919" s="291" t="s">
        <v>19976</v>
      </c>
      <c r="C10919" s="295" t="s">
        <v>19977</v>
      </c>
      <c r="D10919" s="296">
        <v>175.32</v>
      </c>
      <c r="E10919" s="296">
        <v>165.76</v>
      </c>
      <c r="F10919" s="296"/>
      <c r="G10919" s="296">
        <v>9.56</v>
      </c>
      <c r="H10919" s="297">
        <v>1976.8</v>
      </c>
      <c r="I10919" s="297">
        <v>1906.28</v>
      </c>
      <c r="J10919" s="297"/>
      <c r="K10919" s="297">
        <v>70.52</v>
      </c>
      <c r="L10919" s="43">
        <v>11.275382158339037</v>
      </c>
      <c r="M10919" s="43">
        <v>11.500241312741313</v>
      </c>
      <c r="N10919" s="43" t="s">
        <v>1690</v>
      </c>
      <c r="O10919" s="43">
        <v>7.3765690376569033</v>
      </c>
      <c r="P10919" s="298"/>
      <c r="Q10919" s="298"/>
      <c r="R10919" s="298">
        <v>1</v>
      </c>
    </row>
    <row r="10920" spans="1:18" ht="24">
      <c r="A10920" s="294">
        <v>238</v>
      </c>
      <c r="B10920" s="291" t="s">
        <v>19978</v>
      </c>
      <c r="C10920" s="295" t="s">
        <v>19979</v>
      </c>
      <c r="D10920" s="296">
        <v>92.8</v>
      </c>
      <c r="E10920" s="296">
        <v>89.19</v>
      </c>
      <c r="F10920" s="296"/>
      <c r="G10920" s="296">
        <v>3.61</v>
      </c>
      <c r="H10920" s="297">
        <v>1056.27</v>
      </c>
      <c r="I10920" s="297">
        <v>1025.69</v>
      </c>
      <c r="J10920" s="297"/>
      <c r="K10920" s="297">
        <v>30.58</v>
      </c>
      <c r="L10920" s="43">
        <v>11.382219827586207</v>
      </c>
      <c r="M10920" s="43">
        <v>11.500056060096425</v>
      </c>
      <c r="N10920" s="43" t="s">
        <v>1690</v>
      </c>
      <c r="O10920" s="43">
        <v>8.4709141274238231</v>
      </c>
      <c r="P10920" s="298"/>
      <c r="Q10920" s="298"/>
      <c r="R10920" s="298">
        <v>1</v>
      </c>
    </row>
    <row r="10921" spans="1:18" ht="24">
      <c r="A10921" s="294">
        <v>239</v>
      </c>
      <c r="B10921" s="291" t="s">
        <v>19980</v>
      </c>
      <c r="C10921" s="295" t="s">
        <v>19981</v>
      </c>
      <c r="D10921" s="296">
        <v>121.29</v>
      </c>
      <c r="E10921" s="296">
        <v>114.67</v>
      </c>
      <c r="F10921" s="296"/>
      <c r="G10921" s="296">
        <v>6.62</v>
      </c>
      <c r="H10921" s="297">
        <v>1368.14</v>
      </c>
      <c r="I10921" s="297">
        <v>1318.75</v>
      </c>
      <c r="J10921" s="297"/>
      <c r="K10921" s="297">
        <v>49.39</v>
      </c>
      <c r="L10921" s="43">
        <v>11.279907659328881</v>
      </c>
      <c r="M10921" s="43">
        <v>11.500392430452603</v>
      </c>
      <c r="N10921" s="43" t="s">
        <v>1690</v>
      </c>
      <c r="O10921" s="43">
        <v>7.4607250755287007</v>
      </c>
      <c r="P10921" s="298"/>
      <c r="Q10921" s="298"/>
      <c r="R10921" s="298">
        <v>1</v>
      </c>
    </row>
    <row r="10922" spans="1:18" ht="24">
      <c r="A10922" s="294">
        <v>240</v>
      </c>
      <c r="B10922" s="291" t="s">
        <v>19982</v>
      </c>
      <c r="C10922" s="295" t="s">
        <v>19983</v>
      </c>
      <c r="D10922" s="296">
        <v>148.99</v>
      </c>
      <c r="E10922" s="296">
        <v>139.78</v>
      </c>
      <c r="F10922" s="296"/>
      <c r="G10922" s="296">
        <v>9.2100000000000009</v>
      </c>
      <c r="H10922" s="297">
        <v>1673.57</v>
      </c>
      <c r="I10922" s="297">
        <v>1607.54</v>
      </c>
      <c r="J10922" s="297"/>
      <c r="K10922" s="297">
        <v>66.03</v>
      </c>
      <c r="L10922" s="43">
        <v>11.232767299818779</v>
      </c>
      <c r="M10922" s="43">
        <v>11.500500786950923</v>
      </c>
      <c r="N10922" s="43" t="s">
        <v>1690</v>
      </c>
      <c r="O10922" s="43">
        <v>7.1693811074918559</v>
      </c>
      <c r="P10922" s="298"/>
      <c r="Q10922" s="298"/>
      <c r="R10922" s="298">
        <v>1</v>
      </c>
    </row>
    <row r="10923" spans="1:18" ht="24">
      <c r="A10923" s="294">
        <v>241</v>
      </c>
      <c r="B10923" s="291" t="s">
        <v>19984</v>
      </c>
      <c r="C10923" s="295" t="s">
        <v>19985</v>
      </c>
      <c r="D10923" s="296">
        <v>177.57</v>
      </c>
      <c r="E10923" s="296">
        <v>165.76</v>
      </c>
      <c r="F10923" s="296"/>
      <c r="G10923" s="296">
        <v>11.81</v>
      </c>
      <c r="H10923" s="297">
        <v>1989.07</v>
      </c>
      <c r="I10923" s="297">
        <v>1906.28</v>
      </c>
      <c r="J10923" s="297"/>
      <c r="K10923" s="297">
        <v>82.79</v>
      </c>
      <c r="L10923" s="43">
        <v>11.201610632426648</v>
      </c>
      <c r="M10923" s="43">
        <v>11.500241312741313</v>
      </c>
      <c r="N10923" s="43" t="s">
        <v>1690</v>
      </c>
      <c r="O10923" s="43">
        <v>7.0101608806096527</v>
      </c>
      <c r="P10923" s="298"/>
      <c r="Q10923" s="298"/>
      <c r="R10923" s="298">
        <v>1</v>
      </c>
    </row>
    <row r="10924" spans="1:18" ht="24">
      <c r="A10924" s="294">
        <v>242</v>
      </c>
      <c r="B10924" s="291" t="s">
        <v>19986</v>
      </c>
      <c r="C10924" s="295" t="s">
        <v>19987</v>
      </c>
      <c r="D10924" s="296">
        <v>146.74</v>
      </c>
      <c r="E10924" s="296">
        <v>139.78</v>
      </c>
      <c r="F10924" s="296"/>
      <c r="G10924" s="296">
        <v>6.96</v>
      </c>
      <c r="H10924" s="297">
        <v>1661.3</v>
      </c>
      <c r="I10924" s="297">
        <v>1607.54</v>
      </c>
      <c r="J10924" s="297"/>
      <c r="K10924" s="297">
        <v>53.76</v>
      </c>
      <c r="L10924" s="43">
        <v>11.321384762164371</v>
      </c>
      <c r="M10924" s="43">
        <v>11.500500786950923</v>
      </c>
      <c r="N10924" s="43" t="s">
        <v>1690</v>
      </c>
      <c r="O10924" s="43">
        <v>7.7241379310344822</v>
      </c>
      <c r="P10924" s="298"/>
      <c r="Q10924" s="298"/>
      <c r="R10924" s="298">
        <v>1</v>
      </c>
    </row>
    <row r="10925" spans="1:18" ht="24">
      <c r="A10925" s="294">
        <v>243</v>
      </c>
      <c r="B10925" s="291" t="s">
        <v>19988</v>
      </c>
      <c r="C10925" s="295" t="s">
        <v>19989</v>
      </c>
      <c r="D10925" s="296">
        <v>173.24</v>
      </c>
      <c r="E10925" s="296">
        <v>165.76</v>
      </c>
      <c r="F10925" s="296"/>
      <c r="G10925" s="296">
        <v>7.48</v>
      </c>
      <c r="H10925" s="297">
        <v>1966.02</v>
      </c>
      <c r="I10925" s="297">
        <v>1906.28</v>
      </c>
      <c r="J10925" s="297"/>
      <c r="K10925" s="297">
        <v>59.74</v>
      </c>
      <c r="L10925" s="43">
        <v>11.348533825906257</v>
      </c>
      <c r="M10925" s="43">
        <v>11.500241312741313</v>
      </c>
      <c r="N10925" s="43" t="s">
        <v>1690</v>
      </c>
      <c r="O10925" s="43">
        <v>7.9866310160427805</v>
      </c>
      <c r="P10925" s="298"/>
      <c r="Q10925" s="298"/>
      <c r="R10925" s="298">
        <v>1</v>
      </c>
    </row>
    <row r="10926" spans="1:18" ht="24">
      <c r="A10926" s="294">
        <v>244</v>
      </c>
      <c r="B10926" s="291" t="s">
        <v>19990</v>
      </c>
      <c r="C10926" s="295" t="s">
        <v>19991</v>
      </c>
      <c r="D10926" s="296">
        <v>227.05</v>
      </c>
      <c r="E10926" s="296">
        <v>216.48</v>
      </c>
      <c r="F10926" s="296"/>
      <c r="G10926" s="296">
        <v>10.57</v>
      </c>
      <c r="H10926" s="297">
        <v>2571.69</v>
      </c>
      <c r="I10926" s="297">
        <v>2489.5500000000002</v>
      </c>
      <c r="J10926" s="297"/>
      <c r="K10926" s="297">
        <v>82.14</v>
      </c>
      <c r="L10926" s="43">
        <v>11.326536005285179</v>
      </c>
      <c r="M10926" s="43">
        <v>11.500138580931266</v>
      </c>
      <c r="N10926" s="43" t="s">
        <v>1690</v>
      </c>
      <c r="O10926" s="43">
        <v>7.7710501419110685</v>
      </c>
      <c r="P10926" s="298"/>
      <c r="Q10926" s="298"/>
      <c r="R10926" s="298">
        <v>1</v>
      </c>
    </row>
    <row r="10927" spans="1:18" ht="24">
      <c r="A10927" s="294">
        <v>245</v>
      </c>
      <c r="B10927" s="291" t="s">
        <v>19992</v>
      </c>
      <c r="C10927" s="295" t="s">
        <v>19993</v>
      </c>
      <c r="D10927" s="296">
        <v>317.89</v>
      </c>
      <c r="E10927" s="296">
        <v>305.54000000000002</v>
      </c>
      <c r="F10927" s="296"/>
      <c r="G10927" s="296">
        <v>12.35</v>
      </c>
      <c r="H10927" s="297">
        <v>3616.43</v>
      </c>
      <c r="I10927" s="297">
        <v>3513.82</v>
      </c>
      <c r="J10927" s="297"/>
      <c r="K10927" s="297">
        <v>102.61</v>
      </c>
      <c r="L10927" s="43">
        <v>11.376356601340087</v>
      </c>
      <c r="M10927" s="43">
        <v>11.500360018328205</v>
      </c>
      <c r="N10927" s="43" t="s">
        <v>1690</v>
      </c>
      <c r="O10927" s="43">
        <v>8.3085020242914975</v>
      </c>
      <c r="P10927" s="298"/>
      <c r="Q10927" s="298"/>
      <c r="R10927" s="298">
        <v>1</v>
      </c>
    </row>
    <row r="10928" spans="1:18" ht="24">
      <c r="A10928" s="294">
        <v>246</v>
      </c>
      <c r="B10928" s="291" t="s">
        <v>19994</v>
      </c>
      <c r="C10928" s="295" t="s">
        <v>19995</v>
      </c>
      <c r="D10928" s="296">
        <v>209.02</v>
      </c>
      <c r="E10928" s="296">
        <v>204.11</v>
      </c>
      <c r="F10928" s="296"/>
      <c r="G10928" s="296">
        <v>4.91</v>
      </c>
      <c r="H10928" s="297">
        <v>2398.52</v>
      </c>
      <c r="I10928" s="297">
        <v>2347.29</v>
      </c>
      <c r="J10928" s="297"/>
      <c r="K10928" s="297">
        <v>51.23</v>
      </c>
      <c r="L10928" s="43">
        <v>11.475074155583197</v>
      </c>
      <c r="M10928" s="43">
        <v>11.500122482974865</v>
      </c>
      <c r="N10928" s="43" t="s">
        <v>1690</v>
      </c>
      <c r="O10928" s="43">
        <v>10.433808553971486</v>
      </c>
      <c r="P10928" s="298"/>
      <c r="Q10928" s="298"/>
      <c r="R10928" s="298">
        <v>1</v>
      </c>
    </row>
    <row r="10929" spans="1:18" ht="24">
      <c r="A10929" s="294">
        <v>247</v>
      </c>
      <c r="B10929" s="291" t="s">
        <v>19996</v>
      </c>
      <c r="C10929" s="295" t="s">
        <v>19997</v>
      </c>
      <c r="D10929" s="296">
        <v>234.26</v>
      </c>
      <c r="E10929" s="296">
        <v>228.85</v>
      </c>
      <c r="F10929" s="296"/>
      <c r="G10929" s="296">
        <v>5.41</v>
      </c>
      <c r="H10929" s="297">
        <v>2688.79</v>
      </c>
      <c r="I10929" s="297">
        <v>2631.81</v>
      </c>
      <c r="J10929" s="297"/>
      <c r="K10929" s="297">
        <v>56.98</v>
      </c>
      <c r="L10929" s="43">
        <v>11.477802441731409</v>
      </c>
      <c r="M10929" s="43">
        <v>11.500152938606075</v>
      </c>
      <c r="N10929" s="43" t="s">
        <v>1690</v>
      </c>
      <c r="O10929" s="43">
        <v>10.532347504621072</v>
      </c>
      <c r="P10929" s="298"/>
      <c r="Q10929" s="298"/>
      <c r="R10929" s="298">
        <v>1</v>
      </c>
    </row>
    <row r="10930" spans="1:18" ht="24">
      <c r="A10930" s="294">
        <v>248</v>
      </c>
      <c r="B10930" s="291" t="s">
        <v>19998</v>
      </c>
      <c r="C10930" s="295" t="s">
        <v>19999</v>
      </c>
      <c r="D10930" s="296">
        <v>287.25</v>
      </c>
      <c r="E10930" s="296">
        <v>280.8</v>
      </c>
      <c r="F10930" s="296"/>
      <c r="G10930" s="296">
        <v>6.45</v>
      </c>
      <c r="H10930" s="297">
        <v>3298.24</v>
      </c>
      <c r="I10930" s="297">
        <v>3229.3</v>
      </c>
      <c r="J10930" s="297"/>
      <c r="K10930" s="297">
        <v>68.94</v>
      </c>
      <c r="L10930" s="43">
        <v>11.482123585726718</v>
      </c>
      <c r="M10930" s="43">
        <v>11.500356125356126</v>
      </c>
      <c r="N10930" s="43" t="s">
        <v>1690</v>
      </c>
      <c r="O10930" s="43">
        <v>10.688372093023256</v>
      </c>
      <c r="P10930" s="298"/>
      <c r="Q10930" s="298"/>
      <c r="R10930" s="298">
        <v>1</v>
      </c>
    </row>
    <row r="10931" spans="1:18" ht="24">
      <c r="A10931" s="294">
        <v>249</v>
      </c>
      <c r="B10931" s="291" t="s">
        <v>20000</v>
      </c>
      <c r="C10931" s="295" t="s">
        <v>20001</v>
      </c>
      <c r="D10931" s="296">
        <v>327.19</v>
      </c>
      <c r="E10931" s="296">
        <v>319.14999999999998</v>
      </c>
      <c r="F10931" s="296"/>
      <c r="G10931" s="296">
        <v>8.0399999999999991</v>
      </c>
      <c r="H10931" s="297">
        <v>3752.3</v>
      </c>
      <c r="I10931" s="297">
        <v>3670.31</v>
      </c>
      <c r="J10931" s="297"/>
      <c r="K10931" s="297">
        <v>81.99</v>
      </c>
      <c r="L10931" s="43">
        <v>11.46826003239708</v>
      </c>
      <c r="M10931" s="43">
        <v>11.500266332445559</v>
      </c>
      <c r="N10931" s="43" t="s">
        <v>1690</v>
      </c>
      <c r="O10931" s="43">
        <v>10.197761194029852</v>
      </c>
      <c r="P10931" s="298"/>
      <c r="Q10931" s="298"/>
      <c r="R10931" s="298">
        <v>1</v>
      </c>
    </row>
    <row r="10932" spans="1:18" ht="24">
      <c r="A10932" s="294">
        <v>250</v>
      </c>
      <c r="B10932" s="291" t="s">
        <v>20002</v>
      </c>
      <c r="C10932" s="295" t="s">
        <v>20003</v>
      </c>
      <c r="D10932" s="296">
        <v>303.19</v>
      </c>
      <c r="E10932" s="296">
        <v>293.17</v>
      </c>
      <c r="F10932" s="296"/>
      <c r="G10932" s="296">
        <v>10.02</v>
      </c>
      <c r="H10932" s="297">
        <v>3460.51</v>
      </c>
      <c r="I10932" s="297">
        <v>3371.56</v>
      </c>
      <c r="J10932" s="297"/>
      <c r="K10932" s="297">
        <v>88.95</v>
      </c>
      <c r="L10932" s="43">
        <v>11.4136679969656</v>
      </c>
      <c r="M10932" s="43">
        <v>11.500358153972098</v>
      </c>
      <c r="N10932" s="43" t="s">
        <v>1690</v>
      </c>
      <c r="O10932" s="43">
        <v>8.8772455089820372</v>
      </c>
      <c r="P10932" s="298"/>
      <c r="Q10932" s="298"/>
      <c r="R10932" s="298">
        <v>1</v>
      </c>
    </row>
    <row r="10933" spans="1:18" ht="24">
      <c r="A10933" s="294">
        <v>251</v>
      </c>
      <c r="B10933" s="291" t="s">
        <v>20004</v>
      </c>
      <c r="C10933" s="295" t="s">
        <v>20005</v>
      </c>
      <c r="D10933" s="296">
        <v>459.65</v>
      </c>
      <c r="E10933" s="296">
        <v>446.56</v>
      </c>
      <c r="F10933" s="296"/>
      <c r="G10933" s="296">
        <v>13.09</v>
      </c>
      <c r="H10933" s="297">
        <v>5259.85</v>
      </c>
      <c r="I10933" s="297">
        <v>5135.59</v>
      </c>
      <c r="J10933" s="297"/>
      <c r="K10933" s="297">
        <v>124.26</v>
      </c>
      <c r="L10933" s="43">
        <v>11.443163276405963</v>
      </c>
      <c r="M10933" s="43">
        <v>11.500335901110713</v>
      </c>
      <c r="N10933" s="43" t="s">
        <v>1690</v>
      </c>
      <c r="O10933" s="43">
        <v>9.4927425515660815</v>
      </c>
      <c r="P10933" s="298"/>
      <c r="Q10933" s="298"/>
      <c r="R10933" s="298">
        <v>1</v>
      </c>
    </row>
    <row r="10934" spans="1:18" ht="24">
      <c r="A10934" s="294">
        <v>252</v>
      </c>
      <c r="B10934" s="291" t="s">
        <v>20006</v>
      </c>
      <c r="C10934" s="295" t="s">
        <v>20007</v>
      </c>
      <c r="D10934" s="296">
        <v>567.27</v>
      </c>
      <c r="E10934" s="296">
        <v>547.99</v>
      </c>
      <c r="F10934" s="296"/>
      <c r="G10934" s="296">
        <v>19.28</v>
      </c>
      <c r="H10934" s="297">
        <v>6471.28</v>
      </c>
      <c r="I10934" s="297">
        <v>6302.12</v>
      </c>
      <c r="J10934" s="297"/>
      <c r="K10934" s="297">
        <v>169.16</v>
      </c>
      <c r="L10934" s="43">
        <v>11.407759973205</v>
      </c>
      <c r="M10934" s="43">
        <v>11.500428839942334</v>
      </c>
      <c r="N10934" s="43" t="s">
        <v>1690</v>
      </c>
      <c r="O10934" s="43">
        <v>8.7738589211618248</v>
      </c>
      <c r="P10934" s="298"/>
      <c r="Q10934" s="298"/>
      <c r="R10934" s="298">
        <v>1</v>
      </c>
    </row>
    <row r="10935" spans="1:18" ht="24">
      <c r="A10935" s="294">
        <v>253</v>
      </c>
      <c r="B10935" s="291" t="s">
        <v>20008</v>
      </c>
      <c r="C10935" s="295" t="s">
        <v>20009</v>
      </c>
      <c r="D10935" s="296">
        <v>697.23</v>
      </c>
      <c r="E10935" s="296">
        <v>675.4</v>
      </c>
      <c r="F10935" s="296"/>
      <c r="G10935" s="296">
        <v>21.83</v>
      </c>
      <c r="H10935" s="297">
        <v>7965.89</v>
      </c>
      <c r="I10935" s="297">
        <v>7767.4</v>
      </c>
      <c r="J10935" s="297"/>
      <c r="K10935" s="297">
        <v>198.49</v>
      </c>
      <c r="L10935" s="43">
        <v>11.425053425698836</v>
      </c>
      <c r="M10935" s="43">
        <v>11.500444181225941</v>
      </c>
      <c r="N10935" s="43" t="s">
        <v>1690</v>
      </c>
      <c r="O10935" s="43">
        <v>9.0925332111772796</v>
      </c>
      <c r="P10935" s="298"/>
      <c r="Q10935" s="298"/>
      <c r="R10935" s="298">
        <v>1</v>
      </c>
    </row>
    <row r="10936" spans="1:18" ht="24">
      <c r="A10936" s="299">
        <v>254</v>
      </c>
      <c r="B10936" s="300" t="s">
        <v>20010</v>
      </c>
      <c r="C10936" s="301" t="s">
        <v>20011</v>
      </c>
      <c r="D10936" s="302">
        <v>169.42</v>
      </c>
      <c r="E10936" s="302">
        <v>165.76</v>
      </c>
      <c r="F10936" s="302"/>
      <c r="G10936" s="302">
        <v>3.66</v>
      </c>
      <c r="H10936" s="303">
        <v>1947.44</v>
      </c>
      <c r="I10936" s="303">
        <v>1906.28</v>
      </c>
      <c r="J10936" s="303"/>
      <c r="K10936" s="303">
        <v>41.16</v>
      </c>
      <c r="L10936" s="611">
        <v>11.494746783142487</v>
      </c>
      <c r="M10936" s="611">
        <v>11.500241312741313</v>
      </c>
      <c r="N10936" s="611" t="s">
        <v>1690</v>
      </c>
      <c r="O10936" s="611">
        <v>11.245901639344261</v>
      </c>
      <c r="P10936" s="304"/>
      <c r="Q10936" s="304"/>
      <c r="R10936" s="304">
        <v>1</v>
      </c>
    </row>
    <row r="10937" spans="1:18" ht="12.75" customHeight="1">
      <c r="A10937" s="630" t="s">
        <v>20012</v>
      </c>
      <c r="B10937" s="631"/>
      <c r="C10937" s="631"/>
      <c r="D10937" s="631"/>
      <c r="E10937" s="631"/>
      <c r="F10937" s="631"/>
      <c r="G10937" s="631"/>
      <c r="H10937" s="631"/>
      <c r="I10937" s="631"/>
      <c r="J10937" s="631"/>
      <c r="K10937" s="631"/>
      <c r="L10937" s="631"/>
      <c r="M10937" s="631"/>
      <c r="N10937" s="631"/>
      <c r="O10937" s="631"/>
      <c r="P10937" s="631"/>
      <c r="Q10937" s="631"/>
      <c r="R10937" s="631"/>
    </row>
    <row r="10938" spans="1:18" ht="12.75" customHeight="1">
      <c r="A10938" s="628" t="s">
        <v>20013</v>
      </c>
      <c r="B10938" s="629"/>
      <c r="C10938" s="629"/>
      <c r="D10938" s="629"/>
      <c r="E10938" s="629"/>
      <c r="F10938" s="629"/>
      <c r="G10938" s="629"/>
      <c r="H10938" s="629"/>
      <c r="I10938" s="629"/>
      <c r="J10938" s="629"/>
      <c r="K10938" s="629"/>
      <c r="L10938" s="629"/>
      <c r="M10938" s="629"/>
      <c r="N10938" s="629"/>
      <c r="O10938" s="629"/>
      <c r="P10938" s="629"/>
      <c r="Q10938" s="629"/>
      <c r="R10938" s="629"/>
    </row>
    <row r="10939" spans="1:18" ht="12.75" customHeight="1">
      <c r="A10939" s="628" t="s">
        <v>20014</v>
      </c>
      <c r="B10939" s="629"/>
      <c r="C10939" s="629"/>
      <c r="D10939" s="629"/>
      <c r="E10939" s="629"/>
      <c r="F10939" s="629"/>
      <c r="G10939" s="629"/>
      <c r="H10939" s="629"/>
      <c r="I10939" s="629"/>
      <c r="J10939" s="629"/>
      <c r="K10939" s="629"/>
      <c r="L10939" s="629"/>
      <c r="M10939" s="629"/>
      <c r="N10939" s="629"/>
      <c r="O10939" s="629"/>
      <c r="P10939" s="629"/>
      <c r="Q10939" s="629"/>
      <c r="R10939" s="629"/>
    </row>
    <row r="10940" spans="1:18" ht="24">
      <c r="A10940" s="294">
        <v>255</v>
      </c>
      <c r="B10940" s="291" t="s">
        <v>20015</v>
      </c>
      <c r="C10940" s="295" t="s">
        <v>20016</v>
      </c>
      <c r="D10940" s="296">
        <v>20397.62</v>
      </c>
      <c r="E10940" s="296">
        <v>4366.2</v>
      </c>
      <c r="F10940" s="296">
        <v>12327.04</v>
      </c>
      <c r="G10940" s="296">
        <v>3704.38</v>
      </c>
      <c r="H10940" s="297">
        <v>126878.39</v>
      </c>
      <c r="I10940" s="297">
        <v>50213.2</v>
      </c>
      <c r="J10940" s="297">
        <v>60761.31</v>
      </c>
      <c r="K10940" s="297">
        <v>15903.88</v>
      </c>
      <c r="L10940" s="43">
        <v>6.2202546179407205</v>
      </c>
      <c r="M10940" s="43">
        <v>11.500435161009573</v>
      </c>
      <c r="N10940" s="43">
        <v>4.9291078799127765</v>
      </c>
      <c r="O10940" s="43">
        <v>4.293263650057499</v>
      </c>
      <c r="P10940" s="298"/>
      <c r="Q10940" s="298"/>
      <c r="R10940" s="298">
        <v>1</v>
      </c>
    </row>
    <row r="10941" spans="1:18" ht="24">
      <c r="A10941" s="294">
        <v>256</v>
      </c>
      <c r="B10941" s="291" t="s">
        <v>20017</v>
      </c>
      <c r="C10941" s="295" t="s">
        <v>20018</v>
      </c>
      <c r="D10941" s="296">
        <v>3600.1</v>
      </c>
      <c r="E10941" s="296">
        <v>1011.12</v>
      </c>
      <c r="F10941" s="296">
        <v>1519.1</v>
      </c>
      <c r="G10941" s="296">
        <v>1069.8800000000001</v>
      </c>
      <c r="H10941" s="297">
        <v>24145.99</v>
      </c>
      <c r="I10941" s="297">
        <v>11628.32</v>
      </c>
      <c r="J10941" s="297">
        <v>8397.3700000000008</v>
      </c>
      <c r="K10941" s="297">
        <v>4120.3</v>
      </c>
      <c r="L10941" s="43">
        <v>6.7070331379683905</v>
      </c>
      <c r="M10941" s="43">
        <v>11.500435161009573</v>
      </c>
      <c r="N10941" s="43">
        <v>5.5278586004871313</v>
      </c>
      <c r="O10941" s="43">
        <v>3.8511795715407335</v>
      </c>
      <c r="P10941" s="298"/>
      <c r="Q10941" s="298"/>
      <c r="R10941" s="298">
        <v>1</v>
      </c>
    </row>
    <row r="10942" spans="1:18" ht="12.75" customHeight="1">
      <c r="A10942" s="628" t="s">
        <v>20019</v>
      </c>
      <c r="B10942" s="629"/>
      <c r="C10942" s="629"/>
      <c r="D10942" s="629"/>
      <c r="E10942" s="629"/>
      <c r="F10942" s="629"/>
      <c r="G10942" s="629"/>
      <c r="H10942" s="629"/>
      <c r="I10942" s="629"/>
      <c r="J10942" s="629"/>
      <c r="K10942" s="629"/>
      <c r="L10942" s="629"/>
      <c r="M10942" s="629"/>
      <c r="N10942" s="629"/>
      <c r="O10942" s="629"/>
      <c r="P10942" s="629"/>
      <c r="Q10942" s="629"/>
      <c r="R10942" s="629"/>
    </row>
    <row r="10943" spans="1:18" ht="24">
      <c r="A10943" s="294">
        <v>257</v>
      </c>
      <c r="B10943" s="291" t="s">
        <v>20020</v>
      </c>
      <c r="C10943" s="295" t="s">
        <v>20021</v>
      </c>
      <c r="D10943" s="296">
        <v>2484.4299999999998</v>
      </c>
      <c r="E10943" s="296">
        <v>858.74</v>
      </c>
      <c r="F10943" s="296">
        <v>1473.72</v>
      </c>
      <c r="G10943" s="296">
        <v>151.97</v>
      </c>
      <c r="H10943" s="297">
        <v>17988.87</v>
      </c>
      <c r="I10943" s="297">
        <v>9875.4599999999991</v>
      </c>
      <c r="J10943" s="297">
        <v>7417.94</v>
      </c>
      <c r="K10943" s="297">
        <v>695.47</v>
      </c>
      <c r="L10943" s="43">
        <v>7.2406427228780847</v>
      </c>
      <c r="M10943" s="43">
        <v>11.499941775158952</v>
      </c>
      <c r="N10943" s="43">
        <v>5.0334799012023987</v>
      </c>
      <c r="O10943" s="43">
        <v>4.5763637560044748</v>
      </c>
      <c r="P10943" s="298"/>
      <c r="Q10943" s="298"/>
      <c r="R10943" s="298">
        <v>2</v>
      </c>
    </row>
    <row r="10944" spans="1:18" ht="24">
      <c r="A10944" s="294">
        <v>258</v>
      </c>
      <c r="B10944" s="291" t="s">
        <v>20022</v>
      </c>
      <c r="C10944" s="295" t="s">
        <v>20023</v>
      </c>
      <c r="D10944" s="296">
        <v>2934.91</v>
      </c>
      <c r="E10944" s="296">
        <v>1618.56</v>
      </c>
      <c r="F10944" s="296">
        <v>958.89</v>
      </c>
      <c r="G10944" s="296">
        <v>357.46</v>
      </c>
      <c r="H10944" s="297">
        <v>25539.09</v>
      </c>
      <c r="I10944" s="297">
        <v>18613.439999999999</v>
      </c>
      <c r="J10944" s="297">
        <v>5145.3900000000003</v>
      </c>
      <c r="K10944" s="297">
        <v>1780.26</v>
      </c>
      <c r="L10944" s="43">
        <v>8.7018307205331684</v>
      </c>
      <c r="M10944" s="43">
        <v>11.5</v>
      </c>
      <c r="N10944" s="43">
        <v>5.3659856709320159</v>
      </c>
      <c r="O10944" s="43">
        <v>4.9803054887260112</v>
      </c>
      <c r="P10944" s="298"/>
      <c r="Q10944" s="298"/>
      <c r="R10944" s="298">
        <v>2</v>
      </c>
    </row>
    <row r="10945" spans="1:18" ht="24">
      <c r="A10945" s="294">
        <v>259</v>
      </c>
      <c r="B10945" s="291" t="s">
        <v>20024</v>
      </c>
      <c r="C10945" s="295" t="s">
        <v>20025</v>
      </c>
      <c r="D10945" s="296">
        <v>2845.12</v>
      </c>
      <c r="E10945" s="296">
        <v>934.04</v>
      </c>
      <c r="F10945" s="296">
        <v>1628.54</v>
      </c>
      <c r="G10945" s="296">
        <v>282.54000000000002</v>
      </c>
      <c r="H10945" s="297">
        <v>20896.580000000002</v>
      </c>
      <c r="I10945" s="297">
        <v>10741.51</v>
      </c>
      <c r="J10945" s="297">
        <v>8965.42</v>
      </c>
      <c r="K10945" s="297">
        <v>1189.6500000000001</v>
      </c>
      <c r="L10945" s="43">
        <v>7.3447095377347891</v>
      </c>
      <c r="M10945" s="43">
        <v>11.500053530898034</v>
      </c>
      <c r="N10945" s="43">
        <v>5.5051886966239705</v>
      </c>
      <c r="O10945" s="43">
        <v>4.2105542578042048</v>
      </c>
      <c r="P10945" s="298"/>
      <c r="Q10945" s="298"/>
      <c r="R10945" s="298">
        <v>2</v>
      </c>
    </row>
    <row r="10946" spans="1:18" ht="36">
      <c r="A10946" s="294">
        <v>260</v>
      </c>
      <c r="B10946" s="291" t="s">
        <v>20026</v>
      </c>
      <c r="C10946" s="295" t="s">
        <v>20027</v>
      </c>
      <c r="D10946" s="296">
        <v>15415</v>
      </c>
      <c r="E10946" s="296">
        <v>3731.68</v>
      </c>
      <c r="F10946" s="296">
        <v>11107.72</v>
      </c>
      <c r="G10946" s="296">
        <v>575.6</v>
      </c>
      <c r="H10946" s="297">
        <v>99844.88</v>
      </c>
      <c r="I10946" s="297">
        <v>42914.32</v>
      </c>
      <c r="J10946" s="297">
        <v>53955.11</v>
      </c>
      <c r="K10946" s="297">
        <v>2975.45</v>
      </c>
      <c r="L10946" s="43">
        <v>6.4771248783652293</v>
      </c>
      <c r="M10946" s="43">
        <v>11.5</v>
      </c>
      <c r="N10946" s="43">
        <v>4.8574423914178615</v>
      </c>
      <c r="O10946" s="43">
        <v>5.1693015983321748</v>
      </c>
      <c r="P10946" s="298"/>
      <c r="Q10946" s="298"/>
      <c r="R10946" s="298">
        <v>2</v>
      </c>
    </row>
    <row r="10947" spans="1:18" ht="12.75" customHeight="1">
      <c r="A10947" s="628" t="s">
        <v>20028</v>
      </c>
      <c r="B10947" s="629"/>
      <c r="C10947" s="629"/>
      <c r="D10947" s="629"/>
      <c r="E10947" s="629"/>
      <c r="F10947" s="629"/>
      <c r="G10947" s="629"/>
      <c r="H10947" s="629"/>
      <c r="I10947" s="629"/>
      <c r="J10947" s="629"/>
      <c r="K10947" s="629"/>
      <c r="L10947" s="629"/>
      <c r="M10947" s="629"/>
      <c r="N10947" s="629"/>
      <c r="O10947" s="629"/>
      <c r="P10947" s="629"/>
      <c r="Q10947" s="629"/>
      <c r="R10947" s="629"/>
    </row>
    <row r="10948" spans="1:18" ht="24">
      <c r="A10948" s="294">
        <v>261</v>
      </c>
      <c r="B10948" s="291" t="s">
        <v>20029</v>
      </c>
      <c r="C10948" s="295" t="s">
        <v>20030</v>
      </c>
      <c r="D10948" s="296">
        <v>25502.48</v>
      </c>
      <c r="E10948" s="296">
        <v>2313.13</v>
      </c>
      <c r="F10948" s="296">
        <v>20796.45</v>
      </c>
      <c r="G10948" s="296">
        <v>2392.9</v>
      </c>
      <c r="H10948" s="297">
        <v>144085.97</v>
      </c>
      <c r="I10948" s="297">
        <v>26602.13</v>
      </c>
      <c r="J10948" s="297">
        <v>108272.14</v>
      </c>
      <c r="K10948" s="297">
        <v>9211.7000000000007</v>
      </c>
      <c r="L10948" s="43">
        <v>5.6498807174831622</v>
      </c>
      <c r="M10948" s="43">
        <v>11.500490677134446</v>
      </c>
      <c r="N10948" s="43">
        <v>5.2062799179667678</v>
      </c>
      <c r="O10948" s="43">
        <v>3.8495967236407709</v>
      </c>
      <c r="P10948" s="298"/>
      <c r="Q10948" s="298"/>
      <c r="R10948" s="298">
        <v>3</v>
      </c>
    </row>
    <row r="10949" spans="1:18" ht="12.75" customHeight="1">
      <c r="A10949" s="628" t="s">
        <v>20031</v>
      </c>
      <c r="B10949" s="629"/>
      <c r="C10949" s="629"/>
      <c r="D10949" s="629"/>
      <c r="E10949" s="629"/>
      <c r="F10949" s="629"/>
      <c r="G10949" s="629"/>
      <c r="H10949" s="629"/>
      <c r="I10949" s="629"/>
      <c r="J10949" s="629"/>
      <c r="K10949" s="629"/>
      <c r="L10949" s="629"/>
      <c r="M10949" s="629"/>
      <c r="N10949" s="629"/>
      <c r="O10949" s="629"/>
      <c r="P10949" s="629"/>
      <c r="Q10949" s="629"/>
      <c r="R10949" s="629"/>
    </row>
    <row r="10950" spans="1:18" ht="24">
      <c r="A10950" s="294">
        <v>262</v>
      </c>
      <c r="B10950" s="291" t="s">
        <v>20032</v>
      </c>
      <c r="C10950" s="295" t="s">
        <v>20033</v>
      </c>
      <c r="D10950" s="296">
        <v>41653.85</v>
      </c>
      <c r="E10950" s="296">
        <v>4717.5</v>
      </c>
      <c r="F10950" s="296">
        <v>34186.559999999998</v>
      </c>
      <c r="G10950" s="296">
        <v>2749.79</v>
      </c>
      <c r="H10950" s="297">
        <v>249704.43</v>
      </c>
      <c r="I10950" s="297">
        <v>54251.25</v>
      </c>
      <c r="J10950" s="297">
        <v>183285.95</v>
      </c>
      <c r="K10950" s="297">
        <v>12167.23</v>
      </c>
      <c r="L10950" s="43">
        <v>5.994750305193878</v>
      </c>
      <c r="M10950" s="43">
        <v>11.5</v>
      </c>
      <c r="N10950" s="43">
        <v>5.3613452187058313</v>
      </c>
      <c r="O10950" s="43">
        <v>4.4247851654126311</v>
      </c>
      <c r="P10950" s="298"/>
      <c r="Q10950" s="298"/>
      <c r="R10950" s="298">
        <v>4</v>
      </c>
    </row>
    <row r="10951" spans="1:18" ht="12.75" customHeight="1">
      <c r="A10951" s="628" t="s">
        <v>20034</v>
      </c>
      <c r="B10951" s="629"/>
      <c r="C10951" s="629"/>
      <c r="D10951" s="629"/>
      <c r="E10951" s="629"/>
      <c r="F10951" s="629"/>
      <c r="G10951" s="629"/>
      <c r="H10951" s="629"/>
      <c r="I10951" s="629"/>
      <c r="J10951" s="629"/>
      <c r="K10951" s="629"/>
      <c r="L10951" s="629"/>
      <c r="M10951" s="629"/>
      <c r="N10951" s="629"/>
      <c r="O10951" s="629"/>
      <c r="P10951" s="629"/>
      <c r="Q10951" s="629"/>
      <c r="R10951" s="629"/>
    </row>
    <row r="10952" spans="1:18" ht="24">
      <c r="A10952" s="294">
        <v>263</v>
      </c>
      <c r="B10952" s="291" t="s">
        <v>20035</v>
      </c>
      <c r="C10952" s="295" t="s">
        <v>20036</v>
      </c>
      <c r="D10952" s="296">
        <v>4816.28</v>
      </c>
      <c r="E10952" s="296">
        <v>1116.69</v>
      </c>
      <c r="F10952" s="296">
        <v>2762.4</v>
      </c>
      <c r="G10952" s="296">
        <v>937.19</v>
      </c>
      <c r="H10952" s="297">
        <v>30274.51</v>
      </c>
      <c r="I10952" s="297">
        <v>12841.91</v>
      </c>
      <c r="J10952" s="297">
        <v>13786.04</v>
      </c>
      <c r="K10952" s="297">
        <v>3646.56</v>
      </c>
      <c r="L10952" s="43">
        <v>6.2858700075577003</v>
      </c>
      <c r="M10952" s="43">
        <v>11.499977612408099</v>
      </c>
      <c r="N10952" s="43">
        <v>4.9906023747465973</v>
      </c>
      <c r="O10952" s="43">
        <v>3.8909506076676017</v>
      </c>
      <c r="P10952" s="298"/>
      <c r="Q10952" s="298"/>
      <c r="R10952" s="298">
        <v>5</v>
      </c>
    </row>
    <row r="10953" spans="1:18" ht="24">
      <c r="A10953" s="294">
        <v>264</v>
      </c>
      <c r="B10953" s="291" t="s">
        <v>20037</v>
      </c>
      <c r="C10953" s="295" t="s">
        <v>20038</v>
      </c>
      <c r="D10953" s="296">
        <v>6177.02</v>
      </c>
      <c r="E10953" s="296">
        <v>1385.92</v>
      </c>
      <c r="F10953" s="296">
        <v>3400.79</v>
      </c>
      <c r="G10953" s="296">
        <v>1390.31</v>
      </c>
      <c r="H10953" s="297">
        <v>38539.71</v>
      </c>
      <c r="I10953" s="297">
        <v>15938.08</v>
      </c>
      <c r="J10953" s="297">
        <v>17238.84</v>
      </c>
      <c r="K10953" s="297">
        <v>5362.79</v>
      </c>
      <c r="L10953" s="43">
        <v>6.2392075790591575</v>
      </c>
      <c r="M10953" s="43">
        <v>11.5</v>
      </c>
      <c r="N10953" s="43">
        <v>5.0690692456752693</v>
      </c>
      <c r="O10953" s="43">
        <v>3.8572620494709815</v>
      </c>
      <c r="P10953" s="298"/>
      <c r="Q10953" s="298"/>
      <c r="R10953" s="298">
        <v>5</v>
      </c>
    </row>
    <row r="10954" spans="1:18" ht="24">
      <c r="A10954" s="294">
        <v>265</v>
      </c>
      <c r="B10954" s="291" t="s">
        <v>20039</v>
      </c>
      <c r="C10954" s="295" t="s">
        <v>20040</v>
      </c>
      <c r="D10954" s="296">
        <v>18927.2</v>
      </c>
      <c r="E10954" s="296">
        <v>7304.48</v>
      </c>
      <c r="F10954" s="296">
        <v>8086.99</v>
      </c>
      <c r="G10954" s="296">
        <v>3535.73</v>
      </c>
      <c r="H10954" s="297">
        <v>142191.44</v>
      </c>
      <c r="I10954" s="297">
        <v>84001.52</v>
      </c>
      <c r="J10954" s="297">
        <v>41925.61</v>
      </c>
      <c r="K10954" s="297">
        <v>16264.31</v>
      </c>
      <c r="L10954" s="43">
        <v>7.5125449089141547</v>
      </c>
      <c r="M10954" s="43">
        <v>11.500000000000002</v>
      </c>
      <c r="N10954" s="43">
        <v>5.1843281616522345</v>
      </c>
      <c r="O10954" s="43">
        <v>4.5999864243027604</v>
      </c>
      <c r="P10954" s="298"/>
      <c r="Q10954" s="298"/>
      <c r="R10954" s="298">
        <v>5</v>
      </c>
    </row>
    <row r="10955" spans="1:18" ht="24">
      <c r="A10955" s="294">
        <v>266</v>
      </c>
      <c r="B10955" s="291" t="s">
        <v>20041</v>
      </c>
      <c r="C10955" s="295" t="s">
        <v>20042</v>
      </c>
      <c r="D10955" s="296">
        <v>178313.7</v>
      </c>
      <c r="E10955" s="296">
        <v>13431.81</v>
      </c>
      <c r="F10955" s="296">
        <v>153443.42000000001</v>
      </c>
      <c r="G10955" s="296">
        <v>11438.47</v>
      </c>
      <c r="H10955" s="297">
        <v>1030035.39</v>
      </c>
      <c r="I10955" s="297">
        <v>154471.66</v>
      </c>
      <c r="J10955" s="297">
        <v>818998.91</v>
      </c>
      <c r="K10955" s="297">
        <v>56564.82</v>
      </c>
      <c r="L10955" s="43">
        <v>5.7765353419282981</v>
      </c>
      <c r="M10955" s="43">
        <v>11.500435161009575</v>
      </c>
      <c r="N10955" s="43">
        <v>5.3374651712012149</v>
      </c>
      <c r="O10955" s="43">
        <v>4.9451386417938767</v>
      </c>
      <c r="P10955" s="298"/>
      <c r="Q10955" s="298"/>
      <c r="R10955" s="298">
        <v>5</v>
      </c>
    </row>
    <row r="10956" spans="1:18" ht="12.75" customHeight="1">
      <c r="A10956" s="628" t="s">
        <v>20043</v>
      </c>
      <c r="B10956" s="629"/>
      <c r="C10956" s="629"/>
      <c r="D10956" s="629"/>
      <c r="E10956" s="629"/>
      <c r="F10956" s="629"/>
      <c r="G10956" s="629"/>
      <c r="H10956" s="629"/>
      <c r="I10956" s="629"/>
      <c r="J10956" s="629"/>
      <c r="K10956" s="629"/>
      <c r="L10956" s="629"/>
      <c r="M10956" s="629"/>
      <c r="N10956" s="629"/>
      <c r="O10956" s="629"/>
      <c r="P10956" s="629"/>
      <c r="Q10956" s="629"/>
      <c r="R10956" s="629"/>
    </row>
    <row r="10957" spans="1:18" ht="24">
      <c r="A10957" s="294">
        <v>267</v>
      </c>
      <c r="B10957" s="291" t="s">
        <v>20044</v>
      </c>
      <c r="C10957" s="295" t="s">
        <v>20045</v>
      </c>
      <c r="D10957" s="296">
        <v>66.53</v>
      </c>
      <c r="E10957" s="296">
        <v>44.66</v>
      </c>
      <c r="F10957" s="296">
        <v>20.98</v>
      </c>
      <c r="G10957" s="296">
        <v>0.89</v>
      </c>
      <c r="H10957" s="297">
        <v>639.37</v>
      </c>
      <c r="I10957" s="297">
        <v>513.6</v>
      </c>
      <c r="J10957" s="297">
        <v>115.53</v>
      </c>
      <c r="K10957" s="297">
        <v>10.24</v>
      </c>
      <c r="L10957" s="43">
        <v>9.6102510145798892</v>
      </c>
      <c r="M10957" s="43">
        <v>11.500223914017019</v>
      </c>
      <c r="N10957" s="43">
        <v>5.5066730219256437</v>
      </c>
      <c r="O10957" s="43">
        <v>11.500158277936057</v>
      </c>
      <c r="P10957" s="298"/>
      <c r="Q10957" s="298"/>
      <c r="R10957" s="298">
        <v>6</v>
      </c>
    </row>
    <row r="10958" spans="1:18" ht="24">
      <c r="A10958" s="294">
        <v>268</v>
      </c>
      <c r="B10958" s="291" t="s">
        <v>20046</v>
      </c>
      <c r="C10958" s="295" t="s">
        <v>20047</v>
      </c>
      <c r="D10958" s="296">
        <v>180.2</v>
      </c>
      <c r="E10958" s="296">
        <v>156.1</v>
      </c>
      <c r="F10958" s="296">
        <v>20.98</v>
      </c>
      <c r="G10958" s="296">
        <v>3.12</v>
      </c>
      <c r="H10958" s="297">
        <v>1946.51</v>
      </c>
      <c r="I10958" s="297">
        <v>1795.1</v>
      </c>
      <c r="J10958" s="297">
        <v>115.53</v>
      </c>
      <c r="K10958" s="297">
        <v>35.880000000000003</v>
      </c>
      <c r="L10958" s="43">
        <v>10.801942286348503</v>
      </c>
      <c r="M10958" s="43">
        <v>11.499679692504804</v>
      </c>
      <c r="N10958" s="43">
        <v>5.5066730219256437</v>
      </c>
      <c r="O10958" s="43">
        <v>11.5</v>
      </c>
      <c r="P10958" s="298"/>
      <c r="Q10958" s="298"/>
      <c r="R10958" s="298">
        <v>6</v>
      </c>
    </row>
    <row r="10959" spans="1:18" ht="24">
      <c r="A10959" s="294">
        <v>269</v>
      </c>
      <c r="B10959" s="291" t="s">
        <v>20048</v>
      </c>
      <c r="C10959" s="295" t="s">
        <v>20049</v>
      </c>
      <c r="D10959" s="296">
        <v>259.8</v>
      </c>
      <c r="E10959" s="296">
        <v>234.14</v>
      </c>
      <c r="F10959" s="296">
        <v>20.98</v>
      </c>
      <c r="G10959" s="296">
        <v>4.68</v>
      </c>
      <c r="H10959" s="297">
        <v>2862.01</v>
      </c>
      <c r="I10959" s="297">
        <v>2692.66</v>
      </c>
      <c r="J10959" s="297">
        <v>115.53</v>
      </c>
      <c r="K10959" s="297">
        <v>53.82</v>
      </c>
      <c r="L10959" s="43">
        <v>11.016204772902233</v>
      </c>
      <c r="M10959" s="43">
        <v>11.500213547450244</v>
      </c>
      <c r="N10959" s="43">
        <v>5.5066730219256437</v>
      </c>
      <c r="O10959" s="43">
        <v>11.5</v>
      </c>
      <c r="P10959" s="298"/>
      <c r="Q10959" s="298"/>
      <c r="R10959" s="298">
        <v>6</v>
      </c>
    </row>
    <row r="10960" spans="1:18" ht="24">
      <c r="A10960" s="294">
        <v>270</v>
      </c>
      <c r="B10960" s="291" t="s">
        <v>20050</v>
      </c>
      <c r="C10960" s="295" t="s">
        <v>20051</v>
      </c>
      <c r="D10960" s="296">
        <v>250.96</v>
      </c>
      <c r="E10960" s="296">
        <v>223.3</v>
      </c>
      <c r="F10960" s="296">
        <v>21.11</v>
      </c>
      <c r="G10960" s="296">
        <v>6.55</v>
      </c>
      <c r="H10960" s="297">
        <v>2746.37</v>
      </c>
      <c r="I10960" s="297">
        <v>2568</v>
      </c>
      <c r="J10960" s="297">
        <v>116.18</v>
      </c>
      <c r="K10960" s="297">
        <v>62.19</v>
      </c>
      <c r="L10960" s="43">
        <v>10.943457124641377</v>
      </c>
      <c r="M10960" s="43">
        <v>11.500223914017017</v>
      </c>
      <c r="N10960" s="43">
        <v>5.5035528185693989</v>
      </c>
      <c r="O10960" s="43">
        <v>9.4946564885496176</v>
      </c>
      <c r="P10960" s="298"/>
      <c r="Q10960" s="298"/>
      <c r="R10960" s="298">
        <v>6</v>
      </c>
    </row>
    <row r="10961" spans="1:18" ht="12.75" customHeight="1">
      <c r="A10961" s="628" t="s">
        <v>20052</v>
      </c>
      <c r="B10961" s="629"/>
      <c r="C10961" s="629"/>
      <c r="D10961" s="629"/>
      <c r="E10961" s="629"/>
      <c r="F10961" s="629"/>
      <c r="G10961" s="629"/>
      <c r="H10961" s="629"/>
      <c r="I10961" s="629"/>
      <c r="J10961" s="629"/>
      <c r="K10961" s="629"/>
      <c r="L10961" s="629"/>
      <c r="M10961" s="629"/>
      <c r="N10961" s="629"/>
      <c r="O10961" s="629"/>
      <c r="P10961" s="629"/>
      <c r="Q10961" s="629"/>
      <c r="R10961" s="629"/>
    </row>
    <row r="10962" spans="1:18" ht="12.75" customHeight="1">
      <c r="A10962" s="628" t="s">
        <v>20053</v>
      </c>
      <c r="B10962" s="629"/>
      <c r="C10962" s="629"/>
      <c r="D10962" s="629"/>
      <c r="E10962" s="629"/>
      <c r="F10962" s="629"/>
      <c r="G10962" s="629"/>
      <c r="H10962" s="629"/>
      <c r="I10962" s="629"/>
      <c r="J10962" s="629"/>
      <c r="K10962" s="629"/>
      <c r="L10962" s="629"/>
      <c r="M10962" s="629"/>
      <c r="N10962" s="629"/>
      <c r="O10962" s="629"/>
      <c r="P10962" s="629"/>
      <c r="Q10962" s="629"/>
      <c r="R10962" s="629"/>
    </row>
    <row r="10963" spans="1:18" ht="24">
      <c r="A10963" s="294">
        <v>271</v>
      </c>
      <c r="B10963" s="291" t="s">
        <v>20054</v>
      </c>
      <c r="C10963" s="295" t="s">
        <v>20055</v>
      </c>
      <c r="D10963" s="296">
        <v>377574.48</v>
      </c>
      <c r="E10963" s="296">
        <v>14753.16</v>
      </c>
      <c r="F10963" s="296">
        <v>348422.13</v>
      </c>
      <c r="G10963" s="296">
        <v>14399.19</v>
      </c>
      <c r="H10963" s="297">
        <v>1899148.49</v>
      </c>
      <c r="I10963" s="297">
        <v>169667.76</v>
      </c>
      <c r="J10963" s="297">
        <v>1668281.55</v>
      </c>
      <c r="K10963" s="297">
        <v>61199.18</v>
      </c>
      <c r="L10963" s="43">
        <v>5.0298645448707235</v>
      </c>
      <c r="M10963" s="43">
        <v>11.500435161009575</v>
      </c>
      <c r="N10963" s="43">
        <v>4.7881044467525644</v>
      </c>
      <c r="O10963" s="43">
        <v>4.2501821283002723</v>
      </c>
      <c r="P10963" s="298"/>
      <c r="Q10963" s="298"/>
      <c r="R10963" s="298">
        <v>1</v>
      </c>
    </row>
    <row r="10964" spans="1:18" ht="24">
      <c r="A10964" s="294">
        <v>272</v>
      </c>
      <c r="B10964" s="291" t="s">
        <v>20056</v>
      </c>
      <c r="C10964" s="295" t="s">
        <v>20057</v>
      </c>
      <c r="D10964" s="296">
        <v>751030.92</v>
      </c>
      <c r="E10964" s="296">
        <v>32512.62</v>
      </c>
      <c r="F10964" s="296">
        <v>692239.57</v>
      </c>
      <c r="G10964" s="296">
        <v>26278.73</v>
      </c>
      <c r="H10964" s="297">
        <v>3947375.19</v>
      </c>
      <c r="I10964" s="297">
        <v>373909.06</v>
      </c>
      <c r="J10964" s="297">
        <v>3455736.81</v>
      </c>
      <c r="K10964" s="297">
        <v>117729.32</v>
      </c>
      <c r="L10964" s="43">
        <v>5.2559423119357049</v>
      </c>
      <c r="M10964" s="43">
        <v>11.500428449014567</v>
      </c>
      <c r="N10964" s="43">
        <v>4.9921110548476744</v>
      </c>
      <c r="O10964" s="43">
        <v>4.4800231974680669</v>
      </c>
      <c r="P10964" s="298"/>
      <c r="Q10964" s="298"/>
      <c r="R10964" s="298">
        <v>1</v>
      </c>
    </row>
    <row r="10965" spans="1:18" ht="12.75" customHeight="1">
      <c r="A10965" s="628" t="s">
        <v>20058</v>
      </c>
      <c r="B10965" s="629"/>
      <c r="C10965" s="629"/>
      <c r="D10965" s="629"/>
      <c r="E10965" s="629"/>
      <c r="F10965" s="629"/>
      <c r="G10965" s="629"/>
      <c r="H10965" s="629"/>
      <c r="I10965" s="629"/>
      <c r="J10965" s="629"/>
      <c r="K10965" s="629"/>
      <c r="L10965" s="629"/>
      <c r="M10965" s="629"/>
      <c r="N10965" s="629"/>
      <c r="O10965" s="629"/>
      <c r="P10965" s="629"/>
      <c r="Q10965" s="629"/>
      <c r="R10965" s="629"/>
    </row>
    <row r="10966" spans="1:18" ht="24">
      <c r="A10966" s="294">
        <v>273</v>
      </c>
      <c r="B10966" s="291" t="s">
        <v>20059</v>
      </c>
      <c r="C10966" s="295" t="s">
        <v>20060</v>
      </c>
      <c r="D10966" s="296">
        <v>44586.080000000002</v>
      </c>
      <c r="E10966" s="296">
        <v>5767.98</v>
      </c>
      <c r="F10966" s="296">
        <v>27380.74</v>
      </c>
      <c r="G10966" s="296">
        <v>11437.36</v>
      </c>
      <c r="H10966" s="297">
        <v>260738.04</v>
      </c>
      <c r="I10966" s="297">
        <v>66334.28</v>
      </c>
      <c r="J10966" s="297">
        <v>146735.94</v>
      </c>
      <c r="K10966" s="297">
        <v>47667.82</v>
      </c>
      <c r="L10966" s="43">
        <v>5.8479695905089661</v>
      </c>
      <c r="M10966" s="43">
        <v>11.500435161009575</v>
      </c>
      <c r="N10966" s="43">
        <v>5.3590932896627335</v>
      </c>
      <c r="O10966" s="43">
        <v>4.1677292661942964</v>
      </c>
      <c r="P10966" s="298"/>
      <c r="Q10966" s="298"/>
      <c r="R10966" s="298">
        <v>2</v>
      </c>
    </row>
    <row r="10967" spans="1:18" ht="24">
      <c r="A10967" s="294">
        <v>274</v>
      </c>
      <c r="B10967" s="291" t="s">
        <v>20061</v>
      </c>
      <c r="C10967" s="295" t="s">
        <v>20062</v>
      </c>
      <c r="D10967" s="296">
        <v>145406.49</v>
      </c>
      <c r="E10967" s="296">
        <v>13747.26</v>
      </c>
      <c r="F10967" s="296">
        <v>105321.56</v>
      </c>
      <c r="G10967" s="296">
        <v>26337.67</v>
      </c>
      <c r="H10967" s="297">
        <v>837817.96</v>
      </c>
      <c r="I10967" s="297">
        <v>158099.38</v>
      </c>
      <c r="J10967" s="297">
        <v>570038.30000000005</v>
      </c>
      <c r="K10967" s="297">
        <v>109680.28</v>
      </c>
      <c r="L10967" s="43">
        <v>5.7619020994179833</v>
      </c>
      <c r="M10967" s="43">
        <v>11.500428449014567</v>
      </c>
      <c r="N10967" s="43">
        <v>5.4123609638900154</v>
      </c>
      <c r="O10967" s="43">
        <v>4.1643881178555278</v>
      </c>
      <c r="P10967" s="298"/>
      <c r="Q10967" s="298"/>
      <c r="R10967" s="298">
        <v>2</v>
      </c>
    </row>
    <row r="10968" spans="1:18" ht="24">
      <c r="A10968" s="294">
        <v>275</v>
      </c>
      <c r="B10968" s="291" t="s">
        <v>20063</v>
      </c>
      <c r="C10968" s="295" t="s">
        <v>20064</v>
      </c>
      <c r="D10968" s="296">
        <v>68803.95</v>
      </c>
      <c r="E10968" s="296">
        <v>5745</v>
      </c>
      <c r="F10968" s="296">
        <v>46361.78</v>
      </c>
      <c r="G10968" s="296">
        <v>16697.169999999998</v>
      </c>
      <c r="H10968" s="297">
        <v>387177.59</v>
      </c>
      <c r="I10968" s="297">
        <v>66070</v>
      </c>
      <c r="J10968" s="297">
        <v>252972.92</v>
      </c>
      <c r="K10968" s="297">
        <v>68134.67</v>
      </c>
      <c r="L10968" s="43">
        <v>5.6272581734042895</v>
      </c>
      <c r="M10968" s="43">
        <v>11.500435161009573</v>
      </c>
      <c r="N10968" s="43">
        <v>5.4564971405325684</v>
      </c>
      <c r="O10968" s="43">
        <v>4.0806118641662037</v>
      </c>
      <c r="P10968" s="298"/>
      <c r="Q10968" s="298"/>
      <c r="R10968" s="298">
        <v>2</v>
      </c>
    </row>
    <row r="10969" spans="1:18" ht="12.75" customHeight="1">
      <c r="A10969" s="628" t="s">
        <v>19621</v>
      </c>
      <c r="B10969" s="629"/>
      <c r="C10969" s="629"/>
      <c r="D10969" s="629"/>
      <c r="E10969" s="629"/>
      <c r="F10969" s="629"/>
      <c r="G10969" s="629"/>
      <c r="H10969" s="629"/>
      <c r="I10969" s="629"/>
      <c r="J10969" s="629"/>
      <c r="K10969" s="629"/>
      <c r="L10969" s="629"/>
      <c r="M10969" s="629"/>
      <c r="N10969" s="629"/>
      <c r="O10969" s="629"/>
      <c r="P10969" s="629"/>
      <c r="Q10969" s="629"/>
      <c r="R10969" s="629"/>
    </row>
    <row r="10970" spans="1:18" ht="36">
      <c r="A10970" s="294">
        <v>276</v>
      </c>
      <c r="B10970" s="291" t="s">
        <v>20065</v>
      </c>
      <c r="C10970" s="295" t="s">
        <v>20066</v>
      </c>
      <c r="D10970" s="296">
        <v>362792.21</v>
      </c>
      <c r="E10970" s="296">
        <v>77132.34</v>
      </c>
      <c r="F10970" s="296">
        <v>213584.49</v>
      </c>
      <c r="G10970" s="296">
        <v>72075.38</v>
      </c>
      <c r="H10970" s="297">
        <v>2373845.5699999998</v>
      </c>
      <c r="I10970" s="297">
        <v>887021.91</v>
      </c>
      <c r="J10970" s="297">
        <v>1150022.72</v>
      </c>
      <c r="K10970" s="297">
        <v>336800.94</v>
      </c>
      <c r="L10970" s="43">
        <v>6.5432650000946815</v>
      </c>
      <c r="M10970" s="43">
        <v>11.500000000000002</v>
      </c>
      <c r="N10970" s="43">
        <v>5.3843924715694476</v>
      </c>
      <c r="O10970" s="43">
        <v>4.6728985681379687</v>
      </c>
      <c r="P10970" s="298"/>
      <c r="Q10970" s="298"/>
      <c r="R10970" s="298">
        <v>3</v>
      </c>
    </row>
    <row r="10971" spans="1:18" ht="24">
      <c r="A10971" s="294">
        <v>277</v>
      </c>
      <c r="B10971" s="291" t="s">
        <v>20067</v>
      </c>
      <c r="C10971" s="295" t="s">
        <v>20068</v>
      </c>
      <c r="D10971" s="296">
        <v>448697.76</v>
      </c>
      <c r="E10971" s="296">
        <v>115464.12</v>
      </c>
      <c r="F10971" s="296">
        <v>232762.87</v>
      </c>
      <c r="G10971" s="296">
        <v>100470.77</v>
      </c>
      <c r="H10971" s="297">
        <v>3032761.8</v>
      </c>
      <c r="I10971" s="297">
        <v>1327837.3799999999</v>
      </c>
      <c r="J10971" s="297">
        <v>1241703.71</v>
      </c>
      <c r="K10971" s="297">
        <v>463220.71</v>
      </c>
      <c r="L10971" s="43">
        <v>6.7590303994385881</v>
      </c>
      <c r="M10971" s="43">
        <v>11.5</v>
      </c>
      <c r="N10971" s="43">
        <v>5.3346296597906706</v>
      </c>
      <c r="O10971" s="43">
        <v>4.6105022386112893</v>
      </c>
      <c r="P10971" s="298"/>
      <c r="Q10971" s="298"/>
      <c r="R10971" s="298">
        <v>3</v>
      </c>
    </row>
    <row r="10972" spans="1:18" ht="36">
      <c r="A10972" s="294">
        <v>278</v>
      </c>
      <c r="B10972" s="291" t="s">
        <v>20069</v>
      </c>
      <c r="C10972" s="295" t="s">
        <v>20070</v>
      </c>
      <c r="D10972" s="296">
        <v>596897.06999999995</v>
      </c>
      <c r="E10972" s="296">
        <v>133348.6</v>
      </c>
      <c r="F10972" s="296">
        <v>341651.27</v>
      </c>
      <c r="G10972" s="296">
        <v>121897.2</v>
      </c>
      <c r="H10972" s="297">
        <v>3940345.43</v>
      </c>
      <c r="I10972" s="297">
        <v>1533562.8</v>
      </c>
      <c r="J10972" s="297">
        <v>1835794.18</v>
      </c>
      <c r="K10972" s="297">
        <v>570988.44999999995</v>
      </c>
      <c r="L10972" s="43">
        <v>6.6013817591699695</v>
      </c>
      <c r="M10972" s="43">
        <v>11.500404203718674</v>
      </c>
      <c r="N10972" s="43">
        <v>5.3732982757535188</v>
      </c>
      <c r="O10972" s="43">
        <v>4.6841801944589374</v>
      </c>
      <c r="P10972" s="298"/>
      <c r="Q10972" s="298"/>
      <c r="R10972" s="298">
        <v>3</v>
      </c>
    </row>
    <row r="10973" spans="1:18" ht="36">
      <c r="A10973" s="294">
        <v>279</v>
      </c>
      <c r="B10973" s="291" t="s">
        <v>20071</v>
      </c>
      <c r="C10973" s="295" t="s">
        <v>20072</v>
      </c>
      <c r="D10973" s="296">
        <v>841395.13</v>
      </c>
      <c r="E10973" s="296">
        <v>160822.37</v>
      </c>
      <c r="F10973" s="296">
        <v>524658.34</v>
      </c>
      <c r="G10973" s="296">
        <v>155914.42000000001</v>
      </c>
      <c r="H10973" s="297">
        <v>5370113.0999999996</v>
      </c>
      <c r="I10973" s="297">
        <v>1849522.26</v>
      </c>
      <c r="J10973" s="297">
        <v>2797681.64</v>
      </c>
      <c r="K10973" s="297">
        <v>722909.2</v>
      </c>
      <c r="L10973" s="43">
        <v>6.3823914692731814</v>
      </c>
      <c r="M10973" s="43">
        <v>11.500404203718675</v>
      </c>
      <c r="N10973" s="43">
        <v>5.3323876258214069</v>
      </c>
      <c r="O10973" s="43">
        <v>4.6365769118725506</v>
      </c>
      <c r="P10973" s="298"/>
      <c r="Q10973" s="298"/>
      <c r="R10973" s="298">
        <v>3</v>
      </c>
    </row>
    <row r="10974" spans="1:18" ht="36">
      <c r="A10974" s="294">
        <v>280</v>
      </c>
      <c r="B10974" s="291" t="s">
        <v>20073</v>
      </c>
      <c r="C10974" s="295" t="s">
        <v>20074</v>
      </c>
      <c r="D10974" s="296">
        <v>867795.54</v>
      </c>
      <c r="E10974" s="296">
        <v>164991.06</v>
      </c>
      <c r="F10974" s="296">
        <v>542390.52</v>
      </c>
      <c r="G10974" s="296">
        <v>160413.96</v>
      </c>
      <c r="H10974" s="297">
        <v>5535265.6299999999</v>
      </c>
      <c r="I10974" s="297">
        <v>1897463.88</v>
      </c>
      <c r="J10974" s="297">
        <v>2902983.15</v>
      </c>
      <c r="K10974" s="297">
        <v>734818.6</v>
      </c>
      <c r="L10974" s="43">
        <v>6.3785366193516042</v>
      </c>
      <c r="M10974" s="43">
        <v>11.500404203718674</v>
      </c>
      <c r="N10974" s="43">
        <v>5.352201122541743</v>
      </c>
      <c r="O10974" s="43">
        <v>4.5807646666162967</v>
      </c>
      <c r="P10974" s="298"/>
      <c r="Q10974" s="298"/>
      <c r="R10974" s="298">
        <v>3</v>
      </c>
    </row>
    <row r="10975" spans="1:18" ht="24">
      <c r="A10975" s="294">
        <v>281</v>
      </c>
      <c r="B10975" s="291" t="s">
        <v>20075</v>
      </c>
      <c r="C10975" s="295" t="s">
        <v>20076</v>
      </c>
      <c r="D10975" s="296">
        <v>1302408.6499999999</v>
      </c>
      <c r="E10975" s="296">
        <v>238097.76</v>
      </c>
      <c r="F10975" s="296">
        <v>862951.32</v>
      </c>
      <c r="G10975" s="296">
        <v>201359.57</v>
      </c>
      <c r="H10975" s="297">
        <v>8283239.6399999997</v>
      </c>
      <c r="I10975" s="297">
        <v>2738220.48</v>
      </c>
      <c r="J10975" s="297">
        <v>4617823.84</v>
      </c>
      <c r="K10975" s="297">
        <v>927195.32</v>
      </c>
      <c r="L10975" s="43">
        <v>6.3599390559944453</v>
      </c>
      <c r="M10975" s="43">
        <v>11.500404203718674</v>
      </c>
      <c r="N10975" s="43">
        <v>5.3511985357412746</v>
      </c>
      <c r="O10975" s="43">
        <v>4.6046747120089693</v>
      </c>
      <c r="P10975" s="298"/>
      <c r="Q10975" s="298"/>
      <c r="R10975" s="298">
        <v>3</v>
      </c>
    </row>
    <row r="10976" spans="1:18" ht="12.75" customHeight="1">
      <c r="A10976" s="628" t="s">
        <v>20077</v>
      </c>
      <c r="B10976" s="629"/>
      <c r="C10976" s="629"/>
      <c r="D10976" s="629"/>
      <c r="E10976" s="629"/>
      <c r="F10976" s="629"/>
      <c r="G10976" s="629"/>
      <c r="H10976" s="629"/>
      <c r="I10976" s="629"/>
      <c r="J10976" s="629"/>
      <c r="K10976" s="629"/>
      <c r="L10976" s="629"/>
      <c r="M10976" s="629"/>
      <c r="N10976" s="629"/>
      <c r="O10976" s="629"/>
      <c r="P10976" s="629"/>
      <c r="Q10976" s="629"/>
      <c r="R10976" s="629"/>
    </row>
    <row r="10977" spans="1:18" ht="24">
      <c r="A10977" s="294">
        <v>282</v>
      </c>
      <c r="B10977" s="291" t="s">
        <v>20078</v>
      </c>
      <c r="C10977" s="295" t="s">
        <v>20079</v>
      </c>
      <c r="D10977" s="296">
        <v>2729.38</v>
      </c>
      <c r="E10977" s="296">
        <v>414.87</v>
      </c>
      <c r="F10977" s="296">
        <v>1735.62</v>
      </c>
      <c r="G10977" s="296">
        <v>578.89</v>
      </c>
      <c r="H10977" s="297">
        <v>16637.34</v>
      </c>
      <c r="I10977" s="297">
        <v>4771.1499999999996</v>
      </c>
      <c r="J10977" s="297">
        <v>9451.92</v>
      </c>
      <c r="K10977" s="297">
        <v>2414.27</v>
      </c>
      <c r="L10977" s="43">
        <v>6.095648095904564</v>
      </c>
      <c r="M10977" s="43">
        <v>11.500349507074505</v>
      </c>
      <c r="N10977" s="43">
        <v>5.4458464410412422</v>
      </c>
      <c r="O10977" s="43">
        <v>4.1705159874933067</v>
      </c>
      <c r="P10977" s="298"/>
      <c r="Q10977" s="298"/>
      <c r="R10977" s="298">
        <v>4</v>
      </c>
    </row>
    <row r="10978" spans="1:18" ht="24">
      <c r="A10978" s="294">
        <v>283</v>
      </c>
      <c r="B10978" s="291" t="s">
        <v>20080</v>
      </c>
      <c r="C10978" s="295" t="s">
        <v>20081</v>
      </c>
      <c r="D10978" s="296">
        <v>366236.9</v>
      </c>
      <c r="E10978" s="296">
        <v>21290.97</v>
      </c>
      <c r="F10978" s="296">
        <v>317448.7</v>
      </c>
      <c r="G10978" s="296">
        <v>27497.23</v>
      </c>
      <c r="H10978" s="297">
        <v>1951362.68</v>
      </c>
      <c r="I10978" s="297">
        <v>244855.42</v>
      </c>
      <c r="J10978" s="297">
        <v>1589182.37</v>
      </c>
      <c r="K10978" s="297">
        <v>117324.89</v>
      </c>
      <c r="L10978" s="43">
        <v>5.3281432864902465</v>
      </c>
      <c r="M10978" s="43">
        <v>11.500435161009573</v>
      </c>
      <c r="N10978" s="43">
        <v>5.0061076640099644</v>
      </c>
      <c r="O10978" s="43">
        <v>4.2667894184250557</v>
      </c>
      <c r="P10978" s="298"/>
      <c r="Q10978" s="298"/>
      <c r="R10978" s="298">
        <v>4</v>
      </c>
    </row>
    <row r="10979" spans="1:18" ht="24">
      <c r="A10979" s="294">
        <v>284</v>
      </c>
      <c r="B10979" s="291" t="s">
        <v>20082</v>
      </c>
      <c r="C10979" s="295" t="s">
        <v>20083</v>
      </c>
      <c r="D10979" s="296">
        <v>620132.11</v>
      </c>
      <c r="E10979" s="296">
        <v>38560.44</v>
      </c>
      <c r="F10979" s="296">
        <v>569203.18000000005</v>
      </c>
      <c r="G10979" s="296">
        <v>12368.49</v>
      </c>
      <c r="H10979" s="297">
        <v>3363596.95</v>
      </c>
      <c r="I10979" s="297">
        <v>443461.84</v>
      </c>
      <c r="J10979" s="297">
        <v>2862238.63</v>
      </c>
      <c r="K10979" s="297">
        <v>57896.480000000003</v>
      </c>
      <c r="L10979" s="43">
        <v>5.4240006214159759</v>
      </c>
      <c r="M10979" s="43">
        <v>11.500435161009573</v>
      </c>
      <c r="N10979" s="43">
        <v>5.0285007719036274</v>
      </c>
      <c r="O10979" s="43">
        <v>4.6809659061049489</v>
      </c>
      <c r="P10979" s="298"/>
      <c r="Q10979" s="298"/>
      <c r="R10979" s="298">
        <v>4</v>
      </c>
    </row>
    <row r="10980" spans="1:18" ht="12.75" customHeight="1">
      <c r="A10980" s="628" t="s">
        <v>20084</v>
      </c>
      <c r="B10980" s="629"/>
      <c r="C10980" s="629"/>
      <c r="D10980" s="629"/>
      <c r="E10980" s="629"/>
      <c r="F10980" s="629"/>
      <c r="G10980" s="629"/>
      <c r="H10980" s="629"/>
      <c r="I10980" s="629"/>
      <c r="J10980" s="629"/>
      <c r="K10980" s="629"/>
      <c r="L10980" s="629"/>
      <c r="M10980" s="629"/>
      <c r="N10980" s="629"/>
      <c r="O10980" s="629"/>
      <c r="P10980" s="629"/>
      <c r="Q10980" s="629"/>
      <c r="R10980" s="629"/>
    </row>
    <row r="10981" spans="1:18" ht="24">
      <c r="A10981" s="294">
        <v>285</v>
      </c>
      <c r="B10981" s="291" t="s">
        <v>20085</v>
      </c>
      <c r="C10981" s="295" t="s">
        <v>20086</v>
      </c>
      <c r="D10981" s="296">
        <v>227723.1</v>
      </c>
      <c r="E10981" s="296">
        <v>16204.7</v>
      </c>
      <c r="F10981" s="296">
        <v>201933.54</v>
      </c>
      <c r="G10981" s="296">
        <v>9584.86</v>
      </c>
      <c r="H10981" s="297">
        <v>1252412.68</v>
      </c>
      <c r="I10981" s="297">
        <v>186360.6</v>
      </c>
      <c r="J10981" s="297">
        <v>1022462.21</v>
      </c>
      <c r="K10981" s="297">
        <v>43589.87</v>
      </c>
      <c r="L10981" s="43">
        <v>5.4997173321459263</v>
      </c>
      <c r="M10981" s="43">
        <v>11.500404203718674</v>
      </c>
      <c r="N10981" s="43">
        <v>5.0633600044846432</v>
      </c>
      <c r="O10981" s="43">
        <v>4.5477836921979033</v>
      </c>
      <c r="P10981" s="298"/>
      <c r="Q10981" s="298"/>
      <c r="R10981" s="298">
        <v>5</v>
      </c>
    </row>
    <row r="10982" spans="1:18" ht="12.75" customHeight="1">
      <c r="A10982" s="628" t="s">
        <v>20087</v>
      </c>
      <c r="B10982" s="629"/>
      <c r="C10982" s="629"/>
      <c r="D10982" s="629"/>
      <c r="E10982" s="629"/>
      <c r="F10982" s="629"/>
      <c r="G10982" s="629"/>
      <c r="H10982" s="629"/>
      <c r="I10982" s="629"/>
      <c r="J10982" s="629"/>
      <c r="K10982" s="629"/>
      <c r="L10982" s="629"/>
      <c r="M10982" s="629"/>
      <c r="N10982" s="629"/>
      <c r="O10982" s="629"/>
      <c r="P10982" s="629"/>
      <c r="Q10982" s="629"/>
      <c r="R10982" s="629"/>
    </row>
    <row r="10983" spans="1:18" ht="24">
      <c r="A10983" s="294">
        <v>286</v>
      </c>
      <c r="B10983" s="291" t="s">
        <v>20088</v>
      </c>
      <c r="C10983" s="295" t="s">
        <v>20089</v>
      </c>
      <c r="D10983" s="296">
        <v>79410.39</v>
      </c>
      <c r="E10983" s="296">
        <v>6560.79</v>
      </c>
      <c r="F10983" s="296">
        <v>58910.52</v>
      </c>
      <c r="G10983" s="296">
        <v>13939.08</v>
      </c>
      <c r="H10983" s="297">
        <v>425875.26</v>
      </c>
      <c r="I10983" s="297">
        <v>75451.94</v>
      </c>
      <c r="J10983" s="297">
        <v>291872.34000000003</v>
      </c>
      <c r="K10983" s="297">
        <v>58550.98</v>
      </c>
      <c r="L10983" s="43">
        <v>5.362966483353123</v>
      </c>
      <c r="M10983" s="43">
        <v>11.500435161009573</v>
      </c>
      <c r="N10983" s="43">
        <v>4.9545028629861028</v>
      </c>
      <c r="O10983" s="43">
        <v>4.200490993666727</v>
      </c>
      <c r="P10983" s="298"/>
      <c r="Q10983" s="298"/>
      <c r="R10983" s="298">
        <v>6</v>
      </c>
    </row>
    <row r="10984" spans="1:18" ht="24">
      <c r="A10984" s="294">
        <v>287</v>
      </c>
      <c r="B10984" s="291" t="s">
        <v>20090</v>
      </c>
      <c r="C10984" s="295" t="s">
        <v>20091</v>
      </c>
      <c r="D10984" s="296">
        <v>246230.97</v>
      </c>
      <c r="E10984" s="296">
        <v>17579.7</v>
      </c>
      <c r="F10984" s="296">
        <v>199410.05</v>
      </c>
      <c r="G10984" s="296">
        <v>29241.22</v>
      </c>
      <c r="H10984" s="297">
        <v>1282190.6100000001</v>
      </c>
      <c r="I10984" s="297">
        <v>202174.2</v>
      </c>
      <c r="J10984" s="297">
        <v>949659.89</v>
      </c>
      <c r="K10984" s="297">
        <v>130356.52</v>
      </c>
      <c r="L10984" s="43">
        <v>5.2072678347488139</v>
      </c>
      <c r="M10984" s="43">
        <v>11.500435161009573</v>
      </c>
      <c r="N10984" s="43">
        <v>4.762347183604839</v>
      </c>
      <c r="O10984" s="43">
        <v>4.4579713158342917</v>
      </c>
      <c r="P10984" s="298"/>
      <c r="Q10984" s="298"/>
      <c r="R10984" s="298">
        <v>6</v>
      </c>
    </row>
    <row r="10985" spans="1:18" ht="12.75" customHeight="1">
      <c r="A10985" s="628" t="s">
        <v>20092</v>
      </c>
      <c r="B10985" s="629"/>
      <c r="C10985" s="629"/>
      <c r="D10985" s="629"/>
      <c r="E10985" s="629"/>
      <c r="F10985" s="629"/>
      <c r="G10985" s="629"/>
      <c r="H10985" s="629"/>
      <c r="I10985" s="629"/>
      <c r="J10985" s="629"/>
      <c r="K10985" s="629"/>
      <c r="L10985" s="629"/>
      <c r="M10985" s="629"/>
      <c r="N10985" s="629"/>
      <c r="O10985" s="629"/>
      <c r="P10985" s="629"/>
      <c r="Q10985" s="629"/>
      <c r="R10985" s="629"/>
    </row>
    <row r="10986" spans="1:18" ht="24">
      <c r="A10986" s="294">
        <v>288</v>
      </c>
      <c r="B10986" s="291" t="s">
        <v>20093</v>
      </c>
      <c r="C10986" s="295" t="s">
        <v>20094</v>
      </c>
      <c r="D10986" s="296">
        <v>102573.44</v>
      </c>
      <c r="E10986" s="296">
        <v>4840.92</v>
      </c>
      <c r="F10986" s="296">
        <v>88093.07</v>
      </c>
      <c r="G10986" s="296">
        <v>9639.4500000000007</v>
      </c>
      <c r="H10986" s="297">
        <v>580197.44999999995</v>
      </c>
      <c r="I10986" s="297">
        <v>55672.84</v>
      </c>
      <c r="J10986" s="297">
        <v>480943.06</v>
      </c>
      <c r="K10986" s="297">
        <v>43581.55</v>
      </c>
      <c r="L10986" s="43">
        <v>5.6564101779174019</v>
      </c>
      <c r="M10986" s="43">
        <v>11.500466853408028</v>
      </c>
      <c r="N10986" s="43">
        <v>5.4594880164807513</v>
      </c>
      <c r="O10986" s="43">
        <v>4.5211656266695712</v>
      </c>
      <c r="P10986" s="298"/>
      <c r="Q10986" s="298"/>
      <c r="R10986" s="298">
        <v>7</v>
      </c>
    </row>
    <row r="10987" spans="1:18" ht="24">
      <c r="A10987" s="294">
        <v>289</v>
      </c>
      <c r="B10987" s="291" t="s">
        <v>20095</v>
      </c>
      <c r="C10987" s="295" t="s">
        <v>20096</v>
      </c>
      <c r="D10987" s="296">
        <v>388282.69</v>
      </c>
      <c r="E10987" s="296">
        <v>23262.12</v>
      </c>
      <c r="F10987" s="296">
        <v>353089.55</v>
      </c>
      <c r="G10987" s="296">
        <v>11931.02</v>
      </c>
      <c r="H10987" s="297">
        <v>2256180.75</v>
      </c>
      <c r="I10987" s="297">
        <v>267525.24</v>
      </c>
      <c r="J10987" s="297">
        <v>1931217.78</v>
      </c>
      <c r="K10987" s="297">
        <v>57437.73</v>
      </c>
      <c r="L10987" s="43">
        <v>5.8106652913113379</v>
      </c>
      <c r="M10987" s="43">
        <v>11.50046685340803</v>
      </c>
      <c r="N10987" s="43">
        <v>5.4694843843438585</v>
      </c>
      <c r="O10987" s="43">
        <v>4.81415084376692</v>
      </c>
      <c r="P10987" s="298"/>
      <c r="Q10987" s="298"/>
      <c r="R10987" s="298">
        <v>7</v>
      </c>
    </row>
    <row r="10988" spans="1:18" ht="12.75" customHeight="1">
      <c r="A10988" s="628" t="s">
        <v>20097</v>
      </c>
      <c r="B10988" s="629"/>
      <c r="C10988" s="629"/>
      <c r="D10988" s="629"/>
      <c r="E10988" s="629"/>
      <c r="F10988" s="629"/>
      <c r="G10988" s="629"/>
      <c r="H10988" s="629"/>
      <c r="I10988" s="629"/>
      <c r="J10988" s="629"/>
      <c r="K10988" s="629"/>
      <c r="L10988" s="629"/>
      <c r="M10988" s="629"/>
      <c r="N10988" s="629"/>
      <c r="O10988" s="629"/>
      <c r="P10988" s="629"/>
      <c r="Q10988" s="629"/>
      <c r="R10988" s="629"/>
    </row>
    <row r="10989" spans="1:18" ht="24">
      <c r="A10989" s="294">
        <v>290</v>
      </c>
      <c r="B10989" s="291" t="s">
        <v>20098</v>
      </c>
      <c r="C10989" s="295" t="s">
        <v>20099</v>
      </c>
      <c r="D10989" s="296">
        <v>107099.55</v>
      </c>
      <c r="E10989" s="296">
        <v>19372.14</v>
      </c>
      <c r="F10989" s="296">
        <v>68646.34</v>
      </c>
      <c r="G10989" s="296">
        <v>19081.07</v>
      </c>
      <c r="H10989" s="297">
        <v>631962.07999999996</v>
      </c>
      <c r="I10989" s="297">
        <v>222788.04</v>
      </c>
      <c r="J10989" s="297">
        <v>324980.74</v>
      </c>
      <c r="K10989" s="297">
        <v>84193.3</v>
      </c>
      <c r="L10989" s="43">
        <v>5.9006978087209507</v>
      </c>
      <c r="M10989" s="43">
        <v>11.500435161009575</v>
      </c>
      <c r="N10989" s="43">
        <v>4.7341306178887326</v>
      </c>
      <c r="O10989" s="43">
        <v>4.4123993046511547</v>
      </c>
      <c r="P10989" s="298"/>
      <c r="Q10989" s="298"/>
      <c r="R10989" s="298">
        <v>8</v>
      </c>
    </row>
    <row r="10990" spans="1:18" ht="12.75" customHeight="1">
      <c r="A10990" s="628" t="s">
        <v>20100</v>
      </c>
      <c r="B10990" s="629"/>
      <c r="C10990" s="629"/>
      <c r="D10990" s="629"/>
      <c r="E10990" s="629"/>
      <c r="F10990" s="629"/>
      <c r="G10990" s="629"/>
      <c r="H10990" s="629"/>
      <c r="I10990" s="629"/>
      <c r="J10990" s="629"/>
      <c r="K10990" s="629"/>
      <c r="L10990" s="629"/>
      <c r="M10990" s="629"/>
      <c r="N10990" s="629"/>
      <c r="O10990" s="629"/>
      <c r="P10990" s="629"/>
      <c r="Q10990" s="629"/>
      <c r="R10990" s="629"/>
    </row>
    <row r="10991" spans="1:18" ht="24">
      <c r="A10991" s="294">
        <v>291</v>
      </c>
      <c r="B10991" s="291" t="s">
        <v>20101</v>
      </c>
      <c r="C10991" s="295" t="s">
        <v>20102</v>
      </c>
      <c r="D10991" s="296">
        <v>358360.23</v>
      </c>
      <c r="E10991" s="296">
        <v>81119.399999999994</v>
      </c>
      <c r="F10991" s="296">
        <v>166582.57999999999</v>
      </c>
      <c r="G10991" s="296">
        <v>110658.25</v>
      </c>
      <c r="H10991" s="297">
        <v>2312362.02</v>
      </c>
      <c r="I10991" s="297">
        <v>932908.4</v>
      </c>
      <c r="J10991" s="297">
        <v>888788.82</v>
      </c>
      <c r="K10991" s="297">
        <v>490664.8</v>
      </c>
      <c r="L10991" s="43">
        <v>6.4526189750464225</v>
      </c>
      <c r="M10991" s="43">
        <v>11.500435161009575</v>
      </c>
      <c r="N10991" s="43">
        <v>5.33542474849411</v>
      </c>
      <c r="O10991" s="43">
        <v>4.4340553008926129</v>
      </c>
      <c r="P10991" s="298"/>
      <c r="Q10991" s="298"/>
      <c r="R10991" s="298">
        <v>9</v>
      </c>
    </row>
    <row r="10992" spans="1:18" ht="12.75" customHeight="1">
      <c r="A10992" s="628" t="s">
        <v>20103</v>
      </c>
      <c r="B10992" s="629"/>
      <c r="C10992" s="629"/>
      <c r="D10992" s="629"/>
      <c r="E10992" s="629"/>
      <c r="F10992" s="629"/>
      <c r="G10992" s="629"/>
      <c r="H10992" s="629"/>
      <c r="I10992" s="629"/>
      <c r="J10992" s="629"/>
      <c r="K10992" s="629"/>
      <c r="L10992" s="629"/>
      <c r="M10992" s="629"/>
      <c r="N10992" s="629"/>
      <c r="O10992" s="629"/>
      <c r="P10992" s="629"/>
      <c r="Q10992" s="629"/>
      <c r="R10992" s="629"/>
    </row>
    <row r="10993" spans="1:18" ht="24">
      <c r="A10993" s="294">
        <v>292</v>
      </c>
      <c r="B10993" s="291" t="s">
        <v>20104</v>
      </c>
      <c r="C10993" s="295" t="s">
        <v>20105</v>
      </c>
      <c r="D10993" s="296">
        <v>108471.62</v>
      </c>
      <c r="E10993" s="296">
        <v>22166.7</v>
      </c>
      <c r="F10993" s="296">
        <v>65542.009999999995</v>
      </c>
      <c r="G10993" s="296">
        <v>20762.91</v>
      </c>
      <c r="H10993" s="297">
        <v>711078.84</v>
      </c>
      <c r="I10993" s="297">
        <v>254917.05</v>
      </c>
      <c r="J10993" s="297">
        <v>344787.81</v>
      </c>
      <c r="K10993" s="297">
        <v>111373.98</v>
      </c>
      <c r="L10993" s="43">
        <v>6.5554367123861521</v>
      </c>
      <c r="M10993" s="43">
        <v>11.499999999999998</v>
      </c>
      <c r="N10993" s="43">
        <v>5.2605620425739161</v>
      </c>
      <c r="O10993" s="43">
        <v>5.3640833582575853</v>
      </c>
      <c r="P10993" s="298"/>
      <c r="Q10993" s="298"/>
      <c r="R10993" s="298">
        <v>10</v>
      </c>
    </row>
    <row r="10994" spans="1:18" ht="24">
      <c r="A10994" s="294">
        <v>293</v>
      </c>
      <c r="B10994" s="291" t="s">
        <v>20106</v>
      </c>
      <c r="C10994" s="295" t="s">
        <v>20107</v>
      </c>
      <c r="D10994" s="296">
        <v>142605.51999999999</v>
      </c>
      <c r="E10994" s="296">
        <v>12221.1</v>
      </c>
      <c r="F10994" s="296">
        <v>106513.82</v>
      </c>
      <c r="G10994" s="296">
        <v>23870.6</v>
      </c>
      <c r="H10994" s="297">
        <v>765097.81</v>
      </c>
      <c r="I10994" s="297">
        <v>140542.65</v>
      </c>
      <c r="J10994" s="297">
        <v>523467.49</v>
      </c>
      <c r="K10994" s="297">
        <v>101087.67</v>
      </c>
      <c r="L10994" s="43">
        <v>5.3651346034851954</v>
      </c>
      <c r="M10994" s="43">
        <v>11.5</v>
      </c>
      <c r="N10994" s="43">
        <v>4.9145499616857222</v>
      </c>
      <c r="O10994" s="43">
        <v>4.2348189823464848</v>
      </c>
      <c r="P10994" s="298"/>
      <c r="Q10994" s="298"/>
      <c r="R10994" s="298">
        <v>10</v>
      </c>
    </row>
    <row r="10995" spans="1:18" ht="24">
      <c r="A10995" s="294">
        <v>294</v>
      </c>
      <c r="B10995" s="291" t="s">
        <v>20108</v>
      </c>
      <c r="C10995" s="295" t="s">
        <v>20109</v>
      </c>
      <c r="D10995" s="296">
        <v>36000.46</v>
      </c>
      <c r="E10995" s="296">
        <v>6526.8</v>
      </c>
      <c r="F10995" s="296">
        <v>24005.49</v>
      </c>
      <c r="G10995" s="296">
        <v>5468.17</v>
      </c>
      <c r="H10995" s="297">
        <v>224993.86</v>
      </c>
      <c r="I10995" s="297">
        <v>75058.2</v>
      </c>
      <c r="J10995" s="297">
        <v>128137.28</v>
      </c>
      <c r="K10995" s="297">
        <v>21798.38</v>
      </c>
      <c r="L10995" s="43">
        <v>6.2497495865330608</v>
      </c>
      <c r="M10995" s="43">
        <v>11.5</v>
      </c>
      <c r="N10995" s="43">
        <v>5.337832304193749</v>
      </c>
      <c r="O10995" s="43">
        <v>3.9864122732102332</v>
      </c>
      <c r="P10995" s="298"/>
      <c r="Q10995" s="298"/>
      <c r="R10995" s="298">
        <v>10</v>
      </c>
    </row>
    <row r="10996" spans="1:18" ht="24">
      <c r="A10996" s="294">
        <v>295</v>
      </c>
      <c r="B10996" s="291" t="s">
        <v>20110</v>
      </c>
      <c r="C10996" s="295" t="s">
        <v>20111</v>
      </c>
      <c r="D10996" s="296">
        <v>2449.27</v>
      </c>
      <c r="E10996" s="296">
        <v>418.47</v>
      </c>
      <c r="F10996" s="296">
        <v>1369.83</v>
      </c>
      <c r="G10996" s="296">
        <v>660.97</v>
      </c>
      <c r="H10996" s="297">
        <v>14950.91</v>
      </c>
      <c r="I10996" s="297">
        <v>4812.41</v>
      </c>
      <c r="J10996" s="297">
        <v>7465.32</v>
      </c>
      <c r="K10996" s="297">
        <v>2673.18</v>
      </c>
      <c r="L10996" s="43">
        <v>6.104231056600538</v>
      </c>
      <c r="M10996" s="43">
        <v>11.50001194828781</v>
      </c>
      <c r="N10996" s="43">
        <v>5.4498149405400671</v>
      </c>
      <c r="O10996" s="43">
        <v>4.0443287895063316</v>
      </c>
      <c r="P10996" s="298"/>
      <c r="Q10996" s="298"/>
      <c r="R10996" s="298">
        <v>10</v>
      </c>
    </row>
    <row r="10997" spans="1:18" ht="24">
      <c r="A10997" s="294">
        <v>296</v>
      </c>
      <c r="B10997" s="291" t="s">
        <v>20112</v>
      </c>
      <c r="C10997" s="295" t="s">
        <v>20113</v>
      </c>
      <c r="D10997" s="296">
        <v>124157.22</v>
      </c>
      <c r="E10997" s="296">
        <v>7381.5</v>
      </c>
      <c r="F10997" s="296">
        <v>112618.62</v>
      </c>
      <c r="G10997" s="296">
        <v>4157.1000000000004</v>
      </c>
      <c r="H10997" s="297">
        <v>641168.61</v>
      </c>
      <c r="I10997" s="297">
        <v>84887.25</v>
      </c>
      <c r="J10997" s="297">
        <v>539715.79</v>
      </c>
      <c r="K10997" s="297">
        <v>16565.57</v>
      </c>
      <c r="L10997" s="43">
        <v>5.1641669328614155</v>
      </c>
      <c r="M10997" s="43">
        <v>11.5</v>
      </c>
      <c r="N10997" s="43">
        <v>4.7924205606497408</v>
      </c>
      <c r="O10997" s="43">
        <v>3.9848860984821144</v>
      </c>
      <c r="P10997" s="298"/>
      <c r="Q10997" s="298"/>
      <c r="R10997" s="298">
        <v>10</v>
      </c>
    </row>
    <row r="10998" spans="1:18" ht="24">
      <c r="A10998" s="294">
        <v>297</v>
      </c>
      <c r="B10998" s="291" t="s">
        <v>20114</v>
      </c>
      <c r="C10998" s="295" t="s">
        <v>20115</v>
      </c>
      <c r="D10998" s="296">
        <v>230524.82</v>
      </c>
      <c r="E10998" s="296">
        <v>19197.64</v>
      </c>
      <c r="F10998" s="296">
        <v>184637.95</v>
      </c>
      <c r="G10998" s="296">
        <v>26689.23</v>
      </c>
      <c r="H10998" s="297">
        <v>1235119.83</v>
      </c>
      <c r="I10998" s="297">
        <v>220772.86</v>
      </c>
      <c r="J10998" s="297">
        <v>901962.52</v>
      </c>
      <c r="K10998" s="297">
        <v>112384.45</v>
      </c>
      <c r="L10998" s="43">
        <v>5.3578605115058764</v>
      </c>
      <c r="M10998" s="43">
        <v>11.5</v>
      </c>
      <c r="N10998" s="43">
        <v>4.8850332231266647</v>
      </c>
      <c r="O10998" s="43">
        <v>4.2108539661878597</v>
      </c>
      <c r="P10998" s="298"/>
      <c r="Q10998" s="298"/>
      <c r="R10998" s="298">
        <v>10</v>
      </c>
    </row>
    <row r="10999" spans="1:18" ht="12.75" customHeight="1">
      <c r="A10999" s="628" t="s">
        <v>20116</v>
      </c>
      <c r="B10999" s="629"/>
      <c r="C10999" s="629"/>
      <c r="D10999" s="629"/>
      <c r="E10999" s="629"/>
      <c r="F10999" s="629"/>
      <c r="G10999" s="629"/>
      <c r="H10999" s="629"/>
      <c r="I10999" s="629"/>
      <c r="J10999" s="629"/>
      <c r="K10999" s="629"/>
      <c r="L10999" s="629"/>
      <c r="M10999" s="629"/>
      <c r="N10999" s="629"/>
      <c r="O10999" s="629"/>
      <c r="P10999" s="629"/>
      <c r="Q10999" s="629"/>
      <c r="R10999" s="629"/>
    </row>
    <row r="11000" spans="1:18" ht="24">
      <c r="A11000" s="294">
        <v>298</v>
      </c>
      <c r="B11000" s="291" t="s">
        <v>20117</v>
      </c>
      <c r="C11000" s="295" t="s">
        <v>20118</v>
      </c>
      <c r="D11000" s="296">
        <v>109436.09</v>
      </c>
      <c r="E11000" s="296">
        <v>6196.85</v>
      </c>
      <c r="F11000" s="296">
        <v>97327.96</v>
      </c>
      <c r="G11000" s="296">
        <v>5911.28</v>
      </c>
      <c r="H11000" s="297">
        <v>593723.28</v>
      </c>
      <c r="I11000" s="297">
        <v>71266.740000000005</v>
      </c>
      <c r="J11000" s="297">
        <v>498929.33</v>
      </c>
      <c r="K11000" s="297">
        <v>23527.21</v>
      </c>
      <c r="L11000" s="43">
        <v>5.4252969015980019</v>
      </c>
      <c r="M11000" s="43">
        <v>11.500478468899521</v>
      </c>
      <c r="N11000" s="43">
        <v>5.1262692652758775</v>
      </c>
      <c r="O11000" s="43">
        <v>3.9800533894520309</v>
      </c>
      <c r="P11000" s="298"/>
      <c r="Q11000" s="298"/>
      <c r="R11000" s="298">
        <v>11</v>
      </c>
    </row>
    <row r="11001" spans="1:18" ht="24">
      <c r="A11001" s="294">
        <v>299</v>
      </c>
      <c r="B11001" s="291" t="s">
        <v>20119</v>
      </c>
      <c r="C11001" s="295" t="s">
        <v>20120</v>
      </c>
      <c r="D11001" s="296">
        <v>88331.56</v>
      </c>
      <c r="E11001" s="296">
        <v>29343.599999999999</v>
      </c>
      <c r="F11001" s="296">
        <v>39751.199999999997</v>
      </c>
      <c r="G11001" s="296">
        <v>19236.759999999998</v>
      </c>
      <c r="H11001" s="297">
        <v>633701.31999999995</v>
      </c>
      <c r="I11001" s="297">
        <v>337465.44</v>
      </c>
      <c r="J11001" s="297">
        <v>215870.09</v>
      </c>
      <c r="K11001" s="297">
        <v>80365.789999999994</v>
      </c>
      <c r="L11001" s="43">
        <v>7.1741212314149099</v>
      </c>
      <c r="M11001" s="43">
        <v>11.500478468899523</v>
      </c>
      <c r="N11001" s="43">
        <v>5.4305301475175591</v>
      </c>
      <c r="O11001" s="43">
        <v>4.1777196367787504</v>
      </c>
      <c r="P11001" s="298"/>
      <c r="Q11001" s="298"/>
      <c r="R11001" s="298">
        <v>11</v>
      </c>
    </row>
    <row r="11002" spans="1:18" ht="24">
      <c r="A11002" s="294">
        <v>300</v>
      </c>
      <c r="B11002" s="291" t="s">
        <v>20121</v>
      </c>
      <c r="C11002" s="295" t="s">
        <v>20122</v>
      </c>
      <c r="D11002" s="296">
        <v>212757.78</v>
      </c>
      <c r="E11002" s="296">
        <v>33690.720000000001</v>
      </c>
      <c r="F11002" s="296">
        <v>149005.32</v>
      </c>
      <c r="G11002" s="296">
        <v>30061.74</v>
      </c>
      <c r="H11002" s="297">
        <v>1317260.99</v>
      </c>
      <c r="I11002" s="297">
        <v>387443.28</v>
      </c>
      <c r="J11002" s="297">
        <v>800892.23</v>
      </c>
      <c r="K11002" s="297">
        <v>128925.48</v>
      </c>
      <c r="L11002" s="43">
        <v>6.1913646119074937</v>
      </c>
      <c r="M11002" s="43">
        <v>11.5</v>
      </c>
      <c r="N11002" s="43">
        <v>5.3749237275554993</v>
      </c>
      <c r="O11002" s="43">
        <v>4.2886898762347085</v>
      </c>
      <c r="P11002" s="298"/>
      <c r="Q11002" s="298"/>
      <c r="R11002" s="298">
        <v>11</v>
      </c>
    </row>
    <row r="11003" spans="1:18" ht="12.75" customHeight="1">
      <c r="A11003" s="628" t="s">
        <v>20123</v>
      </c>
      <c r="B11003" s="629"/>
      <c r="C11003" s="629"/>
      <c r="D11003" s="629"/>
      <c r="E11003" s="629"/>
      <c r="F11003" s="629"/>
      <c r="G11003" s="629"/>
      <c r="H11003" s="629"/>
      <c r="I11003" s="629"/>
      <c r="J11003" s="629"/>
      <c r="K11003" s="629"/>
      <c r="L11003" s="629"/>
      <c r="M11003" s="629"/>
      <c r="N11003" s="629"/>
      <c r="O11003" s="629"/>
      <c r="P11003" s="629"/>
      <c r="Q11003" s="629"/>
      <c r="R11003" s="629"/>
    </row>
    <row r="11004" spans="1:18" ht="24">
      <c r="A11004" s="294">
        <v>301</v>
      </c>
      <c r="B11004" s="291" t="s">
        <v>20124</v>
      </c>
      <c r="C11004" s="295" t="s">
        <v>20125</v>
      </c>
      <c r="D11004" s="296">
        <v>244956.53</v>
      </c>
      <c r="E11004" s="296">
        <v>15040.64</v>
      </c>
      <c r="F11004" s="296">
        <v>212727.35</v>
      </c>
      <c r="G11004" s="296">
        <v>17188.54</v>
      </c>
      <c r="H11004" s="297">
        <v>1346334.54</v>
      </c>
      <c r="I11004" s="297">
        <v>172967.36</v>
      </c>
      <c r="J11004" s="297">
        <v>1102808.3500000001</v>
      </c>
      <c r="K11004" s="297">
        <v>70558.83</v>
      </c>
      <c r="L11004" s="43">
        <v>5.496218206552812</v>
      </c>
      <c r="M11004" s="43">
        <v>11.5</v>
      </c>
      <c r="N11004" s="43">
        <v>5.1841399331115632</v>
      </c>
      <c r="O11004" s="43">
        <v>4.1049926288096605</v>
      </c>
      <c r="P11004" s="298"/>
      <c r="Q11004" s="298"/>
      <c r="R11004" s="298">
        <v>12</v>
      </c>
    </row>
    <row r="11005" spans="1:18" ht="24">
      <c r="A11005" s="294">
        <v>302</v>
      </c>
      <c r="B11005" s="291" t="s">
        <v>20126</v>
      </c>
      <c r="C11005" s="295" t="s">
        <v>20127</v>
      </c>
      <c r="D11005" s="296">
        <v>638331.57999999996</v>
      </c>
      <c r="E11005" s="296">
        <v>57697.440000000002</v>
      </c>
      <c r="F11005" s="296">
        <v>534998.43999999994</v>
      </c>
      <c r="G11005" s="296">
        <v>45635.7</v>
      </c>
      <c r="H11005" s="297">
        <v>3667081.22</v>
      </c>
      <c r="I11005" s="297">
        <v>663520.56000000006</v>
      </c>
      <c r="J11005" s="297">
        <v>2785852.04</v>
      </c>
      <c r="K11005" s="297">
        <v>217708.62</v>
      </c>
      <c r="L11005" s="43">
        <v>5.7447905366048166</v>
      </c>
      <c r="M11005" s="43">
        <v>11.5</v>
      </c>
      <c r="N11005" s="43">
        <v>5.2072152584220621</v>
      </c>
      <c r="O11005" s="43">
        <v>4.770576982493969</v>
      </c>
      <c r="P11005" s="298"/>
      <c r="Q11005" s="298"/>
      <c r="R11005" s="298">
        <v>12</v>
      </c>
    </row>
    <row r="11006" spans="1:18" ht="12.75" customHeight="1">
      <c r="A11006" s="628" t="s">
        <v>20128</v>
      </c>
      <c r="B11006" s="629"/>
      <c r="C11006" s="629"/>
      <c r="D11006" s="629"/>
      <c r="E11006" s="629"/>
      <c r="F11006" s="629"/>
      <c r="G11006" s="629"/>
      <c r="H11006" s="629"/>
      <c r="I11006" s="629"/>
      <c r="J11006" s="629"/>
      <c r="K11006" s="629"/>
      <c r="L11006" s="629"/>
      <c r="M11006" s="629"/>
      <c r="N11006" s="629"/>
      <c r="O11006" s="629"/>
      <c r="P11006" s="629"/>
      <c r="Q11006" s="629"/>
      <c r="R11006" s="629"/>
    </row>
    <row r="11007" spans="1:18" ht="12.75" customHeight="1">
      <c r="A11007" s="628" t="s">
        <v>20028</v>
      </c>
      <c r="B11007" s="629"/>
      <c r="C11007" s="629"/>
      <c r="D11007" s="629"/>
      <c r="E11007" s="629"/>
      <c r="F11007" s="629"/>
      <c r="G11007" s="629"/>
      <c r="H11007" s="629"/>
      <c r="I11007" s="629"/>
      <c r="J11007" s="629"/>
      <c r="K11007" s="629"/>
      <c r="L11007" s="629"/>
      <c r="M11007" s="629"/>
      <c r="N11007" s="629"/>
      <c r="O11007" s="629"/>
      <c r="P11007" s="629"/>
      <c r="Q11007" s="629"/>
      <c r="R11007" s="629"/>
    </row>
    <row r="11008" spans="1:18" ht="24">
      <c r="A11008" s="294">
        <v>303</v>
      </c>
      <c r="B11008" s="291" t="s">
        <v>20129</v>
      </c>
      <c r="C11008" s="295" t="s">
        <v>20130</v>
      </c>
      <c r="D11008" s="296">
        <v>216930.83</v>
      </c>
      <c r="E11008" s="296">
        <v>29582.36</v>
      </c>
      <c r="F11008" s="296">
        <v>161172.62</v>
      </c>
      <c r="G11008" s="296">
        <v>26175.85</v>
      </c>
      <c r="H11008" s="297">
        <v>1323317.33</v>
      </c>
      <c r="I11008" s="297">
        <v>340197.14</v>
      </c>
      <c r="J11008" s="297">
        <v>861632.46</v>
      </c>
      <c r="K11008" s="297">
        <v>121487.73</v>
      </c>
      <c r="L11008" s="43">
        <v>6.1001810116155468</v>
      </c>
      <c r="M11008" s="43">
        <v>11.5</v>
      </c>
      <c r="N11008" s="43">
        <v>5.3460225440276394</v>
      </c>
      <c r="O11008" s="43">
        <v>4.6412143254182769</v>
      </c>
      <c r="P11008" s="298"/>
      <c r="Q11008" s="298"/>
      <c r="R11008" s="298">
        <v>1</v>
      </c>
    </row>
    <row r="11009" spans="1:18" ht="24">
      <c r="A11009" s="294">
        <v>304</v>
      </c>
      <c r="B11009" s="291" t="s">
        <v>20131</v>
      </c>
      <c r="C11009" s="295" t="s">
        <v>20132</v>
      </c>
      <c r="D11009" s="296">
        <v>401345.78</v>
      </c>
      <c r="E11009" s="296">
        <v>51490</v>
      </c>
      <c r="F11009" s="296">
        <v>314271.84000000003</v>
      </c>
      <c r="G11009" s="296">
        <v>35583.94</v>
      </c>
      <c r="H11009" s="297">
        <v>2439123.63</v>
      </c>
      <c r="I11009" s="297">
        <v>592135</v>
      </c>
      <c r="J11009" s="297">
        <v>1679486.78</v>
      </c>
      <c r="K11009" s="297">
        <v>167501.85</v>
      </c>
      <c r="L11009" s="43">
        <v>6.0773620941024964</v>
      </c>
      <c r="M11009" s="43">
        <v>11.5</v>
      </c>
      <c r="N11009" s="43">
        <v>5.3440574885742222</v>
      </c>
      <c r="O11009" s="43">
        <v>4.7072316893519943</v>
      </c>
      <c r="P11009" s="298"/>
      <c r="Q11009" s="298"/>
      <c r="R11009" s="298">
        <v>1</v>
      </c>
    </row>
    <row r="11010" spans="1:18" ht="12.75" customHeight="1">
      <c r="A11010" s="628" t="s">
        <v>20133</v>
      </c>
      <c r="B11010" s="629"/>
      <c r="C11010" s="629"/>
      <c r="D11010" s="629"/>
      <c r="E11010" s="629"/>
      <c r="F11010" s="629"/>
      <c r="G11010" s="629"/>
      <c r="H11010" s="629"/>
      <c r="I11010" s="629"/>
      <c r="J11010" s="629"/>
      <c r="K11010" s="629"/>
      <c r="L11010" s="629"/>
      <c r="M11010" s="629"/>
      <c r="N11010" s="629"/>
      <c r="O11010" s="629"/>
      <c r="P11010" s="629"/>
      <c r="Q11010" s="629"/>
      <c r="R11010" s="629"/>
    </row>
    <row r="11011" spans="1:18" ht="24">
      <c r="A11011" s="294">
        <v>305</v>
      </c>
      <c r="B11011" s="291" t="s">
        <v>20134</v>
      </c>
      <c r="C11011" s="295" t="s">
        <v>20135</v>
      </c>
      <c r="D11011" s="296">
        <v>295776.84999999998</v>
      </c>
      <c r="E11011" s="296">
        <v>54091.6</v>
      </c>
      <c r="F11011" s="296">
        <v>201256.54</v>
      </c>
      <c r="G11011" s="296">
        <v>40428.71</v>
      </c>
      <c r="H11011" s="297">
        <v>1870316.03</v>
      </c>
      <c r="I11011" s="297">
        <v>622053.4</v>
      </c>
      <c r="J11011" s="297">
        <v>1078555.45</v>
      </c>
      <c r="K11011" s="297">
        <v>169707.18</v>
      </c>
      <c r="L11011" s="43">
        <v>6.3234023555257961</v>
      </c>
      <c r="M11011" s="43">
        <v>11.5</v>
      </c>
      <c r="N11011" s="43">
        <v>5.3591075847771199</v>
      </c>
      <c r="O11011" s="43">
        <v>4.19768971109887</v>
      </c>
      <c r="P11011" s="298"/>
      <c r="Q11011" s="298"/>
      <c r="R11011" s="298">
        <v>2</v>
      </c>
    </row>
    <row r="11012" spans="1:18" ht="12.75" customHeight="1">
      <c r="A11012" s="628" t="s">
        <v>18500</v>
      </c>
      <c r="B11012" s="629"/>
      <c r="C11012" s="629"/>
      <c r="D11012" s="629"/>
      <c r="E11012" s="629"/>
      <c r="F11012" s="629"/>
      <c r="G11012" s="629"/>
      <c r="H11012" s="629"/>
      <c r="I11012" s="629"/>
      <c r="J11012" s="629"/>
      <c r="K11012" s="629"/>
      <c r="L11012" s="629"/>
      <c r="M11012" s="629"/>
      <c r="N11012" s="629"/>
      <c r="O11012" s="629"/>
      <c r="P11012" s="629"/>
      <c r="Q11012" s="629"/>
      <c r="R11012" s="629"/>
    </row>
    <row r="11013" spans="1:18" ht="24">
      <c r="A11013" s="294">
        <v>306</v>
      </c>
      <c r="B11013" s="291" t="s">
        <v>20136</v>
      </c>
      <c r="C11013" s="295" t="s">
        <v>20137</v>
      </c>
      <c r="D11013" s="296">
        <v>1392.93</v>
      </c>
      <c r="E11013" s="296">
        <v>644.98</v>
      </c>
      <c r="F11013" s="296">
        <v>207.27</v>
      </c>
      <c r="G11013" s="296">
        <v>540.67999999999995</v>
      </c>
      <c r="H11013" s="297">
        <v>10634.98</v>
      </c>
      <c r="I11013" s="297">
        <v>7417.27</v>
      </c>
      <c r="J11013" s="297">
        <v>1079.97</v>
      </c>
      <c r="K11013" s="297">
        <v>2137.7399999999998</v>
      </c>
      <c r="L11013" s="43">
        <v>7.634970888702231</v>
      </c>
      <c r="M11013" s="43">
        <v>11.5</v>
      </c>
      <c r="N11013" s="43">
        <v>5.2104501375018089</v>
      </c>
      <c r="O11013" s="43">
        <v>3.9537989198786714</v>
      </c>
      <c r="P11013" s="298"/>
      <c r="Q11013" s="298"/>
      <c r="R11013" s="298">
        <v>3</v>
      </c>
    </row>
    <row r="11014" spans="1:18" ht="24">
      <c r="A11014" s="294">
        <v>307</v>
      </c>
      <c r="B11014" s="291" t="s">
        <v>20138</v>
      </c>
      <c r="C11014" s="295" t="s">
        <v>20139</v>
      </c>
      <c r="D11014" s="296">
        <v>1246.3699999999999</v>
      </c>
      <c r="E11014" s="296">
        <v>572.35</v>
      </c>
      <c r="F11014" s="296">
        <v>132.41</v>
      </c>
      <c r="G11014" s="296">
        <v>541.61</v>
      </c>
      <c r="H11014" s="297">
        <v>9404.17</v>
      </c>
      <c r="I11014" s="297">
        <v>6582.05</v>
      </c>
      <c r="J11014" s="297">
        <v>680.19</v>
      </c>
      <c r="K11014" s="297">
        <v>2141.9299999999998</v>
      </c>
      <c r="L11014" s="43">
        <v>7.5452473984450856</v>
      </c>
      <c r="M11014" s="43">
        <v>11.500043679566698</v>
      </c>
      <c r="N11014" s="43">
        <v>5.1369987161090558</v>
      </c>
      <c r="O11014" s="43">
        <v>3.954746034969812</v>
      </c>
      <c r="P11014" s="298"/>
      <c r="Q11014" s="298"/>
      <c r="R11014" s="298">
        <v>3</v>
      </c>
    </row>
    <row r="11015" spans="1:18" ht="12.75" customHeight="1">
      <c r="A11015" s="628" t="s">
        <v>20140</v>
      </c>
      <c r="B11015" s="629"/>
      <c r="C11015" s="629"/>
      <c r="D11015" s="629"/>
      <c r="E11015" s="629"/>
      <c r="F11015" s="629"/>
      <c r="G11015" s="629"/>
      <c r="H11015" s="629"/>
      <c r="I11015" s="629"/>
      <c r="J11015" s="629"/>
      <c r="K11015" s="629"/>
      <c r="L11015" s="629"/>
      <c r="M11015" s="629"/>
      <c r="N11015" s="629"/>
      <c r="O11015" s="629"/>
      <c r="P11015" s="629"/>
      <c r="Q11015" s="629"/>
      <c r="R11015" s="629"/>
    </row>
    <row r="11016" spans="1:18" ht="24">
      <c r="A11016" s="294">
        <v>308</v>
      </c>
      <c r="B11016" s="291" t="s">
        <v>20141</v>
      </c>
      <c r="C11016" s="295" t="s">
        <v>20142</v>
      </c>
      <c r="D11016" s="296">
        <v>52183.71</v>
      </c>
      <c r="E11016" s="296">
        <v>13515.04</v>
      </c>
      <c r="F11016" s="296">
        <v>32925.440000000002</v>
      </c>
      <c r="G11016" s="296">
        <v>5743.23</v>
      </c>
      <c r="H11016" s="297">
        <v>357129.24</v>
      </c>
      <c r="I11016" s="297">
        <v>155429.12</v>
      </c>
      <c r="J11016" s="297">
        <v>175866.26</v>
      </c>
      <c r="K11016" s="297">
        <v>25833.86</v>
      </c>
      <c r="L11016" s="43">
        <v>6.8436920257298688</v>
      </c>
      <c r="M11016" s="43">
        <v>11.500455788514129</v>
      </c>
      <c r="N11016" s="43">
        <v>5.3413488172063914</v>
      </c>
      <c r="O11016" s="43">
        <v>4.4981412898316808</v>
      </c>
      <c r="P11016" s="298"/>
      <c r="Q11016" s="298"/>
      <c r="R11016" s="298">
        <v>4</v>
      </c>
    </row>
    <row r="11017" spans="1:18" ht="12.75" customHeight="1">
      <c r="A11017" s="628" t="s">
        <v>20143</v>
      </c>
      <c r="B11017" s="629"/>
      <c r="C11017" s="629"/>
      <c r="D11017" s="629"/>
      <c r="E11017" s="629"/>
      <c r="F11017" s="629"/>
      <c r="G11017" s="629"/>
      <c r="H11017" s="629"/>
      <c r="I11017" s="629"/>
      <c r="J11017" s="629"/>
      <c r="K11017" s="629"/>
      <c r="L11017" s="629"/>
      <c r="M11017" s="629"/>
      <c r="N11017" s="629"/>
      <c r="O11017" s="629"/>
      <c r="P11017" s="629"/>
      <c r="Q11017" s="629"/>
      <c r="R11017" s="629"/>
    </row>
    <row r="11018" spans="1:18" ht="24">
      <c r="A11018" s="294">
        <v>309</v>
      </c>
      <c r="B11018" s="291" t="s">
        <v>20144</v>
      </c>
      <c r="C11018" s="295" t="s">
        <v>20145</v>
      </c>
      <c r="D11018" s="296">
        <v>49257.48</v>
      </c>
      <c r="E11018" s="296">
        <v>9947.4</v>
      </c>
      <c r="F11018" s="296">
        <v>27711.07</v>
      </c>
      <c r="G11018" s="296">
        <v>11599.01</v>
      </c>
      <c r="H11018" s="297">
        <v>308508.69</v>
      </c>
      <c r="I11018" s="297">
        <v>114395.1</v>
      </c>
      <c r="J11018" s="297">
        <v>140207.31</v>
      </c>
      <c r="K11018" s="297">
        <v>53906.28</v>
      </c>
      <c r="L11018" s="43">
        <v>6.2631845965323434</v>
      </c>
      <c r="M11018" s="43">
        <v>11.500000000000002</v>
      </c>
      <c r="N11018" s="43">
        <v>5.0596137211590895</v>
      </c>
      <c r="O11018" s="43">
        <v>4.6474897426590713</v>
      </c>
      <c r="P11018" s="298"/>
      <c r="Q11018" s="298"/>
      <c r="R11018" s="298">
        <v>5</v>
      </c>
    </row>
    <row r="11019" spans="1:18" ht="24">
      <c r="A11019" s="294">
        <v>310</v>
      </c>
      <c r="B11019" s="291" t="s">
        <v>20146</v>
      </c>
      <c r="C11019" s="295" t="s">
        <v>20147</v>
      </c>
      <c r="D11019" s="296">
        <v>123330.01</v>
      </c>
      <c r="E11019" s="296">
        <v>24357.08</v>
      </c>
      <c r="F11019" s="296">
        <v>76224.479999999996</v>
      </c>
      <c r="G11019" s="296">
        <v>22748.45</v>
      </c>
      <c r="H11019" s="297">
        <v>774825.49</v>
      </c>
      <c r="I11019" s="297">
        <v>280106.42</v>
      </c>
      <c r="J11019" s="297">
        <v>386773.29</v>
      </c>
      <c r="K11019" s="297">
        <v>107945.78</v>
      </c>
      <c r="L11019" s="43">
        <v>6.2825381267706053</v>
      </c>
      <c r="M11019" s="43">
        <v>11.499999999999998</v>
      </c>
      <c r="N11019" s="43">
        <v>5.0741348448687349</v>
      </c>
      <c r="O11019" s="43">
        <v>4.7451927493961126</v>
      </c>
      <c r="P11019" s="298"/>
      <c r="Q11019" s="298"/>
      <c r="R11019" s="298">
        <v>5</v>
      </c>
    </row>
    <row r="11020" spans="1:18" ht="12.75" customHeight="1">
      <c r="A11020" s="628" t="s">
        <v>20148</v>
      </c>
      <c r="B11020" s="629"/>
      <c r="C11020" s="629"/>
      <c r="D11020" s="629"/>
      <c r="E11020" s="629"/>
      <c r="F11020" s="629"/>
      <c r="G11020" s="629"/>
      <c r="H11020" s="629"/>
      <c r="I11020" s="629"/>
      <c r="J11020" s="629"/>
      <c r="K11020" s="629"/>
      <c r="L11020" s="629"/>
      <c r="M11020" s="629"/>
      <c r="N11020" s="629"/>
      <c r="O11020" s="629"/>
      <c r="P11020" s="629"/>
      <c r="Q11020" s="629"/>
      <c r="R11020" s="629"/>
    </row>
    <row r="11021" spans="1:18" ht="24">
      <c r="A11021" s="294">
        <v>311</v>
      </c>
      <c r="B11021" s="291" t="s">
        <v>20149</v>
      </c>
      <c r="C11021" s="295" t="s">
        <v>20150</v>
      </c>
      <c r="D11021" s="296">
        <v>5131.6000000000004</v>
      </c>
      <c r="E11021" s="296">
        <v>2577.9499999999998</v>
      </c>
      <c r="F11021" s="296">
        <v>1071.8599999999999</v>
      </c>
      <c r="G11021" s="296">
        <v>1481.79</v>
      </c>
      <c r="H11021" s="297">
        <v>41203.96</v>
      </c>
      <c r="I11021" s="297">
        <v>29647.599999999999</v>
      </c>
      <c r="J11021" s="297">
        <v>5412.83</v>
      </c>
      <c r="K11021" s="297">
        <v>6143.53</v>
      </c>
      <c r="L11021" s="43">
        <v>8.0294566996648218</v>
      </c>
      <c r="M11021" s="43">
        <v>11.500455788514129</v>
      </c>
      <c r="N11021" s="43">
        <v>5.0499412236672701</v>
      </c>
      <c r="O11021" s="43">
        <v>4.1460193414721385</v>
      </c>
      <c r="P11021" s="298"/>
      <c r="Q11021" s="298"/>
      <c r="R11021" s="298">
        <v>6</v>
      </c>
    </row>
    <row r="11022" spans="1:18" ht="24">
      <c r="A11022" s="294">
        <v>312</v>
      </c>
      <c r="B11022" s="291" t="s">
        <v>20151</v>
      </c>
      <c r="C11022" s="295" t="s">
        <v>20152</v>
      </c>
      <c r="D11022" s="296">
        <v>11269.4</v>
      </c>
      <c r="E11022" s="296">
        <v>3619.28</v>
      </c>
      <c r="F11022" s="296">
        <v>6076.83</v>
      </c>
      <c r="G11022" s="296">
        <v>1573.29</v>
      </c>
      <c r="H11022" s="297">
        <v>79714.34</v>
      </c>
      <c r="I11022" s="297">
        <v>41621.72</v>
      </c>
      <c r="J11022" s="297">
        <v>30840.81</v>
      </c>
      <c r="K11022" s="297">
        <v>7251.81</v>
      </c>
      <c r="L11022" s="43">
        <v>7.0735212167462329</v>
      </c>
      <c r="M11022" s="43">
        <v>11.5</v>
      </c>
      <c r="N11022" s="43">
        <v>5.0751477332754087</v>
      </c>
      <c r="O11022" s="43">
        <v>4.6093282230230921</v>
      </c>
      <c r="P11022" s="298"/>
      <c r="Q11022" s="298"/>
      <c r="R11022" s="298">
        <v>6</v>
      </c>
    </row>
    <row r="11023" spans="1:18" ht="24">
      <c r="A11023" s="294">
        <v>313</v>
      </c>
      <c r="B11023" s="291" t="s">
        <v>20153</v>
      </c>
      <c r="C11023" s="295" t="s">
        <v>20154</v>
      </c>
      <c r="D11023" s="296">
        <v>2530.2800000000002</v>
      </c>
      <c r="E11023" s="296">
        <v>1381.59</v>
      </c>
      <c r="F11023" s="296">
        <v>499.18</v>
      </c>
      <c r="G11023" s="296">
        <v>649.51</v>
      </c>
      <c r="H11023" s="297">
        <v>21393.63</v>
      </c>
      <c r="I11023" s="297">
        <v>15888.93</v>
      </c>
      <c r="J11023" s="297">
        <v>2583.02</v>
      </c>
      <c r="K11023" s="297">
        <v>2921.68</v>
      </c>
      <c r="L11023" s="43">
        <v>8.455044501003842</v>
      </c>
      <c r="M11023" s="43">
        <v>11.500466853408032</v>
      </c>
      <c r="N11023" s="43">
        <v>5.1745262230057296</v>
      </c>
      <c r="O11023" s="43">
        <v>4.4982833212729592</v>
      </c>
      <c r="P11023" s="298"/>
      <c r="Q11023" s="298"/>
      <c r="R11023" s="298">
        <v>6</v>
      </c>
    </row>
    <row r="11024" spans="1:18" ht="12.75" customHeight="1">
      <c r="A11024" s="628" t="s">
        <v>20155</v>
      </c>
      <c r="B11024" s="629"/>
      <c r="C11024" s="629"/>
      <c r="D11024" s="629"/>
      <c r="E11024" s="629"/>
      <c r="F11024" s="629"/>
      <c r="G11024" s="629"/>
      <c r="H11024" s="629"/>
      <c r="I11024" s="629"/>
      <c r="J11024" s="629"/>
      <c r="K11024" s="629"/>
      <c r="L11024" s="629"/>
      <c r="M11024" s="629"/>
      <c r="N11024" s="629"/>
      <c r="O11024" s="629"/>
      <c r="P11024" s="629"/>
      <c r="Q11024" s="629"/>
      <c r="R11024" s="629"/>
    </row>
    <row r="11025" spans="1:18" ht="24">
      <c r="A11025" s="294">
        <v>314</v>
      </c>
      <c r="B11025" s="291" t="s">
        <v>20156</v>
      </c>
      <c r="C11025" s="295" t="s">
        <v>20157</v>
      </c>
      <c r="D11025" s="296">
        <v>3161.09</v>
      </c>
      <c r="E11025" s="296">
        <v>914.38</v>
      </c>
      <c r="F11025" s="296">
        <v>375.7</v>
      </c>
      <c r="G11025" s="296">
        <v>1871.01</v>
      </c>
      <c r="H11025" s="297">
        <v>20759.150000000001</v>
      </c>
      <c r="I11025" s="297">
        <v>10515.75</v>
      </c>
      <c r="J11025" s="297">
        <v>1961.22</v>
      </c>
      <c r="K11025" s="297">
        <v>8282.18</v>
      </c>
      <c r="L11025" s="43">
        <v>6.5670860367784529</v>
      </c>
      <c r="M11025" s="43">
        <v>11.500415582143091</v>
      </c>
      <c r="N11025" s="43">
        <v>5.2201756720787866</v>
      </c>
      <c r="O11025" s="43">
        <v>4.4265824340864031</v>
      </c>
      <c r="P11025" s="298"/>
      <c r="Q11025" s="298"/>
      <c r="R11025" s="298">
        <v>7</v>
      </c>
    </row>
    <row r="11026" spans="1:18" ht="24">
      <c r="A11026" s="294">
        <v>315</v>
      </c>
      <c r="B11026" s="291" t="s">
        <v>20158</v>
      </c>
      <c r="C11026" s="295" t="s">
        <v>20159</v>
      </c>
      <c r="D11026" s="296">
        <v>3864.48</v>
      </c>
      <c r="E11026" s="296">
        <v>973.94</v>
      </c>
      <c r="F11026" s="296">
        <v>464.47</v>
      </c>
      <c r="G11026" s="296">
        <v>2426.0700000000002</v>
      </c>
      <c r="H11026" s="297">
        <v>24513.69</v>
      </c>
      <c r="I11026" s="297">
        <v>11200.78</v>
      </c>
      <c r="J11026" s="297">
        <v>2440.04</v>
      </c>
      <c r="K11026" s="297">
        <v>10872.87</v>
      </c>
      <c r="L11026" s="43">
        <v>6.343334678921873</v>
      </c>
      <c r="M11026" s="43">
        <v>11.500482575928702</v>
      </c>
      <c r="N11026" s="43">
        <v>5.2533855792623845</v>
      </c>
      <c r="O11026" s="43">
        <v>4.4816802483028111</v>
      </c>
      <c r="P11026" s="298"/>
      <c r="Q11026" s="298"/>
      <c r="R11026" s="298">
        <v>7</v>
      </c>
    </row>
    <row r="11027" spans="1:18" ht="24">
      <c r="A11027" s="294">
        <v>316</v>
      </c>
      <c r="B11027" s="291" t="s">
        <v>20160</v>
      </c>
      <c r="C11027" s="295" t="s">
        <v>20161</v>
      </c>
      <c r="D11027" s="296">
        <v>11003.11</v>
      </c>
      <c r="E11027" s="296">
        <v>2474.0100000000002</v>
      </c>
      <c r="F11027" s="296">
        <v>4687.1899999999996</v>
      </c>
      <c r="G11027" s="296">
        <v>3841.91</v>
      </c>
      <c r="H11027" s="297">
        <v>69332.41</v>
      </c>
      <c r="I11027" s="297">
        <v>28452.27</v>
      </c>
      <c r="J11027" s="297">
        <v>23504.35</v>
      </c>
      <c r="K11027" s="297">
        <v>17375.79</v>
      </c>
      <c r="L11027" s="43">
        <v>6.301164852482616</v>
      </c>
      <c r="M11027" s="43">
        <v>11.50046685340803</v>
      </c>
      <c r="N11027" s="43">
        <v>5.014592965081424</v>
      </c>
      <c r="O11027" s="43">
        <v>4.5226957424822549</v>
      </c>
      <c r="P11027" s="298"/>
      <c r="Q11027" s="298"/>
      <c r="R11027" s="298">
        <v>7</v>
      </c>
    </row>
    <row r="11028" spans="1:18" ht="12.75" customHeight="1">
      <c r="A11028" s="628" t="s">
        <v>20162</v>
      </c>
      <c r="B11028" s="629"/>
      <c r="C11028" s="629"/>
      <c r="D11028" s="629"/>
      <c r="E11028" s="629"/>
      <c r="F11028" s="629"/>
      <c r="G11028" s="629"/>
      <c r="H11028" s="629"/>
      <c r="I11028" s="629"/>
      <c r="J11028" s="629"/>
      <c r="K11028" s="629"/>
      <c r="L11028" s="629"/>
      <c r="M11028" s="629"/>
      <c r="N11028" s="629"/>
      <c r="O11028" s="629"/>
      <c r="P11028" s="629"/>
      <c r="Q11028" s="629"/>
      <c r="R11028" s="629"/>
    </row>
    <row r="11029" spans="1:18" ht="24">
      <c r="A11029" s="294">
        <v>317</v>
      </c>
      <c r="B11029" s="291" t="s">
        <v>20163</v>
      </c>
      <c r="C11029" s="295" t="s">
        <v>20164</v>
      </c>
      <c r="D11029" s="296">
        <v>6902.38</v>
      </c>
      <c r="E11029" s="296">
        <v>2905.12</v>
      </c>
      <c r="F11029" s="296">
        <v>2611.87</v>
      </c>
      <c r="G11029" s="296">
        <v>1385.39</v>
      </c>
      <c r="H11029" s="297">
        <v>52530.82</v>
      </c>
      <c r="I11029" s="297">
        <v>33408.879999999997</v>
      </c>
      <c r="J11029" s="297">
        <v>13444.09</v>
      </c>
      <c r="K11029" s="297">
        <v>5677.85</v>
      </c>
      <c r="L11029" s="43">
        <v>7.6105372349827158</v>
      </c>
      <c r="M11029" s="43">
        <v>11.5</v>
      </c>
      <c r="N11029" s="43">
        <v>5.147304421736151</v>
      </c>
      <c r="O11029" s="43">
        <v>4.0983766304073219</v>
      </c>
      <c r="P11029" s="298"/>
      <c r="Q11029" s="298"/>
      <c r="R11029" s="298">
        <v>8</v>
      </c>
    </row>
    <row r="11030" spans="1:18" ht="12.75" customHeight="1">
      <c r="A11030" s="628" t="s">
        <v>20165</v>
      </c>
      <c r="B11030" s="629"/>
      <c r="C11030" s="629"/>
      <c r="D11030" s="629"/>
      <c r="E11030" s="629"/>
      <c r="F11030" s="629"/>
      <c r="G11030" s="629"/>
      <c r="H11030" s="629"/>
      <c r="I11030" s="629"/>
      <c r="J11030" s="629"/>
      <c r="K11030" s="629"/>
      <c r="L11030" s="629"/>
      <c r="M11030" s="629"/>
      <c r="N11030" s="629"/>
      <c r="O11030" s="629"/>
      <c r="P11030" s="629"/>
      <c r="Q11030" s="629"/>
      <c r="R11030" s="629"/>
    </row>
    <row r="11031" spans="1:18" ht="36">
      <c r="A11031" s="294">
        <v>318</v>
      </c>
      <c r="B11031" s="291" t="s">
        <v>20166</v>
      </c>
      <c r="C11031" s="295" t="s">
        <v>20167</v>
      </c>
      <c r="D11031" s="296">
        <v>112091.8</v>
      </c>
      <c r="E11031" s="296">
        <v>64324.56</v>
      </c>
      <c r="F11031" s="296">
        <v>28026.880000000001</v>
      </c>
      <c r="G11031" s="296">
        <v>19740.36</v>
      </c>
      <c r="H11031" s="297">
        <v>963868.3</v>
      </c>
      <c r="I11031" s="297">
        <v>739732.44</v>
      </c>
      <c r="J11031" s="297">
        <v>139727.32999999999</v>
      </c>
      <c r="K11031" s="297">
        <v>84408.53</v>
      </c>
      <c r="L11031" s="43">
        <v>8.5989189218123006</v>
      </c>
      <c r="M11031" s="43">
        <v>11.5</v>
      </c>
      <c r="N11031" s="43">
        <v>4.9854757290144311</v>
      </c>
      <c r="O11031" s="43">
        <v>4.2759367103740757</v>
      </c>
      <c r="P11031" s="298"/>
      <c r="Q11031" s="298"/>
      <c r="R11031" s="298">
        <v>9</v>
      </c>
    </row>
    <row r="11032" spans="1:18" ht="12.75" customHeight="1">
      <c r="A11032" s="628" t="s">
        <v>20168</v>
      </c>
      <c r="B11032" s="629"/>
      <c r="C11032" s="629"/>
      <c r="D11032" s="629"/>
      <c r="E11032" s="629"/>
      <c r="F11032" s="629"/>
      <c r="G11032" s="629"/>
      <c r="H11032" s="629"/>
      <c r="I11032" s="629"/>
      <c r="J11032" s="629"/>
      <c r="K11032" s="629"/>
      <c r="L11032" s="629"/>
      <c r="M11032" s="629"/>
      <c r="N11032" s="629"/>
      <c r="O11032" s="629"/>
      <c r="P11032" s="629"/>
      <c r="Q11032" s="629"/>
      <c r="R11032" s="629"/>
    </row>
    <row r="11033" spans="1:18" ht="12.75" customHeight="1">
      <c r="A11033" s="628" t="s">
        <v>20169</v>
      </c>
      <c r="B11033" s="629"/>
      <c r="C11033" s="629"/>
      <c r="D11033" s="629"/>
      <c r="E11033" s="629"/>
      <c r="F11033" s="629"/>
      <c r="G11033" s="629"/>
      <c r="H11033" s="629"/>
      <c r="I11033" s="629"/>
      <c r="J11033" s="629"/>
      <c r="K11033" s="629"/>
      <c r="L11033" s="629"/>
      <c r="M11033" s="629"/>
      <c r="N11033" s="629"/>
      <c r="O11033" s="629"/>
      <c r="P11033" s="629"/>
      <c r="Q11033" s="629"/>
      <c r="R11033" s="629"/>
    </row>
    <row r="11034" spans="1:18" ht="24">
      <c r="A11034" s="294">
        <v>319</v>
      </c>
      <c r="B11034" s="291" t="s">
        <v>20170</v>
      </c>
      <c r="C11034" s="295" t="s">
        <v>20171</v>
      </c>
      <c r="D11034" s="296">
        <v>106085.58</v>
      </c>
      <c r="E11034" s="296">
        <v>28840.13</v>
      </c>
      <c r="F11034" s="296">
        <v>53504.4</v>
      </c>
      <c r="G11034" s="296">
        <v>23741.05</v>
      </c>
      <c r="H11034" s="297">
        <v>720937.56</v>
      </c>
      <c r="I11034" s="297">
        <v>331674.64</v>
      </c>
      <c r="J11034" s="297">
        <v>277229.13</v>
      </c>
      <c r="K11034" s="297">
        <v>112033.79</v>
      </c>
      <c r="L11034" s="43">
        <v>6.7958110800732774</v>
      </c>
      <c r="M11034" s="43">
        <v>11.500455788514129</v>
      </c>
      <c r="N11034" s="43">
        <v>5.1814267611635678</v>
      </c>
      <c r="O11034" s="43">
        <v>4.7189905248504171</v>
      </c>
      <c r="P11034" s="298"/>
      <c r="Q11034" s="298"/>
      <c r="R11034" s="298">
        <v>1</v>
      </c>
    </row>
    <row r="11035" spans="1:18" ht="24">
      <c r="A11035" s="294">
        <v>320</v>
      </c>
      <c r="B11035" s="291" t="s">
        <v>20172</v>
      </c>
      <c r="C11035" s="295" t="s">
        <v>20173</v>
      </c>
      <c r="D11035" s="296">
        <v>177317.12</v>
      </c>
      <c r="E11035" s="296">
        <v>51065.35</v>
      </c>
      <c r="F11035" s="296">
        <v>100839.28</v>
      </c>
      <c r="G11035" s="296">
        <v>25412.49</v>
      </c>
      <c r="H11035" s="297">
        <v>1234383.6100000001</v>
      </c>
      <c r="I11035" s="297">
        <v>587274.80000000005</v>
      </c>
      <c r="J11035" s="297">
        <v>523784.15</v>
      </c>
      <c r="K11035" s="297">
        <v>123324.66</v>
      </c>
      <c r="L11035" s="43">
        <v>6.961446305917895</v>
      </c>
      <c r="M11035" s="43">
        <v>11.500455788514131</v>
      </c>
      <c r="N11035" s="43">
        <v>5.1942472219159042</v>
      </c>
      <c r="O11035" s="43">
        <v>4.8529152397108666</v>
      </c>
      <c r="P11035" s="298"/>
      <c r="Q11035" s="298"/>
      <c r="R11035" s="298">
        <v>1</v>
      </c>
    </row>
    <row r="11036" spans="1:18" ht="24">
      <c r="A11036" s="294">
        <v>321</v>
      </c>
      <c r="B11036" s="291" t="s">
        <v>20174</v>
      </c>
      <c r="C11036" s="295" t="s">
        <v>20173</v>
      </c>
      <c r="D11036" s="296">
        <v>214409.84</v>
      </c>
      <c r="E11036" s="296">
        <v>70153.149999999994</v>
      </c>
      <c r="F11036" s="296">
        <v>118485.23</v>
      </c>
      <c r="G11036" s="296">
        <v>25771.46</v>
      </c>
      <c r="H11036" s="297">
        <v>1551566.84</v>
      </c>
      <c r="I11036" s="297">
        <v>806793.2</v>
      </c>
      <c r="J11036" s="297">
        <v>617155.14</v>
      </c>
      <c r="K11036" s="297">
        <v>127618.5</v>
      </c>
      <c r="L11036" s="43">
        <v>7.2364535135141193</v>
      </c>
      <c r="M11036" s="43">
        <v>11.500455788514129</v>
      </c>
      <c r="N11036" s="43">
        <v>5.2087094737462216</v>
      </c>
      <c r="O11036" s="43">
        <v>4.9519313224784316</v>
      </c>
      <c r="P11036" s="298"/>
      <c r="Q11036" s="298"/>
      <c r="R11036" s="298">
        <v>1</v>
      </c>
    </row>
    <row r="11037" spans="1:18" ht="24">
      <c r="A11037" s="294">
        <v>322</v>
      </c>
      <c r="B11037" s="291" t="s">
        <v>20175</v>
      </c>
      <c r="C11037" s="295" t="s">
        <v>20176</v>
      </c>
      <c r="D11037" s="296">
        <v>53624.19</v>
      </c>
      <c r="E11037" s="296">
        <v>17047.38</v>
      </c>
      <c r="F11037" s="296">
        <v>34166.769999999997</v>
      </c>
      <c r="G11037" s="296">
        <v>2410.04</v>
      </c>
      <c r="H11037" s="297">
        <v>386628.32</v>
      </c>
      <c r="I11037" s="297">
        <v>196052.64</v>
      </c>
      <c r="J11037" s="297">
        <v>177984.49</v>
      </c>
      <c r="K11037" s="297">
        <v>12591.19</v>
      </c>
      <c r="L11037" s="43">
        <v>7.209961026917143</v>
      </c>
      <c r="M11037" s="43">
        <v>11.500455788514129</v>
      </c>
      <c r="N11037" s="43">
        <v>5.2092863914265237</v>
      </c>
      <c r="O11037" s="43">
        <v>5.2244734527227763</v>
      </c>
      <c r="P11037" s="298"/>
      <c r="Q11037" s="298"/>
      <c r="R11037" s="298">
        <v>1</v>
      </c>
    </row>
    <row r="11038" spans="1:18" ht="24">
      <c r="A11038" s="294">
        <v>323</v>
      </c>
      <c r="B11038" s="291" t="s">
        <v>20177</v>
      </c>
      <c r="C11038" s="295" t="s">
        <v>20178</v>
      </c>
      <c r="D11038" s="296">
        <v>123265.96</v>
      </c>
      <c r="E11038" s="296">
        <v>42366.14</v>
      </c>
      <c r="F11038" s="296">
        <v>66893.59</v>
      </c>
      <c r="G11038" s="296">
        <v>14006.23</v>
      </c>
      <c r="H11038" s="297">
        <v>903301.62</v>
      </c>
      <c r="I11038" s="297">
        <v>487229.92</v>
      </c>
      <c r="J11038" s="297">
        <v>346796.45</v>
      </c>
      <c r="K11038" s="297">
        <v>69275.25</v>
      </c>
      <c r="L11038" s="43">
        <v>7.3280702961304156</v>
      </c>
      <c r="M11038" s="43">
        <v>11.500455788514129</v>
      </c>
      <c r="N11038" s="43">
        <v>5.1843001698667992</v>
      </c>
      <c r="O11038" s="43">
        <v>4.9460311589913921</v>
      </c>
      <c r="P11038" s="298"/>
      <c r="Q11038" s="298"/>
      <c r="R11038" s="298">
        <v>1</v>
      </c>
    </row>
    <row r="11039" spans="1:18" ht="24">
      <c r="A11039" s="294">
        <v>324</v>
      </c>
      <c r="B11039" s="291" t="s">
        <v>20179</v>
      </c>
      <c r="C11039" s="295" t="s">
        <v>20180</v>
      </c>
      <c r="D11039" s="296">
        <v>117510.23</v>
      </c>
      <c r="E11039" s="296">
        <v>43177.919999999998</v>
      </c>
      <c r="F11039" s="296">
        <v>69199.8</v>
      </c>
      <c r="G11039" s="296">
        <v>5132.51</v>
      </c>
      <c r="H11039" s="297">
        <v>885219.43</v>
      </c>
      <c r="I11039" s="297">
        <v>496565.76000000001</v>
      </c>
      <c r="J11039" s="297">
        <v>360625.93</v>
      </c>
      <c r="K11039" s="297">
        <v>28027.74</v>
      </c>
      <c r="L11039" s="43">
        <v>7.5331265201336093</v>
      </c>
      <c r="M11039" s="43">
        <v>11.500455788514131</v>
      </c>
      <c r="N11039" s="43">
        <v>5.2113724317122303</v>
      </c>
      <c r="O11039" s="43">
        <v>5.4608252102772328</v>
      </c>
      <c r="P11039" s="298"/>
      <c r="Q11039" s="298"/>
      <c r="R11039" s="298">
        <v>1</v>
      </c>
    </row>
    <row r="11040" spans="1:18" ht="24">
      <c r="A11040" s="294">
        <v>325</v>
      </c>
      <c r="B11040" s="291" t="s">
        <v>20181</v>
      </c>
      <c r="C11040" s="295" t="s">
        <v>20182</v>
      </c>
      <c r="D11040" s="296">
        <v>239468.4</v>
      </c>
      <c r="E11040" s="296">
        <v>83053.87</v>
      </c>
      <c r="F11040" s="296">
        <v>137056.72</v>
      </c>
      <c r="G11040" s="296">
        <v>19357.810000000001</v>
      </c>
      <c r="H11040" s="297">
        <v>1765603.41</v>
      </c>
      <c r="I11040" s="297">
        <v>955157.36</v>
      </c>
      <c r="J11040" s="297">
        <v>711045.87</v>
      </c>
      <c r="K11040" s="297">
        <v>99400.18</v>
      </c>
      <c r="L11040" s="43">
        <v>7.3730120967943993</v>
      </c>
      <c r="M11040" s="43">
        <v>11.500455788514129</v>
      </c>
      <c r="N11040" s="43">
        <v>5.1879679449500911</v>
      </c>
      <c r="O11040" s="43">
        <v>5.134887675826965</v>
      </c>
      <c r="P11040" s="298"/>
      <c r="Q11040" s="298"/>
      <c r="R11040" s="298">
        <v>1</v>
      </c>
    </row>
    <row r="11041" spans="1:18" ht="24">
      <c r="A11041" s="294">
        <v>326</v>
      </c>
      <c r="B11041" s="291" t="s">
        <v>20183</v>
      </c>
      <c r="C11041" s="295" t="s">
        <v>20184</v>
      </c>
      <c r="D11041" s="296">
        <v>128642.96</v>
      </c>
      <c r="E11041" s="296">
        <v>42695.24</v>
      </c>
      <c r="F11041" s="296">
        <v>67834.52</v>
      </c>
      <c r="G11041" s="296">
        <v>18113.2</v>
      </c>
      <c r="H11041" s="297">
        <v>934727.24</v>
      </c>
      <c r="I11041" s="297">
        <v>491014.72</v>
      </c>
      <c r="J11041" s="297">
        <v>355954.11</v>
      </c>
      <c r="K11041" s="297">
        <v>87758.41</v>
      </c>
      <c r="L11041" s="43">
        <v>7.2660582436846912</v>
      </c>
      <c r="M11041" s="43">
        <v>11.500455788514129</v>
      </c>
      <c r="N11041" s="43">
        <v>5.2473889400264051</v>
      </c>
      <c r="O11041" s="43">
        <v>4.8449975708323212</v>
      </c>
      <c r="P11041" s="298"/>
      <c r="Q11041" s="298"/>
      <c r="R11041" s="298">
        <v>1</v>
      </c>
    </row>
    <row r="11042" spans="1:18" ht="24">
      <c r="A11042" s="294">
        <v>327</v>
      </c>
      <c r="B11042" s="291" t="s">
        <v>20185</v>
      </c>
      <c r="C11042" s="295" t="s">
        <v>20186</v>
      </c>
      <c r="D11042" s="296">
        <v>38323.32</v>
      </c>
      <c r="E11042" s="296">
        <v>10454.41</v>
      </c>
      <c r="F11042" s="296">
        <v>25322.84</v>
      </c>
      <c r="G11042" s="296">
        <v>2546.0700000000002</v>
      </c>
      <c r="H11042" s="297">
        <v>268321.34999999998</v>
      </c>
      <c r="I11042" s="297">
        <v>120230.48</v>
      </c>
      <c r="J11042" s="297">
        <v>136144.35</v>
      </c>
      <c r="K11042" s="297">
        <v>11946.52</v>
      </c>
      <c r="L11042" s="43">
        <v>7.0015163091297934</v>
      </c>
      <c r="M11042" s="43">
        <v>11.500455788514129</v>
      </c>
      <c r="N11042" s="43">
        <v>5.3763460180611657</v>
      </c>
      <c r="O11042" s="43">
        <v>4.692141221568928</v>
      </c>
      <c r="P11042" s="298"/>
      <c r="Q11042" s="298"/>
      <c r="R11042" s="298">
        <v>1</v>
      </c>
    </row>
    <row r="11043" spans="1:18" ht="36">
      <c r="A11043" s="294">
        <v>328</v>
      </c>
      <c r="B11043" s="291" t="s">
        <v>20187</v>
      </c>
      <c r="C11043" s="295" t="s">
        <v>20188</v>
      </c>
      <c r="D11043" s="296">
        <v>82179.11</v>
      </c>
      <c r="E11043" s="296">
        <v>24419.22</v>
      </c>
      <c r="F11043" s="296">
        <v>47095.75</v>
      </c>
      <c r="G11043" s="296">
        <v>10664.14</v>
      </c>
      <c r="H11043" s="297">
        <v>579221.81999999995</v>
      </c>
      <c r="I11043" s="297">
        <v>280832.15999999997</v>
      </c>
      <c r="J11043" s="297">
        <v>247505.15</v>
      </c>
      <c r="K11043" s="297">
        <v>50884.51</v>
      </c>
      <c r="L11043" s="43">
        <v>7.0482853854221581</v>
      </c>
      <c r="M11043" s="43">
        <v>11.500455788514127</v>
      </c>
      <c r="N11043" s="43">
        <v>5.2553606217121498</v>
      </c>
      <c r="O11043" s="43">
        <v>4.7715530741344363</v>
      </c>
      <c r="P11043" s="298"/>
      <c r="Q11043" s="298"/>
      <c r="R11043" s="298">
        <v>1</v>
      </c>
    </row>
    <row r="11044" spans="1:18" ht="36">
      <c r="A11044" s="294">
        <v>329</v>
      </c>
      <c r="B11044" s="291" t="s">
        <v>20189</v>
      </c>
      <c r="C11044" s="295" t="s">
        <v>20190</v>
      </c>
      <c r="D11044" s="296">
        <v>37941.08</v>
      </c>
      <c r="E11044" s="296">
        <v>12429.01</v>
      </c>
      <c r="F11044" s="296">
        <v>22926.51</v>
      </c>
      <c r="G11044" s="296">
        <v>2585.56</v>
      </c>
      <c r="H11044" s="297">
        <v>276436.07</v>
      </c>
      <c r="I11044" s="297">
        <v>142939.28</v>
      </c>
      <c r="J11044" s="297">
        <v>121096.14</v>
      </c>
      <c r="K11044" s="297">
        <v>12400.65</v>
      </c>
      <c r="L11044" s="43">
        <v>7.2859304479471856</v>
      </c>
      <c r="M11044" s="43">
        <v>11.500455788514129</v>
      </c>
      <c r="N11044" s="43">
        <v>5.2819264685292273</v>
      </c>
      <c r="O11044" s="43">
        <v>4.7961176688995808</v>
      </c>
      <c r="P11044" s="298"/>
      <c r="Q11044" s="298"/>
      <c r="R11044" s="298">
        <v>1</v>
      </c>
    </row>
    <row r="11045" spans="1:18" ht="24">
      <c r="A11045" s="294">
        <v>330</v>
      </c>
      <c r="B11045" s="291" t="s">
        <v>20191</v>
      </c>
      <c r="C11045" s="295" t="s">
        <v>20192</v>
      </c>
      <c r="D11045" s="296">
        <v>46859.47</v>
      </c>
      <c r="E11045" s="296">
        <v>13032.36</v>
      </c>
      <c r="F11045" s="296">
        <v>30885.37</v>
      </c>
      <c r="G11045" s="296">
        <v>2941.74</v>
      </c>
      <c r="H11045" s="297">
        <v>327954.32</v>
      </c>
      <c r="I11045" s="297">
        <v>149878.07999999999</v>
      </c>
      <c r="J11045" s="297">
        <v>163652.07</v>
      </c>
      <c r="K11045" s="297">
        <v>14424.17</v>
      </c>
      <c r="L11045" s="43">
        <v>6.9986775351919261</v>
      </c>
      <c r="M11045" s="43">
        <v>11.500455788514127</v>
      </c>
      <c r="N11045" s="43">
        <v>5.2986922287154083</v>
      </c>
      <c r="O11045" s="43">
        <v>4.903278331871614</v>
      </c>
      <c r="P11045" s="298"/>
      <c r="Q11045" s="298"/>
      <c r="R11045" s="298">
        <v>1</v>
      </c>
    </row>
    <row r="11046" spans="1:18" ht="12.75" customHeight="1">
      <c r="A11046" s="628" t="s">
        <v>20193</v>
      </c>
      <c r="B11046" s="629"/>
      <c r="C11046" s="629"/>
      <c r="D11046" s="629"/>
      <c r="E11046" s="629"/>
      <c r="F11046" s="629"/>
      <c r="G11046" s="629"/>
      <c r="H11046" s="629"/>
      <c r="I11046" s="629"/>
      <c r="J11046" s="629"/>
      <c r="K11046" s="629"/>
      <c r="L11046" s="629"/>
      <c r="M11046" s="629"/>
      <c r="N11046" s="629"/>
      <c r="O11046" s="629"/>
      <c r="P11046" s="629"/>
      <c r="Q11046" s="629"/>
      <c r="R11046" s="629"/>
    </row>
    <row r="11047" spans="1:18" ht="24">
      <c r="A11047" s="294">
        <v>331</v>
      </c>
      <c r="B11047" s="291" t="s">
        <v>20194</v>
      </c>
      <c r="C11047" s="295" t="s">
        <v>20195</v>
      </c>
      <c r="D11047" s="296">
        <v>250782.3</v>
      </c>
      <c r="E11047" s="296">
        <v>34214.559999999998</v>
      </c>
      <c r="F11047" s="296">
        <v>168045.42</v>
      </c>
      <c r="G11047" s="296">
        <v>48522.32</v>
      </c>
      <c r="H11047" s="297">
        <v>1486441.48</v>
      </c>
      <c r="I11047" s="297">
        <v>393467.44</v>
      </c>
      <c r="J11047" s="297">
        <v>850863.72</v>
      </c>
      <c r="K11047" s="297">
        <v>242110.32</v>
      </c>
      <c r="L11047" s="43">
        <v>5.9272184679700288</v>
      </c>
      <c r="M11047" s="43">
        <v>11.5</v>
      </c>
      <c r="N11047" s="43">
        <v>5.0632961017324956</v>
      </c>
      <c r="O11047" s="43">
        <v>4.9896690842482387</v>
      </c>
      <c r="P11047" s="298"/>
      <c r="Q11047" s="298"/>
      <c r="R11047" s="298">
        <v>2</v>
      </c>
    </row>
    <row r="11048" spans="1:18" ht="24">
      <c r="A11048" s="294">
        <v>332</v>
      </c>
      <c r="B11048" s="291" t="s">
        <v>20196</v>
      </c>
      <c r="C11048" s="295" t="s">
        <v>20197</v>
      </c>
      <c r="D11048" s="296">
        <v>343616.83</v>
      </c>
      <c r="E11048" s="296">
        <v>53643.3</v>
      </c>
      <c r="F11048" s="296">
        <v>235987.77</v>
      </c>
      <c r="G11048" s="296">
        <v>53985.760000000002</v>
      </c>
      <c r="H11048" s="297">
        <v>2079011.99</v>
      </c>
      <c r="I11048" s="297">
        <v>616922.4</v>
      </c>
      <c r="J11048" s="297">
        <v>1189868.26</v>
      </c>
      <c r="K11048" s="297">
        <v>272221.33</v>
      </c>
      <c r="L11048" s="43">
        <v>6.050378818755763</v>
      </c>
      <c r="M11048" s="43">
        <v>11.500455788514129</v>
      </c>
      <c r="N11048" s="43">
        <v>5.042075951647834</v>
      </c>
      <c r="O11048" s="43">
        <v>5.0424654575576966</v>
      </c>
      <c r="P11048" s="298"/>
      <c r="Q11048" s="298"/>
      <c r="R11048" s="298">
        <v>2</v>
      </c>
    </row>
    <row r="11049" spans="1:18" ht="12.75" customHeight="1">
      <c r="A11049" s="628" t="s">
        <v>2739</v>
      </c>
      <c r="B11049" s="629"/>
      <c r="C11049" s="629"/>
      <c r="D11049" s="629"/>
      <c r="E11049" s="629"/>
      <c r="F11049" s="629"/>
      <c r="G11049" s="629"/>
      <c r="H11049" s="629"/>
      <c r="I11049" s="629"/>
      <c r="J11049" s="629"/>
      <c r="K11049" s="629"/>
      <c r="L11049" s="629"/>
      <c r="M11049" s="629"/>
      <c r="N11049" s="629"/>
      <c r="O11049" s="629"/>
      <c r="P11049" s="629"/>
      <c r="Q11049" s="629"/>
      <c r="R11049" s="629"/>
    </row>
    <row r="11050" spans="1:18" ht="24">
      <c r="A11050" s="294">
        <v>333</v>
      </c>
      <c r="B11050" s="291" t="s">
        <v>20198</v>
      </c>
      <c r="C11050" s="295" t="s">
        <v>20199</v>
      </c>
      <c r="D11050" s="296">
        <v>43368.93</v>
      </c>
      <c r="E11050" s="296">
        <v>11388.6</v>
      </c>
      <c r="F11050" s="296">
        <v>29958.31</v>
      </c>
      <c r="G11050" s="296">
        <v>2022.02</v>
      </c>
      <c r="H11050" s="297">
        <v>300595.05</v>
      </c>
      <c r="I11050" s="297">
        <v>130968.9</v>
      </c>
      <c r="J11050" s="297">
        <v>158191.59</v>
      </c>
      <c r="K11050" s="297">
        <v>11434.56</v>
      </c>
      <c r="L11050" s="43">
        <v>6.9311152015970876</v>
      </c>
      <c r="M11050" s="43">
        <v>11.5</v>
      </c>
      <c r="N11050" s="43">
        <v>5.2803909833365097</v>
      </c>
      <c r="O11050" s="43">
        <v>5.6550182490776546</v>
      </c>
      <c r="P11050" s="298"/>
      <c r="Q11050" s="298"/>
      <c r="R11050" s="298">
        <v>3</v>
      </c>
    </row>
    <row r="11051" spans="1:18" ht="24">
      <c r="A11051" s="294">
        <v>334</v>
      </c>
      <c r="B11051" s="291" t="s">
        <v>20200</v>
      </c>
      <c r="C11051" s="295" t="s">
        <v>20201</v>
      </c>
      <c r="D11051" s="296">
        <v>13237.99</v>
      </c>
      <c r="E11051" s="296">
        <v>2708.84</v>
      </c>
      <c r="F11051" s="296">
        <v>9919.44</v>
      </c>
      <c r="G11051" s="296">
        <v>609.71</v>
      </c>
      <c r="H11051" s="297">
        <v>87293.63</v>
      </c>
      <c r="I11051" s="297">
        <v>31151.66</v>
      </c>
      <c r="J11051" s="297">
        <v>52790.34</v>
      </c>
      <c r="K11051" s="297">
        <v>3351.63</v>
      </c>
      <c r="L11051" s="43">
        <v>6.5941755508200268</v>
      </c>
      <c r="M11051" s="43">
        <v>11.5</v>
      </c>
      <c r="N11051" s="43">
        <v>5.3219072850886739</v>
      </c>
      <c r="O11051" s="43">
        <v>5.4970887799117616</v>
      </c>
      <c r="P11051" s="298"/>
      <c r="Q11051" s="298"/>
      <c r="R11051" s="298">
        <v>3</v>
      </c>
    </row>
    <row r="11052" spans="1:18" ht="24">
      <c r="A11052" s="294">
        <v>335</v>
      </c>
      <c r="B11052" s="291" t="s">
        <v>20202</v>
      </c>
      <c r="C11052" s="295" t="s">
        <v>20203</v>
      </c>
      <c r="D11052" s="296">
        <v>15301.07</v>
      </c>
      <c r="E11052" s="296">
        <v>3416.96</v>
      </c>
      <c r="F11052" s="296">
        <v>11012.58</v>
      </c>
      <c r="G11052" s="296">
        <v>871.53</v>
      </c>
      <c r="H11052" s="297">
        <v>102756.74</v>
      </c>
      <c r="I11052" s="297">
        <v>39295.040000000001</v>
      </c>
      <c r="J11052" s="297">
        <v>58905.82</v>
      </c>
      <c r="K11052" s="297">
        <v>4555.88</v>
      </c>
      <c r="L11052" s="43">
        <v>6.7156571403176386</v>
      </c>
      <c r="M11052" s="43">
        <v>11.5</v>
      </c>
      <c r="N11052" s="43">
        <v>5.3489572833977146</v>
      </c>
      <c r="O11052" s="43">
        <v>5.2274505754248279</v>
      </c>
      <c r="P11052" s="298"/>
      <c r="Q11052" s="298"/>
      <c r="R11052" s="298">
        <v>3</v>
      </c>
    </row>
    <row r="11053" spans="1:18" ht="36">
      <c r="A11053" s="294">
        <v>336</v>
      </c>
      <c r="B11053" s="291" t="s">
        <v>20204</v>
      </c>
      <c r="C11053" s="295" t="s">
        <v>20205</v>
      </c>
      <c r="D11053" s="296">
        <v>35666.160000000003</v>
      </c>
      <c r="E11053" s="296">
        <v>7928.1</v>
      </c>
      <c r="F11053" s="296">
        <v>24723.41</v>
      </c>
      <c r="G11053" s="296">
        <v>3014.65</v>
      </c>
      <c r="H11053" s="297">
        <v>237161.17</v>
      </c>
      <c r="I11053" s="297">
        <v>91176.6</v>
      </c>
      <c r="J11053" s="297">
        <v>130573.56</v>
      </c>
      <c r="K11053" s="297">
        <v>15411.01</v>
      </c>
      <c r="L11053" s="43">
        <v>6.6494730579350287</v>
      </c>
      <c r="M11053" s="43">
        <v>11.500435161009573</v>
      </c>
      <c r="N11053" s="43">
        <v>5.2813734027789856</v>
      </c>
      <c r="O11053" s="43">
        <v>5.112039540245136</v>
      </c>
      <c r="P11053" s="298"/>
      <c r="Q11053" s="298"/>
      <c r="R11053" s="298">
        <v>3</v>
      </c>
    </row>
    <row r="11054" spans="1:18" ht="36">
      <c r="A11054" s="294">
        <v>337</v>
      </c>
      <c r="B11054" s="291" t="s">
        <v>20206</v>
      </c>
      <c r="C11054" s="295" t="s">
        <v>20207</v>
      </c>
      <c r="D11054" s="296">
        <v>15820.29</v>
      </c>
      <c r="E11054" s="296">
        <v>2731.68</v>
      </c>
      <c r="F11054" s="296">
        <v>11501.27</v>
      </c>
      <c r="G11054" s="296">
        <v>1587.34</v>
      </c>
      <c r="H11054" s="297">
        <v>100200.47</v>
      </c>
      <c r="I11054" s="297">
        <v>31414.32</v>
      </c>
      <c r="J11054" s="297">
        <v>61076.55</v>
      </c>
      <c r="K11054" s="297">
        <v>7709.6</v>
      </c>
      <c r="L11054" s="43">
        <v>6.3336683461554744</v>
      </c>
      <c r="M11054" s="43">
        <v>11.5</v>
      </c>
      <c r="N11054" s="43">
        <v>5.3104178929805146</v>
      </c>
      <c r="O11054" s="43">
        <v>4.8569304622828131</v>
      </c>
      <c r="P11054" s="298"/>
      <c r="Q11054" s="298"/>
      <c r="R11054" s="298">
        <v>3</v>
      </c>
    </row>
    <row r="11055" spans="1:18" ht="12.75" customHeight="1">
      <c r="A11055" s="628" t="s">
        <v>20208</v>
      </c>
      <c r="B11055" s="629"/>
      <c r="C11055" s="629"/>
      <c r="D11055" s="629"/>
      <c r="E11055" s="629"/>
      <c r="F11055" s="629"/>
      <c r="G11055" s="629"/>
      <c r="H11055" s="629"/>
      <c r="I11055" s="629"/>
      <c r="J11055" s="629"/>
      <c r="K11055" s="629"/>
      <c r="L11055" s="629"/>
      <c r="M11055" s="629"/>
      <c r="N11055" s="629"/>
      <c r="O11055" s="629"/>
      <c r="P11055" s="629"/>
      <c r="Q11055" s="629"/>
      <c r="R11055" s="629"/>
    </row>
    <row r="11056" spans="1:18" ht="12.75" customHeight="1">
      <c r="A11056" s="628" t="s">
        <v>20209</v>
      </c>
      <c r="B11056" s="629"/>
      <c r="C11056" s="629"/>
      <c r="D11056" s="629"/>
      <c r="E11056" s="629"/>
      <c r="F11056" s="629"/>
      <c r="G11056" s="629"/>
      <c r="H11056" s="629"/>
      <c r="I11056" s="629"/>
      <c r="J11056" s="629"/>
      <c r="K11056" s="629"/>
      <c r="L11056" s="629"/>
      <c r="M11056" s="629"/>
      <c r="N11056" s="629"/>
      <c r="O11056" s="629"/>
      <c r="P11056" s="629"/>
      <c r="Q11056" s="629"/>
      <c r="R11056" s="629"/>
    </row>
    <row r="11057" spans="1:18" ht="60">
      <c r="A11057" s="294">
        <v>338</v>
      </c>
      <c r="B11057" s="291" t="s">
        <v>20210</v>
      </c>
      <c r="C11057" s="295" t="s">
        <v>20211</v>
      </c>
      <c r="D11057" s="296">
        <v>67731.78</v>
      </c>
      <c r="E11057" s="296">
        <v>24463.45</v>
      </c>
      <c r="F11057" s="296">
        <v>29901.1</v>
      </c>
      <c r="G11057" s="296">
        <v>13367.23</v>
      </c>
      <c r="H11057" s="297">
        <v>520827.38</v>
      </c>
      <c r="I11057" s="297">
        <v>281341.38</v>
      </c>
      <c r="J11057" s="297">
        <v>152033.26999999999</v>
      </c>
      <c r="K11057" s="297">
        <v>87452.73</v>
      </c>
      <c r="L11057" s="43">
        <v>7.6895569553908079</v>
      </c>
      <c r="M11057" s="43">
        <v>11.500478468899521</v>
      </c>
      <c r="N11057" s="43">
        <v>5.0845376925932486</v>
      </c>
      <c r="O11057" s="43">
        <v>6.5423225305467172</v>
      </c>
      <c r="P11057" s="298"/>
      <c r="Q11057" s="298"/>
      <c r="R11057" s="298">
        <v>1</v>
      </c>
    </row>
    <row r="11058" spans="1:18" ht="60">
      <c r="A11058" s="294">
        <v>339</v>
      </c>
      <c r="B11058" s="291" t="s">
        <v>20212</v>
      </c>
      <c r="C11058" s="295" t="s">
        <v>20213</v>
      </c>
      <c r="D11058" s="296">
        <v>99562.35</v>
      </c>
      <c r="E11058" s="296">
        <v>35967.120000000003</v>
      </c>
      <c r="F11058" s="296">
        <v>41787.79</v>
      </c>
      <c r="G11058" s="296">
        <v>21807.439999999999</v>
      </c>
      <c r="H11058" s="297">
        <v>761819.27</v>
      </c>
      <c r="I11058" s="297">
        <v>413621.88</v>
      </c>
      <c r="J11058" s="297">
        <v>214349.28</v>
      </c>
      <c r="K11058" s="297">
        <v>133848.10999999999</v>
      </c>
      <c r="L11058" s="43">
        <v>7.6516802787399048</v>
      </c>
      <c r="M11058" s="43">
        <v>11.5</v>
      </c>
      <c r="N11058" s="43">
        <v>5.1294715513790035</v>
      </c>
      <c r="O11058" s="43">
        <v>6.1377268491854151</v>
      </c>
      <c r="P11058" s="298"/>
      <c r="Q11058" s="298"/>
      <c r="R11058" s="298">
        <v>1</v>
      </c>
    </row>
    <row r="11059" spans="1:18" ht="12.75" customHeight="1">
      <c r="A11059" s="628" t="s">
        <v>20214</v>
      </c>
      <c r="B11059" s="629"/>
      <c r="C11059" s="629"/>
      <c r="D11059" s="629"/>
      <c r="E11059" s="629"/>
      <c r="F11059" s="629"/>
      <c r="G11059" s="629"/>
      <c r="H11059" s="629"/>
      <c r="I11059" s="629"/>
      <c r="J11059" s="629"/>
      <c r="K11059" s="629"/>
      <c r="L11059" s="629"/>
      <c r="M11059" s="629"/>
      <c r="N11059" s="629"/>
      <c r="O11059" s="629"/>
      <c r="P11059" s="629"/>
      <c r="Q11059" s="629"/>
      <c r="R11059" s="629"/>
    </row>
    <row r="11060" spans="1:18" ht="12.75" customHeight="1">
      <c r="A11060" s="628" t="s">
        <v>20215</v>
      </c>
      <c r="B11060" s="629"/>
      <c r="C11060" s="629"/>
      <c r="D11060" s="629"/>
      <c r="E11060" s="629"/>
      <c r="F11060" s="629"/>
      <c r="G11060" s="629"/>
      <c r="H11060" s="629"/>
      <c r="I11060" s="629"/>
      <c r="J11060" s="629"/>
      <c r="K11060" s="629"/>
      <c r="L11060" s="629"/>
      <c r="M11060" s="629"/>
      <c r="N11060" s="629"/>
      <c r="O11060" s="629"/>
      <c r="P11060" s="629"/>
      <c r="Q11060" s="629"/>
      <c r="R11060" s="629"/>
    </row>
    <row r="11061" spans="1:18" ht="24">
      <c r="A11061" s="294">
        <v>340</v>
      </c>
      <c r="B11061" s="291" t="s">
        <v>20216</v>
      </c>
      <c r="C11061" s="295" t="s">
        <v>20217</v>
      </c>
      <c r="D11061" s="296">
        <v>4937.18</v>
      </c>
      <c r="E11061" s="296">
        <v>1371.28</v>
      </c>
      <c r="F11061" s="296">
        <v>2096.19</v>
      </c>
      <c r="G11061" s="296">
        <v>1469.71</v>
      </c>
      <c r="H11061" s="297">
        <v>32795.53</v>
      </c>
      <c r="I11061" s="297">
        <v>15769.72</v>
      </c>
      <c r="J11061" s="297">
        <v>11291.66</v>
      </c>
      <c r="K11061" s="297">
        <v>5734.15</v>
      </c>
      <c r="L11061" s="43">
        <v>6.6425631635873099</v>
      </c>
      <c r="M11061" s="43">
        <v>11.5</v>
      </c>
      <c r="N11061" s="43">
        <v>5.3867540633244122</v>
      </c>
      <c r="O11061" s="43">
        <v>3.9015520068584957</v>
      </c>
      <c r="P11061" s="298"/>
      <c r="Q11061" s="298"/>
      <c r="R11061" s="298">
        <v>1</v>
      </c>
    </row>
    <row r="11062" spans="1:18" ht="24">
      <c r="A11062" s="294">
        <v>341</v>
      </c>
      <c r="B11062" s="291" t="s">
        <v>20218</v>
      </c>
      <c r="C11062" s="295" t="s">
        <v>20219</v>
      </c>
      <c r="D11062" s="296">
        <v>686.56</v>
      </c>
      <c r="E11062" s="296">
        <v>172.23</v>
      </c>
      <c r="F11062" s="296">
        <v>182.18</v>
      </c>
      <c r="G11062" s="296">
        <v>332.15</v>
      </c>
      <c r="H11062" s="297">
        <v>4220.1000000000004</v>
      </c>
      <c r="I11062" s="297">
        <v>1980.71</v>
      </c>
      <c r="J11062" s="297">
        <v>984.07</v>
      </c>
      <c r="K11062" s="297">
        <v>1255.32</v>
      </c>
      <c r="L11062" s="43">
        <v>6.1467315311116302</v>
      </c>
      <c r="M11062" s="43">
        <v>11.500377402310864</v>
      </c>
      <c r="N11062" s="43">
        <v>5.401635744867713</v>
      </c>
      <c r="O11062" s="43">
        <v>3.7793767875959658</v>
      </c>
      <c r="P11062" s="298"/>
      <c r="Q11062" s="298"/>
      <c r="R11062" s="298">
        <v>1</v>
      </c>
    </row>
    <row r="11063" spans="1:18" ht="24">
      <c r="A11063" s="294">
        <v>342</v>
      </c>
      <c r="B11063" s="291" t="s">
        <v>20220</v>
      </c>
      <c r="C11063" s="295" t="s">
        <v>20221</v>
      </c>
      <c r="D11063" s="296">
        <v>2563.44</v>
      </c>
      <c r="E11063" s="296">
        <v>871.1</v>
      </c>
      <c r="F11063" s="296">
        <v>1192.28</v>
      </c>
      <c r="G11063" s="296">
        <v>500.06</v>
      </c>
      <c r="H11063" s="297">
        <v>18499.86</v>
      </c>
      <c r="I11063" s="297">
        <v>10017.65</v>
      </c>
      <c r="J11063" s="297">
        <v>6418.45</v>
      </c>
      <c r="K11063" s="297">
        <v>2063.7600000000002</v>
      </c>
      <c r="L11063" s="43">
        <v>7.2168102237618204</v>
      </c>
      <c r="M11063" s="43">
        <v>11.5</v>
      </c>
      <c r="N11063" s="43">
        <v>5.3833411614721376</v>
      </c>
      <c r="O11063" s="43">
        <v>4.1270247570291572</v>
      </c>
      <c r="P11063" s="298"/>
      <c r="Q11063" s="298"/>
      <c r="R11063" s="298">
        <v>1</v>
      </c>
    </row>
    <row r="11064" spans="1:18" ht="24">
      <c r="A11064" s="294">
        <v>343</v>
      </c>
      <c r="B11064" s="291" t="s">
        <v>20222</v>
      </c>
      <c r="C11064" s="295" t="s">
        <v>20223</v>
      </c>
      <c r="D11064" s="296">
        <v>1492.21</v>
      </c>
      <c r="E11064" s="296">
        <v>443.19</v>
      </c>
      <c r="F11064" s="296">
        <v>318.31</v>
      </c>
      <c r="G11064" s="296">
        <v>730.71</v>
      </c>
      <c r="H11064" s="297">
        <v>9633.9599999999991</v>
      </c>
      <c r="I11064" s="297">
        <v>5096.8599999999997</v>
      </c>
      <c r="J11064" s="297">
        <v>1716</v>
      </c>
      <c r="K11064" s="297">
        <v>2821.1</v>
      </c>
      <c r="L11064" s="43">
        <v>6.4561690378700041</v>
      </c>
      <c r="M11064" s="43">
        <v>11.500394864505065</v>
      </c>
      <c r="N11064" s="43">
        <v>5.390971065942006</v>
      </c>
      <c r="O11064" s="43">
        <v>3.8607655567872339</v>
      </c>
      <c r="P11064" s="298"/>
      <c r="Q11064" s="298"/>
      <c r="R11064" s="298">
        <v>1</v>
      </c>
    </row>
    <row r="11065" spans="1:18" ht="24">
      <c r="A11065" s="294">
        <v>344</v>
      </c>
      <c r="B11065" s="291" t="s">
        <v>20224</v>
      </c>
      <c r="C11065" s="295" t="s">
        <v>20225</v>
      </c>
      <c r="D11065" s="296">
        <v>583.25</v>
      </c>
      <c r="E11065" s="296">
        <v>243.9</v>
      </c>
      <c r="F11065" s="296">
        <v>71.28</v>
      </c>
      <c r="G11065" s="296">
        <v>268.07</v>
      </c>
      <c r="H11065" s="297">
        <v>4222</v>
      </c>
      <c r="I11065" s="297">
        <v>2804.85</v>
      </c>
      <c r="J11065" s="297">
        <v>385.11</v>
      </c>
      <c r="K11065" s="297">
        <v>1032.04</v>
      </c>
      <c r="L11065" s="43">
        <v>7.2387483926275182</v>
      </c>
      <c r="M11065" s="43">
        <v>11.5</v>
      </c>
      <c r="N11065" s="43">
        <v>5.4027777777777777</v>
      </c>
      <c r="O11065" s="43">
        <v>3.849889954116462</v>
      </c>
      <c r="P11065" s="298"/>
      <c r="Q11065" s="298"/>
      <c r="R11065" s="298">
        <v>1</v>
      </c>
    </row>
    <row r="11066" spans="1:18" ht="12.75" customHeight="1">
      <c r="A11066" s="628" t="s">
        <v>20226</v>
      </c>
      <c r="B11066" s="629"/>
      <c r="C11066" s="629"/>
      <c r="D11066" s="629"/>
      <c r="E11066" s="629"/>
      <c r="F11066" s="629"/>
      <c r="G11066" s="629"/>
      <c r="H11066" s="629"/>
      <c r="I11066" s="629"/>
      <c r="J11066" s="629"/>
      <c r="K11066" s="629"/>
      <c r="L11066" s="629"/>
      <c r="M11066" s="629"/>
      <c r="N11066" s="629"/>
      <c r="O11066" s="629"/>
      <c r="P11066" s="629"/>
      <c r="Q11066" s="629"/>
      <c r="R11066" s="629"/>
    </row>
    <row r="11067" spans="1:18" ht="24">
      <c r="A11067" s="294">
        <v>345</v>
      </c>
      <c r="B11067" s="291" t="s">
        <v>20227</v>
      </c>
      <c r="C11067" s="295" t="s">
        <v>20228</v>
      </c>
      <c r="D11067" s="296">
        <v>622.92999999999995</v>
      </c>
      <c r="E11067" s="296">
        <v>228.18</v>
      </c>
      <c r="F11067" s="296">
        <v>126.93</v>
      </c>
      <c r="G11067" s="296">
        <v>267.82</v>
      </c>
      <c r="H11067" s="297">
        <v>4339.4399999999996</v>
      </c>
      <c r="I11067" s="297">
        <v>2624.13</v>
      </c>
      <c r="J11067" s="297">
        <v>686.35</v>
      </c>
      <c r="K11067" s="297">
        <v>1028.96</v>
      </c>
      <c r="L11067" s="43">
        <v>6.9661759748286327</v>
      </c>
      <c r="M11067" s="43">
        <v>11.500262950302393</v>
      </c>
      <c r="N11067" s="43">
        <v>5.40731111636335</v>
      </c>
      <c r="O11067" s="43">
        <v>3.8419834217011428</v>
      </c>
      <c r="P11067" s="298"/>
      <c r="Q11067" s="298"/>
      <c r="R11067" s="298">
        <v>2</v>
      </c>
    </row>
    <row r="11068" spans="1:18" ht="24">
      <c r="A11068" s="294">
        <v>346</v>
      </c>
      <c r="B11068" s="291" t="s">
        <v>20229</v>
      </c>
      <c r="C11068" s="295" t="s">
        <v>20230</v>
      </c>
      <c r="D11068" s="296">
        <v>3215.58</v>
      </c>
      <c r="E11068" s="296">
        <v>1132.2</v>
      </c>
      <c r="F11068" s="296">
        <v>1219.6400000000001</v>
      </c>
      <c r="G11068" s="296">
        <v>863.74</v>
      </c>
      <c r="H11068" s="297">
        <v>22969.69</v>
      </c>
      <c r="I11068" s="297">
        <v>13020.3</v>
      </c>
      <c r="J11068" s="297">
        <v>6572.06</v>
      </c>
      <c r="K11068" s="297">
        <v>3377.33</v>
      </c>
      <c r="L11068" s="43">
        <v>7.1432494293408961</v>
      </c>
      <c r="M11068" s="43">
        <v>11.499999999999998</v>
      </c>
      <c r="N11068" s="43">
        <v>5.38852448263422</v>
      </c>
      <c r="O11068" s="43">
        <v>3.9101234167689349</v>
      </c>
      <c r="P11068" s="298"/>
      <c r="Q11068" s="298"/>
      <c r="R11068" s="298">
        <v>2</v>
      </c>
    </row>
    <row r="11069" spans="1:18" ht="36">
      <c r="A11069" s="294">
        <v>347</v>
      </c>
      <c r="B11069" s="291" t="s">
        <v>20231</v>
      </c>
      <c r="C11069" s="295" t="s">
        <v>20232</v>
      </c>
      <c r="D11069" s="296">
        <v>9026.69</v>
      </c>
      <c r="E11069" s="296">
        <v>2765.04</v>
      </c>
      <c r="F11069" s="296">
        <v>4475.92</v>
      </c>
      <c r="G11069" s="296">
        <v>1785.73</v>
      </c>
      <c r="H11069" s="297">
        <v>63130.83</v>
      </c>
      <c r="I11069" s="297">
        <v>31797.96</v>
      </c>
      <c r="J11069" s="297">
        <v>24112.28</v>
      </c>
      <c r="K11069" s="297">
        <v>7220.59</v>
      </c>
      <c r="L11069" s="43">
        <v>6.9937961755637996</v>
      </c>
      <c r="M11069" s="43">
        <v>11.5</v>
      </c>
      <c r="N11069" s="43">
        <v>5.3871114765232617</v>
      </c>
      <c r="O11069" s="43">
        <v>4.043494817245608</v>
      </c>
      <c r="P11069" s="298"/>
      <c r="Q11069" s="298"/>
      <c r="R11069" s="298">
        <v>2</v>
      </c>
    </row>
    <row r="11070" spans="1:18" ht="24">
      <c r="A11070" s="294">
        <v>348</v>
      </c>
      <c r="B11070" s="291" t="s">
        <v>20233</v>
      </c>
      <c r="C11070" s="295" t="s">
        <v>20234</v>
      </c>
      <c r="D11070" s="296">
        <v>9740.75</v>
      </c>
      <c r="E11070" s="296">
        <v>3158.44</v>
      </c>
      <c r="F11070" s="296">
        <v>4560.75</v>
      </c>
      <c r="G11070" s="296">
        <v>2021.56</v>
      </c>
      <c r="H11070" s="297">
        <v>69180.88</v>
      </c>
      <c r="I11070" s="297">
        <v>36322.06</v>
      </c>
      <c r="J11070" s="297">
        <v>24567.599999999999</v>
      </c>
      <c r="K11070" s="297">
        <v>8291.2199999999993</v>
      </c>
      <c r="L11070" s="43">
        <v>7.1022128686189463</v>
      </c>
      <c r="M11070" s="43">
        <v>11.499999999999998</v>
      </c>
      <c r="N11070" s="43">
        <v>5.3867456010524579</v>
      </c>
      <c r="O11070" s="43">
        <v>4.1013969409762758</v>
      </c>
      <c r="P11070" s="298"/>
      <c r="Q11070" s="298"/>
      <c r="R11070" s="298">
        <v>2</v>
      </c>
    </row>
    <row r="11071" spans="1:18" ht="24">
      <c r="A11071" s="294">
        <v>349</v>
      </c>
      <c r="B11071" s="291" t="s">
        <v>20235</v>
      </c>
      <c r="C11071" s="295" t="s">
        <v>20236</v>
      </c>
      <c r="D11071" s="296">
        <v>10850.53</v>
      </c>
      <c r="E11071" s="296">
        <v>3383.24</v>
      </c>
      <c r="F11071" s="296">
        <v>5468.44</v>
      </c>
      <c r="G11071" s="296">
        <v>1998.85</v>
      </c>
      <c r="H11071" s="297">
        <v>76476.08</v>
      </c>
      <c r="I11071" s="297">
        <v>38907.26</v>
      </c>
      <c r="J11071" s="297">
        <v>29464.37</v>
      </c>
      <c r="K11071" s="297">
        <v>8104.45</v>
      </c>
      <c r="L11071" s="43">
        <v>7.0481423488069241</v>
      </c>
      <c r="M11071" s="43">
        <v>11.500000000000002</v>
      </c>
      <c r="N11071" s="43">
        <v>5.3880759412190677</v>
      </c>
      <c r="O11071" s="43">
        <v>4.0545563699127003</v>
      </c>
      <c r="P11071" s="298"/>
      <c r="Q11071" s="298"/>
      <c r="R11071" s="298">
        <v>2</v>
      </c>
    </row>
    <row r="11072" spans="1:18" ht="24">
      <c r="A11072" s="294">
        <v>350</v>
      </c>
      <c r="B11072" s="291" t="s">
        <v>20237</v>
      </c>
      <c r="C11072" s="295" t="s">
        <v>20238</v>
      </c>
      <c r="D11072" s="296">
        <v>14404.21</v>
      </c>
      <c r="E11072" s="296">
        <v>5530.08</v>
      </c>
      <c r="F11072" s="296">
        <v>6047.99</v>
      </c>
      <c r="G11072" s="296">
        <v>2826.14</v>
      </c>
      <c r="H11072" s="297">
        <v>108322.27</v>
      </c>
      <c r="I11072" s="297">
        <v>63595.92</v>
      </c>
      <c r="J11072" s="297">
        <v>32562.639999999999</v>
      </c>
      <c r="K11072" s="297">
        <v>12163.71</v>
      </c>
      <c r="L11072" s="43">
        <v>7.5201812525643552</v>
      </c>
      <c r="M11072" s="43">
        <v>11.5</v>
      </c>
      <c r="N11072" s="43">
        <v>5.3840432937223772</v>
      </c>
      <c r="O11072" s="43">
        <v>4.3040012172079232</v>
      </c>
      <c r="P11072" s="298"/>
      <c r="Q11072" s="298"/>
      <c r="R11072" s="298">
        <v>2</v>
      </c>
    </row>
    <row r="11073" spans="1:18" ht="24">
      <c r="A11073" s="294">
        <v>351</v>
      </c>
      <c r="B11073" s="291" t="s">
        <v>20239</v>
      </c>
      <c r="C11073" s="295" t="s">
        <v>20240</v>
      </c>
      <c r="D11073" s="296">
        <v>9587.44</v>
      </c>
      <c r="E11073" s="296">
        <v>2854.96</v>
      </c>
      <c r="F11073" s="296">
        <v>4447.3999999999996</v>
      </c>
      <c r="G11073" s="296">
        <v>2285.08</v>
      </c>
      <c r="H11073" s="297">
        <v>66219.77</v>
      </c>
      <c r="I11073" s="297">
        <v>32832.04</v>
      </c>
      <c r="J11073" s="297">
        <v>24170.29</v>
      </c>
      <c r="K11073" s="297">
        <v>9217.44</v>
      </c>
      <c r="L11073" s="43">
        <v>6.9069292741336579</v>
      </c>
      <c r="M11073" s="43">
        <v>11.5</v>
      </c>
      <c r="N11073" s="43">
        <v>5.4347011737194775</v>
      </c>
      <c r="O11073" s="43">
        <v>4.0337493654489123</v>
      </c>
      <c r="P11073" s="298"/>
      <c r="Q11073" s="298"/>
      <c r="R11073" s="298">
        <v>2</v>
      </c>
    </row>
    <row r="11074" spans="1:18" ht="24">
      <c r="A11074" s="294">
        <v>352</v>
      </c>
      <c r="B11074" s="291" t="s">
        <v>20241</v>
      </c>
      <c r="C11074" s="295" t="s">
        <v>20242</v>
      </c>
      <c r="D11074" s="296">
        <v>19494.38</v>
      </c>
      <c r="E11074" s="296">
        <v>6305.64</v>
      </c>
      <c r="F11074" s="296">
        <v>8825.9500000000007</v>
      </c>
      <c r="G11074" s="296">
        <v>4362.79</v>
      </c>
      <c r="H11074" s="297">
        <v>138085.72</v>
      </c>
      <c r="I11074" s="297">
        <v>72514.86</v>
      </c>
      <c r="J11074" s="297">
        <v>47665.52</v>
      </c>
      <c r="K11074" s="297">
        <v>17905.34</v>
      </c>
      <c r="L11074" s="43">
        <v>7.0833604351613131</v>
      </c>
      <c r="M11074" s="43">
        <v>11.5</v>
      </c>
      <c r="N11074" s="43">
        <v>5.400610699131537</v>
      </c>
      <c r="O11074" s="43">
        <v>4.1041031083320538</v>
      </c>
      <c r="P11074" s="298"/>
      <c r="Q11074" s="298"/>
      <c r="R11074" s="298">
        <v>2</v>
      </c>
    </row>
    <row r="11075" spans="1:18" ht="24">
      <c r="A11075" s="294">
        <v>353</v>
      </c>
      <c r="B11075" s="291" t="s">
        <v>20243</v>
      </c>
      <c r="C11075" s="295" t="s">
        <v>20244</v>
      </c>
      <c r="D11075" s="296">
        <v>29126.31</v>
      </c>
      <c r="E11075" s="296">
        <v>7294.76</v>
      </c>
      <c r="F11075" s="296">
        <v>17089.02</v>
      </c>
      <c r="G11075" s="296">
        <v>4742.53</v>
      </c>
      <c r="H11075" s="297">
        <v>196189.87</v>
      </c>
      <c r="I11075" s="297">
        <v>83889.74</v>
      </c>
      <c r="J11075" s="297">
        <v>92641.66</v>
      </c>
      <c r="K11075" s="297">
        <v>19658.47</v>
      </c>
      <c r="L11075" s="43">
        <v>6.7358299077363384</v>
      </c>
      <c r="M11075" s="43">
        <v>11.5</v>
      </c>
      <c r="N11075" s="43">
        <v>5.4211218665552501</v>
      </c>
      <c r="O11075" s="43">
        <v>4.145144047586415</v>
      </c>
      <c r="P11075" s="298"/>
      <c r="Q11075" s="298"/>
      <c r="R11075" s="298">
        <v>2</v>
      </c>
    </row>
    <row r="11076" spans="1:18" ht="24">
      <c r="A11076" s="294">
        <v>354</v>
      </c>
      <c r="B11076" s="291" t="s">
        <v>20245</v>
      </c>
      <c r="C11076" s="295" t="s">
        <v>20246</v>
      </c>
      <c r="D11076" s="296">
        <v>7258.28</v>
      </c>
      <c r="E11076" s="296">
        <v>2040.42</v>
      </c>
      <c r="F11076" s="296">
        <v>3600.38</v>
      </c>
      <c r="G11076" s="296">
        <v>1617.48</v>
      </c>
      <c r="H11076" s="297">
        <v>49215.55</v>
      </c>
      <c r="I11076" s="297">
        <v>23465.759999999998</v>
      </c>
      <c r="J11076" s="297">
        <v>19396.03</v>
      </c>
      <c r="K11076" s="297">
        <v>6353.76</v>
      </c>
      <c r="L11076" s="43">
        <v>6.7806078023994676</v>
      </c>
      <c r="M11076" s="43">
        <v>11.500455788514127</v>
      </c>
      <c r="N11076" s="43">
        <v>5.3872174603791816</v>
      </c>
      <c r="O11076" s="43">
        <v>3.9281845834260705</v>
      </c>
      <c r="P11076" s="298"/>
      <c r="Q11076" s="298"/>
      <c r="R11076" s="298">
        <v>2</v>
      </c>
    </row>
    <row r="11077" spans="1:18" ht="24">
      <c r="A11077" s="294">
        <v>355</v>
      </c>
      <c r="B11077" s="291" t="s">
        <v>20247</v>
      </c>
      <c r="C11077" s="295" t="s">
        <v>20248</v>
      </c>
      <c r="D11077" s="296">
        <v>1469.02</v>
      </c>
      <c r="E11077" s="296">
        <v>449.86</v>
      </c>
      <c r="F11077" s="296">
        <v>468.01</v>
      </c>
      <c r="G11077" s="296">
        <v>551.15</v>
      </c>
      <c r="H11077" s="297">
        <v>9895.32</v>
      </c>
      <c r="I11077" s="297">
        <v>5173.3900000000003</v>
      </c>
      <c r="J11077" s="297">
        <v>2521.08</v>
      </c>
      <c r="K11077" s="297">
        <v>2200.85</v>
      </c>
      <c r="L11077" s="43">
        <v>6.7360008713291855</v>
      </c>
      <c r="M11077" s="43">
        <v>11.5</v>
      </c>
      <c r="N11077" s="43">
        <v>5.3868079741885859</v>
      </c>
      <c r="O11077" s="43">
        <v>3.9931960446339474</v>
      </c>
      <c r="P11077" s="298"/>
      <c r="Q11077" s="298"/>
      <c r="R11077" s="298">
        <v>2</v>
      </c>
    </row>
    <row r="11078" spans="1:18" ht="24">
      <c r="A11078" s="294">
        <v>356</v>
      </c>
      <c r="B11078" s="291" t="s">
        <v>20249</v>
      </c>
      <c r="C11078" s="295" t="s">
        <v>20250</v>
      </c>
      <c r="D11078" s="296">
        <v>24277.35</v>
      </c>
      <c r="E11078" s="296">
        <v>5833.56</v>
      </c>
      <c r="F11078" s="296">
        <v>13183.14</v>
      </c>
      <c r="G11078" s="296">
        <v>5260.65</v>
      </c>
      <c r="H11078" s="297">
        <v>162194.1</v>
      </c>
      <c r="I11078" s="297">
        <v>67085.94</v>
      </c>
      <c r="J11078" s="297">
        <v>71714.87</v>
      </c>
      <c r="K11078" s="297">
        <v>23393.29</v>
      </c>
      <c r="L11078" s="43">
        <v>6.6808815624440072</v>
      </c>
      <c r="M11078" s="43">
        <v>11.5</v>
      </c>
      <c r="N11078" s="43">
        <v>5.4398929238406026</v>
      </c>
      <c r="O11078" s="43">
        <v>4.4468440211760907</v>
      </c>
      <c r="P11078" s="298"/>
      <c r="Q11078" s="298"/>
      <c r="R11078" s="298">
        <v>2</v>
      </c>
    </row>
    <row r="11079" spans="1:18" ht="36">
      <c r="A11079" s="294">
        <v>357</v>
      </c>
      <c r="B11079" s="291" t="s">
        <v>20251</v>
      </c>
      <c r="C11079" s="295" t="s">
        <v>20252</v>
      </c>
      <c r="D11079" s="296">
        <v>25575.69</v>
      </c>
      <c r="E11079" s="296">
        <v>6092.08</v>
      </c>
      <c r="F11079" s="296">
        <v>14159.09</v>
      </c>
      <c r="G11079" s="296">
        <v>5324.52</v>
      </c>
      <c r="H11079" s="297">
        <v>169756.29</v>
      </c>
      <c r="I11079" s="297">
        <v>70058.92</v>
      </c>
      <c r="J11079" s="297">
        <v>77024.95</v>
      </c>
      <c r="K11079" s="297">
        <v>22672.42</v>
      </c>
      <c r="L11079" s="43">
        <v>6.6374080230093506</v>
      </c>
      <c r="M11079" s="43">
        <v>11.5</v>
      </c>
      <c r="N11079" s="43">
        <v>5.4399647152465302</v>
      </c>
      <c r="O11079" s="43">
        <v>4.2581152855093034</v>
      </c>
      <c r="P11079" s="298"/>
      <c r="Q11079" s="298"/>
      <c r="R11079" s="298">
        <v>2</v>
      </c>
    </row>
    <row r="11080" spans="1:18" ht="36">
      <c r="A11080" s="294">
        <v>358</v>
      </c>
      <c r="B11080" s="291" t="s">
        <v>20253</v>
      </c>
      <c r="C11080" s="295" t="s">
        <v>20254</v>
      </c>
      <c r="D11080" s="296">
        <v>84721.69</v>
      </c>
      <c r="E11080" s="296">
        <v>25634.19</v>
      </c>
      <c r="F11080" s="296">
        <v>50337.55</v>
      </c>
      <c r="G11080" s="296">
        <v>8749.9500000000007</v>
      </c>
      <c r="H11080" s="297">
        <v>611629.66</v>
      </c>
      <c r="I11080" s="297">
        <v>294804.34000000003</v>
      </c>
      <c r="J11080" s="297">
        <v>276207.5</v>
      </c>
      <c r="K11080" s="297">
        <v>40617.82</v>
      </c>
      <c r="L11080" s="43">
        <v>7.2192806824320908</v>
      </c>
      <c r="M11080" s="43">
        <v>11.500435161009575</v>
      </c>
      <c r="N11080" s="43">
        <v>5.487106543723324</v>
      </c>
      <c r="O11080" s="43">
        <v>4.6420630975034136</v>
      </c>
      <c r="P11080" s="298"/>
      <c r="Q11080" s="298"/>
      <c r="R11080" s="298">
        <v>2</v>
      </c>
    </row>
    <row r="11081" spans="1:18" ht="12.75" customHeight="1">
      <c r="A11081" s="628" t="s">
        <v>20255</v>
      </c>
      <c r="B11081" s="629"/>
      <c r="C11081" s="629"/>
      <c r="D11081" s="629"/>
      <c r="E11081" s="629"/>
      <c r="F11081" s="629"/>
      <c r="G11081" s="629"/>
      <c r="H11081" s="629"/>
      <c r="I11081" s="629"/>
      <c r="J11081" s="629"/>
      <c r="K11081" s="629"/>
      <c r="L11081" s="629"/>
      <c r="M11081" s="629"/>
      <c r="N11081" s="629"/>
      <c r="O11081" s="629"/>
      <c r="P11081" s="629"/>
      <c r="Q11081" s="629"/>
      <c r="R11081" s="629"/>
    </row>
    <row r="11082" spans="1:18" ht="24">
      <c r="A11082" s="294">
        <v>359</v>
      </c>
      <c r="B11082" s="291" t="s">
        <v>20256</v>
      </c>
      <c r="C11082" s="295" t="s">
        <v>20257</v>
      </c>
      <c r="D11082" s="296">
        <v>8442.17</v>
      </c>
      <c r="E11082" s="296">
        <v>1441.72</v>
      </c>
      <c r="F11082" s="296">
        <v>1220.6199999999999</v>
      </c>
      <c r="G11082" s="296">
        <v>5779.83</v>
      </c>
      <c r="H11082" s="297">
        <v>45084.41</v>
      </c>
      <c r="I11082" s="297">
        <v>16579.78</v>
      </c>
      <c r="J11082" s="297">
        <v>6642.46</v>
      </c>
      <c r="K11082" s="297">
        <v>21862.17</v>
      </c>
      <c r="L11082" s="43">
        <v>5.340381679118047</v>
      </c>
      <c r="M11082" s="43">
        <v>11.499999999999998</v>
      </c>
      <c r="N11082" s="43">
        <v>5.4418738018384101</v>
      </c>
      <c r="O11082" s="43">
        <v>3.7824936027530218</v>
      </c>
      <c r="P11082" s="298"/>
      <c r="Q11082" s="298"/>
      <c r="R11082" s="298">
        <v>3</v>
      </c>
    </row>
    <row r="11083" spans="1:18" ht="24">
      <c r="A11083" s="294">
        <v>360</v>
      </c>
      <c r="B11083" s="291" t="s">
        <v>20258</v>
      </c>
      <c r="C11083" s="295" t="s">
        <v>20259</v>
      </c>
      <c r="D11083" s="296">
        <v>16353.73</v>
      </c>
      <c r="E11083" s="296">
        <v>4097.5200000000004</v>
      </c>
      <c r="F11083" s="296">
        <v>8536.56</v>
      </c>
      <c r="G11083" s="296">
        <v>3719.65</v>
      </c>
      <c r="H11083" s="297">
        <v>110592.13</v>
      </c>
      <c r="I11083" s="297">
        <v>47121.48</v>
      </c>
      <c r="J11083" s="297">
        <v>46348.58</v>
      </c>
      <c r="K11083" s="297">
        <v>17122.07</v>
      </c>
      <c r="L11083" s="43">
        <v>6.762501887948499</v>
      </c>
      <c r="M11083" s="43">
        <v>11.5</v>
      </c>
      <c r="N11083" s="43">
        <v>5.4294212188516227</v>
      </c>
      <c r="O11083" s="43">
        <v>4.6031400803839073</v>
      </c>
      <c r="P11083" s="298"/>
      <c r="Q11083" s="298"/>
      <c r="R11083" s="298">
        <v>3</v>
      </c>
    </row>
    <row r="11084" spans="1:18" ht="24">
      <c r="A11084" s="294">
        <v>361</v>
      </c>
      <c r="B11084" s="291" t="s">
        <v>20260</v>
      </c>
      <c r="C11084" s="295" t="s">
        <v>20261</v>
      </c>
      <c r="D11084" s="296">
        <v>34088.629999999997</v>
      </c>
      <c r="E11084" s="296">
        <v>9017.34</v>
      </c>
      <c r="F11084" s="296">
        <v>19543.189999999999</v>
      </c>
      <c r="G11084" s="296">
        <v>5528.1</v>
      </c>
      <c r="H11084" s="297">
        <v>234595.78</v>
      </c>
      <c r="I11084" s="297">
        <v>103703.52</v>
      </c>
      <c r="J11084" s="297">
        <v>106306.31</v>
      </c>
      <c r="K11084" s="297">
        <v>24585.95</v>
      </c>
      <c r="L11084" s="43">
        <v>6.8819362937143564</v>
      </c>
      <c r="M11084" s="43">
        <v>11.500455788514129</v>
      </c>
      <c r="N11084" s="43">
        <v>5.4395577180593344</v>
      </c>
      <c r="O11084" s="43">
        <v>4.4474502993795335</v>
      </c>
      <c r="P11084" s="298"/>
      <c r="Q11084" s="298"/>
      <c r="R11084" s="298">
        <v>3</v>
      </c>
    </row>
    <row r="11085" spans="1:18" ht="24">
      <c r="A11085" s="294">
        <v>362</v>
      </c>
      <c r="B11085" s="291" t="s">
        <v>20262</v>
      </c>
      <c r="C11085" s="295" t="s">
        <v>20263</v>
      </c>
      <c r="D11085" s="296">
        <v>17244.439999999999</v>
      </c>
      <c r="E11085" s="296">
        <v>6709.96</v>
      </c>
      <c r="F11085" s="296">
        <v>7285.26</v>
      </c>
      <c r="G11085" s="296">
        <v>3249.22</v>
      </c>
      <c r="H11085" s="297">
        <v>131182.32</v>
      </c>
      <c r="I11085" s="297">
        <v>77164.539999999994</v>
      </c>
      <c r="J11085" s="297">
        <v>40293.269999999997</v>
      </c>
      <c r="K11085" s="297">
        <v>13724.51</v>
      </c>
      <c r="L11085" s="43">
        <v>7.6072241255732296</v>
      </c>
      <c r="M11085" s="43">
        <v>11.499999999999998</v>
      </c>
      <c r="N11085" s="43">
        <v>5.5307936847826973</v>
      </c>
      <c r="O11085" s="43">
        <v>4.2239398994220156</v>
      </c>
      <c r="P11085" s="298"/>
      <c r="Q11085" s="298"/>
      <c r="R11085" s="298">
        <v>3</v>
      </c>
    </row>
    <row r="11086" spans="1:18" ht="24">
      <c r="A11086" s="294">
        <v>363</v>
      </c>
      <c r="B11086" s="291" t="s">
        <v>20264</v>
      </c>
      <c r="C11086" s="295" t="s">
        <v>20265</v>
      </c>
      <c r="D11086" s="296">
        <v>32913.07</v>
      </c>
      <c r="E11086" s="296">
        <v>10092.4</v>
      </c>
      <c r="F11086" s="296">
        <v>15101.94</v>
      </c>
      <c r="G11086" s="296">
        <v>7718.73</v>
      </c>
      <c r="H11086" s="297">
        <v>234537.96</v>
      </c>
      <c r="I11086" s="297">
        <v>116067.2</v>
      </c>
      <c r="J11086" s="297">
        <v>84524.44</v>
      </c>
      <c r="K11086" s="297">
        <v>33946.32</v>
      </c>
      <c r="L11086" s="43">
        <v>7.1259824744394855</v>
      </c>
      <c r="M11086" s="43">
        <v>11.500455788514129</v>
      </c>
      <c r="N11086" s="43">
        <v>5.5969259578570698</v>
      </c>
      <c r="O11086" s="43">
        <v>4.3979152010758247</v>
      </c>
      <c r="P11086" s="298"/>
      <c r="Q11086" s="298"/>
      <c r="R11086" s="298">
        <v>3</v>
      </c>
    </row>
    <row r="11087" spans="1:18" ht="24">
      <c r="A11087" s="294">
        <v>364</v>
      </c>
      <c r="B11087" s="291" t="s">
        <v>20266</v>
      </c>
      <c r="C11087" s="295" t="s">
        <v>20267</v>
      </c>
      <c r="D11087" s="296">
        <v>43017.54</v>
      </c>
      <c r="E11087" s="296">
        <v>12560.65</v>
      </c>
      <c r="F11087" s="296">
        <v>21848.51</v>
      </c>
      <c r="G11087" s="296">
        <v>8608.3799999999992</v>
      </c>
      <c r="H11087" s="297">
        <v>305722.55</v>
      </c>
      <c r="I11087" s="297">
        <v>144453.20000000001</v>
      </c>
      <c r="J11087" s="297">
        <v>121792.85</v>
      </c>
      <c r="K11087" s="297">
        <v>39476.5</v>
      </c>
      <c r="L11087" s="43">
        <v>7.1069277787618717</v>
      </c>
      <c r="M11087" s="43">
        <v>11.500455788514131</v>
      </c>
      <c r="N11087" s="43">
        <v>5.5744236105803102</v>
      </c>
      <c r="O11087" s="43">
        <v>4.5858221872175724</v>
      </c>
      <c r="P11087" s="298"/>
      <c r="Q11087" s="298"/>
      <c r="R11087" s="298">
        <v>3</v>
      </c>
    </row>
    <row r="11088" spans="1:18" ht="24">
      <c r="A11088" s="294">
        <v>365</v>
      </c>
      <c r="B11088" s="291" t="s">
        <v>20268</v>
      </c>
      <c r="C11088" s="295" t="s">
        <v>20269</v>
      </c>
      <c r="D11088" s="296">
        <v>46995.27</v>
      </c>
      <c r="E11088" s="296">
        <v>13657.65</v>
      </c>
      <c r="F11088" s="296">
        <v>23261.77</v>
      </c>
      <c r="G11088" s="296">
        <v>10075.85</v>
      </c>
      <c r="H11088" s="297">
        <v>331999.59999999998</v>
      </c>
      <c r="I11088" s="297">
        <v>157069.20000000001</v>
      </c>
      <c r="J11088" s="297">
        <v>130072.99</v>
      </c>
      <c r="K11088" s="297">
        <v>44857.41</v>
      </c>
      <c r="L11088" s="43">
        <v>7.0645322390955512</v>
      </c>
      <c r="M11088" s="43">
        <v>11.500455788514131</v>
      </c>
      <c r="N11088" s="43">
        <v>5.5917064780539061</v>
      </c>
      <c r="O11088" s="43">
        <v>4.451972786415042</v>
      </c>
      <c r="P11088" s="298"/>
      <c r="Q11088" s="298"/>
      <c r="R11088" s="298">
        <v>3</v>
      </c>
    </row>
    <row r="11089" spans="1:18" ht="24">
      <c r="A11089" s="294">
        <v>366</v>
      </c>
      <c r="B11089" s="291" t="s">
        <v>20270</v>
      </c>
      <c r="C11089" s="295" t="s">
        <v>20271</v>
      </c>
      <c r="D11089" s="296">
        <v>1009.65</v>
      </c>
      <c r="E11089" s="296">
        <v>316.52999999999997</v>
      </c>
      <c r="F11089" s="296">
        <v>293.44</v>
      </c>
      <c r="G11089" s="296">
        <v>399.68</v>
      </c>
      <c r="H11089" s="297">
        <v>6763.6</v>
      </c>
      <c r="I11089" s="297">
        <v>3640.07</v>
      </c>
      <c r="J11089" s="297">
        <v>1581.4</v>
      </c>
      <c r="K11089" s="297">
        <v>1542.13</v>
      </c>
      <c r="L11089" s="43">
        <v>6.6989550834447584</v>
      </c>
      <c r="M11089" s="43">
        <v>11.499921018544848</v>
      </c>
      <c r="N11089" s="43">
        <v>5.3891766630316251</v>
      </c>
      <c r="O11089" s="43">
        <v>3.8584117293835072</v>
      </c>
      <c r="P11089" s="298"/>
      <c r="Q11089" s="298"/>
      <c r="R11089" s="298">
        <v>3</v>
      </c>
    </row>
    <row r="11090" spans="1:18" ht="24">
      <c r="A11090" s="294">
        <v>367</v>
      </c>
      <c r="B11090" s="291" t="s">
        <v>20272</v>
      </c>
      <c r="C11090" s="295" t="s">
        <v>20273</v>
      </c>
      <c r="D11090" s="296">
        <v>2332.83</v>
      </c>
      <c r="E11090" s="296">
        <v>815.17</v>
      </c>
      <c r="F11090" s="296">
        <v>577.54999999999995</v>
      </c>
      <c r="G11090" s="296">
        <v>940.11</v>
      </c>
      <c r="H11090" s="297">
        <v>16136.34</v>
      </c>
      <c r="I11090" s="297">
        <v>9374.43</v>
      </c>
      <c r="J11090" s="297">
        <v>3110.31</v>
      </c>
      <c r="K11090" s="297">
        <v>3651.6</v>
      </c>
      <c r="L11090" s="43">
        <v>6.9170663957510836</v>
      </c>
      <c r="M11090" s="43">
        <v>11.499969331550474</v>
      </c>
      <c r="N11090" s="43">
        <v>5.3853519175828932</v>
      </c>
      <c r="O11090" s="43">
        <v>3.8842263139419853</v>
      </c>
      <c r="P11090" s="298"/>
      <c r="Q11090" s="298"/>
      <c r="R11090" s="298">
        <v>3</v>
      </c>
    </row>
    <row r="11091" spans="1:18" ht="24">
      <c r="A11091" s="294">
        <v>368</v>
      </c>
      <c r="B11091" s="291" t="s">
        <v>20274</v>
      </c>
      <c r="C11091" s="295" t="s">
        <v>20275</v>
      </c>
      <c r="D11091" s="296">
        <v>1173.02</v>
      </c>
      <c r="E11091" s="296">
        <v>377.23</v>
      </c>
      <c r="F11091" s="296">
        <v>396.84</v>
      </c>
      <c r="G11091" s="296">
        <v>398.95</v>
      </c>
      <c r="H11091" s="297">
        <v>8018.96</v>
      </c>
      <c r="I11091" s="297">
        <v>4338.17</v>
      </c>
      <c r="J11091" s="297">
        <v>2141.73</v>
      </c>
      <c r="K11091" s="297">
        <v>1539.06</v>
      </c>
      <c r="L11091" s="43">
        <v>6.8361664762749141</v>
      </c>
      <c r="M11091" s="43">
        <v>11.500066272565808</v>
      </c>
      <c r="N11091" s="43">
        <v>5.3969609918355008</v>
      </c>
      <c r="O11091" s="43">
        <v>3.8577766637423236</v>
      </c>
      <c r="P11091" s="298"/>
      <c r="Q11091" s="298"/>
      <c r="R11091" s="298">
        <v>3</v>
      </c>
    </row>
    <row r="11092" spans="1:18" ht="24">
      <c r="A11092" s="294">
        <v>369</v>
      </c>
      <c r="B11092" s="291" t="s">
        <v>20276</v>
      </c>
      <c r="C11092" s="295" t="s">
        <v>20277</v>
      </c>
      <c r="D11092" s="296">
        <v>1194.8900000000001</v>
      </c>
      <c r="E11092" s="296">
        <v>291.60000000000002</v>
      </c>
      <c r="F11092" s="296">
        <v>373.4</v>
      </c>
      <c r="G11092" s="296">
        <v>529.89</v>
      </c>
      <c r="H11092" s="297">
        <v>7371.01</v>
      </c>
      <c r="I11092" s="297">
        <v>3353.35</v>
      </c>
      <c r="J11092" s="297">
        <v>2011.8</v>
      </c>
      <c r="K11092" s="297">
        <v>2005.86</v>
      </c>
      <c r="L11092" s="43">
        <v>6.1687770422381973</v>
      </c>
      <c r="M11092" s="43">
        <v>11.499828532235938</v>
      </c>
      <c r="N11092" s="43">
        <v>5.3877878950187466</v>
      </c>
      <c r="O11092" s="43">
        <v>3.7854271641284041</v>
      </c>
      <c r="P11092" s="298"/>
      <c r="Q11092" s="298"/>
      <c r="R11092" s="298">
        <v>3</v>
      </c>
    </row>
    <row r="11093" spans="1:18" ht="12.75" customHeight="1">
      <c r="A11093" s="628" t="s">
        <v>20278</v>
      </c>
      <c r="B11093" s="629"/>
      <c r="C11093" s="629"/>
      <c r="D11093" s="629"/>
      <c r="E11093" s="629"/>
      <c r="F11093" s="629"/>
      <c r="G11093" s="629"/>
      <c r="H11093" s="629"/>
      <c r="I11093" s="629"/>
      <c r="J11093" s="629"/>
      <c r="K11093" s="629"/>
      <c r="L11093" s="629"/>
      <c r="M11093" s="629"/>
      <c r="N11093" s="629"/>
      <c r="O11093" s="629"/>
      <c r="P11093" s="629"/>
      <c r="Q11093" s="629"/>
      <c r="R11093" s="629"/>
    </row>
    <row r="11094" spans="1:18" ht="24">
      <c r="A11094" s="294">
        <v>370</v>
      </c>
      <c r="B11094" s="291" t="s">
        <v>20279</v>
      </c>
      <c r="C11094" s="295" t="s">
        <v>20280</v>
      </c>
      <c r="D11094" s="296">
        <v>2848.24</v>
      </c>
      <c r="E11094" s="296">
        <v>899.54</v>
      </c>
      <c r="F11094" s="296">
        <v>840.4</v>
      </c>
      <c r="G11094" s="296">
        <v>1108.3</v>
      </c>
      <c r="H11094" s="297">
        <v>19354.89</v>
      </c>
      <c r="I11094" s="297">
        <v>10345.120000000001</v>
      </c>
      <c r="J11094" s="297">
        <v>4526.76</v>
      </c>
      <c r="K11094" s="297">
        <v>4483.01</v>
      </c>
      <c r="L11094" s="43">
        <v>6.795385922534618</v>
      </c>
      <c r="M11094" s="43">
        <v>11.500455788514131</v>
      </c>
      <c r="N11094" s="43">
        <v>5.3864350309376494</v>
      </c>
      <c r="O11094" s="43">
        <v>4.044942705043761</v>
      </c>
      <c r="P11094" s="298"/>
      <c r="Q11094" s="298"/>
      <c r="R11094" s="298">
        <v>4</v>
      </c>
    </row>
    <row r="11095" spans="1:18" ht="24">
      <c r="A11095" s="294">
        <v>371</v>
      </c>
      <c r="B11095" s="291" t="s">
        <v>20281</v>
      </c>
      <c r="C11095" s="295" t="s">
        <v>20282</v>
      </c>
      <c r="D11095" s="296">
        <v>1906.35</v>
      </c>
      <c r="E11095" s="296">
        <v>640.65</v>
      </c>
      <c r="F11095" s="296">
        <v>556.97</v>
      </c>
      <c r="G11095" s="296">
        <v>708.73</v>
      </c>
      <c r="H11095" s="297">
        <v>13273.93</v>
      </c>
      <c r="I11095" s="297">
        <v>7367.74</v>
      </c>
      <c r="J11095" s="297">
        <v>2997.23</v>
      </c>
      <c r="K11095" s="297">
        <v>2908.96</v>
      </c>
      <c r="L11095" s="43">
        <v>6.9630078422115567</v>
      </c>
      <c r="M11095" s="43">
        <v>11.500413642394443</v>
      </c>
      <c r="N11095" s="43">
        <v>5.3813131766522435</v>
      </c>
      <c r="O11095" s="43">
        <v>4.1044685564319279</v>
      </c>
      <c r="P11095" s="298"/>
      <c r="Q11095" s="298"/>
      <c r="R11095" s="298">
        <v>4</v>
      </c>
    </row>
    <row r="11096" spans="1:18" ht="24">
      <c r="A11096" s="294">
        <v>372</v>
      </c>
      <c r="B11096" s="291" t="s">
        <v>20283</v>
      </c>
      <c r="C11096" s="295" t="s">
        <v>20284</v>
      </c>
      <c r="D11096" s="296">
        <v>5169.03</v>
      </c>
      <c r="E11096" s="296">
        <v>1459.01</v>
      </c>
      <c r="F11096" s="296">
        <v>2099.2199999999998</v>
      </c>
      <c r="G11096" s="296">
        <v>1610.8</v>
      </c>
      <c r="H11096" s="297">
        <v>35003.949999999997</v>
      </c>
      <c r="I11096" s="297">
        <v>16779.28</v>
      </c>
      <c r="J11096" s="297">
        <v>11313.82</v>
      </c>
      <c r="K11096" s="297">
        <v>6910.85</v>
      </c>
      <c r="L11096" s="43">
        <v>6.7718604844622687</v>
      </c>
      <c r="M11096" s="43">
        <v>11.500455788514129</v>
      </c>
      <c r="N11096" s="43">
        <v>5.3895351606787285</v>
      </c>
      <c r="O11096" s="43">
        <v>4.2903215793394587</v>
      </c>
      <c r="P11096" s="298"/>
      <c r="Q11096" s="298"/>
      <c r="R11096" s="298">
        <v>4</v>
      </c>
    </row>
    <row r="11097" spans="1:18" ht="36">
      <c r="A11097" s="294">
        <v>373</v>
      </c>
      <c r="B11097" s="291" t="s">
        <v>20285</v>
      </c>
      <c r="C11097" s="295" t="s">
        <v>20286</v>
      </c>
      <c r="D11097" s="296">
        <v>10875.79</v>
      </c>
      <c r="E11097" s="296">
        <v>2897.1</v>
      </c>
      <c r="F11097" s="296">
        <v>6303.78</v>
      </c>
      <c r="G11097" s="296">
        <v>1674.91</v>
      </c>
      <c r="H11097" s="297">
        <v>75183.67</v>
      </c>
      <c r="I11097" s="297">
        <v>33316.65</v>
      </c>
      <c r="J11097" s="297">
        <v>34250.89</v>
      </c>
      <c r="K11097" s="297">
        <v>7616.13</v>
      </c>
      <c r="L11097" s="43">
        <v>6.9129387382433825</v>
      </c>
      <c r="M11097" s="43">
        <v>11.5</v>
      </c>
      <c r="N11097" s="43">
        <v>5.4333891728454988</v>
      </c>
      <c r="O11097" s="43">
        <v>4.5471876100805417</v>
      </c>
      <c r="P11097" s="298"/>
      <c r="Q11097" s="298"/>
      <c r="R11097" s="298">
        <v>4</v>
      </c>
    </row>
    <row r="11098" spans="1:18" ht="24">
      <c r="A11098" s="294">
        <v>374</v>
      </c>
      <c r="B11098" s="291" t="s">
        <v>20287</v>
      </c>
      <c r="C11098" s="295" t="s">
        <v>20288</v>
      </c>
      <c r="D11098" s="296">
        <v>11315.16</v>
      </c>
      <c r="E11098" s="296">
        <v>3563.08</v>
      </c>
      <c r="F11098" s="296">
        <v>4742.38</v>
      </c>
      <c r="G11098" s="296">
        <v>3009.7</v>
      </c>
      <c r="H11098" s="297">
        <v>81330.02</v>
      </c>
      <c r="I11098" s="297">
        <v>40975.42</v>
      </c>
      <c r="J11098" s="297">
        <v>26247.15</v>
      </c>
      <c r="K11098" s="297">
        <v>14107.45</v>
      </c>
      <c r="L11098" s="43">
        <v>7.1877039299488477</v>
      </c>
      <c r="M11098" s="43">
        <v>11.5</v>
      </c>
      <c r="N11098" s="43">
        <v>5.534594444139862</v>
      </c>
      <c r="O11098" s="43">
        <v>4.6873276406286344</v>
      </c>
      <c r="P11098" s="298"/>
      <c r="Q11098" s="298"/>
      <c r="R11098" s="298">
        <v>4</v>
      </c>
    </row>
    <row r="11099" spans="1:18" ht="24">
      <c r="A11099" s="294">
        <v>375</v>
      </c>
      <c r="B11099" s="291" t="s">
        <v>20289</v>
      </c>
      <c r="C11099" s="295" t="s">
        <v>20290</v>
      </c>
      <c r="D11099" s="296">
        <v>1184.74</v>
      </c>
      <c r="E11099" s="296">
        <v>448.44</v>
      </c>
      <c r="F11099" s="296">
        <v>385.29</v>
      </c>
      <c r="G11099" s="296">
        <v>351.01</v>
      </c>
      <c r="H11099" s="297">
        <v>8671.07</v>
      </c>
      <c r="I11099" s="297">
        <v>5157.0600000000004</v>
      </c>
      <c r="J11099" s="297">
        <v>2078.27</v>
      </c>
      <c r="K11099" s="297">
        <v>1435.74</v>
      </c>
      <c r="L11099" s="43">
        <v>7.3189644985397635</v>
      </c>
      <c r="M11099" s="43">
        <v>11.500000000000002</v>
      </c>
      <c r="N11099" s="43">
        <v>5.394040852344987</v>
      </c>
      <c r="O11099" s="43">
        <v>4.0903108173556308</v>
      </c>
      <c r="P11099" s="298"/>
      <c r="Q11099" s="298"/>
      <c r="R11099" s="298">
        <v>4</v>
      </c>
    </row>
    <row r="11100" spans="1:18" ht="12.75" customHeight="1">
      <c r="A11100" s="628" t="s">
        <v>20291</v>
      </c>
      <c r="B11100" s="629"/>
      <c r="C11100" s="629"/>
      <c r="D11100" s="629"/>
      <c r="E11100" s="629"/>
      <c r="F11100" s="629"/>
      <c r="G11100" s="629"/>
      <c r="H11100" s="629"/>
      <c r="I11100" s="629"/>
      <c r="J11100" s="629"/>
      <c r="K11100" s="629"/>
      <c r="L11100" s="629"/>
      <c r="M11100" s="629"/>
      <c r="N11100" s="629"/>
      <c r="O11100" s="629"/>
      <c r="P11100" s="629"/>
      <c r="Q11100" s="629"/>
      <c r="R11100" s="629"/>
    </row>
    <row r="11101" spans="1:18" ht="24">
      <c r="A11101" s="294">
        <v>376</v>
      </c>
      <c r="B11101" s="291" t="s">
        <v>20292</v>
      </c>
      <c r="C11101" s="295" t="s">
        <v>20293</v>
      </c>
      <c r="D11101" s="296">
        <v>7294.11</v>
      </c>
      <c r="E11101" s="296">
        <v>2808.32</v>
      </c>
      <c r="F11101" s="296">
        <v>2786.34</v>
      </c>
      <c r="G11101" s="296">
        <v>1699.45</v>
      </c>
      <c r="H11101" s="297">
        <v>53812</v>
      </c>
      <c r="I11101" s="297">
        <v>32296.959999999999</v>
      </c>
      <c r="J11101" s="297">
        <v>14400.86</v>
      </c>
      <c r="K11101" s="297">
        <v>7114.18</v>
      </c>
      <c r="L11101" s="43">
        <v>7.377459347336413</v>
      </c>
      <c r="M11101" s="43">
        <v>11.500455788514129</v>
      </c>
      <c r="N11101" s="43">
        <v>5.1683785898346937</v>
      </c>
      <c r="O11101" s="43">
        <v>4.1861661125658305</v>
      </c>
      <c r="P11101" s="298"/>
      <c r="Q11101" s="298"/>
      <c r="R11101" s="298">
        <v>5</v>
      </c>
    </row>
    <row r="11102" spans="1:18" ht="24">
      <c r="A11102" s="294">
        <v>377</v>
      </c>
      <c r="B11102" s="291" t="s">
        <v>20294</v>
      </c>
      <c r="C11102" s="295" t="s">
        <v>20295</v>
      </c>
      <c r="D11102" s="296">
        <v>11228.22</v>
      </c>
      <c r="E11102" s="296">
        <v>3685.92</v>
      </c>
      <c r="F11102" s="296">
        <v>5771.24</v>
      </c>
      <c r="G11102" s="296">
        <v>1771.06</v>
      </c>
      <c r="H11102" s="297">
        <v>78440.7</v>
      </c>
      <c r="I11102" s="297">
        <v>42389.760000000002</v>
      </c>
      <c r="J11102" s="297">
        <v>28261.119999999999</v>
      </c>
      <c r="K11102" s="297">
        <v>7789.82</v>
      </c>
      <c r="L11102" s="43">
        <v>6.9860316238905185</v>
      </c>
      <c r="M11102" s="43">
        <v>11.500455788514129</v>
      </c>
      <c r="N11102" s="43">
        <v>4.8968887102251859</v>
      </c>
      <c r="O11102" s="43">
        <v>4.3983941820152905</v>
      </c>
      <c r="P11102" s="298"/>
      <c r="Q11102" s="298"/>
      <c r="R11102" s="298">
        <v>5</v>
      </c>
    </row>
    <row r="11103" spans="1:18" ht="24">
      <c r="A11103" s="294">
        <v>378</v>
      </c>
      <c r="B11103" s="291" t="s">
        <v>20296</v>
      </c>
      <c r="C11103" s="295" t="s">
        <v>20297</v>
      </c>
      <c r="D11103" s="296">
        <v>3641.03</v>
      </c>
      <c r="E11103" s="296">
        <v>1283.49</v>
      </c>
      <c r="F11103" s="296">
        <v>1287.8</v>
      </c>
      <c r="G11103" s="296">
        <v>1069.74</v>
      </c>
      <c r="H11103" s="297">
        <v>25787.05</v>
      </c>
      <c r="I11103" s="297">
        <v>14760.72</v>
      </c>
      <c r="J11103" s="297">
        <v>6860.28</v>
      </c>
      <c r="K11103" s="297">
        <v>4166.05</v>
      </c>
      <c r="L11103" s="43">
        <v>7.0823503239467946</v>
      </c>
      <c r="M11103" s="43">
        <v>11.500455788514129</v>
      </c>
      <c r="N11103" s="43">
        <v>5.3271315421649321</v>
      </c>
      <c r="O11103" s="43">
        <v>3.894450988090564</v>
      </c>
      <c r="P11103" s="298"/>
      <c r="Q11103" s="298"/>
      <c r="R11103" s="298">
        <v>5</v>
      </c>
    </row>
    <row r="11104" spans="1:18" ht="12.75" customHeight="1">
      <c r="A11104" s="628" t="s">
        <v>20298</v>
      </c>
      <c r="B11104" s="629"/>
      <c r="C11104" s="629"/>
      <c r="D11104" s="629"/>
      <c r="E11104" s="629"/>
      <c r="F11104" s="629"/>
      <c r="G11104" s="629"/>
      <c r="H11104" s="629"/>
      <c r="I11104" s="629"/>
      <c r="J11104" s="629"/>
      <c r="K11104" s="629"/>
      <c r="L11104" s="629"/>
      <c r="M11104" s="629"/>
      <c r="N11104" s="629"/>
      <c r="O11104" s="629"/>
      <c r="P11104" s="629"/>
      <c r="Q11104" s="629"/>
      <c r="R11104" s="629"/>
    </row>
    <row r="11105" spans="1:18" ht="24">
      <c r="A11105" s="294">
        <v>379</v>
      </c>
      <c r="B11105" s="291" t="s">
        <v>20299</v>
      </c>
      <c r="C11105" s="295" t="s">
        <v>20300</v>
      </c>
      <c r="D11105" s="296">
        <v>7202.86</v>
      </c>
      <c r="E11105" s="296">
        <v>2808.3</v>
      </c>
      <c r="F11105" s="296">
        <v>1630.31</v>
      </c>
      <c r="G11105" s="296">
        <v>2764.25</v>
      </c>
      <c r="H11105" s="297">
        <v>51818.22</v>
      </c>
      <c r="I11105" s="297">
        <v>32295.45</v>
      </c>
      <c r="J11105" s="297">
        <v>8681.91</v>
      </c>
      <c r="K11105" s="297">
        <v>10840.86</v>
      </c>
      <c r="L11105" s="43">
        <v>7.1941173367245792</v>
      </c>
      <c r="M11105" s="43">
        <v>11.5</v>
      </c>
      <c r="N11105" s="43">
        <v>5.3253123639062512</v>
      </c>
      <c r="O11105" s="43">
        <v>3.9218088088993399</v>
      </c>
      <c r="P11105" s="298"/>
      <c r="Q11105" s="298"/>
      <c r="R11105" s="298">
        <v>6</v>
      </c>
    </row>
    <row r="11106" spans="1:18" ht="24">
      <c r="A11106" s="294">
        <v>380</v>
      </c>
      <c r="B11106" s="291" t="s">
        <v>20301</v>
      </c>
      <c r="C11106" s="295" t="s">
        <v>20302</v>
      </c>
      <c r="D11106" s="296">
        <v>5367.5</v>
      </c>
      <c r="E11106" s="296">
        <v>1354.2</v>
      </c>
      <c r="F11106" s="296">
        <v>1913.62</v>
      </c>
      <c r="G11106" s="296">
        <v>2099.6799999999998</v>
      </c>
      <c r="H11106" s="297">
        <v>33934.11</v>
      </c>
      <c r="I11106" s="297">
        <v>15573.3</v>
      </c>
      <c r="J11106" s="297">
        <v>10267.75</v>
      </c>
      <c r="K11106" s="297">
        <v>8093.06</v>
      </c>
      <c r="L11106" s="43">
        <v>6.3221443875174668</v>
      </c>
      <c r="M11106" s="43">
        <v>11.499999999999998</v>
      </c>
      <c r="N11106" s="43">
        <v>5.3656159530105247</v>
      </c>
      <c r="O11106" s="43">
        <v>3.8544254362569541</v>
      </c>
      <c r="P11106" s="298"/>
      <c r="Q11106" s="298"/>
      <c r="R11106" s="298">
        <v>6</v>
      </c>
    </row>
    <row r="11107" spans="1:18" ht="24">
      <c r="A11107" s="294">
        <v>381</v>
      </c>
      <c r="B11107" s="291" t="s">
        <v>20303</v>
      </c>
      <c r="C11107" s="295" t="s">
        <v>20304</v>
      </c>
      <c r="D11107" s="296">
        <v>966.6</v>
      </c>
      <c r="E11107" s="296">
        <v>369.69</v>
      </c>
      <c r="F11107" s="296">
        <v>192.59</v>
      </c>
      <c r="G11107" s="296">
        <v>404.32</v>
      </c>
      <c r="H11107" s="297">
        <v>6848.51</v>
      </c>
      <c r="I11107" s="297">
        <v>4251.59</v>
      </c>
      <c r="J11107" s="297">
        <v>1040.01</v>
      </c>
      <c r="K11107" s="297">
        <v>1556.91</v>
      </c>
      <c r="L11107" s="43">
        <v>7.08515414856197</v>
      </c>
      <c r="M11107" s="43">
        <v>11.500419270199357</v>
      </c>
      <c r="N11107" s="43">
        <v>5.4001246170621524</v>
      </c>
      <c r="O11107" s="43">
        <v>3.8506875741986546</v>
      </c>
      <c r="P11107" s="298"/>
      <c r="Q11107" s="298"/>
      <c r="R11107" s="298">
        <v>6</v>
      </c>
    </row>
    <row r="11108" spans="1:18" ht="24">
      <c r="A11108" s="294">
        <v>382</v>
      </c>
      <c r="B11108" s="291" t="s">
        <v>20305</v>
      </c>
      <c r="C11108" s="295" t="s">
        <v>20306</v>
      </c>
      <c r="D11108" s="296">
        <v>562.51</v>
      </c>
      <c r="E11108" s="296">
        <v>254.74</v>
      </c>
      <c r="F11108" s="296">
        <v>38.229999999999997</v>
      </c>
      <c r="G11108" s="296">
        <v>269.54000000000002</v>
      </c>
      <c r="H11108" s="297">
        <v>4181.93</v>
      </c>
      <c r="I11108" s="297">
        <v>2929.51</v>
      </c>
      <c r="J11108" s="297">
        <v>206.93</v>
      </c>
      <c r="K11108" s="297">
        <v>1045.49</v>
      </c>
      <c r="L11108" s="43">
        <v>7.4344100549323571</v>
      </c>
      <c r="M11108" s="43">
        <v>11.5</v>
      </c>
      <c r="N11108" s="43">
        <v>5.4127648443630667</v>
      </c>
      <c r="O11108" s="43">
        <v>3.8787935000371001</v>
      </c>
      <c r="P11108" s="298"/>
      <c r="Q11108" s="298"/>
      <c r="R11108" s="298">
        <v>6</v>
      </c>
    </row>
    <row r="11109" spans="1:18" ht="24">
      <c r="A11109" s="294">
        <v>383</v>
      </c>
      <c r="B11109" s="291" t="s">
        <v>20307</v>
      </c>
      <c r="C11109" s="295" t="s">
        <v>20308</v>
      </c>
      <c r="D11109" s="296">
        <v>1267.82</v>
      </c>
      <c r="E11109" s="296">
        <v>560.42999999999995</v>
      </c>
      <c r="F11109" s="296">
        <v>432.62</v>
      </c>
      <c r="G11109" s="296">
        <v>274.77</v>
      </c>
      <c r="H11109" s="297">
        <v>9875.43</v>
      </c>
      <c r="I11109" s="297">
        <v>6444.92</v>
      </c>
      <c r="J11109" s="297">
        <v>2322.39</v>
      </c>
      <c r="K11109" s="297">
        <v>1108.1199999999999</v>
      </c>
      <c r="L11109" s="43">
        <v>7.7892997428657074</v>
      </c>
      <c r="M11109" s="43">
        <v>11.499955391395893</v>
      </c>
      <c r="N11109" s="43">
        <v>5.3681984189357861</v>
      </c>
      <c r="O11109" s="43">
        <v>4.0329002438403023</v>
      </c>
      <c r="P11109" s="298"/>
      <c r="Q11109" s="298"/>
      <c r="R11109" s="298">
        <v>6</v>
      </c>
    </row>
    <row r="11110" spans="1:18" ht="24">
      <c r="A11110" s="294">
        <v>384</v>
      </c>
      <c r="B11110" s="291" t="s">
        <v>20309</v>
      </c>
      <c r="C11110" s="295" t="s">
        <v>20310</v>
      </c>
      <c r="D11110" s="296">
        <v>731.76</v>
      </c>
      <c r="E11110" s="296">
        <v>316.52999999999997</v>
      </c>
      <c r="F11110" s="296">
        <v>145.68</v>
      </c>
      <c r="G11110" s="296">
        <v>269.55</v>
      </c>
      <c r="H11110" s="297">
        <v>5475.78</v>
      </c>
      <c r="I11110" s="297">
        <v>3640.07</v>
      </c>
      <c r="J11110" s="297">
        <v>786.69</v>
      </c>
      <c r="K11110" s="297">
        <v>1049.02</v>
      </c>
      <c r="L11110" s="43">
        <v>7.4830272220400129</v>
      </c>
      <c r="M11110" s="43">
        <v>11.499921018544848</v>
      </c>
      <c r="N11110" s="43">
        <v>5.4001235584843492</v>
      </c>
      <c r="O11110" s="43">
        <v>3.891745501762196</v>
      </c>
      <c r="P11110" s="298"/>
      <c r="Q11110" s="298"/>
      <c r="R11110" s="298">
        <v>6</v>
      </c>
    </row>
    <row r="11111" spans="1:18" ht="12.75" customHeight="1">
      <c r="A11111" s="628" t="s">
        <v>20311</v>
      </c>
      <c r="B11111" s="629"/>
      <c r="C11111" s="629"/>
      <c r="D11111" s="629"/>
      <c r="E11111" s="629"/>
      <c r="F11111" s="629"/>
      <c r="G11111" s="629"/>
      <c r="H11111" s="629"/>
      <c r="I11111" s="629"/>
      <c r="J11111" s="629"/>
      <c r="K11111" s="629"/>
      <c r="L11111" s="629"/>
      <c r="M11111" s="629"/>
      <c r="N11111" s="629"/>
      <c r="O11111" s="629"/>
      <c r="P11111" s="629"/>
      <c r="Q11111" s="629"/>
      <c r="R11111" s="629"/>
    </row>
    <row r="11112" spans="1:18" ht="36">
      <c r="A11112" s="294">
        <v>385</v>
      </c>
      <c r="B11112" s="291" t="s">
        <v>20312</v>
      </c>
      <c r="C11112" s="295" t="s">
        <v>20313</v>
      </c>
      <c r="D11112" s="296">
        <v>3571.94</v>
      </c>
      <c r="E11112" s="296">
        <v>862.24</v>
      </c>
      <c r="F11112" s="296">
        <v>702.54</v>
      </c>
      <c r="G11112" s="296">
        <v>2007.16</v>
      </c>
      <c r="H11112" s="297">
        <v>21260.28</v>
      </c>
      <c r="I11112" s="297">
        <v>9916.18</v>
      </c>
      <c r="J11112" s="297">
        <v>3783.22</v>
      </c>
      <c r="K11112" s="297">
        <v>7560.88</v>
      </c>
      <c r="L11112" s="43">
        <v>5.9520260698667951</v>
      </c>
      <c r="M11112" s="43">
        <v>11.500487103358694</v>
      </c>
      <c r="N11112" s="43">
        <v>5.3850599254134996</v>
      </c>
      <c r="O11112" s="43">
        <v>3.7669543035931365</v>
      </c>
      <c r="P11112" s="298"/>
      <c r="Q11112" s="298"/>
      <c r="R11112" s="298">
        <v>7</v>
      </c>
    </row>
    <row r="11113" spans="1:18" ht="24">
      <c r="A11113" s="294">
        <v>386</v>
      </c>
      <c r="B11113" s="291" t="s">
        <v>20314</v>
      </c>
      <c r="C11113" s="295" t="s">
        <v>20315</v>
      </c>
      <c r="D11113" s="296">
        <v>16359.47</v>
      </c>
      <c r="E11113" s="296">
        <v>3609.13</v>
      </c>
      <c r="F11113" s="296">
        <v>9759.06</v>
      </c>
      <c r="G11113" s="296">
        <v>2991.28</v>
      </c>
      <c r="H11113" s="297">
        <v>105981.56</v>
      </c>
      <c r="I11113" s="297">
        <v>41506.639999999999</v>
      </c>
      <c r="J11113" s="297">
        <v>52839.09</v>
      </c>
      <c r="K11113" s="297">
        <v>11635.83</v>
      </c>
      <c r="L11113" s="43">
        <v>6.4783003361355842</v>
      </c>
      <c r="M11113" s="43">
        <v>11.500455788514129</v>
      </c>
      <c r="N11113" s="43">
        <v>5.4143626537801799</v>
      </c>
      <c r="O11113" s="43">
        <v>3.8899166911823699</v>
      </c>
      <c r="P11113" s="298"/>
      <c r="Q11113" s="298"/>
      <c r="R11113" s="298">
        <v>7</v>
      </c>
    </row>
    <row r="11114" spans="1:18" ht="24">
      <c r="A11114" s="294">
        <v>387</v>
      </c>
      <c r="B11114" s="291" t="s">
        <v>20316</v>
      </c>
      <c r="C11114" s="295" t="s">
        <v>20317</v>
      </c>
      <c r="D11114" s="296">
        <v>27595.02</v>
      </c>
      <c r="E11114" s="296">
        <v>6704.4</v>
      </c>
      <c r="F11114" s="296">
        <v>14738.02</v>
      </c>
      <c r="G11114" s="296">
        <v>6152.6</v>
      </c>
      <c r="H11114" s="297">
        <v>183515.69</v>
      </c>
      <c r="I11114" s="297">
        <v>77100.600000000006</v>
      </c>
      <c r="J11114" s="297">
        <v>82440.11</v>
      </c>
      <c r="K11114" s="297">
        <v>23974.98</v>
      </c>
      <c r="L11114" s="43">
        <v>6.6503191517889819</v>
      </c>
      <c r="M11114" s="43">
        <v>11.500000000000002</v>
      </c>
      <c r="N11114" s="43">
        <v>5.5937032247208238</v>
      </c>
      <c r="O11114" s="43">
        <v>3.896723336475636</v>
      </c>
      <c r="P11114" s="298"/>
      <c r="Q11114" s="298"/>
      <c r="R11114" s="298">
        <v>7</v>
      </c>
    </row>
    <row r="11115" spans="1:18" ht="24">
      <c r="A11115" s="294">
        <v>388</v>
      </c>
      <c r="B11115" s="291" t="s">
        <v>20318</v>
      </c>
      <c r="C11115" s="295" t="s">
        <v>20319</v>
      </c>
      <c r="D11115" s="296">
        <v>2691.22</v>
      </c>
      <c r="E11115" s="296">
        <v>1078.92</v>
      </c>
      <c r="F11115" s="296">
        <v>1107.4000000000001</v>
      </c>
      <c r="G11115" s="296">
        <v>504.9</v>
      </c>
      <c r="H11115" s="297">
        <v>20582.78</v>
      </c>
      <c r="I11115" s="297">
        <v>12407.58</v>
      </c>
      <c r="J11115" s="297">
        <v>6003.6</v>
      </c>
      <c r="K11115" s="297">
        <v>2171.6</v>
      </c>
      <c r="L11115" s="43">
        <v>7.6481224128833762</v>
      </c>
      <c r="M11115" s="43">
        <v>11.5</v>
      </c>
      <c r="N11115" s="43">
        <v>5.4213472999819396</v>
      </c>
      <c r="O11115" s="43">
        <v>4.3010497128144189</v>
      </c>
      <c r="P11115" s="298"/>
      <c r="Q11115" s="298"/>
      <c r="R11115" s="298">
        <v>7</v>
      </c>
    </row>
    <row r="11116" spans="1:18" ht="24">
      <c r="A11116" s="294">
        <v>389</v>
      </c>
      <c r="B11116" s="291" t="s">
        <v>20320</v>
      </c>
      <c r="C11116" s="295" t="s">
        <v>20321</v>
      </c>
      <c r="D11116" s="296">
        <v>1908.59</v>
      </c>
      <c r="E11116" s="296">
        <v>959.04</v>
      </c>
      <c r="F11116" s="296">
        <v>444.57</v>
      </c>
      <c r="G11116" s="296">
        <v>504.98</v>
      </c>
      <c r="H11116" s="297">
        <v>15577.21</v>
      </c>
      <c r="I11116" s="297">
        <v>11028.96</v>
      </c>
      <c r="J11116" s="297">
        <v>2382.4899999999998</v>
      </c>
      <c r="K11116" s="297">
        <v>2165.7600000000002</v>
      </c>
      <c r="L11116" s="43">
        <v>8.1616324092654793</v>
      </c>
      <c r="M11116" s="43">
        <v>11.5</v>
      </c>
      <c r="N11116" s="43">
        <v>5.3590885574825107</v>
      </c>
      <c r="O11116" s="43">
        <v>4.2888035169709697</v>
      </c>
      <c r="P11116" s="298"/>
      <c r="Q11116" s="298"/>
      <c r="R11116" s="298">
        <v>7</v>
      </c>
    </row>
    <row r="11117" spans="1:18" ht="24">
      <c r="A11117" s="294">
        <v>390</v>
      </c>
      <c r="B11117" s="291" t="s">
        <v>20322</v>
      </c>
      <c r="C11117" s="295" t="s">
        <v>20323</v>
      </c>
      <c r="D11117" s="296">
        <v>11130.18</v>
      </c>
      <c r="E11117" s="296">
        <v>2952.6</v>
      </c>
      <c r="F11117" s="296">
        <v>5551.03</v>
      </c>
      <c r="G11117" s="296">
        <v>2626.55</v>
      </c>
      <c r="H11117" s="297">
        <v>74548.14</v>
      </c>
      <c r="I11117" s="297">
        <v>33954.9</v>
      </c>
      <c r="J11117" s="297">
        <v>29877.38</v>
      </c>
      <c r="K11117" s="297">
        <v>10715.86</v>
      </c>
      <c r="L11117" s="43">
        <v>6.6978377708177224</v>
      </c>
      <c r="M11117" s="43">
        <v>11.5</v>
      </c>
      <c r="N11117" s="43">
        <v>5.3823128320329747</v>
      </c>
      <c r="O11117" s="43">
        <v>4.07982334240734</v>
      </c>
      <c r="P11117" s="298"/>
      <c r="Q11117" s="298"/>
      <c r="R11117" s="298">
        <v>7</v>
      </c>
    </row>
    <row r="11118" spans="1:18" ht="24">
      <c r="A11118" s="294">
        <v>391</v>
      </c>
      <c r="B11118" s="291" t="s">
        <v>20324</v>
      </c>
      <c r="C11118" s="295" t="s">
        <v>20325</v>
      </c>
      <c r="D11118" s="296">
        <v>2087.17</v>
      </c>
      <c r="E11118" s="296">
        <v>647.13</v>
      </c>
      <c r="F11118" s="296">
        <v>903.04</v>
      </c>
      <c r="G11118" s="296">
        <v>537</v>
      </c>
      <c r="H11118" s="297">
        <v>14426.69</v>
      </c>
      <c r="I11118" s="297">
        <v>7442</v>
      </c>
      <c r="J11118" s="297">
        <v>4897.07</v>
      </c>
      <c r="K11118" s="297">
        <v>2087.62</v>
      </c>
      <c r="L11118" s="43">
        <v>6.9120819099546278</v>
      </c>
      <c r="M11118" s="43">
        <v>11.500007726422821</v>
      </c>
      <c r="N11118" s="43">
        <v>5.4228716335931963</v>
      </c>
      <c r="O11118" s="43">
        <v>3.8875605214152698</v>
      </c>
      <c r="P11118" s="298"/>
      <c r="Q11118" s="298"/>
      <c r="R11118" s="298">
        <v>7</v>
      </c>
    </row>
    <row r="11119" spans="1:18" ht="24">
      <c r="A11119" s="294">
        <v>392</v>
      </c>
      <c r="B11119" s="291" t="s">
        <v>20326</v>
      </c>
      <c r="C11119" s="295" t="s">
        <v>20327</v>
      </c>
      <c r="D11119" s="296">
        <v>1457.79</v>
      </c>
      <c r="E11119" s="296">
        <v>640.65</v>
      </c>
      <c r="F11119" s="296">
        <v>404.21</v>
      </c>
      <c r="G11119" s="296">
        <v>412.93</v>
      </c>
      <c r="H11119" s="297">
        <v>11192.41</v>
      </c>
      <c r="I11119" s="297">
        <v>7367.74</v>
      </c>
      <c r="J11119" s="297">
        <v>2177.42</v>
      </c>
      <c r="K11119" s="297">
        <v>1647.25</v>
      </c>
      <c r="L11119" s="43">
        <v>7.6776559037995868</v>
      </c>
      <c r="M11119" s="43">
        <v>11.500413642394443</v>
      </c>
      <c r="N11119" s="43">
        <v>5.3868533682986568</v>
      </c>
      <c r="O11119" s="43">
        <v>3.9891749206887366</v>
      </c>
      <c r="P11119" s="298"/>
      <c r="Q11119" s="298"/>
      <c r="R11119" s="298">
        <v>7</v>
      </c>
    </row>
    <row r="11120" spans="1:18" ht="24">
      <c r="A11120" s="294">
        <v>393</v>
      </c>
      <c r="B11120" s="291" t="s">
        <v>20328</v>
      </c>
      <c r="C11120" s="295" t="s">
        <v>20329</v>
      </c>
      <c r="D11120" s="296">
        <v>1096.47</v>
      </c>
      <c r="E11120" s="296">
        <v>529.85</v>
      </c>
      <c r="F11120" s="296">
        <v>291.16000000000003</v>
      </c>
      <c r="G11120" s="296">
        <v>275.45999999999998</v>
      </c>
      <c r="H11120" s="297">
        <v>8779.2999999999993</v>
      </c>
      <c r="I11120" s="297">
        <v>6093.53</v>
      </c>
      <c r="J11120" s="297">
        <v>1573.34</v>
      </c>
      <c r="K11120" s="297">
        <v>1112.43</v>
      </c>
      <c r="L11120" s="43">
        <v>8.0068766131312294</v>
      </c>
      <c r="M11120" s="43">
        <v>11.500481268283476</v>
      </c>
      <c r="N11120" s="43">
        <v>5.4036955625772762</v>
      </c>
      <c r="O11120" s="43">
        <v>4.0384447832716193</v>
      </c>
      <c r="P11120" s="298"/>
      <c r="Q11120" s="298"/>
      <c r="R11120" s="298">
        <v>7</v>
      </c>
    </row>
    <row r="11121" spans="1:18" ht="24">
      <c r="A11121" s="294">
        <v>394</v>
      </c>
      <c r="B11121" s="291" t="s">
        <v>20330</v>
      </c>
      <c r="C11121" s="295" t="s">
        <v>20331</v>
      </c>
      <c r="D11121" s="296">
        <v>696.72</v>
      </c>
      <c r="E11121" s="296">
        <v>246.83</v>
      </c>
      <c r="F11121" s="296">
        <v>180.77</v>
      </c>
      <c r="G11121" s="296">
        <v>269.12</v>
      </c>
      <c r="H11121" s="297">
        <v>4856.3900000000003</v>
      </c>
      <c r="I11121" s="297">
        <v>2838.6</v>
      </c>
      <c r="J11121" s="297">
        <v>976.41</v>
      </c>
      <c r="K11121" s="297">
        <v>1041.3800000000001</v>
      </c>
      <c r="L11121" s="43">
        <v>6.9703611206797564</v>
      </c>
      <c r="M11121" s="43">
        <v>11.500222825426405</v>
      </c>
      <c r="N11121" s="43">
        <v>5.4013940366211202</v>
      </c>
      <c r="O11121" s="43">
        <v>3.869574910820452</v>
      </c>
      <c r="P11121" s="298"/>
      <c r="Q11121" s="298"/>
      <c r="R11121" s="298">
        <v>7</v>
      </c>
    </row>
    <row r="11122" spans="1:18" ht="24">
      <c r="A11122" s="294">
        <v>395</v>
      </c>
      <c r="B11122" s="291" t="s">
        <v>20332</v>
      </c>
      <c r="C11122" s="295" t="s">
        <v>20333</v>
      </c>
      <c r="D11122" s="296">
        <v>589.96</v>
      </c>
      <c r="E11122" s="296">
        <v>221.59</v>
      </c>
      <c r="F11122" s="296">
        <v>99.76</v>
      </c>
      <c r="G11122" s="296">
        <v>268.61</v>
      </c>
      <c r="H11122" s="297">
        <v>4123.41</v>
      </c>
      <c r="I11122" s="297">
        <v>2548.4299999999998</v>
      </c>
      <c r="J11122" s="297">
        <v>539.46</v>
      </c>
      <c r="K11122" s="297">
        <v>1035.52</v>
      </c>
      <c r="L11122" s="43">
        <v>6.9893043596176003</v>
      </c>
      <c r="M11122" s="43">
        <v>11.500654361658919</v>
      </c>
      <c r="N11122" s="43">
        <v>5.407578187650361</v>
      </c>
      <c r="O11122" s="43">
        <v>3.8551059156397747</v>
      </c>
      <c r="P11122" s="298"/>
      <c r="Q11122" s="298"/>
      <c r="R11122" s="298">
        <v>7</v>
      </c>
    </row>
    <row r="11123" spans="1:18" ht="24">
      <c r="A11123" s="294">
        <v>396</v>
      </c>
      <c r="B11123" s="291" t="s">
        <v>20334</v>
      </c>
      <c r="C11123" s="295" t="s">
        <v>20335</v>
      </c>
      <c r="D11123" s="296">
        <v>1074.2</v>
      </c>
      <c r="E11123" s="296">
        <v>332.39</v>
      </c>
      <c r="F11123" s="296">
        <v>337.62</v>
      </c>
      <c r="G11123" s="296">
        <v>404.19</v>
      </c>
      <c r="H11123" s="297">
        <v>7200.61</v>
      </c>
      <c r="I11123" s="297">
        <v>3822.65</v>
      </c>
      <c r="J11123" s="297">
        <v>1824.19</v>
      </c>
      <c r="K11123" s="297">
        <v>1553.77</v>
      </c>
      <c r="L11123" s="43">
        <v>6.7032303109290625</v>
      </c>
      <c r="M11123" s="43">
        <v>11.500496404825657</v>
      </c>
      <c r="N11123" s="43">
        <v>5.4030863100527222</v>
      </c>
      <c r="O11123" s="43">
        <v>3.8441574507038769</v>
      </c>
      <c r="P11123" s="298"/>
      <c r="Q11123" s="298"/>
      <c r="R11123" s="298">
        <v>7</v>
      </c>
    </row>
    <row r="11124" spans="1:18" ht="24">
      <c r="A11124" s="294">
        <v>397</v>
      </c>
      <c r="B11124" s="291" t="s">
        <v>20336</v>
      </c>
      <c r="C11124" s="295" t="s">
        <v>20337</v>
      </c>
      <c r="D11124" s="296">
        <v>494.97</v>
      </c>
      <c r="E11124" s="296">
        <v>185.39</v>
      </c>
      <c r="F11124" s="296">
        <v>43</v>
      </c>
      <c r="G11124" s="296">
        <v>266.58</v>
      </c>
      <c r="H11124" s="297">
        <v>3380.06</v>
      </c>
      <c r="I11124" s="297">
        <v>2132.1</v>
      </c>
      <c r="J11124" s="297">
        <v>232.2</v>
      </c>
      <c r="K11124" s="297">
        <v>1015.76</v>
      </c>
      <c r="L11124" s="43">
        <v>6.8288179081560489</v>
      </c>
      <c r="M11124" s="43">
        <v>11.50062031393279</v>
      </c>
      <c r="N11124" s="43">
        <v>5.3999999999999995</v>
      </c>
      <c r="O11124" s="43">
        <v>3.8103383599669893</v>
      </c>
      <c r="P11124" s="298"/>
      <c r="Q11124" s="298"/>
      <c r="R11124" s="298">
        <v>7</v>
      </c>
    </row>
    <row r="11125" spans="1:18" ht="12.75" customHeight="1">
      <c r="A11125" s="628" t="s">
        <v>20338</v>
      </c>
      <c r="B11125" s="629"/>
      <c r="C11125" s="629"/>
      <c r="D11125" s="629"/>
      <c r="E11125" s="629"/>
      <c r="F11125" s="629"/>
      <c r="G11125" s="629"/>
      <c r="H11125" s="629"/>
      <c r="I11125" s="629"/>
      <c r="J11125" s="629"/>
      <c r="K11125" s="629"/>
      <c r="L11125" s="629"/>
      <c r="M11125" s="629"/>
      <c r="N11125" s="629"/>
      <c r="O11125" s="629"/>
      <c r="P11125" s="629"/>
      <c r="Q11125" s="629"/>
      <c r="R11125" s="629"/>
    </row>
    <row r="11126" spans="1:18" ht="24">
      <c r="A11126" s="294">
        <v>398</v>
      </c>
      <c r="B11126" s="291" t="s">
        <v>20339</v>
      </c>
      <c r="C11126" s="295" t="s">
        <v>20340</v>
      </c>
      <c r="D11126" s="296">
        <v>4080.67</v>
      </c>
      <c r="E11126" s="296">
        <v>1140.8800000000001</v>
      </c>
      <c r="F11126" s="296">
        <v>720.77</v>
      </c>
      <c r="G11126" s="296">
        <v>2219.02</v>
      </c>
      <c r="H11126" s="297">
        <v>25395.200000000001</v>
      </c>
      <c r="I11126" s="297">
        <v>13120.64</v>
      </c>
      <c r="J11126" s="297">
        <v>3852.46</v>
      </c>
      <c r="K11126" s="297">
        <v>8422.1</v>
      </c>
      <c r="L11126" s="43">
        <v>6.223291763362389</v>
      </c>
      <c r="M11126" s="43">
        <v>11.500455788514127</v>
      </c>
      <c r="N11126" s="43">
        <v>5.3449227909041719</v>
      </c>
      <c r="O11126" s="43">
        <v>3.7954141918504569</v>
      </c>
      <c r="P11126" s="298"/>
      <c r="Q11126" s="298"/>
      <c r="R11126" s="298">
        <v>8</v>
      </c>
    </row>
    <row r="11127" spans="1:18" ht="24">
      <c r="A11127" s="294">
        <v>399</v>
      </c>
      <c r="B11127" s="291" t="s">
        <v>20341</v>
      </c>
      <c r="C11127" s="295" t="s">
        <v>20342</v>
      </c>
      <c r="D11127" s="296">
        <v>1544.1</v>
      </c>
      <c r="E11127" s="296">
        <v>419.05</v>
      </c>
      <c r="F11127" s="296">
        <v>180.09</v>
      </c>
      <c r="G11127" s="296">
        <v>944.96</v>
      </c>
      <c r="H11127" s="297">
        <v>9365.2800000000007</v>
      </c>
      <c r="I11127" s="297">
        <v>4819.3100000000004</v>
      </c>
      <c r="J11127" s="297">
        <v>974.24</v>
      </c>
      <c r="K11127" s="297">
        <v>3571.73</v>
      </c>
      <c r="L11127" s="43">
        <v>6.0652030308917828</v>
      </c>
      <c r="M11127" s="43">
        <v>11.500560792268226</v>
      </c>
      <c r="N11127" s="43">
        <v>5.4097395746571157</v>
      </c>
      <c r="O11127" s="43">
        <v>3.7797684558076532</v>
      </c>
      <c r="P11127" s="298"/>
      <c r="Q11127" s="298"/>
      <c r="R11127" s="298">
        <v>8</v>
      </c>
    </row>
    <row r="11128" spans="1:18" ht="12.75" customHeight="1">
      <c r="A11128" s="628" t="s">
        <v>20343</v>
      </c>
      <c r="B11128" s="629"/>
      <c r="C11128" s="629"/>
      <c r="D11128" s="629"/>
      <c r="E11128" s="629"/>
      <c r="F11128" s="629"/>
      <c r="G11128" s="629"/>
      <c r="H11128" s="629"/>
      <c r="I11128" s="629"/>
      <c r="J11128" s="629"/>
      <c r="K11128" s="629"/>
      <c r="L11128" s="629"/>
      <c r="M11128" s="629"/>
      <c r="N11128" s="629"/>
      <c r="O11128" s="629"/>
      <c r="P11128" s="629"/>
      <c r="Q11128" s="629"/>
      <c r="R11128" s="629"/>
    </row>
    <row r="11129" spans="1:18" ht="24">
      <c r="A11129" s="294">
        <v>400</v>
      </c>
      <c r="B11129" s="291" t="s">
        <v>20344</v>
      </c>
      <c r="C11129" s="295" t="s">
        <v>20345</v>
      </c>
      <c r="D11129" s="296">
        <v>3003.57</v>
      </c>
      <c r="E11129" s="296">
        <v>1078.3499999999999</v>
      </c>
      <c r="F11129" s="296">
        <v>1376.73</v>
      </c>
      <c r="G11129" s="296">
        <v>548.49</v>
      </c>
      <c r="H11129" s="297">
        <v>21933.42</v>
      </c>
      <c r="I11129" s="297">
        <v>12401.53</v>
      </c>
      <c r="J11129" s="297">
        <v>7319.99</v>
      </c>
      <c r="K11129" s="297">
        <v>2211.9</v>
      </c>
      <c r="L11129" s="43">
        <v>7.3024500843995632</v>
      </c>
      <c r="M11129" s="43">
        <v>11.500468308063246</v>
      </c>
      <c r="N11129" s="43">
        <v>5.3169394144095063</v>
      </c>
      <c r="O11129" s="43">
        <v>4.0327079800907946</v>
      </c>
      <c r="P11129" s="298"/>
      <c r="Q11129" s="298"/>
      <c r="R11129" s="298">
        <v>9</v>
      </c>
    </row>
    <row r="11130" spans="1:18" ht="24">
      <c r="A11130" s="294">
        <v>401</v>
      </c>
      <c r="B11130" s="291" t="s">
        <v>20346</v>
      </c>
      <c r="C11130" s="295" t="s">
        <v>20347</v>
      </c>
      <c r="D11130" s="296">
        <v>2396.4</v>
      </c>
      <c r="E11130" s="296">
        <v>683.43</v>
      </c>
      <c r="F11130" s="296">
        <v>1035.8900000000001</v>
      </c>
      <c r="G11130" s="296">
        <v>677.08</v>
      </c>
      <c r="H11130" s="297">
        <v>15690.35</v>
      </c>
      <c r="I11130" s="297">
        <v>7859.77</v>
      </c>
      <c r="J11130" s="297">
        <v>5196.62</v>
      </c>
      <c r="K11130" s="297">
        <v>2633.96</v>
      </c>
      <c r="L11130" s="43">
        <v>6.5474670338841596</v>
      </c>
      <c r="M11130" s="43">
        <v>11.500475542484235</v>
      </c>
      <c r="N11130" s="43">
        <v>5.016575118979814</v>
      </c>
      <c r="O11130" s="43">
        <v>3.8901754593253379</v>
      </c>
      <c r="P11130" s="298"/>
      <c r="Q11130" s="298"/>
      <c r="R11130" s="298">
        <v>9</v>
      </c>
    </row>
    <row r="11131" spans="1:18" ht="24">
      <c r="A11131" s="294">
        <v>402</v>
      </c>
      <c r="B11131" s="291" t="s">
        <v>20348</v>
      </c>
      <c r="C11131" s="295" t="s">
        <v>20349</v>
      </c>
      <c r="D11131" s="296">
        <v>3078.51</v>
      </c>
      <c r="E11131" s="296">
        <v>889.67</v>
      </c>
      <c r="F11131" s="296">
        <v>1333.57</v>
      </c>
      <c r="G11131" s="296">
        <v>855.27</v>
      </c>
      <c r="H11131" s="297">
        <v>20669.939999999999</v>
      </c>
      <c r="I11131" s="297">
        <v>10231.58</v>
      </c>
      <c r="J11131" s="297">
        <v>7082.03</v>
      </c>
      <c r="K11131" s="297">
        <v>3356.33</v>
      </c>
      <c r="L11131" s="43">
        <v>6.7142676164768016</v>
      </c>
      <c r="M11131" s="43">
        <v>11.50042150460283</v>
      </c>
      <c r="N11131" s="43">
        <v>5.3105798720727071</v>
      </c>
      <c r="O11131" s="43">
        <v>3.9242929133490008</v>
      </c>
      <c r="P11131" s="298"/>
      <c r="Q11131" s="298"/>
      <c r="R11131" s="298">
        <v>9</v>
      </c>
    </row>
    <row r="11132" spans="1:18" ht="24">
      <c r="A11132" s="294">
        <v>403</v>
      </c>
      <c r="B11132" s="291" t="s">
        <v>20350</v>
      </c>
      <c r="C11132" s="295" t="s">
        <v>20351</v>
      </c>
      <c r="D11132" s="296">
        <v>1604.31</v>
      </c>
      <c r="E11132" s="296">
        <v>690.01</v>
      </c>
      <c r="F11132" s="296">
        <v>499.53</v>
      </c>
      <c r="G11132" s="296">
        <v>414.77</v>
      </c>
      <c r="H11132" s="297">
        <v>12201.76</v>
      </c>
      <c r="I11132" s="297">
        <v>7935.46</v>
      </c>
      <c r="J11132" s="297">
        <v>2600.2199999999998</v>
      </c>
      <c r="K11132" s="297">
        <v>1666.08</v>
      </c>
      <c r="L11132" s="43">
        <v>7.6056123816469388</v>
      </c>
      <c r="M11132" s="43">
        <v>11.500499992753728</v>
      </c>
      <c r="N11132" s="43">
        <v>5.2053330130322504</v>
      </c>
      <c r="O11132" s="43">
        <v>4.0168768232996603</v>
      </c>
      <c r="P11132" s="298"/>
      <c r="Q11132" s="298"/>
      <c r="R11132" s="298">
        <v>9</v>
      </c>
    </row>
    <row r="11133" spans="1:18" ht="24">
      <c r="A11133" s="294">
        <v>404</v>
      </c>
      <c r="B11133" s="291" t="s">
        <v>20352</v>
      </c>
      <c r="C11133" s="295" t="s">
        <v>20353</v>
      </c>
      <c r="D11133" s="296">
        <v>750.1</v>
      </c>
      <c r="E11133" s="296">
        <v>369.69</v>
      </c>
      <c r="F11133" s="296">
        <v>108.4</v>
      </c>
      <c r="G11133" s="296">
        <v>272.01</v>
      </c>
      <c r="H11133" s="297">
        <v>5911.03</v>
      </c>
      <c r="I11133" s="297">
        <v>4251.59</v>
      </c>
      <c r="J11133" s="297">
        <v>586.01</v>
      </c>
      <c r="K11133" s="297">
        <v>1073.43</v>
      </c>
      <c r="L11133" s="43">
        <v>7.8803226236501791</v>
      </c>
      <c r="M11133" s="43">
        <v>11.500419270199357</v>
      </c>
      <c r="N11133" s="43">
        <v>5.4059963099630997</v>
      </c>
      <c r="O11133" s="43">
        <v>3.946288739384582</v>
      </c>
      <c r="P11133" s="298"/>
      <c r="Q11133" s="298"/>
      <c r="R11133" s="298">
        <v>9</v>
      </c>
    </row>
    <row r="11134" spans="1:18" ht="24">
      <c r="A11134" s="294">
        <v>405</v>
      </c>
      <c r="B11134" s="291" t="s">
        <v>20354</v>
      </c>
      <c r="C11134" s="295" t="s">
        <v>20355</v>
      </c>
      <c r="D11134" s="296">
        <v>972.31</v>
      </c>
      <c r="E11134" s="296">
        <v>394.92</v>
      </c>
      <c r="F11134" s="296">
        <v>170.39</v>
      </c>
      <c r="G11134" s="296">
        <v>407</v>
      </c>
      <c r="H11134" s="297">
        <v>7043.78</v>
      </c>
      <c r="I11134" s="297">
        <v>4541.76</v>
      </c>
      <c r="J11134" s="297">
        <v>920.18</v>
      </c>
      <c r="K11134" s="297">
        <v>1581.84</v>
      </c>
      <c r="L11134" s="43">
        <v>7.2443767934095096</v>
      </c>
      <c r="M11134" s="43">
        <v>11.500455788514129</v>
      </c>
      <c r="N11134" s="43">
        <v>5.4004342977874291</v>
      </c>
      <c r="O11134" s="43">
        <v>3.8865847665847664</v>
      </c>
      <c r="P11134" s="298"/>
      <c r="Q11134" s="298"/>
      <c r="R11134" s="298">
        <v>9</v>
      </c>
    </row>
    <row r="11135" spans="1:18" ht="24">
      <c r="A11135" s="294">
        <v>406</v>
      </c>
      <c r="B11135" s="291" t="s">
        <v>20356</v>
      </c>
      <c r="C11135" s="295" t="s">
        <v>20357</v>
      </c>
      <c r="D11135" s="296">
        <v>705.89</v>
      </c>
      <c r="E11135" s="296">
        <v>357.62</v>
      </c>
      <c r="F11135" s="296">
        <v>77.52</v>
      </c>
      <c r="G11135" s="296">
        <v>270.75</v>
      </c>
      <c r="H11135" s="297">
        <v>5593.55</v>
      </c>
      <c r="I11135" s="297">
        <v>4112.82</v>
      </c>
      <c r="J11135" s="297">
        <v>419</v>
      </c>
      <c r="K11135" s="297">
        <v>1061.73</v>
      </c>
      <c r="L11135" s="43">
        <v>7.9241099888084552</v>
      </c>
      <c r="M11135" s="43">
        <v>11.500531290196296</v>
      </c>
      <c r="N11135" s="43">
        <v>5.405056759545924</v>
      </c>
      <c r="O11135" s="43">
        <v>3.9214404432132963</v>
      </c>
      <c r="P11135" s="298"/>
      <c r="Q11135" s="298"/>
      <c r="R11135" s="298">
        <v>9</v>
      </c>
    </row>
    <row r="11136" spans="1:18" ht="24">
      <c r="A11136" s="294">
        <v>407</v>
      </c>
      <c r="B11136" s="291" t="s">
        <v>20358</v>
      </c>
      <c r="C11136" s="295" t="s">
        <v>20359</v>
      </c>
      <c r="D11136" s="296">
        <v>672.33</v>
      </c>
      <c r="E11136" s="296">
        <v>340.38</v>
      </c>
      <c r="F11136" s="296">
        <v>62.02</v>
      </c>
      <c r="G11136" s="296">
        <v>269.93</v>
      </c>
      <c r="H11136" s="297">
        <v>5302.96</v>
      </c>
      <c r="I11136" s="297">
        <v>3914.32</v>
      </c>
      <c r="J11136" s="297">
        <v>334.99</v>
      </c>
      <c r="K11136" s="297">
        <v>1053.6500000000001</v>
      </c>
      <c r="L11136" s="43">
        <v>7.8874362292326676</v>
      </c>
      <c r="M11136" s="43">
        <v>11.499853105352841</v>
      </c>
      <c r="N11136" s="43">
        <v>5.4013221541438243</v>
      </c>
      <c r="O11136" s="43">
        <v>3.9034194050309341</v>
      </c>
      <c r="P11136" s="298"/>
      <c r="Q11136" s="298"/>
      <c r="R11136" s="298">
        <v>9</v>
      </c>
    </row>
    <row r="11137" spans="1:18" ht="12.75" customHeight="1">
      <c r="A11137" s="628" t="s">
        <v>20360</v>
      </c>
      <c r="B11137" s="629"/>
      <c r="C11137" s="629"/>
      <c r="D11137" s="629"/>
      <c r="E11137" s="629"/>
      <c r="F11137" s="629"/>
      <c r="G11137" s="629"/>
      <c r="H11137" s="629"/>
      <c r="I11137" s="629"/>
      <c r="J11137" s="629"/>
      <c r="K11137" s="629"/>
      <c r="L11137" s="629"/>
      <c r="M11137" s="629"/>
      <c r="N11137" s="629"/>
      <c r="O11137" s="629"/>
      <c r="P11137" s="629"/>
      <c r="Q11137" s="629"/>
      <c r="R11137" s="629"/>
    </row>
    <row r="11138" spans="1:18" ht="24">
      <c r="A11138" s="294">
        <v>408</v>
      </c>
      <c r="B11138" s="291" t="s">
        <v>20361</v>
      </c>
      <c r="C11138" s="295" t="s">
        <v>20362</v>
      </c>
      <c r="D11138" s="296">
        <v>1798.44</v>
      </c>
      <c r="E11138" s="296">
        <v>529.85</v>
      </c>
      <c r="F11138" s="296">
        <v>333.67</v>
      </c>
      <c r="G11138" s="296">
        <v>934.92</v>
      </c>
      <c r="H11138" s="297">
        <v>11488.33</v>
      </c>
      <c r="I11138" s="297">
        <v>6093.53</v>
      </c>
      <c r="J11138" s="297">
        <v>1804.28</v>
      </c>
      <c r="K11138" s="297">
        <v>3590.52</v>
      </c>
      <c r="L11138" s="43">
        <v>6.3879417717577454</v>
      </c>
      <c r="M11138" s="43">
        <v>11.500481268283476</v>
      </c>
      <c r="N11138" s="43">
        <v>5.4073785476668563</v>
      </c>
      <c r="O11138" s="43">
        <v>3.8404569374919779</v>
      </c>
      <c r="P11138" s="298"/>
      <c r="Q11138" s="298"/>
      <c r="R11138" s="298">
        <v>10</v>
      </c>
    </row>
    <row r="11139" spans="1:18" ht="24">
      <c r="A11139" s="294">
        <v>409</v>
      </c>
      <c r="B11139" s="291" t="s">
        <v>20363</v>
      </c>
      <c r="C11139" s="295" t="s">
        <v>20364</v>
      </c>
      <c r="D11139" s="296">
        <v>7687.21</v>
      </c>
      <c r="E11139" s="296">
        <v>2715.04</v>
      </c>
      <c r="F11139" s="296">
        <v>3612.11</v>
      </c>
      <c r="G11139" s="296">
        <v>1360.06</v>
      </c>
      <c r="H11139" s="297">
        <v>55590.94</v>
      </c>
      <c r="I11139" s="297">
        <v>31222.959999999999</v>
      </c>
      <c r="J11139" s="297">
        <v>18873.95</v>
      </c>
      <c r="K11139" s="297">
        <v>5494.03</v>
      </c>
      <c r="L11139" s="43">
        <v>7.2316145909894489</v>
      </c>
      <c r="M11139" s="43">
        <v>11.5</v>
      </c>
      <c r="N11139" s="43">
        <v>5.2251869405970472</v>
      </c>
      <c r="O11139" s="43">
        <v>4.0395497257473938</v>
      </c>
      <c r="P11139" s="298"/>
      <c r="Q11139" s="298"/>
      <c r="R11139" s="298">
        <v>10</v>
      </c>
    </row>
    <row r="11140" spans="1:18" ht="12.75" customHeight="1">
      <c r="A11140" s="628" t="s">
        <v>20365</v>
      </c>
      <c r="B11140" s="629"/>
      <c r="C11140" s="629"/>
      <c r="D11140" s="629"/>
      <c r="E11140" s="629"/>
      <c r="F11140" s="629"/>
      <c r="G11140" s="629"/>
      <c r="H11140" s="629"/>
      <c r="I11140" s="629"/>
      <c r="J11140" s="629"/>
      <c r="K11140" s="629"/>
      <c r="L11140" s="629"/>
      <c r="M11140" s="629"/>
      <c r="N11140" s="629"/>
      <c r="O11140" s="629"/>
      <c r="P11140" s="629"/>
      <c r="Q11140" s="629"/>
      <c r="R11140" s="629"/>
    </row>
    <row r="11141" spans="1:18" ht="36">
      <c r="A11141" s="294">
        <v>410</v>
      </c>
      <c r="B11141" s="291" t="s">
        <v>20366</v>
      </c>
      <c r="C11141" s="295" t="s">
        <v>20367</v>
      </c>
      <c r="D11141" s="296">
        <v>2256.54</v>
      </c>
      <c r="E11141" s="296">
        <v>690.01</v>
      </c>
      <c r="F11141" s="296">
        <v>367.91</v>
      </c>
      <c r="G11141" s="296">
        <v>1198.6199999999999</v>
      </c>
      <c r="H11141" s="297">
        <v>14454.4</v>
      </c>
      <c r="I11141" s="297">
        <v>7935.46</v>
      </c>
      <c r="J11141" s="297">
        <v>1967.95</v>
      </c>
      <c r="K11141" s="297">
        <v>4550.99</v>
      </c>
      <c r="L11141" s="43">
        <v>6.4055589530874704</v>
      </c>
      <c r="M11141" s="43">
        <v>11.500499992753728</v>
      </c>
      <c r="N11141" s="43">
        <v>5.3489983963469321</v>
      </c>
      <c r="O11141" s="43">
        <v>3.7968580534281093</v>
      </c>
      <c r="P11141" s="298"/>
      <c r="Q11141" s="298"/>
      <c r="R11141" s="298">
        <v>11</v>
      </c>
    </row>
    <row r="11142" spans="1:18" ht="24">
      <c r="A11142" s="294">
        <v>411</v>
      </c>
      <c r="B11142" s="291" t="s">
        <v>20368</v>
      </c>
      <c r="C11142" s="295" t="s">
        <v>20369</v>
      </c>
      <c r="D11142" s="296">
        <v>1265.22</v>
      </c>
      <c r="E11142" s="296">
        <v>474.79</v>
      </c>
      <c r="F11142" s="296">
        <v>256.05</v>
      </c>
      <c r="G11142" s="296">
        <v>534.38</v>
      </c>
      <c r="H11142" s="297">
        <v>8890.6299999999992</v>
      </c>
      <c r="I11142" s="297">
        <v>5460.11</v>
      </c>
      <c r="J11142" s="297">
        <v>1375.31</v>
      </c>
      <c r="K11142" s="297">
        <v>2055.21</v>
      </c>
      <c r="L11142" s="43">
        <v>7.0269439306997983</v>
      </c>
      <c r="M11142" s="43">
        <v>11.500052654857935</v>
      </c>
      <c r="N11142" s="43">
        <v>5.3712556141378629</v>
      </c>
      <c r="O11142" s="43">
        <v>3.8459710318499947</v>
      </c>
      <c r="P11142" s="298"/>
      <c r="Q11142" s="298"/>
      <c r="R11142" s="298">
        <v>11</v>
      </c>
    </row>
    <row r="11143" spans="1:18" ht="24">
      <c r="A11143" s="294">
        <v>412</v>
      </c>
      <c r="B11143" s="291" t="s">
        <v>20370</v>
      </c>
      <c r="C11143" s="295" t="s">
        <v>20371</v>
      </c>
      <c r="D11143" s="296">
        <v>1827.78</v>
      </c>
      <c r="E11143" s="296">
        <v>677.95</v>
      </c>
      <c r="F11143" s="296">
        <v>473.74</v>
      </c>
      <c r="G11143" s="296">
        <v>676.09</v>
      </c>
      <c r="H11143" s="297">
        <v>12956.8</v>
      </c>
      <c r="I11143" s="297">
        <v>7796.69</v>
      </c>
      <c r="J11143" s="297">
        <v>2535.17</v>
      </c>
      <c r="K11143" s="297">
        <v>2624.94</v>
      </c>
      <c r="L11143" s="43">
        <v>7.0888181290964996</v>
      </c>
      <c r="M11143" s="43">
        <v>11.500390884283501</v>
      </c>
      <c r="N11143" s="43">
        <v>5.3513952801114533</v>
      </c>
      <c r="O11143" s="43">
        <v>3.8825304323388896</v>
      </c>
      <c r="P11143" s="298"/>
      <c r="Q11143" s="298"/>
      <c r="R11143" s="298">
        <v>11</v>
      </c>
    </row>
    <row r="11144" spans="1:18" ht="24">
      <c r="A11144" s="294">
        <v>413</v>
      </c>
      <c r="B11144" s="291" t="s">
        <v>20372</v>
      </c>
      <c r="C11144" s="295" t="s">
        <v>20373</v>
      </c>
      <c r="D11144" s="296">
        <v>1374.21</v>
      </c>
      <c r="E11144" s="296">
        <v>480.49</v>
      </c>
      <c r="F11144" s="296">
        <v>343.21</v>
      </c>
      <c r="G11144" s="296">
        <v>550.51</v>
      </c>
      <c r="H11144" s="297">
        <v>9531.17</v>
      </c>
      <c r="I11144" s="297">
        <v>5525.81</v>
      </c>
      <c r="J11144" s="297">
        <v>1844.45</v>
      </c>
      <c r="K11144" s="297">
        <v>2160.91</v>
      </c>
      <c r="L11144" s="43">
        <v>6.9357449007065872</v>
      </c>
      <c r="M11144" s="43">
        <v>11.500364211534059</v>
      </c>
      <c r="N11144" s="43">
        <v>5.374114973339938</v>
      </c>
      <c r="O11144" s="43">
        <v>3.9252874607182431</v>
      </c>
      <c r="P11144" s="298"/>
      <c r="Q11144" s="298"/>
      <c r="R11144" s="298">
        <v>11</v>
      </c>
    </row>
    <row r="11145" spans="1:18" ht="24">
      <c r="A11145" s="294">
        <v>414</v>
      </c>
      <c r="B11145" s="291" t="s">
        <v>20374</v>
      </c>
      <c r="C11145" s="295" t="s">
        <v>20375</v>
      </c>
      <c r="D11145" s="296">
        <v>729.17</v>
      </c>
      <c r="E11145" s="296">
        <v>283.02999999999997</v>
      </c>
      <c r="F11145" s="296">
        <v>43.89</v>
      </c>
      <c r="G11145" s="296">
        <v>402.25</v>
      </c>
      <c r="H11145" s="297">
        <v>5026.3900000000003</v>
      </c>
      <c r="I11145" s="297">
        <v>3254.93</v>
      </c>
      <c r="J11145" s="297">
        <v>237.43</v>
      </c>
      <c r="K11145" s="297">
        <v>1534.03</v>
      </c>
      <c r="L11145" s="43">
        <v>6.893303344898996</v>
      </c>
      <c r="M11145" s="43">
        <v>11.500300321520687</v>
      </c>
      <c r="N11145" s="43">
        <v>5.4096605149236732</v>
      </c>
      <c r="O11145" s="43">
        <v>3.8136233685518954</v>
      </c>
      <c r="P11145" s="298"/>
      <c r="Q11145" s="298"/>
      <c r="R11145" s="298">
        <v>11</v>
      </c>
    </row>
    <row r="11146" spans="1:18" ht="24">
      <c r="A11146" s="294">
        <v>415</v>
      </c>
      <c r="B11146" s="291" t="s">
        <v>20376</v>
      </c>
      <c r="C11146" s="295" t="s">
        <v>20377</v>
      </c>
      <c r="D11146" s="296">
        <v>1288.98</v>
      </c>
      <c r="E11146" s="296">
        <v>369.69</v>
      </c>
      <c r="F11146" s="296">
        <v>112.26</v>
      </c>
      <c r="G11146" s="296">
        <v>807.03</v>
      </c>
      <c r="H11146" s="297">
        <v>7901.38</v>
      </c>
      <c r="I11146" s="297">
        <v>4251.59</v>
      </c>
      <c r="J11146" s="297">
        <v>606.23</v>
      </c>
      <c r="K11146" s="297">
        <v>3043.56</v>
      </c>
      <c r="L11146" s="43">
        <v>6.1299477105928721</v>
      </c>
      <c r="M11146" s="43">
        <v>11.500419270199357</v>
      </c>
      <c r="N11146" s="43">
        <v>5.400231605202209</v>
      </c>
      <c r="O11146" s="43">
        <v>3.7713096167428719</v>
      </c>
      <c r="P11146" s="298"/>
      <c r="Q11146" s="298"/>
      <c r="R11146" s="298">
        <v>11</v>
      </c>
    </row>
    <row r="11147" spans="1:18" ht="24">
      <c r="A11147" s="294">
        <v>416</v>
      </c>
      <c r="B11147" s="291" t="s">
        <v>20378</v>
      </c>
      <c r="C11147" s="295" t="s">
        <v>20379</v>
      </c>
      <c r="D11147" s="296">
        <v>1568.87</v>
      </c>
      <c r="E11147" s="296">
        <v>698.19</v>
      </c>
      <c r="F11147" s="296">
        <v>396.25</v>
      </c>
      <c r="G11147" s="296">
        <v>474.43</v>
      </c>
      <c r="H11147" s="297">
        <v>12033.4</v>
      </c>
      <c r="I11147" s="297">
        <v>8029.19</v>
      </c>
      <c r="J11147" s="297">
        <v>2120.4899999999998</v>
      </c>
      <c r="K11147" s="297">
        <v>1883.72</v>
      </c>
      <c r="L11147" s="43">
        <v>7.6701065097809256</v>
      </c>
      <c r="M11147" s="43">
        <v>11.500007161374409</v>
      </c>
      <c r="N11147" s="43">
        <v>5.3513943217665609</v>
      </c>
      <c r="O11147" s="43">
        <v>3.9704909048753239</v>
      </c>
      <c r="P11147" s="298"/>
      <c r="Q11147" s="298"/>
      <c r="R11147" s="298">
        <v>11</v>
      </c>
    </row>
    <row r="11148" spans="1:18" ht="24">
      <c r="A11148" s="294">
        <v>417</v>
      </c>
      <c r="B11148" s="291" t="s">
        <v>20380</v>
      </c>
      <c r="C11148" s="295" t="s">
        <v>20381</v>
      </c>
      <c r="D11148" s="296">
        <v>5310.44</v>
      </c>
      <c r="E11148" s="296">
        <v>1095.9000000000001</v>
      </c>
      <c r="F11148" s="296">
        <v>524.14</v>
      </c>
      <c r="G11148" s="296">
        <v>3690.4</v>
      </c>
      <c r="H11148" s="297">
        <v>29224.98</v>
      </c>
      <c r="I11148" s="297">
        <v>12603.38</v>
      </c>
      <c r="J11148" s="297">
        <v>2801.39</v>
      </c>
      <c r="K11148" s="297">
        <v>13820.21</v>
      </c>
      <c r="L11148" s="43">
        <v>5.5033066939839266</v>
      </c>
      <c r="M11148" s="43">
        <v>11.500483620768316</v>
      </c>
      <c r="N11148" s="43">
        <v>5.3447361391994503</v>
      </c>
      <c r="O11148" s="43">
        <v>3.7449084110123563</v>
      </c>
      <c r="P11148" s="298"/>
      <c r="Q11148" s="298"/>
      <c r="R11148" s="298">
        <v>11</v>
      </c>
    </row>
    <row r="11149" spans="1:18" ht="24">
      <c r="A11149" s="294">
        <v>418</v>
      </c>
      <c r="B11149" s="291" t="s">
        <v>20382</v>
      </c>
      <c r="C11149" s="295" t="s">
        <v>20383</v>
      </c>
      <c r="D11149" s="296">
        <v>8220.4</v>
      </c>
      <c r="E11149" s="296">
        <v>2775</v>
      </c>
      <c r="F11149" s="296">
        <v>3400.64</v>
      </c>
      <c r="G11149" s="296">
        <v>2044.76</v>
      </c>
      <c r="H11149" s="297">
        <v>57774.93</v>
      </c>
      <c r="I11149" s="297">
        <v>31912.5</v>
      </c>
      <c r="J11149" s="297">
        <v>17831.3</v>
      </c>
      <c r="K11149" s="297">
        <v>8031.13</v>
      </c>
      <c r="L11149" s="43">
        <v>7.0282382852415948</v>
      </c>
      <c r="M11149" s="43">
        <v>11.5</v>
      </c>
      <c r="N11149" s="43">
        <v>5.2435129857909102</v>
      </c>
      <c r="O11149" s="43">
        <v>3.927663882313817</v>
      </c>
      <c r="P11149" s="298"/>
      <c r="Q11149" s="298"/>
      <c r="R11149" s="298">
        <v>11</v>
      </c>
    </row>
    <row r="11150" spans="1:18" ht="24">
      <c r="A11150" s="294">
        <v>419</v>
      </c>
      <c r="B11150" s="291" t="s">
        <v>20384</v>
      </c>
      <c r="C11150" s="295" t="s">
        <v>20385</v>
      </c>
      <c r="D11150" s="296">
        <v>6564.78</v>
      </c>
      <c r="E11150" s="296">
        <v>2852.7</v>
      </c>
      <c r="F11150" s="296">
        <v>2335.17</v>
      </c>
      <c r="G11150" s="296">
        <v>1376.91</v>
      </c>
      <c r="H11150" s="297">
        <v>50785.43</v>
      </c>
      <c r="I11150" s="297">
        <v>32806.050000000003</v>
      </c>
      <c r="J11150" s="297">
        <v>12430.91</v>
      </c>
      <c r="K11150" s="297">
        <v>5548.47</v>
      </c>
      <c r="L11150" s="43">
        <v>7.7360444675983056</v>
      </c>
      <c r="M11150" s="43">
        <v>11.500000000000002</v>
      </c>
      <c r="N11150" s="43">
        <v>5.323342626018662</v>
      </c>
      <c r="O11150" s="43">
        <v>4.0296533542497333</v>
      </c>
      <c r="P11150" s="298"/>
      <c r="Q11150" s="298"/>
      <c r="R11150" s="298">
        <v>11</v>
      </c>
    </row>
    <row r="11151" spans="1:18" ht="24">
      <c r="A11151" s="294">
        <v>420</v>
      </c>
      <c r="B11151" s="291" t="s">
        <v>20386</v>
      </c>
      <c r="C11151" s="295" t="s">
        <v>20387</v>
      </c>
      <c r="D11151" s="296">
        <v>3136.06</v>
      </c>
      <c r="E11151" s="296">
        <v>739.38</v>
      </c>
      <c r="F11151" s="296">
        <v>394.47</v>
      </c>
      <c r="G11151" s="296">
        <v>2002.21</v>
      </c>
      <c r="H11151" s="297">
        <v>18162.78</v>
      </c>
      <c r="I11151" s="297">
        <v>8503.18</v>
      </c>
      <c r="J11151" s="297">
        <v>2112.7199999999998</v>
      </c>
      <c r="K11151" s="297">
        <v>7546.88</v>
      </c>
      <c r="L11151" s="43">
        <v>5.7915919976020866</v>
      </c>
      <c r="M11151" s="43">
        <v>11.500419270199357</v>
      </c>
      <c r="N11151" s="43">
        <v>5.3558445509164185</v>
      </c>
      <c r="O11151" s="43">
        <v>3.7692749511789474</v>
      </c>
      <c r="P11151" s="298"/>
      <c r="Q11151" s="298"/>
      <c r="R11151" s="298">
        <v>11</v>
      </c>
    </row>
    <row r="11152" spans="1:18" ht="12.75" customHeight="1">
      <c r="A11152" s="628" t="s">
        <v>20388</v>
      </c>
      <c r="B11152" s="629"/>
      <c r="C11152" s="629"/>
      <c r="D11152" s="629"/>
      <c r="E11152" s="629"/>
      <c r="F11152" s="629"/>
      <c r="G11152" s="629"/>
      <c r="H11152" s="629"/>
      <c r="I11152" s="629"/>
      <c r="J11152" s="629"/>
      <c r="K11152" s="629"/>
      <c r="L11152" s="629"/>
      <c r="M11152" s="629"/>
      <c r="N11152" s="629"/>
      <c r="O11152" s="629"/>
      <c r="P11152" s="629"/>
      <c r="Q11152" s="629"/>
      <c r="R11152" s="629"/>
    </row>
    <row r="11153" spans="1:18" ht="24">
      <c r="A11153" s="294">
        <v>421</v>
      </c>
      <c r="B11153" s="291" t="s">
        <v>20389</v>
      </c>
      <c r="C11153" s="295" t="s">
        <v>20390</v>
      </c>
      <c r="D11153" s="296">
        <v>2786.37</v>
      </c>
      <c r="E11153" s="296">
        <v>1192.4000000000001</v>
      </c>
      <c r="F11153" s="296">
        <v>641.08000000000004</v>
      </c>
      <c r="G11153" s="296">
        <v>952.89</v>
      </c>
      <c r="H11153" s="297">
        <v>20898.29</v>
      </c>
      <c r="I11153" s="297">
        <v>13712.6</v>
      </c>
      <c r="J11153" s="297">
        <v>3401.37</v>
      </c>
      <c r="K11153" s="297">
        <v>3784.32</v>
      </c>
      <c r="L11153" s="43">
        <v>7.5001848282891368</v>
      </c>
      <c r="M11153" s="43">
        <v>11.5</v>
      </c>
      <c r="N11153" s="43">
        <v>5.3056872777188486</v>
      </c>
      <c r="O11153" s="43">
        <v>3.9714132796020531</v>
      </c>
      <c r="P11153" s="298"/>
      <c r="Q11153" s="298"/>
      <c r="R11153" s="298">
        <v>12</v>
      </c>
    </row>
    <row r="11154" spans="1:18" ht="24">
      <c r="A11154" s="294">
        <v>422</v>
      </c>
      <c r="B11154" s="291" t="s">
        <v>20391</v>
      </c>
      <c r="C11154" s="295" t="s">
        <v>20392</v>
      </c>
      <c r="D11154" s="296">
        <v>11967.08</v>
      </c>
      <c r="E11154" s="296">
        <v>5693.43</v>
      </c>
      <c r="F11154" s="296">
        <v>4583.28</v>
      </c>
      <c r="G11154" s="296">
        <v>1690.37</v>
      </c>
      <c r="H11154" s="297">
        <v>96724.53</v>
      </c>
      <c r="I11154" s="297">
        <v>65477.04</v>
      </c>
      <c r="J11154" s="297">
        <v>24055.03</v>
      </c>
      <c r="K11154" s="297">
        <v>7192.46</v>
      </c>
      <c r="L11154" s="43">
        <v>8.082550630563178</v>
      </c>
      <c r="M11154" s="43">
        <v>11.500455788514129</v>
      </c>
      <c r="N11154" s="43">
        <v>5.2484312544727789</v>
      </c>
      <c r="O11154" s="43">
        <v>4.2549619314114668</v>
      </c>
      <c r="P11154" s="298"/>
      <c r="Q11154" s="298"/>
      <c r="R11154" s="298">
        <v>12</v>
      </c>
    </row>
    <row r="11155" spans="1:18" ht="24">
      <c r="A11155" s="294">
        <v>423</v>
      </c>
      <c r="B11155" s="291" t="s">
        <v>20393</v>
      </c>
      <c r="C11155" s="295" t="s">
        <v>20394</v>
      </c>
      <c r="D11155" s="296">
        <v>24148.560000000001</v>
      </c>
      <c r="E11155" s="296">
        <v>9116.07</v>
      </c>
      <c r="F11155" s="296">
        <v>12388.93</v>
      </c>
      <c r="G11155" s="296">
        <v>2643.56</v>
      </c>
      <c r="H11155" s="297">
        <v>181128.99</v>
      </c>
      <c r="I11155" s="297">
        <v>104838.96</v>
      </c>
      <c r="J11155" s="297">
        <v>65023.18</v>
      </c>
      <c r="K11155" s="297">
        <v>11266.85</v>
      </c>
      <c r="L11155" s="43">
        <v>7.5006124588795346</v>
      </c>
      <c r="M11155" s="43">
        <v>11.500455788514131</v>
      </c>
      <c r="N11155" s="43">
        <v>5.2484903861754004</v>
      </c>
      <c r="O11155" s="43">
        <v>4.2619989710844468</v>
      </c>
      <c r="P11155" s="298"/>
      <c r="Q11155" s="298"/>
      <c r="R11155" s="298">
        <v>12</v>
      </c>
    </row>
    <row r="11156" spans="1:18" ht="24">
      <c r="A11156" s="294">
        <v>424</v>
      </c>
      <c r="B11156" s="291" t="s">
        <v>20395</v>
      </c>
      <c r="C11156" s="295" t="s">
        <v>20396</v>
      </c>
      <c r="D11156" s="296">
        <v>1240.58</v>
      </c>
      <c r="E11156" s="296">
        <v>450.71</v>
      </c>
      <c r="F11156" s="296">
        <v>390.16</v>
      </c>
      <c r="G11156" s="296">
        <v>399.71</v>
      </c>
      <c r="H11156" s="297">
        <v>8827.08</v>
      </c>
      <c r="I11156" s="297">
        <v>5183.1400000000003</v>
      </c>
      <c r="J11156" s="297">
        <v>2094.23</v>
      </c>
      <c r="K11156" s="297">
        <v>1549.71</v>
      </c>
      <c r="L11156" s="43">
        <v>7.1152847861484148</v>
      </c>
      <c r="M11156" s="43">
        <v>11.499944531960686</v>
      </c>
      <c r="N11156" s="43">
        <v>5.3676184129587856</v>
      </c>
      <c r="O11156" s="43">
        <v>3.8770858872682696</v>
      </c>
      <c r="P11156" s="298"/>
      <c r="Q11156" s="298"/>
      <c r="R11156" s="298">
        <v>12</v>
      </c>
    </row>
    <row r="11157" spans="1:18" ht="24">
      <c r="A11157" s="294">
        <v>425</v>
      </c>
      <c r="B11157" s="291" t="s">
        <v>20397</v>
      </c>
      <c r="C11157" s="295" t="s">
        <v>20398</v>
      </c>
      <c r="D11157" s="296">
        <v>1546.01</v>
      </c>
      <c r="E11157" s="296">
        <v>641.15</v>
      </c>
      <c r="F11157" s="296">
        <v>501.34</v>
      </c>
      <c r="G11157" s="296">
        <v>403.52</v>
      </c>
      <c r="H11157" s="297">
        <v>11652.21</v>
      </c>
      <c r="I11157" s="297">
        <v>7373.2</v>
      </c>
      <c r="J11157" s="297">
        <v>2685.49</v>
      </c>
      <c r="K11157" s="297">
        <v>1593.52</v>
      </c>
      <c r="L11157" s="43">
        <v>7.536956423309034</v>
      </c>
      <c r="M11157" s="43">
        <v>11.499961007564533</v>
      </c>
      <c r="N11157" s="43">
        <v>5.3566242470179919</v>
      </c>
      <c r="O11157" s="43">
        <v>3.9490483743061064</v>
      </c>
      <c r="P11157" s="298"/>
      <c r="Q11157" s="298"/>
      <c r="R11157" s="298">
        <v>12</v>
      </c>
    </row>
    <row r="11158" spans="1:18" ht="24">
      <c r="A11158" s="294">
        <v>426</v>
      </c>
      <c r="B11158" s="291" t="s">
        <v>20399</v>
      </c>
      <c r="C11158" s="295" t="s">
        <v>20400</v>
      </c>
      <c r="D11158" s="296">
        <v>7404.15</v>
      </c>
      <c r="E11158" s="296">
        <v>2676.68</v>
      </c>
      <c r="F11158" s="296">
        <v>3107.16</v>
      </c>
      <c r="G11158" s="296">
        <v>1620.31</v>
      </c>
      <c r="H11158" s="297">
        <v>53929.4</v>
      </c>
      <c r="I11158" s="297">
        <v>30783.040000000001</v>
      </c>
      <c r="J11158" s="297">
        <v>16733.04</v>
      </c>
      <c r="K11158" s="297">
        <v>6413.32</v>
      </c>
      <c r="L11158" s="43">
        <v>7.283671994759696</v>
      </c>
      <c r="M11158" s="43">
        <v>11.500455788514131</v>
      </c>
      <c r="N11158" s="43">
        <v>5.3853164948055463</v>
      </c>
      <c r="O11158" s="43">
        <v>3.958082095401497</v>
      </c>
      <c r="P11158" s="298"/>
      <c r="Q11158" s="298"/>
      <c r="R11158" s="298">
        <v>12</v>
      </c>
    </row>
    <row r="11159" spans="1:18" ht="24">
      <c r="A11159" s="294">
        <v>427</v>
      </c>
      <c r="B11159" s="291" t="s">
        <v>20401</v>
      </c>
      <c r="C11159" s="295" t="s">
        <v>20402</v>
      </c>
      <c r="D11159" s="296">
        <v>730.89</v>
      </c>
      <c r="E11159" s="296">
        <v>288.10000000000002</v>
      </c>
      <c r="F11159" s="296">
        <v>105.94</v>
      </c>
      <c r="G11159" s="296">
        <v>336.85</v>
      </c>
      <c r="H11159" s="297">
        <v>5189.3500000000004</v>
      </c>
      <c r="I11159" s="297">
        <v>3313.27</v>
      </c>
      <c r="J11159" s="297">
        <v>573.22</v>
      </c>
      <c r="K11159" s="297">
        <v>1302.8599999999999</v>
      </c>
      <c r="L11159" s="43">
        <v>7.1000424140431537</v>
      </c>
      <c r="M11159" s="43">
        <v>11.500416522040958</v>
      </c>
      <c r="N11159" s="43">
        <v>5.4107985652255994</v>
      </c>
      <c r="O11159" s="43">
        <v>3.8677749740240457</v>
      </c>
      <c r="P11159" s="298"/>
      <c r="Q11159" s="298"/>
      <c r="R11159" s="298">
        <v>12</v>
      </c>
    </row>
    <row r="11160" spans="1:18" ht="24">
      <c r="A11160" s="294">
        <v>428</v>
      </c>
      <c r="B11160" s="291" t="s">
        <v>20403</v>
      </c>
      <c r="C11160" s="295" t="s">
        <v>20404</v>
      </c>
      <c r="D11160" s="296">
        <v>634.29</v>
      </c>
      <c r="E11160" s="296">
        <v>251.69</v>
      </c>
      <c r="F11160" s="296">
        <v>46.48</v>
      </c>
      <c r="G11160" s="296">
        <v>336.12</v>
      </c>
      <c r="H11160" s="297">
        <v>4440.41</v>
      </c>
      <c r="I11160" s="297">
        <v>2894.5</v>
      </c>
      <c r="J11160" s="297">
        <v>251.44</v>
      </c>
      <c r="K11160" s="297">
        <v>1294.47</v>
      </c>
      <c r="L11160" s="43">
        <v>7.0005990950511601</v>
      </c>
      <c r="M11160" s="43">
        <v>11.500258254201597</v>
      </c>
      <c r="N11160" s="43">
        <v>5.4096385542168681</v>
      </c>
      <c r="O11160" s="43">
        <v>3.8512138521956443</v>
      </c>
      <c r="P11160" s="298"/>
      <c r="Q11160" s="298"/>
      <c r="R11160" s="298">
        <v>12</v>
      </c>
    </row>
    <row r="11161" spans="1:18" ht="24">
      <c r="A11161" s="294">
        <v>429</v>
      </c>
      <c r="B11161" s="291" t="s">
        <v>20405</v>
      </c>
      <c r="C11161" s="295" t="s">
        <v>20406</v>
      </c>
      <c r="D11161" s="296">
        <v>539.70000000000005</v>
      </c>
      <c r="E11161" s="296">
        <v>243.9</v>
      </c>
      <c r="F11161" s="296">
        <v>27.89</v>
      </c>
      <c r="G11161" s="296">
        <v>267.91000000000003</v>
      </c>
      <c r="H11161" s="297">
        <v>3986.4</v>
      </c>
      <c r="I11161" s="297">
        <v>2804.85</v>
      </c>
      <c r="J11161" s="297">
        <v>150.88</v>
      </c>
      <c r="K11161" s="297">
        <v>1030.67</v>
      </c>
      <c r="L11161" s="43">
        <v>7.3863257365202886</v>
      </c>
      <c r="M11161" s="43">
        <v>11.5</v>
      </c>
      <c r="N11161" s="43">
        <v>5.409824309788454</v>
      </c>
      <c r="O11161" s="43">
        <v>3.847075510432608</v>
      </c>
      <c r="P11161" s="298"/>
      <c r="Q11161" s="298"/>
      <c r="R11161" s="298">
        <v>12</v>
      </c>
    </row>
    <row r="11162" spans="1:18" ht="12.75" customHeight="1">
      <c r="A11162" s="628" t="s">
        <v>20407</v>
      </c>
      <c r="B11162" s="629"/>
      <c r="C11162" s="629"/>
      <c r="D11162" s="629"/>
      <c r="E11162" s="629"/>
      <c r="F11162" s="629"/>
      <c r="G11162" s="629"/>
      <c r="H11162" s="629"/>
      <c r="I11162" s="629"/>
      <c r="J11162" s="629"/>
      <c r="K11162" s="629"/>
      <c r="L11162" s="629"/>
      <c r="M11162" s="629"/>
      <c r="N11162" s="629"/>
      <c r="O11162" s="629"/>
      <c r="P11162" s="629"/>
      <c r="Q11162" s="629"/>
      <c r="R11162" s="629"/>
    </row>
    <row r="11163" spans="1:18" ht="24">
      <c r="A11163" s="294">
        <v>430</v>
      </c>
      <c r="B11163" s="291" t="s">
        <v>20408</v>
      </c>
      <c r="C11163" s="295" t="s">
        <v>20409</v>
      </c>
      <c r="D11163" s="296">
        <v>15114.8</v>
      </c>
      <c r="E11163" s="296">
        <v>4054.16</v>
      </c>
      <c r="F11163" s="296">
        <v>7831.68</v>
      </c>
      <c r="G11163" s="296">
        <v>3228.96</v>
      </c>
      <c r="H11163" s="297">
        <v>105191.25</v>
      </c>
      <c r="I11163" s="297">
        <v>46622.84</v>
      </c>
      <c r="J11163" s="297">
        <v>42512.35</v>
      </c>
      <c r="K11163" s="297">
        <v>16056.06</v>
      </c>
      <c r="L11163" s="43">
        <v>6.9594867282398711</v>
      </c>
      <c r="M11163" s="43">
        <v>11.5</v>
      </c>
      <c r="N11163" s="43">
        <v>5.4282542187627687</v>
      </c>
      <c r="O11163" s="43">
        <v>4.9725174669243346</v>
      </c>
      <c r="P11163" s="298"/>
      <c r="Q11163" s="298"/>
      <c r="R11163" s="298">
        <v>13</v>
      </c>
    </row>
    <row r="11164" spans="1:18" ht="24">
      <c r="A11164" s="294">
        <v>431</v>
      </c>
      <c r="B11164" s="291" t="s">
        <v>20410</v>
      </c>
      <c r="C11164" s="295" t="s">
        <v>20411</v>
      </c>
      <c r="D11164" s="296">
        <v>7586.77</v>
      </c>
      <c r="E11164" s="296">
        <v>2027.08</v>
      </c>
      <c r="F11164" s="296">
        <v>3653.06</v>
      </c>
      <c r="G11164" s="296">
        <v>1906.63</v>
      </c>
      <c r="H11164" s="297">
        <v>51359.26</v>
      </c>
      <c r="I11164" s="297">
        <v>23311.42</v>
      </c>
      <c r="J11164" s="297">
        <v>19807.97</v>
      </c>
      <c r="K11164" s="297">
        <v>8239.8700000000008</v>
      </c>
      <c r="L11164" s="43">
        <v>6.769581785133858</v>
      </c>
      <c r="M11164" s="43">
        <v>11.5</v>
      </c>
      <c r="N11164" s="43">
        <v>5.4222952812162957</v>
      </c>
      <c r="O11164" s="43">
        <v>4.3216932493457048</v>
      </c>
      <c r="P11164" s="298"/>
      <c r="Q11164" s="298"/>
      <c r="R11164" s="298">
        <v>13</v>
      </c>
    </row>
    <row r="11165" spans="1:18" ht="36">
      <c r="A11165" s="294">
        <v>432</v>
      </c>
      <c r="B11165" s="291" t="s">
        <v>20412</v>
      </c>
      <c r="C11165" s="295" t="s">
        <v>20413</v>
      </c>
      <c r="D11165" s="296">
        <v>4742.17</v>
      </c>
      <c r="E11165" s="296">
        <v>1272.52</v>
      </c>
      <c r="F11165" s="296">
        <v>1733.26</v>
      </c>
      <c r="G11165" s="296">
        <v>1736.39</v>
      </c>
      <c r="H11165" s="297">
        <v>31161.18</v>
      </c>
      <c r="I11165" s="297">
        <v>14634.56</v>
      </c>
      <c r="J11165" s="297">
        <v>9339.9</v>
      </c>
      <c r="K11165" s="297">
        <v>7186.72</v>
      </c>
      <c r="L11165" s="43">
        <v>6.5710803282041761</v>
      </c>
      <c r="M11165" s="43">
        <v>11.500455788514129</v>
      </c>
      <c r="N11165" s="43">
        <v>5.3886318267311308</v>
      </c>
      <c r="O11165" s="43">
        <v>4.1388858493771563</v>
      </c>
      <c r="P11165" s="298"/>
      <c r="Q11165" s="298"/>
      <c r="R11165" s="298">
        <v>13</v>
      </c>
    </row>
    <row r="11166" spans="1:18" ht="24">
      <c r="A11166" s="294">
        <v>433</v>
      </c>
      <c r="B11166" s="291" t="s">
        <v>20414</v>
      </c>
      <c r="C11166" s="295" t="s">
        <v>20415</v>
      </c>
      <c r="D11166" s="296">
        <v>2196.29</v>
      </c>
      <c r="E11166" s="296">
        <v>757.53</v>
      </c>
      <c r="F11166" s="296">
        <v>761.18</v>
      </c>
      <c r="G11166" s="296">
        <v>677.58</v>
      </c>
      <c r="H11166" s="297">
        <v>15432.46</v>
      </c>
      <c r="I11166" s="297">
        <v>8711.57</v>
      </c>
      <c r="J11166" s="297">
        <v>4078.55</v>
      </c>
      <c r="K11166" s="297">
        <v>2642.34</v>
      </c>
      <c r="L11166" s="43">
        <v>7.0266039548511348</v>
      </c>
      <c r="M11166" s="43">
        <v>11.499966998006679</v>
      </c>
      <c r="N11166" s="43">
        <v>5.3581938569063832</v>
      </c>
      <c r="O11166" s="43">
        <v>3.8996723634109625</v>
      </c>
      <c r="P11166" s="298"/>
      <c r="Q11166" s="298"/>
      <c r="R11166" s="298">
        <v>13</v>
      </c>
    </row>
    <row r="11167" spans="1:18" ht="24">
      <c r="A11167" s="294">
        <v>434</v>
      </c>
      <c r="B11167" s="291" t="s">
        <v>20416</v>
      </c>
      <c r="C11167" s="295" t="s">
        <v>20417</v>
      </c>
      <c r="D11167" s="296">
        <v>1847.2</v>
      </c>
      <c r="E11167" s="296">
        <v>553.71</v>
      </c>
      <c r="F11167" s="296">
        <v>621.17999999999995</v>
      </c>
      <c r="G11167" s="296">
        <v>672.31</v>
      </c>
      <c r="H11167" s="297">
        <v>12290.99</v>
      </c>
      <c r="I11167" s="297">
        <v>6367.89</v>
      </c>
      <c r="J11167" s="297">
        <v>3338.11</v>
      </c>
      <c r="K11167" s="297">
        <v>2584.9899999999998</v>
      </c>
      <c r="L11167" s="43">
        <v>6.6538490688609784</v>
      </c>
      <c r="M11167" s="43">
        <v>11.500406349894348</v>
      </c>
      <c r="N11167" s="43">
        <v>5.3738207926848904</v>
      </c>
      <c r="O11167" s="43">
        <v>3.8449376031890052</v>
      </c>
      <c r="P11167" s="298"/>
      <c r="Q11167" s="298"/>
      <c r="R11167" s="298">
        <v>13</v>
      </c>
    </row>
    <row r="11168" spans="1:18" ht="24">
      <c r="A11168" s="294">
        <v>435</v>
      </c>
      <c r="B11168" s="291" t="s">
        <v>20418</v>
      </c>
      <c r="C11168" s="295" t="s">
        <v>20419</v>
      </c>
      <c r="D11168" s="296">
        <v>1291.77</v>
      </c>
      <c r="E11168" s="296">
        <v>498.64</v>
      </c>
      <c r="F11168" s="296">
        <v>447.31</v>
      </c>
      <c r="G11168" s="296">
        <v>345.82</v>
      </c>
      <c r="H11168" s="297">
        <v>9540.0300000000007</v>
      </c>
      <c r="I11168" s="297">
        <v>5734.36</v>
      </c>
      <c r="J11168" s="297">
        <v>2412.67</v>
      </c>
      <c r="K11168" s="297">
        <v>1393</v>
      </c>
      <c r="L11168" s="43">
        <v>7.3852388583106903</v>
      </c>
      <c r="M11168" s="43">
        <v>11.5</v>
      </c>
      <c r="N11168" s="43">
        <v>5.3937314166908861</v>
      </c>
      <c r="O11168" s="43">
        <v>4.0281071077439128</v>
      </c>
      <c r="P11168" s="298"/>
      <c r="Q11168" s="298"/>
      <c r="R11168" s="298">
        <v>13</v>
      </c>
    </row>
    <row r="11169" spans="1:18" ht="24">
      <c r="A11169" s="294">
        <v>436</v>
      </c>
      <c r="B11169" s="291" t="s">
        <v>20420</v>
      </c>
      <c r="C11169" s="295" t="s">
        <v>20421</v>
      </c>
      <c r="D11169" s="296">
        <v>944.93</v>
      </c>
      <c r="E11169" s="296">
        <v>316.52999999999997</v>
      </c>
      <c r="F11169" s="296">
        <v>355.51</v>
      </c>
      <c r="G11169" s="296">
        <v>272.89</v>
      </c>
      <c r="H11169" s="297">
        <v>6633.94</v>
      </c>
      <c r="I11169" s="297">
        <v>3640.07</v>
      </c>
      <c r="J11169" s="297">
        <v>1915.64</v>
      </c>
      <c r="K11169" s="297">
        <v>1078.23</v>
      </c>
      <c r="L11169" s="43">
        <v>7.0205623696993431</v>
      </c>
      <c r="M11169" s="43">
        <v>11.499921018544848</v>
      </c>
      <c r="N11169" s="43">
        <v>5.3884278923237048</v>
      </c>
      <c r="O11169" s="43">
        <v>3.951152479020851</v>
      </c>
      <c r="P11169" s="298"/>
      <c r="Q11169" s="298"/>
      <c r="R11169" s="298">
        <v>13</v>
      </c>
    </row>
    <row r="11170" spans="1:18" ht="24">
      <c r="A11170" s="294">
        <v>437</v>
      </c>
      <c r="B11170" s="291" t="s">
        <v>20422</v>
      </c>
      <c r="C11170" s="295" t="s">
        <v>20423</v>
      </c>
      <c r="D11170" s="296">
        <v>691.36</v>
      </c>
      <c r="E11170" s="296">
        <v>209.53</v>
      </c>
      <c r="F11170" s="296">
        <v>80.099999999999994</v>
      </c>
      <c r="G11170" s="296">
        <v>401.73</v>
      </c>
      <c r="H11170" s="297">
        <v>4368.1499999999996</v>
      </c>
      <c r="I11170" s="297">
        <v>2409.66</v>
      </c>
      <c r="J11170" s="297">
        <v>433.01</v>
      </c>
      <c r="K11170" s="297">
        <v>1525.48</v>
      </c>
      <c r="L11170" s="43">
        <v>6.3181989122888211</v>
      </c>
      <c r="M11170" s="43">
        <v>11.500310218107192</v>
      </c>
      <c r="N11170" s="43">
        <v>5.4058676654182278</v>
      </c>
      <c r="O11170" s="43">
        <v>3.7972767779354291</v>
      </c>
      <c r="P11170" s="298"/>
      <c r="Q11170" s="298"/>
      <c r="R11170" s="298">
        <v>13</v>
      </c>
    </row>
    <row r="11171" spans="1:18" ht="12.75" customHeight="1">
      <c r="A11171" s="628" t="s">
        <v>20424</v>
      </c>
      <c r="B11171" s="629"/>
      <c r="C11171" s="629"/>
      <c r="D11171" s="629"/>
      <c r="E11171" s="629"/>
      <c r="F11171" s="629"/>
      <c r="G11171" s="629"/>
      <c r="H11171" s="629"/>
      <c r="I11171" s="629"/>
      <c r="J11171" s="629"/>
      <c r="K11171" s="629"/>
      <c r="L11171" s="629"/>
      <c r="M11171" s="629"/>
      <c r="N11171" s="629"/>
      <c r="O11171" s="629"/>
      <c r="P11171" s="629"/>
      <c r="Q11171" s="629"/>
      <c r="R11171" s="629"/>
    </row>
    <row r="11172" spans="1:18" ht="24">
      <c r="A11172" s="294">
        <v>438</v>
      </c>
      <c r="B11172" s="291" t="s">
        <v>20425</v>
      </c>
      <c r="C11172" s="295" t="s">
        <v>20426</v>
      </c>
      <c r="D11172" s="296">
        <v>36037.660000000003</v>
      </c>
      <c r="E11172" s="296">
        <v>11555.1</v>
      </c>
      <c r="F11172" s="296">
        <v>20891.330000000002</v>
      </c>
      <c r="G11172" s="296">
        <v>3591.23</v>
      </c>
      <c r="H11172" s="297">
        <v>258658.08</v>
      </c>
      <c r="I11172" s="297">
        <v>132883.65</v>
      </c>
      <c r="J11172" s="297">
        <v>110600.06</v>
      </c>
      <c r="K11172" s="297">
        <v>15174.37</v>
      </c>
      <c r="L11172" s="43">
        <v>7.1774382687444183</v>
      </c>
      <c r="M11172" s="43">
        <v>11.5</v>
      </c>
      <c r="N11172" s="43">
        <v>5.2940650499513433</v>
      </c>
      <c r="O11172" s="43">
        <v>4.2253963126839551</v>
      </c>
      <c r="P11172" s="298"/>
      <c r="Q11172" s="298"/>
      <c r="R11172" s="298">
        <v>14</v>
      </c>
    </row>
    <row r="11173" spans="1:18" ht="24">
      <c r="A11173" s="294">
        <v>439</v>
      </c>
      <c r="B11173" s="291" t="s">
        <v>20427</v>
      </c>
      <c r="C11173" s="295" t="s">
        <v>20428</v>
      </c>
      <c r="D11173" s="296">
        <v>6843.35</v>
      </c>
      <c r="E11173" s="296">
        <v>2852.2</v>
      </c>
      <c r="F11173" s="296">
        <v>2356.62</v>
      </c>
      <c r="G11173" s="296">
        <v>1634.53</v>
      </c>
      <c r="H11173" s="297">
        <v>51761</v>
      </c>
      <c r="I11173" s="297">
        <v>32801.599999999999</v>
      </c>
      <c r="J11173" s="297">
        <v>12411.85</v>
      </c>
      <c r="K11173" s="297">
        <v>6547.55</v>
      </c>
      <c r="L11173" s="43">
        <v>7.5636932204256686</v>
      </c>
      <c r="M11173" s="43">
        <v>11.500455788514129</v>
      </c>
      <c r="N11173" s="43">
        <v>5.2668016056895048</v>
      </c>
      <c r="O11173" s="43">
        <v>4.0057692425345515</v>
      </c>
      <c r="P11173" s="298"/>
      <c r="Q11173" s="298"/>
      <c r="R11173" s="298">
        <v>14</v>
      </c>
    </row>
    <row r="11174" spans="1:18" ht="24">
      <c r="A11174" s="294">
        <v>440</v>
      </c>
      <c r="B11174" s="291" t="s">
        <v>20429</v>
      </c>
      <c r="C11174" s="295" t="s">
        <v>20430</v>
      </c>
      <c r="D11174" s="296">
        <v>3973.5</v>
      </c>
      <c r="E11174" s="296">
        <v>1360.28</v>
      </c>
      <c r="F11174" s="296">
        <v>1144.57</v>
      </c>
      <c r="G11174" s="296">
        <v>1468.65</v>
      </c>
      <c r="H11174" s="297">
        <v>27325.94</v>
      </c>
      <c r="I11174" s="297">
        <v>15643.84</v>
      </c>
      <c r="J11174" s="297">
        <v>6022.55</v>
      </c>
      <c r="K11174" s="297">
        <v>5659.55</v>
      </c>
      <c r="L11174" s="43">
        <v>6.877045425946898</v>
      </c>
      <c r="M11174" s="43">
        <v>11.500455788514129</v>
      </c>
      <c r="N11174" s="43">
        <v>5.2618450597167499</v>
      </c>
      <c r="O11174" s="43">
        <v>3.8535730092261598</v>
      </c>
      <c r="P11174" s="298"/>
      <c r="Q11174" s="298"/>
      <c r="R11174" s="298">
        <v>14</v>
      </c>
    </row>
    <row r="11175" spans="1:18" ht="24">
      <c r="A11175" s="294">
        <v>441</v>
      </c>
      <c r="B11175" s="291" t="s">
        <v>20431</v>
      </c>
      <c r="C11175" s="295" t="s">
        <v>20432</v>
      </c>
      <c r="D11175" s="296">
        <v>1772.73</v>
      </c>
      <c r="E11175" s="296">
        <v>563.35</v>
      </c>
      <c r="F11175" s="296">
        <v>477.59</v>
      </c>
      <c r="G11175" s="296">
        <v>731.79</v>
      </c>
      <c r="H11175" s="297">
        <v>11929.5</v>
      </c>
      <c r="I11175" s="297">
        <v>6478.74</v>
      </c>
      <c r="J11175" s="297">
        <v>2613.56</v>
      </c>
      <c r="K11175" s="297">
        <v>2837.2</v>
      </c>
      <c r="L11175" s="43">
        <v>6.7294511854597143</v>
      </c>
      <c r="M11175" s="43">
        <v>11.500381645513446</v>
      </c>
      <c r="N11175" s="43">
        <v>5.4723926380368102</v>
      </c>
      <c r="O11175" s="43">
        <v>3.8770685579196216</v>
      </c>
      <c r="P11175" s="298"/>
      <c r="Q11175" s="298"/>
      <c r="R11175" s="298">
        <v>14</v>
      </c>
    </row>
    <row r="11176" spans="1:18" ht="24">
      <c r="A11176" s="294">
        <v>442</v>
      </c>
      <c r="B11176" s="291" t="s">
        <v>20433</v>
      </c>
      <c r="C11176" s="295" t="s">
        <v>20434</v>
      </c>
      <c r="D11176" s="296">
        <v>1005.27</v>
      </c>
      <c r="E11176" s="296">
        <v>349.15</v>
      </c>
      <c r="F11176" s="296">
        <v>192.21</v>
      </c>
      <c r="G11176" s="296">
        <v>463.91</v>
      </c>
      <c r="H11176" s="297">
        <v>6826.11</v>
      </c>
      <c r="I11176" s="297">
        <v>4015.34</v>
      </c>
      <c r="J11176" s="297">
        <v>1038.4100000000001</v>
      </c>
      <c r="K11176" s="297">
        <v>1772.36</v>
      </c>
      <c r="L11176" s="43">
        <v>6.7903249873168399</v>
      </c>
      <c r="M11176" s="43">
        <v>11.500329371330375</v>
      </c>
      <c r="N11176" s="43">
        <v>5.4024764580406845</v>
      </c>
      <c r="O11176" s="43">
        <v>3.8204824211592761</v>
      </c>
      <c r="P11176" s="298"/>
      <c r="Q11176" s="298"/>
      <c r="R11176" s="298">
        <v>14</v>
      </c>
    </row>
    <row r="11177" spans="1:18" ht="24">
      <c r="A11177" s="294">
        <v>443</v>
      </c>
      <c r="B11177" s="291" t="s">
        <v>20435</v>
      </c>
      <c r="C11177" s="295" t="s">
        <v>20436</v>
      </c>
      <c r="D11177" s="296">
        <v>1195.8800000000001</v>
      </c>
      <c r="E11177" s="296">
        <v>449.86</v>
      </c>
      <c r="F11177" s="296">
        <v>342.04</v>
      </c>
      <c r="G11177" s="296">
        <v>403.98</v>
      </c>
      <c r="H11177" s="297">
        <v>8597.31</v>
      </c>
      <c r="I11177" s="297">
        <v>5173.3900000000003</v>
      </c>
      <c r="J11177" s="297">
        <v>1836.78</v>
      </c>
      <c r="K11177" s="297">
        <v>1587.14</v>
      </c>
      <c r="L11177" s="43">
        <v>7.189107602769508</v>
      </c>
      <c r="M11177" s="43">
        <v>11.5</v>
      </c>
      <c r="N11177" s="43">
        <v>5.3700736755934972</v>
      </c>
      <c r="O11177" s="43">
        <v>3.9287588494479926</v>
      </c>
      <c r="P11177" s="298"/>
      <c r="Q11177" s="298"/>
      <c r="R11177" s="298">
        <v>14</v>
      </c>
    </row>
    <row r="11178" spans="1:18" ht="24">
      <c r="A11178" s="294">
        <v>444</v>
      </c>
      <c r="B11178" s="291" t="s">
        <v>20437</v>
      </c>
      <c r="C11178" s="295" t="s">
        <v>20438</v>
      </c>
      <c r="D11178" s="296">
        <v>964.25</v>
      </c>
      <c r="E11178" s="296">
        <v>365.31</v>
      </c>
      <c r="F11178" s="296">
        <v>199.5</v>
      </c>
      <c r="G11178" s="296">
        <v>399.44</v>
      </c>
      <c r="H11178" s="297">
        <v>6820.87</v>
      </c>
      <c r="I11178" s="297">
        <v>4201.04</v>
      </c>
      <c r="J11178" s="297">
        <v>1077.1500000000001</v>
      </c>
      <c r="K11178" s="297">
        <v>1542.68</v>
      </c>
      <c r="L11178" s="43">
        <v>7.0737568058076228</v>
      </c>
      <c r="M11178" s="43">
        <v>11.499931564972215</v>
      </c>
      <c r="N11178" s="43">
        <v>5.3992481203007525</v>
      </c>
      <c r="O11178" s="43">
        <v>3.8621069497296214</v>
      </c>
      <c r="P11178" s="298"/>
      <c r="Q11178" s="298"/>
      <c r="R11178" s="298">
        <v>14</v>
      </c>
    </row>
    <row r="11179" spans="1:18" ht="24">
      <c r="A11179" s="294">
        <v>445</v>
      </c>
      <c r="B11179" s="291" t="s">
        <v>20439</v>
      </c>
      <c r="C11179" s="295" t="s">
        <v>20440</v>
      </c>
      <c r="D11179" s="296">
        <v>617.69000000000005</v>
      </c>
      <c r="E11179" s="296">
        <v>272.95999999999998</v>
      </c>
      <c r="F11179" s="296">
        <v>75.47</v>
      </c>
      <c r="G11179" s="296">
        <v>269.26</v>
      </c>
      <c r="H11179" s="297">
        <v>4591.5200000000004</v>
      </c>
      <c r="I11179" s="297">
        <v>3139.09</v>
      </c>
      <c r="J11179" s="297">
        <v>408.35</v>
      </c>
      <c r="K11179" s="297">
        <v>1044.08</v>
      </c>
      <c r="L11179" s="43">
        <v>7.4333727274199033</v>
      </c>
      <c r="M11179" s="43">
        <v>11.500183177022276</v>
      </c>
      <c r="N11179" s="43">
        <v>5.4107592420829471</v>
      </c>
      <c r="O11179" s="43">
        <v>3.8775904330386983</v>
      </c>
      <c r="P11179" s="298"/>
      <c r="Q11179" s="298"/>
      <c r="R11179" s="298">
        <v>14</v>
      </c>
    </row>
    <row r="11180" spans="1:18" ht="24">
      <c r="A11180" s="294">
        <v>446</v>
      </c>
      <c r="B11180" s="291" t="s">
        <v>20441</v>
      </c>
      <c r="C11180" s="295" t="s">
        <v>20442</v>
      </c>
      <c r="D11180" s="296">
        <v>6321.96</v>
      </c>
      <c r="E11180" s="296">
        <v>2051.39</v>
      </c>
      <c r="F11180" s="296">
        <v>1242.22</v>
      </c>
      <c r="G11180" s="296">
        <v>3028.35</v>
      </c>
      <c r="H11180" s="297">
        <v>41651.4</v>
      </c>
      <c r="I11180" s="297">
        <v>23591.919999999998</v>
      </c>
      <c r="J11180" s="297">
        <v>6525.71</v>
      </c>
      <c r="K11180" s="297">
        <v>11533.77</v>
      </c>
      <c r="L11180" s="43">
        <v>6.5883681643034757</v>
      </c>
      <c r="M11180" s="43">
        <v>11.500455788514129</v>
      </c>
      <c r="N11180" s="43">
        <v>5.2532643171096902</v>
      </c>
      <c r="O11180" s="43">
        <v>3.8085987418891478</v>
      </c>
      <c r="P11180" s="298"/>
      <c r="Q11180" s="298"/>
      <c r="R11180" s="298">
        <v>14</v>
      </c>
    </row>
    <row r="11181" spans="1:18" ht="12.75" customHeight="1">
      <c r="A11181" s="628" t="s">
        <v>20443</v>
      </c>
      <c r="B11181" s="629"/>
      <c r="C11181" s="629"/>
      <c r="D11181" s="629"/>
      <c r="E11181" s="629"/>
      <c r="F11181" s="629"/>
      <c r="G11181" s="629"/>
      <c r="H11181" s="629"/>
      <c r="I11181" s="629"/>
      <c r="J11181" s="629"/>
      <c r="K11181" s="629"/>
      <c r="L11181" s="629"/>
      <c r="M11181" s="629"/>
      <c r="N11181" s="629"/>
      <c r="O11181" s="629"/>
      <c r="P11181" s="629"/>
      <c r="Q11181" s="629"/>
      <c r="R11181" s="629"/>
    </row>
    <row r="11182" spans="1:18" ht="24">
      <c r="A11182" s="294">
        <v>447</v>
      </c>
      <c r="B11182" s="291" t="s">
        <v>20444</v>
      </c>
      <c r="C11182" s="295" t="s">
        <v>20445</v>
      </c>
      <c r="D11182" s="296">
        <v>1847.89</v>
      </c>
      <c r="E11182" s="296">
        <v>664.78</v>
      </c>
      <c r="F11182" s="296">
        <v>374.14</v>
      </c>
      <c r="G11182" s="296">
        <v>808.97</v>
      </c>
      <c r="H11182" s="297">
        <v>12831.88</v>
      </c>
      <c r="I11182" s="297">
        <v>7645.3</v>
      </c>
      <c r="J11182" s="297">
        <v>2009.08</v>
      </c>
      <c r="K11182" s="297">
        <v>3177.5</v>
      </c>
      <c r="L11182" s="43">
        <v>6.9440713462381414</v>
      </c>
      <c r="M11182" s="43">
        <v>11.500496404825657</v>
      </c>
      <c r="N11182" s="43">
        <v>5.3698615491527235</v>
      </c>
      <c r="O11182" s="43">
        <v>3.9278341594867547</v>
      </c>
      <c r="P11182" s="298"/>
      <c r="Q11182" s="298"/>
      <c r="R11182" s="298">
        <v>15</v>
      </c>
    </row>
    <row r="11183" spans="1:18" ht="24">
      <c r="A11183" s="294">
        <v>448</v>
      </c>
      <c r="B11183" s="291" t="s">
        <v>20446</v>
      </c>
      <c r="C11183" s="295" t="s">
        <v>20447</v>
      </c>
      <c r="D11183" s="296">
        <v>4601.51</v>
      </c>
      <c r="E11183" s="296">
        <v>1491.92</v>
      </c>
      <c r="F11183" s="296">
        <v>1014.86</v>
      </c>
      <c r="G11183" s="296">
        <v>2094.73</v>
      </c>
      <c r="H11183" s="297">
        <v>30604.82</v>
      </c>
      <c r="I11183" s="297">
        <v>17157.759999999998</v>
      </c>
      <c r="J11183" s="297">
        <v>5389.9</v>
      </c>
      <c r="K11183" s="297">
        <v>8057.16</v>
      </c>
      <c r="L11183" s="43">
        <v>6.6510384634609068</v>
      </c>
      <c r="M11183" s="43">
        <v>11.500455788514127</v>
      </c>
      <c r="N11183" s="43">
        <v>5.3109788542261986</v>
      </c>
      <c r="O11183" s="43">
        <v>3.8463954781761851</v>
      </c>
      <c r="P11183" s="298"/>
      <c r="Q11183" s="298"/>
      <c r="R11183" s="298">
        <v>15</v>
      </c>
    </row>
    <row r="11184" spans="1:18" ht="24">
      <c r="A11184" s="294">
        <v>449</v>
      </c>
      <c r="B11184" s="291" t="s">
        <v>20448</v>
      </c>
      <c r="C11184" s="295" t="s">
        <v>20449</v>
      </c>
      <c r="D11184" s="296">
        <v>1896.09</v>
      </c>
      <c r="E11184" s="296">
        <v>764.61</v>
      </c>
      <c r="F11184" s="296">
        <v>392.64</v>
      </c>
      <c r="G11184" s="296">
        <v>738.84</v>
      </c>
      <c r="H11184" s="297">
        <v>13808.27</v>
      </c>
      <c r="I11184" s="297">
        <v>8793.35</v>
      </c>
      <c r="J11184" s="297">
        <v>2104.9699999999998</v>
      </c>
      <c r="K11184" s="297">
        <v>2909.95</v>
      </c>
      <c r="L11184" s="43">
        <v>7.2824971388488953</v>
      </c>
      <c r="M11184" s="43">
        <v>11.500438131858072</v>
      </c>
      <c r="N11184" s="43">
        <v>5.3610686634066829</v>
      </c>
      <c r="O11184" s="43">
        <v>3.9385387905365161</v>
      </c>
      <c r="P11184" s="298"/>
      <c r="Q11184" s="298"/>
      <c r="R11184" s="298">
        <v>15</v>
      </c>
    </row>
    <row r="11185" spans="1:18" ht="24">
      <c r="A11185" s="294">
        <v>450</v>
      </c>
      <c r="B11185" s="291" t="s">
        <v>20450</v>
      </c>
      <c r="C11185" s="295" t="s">
        <v>20451</v>
      </c>
      <c r="D11185" s="296">
        <v>3333.19</v>
      </c>
      <c r="E11185" s="296">
        <v>1355</v>
      </c>
      <c r="F11185" s="296">
        <v>980.54</v>
      </c>
      <c r="G11185" s="296">
        <v>997.65</v>
      </c>
      <c r="H11185" s="297">
        <v>24642.57</v>
      </c>
      <c r="I11185" s="297">
        <v>15582.5</v>
      </c>
      <c r="J11185" s="297">
        <v>5144.3</v>
      </c>
      <c r="K11185" s="297">
        <v>3915.77</v>
      </c>
      <c r="L11185" s="43">
        <v>7.3930889028228215</v>
      </c>
      <c r="M11185" s="43">
        <v>11.5</v>
      </c>
      <c r="N11185" s="43">
        <v>5.2463948436575771</v>
      </c>
      <c r="O11185" s="43">
        <v>3.9249937352779032</v>
      </c>
      <c r="P11185" s="298"/>
      <c r="Q11185" s="298"/>
      <c r="R11185" s="298">
        <v>15</v>
      </c>
    </row>
    <row r="11186" spans="1:18" ht="24">
      <c r="A11186" s="294">
        <v>451</v>
      </c>
      <c r="B11186" s="291" t="s">
        <v>20452</v>
      </c>
      <c r="C11186" s="295" t="s">
        <v>20453</v>
      </c>
      <c r="D11186" s="296">
        <v>8923.31</v>
      </c>
      <c r="E11186" s="296">
        <v>3416.96</v>
      </c>
      <c r="F11186" s="296">
        <v>4132.53</v>
      </c>
      <c r="G11186" s="296">
        <v>1373.82</v>
      </c>
      <c r="H11186" s="297">
        <v>66293.17</v>
      </c>
      <c r="I11186" s="297">
        <v>39295.040000000001</v>
      </c>
      <c r="J11186" s="297">
        <v>21309.119999999999</v>
      </c>
      <c r="K11186" s="297">
        <v>5689.01</v>
      </c>
      <c r="L11186" s="43">
        <v>7.4292129265933831</v>
      </c>
      <c r="M11186" s="43">
        <v>11.5</v>
      </c>
      <c r="N11186" s="43">
        <v>5.1564344360476513</v>
      </c>
      <c r="O11186" s="43">
        <v>4.1410155624463183</v>
      </c>
      <c r="P11186" s="298"/>
      <c r="Q11186" s="298"/>
      <c r="R11186" s="298">
        <v>15</v>
      </c>
    </row>
    <row r="11187" spans="1:18" ht="24">
      <c r="A11187" s="294">
        <v>452</v>
      </c>
      <c r="B11187" s="291" t="s">
        <v>20454</v>
      </c>
      <c r="C11187" s="295" t="s">
        <v>20455</v>
      </c>
      <c r="D11187" s="296">
        <v>1764.12</v>
      </c>
      <c r="E11187" s="296">
        <v>437.94</v>
      </c>
      <c r="F11187" s="296">
        <v>209.91</v>
      </c>
      <c r="G11187" s="296">
        <v>1116.27</v>
      </c>
      <c r="H11187" s="297">
        <v>10373.59</v>
      </c>
      <c r="I11187" s="297">
        <v>5036.26</v>
      </c>
      <c r="J11187" s="297">
        <v>1133.51</v>
      </c>
      <c r="K11187" s="297">
        <v>4203.82</v>
      </c>
      <c r="L11187" s="43">
        <v>5.8803199328843849</v>
      </c>
      <c r="M11187" s="43">
        <v>11.499885829109012</v>
      </c>
      <c r="N11187" s="43">
        <v>5.3999809442141871</v>
      </c>
      <c r="O11187" s="43">
        <v>3.765952681698872</v>
      </c>
      <c r="P11187" s="298"/>
      <c r="Q11187" s="298"/>
      <c r="R11187" s="298">
        <v>15</v>
      </c>
    </row>
    <row r="11188" spans="1:18" ht="12.75" customHeight="1">
      <c r="A11188" s="628" t="s">
        <v>20456</v>
      </c>
      <c r="B11188" s="629"/>
      <c r="C11188" s="629"/>
      <c r="D11188" s="629"/>
      <c r="E11188" s="629"/>
      <c r="F11188" s="629"/>
      <c r="G11188" s="629"/>
      <c r="H11188" s="629"/>
      <c r="I11188" s="629"/>
      <c r="J11188" s="629"/>
      <c r="K11188" s="629"/>
      <c r="L11188" s="629"/>
      <c r="M11188" s="629"/>
      <c r="N11188" s="629"/>
      <c r="O11188" s="629"/>
      <c r="P11188" s="629"/>
      <c r="Q11188" s="629"/>
      <c r="R11188" s="629"/>
    </row>
    <row r="11189" spans="1:18" ht="24">
      <c r="A11189" s="294">
        <v>453</v>
      </c>
      <c r="B11189" s="291" t="s">
        <v>20457</v>
      </c>
      <c r="C11189" s="295" t="s">
        <v>20458</v>
      </c>
      <c r="D11189" s="296">
        <v>6514.54</v>
      </c>
      <c r="E11189" s="296">
        <v>1940.36</v>
      </c>
      <c r="F11189" s="296">
        <v>3008.84</v>
      </c>
      <c r="G11189" s="296">
        <v>1565.34</v>
      </c>
      <c r="H11189" s="297">
        <v>45124.66</v>
      </c>
      <c r="I11189" s="297">
        <v>22314.14</v>
      </c>
      <c r="J11189" s="297">
        <v>16207.06</v>
      </c>
      <c r="K11189" s="297">
        <v>6603.46</v>
      </c>
      <c r="L11189" s="43">
        <v>6.9267607536372493</v>
      </c>
      <c r="M11189" s="43">
        <v>11.5</v>
      </c>
      <c r="N11189" s="43">
        <v>5.3864811688225362</v>
      </c>
      <c r="O11189" s="43">
        <v>4.2185467693919536</v>
      </c>
      <c r="P11189" s="298"/>
      <c r="Q11189" s="298"/>
      <c r="R11189" s="298">
        <v>16</v>
      </c>
    </row>
    <row r="11190" spans="1:18" ht="24">
      <c r="A11190" s="294">
        <v>454</v>
      </c>
      <c r="B11190" s="291" t="s">
        <v>20459</v>
      </c>
      <c r="C11190" s="295" t="s">
        <v>20460</v>
      </c>
      <c r="D11190" s="296">
        <v>1080.3900000000001</v>
      </c>
      <c r="E11190" s="296">
        <v>505.51</v>
      </c>
      <c r="F11190" s="296">
        <v>434.81</v>
      </c>
      <c r="G11190" s="296">
        <v>140.07</v>
      </c>
      <c r="H11190" s="297">
        <v>8763.82</v>
      </c>
      <c r="I11190" s="297">
        <v>5813.62</v>
      </c>
      <c r="J11190" s="297">
        <v>2342.31</v>
      </c>
      <c r="K11190" s="297">
        <v>607.89</v>
      </c>
      <c r="L11190" s="43">
        <v>8.1117189163172547</v>
      </c>
      <c r="M11190" s="43">
        <v>11.500504441059524</v>
      </c>
      <c r="N11190" s="43">
        <v>5.3869736206618981</v>
      </c>
      <c r="O11190" s="43">
        <v>4.3399014778325125</v>
      </c>
      <c r="P11190" s="298"/>
      <c r="Q11190" s="298"/>
      <c r="R11190" s="298">
        <v>16</v>
      </c>
    </row>
    <row r="11191" spans="1:18" ht="24">
      <c r="A11191" s="294">
        <v>455</v>
      </c>
      <c r="B11191" s="291" t="s">
        <v>20461</v>
      </c>
      <c r="C11191" s="295" t="s">
        <v>20462</v>
      </c>
      <c r="D11191" s="296">
        <v>4388.01</v>
      </c>
      <c r="E11191" s="296">
        <v>1333.32</v>
      </c>
      <c r="F11191" s="296">
        <v>1974.71</v>
      </c>
      <c r="G11191" s="296">
        <v>1079.98</v>
      </c>
      <c r="H11191" s="297">
        <v>30290.44</v>
      </c>
      <c r="I11191" s="297">
        <v>15333.18</v>
      </c>
      <c r="J11191" s="297">
        <v>10634.02</v>
      </c>
      <c r="K11191" s="297">
        <v>4323.24</v>
      </c>
      <c r="L11191" s="43">
        <v>6.9030015884193512</v>
      </c>
      <c r="M11191" s="43">
        <v>11.5</v>
      </c>
      <c r="N11191" s="43">
        <v>5.3851046482774692</v>
      </c>
      <c r="O11191" s="43">
        <v>4.0030741310024256</v>
      </c>
      <c r="P11191" s="298"/>
      <c r="Q11191" s="298"/>
      <c r="R11191" s="298">
        <v>16</v>
      </c>
    </row>
    <row r="11192" spans="1:18" ht="24">
      <c r="A11192" s="294">
        <v>456</v>
      </c>
      <c r="B11192" s="291" t="s">
        <v>20463</v>
      </c>
      <c r="C11192" s="295" t="s">
        <v>20464</v>
      </c>
      <c r="D11192" s="296">
        <v>723.6</v>
      </c>
      <c r="E11192" s="296">
        <v>279.67</v>
      </c>
      <c r="F11192" s="296">
        <v>167.36</v>
      </c>
      <c r="G11192" s="296">
        <v>276.57</v>
      </c>
      <c r="H11192" s="297">
        <v>5228.55</v>
      </c>
      <c r="I11192" s="297">
        <v>3216.23</v>
      </c>
      <c r="J11192" s="297">
        <v>903.86</v>
      </c>
      <c r="K11192" s="297">
        <v>1108.46</v>
      </c>
      <c r="L11192" s="43">
        <v>7.2257462686567164</v>
      </c>
      <c r="M11192" s="43">
        <v>11.500089391068045</v>
      </c>
      <c r="N11192" s="43">
        <v>5.4006931166347991</v>
      </c>
      <c r="O11192" s="43">
        <v>4.0078822721191747</v>
      </c>
      <c r="P11192" s="298"/>
      <c r="Q11192" s="298"/>
      <c r="R11192" s="298">
        <v>16</v>
      </c>
    </row>
    <row r="11193" spans="1:18" ht="24">
      <c r="A11193" s="294">
        <v>457</v>
      </c>
      <c r="B11193" s="291" t="s">
        <v>20465</v>
      </c>
      <c r="C11193" s="295" t="s">
        <v>20466</v>
      </c>
      <c r="D11193" s="296">
        <v>4262.28</v>
      </c>
      <c r="E11193" s="296">
        <v>1195.73</v>
      </c>
      <c r="F11193" s="296">
        <v>1714.63</v>
      </c>
      <c r="G11193" s="296">
        <v>1351.92</v>
      </c>
      <c r="H11193" s="297">
        <v>28265.53</v>
      </c>
      <c r="I11193" s="297">
        <v>13751.44</v>
      </c>
      <c r="J11193" s="297">
        <v>9239.2900000000009</v>
      </c>
      <c r="K11193" s="297">
        <v>5274.8</v>
      </c>
      <c r="L11193" s="43">
        <v>6.6315516577981741</v>
      </c>
      <c r="M11193" s="43">
        <v>11.500455788514129</v>
      </c>
      <c r="N11193" s="43">
        <v>5.3885036421851948</v>
      </c>
      <c r="O11193" s="43">
        <v>3.9017101603645186</v>
      </c>
      <c r="P11193" s="298"/>
      <c r="Q11193" s="298"/>
      <c r="R11193" s="298">
        <v>16</v>
      </c>
    </row>
    <row r="11194" spans="1:18" ht="24">
      <c r="A11194" s="294">
        <v>458</v>
      </c>
      <c r="B11194" s="291" t="s">
        <v>20467</v>
      </c>
      <c r="C11194" s="295" t="s">
        <v>20468</v>
      </c>
      <c r="D11194" s="296">
        <v>4583.43</v>
      </c>
      <c r="E11194" s="296">
        <v>1305.43</v>
      </c>
      <c r="F11194" s="296">
        <v>1393.72</v>
      </c>
      <c r="G11194" s="296">
        <v>1884.28</v>
      </c>
      <c r="H11194" s="297">
        <v>29747.4</v>
      </c>
      <c r="I11194" s="297">
        <v>15013.04</v>
      </c>
      <c r="J11194" s="297">
        <v>7506.74</v>
      </c>
      <c r="K11194" s="297">
        <v>7227.62</v>
      </c>
      <c r="L11194" s="43">
        <v>6.4902049338595766</v>
      </c>
      <c r="M11194" s="43">
        <v>11.500455788514129</v>
      </c>
      <c r="N11194" s="43">
        <v>5.3861177280945958</v>
      </c>
      <c r="O11194" s="43">
        <v>3.8357462797461097</v>
      </c>
      <c r="P11194" s="298"/>
      <c r="Q11194" s="298"/>
      <c r="R11194" s="298">
        <v>16</v>
      </c>
    </row>
    <row r="11195" spans="1:18" ht="24">
      <c r="A11195" s="294">
        <v>459</v>
      </c>
      <c r="B11195" s="291" t="s">
        <v>20469</v>
      </c>
      <c r="C11195" s="295" t="s">
        <v>20470</v>
      </c>
      <c r="D11195" s="296">
        <v>2125.92</v>
      </c>
      <c r="E11195" s="296">
        <v>652.72</v>
      </c>
      <c r="F11195" s="296">
        <v>561.69000000000005</v>
      </c>
      <c r="G11195" s="296">
        <v>911.51</v>
      </c>
      <c r="H11195" s="297">
        <v>14017.1</v>
      </c>
      <c r="I11195" s="297">
        <v>7506.52</v>
      </c>
      <c r="J11195" s="297">
        <v>3021.38</v>
      </c>
      <c r="K11195" s="297">
        <v>3489.2</v>
      </c>
      <c r="L11195" s="43">
        <v>6.5934277865582898</v>
      </c>
      <c r="M11195" s="43">
        <v>11.500367692119132</v>
      </c>
      <c r="N11195" s="43">
        <v>5.3790881090993246</v>
      </c>
      <c r="O11195" s="43">
        <v>3.8279338679773121</v>
      </c>
      <c r="P11195" s="298"/>
      <c r="Q11195" s="298"/>
      <c r="R11195" s="298">
        <v>16</v>
      </c>
    </row>
    <row r="11196" spans="1:18" ht="24">
      <c r="A11196" s="294">
        <v>460</v>
      </c>
      <c r="B11196" s="291" t="s">
        <v>20471</v>
      </c>
      <c r="C11196" s="295" t="s">
        <v>20472</v>
      </c>
      <c r="D11196" s="296">
        <v>919.35</v>
      </c>
      <c r="E11196" s="296">
        <v>295.08999999999997</v>
      </c>
      <c r="F11196" s="296">
        <v>220.69</v>
      </c>
      <c r="G11196" s="296">
        <v>403.57</v>
      </c>
      <c r="H11196" s="297">
        <v>6132.28</v>
      </c>
      <c r="I11196" s="297">
        <v>3393.7</v>
      </c>
      <c r="J11196" s="297">
        <v>1192.25</v>
      </c>
      <c r="K11196" s="297">
        <v>1546.33</v>
      </c>
      <c r="L11196" s="43">
        <v>6.6702344047424811</v>
      </c>
      <c r="M11196" s="43">
        <v>11.500559151445323</v>
      </c>
      <c r="N11196" s="43">
        <v>5.4023743712900449</v>
      </c>
      <c r="O11196" s="43">
        <v>3.8316277225760089</v>
      </c>
      <c r="P11196" s="298"/>
      <c r="Q11196" s="298"/>
      <c r="R11196" s="298">
        <v>16</v>
      </c>
    </row>
    <row r="11197" spans="1:18" ht="24">
      <c r="A11197" s="294">
        <v>461</v>
      </c>
      <c r="B11197" s="291" t="s">
        <v>20473</v>
      </c>
      <c r="C11197" s="295" t="s">
        <v>20474</v>
      </c>
      <c r="D11197" s="296">
        <v>593.34</v>
      </c>
      <c r="E11197" s="296">
        <v>221.59</v>
      </c>
      <c r="F11197" s="296">
        <v>37.83</v>
      </c>
      <c r="G11197" s="296">
        <v>333.92</v>
      </c>
      <c r="H11197" s="297">
        <v>4026.14</v>
      </c>
      <c r="I11197" s="297">
        <v>2548.4299999999998</v>
      </c>
      <c r="J11197" s="297">
        <v>204.15</v>
      </c>
      <c r="K11197" s="297">
        <v>1273.56</v>
      </c>
      <c r="L11197" s="43">
        <v>6.7855529713149281</v>
      </c>
      <c r="M11197" s="43">
        <v>11.500654361658919</v>
      </c>
      <c r="N11197" s="43">
        <v>5.3965107057890567</v>
      </c>
      <c r="O11197" s="43">
        <v>3.8139674173454718</v>
      </c>
      <c r="P11197" s="298"/>
      <c r="Q11197" s="298"/>
      <c r="R11197" s="298">
        <v>16</v>
      </c>
    </row>
    <row r="11198" spans="1:18" ht="12.75" customHeight="1">
      <c r="A11198" s="628" t="s">
        <v>20475</v>
      </c>
      <c r="B11198" s="629"/>
      <c r="C11198" s="629"/>
      <c r="D11198" s="629"/>
      <c r="E11198" s="629"/>
      <c r="F11198" s="629"/>
      <c r="G11198" s="629"/>
      <c r="H11198" s="629"/>
      <c r="I11198" s="629"/>
      <c r="J11198" s="629"/>
      <c r="K11198" s="629"/>
      <c r="L11198" s="629"/>
      <c r="M11198" s="629"/>
      <c r="N11198" s="629"/>
      <c r="O11198" s="629"/>
      <c r="P11198" s="629"/>
      <c r="Q11198" s="629"/>
      <c r="R11198" s="629"/>
    </row>
    <row r="11199" spans="1:18" ht="24">
      <c r="A11199" s="294">
        <v>462</v>
      </c>
      <c r="B11199" s="291" t="s">
        <v>20476</v>
      </c>
      <c r="C11199" s="295" t="s">
        <v>20477</v>
      </c>
      <c r="D11199" s="296">
        <v>902.05</v>
      </c>
      <c r="E11199" s="296">
        <v>223.3</v>
      </c>
      <c r="F11199" s="296">
        <v>312.73</v>
      </c>
      <c r="G11199" s="296">
        <v>366.02</v>
      </c>
      <c r="H11199" s="297">
        <v>5712.02</v>
      </c>
      <c r="I11199" s="297">
        <v>2568</v>
      </c>
      <c r="J11199" s="297">
        <v>1690.47</v>
      </c>
      <c r="K11199" s="297">
        <v>1453.55</v>
      </c>
      <c r="L11199" s="43">
        <v>6.3322653954880561</v>
      </c>
      <c r="M11199" s="43">
        <v>11.500223914017017</v>
      </c>
      <c r="N11199" s="43">
        <v>5.4055255332075589</v>
      </c>
      <c r="O11199" s="43">
        <v>3.9712310802688378</v>
      </c>
      <c r="P11199" s="298"/>
      <c r="Q11199" s="298"/>
      <c r="R11199" s="298">
        <v>17</v>
      </c>
    </row>
    <row r="11200" spans="1:18" ht="24">
      <c r="A11200" s="294">
        <v>463</v>
      </c>
      <c r="B11200" s="291" t="s">
        <v>20478</v>
      </c>
      <c r="C11200" s="295" t="s">
        <v>20479</v>
      </c>
      <c r="D11200" s="296">
        <v>6996.28</v>
      </c>
      <c r="E11200" s="296">
        <v>2249.1</v>
      </c>
      <c r="F11200" s="296">
        <v>3776.61</v>
      </c>
      <c r="G11200" s="296">
        <v>970.57</v>
      </c>
      <c r="H11200" s="297">
        <v>49269.22</v>
      </c>
      <c r="I11200" s="297">
        <v>25865.7</v>
      </c>
      <c r="J11200" s="297">
        <v>19194.23</v>
      </c>
      <c r="K11200" s="297">
        <v>4209.29</v>
      </c>
      <c r="L11200" s="43">
        <v>7.0422024275757975</v>
      </c>
      <c r="M11200" s="43">
        <v>11.50046685340803</v>
      </c>
      <c r="N11200" s="43">
        <v>5.0823966467281503</v>
      </c>
      <c r="O11200" s="43">
        <v>4.336925724059058</v>
      </c>
      <c r="P11200" s="298"/>
      <c r="Q11200" s="298"/>
      <c r="R11200" s="298">
        <v>17</v>
      </c>
    </row>
    <row r="11201" spans="1:18" ht="24">
      <c r="A11201" s="294">
        <v>464</v>
      </c>
      <c r="B11201" s="291" t="s">
        <v>20480</v>
      </c>
      <c r="C11201" s="295" t="s">
        <v>20481</v>
      </c>
      <c r="D11201" s="296">
        <v>2795.48</v>
      </c>
      <c r="E11201" s="296">
        <v>962.83</v>
      </c>
      <c r="F11201" s="296">
        <v>1274.46</v>
      </c>
      <c r="G11201" s="296">
        <v>558.19000000000005</v>
      </c>
      <c r="H11201" s="297">
        <v>20175.29</v>
      </c>
      <c r="I11201" s="297">
        <v>11072.98</v>
      </c>
      <c r="J11201" s="297">
        <v>6876.42</v>
      </c>
      <c r="K11201" s="297">
        <v>2225.89</v>
      </c>
      <c r="L11201" s="43">
        <v>7.2171111937842518</v>
      </c>
      <c r="M11201" s="43">
        <v>11.500451793151438</v>
      </c>
      <c r="N11201" s="43">
        <v>5.3955557647945014</v>
      </c>
      <c r="O11201" s="43">
        <v>3.9876923628155283</v>
      </c>
      <c r="P11201" s="298"/>
      <c r="Q11201" s="298"/>
      <c r="R11201" s="298">
        <v>17</v>
      </c>
    </row>
    <row r="11202" spans="1:18" ht="24">
      <c r="A11202" s="294">
        <v>465</v>
      </c>
      <c r="B11202" s="291" t="s">
        <v>20482</v>
      </c>
      <c r="C11202" s="295" t="s">
        <v>20483</v>
      </c>
      <c r="D11202" s="296">
        <v>507</v>
      </c>
      <c r="E11202" s="296">
        <v>145.26</v>
      </c>
      <c r="F11202" s="296">
        <v>156.74</v>
      </c>
      <c r="G11202" s="296">
        <v>205</v>
      </c>
      <c r="H11202" s="297">
        <v>3303.61</v>
      </c>
      <c r="I11202" s="297">
        <v>1670.44</v>
      </c>
      <c r="J11202" s="297">
        <v>846.36</v>
      </c>
      <c r="K11202" s="297">
        <v>786.81</v>
      </c>
      <c r="L11202" s="43">
        <v>6.5159960552268243</v>
      </c>
      <c r="M11202" s="43">
        <v>11.499655789618616</v>
      </c>
      <c r="N11202" s="43">
        <v>5.3997703202756151</v>
      </c>
      <c r="O11202" s="43">
        <v>3.8380975609756094</v>
      </c>
      <c r="P11202" s="298"/>
      <c r="Q11202" s="298"/>
      <c r="R11202" s="298">
        <v>17</v>
      </c>
    </row>
    <row r="11203" spans="1:18" ht="24">
      <c r="A11203" s="294">
        <v>466</v>
      </c>
      <c r="B11203" s="291" t="s">
        <v>20484</v>
      </c>
      <c r="C11203" s="295" t="s">
        <v>20485</v>
      </c>
      <c r="D11203" s="296">
        <v>10748.01</v>
      </c>
      <c r="E11203" s="296">
        <v>4151.72</v>
      </c>
      <c r="F11203" s="296">
        <v>5494.45</v>
      </c>
      <c r="G11203" s="296">
        <v>1101.8399999999999</v>
      </c>
      <c r="H11203" s="297">
        <v>81971.679999999993</v>
      </c>
      <c r="I11203" s="297">
        <v>47744.78</v>
      </c>
      <c r="J11203" s="297">
        <v>29446.46</v>
      </c>
      <c r="K11203" s="297">
        <v>4780.4399999999996</v>
      </c>
      <c r="L11203" s="43">
        <v>7.6266843815738907</v>
      </c>
      <c r="M11203" s="43">
        <v>11.499999999999998</v>
      </c>
      <c r="N11203" s="43">
        <v>5.3593098490294748</v>
      </c>
      <c r="O11203" s="43">
        <v>4.3385972554998906</v>
      </c>
      <c r="P11203" s="298"/>
      <c r="Q11203" s="298"/>
      <c r="R11203" s="298">
        <v>17</v>
      </c>
    </row>
    <row r="11204" spans="1:18" ht="24">
      <c r="A11204" s="294">
        <v>467</v>
      </c>
      <c r="B11204" s="291" t="s">
        <v>20486</v>
      </c>
      <c r="C11204" s="295" t="s">
        <v>20487</v>
      </c>
      <c r="D11204" s="296">
        <v>4745.42</v>
      </c>
      <c r="E11204" s="296">
        <v>1550.12</v>
      </c>
      <c r="F11204" s="296">
        <v>2618.36</v>
      </c>
      <c r="G11204" s="296">
        <v>576.94000000000005</v>
      </c>
      <c r="H11204" s="297">
        <v>34194.269999999997</v>
      </c>
      <c r="I11204" s="297">
        <v>17826.38</v>
      </c>
      <c r="J11204" s="297">
        <v>13945.61</v>
      </c>
      <c r="K11204" s="297">
        <v>2422.2800000000002</v>
      </c>
      <c r="L11204" s="43">
        <v>7.2057415360494952</v>
      </c>
      <c r="M11204" s="43">
        <v>11.500000000000002</v>
      </c>
      <c r="N11204" s="43">
        <v>5.326085794161231</v>
      </c>
      <c r="O11204" s="43">
        <v>4.1984955107983497</v>
      </c>
      <c r="P11204" s="298"/>
      <c r="Q11204" s="298"/>
      <c r="R11204" s="298">
        <v>17</v>
      </c>
    </row>
    <row r="11205" spans="1:18" ht="24">
      <c r="A11205" s="294">
        <v>468</v>
      </c>
      <c r="B11205" s="291" t="s">
        <v>20488</v>
      </c>
      <c r="C11205" s="295" t="s">
        <v>20489</v>
      </c>
      <c r="D11205" s="296">
        <v>1865.87</v>
      </c>
      <c r="E11205" s="296">
        <v>498.64</v>
      </c>
      <c r="F11205" s="296">
        <v>952.91</v>
      </c>
      <c r="G11205" s="296">
        <v>414.32</v>
      </c>
      <c r="H11205" s="297">
        <v>12496.45</v>
      </c>
      <c r="I11205" s="297">
        <v>5734.36</v>
      </c>
      <c r="J11205" s="297">
        <v>5146.47</v>
      </c>
      <c r="K11205" s="297">
        <v>1615.62</v>
      </c>
      <c r="L11205" s="43">
        <v>6.6973851340125528</v>
      </c>
      <c r="M11205" s="43">
        <v>11.5</v>
      </c>
      <c r="N11205" s="43">
        <v>5.4007933592889152</v>
      </c>
      <c r="O11205" s="43">
        <v>3.8994497007144235</v>
      </c>
      <c r="P11205" s="298"/>
      <c r="Q11205" s="298"/>
      <c r="R11205" s="298">
        <v>17</v>
      </c>
    </row>
    <row r="11206" spans="1:18" ht="24">
      <c r="A11206" s="294">
        <v>469</v>
      </c>
      <c r="B11206" s="291" t="s">
        <v>20490</v>
      </c>
      <c r="C11206" s="295" t="s">
        <v>20491</v>
      </c>
      <c r="D11206" s="296">
        <v>1501.7</v>
      </c>
      <c r="E11206" s="296">
        <v>461.78</v>
      </c>
      <c r="F11206" s="296">
        <v>626.80999999999995</v>
      </c>
      <c r="G11206" s="296">
        <v>413.11</v>
      </c>
      <c r="H11206" s="297">
        <v>10298.15</v>
      </c>
      <c r="I11206" s="297">
        <v>5310.52</v>
      </c>
      <c r="J11206" s="297">
        <v>3384.58</v>
      </c>
      <c r="K11206" s="297">
        <v>1603.05</v>
      </c>
      <c r="L11206" s="43">
        <v>6.8576613171738687</v>
      </c>
      <c r="M11206" s="43">
        <v>11.500108276668545</v>
      </c>
      <c r="N11206" s="43">
        <v>5.3996904963226502</v>
      </c>
      <c r="O11206" s="43">
        <v>3.8804434654208322</v>
      </c>
      <c r="P11206" s="298"/>
      <c r="Q11206" s="298"/>
      <c r="R11206" s="298">
        <v>17</v>
      </c>
    </row>
    <row r="11207" spans="1:18" ht="24">
      <c r="A11207" s="294">
        <v>470</v>
      </c>
      <c r="B11207" s="291" t="s">
        <v>20492</v>
      </c>
      <c r="C11207" s="295" t="s">
        <v>20493</v>
      </c>
      <c r="D11207" s="296">
        <v>5924.44</v>
      </c>
      <c r="E11207" s="296">
        <v>2373.96</v>
      </c>
      <c r="F11207" s="296">
        <v>2605.6999999999998</v>
      </c>
      <c r="G11207" s="296">
        <v>944.78</v>
      </c>
      <c r="H11207" s="297">
        <v>45265.94</v>
      </c>
      <c r="I11207" s="297">
        <v>27300.54</v>
      </c>
      <c r="J11207" s="297">
        <v>13975.3</v>
      </c>
      <c r="K11207" s="297">
        <v>3990.1</v>
      </c>
      <c r="L11207" s="43">
        <v>7.6405432412177365</v>
      </c>
      <c r="M11207" s="43">
        <v>11.5</v>
      </c>
      <c r="N11207" s="43">
        <v>5.3633572552481104</v>
      </c>
      <c r="O11207" s="43">
        <v>4.2233112470628082</v>
      </c>
      <c r="P11207" s="298"/>
      <c r="Q11207" s="298"/>
      <c r="R11207" s="298">
        <v>17</v>
      </c>
    </row>
    <row r="11208" spans="1:18" ht="24">
      <c r="A11208" s="294">
        <v>471</v>
      </c>
      <c r="B11208" s="291" t="s">
        <v>20494</v>
      </c>
      <c r="C11208" s="295" t="s">
        <v>20495</v>
      </c>
      <c r="D11208" s="296">
        <v>3995.24</v>
      </c>
      <c r="E11208" s="296">
        <v>1539.28</v>
      </c>
      <c r="F11208" s="296">
        <v>2078.9</v>
      </c>
      <c r="G11208" s="296">
        <v>377.06</v>
      </c>
      <c r="H11208" s="297">
        <v>30445.35</v>
      </c>
      <c r="I11208" s="297">
        <v>17701.72</v>
      </c>
      <c r="J11208" s="297">
        <v>11055.94</v>
      </c>
      <c r="K11208" s="297">
        <v>1687.69</v>
      </c>
      <c r="L11208" s="43">
        <v>7.6204057828816296</v>
      </c>
      <c r="M11208" s="43">
        <v>11.500000000000002</v>
      </c>
      <c r="N11208" s="43">
        <v>5.3181682620616675</v>
      </c>
      <c r="O11208" s="43">
        <v>4.4759189518909457</v>
      </c>
      <c r="P11208" s="298"/>
      <c r="Q11208" s="298"/>
      <c r="R11208" s="298">
        <v>17</v>
      </c>
    </row>
    <row r="11209" spans="1:18" ht="24">
      <c r="A11209" s="294">
        <v>472</v>
      </c>
      <c r="B11209" s="291" t="s">
        <v>20496</v>
      </c>
      <c r="C11209" s="295" t="s">
        <v>20497</v>
      </c>
      <c r="D11209" s="296">
        <v>2126.11</v>
      </c>
      <c r="E11209" s="296">
        <v>852.02</v>
      </c>
      <c r="F11209" s="296">
        <v>717.33</v>
      </c>
      <c r="G11209" s="296">
        <v>556.76</v>
      </c>
      <c r="H11209" s="297">
        <v>15846.68</v>
      </c>
      <c r="I11209" s="297">
        <v>9798.2800000000007</v>
      </c>
      <c r="J11209" s="297">
        <v>3841.19</v>
      </c>
      <c r="K11209" s="297">
        <v>2207.21</v>
      </c>
      <c r="L11209" s="43">
        <v>7.4533678878327079</v>
      </c>
      <c r="M11209" s="43">
        <v>11.500058684068451</v>
      </c>
      <c r="N11209" s="43">
        <v>5.3548436563366923</v>
      </c>
      <c r="O11209" s="43">
        <v>3.9643832171851425</v>
      </c>
      <c r="P11209" s="298"/>
      <c r="Q11209" s="298"/>
      <c r="R11209" s="298">
        <v>17</v>
      </c>
    </row>
    <row r="11210" spans="1:18" ht="24">
      <c r="A11210" s="294">
        <v>473</v>
      </c>
      <c r="B11210" s="291" t="s">
        <v>20498</v>
      </c>
      <c r="C11210" s="295" t="s">
        <v>20499</v>
      </c>
      <c r="D11210" s="296">
        <v>315.58</v>
      </c>
      <c r="E11210" s="296">
        <v>105.78</v>
      </c>
      <c r="F11210" s="296">
        <v>72.739999999999995</v>
      </c>
      <c r="G11210" s="296">
        <v>137.06</v>
      </c>
      <c r="H11210" s="297">
        <v>2135.0500000000002</v>
      </c>
      <c r="I11210" s="297">
        <v>1216.5</v>
      </c>
      <c r="J11210" s="297">
        <v>394.91</v>
      </c>
      <c r="K11210" s="297">
        <v>523.64</v>
      </c>
      <c r="L11210" s="43">
        <v>6.76547943469168</v>
      </c>
      <c r="M11210" s="43">
        <v>11.500283607487237</v>
      </c>
      <c r="N11210" s="43">
        <v>5.4290624140775368</v>
      </c>
      <c r="O11210" s="43">
        <v>3.8205165620895958</v>
      </c>
      <c r="P11210" s="298"/>
      <c r="Q11210" s="298"/>
      <c r="R11210" s="298">
        <v>17</v>
      </c>
    </row>
    <row r="11211" spans="1:18" ht="24">
      <c r="A11211" s="294">
        <v>474</v>
      </c>
      <c r="B11211" s="291" t="s">
        <v>20500</v>
      </c>
      <c r="C11211" s="295" t="s">
        <v>20501</v>
      </c>
      <c r="D11211" s="296">
        <v>671.06</v>
      </c>
      <c r="E11211" s="296">
        <v>181</v>
      </c>
      <c r="F11211" s="296">
        <v>351.13</v>
      </c>
      <c r="G11211" s="296">
        <v>138.93</v>
      </c>
      <c r="H11211" s="297">
        <v>4535.5200000000004</v>
      </c>
      <c r="I11211" s="297">
        <v>2081.5700000000002</v>
      </c>
      <c r="J11211" s="297">
        <v>1909.84</v>
      </c>
      <c r="K11211" s="297">
        <v>544.11</v>
      </c>
      <c r="L11211" s="43">
        <v>6.7587399040324279</v>
      </c>
      <c r="M11211" s="43">
        <v>11.500386740331493</v>
      </c>
      <c r="N11211" s="43">
        <v>5.4391251103579865</v>
      </c>
      <c r="O11211" s="43">
        <v>3.9164327359101705</v>
      </c>
      <c r="P11211" s="298"/>
      <c r="Q11211" s="298"/>
      <c r="R11211" s="298">
        <v>17</v>
      </c>
    </row>
    <row r="11212" spans="1:18" ht="24">
      <c r="A11212" s="294">
        <v>475</v>
      </c>
      <c r="B11212" s="291" t="s">
        <v>20502</v>
      </c>
      <c r="C11212" s="295" t="s">
        <v>20503</v>
      </c>
      <c r="D11212" s="296">
        <v>573.4</v>
      </c>
      <c r="E11212" s="296">
        <v>183.2</v>
      </c>
      <c r="F11212" s="296">
        <v>184.73</v>
      </c>
      <c r="G11212" s="296">
        <v>205.47</v>
      </c>
      <c r="H11212" s="297">
        <v>3904.29</v>
      </c>
      <c r="I11212" s="297">
        <v>2106.75</v>
      </c>
      <c r="J11212" s="297">
        <v>1004.49</v>
      </c>
      <c r="K11212" s="297">
        <v>793.05</v>
      </c>
      <c r="L11212" s="43">
        <v>6.8090163934426231</v>
      </c>
      <c r="M11212" s="43">
        <v>11.499727074235809</v>
      </c>
      <c r="N11212" s="43">
        <v>5.4376116494343103</v>
      </c>
      <c r="O11212" s="43">
        <v>3.8596875456270987</v>
      </c>
      <c r="P11212" s="298"/>
      <c r="Q11212" s="298"/>
      <c r="R11212" s="298">
        <v>17</v>
      </c>
    </row>
    <row r="11213" spans="1:18" ht="24">
      <c r="A11213" s="294">
        <v>476</v>
      </c>
      <c r="B11213" s="291" t="s">
        <v>20504</v>
      </c>
      <c r="C11213" s="295" t="s">
        <v>20505</v>
      </c>
      <c r="D11213" s="296">
        <v>529.14</v>
      </c>
      <c r="E11213" s="296">
        <v>158.26</v>
      </c>
      <c r="F11213" s="296">
        <v>229.34</v>
      </c>
      <c r="G11213" s="296">
        <v>141.54</v>
      </c>
      <c r="H11213" s="297">
        <v>3632.69</v>
      </c>
      <c r="I11213" s="297">
        <v>1820.04</v>
      </c>
      <c r="J11213" s="297">
        <v>1246.8900000000001</v>
      </c>
      <c r="K11213" s="297">
        <v>565.76</v>
      </c>
      <c r="L11213" s="43">
        <v>6.8652719507124775</v>
      </c>
      <c r="M11213" s="43">
        <v>11.500315935801845</v>
      </c>
      <c r="N11213" s="43">
        <v>5.4368623005145205</v>
      </c>
      <c r="O11213" s="43">
        <v>3.9971739437614811</v>
      </c>
      <c r="P11213" s="298"/>
      <c r="Q11213" s="298"/>
      <c r="R11213" s="298">
        <v>17</v>
      </c>
    </row>
    <row r="11214" spans="1:18" ht="24">
      <c r="A11214" s="294">
        <v>477</v>
      </c>
      <c r="B11214" s="291" t="s">
        <v>20506</v>
      </c>
      <c r="C11214" s="295" t="s">
        <v>20507</v>
      </c>
      <c r="D11214" s="296">
        <v>712.11</v>
      </c>
      <c r="E11214" s="296">
        <v>243.9</v>
      </c>
      <c r="F11214" s="296">
        <v>327.45</v>
      </c>
      <c r="G11214" s="296">
        <v>140.76</v>
      </c>
      <c r="H11214" s="297">
        <v>5136.17</v>
      </c>
      <c r="I11214" s="297">
        <v>2804.85</v>
      </c>
      <c r="J11214" s="297">
        <v>1767.65</v>
      </c>
      <c r="K11214" s="297">
        <v>563.66999999999996</v>
      </c>
      <c r="L11214" s="43">
        <v>7.2126076027580011</v>
      </c>
      <c r="M11214" s="43">
        <v>11.5</v>
      </c>
      <c r="N11214" s="43">
        <v>5.3982287372117881</v>
      </c>
      <c r="O11214" s="43">
        <v>4.0044757033248084</v>
      </c>
      <c r="P11214" s="298"/>
      <c r="Q11214" s="298"/>
      <c r="R11214" s="298">
        <v>17</v>
      </c>
    </row>
    <row r="11215" spans="1:18" ht="24">
      <c r="A11215" s="294">
        <v>478</v>
      </c>
      <c r="B11215" s="291" t="s">
        <v>20508</v>
      </c>
      <c r="C11215" s="295" t="s">
        <v>20509</v>
      </c>
      <c r="D11215" s="296">
        <v>765.69</v>
      </c>
      <c r="E11215" s="296">
        <v>170.19</v>
      </c>
      <c r="F11215" s="296">
        <v>323.43</v>
      </c>
      <c r="G11215" s="296">
        <v>272.07</v>
      </c>
      <c r="H11215" s="297">
        <v>4738.41</v>
      </c>
      <c r="I11215" s="297">
        <v>1957.16</v>
      </c>
      <c r="J11215" s="297">
        <v>1746.95</v>
      </c>
      <c r="K11215" s="297">
        <v>1034.3</v>
      </c>
      <c r="L11215" s="43">
        <v>6.1884182893860435</v>
      </c>
      <c r="M11215" s="43">
        <v>11.499853105352841</v>
      </c>
      <c r="N11215" s="43">
        <v>5.4013233157097362</v>
      </c>
      <c r="O11215" s="43">
        <v>3.8015951777116181</v>
      </c>
      <c r="P11215" s="298"/>
      <c r="Q11215" s="298"/>
      <c r="R11215" s="298">
        <v>17</v>
      </c>
    </row>
    <row r="11216" spans="1:18" ht="24">
      <c r="A11216" s="294">
        <v>479</v>
      </c>
      <c r="B11216" s="291" t="s">
        <v>20510</v>
      </c>
      <c r="C11216" s="295" t="s">
        <v>20511</v>
      </c>
      <c r="D11216" s="296">
        <v>346.95</v>
      </c>
      <c r="E11216" s="296">
        <v>112.11</v>
      </c>
      <c r="F11216" s="296">
        <v>97.09</v>
      </c>
      <c r="G11216" s="296">
        <v>137.75</v>
      </c>
      <c r="H11216" s="297">
        <v>2343.37</v>
      </c>
      <c r="I11216" s="297">
        <v>1289.27</v>
      </c>
      <c r="J11216" s="297">
        <v>524.07000000000005</v>
      </c>
      <c r="K11216" s="297">
        <v>530.03</v>
      </c>
      <c r="L11216" s="43">
        <v>6.7542008935005047</v>
      </c>
      <c r="M11216" s="43">
        <v>11.500044599054499</v>
      </c>
      <c r="N11216" s="43">
        <v>5.3977752600679789</v>
      </c>
      <c r="O11216" s="43">
        <v>3.8477676950998183</v>
      </c>
      <c r="P11216" s="298"/>
      <c r="Q11216" s="298"/>
      <c r="R11216" s="298">
        <v>17</v>
      </c>
    </row>
    <row r="11217" spans="1:18" ht="12.75" customHeight="1">
      <c r="A11217" s="628" t="s">
        <v>20512</v>
      </c>
      <c r="B11217" s="629"/>
      <c r="C11217" s="629"/>
      <c r="D11217" s="629"/>
      <c r="E11217" s="629"/>
      <c r="F11217" s="629"/>
      <c r="G11217" s="629"/>
      <c r="H11217" s="629"/>
      <c r="I11217" s="629"/>
      <c r="J11217" s="629"/>
      <c r="K11217" s="629"/>
      <c r="L11217" s="629"/>
      <c r="M11217" s="629"/>
      <c r="N11217" s="629"/>
      <c r="O11217" s="629"/>
      <c r="P11217" s="629"/>
      <c r="Q11217" s="629"/>
      <c r="R11217" s="629"/>
    </row>
    <row r="11218" spans="1:18" ht="24">
      <c r="A11218" s="294">
        <v>480</v>
      </c>
      <c r="B11218" s="291" t="s">
        <v>20513</v>
      </c>
      <c r="C11218" s="295" t="s">
        <v>20514</v>
      </c>
      <c r="D11218" s="296">
        <v>365.45</v>
      </c>
      <c r="E11218" s="296">
        <v>191.98</v>
      </c>
      <c r="F11218" s="296">
        <v>34.44</v>
      </c>
      <c r="G11218" s="296">
        <v>139.03</v>
      </c>
      <c r="H11218" s="297">
        <v>2941.5</v>
      </c>
      <c r="I11218" s="297">
        <v>2207.8000000000002</v>
      </c>
      <c r="J11218" s="297">
        <v>189.84</v>
      </c>
      <c r="K11218" s="297">
        <v>543.86</v>
      </c>
      <c r="L11218" s="43">
        <v>8.0489807087152823</v>
      </c>
      <c r="M11218" s="43">
        <v>11.500156266277738</v>
      </c>
      <c r="N11218" s="43">
        <v>5.51219512195122</v>
      </c>
      <c r="O11218" s="43">
        <v>3.9118175933251815</v>
      </c>
      <c r="P11218" s="298"/>
      <c r="Q11218" s="298"/>
      <c r="R11218" s="298">
        <v>18</v>
      </c>
    </row>
    <row r="11219" spans="1:18" ht="24">
      <c r="A11219" s="294">
        <v>481</v>
      </c>
      <c r="B11219" s="291" t="s">
        <v>20515</v>
      </c>
      <c r="C11219" s="295" t="s">
        <v>20516</v>
      </c>
      <c r="D11219" s="296">
        <v>607.53</v>
      </c>
      <c r="E11219" s="296">
        <v>225.98</v>
      </c>
      <c r="F11219" s="296">
        <v>108.74</v>
      </c>
      <c r="G11219" s="296">
        <v>272.81</v>
      </c>
      <c r="H11219" s="297">
        <v>4241.97</v>
      </c>
      <c r="I11219" s="297">
        <v>2598.9</v>
      </c>
      <c r="J11219" s="297">
        <v>599.23</v>
      </c>
      <c r="K11219" s="297">
        <v>1043.8399999999999</v>
      </c>
      <c r="L11219" s="43">
        <v>6.9823218606488577</v>
      </c>
      <c r="M11219" s="43">
        <v>11.500575272147978</v>
      </c>
      <c r="N11219" s="43">
        <v>5.5106676475997798</v>
      </c>
      <c r="O11219" s="43">
        <v>3.8262527033466514</v>
      </c>
      <c r="P11219" s="298"/>
      <c r="Q11219" s="298"/>
      <c r="R11219" s="298">
        <v>18</v>
      </c>
    </row>
    <row r="11220" spans="1:18" ht="24">
      <c r="A11220" s="294">
        <v>482</v>
      </c>
      <c r="B11220" s="291" t="s">
        <v>20517</v>
      </c>
      <c r="C11220" s="295" t="s">
        <v>20518</v>
      </c>
      <c r="D11220" s="296">
        <v>363.84</v>
      </c>
      <c r="E11220" s="296">
        <v>170.04</v>
      </c>
      <c r="F11220" s="296">
        <v>55.51</v>
      </c>
      <c r="G11220" s="296">
        <v>138.29</v>
      </c>
      <c r="H11220" s="297">
        <v>2799.34</v>
      </c>
      <c r="I11220" s="297">
        <v>1955.48</v>
      </c>
      <c r="J11220" s="297">
        <v>305.92</v>
      </c>
      <c r="K11220" s="297">
        <v>537.94000000000005</v>
      </c>
      <c r="L11220" s="43">
        <v>7.6938764291996495</v>
      </c>
      <c r="M11220" s="43">
        <v>11.500117619383674</v>
      </c>
      <c r="N11220" s="43">
        <v>5.5110790848495768</v>
      </c>
      <c r="O11220" s="43">
        <v>3.889941427435101</v>
      </c>
      <c r="P11220" s="298"/>
      <c r="Q11220" s="298"/>
      <c r="R11220" s="298">
        <v>18</v>
      </c>
    </row>
    <row r="11221" spans="1:18" ht="24">
      <c r="A11221" s="294">
        <v>483</v>
      </c>
      <c r="B11221" s="291" t="s">
        <v>20519</v>
      </c>
      <c r="C11221" s="295" t="s">
        <v>20520</v>
      </c>
      <c r="D11221" s="296">
        <v>6181.08</v>
      </c>
      <c r="E11221" s="296">
        <v>3338.28</v>
      </c>
      <c r="F11221" s="296">
        <v>2100.16</v>
      </c>
      <c r="G11221" s="296">
        <v>742.64</v>
      </c>
      <c r="H11221" s="297">
        <v>53344.32</v>
      </c>
      <c r="I11221" s="297">
        <v>38390.22</v>
      </c>
      <c r="J11221" s="297">
        <v>11665.06</v>
      </c>
      <c r="K11221" s="297">
        <v>3289.04</v>
      </c>
      <c r="L11221" s="43">
        <v>8.6302587897260672</v>
      </c>
      <c r="M11221" s="43">
        <v>11.5</v>
      </c>
      <c r="N11221" s="43">
        <v>5.5543672863019964</v>
      </c>
      <c r="O11221" s="43">
        <v>4.4288484326187652</v>
      </c>
      <c r="P11221" s="298"/>
      <c r="Q11221" s="298"/>
      <c r="R11221" s="298">
        <v>18</v>
      </c>
    </row>
    <row r="11222" spans="1:18" ht="24">
      <c r="A11222" s="294">
        <v>484</v>
      </c>
      <c r="B11222" s="291" t="s">
        <v>20521</v>
      </c>
      <c r="C11222" s="295" t="s">
        <v>20522</v>
      </c>
      <c r="D11222" s="296">
        <v>4552.53</v>
      </c>
      <c r="E11222" s="296">
        <v>2989.84</v>
      </c>
      <c r="F11222" s="296">
        <v>400.98</v>
      </c>
      <c r="G11222" s="296">
        <v>1161.71</v>
      </c>
      <c r="H11222" s="297">
        <v>41527.71</v>
      </c>
      <c r="I11222" s="297">
        <v>34383.160000000003</v>
      </c>
      <c r="J11222" s="297">
        <v>2244.59</v>
      </c>
      <c r="K11222" s="297">
        <v>4899.96</v>
      </c>
      <c r="L11222" s="43">
        <v>9.1218970550441192</v>
      </c>
      <c r="M11222" s="43">
        <v>11.5</v>
      </c>
      <c r="N11222" s="43">
        <v>5.5977604868073225</v>
      </c>
      <c r="O11222" s="43">
        <v>4.2178857029723424</v>
      </c>
      <c r="P11222" s="298"/>
      <c r="Q11222" s="298"/>
      <c r="R11222" s="298">
        <v>18</v>
      </c>
    </row>
    <row r="11223" spans="1:18" ht="24">
      <c r="A11223" s="294">
        <v>485</v>
      </c>
      <c r="B11223" s="291" t="s">
        <v>20523</v>
      </c>
      <c r="C11223" s="295" t="s">
        <v>20524</v>
      </c>
      <c r="D11223" s="296">
        <v>534.17999999999995</v>
      </c>
      <c r="E11223" s="296">
        <v>234.76</v>
      </c>
      <c r="F11223" s="296">
        <v>93.83</v>
      </c>
      <c r="G11223" s="296">
        <v>205.59</v>
      </c>
      <c r="H11223" s="297">
        <v>4004</v>
      </c>
      <c r="I11223" s="297">
        <v>2699.82</v>
      </c>
      <c r="J11223" s="297">
        <v>507.28</v>
      </c>
      <c r="K11223" s="297">
        <v>796.9</v>
      </c>
      <c r="L11223" s="43">
        <v>7.4956007338350377</v>
      </c>
      <c r="M11223" s="43">
        <v>11.500340773555973</v>
      </c>
      <c r="N11223" s="43">
        <v>5.4063732281786203</v>
      </c>
      <c r="O11223" s="43">
        <v>3.8761612918916288</v>
      </c>
      <c r="P11223" s="298"/>
      <c r="Q11223" s="298"/>
      <c r="R11223" s="298">
        <v>18</v>
      </c>
    </row>
    <row r="11224" spans="1:18" ht="24">
      <c r="A11224" s="294">
        <v>486</v>
      </c>
      <c r="B11224" s="291" t="s">
        <v>20525</v>
      </c>
      <c r="C11224" s="295" t="s">
        <v>20526</v>
      </c>
      <c r="D11224" s="296">
        <v>754.59</v>
      </c>
      <c r="E11224" s="296">
        <v>386.28</v>
      </c>
      <c r="F11224" s="296">
        <v>197.22</v>
      </c>
      <c r="G11224" s="296">
        <v>171.09</v>
      </c>
      <c r="H11224" s="297">
        <v>6346.49</v>
      </c>
      <c r="I11224" s="297">
        <v>4442.22</v>
      </c>
      <c r="J11224" s="297">
        <v>1067.04</v>
      </c>
      <c r="K11224" s="297">
        <v>837.23</v>
      </c>
      <c r="L11224" s="43">
        <v>8.410514319034176</v>
      </c>
      <c r="M11224" s="43">
        <v>11.500000000000002</v>
      </c>
      <c r="N11224" s="43">
        <v>5.4104046242774562</v>
      </c>
      <c r="O11224" s="43">
        <v>4.8935063416915074</v>
      </c>
      <c r="P11224" s="298"/>
      <c r="Q11224" s="298"/>
      <c r="R11224" s="298">
        <v>18</v>
      </c>
    </row>
    <row r="11225" spans="1:18" ht="24">
      <c r="A11225" s="294">
        <v>487</v>
      </c>
      <c r="B11225" s="291" t="s">
        <v>20527</v>
      </c>
      <c r="C11225" s="295" t="s">
        <v>20528</v>
      </c>
      <c r="D11225" s="296">
        <v>589.78</v>
      </c>
      <c r="E11225" s="296">
        <v>264.14</v>
      </c>
      <c r="F11225" s="296">
        <v>185.53</v>
      </c>
      <c r="G11225" s="296">
        <v>140.11000000000001</v>
      </c>
      <c r="H11225" s="297">
        <v>4599.33</v>
      </c>
      <c r="I11225" s="297">
        <v>3037.61</v>
      </c>
      <c r="J11225" s="297">
        <v>1002.66</v>
      </c>
      <c r="K11225" s="297">
        <v>559.05999999999995</v>
      </c>
      <c r="L11225" s="43">
        <v>7.7983824476923598</v>
      </c>
      <c r="M11225" s="43">
        <v>11.500000000000002</v>
      </c>
      <c r="N11225" s="43">
        <v>5.4043011911820189</v>
      </c>
      <c r="O11225" s="43">
        <v>3.9901505959603161</v>
      </c>
      <c r="P11225" s="298"/>
      <c r="Q11225" s="298"/>
      <c r="R11225" s="298">
        <v>18</v>
      </c>
    </row>
    <row r="11226" spans="1:18" ht="24">
      <c r="A11226" s="294">
        <v>488</v>
      </c>
      <c r="B11226" s="291" t="s">
        <v>20529</v>
      </c>
      <c r="C11226" s="295" t="s">
        <v>20530</v>
      </c>
      <c r="D11226" s="296">
        <v>5839.03</v>
      </c>
      <c r="E11226" s="296">
        <v>3034.8</v>
      </c>
      <c r="F11226" s="296">
        <v>2332.21</v>
      </c>
      <c r="G11226" s="296">
        <v>472.02</v>
      </c>
      <c r="H11226" s="297">
        <v>49749.04</v>
      </c>
      <c r="I11226" s="297">
        <v>34900.199999999997</v>
      </c>
      <c r="J11226" s="297">
        <v>12588.74</v>
      </c>
      <c r="K11226" s="297">
        <v>2260.1</v>
      </c>
      <c r="L11226" s="43">
        <v>8.5200863842110763</v>
      </c>
      <c r="M11226" s="43">
        <v>11.499999999999998</v>
      </c>
      <c r="N11226" s="43">
        <v>5.3977729278238238</v>
      </c>
      <c r="O11226" s="43">
        <v>4.7881445701453327</v>
      </c>
      <c r="P11226" s="298"/>
      <c r="Q11226" s="298"/>
      <c r="R11226" s="298">
        <v>18</v>
      </c>
    </row>
    <row r="11227" spans="1:18" ht="24">
      <c r="A11227" s="294">
        <v>489</v>
      </c>
      <c r="B11227" s="291" t="s">
        <v>20531</v>
      </c>
      <c r="C11227" s="295" t="s">
        <v>20532</v>
      </c>
      <c r="D11227" s="296">
        <v>19747.98</v>
      </c>
      <c r="E11227" s="296">
        <v>12914.76</v>
      </c>
      <c r="F11227" s="296">
        <v>3371.84</v>
      </c>
      <c r="G11227" s="296">
        <v>3461.38</v>
      </c>
      <c r="H11227" s="297">
        <v>182006.96</v>
      </c>
      <c r="I11227" s="297">
        <v>148519.74</v>
      </c>
      <c r="J11227" s="297">
        <v>18438.009999999998</v>
      </c>
      <c r="K11227" s="297">
        <v>15049.21</v>
      </c>
      <c r="L11227" s="43">
        <v>9.216484926559577</v>
      </c>
      <c r="M11227" s="43">
        <v>11.499999999999998</v>
      </c>
      <c r="N11227" s="43">
        <v>5.4682339612793012</v>
      </c>
      <c r="O11227" s="43">
        <v>4.3477485858241502</v>
      </c>
      <c r="P11227" s="298"/>
      <c r="Q11227" s="298"/>
      <c r="R11227" s="298">
        <v>18</v>
      </c>
    </row>
    <row r="11228" spans="1:18" ht="24">
      <c r="A11228" s="294">
        <v>490</v>
      </c>
      <c r="B11228" s="291" t="s">
        <v>20533</v>
      </c>
      <c r="C11228" s="295" t="s">
        <v>20534</v>
      </c>
      <c r="D11228" s="296">
        <v>21278</v>
      </c>
      <c r="E11228" s="296">
        <v>9902.44</v>
      </c>
      <c r="F11228" s="296">
        <v>7008.15</v>
      </c>
      <c r="G11228" s="296">
        <v>4367.41</v>
      </c>
      <c r="H11228" s="297">
        <v>170921.83</v>
      </c>
      <c r="I11228" s="297">
        <v>113878.06</v>
      </c>
      <c r="J11228" s="297">
        <v>37926.269999999997</v>
      </c>
      <c r="K11228" s="297">
        <v>19117.5</v>
      </c>
      <c r="L11228" s="43">
        <v>8.0327958454741974</v>
      </c>
      <c r="M11228" s="43">
        <v>11.5</v>
      </c>
      <c r="N11228" s="43">
        <v>5.411737762462276</v>
      </c>
      <c r="O11228" s="43">
        <v>4.3773082902681457</v>
      </c>
      <c r="P11228" s="298"/>
      <c r="Q11228" s="298"/>
      <c r="R11228" s="298">
        <v>18</v>
      </c>
    </row>
    <row r="11229" spans="1:18" ht="24">
      <c r="A11229" s="294">
        <v>491</v>
      </c>
      <c r="B11229" s="291" t="s">
        <v>20535</v>
      </c>
      <c r="C11229" s="295" t="s">
        <v>20536</v>
      </c>
      <c r="D11229" s="296">
        <v>40641.79</v>
      </c>
      <c r="E11229" s="296">
        <v>26185.71</v>
      </c>
      <c r="F11229" s="296">
        <v>11052.03</v>
      </c>
      <c r="G11229" s="296">
        <v>3404.05</v>
      </c>
      <c r="H11229" s="297">
        <v>379379.73</v>
      </c>
      <c r="I11229" s="297">
        <v>301147.06</v>
      </c>
      <c r="J11229" s="297">
        <v>59525.48</v>
      </c>
      <c r="K11229" s="297">
        <v>18707.189999999999</v>
      </c>
      <c r="L11229" s="43">
        <v>9.334720001259786</v>
      </c>
      <c r="M11229" s="43">
        <v>11.500435161009573</v>
      </c>
      <c r="N11229" s="43">
        <v>5.3859318152411815</v>
      </c>
      <c r="O11229" s="43">
        <v>5.4955685139759982</v>
      </c>
      <c r="P11229" s="298"/>
      <c r="Q11229" s="298"/>
      <c r="R11229" s="298">
        <v>18</v>
      </c>
    </row>
    <row r="11230" spans="1:18" ht="24">
      <c r="A11230" s="294">
        <v>492</v>
      </c>
      <c r="B11230" s="291" t="s">
        <v>20537</v>
      </c>
      <c r="C11230" s="295" t="s">
        <v>20538</v>
      </c>
      <c r="D11230" s="296">
        <v>4694.01</v>
      </c>
      <c r="E11230" s="296">
        <v>2161.09</v>
      </c>
      <c r="F11230" s="296">
        <v>1817.81</v>
      </c>
      <c r="G11230" s="296">
        <v>715.11</v>
      </c>
      <c r="H11230" s="297">
        <v>37612.230000000003</v>
      </c>
      <c r="I11230" s="297">
        <v>24853.52</v>
      </c>
      <c r="J11230" s="297">
        <v>9775.3700000000008</v>
      </c>
      <c r="K11230" s="297">
        <v>2983.34</v>
      </c>
      <c r="L11230" s="43">
        <v>8.0128142036339938</v>
      </c>
      <c r="M11230" s="43">
        <v>11.500455788514129</v>
      </c>
      <c r="N11230" s="43">
        <v>5.3775532096313698</v>
      </c>
      <c r="O11230" s="43">
        <v>4.1718616716309382</v>
      </c>
      <c r="P11230" s="298"/>
      <c r="Q11230" s="298"/>
      <c r="R11230" s="298">
        <v>18</v>
      </c>
    </row>
    <row r="11231" spans="1:18" ht="24">
      <c r="A11231" s="294">
        <v>493</v>
      </c>
      <c r="B11231" s="291" t="s">
        <v>20539</v>
      </c>
      <c r="C11231" s="295" t="s">
        <v>20540</v>
      </c>
      <c r="D11231" s="296">
        <v>2767.04</v>
      </c>
      <c r="E11231" s="296">
        <v>1459.01</v>
      </c>
      <c r="F11231" s="296">
        <v>875.42</v>
      </c>
      <c r="G11231" s="296">
        <v>432.61</v>
      </c>
      <c r="H11231" s="297">
        <v>23309.200000000001</v>
      </c>
      <c r="I11231" s="297">
        <v>16779.28</v>
      </c>
      <c r="J11231" s="297">
        <v>4701.4399999999996</v>
      </c>
      <c r="K11231" s="297">
        <v>1828.48</v>
      </c>
      <c r="L11231" s="43">
        <v>8.423875332485256</v>
      </c>
      <c r="M11231" s="43">
        <v>11.500455788514129</v>
      </c>
      <c r="N11231" s="43">
        <v>5.3704964474195238</v>
      </c>
      <c r="O11231" s="43">
        <v>4.2266244423383643</v>
      </c>
      <c r="P11231" s="298"/>
      <c r="Q11231" s="298"/>
      <c r="R11231" s="298">
        <v>18</v>
      </c>
    </row>
    <row r="11232" spans="1:18" ht="24">
      <c r="A11232" s="294">
        <v>494</v>
      </c>
      <c r="B11232" s="291" t="s">
        <v>20541</v>
      </c>
      <c r="C11232" s="295" t="s">
        <v>20542</v>
      </c>
      <c r="D11232" s="296">
        <v>6151.73</v>
      </c>
      <c r="E11232" s="296">
        <v>2863.8</v>
      </c>
      <c r="F11232" s="296">
        <v>2551.21</v>
      </c>
      <c r="G11232" s="296">
        <v>736.72</v>
      </c>
      <c r="H11232" s="297">
        <v>49806.97</v>
      </c>
      <c r="I11232" s="297">
        <v>32933.699999999997</v>
      </c>
      <c r="J11232" s="297">
        <v>13662.08</v>
      </c>
      <c r="K11232" s="297">
        <v>3211.19</v>
      </c>
      <c r="L11232" s="43">
        <v>8.0964167803203342</v>
      </c>
      <c r="M11232" s="43">
        <v>11.499999999999998</v>
      </c>
      <c r="N11232" s="43">
        <v>5.3551373661909443</v>
      </c>
      <c r="O11232" s="43">
        <v>4.3587658812031709</v>
      </c>
      <c r="P11232" s="298"/>
      <c r="Q11232" s="298"/>
      <c r="R11232" s="298">
        <v>18</v>
      </c>
    </row>
    <row r="11233" spans="1:18" ht="24">
      <c r="A11233" s="294">
        <v>495</v>
      </c>
      <c r="B11233" s="291" t="s">
        <v>20543</v>
      </c>
      <c r="C11233" s="295" t="s">
        <v>20544</v>
      </c>
      <c r="D11233" s="296">
        <v>17007.060000000001</v>
      </c>
      <c r="E11233" s="296">
        <v>8283.8799999999992</v>
      </c>
      <c r="F11233" s="296">
        <v>7829.27</v>
      </c>
      <c r="G11233" s="296">
        <v>893.91</v>
      </c>
      <c r="H11233" s="297">
        <v>142393.29999999999</v>
      </c>
      <c r="I11233" s="297">
        <v>95264.62</v>
      </c>
      <c r="J11233" s="297">
        <v>42243.26</v>
      </c>
      <c r="K11233" s="297">
        <v>4885.42</v>
      </c>
      <c r="L11233" s="43">
        <v>8.372599379316588</v>
      </c>
      <c r="M11233" s="43">
        <v>11.5</v>
      </c>
      <c r="N11233" s="43">
        <v>5.3955553966078575</v>
      </c>
      <c r="O11233" s="43">
        <v>5.4652258057298839</v>
      </c>
      <c r="P11233" s="298"/>
      <c r="Q11233" s="298"/>
      <c r="R11233" s="298">
        <v>18</v>
      </c>
    </row>
    <row r="11234" spans="1:18" ht="24">
      <c r="A11234" s="294">
        <v>496</v>
      </c>
      <c r="B11234" s="291" t="s">
        <v>20545</v>
      </c>
      <c r="C11234" s="295" t="s">
        <v>20546</v>
      </c>
      <c r="D11234" s="296">
        <v>764.21</v>
      </c>
      <c r="E11234" s="296">
        <v>342.99</v>
      </c>
      <c r="F11234" s="296">
        <v>144.06</v>
      </c>
      <c r="G11234" s="296">
        <v>277.16000000000003</v>
      </c>
      <c r="H11234" s="297">
        <v>5808.9</v>
      </c>
      <c r="I11234" s="297">
        <v>3944.39</v>
      </c>
      <c r="J11234" s="297">
        <v>776.12</v>
      </c>
      <c r="K11234" s="297">
        <v>1088.3900000000001</v>
      </c>
      <c r="L11234" s="43">
        <v>7.6011829209248756</v>
      </c>
      <c r="M11234" s="43">
        <v>11.50001457768448</v>
      </c>
      <c r="N11234" s="43">
        <v>5.3874774399555738</v>
      </c>
      <c r="O11234" s="43">
        <v>3.9269375090200604</v>
      </c>
      <c r="P11234" s="298"/>
      <c r="Q11234" s="298"/>
      <c r="R11234" s="298">
        <v>18</v>
      </c>
    </row>
    <row r="11235" spans="1:18" ht="24">
      <c r="A11235" s="294">
        <v>497</v>
      </c>
      <c r="B11235" s="291" t="s">
        <v>20547</v>
      </c>
      <c r="C11235" s="295" t="s">
        <v>20548</v>
      </c>
      <c r="D11235" s="296">
        <v>5363.91</v>
      </c>
      <c r="E11235" s="296">
        <v>3463.2</v>
      </c>
      <c r="F11235" s="296">
        <v>1159.8599999999999</v>
      </c>
      <c r="G11235" s="296">
        <v>740.85</v>
      </c>
      <c r="H11235" s="297">
        <v>49325.38</v>
      </c>
      <c r="I11235" s="297">
        <v>39826.800000000003</v>
      </c>
      <c r="J11235" s="297">
        <v>6218.46</v>
      </c>
      <c r="K11235" s="297">
        <v>3280.12</v>
      </c>
      <c r="L11235" s="43">
        <v>9.1957881470792753</v>
      </c>
      <c r="M11235" s="43">
        <v>11.500000000000002</v>
      </c>
      <c r="N11235" s="43">
        <v>5.3613884434328289</v>
      </c>
      <c r="O11235" s="43">
        <v>4.4275089424309915</v>
      </c>
      <c r="P11235" s="298"/>
      <c r="Q11235" s="298"/>
      <c r="R11235" s="298">
        <v>18</v>
      </c>
    </row>
    <row r="11236" spans="1:18" ht="12.75" customHeight="1">
      <c r="A11236" s="628" t="s">
        <v>20549</v>
      </c>
      <c r="B11236" s="629"/>
      <c r="C11236" s="629"/>
      <c r="D11236" s="629"/>
      <c r="E11236" s="629"/>
      <c r="F11236" s="629"/>
      <c r="G11236" s="629"/>
      <c r="H11236" s="629"/>
      <c r="I11236" s="629"/>
      <c r="J11236" s="629"/>
      <c r="K11236" s="629"/>
      <c r="L11236" s="629"/>
      <c r="M11236" s="629"/>
      <c r="N11236" s="629"/>
      <c r="O11236" s="629"/>
      <c r="P11236" s="629"/>
      <c r="Q11236" s="629"/>
      <c r="R11236" s="629"/>
    </row>
    <row r="11237" spans="1:18" ht="12.75" customHeight="1">
      <c r="A11237" s="628" t="s">
        <v>20550</v>
      </c>
      <c r="B11237" s="629"/>
      <c r="C11237" s="629"/>
      <c r="D11237" s="629"/>
      <c r="E11237" s="629"/>
      <c r="F11237" s="629"/>
      <c r="G11237" s="629"/>
      <c r="H11237" s="629"/>
      <c r="I11237" s="629"/>
      <c r="J11237" s="629"/>
      <c r="K11237" s="629"/>
      <c r="L11237" s="629"/>
      <c r="M11237" s="629"/>
      <c r="N11237" s="629"/>
      <c r="O11237" s="629"/>
      <c r="P11237" s="629"/>
      <c r="Q11237" s="629"/>
      <c r="R11237" s="629"/>
    </row>
    <row r="11238" spans="1:18" ht="36">
      <c r="A11238" s="294">
        <v>498</v>
      </c>
      <c r="B11238" s="291" t="s">
        <v>20551</v>
      </c>
      <c r="C11238" s="295" t="s">
        <v>20552</v>
      </c>
      <c r="D11238" s="296">
        <v>878.38</v>
      </c>
      <c r="E11238" s="296">
        <v>184.28</v>
      </c>
      <c r="F11238" s="296">
        <v>512.35</v>
      </c>
      <c r="G11238" s="296">
        <v>181.75</v>
      </c>
      <c r="H11238" s="297">
        <v>5436.11</v>
      </c>
      <c r="I11238" s="297">
        <v>2119.2199999999998</v>
      </c>
      <c r="J11238" s="297">
        <v>2581.2800000000002</v>
      </c>
      <c r="K11238" s="297">
        <v>735.61</v>
      </c>
      <c r="L11238" s="43">
        <v>6.1887907283863477</v>
      </c>
      <c r="M11238" s="43">
        <v>11.499999999999998</v>
      </c>
      <c r="N11238" s="43">
        <v>5.0381184736996198</v>
      </c>
      <c r="O11238" s="43">
        <v>4.047372764786795</v>
      </c>
      <c r="P11238" s="298"/>
      <c r="Q11238" s="298"/>
      <c r="R11238" s="298">
        <v>1</v>
      </c>
    </row>
    <row r="11239" spans="1:18" ht="36">
      <c r="A11239" s="294">
        <v>499</v>
      </c>
      <c r="B11239" s="291" t="s">
        <v>20553</v>
      </c>
      <c r="C11239" s="295" t="s">
        <v>20554</v>
      </c>
      <c r="D11239" s="296">
        <v>1376.77</v>
      </c>
      <c r="E11239" s="296">
        <v>290.51</v>
      </c>
      <c r="F11239" s="296">
        <v>783.54</v>
      </c>
      <c r="G11239" s="296">
        <v>302.72000000000003</v>
      </c>
      <c r="H11239" s="297">
        <v>8510.02</v>
      </c>
      <c r="I11239" s="297">
        <v>3340.89</v>
      </c>
      <c r="J11239" s="297">
        <v>3953.09</v>
      </c>
      <c r="K11239" s="297">
        <v>1216.04</v>
      </c>
      <c r="L11239" s="43">
        <v>6.1811486304902061</v>
      </c>
      <c r="M11239" s="43">
        <v>11.500086055557468</v>
      </c>
      <c r="N11239" s="43">
        <v>5.0451668070551605</v>
      </c>
      <c r="O11239" s="43">
        <v>4.0170454545454541</v>
      </c>
      <c r="P11239" s="298"/>
      <c r="Q11239" s="298"/>
      <c r="R11239" s="298">
        <v>1</v>
      </c>
    </row>
    <row r="11240" spans="1:18" ht="36">
      <c r="A11240" s="294">
        <v>500</v>
      </c>
      <c r="B11240" s="291" t="s">
        <v>20555</v>
      </c>
      <c r="C11240" s="295" t="s">
        <v>20556</v>
      </c>
      <c r="D11240" s="296">
        <v>1707.84</v>
      </c>
      <c r="E11240" s="296">
        <v>342.54</v>
      </c>
      <c r="F11240" s="296">
        <v>1040.74</v>
      </c>
      <c r="G11240" s="296">
        <v>324.56</v>
      </c>
      <c r="H11240" s="297">
        <v>10524.48</v>
      </c>
      <c r="I11240" s="297">
        <v>3939.26</v>
      </c>
      <c r="J11240" s="297">
        <v>5249.42</v>
      </c>
      <c r="K11240" s="297">
        <v>1335.8</v>
      </c>
      <c r="L11240" s="43">
        <v>6.1624508150646431</v>
      </c>
      <c r="M11240" s="43">
        <v>11.500145968354062</v>
      </c>
      <c r="N11240" s="43">
        <v>5.043930280377424</v>
      </c>
      <c r="O11240" s="43">
        <v>4.1157259058417548</v>
      </c>
      <c r="P11240" s="298"/>
      <c r="Q11240" s="298"/>
      <c r="R11240" s="298">
        <v>1</v>
      </c>
    </row>
    <row r="11241" spans="1:18" ht="36">
      <c r="A11241" s="294">
        <v>501</v>
      </c>
      <c r="B11241" s="291" t="s">
        <v>20557</v>
      </c>
      <c r="C11241" s="295" t="s">
        <v>20558</v>
      </c>
      <c r="D11241" s="296">
        <v>2431.8000000000002</v>
      </c>
      <c r="E11241" s="296">
        <v>509.48</v>
      </c>
      <c r="F11241" s="296">
        <v>1502.98</v>
      </c>
      <c r="G11241" s="296">
        <v>419.34</v>
      </c>
      <c r="H11241" s="297">
        <v>15201.23</v>
      </c>
      <c r="I11241" s="297">
        <v>5859.02</v>
      </c>
      <c r="J11241" s="297">
        <v>7585.63</v>
      </c>
      <c r="K11241" s="297">
        <v>1756.58</v>
      </c>
      <c r="L11241" s="43">
        <v>6.2510198207089394</v>
      </c>
      <c r="M11241" s="43">
        <v>11.5</v>
      </c>
      <c r="N11241" s="43">
        <v>5.04705984111565</v>
      </c>
      <c r="O11241" s="43">
        <v>4.1889159154862403</v>
      </c>
      <c r="P11241" s="298"/>
      <c r="Q11241" s="298"/>
      <c r="R11241" s="298">
        <v>1</v>
      </c>
    </row>
    <row r="11242" spans="1:18" ht="36">
      <c r="A11242" s="294">
        <v>502</v>
      </c>
      <c r="B11242" s="291" t="s">
        <v>20559</v>
      </c>
      <c r="C11242" s="295" t="s">
        <v>20560</v>
      </c>
      <c r="D11242" s="296">
        <v>4468.71</v>
      </c>
      <c r="E11242" s="296">
        <v>1005.95</v>
      </c>
      <c r="F11242" s="296">
        <v>2819.19</v>
      </c>
      <c r="G11242" s="296">
        <v>643.57000000000005</v>
      </c>
      <c r="H11242" s="297">
        <v>28403.599999999999</v>
      </c>
      <c r="I11242" s="297">
        <v>11568.45</v>
      </c>
      <c r="J11242" s="297">
        <v>14231.9</v>
      </c>
      <c r="K11242" s="297">
        <v>2603.25</v>
      </c>
      <c r="L11242" s="43">
        <v>6.3561072434774237</v>
      </c>
      <c r="M11242" s="43">
        <v>11.500024852129828</v>
      </c>
      <c r="N11242" s="43">
        <v>5.0482230711658307</v>
      </c>
      <c r="O11242" s="43">
        <v>4.0450145283341357</v>
      </c>
      <c r="P11242" s="298"/>
      <c r="Q11242" s="298"/>
      <c r="R11242" s="298">
        <v>1</v>
      </c>
    </row>
    <row r="11243" spans="1:18" ht="36">
      <c r="A11243" s="294">
        <v>503</v>
      </c>
      <c r="B11243" s="291" t="s">
        <v>20561</v>
      </c>
      <c r="C11243" s="295" t="s">
        <v>20562</v>
      </c>
      <c r="D11243" s="296">
        <v>7793.78</v>
      </c>
      <c r="E11243" s="296">
        <v>1723.56</v>
      </c>
      <c r="F11243" s="296">
        <v>4841.24</v>
      </c>
      <c r="G11243" s="296">
        <v>1228.98</v>
      </c>
      <c r="H11243" s="297">
        <v>49248.56</v>
      </c>
      <c r="I11243" s="297">
        <v>19820.939999999999</v>
      </c>
      <c r="J11243" s="297">
        <v>24443.17</v>
      </c>
      <c r="K11243" s="297">
        <v>4984.45</v>
      </c>
      <c r="L11243" s="43">
        <v>6.3189569117937641</v>
      </c>
      <c r="M11243" s="43">
        <v>11.5</v>
      </c>
      <c r="N11243" s="43">
        <v>5.0489482033528601</v>
      </c>
      <c r="O11243" s="43">
        <v>4.0557616885547363</v>
      </c>
      <c r="P11243" s="298"/>
      <c r="Q11243" s="298"/>
      <c r="R11243" s="298">
        <v>1</v>
      </c>
    </row>
    <row r="11244" spans="1:18" ht="36">
      <c r="A11244" s="294">
        <v>504</v>
      </c>
      <c r="B11244" s="291" t="s">
        <v>20563</v>
      </c>
      <c r="C11244" s="295" t="s">
        <v>20564</v>
      </c>
      <c r="D11244" s="296">
        <v>10577.21</v>
      </c>
      <c r="E11244" s="296">
        <v>2363.12</v>
      </c>
      <c r="F11244" s="296">
        <v>6572.91</v>
      </c>
      <c r="G11244" s="296">
        <v>1641.18</v>
      </c>
      <c r="H11244" s="297">
        <v>67064.160000000003</v>
      </c>
      <c r="I11244" s="297">
        <v>27175.88</v>
      </c>
      <c r="J11244" s="297">
        <v>33183.79</v>
      </c>
      <c r="K11244" s="297">
        <v>6704.49</v>
      </c>
      <c r="L11244" s="43">
        <v>6.3404394920777793</v>
      </c>
      <c r="M11244" s="43">
        <v>11.500000000000002</v>
      </c>
      <c r="N11244" s="43">
        <v>5.0485690508465808</v>
      </c>
      <c r="O11244" s="43">
        <v>4.0851643329799288</v>
      </c>
      <c r="P11244" s="298"/>
      <c r="Q11244" s="298"/>
      <c r="R11244" s="298">
        <v>1</v>
      </c>
    </row>
    <row r="11245" spans="1:18" ht="36">
      <c r="A11245" s="294">
        <v>505</v>
      </c>
      <c r="B11245" s="291" t="s">
        <v>20565</v>
      </c>
      <c r="C11245" s="295" t="s">
        <v>20566</v>
      </c>
      <c r="D11245" s="296">
        <v>19824.150000000001</v>
      </c>
      <c r="E11245" s="296">
        <v>4422.72</v>
      </c>
      <c r="F11245" s="296">
        <v>12867.71</v>
      </c>
      <c r="G11245" s="296">
        <v>2533.7199999999998</v>
      </c>
      <c r="H11245" s="297">
        <v>126428.46</v>
      </c>
      <c r="I11245" s="297">
        <v>50861.279999999999</v>
      </c>
      <c r="J11245" s="297">
        <v>65031.96</v>
      </c>
      <c r="K11245" s="297">
        <v>10535.22</v>
      </c>
      <c r="L11245" s="43">
        <v>6.3774971436354146</v>
      </c>
      <c r="M11245" s="43">
        <v>11.499999999999998</v>
      </c>
      <c r="N11245" s="43">
        <v>5.0538875992698005</v>
      </c>
      <c r="O11245" s="43">
        <v>4.1580048308416089</v>
      </c>
      <c r="P11245" s="298"/>
      <c r="Q11245" s="298"/>
      <c r="R11245" s="298">
        <v>1</v>
      </c>
    </row>
    <row r="11246" spans="1:18" ht="48">
      <c r="A11246" s="294">
        <v>506</v>
      </c>
      <c r="B11246" s="291" t="s">
        <v>20567</v>
      </c>
      <c r="C11246" s="295" t="s">
        <v>20568</v>
      </c>
      <c r="D11246" s="296">
        <v>552.65</v>
      </c>
      <c r="E11246" s="296">
        <v>81.489999999999995</v>
      </c>
      <c r="F11246" s="296">
        <v>291.47000000000003</v>
      </c>
      <c r="G11246" s="296">
        <v>179.69</v>
      </c>
      <c r="H11246" s="297">
        <v>3130.84</v>
      </c>
      <c r="I11246" s="297">
        <v>937.14</v>
      </c>
      <c r="J11246" s="297">
        <v>1481.78</v>
      </c>
      <c r="K11246" s="297">
        <v>711.92</v>
      </c>
      <c r="L11246" s="43">
        <v>5.6651406857866649</v>
      </c>
      <c r="M11246" s="43">
        <v>11.500061357221746</v>
      </c>
      <c r="N11246" s="43">
        <v>5.0838165162795477</v>
      </c>
      <c r="O11246" s="43">
        <v>3.9619344426512324</v>
      </c>
      <c r="P11246" s="298"/>
      <c r="Q11246" s="298"/>
      <c r="R11246" s="298">
        <v>1</v>
      </c>
    </row>
    <row r="11247" spans="1:18" ht="48">
      <c r="A11247" s="294">
        <v>507</v>
      </c>
      <c r="B11247" s="291" t="s">
        <v>20569</v>
      </c>
      <c r="C11247" s="295" t="s">
        <v>20570</v>
      </c>
      <c r="D11247" s="296">
        <v>915.75</v>
      </c>
      <c r="E11247" s="296">
        <v>106.89</v>
      </c>
      <c r="F11247" s="296">
        <v>489.01</v>
      </c>
      <c r="G11247" s="296">
        <v>319.85000000000002</v>
      </c>
      <c r="H11247" s="297">
        <v>5011.42</v>
      </c>
      <c r="I11247" s="297">
        <v>1229.26</v>
      </c>
      <c r="J11247" s="297">
        <v>2500.5300000000002</v>
      </c>
      <c r="K11247" s="297">
        <v>1281.6300000000001</v>
      </c>
      <c r="L11247" s="43">
        <v>5.4724761124761123</v>
      </c>
      <c r="M11247" s="43">
        <v>11.500233885302647</v>
      </c>
      <c r="N11247" s="43">
        <v>5.1134537126030146</v>
      </c>
      <c r="O11247" s="43">
        <v>4.0069720181335002</v>
      </c>
      <c r="P11247" s="298"/>
      <c r="Q11247" s="298"/>
      <c r="R11247" s="298">
        <v>1</v>
      </c>
    </row>
    <row r="11248" spans="1:18" ht="48">
      <c r="A11248" s="294">
        <v>508</v>
      </c>
      <c r="B11248" s="291" t="s">
        <v>20571</v>
      </c>
      <c r="C11248" s="295" t="s">
        <v>20572</v>
      </c>
      <c r="D11248" s="296">
        <v>1324.72</v>
      </c>
      <c r="E11248" s="296">
        <v>182.1</v>
      </c>
      <c r="F11248" s="296">
        <v>746.58</v>
      </c>
      <c r="G11248" s="296">
        <v>396.04</v>
      </c>
      <c r="H11248" s="297">
        <v>7550.49</v>
      </c>
      <c r="I11248" s="297">
        <v>2094.2600000000002</v>
      </c>
      <c r="J11248" s="297">
        <v>3838.77</v>
      </c>
      <c r="K11248" s="297">
        <v>1617.46</v>
      </c>
      <c r="L11248" s="43">
        <v>5.6996874811280875</v>
      </c>
      <c r="M11248" s="43">
        <v>11.500604063701264</v>
      </c>
      <c r="N11248" s="43">
        <v>5.1418066382705137</v>
      </c>
      <c r="O11248" s="43">
        <v>4.0840824159175844</v>
      </c>
      <c r="P11248" s="298"/>
      <c r="Q11248" s="298"/>
      <c r="R11248" s="298">
        <v>1</v>
      </c>
    </row>
    <row r="11249" spans="1:18" ht="48">
      <c r="A11249" s="294">
        <v>509</v>
      </c>
      <c r="B11249" s="291" t="s">
        <v>20573</v>
      </c>
      <c r="C11249" s="295" t="s">
        <v>20574</v>
      </c>
      <c r="D11249" s="296">
        <v>1493.17</v>
      </c>
      <c r="E11249" s="296">
        <v>233.66</v>
      </c>
      <c r="F11249" s="296">
        <v>843.17</v>
      </c>
      <c r="G11249" s="296">
        <v>416.34</v>
      </c>
      <c r="H11249" s="297">
        <v>8707</v>
      </c>
      <c r="I11249" s="297">
        <v>2687.21</v>
      </c>
      <c r="J11249" s="297">
        <v>4350.46</v>
      </c>
      <c r="K11249" s="297">
        <v>1669.33</v>
      </c>
      <c r="L11249" s="43">
        <v>5.831218146627644</v>
      </c>
      <c r="M11249" s="43">
        <v>11.500513566720876</v>
      </c>
      <c r="N11249" s="43">
        <v>5.1596475206660584</v>
      </c>
      <c r="O11249" s="43">
        <v>4.0095354758130375</v>
      </c>
      <c r="P11249" s="298"/>
      <c r="Q11249" s="298"/>
      <c r="R11249" s="298">
        <v>1</v>
      </c>
    </row>
    <row r="11250" spans="1:18" ht="48">
      <c r="A11250" s="294">
        <v>510</v>
      </c>
      <c r="B11250" s="291" t="s">
        <v>20575</v>
      </c>
      <c r="C11250" s="295" t="s">
        <v>20576</v>
      </c>
      <c r="D11250" s="296">
        <v>2204.3000000000002</v>
      </c>
      <c r="E11250" s="296">
        <v>325.81</v>
      </c>
      <c r="F11250" s="296">
        <v>1197.96</v>
      </c>
      <c r="G11250" s="296">
        <v>680.53</v>
      </c>
      <c r="H11250" s="297">
        <v>12633.19</v>
      </c>
      <c r="I11250" s="297">
        <v>3746.95</v>
      </c>
      <c r="J11250" s="297">
        <v>6171.94</v>
      </c>
      <c r="K11250" s="297">
        <v>2714.3</v>
      </c>
      <c r="L11250" s="43">
        <v>5.731157283491358</v>
      </c>
      <c r="M11250" s="43">
        <v>11.500414351922899</v>
      </c>
      <c r="N11250" s="43">
        <v>5.1520418044008141</v>
      </c>
      <c r="O11250" s="43">
        <v>3.9885089562546843</v>
      </c>
      <c r="P11250" s="298"/>
      <c r="Q11250" s="298"/>
      <c r="R11250" s="298">
        <v>1</v>
      </c>
    </row>
    <row r="11251" spans="1:18" ht="12.75" customHeight="1">
      <c r="A11251" s="628" t="s">
        <v>20577</v>
      </c>
      <c r="B11251" s="629"/>
      <c r="C11251" s="629"/>
      <c r="D11251" s="629"/>
      <c r="E11251" s="629"/>
      <c r="F11251" s="629"/>
      <c r="G11251" s="629"/>
      <c r="H11251" s="629"/>
      <c r="I11251" s="629"/>
      <c r="J11251" s="629"/>
      <c r="K11251" s="629"/>
      <c r="L11251" s="629"/>
      <c r="M11251" s="629"/>
      <c r="N11251" s="629"/>
      <c r="O11251" s="629"/>
      <c r="P11251" s="629"/>
      <c r="Q11251" s="629"/>
      <c r="R11251" s="629"/>
    </row>
    <row r="11252" spans="1:18" ht="24">
      <c r="A11252" s="294">
        <v>511</v>
      </c>
      <c r="B11252" s="291" t="s">
        <v>20578</v>
      </c>
      <c r="C11252" s="295" t="s">
        <v>20579</v>
      </c>
      <c r="D11252" s="296">
        <v>3700.25</v>
      </c>
      <c r="E11252" s="296">
        <v>2731.68</v>
      </c>
      <c r="F11252" s="296">
        <v>763.39</v>
      </c>
      <c r="G11252" s="296">
        <v>205.18</v>
      </c>
      <c r="H11252" s="297">
        <v>36837.699999999997</v>
      </c>
      <c r="I11252" s="297">
        <v>31414.32</v>
      </c>
      <c r="J11252" s="297">
        <v>4074.16</v>
      </c>
      <c r="K11252" s="297">
        <v>1349.22</v>
      </c>
      <c r="L11252" s="43">
        <v>9.9554624687521098</v>
      </c>
      <c r="M11252" s="43">
        <v>11.5</v>
      </c>
      <c r="N11252" s="43">
        <v>5.3369313195090315</v>
      </c>
      <c r="O11252" s="43">
        <v>6.5757871137537771</v>
      </c>
      <c r="P11252" s="298"/>
      <c r="Q11252" s="298"/>
      <c r="R11252" s="298">
        <v>2</v>
      </c>
    </row>
    <row r="11253" spans="1:18" ht="24">
      <c r="A11253" s="294">
        <v>512</v>
      </c>
      <c r="B11253" s="291" t="s">
        <v>20580</v>
      </c>
      <c r="C11253" s="295" t="s">
        <v>20581</v>
      </c>
      <c r="D11253" s="296">
        <v>4530.84</v>
      </c>
      <c r="E11253" s="296">
        <v>3338.72</v>
      </c>
      <c r="F11253" s="296">
        <v>954</v>
      </c>
      <c r="G11253" s="296">
        <v>238.12</v>
      </c>
      <c r="H11253" s="297">
        <v>45167.82</v>
      </c>
      <c r="I11253" s="297">
        <v>38395.279999999999</v>
      </c>
      <c r="J11253" s="297">
        <v>5175.91</v>
      </c>
      <c r="K11253" s="297">
        <v>1596.63</v>
      </c>
      <c r="L11253" s="43">
        <v>9.9689726408348118</v>
      </c>
      <c r="M11253" s="43">
        <v>11.5</v>
      </c>
      <c r="N11253" s="43">
        <v>5.4254821802935007</v>
      </c>
      <c r="O11253" s="43">
        <v>6.7051486645388882</v>
      </c>
      <c r="P11253" s="298"/>
      <c r="Q11253" s="298"/>
      <c r="R11253" s="298">
        <v>2</v>
      </c>
    </row>
    <row r="11254" spans="1:18" ht="24">
      <c r="A11254" s="294">
        <v>513</v>
      </c>
      <c r="B11254" s="291" t="s">
        <v>20582</v>
      </c>
      <c r="C11254" s="295" t="s">
        <v>20583</v>
      </c>
      <c r="D11254" s="296">
        <v>4284.88</v>
      </c>
      <c r="E11254" s="296">
        <v>2818.4</v>
      </c>
      <c r="F11254" s="296">
        <v>1238.76</v>
      </c>
      <c r="G11254" s="296">
        <v>227.72</v>
      </c>
      <c r="H11254" s="297">
        <v>40536.080000000002</v>
      </c>
      <c r="I11254" s="297">
        <v>32411.599999999999</v>
      </c>
      <c r="J11254" s="297">
        <v>6647.45</v>
      </c>
      <c r="K11254" s="297">
        <v>1477.03</v>
      </c>
      <c r="L11254" s="43">
        <v>9.4602602639980589</v>
      </c>
      <c r="M11254" s="43">
        <v>11.5</v>
      </c>
      <c r="N11254" s="43">
        <v>5.3662129871807291</v>
      </c>
      <c r="O11254" s="43">
        <v>6.4861672229053227</v>
      </c>
      <c r="P11254" s="298"/>
      <c r="Q11254" s="298"/>
      <c r="R11254" s="298">
        <v>2</v>
      </c>
    </row>
    <row r="11255" spans="1:18" ht="12.75" customHeight="1">
      <c r="A11255" s="628" t="s">
        <v>20584</v>
      </c>
      <c r="B11255" s="629"/>
      <c r="C11255" s="629"/>
      <c r="D11255" s="629"/>
      <c r="E11255" s="629"/>
      <c r="F11255" s="629"/>
      <c r="G11255" s="629"/>
      <c r="H11255" s="629"/>
      <c r="I11255" s="629"/>
      <c r="J11255" s="629"/>
      <c r="K11255" s="629"/>
      <c r="L11255" s="629"/>
      <c r="M11255" s="629"/>
      <c r="N11255" s="629"/>
      <c r="O11255" s="629"/>
      <c r="P11255" s="629"/>
      <c r="Q11255" s="629"/>
      <c r="R11255" s="629"/>
    </row>
    <row r="11256" spans="1:18" ht="24">
      <c r="A11256" s="294">
        <v>514</v>
      </c>
      <c r="B11256" s="291" t="s">
        <v>20585</v>
      </c>
      <c r="C11256" s="295" t="s">
        <v>20586</v>
      </c>
      <c r="D11256" s="296">
        <v>6266.61</v>
      </c>
      <c r="E11256" s="296">
        <v>4162.5600000000004</v>
      </c>
      <c r="F11256" s="296">
        <v>1849.45</v>
      </c>
      <c r="G11256" s="296">
        <v>254.6</v>
      </c>
      <c r="H11256" s="297">
        <v>59743.93</v>
      </c>
      <c r="I11256" s="297">
        <v>47869.440000000002</v>
      </c>
      <c r="J11256" s="297">
        <v>10088.34</v>
      </c>
      <c r="K11256" s="297">
        <v>1786.15</v>
      </c>
      <c r="L11256" s="43">
        <v>9.5336920599813944</v>
      </c>
      <c r="M11256" s="43">
        <v>11.5</v>
      </c>
      <c r="N11256" s="43">
        <v>5.4547784476465973</v>
      </c>
      <c r="O11256" s="43">
        <v>7.0155145326001573</v>
      </c>
      <c r="P11256" s="298"/>
      <c r="Q11256" s="298"/>
      <c r="R11256" s="298">
        <v>3</v>
      </c>
    </row>
    <row r="11257" spans="1:18" ht="24">
      <c r="A11257" s="294">
        <v>515</v>
      </c>
      <c r="B11257" s="291" t="s">
        <v>20587</v>
      </c>
      <c r="C11257" s="295" t="s">
        <v>20588</v>
      </c>
      <c r="D11257" s="296">
        <v>7246.06</v>
      </c>
      <c r="E11257" s="296">
        <v>4823.8</v>
      </c>
      <c r="F11257" s="296">
        <v>2154.4299999999998</v>
      </c>
      <c r="G11257" s="296">
        <v>267.83</v>
      </c>
      <c r="H11257" s="297">
        <v>69151.41</v>
      </c>
      <c r="I11257" s="297">
        <v>55473.7</v>
      </c>
      <c r="J11257" s="297">
        <v>11739.42</v>
      </c>
      <c r="K11257" s="297">
        <v>1938.29</v>
      </c>
      <c r="L11257" s="43">
        <v>9.5433118135924904</v>
      </c>
      <c r="M11257" s="43">
        <v>11.499999999999998</v>
      </c>
      <c r="N11257" s="43">
        <v>5.4489679404761358</v>
      </c>
      <c r="O11257" s="43">
        <v>7.2370160176231195</v>
      </c>
      <c r="P11257" s="298"/>
      <c r="Q11257" s="298"/>
      <c r="R11257" s="298">
        <v>3</v>
      </c>
    </row>
    <row r="11258" spans="1:18" ht="12.75" customHeight="1">
      <c r="A11258" s="628" t="s">
        <v>20589</v>
      </c>
      <c r="B11258" s="629"/>
      <c r="C11258" s="629"/>
      <c r="D11258" s="629"/>
      <c r="E11258" s="629"/>
      <c r="F11258" s="629"/>
      <c r="G11258" s="629"/>
      <c r="H11258" s="629"/>
      <c r="I11258" s="629"/>
      <c r="J11258" s="629"/>
      <c r="K11258" s="629"/>
      <c r="L11258" s="629"/>
      <c r="M11258" s="629"/>
      <c r="N11258" s="629"/>
      <c r="O11258" s="629"/>
      <c r="P11258" s="629"/>
      <c r="Q11258" s="629"/>
      <c r="R11258" s="629"/>
    </row>
    <row r="11259" spans="1:18" ht="24">
      <c r="A11259" s="294">
        <v>516</v>
      </c>
      <c r="B11259" s="291" t="s">
        <v>20590</v>
      </c>
      <c r="C11259" s="295" t="s">
        <v>20591</v>
      </c>
      <c r="D11259" s="296">
        <v>3204.69</v>
      </c>
      <c r="E11259" s="296">
        <v>2027.08</v>
      </c>
      <c r="F11259" s="296">
        <v>965.72</v>
      </c>
      <c r="G11259" s="296">
        <v>211.89</v>
      </c>
      <c r="H11259" s="297">
        <v>29767.5</v>
      </c>
      <c r="I11259" s="297">
        <v>23311.42</v>
      </c>
      <c r="J11259" s="297">
        <v>5161.1000000000004</v>
      </c>
      <c r="K11259" s="297">
        <v>1294.98</v>
      </c>
      <c r="L11259" s="43">
        <v>9.2887299551594698</v>
      </c>
      <c r="M11259" s="43">
        <v>11.5</v>
      </c>
      <c r="N11259" s="43">
        <v>5.3443026964337488</v>
      </c>
      <c r="O11259" s="43">
        <v>6.1115673226674225</v>
      </c>
      <c r="P11259" s="298"/>
      <c r="Q11259" s="298"/>
      <c r="R11259" s="298">
        <v>4</v>
      </c>
    </row>
    <row r="11260" spans="1:18" ht="24">
      <c r="A11260" s="294">
        <v>517</v>
      </c>
      <c r="B11260" s="291" t="s">
        <v>20592</v>
      </c>
      <c r="C11260" s="295" t="s">
        <v>20593</v>
      </c>
      <c r="D11260" s="296">
        <v>3940.33</v>
      </c>
      <c r="E11260" s="296">
        <v>2818.4</v>
      </c>
      <c r="F11260" s="296">
        <v>894.21</v>
      </c>
      <c r="G11260" s="296">
        <v>227.72</v>
      </c>
      <c r="H11260" s="297">
        <v>38658.44</v>
      </c>
      <c r="I11260" s="297">
        <v>32411.599999999999</v>
      </c>
      <c r="J11260" s="297">
        <v>4769.8100000000004</v>
      </c>
      <c r="K11260" s="297">
        <v>1477.03</v>
      </c>
      <c r="L11260" s="43">
        <v>9.8109650714534062</v>
      </c>
      <c r="M11260" s="43">
        <v>11.5</v>
      </c>
      <c r="N11260" s="43">
        <v>5.3341049641583078</v>
      </c>
      <c r="O11260" s="43">
        <v>6.4861672229053227</v>
      </c>
      <c r="P11260" s="298"/>
      <c r="Q11260" s="298"/>
      <c r="R11260" s="298">
        <v>4</v>
      </c>
    </row>
    <row r="11261" spans="1:18" ht="24">
      <c r="A11261" s="294">
        <v>518</v>
      </c>
      <c r="B11261" s="291" t="s">
        <v>20594</v>
      </c>
      <c r="C11261" s="295" t="s">
        <v>20595</v>
      </c>
      <c r="D11261" s="296">
        <v>4378.96</v>
      </c>
      <c r="E11261" s="296">
        <v>3208.64</v>
      </c>
      <c r="F11261" s="296">
        <v>934.8</v>
      </c>
      <c r="G11261" s="296">
        <v>235.52</v>
      </c>
      <c r="H11261" s="297">
        <v>43453.120000000003</v>
      </c>
      <c r="I11261" s="297">
        <v>36899.360000000001</v>
      </c>
      <c r="J11261" s="297">
        <v>4987.03</v>
      </c>
      <c r="K11261" s="297">
        <v>1566.73</v>
      </c>
      <c r="L11261" s="43">
        <v>9.9231598370389325</v>
      </c>
      <c r="M11261" s="43">
        <v>11.5</v>
      </c>
      <c r="N11261" s="43">
        <v>5.334863072314934</v>
      </c>
      <c r="O11261" s="43">
        <v>6.6522163722826084</v>
      </c>
      <c r="P11261" s="298"/>
      <c r="Q11261" s="298"/>
      <c r="R11261" s="298">
        <v>4</v>
      </c>
    </row>
    <row r="11262" spans="1:18" ht="24">
      <c r="A11262" s="294">
        <v>519</v>
      </c>
      <c r="B11262" s="291" t="s">
        <v>20596</v>
      </c>
      <c r="C11262" s="295" t="s">
        <v>20597</v>
      </c>
      <c r="D11262" s="296">
        <v>5013.6099999999997</v>
      </c>
      <c r="E11262" s="296">
        <v>3512.16</v>
      </c>
      <c r="F11262" s="296">
        <v>1259.8599999999999</v>
      </c>
      <c r="G11262" s="296">
        <v>241.59</v>
      </c>
      <c r="H11262" s="297">
        <v>48788.28</v>
      </c>
      <c r="I11262" s="297">
        <v>40389.839999999997</v>
      </c>
      <c r="J11262" s="297">
        <v>6761.91</v>
      </c>
      <c r="K11262" s="297">
        <v>1636.53</v>
      </c>
      <c r="L11262" s="43">
        <v>9.7311677613535963</v>
      </c>
      <c r="M11262" s="43">
        <v>11.5</v>
      </c>
      <c r="N11262" s="43">
        <v>5.3671915927166518</v>
      </c>
      <c r="O11262" s="43">
        <v>6.7739972680988449</v>
      </c>
      <c r="P11262" s="298"/>
      <c r="Q11262" s="298"/>
      <c r="R11262" s="298">
        <v>4</v>
      </c>
    </row>
    <row r="11263" spans="1:18" ht="12.75" customHeight="1">
      <c r="A11263" s="628" t="s">
        <v>20598</v>
      </c>
      <c r="B11263" s="629"/>
      <c r="C11263" s="629"/>
      <c r="D11263" s="629"/>
      <c r="E11263" s="629"/>
      <c r="F11263" s="629"/>
      <c r="G11263" s="629"/>
      <c r="H11263" s="629"/>
      <c r="I11263" s="629"/>
      <c r="J11263" s="629"/>
      <c r="K11263" s="629"/>
      <c r="L11263" s="629"/>
      <c r="M11263" s="629"/>
      <c r="N11263" s="629"/>
      <c r="O11263" s="629"/>
      <c r="P11263" s="629"/>
      <c r="Q11263" s="629"/>
      <c r="R11263" s="629"/>
    </row>
    <row r="11264" spans="1:18" ht="12.75" customHeight="1">
      <c r="A11264" s="628" t="s">
        <v>20599</v>
      </c>
      <c r="B11264" s="629"/>
      <c r="C11264" s="629"/>
      <c r="D11264" s="629"/>
      <c r="E11264" s="629"/>
      <c r="F11264" s="629"/>
      <c r="G11264" s="629"/>
      <c r="H11264" s="629"/>
      <c r="I11264" s="629"/>
      <c r="J11264" s="629"/>
      <c r="K11264" s="629"/>
      <c r="L11264" s="629"/>
      <c r="M11264" s="629"/>
      <c r="N11264" s="629"/>
      <c r="O11264" s="629"/>
      <c r="P11264" s="629"/>
      <c r="Q11264" s="629"/>
      <c r="R11264" s="629"/>
    </row>
    <row r="11265" spans="1:18" ht="24">
      <c r="A11265" s="294">
        <v>520</v>
      </c>
      <c r="B11265" s="291" t="s">
        <v>20600</v>
      </c>
      <c r="C11265" s="295" t="s">
        <v>20601</v>
      </c>
      <c r="D11265" s="296">
        <v>602.38</v>
      </c>
      <c r="E11265" s="296">
        <v>399.19</v>
      </c>
      <c r="F11265" s="296">
        <v>44.33</v>
      </c>
      <c r="G11265" s="296">
        <v>158.86000000000001</v>
      </c>
      <c r="H11265" s="297">
        <v>5564.42</v>
      </c>
      <c r="I11265" s="297">
        <v>4590.88</v>
      </c>
      <c r="J11265" s="297">
        <v>239.86</v>
      </c>
      <c r="K11265" s="297">
        <v>733.68</v>
      </c>
      <c r="L11265" s="43">
        <v>9.2373916796706403</v>
      </c>
      <c r="M11265" s="43">
        <v>11.500488489190611</v>
      </c>
      <c r="N11265" s="43">
        <v>5.4107827656214758</v>
      </c>
      <c r="O11265" s="43">
        <v>4.6184061437743917</v>
      </c>
      <c r="P11265" s="298"/>
      <c r="Q11265" s="298"/>
      <c r="R11265" s="298">
        <v>1</v>
      </c>
    </row>
    <row r="11266" spans="1:18" ht="24">
      <c r="A11266" s="294">
        <v>521</v>
      </c>
      <c r="B11266" s="291" t="s">
        <v>20602</v>
      </c>
      <c r="C11266" s="295" t="s">
        <v>20603</v>
      </c>
      <c r="D11266" s="296">
        <v>1081.73</v>
      </c>
      <c r="E11266" s="296">
        <v>597.74</v>
      </c>
      <c r="F11266" s="296">
        <v>311.64</v>
      </c>
      <c r="G11266" s="296">
        <v>172.35</v>
      </c>
      <c r="H11266" s="297">
        <v>9400.0499999999993</v>
      </c>
      <c r="I11266" s="297">
        <v>6874.3</v>
      </c>
      <c r="J11266" s="297">
        <v>1662.97</v>
      </c>
      <c r="K11266" s="297">
        <v>862.78</v>
      </c>
      <c r="L11266" s="43">
        <v>8.689830179434793</v>
      </c>
      <c r="M11266" s="43">
        <v>11.500485160772243</v>
      </c>
      <c r="N11266" s="43">
        <v>5.3361891926581952</v>
      </c>
      <c r="O11266" s="43">
        <v>5.005976211198143</v>
      </c>
      <c r="P11266" s="298"/>
      <c r="Q11266" s="298"/>
      <c r="R11266" s="298">
        <v>1</v>
      </c>
    </row>
    <row r="11267" spans="1:18" ht="24">
      <c r="A11267" s="294">
        <v>522</v>
      </c>
      <c r="B11267" s="291" t="s">
        <v>20604</v>
      </c>
      <c r="C11267" s="295" t="s">
        <v>20605</v>
      </c>
      <c r="D11267" s="296">
        <v>4193.88</v>
      </c>
      <c r="E11267" s="296">
        <v>1964.6</v>
      </c>
      <c r="F11267" s="296">
        <v>2183.8000000000002</v>
      </c>
      <c r="G11267" s="296">
        <v>45.48</v>
      </c>
      <c r="H11267" s="297">
        <v>34894.81</v>
      </c>
      <c r="I11267" s="297">
        <v>22593.84</v>
      </c>
      <c r="J11267" s="297">
        <v>11794.89</v>
      </c>
      <c r="K11267" s="297">
        <v>506.08</v>
      </c>
      <c r="L11267" s="43">
        <v>8.3204121243335525</v>
      </c>
      <c r="M11267" s="43">
        <v>11.500478468899523</v>
      </c>
      <c r="N11267" s="43">
        <v>5.4010852642183345</v>
      </c>
      <c r="O11267" s="43">
        <v>11.127528583992964</v>
      </c>
      <c r="P11267" s="298"/>
      <c r="Q11267" s="298"/>
      <c r="R11267" s="298">
        <v>1</v>
      </c>
    </row>
    <row r="11268" spans="1:18" ht="24">
      <c r="A11268" s="294">
        <v>523</v>
      </c>
      <c r="B11268" s="291" t="s">
        <v>20606</v>
      </c>
      <c r="C11268" s="295" t="s">
        <v>20607</v>
      </c>
      <c r="D11268" s="296">
        <v>3427.43</v>
      </c>
      <c r="E11268" s="296">
        <v>1180.8499999999999</v>
      </c>
      <c r="F11268" s="296">
        <v>2216.77</v>
      </c>
      <c r="G11268" s="296">
        <v>29.81</v>
      </c>
      <c r="H11268" s="297">
        <v>26574.37</v>
      </c>
      <c r="I11268" s="297">
        <v>13580.34</v>
      </c>
      <c r="J11268" s="297">
        <v>12668.16</v>
      </c>
      <c r="K11268" s="297">
        <v>325.87</v>
      </c>
      <c r="L11268" s="43">
        <v>7.7534391657889437</v>
      </c>
      <c r="M11268" s="43">
        <v>11.500478468899523</v>
      </c>
      <c r="N11268" s="43">
        <v>5.7146929992737183</v>
      </c>
      <c r="O11268" s="43">
        <v>10.931566588393157</v>
      </c>
      <c r="P11268" s="298"/>
      <c r="Q11268" s="298"/>
      <c r="R11268" s="298">
        <v>1</v>
      </c>
    </row>
    <row r="11269" spans="1:18" ht="24">
      <c r="A11269" s="294">
        <v>524</v>
      </c>
      <c r="B11269" s="291" t="s">
        <v>20608</v>
      </c>
      <c r="C11269" s="295" t="s">
        <v>20609</v>
      </c>
      <c r="D11269" s="296">
        <v>6785.29</v>
      </c>
      <c r="E11269" s="296">
        <v>2222.1999999999998</v>
      </c>
      <c r="F11269" s="296">
        <v>2560.59</v>
      </c>
      <c r="G11269" s="296">
        <v>2002.5</v>
      </c>
      <c r="H11269" s="297">
        <v>47418.76</v>
      </c>
      <c r="I11269" s="297">
        <v>25555.3</v>
      </c>
      <c r="J11269" s="297">
        <v>13744.17</v>
      </c>
      <c r="K11269" s="297">
        <v>8119.29</v>
      </c>
      <c r="L11269" s="43">
        <v>6.9884647524276788</v>
      </c>
      <c r="M11269" s="43">
        <v>11.5</v>
      </c>
      <c r="N11269" s="43">
        <v>5.3675793469473829</v>
      </c>
      <c r="O11269" s="43">
        <v>4.0545767790262168</v>
      </c>
      <c r="P11269" s="298"/>
      <c r="Q11269" s="298"/>
      <c r="R11269" s="298">
        <v>1</v>
      </c>
    </row>
    <row r="11270" spans="1:18" ht="24">
      <c r="A11270" s="294">
        <v>525</v>
      </c>
      <c r="B11270" s="291" t="s">
        <v>20610</v>
      </c>
      <c r="C11270" s="295" t="s">
        <v>20611</v>
      </c>
      <c r="D11270" s="296">
        <v>8688.83</v>
      </c>
      <c r="E11270" s="296">
        <v>2124.64</v>
      </c>
      <c r="F11270" s="296">
        <v>2558.23</v>
      </c>
      <c r="G11270" s="296">
        <v>4005.96</v>
      </c>
      <c r="H11270" s="297">
        <v>54067.85</v>
      </c>
      <c r="I11270" s="297">
        <v>24433.360000000001</v>
      </c>
      <c r="J11270" s="297">
        <v>13743.45</v>
      </c>
      <c r="K11270" s="297">
        <v>15891.04</v>
      </c>
      <c r="L11270" s="43">
        <v>6.22268475732636</v>
      </c>
      <c r="M11270" s="43">
        <v>11.500000000000002</v>
      </c>
      <c r="N11270" s="43">
        <v>5.3722495631745391</v>
      </c>
      <c r="O11270" s="43">
        <v>3.9668493944023409</v>
      </c>
      <c r="P11270" s="298"/>
      <c r="Q11270" s="298"/>
      <c r="R11270" s="298">
        <v>1</v>
      </c>
    </row>
    <row r="11271" spans="1:18" ht="24">
      <c r="A11271" s="294">
        <v>526</v>
      </c>
      <c r="B11271" s="291" t="s">
        <v>20612</v>
      </c>
      <c r="C11271" s="295" t="s">
        <v>20613</v>
      </c>
      <c r="D11271" s="296">
        <v>22561.39</v>
      </c>
      <c r="E11271" s="296">
        <v>5907.8</v>
      </c>
      <c r="F11271" s="296">
        <v>12479.31</v>
      </c>
      <c r="G11271" s="296">
        <v>4174.28</v>
      </c>
      <c r="H11271" s="297">
        <v>153613.71</v>
      </c>
      <c r="I11271" s="297">
        <v>67939.7</v>
      </c>
      <c r="J11271" s="297">
        <v>67910.289999999994</v>
      </c>
      <c r="K11271" s="297">
        <v>17763.72</v>
      </c>
      <c r="L11271" s="43">
        <v>6.8086988434666482</v>
      </c>
      <c r="M11271" s="43">
        <v>11.5</v>
      </c>
      <c r="N11271" s="43">
        <v>5.4418305178731838</v>
      </c>
      <c r="O11271" s="43">
        <v>4.2555171191199443</v>
      </c>
      <c r="P11271" s="298"/>
      <c r="Q11271" s="298"/>
      <c r="R11271" s="298">
        <v>1</v>
      </c>
    </row>
    <row r="11272" spans="1:18" ht="24">
      <c r="A11272" s="294">
        <v>527</v>
      </c>
      <c r="B11272" s="291" t="s">
        <v>20614</v>
      </c>
      <c r="C11272" s="295" t="s">
        <v>20615</v>
      </c>
      <c r="D11272" s="296">
        <v>5509.04</v>
      </c>
      <c r="E11272" s="296">
        <v>1972.88</v>
      </c>
      <c r="F11272" s="296">
        <v>2180.86</v>
      </c>
      <c r="G11272" s="296">
        <v>1355.3</v>
      </c>
      <c r="H11272" s="297">
        <v>40193.71</v>
      </c>
      <c r="I11272" s="297">
        <v>22688.12</v>
      </c>
      <c r="J11272" s="297">
        <v>11716.18</v>
      </c>
      <c r="K11272" s="297">
        <v>5789.41</v>
      </c>
      <c r="L11272" s="43">
        <v>7.2959553751651827</v>
      </c>
      <c r="M11272" s="43">
        <v>11.499999999999998</v>
      </c>
      <c r="N11272" s="43">
        <v>5.3722751575066718</v>
      </c>
      <c r="O11272" s="43">
        <v>4.2716815465210658</v>
      </c>
      <c r="P11272" s="298"/>
      <c r="Q11272" s="298"/>
      <c r="R11272" s="298">
        <v>1</v>
      </c>
    </row>
    <row r="11273" spans="1:18" ht="24">
      <c r="A11273" s="294">
        <v>528</v>
      </c>
      <c r="B11273" s="291" t="s">
        <v>20616</v>
      </c>
      <c r="C11273" s="295" t="s">
        <v>20617</v>
      </c>
      <c r="D11273" s="296">
        <v>5191.49</v>
      </c>
      <c r="E11273" s="296">
        <v>1842.8</v>
      </c>
      <c r="F11273" s="296">
        <v>2028.74</v>
      </c>
      <c r="G11273" s="296">
        <v>1319.95</v>
      </c>
      <c r="H11273" s="297">
        <v>37303.68</v>
      </c>
      <c r="I11273" s="297">
        <v>21192.2</v>
      </c>
      <c r="J11273" s="297">
        <v>10915.94</v>
      </c>
      <c r="K11273" s="297">
        <v>5195.54</v>
      </c>
      <c r="L11273" s="43">
        <v>7.1855440345642583</v>
      </c>
      <c r="M11273" s="43">
        <v>11.5</v>
      </c>
      <c r="N11273" s="43">
        <v>5.380650058657098</v>
      </c>
      <c r="O11273" s="43">
        <v>3.936164248645782</v>
      </c>
      <c r="P11273" s="298"/>
      <c r="Q11273" s="298"/>
      <c r="R11273" s="298">
        <v>1</v>
      </c>
    </row>
    <row r="11274" spans="1:18" ht="24">
      <c r="A11274" s="294">
        <v>529</v>
      </c>
      <c r="B11274" s="291" t="s">
        <v>20618</v>
      </c>
      <c r="C11274" s="295" t="s">
        <v>20619</v>
      </c>
      <c r="D11274" s="296">
        <v>4242.8999999999996</v>
      </c>
      <c r="E11274" s="296">
        <v>3262.84</v>
      </c>
      <c r="F11274" s="296">
        <v>572.08000000000004</v>
      </c>
      <c r="G11274" s="296">
        <v>407.98</v>
      </c>
      <c r="H11274" s="297">
        <v>44364.53</v>
      </c>
      <c r="I11274" s="297">
        <v>37522.660000000003</v>
      </c>
      <c r="J11274" s="297">
        <v>3087.54</v>
      </c>
      <c r="K11274" s="297">
        <v>3754.33</v>
      </c>
      <c r="L11274" s="43">
        <v>10.456180913997501</v>
      </c>
      <c r="M11274" s="43">
        <v>11.5</v>
      </c>
      <c r="N11274" s="43">
        <v>5.3970423716962657</v>
      </c>
      <c r="O11274" s="43">
        <v>9.2022403058973481</v>
      </c>
      <c r="P11274" s="298"/>
      <c r="Q11274" s="298"/>
      <c r="R11274" s="298">
        <v>1</v>
      </c>
    </row>
    <row r="11275" spans="1:18" ht="24">
      <c r="A11275" s="294">
        <v>530</v>
      </c>
      <c r="B11275" s="291" t="s">
        <v>20620</v>
      </c>
      <c r="C11275" s="295" t="s">
        <v>20621</v>
      </c>
      <c r="D11275" s="296">
        <v>936.88</v>
      </c>
      <c r="E11275" s="296">
        <v>303.87</v>
      </c>
      <c r="F11275" s="296">
        <v>491.28</v>
      </c>
      <c r="G11275" s="296">
        <v>141.72999999999999</v>
      </c>
      <c r="H11275" s="297">
        <v>6530.37</v>
      </c>
      <c r="I11275" s="297">
        <v>3494.63</v>
      </c>
      <c r="J11275" s="297">
        <v>2460.36</v>
      </c>
      <c r="K11275" s="297">
        <v>575.38</v>
      </c>
      <c r="L11275" s="43">
        <v>6.9703377166766289</v>
      </c>
      <c r="M11275" s="43">
        <v>11.500411360121104</v>
      </c>
      <c r="N11275" s="43">
        <v>5.0080605764533468</v>
      </c>
      <c r="O11275" s="43">
        <v>4.0596909616877159</v>
      </c>
      <c r="P11275" s="298"/>
      <c r="Q11275" s="298"/>
      <c r="R11275" s="298">
        <v>1</v>
      </c>
    </row>
    <row r="11276" spans="1:18" ht="24">
      <c r="A11276" s="294">
        <v>531</v>
      </c>
      <c r="B11276" s="291" t="s">
        <v>20622</v>
      </c>
      <c r="C11276" s="295" t="s">
        <v>20623</v>
      </c>
      <c r="D11276" s="296">
        <v>1271.82</v>
      </c>
      <c r="E11276" s="296">
        <v>493.65</v>
      </c>
      <c r="F11276" s="296">
        <v>629.92999999999995</v>
      </c>
      <c r="G11276" s="296">
        <v>148.24</v>
      </c>
      <c r="H11276" s="297">
        <v>9496.15</v>
      </c>
      <c r="I11276" s="297">
        <v>5677.2</v>
      </c>
      <c r="J11276" s="297">
        <v>3176.14</v>
      </c>
      <c r="K11276" s="297">
        <v>642.80999999999995</v>
      </c>
      <c r="L11276" s="43">
        <v>7.4665833215392112</v>
      </c>
      <c r="M11276" s="43">
        <v>11.500455788514129</v>
      </c>
      <c r="N11276" s="43">
        <v>5.0420522915244552</v>
      </c>
      <c r="O11276" s="43">
        <v>4.3362790070156496</v>
      </c>
      <c r="P11276" s="298"/>
      <c r="Q11276" s="298"/>
      <c r="R11276" s="298">
        <v>1</v>
      </c>
    </row>
    <row r="11277" spans="1:18" ht="24">
      <c r="A11277" s="294">
        <v>532</v>
      </c>
      <c r="B11277" s="291" t="s">
        <v>20624</v>
      </c>
      <c r="C11277" s="295" t="s">
        <v>20625</v>
      </c>
      <c r="D11277" s="296">
        <v>1316.71</v>
      </c>
      <c r="E11277" s="296">
        <v>537.66</v>
      </c>
      <c r="F11277" s="296">
        <v>629.92999999999995</v>
      </c>
      <c r="G11277" s="296">
        <v>149.12</v>
      </c>
      <c r="H11277" s="297">
        <v>10012.209999999999</v>
      </c>
      <c r="I11277" s="297">
        <v>6183.14</v>
      </c>
      <c r="J11277" s="297">
        <v>3176.14</v>
      </c>
      <c r="K11277" s="297">
        <v>652.92999999999995</v>
      </c>
      <c r="L11277" s="43">
        <v>7.6039598696751742</v>
      </c>
      <c r="M11277" s="43">
        <v>11.500092995573413</v>
      </c>
      <c r="N11277" s="43">
        <v>5.0420522915244552</v>
      </c>
      <c r="O11277" s="43">
        <v>4.3785541845493556</v>
      </c>
      <c r="P11277" s="298"/>
      <c r="Q11277" s="298"/>
      <c r="R11277" s="298">
        <v>1</v>
      </c>
    </row>
    <row r="11278" spans="1:18" ht="24">
      <c r="A11278" s="294">
        <v>533</v>
      </c>
      <c r="B11278" s="291" t="s">
        <v>20626</v>
      </c>
      <c r="C11278" s="295" t="s">
        <v>20627</v>
      </c>
      <c r="D11278" s="296">
        <v>1780.11</v>
      </c>
      <c r="E11278" s="296">
        <v>668.83</v>
      </c>
      <c r="F11278" s="296">
        <v>959.53</v>
      </c>
      <c r="G11278" s="296">
        <v>151.75</v>
      </c>
      <c r="H11278" s="297">
        <v>13133.38</v>
      </c>
      <c r="I11278" s="297">
        <v>7691.52</v>
      </c>
      <c r="J11278" s="297">
        <v>4758.6899999999996</v>
      </c>
      <c r="K11278" s="297">
        <v>683.17</v>
      </c>
      <c r="L11278" s="43">
        <v>7.3778474363943802</v>
      </c>
      <c r="M11278" s="43">
        <v>11.499962621293902</v>
      </c>
      <c r="N11278" s="43">
        <v>4.959396788010797</v>
      </c>
      <c r="O11278" s="43">
        <v>4.5019439868204278</v>
      </c>
      <c r="P11278" s="298"/>
      <c r="Q11278" s="298"/>
      <c r="R11278" s="298">
        <v>1</v>
      </c>
    </row>
    <row r="11279" spans="1:18" ht="24">
      <c r="A11279" s="294">
        <v>534</v>
      </c>
      <c r="B11279" s="291" t="s">
        <v>20628</v>
      </c>
      <c r="C11279" s="295" t="s">
        <v>20629</v>
      </c>
      <c r="D11279" s="296">
        <v>5970.3</v>
      </c>
      <c r="E11279" s="296">
        <v>1701.88</v>
      </c>
      <c r="F11279" s="296">
        <v>4230.8100000000004</v>
      </c>
      <c r="G11279" s="296">
        <v>37.61</v>
      </c>
      <c r="H11279" s="297">
        <v>42933.9</v>
      </c>
      <c r="I11279" s="297">
        <v>19571.62</v>
      </c>
      <c r="J11279" s="297">
        <v>22939.53</v>
      </c>
      <c r="K11279" s="297">
        <v>422.75</v>
      </c>
      <c r="L11279" s="43">
        <v>7.191246671021557</v>
      </c>
      <c r="M11279" s="43">
        <v>11.499999999999998</v>
      </c>
      <c r="N11279" s="43">
        <v>5.4220184787310224</v>
      </c>
      <c r="O11279" s="43">
        <v>11.240361605955863</v>
      </c>
      <c r="P11279" s="298"/>
      <c r="Q11279" s="298"/>
      <c r="R11279" s="298">
        <v>1</v>
      </c>
    </row>
    <row r="11280" spans="1:18" ht="24">
      <c r="A11280" s="294">
        <v>535</v>
      </c>
      <c r="B11280" s="291" t="s">
        <v>20630</v>
      </c>
      <c r="C11280" s="295" t="s">
        <v>20631</v>
      </c>
      <c r="D11280" s="296">
        <v>13271.05</v>
      </c>
      <c r="E11280" s="296">
        <v>4737.08</v>
      </c>
      <c r="F11280" s="296">
        <v>6637.17</v>
      </c>
      <c r="G11280" s="296">
        <v>1896.8</v>
      </c>
      <c r="H11280" s="297">
        <v>101214.95</v>
      </c>
      <c r="I11280" s="297">
        <v>54476.42</v>
      </c>
      <c r="J11280" s="297">
        <v>37044.199999999997</v>
      </c>
      <c r="K11280" s="297">
        <v>9694.33</v>
      </c>
      <c r="L11280" s="43">
        <v>7.6267476951710682</v>
      </c>
      <c r="M11280" s="43">
        <v>11.5</v>
      </c>
      <c r="N11280" s="43">
        <v>5.5813245705624528</v>
      </c>
      <c r="O11280" s="43">
        <v>5.1108867566427669</v>
      </c>
      <c r="P11280" s="298"/>
      <c r="Q11280" s="298"/>
      <c r="R11280" s="298">
        <v>1</v>
      </c>
    </row>
    <row r="11281" spans="1:18" ht="24">
      <c r="A11281" s="294">
        <v>536</v>
      </c>
      <c r="B11281" s="291" t="s">
        <v>20632</v>
      </c>
      <c r="C11281" s="295" t="s">
        <v>20633</v>
      </c>
      <c r="D11281" s="296">
        <v>439.43</v>
      </c>
      <c r="E11281" s="296">
        <v>417</v>
      </c>
      <c r="F11281" s="296">
        <v>13.24</v>
      </c>
      <c r="G11281" s="296">
        <v>9.19</v>
      </c>
      <c r="H11281" s="297">
        <v>4970.32</v>
      </c>
      <c r="I11281" s="297">
        <v>4795.55</v>
      </c>
      <c r="J11281" s="297">
        <v>71.41</v>
      </c>
      <c r="K11281" s="297">
        <v>103.36</v>
      </c>
      <c r="L11281" s="43">
        <v>11.310834490134948</v>
      </c>
      <c r="M11281" s="43">
        <v>11.500119904076739</v>
      </c>
      <c r="N11281" s="43">
        <v>5.393504531722054</v>
      </c>
      <c r="O11281" s="43">
        <v>11.247007616974974</v>
      </c>
      <c r="P11281" s="298"/>
      <c r="Q11281" s="298"/>
      <c r="R11281" s="298">
        <v>1</v>
      </c>
    </row>
    <row r="11282" spans="1:18" ht="24">
      <c r="A11282" s="294">
        <v>537</v>
      </c>
      <c r="B11282" s="291" t="s">
        <v>20634</v>
      </c>
      <c r="C11282" s="295" t="s">
        <v>20635</v>
      </c>
      <c r="D11282" s="296">
        <v>742.76</v>
      </c>
      <c r="E11282" s="296">
        <v>517.04</v>
      </c>
      <c r="F11282" s="296">
        <v>206.54</v>
      </c>
      <c r="G11282" s="296">
        <v>19.18</v>
      </c>
      <c r="H11282" s="297">
        <v>7252.91</v>
      </c>
      <c r="I11282" s="297">
        <v>5945.96</v>
      </c>
      <c r="J11282" s="297">
        <v>1110.56</v>
      </c>
      <c r="K11282" s="297">
        <v>196.39</v>
      </c>
      <c r="L11282" s="43">
        <v>9.764809628951479</v>
      </c>
      <c r="M11282" s="43">
        <v>11.5</v>
      </c>
      <c r="N11282" s="43">
        <v>5.3769729834414637</v>
      </c>
      <c r="O11282" s="43">
        <v>10.239311783107404</v>
      </c>
      <c r="P11282" s="298"/>
      <c r="Q11282" s="298"/>
      <c r="R11282" s="298">
        <v>1</v>
      </c>
    </row>
    <row r="11283" spans="1:18" ht="24">
      <c r="A11283" s="294">
        <v>538</v>
      </c>
      <c r="B11283" s="291" t="s">
        <v>20636</v>
      </c>
      <c r="C11283" s="295" t="s">
        <v>20637</v>
      </c>
      <c r="D11283" s="296">
        <v>35638.26</v>
      </c>
      <c r="E11283" s="296">
        <v>11266.19</v>
      </c>
      <c r="F11283" s="296">
        <v>23820.01</v>
      </c>
      <c r="G11283" s="296">
        <v>552.05999999999995</v>
      </c>
      <c r="H11283" s="297">
        <v>258603.84</v>
      </c>
      <c r="I11283" s="297">
        <v>129566.32</v>
      </c>
      <c r="J11283" s="297">
        <v>123582.56</v>
      </c>
      <c r="K11283" s="297">
        <v>5454.96</v>
      </c>
      <c r="L11283" s="43">
        <v>7.2563542664540854</v>
      </c>
      <c r="M11283" s="43">
        <v>11.500455788514129</v>
      </c>
      <c r="N11283" s="43">
        <v>5.1881825406454496</v>
      </c>
      <c r="O11283" s="43">
        <v>9.8810998804477777</v>
      </c>
      <c r="P11283" s="298"/>
      <c r="Q11283" s="298"/>
      <c r="R11283" s="298">
        <v>1</v>
      </c>
    </row>
    <row r="11284" spans="1:18" ht="24">
      <c r="A11284" s="294">
        <v>539</v>
      </c>
      <c r="B11284" s="291" t="s">
        <v>20638</v>
      </c>
      <c r="C11284" s="295" t="s">
        <v>20639</v>
      </c>
      <c r="D11284" s="296">
        <v>6081.23</v>
      </c>
      <c r="E11284" s="296">
        <v>1906.38</v>
      </c>
      <c r="F11284" s="296">
        <v>4011.94</v>
      </c>
      <c r="G11284" s="296">
        <v>162.91</v>
      </c>
      <c r="H11284" s="297">
        <v>44008.71</v>
      </c>
      <c r="I11284" s="297">
        <v>21924.26</v>
      </c>
      <c r="J11284" s="297">
        <v>20552.29</v>
      </c>
      <c r="K11284" s="297">
        <v>1532.16</v>
      </c>
      <c r="L11284" s="43">
        <v>7.2368106452148666</v>
      </c>
      <c r="M11284" s="43">
        <v>11.500466853408028</v>
      </c>
      <c r="N11284" s="43">
        <v>5.1227809987188246</v>
      </c>
      <c r="O11284" s="43">
        <v>9.4049475170339463</v>
      </c>
      <c r="P11284" s="298"/>
      <c r="Q11284" s="298"/>
      <c r="R11284" s="298">
        <v>1</v>
      </c>
    </row>
    <row r="11285" spans="1:18" ht="12.75" customHeight="1">
      <c r="A11285" s="628" t="s">
        <v>20640</v>
      </c>
      <c r="B11285" s="629"/>
      <c r="C11285" s="629"/>
      <c r="D11285" s="629"/>
      <c r="E11285" s="629"/>
      <c r="F11285" s="629"/>
      <c r="G11285" s="629"/>
      <c r="H11285" s="629"/>
      <c r="I11285" s="629"/>
      <c r="J11285" s="629"/>
      <c r="K11285" s="629"/>
      <c r="L11285" s="629"/>
      <c r="M11285" s="629"/>
      <c r="N11285" s="629"/>
      <c r="O11285" s="629"/>
      <c r="P11285" s="629"/>
      <c r="Q11285" s="629"/>
      <c r="R11285" s="629"/>
    </row>
    <row r="11286" spans="1:18" ht="12.75" customHeight="1">
      <c r="A11286" s="628" t="s">
        <v>20641</v>
      </c>
      <c r="B11286" s="629"/>
      <c r="C11286" s="629"/>
      <c r="D11286" s="629"/>
      <c r="E11286" s="629"/>
      <c r="F11286" s="629"/>
      <c r="G11286" s="629"/>
      <c r="H11286" s="629"/>
      <c r="I11286" s="629"/>
      <c r="J11286" s="629"/>
      <c r="K11286" s="629"/>
      <c r="L11286" s="629"/>
      <c r="M11286" s="629"/>
      <c r="N11286" s="629"/>
      <c r="O11286" s="629"/>
      <c r="P11286" s="629"/>
      <c r="Q11286" s="629"/>
      <c r="R11286" s="629"/>
    </row>
    <row r="11287" spans="1:18" ht="24">
      <c r="A11287" s="294">
        <v>540</v>
      </c>
      <c r="B11287" s="291" t="s">
        <v>20642</v>
      </c>
      <c r="C11287" s="295" t="s">
        <v>20643</v>
      </c>
      <c r="D11287" s="296">
        <v>2429.1799999999998</v>
      </c>
      <c r="E11287" s="296">
        <v>874.31</v>
      </c>
      <c r="F11287" s="296">
        <v>798.26</v>
      </c>
      <c r="G11287" s="296">
        <v>756.61</v>
      </c>
      <c r="H11287" s="297">
        <v>17270.830000000002</v>
      </c>
      <c r="I11287" s="297">
        <v>10054.950000000001</v>
      </c>
      <c r="J11287" s="297">
        <v>4280.91</v>
      </c>
      <c r="K11287" s="297">
        <v>2934.97</v>
      </c>
      <c r="L11287" s="43">
        <v>7.1097366189413727</v>
      </c>
      <c r="M11287" s="43">
        <v>11.500440347245258</v>
      </c>
      <c r="N11287" s="43">
        <v>5.3628015934657878</v>
      </c>
      <c r="O11287" s="43">
        <v>3.8791054836705827</v>
      </c>
      <c r="P11287" s="298"/>
      <c r="Q11287" s="298"/>
      <c r="R11287" s="298">
        <v>1</v>
      </c>
    </row>
    <row r="11288" spans="1:18" ht="24">
      <c r="A11288" s="294">
        <v>541</v>
      </c>
      <c r="B11288" s="291" t="s">
        <v>20644</v>
      </c>
      <c r="C11288" s="295" t="s">
        <v>20645</v>
      </c>
      <c r="D11288" s="296">
        <v>3836.99</v>
      </c>
      <c r="E11288" s="296">
        <v>1568.71</v>
      </c>
      <c r="F11288" s="296">
        <v>1497.24</v>
      </c>
      <c r="G11288" s="296">
        <v>771.04</v>
      </c>
      <c r="H11288" s="297">
        <v>29152.06</v>
      </c>
      <c r="I11288" s="297">
        <v>18040.88</v>
      </c>
      <c r="J11288" s="297">
        <v>8011.82</v>
      </c>
      <c r="K11288" s="297">
        <v>3099.36</v>
      </c>
      <c r="L11288" s="43">
        <v>7.5976377316594528</v>
      </c>
      <c r="M11288" s="43">
        <v>11.500455788514129</v>
      </c>
      <c r="N11288" s="43">
        <v>5.3510592824129732</v>
      </c>
      <c r="O11288" s="43">
        <v>4.0197136335339287</v>
      </c>
      <c r="P11288" s="298"/>
      <c r="Q11288" s="298"/>
      <c r="R11288" s="298">
        <v>1</v>
      </c>
    </row>
    <row r="11289" spans="1:18" ht="24">
      <c r="A11289" s="294">
        <v>542</v>
      </c>
      <c r="B11289" s="291" t="s">
        <v>20646</v>
      </c>
      <c r="C11289" s="295" t="s">
        <v>20647</v>
      </c>
      <c r="D11289" s="296">
        <v>6875.86</v>
      </c>
      <c r="E11289" s="296">
        <v>2719.5</v>
      </c>
      <c r="F11289" s="296">
        <v>3093.67</v>
      </c>
      <c r="G11289" s="296">
        <v>1062.69</v>
      </c>
      <c r="H11289" s="297">
        <v>52243.6</v>
      </c>
      <c r="I11289" s="297">
        <v>31274.25</v>
      </c>
      <c r="J11289" s="297">
        <v>16610.36</v>
      </c>
      <c r="K11289" s="297">
        <v>4358.99</v>
      </c>
      <c r="L11289" s="43">
        <v>7.5981186353416152</v>
      </c>
      <c r="M11289" s="43">
        <v>11.5</v>
      </c>
      <c r="N11289" s="43">
        <v>5.3691440909987165</v>
      </c>
      <c r="O11289" s="43">
        <v>4.1018453170727112</v>
      </c>
      <c r="P11289" s="298"/>
      <c r="Q11289" s="298"/>
      <c r="R11289" s="298">
        <v>1</v>
      </c>
    </row>
    <row r="11290" spans="1:18" ht="24">
      <c r="A11290" s="294">
        <v>543</v>
      </c>
      <c r="B11290" s="291" t="s">
        <v>20648</v>
      </c>
      <c r="C11290" s="295" t="s">
        <v>20649</v>
      </c>
      <c r="D11290" s="296">
        <v>4791.7</v>
      </c>
      <c r="E11290" s="296">
        <v>2281.7600000000002</v>
      </c>
      <c r="F11290" s="296">
        <v>2191.65</v>
      </c>
      <c r="G11290" s="296">
        <v>318.29000000000002</v>
      </c>
      <c r="H11290" s="297">
        <v>39584.53</v>
      </c>
      <c r="I11290" s="297">
        <v>26241.279999999999</v>
      </c>
      <c r="J11290" s="297">
        <v>11788.32</v>
      </c>
      <c r="K11290" s="297">
        <v>1554.93</v>
      </c>
      <c r="L11290" s="43">
        <v>8.2610618360915744</v>
      </c>
      <c r="M11290" s="43">
        <v>11.500455788514127</v>
      </c>
      <c r="N11290" s="43">
        <v>5.3787420436657305</v>
      </c>
      <c r="O11290" s="43">
        <v>4.8852618681077002</v>
      </c>
      <c r="P11290" s="298"/>
      <c r="Q11290" s="298"/>
      <c r="R11290" s="298">
        <v>1</v>
      </c>
    </row>
    <row r="11291" spans="1:18" ht="24">
      <c r="A11291" s="294">
        <v>544</v>
      </c>
      <c r="B11291" s="291" t="s">
        <v>20650</v>
      </c>
      <c r="C11291" s="295" t="s">
        <v>20651</v>
      </c>
      <c r="D11291" s="296">
        <v>5609.94</v>
      </c>
      <c r="E11291" s="296">
        <v>2808.32</v>
      </c>
      <c r="F11291" s="296">
        <v>2338.52</v>
      </c>
      <c r="G11291" s="296">
        <v>463.1</v>
      </c>
      <c r="H11291" s="297">
        <v>47042.29</v>
      </c>
      <c r="I11291" s="297">
        <v>32296.959999999999</v>
      </c>
      <c r="J11291" s="297">
        <v>12575.76</v>
      </c>
      <c r="K11291" s="297">
        <v>2169.5700000000002</v>
      </c>
      <c r="L11291" s="43">
        <v>8.385524622366729</v>
      </c>
      <c r="M11291" s="43">
        <v>11.500455788514129</v>
      </c>
      <c r="N11291" s="43">
        <v>5.3776576638215623</v>
      </c>
      <c r="O11291" s="43">
        <v>4.6848844741956386</v>
      </c>
      <c r="P11291" s="298"/>
      <c r="Q11291" s="298"/>
      <c r="R11291" s="298">
        <v>1</v>
      </c>
    </row>
    <row r="11292" spans="1:18" ht="24">
      <c r="A11292" s="294">
        <v>545</v>
      </c>
      <c r="B11292" s="291" t="s">
        <v>20652</v>
      </c>
      <c r="C11292" s="295" t="s">
        <v>20653</v>
      </c>
      <c r="D11292" s="296">
        <v>1755.31</v>
      </c>
      <c r="E11292" s="296">
        <v>267.75</v>
      </c>
      <c r="F11292" s="296">
        <v>1076.3</v>
      </c>
      <c r="G11292" s="296">
        <v>411.26</v>
      </c>
      <c r="H11292" s="297">
        <v>10418.02</v>
      </c>
      <c r="I11292" s="297">
        <v>3079.1</v>
      </c>
      <c r="J11292" s="297">
        <v>5762.72</v>
      </c>
      <c r="K11292" s="297">
        <v>1576.2</v>
      </c>
      <c r="L11292" s="43">
        <v>5.9351453589394474</v>
      </c>
      <c r="M11292" s="43">
        <v>11.499906629318394</v>
      </c>
      <c r="N11292" s="43">
        <v>5.3541949270649454</v>
      </c>
      <c r="O11292" s="43">
        <v>3.8326119729611441</v>
      </c>
      <c r="P11292" s="298"/>
      <c r="Q11292" s="298"/>
      <c r="R11292" s="298">
        <v>1</v>
      </c>
    </row>
    <row r="11293" spans="1:18" ht="12.75" customHeight="1">
      <c r="A11293" s="628" t="s">
        <v>20654</v>
      </c>
      <c r="B11293" s="629"/>
      <c r="C11293" s="629"/>
      <c r="D11293" s="629"/>
      <c r="E11293" s="629"/>
      <c r="F11293" s="629"/>
      <c r="G11293" s="629"/>
      <c r="H11293" s="629"/>
      <c r="I11293" s="629"/>
      <c r="J11293" s="629"/>
      <c r="K11293" s="629"/>
      <c r="L11293" s="629"/>
      <c r="M11293" s="629"/>
      <c r="N11293" s="629"/>
      <c r="O11293" s="629"/>
      <c r="P11293" s="629"/>
      <c r="Q11293" s="629"/>
      <c r="R11293" s="629"/>
    </row>
    <row r="11294" spans="1:18" ht="24">
      <c r="A11294" s="294">
        <v>546</v>
      </c>
      <c r="B11294" s="291" t="s">
        <v>20655</v>
      </c>
      <c r="C11294" s="295" t="s">
        <v>20656</v>
      </c>
      <c r="D11294" s="296">
        <v>397.22</v>
      </c>
      <c r="E11294" s="296">
        <v>204.56</v>
      </c>
      <c r="F11294" s="296">
        <v>52.35</v>
      </c>
      <c r="G11294" s="296">
        <v>140.31</v>
      </c>
      <c r="H11294" s="297">
        <v>3193.11</v>
      </c>
      <c r="I11294" s="297">
        <v>2352.5500000000002</v>
      </c>
      <c r="J11294" s="297">
        <v>282.99</v>
      </c>
      <c r="K11294" s="297">
        <v>557.57000000000005</v>
      </c>
      <c r="L11294" s="43">
        <v>8.0386435728311767</v>
      </c>
      <c r="M11294" s="43">
        <v>11.500537739538522</v>
      </c>
      <c r="N11294" s="43">
        <v>5.4057306590257879</v>
      </c>
      <c r="O11294" s="43">
        <v>3.9738436319578079</v>
      </c>
      <c r="P11294" s="298"/>
      <c r="Q11294" s="298"/>
      <c r="R11294" s="298">
        <v>2</v>
      </c>
    </row>
    <row r="11295" spans="1:18" ht="24">
      <c r="A11295" s="294">
        <v>547</v>
      </c>
      <c r="B11295" s="291" t="s">
        <v>20657</v>
      </c>
      <c r="C11295" s="295" t="s">
        <v>20658</v>
      </c>
      <c r="D11295" s="296">
        <v>602.57000000000005</v>
      </c>
      <c r="E11295" s="296">
        <v>251.69</v>
      </c>
      <c r="F11295" s="296">
        <v>137.68</v>
      </c>
      <c r="G11295" s="296">
        <v>213.2</v>
      </c>
      <c r="H11295" s="297">
        <v>4501.66</v>
      </c>
      <c r="I11295" s="297">
        <v>2894.5</v>
      </c>
      <c r="J11295" s="297">
        <v>742.63</v>
      </c>
      <c r="K11295" s="297">
        <v>864.53</v>
      </c>
      <c r="L11295" s="43">
        <v>7.4707668818560489</v>
      </c>
      <c r="M11295" s="43">
        <v>11.500258254201597</v>
      </c>
      <c r="N11295" s="43">
        <v>5.3938843695525858</v>
      </c>
      <c r="O11295" s="43">
        <v>4.0550187617260791</v>
      </c>
      <c r="P11295" s="298"/>
      <c r="Q11295" s="298"/>
      <c r="R11295" s="298">
        <v>2</v>
      </c>
    </row>
    <row r="11296" spans="1:18" ht="24">
      <c r="A11296" s="294">
        <v>548</v>
      </c>
      <c r="B11296" s="291" t="s">
        <v>20659</v>
      </c>
      <c r="C11296" s="295" t="s">
        <v>20660</v>
      </c>
      <c r="D11296" s="296">
        <v>813.5</v>
      </c>
      <c r="E11296" s="296">
        <v>385.56</v>
      </c>
      <c r="F11296" s="296">
        <v>273.52999999999997</v>
      </c>
      <c r="G11296" s="296">
        <v>154.41</v>
      </c>
      <c r="H11296" s="297">
        <v>6592.79</v>
      </c>
      <c r="I11296" s="297">
        <v>4434.12</v>
      </c>
      <c r="J11296" s="297">
        <v>1467.69</v>
      </c>
      <c r="K11296" s="297">
        <v>690.98</v>
      </c>
      <c r="L11296" s="43">
        <v>8.1042286416717886</v>
      </c>
      <c r="M11296" s="43">
        <v>11.50046685340803</v>
      </c>
      <c r="N11296" s="43">
        <v>5.3657368478777476</v>
      </c>
      <c r="O11296" s="43">
        <v>4.4749692377436698</v>
      </c>
      <c r="P11296" s="298"/>
      <c r="Q11296" s="298"/>
      <c r="R11296" s="298">
        <v>2</v>
      </c>
    </row>
    <row r="11297" spans="1:18" ht="24">
      <c r="A11297" s="294">
        <v>549</v>
      </c>
      <c r="B11297" s="291" t="s">
        <v>20661</v>
      </c>
      <c r="C11297" s="295" t="s">
        <v>20662</v>
      </c>
      <c r="D11297" s="296">
        <v>1204.17</v>
      </c>
      <c r="E11297" s="296">
        <v>612.61</v>
      </c>
      <c r="F11297" s="296">
        <v>428.81</v>
      </c>
      <c r="G11297" s="296">
        <v>162.75</v>
      </c>
      <c r="H11297" s="297">
        <v>10107.09</v>
      </c>
      <c r="I11297" s="297">
        <v>7045.32</v>
      </c>
      <c r="J11297" s="297">
        <v>2285.1999999999998</v>
      </c>
      <c r="K11297" s="297">
        <v>776.57</v>
      </c>
      <c r="L11297" s="43">
        <v>8.3934079075213628</v>
      </c>
      <c r="M11297" s="43">
        <v>11.500497869770326</v>
      </c>
      <c r="N11297" s="43">
        <v>5.3291667638347979</v>
      </c>
      <c r="O11297" s="43">
        <v>4.771551459293395</v>
      </c>
      <c r="P11297" s="298"/>
      <c r="Q11297" s="298"/>
      <c r="R11297" s="298">
        <v>2</v>
      </c>
    </row>
    <row r="11298" spans="1:18" ht="24">
      <c r="A11298" s="294">
        <v>550</v>
      </c>
      <c r="B11298" s="291" t="s">
        <v>20663</v>
      </c>
      <c r="C11298" s="295" t="s">
        <v>20664</v>
      </c>
      <c r="D11298" s="296">
        <v>1521.99</v>
      </c>
      <c r="E11298" s="296">
        <v>900.71</v>
      </c>
      <c r="F11298" s="296">
        <v>440.87</v>
      </c>
      <c r="G11298" s="296">
        <v>180.41</v>
      </c>
      <c r="H11298" s="297">
        <v>13821.87</v>
      </c>
      <c r="I11298" s="297">
        <v>10358.6</v>
      </c>
      <c r="J11298" s="297">
        <v>2516.16</v>
      </c>
      <c r="K11298" s="297">
        <v>947.11</v>
      </c>
      <c r="L11298" s="43">
        <v>9.081446001616305</v>
      </c>
      <c r="M11298" s="43">
        <v>11.500482952337601</v>
      </c>
      <c r="N11298" s="43">
        <v>5.7072606437271753</v>
      </c>
      <c r="O11298" s="43">
        <v>5.2497644254753064</v>
      </c>
      <c r="P11298" s="298"/>
      <c r="Q11298" s="298"/>
      <c r="R11298" s="298">
        <v>2</v>
      </c>
    </row>
    <row r="11299" spans="1:18" ht="12.75" customHeight="1">
      <c r="A11299" s="628" t="s">
        <v>20665</v>
      </c>
      <c r="B11299" s="629"/>
      <c r="C11299" s="629"/>
      <c r="D11299" s="629"/>
      <c r="E11299" s="629"/>
      <c r="F11299" s="629"/>
      <c r="G11299" s="629"/>
      <c r="H11299" s="629"/>
      <c r="I11299" s="629"/>
      <c r="J11299" s="629"/>
      <c r="K11299" s="629"/>
      <c r="L11299" s="629"/>
      <c r="M11299" s="629"/>
      <c r="N11299" s="629"/>
      <c r="O11299" s="629"/>
      <c r="P11299" s="629"/>
      <c r="Q11299" s="629"/>
      <c r="R11299" s="629"/>
    </row>
    <row r="11300" spans="1:18" ht="24">
      <c r="A11300" s="294">
        <v>551</v>
      </c>
      <c r="B11300" s="291" t="s">
        <v>20666</v>
      </c>
      <c r="C11300" s="295" t="s">
        <v>20667</v>
      </c>
      <c r="D11300" s="296">
        <v>489.05</v>
      </c>
      <c r="E11300" s="296">
        <v>240.98</v>
      </c>
      <c r="F11300" s="296">
        <v>106.55</v>
      </c>
      <c r="G11300" s="296">
        <v>141.52000000000001</v>
      </c>
      <c r="H11300" s="297">
        <v>3915.44</v>
      </c>
      <c r="I11300" s="297">
        <v>2771.33</v>
      </c>
      <c r="J11300" s="297">
        <v>573.98</v>
      </c>
      <c r="K11300" s="297">
        <v>570.13</v>
      </c>
      <c r="L11300" s="43">
        <v>8.0062161333197022</v>
      </c>
      <c r="M11300" s="43">
        <v>11.500248983318118</v>
      </c>
      <c r="N11300" s="43">
        <v>5.3869544814641017</v>
      </c>
      <c r="O11300" s="43">
        <v>4.0286178631995471</v>
      </c>
      <c r="P11300" s="298"/>
      <c r="Q11300" s="298"/>
      <c r="R11300" s="298">
        <v>3</v>
      </c>
    </row>
    <row r="11301" spans="1:18" ht="24">
      <c r="A11301" s="294">
        <v>552</v>
      </c>
      <c r="B11301" s="291" t="s">
        <v>20668</v>
      </c>
      <c r="C11301" s="295" t="s">
        <v>20669</v>
      </c>
      <c r="D11301" s="296">
        <v>579.63</v>
      </c>
      <c r="E11301" s="296">
        <v>264.54000000000002</v>
      </c>
      <c r="F11301" s="296">
        <v>171.54</v>
      </c>
      <c r="G11301" s="296">
        <v>143.55000000000001</v>
      </c>
      <c r="H11301" s="297">
        <v>4550.93</v>
      </c>
      <c r="I11301" s="297">
        <v>3042.3</v>
      </c>
      <c r="J11301" s="297">
        <v>919.38</v>
      </c>
      <c r="K11301" s="297">
        <v>589.25</v>
      </c>
      <c r="L11301" s="43">
        <v>7.8514397115401211</v>
      </c>
      <c r="M11301" s="43">
        <v>11.500340213200271</v>
      </c>
      <c r="N11301" s="43">
        <v>5.359566281916754</v>
      </c>
      <c r="O11301" s="43">
        <v>4.1048415186346219</v>
      </c>
      <c r="P11301" s="298"/>
      <c r="Q11301" s="298"/>
      <c r="R11301" s="298">
        <v>3</v>
      </c>
    </row>
    <row r="11302" spans="1:18" ht="24">
      <c r="A11302" s="294">
        <v>553</v>
      </c>
      <c r="B11302" s="291" t="s">
        <v>20670</v>
      </c>
      <c r="C11302" s="295" t="s">
        <v>20671</v>
      </c>
      <c r="D11302" s="296">
        <v>704.48</v>
      </c>
      <c r="E11302" s="296">
        <v>324.51</v>
      </c>
      <c r="F11302" s="296">
        <v>231.54</v>
      </c>
      <c r="G11302" s="296">
        <v>148.43</v>
      </c>
      <c r="H11302" s="297">
        <v>5608.14</v>
      </c>
      <c r="I11302" s="297">
        <v>3732.05</v>
      </c>
      <c r="J11302" s="297">
        <v>1240.8599999999999</v>
      </c>
      <c r="K11302" s="297">
        <v>635.23</v>
      </c>
      <c r="L11302" s="43">
        <v>7.9606802180331595</v>
      </c>
      <c r="M11302" s="43">
        <v>11.500570090289976</v>
      </c>
      <c r="N11302" s="43">
        <v>5.3591604042498053</v>
      </c>
      <c r="O11302" s="43">
        <v>4.2796604460014818</v>
      </c>
      <c r="P11302" s="298"/>
      <c r="Q11302" s="298"/>
      <c r="R11302" s="298">
        <v>3</v>
      </c>
    </row>
    <row r="11303" spans="1:18" ht="24">
      <c r="A11303" s="294">
        <v>554</v>
      </c>
      <c r="B11303" s="291" t="s">
        <v>20672</v>
      </c>
      <c r="C11303" s="295" t="s">
        <v>20673</v>
      </c>
      <c r="D11303" s="296">
        <v>954</v>
      </c>
      <c r="E11303" s="296">
        <v>469.1</v>
      </c>
      <c r="F11303" s="296">
        <v>326.44</v>
      </c>
      <c r="G11303" s="296">
        <v>158.46</v>
      </c>
      <c r="H11303" s="297">
        <v>7876.06</v>
      </c>
      <c r="I11303" s="297">
        <v>5394.85</v>
      </c>
      <c r="J11303" s="297">
        <v>1750.17</v>
      </c>
      <c r="K11303" s="297">
        <v>731.04</v>
      </c>
      <c r="L11303" s="43">
        <v>8.2558280922431866</v>
      </c>
      <c r="M11303" s="43">
        <v>11.500426348326583</v>
      </c>
      <c r="N11303" s="43">
        <v>5.3613834088959686</v>
      </c>
      <c r="O11303" s="43">
        <v>4.6134040136312002</v>
      </c>
      <c r="P11303" s="298"/>
      <c r="Q11303" s="298"/>
      <c r="R11303" s="298">
        <v>3</v>
      </c>
    </row>
    <row r="11304" spans="1:18" ht="12.75" customHeight="1">
      <c r="A11304" s="628" t="s">
        <v>20674</v>
      </c>
      <c r="B11304" s="629"/>
      <c r="C11304" s="629"/>
      <c r="D11304" s="629"/>
      <c r="E11304" s="629"/>
      <c r="F11304" s="629"/>
      <c r="G11304" s="629"/>
      <c r="H11304" s="629"/>
      <c r="I11304" s="629"/>
      <c r="J11304" s="629"/>
      <c r="K11304" s="629"/>
      <c r="L11304" s="629"/>
      <c r="M11304" s="629"/>
      <c r="N11304" s="629"/>
      <c r="O11304" s="629"/>
      <c r="P11304" s="629"/>
      <c r="Q11304" s="629"/>
      <c r="R11304" s="629"/>
    </row>
    <row r="11305" spans="1:18" ht="24">
      <c r="A11305" s="294">
        <v>555</v>
      </c>
      <c r="B11305" s="291" t="s">
        <v>20675</v>
      </c>
      <c r="C11305" s="295" t="s">
        <v>20676</v>
      </c>
      <c r="D11305" s="296">
        <v>1116.0999999999999</v>
      </c>
      <c r="E11305" s="296">
        <v>529.07000000000005</v>
      </c>
      <c r="F11305" s="296">
        <v>366.88</v>
      </c>
      <c r="G11305" s="296">
        <v>220.15</v>
      </c>
      <c r="H11305" s="297">
        <v>8980.61</v>
      </c>
      <c r="I11305" s="297">
        <v>6084.6</v>
      </c>
      <c r="J11305" s="297">
        <v>1955.44</v>
      </c>
      <c r="K11305" s="297">
        <v>940.57</v>
      </c>
      <c r="L11305" s="43">
        <v>8.0464205716333677</v>
      </c>
      <c r="M11305" s="43">
        <v>11.50055758217249</v>
      </c>
      <c r="N11305" s="43">
        <v>5.3299171391190585</v>
      </c>
      <c r="O11305" s="43">
        <v>4.2724051782875314</v>
      </c>
      <c r="P11305" s="298"/>
      <c r="Q11305" s="298"/>
      <c r="R11305" s="298">
        <v>4</v>
      </c>
    </row>
    <row r="11306" spans="1:18" ht="12.75" customHeight="1">
      <c r="A11306" s="628" t="s">
        <v>20677</v>
      </c>
      <c r="B11306" s="629"/>
      <c r="C11306" s="629"/>
      <c r="D11306" s="629"/>
      <c r="E11306" s="629"/>
      <c r="F11306" s="629"/>
      <c r="G11306" s="629"/>
      <c r="H11306" s="629"/>
      <c r="I11306" s="629"/>
      <c r="J11306" s="629"/>
      <c r="K11306" s="629"/>
      <c r="L11306" s="629"/>
      <c r="M11306" s="629"/>
      <c r="N11306" s="629"/>
      <c r="O11306" s="629"/>
      <c r="P11306" s="629"/>
      <c r="Q11306" s="629"/>
      <c r="R11306" s="629"/>
    </row>
    <row r="11307" spans="1:18" ht="24">
      <c r="A11307" s="294">
        <v>556</v>
      </c>
      <c r="B11307" s="291" t="s">
        <v>20678</v>
      </c>
      <c r="C11307" s="295" t="s">
        <v>20679</v>
      </c>
      <c r="D11307" s="296">
        <v>1090.18</v>
      </c>
      <c r="E11307" s="296">
        <v>419.05</v>
      </c>
      <c r="F11307" s="296">
        <v>391.74</v>
      </c>
      <c r="G11307" s="296">
        <v>279.39</v>
      </c>
      <c r="H11307" s="297">
        <v>8040.71</v>
      </c>
      <c r="I11307" s="297">
        <v>4819.3100000000004</v>
      </c>
      <c r="J11307" s="297">
        <v>2109.27</v>
      </c>
      <c r="K11307" s="297">
        <v>1112.1300000000001</v>
      </c>
      <c r="L11307" s="43">
        <v>7.3755801794199121</v>
      </c>
      <c r="M11307" s="43">
        <v>11.500560792268226</v>
      </c>
      <c r="N11307" s="43">
        <v>5.3843620768877312</v>
      </c>
      <c r="O11307" s="43">
        <v>3.9805648018898321</v>
      </c>
      <c r="P11307" s="298"/>
      <c r="Q11307" s="298"/>
      <c r="R11307" s="298">
        <v>5</v>
      </c>
    </row>
    <row r="11308" spans="1:18" ht="24">
      <c r="A11308" s="294">
        <v>557</v>
      </c>
      <c r="B11308" s="291" t="s">
        <v>20680</v>
      </c>
      <c r="C11308" s="295" t="s">
        <v>20681</v>
      </c>
      <c r="D11308" s="296">
        <v>1740.42</v>
      </c>
      <c r="E11308" s="296">
        <v>714.15</v>
      </c>
      <c r="F11308" s="296">
        <v>736.69</v>
      </c>
      <c r="G11308" s="296">
        <v>289.58</v>
      </c>
      <c r="H11308" s="297">
        <v>13387.36</v>
      </c>
      <c r="I11308" s="297">
        <v>8213.02</v>
      </c>
      <c r="J11308" s="297">
        <v>3956.81</v>
      </c>
      <c r="K11308" s="297">
        <v>1217.53</v>
      </c>
      <c r="L11308" s="43">
        <v>7.6920283609703404</v>
      </c>
      <c r="M11308" s="43">
        <v>11.500413078484913</v>
      </c>
      <c r="N11308" s="43">
        <v>5.3710651698814962</v>
      </c>
      <c r="O11308" s="43">
        <v>4.2044685406450721</v>
      </c>
      <c r="P11308" s="298"/>
      <c r="Q11308" s="298"/>
      <c r="R11308" s="298">
        <v>5</v>
      </c>
    </row>
    <row r="11309" spans="1:18" ht="24">
      <c r="A11309" s="294">
        <v>558</v>
      </c>
      <c r="B11309" s="291" t="s">
        <v>20682</v>
      </c>
      <c r="C11309" s="295" t="s">
        <v>20683</v>
      </c>
      <c r="D11309" s="296">
        <v>1478.68</v>
      </c>
      <c r="E11309" s="296">
        <v>637.25</v>
      </c>
      <c r="F11309" s="296">
        <v>620.08000000000004</v>
      </c>
      <c r="G11309" s="296">
        <v>221.35</v>
      </c>
      <c r="H11309" s="297">
        <v>11613.81</v>
      </c>
      <c r="I11309" s="297">
        <v>7328.62</v>
      </c>
      <c r="J11309" s="297">
        <v>3328.12</v>
      </c>
      <c r="K11309" s="297">
        <v>957.07</v>
      </c>
      <c r="L11309" s="43">
        <v>7.8541739930208019</v>
      </c>
      <c r="M11309" s="43">
        <v>11.50038446449588</v>
      </c>
      <c r="N11309" s="43">
        <v>5.3672429363953036</v>
      </c>
      <c r="O11309" s="43">
        <v>4.3237858594985319</v>
      </c>
      <c r="P11309" s="298"/>
      <c r="Q11309" s="298"/>
      <c r="R11309" s="298">
        <v>5</v>
      </c>
    </row>
    <row r="11310" spans="1:18" ht="24">
      <c r="A11310" s="294">
        <v>559</v>
      </c>
      <c r="B11310" s="291" t="s">
        <v>20684</v>
      </c>
      <c r="C11310" s="295" t="s">
        <v>20685</v>
      </c>
      <c r="D11310" s="296">
        <v>2131.38</v>
      </c>
      <c r="E11310" s="296">
        <v>865.37</v>
      </c>
      <c r="F11310" s="296">
        <v>967.32</v>
      </c>
      <c r="G11310" s="296">
        <v>298.69</v>
      </c>
      <c r="H11310" s="297">
        <v>16398.07</v>
      </c>
      <c r="I11310" s="297">
        <v>9952.14</v>
      </c>
      <c r="J11310" s="297">
        <v>5140.21</v>
      </c>
      <c r="K11310" s="297">
        <v>1305.72</v>
      </c>
      <c r="L11310" s="43">
        <v>7.6936398014431955</v>
      </c>
      <c r="M11310" s="43">
        <v>11.500444896402694</v>
      </c>
      <c r="N11310" s="43">
        <v>5.3138671794235615</v>
      </c>
      <c r="O11310" s="43">
        <v>4.3714888345776561</v>
      </c>
      <c r="P11310" s="298"/>
      <c r="Q11310" s="298"/>
      <c r="R11310" s="298">
        <v>5</v>
      </c>
    </row>
    <row r="11311" spans="1:18" ht="24">
      <c r="A11311" s="294">
        <v>560</v>
      </c>
      <c r="B11311" s="291" t="s">
        <v>20686</v>
      </c>
      <c r="C11311" s="295" t="s">
        <v>20687</v>
      </c>
      <c r="D11311" s="296">
        <v>2438.8200000000002</v>
      </c>
      <c r="E11311" s="296">
        <v>1151.8499999999999</v>
      </c>
      <c r="F11311" s="296">
        <v>963.64</v>
      </c>
      <c r="G11311" s="296">
        <v>323.33</v>
      </c>
      <c r="H11311" s="297">
        <v>20077.240000000002</v>
      </c>
      <c r="I11311" s="297">
        <v>13246.8</v>
      </c>
      <c r="J11311" s="297">
        <v>5293.14</v>
      </c>
      <c r="K11311" s="297">
        <v>1537.3</v>
      </c>
      <c r="L11311" s="43">
        <v>8.2323582716231627</v>
      </c>
      <c r="M11311" s="43">
        <v>11.500455788514129</v>
      </c>
      <c r="N11311" s="43">
        <v>5.4928604043003615</v>
      </c>
      <c r="O11311" s="43">
        <v>4.7545850988154514</v>
      </c>
      <c r="P11311" s="298"/>
      <c r="Q11311" s="298"/>
      <c r="R11311" s="298">
        <v>5</v>
      </c>
    </row>
    <row r="11312" spans="1:18" ht="12.75" customHeight="1">
      <c r="A11312" s="628" t="s">
        <v>20688</v>
      </c>
      <c r="B11312" s="629"/>
      <c r="C11312" s="629"/>
      <c r="D11312" s="629"/>
      <c r="E11312" s="629"/>
      <c r="F11312" s="629"/>
      <c r="G11312" s="629"/>
      <c r="H11312" s="629"/>
      <c r="I11312" s="629"/>
      <c r="J11312" s="629"/>
      <c r="K11312" s="629"/>
      <c r="L11312" s="629"/>
      <c r="M11312" s="629"/>
      <c r="N11312" s="629"/>
      <c r="O11312" s="629"/>
      <c r="P11312" s="629"/>
      <c r="Q11312" s="629"/>
      <c r="R11312" s="629"/>
    </row>
    <row r="11313" spans="1:18" ht="24">
      <c r="A11313" s="294">
        <v>561</v>
      </c>
      <c r="B11313" s="291" t="s">
        <v>20689</v>
      </c>
      <c r="C11313" s="295" t="s">
        <v>20690</v>
      </c>
      <c r="D11313" s="296">
        <v>769.05</v>
      </c>
      <c r="E11313" s="296">
        <v>189.96</v>
      </c>
      <c r="F11313" s="296">
        <v>282.05</v>
      </c>
      <c r="G11313" s="296">
        <v>297.04000000000002</v>
      </c>
      <c r="H11313" s="297">
        <v>4873.8100000000004</v>
      </c>
      <c r="I11313" s="297">
        <v>2184.4899999999998</v>
      </c>
      <c r="J11313" s="297">
        <v>1521.09</v>
      </c>
      <c r="K11313" s="297">
        <v>1168.23</v>
      </c>
      <c r="L11313" s="43">
        <v>6.3374422989402515</v>
      </c>
      <c r="M11313" s="43">
        <v>11.499736786691933</v>
      </c>
      <c r="N11313" s="43">
        <v>5.3929799680907635</v>
      </c>
      <c r="O11313" s="43">
        <v>3.932904659305144</v>
      </c>
      <c r="P11313" s="298"/>
      <c r="Q11313" s="298"/>
      <c r="R11313" s="298">
        <v>6</v>
      </c>
    </row>
    <row r="11314" spans="1:18" ht="12.75" customHeight="1">
      <c r="A11314" s="628" t="s">
        <v>20691</v>
      </c>
      <c r="B11314" s="629"/>
      <c r="C11314" s="629"/>
      <c r="D11314" s="629"/>
      <c r="E11314" s="629"/>
      <c r="F11314" s="629"/>
      <c r="G11314" s="629"/>
      <c r="H11314" s="629"/>
      <c r="I11314" s="629"/>
      <c r="J11314" s="629"/>
      <c r="K11314" s="629"/>
      <c r="L11314" s="629"/>
      <c r="M11314" s="629"/>
      <c r="N11314" s="629"/>
      <c r="O11314" s="629"/>
      <c r="P11314" s="629"/>
      <c r="Q11314" s="629"/>
      <c r="R11314" s="629"/>
    </row>
    <row r="11315" spans="1:18" ht="24">
      <c r="A11315" s="294">
        <v>562</v>
      </c>
      <c r="B11315" s="291" t="s">
        <v>20692</v>
      </c>
      <c r="C11315" s="295" t="s">
        <v>20693</v>
      </c>
      <c r="D11315" s="296">
        <v>207.75</v>
      </c>
      <c r="E11315" s="296">
        <v>109.48</v>
      </c>
      <c r="F11315" s="296">
        <v>95.54</v>
      </c>
      <c r="G11315" s="296">
        <v>2.73</v>
      </c>
      <c r="H11315" s="297">
        <v>1808.88</v>
      </c>
      <c r="I11315" s="297">
        <v>1259.07</v>
      </c>
      <c r="J11315" s="297">
        <v>519.85</v>
      </c>
      <c r="K11315" s="297">
        <v>29.96</v>
      </c>
      <c r="L11315" s="43">
        <v>8.7070036101083037</v>
      </c>
      <c r="M11315" s="43">
        <v>11.500456704420898</v>
      </c>
      <c r="N11315" s="43">
        <v>5.4411764705882355</v>
      </c>
      <c r="O11315" s="43">
        <v>10.974358974358974</v>
      </c>
      <c r="P11315" s="298"/>
      <c r="Q11315" s="298"/>
      <c r="R11315" s="298">
        <v>7</v>
      </c>
    </row>
    <row r="11316" spans="1:18" ht="12.75" customHeight="1">
      <c r="A11316" s="628" t="s">
        <v>20694</v>
      </c>
      <c r="B11316" s="629"/>
      <c r="C11316" s="629"/>
      <c r="D11316" s="629"/>
      <c r="E11316" s="629"/>
      <c r="F11316" s="629"/>
      <c r="G11316" s="629"/>
      <c r="H11316" s="629"/>
      <c r="I11316" s="629"/>
      <c r="J11316" s="629"/>
      <c r="K11316" s="629"/>
      <c r="L11316" s="629"/>
      <c r="M11316" s="629"/>
      <c r="N11316" s="629"/>
      <c r="O11316" s="629"/>
      <c r="P11316" s="629"/>
      <c r="Q11316" s="629"/>
      <c r="R11316" s="629"/>
    </row>
    <row r="11317" spans="1:18" ht="24">
      <c r="A11317" s="294">
        <v>563</v>
      </c>
      <c r="B11317" s="291" t="s">
        <v>20695</v>
      </c>
      <c r="C11317" s="295" t="s">
        <v>20696</v>
      </c>
      <c r="D11317" s="296">
        <v>4415.1400000000003</v>
      </c>
      <c r="E11317" s="296">
        <v>1742.2</v>
      </c>
      <c r="F11317" s="296">
        <v>2375.37</v>
      </c>
      <c r="G11317" s="296">
        <v>297.57</v>
      </c>
      <c r="H11317" s="297">
        <v>34332.160000000003</v>
      </c>
      <c r="I11317" s="297">
        <v>20035.3</v>
      </c>
      <c r="J11317" s="297">
        <v>12808.7</v>
      </c>
      <c r="K11317" s="297">
        <v>1488.16</v>
      </c>
      <c r="L11317" s="43">
        <v>7.7760071028325264</v>
      </c>
      <c r="M11317" s="43">
        <v>11.5</v>
      </c>
      <c r="N11317" s="43">
        <v>5.3922967790281096</v>
      </c>
      <c r="O11317" s="43">
        <v>5.0010417716839743</v>
      </c>
      <c r="P11317" s="298"/>
      <c r="Q11317" s="298"/>
      <c r="R11317" s="298">
        <v>8</v>
      </c>
    </row>
    <row r="11318" spans="1:18" ht="12.75" customHeight="1">
      <c r="A11318" s="628" t="s">
        <v>20697</v>
      </c>
      <c r="B11318" s="629"/>
      <c r="C11318" s="629"/>
      <c r="D11318" s="629"/>
      <c r="E11318" s="629"/>
      <c r="F11318" s="629"/>
      <c r="G11318" s="629"/>
      <c r="H11318" s="629"/>
      <c r="I11318" s="629"/>
      <c r="J11318" s="629"/>
      <c r="K11318" s="629"/>
      <c r="L11318" s="629"/>
      <c r="M11318" s="629"/>
      <c r="N11318" s="629"/>
      <c r="O11318" s="629"/>
      <c r="P11318" s="629"/>
      <c r="Q11318" s="629"/>
      <c r="R11318" s="629"/>
    </row>
    <row r="11319" spans="1:18" ht="24">
      <c r="A11319" s="294">
        <v>564</v>
      </c>
      <c r="B11319" s="291" t="s">
        <v>20698</v>
      </c>
      <c r="C11319" s="295" t="s">
        <v>20699</v>
      </c>
      <c r="D11319" s="296">
        <v>4736.1899999999996</v>
      </c>
      <c r="E11319" s="296">
        <v>2303.6999999999998</v>
      </c>
      <c r="F11319" s="296">
        <v>2029.87</v>
      </c>
      <c r="G11319" s="296">
        <v>402.62</v>
      </c>
      <c r="H11319" s="297">
        <v>39460.11</v>
      </c>
      <c r="I11319" s="297">
        <v>26493.599999999999</v>
      </c>
      <c r="J11319" s="297">
        <v>10950.92</v>
      </c>
      <c r="K11319" s="297">
        <v>2015.59</v>
      </c>
      <c r="L11319" s="43">
        <v>8.3316146522837986</v>
      </c>
      <c r="M11319" s="43">
        <v>11.500455788514129</v>
      </c>
      <c r="N11319" s="43">
        <v>5.3948873573184493</v>
      </c>
      <c r="O11319" s="43">
        <v>5.0061844915801501</v>
      </c>
      <c r="P11319" s="298"/>
      <c r="Q11319" s="298"/>
      <c r="R11319" s="298">
        <v>9</v>
      </c>
    </row>
    <row r="11320" spans="1:18" ht="24">
      <c r="A11320" s="294">
        <v>565</v>
      </c>
      <c r="B11320" s="291" t="s">
        <v>20700</v>
      </c>
      <c r="C11320" s="295" t="s">
        <v>20701</v>
      </c>
      <c r="D11320" s="296">
        <v>10221.25</v>
      </c>
      <c r="E11320" s="296">
        <v>3248.36</v>
      </c>
      <c r="F11320" s="296">
        <v>6590.5</v>
      </c>
      <c r="G11320" s="296">
        <v>382.39</v>
      </c>
      <c r="H11320" s="297">
        <v>75066.39</v>
      </c>
      <c r="I11320" s="297">
        <v>37356.14</v>
      </c>
      <c r="J11320" s="297">
        <v>35641.040000000001</v>
      </c>
      <c r="K11320" s="297">
        <v>2069.21</v>
      </c>
      <c r="L11320" s="43">
        <v>7.3441496881496882</v>
      </c>
      <c r="M11320" s="43">
        <v>11.5</v>
      </c>
      <c r="N11320" s="43">
        <v>5.4079417343145435</v>
      </c>
      <c r="O11320" s="43">
        <v>5.4112555244645524</v>
      </c>
      <c r="P11320" s="298"/>
      <c r="Q11320" s="298"/>
      <c r="R11320" s="298">
        <v>9</v>
      </c>
    </row>
    <row r="11321" spans="1:18" ht="24">
      <c r="A11321" s="294">
        <v>566</v>
      </c>
      <c r="B11321" s="291" t="s">
        <v>20702</v>
      </c>
      <c r="C11321" s="295" t="s">
        <v>20703</v>
      </c>
      <c r="D11321" s="296">
        <v>11914.24</v>
      </c>
      <c r="E11321" s="296">
        <v>2978.6</v>
      </c>
      <c r="F11321" s="296">
        <v>8794.8799999999992</v>
      </c>
      <c r="G11321" s="296">
        <v>140.76</v>
      </c>
      <c r="H11321" s="297">
        <v>82787.649999999994</v>
      </c>
      <c r="I11321" s="297">
        <v>34253.9</v>
      </c>
      <c r="J11321" s="297">
        <v>47402.47</v>
      </c>
      <c r="K11321" s="297">
        <v>1131.28</v>
      </c>
      <c r="L11321" s="43">
        <v>6.9486303784379029</v>
      </c>
      <c r="M11321" s="43">
        <v>11.5</v>
      </c>
      <c r="N11321" s="43">
        <v>5.3897801902925346</v>
      </c>
      <c r="O11321" s="43">
        <v>8.036942313157148</v>
      </c>
      <c r="P11321" s="298"/>
      <c r="Q11321" s="298"/>
      <c r="R11321" s="298">
        <v>9</v>
      </c>
    </row>
    <row r="11322" spans="1:18" ht="12.75" customHeight="1">
      <c r="A11322" s="628" t="s">
        <v>20704</v>
      </c>
      <c r="B11322" s="629"/>
      <c r="C11322" s="629"/>
      <c r="D11322" s="629"/>
      <c r="E11322" s="629"/>
      <c r="F11322" s="629"/>
      <c r="G11322" s="629"/>
      <c r="H11322" s="629"/>
      <c r="I11322" s="629"/>
      <c r="J11322" s="629"/>
      <c r="K11322" s="629"/>
      <c r="L11322" s="629"/>
      <c r="M11322" s="629"/>
      <c r="N11322" s="629"/>
      <c r="O11322" s="629"/>
      <c r="P11322" s="629"/>
      <c r="Q11322" s="629"/>
      <c r="R11322" s="629"/>
    </row>
    <row r="11323" spans="1:18" ht="36">
      <c r="A11323" s="294">
        <v>567</v>
      </c>
      <c r="B11323" s="291" t="s">
        <v>20705</v>
      </c>
      <c r="C11323" s="295" t="s">
        <v>20706</v>
      </c>
      <c r="D11323" s="296">
        <v>3699.23</v>
      </c>
      <c r="E11323" s="296">
        <v>1035.2</v>
      </c>
      <c r="F11323" s="296">
        <v>1895.9</v>
      </c>
      <c r="G11323" s="296">
        <v>768.13</v>
      </c>
      <c r="H11323" s="297">
        <v>25131.98</v>
      </c>
      <c r="I11323" s="297">
        <v>11904.85</v>
      </c>
      <c r="J11323" s="297">
        <v>10203.24</v>
      </c>
      <c r="K11323" s="297">
        <v>3023.89</v>
      </c>
      <c r="L11323" s="43">
        <v>6.7938408803994346</v>
      </c>
      <c r="M11323" s="43">
        <v>11.500048299845441</v>
      </c>
      <c r="N11323" s="43">
        <v>5.3817395432248532</v>
      </c>
      <c r="O11323" s="43">
        <v>3.9366904039680781</v>
      </c>
      <c r="P11323" s="298"/>
      <c r="Q11323" s="298"/>
      <c r="R11323" s="298">
        <v>10</v>
      </c>
    </row>
    <row r="11324" spans="1:18" ht="12.75" customHeight="1">
      <c r="A11324" s="628" t="s">
        <v>20707</v>
      </c>
      <c r="B11324" s="629"/>
      <c r="C11324" s="629"/>
      <c r="D11324" s="629"/>
      <c r="E11324" s="629"/>
      <c r="F11324" s="629"/>
      <c r="G11324" s="629"/>
      <c r="H11324" s="629"/>
      <c r="I11324" s="629"/>
      <c r="J11324" s="629"/>
      <c r="K11324" s="629"/>
      <c r="L11324" s="629"/>
      <c r="M11324" s="629"/>
      <c r="N11324" s="629"/>
      <c r="O11324" s="629"/>
      <c r="P11324" s="629"/>
      <c r="Q11324" s="629"/>
      <c r="R11324" s="629"/>
    </row>
    <row r="11325" spans="1:18" ht="24">
      <c r="A11325" s="294">
        <v>568</v>
      </c>
      <c r="B11325" s="291" t="s">
        <v>20708</v>
      </c>
      <c r="C11325" s="295" t="s">
        <v>20709</v>
      </c>
      <c r="D11325" s="296">
        <v>16151.23</v>
      </c>
      <c r="E11325" s="296">
        <v>7066.35</v>
      </c>
      <c r="F11325" s="296">
        <v>7542.86</v>
      </c>
      <c r="G11325" s="296">
        <v>1542.02</v>
      </c>
      <c r="H11325" s="297">
        <v>130101.88</v>
      </c>
      <c r="I11325" s="297">
        <v>81266.100000000006</v>
      </c>
      <c r="J11325" s="297">
        <v>39915.480000000003</v>
      </c>
      <c r="K11325" s="297">
        <v>8920.2999999999993</v>
      </c>
      <c r="L11325" s="43">
        <v>8.0552304685154024</v>
      </c>
      <c r="M11325" s="43">
        <v>11.500435161009573</v>
      </c>
      <c r="N11325" s="43">
        <v>5.291822995521593</v>
      </c>
      <c r="O11325" s="43">
        <v>5.7848147235444412</v>
      </c>
      <c r="P11325" s="298"/>
      <c r="Q11325" s="298"/>
      <c r="R11325" s="298">
        <v>11</v>
      </c>
    </row>
    <row r="11326" spans="1:18" ht="12.75" customHeight="1">
      <c r="A11326" s="628" t="s">
        <v>20710</v>
      </c>
      <c r="B11326" s="629"/>
      <c r="C11326" s="629"/>
      <c r="D11326" s="629"/>
      <c r="E11326" s="629"/>
      <c r="F11326" s="629"/>
      <c r="G11326" s="629"/>
      <c r="H11326" s="629"/>
      <c r="I11326" s="629"/>
      <c r="J11326" s="629"/>
      <c r="K11326" s="629"/>
      <c r="L11326" s="629"/>
      <c r="M11326" s="629"/>
      <c r="N11326" s="629"/>
      <c r="O11326" s="629"/>
      <c r="P11326" s="629"/>
      <c r="Q11326" s="629"/>
      <c r="R11326" s="629"/>
    </row>
    <row r="11327" spans="1:18" ht="24">
      <c r="A11327" s="294">
        <v>569</v>
      </c>
      <c r="B11327" s="291" t="s">
        <v>20711</v>
      </c>
      <c r="C11327" s="295" t="s">
        <v>20712</v>
      </c>
      <c r="D11327" s="296">
        <v>1179.9000000000001</v>
      </c>
      <c r="E11327" s="296">
        <v>289.99</v>
      </c>
      <c r="F11327" s="296">
        <v>477.86</v>
      </c>
      <c r="G11327" s="296">
        <v>412.05</v>
      </c>
      <c r="H11327" s="297">
        <v>7486.48</v>
      </c>
      <c r="I11327" s="297">
        <v>3334.91</v>
      </c>
      <c r="J11327" s="297">
        <v>2577.2399999999998</v>
      </c>
      <c r="K11327" s="297">
        <v>1574.33</v>
      </c>
      <c r="L11327" s="43">
        <v>6.3450122891770482</v>
      </c>
      <c r="M11327" s="43">
        <v>11.500086209869306</v>
      </c>
      <c r="N11327" s="43">
        <v>5.3932951073536177</v>
      </c>
      <c r="O11327" s="43">
        <v>3.8207256400922214</v>
      </c>
      <c r="P11327" s="298"/>
      <c r="Q11327" s="298"/>
      <c r="R11327" s="298">
        <v>12</v>
      </c>
    </row>
    <row r="11328" spans="1:18" ht="12.75" customHeight="1">
      <c r="A11328" s="628" t="s">
        <v>20713</v>
      </c>
      <c r="B11328" s="629"/>
      <c r="C11328" s="629"/>
      <c r="D11328" s="629"/>
      <c r="E11328" s="629"/>
      <c r="F11328" s="629"/>
      <c r="G11328" s="629"/>
      <c r="H11328" s="629"/>
      <c r="I11328" s="629"/>
      <c r="J11328" s="629"/>
      <c r="K11328" s="629"/>
      <c r="L11328" s="629"/>
      <c r="M11328" s="629"/>
      <c r="N11328" s="629"/>
      <c r="O11328" s="629"/>
      <c r="P11328" s="629"/>
      <c r="Q11328" s="629"/>
      <c r="R11328" s="629"/>
    </row>
    <row r="11329" spans="1:18" ht="24">
      <c r="A11329" s="294">
        <v>570</v>
      </c>
      <c r="B11329" s="291" t="s">
        <v>20714</v>
      </c>
      <c r="C11329" s="295" t="s">
        <v>20715</v>
      </c>
      <c r="D11329" s="296">
        <v>3895.86</v>
      </c>
      <c r="E11329" s="296">
        <v>1275.3900000000001</v>
      </c>
      <c r="F11329" s="296">
        <v>2221.16</v>
      </c>
      <c r="G11329" s="296">
        <v>399.31</v>
      </c>
      <c r="H11329" s="297">
        <v>28436.33</v>
      </c>
      <c r="I11329" s="297">
        <v>14667.54</v>
      </c>
      <c r="J11329" s="297">
        <v>11892.31</v>
      </c>
      <c r="K11329" s="297">
        <v>1876.48</v>
      </c>
      <c r="L11329" s="43">
        <v>7.2991149579297003</v>
      </c>
      <c r="M11329" s="43">
        <v>11.500435161009573</v>
      </c>
      <c r="N11329" s="43">
        <v>5.3540987592069014</v>
      </c>
      <c r="O11329" s="43">
        <v>4.6993063033733193</v>
      </c>
      <c r="P11329" s="298"/>
      <c r="Q11329" s="298"/>
      <c r="R11329" s="298">
        <v>13</v>
      </c>
    </row>
    <row r="11330" spans="1:18" ht="24">
      <c r="A11330" s="294">
        <v>571</v>
      </c>
      <c r="B11330" s="291" t="s">
        <v>20716</v>
      </c>
      <c r="C11330" s="295" t="s">
        <v>20717</v>
      </c>
      <c r="D11330" s="296">
        <v>3426.01</v>
      </c>
      <c r="E11330" s="296">
        <v>1135.21</v>
      </c>
      <c r="F11330" s="296">
        <v>1932.07</v>
      </c>
      <c r="G11330" s="296">
        <v>358.73</v>
      </c>
      <c r="H11330" s="297">
        <v>25183.95</v>
      </c>
      <c r="I11330" s="297">
        <v>13055.43</v>
      </c>
      <c r="J11330" s="297">
        <v>10361.74</v>
      </c>
      <c r="K11330" s="297">
        <v>1766.78</v>
      </c>
      <c r="L11330" s="43">
        <v>7.3508104179497433</v>
      </c>
      <c r="M11330" s="43">
        <v>11.500453660556197</v>
      </c>
      <c r="N11330" s="43">
        <v>5.3630251491923175</v>
      </c>
      <c r="O11330" s="43">
        <v>4.9250968695118891</v>
      </c>
      <c r="P11330" s="298"/>
      <c r="Q11330" s="298"/>
      <c r="R11330" s="298">
        <v>13</v>
      </c>
    </row>
    <row r="11331" spans="1:18" ht="12.75" customHeight="1">
      <c r="A11331" s="628" t="s">
        <v>20718</v>
      </c>
      <c r="B11331" s="629"/>
      <c r="C11331" s="629"/>
      <c r="D11331" s="629"/>
      <c r="E11331" s="629"/>
      <c r="F11331" s="629"/>
      <c r="G11331" s="629"/>
      <c r="H11331" s="629"/>
      <c r="I11331" s="629"/>
      <c r="J11331" s="629"/>
      <c r="K11331" s="629"/>
      <c r="L11331" s="629"/>
      <c r="M11331" s="629"/>
      <c r="N11331" s="629"/>
      <c r="O11331" s="629"/>
      <c r="P11331" s="629"/>
      <c r="Q11331" s="629"/>
      <c r="R11331" s="629"/>
    </row>
    <row r="11332" spans="1:18" ht="24">
      <c r="A11332" s="294">
        <v>572</v>
      </c>
      <c r="B11332" s="291" t="s">
        <v>20719</v>
      </c>
      <c r="C11332" s="295" t="s">
        <v>20720</v>
      </c>
      <c r="D11332" s="296">
        <v>190.26</v>
      </c>
      <c r="E11332" s="296">
        <v>119.95</v>
      </c>
      <c r="F11332" s="296">
        <v>34.93</v>
      </c>
      <c r="G11332" s="296">
        <v>35.380000000000003</v>
      </c>
      <c r="H11332" s="297">
        <v>1716.8</v>
      </c>
      <c r="I11332" s="297">
        <v>1379.5</v>
      </c>
      <c r="J11332" s="297">
        <v>187.85</v>
      </c>
      <c r="K11332" s="297">
        <v>149.44999999999999</v>
      </c>
      <c r="L11332" s="43">
        <v>9.0234416062230629</v>
      </c>
      <c r="M11332" s="43">
        <v>11.500625260525219</v>
      </c>
      <c r="N11332" s="43">
        <v>5.3778986544517604</v>
      </c>
      <c r="O11332" s="43">
        <v>4.2241379310344822</v>
      </c>
      <c r="P11332" s="298"/>
      <c r="Q11332" s="298"/>
      <c r="R11332" s="298">
        <v>14</v>
      </c>
    </row>
    <row r="11333" spans="1:18" ht="24">
      <c r="A11333" s="294">
        <v>573</v>
      </c>
      <c r="B11333" s="291" t="s">
        <v>20721</v>
      </c>
      <c r="C11333" s="295" t="s">
        <v>20722</v>
      </c>
      <c r="D11333" s="296">
        <v>235.61</v>
      </c>
      <c r="E11333" s="296">
        <v>133.33000000000001</v>
      </c>
      <c r="F11333" s="296">
        <v>66.63</v>
      </c>
      <c r="G11333" s="296">
        <v>35.65</v>
      </c>
      <c r="H11333" s="297">
        <v>2044.79</v>
      </c>
      <c r="I11333" s="297">
        <v>1533.32</v>
      </c>
      <c r="J11333" s="297">
        <v>358.91</v>
      </c>
      <c r="K11333" s="297">
        <v>152.56</v>
      </c>
      <c r="L11333" s="43">
        <v>8.6787063367429216</v>
      </c>
      <c r="M11333" s="43">
        <v>11.500187504687615</v>
      </c>
      <c r="N11333" s="43">
        <v>5.3866126369503231</v>
      </c>
      <c r="O11333" s="43">
        <v>4.2793828892005612</v>
      </c>
      <c r="P11333" s="298"/>
      <c r="Q11333" s="298"/>
      <c r="R11333" s="298">
        <v>14</v>
      </c>
    </row>
    <row r="11334" spans="1:18" ht="24">
      <c r="A11334" s="294">
        <v>574</v>
      </c>
      <c r="B11334" s="291" t="s">
        <v>20723</v>
      </c>
      <c r="C11334" s="295" t="s">
        <v>20724</v>
      </c>
      <c r="D11334" s="296">
        <v>287.75</v>
      </c>
      <c r="E11334" s="296">
        <v>158.26</v>
      </c>
      <c r="F11334" s="296">
        <v>93.34</v>
      </c>
      <c r="G11334" s="296">
        <v>36.15</v>
      </c>
      <c r="H11334" s="297">
        <v>2481.0700000000002</v>
      </c>
      <c r="I11334" s="297">
        <v>1820.04</v>
      </c>
      <c r="J11334" s="297">
        <v>502.72</v>
      </c>
      <c r="K11334" s="297">
        <v>158.31</v>
      </c>
      <c r="L11334" s="43">
        <v>8.6223110338835802</v>
      </c>
      <c r="M11334" s="43">
        <v>11.500315935801845</v>
      </c>
      <c r="N11334" s="43">
        <v>5.3859010070709239</v>
      </c>
      <c r="O11334" s="43">
        <v>4.3792531120331954</v>
      </c>
      <c r="P11334" s="298"/>
      <c r="Q11334" s="298"/>
      <c r="R11334" s="298">
        <v>14</v>
      </c>
    </row>
    <row r="11335" spans="1:18" ht="12.75" customHeight="1">
      <c r="A11335" s="628" t="s">
        <v>20725</v>
      </c>
      <c r="B11335" s="629"/>
      <c r="C11335" s="629"/>
      <c r="D11335" s="629"/>
      <c r="E11335" s="629"/>
      <c r="F11335" s="629"/>
      <c r="G11335" s="629"/>
      <c r="H11335" s="629"/>
      <c r="I11335" s="629"/>
      <c r="J11335" s="629"/>
      <c r="K11335" s="629"/>
      <c r="L11335" s="629"/>
      <c r="M11335" s="629"/>
      <c r="N11335" s="629"/>
      <c r="O11335" s="629"/>
      <c r="P11335" s="629"/>
      <c r="Q11335" s="629"/>
      <c r="R11335" s="629"/>
    </row>
    <row r="11336" spans="1:18" ht="24">
      <c r="A11336" s="294">
        <v>575</v>
      </c>
      <c r="B11336" s="291" t="s">
        <v>20726</v>
      </c>
      <c r="C11336" s="295" t="s">
        <v>20727</v>
      </c>
      <c r="D11336" s="296">
        <v>786.85</v>
      </c>
      <c r="E11336" s="296">
        <v>283.02999999999997</v>
      </c>
      <c r="F11336" s="296">
        <v>206.8</v>
      </c>
      <c r="G11336" s="296">
        <v>297.02</v>
      </c>
      <c r="H11336" s="297">
        <v>5550.09</v>
      </c>
      <c r="I11336" s="297">
        <v>3254.93</v>
      </c>
      <c r="J11336" s="297">
        <v>1114.9000000000001</v>
      </c>
      <c r="K11336" s="297">
        <v>1180.26</v>
      </c>
      <c r="L11336" s="43">
        <v>7.0535553154985067</v>
      </c>
      <c r="M11336" s="43">
        <v>11.500300321520687</v>
      </c>
      <c r="N11336" s="43">
        <v>5.3911992263056092</v>
      </c>
      <c r="O11336" s="43">
        <v>3.9736718066123498</v>
      </c>
      <c r="P11336" s="298"/>
      <c r="Q11336" s="298"/>
      <c r="R11336" s="298">
        <v>15</v>
      </c>
    </row>
    <row r="11337" spans="1:18" ht="24">
      <c r="A11337" s="294">
        <v>576</v>
      </c>
      <c r="B11337" s="291" t="s">
        <v>20728</v>
      </c>
      <c r="C11337" s="295" t="s">
        <v>20729</v>
      </c>
      <c r="D11337" s="296">
        <v>1352.08</v>
      </c>
      <c r="E11337" s="296">
        <v>466.46</v>
      </c>
      <c r="F11337" s="296">
        <v>578.87</v>
      </c>
      <c r="G11337" s="296">
        <v>306.75</v>
      </c>
      <c r="H11337" s="297">
        <v>9721.19</v>
      </c>
      <c r="I11337" s="297">
        <v>5364.29</v>
      </c>
      <c r="J11337" s="297">
        <v>3102.77</v>
      </c>
      <c r="K11337" s="297">
        <v>1254.1300000000001</v>
      </c>
      <c r="L11337" s="43">
        <v>7.1898038577598964</v>
      </c>
      <c r="M11337" s="43">
        <v>11.5</v>
      </c>
      <c r="N11337" s="43">
        <v>5.3600462970960665</v>
      </c>
      <c r="O11337" s="43">
        <v>4.0884433577832118</v>
      </c>
      <c r="P11337" s="298"/>
      <c r="Q11337" s="298"/>
      <c r="R11337" s="298">
        <v>15</v>
      </c>
    </row>
    <row r="11338" spans="1:18" ht="12.75" customHeight="1">
      <c r="A11338" s="628" t="s">
        <v>20730</v>
      </c>
      <c r="B11338" s="629"/>
      <c r="C11338" s="629"/>
      <c r="D11338" s="629"/>
      <c r="E11338" s="629"/>
      <c r="F11338" s="629"/>
      <c r="G11338" s="629"/>
      <c r="H11338" s="629"/>
      <c r="I11338" s="629"/>
      <c r="J11338" s="629"/>
      <c r="K11338" s="629"/>
      <c r="L11338" s="629"/>
      <c r="M11338" s="629"/>
      <c r="N11338" s="629"/>
      <c r="O11338" s="629"/>
      <c r="P11338" s="629"/>
      <c r="Q11338" s="629"/>
      <c r="R11338" s="629"/>
    </row>
    <row r="11339" spans="1:18" ht="24">
      <c r="A11339" s="294">
        <v>577</v>
      </c>
      <c r="B11339" s="291" t="s">
        <v>20731</v>
      </c>
      <c r="C11339" s="295" t="s">
        <v>20732</v>
      </c>
      <c r="D11339" s="296">
        <v>131.1</v>
      </c>
      <c r="E11339" s="296">
        <v>60.81</v>
      </c>
      <c r="F11339" s="296">
        <v>69.069999999999993</v>
      </c>
      <c r="G11339" s="296">
        <v>1.22</v>
      </c>
      <c r="H11339" s="297">
        <v>1088.31</v>
      </c>
      <c r="I11339" s="297">
        <v>699.34</v>
      </c>
      <c r="J11339" s="297">
        <v>374.94</v>
      </c>
      <c r="K11339" s="297">
        <v>14.03</v>
      </c>
      <c r="L11339" s="43">
        <v>8.3013729977116704</v>
      </c>
      <c r="M11339" s="43">
        <v>11.500411116592666</v>
      </c>
      <c r="N11339" s="43">
        <v>5.4284059649630816</v>
      </c>
      <c r="O11339" s="43">
        <v>11.5</v>
      </c>
      <c r="P11339" s="298"/>
      <c r="Q11339" s="298"/>
      <c r="R11339" s="298">
        <v>16</v>
      </c>
    </row>
    <row r="11340" spans="1:18" ht="12.75" customHeight="1">
      <c r="A11340" s="628" t="s">
        <v>20733</v>
      </c>
      <c r="B11340" s="629"/>
      <c r="C11340" s="629"/>
      <c r="D11340" s="629"/>
      <c r="E11340" s="629"/>
      <c r="F11340" s="629"/>
      <c r="G11340" s="629"/>
      <c r="H11340" s="629"/>
      <c r="I11340" s="629"/>
      <c r="J11340" s="629"/>
      <c r="K11340" s="629"/>
      <c r="L11340" s="629"/>
      <c r="M11340" s="629"/>
      <c r="N11340" s="629"/>
      <c r="O11340" s="629"/>
      <c r="P11340" s="629"/>
      <c r="Q11340" s="629"/>
      <c r="R11340" s="629"/>
    </row>
    <row r="11341" spans="1:18" ht="24">
      <c r="A11341" s="294">
        <v>578</v>
      </c>
      <c r="B11341" s="291" t="s">
        <v>20734</v>
      </c>
      <c r="C11341" s="295" t="s">
        <v>20735</v>
      </c>
      <c r="D11341" s="296">
        <v>663.01</v>
      </c>
      <c r="E11341" s="296">
        <v>240.98</v>
      </c>
      <c r="F11341" s="296">
        <v>404.4</v>
      </c>
      <c r="G11341" s="296">
        <v>17.63</v>
      </c>
      <c r="H11341" s="297">
        <v>5077.7299999999996</v>
      </c>
      <c r="I11341" s="297">
        <v>2771.33</v>
      </c>
      <c r="J11341" s="297">
        <v>2181.69</v>
      </c>
      <c r="K11341" s="297">
        <v>124.71</v>
      </c>
      <c r="L11341" s="43">
        <v>7.6586024343524226</v>
      </c>
      <c r="M11341" s="43">
        <v>11.500248983318118</v>
      </c>
      <c r="N11341" s="43">
        <v>5.3948813056379823</v>
      </c>
      <c r="O11341" s="43">
        <v>7.073737946681792</v>
      </c>
      <c r="P11341" s="298"/>
      <c r="Q11341" s="298"/>
      <c r="R11341" s="298">
        <v>17</v>
      </c>
    </row>
    <row r="11342" spans="1:18" ht="12.75" customHeight="1">
      <c r="A11342" s="628" t="s">
        <v>20736</v>
      </c>
      <c r="B11342" s="629"/>
      <c r="C11342" s="629"/>
      <c r="D11342" s="629"/>
      <c r="E11342" s="629"/>
      <c r="F11342" s="629"/>
      <c r="G11342" s="629"/>
      <c r="H11342" s="629"/>
      <c r="I11342" s="629"/>
      <c r="J11342" s="629"/>
      <c r="K11342" s="629"/>
      <c r="L11342" s="629"/>
      <c r="M11342" s="629"/>
      <c r="N11342" s="629"/>
      <c r="O11342" s="629"/>
      <c r="P11342" s="629"/>
      <c r="Q11342" s="629"/>
      <c r="R11342" s="629"/>
    </row>
    <row r="11343" spans="1:18" ht="12.75" customHeight="1">
      <c r="A11343" s="628" t="s">
        <v>20737</v>
      </c>
      <c r="B11343" s="629"/>
      <c r="C11343" s="629"/>
      <c r="D11343" s="629"/>
      <c r="E11343" s="629"/>
      <c r="F11343" s="629"/>
      <c r="G11343" s="629"/>
      <c r="H11343" s="629"/>
      <c r="I11343" s="629"/>
      <c r="J11343" s="629"/>
      <c r="K11343" s="629"/>
      <c r="L11343" s="629"/>
      <c r="M11343" s="629"/>
      <c r="N11343" s="629"/>
      <c r="O11343" s="629"/>
      <c r="P11343" s="629"/>
      <c r="Q11343" s="629"/>
      <c r="R11343" s="629"/>
    </row>
    <row r="11344" spans="1:18" ht="24">
      <c r="A11344" s="294">
        <v>579</v>
      </c>
      <c r="B11344" s="291" t="s">
        <v>20738</v>
      </c>
      <c r="C11344" s="295" t="s">
        <v>20739</v>
      </c>
      <c r="D11344" s="296">
        <v>7908.38</v>
      </c>
      <c r="E11344" s="296">
        <v>2904.15</v>
      </c>
      <c r="F11344" s="296">
        <v>3458.14</v>
      </c>
      <c r="G11344" s="296">
        <v>1546.09</v>
      </c>
      <c r="H11344" s="297">
        <v>60447.22</v>
      </c>
      <c r="I11344" s="297">
        <v>33399.15</v>
      </c>
      <c r="J11344" s="297">
        <v>19240.62</v>
      </c>
      <c r="K11344" s="297">
        <v>7807.45</v>
      </c>
      <c r="L11344" s="43">
        <v>7.6434389849754307</v>
      </c>
      <c r="M11344" s="43">
        <v>11.500490677134446</v>
      </c>
      <c r="N11344" s="43">
        <v>5.5638638111817338</v>
      </c>
      <c r="O11344" s="43">
        <v>5.0498030515687962</v>
      </c>
      <c r="P11344" s="298"/>
      <c r="Q11344" s="298"/>
      <c r="R11344" s="298">
        <v>1</v>
      </c>
    </row>
    <row r="11345" spans="1:18" ht="12.75" customHeight="1">
      <c r="A11345" s="628" t="s">
        <v>20740</v>
      </c>
      <c r="B11345" s="629"/>
      <c r="C11345" s="629"/>
      <c r="D11345" s="629"/>
      <c r="E11345" s="629"/>
      <c r="F11345" s="629"/>
      <c r="G11345" s="629"/>
      <c r="H11345" s="629"/>
      <c r="I11345" s="629"/>
      <c r="J11345" s="629"/>
      <c r="K11345" s="629"/>
      <c r="L11345" s="629"/>
      <c r="M11345" s="629"/>
      <c r="N11345" s="629"/>
      <c r="O11345" s="629"/>
      <c r="P11345" s="629"/>
      <c r="Q11345" s="629"/>
      <c r="R11345" s="629"/>
    </row>
    <row r="11346" spans="1:18" ht="24">
      <c r="A11346" s="294">
        <v>580</v>
      </c>
      <c r="B11346" s="291" t="s">
        <v>20741</v>
      </c>
      <c r="C11346" s="295" t="s">
        <v>20742</v>
      </c>
      <c r="D11346" s="296">
        <v>6711.8</v>
      </c>
      <c r="E11346" s="296">
        <v>1616.5</v>
      </c>
      <c r="F11346" s="296">
        <v>1446.91</v>
      </c>
      <c r="G11346" s="296">
        <v>3648.39</v>
      </c>
      <c r="H11346" s="297">
        <v>47444.01</v>
      </c>
      <c r="I11346" s="297">
        <v>18590.36</v>
      </c>
      <c r="J11346" s="297">
        <v>7937.19</v>
      </c>
      <c r="K11346" s="297">
        <v>20916.46</v>
      </c>
      <c r="L11346" s="43">
        <v>7.0687460889776217</v>
      </c>
      <c r="M11346" s="43">
        <v>11.500377358490566</v>
      </c>
      <c r="N11346" s="43">
        <v>5.4856141708883062</v>
      </c>
      <c r="O11346" s="43">
        <v>5.7330658180731771</v>
      </c>
      <c r="P11346" s="298"/>
      <c r="Q11346" s="298"/>
      <c r="R11346" s="298">
        <v>2</v>
      </c>
    </row>
    <row r="11347" spans="1:18" ht="12.75" customHeight="1">
      <c r="A11347" s="628" t="s">
        <v>20743</v>
      </c>
      <c r="B11347" s="629"/>
      <c r="C11347" s="629"/>
      <c r="D11347" s="629"/>
      <c r="E11347" s="629"/>
      <c r="F11347" s="629"/>
      <c r="G11347" s="629"/>
      <c r="H11347" s="629"/>
      <c r="I11347" s="629"/>
      <c r="J11347" s="629"/>
      <c r="K11347" s="629"/>
      <c r="L11347" s="629"/>
      <c r="M11347" s="629"/>
      <c r="N11347" s="629"/>
      <c r="O11347" s="629"/>
      <c r="P11347" s="629"/>
      <c r="Q11347" s="629"/>
      <c r="R11347" s="629"/>
    </row>
    <row r="11348" spans="1:18" ht="24">
      <c r="A11348" s="294">
        <v>581</v>
      </c>
      <c r="B11348" s="291" t="s">
        <v>20744</v>
      </c>
      <c r="C11348" s="295" t="s">
        <v>20745</v>
      </c>
      <c r="D11348" s="296">
        <v>1455.89</v>
      </c>
      <c r="E11348" s="296">
        <v>365.31</v>
      </c>
      <c r="F11348" s="296">
        <v>476.35</v>
      </c>
      <c r="G11348" s="296">
        <v>614.23</v>
      </c>
      <c r="H11348" s="297">
        <v>8977.0499999999993</v>
      </c>
      <c r="I11348" s="297">
        <v>4201.04</v>
      </c>
      <c r="J11348" s="297">
        <v>2410.21</v>
      </c>
      <c r="K11348" s="297">
        <v>2365.8000000000002</v>
      </c>
      <c r="L11348" s="43">
        <v>6.1660221582674506</v>
      </c>
      <c r="M11348" s="43">
        <v>11.499931564972215</v>
      </c>
      <c r="N11348" s="43">
        <v>5.0597459850949926</v>
      </c>
      <c r="O11348" s="43">
        <v>3.8516516614297576</v>
      </c>
      <c r="P11348" s="298"/>
      <c r="Q11348" s="298"/>
      <c r="R11348" s="298">
        <v>3</v>
      </c>
    </row>
    <row r="11349" spans="1:18" ht="24">
      <c r="A11349" s="294">
        <v>582</v>
      </c>
      <c r="B11349" s="291" t="s">
        <v>20746</v>
      </c>
      <c r="C11349" s="295" t="s">
        <v>20747</v>
      </c>
      <c r="D11349" s="296">
        <v>1937.9</v>
      </c>
      <c r="E11349" s="296">
        <v>470.46</v>
      </c>
      <c r="F11349" s="296">
        <v>836.17</v>
      </c>
      <c r="G11349" s="296">
        <v>631.27</v>
      </c>
      <c r="H11349" s="297">
        <v>12125.42</v>
      </c>
      <c r="I11349" s="297">
        <v>5410.24</v>
      </c>
      <c r="J11349" s="297">
        <v>4228.5600000000004</v>
      </c>
      <c r="K11349" s="297">
        <v>2486.62</v>
      </c>
      <c r="L11349" s="43">
        <v>6.256989524743279</v>
      </c>
      <c r="M11349" s="43">
        <v>11.499893721038983</v>
      </c>
      <c r="N11349" s="43">
        <v>5.0570577753327681</v>
      </c>
      <c r="O11349" s="43">
        <v>3.9390751976175014</v>
      </c>
      <c r="P11349" s="298"/>
      <c r="Q11349" s="298"/>
      <c r="R11349" s="298">
        <v>3</v>
      </c>
    </row>
    <row r="11350" spans="1:18" ht="24">
      <c r="A11350" s="294">
        <v>583</v>
      </c>
      <c r="B11350" s="291" t="s">
        <v>20748</v>
      </c>
      <c r="C11350" s="295" t="s">
        <v>20749</v>
      </c>
      <c r="D11350" s="296">
        <v>4877.3999999999996</v>
      </c>
      <c r="E11350" s="296">
        <v>675.99</v>
      </c>
      <c r="F11350" s="296">
        <v>1094.6600000000001</v>
      </c>
      <c r="G11350" s="296">
        <v>3106.75</v>
      </c>
      <c r="H11350" s="297">
        <v>25620.84</v>
      </c>
      <c r="I11350" s="297">
        <v>7773.89</v>
      </c>
      <c r="J11350" s="297">
        <v>5687.59</v>
      </c>
      <c r="K11350" s="297">
        <v>12159.36</v>
      </c>
      <c r="L11350" s="43">
        <v>5.2529708451224018</v>
      </c>
      <c r="M11350" s="43">
        <v>11.500007396559122</v>
      </c>
      <c r="N11350" s="43">
        <v>5.1957594138819356</v>
      </c>
      <c r="O11350" s="43">
        <v>3.9138520962420538</v>
      </c>
      <c r="P11350" s="298"/>
      <c r="Q11350" s="298"/>
      <c r="R11350" s="298">
        <v>3</v>
      </c>
    </row>
    <row r="11351" spans="1:18" ht="24">
      <c r="A11351" s="294">
        <v>584</v>
      </c>
      <c r="B11351" s="291" t="s">
        <v>20750</v>
      </c>
      <c r="C11351" s="295" t="s">
        <v>20751</v>
      </c>
      <c r="D11351" s="296">
        <v>9658.99</v>
      </c>
      <c r="E11351" s="296">
        <v>2575.1999999999998</v>
      </c>
      <c r="F11351" s="296">
        <v>2945.14</v>
      </c>
      <c r="G11351" s="296">
        <v>4138.6499999999996</v>
      </c>
      <c r="H11351" s="297">
        <v>62520.85</v>
      </c>
      <c r="I11351" s="297">
        <v>29614.799999999999</v>
      </c>
      <c r="J11351" s="297">
        <v>16491.03</v>
      </c>
      <c r="K11351" s="297">
        <v>16415.02</v>
      </c>
      <c r="L11351" s="43">
        <v>6.472814445402677</v>
      </c>
      <c r="M11351" s="43">
        <v>11.5</v>
      </c>
      <c r="N11351" s="43">
        <v>5.5994044425731886</v>
      </c>
      <c r="O11351" s="43">
        <v>3.9662740265545531</v>
      </c>
      <c r="P11351" s="298"/>
      <c r="Q11351" s="298"/>
      <c r="R11351" s="298">
        <v>3</v>
      </c>
    </row>
    <row r="11352" spans="1:18" ht="24">
      <c r="A11352" s="294">
        <v>585</v>
      </c>
      <c r="B11352" s="291" t="s">
        <v>20752</v>
      </c>
      <c r="C11352" s="295" t="s">
        <v>20753</v>
      </c>
      <c r="D11352" s="296">
        <v>18903.93</v>
      </c>
      <c r="E11352" s="296">
        <v>4118.1000000000004</v>
      </c>
      <c r="F11352" s="296">
        <v>8108.33</v>
      </c>
      <c r="G11352" s="296">
        <v>6677.5</v>
      </c>
      <c r="H11352" s="297">
        <v>119379.91</v>
      </c>
      <c r="I11352" s="297">
        <v>47358.15</v>
      </c>
      <c r="J11352" s="297">
        <v>44711.77</v>
      </c>
      <c r="K11352" s="297">
        <v>27309.99</v>
      </c>
      <c r="L11352" s="43">
        <v>6.315084217937752</v>
      </c>
      <c r="M11352" s="43">
        <v>11.5</v>
      </c>
      <c r="N11352" s="43">
        <v>5.5143007253034835</v>
      </c>
      <c r="O11352" s="43">
        <v>4.0898524897042305</v>
      </c>
      <c r="P11352" s="298"/>
      <c r="Q11352" s="298"/>
      <c r="R11352" s="298">
        <v>3</v>
      </c>
    </row>
    <row r="11353" spans="1:18" ht="24">
      <c r="A11353" s="294">
        <v>586</v>
      </c>
      <c r="B11353" s="291" t="s">
        <v>20754</v>
      </c>
      <c r="C11353" s="295" t="s">
        <v>20755</v>
      </c>
      <c r="D11353" s="296">
        <v>5805.84</v>
      </c>
      <c r="E11353" s="296">
        <v>2048.7600000000002</v>
      </c>
      <c r="F11353" s="296">
        <v>2630.63</v>
      </c>
      <c r="G11353" s="296">
        <v>1126.45</v>
      </c>
      <c r="H11353" s="297">
        <v>40960.92</v>
      </c>
      <c r="I11353" s="297">
        <v>23560.74</v>
      </c>
      <c r="J11353" s="297">
        <v>12827.11</v>
      </c>
      <c r="K11353" s="297">
        <v>4573.07</v>
      </c>
      <c r="L11353" s="43">
        <v>7.0551238063742714</v>
      </c>
      <c r="M11353" s="43">
        <v>11.5</v>
      </c>
      <c r="N11353" s="43">
        <v>4.8760601072746832</v>
      </c>
      <c r="O11353" s="43">
        <v>4.0597185849349726</v>
      </c>
      <c r="P11353" s="298"/>
      <c r="Q11353" s="298"/>
      <c r="R11353" s="298">
        <v>3</v>
      </c>
    </row>
    <row r="11354" spans="1:18" ht="24">
      <c r="A11354" s="294">
        <v>587</v>
      </c>
      <c r="B11354" s="291" t="s">
        <v>20756</v>
      </c>
      <c r="C11354" s="295" t="s">
        <v>20757</v>
      </c>
      <c r="D11354" s="296">
        <v>107334.13</v>
      </c>
      <c r="E11354" s="296">
        <v>35203.68</v>
      </c>
      <c r="F11354" s="296">
        <v>65827.960000000006</v>
      </c>
      <c r="G11354" s="296">
        <v>6302.49</v>
      </c>
      <c r="H11354" s="297">
        <v>763278.56</v>
      </c>
      <c r="I11354" s="297">
        <v>404842.32</v>
      </c>
      <c r="J11354" s="297">
        <v>327891.83</v>
      </c>
      <c r="K11354" s="297">
        <v>30544.41</v>
      </c>
      <c r="L11354" s="43">
        <v>7.1112381495056605</v>
      </c>
      <c r="M11354" s="43">
        <v>11.5</v>
      </c>
      <c r="N11354" s="43">
        <v>4.9810419463097437</v>
      </c>
      <c r="O11354" s="43">
        <v>4.8464035643055361</v>
      </c>
      <c r="P11354" s="298"/>
      <c r="Q11354" s="298"/>
      <c r="R11354" s="298">
        <v>3</v>
      </c>
    </row>
    <row r="11355" spans="1:18" ht="24">
      <c r="A11355" s="294">
        <v>588</v>
      </c>
      <c r="B11355" s="291" t="s">
        <v>20758</v>
      </c>
      <c r="C11355" s="295" t="s">
        <v>20759</v>
      </c>
      <c r="D11355" s="296">
        <v>138137.37</v>
      </c>
      <c r="E11355" s="296">
        <v>46128.959999999999</v>
      </c>
      <c r="F11355" s="296">
        <v>67051.63</v>
      </c>
      <c r="G11355" s="296">
        <v>24956.78</v>
      </c>
      <c r="H11355" s="297">
        <v>995493.7</v>
      </c>
      <c r="I11355" s="297">
        <v>530483.04</v>
      </c>
      <c r="J11355" s="297">
        <v>339060.77</v>
      </c>
      <c r="K11355" s="297">
        <v>125949.89</v>
      </c>
      <c r="L11355" s="43">
        <v>7.2065488144156786</v>
      </c>
      <c r="M11355" s="43">
        <v>11.500000000000002</v>
      </c>
      <c r="N11355" s="43">
        <v>5.0567118204285268</v>
      </c>
      <c r="O11355" s="43">
        <v>5.0467203701759606</v>
      </c>
      <c r="P11355" s="298"/>
      <c r="Q11355" s="298"/>
      <c r="R11355" s="298">
        <v>3</v>
      </c>
    </row>
    <row r="11356" spans="1:18" ht="24">
      <c r="A11356" s="294">
        <v>589</v>
      </c>
      <c r="B11356" s="291" t="s">
        <v>20760</v>
      </c>
      <c r="C11356" s="295" t="s">
        <v>20761</v>
      </c>
      <c r="D11356" s="296">
        <v>9450.1</v>
      </c>
      <c r="E11356" s="296">
        <v>2102.96</v>
      </c>
      <c r="F11356" s="296">
        <v>4478.47</v>
      </c>
      <c r="G11356" s="296">
        <v>2868.67</v>
      </c>
      <c r="H11356" s="297">
        <v>58342.17</v>
      </c>
      <c r="I11356" s="297">
        <v>24184.04</v>
      </c>
      <c r="J11356" s="297">
        <v>22929.8</v>
      </c>
      <c r="K11356" s="297">
        <v>11228.33</v>
      </c>
      <c r="L11356" s="43">
        <v>6.1737092729177467</v>
      </c>
      <c r="M11356" s="43">
        <v>11.5</v>
      </c>
      <c r="N11356" s="43">
        <v>5.1200075025622587</v>
      </c>
      <c r="O11356" s="43">
        <v>3.9141239668557204</v>
      </c>
      <c r="P11356" s="298"/>
      <c r="Q11356" s="298"/>
      <c r="R11356" s="298">
        <v>3</v>
      </c>
    </row>
    <row r="11357" spans="1:18" ht="24">
      <c r="A11357" s="294">
        <v>590</v>
      </c>
      <c r="B11357" s="291" t="s">
        <v>20762</v>
      </c>
      <c r="C11357" s="295" t="s">
        <v>20763</v>
      </c>
      <c r="D11357" s="296">
        <v>14742.9</v>
      </c>
      <c r="E11357" s="296">
        <v>2883.44</v>
      </c>
      <c r="F11357" s="296">
        <v>7684.45</v>
      </c>
      <c r="G11357" s="296">
        <v>4175.01</v>
      </c>
      <c r="H11357" s="297">
        <v>89209.68</v>
      </c>
      <c r="I11357" s="297">
        <v>33159.56</v>
      </c>
      <c r="J11357" s="297">
        <v>39662.639999999999</v>
      </c>
      <c r="K11357" s="297">
        <v>16387.48</v>
      </c>
      <c r="L11357" s="43">
        <v>6.0510265958529184</v>
      </c>
      <c r="M11357" s="43">
        <v>11.499999999999998</v>
      </c>
      <c r="N11357" s="43">
        <v>5.1614155860211204</v>
      </c>
      <c r="O11357" s="43">
        <v>3.9251355086574642</v>
      </c>
      <c r="P11357" s="298"/>
      <c r="Q11357" s="298"/>
      <c r="R11357" s="298">
        <v>3</v>
      </c>
    </row>
    <row r="11358" spans="1:18" ht="24">
      <c r="A11358" s="299">
        <v>591</v>
      </c>
      <c r="B11358" s="300" t="s">
        <v>20764</v>
      </c>
      <c r="C11358" s="301" t="s">
        <v>20765</v>
      </c>
      <c r="D11358" s="302">
        <v>6387.56</v>
      </c>
      <c r="E11358" s="302">
        <v>738.2</v>
      </c>
      <c r="F11358" s="302">
        <v>1976.28</v>
      </c>
      <c r="G11358" s="302">
        <v>3673.08</v>
      </c>
      <c r="H11358" s="303">
        <v>32691.99</v>
      </c>
      <c r="I11358" s="303">
        <v>8489.35</v>
      </c>
      <c r="J11358" s="303">
        <v>10199.51</v>
      </c>
      <c r="K11358" s="303">
        <v>14003.13</v>
      </c>
      <c r="L11358" s="611">
        <v>5.1180716893461664</v>
      </c>
      <c r="M11358" s="611">
        <v>11.500067732321863</v>
      </c>
      <c r="N11358" s="611">
        <v>5.1609640334365574</v>
      </c>
      <c r="O11358" s="611">
        <v>3.8123672775980921</v>
      </c>
      <c r="P11358" s="304"/>
      <c r="Q11358" s="304"/>
      <c r="R11358" s="304">
        <v>3</v>
      </c>
    </row>
    <row r="11359" spans="1:18" ht="12.75" customHeight="1">
      <c r="A11359" s="630" t="s">
        <v>20766</v>
      </c>
      <c r="B11359" s="631"/>
      <c r="C11359" s="631"/>
      <c r="D11359" s="631"/>
      <c r="E11359" s="631"/>
      <c r="F11359" s="631"/>
      <c r="G11359" s="631"/>
      <c r="H11359" s="631"/>
      <c r="I11359" s="631"/>
      <c r="J11359" s="631"/>
      <c r="K11359" s="631"/>
      <c r="L11359" s="631"/>
      <c r="M11359" s="631"/>
      <c r="N11359" s="631"/>
      <c r="O11359" s="631"/>
      <c r="P11359" s="631"/>
      <c r="Q11359" s="631"/>
      <c r="R11359" s="631"/>
    </row>
    <row r="11360" spans="1:18" ht="12.75" customHeight="1">
      <c r="A11360" s="628" t="s">
        <v>20767</v>
      </c>
      <c r="B11360" s="629"/>
      <c r="C11360" s="629"/>
      <c r="D11360" s="629"/>
      <c r="E11360" s="629"/>
      <c r="F11360" s="629"/>
      <c r="G11360" s="629"/>
      <c r="H11360" s="629"/>
      <c r="I11360" s="629"/>
      <c r="J11360" s="629"/>
      <c r="K11360" s="629"/>
      <c r="L11360" s="629"/>
      <c r="M11360" s="629"/>
      <c r="N11360" s="629"/>
      <c r="O11360" s="629"/>
      <c r="P11360" s="629"/>
      <c r="Q11360" s="629"/>
      <c r="R11360" s="629"/>
    </row>
    <row r="11361" spans="1:18" ht="12.75" customHeight="1">
      <c r="A11361" s="628" t="s">
        <v>20768</v>
      </c>
      <c r="B11361" s="629"/>
      <c r="C11361" s="629"/>
      <c r="D11361" s="629"/>
      <c r="E11361" s="629"/>
      <c r="F11361" s="629"/>
      <c r="G11361" s="629"/>
      <c r="H11361" s="629"/>
      <c r="I11361" s="629"/>
      <c r="J11361" s="629"/>
      <c r="K11361" s="629"/>
      <c r="L11361" s="629"/>
      <c r="M11361" s="629"/>
      <c r="N11361" s="629"/>
      <c r="O11361" s="629"/>
      <c r="P11361" s="629"/>
      <c r="Q11361" s="629"/>
      <c r="R11361" s="629"/>
    </row>
    <row r="11362" spans="1:18" ht="24">
      <c r="A11362" s="294">
        <v>592</v>
      </c>
      <c r="B11362" s="291" t="s">
        <v>20769</v>
      </c>
      <c r="C11362" s="295" t="s">
        <v>20770</v>
      </c>
      <c r="D11362" s="296">
        <v>20214.259999999998</v>
      </c>
      <c r="E11362" s="296">
        <v>8046.15</v>
      </c>
      <c r="F11362" s="296">
        <v>8463.2199999999993</v>
      </c>
      <c r="G11362" s="296">
        <v>3704.89</v>
      </c>
      <c r="H11362" s="297">
        <v>161786.99</v>
      </c>
      <c r="I11362" s="297">
        <v>92534.12</v>
      </c>
      <c r="J11362" s="297">
        <v>47012.99</v>
      </c>
      <c r="K11362" s="297">
        <v>22239.88</v>
      </c>
      <c r="L11362" s="43">
        <v>8.0036068597119066</v>
      </c>
      <c r="M11362" s="43">
        <v>11.50042194092827</v>
      </c>
      <c r="N11362" s="43">
        <v>5.5549767109917978</v>
      </c>
      <c r="O11362" s="43">
        <v>6.002844888782124</v>
      </c>
      <c r="P11362" s="298"/>
      <c r="Q11362" s="298"/>
      <c r="R11362" s="298">
        <v>1</v>
      </c>
    </row>
    <row r="11363" spans="1:18" ht="24">
      <c r="A11363" s="294">
        <v>593</v>
      </c>
      <c r="B11363" s="291" t="s">
        <v>20771</v>
      </c>
      <c r="C11363" s="295" t="s">
        <v>20772</v>
      </c>
      <c r="D11363" s="296">
        <v>50909.82</v>
      </c>
      <c r="E11363" s="296">
        <v>17893.5</v>
      </c>
      <c r="F11363" s="296">
        <v>22811.77</v>
      </c>
      <c r="G11363" s="296">
        <v>10204.549999999999</v>
      </c>
      <c r="H11363" s="297">
        <v>391662.4</v>
      </c>
      <c r="I11363" s="297">
        <v>205782.8</v>
      </c>
      <c r="J11363" s="297">
        <v>125660.51</v>
      </c>
      <c r="K11363" s="297">
        <v>60219.09</v>
      </c>
      <c r="L11363" s="43">
        <v>7.6932583929780156</v>
      </c>
      <c r="M11363" s="43">
        <v>11.50042194092827</v>
      </c>
      <c r="N11363" s="43">
        <v>5.5085821924383769</v>
      </c>
      <c r="O11363" s="43">
        <v>5.9011999549220695</v>
      </c>
      <c r="P11363" s="298"/>
      <c r="Q11363" s="298"/>
      <c r="R11363" s="298">
        <v>1</v>
      </c>
    </row>
    <row r="11364" spans="1:18" ht="24">
      <c r="A11364" s="294">
        <v>594</v>
      </c>
      <c r="B11364" s="291" t="s">
        <v>20773</v>
      </c>
      <c r="C11364" s="295" t="s">
        <v>20774</v>
      </c>
      <c r="D11364" s="296">
        <v>93282.37</v>
      </c>
      <c r="E11364" s="296">
        <v>29068.05</v>
      </c>
      <c r="F11364" s="296">
        <v>49143.65</v>
      </c>
      <c r="G11364" s="296">
        <v>15070.67</v>
      </c>
      <c r="H11364" s="297">
        <v>696075.72</v>
      </c>
      <c r="I11364" s="297">
        <v>334294.84000000003</v>
      </c>
      <c r="J11364" s="297">
        <v>263750.09000000003</v>
      </c>
      <c r="K11364" s="297">
        <v>98030.79</v>
      </c>
      <c r="L11364" s="43">
        <v>7.4620286770158177</v>
      </c>
      <c r="M11364" s="43">
        <v>11.500421940928272</v>
      </c>
      <c r="N11364" s="43">
        <v>5.3669210569422505</v>
      </c>
      <c r="O11364" s="43">
        <v>6.5047400016057679</v>
      </c>
      <c r="P11364" s="298"/>
      <c r="Q11364" s="298"/>
      <c r="R11364" s="298">
        <v>1</v>
      </c>
    </row>
    <row r="11365" spans="1:18" ht="24">
      <c r="A11365" s="294">
        <v>595</v>
      </c>
      <c r="B11365" s="291" t="s">
        <v>20775</v>
      </c>
      <c r="C11365" s="295" t="s">
        <v>20776</v>
      </c>
      <c r="D11365" s="296">
        <v>427151.19</v>
      </c>
      <c r="E11365" s="296">
        <v>88270.65</v>
      </c>
      <c r="F11365" s="296">
        <v>121274.1</v>
      </c>
      <c r="G11365" s="296">
        <v>217606.44</v>
      </c>
      <c r="H11365" s="297">
        <v>3200437.44</v>
      </c>
      <c r="I11365" s="297">
        <v>1015149.72</v>
      </c>
      <c r="J11365" s="297">
        <v>674304.71</v>
      </c>
      <c r="K11365" s="297">
        <v>1510983.01</v>
      </c>
      <c r="L11365" s="43">
        <v>7.4925167362872145</v>
      </c>
      <c r="M11365" s="43">
        <v>11.50042194092827</v>
      </c>
      <c r="N11365" s="43">
        <v>5.5601708031640715</v>
      </c>
      <c r="O11365" s="43">
        <v>6.9436502430718505</v>
      </c>
      <c r="P11365" s="298"/>
      <c r="Q11365" s="298"/>
      <c r="R11365" s="298">
        <v>1</v>
      </c>
    </row>
    <row r="11366" spans="1:18" ht="24">
      <c r="A11366" s="294">
        <v>596</v>
      </c>
      <c r="B11366" s="291" t="s">
        <v>20777</v>
      </c>
      <c r="C11366" s="295" t="s">
        <v>20778</v>
      </c>
      <c r="D11366" s="296">
        <v>7495.13</v>
      </c>
      <c r="E11366" s="296">
        <v>600.22</v>
      </c>
      <c r="F11366" s="296">
        <v>6246.62</v>
      </c>
      <c r="G11366" s="296">
        <v>648.29</v>
      </c>
      <c r="H11366" s="297">
        <v>43310.13</v>
      </c>
      <c r="I11366" s="297">
        <v>6902.48</v>
      </c>
      <c r="J11366" s="297">
        <v>33913.89</v>
      </c>
      <c r="K11366" s="297">
        <v>2493.7600000000002</v>
      </c>
      <c r="L11366" s="43">
        <v>5.778436131194522</v>
      </c>
      <c r="M11366" s="43">
        <v>11.499916697211022</v>
      </c>
      <c r="N11366" s="43">
        <v>5.4291584889108027</v>
      </c>
      <c r="O11366" s="43">
        <v>3.8466735565873305</v>
      </c>
      <c r="P11366" s="298"/>
      <c r="Q11366" s="298"/>
      <c r="R11366" s="298">
        <v>1</v>
      </c>
    </row>
    <row r="11367" spans="1:18" ht="24">
      <c r="A11367" s="294">
        <v>597</v>
      </c>
      <c r="B11367" s="291" t="s">
        <v>20779</v>
      </c>
      <c r="C11367" s="295" t="s">
        <v>20780</v>
      </c>
      <c r="D11367" s="296">
        <v>52599.44</v>
      </c>
      <c r="E11367" s="296">
        <v>11190.62</v>
      </c>
      <c r="F11367" s="296">
        <v>38358.92</v>
      </c>
      <c r="G11367" s="296">
        <v>3049.9</v>
      </c>
      <c r="H11367" s="297">
        <v>341433.97</v>
      </c>
      <c r="I11367" s="297">
        <v>128692.13</v>
      </c>
      <c r="J11367" s="297">
        <v>199725.05</v>
      </c>
      <c r="K11367" s="297">
        <v>13016.79</v>
      </c>
      <c r="L11367" s="43">
        <v>6.4912092219993207</v>
      </c>
      <c r="M11367" s="43">
        <v>11.5</v>
      </c>
      <c r="N11367" s="43">
        <v>5.2067433076843663</v>
      </c>
      <c r="O11367" s="43">
        <v>4.2679399324568017</v>
      </c>
      <c r="P11367" s="298"/>
      <c r="Q11367" s="298"/>
      <c r="R11367" s="298">
        <v>1</v>
      </c>
    </row>
    <row r="11368" spans="1:18" ht="48">
      <c r="A11368" s="294">
        <v>598</v>
      </c>
      <c r="B11368" s="291" t="s">
        <v>20781</v>
      </c>
      <c r="C11368" s="295" t="s">
        <v>20782</v>
      </c>
      <c r="D11368" s="296">
        <v>131320.09</v>
      </c>
      <c r="E11368" s="296">
        <v>39833</v>
      </c>
      <c r="F11368" s="296">
        <v>65778.16</v>
      </c>
      <c r="G11368" s="296">
        <v>25708.93</v>
      </c>
      <c r="H11368" s="297">
        <v>1026972.94</v>
      </c>
      <c r="I11368" s="297">
        <v>458079.5</v>
      </c>
      <c r="J11368" s="297">
        <v>389014.58</v>
      </c>
      <c r="K11368" s="297">
        <v>179878.86</v>
      </c>
      <c r="L11368" s="43">
        <v>7.8203795017198052</v>
      </c>
      <c r="M11368" s="43">
        <v>11.5</v>
      </c>
      <c r="N11368" s="43">
        <v>5.9140386413970836</v>
      </c>
      <c r="O11368" s="43">
        <v>6.9967462667641156</v>
      </c>
      <c r="P11368" s="298"/>
      <c r="Q11368" s="298"/>
      <c r="R11368" s="298">
        <v>1</v>
      </c>
    </row>
    <row r="11369" spans="1:18" ht="24">
      <c r="A11369" s="294">
        <v>599</v>
      </c>
      <c r="B11369" s="291" t="s">
        <v>20783</v>
      </c>
      <c r="C11369" s="295" t="s">
        <v>20784</v>
      </c>
      <c r="D11369" s="296">
        <v>15872.35</v>
      </c>
      <c r="E11369" s="296">
        <v>4005.3</v>
      </c>
      <c r="F11369" s="296">
        <v>10890.41</v>
      </c>
      <c r="G11369" s="296">
        <v>976.64</v>
      </c>
      <c r="H11369" s="297">
        <v>106437.81</v>
      </c>
      <c r="I11369" s="297">
        <v>46062.64</v>
      </c>
      <c r="J11369" s="297">
        <v>51651.17</v>
      </c>
      <c r="K11369" s="297">
        <v>8724</v>
      </c>
      <c r="L11369" s="43">
        <v>6.7058633409671531</v>
      </c>
      <c r="M11369" s="43">
        <v>11.50042194092827</v>
      </c>
      <c r="N11369" s="43">
        <v>4.7428122540840976</v>
      </c>
      <c r="O11369" s="43">
        <v>8.9326671035386624</v>
      </c>
      <c r="P11369" s="298"/>
      <c r="Q11369" s="298"/>
      <c r="R11369" s="298">
        <v>1</v>
      </c>
    </row>
    <row r="11370" spans="1:18" ht="24">
      <c r="A11370" s="294">
        <v>600</v>
      </c>
      <c r="B11370" s="291" t="s">
        <v>20785</v>
      </c>
      <c r="C11370" s="295" t="s">
        <v>20786</v>
      </c>
      <c r="D11370" s="296">
        <v>220637.38</v>
      </c>
      <c r="E11370" s="296">
        <v>33399.54</v>
      </c>
      <c r="F11370" s="296"/>
      <c r="G11370" s="296">
        <v>187237.84</v>
      </c>
      <c r="H11370" s="297">
        <v>1691152.97</v>
      </c>
      <c r="I11370" s="297">
        <v>384109.02</v>
      </c>
      <c r="J11370" s="297"/>
      <c r="K11370" s="297">
        <v>1307043.95</v>
      </c>
      <c r="L11370" s="43">
        <v>7.6648524832918152</v>
      </c>
      <c r="M11370" s="43">
        <v>11.500428449014567</v>
      </c>
      <c r="N11370" s="43" t="s">
        <v>1690</v>
      </c>
      <c r="O11370" s="43">
        <v>6.9806613342687562</v>
      </c>
      <c r="P11370" s="298"/>
      <c r="Q11370" s="298"/>
      <c r="R11370" s="298">
        <v>1</v>
      </c>
    </row>
    <row r="11371" spans="1:18" ht="24">
      <c r="A11371" s="294">
        <v>601</v>
      </c>
      <c r="B11371" s="291" t="s">
        <v>20787</v>
      </c>
      <c r="C11371" s="295" t="s">
        <v>20788</v>
      </c>
      <c r="D11371" s="296">
        <v>1163119.3600000001</v>
      </c>
      <c r="E11371" s="296">
        <v>127067.55</v>
      </c>
      <c r="F11371" s="296">
        <v>204155.99</v>
      </c>
      <c r="G11371" s="296">
        <v>831895.82</v>
      </c>
      <c r="H11371" s="297">
        <v>7614267.9299999997</v>
      </c>
      <c r="I11371" s="297">
        <v>1461330.44</v>
      </c>
      <c r="J11371" s="297">
        <v>1151906.1200000001</v>
      </c>
      <c r="K11371" s="297">
        <v>5001031.37</v>
      </c>
      <c r="L11371" s="43">
        <v>6.5464200767838641</v>
      </c>
      <c r="M11371" s="43">
        <v>11.50042194092827</v>
      </c>
      <c r="N11371" s="43">
        <v>5.6422842161035796</v>
      </c>
      <c r="O11371" s="43">
        <v>6.0116077635778966</v>
      </c>
      <c r="P11371" s="298"/>
      <c r="Q11371" s="298"/>
      <c r="R11371" s="298">
        <v>1</v>
      </c>
    </row>
    <row r="11372" spans="1:18" ht="24">
      <c r="A11372" s="294">
        <v>602</v>
      </c>
      <c r="B11372" s="291" t="s">
        <v>20789</v>
      </c>
      <c r="C11372" s="295" t="s">
        <v>20790</v>
      </c>
      <c r="D11372" s="296">
        <v>11152.52</v>
      </c>
      <c r="E11372" s="296">
        <v>917.18</v>
      </c>
      <c r="F11372" s="296">
        <v>9257.36</v>
      </c>
      <c r="G11372" s="296">
        <v>977.98</v>
      </c>
      <c r="H11372" s="297">
        <v>65140.7</v>
      </c>
      <c r="I11372" s="297">
        <v>10547.62</v>
      </c>
      <c r="J11372" s="297">
        <v>50826.9</v>
      </c>
      <c r="K11372" s="297">
        <v>3766.18</v>
      </c>
      <c r="L11372" s="43">
        <v>5.8408951519477208</v>
      </c>
      <c r="M11372" s="43">
        <v>11.500054514926187</v>
      </c>
      <c r="N11372" s="43">
        <v>5.4904313972882113</v>
      </c>
      <c r="O11372" s="43">
        <v>3.8509785476185603</v>
      </c>
      <c r="P11372" s="298"/>
      <c r="Q11372" s="298"/>
      <c r="R11372" s="298">
        <v>1</v>
      </c>
    </row>
    <row r="11373" spans="1:18" ht="24">
      <c r="A11373" s="294">
        <v>603</v>
      </c>
      <c r="B11373" s="291" t="s">
        <v>20791</v>
      </c>
      <c r="C11373" s="295" t="s">
        <v>20792</v>
      </c>
      <c r="D11373" s="296">
        <v>61852.02</v>
      </c>
      <c r="E11373" s="296">
        <v>10709.82</v>
      </c>
      <c r="F11373" s="296">
        <v>46363.45</v>
      </c>
      <c r="G11373" s="296">
        <v>4778.75</v>
      </c>
      <c r="H11373" s="297">
        <v>365075.22</v>
      </c>
      <c r="I11373" s="297">
        <v>123162.93</v>
      </c>
      <c r="J11373" s="297">
        <v>222577.71</v>
      </c>
      <c r="K11373" s="297">
        <v>19334.580000000002</v>
      </c>
      <c r="L11373" s="43">
        <v>5.9023976904877156</v>
      </c>
      <c r="M11373" s="43">
        <v>11.5</v>
      </c>
      <c r="N11373" s="43">
        <v>4.8007150028740311</v>
      </c>
      <c r="O11373" s="43">
        <v>4.0459492545121636</v>
      </c>
      <c r="P11373" s="298"/>
      <c r="Q11373" s="298"/>
      <c r="R11373" s="298">
        <v>1</v>
      </c>
    </row>
    <row r="11374" spans="1:18" ht="48">
      <c r="A11374" s="294">
        <v>604</v>
      </c>
      <c r="B11374" s="291" t="s">
        <v>20793</v>
      </c>
      <c r="C11374" s="295" t="s">
        <v>20794</v>
      </c>
      <c r="D11374" s="296">
        <v>209078.53</v>
      </c>
      <c r="E11374" s="296">
        <v>61585.599999999999</v>
      </c>
      <c r="F11374" s="296">
        <v>114114.2</v>
      </c>
      <c r="G11374" s="296">
        <v>33378.730000000003</v>
      </c>
      <c r="H11374" s="297">
        <v>1604019.44</v>
      </c>
      <c r="I11374" s="297">
        <v>708234.4</v>
      </c>
      <c r="J11374" s="297">
        <v>679379.74</v>
      </c>
      <c r="K11374" s="297">
        <v>216405.3</v>
      </c>
      <c r="L11374" s="43">
        <v>7.6718515287055054</v>
      </c>
      <c r="M11374" s="43">
        <v>11.5</v>
      </c>
      <c r="N11374" s="43">
        <v>5.9535074513075497</v>
      </c>
      <c r="O11374" s="43">
        <v>6.4833293537531222</v>
      </c>
      <c r="P11374" s="298"/>
      <c r="Q11374" s="298"/>
      <c r="R11374" s="298">
        <v>1</v>
      </c>
    </row>
    <row r="11375" spans="1:18" ht="24">
      <c r="A11375" s="294">
        <v>605</v>
      </c>
      <c r="B11375" s="291" t="s">
        <v>20795</v>
      </c>
      <c r="C11375" s="295" t="s">
        <v>20796</v>
      </c>
      <c r="D11375" s="296">
        <v>47943.38</v>
      </c>
      <c r="E11375" s="296">
        <v>10783.5</v>
      </c>
      <c r="F11375" s="296">
        <v>34420.980000000003</v>
      </c>
      <c r="G11375" s="296">
        <v>2738.9</v>
      </c>
      <c r="H11375" s="297">
        <v>347594.34</v>
      </c>
      <c r="I11375" s="297">
        <v>124014.8</v>
      </c>
      <c r="J11375" s="297">
        <v>199121.77</v>
      </c>
      <c r="K11375" s="297">
        <v>24457.77</v>
      </c>
      <c r="L11375" s="43">
        <v>7.2501008481254354</v>
      </c>
      <c r="M11375" s="43">
        <v>11.50042194092827</v>
      </c>
      <c r="N11375" s="43">
        <v>5.7848954329597815</v>
      </c>
      <c r="O11375" s="43">
        <v>8.9297783781810214</v>
      </c>
      <c r="P11375" s="298"/>
      <c r="Q11375" s="298"/>
      <c r="R11375" s="298">
        <v>1</v>
      </c>
    </row>
    <row r="11376" spans="1:18" ht="24">
      <c r="A11376" s="294">
        <v>606</v>
      </c>
      <c r="B11376" s="291" t="s">
        <v>20797</v>
      </c>
      <c r="C11376" s="295" t="s">
        <v>20798</v>
      </c>
      <c r="D11376" s="296">
        <v>834298.39</v>
      </c>
      <c r="E11376" s="296">
        <v>44252.639999999999</v>
      </c>
      <c r="F11376" s="296"/>
      <c r="G11376" s="296">
        <v>790045.75</v>
      </c>
      <c r="H11376" s="297">
        <v>5246269.46</v>
      </c>
      <c r="I11376" s="297">
        <v>508924.32</v>
      </c>
      <c r="J11376" s="297"/>
      <c r="K11376" s="297">
        <v>4737345.1399999997</v>
      </c>
      <c r="L11376" s="43">
        <v>6.2882411411581414</v>
      </c>
      <c r="M11376" s="43">
        <v>11.500428449014567</v>
      </c>
      <c r="N11376" s="43" t="s">
        <v>1690</v>
      </c>
      <c r="O11376" s="43">
        <v>5.9962921640930285</v>
      </c>
      <c r="P11376" s="298"/>
      <c r="Q11376" s="298"/>
      <c r="R11376" s="298">
        <v>1</v>
      </c>
    </row>
    <row r="11377" spans="1:18" ht="24">
      <c r="A11377" s="294">
        <v>607</v>
      </c>
      <c r="B11377" s="291" t="s">
        <v>20799</v>
      </c>
      <c r="C11377" s="295" t="s">
        <v>20800</v>
      </c>
      <c r="D11377" s="296">
        <v>2170629.56</v>
      </c>
      <c r="E11377" s="296">
        <v>131748.29999999999</v>
      </c>
      <c r="F11377" s="296">
        <v>406724.7</v>
      </c>
      <c r="G11377" s="296">
        <v>1632156.56</v>
      </c>
      <c r="H11377" s="297">
        <v>12935500.33</v>
      </c>
      <c r="I11377" s="297">
        <v>1515161.04</v>
      </c>
      <c r="J11377" s="297">
        <v>2290074.77</v>
      </c>
      <c r="K11377" s="297">
        <v>9130264.5199999996</v>
      </c>
      <c r="L11377" s="43">
        <v>5.9593311398560331</v>
      </c>
      <c r="M11377" s="43">
        <v>11.500421940928272</v>
      </c>
      <c r="N11377" s="43">
        <v>5.6305278976172337</v>
      </c>
      <c r="O11377" s="43">
        <v>5.5939881894663337</v>
      </c>
      <c r="P11377" s="298"/>
      <c r="Q11377" s="298"/>
      <c r="R11377" s="298">
        <v>1</v>
      </c>
    </row>
    <row r="11378" spans="1:18" ht="24">
      <c r="A11378" s="294">
        <v>608</v>
      </c>
      <c r="B11378" s="291" t="s">
        <v>20801</v>
      </c>
      <c r="C11378" s="295" t="s">
        <v>20802</v>
      </c>
      <c r="D11378" s="296">
        <v>18193.64</v>
      </c>
      <c r="E11378" s="296">
        <v>1472.44</v>
      </c>
      <c r="F11378" s="296">
        <v>13181.75</v>
      </c>
      <c r="G11378" s="296">
        <v>3539.45</v>
      </c>
      <c r="H11378" s="297">
        <v>102392.33</v>
      </c>
      <c r="I11378" s="297">
        <v>16933.060000000001</v>
      </c>
      <c r="J11378" s="297">
        <v>72120.66</v>
      </c>
      <c r="K11378" s="297">
        <v>13338.61</v>
      </c>
      <c r="L11378" s="43">
        <v>5.6279188771460795</v>
      </c>
      <c r="M11378" s="43">
        <v>11.5</v>
      </c>
      <c r="N11378" s="43">
        <v>5.4712507823316328</v>
      </c>
      <c r="O11378" s="43">
        <v>3.7685544364237384</v>
      </c>
      <c r="P11378" s="298"/>
      <c r="Q11378" s="298"/>
      <c r="R11378" s="298">
        <v>1</v>
      </c>
    </row>
    <row r="11379" spans="1:18" ht="24">
      <c r="A11379" s="294">
        <v>609</v>
      </c>
      <c r="B11379" s="291" t="s">
        <v>20803</v>
      </c>
      <c r="C11379" s="295" t="s">
        <v>20804</v>
      </c>
      <c r="D11379" s="296">
        <v>105935</v>
      </c>
      <c r="E11379" s="296">
        <v>22729.82</v>
      </c>
      <c r="F11379" s="296">
        <v>79238.259999999995</v>
      </c>
      <c r="G11379" s="296">
        <v>3966.92</v>
      </c>
      <c r="H11379" s="297">
        <v>675884.49</v>
      </c>
      <c r="I11379" s="297">
        <v>261392.93</v>
      </c>
      <c r="J11379" s="297">
        <v>396241.76</v>
      </c>
      <c r="K11379" s="297">
        <v>18249.8</v>
      </c>
      <c r="L11379" s="43">
        <v>6.3801811488176714</v>
      </c>
      <c r="M11379" s="43">
        <v>11.5</v>
      </c>
      <c r="N11379" s="43">
        <v>5.0006368135797032</v>
      </c>
      <c r="O11379" s="43">
        <v>4.6004961027699069</v>
      </c>
      <c r="P11379" s="298"/>
      <c r="Q11379" s="298"/>
      <c r="R11379" s="298">
        <v>1</v>
      </c>
    </row>
    <row r="11380" spans="1:18" ht="48">
      <c r="A11380" s="294">
        <v>610</v>
      </c>
      <c r="B11380" s="291" t="s">
        <v>20805</v>
      </c>
      <c r="C11380" s="295" t="s">
        <v>20806</v>
      </c>
      <c r="D11380" s="296">
        <v>494479.7</v>
      </c>
      <c r="E11380" s="296">
        <v>147229.6</v>
      </c>
      <c r="F11380" s="296">
        <v>281911.18</v>
      </c>
      <c r="G11380" s="296">
        <v>65338.92</v>
      </c>
      <c r="H11380" s="297">
        <v>3775613.04</v>
      </c>
      <c r="I11380" s="297">
        <v>1693140.4</v>
      </c>
      <c r="J11380" s="297">
        <v>1665246.94</v>
      </c>
      <c r="K11380" s="297">
        <v>417225.7</v>
      </c>
      <c r="L11380" s="43">
        <v>7.6355268780497969</v>
      </c>
      <c r="M11380" s="43">
        <v>11.499999999999998</v>
      </c>
      <c r="N11380" s="43">
        <v>5.9069914857580317</v>
      </c>
      <c r="O11380" s="43">
        <v>6.3855616223837188</v>
      </c>
      <c r="P11380" s="298"/>
      <c r="Q11380" s="298"/>
      <c r="R11380" s="298">
        <v>1</v>
      </c>
    </row>
    <row r="11381" spans="1:18" ht="24">
      <c r="A11381" s="294">
        <v>611</v>
      </c>
      <c r="B11381" s="291" t="s">
        <v>20807</v>
      </c>
      <c r="C11381" s="295" t="s">
        <v>20808</v>
      </c>
      <c r="D11381" s="296">
        <v>51777.73</v>
      </c>
      <c r="E11381" s="296">
        <v>14646.6</v>
      </c>
      <c r="F11381" s="296">
        <v>32393.5</v>
      </c>
      <c r="G11381" s="296">
        <v>4737.63</v>
      </c>
      <c r="H11381" s="297">
        <v>364960.07</v>
      </c>
      <c r="I11381" s="297">
        <v>168442.08</v>
      </c>
      <c r="J11381" s="297">
        <v>156465.4</v>
      </c>
      <c r="K11381" s="297">
        <v>40052.589999999997</v>
      </c>
      <c r="L11381" s="43">
        <v>7.0485915469836158</v>
      </c>
      <c r="M11381" s="43">
        <v>11.50042194092827</v>
      </c>
      <c r="N11381" s="43">
        <v>4.8301480235232379</v>
      </c>
      <c r="O11381" s="43">
        <v>8.454140572395902</v>
      </c>
      <c r="P11381" s="298"/>
      <c r="Q11381" s="298"/>
      <c r="R11381" s="298">
        <v>1</v>
      </c>
    </row>
    <row r="11382" spans="1:18" ht="24">
      <c r="A11382" s="294">
        <v>612</v>
      </c>
      <c r="B11382" s="291" t="s">
        <v>20809</v>
      </c>
      <c r="C11382" s="295" t="s">
        <v>20810</v>
      </c>
      <c r="D11382" s="296">
        <v>1600797.92</v>
      </c>
      <c r="E11382" s="296">
        <v>44252.639999999999</v>
      </c>
      <c r="F11382" s="296"/>
      <c r="G11382" s="296">
        <v>1556545.28</v>
      </c>
      <c r="H11382" s="297">
        <v>9172996.1300000008</v>
      </c>
      <c r="I11382" s="297">
        <v>508924.32</v>
      </c>
      <c r="J11382" s="297"/>
      <c r="K11382" s="297">
        <v>8664071.8100000005</v>
      </c>
      <c r="L11382" s="43">
        <v>5.7302648981452959</v>
      </c>
      <c r="M11382" s="43">
        <v>11.500428449014567</v>
      </c>
      <c r="N11382" s="43" t="s">
        <v>1690</v>
      </c>
      <c r="O11382" s="43">
        <v>5.5662189345368738</v>
      </c>
      <c r="P11382" s="298"/>
      <c r="Q11382" s="298"/>
      <c r="R11382" s="298">
        <v>1</v>
      </c>
    </row>
    <row r="11383" spans="1:18" ht="24">
      <c r="A11383" s="294">
        <v>613</v>
      </c>
      <c r="B11383" s="291" t="s">
        <v>20811</v>
      </c>
      <c r="C11383" s="295" t="s">
        <v>20812</v>
      </c>
      <c r="D11383" s="296">
        <v>2313234.0699999998</v>
      </c>
      <c r="E11383" s="296">
        <v>245733.45</v>
      </c>
      <c r="F11383" s="296">
        <v>425168.63</v>
      </c>
      <c r="G11383" s="296">
        <v>1642331.99</v>
      </c>
      <c r="H11383" s="297">
        <v>14434125.939999999</v>
      </c>
      <c r="I11383" s="297">
        <v>2826038.36</v>
      </c>
      <c r="J11383" s="297">
        <v>2403373.2999999998</v>
      </c>
      <c r="K11383" s="297">
        <v>9204714.2799999993</v>
      </c>
      <c r="L11383" s="43">
        <v>6.2398034540447522</v>
      </c>
      <c r="M11383" s="43">
        <v>11.50042194092827</v>
      </c>
      <c r="N11383" s="43">
        <v>5.6527531205677137</v>
      </c>
      <c r="O11383" s="43">
        <v>5.6046611379712568</v>
      </c>
      <c r="P11383" s="298"/>
      <c r="Q11383" s="298"/>
      <c r="R11383" s="298">
        <v>1</v>
      </c>
    </row>
    <row r="11384" spans="1:18" ht="24">
      <c r="A11384" s="294">
        <v>614</v>
      </c>
      <c r="B11384" s="291" t="s">
        <v>20813</v>
      </c>
      <c r="C11384" s="295" t="s">
        <v>20814</v>
      </c>
      <c r="D11384" s="296">
        <v>23626.36</v>
      </c>
      <c r="E11384" s="296">
        <v>1618.56</v>
      </c>
      <c r="F11384" s="296">
        <v>15577.83</v>
      </c>
      <c r="G11384" s="296">
        <v>6429.97</v>
      </c>
      <c r="H11384" s="297">
        <v>127735.88</v>
      </c>
      <c r="I11384" s="297">
        <v>18613.439999999999</v>
      </c>
      <c r="J11384" s="297">
        <v>85048.38</v>
      </c>
      <c r="K11384" s="297">
        <v>24074.06</v>
      </c>
      <c r="L11384" s="43">
        <v>5.4064985042130909</v>
      </c>
      <c r="M11384" s="43">
        <v>11.5</v>
      </c>
      <c r="N11384" s="43">
        <v>5.4595781312288043</v>
      </c>
      <c r="O11384" s="43">
        <v>3.7440392412406278</v>
      </c>
      <c r="P11384" s="298"/>
      <c r="Q11384" s="298"/>
      <c r="R11384" s="298">
        <v>1</v>
      </c>
    </row>
    <row r="11385" spans="1:18" ht="24">
      <c r="A11385" s="294">
        <v>615</v>
      </c>
      <c r="B11385" s="291" t="s">
        <v>20815</v>
      </c>
      <c r="C11385" s="295" t="s">
        <v>20816</v>
      </c>
      <c r="D11385" s="296">
        <v>112802.34</v>
      </c>
      <c r="E11385" s="296">
        <v>23883.74</v>
      </c>
      <c r="F11385" s="296">
        <v>84771.91</v>
      </c>
      <c r="G11385" s="296">
        <v>4146.6899999999996</v>
      </c>
      <c r="H11385" s="297">
        <v>715772.38</v>
      </c>
      <c r="I11385" s="297">
        <v>274663.01</v>
      </c>
      <c r="J11385" s="297">
        <v>421993.54</v>
      </c>
      <c r="K11385" s="297">
        <v>19115.830000000002</v>
      </c>
      <c r="L11385" s="43">
        <v>6.3453681900570507</v>
      </c>
      <c r="M11385" s="43">
        <v>11.5</v>
      </c>
      <c r="N11385" s="43">
        <v>4.9779878735774616</v>
      </c>
      <c r="O11385" s="43">
        <v>4.6099009089177159</v>
      </c>
      <c r="P11385" s="298"/>
      <c r="Q11385" s="298"/>
      <c r="R11385" s="298">
        <v>1</v>
      </c>
    </row>
    <row r="11386" spans="1:18" ht="48">
      <c r="A11386" s="294">
        <v>616</v>
      </c>
      <c r="B11386" s="291" t="s">
        <v>20817</v>
      </c>
      <c r="C11386" s="295" t="s">
        <v>20818</v>
      </c>
      <c r="D11386" s="296">
        <v>497905.93</v>
      </c>
      <c r="E11386" s="296">
        <v>147229.6</v>
      </c>
      <c r="F11386" s="296">
        <v>281454.75</v>
      </c>
      <c r="G11386" s="296">
        <v>69221.58</v>
      </c>
      <c r="H11386" s="297">
        <v>3802148.51</v>
      </c>
      <c r="I11386" s="297">
        <v>1693140.4</v>
      </c>
      <c r="J11386" s="297">
        <v>1663280.28</v>
      </c>
      <c r="K11386" s="297">
        <v>445727.83</v>
      </c>
      <c r="L11386" s="43">
        <v>7.6362788247972864</v>
      </c>
      <c r="M11386" s="43">
        <v>11.499999999999998</v>
      </c>
      <c r="N11386" s="43">
        <v>5.9095832633842562</v>
      </c>
      <c r="O11386" s="43">
        <v>6.4391455670327087</v>
      </c>
      <c r="P11386" s="298"/>
      <c r="Q11386" s="298"/>
      <c r="R11386" s="298">
        <v>1</v>
      </c>
    </row>
    <row r="11387" spans="1:18" ht="24">
      <c r="A11387" s="294">
        <v>617</v>
      </c>
      <c r="B11387" s="291" t="s">
        <v>20819</v>
      </c>
      <c r="C11387" s="295" t="s">
        <v>20820</v>
      </c>
      <c r="D11387" s="296">
        <v>67041.08</v>
      </c>
      <c r="E11387" s="296">
        <v>17905.349999999999</v>
      </c>
      <c r="F11387" s="296">
        <v>43364.14</v>
      </c>
      <c r="G11387" s="296">
        <v>5771.59</v>
      </c>
      <c r="H11387" s="297">
        <v>488200.83</v>
      </c>
      <c r="I11387" s="297">
        <v>205919.08</v>
      </c>
      <c r="J11387" s="297">
        <v>233051.1</v>
      </c>
      <c r="K11387" s="297">
        <v>49230.65</v>
      </c>
      <c r="L11387" s="43">
        <v>7.2821146377713486</v>
      </c>
      <c r="M11387" s="43">
        <v>11.50042194092827</v>
      </c>
      <c r="N11387" s="43">
        <v>5.3742816068760968</v>
      </c>
      <c r="O11387" s="43">
        <v>8.5298245370859682</v>
      </c>
      <c r="P11387" s="298"/>
      <c r="Q11387" s="298"/>
      <c r="R11387" s="298">
        <v>1</v>
      </c>
    </row>
    <row r="11388" spans="1:18" ht="24">
      <c r="A11388" s="294">
        <v>618</v>
      </c>
      <c r="B11388" s="291" t="s">
        <v>20821</v>
      </c>
      <c r="C11388" s="295" t="s">
        <v>20822</v>
      </c>
      <c r="D11388" s="296">
        <v>1615498.62</v>
      </c>
      <c r="E11388" s="296">
        <v>58665.09</v>
      </c>
      <c r="F11388" s="296"/>
      <c r="G11388" s="296">
        <v>1556833.53</v>
      </c>
      <c r="H11388" s="297">
        <v>9342060.3499999996</v>
      </c>
      <c r="I11388" s="297">
        <v>674673.67</v>
      </c>
      <c r="J11388" s="297"/>
      <c r="K11388" s="297">
        <v>8667386.6799999997</v>
      </c>
      <c r="L11388" s="43">
        <v>5.7827721016561435</v>
      </c>
      <c r="M11388" s="43">
        <v>11.500428449014569</v>
      </c>
      <c r="N11388" s="43" t="s">
        <v>1690</v>
      </c>
      <c r="O11388" s="43">
        <v>5.5673175795487904</v>
      </c>
      <c r="P11388" s="298"/>
      <c r="Q11388" s="298"/>
      <c r="R11388" s="298">
        <v>1</v>
      </c>
    </row>
    <row r="11389" spans="1:18" ht="24">
      <c r="A11389" s="294">
        <v>619</v>
      </c>
      <c r="B11389" s="291" t="s">
        <v>20823</v>
      </c>
      <c r="C11389" s="295" t="s">
        <v>20824</v>
      </c>
      <c r="D11389" s="296">
        <v>13563537.550000001</v>
      </c>
      <c r="E11389" s="296">
        <v>763128.15</v>
      </c>
      <c r="F11389" s="296">
        <v>1668685.82</v>
      </c>
      <c r="G11389" s="296">
        <v>11131723.58</v>
      </c>
      <c r="H11389" s="297">
        <v>77867053.900000006</v>
      </c>
      <c r="I11389" s="297">
        <v>8776295.7200000007</v>
      </c>
      <c r="J11389" s="297">
        <v>9392450.1999999993</v>
      </c>
      <c r="K11389" s="297">
        <v>59698307.979999997</v>
      </c>
      <c r="L11389" s="43">
        <v>5.740910408730354</v>
      </c>
      <c r="M11389" s="43">
        <v>11.50042194092827</v>
      </c>
      <c r="N11389" s="43">
        <v>5.6286510542769514</v>
      </c>
      <c r="O11389" s="43">
        <v>5.3628988854212993</v>
      </c>
      <c r="P11389" s="298"/>
      <c r="Q11389" s="298"/>
      <c r="R11389" s="298">
        <v>1</v>
      </c>
    </row>
    <row r="11390" spans="1:18" ht="36">
      <c r="A11390" s="294">
        <v>620</v>
      </c>
      <c r="B11390" s="291" t="s">
        <v>20825</v>
      </c>
      <c r="C11390" s="295" t="s">
        <v>20826</v>
      </c>
      <c r="D11390" s="296">
        <v>63781.83</v>
      </c>
      <c r="E11390" s="296">
        <v>4855.68</v>
      </c>
      <c r="F11390" s="296">
        <v>52431.44</v>
      </c>
      <c r="G11390" s="296">
        <v>6494.71</v>
      </c>
      <c r="H11390" s="297">
        <v>368860.3</v>
      </c>
      <c r="I11390" s="297">
        <v>55840.32</v>
      </c>
      <c r="J11390" s="297">
        <v>288201.40999999997</v>
      </c>
      <c r="K11390" s="297">
        <v>24818.57</v>
      </c>
      <c r="L11390" s="43">
        <v>5.7831564255839005</v>
      </c>
      <c r="M11390" s="43">
        <v>11.5</v>
      </c>
      <c r="N11390" s="43">
        <v>5.4967288710743016</v>
      </c>
      <c r="O11390" s="43">
        <v>3.8213515307072985</v>
      </c>
      <c r="P11390" s="298"/>
      <c r="Q11390" s="298"/>
      <c r="R11390" s="298">
        <v>1</v>
      </c>
    </row>
    <row r="11391" spans="1:18" ht="24">
      <c r="A11391" s="294">
        <v>621</v>
      </c>
      <c r="B11391" s="291" t="s">
        <v>20827</v>
      </c>
      <c r="C11391" s="295" t="s">
        <v>20828</v>
      </c>
      <c r="D11391" s="296">
        <v>387886.82</v>
      </c>
      <c r="E11391" s="296">
        <v>67444.22</v>
      </c>
      <c r="F11391" s="296">
        <v>313183.64</v>
      </c>
      <c r="G11391" s="296">
        <v>7258.96</v>
      </c>
      <c r="H11391" s="297">
        <v>2405280</v>
      </c>
      <c r="I11391" s="297">
        <v>775608.53</v>
      </c>
      <c r="J11391" s="297">
        <v>1591992.75</v>
      </c>
      <c r="K11391" s="297">
        <v>37678.720000000001</v>
      </c>
      <c r="L11391" s="43">
        <v>6.2009840911841243</v>
      </c>
      <c r="M11391" s="43">
        <v>11.5</v>
      </c>
      <c r="N11391" s="43">
        <v>5.0832564242500018</v>
      </c>
      <c r="O11391" s="43">
        <v>5.190649900261195</v>
      </c>
      <c r="P11391" s="298"/>
      <c r="Q11391" s="298"/>
      <c r="R11391" s="298">
        <v>1</v>
      </c>
    </row>
    <row r="11392" spans="1:18" ht="48">
      <c r="A11392" s="294">
        <v>622</v>
      </c>
      <c r="B11392" s="291" t="s">
        <v>20829</v>
      </c>
      <c r="C11392" s="295" t="s">
        <v>20830</v>
      </c>
      <c r="D11392" s="296">
        <v>1878662.72</v>
      </c>
      <c r="E11392" s="296">
        <v>563481.4</v>
      </c>
      <c r="F11392" s="296">
        <v>1104146.75</v>
      </c>
      <c r="G11392" s="296">
        <v>211034.57</v>
      </c>
      <c r="H11392" s="297">
        <v>14602409.720000001</v>
      </c>
      <c r="I11392" s="297">
        <v>6480036.0999999996</v>
      </c>
      <c r="J11392" s="297">
        <v>6565726.3600000003</v>
      </c>
      <c r="K11392" s="297">
        <v>1556647.26</v>
      </c>
      <c r="L11392" s="43">
        <v>7.7727681315781902</v>
      </c>
      <c r="M11392" s="43">
        <v>11.499999999999998</v>
      </c>
      <c r="N11392" s="43">
        <v>5.9464254728821153</v>
      </c>
      <c r="O11392" s="43">
        <v>7.3762666467394418</v>
      </c>
      <c r="P11392" s="298"/>
      <c r="Q11392" s="298"/>
      <c r="R11392" s="298">
        <v>1</v>
      </c>
    </row>
    <row r="11393" spans="1:18" ht="24">
      <c r="A11393" s="294">
        <v>623</v>
      </c>
      <c r="B11393" s="291" t="s">
        <v>20831</v>
      </c>
      <c r="C11393" s="295" t="s">
        <v>20832</v>
      </c>
      <c r="D11393" s="296">
        <v>297990.64</v>
      </c>
      <c r="E11393" s="296">
        <v>75448.95</v>
      </c>
      <c r="F11393" s="296">
        <v>198940.07</v>
      </c>
      <c r="G11393" s="296">
        <v>23601.62</v>
      </c>
      <c r="H11393" s="297">
        <v>2015092.9</v>
      </c>
      <c r="I11393" s="297">
        <v>867694.76</v>
      </c>
      <c r="J11393" s="297">
        <v>946618.42</v>
      </c>
      <c r="K11393" s="297">
        <v>200779.72</v>
      </c>
      <c r="L11393" s="43">
        <v>6.7622691101975549</v>
      </c>
      <c r="M11393" s="43">
        <v>11.50042194092827</v>
      </c>
      <c r="N11393" s="43">
        <v>4.7583094748081676</v>
      </c>
      <c r="O11393" s="43">
        <v>8.5070312970041897</v>
      </c>
      <c r="P11393" s="298"/>
      <c r="Q11393" s="298"/>
      <c r="R11393" s="298">
        <v>1</v>
      </c>
    </row>
    <row r="11394" spans="1:18" ht="36">
      <c r="A11394" s="294">
        <v>624</v>
      </c>
      <c r="B11394" s="291" t="s">
        <v>20833</v>
      </c>
      <c r="C11394" s="295" t="s">
        <v>20834</v>
      </c>
      <c r="D11394" s="296">
        <v>10951359.300000001</v>
      </c>
      <c r="E11394" s="296">
        <v>67709.34</v>
      </c>
      <c r="F11394" s="296"/>
      <c r="G11394" s="296">
        <v>10883649.960000001</v>
      </c>
      <c r="H11394" s="297">
        <v>58660706.780000001</v>
      </c>
      <c r="I11394" s="297">
        <v>778686.42</v>
      </c>
      <c r="J11394" s="297"/>
      <c r="K11394" s="297">
        <v>57882020.359999999</v>
      </c>
      <c r="L11394" s="43">
        <v>5.3564772347483842</v>
      </c>
      <c r="M11394" s="43">
        <v>11.500428449014569</v>
      </c>
      <c r="N11394" s="43" t="s">
        <v>1690</v>
      </c>
      <c r="O11394" s="43">
        <v>5.3182544985120046</v>
      </c>
      <c r="P11394" s="298"/>
      <c r="Q11394" s="298"/>
      <c r="R11394" s="298">
        <v>1</v>
      </c>
    </row>
    <row r="11395" spans="1:18" ht="24">
      <c r="A11395" s="294">
        <v>625</v>
      </c>
      <c r="B11395" s="291" t="s">
        <v>20835</v>
      </c>
      <c r="C11395" s="295" t="s">
        <v>20836</v>
      </c>
      <c r="D11395" s="296">
        <v>13625914.02</v>
      </c>
      <c r="E11395" s="296">
        <v>781768.2</v>
      </c>
      <c r="F11395" s="296">
        <v>1704719.76</v>
      </c>
      <c r="G11395" s="296">
        <v>11139426.060000001</v>
      </c>
      <c r="H11395" s="297">
        <v>78297292.819999993</v>
      </c>
      <c r="I11395" s="297">
        <v>8990664.1600000001</v>
      </c>
      <c r="J11395" s="297">
        <v>9556226.3499999996</v>
      </c>
      <c r="K11395" s="297">
        <v>59750402.310000002</v>
      </c>
      <c r="L11395" s="43">
        <v>5.7462048201005747</v>
      </c>
      <c r="M11395" s="43">
        <v>11.500421940928272</v>
      </c>
      <c r="N11395" s="43">
        <v>5.6057462195428531</v>
      </c>
      <c r="O11395" s="43">
        <v>5.3638672215397785</v>
      </c>
      <c r="P11395" s="298"/>
      <c r="Q11395" s="298"/>
      <c r="R11395" s="298">
        <v>1</v>
      </c>
    </row>
    <row r="11396" spans="1:18" ht="36">
      <c r="A11396" s="294">
        <v>626</v>
      </c>
      <c r="B11396" s="291" t="s">
        <v>20837</v>
      </c>
      <c r="C11396" s="295" t="s">
        <v>20838</v>
      </c>
      <c r="D11396" s="296">
        <v>69248.42</v>
      </c>
      <c r="E11396" s="296">
        <v>5125.4399999999996</v>
      </c>
      <c r="F11396" s="296">
        <v>54424.07</v>
      </c>
      <c r="G11396" s="296">
        <v>9698.91</v>
      </c>
      <c r="H11396" s="297">
        <v>394062.52</v>
      </c>
      <c r="I11396" s="297">
        <v>58942.559999999998</v>
      </c>
      <c r="J11396" s="297">
        <v>298388.39</v>
      </c>
      <c r="K11396" s="297">
        <v>36731.57</v>
      </c>
      <c r="L11396" s="43">
        <v>5.6905633370407589</v>
      </c>
      <c r="M11396" s="43">
        <v>11.5</v>
      </c>
      <c r="N11396" s="43">
        <v>5.4826548253373923</v>
      </c>
      <c r="O11396" s="43">
        <v>3.7871853641285464</v>
      </c>
      <c r="P11396" s="298"/>
      <c r="Q11396" s="298"/>
      <c r="R11396" s="298">
        <v>1</v>
      </c>
    </row>
    <row r="11397" spans="1:18" ht="24">
      <c r="A11397" s="294">
        <v>627</v>
      </c>
      <c r="B11397" s="291" t="s">
        <v>20839</v>
      </c>
      <c r="C11397" s="295" t="s">
        <v>20840</v>
      </c>
      <c r="D11397" s="296">
        <v>387291.21</v>
      </c>
      <c r="E11397" s="296">
        <v>67384.12</v>
      </c>
      <c r="F11397" s="296">
        <v>312646.42</v>
      </c>
      <c r="G11397" s="296">
        <v>7260.67</v>
      </c>
      <c r="H11397" s="297">
        <v>2401738.06</v>
      </c>
      <c r="I11397" s="297">
        <v>774917.38</v>
      </c>
      <c r="J11397" s="297">
        <v>1589140.19</v>
      </c>
      <c r="K11397" s="297">
        <v>37680.49</v>
      </c>
      <c r="L11397" s="43">
        <v>6.2013750841388831</v>
      </c>
      <c r="M11397" s="43">
        <v>11.5</v>
      </c>
      <c r="N11397" s="43">
        <v>5.0828670611357074</v>
      </c>
      <c r="O11397" s="43">
        <v>5.1896712011425938</v>
      </c>
      <c r="P11397" s="298"/>
      <c r="Q11397" s="298"/>
      <c r="R11397" s="298">
        <v>1</v>
      </c>
    </row>
    <row r="11398" spans="1:18" ht="48">
      <c r="A11398" s="294">
        <v>628</v>
      </c>
      <c r="B11398" s="291" t="s">
        <v>20841</v>
      </c>
      <c r="C11398" s="295" t="s">
        <v>20842</v>
      </c>
      <c r="D11398" s="296">
        <v>1853384.56</v>
      </c>
      <c r="E11398" s="296">
        <v>563481.4</v>
      </c>
      <c r="F11398" s="296">
        <v>1078868.5900000001</v>
      </c>
      <c r="G11398" s="296">
        <v>211034.57</v>
      </c>
      <c r="H11398" s="297">
        <v>14475880.02</v>
      </c>
      <c r="I11398" s="297">
        <v>6480036.0999999996</v>
      </c>
      <c r="J11398" s="297">
        <v>6439196.6600000001</v>
      </c>
      <c r="K11398" s="297">
        <v>1556647.26</v>
      </c>
      <c r="L11398" s="43">
        <v>7.810510744731789</v>
      </c>
      <c r="M11398" s="43">
        <v>11.499999999999998</v>
      </c>
      <c r="N11398" s="43">
        <v>5.968471711647477</v>
      </c>
      <c r="O11398" s="43">
        <v>7.3762666467394418</v>
      </c>
      <c r="P11398" s="298"/>
      <c r="Q11398" s="298"/>
      <c r="R11398" s="298">
        <v>1</v>
      </c>
    </row>
    <row r="11399" spans="1:18" ht="24">
      <c r="A11399" s="294">
        <v>629</v>
      </c>
      <c r="B11399" s="291" t="s">
        <v>20843</v>
      </c>
      <c r="C11399" s="295" t="s">
        <v>20844</v>
      </c>
      <c r="D11399" s="296">
        <v>380742.40000000002</v>
      </c>
      <c r="E11399" s="296">
        <v>93863.85</v>
      </c>
      <c r="F11399" s="296">
        <v>258780.67</v>
      </c>
      <c r="G11399" s="296">
        <v>28097.88</v>
      </c>
      <c r="H11399" s="297">
        <v>2549930.7999999998</v>
      </c>
      <c r="I11399" s="297">
        <v>1079473.8799999999</v>
      </c>
      <c r="J11399" s="297">
        <v>1229501.0900000001</v>
      </c>
      <c r="K11399" s="297">
        <v>240955.83</v>
      </c>
      <c r="L11399" s="43">
        <v>6.6972598796456602</v>
      </c>
      <c r="M11399" s="43">
        <v>11.500421940928268</v>
      </c>
      <c r="N11399" s="43">
        <v>4.7511318754990475</v>
      </c>
      <c r="O11399" s="43">
        <v>8.5755875532246559</v>
      </c>
      <c r="P11399" s="298"/>
      <c r="Q11399" s="298"/>
      <c r="R11399" s="298">
        <v>1</v>
      </c>
    </row>
    <row r="11400" spans="1:18" ht="36">
      <c r="A11400" s="294">
        <v>630</v>
      </c>
      <c r="B11400" s="291" t="s">
        <v>20845</v>
      </c>
      <c r="C11400" s="295" t="s">
        <v>20846</v>
      </c>
      <c r="D11400" s="296">
        <v>10951359.300000001</v>
      </c>
      <c r="E11400" s="296">
        <v>67709.34</v>
      </c>
      <c r="F11400" s="296"/>
      <c r="G11400" s="296">
        <v>10883649.960000001</v>
      </c>
      <c r="H11400" s="297">
        <v>58660706.780000001</v>
      </c>
      <c r="I11400" s="297">
        <v>778686.42</v>
      </c>
      <c r="J11400" s="297"/>
      <c r="K11400" s="297">
        <v>57882020.359999999</v>
      </c>
      <c r="L11400" s="43">
        <v>5.3564772347483842</v>
      </c>
      <c r="M11400" s="43">
        <v>11.500428449014569</v>
      </c>
      <c r="N11400" s="43" t="s">
        <v>1690</v>
      </c>
      <c r="O11400" s="43">
        <v>5.3182544985120046</v>
      </c>
      <c r="P11400" s="298"/>
      <c r="Q11400" s="298"/>
      <c r="R11400" s="298">
        <v>1</v>
      </c>
    </row>
    <row r="11401" spans="1:18" ht="24">
      <c r="A11401" s="294">
        <v>631</v>
      </c>
      <c r="B11401" s="291" t="s">
        <v>20847</v>
      </c>
      <c r="C11401" s="295" t="s">
        <v>20848</v>
      </c>
      <c r="D11401" s="296">
        <v>18881447.140000001</v>
      </c>
      <c r="E11401" s="296">
        <v>1005069.6</v>
      </c>
      <c r="F11401" s="296">
        <v>2561958.7999999998</v>
      </c>
      <c r="G11401" s="296">
        <v>15314418.74</v>
      </c>
      <c r="H11401" s="297">
        <v>109175529.8</v>
      </c>
      <c r="I11401" s="297">
        <v>11558724.48</v>
      </c>
      <c r="J11401" s="297">
        <v>14503243.4</v>
      </c>
      <c r="K11401" s="297">
        <v>83113561.920000002</v>
      </c>
      <c r="L11401" s="43">
        <v>5.7821590151696389</v>
      </c>
      <c r="M11401" s="43">
        <v>11.500421940928272</v>
      </c>
      <c r="N11401" s="43">
        <v>5.6609979051966022</v>
      </c>
      <c r="O11401" s="43">
        <v>5.42714440104176</v>
      </c>
      <c r="P11401" s="298"/>
      <c r="Q11401" s="298"/>
      <c r="R11401" s="298">
        <v>1</v>
      </c>
    </row>
    <row r="11402" spans="1:18" ht="24">
      <c r="A11402" s="294">
        <v>632</v>
      </c>
      <c r="B11402" s="291" t="s">
        <v>20849</v>
      </c>
      <c r="C11402" s="295" t="s">
        <v>20850</v>
      </c>
      <c r="D11402" s="296">
        <v>102884.94</v>
      </c>
      <c r="E11402" s="296">
        <v>7609.48</v>
      </c>
      <c r="F11402" s="296">
        <v>85526.87</v>
      </c>
      <c r="G11402" s="296">
        <v>9748.59</v>
      </c>
      <c r="H11402" s="297">
        <v>594114.69999999995</v>
      </c>
      <c r="I11402" s="297">
        <v>87509.02</v>
      </c>
      <c r="J11402" s="297">
        <v>469302.79</v>
      </c>
      <c r="K11402" s="297">
        <v>37302.89</v>
      </c>
      <c r="L11402" s="43">
        <v>5.7745545655175574</v>
      </c>
      <c r="M11402" s="43">
        <v>11.500000000000002</v>
      </c>
      <c r="N11402" s="43">
        <v>5.4871970645014834</v>
      </c>
      <c r="O11402" s="43">
        <v>3.8264908053369768</v>
      </c>
      <c r="P11402" s="298"/>
      <c r="Q11402" s="298"/>
      <c r="R11402" s="298">
        <v>1</v>
      </c>
    </row>
    <row r="11403" spans="1:18" ht="24">
      <c r="A11403" s="294">
        <v>633</v>
      </c>
      <c r="B11403" s="291" t="s">
        <v>20851</v>
      </c>
      <c r="C11403" s="295" t="s">
        <v>20852</v>
      </c>
      <c r="D11403" s="296">
        <v>727206.55</v>
      </c>
      <c r="E11403" s="296">
        <v>116161.28</v>
      </c>
      <c r="F11403" s="296">
        <v>600860.44999999995</v>
      </c>
      <c r="G11403" s="296">
        <v>10184.82</v>
      </c>
      <c r="H11403" s="297">
        <v>4418496.33</v>
      </c>
      <c r="I11403" s="297">
        <v>1335854.72</v>
      </c>
      <c r="J11403" s="297">
        <v>3026098.31</v>
      </c>
      <c r="K11403" s="297">
        <v>56543.3</v>
      </c>
      <c r="L11403" s="43">
        <v>6.0759853304401616</v>
      </c>
      <c r="M11403" s="43">
        <v>11.5</v>
      </c>
      <c r="N11403" s="43">
        <v>5.0362747456584973</v>
      </c>
      <c r="O11403" s="43">
        <v>5.551723054506609</v>
      </c>
      <c r="P11403" s="298"/>
      <c r="Q11403" s="298"/>
      <c r="R11403" s="298">
        <v>1</v>
      </c>
    </row>
    <row r="11404" spans="1:18" ht="36">
      <c r="A11404" s="294">
        <v>634</v>
      </c>
      <c r="B11404" s="291" t="s">
        <v>20853</v>
      </c>
      <c r="C11404" s="295" t="s">
        <v>20854</v>
      </c>
      <c r="D11404" s="296">
        <v>2775524.33</v>
      </c>
      <c r="E11404" s="296">
        <v>766733.4</v>
      </c>
      <c r="F11404" s="296">
        <v>1601764.59</v>
      </c>
      <c r="G11404" s="296">
        <v>407026.34</v>
      </c>
      <c r="H11404" s="297">
        <v>21279091.609999999</v>
      </c>
      <c r="I11404" s="297">
        <v>8817434.0999999996</v>
      </c>
      <c r="J11404" s="297">
        <v>9538447.5500000007</v>
      </c>
      <c r="K11404" s="297">
        <v>2923209.96</v>
      </c>
      <c r="L11404" s="43">
        <v>7.666692516437065</v>
      </c>
      <c r="M11404" s="43">
        <v>11.5</v>
      </c>
      <c r="N11404" s="43">
        <v>5.9549621770574914</v>
      </c>
      <c r="O11404" s="43">
        <v>7.1818692618271331</v>
      </c>
      <c r="P11404" s="298"/>
      <c r="Q11404" s="298"/>
      <c r="R11404" s="298">
        <v>1</v>
      </c>
    </row>
    <row r="11405" spans="1:18" ht="24">
      <c r="A11405" s="294">
        <v>635</v>
      </c>
      <c r="B11405" s="291" t="s">
        <v>20855</v>
      </c>
      <c r="C11405" s="295" t="s">
        <v>20856</v>
      </c>
      <c r="D11405" s="296">
        <v>359689.39</v>
      </c>
      <c r="E11405" s="296">
        <v>64629.9</v>
      </c>
      <c r="F11405" s="296">
        <v>273806.89</v>
      </c>
      <c r="G11405" s="296">
        <v>21252.6</v>
      </c>
      <c r="H11405" s="297">
        <v>2397059.61</v>
      </c>
      <c r="I11405" s="297">
        <v>743271.12</v>
      </c>
      <c r="J11405" s="297">
        <v>1469394.75</v>
      </c>
      <c r="K11405" s="297">
        <v>184393.74</v>
      </c>
      <c r="L11405" s="43">
        <v>6.6642488676132476</v>
      </c>
      <c r="M11405" s="43">
        <v>11.50042194092827</v>
      </c>
      <c r="N11405" s="43">
        <v>5.3665367953304601</v>
      </c>
      <c r="O11405" s="43">
        <v>8.6762909008780102</v>
      </c>
      <c r="P11405" s="298"/>
      <c r="Q11405" s="298"/>
      <c r="R11405" s="298">
        <v>1</v>
      </c>
    </row>
    <row r="11406" spans="1:18" ht="24">
      <c r="A11406" s="294">
        <v>636</v>
      </c>
      <c r="B11406" s="291" t="s">
        <v>20857</v>
      </c>
      <c r="C11406" s="295" t="s">
        <v>20858</v>
      </c>
      <c r="D11406" s="296">
        <v>14938699.289999999</v>
      </c>
      <c r="E11406" s="296">
        <v>72050.58</v>
      </c>
      <c r="F11406" s="296"/>
      <c r="G11406" s="296">
        <v>14866648.710000001</v>
      </c>
      <c r="H11406" s="297">
        <v>80745811.150000006</v>
      </c>
      <c r="I11406" s="297">
        <v>828612.54</v>
      </c>
      <c r="J11406" s="297"/>
      <c r="K11406" s="297">
        <v>79917198.609999999</v>
      </c>
      <c r="L11406" s="43">
        <v>5.40514335167396</v>
      </c>
      <c r="M11406" s="43">
        <v>11.500428449014567</v>
      </c>
      <c r="N11406" s="43" t="s">
        <v>1690</v>
      </c>
      <c r="O11406" s="43">
        <v>5.3756028119668935</v>
      </c>
      <c r="P11406" s="298"/>
      <c r="Q11406" s="298"/>
      <c r="R11406" s="298">
        <v>1</v>
      </c>
    </row>
    <row r="11407" spans="1:18" ht="12.75" customHeight="1">
      <c r="A11407" s="628" t="s">
        <v>20859</v>
      </c>
      <c r="B11407" s="629"/>
      <c r="C11407" s="629"/>
      <c r="D11407" s="629"/>
      <c r="E11407" s="629"/>
      <c r="F11407" s="629"/>
      <c r="G11407" s="629"/>
      <c r="H11407" s="629"/>
      <c r="I11407" s="629"/>
      <c r="J11407" s="629"/>
      <c r="K11407" s="629"/>
      <c r="L11407" s="629"/>
      <c r="M11407" s="629"/>
      <c r="N11407" s="629"/>
      <c r="O11407" s="629"/>
      <c r="P11407" s="629"/>
      <c r="Q11407" s="629"/>
      <c r="R11407" s="629"/>
    </row>
    <row r="11408" spans="1:18" ht="24">
      <c r="A11408" s="294">
        <v>637</v>
      </c>
      <c r="B11408" s="291" t="s">
        <v>20860</v>
      </c>
      <c r="C11408" s="295" t="s">
        <v>20861</v>
      </c>
      <c r="D11408" s="296">
        <v>2250.5300000000002</v>
      </c>
      <c r="E11408" s="296">
        <v>1815.42</v>
      </c>
      <c r="F11408" s="296">
        <v>85.49</v>
      </c>
      <c r="G11408" s="296">
        <v>349.62</v>
      </c>
      <c r="H11408" s="297">
        <v>22906.11</v>
      </c>
      <c r="I11408" s="297">
        <v>20878.12</v>
      </c>
      <c r="J11408" s="297">
        <v>450.9</v>
      </c>
      <c r="K11408" s="297">
        <v>1577.09</v>
      </c>
      <c r="L11408" s="43">
        <v>10.178095826316467</v>
      </c>
      <c r="M11408" s="43">
        <v>11.500435161009573</v>
      </c>
      <c r="N11408" s="43">
        <v>5.2743010878465322</v>
      </c>
      <c r="O11408" s="43">
        <v>4.5108689434242892</v>
      </c>
      <c r="P11408" s="298"/>
      <c r="Q11408" s="298"/>
      <c r="R11408" s="298">
        <v>2</v>
      </c>
    </row>
    <row r="11409" spans="1:18" ht="24">
      <c r="A11409" s="294">
        <v>638</v>
      </c>
      <c r="B11409" s="291" t="s">
        <v>20862</v>
      </c>
      <c r="C11409" s="295" t="s">
        <v>20863</v>
      </c>
      <c r="D11409" s="296">
        <v>2807.64</v>
      </c>
      <c r="E11409" s="296">
        <v>2309.4899999999998</v>
      </c>
      <c r="F11409" s="296">
        <v>138.65</v>
      </c>
      <c r="G11409" s="296">
        <v>359.5</v>
      </c>
      <c r="H11409" s="297">
        <v>28988.17</v>
      </c>
      <c r="I11409" s="297">
        <v>26560.14</v>
      </c>
      <c r="J11409" s="297">
        <v>737.32</v>
      </c>
      <c r="K11409" s="297">
        <v>1690.71</v>
      </c>
      <c r="L11409" s="43">
        <v>10.324746050063398</v>
      </c>
      <c r="M11409" s="43">
        <v>11.500435161009575</v>
      </c>
      <c r="N11409" s="43">
        <v>5.3178507032095208</v>
      </c>
      <c r="O11409" s="43">
        <v>4.7029485396383865</v>
      </c>
      <c r="P11409" s="298"/>
      <c r="Q11409" s="298"/>
      <c r="R11409" s="298">
        <v>2</v>
      </c>
    </row>
    <row r="11410" spans="1:18" ht="24">
      <c r="A11410" s="294">
        <v>639</v>
      </c>
      <c r="B11410" s="291" t="s">
        <v>20864</v>
      </c>
      <c r="C11410" s="295" t="s">
        <v>20865</v>
      </c>
      <c r="D11410" s="296">
        <v>2127.73</v>
      </c>
      <c r="E11410" s="296">
        <v>1574.13</v>
      </c>
      <c r="F11410" s="296">
        <v>207.62</v>
      </c>
      <c r="G11410" s="296">
        <v>345.98</v>
      </c>
      <c r="H11410" s="297">
        <v>20682.8</v>
      </c>
      <c r="I11410" s="297">
        <v>18103.18</v>
      </c>
      <c r="J11410" s="297">
        <v>1047.6500000000001</v>
      </c>
      <c r="K11410" s="297">
        <v>1531.97</v>
      </c>
      <c r="L11410" s="43">
        <v>9.7205942483303804</v>
      </c>
      <c r="M11410" s="43">
        <v>11.500435161009573</v>
      </c>
      <c r="N11410" s="43">
        <v>5.0459974954243334</v>
      </c>
      <c r="O11410" s="43">
        <v>4.4279149083762066</v>
      </c>
      <c r="P11410" s="298"/>
      <c r="Q11410" s="298"/>
      <c r="R11410" s="298">
        <v>2</v>
      </c>
    </row>
    <row r="11411" spans="1:18" ht="24">
      <c r="A11411" s="294">
        <v>640</v>
      </c>
      <c r="B11411" s="291" t="s">
        <v>20866</v>
      </c>
      <c r="C11411" s="295" t="s">
        <v>20867</v>
      </c>
      <c r="D11411" s="296">
        <v>2922.56</v>
      </c>
      <c r="E11411" s="296">
        <v>2252.04</v>
      </c>
      <c r="F11411" s="296">
        <v>310.98</v>
      </c>
      <c r="G11411" s="296">
        <v>359.54</v>
      </c>
      <c r="H11411" s="297">
        <v>29143.11</v>
      </c>
      <c r="I11411" s="297">
        <v>25899.439999999999</v>
      </c>
      <c r="J11411" s="297">
        <v>1555.76</v>
      </c>
      <c r="K11411" s="297">
        <v>1687.91</v>
      </c>
      <c r="L11411" s="43">
        <v>9.9717747454286663</v>
      </c>
      <c r="M11411" s="43">
        <v>11.500435161009573</v>
      </c>
      <c r="N11411" s="43">
        <v>5.0027654511544144</v>
      </c>
      <c r="O11411" s="43">
        <v>4.6946375924792791</v>
      </c>
      <c r="P11411" s="298"/>
      <c r="Q11411" s="298"/>
      <c r="R11411" s="298">
        <v>2</v>
      </c>
    </row>
    <row r="11412" spans="1:18" ht="24">
      <c r="A11412" s="294">
        <v>641</v>
      </c>
      <c r="B11412" s="291" t="s">
        <v>20868</v>
      </c>
      <c r="C11412" s="295" t="s">
        <v>20869</v>
      </c>
      <c r="D11412" s="296">
        <v>4221</v>
      </c>
      <c r="E11412" s="296">
        <v>3355.08</v>
      </c>
      <c r="F11412" s="296">
        <v>472.34</v>
      </c>
      <c r="G11412" s="296">
        <v>393.58</v>
      </c>
      <c r="H11412" s="297">
        <v>42951.17</v>
      </c>
      <c r="I11412" s="297">
        <v>38584.879999999997</v>
      </c>
      <c r="J11412" s="297">
        <v>2367.71</v>
      </c>
      <c r="K11412" s="297">
        <v>1998.58</v>
      </c>
      <c r="L11412" s="43">
        <v>10.175591092158255</v>
      </c>
      <c r="M11412" s="43">
        <v>11.500435161009573</v>
      </c>
      <c r="N11412" s="43">
        <v>5.0127238853368343</v>
      </c>
      <c r="O11412" s="43">
        <v>5.0779511154022057</v>
      </c>
      <c r="P11412" s="298"/>
      <c r="Q11412" s="298"/>
      <c r="R11412" s="298">
        <v>2</v>
      </c>
    </row>
    <row r="11413" spans="1:18" ht="12.75" customHeight="1">
      <c r="A11413" s="628" t="s">
        <v>20870</v>
      </c>
      <c r="B11413" s="629"/>
      <c r="C11413" s="629"/>
      <c r="D11413" s="629"/>
      <c r="E11413" s="629"/>
      <c r="F11413" s="629"/>
      <c r="G11413" s="629"/>
      <c r="H11413" s="629"/>
      <c r="I11413" s="629"/>
      <c r="J11413" s="629"/>
      <c r="K11413" s="629"/>
      <c r="L11413" s="629"/>
      <c r="M11413" s="629"/>
      <c r="N11413" s="629"/>
      <c r="O11413" s="629"/>
      <c r="P11413" s="629"/>
      <c r="Q11413" s="629"/>
      <c r="R11413" s="629"/>
    </row>
    <row r="11414" spans="1:18" ht="24">
      <c r="A11414" s="294">
        <v>642</v>
      </c>
      <c r="B11414" s="291" t="s">
        <v>20871</v>
      </c>
      <c r="C11414" s="295" t="s">
        <v>20872</v>
      </c>
      <c r="D11414" s="296">
        <v>7632.04</v>
      </c>
      <c r="E11414" s="296">
        <v>2665.68</v>
      </c>
      <c r="F11414" s="296">
        <v>4006.94</v>
      </c>
      <c r="G11414" s="296">
        <v>959.42</v>
      </c>
      <c r="H11414" s="297">
        <v>56447.85</v>
      </c>
      <c r="I11414" s="297">
        <v>30656.48</v>
      </c>
      <c r="J11414" s="297">
        <v>21651.55</v>
      </c>
      <c r="K11414" s="297">
        <v>4139.82</v>
      </c>
      <c r="L11414" s="43">
        <v>7.3961679970230758</v>
      </c>
      <c r="M11414" s="43">
        <v>11.500435161009575</v>
      </c>
      <c r="N11414" s="43">
        <v>5.4035124059756319</v>
      </c>
      <c r="O11414" s="43">
        <v>4.3149194304892537</v>
      </c>
      <c r="P11414" s="298"/>
      <c r="Q11414" s="298"/>
      <c r="R11414" s="298">
        <v>3</v>
      </c>
    </row>
    <row r="11415" spans="1:18" ht="24">
      <c r="A11415" s="294">
        <v>643</v>
      </c>
      <c r="B11415" s="291" t="s">
        <v>20873</v>
      </c>
      <c r="C11415" s="295" t="s">
        <v>20874</v>
      </c>
      <c r="D11415" s="296">
        <v>17539.45</v>
      </c>
      <c r="E11415" s="296">
        <v>5997.78</v>
      </c>
      <c r="F11415" s="296">
        <v>10190.41</v>
      </c>
      <c r="G11415" s="296">
        <v>1351.26</v>
      </c>
      <c r="H11415" s="297">
        <v>128353.95</v>
      </c>
      <c r="I11415" s="297">
        <v>68977.08</v>
      </c>
      <c r="J11415" s="297">
        <v>53210.95</v>
      </c>
      <c r="K11415" s="297">
        <v>6165.92</v>
      </c>
      <c r="L11415" s="43">
        <v>7.3180145329528576</v>
      </c>
      <c r="M11415" s="43">
        <v>11.500435161009575</v>
      </c>
      <c r="N11415" s="43">
        <v>5.2216691968232878</v>
      </c>
      <c r="O11415" s="43">
        <v>4.5630892648343027</v>
      </c>
      <c r="P11415" s="298"/>
      <c r="Q11415" s="298"/>
      <c r="R11415" s="298">
        <v>3</v>
      </c>
    </row>
    <row r="11416" spans="1:18" ht="12.75" customHeight="1">
      <c r="A11416" s="628" t="s">
        <v>20875</v>
      </c>
      <c r="B11416" s="629"/>
      <c r="C11416" s="629"/>
      <c r="D11416" s="629"/>
      <c r="E11416" s="629"/>
      <c r="F11416" s="629"/>
      <c r="G11416" s="629"/>
      <c r="H11416" s="629"/>
      <c r="I11416" s="629"/>
      <c r="J11416" s="629"/>
      <c r="K11416" s="629"/>
      <c r="L11416" s="629"/>
      <c r="M11416" s="629"/>
      <c r="N11416" s="629"/>
      <c r="O11416" s="629"/>
      <c r="P11416" s="629"/>
      <c r="Q11416" s="629"/>
      <c r="R11416" s="629"/>
    </row>
    <row r="11417" spans="1:18" ht="24">
      <c r="A11417" s="294">
        <v>644</v>
      </c>
      <c r="B11417" s="291" t="s">
        <v>20876</v>
      </c>
      <c r="C11417" s="295" t="s">
        <v>20877</v>
      </c>
      <c r="D11417" s="296">
        <v>5511.55</v>
      </c>
      <c r="E11417" s="296">
        <v>2033.73</v>
      </c>
      <c r="F11417" s="296">
        <v>2864.15</v>
      </c>
      <c r="G11417" s="296">
        <v>613.66999999999996</v>
      </c>
      <c r="H11417" s="297">
        <v>41604.97</v>
      </c>
      <c r="I11417" s="297">
        <v>23388.78</v>
      </c>
      <c r="J11417" s="297">
        <v>15518.06</v>
      </c>
      <c r="K11417" s="297">
        <v>2698.13</v>
      </c>
      <c r="L11417" s="43">
        <v>7.5486877557130025</v>
      </c>
      <c r="M11417" s="43">
        <v>11.500435161009573</v>
      </c>
      <c r="N11417" s="43">
        <v>5.4180332733969934</v>
      </c>
      <c r="O11417" s="43">
        <v>4.3967115876611214</v>
      </c>
      <c r="P11417" s="298"/>
      <c r="Q11417" s="298"/>
      <c r="R11417" s="298">
        <v>4</v>
      </c>
    </row>
    <row r="11418" spans="1:18" ht="24">
      <c r="A11418" s="294">
        <v>645</v>
      </c>
      <c r="B11418" s="291" t="s">
        <v>20878</v>
      </c>
      <c r="C11418" s="295" t="s">
        <v>20879</v>
      </c>
      <c r="D11418" s="296">
        <v>6060.91</v>
      </c>
      <c r="E11418" s="296">
        <v>2079.69</v>
      </c>
      <c r="F11418" s="296">
        <v>3053.69</v>
      </c>
      <c r="G11418" s="296">
        <v>927.53</v>
      </c>
      <c r="H11418" s="297">
        <v>44337.78</v>
      </c>
      <c r="I11418" s="297">
        <v>23917.34</v>
      </c>
      <c r="J11418" s="297">
        <v>16555.48</v>
      </c>
      <c r="K11418" s="297">
        <v>3864.96</v>
      </c>
      <c r="L11418" s="43">
        <v>7.3153668343532567</v>
      </c>
      <c r="M11418" s="43">
        <v>11.500435161009573</v>
      </c>
      <c r="N11418" s="43">
        <v>5.4214671430302355</v>
      </c>
      <c r="O11418" s="43">
        <v>4.1669379966146654</v>
      </c>
      <c r="P11418" s="298"/>
      <c r="Q11418" s="298"/>
      <c r="R11418" s="298">
        <v>4</v>
      </c>
    </row>
    <row r="11419" spans="1:18" ht="12.75" customHeight="1">
      <c r="A11419" s="628" t="s">
        <v>20880</v>
      </c>
      <c r="B11419" s="629"/>
      <c r="C11419" s="629"/>
      <c r="D11419" s="629"/>
      <c r="E11419" s="629"/>
      <c r="F11419" s="629"/>
      <c r="G11419" s="629"/>
      <c r="H11419" s="629"/>
      <c r="I11419" s="629"/>
      <c r="J11419" s="629"/>
      <c r="K11419" s="629"/>
      <c r="L11419" s="629"/>
      <c r="M11419" s="629"/>
      <c r="N11419" s="629"/>
      <c r="O11419" s="629"/>
      <c r="P11419" s="629"/>
      <c r="Q11419" s="629"/>
      <c r="R11419" s="629"/>
    </row>
    <row r="11420" spans="1:18" ht="24">
      <c r="A11420" s="294">
        <v>646</v>
      </c>
      <c r="B11420" s="291" t="s">
        <v>20881</v>
      </c>
      <c r="C11420" s="295" t="s">
        <v>20882</v>
      </c>
      <c r="D11420" s="296">
        <v>6128.83</v>
      </c>
      <c r="E11420" s="296">
        <v>1275.3900000000001</v>
      </c>
      <c r="F11420" s="296">
        <v>3769.08</v>
      </c>
      <c r="G11420" s="296">
        <v>1084.3599999999999</v>
      </c>
      <c r="H11420" s="297">
        <v>39265.99</v>
      </c>
      <c r="I11420" s="297">
        <v>14667.54</v>
      </c>
      <c r="J11420" s="297">
        <v>20266.04</v>
      </c>
      <c r="K11420" s="297">
        <v>4332.41</v>
      </c>
      <c r="L11420" s="43">
        <v>6.4067676864915484</v>
      </c>
      <c r="M11420" s="43">
        <v>11.500435161009573</v>
      </c>
      <c r="N11420" s="43">
        <v>5.3769195665785823</v>
      </c>
      <c r="O11420" s="43">
        <v>3.995361319119112</v>
      </c>
      <c r="P11420" s="298"/>
      <c r="Q11420" s="298"/>
      <c r="R11420" s="298">
        <v>5</v>
      </c>
    </row>
    <row r="11421" spans="1:18" ht="24">
      <c r="A11421" s="294">
        <v>647</v>
      </c>
      <c r="B11421" s="291" t="s">
        <v>20883</v>
      </c>
      <c r="C11421" s="295" t="s">
        <v>20884</v>
      </c>
      <c r="D11421" s="296">
        <v>11655.88</v>
      </c>
      <c r="E11421" s="296">
        <v>3538.92</v>
      </c>
      <c r="F11421" s="296">
        <v>6297.47</v>
      </c>
      <c r="G11421" s="296">
        <v>1819.49</v>
      </c>
      <c r="H11421" s="297">
        <v>82263.820000000007</v>
      </c>
      <c r="I11421" s="297">
        <v>40699.120000000003</v>
      </c>
      <c r="J11421" s="297">
        <v>33807.589999999997</v>
      </c>
      <c r="K11421" s="297">
        <v>7757.11</v>
      </c>
      <c r="L11421" s="43">
        <v>7.0577099283794968</v>
      </c>
      <c r="M11421" s="43">
        <v>11.500435161009573</v>
      </c>
      <c r="N11421" s="43">
        <v>5.3684400243272288</v>
      </c>
      <c r="O11421" s="43">
        <v>4.2633430246937323</v>
      </c>
      <c r="P11421" s="298"/>
      <c r="Q11421" s="298"/>
      <c r="R11421" s="298">
        <v>5</v>
      </c>
    </row>
    <row r="11422" spans="1:18" ht="12.75" customHeight="1">
      <c r="A11422" s="628" t="s">
        <v>20885</v>
      </c>
      <c r="B11422" s="629"/>
      <c r="C11422" s="629"/>
      <c r="D11422" s="629"/>
      <c r="E11422" s="629"/>
      <c r="F11422" s="629"/>
      <c r="G11422" s="629"/>
      <c r="H11422" s="629"/>
      <c r="I11422" s="629"/>
      <c r="J11422" s="629"/>
      <c r="K11422" s="629"/>
      <c r="L11422" s="629"/>
      <c r="M11422" s="629"/>
      <c r="N11422" s="629"/>
      <c r="O11422" s="629"/>
      <c r="P11422" s="629"/>
      <c r="Q11422" s="629"/>
      <c r="R11422" s="629"/>
    </row>
    <row r="11423" spans="1:18" ht="12.75" customHeight="1">
      <c r="A11423" s="628" t="s">
        <v>20886</v>
      </c>
      <c r="B11423" s="629"/>
      <c r="C11423" s="629"/>
      <c r="D11423" s="629"/>
      <c r="E11423" s="629"/>
      <c r="F11423" s="629"/>
      <c r="G11423" s="629"/>
      <c r="H11423" s="629"/>
      <c r="I11423" s="629"/>
      <c r="J11423" s="629"/>
      <c r="K11423" s="629"/>
      <c r="L11423" s="629"/>
      <c r="M11423" s="629"/>
      <c r="N11423" s="629"/>
      <c r="O11423" s="629"/>
      <c r="P11423" s="629"/>
      <c r="Q11423" s="629"/>
      <c r="R11423" s="629"/>
    </row>
    <row r="11424" spans="1:18" ht="24">
      <c r="A11424" s="294">
        <v>648</v>
      </c>
      <c r="B11424" s="291" t="s">
        <v>20887</v>
      </c>
      <c r="C11424" s="295" t="s">
        <v>20888</v>
      </c>
      <c r="D11424" s="296">
        <v>7541.2</v>
      </c>
      <c r="E11424" s="296">
        <v>1248.69</v>
      </c>
      <c r="F11424" s="296">
        <v>4855.21</v>
      </c>
      <c r="G11424" s="296">
        <v>1437.3</v>
      </c>
      <c r="H11424" s="297">
        <v>47046.65</v>
      </c>
      <c r="I11424" s="297">
        <v>14360.47</v>
      </c>
      <c r="J11424" s="297">
        <v>26904.94</v>
      </c>
      <c r="K11424" s="297">
        <v>5781.24</v>
      </c>
      <c r="L11424" s="43">
        <v>6.2386158701532919</v>
      </c>
      <c r="M11424" s="43">
        <v>11.500428449014565</v>
      </c>
      <c r="N11424" s="43">
        <v>5.54145752706886</v>
      </c>
      <c r="O11424" s="43">
        <v>4.0222917971195988</v>
      </c>
      <c r="P11424" s="298"/>
      <c r="Q11424" s="298"/>
      <c r="R11424" s="298">
        <v>1</v>
      </c>
    </row>
    <row r="11425" spans="1:18" ht="24">
      <c r="A11425" s="294">
        <v>649</v>
      </c>
      <c r="B11425" s="291" t="s">
        <v>20889</v>
      </c>
      <c r="C11425" s="295" t="s">
        <v>20890</v>
      </c>
      <c r="D11425" s="296">
        <v>13660.39</v>
      </c>
      <c r="E11425" s="296">
        <v>2392.35</v>
      </c>
      <c r="F11425" s="296">
        <v>9124.99</v>
      </c>
      <c r="G11425" s="296">
        <v>2143.0500000000002</v>
      </c>
      <c r="H11425" s="297">
        <v>86832.37</v>
      </c>
      <c r="I11425" s="297">
        <v>27513.05</v>
      </c>
      <c r="J11425" s="297">
        <v>50628.52</v>
      </c>
      <c r="K11425" s="297">
        <v>8690.7999999999993</v>
      </c>
      <c r="L11425" s="43">
        <v>6.3565073910774146</v>
      </c>
      <c r="M11425" s="43">
        <v>11.500428449014567</v>
      </c>
      <c r="N11425" s="43">
        <v>5.5483370392734672</v>
      </c>
      <c r="O11425" s="43">
        <v>4.055341685914934</v>
      </c>
      <c r="P11425" s="298"/>
      <c r="Q11425" s="298"/>
      <c r="R11425" s="298">
        <v>1</v>
      </c>
    </row>
    <row r="11426" spans="1:18" ht="24">
      <c r="A11426" s="294">
        <v>650</v>
      </c>
      <c r="B11426" s="291" t="s">
        <v>20891</v>
      </c>
      <c r="C11426" s="295" t="s">
        <v>20892</v>
      </c>
      <c r="D11426" s="296">
        <v>40995.82</v>
      </c>
      <c r="E11426" s="296">
        <v>6686.91</v>
      </c>
      <c r="F11426" s="296">
        <v>26486.05</v>
      </c>
      <c r="G11426" s="296">
        <v>7822.86</v>
      </c>
      <c r="H11426" s="297">
        <v>270083.87</v>
      </c>
      <c r="I11426" s="297">
        <v>76902.33</v>
      </c>
      <c r="J11426" s="297">
        <v>161657.91</v>
      </c>
      <c r="K11426" s="297">
        <v>31523.63</v>
      </c>
      <c r="L11426" s="43">
        <v>6.5880831265236308</v>
      </c>
      <c r="M11426" s="43">
        <v>11.500428449014567</v>
      </c>
      <c r="N11426" s="43">
        <v>6.1035114711329177</v>
      </c>
      <c r="O11426" s="43">
        <v>4.0296809606716728</v>
      </c>
      <c r="P11426" s="298"/>
      <c r="Q11426" s="298"/>
      <c r="R11426" s="298">
        <v>1</v>
      </c>
    </row>
    <row r="11427" spans="1:18" ht="12.75" customHeight="1">
      <c r="A11427" s="628" t="s">
        <v>20893</v>
      </c>
      <c r="B11427" s="629"/>
      <c r="C11427" s="629"/>
      <c r="D11427" s="629"/>
      <c r="E11427" s="629"/>
      <c r="F11427" s="629"/>
      <c r="G11427" s="629"/>
      <c r="H11427" s="629"/>
      <c r="I11427" s="629"/>
      <c r="J11427" s="629"/>
      <c r="K11427" s="629"/>
      <c r="L11427" s="629"/>
      <c r="M11427" s="629"/>
      <c r="N11427" s="629"/>
      <c r="O11427" s="629"/>
      <c r="P11427" s="629"/>
      <c r="Q11427" s="629"/>
      <c r="R11427" s="629"/>
    </row>
    <row r="11428" spans="1:18" ht="24">
      <c r="A11428" s="294">
        <v>651</v>
      </c>
      <c r="B11428" s="291" t="s">
        <v>20894</v>
      </c>
      <c r="C11428" s="295" t="s">
        <v>20895</v>
      </c>
      <c r="D11428" s="296">
        <v>10621.39</v>
      </c>
      <c r="E11428" s="296">
        <v>5648.28</v>
      </c>
      <c r="F11428" s="296">
        <v>4536.79</v>
      </c>
      <c r="G11428" s="296">
        <v>436.32</v>
      </c>
      <c r="H11428" s="297">
        <v>93499.07</v>
      </c>
      <c r="I11428" s="297">
        <v>64957.64</v>
      </c>
      <c r="J11428" s="297">
        <v>26042.76</v>
      </c>
      <c r="K11428" s="297">
        <v>2498.67</v>
      </c>
      <c r="L11428" s="43">
        <v>8.80290338646825</v>
      </c>
      <c r="M11428" s="43">
        <v>11.500428449014567</v>
      </c>
      <c r="N11428" s="43">
        <v>5.7403494541294613</v>
      </c>
      <c r="O11428" s="43">
        <v>5.7266914191419147</v>
      </c>
      <c r="P11428" s="298"/>
      <c r="Q11428" s="298"/>
      <c r="R11428" s="298">
        <v>2</v>
      </c>
    </row>
    <row r="11429" spans="1:18" ht="12.75" customHeight="1">
      <c r="A11429" s="628" t="s">
        <v>20896</v>
      </c>
      <c r="B11429" s="629"/>
      <c r="C11429" s="629"/>
      <c r="D11429" s="629"/>
      <c r="E11429" s="629"/>
      <c r="F11429" s="629"/>
      <c r="G11429" s="629"/>
      <c r="H11429" s="629"/>
      <c r="I11429" s="629"/>
      <c r="J11429" s="629"/>
      <c r="K11429" s="629"/>
      <c r="L11429" s="629"/>
      <c r="M11429" s="629"/>
      <c r="N11429" s="629"/>
      <c r="O11429" s="629"/>
      <c r="P11429" s="629"/>
      <c r="Q11429" s="629"/>
      <c r="R11429" s="629"/>
    </row>
    <row r="11430" spans="1:18" ht="24">
      <c r="A11430" s="294">
        <v>652</v>
      </c>
      <c r="B11430" s="291" t="s">
        <v>20897</v>
      </c>
      <c r="C11430" s="295" t="s">
        <v>20898</v>
      </c>
      <c r="D11430" s="296">
        <v>379.75</v>
      </c>
      <c r="E11430" s="296">
        <v>277.63</v>
      </c>
      <c r="F11430" s="296">
        <v>67.209999999999994</v>
      </c>
      <c r="G11430" s="296">
        <v>34.909999999999997</v>
      </c>
      <c r="H11430" s="297">
        <v>3721.75</v>
      </c>
      <c r="I11430" s="297">
        <v>3192.72</v>
      </c>
      <c r="J11430" s="297">
        <v>348.91</v>
      </c>
      <c r="K11430" s="297">
        <v>180.12</v>
      </c>
      <c r="L11430" s="43">
        <v>9.8005266622778144</v>
      </c>
      <c r="M11430" s="43">
        <v>11.499909952094514</v>
      </c>
      <c r="N11430" s="43">
        <v>5.1913405743192982</v>
      </c>
      <c r="O11430" s="43">
        <v>5.1595531366370677</v>
      </c>
      <c r="P11430" s="298"/>
      <c r="Q11430" s="298"/>
      <c r="R11430" s="298">
        <v>3</v>
      </c>
    </row>
    <row r="11431" spans="1:18" ht="24">
      <c r="A11431" s="294">
        <v>653</v>
      </c>
      <c r="B11431" s="291" t="s">
        <v>20899</v>
      </c>
      <c r="C11431" s="295" t="s">
        <v>20900</v>
      </c>
      <c r="D11431" s="296">
        <v>571.87</v>
      </c>
      <c r="E11431" s="296">
        <v>417</v>
      </c>
      <c r="F11431" s="296">
        <v>101.15</v>
      </c>
      <c r="G11431" s="296">
        <v>53.72</v>
      </c>
      <c r="H11431" s="297">
        <v>5595.91</v>
      </c>
      <c r="I11431" s="297">
        <v>4795.55</v>
      </c>
      <c r="J11431" s="297">
        <v>524.72</v>
      </c>
      <c r="K11431" s="297">
        <v>275.64</v>
      </c>
      <c r="L11431" s="43">
        <v>9.7852833685977583</v>
      </c>
      <c r="M11431" s="43">
        <v>11.500119904076739</v>
      </c>
      <c r="N11431" s="43">
        <v>5.1875432525951553</v>
      </c>
      <c r="O11431" s="43">
        <v>5.1310498883097537</v>
      </c>
      <c r="P11431" s="298"/>
      <c r="Q11431" s="298"/>
      <c r="R11431" s="298">
        <v>3</v>
      </c>
    </row>
    <row r="11432" spans="1:18" ht="24">
      <c r="A11432" s="294">
        <v>654</v>
      </c>
      <c r="B11432" s="291" t="s">
        <v>20901</v>
      </c>
      <c r="C11432" s="295" t="s">
        <v>20902</v>
      </c>
      <c r="D11432" s="296">
        <v>2063.27</v>
      </c>
      <c r="E11432" s="296">
        <v>1281.3599999999999</v>
      </c>
      <c r="F11432" s="296">
        <v>367.06</v>
      </c>
      <c r="G11432" s="296">
        <v>414.85</v>
      </c>
      <c r="H11432" s="297">
        <v>18814.419999999998</v>
      </c>
      <c r="I11432" s="297">
        <v>14735.64</v>
      </c>
      <c r="J11432" s="297">
        <v>2031.5</v>
      </c>
      <c r="K11432" s="297">
        <v>2047.28</v>
      </c>
      <c r="L11432" s="43">
        <v>9.1187387011879188</v>
      </c>
      <c r="M11432" s="43">
        <v>11.5</v>
      </c>
      <c r="N11432" s="43">
        <v>5.5345175175720591</v>
      </c>
      <c r="O11432" s="43">
        <v>4.9349885500783408</v>
      </c>
      <c r="P11432" s="298"/>
      <c r="Q11432" s="298"/>
      <c r="R11432" s="298">
        <v>3</v>
      </c>
    </row>
    <row r="11433" spans="1:18" ht="12.75" customHeight="1">
      <c r="A11433" s="628" t="s">
        <v>20903</v>
      </c>
      <c r="B11433" s="629"/>
      <c r="C11433" s="629"/>
      <c r="D11433" s="629"/>
      <c r="E11433" s="629"/>
      <c r="F11433" s="629"/>
      <c r="G11433" s="629"/>
      <c r="H11433" s="629"/>
      <c r="I11433" s="629"/>
      <c r="J11433" s="629"/>
      <c r="K11433" s="629"/>
      <c r="L11433" s="629"/>
      <c r="M11433" s="629"/>
      <c r="N11433" s="629"/>
      <c r="O11433" s="629"/>
      <c r="P11433" s="629"/>
      <c r="Q11433" s="629"/>
      <c r="R11433" s="629"/>
    </row>
    <row r="11434" spans="1:18" ht="12.75" customHeight="1">
      <c r="A11434" s="628" t="s">
        <v>20904</v>
      </c>
      <c r="B11434" s="629"/>
      <c r="C11434" s="629"/>
      <c r="D11434" s="629"/>
      <c r="E11434" s="629"/>
      <c r="F11434" s="629"/>
      <c r="G11434" s="629"/>
      <c r="H11434" s="629"/>
      <c r="I11434" s="629"/>
      <c r="J11434" s="629"/>
      <c r="K11434" s="629"/>
      <c r="L11434" s="629"/>
      <c r="M11434" s="629"/>
      <c r="N11434" s="629"/>
      <c r="O11434" s="629"/>
      <c r="P11434" s="629"/>
      <c r="Q11434" s="629"/>
      <c r="R11434" s="629"/>
    </row>
    <row r="11435" spans="1:18" ht="24">
      <c r="A11435" s="294">
        <v>655</v>
      </c>
      <c r="B11435" s="291" t="s">
        <v>20905</v>
      </c>
      <c r="C11435" s="295" t="s">
        <v>20906</v>
      </c>
      <c r="D11435" s="296">
        <v>14525.29</v>
      </c>
      <c r="E11435" s="296">
        <v>4527.0600000000004</v>
      </c>
      <c r="F11435" s="296">
        <v>8395.2000000000007</v>
      </c>
      <c r="G11435" s="296">
        <v>1603.03</v>
      </c>
      <c r="H11435" s="297">
        <v>102528.44</v>
      </c>
      <c r="I11435" s="297">
        <v>52063.16</v>
      </c>
      <c r="J11435" s="297">
        <v>43722.28</v>
      </c>
      <c r="K11435" s="297">
        <v>6743</v>
      </c>
      <c r="L11435" s="43">
        <v>7.0586156971736882</v>
      </c>
      <c r="M11435" s="43">
        <v>11.500435161009573</v>
      </c>
      <c r="N11435" s="43">
        <v>5.208009338669715</v>
      </c>
      <c r="O11435" s="43">
        <v>4.2064091127427439</v>
      </c>
      <c r="P11435" s="298"/>
      <c r="Q11435" s="298"/>
      <c r="R11435" s="298">
        <v>1</v>
      </c>
    </row>
    <row r="11436" spans="1:18" ht="24">
      <c r="A11436" s="294">
        <v>656</v>
      </c>
      <c r="B11436" s="291" t="s">
        <v>20907</v>
      </c>
      <c r="C11436" s="295" t="s">
        <v>20908</v>
      </c>
      <c r="D11436" s="296">
        <v>29285.11</v>
      </c>
      <c r="E11436" s="296">
        <v>8491.11</v>
      </c>
      <c r="F11436" s="296">
        <v>18846.63</v>
      </c>
      <c r="G11436" s="296">
        <v>1947.37</v>
      </c>
      <c r="H11436" s="297">
        <v>202455.02</v>
      </c>
      <c r="I11436" s="297">
        <v>97651.46</v>
      </c>
      <c r="J11436" s="297">
        <v>96037.99</v>
      </c>
      <c r="K11436" s="297">
        <v>8765.57</v>
      </c>
      <c r="L11436" s="43">
        <v>6.913240892726713</v>
      </c>
      <c r="M11436" s="43">
        <v>11.500435161009573</v>
      </c>
      <c r="N11436" s="43">
        <v>5.0957646008862065</v>
      </c>
      <c r="O11436" s="43">
        <v>4.5012349989986493</v>
      </c>
      <c r="P11436" s="298"/>
      <c r="Q11436" s="298"/>
      <c r="R11436" s="298">
        <v>1</v>
      </c>
    </row>
    <row r="11437" spans="1:18" ht="12.75" customHeight="1">
      <c r="A11437" s="628" t="s">
        <v>20909</v>
      </c>
      <c r="B11437" s="629"/>
      <c r="C11437" s="629"/>
      <c r="D11437" s="629"/>
      <c r="E11437" s="629"/>
      <c r="F11437" s="629"/>
      <c r="G11437" s="629"/>
      <c r="H11437" s="629"/>
      <c r="I11437" s="629"/>
      <c r="J11437" s="629"/>
      <c r="K11437" s="629"/>
      <c r="L11437" s="629"/>
      <c r="M11437" s="629"/>
      <c r="N11437" s="629"/>
      <c r="O11437" s="629"/>
      <c r="P11437" s="629"/>
      <c r="Q11437" s="629"/>
      <c r="R11437" s="629"/>
    </row>
    <row r="11438" spans="1:18" ht="12.75" customHeight="1">
      <c r="A11438" s="628" t="s">
        <v>20910</v>
      </c>
      <c r="B11438" s="629"/>
      <c r="C11438" s="629"/>
      <c r="D11438" s="629"/>
      <c r="E11438" s="629"/>
      <c r="F11438" s="629"/>
      <c r="G11438" s="629"/>
      <c r="H11438" s="629"/>
      <c r="I11438" s="629"/>
      <c r="J11438" s="629"/>
      <c r="K11438" s="629"/>
      <c r="L11438" s="629"/>
      <c r="M11438" s="629"/>
      <c r="N11438" s="629"/>
      <c r="O11438" s="629"/>
      <c r="P11438" s="629"/>
      <c r="Q11438" s="629"/>
      <c r="R11438" s="629"/>
    </row>
    <row r="11439" spans="1:18" ht="24">
      <c r="A11439" s="294">
        <v>657</v>
      </c>
      <c r="B11439" s="291" t="s">
        <v>20911</v>
      </c>
      <c r="C11439" s="295" t="s">
        <v>20912</v>
      </c>
      <c r="D11439" s="296">
        <v>1905.73</v>
      </c>
      <c r="E11439" s="296">
        <v>876.69</v>
      </c>
      <c r="F11439" s="296">
        <v>234.48</v>
      </c>
      <c r="G11439" s="296">
        <v>794.56</v>
      </c>
      <c r="H11439" s="297">
        <v>14317.33</v>
      </c>
      <c r="I11439" s="297">
        <v>10082.280000000001</v>
      </c>
      <c r="J11439" s="297">
        <v>1144.33</v>
      </c>
      <c r="K11439" s="297">
        <v>3090.72</v>
      </c>
      <c r="L11439" s="43">
        <v>7.51277987962618</v>
      </c>
      <c r="M11439" s="43">
        <v>11.500393525647606</v>
      </c>
      <c r="N11439" s="43">
        <v>4.8802882975093826</v>
      </c>
      <c r="O11439" s="43">
        <v>3.8898509867096256</v>
      </c>
      <c r="P11439" s="298"/>
      <c r="Q11439" s="298"/>
      <c r="R11439" s="298">
        <v>1</v>
      </c>
    </row>
    <row r="11440" spans="1:18" ht="24">
      <c r="A11440" s="294">
        <v>658</v>
      </c>
      <c r="B11440" s="291" t="s">
        <v>20913</v>
      </c>
      <c r="C11440" s="295" t="s">
        <v>20914</v>
      </c>
      <c r="D11440" s="296">
        <v>15415.67</v>
      </c>
      <c r="E11440" s="296">
        <v>8606.01</v>
      </c>
      <c r="F11440" s="296">
        <v>4716.1400000000003</v>
      </c>
      <c r="G11440" s="296">
        <v>2093.52</v>
      </c>
      <c r="H11440" s="297">
        <v>133541.57</v>
      </c>
      <c r="I11440" s="297">
        <v>98972.86</v>
      </c>
      <c r="J11440" s="297">
        <v>25071.33</v>
      </c>
      <c r="K11440" s="297">
        <v>9497.3799999999992</v>
      </c>
      <c r="L11440" s="43">
        <v>8.6627159247700565</v>
      </c>
      <c r="M11440" s="43">
        <v>11.500435161009573</v>
      </c>
      <c r="N11440" s="43">
        <v>5.3160699215884177</v>
      </c>
      <c r="O11440" s="43">
        <v>4.5365604341014176</v>
      </c>
      <c r="P11440" s="298"/>
      <c r="Q11440" s="298"/>
      <c r="R11440" s="298">
        <v>1</v>
      </c>
    </row>
    <row r="11441" spans="1:18" ht="24">
      <c r="A11441" s="299">
        <v>659</v>
      </c>
      <c r="B11441" s="300" t="s">
        <v>20915</v>
      </c>
      <c r="C11441" s="301" t="s">
        <v>20916</v>
      </c>
      <c r="D11441" s="302">
        <v>36796.720000000001</v>
      </c>
      <c r="E11441" s="302">
        <v>19555.98</v>
      </c>
      <c r="F11441" s="302">
        <v>12672.99</v>
      </c>
      <c r="G11441" s="302">
        <v>4567.75</v>
      </c>
      <c r="H11441" s="303">
        <v>313896.40000000002</v>
      </c>
      <c r="I11441" s="303">
        <v>224902.28</v>
      </c>
      <c r="J11441" s="303">
        <v>67961.42</v>
      </c>
      <c r="K11441" s="303">
        <v>21032.7</v>
      </c>
      <c r="L11441" s="611">
        <v>8.5305538102309129</v>
      </c>
      <c r="M11441" s="611">
        <v>11.500435161009573</v>
      </c>
      <c r="N11441" s="611">
        <v>5.3626981477930622</v>
      </c>
      <c r="O11441" s="611">
        <v>4.6046083958185102</v>
      </c>
      <c r="P11441" s="304"/>
      <c r="Q11441" s="304"/>
      <c r="R11441" s="304">
        <v>1</v>
      </c>
    </row>
    <row r="11442" spans="1:18" ht="12.75" customHeight="1">
      <c r="A11442" s="630" t="s">
        <v>20917</v>
      </c>
      <c r="B11442" s="631"/>
      <c r="C11442" s="631"/>
      <c r="D11442" s="631"/>
      <c r="E11442" s="631"/>
      <c r="F11442" s="631"/>
      <c r="G11442" s="631"/>
      <c r="H11442" s="631"/>
      <c r="I11442" s="631"/>
      <c r="J11442" s="631"/>
      <c r="K11442" s="631"/>
      <c r="L11442" s="631"/>
      <c r="M11442" s="631"/>
      <c r="N11442" s="631"/>
      <c r="O11442" s="631"/>
      <c r="P11442" s="631"/>
      <c r="Q11442" s="631"/>
      <c r="R11442" s="631"/>
    </row>
    <row r="11443" spans="1:18" ht="12.75" customHeight="1">
      <c r="A11443" s="628" t="s">
        <v>20918</v>
      </c>
      <c r="B11443" s="629"/>
      <c r="C11443" s="629"/>
      <c r="D11443" s="629"/>
      <c r="E11443" s="629"/>
      <c r="F11443" s="629"/>
      <c r="G11443" s="629"/>
      <c r="H11443" s="629"/>
      <c r="I11443" s="629"/>
      <c r="J11443" s="629"/>
      <c r="K11443" s="629"/>
      <c r="L11443" s="629"/>
      <c r="M11443" s="629"/>
      <c r="N11443" s="629"/>
      <c r="O11443" s="629"/>
      <c r="P11443" s="629"/>
      <c r="Q11443" s="629"/>
      <c r="R11443" s="629"/>
    </row>
    <row r="11444" spans="1:18" ht="24">
      <c r="A11444" s="294">
        <v>660</v>
      </c>
      <c r="B11444" s="291" t="s">
        <v>20919</v>
      </c>
      <c r="C11444" s="295" t="s">
        <v>20920</v>
      </c>
      <c r="D11444" s="296">
        <v>5683.56</v>
      </c>
      <c r="E11444" s="296">
        <v>1470.72</v>
      </c>
      <c r="F11444" s="296">
        <v>2236.4499999999998</v>
      </c>
      <c r="G11444" s="296">
        <v>1976.39</v>
      </c>
      <c r="H11444" s="297">
        <v>37496.559999999998</v>
      </c>
      <c r="I11444" s="297">
        <v>16913.919999999998</v>
      </c>
      <c r="J11444" s="297">
        <v>12286.13</v>
      </c>
      <c r="K11444" s="297">
        <v>8296.51</v>
      </c>
      <c r="L11444" s="43">
        <v>6.5973720696183369</v>
      </c>
      <c r="M11444" s="43">
        <v>11.500435161009571</v>
      </c>
      <c r="N11444" s="43">
        <v>5.4935858168078875</v>
      </c>
      <c r="O11444" s="43">
        <v>4.1978101488066626</v>
      </c>
      <c r="P11444" s="298"/>
      <c r="Q11444" s="298"/>
      <c r="R11444" s="298">
        <v>1</v>
      </c>
    </row>
    <row r="11445" spans="1:18" ht="24">
      <c r="A11445" s="294">
        <v>661</v>
      </c>
      <c r="B11445" s="291" t="s">
        <v>20921</v>
      </c>
      <c r="C11445" s="295" t="s">
        <v>20922</v>
      </c>
      <c r="D11445" s="296">
        <v>8132.6</v>
      </c>
      <c r="E11445" s="296">
        <v>2079.69</v>
      </c>
      <c r="F11445" s="296">
        <v>2778.36</v>
      </c>
      <c r="G11445" s="296">
        <v>3274.55</v>
      </c>
      <c r="H11445" s="297">
        <v>52998.76</v>
      </c>
      <c r="I11445" s="297">
        <v>23917.34</v>
      </c>
      <c r="J11445" s="297">
        <v>15258.14</v>
      </c>
      <c r="K11445" s="297">
        <v>13823.28</v>
      </c>
      <c r="L11445" s="43">
        <v>6.5168285665100951</v>
      </c>
      <c r="M11445" s="43">
        <v>11.500435161009573</v>
      </c>
      <c r="N11445" s="43">
        <v>5.4917793230538878</v>
      </c>
      <c r="O11445" s="43">
        <v>4.2214288986272921</v>
      </c>
      <c r="P11445" s="298"/>
      <c r="Q11445" s="298"/>
      <c r="R11445" s="298">
        <v>1</v>
      </c>
    </row>
    <row r="11446" spans="1:18" ht="24">
      <c r="A11446" s="294">
        <v>662</v>
      </c>
      <c r="B11446" s="291" t="s">
        <v>20923</v>
      </c>
      <c r="C11446" s="295" t="s">
        <v>20924</v>
      </c>
      <c r="D11446" s="296">
        <v>12019.96</v>
      </c>
      <c r="E11446" s="296">
        <v>3343.59</v>
      </c>
      <c r="F11446" s="296">
        <v>4664.51</v>
      </c>
      <c r="G11446" s="296">
        <v>4011.86</v>
      </c>
      <c r="H11446" s="297">
        <v>80513.53</v>
      </c>
      <c r="I11446" s="297">
        <v>38452.74</v>
      </c>
      <c r="J11446" s="297">
        <v>25030.25</v>
      </c>
      <c r="K11446" s="297">
        <v>17030.54</v>
      </c>
      <c r="L11446" s="43">
        <v>6.6983192955716993</v>
      </c>
      <c r="M11446" s="43">
        <v>11.500435161009573</v>
      </c>
      <c r="N11446" s="43">
        <v>5.3661049070534741</v>
      </c>
      <c r="O11446" s="43">
        <v>4.245048431400896</v>
      </c>
      <c r="P11446" s="298"/>
      <c r="Q11446" s="298"/>
      <c r="R11446" s="298">
        <v>1</v>
      </c>
    </row>
    <row r="11447" spans="1:18" ht="24">
      <c r="A11447" s="294">
        <v>663</v>
      </c>
      <c r="B11447" s="291" t="s">
        <v>20925</v>
      </c>
      <c r="C11447" s="295" t="s">
        <v>20926</v>
      </c>
      <c r="D11447" s="296">
        <v>18200.580000000002</v>
      </c>
      <c r="E11447" s="296">
        <v>4239.8100000000004</v>
      </c>
      <c r="F11447" s="296">
        <v>6967.37</v>
      </c>
      <c r="G11447" s="296">
        <v>6993.4</v>
      </c>
      <c r="H11447" s="297">
        <v>115652.53</v>
      </c>
      <c r="I11447" s="297">
        <v>48759.66</v>
      </c>
      <c r="J11447" s="297">
        <v>37405.160000000003</v>
      </c>
      <c r="K11447" s="297">
        <v>29487.71</v>
      </c>
      <c r="L11447" s="43">
        <v>6.35433211469085</v>
      </c>
      <c r="M11447" s="43">
        <v>11.500435161009573</v>
      </c>
      <c r="N11447" s="43">
        <v>5.368619723080589</v>
      </c>
      <c r="O11447" s="43">
        <v>4.2165055623873942</v>
      </c>
      <c r="P11447" s="298"/>
      <c r="Q11447" s="298"/>
      <c r="R11447" s="298">
        <v>1</v>
      </c>
    </row>
    <row r="11448" spans="1:18" ht="12.75" customHeight="1">
      <c r="A11448" s="628" t="s">
        <v>20927</v>
      </c>
      <c r="B11448" s="629"/>
      <c r="C11448" s="629"/>
      <c r="D11448" s="629"/>
      <c r="E11448" s="629"/>
      <c r="F11448" s="629"/>
      <c r="G11448" s="629"/>
      <c r="H11448" s="629"/>
      <c r="I11448" s="629"/>
      <c r="J11448" s="629"/>
      <c r="K11448" s="629"/>
      <c r="L11448" s="629"/>
      <c r="M11448" s="629"/>
      <c r="N11448" s="629"/>
      <c r="O11448" s="629"/>
      <c r="P11448" s="629"/>
      <c r="Q11448" s="629"/>
      <c r="R11448" s="629"/>
    </row>
    <row r="11449" spans="1:18" ht="24">
      <c r="A11449" s="294">
        <v>664</v>
      </c>
      <c r="B11449" s="291" t="s">
        <v>20928</v>
      </c>
      <c r="C11449" s="295" t="s">
        <v>20929</v>
      </c>
      <c r="D11449" s="296">
        <v>45176.33</v>
      </c>
      <c r="E11449" s="296">
        <v>11834.7</v>
      </c>
      <c r="F11449" s="296">
        <v>29834.98</v>
      </c>
      <c r="G11449" s="296">
        <v>3506.65</v>
      </c>
      <c r="H11449" s="297">
        <v>315731.82</v>
      </c>
      <c r="I11449" s="297">
        <v>136104.20000000001</v>
      </c>
      <c r="J11449" s="297">
        <v>160754.95000000001</v>
      </c>
      <c r="K11449" s="297">
        <v>18872.669999999998</v>
      </c>
      <c r="L11449" s="43">
        <v>6.9888771398650578</v>
      </c>
      <c r="M11449" s="43">
        <v>11.500435161009573</v>
      </c>
      <c r="N11449" s="43">
        <v>5.3881366771487702</v>
      </c>
      <c r="O11449" s="43">
        <v>5.3819656937532967</v>
      </c>
      <c r="P11449" s="298"/>
      <c r="Q11449" s="298"/>
      <c r="R11449" s="298">
        <v>2</v>
      </c>
    </row>
    <row r="11450" spans="1:18" ht="12.75" customHeight="1">
      <c r="A11450" s="628" t="s">
        <v>2739</v>
      </c>
      <c r="B11450" s="629"/>
      <c r="C11450" s="629"/>
      <c r="D11450" s="629"/>
      <c r="E11450" s="629"/>
      <c r="F11450" s="629"/>
      <c r="G11450" s="629"/>
      <c r="H11450" s="629"/>
      <c r="I11450" s="629"/>
      <c r="J11450" s="629"/>
      <c r="K11450" s="629"/>
      <c r="L11450" s="629"/>
      <c r="M11450" s="629"/>
      <c r="N11450" s="629"/>
      <c r="O11450" s="629"/>
      <c r="P11450" s="629"/>
      <c r="Q11450" s="629"/>
      <c r="R11450" s="629"/>
    </row>
    <row r="11451" spans="1:18" ht="24">
      <c r="A11451" s="294">
        <v>665</v>
      </c>
      <c r="B11451" s="291" t="s">
        <v>20930</v>
      </c>
      <c r="C11451" s="295" t="s">
        <v>20931</v>
      </c>
      <c r="D11451" s="296">
        <v>46995.94</v>
      </c>
      <c r="E11451" s="296">
        <v>8845.8799999999992</v>
      </c>
      <c r="F11451" s="296">
        <v>15555.39</v>
      </c>
      <c r="G11451" s="296">
        <v>22594.67</v>
      </c>
      <c r="H11451" s="297">
        <v>274090</v>
      </c>
      <c r="I11451" s="297">
        <v>101727.62</v>
      </c>
      <c r="J11451" s="297">
        <v>85823.86</v>
      </c>
      <c r="K11451" s="297">
        <v>86538.52</v>
      </c>
      <c r="L11451" s="43">
        <v>5.8322059309804208</v>
      </c>
      <c r="M11451" s="43">
        <v>11.5</v>
      </c>
      <c r="N11451" s="43">
        <v>5.5173068627658965</v>
      </c>
      <c r="O11451" s="43">
        <v>3.8300413327567968</v>
      </c>
      <c r="P11451" s="298"/>
      <c r="Q11451" s="298"/>
      <c r="R11451" s="298">
        <v>3</v>
      </c>
    </row>
    <row r="11452" spans="1:18" ht="24">
      <c r="A11452" s="294">
        <v>666</v>
      </c>
      <c r="B11452" s="291" t="s">
        <v>20932</v>
      </c>
      <c r="C11452" s="295" t="s">
        <v>20933</v>
      </c>
      <c r="D11452" s="296">
        <v>48724.1</v>
      </c>
      <c r="E11452" s="296">
        <v>9733.84</v>
      </c>
      <c r="F11452" s="296">
        <v>16243.57</v>
      </c>
      <c r="G11452" s="296">
        <v>22746.69</v>
      </c>
      <c r="H11452" s="297">
        <v>289413.75</v>
      </c>
      <c r="I11452" s="297">
        <v>111939.16</v>
      </c>
      <c r="J11452" s="297">
        <v>89610.53</v>
      </c>
      <c r="K11452" s="297">
        <v>87864.06</v>
      </c>
      <c r="L11452" s="43">
        <v>5.9398480423445488</v>
      </c>
      <c r="M11452" s="43">
        <v>11.5</v>
      </c>
      <c r="N11452" s="43">
        <v>5.5166770605230253</v>
      </c>
      <c r="O11452" s="43">
        <v>3.8627184878327352</v>
      </c>
      <c r="P11452" s="298"/>
      <c r="Q11452" s="298"/>
      <c r="R11452" s="298">
        <v>3</v>
      </c>
    </row>
    <row r="11453" spans="1:18" ht="24">
      <c r="A11453" s="294">
        <v>667</v>
      </c>
      <c r="B11453" s="291" t="s">
        <v>20934</v>
      </c>
      <c r="C11453" s="295" t="s">
        <v>20935</v>
      </c>
      <c r="D11453" s="296">
        <v>2316.4699999999998</v>
      </c>
      <c r="E11453" s="296">
        <v>689.4</v>
      </c>
      <c r="F11453" s="296">
        <v>1567.12</v>
      </c>
      <c r="G11453" s="296">
        <v>59.95</v>
      </c>
      <c r="H11453" s="297">
        <v>17096.18</v>
      </c>
      <c r="I11453" s="297">
        <v>7928.4</v>
      </c>
      <c r="J11453" s="297">
        <v>8624.14</v>
      </c>
      <c r="K11453" s="297">
        <v>543.64</v>
      </c>
      <c r="L11453" s="43">
        <v>7.3802725699016181</v>
      </c>
      <c r="M11453" s="43">
        <v>11.500435161009573</v>
      </c>
      <c r="N11453" s="43">
        <v>5.5031778038695185</v>
      </c>
      <c r="O11453" s="43">
        <v>9.0682235195996661</v>
      </c>
      <c r="P11453" s="298"/>
      <c r="Q11453" s="298"/>
      <c r="R11453" s="298">
        <v>3</v>
      </c>
    </row>
    <row r="11454" spans="1:18" ht="24">
      <c r="A11454" s="294">
        <v>668</v>
      </c>
      <c r="B11454" s="291" t="s">
        <v>20936</v>
      </c>
      <c r="C11454" s="295" t="s">
        <v>20937</v>
      </c>
      <c r="D11454" s="296">
        <v>1277.93</v>
      </c>
      <c r="E11454" s="296">
        <v>895.83</v>
      </c>
      <c r="F11454" s="296">
        <v>177.62</v>
      </c>
      <c r="G11454" s="296">
        <v>204.48</v>
      </c>
      <c r="H11454" s="297">
        <v>12170.35</v>
      </c>
      <c r="I11454" s="297">
        <v>10302.02</v>
      </c>
      <c r="J11454" s="297">
        <v>885.2</v>
      </c>
      <c r="K11454" s="297">
        <v>983.13</v>
      </c>
      <c r="L11454" s="43">
        <v>9.5234872019594192</v>
      </c>
      <c r="M11454" s="43">
        <v>11.499972092919416</v>
      </c>
      <c r="N11454" s="43">
        <v>4.9836730097961945</v>
      </c>
      <c r="O11454" s="43">
        <v>4.8079518779342729</v>
      </c>
      <c r="P11454" s="298"/>
      <c r="Q11454" s="298"/>
      <c r="R11454" s="298">
        <v>3</v>
      </c>
    </row>
    <row r="11455" spans="1:18" ht="24">
      <c r="A11455" s="294">
        <v>669</v>
      </c>
      <c r="B11455" s="291" t="s">
        <v>20938</v>
      </c>
      <c r="C11455" s="295" t="s">
        <v>20939</v>
      </c>
      <c r="D11455" s="296">
        <v>55367.15</v>
      </c>
      <c r="E11455" s="296">
        <v>20574.32</v>
      </c>
      <c r="F11455" s="296">
        <v>32771.279999999999</v>
      </c>
      <c r="G11455" s="296">
        <v>2021.55</v>
      </c>
      <c r="H11455" s="297">
        <v>426448.61</v>
      </c>
      <c r="I11455" s="297">
        <v>236604.68</v>
      </c>
      <c r="J11455" s="297">
        <v>171645.76</v>
      </c>
      <c r="K11455" s="297">
        <v>18198.169999999998</v>
      </c>
      <c r="L11455" s="43">
        <v>7.7021954353800037</v>
      </c>
      <c r="M11455" s="43">
        <v>11.5</v>
      </c>
      <c r="N11455" s="43">
        <v>5.2376886102709452</v>
      </c>
      <c r="O11455" s="43">
        <v>9.002087507110879</v>
      </c>
      <c r="P11455" s="298"/>
      <c r="Q11455" s="298"/>
      <c r="R11455" s="298">
        <v>3</v>
      </c>
    </row>
    <row r="11456" spans="1:18" ht="24">
      <c r="A11456" s="294">
        <v>670</v>
      </c>
      <c r="B11456" s="291" t="s">
        <v>20940</v>
      </c>
      <c r="C11456" s="295" t="s">
        <v>20941</v>
      </c>
      <c r="D11456" s="296">
        <v>711.2</v>
      </c>
      <c r="E11456" s="296">
        <v>379.34</v>
      </c>
      <c r="F11456" s="296">
        <v>303.44</v>
      </c>
      <c r="G11456" s="296">
        <v>28.42</v>
      </c>
      <c r="H11456" s="297">
        <v>6260.36</v>
      </c>
      <c r="I11456" s="297">
        <v>4362.53</v>
      </c>
      <c r="J11456" s="297">
        <v>1636.45</v>
      </c>
      <c r="K11456" s="297">
        <v>261.38</v>
      </c>
      <c r="L11456" s="43">
        <v>8.8025309336332942</v>
      </c>
      <c r="M11456" s="43">
        <v>11.500316338904414</v>
      </c>
      <c r="N11456" s="43">
        <v>5.3929936725547059</v>
      </c>
      <c r="O11456" s="43">
        <v>9.1970443349753683</v>
      </c>
      <c r="P11456" s="298"/>
      <c r="Q11456" s="298"/>
      <c r="R11456" s="298">
        <v>3</v>
      </c>
    </row>
    <row r="11457" spans="1:18" ht="24">
      <c r="A11457" s="299">
        <v>671</v>
      </c>
      <c r="B11457" s="300" t="s">
        <v>20942</v>
      </c>
      <c r="C11457" s="301" t="s">
        <v>20943</v>
      </c>
      <c r="D11457" s="302">
        <v>77929.39</v>
      </c>
      <c r="E11457" s="302">
        <v>11914.4</v>
      </c>
      <c r="F11457" s="302">
        <v>65294.080000000002</v>
      </c>
      <c r="G11457" s="302">
        <v>720.91</v>
      </c>
      <c r="H11457" s="303">
        <v>502413.91</v>
      </c>
      <c r="I11457" s="303">
        <v>137015.6</v>
      </c>
      <c r="J11457" s="303">
        <v>358618.36</v>
      </c>
      <c r="K11457" s="303">
        <v>6779.95</v>
      </c>
      <c r="L11457" s="611">
        <v>6.4470401988261425</v>
      </c>
      <c r="M11457" s="611">
        <v>11.5</v>
      </c>
      <c r="N11457" s="611">
        <v>5.4923564280253272</v>
      </c>
      <c r="O11457" s="611">
        <v>9.4047107128490381</v>
      </c>
      <c r="P11457" s="304"/>
      <c r="Q11457" s="304"/>
      <c r="R11457" s="304">
        <v>3</v>
      </c>
    </row>
    <row r="11458" spans="1:18" ht="12.75" customHeight="1">
      <c r="A11458" s="630" t="s">
        <v>20944</v>
      </c>
      <c r="B11458" s="631"/>
      <c r="C11458" s="631"/>
      <c r="D11458" s="631"/>
      <c r="E11458" s="631"/>
      <c r="F11458" s="631"/>
      <c r="G11458" s="631"/>
      <c r="H11458" s="631"/>
      <c r="I11458" s="631"/>
      <c r="J11458" s="631"/>
      <c r="K11458" s="631"/>
      <c r="L11458" s="631"/>
      <c r="M11458" s="631"/>
      <c r="N11458" s="631"/>
      <c r="O11458" s="631"/>
      <c r="P11458" s="631"/>
      <c r="Q11458" s="631"/>
      <c r="R11458" s="631"/>
    </row>
    <row r="11459" spans="1:18" ht="12.75" customHeight="1">
      <c r="A11459" s="628" t="s">
        <v>20945</v>
      </c>
      <c r="B11459" s="629"/>
      <c r="C11459" s="629"/>
      <c r="D11459" s="629"/>
      <c r="E11459" s="629"/>
      <c r="F11459" s="629"/>
      <c r="G11459" s="629"/>
      <c r="H11459" s="629"/>
      <c r="I11459" s="629"/>
      <c r="J11459" s="629"/>
      <c r="K11459" s="629"/>
      <c r="L11459" s="629"/>
      <c r="M11459" s="629"/>
      <c r="N11459" s="629"/>
      <c r="O11459" s="629"/>
      <c r="P11459" s="629"/>
      <c r="Q11459" s="629"/>
      <c r="R11459" s="629"/>
    </row>
    <row r="11460" spans="1:18" ht="24">
      <c r="A11460" s="294">
        <v>672</v>
      </c>
      <c r="B11460" s="291" t="s">
        <v>20946</v>
      </c>
      <c r="C11460" s="295" t="s">
        <v>20947</v>
      </c>
      <c r="D11460" s="296">
        <v>5166.5600000000004</v>
      </c>
      <c r="E11460" s="296">
        <v>1827.04</v>
      </c>
      <c r="F11460" s="296">
        <v>2119.96</v>
      </c>
      <c r="G11460" s="296">
        <v>1219.56</v>
      </c>
      <c r="H11460" s="297">
        <v>36337.199999999997</v>
      </c>
      <c r="I11460" s="297">
        <v>21010.959999999999</v>
      </c>
      <c r="J11460" s="297">
        <v>10525.55</v>
      </c>
      <c r="K11460" s="297">
        <v>4800.6899999999996</v>
      </c>
      <c r="L11460" s="43">
        <v>7.0331516521631405</v>
      </c>
      <c r="M11460" s="43">
        <v>11.5</v>
      </c>
      <c r="N11460" s="43">
        <v>4.9649757542595143</v>
      </c>
      <c r="O11460" s="43">
        <v>3.9364114926694871</v>
      </c>
      <c r="P11460" s="298"/>
      <c r="Q11460" s="298"/>
      <c r="R11460" s="298">
        <v>1</v>
      </c>
    </row>
    <row r="11461" spans="1:18" ht="12.75" customHeight="1">
      <c r="A11461" s="628" t="s">
        <v>20948</v>
      </c>
      <c r="B11461" s="629"/>
      <c r="C11461" s="629"/>
      <c r="D11461" s="629"/>
      <c r="E11461" s="629"/>
      <c r="F11461" s="629"/>
      <c r="G11461" s="629"/>
      <c r="H11461" s="629"/>
      <c r="I11461" s="629"/>
      <c r="J11461" s="629"/>
      <c r="K11461" s="629"/>
      <c r="L11461" s="629"/>
      <c r="M11461" s="629"/>
      <c r="N11461" s="629"/>
      <c r="O11461" s="629"/>
      <c r="P11461" s="629"/>
      <c r="Q11461" s="629"/>
      <c r="R11461" s="629"/>
    </row>
    <row r="11462" spans="1:18" ht="24">
      <c r="A11462" s="294">
        <v>673</v>
      </c>
      <c r="B11462" s="291" t="s">
        <v>20949</v>
      </c>
      <c r="C11462" s="295" t="s">
        <v>20950</v>
      </c>
      <c r="D11462" s="296">
        <v>5762.78</v>
      </c>
      <c r="E11462" s="296">
        <v>2199.66</v>
      </c>
      <c r="F11462" s="296">
        <v>1163.3</v>
      </c>
      <c r="G11462" s="296">
        <v>2399.8200000000002</v>
      </c>
      <c r="H11462" s="297">
        <v>40766.35</v>
      </c>
      <c r="I11462" s="297">
        <v>25296.09</v>
      </c>
      <c r="J11462" s="297">
        <v>5981.25</v>
      </c>
      <c r="K11462" s="297">
        <v>9489.01</v>
      </c>
      <c r="L11462" s="43">
        <v>7.0740770947355269</v>
      </c>
      <c r="M11462" s="43">
        <v>11.5</v>
      </c>
      <c r="N11462" s="43">
        <v>5.141622969139517</v>
      </c>
      <c r="O11462" s="43">
        <v>3.9540507204707018</v>
      </c>
      <c r="P11462" s="298"/>
      <c r="Q11462" s="298"/>
      <c r="R11462" s="298">
        <v>2</v>
      </c>
    </row>
    <row r="11463" spans="1:18" ht="24">
      <c r="A11463" s="294">
        <v>674</v>
      </c>
      <c r="B11463" s="291" t="s">
        <v>20951</v>
      </c>
      <c r="C11463" s="295" t="s">
        <v>20952</v>
      </c>
      <c r="D11463" s="296">
        <v>9475.5300000000007</v>
      </c>
      <c r="E11463" s="296">
        <v>3257.42</v>
      </c>
      <c r="F11463" s="296">
        <v>2626.29</v>
      </c>
      <c r="G11463" s="296">
        <v>3591.82</v>
      </c>
      <c r="H11463" s="297">
        <v>65211.76</v>
      </c>
      <c r="I11463" s="297">
        <v>37460.33</v>
      </c>
      <c r="J11463" s="297">
        <v>12824.38</v>
      </c>
      <c r="K11463" s="297">
        <v>14927.05</v>
      </c>
      <c r="L11463" s="43">
        <v>6.8821226886517159</v>
      </c>
      <c r="M11463" s="43">
        <v>11.5</v>
      </c>
      <c r="N11463" s="43">
        <v>4.8830784109904082</v>
      </c>
      <c r="O11463" s="43">
        <v>4.1558457829178517</v>
      </c>
      <c r="P11463" s="298"/>
      <c r="Q11463" s="298"/>
      <c r="R11463" s="298">
        <v>2</v>
      </c>
    </row>
    <row r="11464" spans="1:18" ht="24">
      <c r="A11464" s="294">
        <v>675</v>
      </c>
      <c r="B11464" s="291" t="s">
        <v>20953</v>
      </c>
      <c r="C11464" s="295" t="s">
        <v>20954</v>
      </c>
      <c r="D11464" s="296">
        <v>2247.58</v>
      </c>
      <c r="E11464" s="296">
        <v>681.53</v>
      </c>
      <c r="F11464" s="296">
        <v>104.51</v>
      </c>
      <c r="G11464" s="296">
        <v>1461.54</v>
      </c>
      <c r="H11464" s="297">
        <v>14201.95</v>
      </c>
      <c r="I11464" s="297">
        <v>7837.64</v>
      </c>
      <c r="J11464" s="297">
        <v>585.34</v>
      </c>
      <c r="K11464" s="297">
        <v>5778.97</v>
      </c>
      <c r="L11464" s="43">
        <v>6.3187739702257542</v>
      </c>
      <c r="M11464" s="43">
        <v>11.500066027907797</v>
      </c>
      <c r="N11464" s="43">
        <v>5.6008037508372404</v>
      </c>
      <c r="O11464" s="43">
        <v>3.954027943128481</v>
      </c>
      <c r="P11464" s="298"/>
      <c r="Q11464" s="298"/>
      <c r="R11464" s="298">
        <v>2</v>
      </c>
    </row>
    <row r="11465" spans="1:18" ht="24">
      <c r="A11465" s="294">
        <v>676</v>
      </c>
      <c r="B11465" s="291" t="s">
        <v>20955</v>
      </c>
      <c r="C11465" s="295" t="s">
        <v>20956</v>
      </c>
      <c r="D11465" s="296">
        <v>2888.96</v>
      </c>
      <c r="E11465" s="296">
        <v>1152.72</v>
      </c>
      <c r="F11465" s="296">
        <v>278.33999999999997</v>
      </c>
      <c r="G11465" s="296">
        <v>1457.9</v>
      </c>
      <c r="H11465" s="297">
        <v>20526.23</v>
      </c>
      <c r="I11465" s="297">
        <v>13256.26</v>
      </c>
      <c r="J11465" s="297">
        <v>1518.67</v>
      </c>
      <c r="K11465" s="297">
        <v>5751.3</v>
      </c>
      <c r="L11465" s="43">
        <v>7.1050585677891007</v>
      </c>
      <c r="M11465" s="43">
        <v>11.499982649732805</v>
      </c>
      <c r="N11465" s="43">
        <v>5.4561687145218087</v>
      </c>
      <c r="O11465" s="43">
        <v>3.9449207764592908</v>
      </c>
      <c r="P11465" s="298"/>
      <c r="Q11465" s="298"/>
      <c r="R11465" s="298">
        <v>2</v>
      </c>
    </row>
    <row r="11466" spans="1:18" ht="24">
      <c r="A11466" s="294">
        <v>677</v>
      </c>
      <c r="B11466" s="291" t="s">
        <v>20957</v>
      </c>
      <c r="C11466" s="295" t="s">
        <v>20958</v>
      </c>
      <c r="D11466" s="296">
        <v>4145.9799999999996</v>
      </c>
      <c r="E11466" s="296">
        <v>1382.3</v>
      </c>
      <c r="F11466" s="296">
        <v>377.59</v>
      </c>
      <c r="G11466" s="296">
        <v>2386.09</v>
      </c>
      <c r="H11466" s="297">
        <v>27592.22</v>
      </c>
      <c r="I11466" s="297">
        <v>15896.45</v>
      </c>
      <c r="J11466" s="297">
        <v>2053.38</v>
      </c>
      <c r="K11466" s="297">
        <v>9642.39</v>
      </c>
      <c r="L11466" s="43">
        <v>6.6551744099103241</v>
      </c>
      <c r="M11466" s="43">
        <v>11.500000000000002</v>
      </c>
      <c r="N11466" s="43">
        <v>5.4381207129426103</v>
      </c>
      <c r="O11466" s="43">
        <v>4.0410839490547295</v>
      </c>
      <c r="P11466" s="298"/>
      <c r="Q11466" s="298"/>
      <c r="R11466" s="298">
        <v>2</v>
      </c>
    </row>
    <row r="11467" spans="1:18" ht="24">
      <c r="A11467" s="294">
        <v>678</v>
      </c>
      <c r="B11467" s="291" t="s">
        <v>20959</v>
      </c>
      <c r="C11467" s="295" t="s">
        <v>20960</v>
      </c>
      <c r="D11467" s="296">
        <v>5708.39</v>
      </c>
      <c r="E11467" s="296">
        <v>1935.22</v>
      </c>
      <c r="F11467" s="296">
        <v>854.5</v>
      </c>
      <c r="G11467" s="296">
        <v>2918.67</v>
      </c>
      <c r="H11467" s="297">
        <v>38968.699999999997</v>
      </c>
      <c r="I11467" s="297">
        <v>22255.03</v>
      </c>
      <c r="J11467" s="297">
        <v>4489.83</v>
      </c>
      <c r="K11467" s="297">
        <v>12223.84</v>
      </c>
      <c r="L11467" s="43">
        <v>6.8265658092737169</v>
      </c>
      <c r="M11467" s="43">
        <v>11.5</v>
      </c>
      <c r="N11467" s="43">
        <v>5.2543358689291981</v>
      </c>
      <c r="O11467" s="43">
        <v>4.1881541935196509</v>
      </c>
      <c r="P11467" s="298"/>
      <c r="Q11467" s="298"/>
      <c r="R11467" s="298">
        <v>2</v>
      </c>
    </row>
    <row r="11468" spans="1:18" ht="24">
      <c r="A11468" s="294">
        <v>679</v>
      </c>
      <c r="B11468" s="291" t="s">
        <v>20961</v>
      </c>
      <c r="C11468" s="295" t="s">
        <v>20962</v>
      </c>
      <c r="D11468" s="296">
        <v>7254.63</v>
      </c>
      <c r="E11468" s="296">
        <v>2223.6999999999998</v>
      </c>
      <c r="F11468" s="296">
        <v>1747.99</v>
      </c>
      <c r="G11468" s="296">
        <v>3282.94</v>
      </c>
      <c r="H11468" s="297">
        <v>47839.4</v>
      </c>
      <c r="I11468" s="297">
        <v>25572.55</v>
      </c>
      <c r="J11468" s="297">
        <v>8652.15</v>
      </c>
      <c r="K11468" s="297">
        <v>13614.7</v>
      </c>
      <c r="L11468" s="43">
        <v>6.5943266575965973</v>
      </c>
      <c r="M11468" s="43">
        <v>11.5</v>
      </c>
      <c r="N11468" s="43">
        <v>4.949770879696108</v>
      </c>
      <c r="O11468" s="43">
        <v>4.1471059477175949</v>
      </c>
      <c r="P11468" s="298"/>
      <c r="Q11468" s="298"/>
      <c r="R11468" s="298">
        <v>2</v>
      </c>
    </row>
    <row r="11469" spans="1:18" ht="12.75" customHeight="1">
      <c r="A11469" s="628" t="s">
        <v>20963</v>
      </c>
      <c r="B11469" s="629"/>
      <c r="C11469" s="629"/>
      <c r="D11469" s="629"/>
      <c r="E11469" s="629"/>
      <c r="F11469" s="629"/>
      <c r="G11469" s="629"/>
      <c r="H11469" s="629"/>
      <c r="I11469" s="629"/>
      <c r="J11469" s="629"/>
      <c r="K11469" s="629"/>
      <c r="L11469" s="629"/>
      <c r="M11469" s="629"/>
      <c r="N11469" s="629"/>
      <c r="O11469" s="629"/>
      <c r="P11469" s="629"/>
      <c r="Q11469" s="629"/>
      <c r="R11469" s="629"/>
    </row>
    <row r="11470" spans="1:18" ht="24">
      <c r="A11470" s="294">
        <v>680</v>
      </c>
      <c r="B11470" s="291" t="s">
        <v>20964</v>
      </c>
      <c r="C11470" s="295" t="s">
        <v>20965</v>
      </c>
      <c r="D11470" s="296">
        <v>3457.32</v>
      </c>
      <c r="E11470" s="296">
        <v>1168.3399999999999</v>
      </c>
      <c r="F11470" s="296">
        <v>785.41</v>
      </c>
      <c r="G11470" s="296">
        <v>1503.57</v>
      </c>
      <c r="H11470" s="297">
        <v>23508.37</v>
      </c>
      <c r="I11470" s="297">
        <v>13435.96</v>
      </c>
      <c r="J11470" s="297">
        <v>4130.87</v>
      </c>
      <c r="K11470" s="297">
        <v>5941.54</v>
      </c>
      <c r="L11470" s="43">
        <v>6.7995933266229329</v>
      </c>
      <c r="M11470" s="43">
        <v>11.500042795761507</v>
      </c>
      <c r="N11470" s="43">
        <v>5.2595077730102746</v>
      </c>
      <c r="O11470" s="43">
        <v>3.9516218067665623</v>
      </c>
      <c r="P11470" s="298"/>
      <c r="Q11470" s="298"/>
      <c r="R11470" s="298">
        <v>3</v>
      </c>
    </row>
    <row r="11471" spans="1:18" ht="24">
      <c r="A11471" s="294">
        <v>681</v>
      </c>
      <c r="B11471" s="291" t="s">
        <v>20966</v>
      </c>
      <c r="C11471" s="295" t="s">
        <v>20967</v>
      </c>
      <c r="D11471" s="296">
        <v>21625.119999999999</v>
      </c>
      <c r="E11471" s="296">
        <v>6226.36</v>
      </c>
      <c r="F11471" s="296">
        <v>7952.17</v>
      </c>
      <c r="G11471" s="296">
        <v>7446.59</v>
      </c>
      <c r="H11471" s="297">
        <v>141482.35</v>
      </c>
      <c r="I11471" s="297">
        <v>71603.14</v>
      </c>
      <c r="J11471" s="297">
        <v>39009.67</v>
      </c>
      <c r="K11471" s="297">
        <v>30869.54</v>
      </c>
      <c r="L11471" s="43">
        <v>6.5425001109820435</v>
      </c>
      <c r="M11471" s="43">
        <v>11.5</v>
      </c>
      <c r="N11471" s="43">
        <v>4.9055377337255113</v>
      </c>
      <c r="O11471" s="43">
        <v>4.1454598682081327</v>
      </c>
      <c r="P11471" s="298"/>
      <c r="Q11471" s="298"/>
      <c r="R11471" s="298">
        <v>3</v>
      </c>
    </row>
    <row r="11472" spans="1:18" ht="24">
      <c r="A11472" s="294">
        <v>682</v>
      </c>
      <c r="B11472" s="291" t="s">
        <v>20968</v>
      </c>
      <c r="C11472" s="295" t="s">
        <v>20969</v>
      </c>
      <c r="D11472" s="296">
        <v>44214</v>
      </c>
      <c r="E11472" s="296">
        <v>14988.94</v>
      </c>
      <c r="F11472" s="296">
        <v>18914.150000000001</v>
      </c>
      <c r="G11472" s="296">
        <v>10310.91</v>
      </c>
      <c r="H11472" s="297">
        <v>307946.58</v>
      </c>
      <c r="I11472" s="297">
        <v>172372.81</v>
      </c>
      <c r="J11472" s="297">
        <v>90997.78</v>
      </c>
      <c r="K11472" s="297">
        <v>44575.99</v>
      </c>
      <c r="L11472" s="43">
        <v>6.9649111141267479</v>
      </c>
      <c r="M11472" s="43">
        <v>11.5</v>
      </c>
      <c r="N11472" s="43">
        <v>4.8110953968325294</v>
      </c>
      <c r="O11472" s="43">
        <v>4.3231867992252866</v>
      </c>
      <c r="P11472" s="298"/>
      <c r="Q11472" s="298"/>
      <c r="R11472" s="298">
        <v>3</v>
      </c>
    </row>
    <row r="11473" spans="1:18" ht="12.75" customHeight="1">
      <c r="A11473" s="628" t="s">
        <v>20970</v>
      </c>
      <c r="B11473" s="629"/>
      <c r="C11473" s="629"/>
      <c r="D11473" s="629"/>
      <c r="E11473" s="629"/>
      <c r="F11473" s="629"/>
      <c r="G11473" s="629"/>
      <c r="H11473" s="629"/>
      <c r="I11473" s="629"/>
      <c r="J11473" s="629"/>
      <c r="K11473" s="629"/>
      <c r="L11473" s="629"/>
      <c r="M11473" s="629"/>
      <c r="N11473" s="629"/>
      <c r="O11473" s="629"/>
      <c r="P11473" s="629"/>
      <c r="Q11473" s="629"/>
      <c r="R11473" s="629"/>
    </row>
    <row r="11474" spans="1:18" ht="36">
      <c r="A11474" s="294">
        <v>683</v>
      </c>
      <c r="B11474" s="291" t="s">
        <v>20971</v>
      </c>
      <c r="C11474" s="295" t="s">
        <v>20972</v>
      </c>
      <c r="D11474" s="296">
        <v>3888.97</v>
      </c>
      <c r="E11474" s="296">
        <v>1226.04</v>
      </c>
      <c r="F11474" s="296">
        <v>359.21</v>
      </c>
      <c r="G11474" s="296">
        <v>2303.7199999999998</v>
      </c>
      <c r="H11474" s="297">
        <v>25081.19</v>
      </c>
      <c r="I11474" s="297">
        <v>14099.46</v>
      </c>
      <c r="J11474" s="297">
        <v>1932.53</v>
      </c>
      <c r="K11474" s="297">
        <v>9049.2000000000007</v>
      </c>
      <c r="L11474" s="43">
        <v>6.4493143428722775</v>
      </c>
      <c r="M11474" s="43">
        <v>11.5</v>
      </c>
      <c r="N11474" s="43">
        <v>5.3799448790401163</v>
      </c>
      <c r="O11474" s="43">
        <v>3.9280815376868725</v>
      </c>
      <c r="P11474" s="298"/>
      <c r="Q11474" s="298"/>
      <c r="R11474" s="298">
        <v>4</v>
      </c>
    </row>
    <row r="11475" spans="1:18" ht="36">
      <c r="A11475" s="299">
        <v>684</v>
      </c>
      <c r="B11475" s="300" t="s">
        <v>20973</v>
      </c>
      <c r="C11475" s="301" t="s">
        <v>20974</v>
      </c>
      <c r="D11475" s="302">
        <v>87155.76</v>
      </c>
      <c r="E11475" s="302">
        <v>31227.96</v>
      </c>
      <c r="F11475" s="302">
        <v>37051.360000000001</v>
      </c>
      <c r="G11475" s="302">
        <v>18876.439999999999</v>
      </c>
      <c r="H11475" s="303">
        <v>619043.47</v>
      </c>
      <c r="I11475" s="303">
        <v>359121.54</v>
      </c>
      <c r="J11475" s="303">
        <v>179282.87</v>
      </c>
      <c r="K11475" s="303">
        <v>80639.06</v>
      </c>
      <c r="L11475" s="611">
        <v>7.1027258554110482</v>
      </c>
      <c r="M11475" s="611">
        <v>11.5</v>
      </c>
      <c r="N11475" s="611">
        <v>4.8387662423187701</v>
      </c>
      <c r="O11475" s="611">
        <v>4.2719421670611624</v>
      </c>
      <c r="P11475" s="304"/>
      <c r="Q11475" s="304"/>
      <c r="R11475" s="304">
        <v>4</v>
      </c>
    </row>
    <row r="11476" spans="1:18" ht="12.75" customHeight="1">
      <c r="A11476" s="630" t="s">
        <v>20975</v>
      </c>
      <c r="B11476" s="631"/>
      <c r="C11476" s="631"/>
      <c r="D11476" s="631"/>
      <c r="E11476" s="631"/>
      <c r="F11476" s="631"/>
      <c r="G11476" s="631"/>
      <c r="H11476" s="631"/>
      <c r="I11476" s="631"/>
      <c r="J11476" s="631"/>
      <c r="K11476" s="631"/>
      <c r="L11476" s="631"/>
      <c r="M11476" s="631"/>
      <c r="N11476" s="631"/>
      <c r="O11476" s="631"/>
      <c r="P11476" s="631"/>
      <c r="Q11476" s="631"/>
      <c r="R11476" s="631"/>
    </row>
    <row r="11477" spans="1:18" ht="12.75" customHeight="1">
      <c r="A11477" s="628" t="s">
        <v>20976</v>
      </c>
      <c r="B11477" s="629"/>
      <c r="C11477" s="629"/>
      <c r="D11477" s="629"/>
      <c r="E11477" s="629"/>
      <c r="F11477" s="629"/>
      <c r="G11477" s="629"/>
      <c r="H11477" s="629"/>
      <c r="I11477" s="629"/>
      <c r="J11477" s="629"/>
      <c r="K11477" s="629"/>
      <c r="L11477" s="629"/>
      <c r="M11477" s="629"/>
      <c r="N11477" s="629"/>
      <c r="O11477" s="629"/>
      <c r="P11477" s="629"/>
      <c r="Q11477" s="629"/>
      <c r="R11477" s="629"/>
    </row>
    <row r="11478" spans="1:18" ht="24">
      <c r="A11478" s="294">
        <v>685</v>
      </c>
      <c r="B11478" s="291" t="s">
        <v>20977</v>
      </c>
      <c r="C11478" s="295" t="s">
        <v>20978</v>
      </c>
      <c r="D11478" s="296">
        <v>26398.11</v>
      </c>
      <c r="E11478" s="296">
        <v>17691.759999999998</v>
      </c>
      <c r="F11478" s="296">
        <v>8334.59</v>
      </c>
      <c r="G11478" s="296">
        <v>371.76</v>
      </c>
      <c r="H11478" s="297">
        <v>251972.35</v>
      </c>
      <c r="I11478" s="297">
        <v>203455.24</v>
      </c>
      <c r="J11478" s="297">
        <v>44290.9</v>
      </c>
      <c r="K11478" s="297">
        <v>4226.21</v>
      </c>
      <c r="L11478" s="43">
        <v>9.5450905386787159</v>
      </c>
      <c r="M11478" s="43">
        <v>11.5</v>
      </c>
      <c r="N11478" s="43">
        <v>5.3141066327197857</v>
      </c>
      <c r="O11478" s="43">
        <v>11.368113836884012</v>
      </c>
      <c r="P11478" s="298"/>
      <c r="Q11478" s="298"/>
      <c r="R11478" s="298">
        <v>1</v>
      </c>
    </row>
    <row r="11479" spans="1:18" ht="24">
      <c r="A11479" s="294">
        <v>686</v>
      </c>
      <c r="B11479" s="291" t="s">
        <v>20979</v>
      </c>
      <c r="C11479" s="295" t="s">
        <v>20980</v>
      </c>
      <c r="D11479" s="296">
        <v>19249.419999999998</v>
      </c>
      <c r="E11479" s="296">
        <v>12712.44</v>
      </c>
      <c r="F11479" s="296">
        <v>6233.77</v>
      </c>
      <c r="G11479" s="296">
        <v>303.20999999999998</v>
      </c>
      <c r="H11479" s="297">
        <v>182753.73</v>
      </c>
      <c r="I11479" s="297">
        <v>146193.06</v>
      </c>
      <c r="J11479" s="297">
        <v>33207.67</v>
      </c>
      <c r="K11479" s="297">
        <v>3353</v>
      </c>
      <c r="L11479" s="43">
        <v>9.4939863123148651</v>
      </c>
      <c r="M11479" s="43">
        <v>11.5</v>
      </c>
      <c r="N11479" s="43">
        <v>5.3270605107342739</v>
      </c>
      <c r="O11479" s="43">
        <v>11.058342402955049</v>
      </c>
      <c r="P11479" s="298"/>
      <c r="Q11479" s="298"/>
      <c r="R11479" s="298">
        <v>1</v>
      </c>
    </row>
    <row r="11480" spans="1:18" ht="24">
      <c r="A11480" s="294">
        <v>687</v>
      </c>
      <c r="B11480" s="291" t="s">
        <v>20981</v>
      </c>
      <c r="C11480" s="295" t="s">
        <v>20982</v>
      </c>
      <c r="D11480" s="296">
        <v>16302.31</v>
      </c>
      <c r="E11480" s="296">
        <v>3978.96</v>
      </c>
      <c r="F11480" s="296">
        <v>12207.05</v>
      </c>
      <c r="G11480" s="296">
        <v>116.3</v>
      </c>
      <c r="H11480" s="297">
        <v>112912.07</v>
      </c>
      <c r="I11480" s="297">
        <v>45758.04</v>
      </c>
      <c r="J11480" s="297">
        <v>65917.02</v>
      </c>
      <c r="K11480" s="297">
        <v>1237.01</v>
      </c>
      <c r="L11480" s="43">
        <v>6.9261393017308599</v>
      </c>
      <c r="M11480" s="43">
        <v>11.5</v>
      </c>
      <c r="N11480" s="43">
        <v>5.3999139841321213</v>
      </c>
      <c r="O11480" s="43">
        <v>10.636371453138436</v>
      </c>
      <c r="P11480" s="298"/>
      <c r="Q11480" s="298"/>
      <c r="R11480" s="298">
        <v>1</v>
      </c>
    </row>
    <row r="11481" spans="1:18" ht="12.75" customHeight="1">
      <c r="A11481" s="628" t="s">
        <v>20983</v>
      </c>
      <c r="B11481" s="629"/>
      <c r="C11481" s="629"/>
      <c r="D11481" s="629"/>
      <c r="E11481" s="629"/>
      <c r="F11481" s="629"/>
      <c r="G11481" s="629"/>
      <c r="H11481" s="629"/>
      <c r="I11481" s="629"/>
      <c r="J11481" s="629"/>
      <c r="K11481" s="629"/>
      <c r="L11481" s="629"/>
      <c r="M11481" s="629"/>
      <c r="N11481" s="629"/>
      <c r="O11481" s="629"/>
      <c r="P11481" s="629"/>
      <c r="Q11481" s="629"/>
      <c r="R11481" s="629"/>
    </row>
    <row r="11482" spans="1:18" ht="24">
      <c r="A11482" s="294">
        <v>688</v>
      </c>
      <c r="B11482" s="291" t="s">
        <v>20984</v>
      </c>
      <c r="C11482" s="295" t="s">
        <v>20985</v>
      </c>
      <c r="D11482" s="296">
        <v>374253.23</v>
      </c>
      <c r="E11482" s="296">
        <v>357339</v>
      </c>
      <c r="F11482" s="296">
        <v>9082.01</v>
      </c>
      <c r="G11482" s="296">
        <v>7832.22</v>
      </c>
      <c r="H11482" s="297">
        <v>4246523.47</v>
      </c>
      <c r="I11482" s="297">
        <v>4109554</v>
      </c>
      <c r="J11482" s="297">
        <v>48773.82</v>
      </c>
      <c r="K11482" s="297">
        <v>88195.65</v>
      </c>
      <c r="L11482" s="43">
        <v>11.346658170458541</v>
      </c>
      <c r="M11482" s="43">
        <v>11.500435161009573</v>
      </c>
      <c r="N11482" s="43">
        <v>5.3703772623020676</v>
      </c>
      <c r="O11482" s="43">
        <v>11.260619594444487</v>
      </c>
      <c r="P11482" s="298"/>
      <c r="Q11482" s="298"/>
      <c r="R11482" s="298">
        <v>2</v>
      </c>
    </row>
    <row r="11483" spans="1:18" ht="24">
      <c r="A11483" s="294">
        <v>689</v>
      </c>
      <c r="B11483" s="291" t="s">
        <v>20986</v>
      </c>
      <c r="C11483" s="295" t="s">
        <v>20987</v>
      </c>
      <c r="D11483" s="296">
        <v>414150.01</v>
      </c>
      <c r="E11483" s="296">
        <v>396002.85</v>
      </c>
      <c r="F11483" s="296">
        <v>9541.66</v>
      </c>
      <c r="G11483" s="296">
        <v>8605.5</v>
      </c>
      <c r="H11483" s="297">
        <v>4702527.6500000004</v>
      </c>
      <c r="I11483" s="297">
        <v>4554205.0999999996</v>
      </c>
      <c r="J11483" s="297">
        <v>51234.18</v>
      </c>
      <c r="K11483" s="297">
        <v>97088.37</v>
      </c>
      <c r="L11483" s="43">
        <v>11.354648162389276</v>
      </c>
      <c r="M11483" s="43">
        <v>11.500435161009573</v>
      </c>
      <c r="N11483" s="43">
        <v>5.3695247996679827</v>
      </c>
      <c r="O11483" s="43">
        <v>11.282130033118355</v>
      </c>
      <c r="P11483" s="298"/>
      <c r="Q11483" s="298"/>
      <c r="R11483" s="298">
        <v>2</v>
      </c>
    </row>
    <row r="11484" spans="1:18" ht="36">
      <c r="A11484" s="294">
        <v>690</v>
      </c>
      <c r="B11484" s="291" t="s">
        <v>20988</v>
      </c>
      <c r="C11484" s="295" t="s">
        <v>20989</v>
      </c>
      <c r="D11484" s="296">
        <v>177530.33</v>
      </c>
      <c r="E11484" s="296">
        <v>143693.94</v>
      </c>
      <c r="F11484" s="296">
        <v>29231.91</v>
      </c>
      <c r="G11484" s="296">
        <v>4604.4799999999996</v>
      </c>
      <c r="H11484" s="297">
        <v>1854137.34</v>
      </c>
      <c r="I11484" s="297">
        <v>1652542.84</v>
      </c>
      <c r="J11484" s="297">
        <v>153376.68</v>
      </c>
      <c r="K11484" s="297">
        <v>48217.82</v>
      </c>
      <c r="L11484" s="43">
        <v>10.444059558724417</v>
      </c>
      <c r="M11484" s="43">
        <v>11.500435161009573</v>
      </c>
      <c r="N11484" s="43">
        <v>5.2468921804972712</v>
      </c>
      <c r="O11484" s="43">
        <v>10.471936027521023</v>
      </c>
      <c r="P11484" s="298"/>
      <c r="Q11484" s="298"/>
      <c r="R11484" s="298">
        <v>2</v>
      </c>
    </row>
    <row r="11485" spans="1:18" ht="24">
      <c r="A11485" s="299">
        <v>691</v>
      </c>
      <c r="B11485" s="300" t="s">
        <v>20990</v>
      </c>
      <c r="C11485" s="301" t="s">
        <v>20991</v>
      </c>
      <c r="D11485" s="302">
        <v>120968.4</v>
      </c>
      <c r="E11485" s="302">
        <v>112958.19</v>
      </c>
      <c r="F11485" s="302">
        <v>5025.49</v>
      </c>
      <c r="G11485" s="302">
        <v>2984.72</v>
      </c>
      <c r="H11485" s="303">
        <v>1358476.68</v>
      </c>
      <c r="I11485" s="303">
        <v>1299068.3400000001</v>
      </c>
      <c r="J11485" s="303">
        <v>27068.68</v>
      </c>
      <c r="K11485" s="303">
        <v>32339.66</v>
      </c>
      <c r="L11485" s="611">
        <v>11.230012796730385</v>
      </c>
      <c r="M11485" s="611">
        <v>11.500435161009573</v>
      </c>
      <c r="N11485" s="611">
        <v>5.3862767610720548</v>
      </c>
      <c r="O11485" s="611">
        <v>10.835073306708837</v>
      </c>
      <c r="P11485" s="304"/>
      <c r="Q11485" s="304"/>
      <c r="R11485" s="304">
        <v>2</v>
      </c>
    </row>
    <row r="11486" spans="1:18" ht="12.75" customHeight="1">
      <c r="A11486" s="630" t="s">
        <v>20992</v>
      </c>
      <c r="B11486" s="631"/>
      <c r="C11486" s="631"/>
      <c r="D11486" s="631"/>
      <c r="E11486" s="631"/>
      <c r="F11486" s="631"/>
      <c r="G11486" s="631"/>
      <c r="H11486" s="631"/>
      <c r="I11486" s="631"/>
      <c r="J11486" s="631"/>
      <c r="K11486" s="631"/>
      <c r="L11486" s="631"/>
      <c r="M11486" s="631"/>
      <c r="N11486" s="631"/>
      <c r="O11486" s="631"/>
      <c r="P11486" s="631"/>
      <c r="Q11486" s="631"/>
      <c r="R11486" s="631"/>
    </row>
    <row r="11487" spans="1:18" ht="12.75" customHeight="1">
      <c r="A11487" s="628" t="s">
        <v>20993</v>
      </c>
      <c r="B11487" s="629"/>
      <c r="C11487" s="629"/>
      <c r="D11487" s="629"/>
      <c r="E11487" s="629"/>
      <c r="F11487" s="629"/>
      <c r="G11487" s="629"/>
      <c r="H11487" s="629"/>
      <c r="I11487" s="629"/>
      <c r="J11487" s="629"/>
      <c r="K11487" s="629"/>
      <c r="L11487" s="629"/>
      <c r="M11487" s="629"/>
      <c r="N11487" s="629"/>
      <c r="O11487" s="629"/>
      <c r="P11487" s="629"/>
      <c r="Q11487" s="629"/>
      <c r="R11487" s="629"/>
    </row>
    <row r="11488" spans="1:18" ht="12.75" customHeight="1">
      <c r="A11488" s="628" t="s">
        <v>2739</v>
      </c>
      <c r="B11488" s="629"/>
      <c r="C11488" s="629"/>
      <c r="D11488" s="629"/>
      <c r="E11488" s="629"/>
      <c r="F11488" s="629"/>
      <c r="G11488" s="629"/>
      <c r="H11488" s="629"/>
      <c r="I11488" s="629"/>
      <c r="J11488" s="629"/>
      <c r="K11488" s="629"/>
      <c r="L11488" s="629"/>
      <c r="M11488" s="629"/>
      <c r="N11488" s="629"/>
      <c r="O11488" s="629"/>
      <c r="P11488" s="629"/>
      <c r="Q11488" s="629"/>
      <c r="R11488" s="629"/>
    </row>
    <row r="11489" spans="1:18" ht="24">
      <c r="A11489" s="294">
        <v>692</v>
      </c>
      <c r="B11489" s="291" t="s">
        <v>20994</v>
      </c>
      <c r="C11489" s="295" t="s">
        <v>20995</v>
      </c>
      <c r="D11489" s="296">
        <v>9368.49</v>
      </c>
      <c r="E11489" s="296">
        <v>1956.48</v>
      </c>
      <c r="F11489" s="296">
        <v>3487.45</v>
      </c>
      <c r="G11489" s="296">
        <v>3924.56</v>
      </c>
      <c r="H11489" s="297">
        <v>57120.480000000003</v>
      </c>
      <c r="I11489" s="297">
        <v>22500.48</v>
      </c>
      <c r="J11489" s="297">
        <v>18918.009999999998</v>
      </c>
      <c r="K11489" s="297">
        <v>15701.99</v>
      </c>
      <c r="L11489" s="43">
        <v>6.0970850158349963</v>
      </c>
      <c r="M11489" s="43">
        <v>11.500490677134446</v>
      </c>
      <c r="N11489" s="43">
        <v>5.4245967684124503</v>
      </c>
      <c r="O11489" s="43">
        <v>4.0009555211284829</v>
      </c>
      <c r="P11489" s="298"/>
      <c r="Q11489" s="298"/>
      <c r="R11489" s="298">
        <v>1</v>
      </c>
    </row>
    <row r="11490" spans="1:18" ht="24">
      <c r="A11490" s="294">
        <v>693</v>
      </c>
      <c r="B11490" s="291" t="s">
        <v>20996</v>
      </c>
      <c r="C11490" s="295" t="s">
        <v>20997</v>
      </c>
      <c r="D11490" s="296">
        <v>10417.799999999999</v>
      </c>
      <c r="E11490" s="296">
        <v>2608.64</v>
      </c>
      <c r="F11490" s="296">
        <v>4213.3</v>
      </c>
      <c r="G11490" s="296">
        <v>3595.86</v>
      </c>
      <c r="H11490" s="297">
        <v>66740.509999999995</v>
      </c>
      <c r="I11490" s="297">
        <v>30000.639999999999</v>
      </c>
      <c r="J11490" s="297">
        <v>22834.94</v>
      </c>
      <c r="K11490" s="297">
        <v>13904.93</v>
      </c>
      <c r="L11490" s="43">
        <v>6.4063919445564323</v>
      </c>
      <c r="M11490" s="43">
        <v>11.500490677134446</v>
      </c>
      <c r="N11490" s="43">
        <v>5.419728004177248</v>
      </c>
      <c r="O11490" s="43">
        <v>3.8669275222060926</v>
      </c>
      <c r="P11490" s="298"/>
      <c r="Q11490" s="298"/>
      <c r="R11490" s="298">
        <v>1</v>
      </c>
    </row>
    <row r="11491" spans="1:18" ht="24">
      <c r="A11491" s="294">
        <v>694</v>
      </c>
      <c r="B11491" s="291" t="s">
        <v>20998</v>
      </c>
      <c r="C11491" s="295" t="s">
        <v>20999</v>
      </c>
      <c r="D11491" s="296">
        <v>16358.41</v>
      </c>
      <c r="E11491" s="296">
        <v>3688.78</v>
      </c>
      <c r="F11491" s="296">
        <v>6004.58</v>
      </c>
      <c r="G11491" s="296">
        <v>6665.05</v>
      </c>
      <c r="H11491" s="297">
        <v>100457.63</v>
      </c>
      <c r="I11491" s="297">
        <v>42422.78</v>
      </c>
      <c r="J11491" s="297">
        <v>32544.99</v>
      </c>
      <c r="K11491" s="297">
        <v>25489.86</v>
      </c>
      <c r="L11491" s="43">
        <v>6.1410387684377641</v>
      </c>
      <c r="M11491" s="43">
        <v>11.500490677134444</v>
      </c>
      <c r="N11491" s="43">
        <v>5.4200277121797029</v>
      </c>
      <c r="O11491" s="43">
        <v>3.8244064185564999</v>
      </c>
      <c r="P11491" s="298"/>
      <c r="Q11491" s="298"/>
      <c r="R11491" s="298">
        <v>1</v>
      </c>
    </row>
    <row r="11492" spans="1:18" ht="24">
      <c r="A11492" s="294">
        <v>695</v>
      </c>
      <c r="B11492" s="291" t="s">
        <v>21000</v>
      </c>
      <c r="C11492" s="295" t="s">
        <v>21001</v>
      </c>
      <c r="D11492" s="296">
        <v>10327.959999999999</v>
      </c>
      <c r="E11492" s="296">
        <v>1222.8</v>
      </c>
      <c r="F11492" s="296">
        <v>3789.76</v>
      </c>
      <c r="G11492" s="296">
        <v>5315.4</v>
      </c>
      <c r="H11492" s="297">
        <v>54695.26</v>
      </c>
      <c r="I11492" s="297">
        <v>14062.8</v>
      </c>
      <c r="J11492" s="297">
        <v>20522.150000000001</v>
      </c>
      <c r="K11492" s="297">
        <v>20110.310000000001</v>
      </c>
      <c r="L11492" s="43">
        <v>5.2958435160477002</v>
      </c>
      <c r="M11492" s="43">
        <v>11.500490677134446</v>
      </c>
      <c r="N11492" s="43">
        <v>5.4151582158236931</v>
      </c>
      <c r="O11492" s="43">
        <v>3.7834048237197582</v>
      </c>
      <c r="P11492" s="298"/>
      <c r="Q11492" s="298"/>
      <c r="R11492" s="298">
        <v>1</v>
      </c>
    </row>
    <row r="11493" spans="1:18" ht="24">
      <c r="A11493" s="299">
        <v>696</v>
      </c>
      <c r="B11493" s="300" t="s">
        <v>21002</v>
      </c>
      <c r="C11493" s="301" t="s">
        <v>21003</v>
      </c>
      <c r="D11493" s="302">
        <v>8207.86</v>
      </c>
      <c r="E11493" s="302">
        <v>2975.48</v>
      </c>
      <c r="F11493" s="302">
        <v>2309.5700000000002</v>
      </c>
      <c r="G11493" s="302">
        <v>2922.81</v>
      </c>
      <c r="H11493" s="303">
        <v>58072.43</v>
      </c>
      <c r="I11493" s="303">
        <v>34219.480000000003</v>
      </c>
      <c r="J11493" s="303">
        <v>12514.19</v>
      </c>
      <c r="K11493" s="303">
        <v>11338.76</v>
      </c>
      <c r="L11493" s="611">
        <v>7.0752217995920974</v>
      </c>
      <c r="M11493" s="611">
        <v>11.500490677134447</v>
      </c>
      <c r="N11493" s="611">
        <v>5.4184068895941664</v>
      </c>
      <c r="O11493" s="611">
        <v>3.8794037244980002</v>
      </c>
      <c r="P11493" s="304"/>
      <c r="Q11493" s="304"/>
      <c r="R11493" s="304">
        <v>1</v>
      </c>
    </row>
    <row r="11494" spans="1:18" ht="12.75" customHeight="1">
      <c r="A11494" s="630" t="s">
        <v>21004</v>
      </c>
      <c r="B11494" s="631"/>
      <c r="C11494" s="631"/>
      <c r="D11494" s="631"/>
      <c r="E11494" s="631"/>
      <c r="F11494" s="631"/>
      <c r="G11494" s="631"/>
      <c r="H11494" s="631"/>
      <c r="I11494" s="631"/>
      <c r="J11494" s="631"/>
      <c r="K11494" s="631"/>
      <c r="L11494" s="631"/>
      <c r="M11494" s="631"/>
      <c r="N11494" s="631"/>
      <c r="O11494" s="631"/>
      <c r="P11494" s="631"/>
      <c r="Q11494" s="631"/>
      <c r="R11494" s="631"/>
    </row>
    <row r="11495" spans="1:18" ht="12.75" customHeight="1">
      <c r="A11495" s="628" t="s">
        <v>21005</v>
      </c>
      <c r="B11495" s="629"/>
      <c r="C11495" s="629"/>
      <c r="D11495" s="629"/>
      <c r="E11495" s="629"/>
      <c r="F11495" s="629"/>
      <c r="G11495" s="629"/>
      <c r="H11495" s="629"/>
      <c r="I11495" s="629"/>
      <c r="J11495" s="629"/>
      <c r="K11495" s="629"/>
      <c r="L11495" s="629"/>
      <c r="M11495" s="629"/>
      <c r="N11495" s="629"/>
      <c r="O11495" s="629"/>
      <c r="P11495" s="629"/>
      <c r="Q11495" s="629"/>
      <c r="R11495" s="629"/>
    </row>
    <row r="11496" spans="1:18" ht="24">
      <c r="A11496" s="294">
        <v>697</v>
      </c>
      <c r="B11496" s="291" t="s">
        <v>21006</v>
      </c>
      <c r="C11496" s="295" t="s">
        <v>21007</v>
      </c>
      <c r="D11496" s="296">
        <v>282020.98</v>
      </c>
      <c r="E11496" s="296">
        <v>253526.85</v>
      </c>
      <c r="F11496" s="296">
        <v>12147.14</v>
      </c>
      <c r="G11496" s="296">
        <v>16346.99</v>
      </c>
      <c r="H11496" s="297">
        <v>3082006.18</v>
      </c>
      <c r="I11496" s="297">
        <v>2915669.1</v>
      </c>
      <c r="J11496" s="297">
        <v>63933.37</v>
      </c>
      <c r="K11496" s="297">
        <v>102403.71</v>
      </c>
      <c r="L11496" s="43">
        <v>10.928286895535219</v>
      </c>
      <c r="M11496" s="43">
        <v>11.500435161009573</v>
      </c>
      <c r="N11496" s="43">
        <v>5.2632446814641147</v>
      </c>
      <c r="O11496" s="43">
        <v>6.2643771116272786</v>
      </c>
      <c r="P11496" s="298"/>
      <c r="Q11496" s="298"/>
      <c r="R11496" s="298">
        <v>1</v>
      </c>
    </row>
    <row r="11497" spans="1:18" ht="24">
      <c r="A11497" s="294">
        <v>698</v>
      </c>
      <c r="B11497" s="291" t="s">
        <v>21008</v>
      </c>
      <c r="C11497" s="295" t="s">
        <v>21009</v>
      </c>
      <c r="D11497" s="296">
        <v>419801.45</v>
      </c>
      <c r="E11497" s="296">
        <v>312838.23</v>
      </c>
      <c r="F11497" s="296">
        <v>87531.06</v>
      </c>
      <c r="G11497" s="296">
        <v>19432.16</v>
      </c>
      <c r="H11497" s="297">
        <v>4185400.64</v>
      </c>
      <c r="I11497" s="297">
        <v>3597775.78</v>
      </c>
      <c r="J11497" s="297">
        <v>454151.92</v>
      </c>
      <c r="K11497" s="297">
        <v>133472.94</v>
      </c>
      <c r="L11497" s="43">
        <v>9.969952795541797</v>
      </c>
      <c r="M11497" s="43">
        <v>11.500435161009573</v>
      </c>
      <c r="N11497" s="43">
        <v>5.1884658999902431</v>
      </c>
      <c r="O11497" s="43">
        <v>6.8686620530090323</v>
      </c>
      <c r="P11497" s="298"/>
      <c r="Q11497" s="298"/>
      <c r="R11497" s="298">
        <v>1</v>
      </c>
    </row>
    <row r="11498" spans="1:18" ht="12.75" customHeight="1">
      <c r="A11498" s="628" t="s">
        <v>21010</v>
      </c>
      <c r="B11498" s="629"/>
      <c r="C11498" s="629"/>
      <c r="D11498" s="629"/>
      <c r="E11498" s="629"/>
      <c r="F11498" s="629"/>
      <c r="G11498" s="629"/>
      <c r="H11498" s="629"/>
      <c r="I11498" s="629"/>
      <c r="J11498" s="629"/>
      <c r="K11498" s="629"/>
      <c r="L11498" s="629"/>
      <c r="M11498" s="629"/>
      <c r="N11498" s="629"/>
      <c r="O11498" s="629"/>
      <c r="P11498" s="629"/>
      <c r="Q11498" s="629"/>
      <c r="R11498" s="629"/>
    </row>
    <row r="11499" spans="1:18" ht="24">
      <c r="A11499" s="294">
        <v>699</v>
      </c>
      <c r="B11499" s="291" t="s">
        <v>21011</v>
      </c>
      <c r="C11499" s="295" t="s">
        <v>21012</v>
      </c>
      <c r="D11499" s="296">
        <v>32854.54</v>
      </c>
      <c r="E11499" s="296">
        <v>23165.64</v>
      </c>
      <c r="F11499" s="296">
        <v>3492.11</v>
      </c>
      <c r="G11499" s="296">
        <v>6196.79</v>
      </c>
      <c r="H11499" s="297">
        <v>314650.73</v>
      </c>
      <c r="I11499" s="297">
        <v>266404.86</v>
      </c>
      <c r="J11499" s="297">
        <v>18694.240000000002</v>
      </c>
      <c r="K11499" s="297">
        <v>29551.63</v>
      </c>
      <c r="L11499" s="43">
        <v>9.577085236926159</v>
      </c>
      <c r="M11499" s="43">
        <v>11.5</v>
      </c>
      <c r="N11499" s="43">
        <v>5.3532792495081774</v>
      </c>
      <c r="O11499" s="43">
        <v>4.7688609747950155</v>
      </c>
      <c r="P11499" s="298"/>
      <c r="Q11499" s="298"/>
      <c r="R11499" s="298">
        <v>2</v>
      </c>
    </row>
    <row r="11500" spans="1:18" ht="24">
      <c r="A11500" s="294">
        <v>700</v>
      </c>
      <c r="B11500" s="291" t="s">
        <v>21013</v>
      </c>
      <c r="C11500" s="295" t="s">
        <v>21014</v>
      </c>
      <c r="D11500" s="296">
        <v>18251.91</v>
      </c>
      <c r="E11500" s="296">
        <v>12476.4</v>
      </c>
      <c r="F11500" s="296">
        <v>1524.12</v>
      </c>
      <c r="G11500" s="296">
        <v>4251.3900000000003</v>
      </c>
      <c r="H11500" s="297">
        <v>181866.58</v>
      </c>
      <c r="I11500" s="297">
        <v>143478.6</v>
      </c>
      <c r="J11500" s="297">
        <v>7931.96</v>
      </c>
      <c r="K11500" s="297">
        <v>30456.02</v>
      </c>
      <c r="L11500" s="43">
        <v>9.9642492210404274</v>
      </c>
      <c r="M11500" s="43">
        <v>11.5</v>
      </c>
      <c r="N11500" s="43">
        <v>5.2042883762433405</v>
      </c>
      <c r="O11500" s="43">
        <v>7.1637793756865396</v>
      </c>
      <c r="P11500" s="298"/>
      <c r="Q11500" s="298"/>
      <c r="R11500" s="298">
        <v>2</v>
      </c>
    </row>
    <row r="11501" spans="1:18" ht="24">
      <c r="A11501" s="294">
        <v>701</v>
      </c>
      <c r="B11501" s="291" t="s">
        <v>21015</v>
      </c>
      <c r="C11501" s="295" t="s">
        <v>21016</v>
      </c>
      <c r="D11501" s="296">
        <v>2941.99</v>
      </c>
      <c r="E11501" s="296">
        <v>1764.68</v>
      </c>
      <c r="F11501" s="296">
        <v>751.75</v>
      </c>
      <c r="G11501" s="296">
        <v>425.56</v>
      </c>
      <c r="H11501" s="297">
        <v>26988.97</v>
      </c>
      <c r="I11501" s="297">
        <v>20293.82</v>
      </c>
      <c r="J11501" s="297">
        <v>3966.53</v>
      </c>
      <c r="K11501" s="297">
        <v>2728.62</v>
      </c>
      <c r="L11501" s="43">
        <v>9.1737123511636689</v>
      </c>
      <c r="M11501" s="43">
        <v>11.5</v>
      </c>
      <c r="N11501" s="43">
        <v>5.2763950781509816</v>
      </c>
      <c r="O11501" s="43">
        <v>6.4118338189679482</v>
      </c>
      <c r="P11501" s="298"/>
      <c r="Q11501" s="298"/>
      <c r="R11501" s="298">
        <v>2</v>
      </c>
    </row>
    <row r="11502" spans="1:18" ht="24">
      <c r="A11502" s="294">
        <v>702</v>
      </c>
      <c r="B11502" s="291" t="s">
        <v>21017</v>
      </c>
      <c r="C11502" s="295" t="s">
        <v>21018</v>
      </c>
      <c r="D11502" s="296">
        <v>1238957.96</v>
      </c>
      <c r="E11502" s="296">
        <v>945764.88</v>
      </c>
      <c r="F11502" s="296">
        <v>139214.72</v>
      </c>
      <c r="G11502" s="296">
        <v>153978.35999999999</v>
      </c>
      <c r="H11502" s="297">
        <v>12756110.210000001</v>
      </c>
      <c r="I11502" s="297">
        <v>10876707.68</v>
      </c>
      <c r="J11502" s="297">
        <v>728744.36</v>
      </c>
      <c r="K11502" s="297">
        <v>1150658.17</v>
      </c>
      <c r="L11502" s="43">
        <v>10.295837810348305</v>
      </c>
      <c r="M11502" s="43">
        <v>11.500435161009573</v>
      </c>
      <c r="N11502" s="43">
        <v>5.2346789190108627</v>
      </c>
      <c r="O11502" s="43">
        <v>7.4728563805978974</v>
      </c>
      <c r="P11502" s="298"/>
      <c r="Q11502" s="298"/>
      <c r="R11502" s="298">
        <v>2</v>
      </c>
    </row>
    <row r="11503" spans="1:18" ht="24">
      <c r="A11503" s="294">
        <v>703</v>
      </c>
      <c r="B11503" s="291" t="s">
        <v>21019</v>
      </c>
      <c r="C11503" s="295" t="s">
        <v>21020</v>
      </c>
      <c r="D11503" s="296">
        <v>403310.07</v>
      </c>
      <c r="E11503" s="296">
        <v>363520.62</v>
      </c>
      <c r="F11503" s="296">
        <v>26679.4</v>
      </c>
      <c r="G11503" s="296">
        <v>13110.05</v>
      </c>
      <c r="H11503" s="297">
        <v>4440098.3099999996</v>
      </c>
      <c r="I11503" s="297">
        <v>4180645.32</v>
      </c>
      <c r="J11503" s="297">
        <v>139818.04999999999</v>
      </c>
      <c r="K11503" s="297">
        <v>119634.94</v>
      </c>
      <c r="L11503" s="43">
        <v>11.00914318851498</v>
      </c>
      <c r="M11503" s="43">
        <v>11.500435161009573</v>
      </c>
      <c r="N11503" s="43">
        <v>5.2406744529487161</v>
      </c>
      <c r="O11503" s="43">
        <v>9.1254373553113837</v>
      </c>
      <c r="P11503" s="298"/>
      <c r="Q11503" s="298"/>
      <c r="R11503" s="298">
        <v>2</v>
      </c>
    </row>
    <row r="11504" spans="1:18" ht="24">
      <c r="A11504" s="294">
        <v>704</v>
      </c>
      <c r="B11504" s="291" t="s">
        <v>21021</v>
      </c>
      <c r="C11504" s="295" t="s">
        <v>21022</v>
      </c>
      <c r="D11504" s="296">
        <v>12306.89</v>
      </c>
      <c r="E11504" s="296">
        <v>5990.92</v>
      </c>
      <c r="F11504" s="296">
        <v>3626.97</v>
      </c>
      <c r="G11504" s="296">
        <v>2689</v>
      </c>
      <c r="H11504" s="297">
        <v>100547.98</v>
      </c>
      <c r="I11504" s="297">
        <v>68895.58</v>
      </c>
      <c r="J11504" s="297">
        <v>19462.009999999998</v>
      </c>
      <c r="K11504" s="297">
        <v>12190.39</v>
      </c>
      <c r="L11504" s="43">
        <v>8.1700559605229266</v>
      </c>
      <c r="M11504" s="43">
        <v>11.5</v>
      </c>
      <c r="N11504" s="43">
        <v>5.3659142479810971</v>
      </c>
      <c r="O11504" s="43">
        <v>4.5334287839345482</v>
      </c>
      <c r="P11504" s="298"/>
      <c r="Q11504" s="298"/>
      <c r="R11504" s="298">
        <v>2</v>
      </c>
    </row>
    <row r="11505" spans="1:18" ht="24">
      <c r="A11505" s="294">
        <v>705</v>
      </c>
      <c r="B11505" s="291" t="s">
        <v>21023</v>
      </c>
      <c r="C11505" s="295" t="s">
        <v>21024</v>
      </c>
      <c r="D11505" s="296">
        <v>6743.85</v>
      </c>
      <c r="E11505" s="296">
        <v>3754.16</v>
      </c>
      <c r="F11505" s="296">
        <v>1399.47</v>
      </c>
      <c r="G11505" s="296">
        <v>1590.22</v>
      </c>
      <c r="H11505" s="297">
        <v>57845.32</v>
      </c>
      <c r="I11505" s="297">
        <v>43172.84</v>
      </c>
      <c r="J11505" s="297">
        <v>7487.27</v>
      </c>
      <c r="K11505" s="297">
        <v>7185.21</v>
      </c>
      <c r="L11505" s="43">
        <v>8.5774920853814951</v>
      </c>
      <c r="M11505" s="43">
        <v>11.5</v>
      </c>
      <c r="N11505" s="43">
        <v>5.3500753856817225</v>
      </c>
      <c r="O11505" s="43">
        <v>4.5183748160631865</v>
      </c>
      <c r="P11505" s="298"/>
      <c r="Q11505" s="298"/>
      <c r="R11505" s="298">
        <v>2</v>
      </c>
    </row>
    <row r="11506" spans="1:18" ht="12.75" customHeight="1">
      <c r="A11506" s="628" t="s">
        <v>21025</v>
      </c>
      <c r="B11506" s="629"/>
      <c r="C11506" s="629"/>
      <c r="D11506" s="629"/>
      <c r="E11506" s="629"/>
      <c r="F11506" s="629"/>
      <c r="G11506" s="629"/>
      <c r="H11506" s="629"/>
      <c r="I11506" s="629"/>
      <c r="J11506" s="629"/>
      <c r="K11506" s="629"/>
      <c r="L11506" s="629"/>
      <c r="M11506" s="629"/>
      <c r="N11506" s="629"/>
      <c r="O11506" s="629"/>
      <c r="P11506" s="629"/>
      <c r="Q11506" s="629"/>
      <c r="R11506" s="629"/>
    </row>
    <row r="11507" spans="1:18" ht="24">
      <c r="A11507" s="294">
        <v>706</v>
      </c>
      <c r="B11507" s="291" t="s">
        <v>21026</v>
      </c>
      <c r="C11507" s="295" t="s">
        <v>21027</v>
      </c>
      <c r="D11507" s="296">
        <v>281037.23</v>
      </c>
      <c r="E11507" s="296">
        <v>236545.8</v>
      </c>
      <c r="F11507" s="296">
        <v>20019.95</v>
      </c>
      <c r="G11507" s="296">
        <v>24471.48</v>
      </c>
      <c r="H11507" s="297">
        <v>2964223.38</v>
      </c>
      <c r="I11507" s="297">
        <v>2720276.7</v>
      </c>
      <c r="J11507" s="297">
        <v>106530.78</v>
      </c>
      <c r="K11507" s="297">
        <v>137415.9</v>
      </c>
      <c r="L11507" s="43">
        <v>10.547440209256262</v>
      </c>
      <c r="M11507" s="43">
        <v>11.500000000000002</v>
      </c>
      <c r="N11507" s="43">
        <v>5.3212310720056744</v>
      </c>
      <c r="O11507" s="43">
        <v>5.6153489694942849</v>
      </c>
      <c r="P11507" s="298"/>
      <c r="Q11507" s="298"/>
      <c r="R11507" s="298">
        <v>3</v>
      </c>
    </row>
    <row r="11508" spans="1:18" ht="24">
      <c r="A11508" s="294">
        <v>707</v>
      </c>
      <c r="B11508" s="291" t="s">
        <v>21028</v>
      </c>
      <c r="C11508" s="295" t="s">
        <v>21029</v>
      </c>
      <c r="D11508" s="296">
        <v>7193.58</v>
      </c>
      <c r="E11508" s="296">
        <v>2236.7600000000002</v>
      </c>
      <c r="F11508" s="296">
        <v>1420.78</v>
      </c>
      <c r="G11508" s="296">
        <v>3536.04</v>
      </c>
      <c r="H11508" s="297">
        <v>46949.52</v>
      </c>
      <c r="I11508" s="297">
        <v>25722.74</v>
      </c>
      <c r="J11508" s="297">
        <v>7634.17</v>
      </c>
      <c r="K11508" s="297">
        <v>13592.61</v>
      </c>
      <c r="L11508" s="43">
        <v>6.5265862060337128</v>
      </c>
      <c r="M11508" s="43">
        <v>11.5</v>
      </c>
      <c r="N11508" s="43">
        <v>5.3732245667872576</v>
      </c>
      <c r="O11508" s="43">
        <v>3.844020429633149</v>
      </c>
      <c r="P11508" s="298"/>
      <c r="Q11508" s="298"/>
      <c r="R11508" s="298">
        <v>3</v>
      </c>
    </row>
    <row r="11509" spans="1:18" ht="24">
      <c r="A11509" s="299">
        <v>708</v>
      </c>
      <c r="B11509" s="300" t="s">
        <v>21030</v>
      </c>
      <c r="C11509" s="301" t="s">
        <v>21031</v>
      </c>
      <c r="D11509" s="302">
        <v>4433.1499999999996</v>
      </c>
      <c r="E11509" s="302">
        <v>2585.1999999999998</v>
      </c>
      <c r="F11509" s="302">
        <v>1661.16</v>
      </c>
      <c r="G11509" s="302">
        <v>186.79</v>
      </c>
      <c r="H11509" s="303">
        <v>40045.18</v>
      </c>
      <c r="I11509" s="303">
        <v>29729.8</v>
      </c>
      <c r="J11509" s="303">
        <v>9082.1</v>
      </c>
      <c r="K11509" s="303">
        <v>1233.28</v>
      </c>
      <c r="L11509" s="611">
        <v>9.0331209185342267</v>
      </c>
      <c r="M11509" s="611">
        <v>11.5</v>
      </c>
      <c r="N11509" s="611">
        <v>5.4673240386236124</v>
      </c>
      <c r="O11509" s="611">
        <v>6.6024947802344878</v>
      </c>
      <c r="P11509" s="304"/>
      <c r="Q11509" s="304"/>
      <c r="R11509" s="304">
        <v>3</v>
      </c>
    </row>
    <row r="11510" spans="1:18" ht="12.75" customHeight="1">
      <c r="A11510" s="630" t="s">
        <v>21032</v>
      </c>
      <c r="B11510" s="631"/>
      <c r="C11510" s="631"/>
      <c r="D11510" s="631"/>
      <c r="E11510" s="631"/>
      <c r="F11510" s="631"/>
      <c r="G11510" s="631"/>
      <c r="H11510" s="631"/>
      <c r="I11510" s="631"/>
      <c r="J11510" s="631"/>
      <c r="K11510" s="631"/>
      <c r="L11510" s="631"/>
      <c r="M11510" s="631"/>
      <c r="N11510" s="631"/>
      <c r="O11510" s="631"/>
      <c r="P11510" s="631"/>
      <c r="Q11510" s="631"/>
      <c r="R11510" s="631"/>
    </row>
    <row r="11511" spans="1:18" ht="12.75" customHeight="1">
      <c r="A11511" s="628" t="s">
        <v>21033</v>
      </c>
      <c r="B11511" s="629"/>
      <c r="C11511" s="629"/>
      <c r="D11511" s="629"/>
      <c r="E11511" s="629"/>
      <c r="F11511" s="629"/>
      <c r="G11511" s="629"/>
      <c r="H11511" s="629"/>
      <c r="I11511" s="629"/>
      <c r="J11511" s="629"/>
      <c r="K11511" s="629"/>
      <c r="L11511" s="629"/>
      <c r="M11511" s="629"/>
      <c r="N11511" s="629"/>
      <c r="O11511" s="629"/>
      <c r="P11511" s="629"/>
      <c r="Q11511" s="629"/>
      <c r="R11511" s="629"/>
    </row>
    <row r="11512" spans="1:18" ht="24">
      <c r="A11512" s="294">
        <v>709</v>
      </c>
      <c r="B11512" s="291" t="s">
        <v>21034</v>
      </c>
      <c r="C11512" s="295" t="s">
        <v>21035</v>
      </c>
      <c r="D11512" s="296">
        <v>1571.61</v>
      </c>
      <c r="E11512" s="296">
        <v>1415.2</v>
      </c>
      <c r="F11512" s="296">
        <v>127.03</v>
      </c>
      <c r="G11512" s="296">
        <v>29.38</v>
      </c>
      <c r="H11512" s="297">
        <v>17303.04</v>
      </c>
      <c r="I11512" s="297">
        <v>16274.8</v>
      </c>
      <c r="J11512" s="297">
        <v>695.16</v>
      </c>
      <c r="K11512" s="297">
        <v>333.08</v>
      </c>
      <c r="L11512" s="43">
        <v>11.009754328363908</v>
      </c>
      <c r="M11512" s="43">
        <v>11.5</v>
      </c>
      <c r="N11512" s="43">
        <v>5.4724080925765568</v>
      </c>
      <c r="O11512" s="43">
        <v>11.336963921034718</v>
      </c>
      <c r="P11512" s="298"/>
      <c r="Q11512" s="298"/>
      <c r="R11512" s="298">
        <v>1</v>
      </c>
    </row>
    <row r="11513" spans="1:18" ht="24">
      <c r="A11513" s="294">
        <v>710</v>
      </c>
      <c r="B11513" s="291" t="s">
        <v>21036</v>
      </c>
      <c r="C11513" s="295" t="s">
        <v>21037</v>
      </c>
      <c r="D11513" s="296">
        <v>1339.73</v>
      </c>
      <c r="E11513" s="296">
        <v>1200.8</v>
      </c>
      <c r="F11513" s="296">
        <v>114.91</v>
      </c>
      <c r="G11513" s="296">
        <v>24.02</v>
      </c>
      <c r="H11513" s="297">
        <v>14715.05</v>
      </c>
      <c r="I11513" s="297">
        <v>13809.18</v>
      </c>
      <c r="J11513" s="297">
        <v>629.64</v>
      </c>
      <c r="K11513" s="297">
        <v>276.23</v>
      </c>
      <c r="L11513" s="43">
        <v>10.983593709180207</v>
      </c>
      <c r="M11513" s="43">
        <v>11.499983344437043</v>
      </c>
      <c r="N11513" s="43">
        <v>5.4794186754851619</v>
      </c>
      <c r="O11513" s="43">
        <v>11.500000000000002</v>
      </c>
      <c r="P11513" s="298"/>
      <c r="Q11513" s="298"/>
      <c r="R11513" s="298">
        <v>1</v>
      </c>
    </row>
    <row r="11514" spans="1:18" ht="24">
      <c r="A11514" s="294">
        <v>711</v>
      </c>
      <c r="B11514" s="291" t="s">
        <v>21038</v>
      </c>
      <c r="C11514" s="295" t="s">
        <v>21039</v>
      </c>
      <c r="D11514" s="296">
        <v>796.38</v>
      </c>
      <c r="E11514" s="296">
        <v>715.19</v>
      </c>
      <c r="F11514" s="296">
        <v>65.87</v>
      </c>
      <c r="G11514" s="296">
        <v>15.32</v>
      </c>
      <c r="H11514" s="297">
        <v>8756.49</v>
      </c>
      <c r="I11514" s="297">
        <v>8224.69</v>
      </c>
      <c r="J11514" s="297">
        <v>360.1</v>
      </c>
      <c r="K11514" s="297">
        <v>171.7</v>
      </c>
      <c r="L11514" s="43">
        <v>10.995366533564379</v>
      </c>
      <c r="M11514" s="43">
        <v>11.500006991149204</v>
      </c>
      <c r="N11514" s="43">
        <v>5.4668286017914074</v>
      </c>
      <c r="O11514" s="43">
        <v>11.207571801566578</v>
      </c>
      <c r="P11514" s="298"/>
      <c r="Q11514" s="298"/>
      <c r="R11514" s="298">
        <v>1</v>
      </c>
    </row>
    <row r="11515" spans="1:18" ht="24">
      <c r="A11515" s="294">
        <v>712</v>
      </c>
      <c r="B11515" s="291" t="s">
        <v>21040</v>
      </c>
      <c r="C11515" s="295" t="s">
        <v>21041</v>
      </c>
      <c r="D11515" s="296">
        <v>723.63</v>
      </c>
      <c r="E11515" s="296">
        <v>644.16</v>
      </c>
      <c r="F11515" s="296">
        <v>66.59</v>
      </c>
      <c r="G11515" s="296">
        <v>12.88</v>
      </c>
      <c r="H11515" s="297">
        <v>7920.21</v>
      </c>
      <c r="I11515" s="297">
        <v>7407.84</v>
      </c>
      <c r="J11515" s="297">
        <v>364.25</v>
      </c>
      <c r="K11515" s="297">
        <v>148.12</v>
      </c>
      <c r="L11515" s="43">
        <v>10.94511007006343</v>
      </c>
      <c r="M11515" s="43">
        <v>11.5</v>
      </c>
      <c r="N11515" s="43">
        <v>5.4700405466286224</v>
      </c>
      <c r="O11515" s="43">
        <v>11.5</v>
      </c>
      <c r="P11515" s="298"/>
      <c r="Q11515" s="298"/>
      <c r="R11515" s="298">
        <v>1</v>
      </c>
    </row>
    <row r="11516" spans="1:18" ht="24">
      <c r="A11516" s="294">
        <v>713</v>
      </c>
      <c r="B11516" s="291" t="s">
        <v>21042</v>
      </c>
      <c r="C11516" s="295" t="s">
        <v>21043</v>
      </c>
      <c r="D11516" s="296">
        <v>381.48</v>
      </c>
      <c r="E11516" s="296">
        <v>342.82</v>
      </c>
      <c r="F11516" s="296">
        <v>26.98</v>
      </c>
      <c r="G11516" s="296">
        <v>11.68</v>
      </c>
      <c r="H11516" s="297">
        <v>4186.8100000000004</v>
      </c>
      <c r="I11516" s="297">
        <v>3942.43</v>
      </c>
      <c r="J11516" s="297">
        <v>147.85</v>
      </c>
      <c r="K11516" s="297">
        <v>96.53</v>
      </c>
      <c r="L11516" s="43">
        <v>10.975175631750027</v>
      </c>
      <c r="M11516" s="43">
        <v>11.5</v>
      </c>
      <c r="N11516" s="43">
        <v>5.4799851742031134</v>
      </c>
      <c r="O11516" s="43">
        <v>8.2645547945205475</v>
      </c>
      <c r="P11516" s="298"/>
      <c r="Q11516" s="298"/>
      <c r="R11516" s="298">
        <v>1</v>
      </c>
    </row>
    <row r="11517" spans="1:18" ht="24">
      <c r="A11517" s="294">
        <v>714</v>
      </c>
      <c r="B11517" s="291" t="s">
        <v>21044</v>
      </c>
      <c r="C11517" s="295" t="s">
        <v>21045</v>
      </c>
      <c r="D11517" s="296">
        <v>274.18</v>
      </c>
      <c r="E11517" s="296">
        <v>248.57</v>
      </c>
      <c r="F11517" s="296">
        <v>15.74</v>
      </c>
      <c r="G11517" s="296">
        <v>9.8699999999999992</v>
      </c>
      <c r="H11517" s="297">
        <v>3036.77</v>
      </c>
      <c r="I11517" s="297">
        <v>2858.67</v>
      </c>
      <c r="J11517" s="297">
        <v>84.07</v>
      </c>
      <c r="K11517" s="297">
        <v>94.03</v>
      </c>
      <c r="L11517" s="43">
        <v>11.075826099642571</v>
      </c>
      <c r="M11517" s="43">
        <v>11.500462646337049</v>
      </c>
      <c r="N11517" s="43">
        <v>5.3411689961880553</v>
      </c>
      <c r="O11517" s="43">
        <v>9.5268490374873362</v>
      </c>
      <c r="P11517" s="298"/>
      <c r="Q11517" s="298"/>
      <c r="R11517" s="298">
        <v>1</v>
      </c>
    </row>
    <row r="11518" spans="1:18" ht="24">
      <c r="A11518" s="294">
        <v>715</v>
      </c>
      <c r="B11518" s="291" t="s">
        <v>21046</v>
      </c>
      <c r="C11518" s="295" t="s">
        <v>21047</v>
      </c>
      <c r="D11518" s="296">
        <v>372.87</v>
      </c>
      <c r="E11518" s="296">
        <v>327.93</v>
      </c>
      <c r="F11518" s="296">
        <v>31.61</v>
      </c>
      <c r="G11518" s="296">
        <v>13.33</v>
      </c>
      <c r="H11518" s="297">
        <v>4063.52</v>
      </c>
      <c r="I11518" s="297">
        <v>3771.3</v>
      </c>
      <c r="J11518" s="297">
        <v>170.16</v>
      </c>
      <c r="K11518" s="297">
        <v>122.06</v>
      </c>
      <c r="L11518" s="43">
        <v>10.897953710408453</v>
      </c>
      <c r="M11518" s="43">
        <v>11.500320190284512</v>
      </c>
      <c r="N11518" s="43">
        <v>5.3831066118316988</v>
      </c>
      <c r="O11518" s="43">
        <v>9.1567891972993252</v>
      </c>
      <c r="P11518" s="298"/>
      <c r="Q11518" s="298"/>
      <c r="R11518" s="298">
        <v>1</v>
      </c>
    </row>
    <row r="11519" spans="1:18" ht="24">
      <c r="A11519" s="294">
        <v>716</v>
      </c>
      <c r="B11519" s="291" t="s">
        <v>21048</v>
      </c>
      <c r="C11519" s="295" t="s">
        <v>21049</v>
      </c>
      <c r="D11519" s="296">
        <v>469.43</v>
      </c>
      <c r="E11519" s="296">
        <v>411.14</v>
      </c>
      <c r="F11519" s="296">
        <v>40.11</v>
      </c>
      <c r="G11519" s="296">
        <v>18.18</v>
      </c>
      <c r="H11519" s="297">
        <v>5110.41</v>
      </c>
      <c r="I11519" s="297">
        <v>4728.1099999999997</v>
      </c>
      <c r="J11519" s="297">
        <v>216.16</v>
      </c>
      <c r="K11519" s="297">
        <v>166.14</v>
      </c>
      <c r="L11519" s="43">
        <v>10.886415440001704</v>
      </c>
      <c r="M11519" s="43">
        <v>11.5</v>
      </c>
      <c r="N11519" s="43">
        <v>5.3891797556719023</v>
      </c>
      <c r="O11519" s="43">
        <v>9.1386138613861387</v>
      </c>
      <c r="P11519" s="298"/>
      <c r="Q11519" s="298"/>
      <c r="R11519" s="298">
        <v>1</v>
      </c>
    </row>
    <row r="11520" spans="1:18" ht="12.75" customHeight="1">
      <c r="A11520" s="628" t="s">
        <v>21050</v>
      </c>
      <c r="B11520" s="629"/>
      <c r="C11520" s="629"/>
      <c r="D11520" s="629"/>
      <c r="E11520" s="629"/>
      <c r="F11520" s="629"/>
      <c r="G11520" s="629"/>
      <c r="H11520" s="629"/>
      <c r="I11520" s="629"/>
      <c r="J11520" s="629"/>
      <c r="K11520" s="629"/>
      <c r="L11520" s="629"/>
      <c r="M11520" s="629"/>
      <c r="N11520" s="629"/>
      <c r="O11520" s="629"/>
      <c r="P11520" s="629"/>
      <c r="Q11520" s="629"/>
      <c r="R11520" s="629"/>
    </row>
    <row r="11521" spans="1:18" ht="24">
      <c r="A11521" s="294">
        <v>717</v>
      </c>
      <c r="B11521" s="291" t="s">
        <v>21051</v>
      </c>
      <c r="C11521" s="295" t="s">
        <v>21052</v>
      </c>
      <c r="D11521" s="296">
        <v>219.36</v>
      </c>
      <c r="E11521" s="296">
        <v>167.75</v>
      </c>
      <c r="F11521" s="296">
        <v>47.52</v>
      </c>
      <c r="G11521" s="296">
        <v>4.09</v>
      </c>
      <c r="H11521" s="297">
        <v>2230.4499999999998</v>
      </c>
      <c r="I11521" s="297">
        <v>1929.24</v>
      </c>
      <c r="J11521" s="297">
        <v>257.79000000000002</v>
      </c>
      <c r="K11521" s="297">
        <v>43.42</v>
      </c>
      <c r="L11521" s="43">
        <v>10.167988694383659</v>
      </c>
      <c r="M11521" s="43">
        <v>11.500685543964233</v>
      </c>
      <c r="N11521" s="43">
        <v>5.424873737373737</v>
      </c>
      <c r="O11521" s="43">
        <v>10.616136919315403</v>
      </c>
      <c r="P11521" s="298"/>
      <c r="Q11521" s="298"/>
      <c r="R11521" s="298">
        <v>2</v>
      </c>
    </row>
    <row r="11522" spans="1:18" ht="24">
      <c r="A11522" s="294">
        <v>718</v>
      </c>
      <c r="B11522" s="291" t="s">
        <v>21053</v>
      </c>
      <c r="C11522" s="295" t="s">
        <v>21054</v>
      </c>
      <c r="D11522" s="296">
        <v>104.39</v>
      </c>
      <c r="E11522" s="296">
        <v>91.51</v>
      </c>
      <c r="F11522" s="296">
        <v>6.95</v>
      </c>
      <c r="G11522" s="296">
        <v>5.93</v>
      </c>
      <c r="H11522" s="297">
        <v>1130.32</v>
      </c>
      <c r="I11522" s="297">
        <v>1052.3699999999999</v>
      </c>
      <c r="J11522" s="297">
        <v>37.11</v>
      </c>
      <c r="K11522" s="297">
        <v>40.840000000000003</v>
      </c>
      <c r="L11522" s="43">
        <v>10.827857074432416</v>
      </c>
      <c r="M11522" s="43">
        <v>11.500054638837284</v>
      </c>
      <c r="N11522" s="43">
        <v>5.339568345323741</v>
      </c>
      <c r="O11522" s="43">
        <v>6.8870151770657682</v>
      </c>
      <c r="P11522" s="298"/>
      <c r="Q11522" s="298"/>
      <c r="R11522" s="298">
        <v>2</v>
      </c>
    </row>
    <row r="11523" spans="1:18" ht="24">
      <c r="A11523" s="294">
        <v>719</v>
      </c>
      <c r="B11523" s="291" t="s">
        <v>21055</v>
      </c>
      <c r="C11523" s="295" t="s">
        <v>21056</v>
      </c>
      <c r="D11523" s="296">
        <v>175.54</v>
      </c>
      <c r="E11523" s="296">
        <v>142.46</v>
      </c>
      <c r="F11523" s="296">
        <v>28.33</v>
      </c>
      <c r="G11523" s="296">
        <v>4.75</v>
      </c>
      <c r="H11523" s="297">
        <v>1831.86</v>
      </c>
      <c r="I11523" s="297">
        <v>1638.34</v>
      </c>
      <c r="J11523" s="297">
        <v>155.28</v>
      </c>
      <c r="K11523" s="297">
        <v>38.24</v>
      </c>
      <c r="L11523" s="43">
        <v>10.435570240401049</v>
      </c>
      <c r="M11523" s="43">
        <v>11.500350975712479</v>
      </c>
      <c r="N11523" s="43">
        <v>5.4811154253441581</v>
      </c>
      <c r="O11523" s="43">
        <v>8.0505263157894742</v>
      </c>
      <c r="P11523" s="298"/>
      <c r="Q11523" s="298"/>
      <c r="R11523" s="298">
        <v>2</v>
      </c>
    </row>
    <row r="11524" spans="1:18" ht="24">
      <c r="A11524" s="294">
        <v>720</v>
      </c>
      <c r="B11524" s="291" t="s">
        <v>21057</v>
      </c>
      <c r="C11524" s="295" t="s">
        <v>21058</v>
      </c>
      <c r="D11524" s="296">
        <v>152.49</v>
      </c>
      <c r="E11524" s="296">
        <v>122.85</v>
      </c>
      <c r="F11524" s="296">
        <v>23.82</v>
      </c>
      <c r="G11524" s="296">
        <v>5.82</v>
      </c>
      <c r="H11524" s="297">
        <v>1586.11</v>
      </c>
      <c r="I11524" s="297">
        <v>1412.73</v>
      </c>
      <c r="J11524" s="297">
        <v>130.07</v>
      </c>
      <c r="K11524" s="297">
        <v>43.31</v>
      </c>
      <c r="L11524" s="43">
        <v>10.401403370712833</v>
      </c>
      <c r="M11524" s="43">
        <v>11.4996336996337</v>
      </c>
      <c r="N11524" s="43">
        <v>5.4605373635600332</v>
      </c>
      <c r="O11524" s="43">
        <v>7.4415807560137459</v>
      </c>
      <c r="P11524" s="298"/>
      <c r="Q11524" s="298"/>
      <c r="R11524" s="298">
        <v>2</v>
      </c>
    </row>
    <row r="11525" spans="1:18" ht="12.75">
      <c r="A11525" s="632" t="s">
        <v>18</v>
      </c>
      <c r="B11525" s="632"/>
      <c r="C11525" s="632"/>
      <c r="D11525" s="292">
        <v>134737466.22999999</v>
      </c>
      <c r="E11525" s="292">
        <v>14676296.859999999</v>
      </c>
      <c r="F11525" s="292">
        <v>32552283.41</v>
      </c>
      <c r="G11525" s="292">
        <v>87508885.959999993</v>
      </c>
      <c r="H11525" s="293">
        <v>817372698.76999998</v>
      </c>
      <c r="I11525" s="293">
        <v>168781393.25</v>
      </c>
      <c r="J11525" s="293">
        <v>176074980.66</v>
      </c>
      <c r="K11525" s="293">
        <v>472516324.86000001</v>
      </c>
      <c r="L11525" s="612">
        <v>6.0664098980065857</v>
      </c>
      <c r="M11525" s="612">
        <v>11.500271141967076</v>
      </c>
      <c r="N11525" s="612">
        <v>5.4089901603004016</v>
      </c>
      <c r="O11525" s="612">
        <v>5.3996382158948473</v>
      </c>
      <c r="P11525" s="290"/>
      <c r="Q11525" s="290"/>
      <c r="R11525" s="290"/>
    </row>
    <row r="11526" spans="1:18" ht="18">
      <c r="A11526" s="616" t="s">
        <v>21059</v>
      </c>
      <c r="B11526" s="626"/>
      <c r="C11526" s="626"/>
      <c r="D11526" s="626"/>
      <c r="E11526" s="626"/>
      <c r="F11526" s="626"/>
      <c r="G11526" s="626"/>
      <c r="H11526" s="626"/>
      <c r="I11526" s="626"/>
      <c r="J11526" s="626"/>
      <c r="K11526" s="626"/>
      <c r="L11526" s="626"/>
      <c r="M11526" s="626"/>
      <c r="N11526" s="626"/>
      <c r="O11526" s="626"/>
      <c r="P11526" s="626"/>
      <c r="Q11526" s="626"/>
      <c r="R11526" s="627"/>
    </row>
    <row r="11527" spans="1:18" ht="12.75" customHeight="1">
      <c r="A11527" s="630" t="s">
        <v>21060</v>
      </c>
      <c r="B11527" s="631"/>
      <c r="C11527" s="631"/>
      <c r="D11527" s="631"/>
      <c r="E11527" s="631"/>
      <c r="F11527" s="631"/>
      <c r="G11527" s="631"/>
      <c r="H11527" s="631"/>
      <c r="I11527" s="631"/>
      <c r="J11527" s="631"/>
      <c r="K11527" s="631"/>
      <c r="L11527" s="631"/>
      <c r="M11527" s="631"/>
      <c r="N11527" s="631"/>
      <c r="O11527" s="631"/>
      <c r="P11527" s="631"/>
      <c r="Q11527" s="631"/>
      <c r="R11527" s="631"/>
    </row>
    <row r="11528" spans="1:18" ht="12.75" customHeight="1">
      <c r="A11528" s="628" t="s">
        <v>21061</v>
      </c>
      <c r="B11528" s="629"/>
      <c r="C11528" s="629"/>
      <c r="D11528" s="629"/>
      <c r="E11528" s="629"/>
      <c r="F11528" s="629"/>
      <c r="G11528" s="629"/>
      <c r="H11528" s="629"/>
      <c r="I11528" s="629"/>
      <c r="J11528" s="629"/>
      <c r="K11528" s="629"/>
      <c r="L11528" s="629"/>
      <c r="M11528" s="629"/>
      <c r="N11528" s="629"/>
      <c r="O11528" s="629"/>
      <c r="P11528" s="629"/>
      <c r="Q11528" s="629"/>
      <c r="R11528" s="629"/>
    </row>
    <row r="11529" spans="1:18" ht="12.75" customHeight="1">
      <c r="A11529" s="628" t="s">
        <v>21062</v>
      </c>
      <c r="B11529" s="629"/>
      <c r="C11529" s="629"/>
      <c r="D11529" s="629"/>
      <c r="E11529" s="629"/>
      <c r="F11529" s="629"/>
      <c r="G11529" s="629"/>
      <c r="H11529" s="629"/>
      <c r="I11529" s="629"/>
      <c r="J11529" s="629"/>
      <c r="K11529" s="629"/>
      <c r="L11529" s="629"/>
      <c r="M11529" s="629"/>
      <c r="N11529" s="629"/>
      <c r="O11529" s="629"/>
      <c r="P11529" s="629"/>
      <c r="Q11529" s="629"/>
      <c r="R11529" s="629"/>
    </row>
    <row r="11530" spans="1:18" ht="24">
      <c r="A11530" s="309">
        <v>1</v>
      </c>
      <c r="B11530" s="306" t="s">
        <v>21063</v>
      </c>
      <c r="C11530" s="310" t="s">
        <v>21064</v>
      </c>
      <c r="D11530" s="311">
        <v>9799.36</v>
      </c>
      <c r="E11530" s="311">
        <v>2689.75</v>
      </c>
      <c r="F11530" s="311">
        <v>7010.93</v>
      </c>
      <c r="G11530" s="311">
        <v>98.68</v>
      </c>
      <c r="H11530" s="312">
        <v>69447.69</v>
      </c>
      <c r="I11530" s="312">
        <v>30933.14</v>
      </c>
      <c r="J11530" s="312">
        <v>37502.49</v>
      </c>
      <c r="K11530" s="312">
        <v>1012.06</v>
      </c>
      <c r="L11530" s="43">
        <v>7.0869618015870426</v>
      </c>
      <c r="M11530" s="43">
        <v>11.500377358490566</v>
      </c>
      <c r="N11530" s="43">
        <v>5.3491462616229226</v>
      </c>
      <c r="O11530" s="43">
        <v>10.255978921767328</v>
      </c>
      <c r="P11530" s="313"/>
      <c r="Q11530" s="313"/>
      <c r="R11530" s="313">
        <v>1</v>
      </c>
    </row>
    <row r="11531" spans="1:18" ht="24">
      <c r="A11531" s="309">
        <v>2</v>
      </c>
      <c r="B11531" s="306" t="s">
        <v>21065</v>
      </c>
      <c r="C11531" s="310" t="s">
        <v>21066</v>
      </c>
      <c r="D11531" s="311">
        <v>57967.95</v>
      </c>
      <c r="E11531" s="311">
        <v>8241.5</v>
      </c>
      <c r="F11531" s="311">
        <v>49381.42</v>
      </c>
      <c r="G11531" s="311">
        <v>345.03</v>
      </c>
      <c r="H11531" s="312">
        <v>355893.74</v>
      </c>
      <c r="I11531" s="312">
        <v>94780.36</v>
      </c>
      <c r="J11531" s="312">
        <v>257638.43</v>
      </c>
      <c r="K11531" s="312">
        <v>3474.95</v>
      </c>
      <c r="L11531" s="43">
        <v>6.1394915638727952</v>
      </c>
      <c r="M11531" s="43">
        <v>11.500377358490566</v>
      </c>
      <c r="N11531" s="43">
        <v>5.2173151359357428</v>
      </c>
      <c r="O11531" s="43">
        <v>10.071443062922064</v>
      </c>
      <c r="P11531" s="313"/>
      <c r="Q11531" s="313"/>
      <c r="R11531" s="313">
        <v>1</v>
      </c>
    </row>
    <row r="11532" spans="1:18" ht="12.75" customHeight="1">
      <c r="A11532" s="628" t="s">
        <v>21067</v>
      </c>
      <c r="B11532" s="629"/>
      <c r="C11532" s="629"/>
      <c r="D11532" s="629"/>
      <c r="E11532" s="629"/>
      <c r="F11532" s="629"/>
      <c r="G11532" s="629"/>
      <c r="H11532" s="629"/>
      <c r="I11532" s="629"/>
      <c r="J11532" s="629"/>
      <c r="K11532" s="629"/>
      <c r="L11532" s="629"/>
      <c r="M11532" s="629"/>
      <c r="N11532" s="629"/>
      <c r="O11532" s="629"/>
      <c r="P11532" s="629"/>
      <c r="Q11532" s="629"/>
      <c r="R11532" s="629"/>
    </row>
    <row r="11533" spans="1:18" ht="24">
      <c r="A11533" s="309">
        <v>3</v>
      </c>
      <c r="B11533" s="306" t="s">
        <v>21068</v>
      </c>
      <c r="C11533" s="310" t="s">
        <v>21069</v>
      </c>
      <c r="D11533" s="311">
        <v>1034.4000000000001</v>
      </c>
      <c r="E11533" s="311">
        <v>592.28</v>
      </c>
      <c r="F11533" s="311">
        <v>425.58</v>
      </c>
      <c r="G11533" s="311">
        <v>16.54</v>
      </c>
      <c r="H11533" s="312">
        <v>9299.67</v>
      </c>
      <c r="I11533" s="312">
        <v>6811.39</v>
      </c>
      <c r="J11533" s="312">
        <v>2310.88</v>
      </c>
      <c r="K11533" s="312">
        <v>177.4</v>
      </c>
      <c r="L11533" s="43">
        <v>8.9904002320185601</v>
      </c>
      <c r="M11533" s="43">
        <v>11.500287026406431</v>
      </c>
      <c r="N11533" s="43">
        <v>5.4299544151510881</v>
      </c>
      <c r="O11533" s="43">
        <v>10.725513905683194</v>
      </c>
      <c r="P11533" s="313"/>
      <c r="Q11533" s="313"/>
      <c r="R11533" s="313">
        <v>2</v>
      </c>
    </row>
    <row r="11534" spans="1:18" ht="24">
      <c r="A11534" s="309">
        <v>4</v>
      </c>
      <c r="B11534" s="306" t="s">
        <v>21070</v>
      </c>
      <c r="C11534" s="310" t="s">
        <v>21071</v>
      </c>
      <c r="D11534" s="311">
        <v>1451.17</v>
      </c>
      <c r="E11534" s="311">
        <v>707.55</v>
      </c>
      <c r="F11534" s="311">
        <v>723.28</v>
      </c>
      <c r="G11534" s="311">
        <v>20.34</v>
      </c>
      <c r="H11534" s="312">
        <v>12281.22</v>
      </c>
      <c r="I11534" s="312">
        <v>8137.09</v>
      </c>
      <c r="J11534" s="312">
        <v>3927.16</v>
      </c>
      <c r="K11534" s="312">
        <v>216.97</v>
      </c>
      <c r="L11534" s="43">
        <v>8.462978148666247</v>
      </c>
      <c r="M11534" s="43">
        <v>11.500374531835208</v>
      </c>
      <c r="N11534" s="43">
        <v>5.4296537993584781</v>
      </c>
      <c r="O11534" s="43">
        <v>10.66715830875123</v>
      </c>
      <c r="P11534" s="313"/>
      <c r="Q11534" s="313"/>
      <c r="R11534" s="313">
        <v>2</v>
      </c>
    </row>
    <row r="11535" spans="1:18" ht="24">
      <c r="A11535" s="309">
        <v>5</v>
      </c>
      <c r="B11535" s="306" t="s">
        <v>21072</v>
      </c>
      <c r="C11535" s="310" t="s">
        <v>21073</v>
      </c>
      <c r="D11535" s="311">
        <v>1811.97</v>
      </c>
      <c r="E11535" s="311">
        <v>837.4</v>
      </c>
      <c r="F11535" s="311">
        <v>953.44</v>
      </c>
      <c r="G11535" s="311">
        <v>21.13</v>
      </c>
      <c r="H11535" s="312">
        <v>15038.22</v>
      </c>
      <c r="I11535" s="312">
        <v>9630.42</v>
      </c>
      <c r="J11535" s="312">
        <v>5176.79</v>
      </c>
      <c r="K11535" s="312">
        <v>231.01</v>
      </c>
      <c r="L11535" s="43">
        <v>8.2993758174804206</v>
      </c>
      <c r="M11535" s="43">
        <v>11.50038213518032</v>
      </c>
      <c r="N11535" s="43">
        <v>5.4295917939251552</v>
      </c>
      <c r="O11535" s="43">
        <v>10.932796971131093</v>
      </c>
      <c r="P11535" s="313"/>
      <c r="Q11535" s="313"/>
      <c r="R11535" s="313">
        <v>2</v>
      </c>
    </row>
    <row r="11536" spans="1:18" ht="12.75" customHeight="1">
      <c r="A11536" s="628" t="s">
        <v>21074</v>
      </c>
      <c r="B11536" s="629"/>
      <c r="C11536" s="629"/>
      <c r="D11536" s="629"/>
      <c r="E11536" s="629"/>
      <c r="F11536" s="629"/>
      <c r="G11536" s="629"/>
      <c r="H11536" s="629"/>
      <c r="I11536" s="629"/>
      <c r="J11536" s="629"/>
      <c r="K11536" s="629"/>
      <c r="L11536" s="629"/>
      <c r="M11536" s="629"/>
      <c r="N11536" s="629"/>
      <c r="O11536" s="629"/>
      <c r="P11536" s="629"/>
      <c r="Q11536" s="629"/>
      <c r="R11536" s="629"/>
    </row>
    <row r="11537" spans="1:18" ht="36">
      <c r="A11537" s="309">
        <v>6</v>
      </c>
      <c r="B11537" s="306" t="s">
        <v>21075</v>
      </c>
      <c r="C11537" s="310" t="s">
        <v>21076</v>
      </c>
      <c r="D11537" s="311">
        <v>1999.16</v>
      </c>
      <c r="E11537" s="311">
        <v>1228.28</v>
      </c>
      <c r="F11537" s="311">
        <v>741.25</v>
      </c>
      <c r="G11537" s="311">
        <v>29.63</v>
      </c>
      <c r="H11537" s="312">
        <v>18477.22</v>
      </c>
      <c r="I11537" s="312">
        <v>14125.63</v>
      </c>
      <c r="J11537" s="312">
        <v>4024.69</v>
      </c>
      <c r="K11537" s="312">
        <v>326.89999999999998</v>
      </c>
      <c r="L11537" s="43">
        <v>9.2424918465755628</v>
      </c>
      <c r="M11537" s="43">
        <v>11.500333800110724</v>
      </c>
      <c r="N11537" s="43">
        <v>5.4295986509274874</v>
      </c>
      <c r="O11537" s="43">
        <v>11.032737090786364</v>
      </c>
      <c r="P11537" s="313"/>
      <c r="Q11537" s="313"/>
      <c r="R11537" s="313">
        <v>3</v>
      </c>
    </row>
    <row r="11538" spans="1:18" ht="36">
      <c r="A11538" s="309">
        <v>7</v>
      </c>
      <c r="B11538" s="306" t="s">
        <v>21077</v>
      </c>
      <c r="C11538" s="310" t="s">
        <v>21078</v>
      </c>
      <c r="D11538" s="311">
        <v>2713.73</v>
      </c>
      <c r="E11538" s="311">
        <v>1417.75</v>
      </c>
      <c r="F11538" s="311">
        <v>1261.4100000000001</v>
      </c>
      <c r="G11538" s="311">
        <v>34.57</v>
      </c>
      <c r="H11538" s="312">
        <v>23534</v>
      </c>
      <c r="I11538" s="312">
        <v>16304.66</v>
      </c>
      <c r="J11538" s="312">
        <v>6848.81</v>
      </c>
      <c r="K11538" s="312">
        <v>380.53</v>
      </c>
      <c r="L11538" s="43">
        <v>8.6721965707715949</v>
      </c>
      <c r="M11538" s="43">
        <v>11.500377358490566</v>
      </c>
      <c r="N11538" s="43">
        <v>5.4294876368508254</v>
      </c>
      <c r="O11538" s="43">
        <v>11.007520971940988</v>
      </c>
      <c r="P11538" s="313"/>
      <c r="Q11538" s="313"/>
      <c r="R11538" s="313">
        <v>3</v>
      </c>
    </row>
    <row r="11539" spans="1:18" ht="36">
      <c r="A11539" s="309">
        <v>8</v>
      </c>
      <c r="B11539" s="306" t="s">
        <v>21079</v>
      </c>
      <c r="C11539" s="310" t="s">
        <v>21080</v>
      </c>
      <c r="D11539" s="311">
        <v>4262.62</v>
      </c>
      <c r="E11539" s="311">
        <v>2371.75</v>
      </c>
      <c r="F11539" s="311">
        <v>1828.58</v>
      </c>
      <c r="G11539" s="311">
        <v>62.29</v>
      </c>
      <c r="H11539" s="312">
        <v>37879.83</v>
      </c>
      <c r="I11539" s="312">
        <v>27276.02</v>
      </c>
      <c r="J11539" s="312">
        <v>9928.08</v>
      </c>
      <c r="K11539" s="312">
        <v>675.73</v>
      </c>
      <c r="L11539" s="43">
        <v>8.8865134588586372</v>
      </c>
      <c r="M11539" s="43">
        <v>11.500377358490566</v>
      </c>
      <c r="N11539" s="43">
        <v>5.4293932997189076</v>
      </c>
      <c r="O11539" s="43">
        <v>10.848129715845241</v>
      </c>
      <c r="P11539" s="313"/>
      <c r="Q11539" s="313"/>
      <c r="R11539" s="313">
        <v>3</v>
      </c>
    </row>
    <row r="11540" spans="1:18" ht="36">
      <c r="A11540" s="309">
        <v>9</v>
      </c>
      <c r="B11540" s="306" t="s">
        <v>21081</v>
      </c>
      <c r="C11540" s="310" t="s">
        <v>21082</v>
      </c>
      <c r="D11540" s="311">
        <v>5324.13</v>
      </c>
      <c r="E11540" s="311">
        <v>2676.5</v>
      </c>
      <c r="F11540" s="311">
        <v>2572.84</v>
      </c>
      <c r="G11540" s="311">
        <v>74.790000000000006</v>
      </c>
      <c r="H11540" s="312">
        <v>45551.47</v>
      </c>
      <c r="I11540" s="312">
        <v>30780.76</v>
      </c>
      <c r="J11540" s="312">
        <v>13968.77</v>
      </c>
      <c r="K11540" s="312">
        <v>801.94</v>
      </c>
      <c r="L11540" s="43">
        <v>8.5556644935416681</v>
      </c>
      <c r="M11540" s="43">
        <v>11.500377358490566</v>
      </c>
      <c r="N11540" s="43">
        <v>5.4293193513782434</v>
      </c>
      <c r="O11540" s="43">
        <v>10.722556491509559</v>
      </c>
      <c r="P11540" s="313"/>
      <c r="Q11540" s="313"/>
      <c r="R11540" s="313">
        <v>3</v>
      </c>
    </row>
    <row r="11541" spans="1:18" ht="36">
      <c r="A11541" s="309">
        <v>10</v>
      </c>
      <c r="B11541" s="306" t="s">
        <v>21083</v>
      </c>
      <c r="C11541" s="310" t="s">
        <v>21084</v>
      </c>
      <c r="D11541" s="311">
        <v>7069.44</v>
      </c>
      <c r="E11541" s="311">
        <v>3352.25</v>
      </c>
      <c r="F11541" s="311">
        <v>3622.5</v>
      </c>
      <c r="G11541" s="311">
        <v>94.69</v>
      </c>
      <c r="H11541" s="312">
        <v>59233.03</v>
      </c>
      <c r="I11541" s="312">
        <v>38552.14</v>
      </c>
      <c r="J11541" s="312">
        <v>19667.54</v>
      </c>
      <c r="K11541" s="312">
        <v>1013.35</v>
      </c>
      <c r="L11541" s="43">
        <v>8.3787442852616341</v>
      </c>
      <c r="M11541" s="43">
        <v>11.500377358490566</v>
      </c>
      <c r="N11541" s="43">
        <v>5.4292726017943416</v>
      </c>
      <c r="O11541" s="43">
        <v>10.701763649804626</v>
      </c>
      <c r="P11541" s="313"/>
      <c r="Q11541" s="313"/>
      <c r="R11541" s="313">
        <v>3</v>
      </c>
    </row>
    <row r="11542" spans="1:18" ht="12.75" customHeight="1">
      <c r="A11542" s="628" t="s">
        <v>21085</v>
      </c>
      <c r="B11542" s="629"/>
      <c r="C11542" s="629"/>
      <c r="D11542" s="629"/>
      <c r="E11542" s="629"/>
      <c r="F11542" s="629"/>
      <c r="G11542" s="629"/>
      <c r="H11542" s="629"/>
      <c r="I11542" s="629"/>
      <c r="J11542" s="629"/>
      <c r="K11542" s="629"/>
      <c r="L11542" s="629"/>
      <c r="M11542" s="629"/>
      <c r="N11542" s="629"/>
      <c r="O11542" s="629"/>
      <c r="P11542" s="629"/>
      <c r="Q11542" s="629"/>
      <c r="R11542" s="629"/>
    </row>
    <row r="11543" spans="1:18" ht="24">
      <c r="A11543" s="309">
        <v>11</v>
      </c>
      <c r="B11543" s="306" t="s">
        <v>21086</v>
      </c>
      <c r="C11543" s="310" t="s">
        <v>21087</v>
      </c>
      <c r="D11543" s="311">
        <v>2499.35</v>
      </c>
      <c r="E11543" s="311">
        <v>1470.75</v>
      </c>
      <c r="F11543" s="311">
        <v>992.56</v>
      </c>
      <c r="G11543" s="311">
        <v>36.04</v>
      </c>
      <c r="H11543" s="312">
        <v>22699.759999999998</v>
      </c>
      <c r="I11543" s="312">
        <v>16914.18</v>
      </c>
      <c r="J11543" s="312">
        <v>5389.26</v>
      </c>
      <c r="K11543" s="312">
        <v>396.32</v>
      </c>
      <c r="L11543" s="43">
        <v>9.0822653890011402</v>
      </c>
      <c r="M11543" s="43">
        <v>11.500377358490566</v>
      </c>
      <c r="N11543" s="43">
        <v>5.4296566454420896</v>
      </c>
      <c r="O11543" s="43">
        <v>10.996670366259712</v>
      </c>
      <c r="P11543" s="313"/>
      <c r="Q11543" s="313"/>
      <c r="R11543" s="313">
        <v>4</v>
      </c>
    </row>
    <row r="11544" spans="1:18" ht="12.75" customHeight="1">
      <c r="A11544" s="628" t="s">
        <v>21088</v>
      </c>
      <c r="B11544" s="629"/>
      <c r="C11544" s="629"/>
      <c r="D11544" s="629"/>
      <c r="E11544" s="629"/>
      <c r="F11544" s="629"/>
      <c r="G11544" s="629"/>
      <c r="H11544" s="629"/>
      <c r="I11544" s="629"/>
      <c r="J11544" s="629"/>
      <c r="K11544" s="629"/>
      <c r="L11544" s="629"/>
      <c r="M11544" s="629"/>
      <c r="N11544" s="629"/>
      <c r="O11544" s="629"/>
      <c r="P11544" s="629"/>
      <c r="Q11544" s="629"/>
      <c r="R11544" s="629"/>
    </row>
    <row r="11545" spans="1:18" ht="24">
      <c r="A11545" s="309">
        <v>12</v>
      </c>
      <c r="B11545" s="306" t="s">
        <v>21089</v>
      </c>
      <c r="C11545" s="310" t="s">
        <v>21090</v>
      </c>
      <c r="D11545" s="311">
        <v>368.13</v>
      </c>
      <c r="E11545" s="311">
        <v>86.66</v>
      </c>
      <c r="F11545" s="311">
        <v>279.74</v>
      </c>
      <c r="G11545" s="311">
        <v>1.73</v>
      </c>
      <c r="H11545" s="312">
        <v>2535.21</v>
      </c>
      <c r="I11545" s="312">
        <v>996.57</v>
      </c>
      <c r="J11545" s="312">
        <v>1518.74</v>
      </c>
      <c r="K11545" s="312">
        <v>19.899999999999999</v>
      </c>
      <c r="L11545" s="43">
        <v>6.8867247983049467</v>
      </c>
      <c r="M11545" s="43">
        <v>11.499769213016387</v>
      </c>
      <c r="N11545" s="43">
        <v>5.4291127475512972</v>
      </c>
      <c r="O11545" s="43">
        <v>11.502890173410403</v>
      </c>
      <c r="P11545" s="313"/>
      <c r="Q11545" s="313"/>
      <c r="R11545" s="313">
        <v>5</v>
      </c>
    </row>
    <row r="11546" spans="1:18" ht="12.75" customHeight="1">
      <c r="A11546" s="628" t="s">
        <v>21091</v>
      </c>
      <c r="B11546" s="629"/>
      <c r="C11546" s="629"/>
      <c r="D11546" s="629"/>
      <c r="E11546" s="629"/>
      <c r="F11546" s="629"/>
      <c r="G11546" s="629"/>
      <c r="H11546" s="629"/>
      <c r="I11546" s="629"/>
      <c r="J11546" s="629"/>
      <c r="K11546" s="629"/>
      <c r="L11546" s="629"/>
      <c r="M11546" s="629"/>
      <c r="N11546" s="629"/>
      <c r="O11546" s="629"/>
      <c r="P11546" s="629"/>
      <c r="Q11546" s="629"/>
      <c r="R11546" s="629"/>
    </row>
    <row r="11547" spans="1:18" ht="24">
      <c r="A11547" s="309">
        <v>13</v>
      </c>
      <c r="B11547" s="306" t="s">
        <v>21092</v>
      </c>
      <c r="C11547" s="310" t="s">
        <v>21093</v>
      </c>
      <c r="D11547" s="311">
        <v>74181.67</v>
      </c>
      <c r="E11547" s="311">
        <v>31826.5</v>
      </c>
      <c r="F11547" s="311">
        <v>11310.4</v>
      </c>
      <c r="G11547" s="311">
        <v>31044.77</v>
      </c>
      <c r="H11547" s="312">
        <v>585026.56000000006</v>
      </c>
      <c r="I11547" s="312">
        <v>366016.76</v>
      </c>
      <c r="J11547" s="312">
        <v>61893.35</v>
      </c>
      <c r="K11547" s="312">
        <v>157116.45000000001</v>
      </c>
      <c r="L11547" s="43">
        <v>7.8864032044573822</v>
      </c>
      <c r="M11547" s="43">
        <v>11.500377358490566</v>
      </c>
      <c r="N11547" s="43">
        <v>5.4722512024331591</v>
      </c>
      <c r="O11547" s="43">
        <v>5.0609635697091653</v>
      </c>
      <c r="P11547" s="313"/>
      <c r="Q11547" s="313"/>
      <c r="R11547" s="313">
        <v>6</v>
      </c>
    </row>
    <row r="11548" spans="1:18" ht="24">
      <c r="A11548" s="309">
        <v>14</v>
      </c>
      <c r="B11548" s="306" t="s">
        <v>21094</v>
      </c>
      <c r="C11548" s="310" t="s">
        <v>21095</v>
      </c>
      <c r="D11548" s="311">
        <v>84270.15</v>
      </c>
      <c r="E11548" s="311">
        <v>36927.75</v>
      </c>
      <c r="F11548" s="311">
        <v>14758.7</v>
      </c>
      <c r="G11548" s="311">
        <v>32583.7</v>
      </c>
      <c r="H11548" s="312">
        <v>669378.96</v>
      </c>
      <c r="I11548" s="312">
        <v>424683.06</v>
      </c>
      <c r="J11548" s="312">
        <v>81082.720000000001</v>
      </c>
      <c r="K11548" s="312">
        <v>163613.18</v>
      </c>
      <c r="L11548" s="43">
        <v>7.9432510800087579</v>
      </c>
      <c r="M11548" s="43">
        <v>11.500377358490566</v>
      </c>
      <c r="N11548" s="43">
        <v>5.4938930935651511</v>
      </c>
      <c r="O11548" s="43">
        <v>5.0213198623851802</v>
      </c>
      <c r="P11548" s="313"/>
      <c r="Q11548" s="313"/>
      <c r="R11548" s="313">
        <v>6</v>
      </c>
    </row>
    <row r="11549" spans="1:18" ht="24">
      <c r="A11549" s="309">
        <v>15</v>
      </c>
      <c r="B11549" s="306" t="s">
        <v>21096</v>
      </c>
      <c r="C11549" s="310" t="s">
        <v>21097</v>
      </c>
      <c r="D11549" s="311">
        <v>80486.86</v>
      </c>
      <c r="E11549" s="311">
        <v>31826.5</v>
      </c>
      <c r="F11549" s="311">
        <v>16066.4</v>
      </c>
      <c r="G11549" s="311">
        <v>32593.96</v>
      </c>
      <c r="H11549" s="312">
        <v>617706.66</v>
      </c>
      <c r="I11549" s="312">
        <v>366016.76</v>
      </c>
      <c r="J11549" s="312">
        <v>88265.83</v>
      </c>
      <c r="K11549" s="312">
        <v>163424.07</v>
      </c>
      <c r="L11549" s="43">
        <v>7.6746273863833183</v>
      </c>
      <c r="M11549" s="43">
        <v>11.500377358490566</v>
      </c>
      <c r="N11549" s="43">
        <v>5.4938150425733205</v>
      </c>
      <c r="O11549" s="43">
        <v>5.0139372448146835</v>
      </c>
      <c r="P11549" s="313"/>
      <c r="Q11549" s="313"/>
      <c r="R11549" s="313">
        <v>6</v>
      </c>
    </row>
    <row r="11550" spans="1:18" ht="24">
      <c r="A11550" s="309">
        <v>16</v>
      </c>
      <c r="B11550" s="306" t="s">
        <v>21098</v>
      </c>
      <c r="C11550" s="310" t="s">
        <v>21099</v>
      </c>
      <c r="D11550" s="311">
        <v>152350.74</v>
      </c>
      <c r="E11550" s="311">
        <v>76797</v>
      </c>
      <c r="F11550" s="311">
        <v>40155.51</v>
      </c>
      <c r="G11550" s="311">
        <v>35398.230000000003</v>
      </c>
      <c r="H11550" s="312">
        <v>1286347.01</v>
      </c>
      <c r="I11550" s="312">
        <v>883194.48</v>
      </c>
      <c r="J11550" s="312">
        <v>220141.81</v>
      </c>
      <c r="K11550" s="312">
        <v>183010.72</v>
      </c>
      <c r="L11550" s="43">
        <v>8.4433263008765174</v>
      </c>
      <c r="M11550" s="43">
        <v>11.500377358490566</v>
      </c>
      <c r="N11550" s="43">
        <v>5.4822317036939632</v>
      </c>
      <c r="O11550" s="43">
        <v>5.1700528529251315</v>
      </c>
      <c r="P11550" s="313"/>
      <c r="Q11550" s="313"/>
      <c r="R11550" s="313">
        <v>6</v>
      </c>
    </row>
    <row r="11551" spans="1:18" ht="36">
      <c r="A11551" s="309">
        <v>17</v>
      </c>
      <c r="B11551" s="306" t="s">
        <v>21100</v>
      </c>
      <c r="C11551" s="310" t="s">
        <v>21101</v>
      </c>
      <c r="D11551" s="311">
        <v>58.09</v>
      </c>
      <c r="E11551" s="311">
        <v>43.33</v>
      </c>
      <c r="F11551" s="311">
        <v>10.45</v>
      </c>
      <c r="G11551" s="311">
        <v>4.3099999999999996</v>
      </c>
      <c r="H11551" s="312">
        <v>584.66999999999996</v>
      </c>
      <c r="I11551" s="312">
        <v>498.28</v>
      </c>
      <c r="J11551" s="312">
        <v>56.72</v>
      </c>
      <c r="K11551" s="312">
        <v>29.67</v>
      </c>
      <c r="L11551" s="43">
        <v>10.064899294198655</v>
      </c>
      <c r="M11551" s="43">
        <v>11.499653819524578</v>
      </c>
      <c r="N11551" s="43">
        <v>5.4277511961722489</v>
      </c>
      <c r="O11551" s="43">
        <v>6.8839907192575414</v>
      </c>
      <c r="P11551" s="313"/>
      <c r="Q11551" s="313"/>
      <c r="R11551" s="313">
        <v>6</v>
      </c>
    </row>
    <row r="11552" spans="1:18" ht="36">
      <c r="A11552" s="309">
        <v>18</v>
      </c>
      <c r="B11552" s="306" t="s">
        <v>21102</v>
      </c>
      <c r="C11552" s="310" t="s">
        <v>21103</v>
      </c>
      <c r="D11552" s="311">
        <v>60.65</v>
      </c>
      <c r="E11552" s="311">
        <v>43.33</v>
      </c>
      <c r="F11552" s="311">
        <v>13.01</v>
      </c>
      <c r="G11552" s="311">
        <v>4.3099999999999996</v>
      </c>
      <c r="H11552" s="312">
        <v>598.6</v>
      </c>
      <c r="I11552" s="312">
        <v>498.28</v>
      </c>
      <c r="J11552" s="312">
        <v>70.650000000000006</v>
      </c>
      <c r="K11552" s="312">
        <v>29.67</v>
      </c>
      <c r="L11552" s="43">
        <v>9.869744435284419</v>
      </c>
      <c r="M11552" s="43">
        <v>11.499653819524578</v>
      </c>
      <c r="N11552" s="43">
        <v>5.4304381245196005</v>
      </c>
      <c r="O11552" s="43">
        <v>6.8839907192575414</v>
      </c>
      <c r="P11552" s="313"/>
      <c r="Q11552" s="313"/>
      <c r="R11552" s="313">
        <v>6</v>
      </c>
    </row>
    <row r="11553" spans="1:18" ht="36">
      <c r="A11553" s="309">
        <v>19</v>
      </c>
      <c r="B11553" s="306" t="s">
        <v>21104</v>
      </c>
      <c r="C11553" s="310" t="s">
        <v>21105</v>
      </c>
      <c r="D11553" s="311">
        <v>80.510000000000005</v>
      </c>
      <c r="E11553" s="311">
        <v>57.77</v>
      </c>
      <c r="F11553" s="311">
        <v>18.14</v>
      </c>
      <c r="G11553" s="311">
        <v>4.5999999999999996</v>
      </c>
      <c r="H11553" s="312">
        <v>795.89</v>
      </c>
      <c r="I11553" s="312">
        <v>664.38</v>
      </c>
      <c r="J11553" s="312">
        <v>98.51</v>
      </c>
      <c r="K11553" s="312">
        <v>33</v>
      </c>
      <c r="L11553" s="43">
        <v>9.8856042727611477</v>
      </c>
      <c r="M11553" s="43">
        <v>11.500432750562576</v>
      </c>
      <c r="N11553" s="43">
        <v>5.4305402425578828</v>
      </c>
      <c r="O11553" s="43">
        <v>7.1739130434782616</v>
      </c>
      <c r="P11553" s="313"/>
      <c r="Q11553" s="313"/>
      <c r="R11553" s="313">
        <v>6</v>
      </c>
    </row>
    <row r="11554" spans="1:18" ht="12.75" customHeight="1">
      <c r="A11554" s="628" t="s">
        <v>21106</v>
      </c>
      <c r="B11554" s="629"/>
      <c r="C11554" s="629"/>
      <c r="D11554" s="629"/>
      <c r="E11554" s="629"/>
      <c r="F11554" s="629"/>
      <c r="G11554" s="629"/>
      <c r="H11554" s="629"/>
      <c r="I11554" s="629"/>
      <c r="J11554" s="629"/>
      <c r="K11554" s="629"/>
      <c r="L11554" s="629"/>
      <c r="M11554" s="629"/>
      <c r="N11554" s="629"/>
      <c r="O11554" s="629"/>
      <c r="P11554" s="629"/>
      <c r="Q11554" s="629"/>
      <c r="R11554" s="629"/>
    </row>
    <row r="11555" spans="1:18" ht="24">
      <c r="A11555" s="309">
        <v>20</v>
      </c>
      <c r="B11555" s="306" t="s">
        <v>21107</v>
      </c>
      <c r="C11555" s="310" t="s">
        <v>21108</v>
      </c>
      <c r="D11555" s="311">
        <v>1583.04</v>
      </c>
      <c r="E11555" s="311">
        <v>837.4</v>
      </c>
      <c r="F11555" s="311">
        <v>436.29</v>
      </c>
      <c r="G11555" s="311">
        <v>309.35000000000002</v>
      </c>
      <c r="H11555" s="312">
        <v>13300.4</v>
      </c>
      <c r="I11555" s="312">
        <v>9630.42</v>
      </c>
      <c r="J11555" s="312">
        <v>2366.88</v>
      </c>
      <c r="K11555" s="312">
        <v>1303.0999999999999</v>
      </c>
      <c r="L11555" s="43">
        <v>8.4018091772791585</v>
      </c>
      <c r="M11555" s="43">
        <v>11.50038213518032</v>
      </c>
      <c r="N11555" s="43">
        <v>5.4250154713607923</v>
      </c>
      <c r="O11555" s="43">
        <v>4.2123807984483586</v>
      </c>
      <c r="P11555" s="313"/>
      <c r="Q11555" s="313"/>
      <c r="R11555" s="313">
        <v>7</v>
      </c>
    </row>
    <row r="11556" spans="1:18" ht="36">
      <c r="A11556" s="309">
        <v>21</v>
      </c>
      <c r="B11556" s="306" t="s">
        <v>21109</v>
      </c>
      <c r="C11556" s="310" t="s">
        <v>21110</v>
      </c>
      <c r="D11556" s="311">
        <v>770.56</v>
      </c>
      <c r="E11556" s="311">
        <v>288.85000000000002</v>
      </c>
      <c r="F11556" s="311">
        <v>217.11</v>
      </c>
      <c r="G11556" s="311">
        <v>264.60000000000002</v>
      </c>
      <c r="H11556" s="312">
        <v>5524.22</v>
      </c>
      <c r="I11556" s="312">
        <v>3321.88</v>
      </c>
      <c r="J11556" s="312">
        <v>1176.1199999999999</v>
      </c>
      <c r="K11556" s="312">
        <v>1026.22</v>
      </c>
      <c r="L11556" s="43">
        <v>7.1690977990033229</v>
      </c>
      <c r="M11556" s="43">
        <v>11.500363510472564</v>
      </c>
      <c r="N11556" s="43">
        <v>5.4171618073787471</v>
      </c>
      <c r="O11556" s="43">
        <v>3.8783824640967497</v>
      </c>
      <c r="P11556" s="313"/>
      <c r="Q11556" s="313"/>
      <c r="R11556" s="313">
        <v>7</v>
      </c>
    </row>
    <row r="11557" spans="1:18" ht="24">
      <c r="A11557" s="309">
        <v>22</v>
      </c>
      <c r="B11557" s="306" t="s">
        <v>21111</v>
      </c>
      <c r="C11557" s="310" t="s">
        <v>21112</v>
      </c>
      <c r="D11557" s="311">
        <v>3055.74</v>
      </c>
      <c r="E11557" s="311">
        <v>1285.25</v>
      </c>
      <c r="F11557" s="311">
        <v>1010.1</v>
      </c>
      <c r="G11557" s="311">
        <v>760.39</v>
      </c>
      <c r="H11557" s="312">
        <v>23362.76</v>
      </c>
      <c r="I11557" s="312">
        <v>14780.86</v>
      </c>
      <c r="J11557" s="312">
        <v>5482.27</v>
      </c>
      <c r="K11557" s="312">
        <v>3099.63</v>
      </c>
      <c r="L11557" s="43">
        <v>7.6455326696643038</v>
      </c>
      <c r="M11557" s="43">
        <v>11.500377358490567</v>
      </c>
      <c r="N11557" s="43">
        <v>5.427452727452728</v>
      </c>
      <c r="O11557" s="43">
        <v>4.0763687055326878</v>
      </c>
      <c r="P11557" s="313"/>
      <c r="Q11557" s="313"/>
      <c r="R11557" s="313">
        <v>7</v>
      </c>
    </row>
    <row r="11558" spans="1:18" ht="36">
      <c r="A11558" s="309">
        <v>23</v>
      </c>
      <c r="B11558" s="306" t="s">
        <v>21113</v>
      </c>
      <c r="C11558" s="310" t="s">
        <v>21114</v>
      </c>
      <c r="D11558" s="311">
        <v>1355.69</v>
      </c>
      <c r="E11558" s="311">
        <v>318</v>
      </c>
      <c r="F11558" s="311">
        <v>456.32</v>
      </c>
      <c r="G11558" s="311">
        <v>581.37</v>
      </c>
      <c r="H11558" s="312">
        <v>8336.7199999999993</v>
      </c>
      <c r="I11558" s="312">
        <v>3657.12</v>
      </c>
      <c r="J11558" s="312">
        <v>2474.86</v>
      </c>
      <c r="K11558" s="312">
        <v>2204.7399999999998</v>
      </c>
      <c r="L11558" s="43">
        <v>6.1494294418340472</v>
      </c>
      <c r="M11558" s="43">
        <v>11.500377358490566</v>
      </c>
      <c r="N11558" s="43">
        <v>5.4235185834502104</v>
      </c>
      <c r="O11558" s="43">
        <v>3.7923181450711247</v>
      </c>
      <c r="P11558" s="313"/>
      <c r="Q11558" s="313"/>
      <c r="R11558" s="313">
        <v>7</v>
      </c>
    </row>
    <row r="11559" spans="1:18" ht="12.75" customHeight="1">
      <c r="A11559" s="628" t="s">
        <v>21115</v>
      </c>
      <c r="B11559" s="629"/>
      <c r="C11559" s="629"/>
      <c r="D11559" s="629"/>
      <c r="E11559" s="629"/>
      <c r="F11559" s="629"/>
      <c r="G11559" s="629"/>
      <c r="H11559" s="629"/>
      <c r="I11559" s="629"/>
      <c r="J11559" s="629"/>
      <c r="K11559" s="629"/>
      <c r="L11559" s="629"/>
      <c r="M11559" s="629"/>
      <c r="N11559" s="629"/>
      <c r="O11559" s="629"/>
      <c r="P11559" s="629"/>
      <c r="Q11559" s="629"/>
      <c r="R11559" s="629"/>
    </row>
    <row r="11560" spans="1:18" ht="24">
      <c r="A11560" s="309">
        <v>24</v>
      </c>
      <c r="B11560" s="306" t="s">
        <v>21116</v>
      </c>
      <c r="C11560" s="310" t="s">
        <v>21117</v>
      </c>
      <c r="D11560" s="311">
        <v>10419.799999999999</v>
      </c>
      <c r="E11560" s="311">
        <v>3074</v>
      </c>
      <c r="F11560" s="311">
        <v>5344.68</v>
      </c>
      <c r="G11560" s="311">
        <v>2001.12</v>
      </c>
      <c r="H11560" s="312">
        <v>72707.69</v>
      </c>
      <c r="I11560" s="312">
        <v>35352.160000000003</v>
      </c>
      <c r="J11560" s="312">
        <v>28688.05</v>
      </c>
      <c r="K11560" s="312">
        <v>8667.48</v>
      </c>
      <c r="L11560" s="43">
        <v>6.9778393059367749</v>
      </c>
      <c r="M11560" s="43">
        <v>11.500377358490567</v>
      </c>
      <c r="N11560" s="43">
        <v>5.3675898276416918</v>
      </c>
      <c r="O11560" s="43">
        <v>4.3313144639002159</v>
      </c>
      <c r="P11560" s="313"/>
      <c r="Q11560" s="313"/>
      <c r="R11560" s="313">
        <v>8</v>
      </c>
    </row>
    <row r="11561" spans="1:18" ht="24">
      <c r="A11561" s="309">
        <v>25</v>
      </c>
      <c r="B11561" s="306" t="s">
        <v>21118</v>
      </c>
      <c r="C11561" s="310" t="s">
        <v>21119</v>
      </c>
      <c r="D11561" s="311">
        <v>11267.08</v>
      </c>
      <c r="E11561" s="311">
        <v>3339</v>
      </c>
      <c r="F11561" s="311">
        <v>5625.51</v>
      </c>
      <c r="G11561" s="311">
        <v>2302.5700000000002</v>
      </c>
      <c r="H11561" s="312">
        <v>78450.039999999994</v>
      </c>
      <c r="I11561" s="312">
        <v>38399.760000000002</v>
      </c>
      <c r="J11561" s="312">
        <v>30180.3</v>
      </c>
      <c r="K11561" s="312">
        <v>9869.98</v>
      </c>
      <c r="L11561" s="43">
        <v>6.96276586302751</v>
      </c>
      <c r="M11561" s="43">
        <v>11.500377358490567</v>
      </c>
      <c r="N11561" s="43">
        <v>5.3649002490440862</v>
      </c>
      <c r="O11561" s="43">
        <v>4.2865059477019152</v>
      </c>
      <c r="P11561" s="313"/>
      <c r="Q11561" s="313"/>
      <c r="R11561" s="313">
        <v>8</v>
      </c>
    </row>
    <row r="11562" spans="1:18" ht="36">
      <c r="A11562" s="309">
        <v>26</v>
      </c>
      <c r="B11562" s="306" t="s">
        <v>21120</v>
      </c>
      <c r="C11562" s="310" t="s">
        <v>21121</v>
      </c>
      <c r="D11562" s="311">
        <v>573.98</v>
      </c>
      <c r="E11562" s="311">
        <v>188.15</v>
      </c>
      <c r="F11562" s="311">
        <v>347.85</v>
      </c>
      <c r="G11562" s="311">
        <v>37.979999999999997</v>
      </c>
      <c r="H11562" s="312">
        <v>4285.63</v>
      </c>
      <c r="I11562" s="312">
        <v>2163.8000000000002</v>
      </c>
      <c r="J11562" s="312">
        <v>1882.88</v>
      </c>
      <c r="K11562" s="312">
        <v>238.95</v>
      </c>
      <c r="L11562" s="43">
        <v>7.4665145127007913</v>
      </c>
      <c r="M11562" s="43">
        <v>11.500398618123837</v>
      </c>
      <c r="N11562" s="43">
        <v>5.4129078625844471</v>
      </c>
      <c r="O11562" s="43">
        <v>6.2914691943127963</v>
      </c>
      <c r="P11562" s="313"/>
      <c r="Q11562" s="313"/>
      <c r="R11562" s="313">
        <v>8</v>
      </c>
    </row>
    <row r="11563" spans="1:18" ht="36">
      <c r="A11563" s="309">
        <v>27</v>
      </c>
      <c r="B11563" s="306" t="s">
        <v>21122</v>
      </c>
      <c r="C11563" s="310" t="s">
        <v>21123</v>
      </c>
      <c r="D11563" s="311">
        <v>600.23</v>
      </c>
      <c r="E11563" s="311">
        <v>202.73</v>
      </c>
      <c r="F11563" s="311">
        <v>359.23</v>
      </c>
      <c r="G11563" s="311">
        <v>38.270000000000003</v>
      </c>
      <c r="H11563" s="312">
        <v>4517.3900000000003</v>
      </c>
      <c r="I11563" s="312">
        <v>2331.41</v>
      </c>
      <c r="J11563" s="312">
        <v>1943.69</v>
      </c>
      <c r="K11563" s="312">
        <v>242.29</v>
      </c>
      <c r="L11563" s="43">
        <v>7.5260983289738936</v>
      </c>
      <c r="M11563" s="43">
        <v>11.500073990036009</v>
      </c>
      <c r="N11563" s="43">
        <v>5.410711800239401</v>
      </c>
      <c r="O11563" s="43">
        <v>6.3310687222367381</v>
      </c>
      <c r="P11563" s="313"/>
      <c r="Q11563" s="313"/>
      <c r="R11563" s="313">
        <v>8</v>
      </c>
    </row>
    <row r="11564" spans="1:18" ht="12.75" customHeight="1">
      <c r="A11564" s="628" t="s">
        <v>21124</v>
      </c>
      <c r="B11564" s="629"/>
      <c r="C11564" s="629"/>
      <c r="D11564" s="629"/>
      <c r="E11564" s="629"/>
      <c r="F11564" s="629"/>
      <c r="G11564" s="629"/>
      <c r="H11564" s="629"/>
      <c r="I11564" s="629"/>
      <c r="J11564" s="629"/>
      <c r="K11564" s="629"/>
      <c r="L11564" s="629"/>
      <c r="M11564" s="629"/>
      <c r="N11564" s="629"/>
      <c r="O11564" s="629"/>
      <c r="P11564" s="629"/>
      <c r="Q11564" s="629"/>
      <c r="R11564" s="629"/>
    </row>
    <row r="11565" spans="1:18" ht="36">
      <c r="A11565" s="309">
        <v>28</v>
      </c>
      <c r="B11565" s="306" t="s">
        <v>21125</v>
      </c>
      <c r="C11565" s="310" t="s">
        <v>21126</v>
      </c>
      <c r="D11565" s="311">
        <v>10398.23</v>
      </c>
      <c r="E11565" s="311">
        <v>5578.25</v>
      </c>
      <c r="F11565" s="311">
        <v>1347.36</v>
      </c>
      <c r="G11565" s="311">
        <v>3472.62</v>
      </c>
      <c r="H11565" s="312">
        <v>87300.5</v>
      </c>
      <c r="I11565" s="312">
        <v>64151.98</v>
      </c>
      <c r="J11565" s="312">
        <v>7315.04</v>
      </c>
      <c r="K11565" s="312">
        <v>15833.48</v>
      </c>
      <c r="L11565" s="43">
        <v>8.3957077310273007</v>
      </c>
      <c r="M11565" s="43">
        <v>11.500377358490567</v>
      </c>
      <c r="N11565" s="43">
        <v>5.4291651822823894</v>
      </c>
      <c r="O11565" s="43">
        <v>4.5595199014000958</v>
      </c>
      <c r="P11565" s="313"/>
      <c r="Q11565" s="313"/>
      <c r="R11565" s="313">
        <v>9</v>
      </c>
    </row>
    <row r="11566" spans="1:18" ht="36">
      <c r="A11566" s="309">
        <v>29</v>
      </c>
      <c r="B11566" s="306" t="s">
        <v>21127</v>
      </c>
      <c r="C11566" s="310" t="s">
        <v>21128</v>
      </c>
      <c r="D11566" s="311">
        <v>21661.29</v>
      </c>
      <c r="E11566" s="311">
        <v>15873.5</v>
      </c>
      <c r="F11566" s="311">
        <v>1347.36</v>
      </c>
      <c r="G11566" s="311">
        <v>4440.43</v>
      </c>
      <c r="H11566" s="312">
        <v>211357.92</v>
      </c>
      <c r="I11566" s="312">
        <v>182551.24</v>
      </c>
      <c r="J11566" s="312">
        <v>7315.04</v>
      </c>
      <c r="K11566" s="312">
        <v>21491.64</v>
      </c>
      <c r="L11566" s="43">
        <v>9.7574022599762067</v>
      </c>
      <c r="M11566" s="43">
        <v>11.500377358490566</v>
      </c>
      <c r="N11566" s="43">
        <v>5.4291651822823894</v>
      </c>
      <c r="O11566" s="43">
        <v>4.8399907216193023</v>
      </c>
      <c r="P11566" s="313"/>
      <c r="Q11566" s="313"/>
      <c r="R11566" s="313">
        <v>9</v>
      </c>
    </row>
    <row r="11567" spans="1:18" ht="36">
      <c r="A11567" s="309">
        <v>30</v>
      </c>
      <c r="B11567" s="306" t="s">
        <v>21129</v>
      </c>
      <c r="C11567" s="310" t="s">
        <v>21130</v>
      </c>
      <c r="D11567" s="311">
        <v>26702.25</v>
      </c>
      <c r="E11567" s="311">
        <v>19914.75</v>
      </c>
      <c r="F11567" s="311">
        <v>1347.36</v>
      </c>
      <c r="G11567" s="311">
        <v>5440.14</v>
      </c>
      <c r="H11567" s="312">
        <v>262750.2</v>
      </c>
      <c r="I11567" s="312">
        <v>229027.14</v>
      </c>
      <c r="J11567" s="312">
        <v>7315.04</v>
      </c>
      <c r="K11567" s="312">
        <v>26408.02</v>
      </c>
      <c r="L11567" s="43">
        <v>9.8400022470016584</v>
      </c>
      <c r="M11567" s="43">
        <v>11.500377358490567</v>
      </c>
      <c r="N11567" s="43">
        <v>5.4291651822823894</v>
      </c>
      <c r="O11567" s="43">
        <v>4.8542905145823454</v>
      </c>
      <c r="P11567" s="313"/>
      <c r="Q11567" s="313"/>
      <c r="R11567" s="313">
        <v>9</v>
      </c>
    </row>
    <row r="11568" spans="1:18" ht="12.75" customHeight="1">
      <c r="A11568" s="628" t="s">
        <v>21131</v>
      </c>
      <c r="B11568" s="629"/>
      <c r="C11568" s="629"/>
      <c r="D11568" s="629"/>
      <c r="E11568" s="629"/>
      <c r="F11568" s="629"/>
      <c r="G11568" s="629"/>
      <c r="H11568" s="629"/>
      <c r="I11568" s="629"/>
      <c r="J11568" s="629"/>
      <c r="K11568" s="629"/>
      <c r="L11568" s="629"/>
      <c r="M11568" s="629"/>
      <c r="N11568" s="629"/>
      <c r="O11568" s="629"/>
      <c r="P11568" s="629"/>
      <c r="Q11568" s="629"/>
      <c r="R11568" s="629"/>
    </row>
    <row r="11569" spans="1:18" ht="12.75" customHeight="1">
      <c r="A11569" s="628" t="s">
        <v>21132</v>
      </c>
      <c r="B11569" s="629"/>
      <c r="C11569" s="629"/>
      <c r="D11569" s="629"/>
      <c r="E11569" s="629"/>
      <c r="F11569" s="629"/>
      <c r="G11569" s="629"/>
      <c r="H11569" s="629"/>
      <c r="I11569" s="629"/>
      <c r="J11569" s="629"/>
      <c r="K11569" s="629"/>
      <c r="L11569" s="629"/>
      <c r="M11569" s="629"/>
      <c r="N11569" s="629"/>
      <c r="O11569" s="629"/>
      <c r="P11569" s="629"/>
      <c r="Q11569" s="629"/>
      <c r="R11569" s="629"/>
    </row>
    <row r="11570" spans="1:18" ht="24">
      <c r="A11570" s="309">
        <v>31</v>
      </c>
      <c r="B11570" s="306" t="s">
        <v>21133</v>
      </c>
      <c r="C11570" s="310" t="s">
        <v>21134</v>
      </c>
      <c r="D11570" s="311">
        <v>73.040000000000006</v>
      </c>
      <c r="E11570" s="311">
        <v>39.75</v>
      </c>
      <c r="F11570" s="311">
        <v>2.57</v>
      </c>
      <c r="G11570" s="311">
        <v>30.72</v>
      </c>
      <c r="H11570" s="312">
        <v>577.27</v>
      </c>
      <c r="I11570" s="312">
        <v>457.14</v>
      </c>
      <c r="J11570" s="312">
        <v>13.94</v>
      </c>
      <c r="K11570" s="312">
        <v>106.19</v>
      </c>
      <c r="L11570" s="43">
        <v>7.9034775465498344</v>
      </c>
      <c r="M11570" s="43">
        <v>11.500377358490566</v>
      </c>
      <c r="N11570" s="43">
        <v>5.4241245136186773</v>
      </c>
      <c r="O11570" s="43">
        <v>3.4567057291666665</v>
      </c>
      <c r="P11570" s="313"/>
      <c r="Q11570" s="313"/>
      <c r="R11570" s="313">
        <v>1</v>
      </c>
    </row>
    <row r="11571" spans="1:18" ht="24">
      <c r="A11571" s="309">
        <v>32</v>
      </c>
      <c r="B11571" s="306" t="s">
        <v>21135</v>
      </c>
      <c r="C11571" s="310" t="s">
        <v>21136</v>
      </c>
      <c r="D11571" s="311">
        <v>116.48</v>
      </c>
      <c r="E11571" s="311">
        <v>53</v>
      </c>
      <c r="F11571" s="311">
        <v>2.57</v>
      </c>
      <c r="G11571" s="311">
        <v>60.91</v>
      </c>
      <c r="H11571" s="312">
        <v>829.62</v>
      </c>
      <c r="I11571" s="312">
        <v>609.52</v>
      </c>
      <c r="J11571" s="312">
        <v>13.94</v>
      </c>
      <c r="K11571" s="312">
        <v>206.16</v>
      </c>
      <c r="L11571" s="43">
        <v>7.1224244505494507</v>
      </c>
      <c r="M11571" s="43">
        <v>11.500377358490566</v>
      </c>
      <c r="N11571" s="43">
        <v>5.4241245136186773</v>
      </c>
      <c r="O11571" s="43">
        <v>3.3846659005089479</v>
      </c>
      <c r="P11571" s="313"/>
      <c r="Q11571" s="313"/>
      <c r="R11571" s="313">
        <v>1</v>
      </c>
    </row>
    <row r="11572" spans="1:18" ht="12.75" customHeight="1">
      <c r="A11572" s="628" t="s">
        <v>21137</v>
      </c>
      <c r="B11572" s="629"/>
      <c r="C11572" s="629"/>
      <c r="D11572" s="629"/>
      <c r="E11572" s="629"/>
      <c r="F11572" s="629"/>
      <c r="G11572" s="629"/>
      <c r="H11572" s="629"/>
      <c r="I11572" s="629"/>
      <c r="J11572" s="629"/>
      <c r="K11572" s="629"/>
      <c r="L11572" s="629"/>
      <c r="M11572" s="629"/>
      <c r="N11572" s="629"/>
      <c r="O11572" s="629"/>
      <c r="P11572" s="629"/>
      <c r="Q11572" s="629"/>
      <c r="R11572" s="629"/>
    </row>
    <row r="11573" spans="1:18" ht="24">
      <c r="A11573" s="309">
        <v>33</v>
      </c>
      <c r="B11573" s="306" t="s">
        <v>21138</v>
      </c>
      <c r="C11573" s="310" t="s">
        <v>21139</v>
      </c>
      <c r="D11573" s="311">
        <v>2710.44</v>
      </c>
      <c r="E11573" s="311">
        <v>1188.53</v>
      </c>
      <c r="F11573" s="311">
        <v>688.28</v>
      </c>
      <c r="G11573" s="311">
        <v>833.63</v>
      </c>
      <c r="H11573" s="312">
        <v>20643.759999999998</v>
      </c>
      <c r="I11573" s="312">
        <v>13668.49</v>
      </c>
      <c r="J11573" s="312">
        <v>4038.31</v>
      </c>
      <c r="K11573" s="312">
        <v>2936.96</v>
      </c>
      <c r="L11573" s="43">
        <v>7.6163870072755708</v>
      </c>
      <c r="M11573" s="43">
        <v>11.500332343314851</v>
      </c>
      <c r="N11573" s="43">
        <v>5.8672487940954268</v>
      </c>
      <c r="O11573" s="43">
        <v>3.5230977771913201</v>
      </c>
      <c r="P11573" s="313"/>
      <c r="Q11573" s="313"/>
      <c r="R11573" s="313">
        <v>2</v>
      </c>
    </row>
    <row r="11574" spans="1:18" ht="24">
      <c r="A11574" s="309">
        <v>34</v>
      </c>
      <c r="B11574" s="306" t="s">
        <v>21140</v>
      </c>
      <c r="C11574" s="310" t="s">
        <v>21141</v>
      </c>
      <c r="D11574" s="311">
        <v>5824.14</v>
      </c>
      <c r="E11574" s="311">
        <v>2053.75</v>
      </c>
      <c r="F11574" s="311">
        <v>885.89</v>
      </c>
      <c r="G11574" s="311">
        <v>2884.5</v>
      </c>
      <c r="H11574" s="312">
        <v>38483.4</v>
      </c>
      <c r="I11574" s="312">
        <v>23618.9</v>
      </c>
      <c r="J11574" s="312">
        <v>5111.18</v>
      </c>
      <c r="K11574" s="312">
        <v>9753.32</v>
      </c>
      <c r="L11574" s="43">
        <v>6.6075678125869226</v>
      </c>
      <c r="M11574" s="43">
        <v>11.500377358490567</v>
      </c>
      <c r="N11574" s="43">
        <v>5.7695424939890962</v>
      </c>
      <c r="O11574" s="43">
        <v>3.3812861847807243</v>
      </c>
      <c r="P11574" s="313"/>
      <c r="Q11574" s="313"/>
      <c r="R11574" s="313">
        <v>2</v>
      </c>
    </row>
    <row r="11575" spans="1:18" ht="24">
      <c r="A11575" s="309">
        <v>35</v>
      </c>
      <c r="B11575" s="306" t="s">
        <v>21142</v>
      </c>
      <c r="C11575" s="310" t="s">
        <v>21143</v>
      </c>
      <c r="D11575" s="311">
        <v>6785.97</v>
      </c>
      <c r="E11575" s="311">
        <v>2305.5</v>
      </c>
      <c r="F11575" s="311">
        <v>939.78</v>
      </c>
      <c r="G11575" s="311">
        <v>3540.69</v>
      </c>
      <c r="H11575" s="312">
        <v>43753.77</v>
      </c>
      <c r="I11575" s="312">
        <v>26514.12</v>
      </c>
      <c r="J11575" s="312">
        <v>5403.79</v>
      </c>
      <c r="K11575" s="312">
        <v>11835.86</v>
      </c>
      <c r="L11575" s="43">
        <v>6.4476810242308753</v>
      </c>
      <c r="M11575" s="43">
        <v>11.500377358490566</v>
      </c>
      <c r="N11575" s="43">
        <v>5.7500585243354827</v>
      </c>
      <c r="O11575" s="43">
        <v>3.3428117118414775</v>
      </c>
      <c r="P11575" s="313"/>
      <c r="Q11575" s="313"/>
      <c r="R11575" s="313">
        <v>2</v>
      </c>
    </row>
    <row r="11576" spans="1:18" ht="24">
      <c r="A11576" s="309">
        <v>36</v>
      </c>
      <c r="B11576" s="306" t="s">
        <v>21144</v>
      </c>
      <c r="C11576" s="310" t="s">
        <v>21145</v>
      </c>
      <c r="D11576" s="311">
        <v>8862.41</v>
      </c>
      <c r="E11576" s="311">
        <v>2716.25</v>
      </c>
      <c r="F11576" s="311">
        <v>1168.19</v>
      </c>
      <c r="G11576" s="311">
        <v>4977.97</v>
      </c>
      <c r="H11576" s="312">
        <v>55582.559999999998</v>
      </c>
      <c r="I11576" s="312">
        <v>31237.9</v>
      </c>
      <c r="J11576" s="312">
        <v>6643.86</v>
      </c>
      <c r="K11576" s="312">
        <v>17700.8</v>
      </c>
      <c r="L11576" s="43">
        <v>6.2717206719165555</v>
      </c>
      <c r="M11576" s="43">
        <v>11.500377358490567</v>
      </c>
      <c r="N11576" s="43">
        <v>5.687311139455054</v>
      </c>
      <c r="O11576" s="43">
        <v>3.5558269736458836</v>
      </c>
      <c r="P11576" s="313"/>
      <c r="Q11576" s="313"/>
      <c r="R11576" s="313">
        <v>2</v>
      </c>
    </row>
    <row r="11577" spans="1:18" ht="12.75" customHeight="1">
      <c r="A11577" s="628" t="s">
        <v>21146</v>
      </c>
      <c r="B11577" s="629"/>
      <c r="C11577" s="629"/>
      <c r="D11577" s="629"/>
      <c r="E11577" s="629"/>
      <c r="F11577" s="629"/>
      <c r="G11577" s="629"/>
      <c r="H11577" s="629"/>
      <c r="I11577" s="629"/>
      <c r="J11577" s="629"/>
      <c r="K11577" s="629"/>
      <c r="L11577" s="629"/>
      <c r="M11577" s="629"/>
      <c r="N11577" s="629"/>
      <c r="O11577" s="629"/>
      <c r="P11577" s="629"/>
      <c r="Q11577" s="629"/>
      <c r="R11577" s="629"/>
    </row>
    <row r="11578" spans="1:18" ht="24">
      <c r="A11578" s="309">
        <v>37</v>
      </c>
      <c r="B11578" s="306" t="s">
        <v>21147</v>
      </c>
      <c r="C11578" s="310" t="s">
        <v>21148</v>
      </c>
      <c r="D11578" s="311">
        <v>989.04</v>
      </c>
      <c r="E11578" s="311">
        <v>259.7</v>
      </c>
      <c r="F11578" s="311">
        <v>48.32</v>
      </c>
      <c r="G11578" s="311">
        <v>681.02</v>
      </c>
      <c r="H11578" s="312">
        <v>6109.67</v>
      </c>
      <c r="I11578" s="312">
        <v>2986.65</v>
      </c>
      <c r="J11578" s="312">
        <v>262.67</v>
      </c>
      <c r="K11578" s="312">
        <v>2860.35</v>
      </c>
      <c r="L11578" s="43">
        <v>6.1773740192509914</v>
      </c>
      <c r="M11578" s="43">
        <v>11.500385059684252</v>
      </c>
      <c r="N11578" s="43">
        <v>5.4360513245033113</v>
      </c>
      <c r="O11578" s="43">
        <v>4.2000969134533497</v>
      </c>
      <c r="P11578" s="313"/>
      <c r="Q11578" s="313"/>
      <c r="R11578" s="313">
        <v>3</v>
      </c>
    </row>
    <row r="11579" spans="1:18" ht="24">
      <c r="A11579" s="309">
        <v>38</v>
      </c>
      <c r="B11579" s="306" t="s">
        <v>21149</v>
      </c>
      <c r="C11579" s="310" t="s">
        <v>21150</v>
      </c>
      <c r="D11579" s="311">
        <v>1104.01</v>
      </c>
      <c r="E11579" s="311">
        <v>274.27999999999997</v>
      </c>
      <c r="F11579" s="311">
        <v>148.41</v>
      </c>
      <c r="G11579" s="311">
        <v>681.32</v>
      </c>
      <c r="H11579" s="312">
        <v>6824.15</v>
      </c>
      <c r="I11579" s="312">
        <v>3154.27</v>
      </c>
      <c r="J11579" s="312">
        <v>806.08</v>
      </c>
      <c r="K11579" s="312">
        <v>2863.8</v>
      </c>
      <c r="L11579" s="43">
        <v>6.1812393003686559</v>
      </c>
      <c r="M11579" s="43">
        <v>11.500182295464491</v>
      </c>
      <c r="N11579" s="43">
        <v>5.4314399299238598</v>
      </c>
      <c r="O11579" s="43">
        <v>4.2033112193976399</v>
      </c>
      <c r="P11579" s="313"/>
      <c r="Q11579" s="313"/>
      <c r="R11579" s="313">
        <v>3</v>
      </c>
    </row>
    <row r="11580" spans="1:18" ht="24">
      <c r="A11580" s="309">
        <v>39</v>
      </c>
      <c r="B11580" s="306" t="s">
        <v>21151</v>
      </c>
      <c r="C11580" s="310" t="s">
        <v>21152</v>
      </c>
      <c r="D11580" s="311">
        <v>1106.57</v>
      </c>
      <c r="E11580" s="311">
        <v>274.27999999999997</v>
      </c>
      <c r="F11580" s="311">
        <v>150.97</v>
      </c>
      <c r="G11580" s="311">
        <v>681.32</v>
      </c>
      <c r="H11580" s="312">
        <v>6838.09</v>
      </c>
      <c r="I11580" s="312">
        <v>3154.27</v>
      </c>
      <c r="J11580" s="312">
        <v>820.02</v>
      </c>
      <c r="K11580" s="312">
        <v>2863.8</v>
      </c>
      <c r="L11580" s="43">
        <v>6.1795367667657723</v>
      </c>
      <c r="M11580" s="43">
        <v>11.500182295464491</v>
      </c>
      <c r="N11580" s="43">
        <v>5.4316751672517718</v>
      </c>
      <c r="O11580" s="43">
        <v>4.2033112193976399</v>
      </c>
      <c r="P11580" s="313"/>
      <c r="Q11580" s="313"/>
      <c r="R11580" s="313">
        <v>3</v>
      </c>
    </row>
    <row r="11581" spans="1:18" ht="12.75" customHeight="1">
      <c r="A11581" s="628" t="s">
        <v>21153</v>
      </c>
      <c r="B11581" s="629"/>
      <c r="C11581" s="629"/>
      <c r="D11581" s="629"/>
      <c r="E11581" s="629"/>
      <c r="F11581" s="629"/>
      <c r="G11581" s="629"/>
      <c r="H11581" s="629"/>
      <c r="I11581" s="629"/>
      <c r="J11581" s="629"/>
      <c r="K11581" s="629"/>
      <c r="L11581" s="629"/>
      <c r="M11581" s="629"/>
      <c r="N11581" s="629"/>
      <c r="O11581" s="629"/>
      <c r="P11581" s="629"/>
      <c r="Q11581" s="629"/>
      <c r="R11581" s="629"/>
    </row>
    <row r="11582" spans="1:18" ht="24">
      <c r="A11582" s="309">
        <v>40</v>
      </c>
      <c r="B11582" s="306" t="s">
        <v>21154</v>
      </c>
      <c r="C11582" s="310" t="s">
        <v>21155</v>
      </c>
      <c r="D11582" s="311">
        <v>234.1</v>
      </c>
      <c r="E11582" s="311">
        <v>119.25</v>
      </c>
      <c r="F11582" s="311">
        <v>30.8</v>
      </c>
      <c r="G11582" s="311">
        <v>84.05</v>
      </c>
      <c r="H11582" s="312">
        <v>1945.17</v>
      </c>
      <c r="I11582" s="312">
        <v>1371.42</v>
      </c>
      <c r="J11582" s="312">
        <v>167.21</v>
      </c>
      <c r="K11582" s="312">
        <v>406.54</v>
      </c>
      <c r="L11582" s="43">
        <v>8.3091413925672786</v>
      </c>
      <c r="M11582" s="43">
        <v>11.500377358490567</v>
      </c>
      <c r="N11582" s="43">
        <v>5.4288961038961041</v>
      </c>
      <c r="O11582" s="43">
        <v>4.8368828078524695</v>
      </c>
      <c r="P11582" s="313"/>
      <c r="Q11582" s="313"/>
      <c r="R11582" s="313">
        <v>4</v>
      </c>
    </row>
    <row r="11583" spans="1:18" ht="24">
      <c r="A11583" s="309">
        <v>41</v>
      </c>
      <c r="B11583" s="306" t="s">
        <v>21156</v>
      </c>
      <c r="C11583" s="310" t="s">
        <v>21157</v>
      </c>
      <c r="D11583" s="311">
        <v>294.49</v>
      </c>
      <c r="E11583" s="311">
        <v>145.75</v>
      </c>
      <c r="F11583" s="311">
        <v>64.16</v>
      </c>
      <c r="G11583" s="311">
        <v>84.58</v>
      </c>
      <c r="H11583" s="312">
        <v>2437.15</v>
      </c>
      <c r="I11583" s="312">
        <v>1676.18</v>
      </c>
      <c r="J11583" s="312">
        <v>348.34</v>
      </c>
      <c r="K11583" s="312">
        <v>412.63</v>
      </c>
      <c r="L11583" s="43">
        <v>8.2758327956806692</v>
      </c>
      <c r="M11583" s="43">
        <v>11.500377358490567</v>
      </c>
      <c r="N11583" s="43">
        <v>5.4292394014962593</v>
      </c>
      <c r="O11583" s="43">
        <v>4.8785764956254436</v>
      </c>
      <c r="P11583" s="313"/>
      <c r="Q11583" s="313"/>
      <c r="R11583" s="313">
        <v>4</v>
      </c>
    </row>
    <row r="11584" spans="1:18" ht="24">
      <c r="A11584" s="309">
        <v>42</v>
      </c>
      <c r="B11584" s="306" t="s">
        <v>21158</v>
      </c>
      <c r="C11584" s="310" t="s">
        <v>21159</v>
      </c>
      <c r="D11584" s="311">
        <v>441.03</v>
      </c>
      <c r="E11584" s="311">
        <v>198.75</v>
      </c>
      <c r="F11584" s="311">
        <v>94.96</v>
      </c>
      <c r="G11584" s="311">
        <v>147.32</v>
      </c>
      <c r="H11584" s="312">
        <v>3509.08</v>
      </c>
      <c r="I11584" s="312">
        <v>2285.6999999999998</v>
      </c>
      <c r="J11584" s="312">
        <v>515.53</v>
      </c>
      <c r="K11584" s="312">
        <v>707.85</v>
      </c>
      <c r="L11584" s="43">
        <v>7.9565562433394561</v>
      </c>
      <c r="M11584" s="43">
        <v>11.500377358490566</v>
      </c>
      <c r="N11584" s="43">
        <v>5.4289174389216512</v>
      </c>
      <c r="O11584" s="43">
        <v>4.8048465924518062</v>
      </c>
      <c r="P11584" s="313"/>
      <c r="Q11584" s="313"/>
      <c r="R11584" s="313">
        <v>4</v>
      </c>
    </row>
    <row r="11585" spans="1:18" ht="12.75" customHeight="1">
      <c r="A11585" s="628" t="s">
        <v>21160</v>
      </c>
      <c r="B11585" s="629"/>
      <c r="C11585" s="629"/>
      <c r="D11585" s="629"/>
      <c r="E11585" s="629"/>
      <c r="F11585" s="629"/>
      <c r="G11585" s="629"/>
      <c r="H11585" s="629"/>
      <c r="I11585" s="629"/>
      <c r="J11585" s="629"/>
      <c r="K11585" s="629"/>
      <c r="L11585" s="629"/>
      <c r="M11585" s="629"/>
      <c r="N11585" s="629"/>
      <c r="O11585" s="629"/>
      <c r="P11585" s="629"/>
      <c r="Q11585" s="629"/>
      <c r="R11585" s="629"/>
    </row>
    <row r="11586" spans="1:18" ht="24">
      <c r="A11586" s="309">
        <v>43</v>
      </c>
      <c r="B11586" s="306" t="s">
        <v>21161</v>
      </c>
      <c r="C11586" s="310" t="s">
        <v>21162</v>
      </c>
      <c r="D11586" s="311">
        <v>7428.5</v>
      </c>
      <c r="E11586" s="311">
        <v>1947.75</v>
      </c>
      <c r="F11586" s="311">
        <v>2245.6</v>
      </c>
      <c r="G11586" s="311">
        <v>3235.15</v>
      </c>
      <c r="H11586" s="312">
        <v>47366.5</v>
      </c>
      <c r="I11586" s="312">
        <v>22399.86</v>
      </c>
      <c r="J11586" s="312">
        <v>12191.72</v>
      </c>
      <c r="K11586" s="312">
        <v>12774.92</v>
      </c>
      <c r="L11586" s="43">
        <v>6.3763209261627516</v>
      </c>
      <c r="M11586" s="43">
        <v>11.500377358490566</v>
      </c>
      <c r="N11586" s="43">
        <v>5.4291592447452794</v>
      </c>
      <c r="O11586" s="43">
        <v>3.948787536899371</v>
      </c>
      <c r="P11586" s="313"/>
      <c r="Q11586" s="313"/>
      <c r="R11586" s="313">
        <v>5</v>
      </c>
    </row>
    <row r="11587" spans="1:18" ht="12.75" customHeight="1">
      <c r="A11587" s="628" t="s">
        <v>21163</v>
      </c>
      <c r="B11587" s="629"/>
      <c r="C11587" s="629"/>
      <c r="D11587" s="629"/>
      <c r="E11587" s="629"/>
      <c r="F11587" s="629"/>
      <c r="G11587" s="629"/>
      <c r="H11587" s="629"/>
      <c r="I11587" s="629"/>
      <c r="J11587" s="629"/>
      <c r="K11587" s="629"/>
      <c r="L11587" s="629"/>
      <c r="M11587" s="629"/>
      <c r="N11587" s="629"/>
      <c r="O11587" s="629"/>
      <c r="P11587" s="629"/>
      <c r="Q11587" s="629"/>
      <c r="R11587" s="629"/>
    </row>
    <row r="11588" spans="1:18" ht="24">
      <c r="A11588" s="309">
        <v>44</v>
      </c>
      <c r="B11588" s="306" t="s">
        <v>21164</v>
      </c>
      <c r="C11588" s="310" t="s">
        <v>21165</v>
      </c>
      <c r="D11588" s="311">
        <v>70.91</v>
      </c>
      <c r="E11588" s="311">
        <v>26.5</v>
      </c>
      <c r="F11588" s="311">
        <v>2.57</v>
      </c>
      <c r="G11588" s="311">
        <v>41.84</v>
      </c>
      <c r="H11588" s="312">
        <v>526.04999999999995</v>
      </c>
      <c r="I11588" s="312">
        <v>304.76</v>
      </c>
      <c r="J11588" s="312">
        <v>13.94</v>
      </c>
      <c r="K11588" s="312">
        <v>207.35</v>
      </c>
      <c r="L11588" s="43">
        <v>7.4185587364264558</v>
      </c>
      <c r="M11588" s="43">
        <v>11.500377358490566</v>
      </c>
      <c r="N11588" s="43">
        <v>5.4241245136186773</v>
      </c>
      <c r="O11588" s="43">
        <v>4.9557839388145313</v>
      </c>
      <c r="P11588" s="313"/>
      <c r="Q11588" s="313"/>
      <c r="R11588" s="313">
        <v>6</v>
      </c>
    </row>
    <row r="11589" spans="1:18" ht="24">
      <c r="A11589" s="309">
        <v>45</v>
      </c>
      <c r="B11589" s="306" t="s">
        <v>21166</v>
      </c>
      <c r="C11589" s="310" t="s">
        <v>21167</v>
      </c>
      <c r="D11589" s="311">
        <v>84.43</v>
      </c>
      <c r="E11589" s="311">
        <v>39.75</v>
      </c>
      <c r="F11589" s="311">
        <v>2.57</v>
      </c>
      <c r="G11589" s="311">
        <v>42.11</v>
      </c>
      <c r="H11589" s="312">
        <v>681.53</v>
      </c>
      <c r="I11589" s="312">
        <v>457.14</v>
      </c>
      <c r="J11589" s="312">
        <v>13.94</v>
      </c>
      <c r="K11589" s="312">
        <v>210.45</v>
      </c>
      <c r="L11589" s="43">
        <v>8.072130759208811</v>
      </c>
      <c r="M11589" s="43">
        <v>11.500377358490566</v>
      </c>
      <c r="N11589" s="43">
        <v>5.4241245136186773</v>
      </c>
      <c r="O11589" s="43">
        <v>4.9976252671574448</v>
      </c>
      <c r="P11589" s="313"/>
      <c r="Q11589" s="313"/>
      <c r="R11589" s="313">
        <v>6</v>
      </c>
    </row>
    <row r="11590" spans="1:18" ht="12.75" customHeight="1">
      <c r="A11590" s="628" t="s">
        <v>21168</v>
      </c>
      <c r="B11590" s="629"/>
      <c r="C11590" s="629"/>
      <c r="D11590" s="629"/>
      <c r="E11590" s="629"/>
      <c r="F11590" s="629"/>
      <c r="G11590" s="629"/>
      <c r="H11590" s="629"/>
      <c r="I11590" s="629"/>
      <c r="J11590" s="629"/>
      <c r="K11590" s="629"/>
      <c r="L11590" s="629"/>
      <c r="M11590" s="629"/>
      <c r="N11590" s="629"/>
      <c r="O11590" s="629"/>
      <c r="P11590" s="629"/>
      <c r="Q11590" s="629"/>
      <c r="R11590" s="629"/>
    </row>
    <row r="11591" spans="1:18" ht="24">
      <c r="A11591" s="309">
        <v>46</v>
      </c>
      <c r="B11591" s="306" t="s">
        <v>21169</v>
      </c>
      <c r="C11591" s="310" t="s">
        <v>21170</v>
      </c>
      <c r="D11591" s="311">
        <v>70.87</v>
      </c>
      <c r="E11591" s="311">
        <v>53</v>
      </c>
      <c r="F11591" s="311">
        <v>2.57</v>
      </c>
      <c r="G11591" s="311">
        <v>15.3</v>
      </c>
      <c r="H11591" s="312">
        <v>704.53</v>
      </c>
      <c r="I11591" s="312">
        <v>609.52</v>
      </c>
      <c r="J11591" s="312">
        <v>13.94</v>
      </c>
      <c r="K11591" s="312">
        <v>81.069999999999993</v>
      </c>
      <c r="L11591" s="43">
        <v>9.941159870184844</v>
      </c>
      <c r="M11591" s="43">
        <v>11.500377358490566</v>
      </c>
      <c r="N11591" s="43">
        <v>5.4241245136186773</v>
      </c>
      <c r="O11591" s="43">
        <v>5.2986928104575153</v>
      </c>
      <c r="P11591" s="313"/>
      <c r="Q11591" s="313"/>
      <c r="R11591" s="313">
        <v>7</v>
      </c>
    </row>
    <row r="11592" spans="1:18" ht="24">
      <c r="A11592" s="309">
        <v>47</v>
      </c>
      <c r="B11592" s="306" t="s">
        <v>21171</v>
      </c>
      <c r="C11592" s="310" t="s">
        <v>21172</v>
      </c>
      <c r="D11592" s="311">
        <v>97.9</v>
      </c>
      <c r="E11592" s="311">
        <v>79.5</v>
      </c>
      <c r="F11592" s="311">
        <v>2.57</v>
      </c>
      <c r="G11592" s="311">
        <v>15.83</v>
      </c>
      <c r="H11592" s="312">
        <v>1015.39</v>
      </c>
      <c r="I11592" s="312">
        <v>914.28</v>
      </c>
      <c r="J11592" s="312">
        <v>13.94</v>
      </c>
      <c r="K11592" s="312">
        <v>87.17</v>
      </c>
      <c r="L11592" s="43">
        <v>10.37170582226762</v>
      </c>
      <c r="M11592" s="43">
        <v>11.500377358490566</v>
      </c>
      <c r="N11592" s="43">
        <v>5.4241245136186773</v>
      </c>
      <c r="O11592" s="43">
        <v>5.5066329753632344</v>
      </c>
      <c r="P11592" s="313"/>
      <c r="Q11592" s="313"/>
      <c r="R11592" s="313">
        <v>7</v>
      </c>
    </row>
    <row r="11593" spans="1:18" ht="12.75" customHeight="1">
      <c r="A11593" s="628" t="s">
        <v>21173</v>
      </c>
      <c r="B11593" s="629"/>
      <c r="C11593" s="629"/>
      <c r="D11593" s="629"/>
      <c r="E11593" s="629"/>
      <c r="F11593" s="629"/>
      <c r="G11593" s="629"/>
      <c r="H11593" s="629"/>
      <c r="I11593" s="629"/>
      <c r="J11593" s="629"/>
      <c r="K11593" s="629"/>
      <c r="L11593" s="629"/>
      <c r="M11593" s="629"/>
      <c r="N11593" s="629"/>
      <c r="O11593" s="629"/>
      <c r="P11593" s="629"/>
      <c r="Q11593" s="629"/>
      <c r="R11593" s="629"/>
    </row>
    <row r="11594" spans="1:18" ht="36">
      <c r="A11594" s="309">
        <v>48</v>
      </c>
      <c r="B11594" s="306" t="s">
        <v>21174</v>
      </c>
      <c r="C11594" s="310" t="s">
        <v>21175</v>
      </c>
      <c r="D11594" s="311">
        <v>208.85</v>
      </c>
      <c r="E11594" s="311">
        <v>26.5</v>
      </c>
      <c r="F11594" s="311"/>
      <c r="G11594" s="311">
        <v>182.35</v>
      </c>
      <c r="H11594" s="312">
        <v>1159.93</v>
      </c>
      <c r="I11594" s="312">
        <v>304.76</v>
      </c>
      <c r="J11594" s="312"/>
      <c r="K11594" s="312">
        <v>855.17</v>
      </c>
      <c r="L11594" s="43">
        <v>5.5538903519272207</v>
      </c>
      <c r="M11594" s="43">
        <v>11.500377358490566</v>
      </c>
      <c r="N11594" s="43" t="s">
        <v>1690</v>
      </c>
      <c r="O11594" s="43">
        <v>4.6897175760899366</v>
      </c>
      <c r="P11594" s="313"/>
      <c r="Q11594" s="313"/>
      <c r="R11594" s="313">
        <v>8</v>
      </c>
    </row>
    <row r="11595" spans="1:18" ht="36">
      <c r="A11595" s="309">
        <v>49</v>
      </c>
      <c r="B11595" s="306" t="s">
        <v>21176</v>
      </c>
      <c r="C11595" s="310" t="s">
        <v>21177</v>
      </c>
      <c r="D11595" s="311">
        <v>111.28</v>
      </c>
      <c r="E11595" s="311">
        <v>13.25</v>
      </c>
      <c r="F11595" s="311"/>
      <c r="G11595" s="311">
        <v>98.03</v>
      </c>
      <c r="H11595" s="312">
        <v>610.52</v>
      </c>
      <c r="I11595" s="312">
        <v>152.38</v>
      </c>
      <c r="J11595" s="312"/>
      <c r="K11595" s="312">
        <v>458.14</v>
      </c>
      <c r="L11595" s="43">
        <v>5.4863407620416966</v>
      </c>
      <c r="M11595" s="43">
        <v>11.500377358490566</v>
      </c>
      <c r="N11595" s="43" t="s">
        <v>1690</v>
      </c>
      <c r="O11595" s="43">
        <v>4.6734673059267573</v>
      </c>
      <c r="P11595" s="313"/>
      <c r="Q11595" s="313"/>
      <c r="R11595" s="313">
        <v>8</v>
      </c>
    </row>
    <row r="11596" spans="1:18" ht="36">
      <c r="A11596" s="309">
        <v>50</v>
      </c>
      <c r="B11596" s="306" t="s">
        <v>21178</v>
      </c>
      <c r="C11596" s="310" t="s">
        <v>21179</v>
      </c>
      <c r="D11596" s="311">
        <v>410.79</v>
      </c>
      <c r="E11596" s="311">
        <v>26.5</v>
      </c>
      <c r="F11596" s="311"/>
      <c r="G11596" s="311">
        <v>384.29</v>
      </c>
      <c r="H11596" s="312">
        <v>2103.27</v>
      </c>
      <c r="I11596" s="312">
        <v>304.76</v>
      </c>
      <c r="J11596" s="312"/>
      <c r="K11596" s="312">
        <v>1798.51</v>
      </c>
      <c r="L11596" s="43">
        <v>5.120061345212882</v>
      </c>
      <c r="M11596" s="43">
        <v>11.500377358490566</v>
      </c>
      <c r="N11596" s="43" t="s">
        <v>1690</v>
      </c>
      <c r="O11596" s="43">
        <v>4.6800853522079677</v>
      </c>
      <c r="P11596" s="313"/>
      <c r="Q11596" s="313"/>
      <c r="R11596" s="313">
        <v>8</v>
      </c>
    </row>
    <row r="11597" spans="1:18" ht="36">
      <c r="A11597" s="309">
        <v>51</v>
      </c>
      <c r="B11597" s="306" t="s">
        <v>21180</v>
      </c>
      <c r="C11597" s="310" t="s">
        <v>21181</v>
      </c>
      <c r="D11597" s="311">
        <v>259.06</v>
      </c>
      <c r="E11597" s="311">
        <v>53</v>
      </c>
      <c r="F11597" s="311"/>
      <c r="G11597" s="311">
        <v>206.06</v>
      </c>
      <c r="H11597" s="312">
        <v>1578.45</v>
      </c>
      <c r="I11597" s="312">
        <v>609.52</v>
      </c>
      <c r="J11597" s="312"/>
      <c r="K11597" s="312">
        <v>968.93</v>
      </c>
      <c r="L11597" s="43">
        <v>6.0929900409171625</v>
      </c>
      <c r="M11597" s="43">
        <v>11.500377358490566</v>
      </c>
      <c r="N11597" s="43" t="s">
        <v>1690</v>
      </c>
      <c r="O11597" s="43">
        <v>4.7021741240415409</v>
      </c>
      <c r="P11597" s="313"/>
      <c r="Q11597" s="313"/>
      <c r="R11597" s="313">
        <v>8</v>
      </c>
    </row>
    <row r="11598" spans="1:18" ht="36">
      <c r="A11598" s="309">
        <v>52</v>
      </c>
      <c r="B11598" s="306" t="s">
        <v>21182</v>
      </c>
      <c r="C11598" s="310" t="s">
        <v>21183</v>
      </c>
      <c r="D11598" s="311">
        <v>218.52</v>
      </c>
      <c r="E11598" s="311">
        <v>13.25</v>
      </c>
      <c r="F11598" s="311"/>
      <c r="G11598" s="311">
        <v>205.27</v>
      </c>
      <c r="H11598" s="312">
        <v>1112.23</v>
      </c>
      <c r="I11598" s="312">
        <v>152.38</v>
      </c>
      <c r="J11598" s="312"/>
      <c r="K11598" s="312">
        <v>959.85</v>
      </c>
      <c r="L11598" s="43">
        <v>5.0898315943620718</v>
      </c>
      <c r="M11598" s="43">
        <v>11.500377358490566</v>
      </c>
      <c r="N11598" s="43" t="s">
        <v>1690</v>
      </c>
      <c r="O11598" s="43">
        <v>4.6760364398109804</v>
      </c>
      <c r="P11598" s="313"/>
      <c r="Q11598" s="313"/>
      <c r="R11598" s="313">
        <v>8</v>
      </c>
    </row>
    <row r="11599" spans="1:18" ht="12.75" customHeight="1">
      <c r="A11599" s="628" t="s">
        <v>21184</v>
      </c>
      <c r="B11599" s="629"/>
      <c r="C11599" s="629"/>
      <c r="D11599" s="629"/>
      <c r="E11599" s="629"/>
      <c r="F11599" s="629"/>
      <c r="G11599" s="629"/>
      <c r="H11599" s="629"/>
      <c r="I11599" s="629"/>
      <c r="J11599" s="629"/>
      <c r="K11599" s="629"/>
      <c r="L11599" s="629"/>
      <c r="M11599" s="629"/>
      <c r="N11599" s="629"/>
      <c r="O11599" s="629"/>
      <c r="P11599" s="629"/>
      <c r="Q11599" s="629"/>
      <c r="R11599" s="629"/>
    </row>
    <row r="11600" spans="1:18" ht="24">
      <c r="A11600" s="309">
        <v>53</v>
      </c>
      <c r="B11600" s="306" t="s">
        <v>21185</v>
      </c>
      <c r="C11600" s="310" t="s">
        <v>21186</v>
      </c>
      <c r="D11600" s="311">
        <v>2138</v>
      </c>
      <c r="E11600" s="311">
        <v>851.98</v>
      </c>
      <c r="F11600" s="311">
        <v>604.64</v>
      </c>
      <c r="G11600" s="311">
        <v>681.38</v>
      </c>
      <c r="H11600" s="312">
        <v>15870.58</v>
      </c>
      <c r="I11600" s="312">
        <v>9798.0300000000007</v>
      </c>
      <c r="J11600" s="312">
        <v>3283.48</v>
      </c>
      <c r="K11600" s="312">
        <v>2789.07</v>
      </c>
      <c r="L11600" s="43">
        <v>7.4230963517305897</v>
      </c>
      <c r="M11600" s="43">
        <v>11.5003051714829</v>
      </c>
      <c r="N11600" s="43">
        <v>5.430471024080445</v>
      </c>
      <c r="O11600" s="43">
        <v>4.0932666060054599</v>
      </c>
      <c r="P11600" s="313"/>
      <c r="Q11600" s="313"/>
      <c r="R11600" s="313">
        <v>9</v>
      </c>
    </row>
    <row r="11601" spans="1:18" ht="24">
      <c r="A11601" s="309">
        <v>54</v>
      </c>
      <c r="B11601" s="306" t="s">
        <v>21187</v>
      </c>
      <c r="C11601" s="310" t="s">
        <v>21188</v>
      </c>
      <c r="D11601" s="311">
        <v>2617.52</v>
      </c>
      <c r="E11601" s="311">
        <v>1140.83</v>
      </c>
      <c r="F11601" s="311">
        <v>604.64</v>
      </c>
      <c r="G11601" s="311">
        <v>872.05</v>
      </c>
      <c r="H11601" s="312">
        <v>19941.060000000001</v>
      </c>
      <c r="I11601" s="312">
        <v>13119.92</v>
      </c>
      <c r="J11601" s="312">
        <v>3283.48</v>
      </c>
      <c r="K11601" s="312">
        <v>3537.66</v>
      </c>
      <c r="L11601" s="43">
        <v>7.6183028209908619</v>
      </c>
      <c r="M11601" s="43">
        <v>11.500328708045897</v>
      </c>
      <c r="N11601" s="43">
        <v>5.430471024080445</v>
      </c>
      <c r="O11601" s="43">
        <v>4.056716931368614</v>
      </c>
      <c r="P11601" s="313"/>
      <c r="Q11601" s="313"/>
      <c r="R11601" s="313">
        <v>9</v>
      </c>
    </row>
    <row r="11602" spans="1:18" ht="36">
      <c r="A11602" s="309">
        <v>55</v>
      </c>
      <c r="B11602" s="306" t="s">
        <v>21189</v>
      </c>
      <c r="C11602" s="310" t="s">
        <v>21190</v>
      </c>
      <c r="D11602" s="311">
        <v>1960.95</v>
      </c>
      <c r="E11602" s="311">
        <v>678.4</v>
      </c>
      <c r="F11602" s="311">
        <v>604.64</v>
      </c>
      <c r="G11602" s="311">
        <v>677.91</v>
      </c>
      <c r="H11602" s="312">
        <v>13834.51</v>
      </c>
      <c r="I11602" s="312">
        <v>7801.86</v>
      </c>
      <c r="J11602" s="312">
        <v>3283.48</v>
      </c>
      <c r="K11602" s="312">
        <v>2749.17</v>
      </c>
      <c r="L11602" s="43">
        <v>7.0550039521660421</v>
      </c>
      <c r="M11602" s="43">
        <v>11.500383254716981</v>
      </c>
      <c r="N11602" s="43">
        <v>5.430471024080445</v>
      </c>
      <c r="O11602" s="43">
        <v>4.0553613311501531</v>
      </c>
      <c r="P11602" s="313"/>
      <c r="Q11602" s="313"/>
      <c r="R11602" s="313">
        <v>9</v>
      </c>
    </row>
    <row r="11603" spans="1:18" ht="36">
      <c r="A11603" s="309">
        <v>56</v>
      </c>
      <c r="B11603" s="306" t="s">
        <v>21191</v>
      </c>
      <c r="C11603" s="310" t="s">
        <v>21192</v>
      </c>
      <c r="D11603" s="311">
        <v>2293.16</v>
      </c>
      <c r="E11603" s="311">
        <v>822.83</v>
      </c>
      <c r="F11603" s="311">
        <v>604.64</v>
      </c>
      <c r="G11603" s="311">
        <v>865.69</v>
      </c>
      <c r="H11603" s="312">
        <v>16210.8</v>
      </c>
      <c r="I11603" s="312">
        <v>9462.7999999999993</v>
      </c>
      <c r="J11603" s="312">
        <v>3283.48</v>
      </c>
      <c r="K11603" s="312">
        <v>3464.52</v>
      </c>
      <c r="L11603" s="43">
        <v>7.0691970904777692</v>
      </c>
      <c r="M11603" s="43">
        <v>11.500309906055927</v>
      </c>
      <c r="N11603" s="43">
        <v>5.430471024080445</v>
      </c>
      <c r="O11603" s="43">
        <v>4.0020330603333756</v>
      </c>
      <c r="P11603" s="313"/>
      <c r="Q11603" s="313"/>
      <c r="R11603" s="313">
        <v>9</v>
      </c>
    </row>
    <row r="11604" spans="1:18" ht="24">
      <c r="A11604" s="309">
        <v>57</v>
      </c>
      <c r="B11604" s="306" t="s">
        <v>21193</v>
      </c>
      <c r="C11604" s="310" t="s">
        <v>21194</v>
      </c>
      <c r="D11604" s="311">
        <v>4096.76</v>
      </c>
      <c r="E11604" s="311">
        <v>1484</v>
      </c>
      <c r="F11604" s="311">
        <v>604.64</v>
      </c>
      <c r="G11604" s="311">
        <v>2008.12</v>
      </c>
      <c r="H11604" s="312">
        <v>28059.200000000001</v>
      </c>
      <c r="I11604" s="312">
        <v>17066.560000000001</v>
      </c>
      <c r="J11604" s="312">
        <v>3283.48</v>
      </c>
      <c r="K11604" s="312">
        <v>7709.16</v>
      </c>
      <c r="L11604" s="43">
        <v>6.8491197922260518</v>
      </c>
      <c r="M11604" s="43">
        <v>11.500377358490567</v>
      </c>
      <c r="N11604" s="43">
        <v>5.430471024080445</v>
      </c>
      <c r="O11604" s="43">
        <v>3.8389936856363165</v>
      </c>
      <c r="P11604" s="313"/>
      <c r="Q11604" s="313"/>
      <c r="R11604" s="313">
        <v>9</v>
      </c>
    </row>
    <row r="11605" spans="1:18" ht="24">
      <c r="A11605" s="309">
        <v>58</v>
      </c>
      <c r="B11605" s="306" t="s">
        <v>21195</v>
      </c>
      <c r="C11605" s="310" t="s">
        <v>21196</v>
      </c>
      <c r="D11605" s="311">
        <v>5542.01</v>
      </c>
      <c r="E11605" s="311">
        <v>2279</v>
      </c>
      <c r="F11605" s="311">
        <v>604.64</v>
      </c>
      <c r="G11605" s="311">
        <v>2658.37</v>
      </c>
      <c r="H11605" s="312">
        <v>40342.269999999997</v>
      </c>
      <c r="I11605" s="312">
        <v>26209.360000000001</v>
      </c>
      <c r="J11605" s="312">
        <v>3283.48</v>
      </c>
      <c r="K11605" s="312">
        <v>10849.43</v>
      </c>
      <c r="L11605" s="43">
        <v>7.2793571285508314</v>
      </c>
      <c r="M11605" s="43">
        <v>11.500377358490566</v>
      </c>
      <c r="N11605" s="43">
        <v>5.430471024080445</v>
      </c>
      <c r="O11605" s="43">
        <v>4.0812339892490517</v>
      </c>
      <c r="P11605" s="313"/>
      <c r="Q11605" s="313"/>
      <c r="R11605" s="313">
        <v>9</v>
      </c>
    </row>
    <row r="11606" spans="1:18" ht="36">
      <c r="A11606" s="309">
        <v>59</v>
      </c>
      <c r="B11606" s="306" t="s">
        <v>21197</v>
      </c>
      <c r="C11606" s="310" t="s">
        <v>21198</v>
      </c>
      <c r="D11606" s="311">
        <v>3925.31</v>
      </c>
      <c r="E11606" s="311">
        <v>1025.55</v>
      </c>
      <c r="F11606" s="311">
        <v>604.64</v>
      </c>
      <c r="G11606" s="311">
        <v>2295.12</v>
      </c>
      <c r="H11606" s="312">
        <v>24140.92</v>
      </c>
      <c r="I11606" s="312">
        <v>11794.21</v>
      </c>
      <c r="J11606" s="312">
        <v>3283.48</v>
      </c>
      <c r="K11606" s="312">
        <v>9063.23</v>
      </c>
      <c r="L11606" s="43">
        <v>6.1500671284560964</v>
      </c>
      <c r="M11606" s="43">
        <v>11.500375408317488</v>
      </c>
      <c r="N11606" s="43">
        <v>5.430471024080445</v>
      </c>
      <c r="O11606" s="43">
        <v>3.948913346578828</v>
      </c>
      <c r="P11606" s="313"/>
      <c r="Q11606" s="313"/>
      <c r="R11606" s="313">
        <v>9</v>
      </c>
    </row>
    <row r="11607" spans="1:18" ht="36">
      <c r="A11607" s="309">
        <v>60</v>
      </c>
      <c r="B11607" s="306" t="s">
        <v>21199</v>
      </c>
      <c r="C11607" s="310" t="s">
        <v>21200</v>
      </c>
      <c r="D11607" s="311">
        <v>4622.99</v>
      </c>
      <c r="E11607" s="311">
        <v>1378</v>
      </c>
      <c r="F11607" s="311">
        <v>604.64</v>
      </c>
      <c r="G11607" s="311">
        <v>2640.35</v>
      </c>
      <c r="H11607" s="312">
        <v>29773.200000000001</v>
      </c>
      <c r="I11607" s="312">
        <v>15847.52</v>
      </c>
      <c r="J11607" s="312">
        <v>3283.48</v>
      </c>
      <c r="K11607" s="312">
        <v>10642.2</v>
      </c>
      <c r="L11607" s="43">
        <v>6.4402475454197399</v>
      </c>
      <c r="M11607" s="43">
        <v>11.500377358490566</v>
      </c>
      <c r="N11607" s="43">
        <v>5.430471024080445</v>
      </c>
      <c r="O11607" s="43">
        <v>4.0306020035222607</v>
      </c>
      <c r="P11607" s="313"/>
      <c r="Q11607" s="313"/>
      <c r="R11607" s="313">
        <v>9</v>
      </c>
    </row>
    <row r="11608" spans="1:18" ht="36">
      <c r="A11608" s="309">
        <v>61</v>
      </c>
      <c r="B11608" s="306" t="s">
        <v>21201</v>
      </c>
      <c r="C11608" s="310" t="s">
        <v>21202</v>
      </c>
      <c r="D11608" s="311">
        <v>1234.1199999999999</v>
      </c>
      <c r="E11608" s="311">
        <v>592.28</v>
      </c>
      <c r="F11608" s="311">
        <v>96.49</v>
      </c>
      <c r="G11608" s="311">
        <v>545.35</v>
      </c>
      <c r="H11608" s="312">
        <v>9520.61</v>
      </c>
      <c r="I11608" s="312">
        <v>6811.39</v>
      </c>
      <c r="J11608" s="312">
        <v>524.66999999999996</v>
      </c>
      <c r="K11608" s="312">
        <v>2184.5500000000002</v>
      </c>
      <c r="L11608" s="43">
        <v>7.7144929180306629</v>
      </c>
      <c r="M11608" s="43">
        <v>11.500287026406431</v>
      </c>
      <c r="N11608" s="43">
        <v>5.4375582961964968</v>
      </c>
      <c r="O11608" s="43">
        <v>4.0057761070871916</v>
      </c>
      <c r="P11608" s="313"/>
      <c r="Q11608" s="313"/>
      <c r="R11608" s="313">
        <v>9</v>
      </c>
    </row>
    <row r="11609" spans="1:18" ht="36">
      <c r="A11609" s="309">
        <v>62</v>
      </c>
      <c r="B11609" s="306" t="s">
        <v>21203</v>
      </c>
      <c r="C11609" s="310" t="s">
        <v>21204</v>
      </c>
      <c r="D11609" s="311">
        <v>1159.78</v>
      </c>
      <c r="E11609" s="311">
        <v>519.4</v>
      </c>
      <c r="F11609" s="311">
        <v>96.49</v>
      </c>
      <c r="G11609" s="311">
        <v>543.89</v>
      </c>
      <c r="H11609" s="312">
        <v>8665.73</v>
      </c>
      <c r="I11609" s="312">
        <v>5973.3</v>
      </c>
      <c r="J11609" s="312">
        <v>524.66999999999996</v>
      </c>
      <c r="K11609" s="312">
        <v>2167.7600000000002</v>
      </c>
      <c r="L11609" s="43">
        <v>7.471873976098915</v>
      </c>
      <c r="M11609" s="43">
        <v>11.500385059684252</v>
      </c>
      <c r="N11609" s="43">
        <v>5.4375582961964968</v>
      </c>
      <c r="O11609" s="43">
        <v>3.9856588648439946</v>
      </c>
      <c r="P11609" s="313"/>
      <c r="Q11609" s="313"/>
      <c r="R11609" s="313">
        <v>9</v>
      </c>
    </row>
    <row r="11610" spans="1:18" ht="36">
      <c r="A11610" s="309">
        <v>63</v>
      </c>
      <c r="B11610" s="306" t="s">
        <v>21205</v>
      </c>
      <c r="C11610" s="310" t="s">
        <v>21206</v>
      </c>
      <c r="D11610" s="311">
        <v>1146.26</v>
      </c>
      <c r="E11610" s="311">
        <v>506.15</v>
      </c>
      <c r="F11610" s="311">
        <v>96.49</v>
      </c>
      <c r="G11610" s="311">
        <v>543.62</v>
      </c>
      <c r="H11610" s="312">
        <v>8510.24</v>
      </c>
      <c r="I11610" s="312">
        <v>5820.92</v>
      </c>
      <c r="J11610" s="312">
        <v>524.66999999999996</v>
      </c>
      <c r="K11610" s="312">
        <v>2164.65</v>
      </c>
      <c r="L11610" s="43">
        <v>7.4243539860066647</v>
      </c>
      <c r="M11610" s="43">
        <v>11.50038526128618</v>
      </c>
      <c r="N11610" s="43">
        <v>5.4375582961964968</v>
      </c>
      <c r="O11610" s="43">
        <v>3.9819175159118503</v>
      </c>
      <c r="P11610" s="313"/>
      <c r="Q11610" s="313"/>
      <c r="R11610" s="313">
        <v>9</v>
      </c>
    </row>
    <row r="11611" spans="1:18" ht="12.75" customHeight="1">
      <c r="A11611" s="628" t="s">
        <v>21207</v>
      </c>
      <c r="B11611" s="629"/>
      <c r="C11611" s="629"/>
      <c r="D11611" s="629"/>
      <c r="E11611" s="629"/>
      <c r="F11611" s="629"/>
      <c r="G11611" s="629"/>
      <c r="H11611" s="629"/>
      <c r="I11611" s="629"/>
      <c r="J11611" s="629"/>
      <c r="K11611" s="629"/>
      <c r="L11611" s="629"/>
      <c r="M11611" s="629"/>
      <c r="N11611" s="629"/>
      <c r="O11611" s="629"/>
      <c r="P11611" s="629"/>
      <c r="Q11611" s="629"/>
      <c r="R11611" s="629"/>
    </row>
    <row r="11612" spans="1:18" ht="24">
      <c r="A11612" s="309">
        <v>64</v>
      </c>
      <c r="B11612" s="306" t="s">
        <v>21208</v>
      </c>
      <c r="C11612" s="310" t="s">
        <v>21209</v>
      </c>
      <c r="D11612" s="311">
        <v>30.88</v>
      </c>
      <c r="E11612" s="311">
        <v>13.25</v>
      </c>
      <c r="F11612" s="311"/>
      <c r="G11612" s="311">
        <v>17.63</v>
      </c>
      <c r="H11612" s="312">
        <v>273.18</v>
      </c>
      <c r="I11612" s="312">
        <v>152.38</v>
      </c>
      <c r="J11612" s="312"/>
      <c r="K11612" s="312">
        <v>120.8</v>
      </c>
      <c r="L11612" s="43">
        <v>8.846502590673575</v>
      </c>
      <c r="M11612" s="43">
        <v>11.500377358490566</v>
      </c>
      <c r="N11612" s="43" t="s">
        <v>1690</v>
      </c>
      <c r="O11612" s="43">
        <v>6.8519568916619402</v>
      </c>
      <c r="P11612" s="313"/>
      <c r="Q11612" s="313"/>
      <c r="R11612" s="313">
        <v>10</v>
      </c>
    </row>
    <row r="11613" spans="1:18" ht="12.75" customHeight="1">
      <c r="A11613" s="628" t="s">
        <v>21210</v>
      </c>
      <c r="B11613" s="629"/>
      <c r="C11613" s="629"/>
      <c r="D11613" s="629"/>
      <c r="E11613" s="629"/>
      <c r="F11613" s="629"/>
      <c r="G11613" s="629"/>
      <c r="H11613" s="629"/>
      <c r="I11613" s="629"/>
      <c r="J11613" s="629"/>
      <c r="K11613" s="629"/>
      <c r="L11613" s="629"/>
      <c r="M11613" s="629"/>
      <c r="N11613" s="629"/>
      <c r="O11613" s="629"/>
      <c r="P11613" s="629"/>
      <c r="Q11613" s="629"/>
      <c r="R11613" s="629"/>
    </row>
    <row r="11614" spans="1:18" ht="24">
      <c r="A11614" s="309">
        <v>65</v>
      </c>
      <c r="B11614" s="306" t="s">
        <v>21211</v>
      </c>
      <c r="C11614" s="310" t="s">
        <v>21212</v>
      </c>
      <c r="D11614" s="311">
        <v>30.88</v>
      </c>
      <c r="E11614" s="311">
        <v>13.25</v>
      </c>
      <c r="F11614" s="311"/>
      <c r="G11614" s="311">
        <v>17.63</v>
      </c>
      <c r="H11614" s="312">
        <v>273.18</v>
      </c>
      <c r="I11614" s="312">
        <v>152.38</v>
      </c>
      <c r="J11614" s="312"/>
      <c r="K11614" s="312">
        <v>120.8</v>
      </c>
      <c r="L11614" s="43">
        <v>8.846502590673575</v>
      </c>
      <c r="M11614" s="43">
        <v>11.500377358490566</v>
      </c>
      <c r="N11614" s="43" t="s">
        <v>1690</v>
      </c>
      <c r="O11614" s="43">
        <v>6.8519568916619402</v>
      </c>
      <c r="P11614" s="313"/>
      <c r="Q11614" s="313"/>
      <c r="R11614" s="313">
        <v>11</v>
      </c>
    </row>
    <row r="11615" spans="1:18" ht="12.75" customHeight="1">
      <c r="A11615" s="628" t="s">
        <v>21213</v>
      </c>
      <c r="B11615" s="629"/>
      <c r="C11615" s="629"/>
      <c r="D11615" s="629"/>
      <c r="E11615" s="629"/>
      <c r="F11615" s="629"/>
      <c r="G11615" s="629"/>
      <c r="H11615" s="629"/>
      <c r="I11615" s="629"/>
      <c r="J11615" s="629"/>
      <c r="K11615" s="629"/>
      <c r="L11615" s="629"/>
      <c r="M11615" s="629"/>
      <c r="N11615" s="629"/>
      <c r="O11615" s="629"/>
      <c r="P11615" s="629"/>
      <c r="Q11615" s="629"/>
      <c r="R11615" s="629"/>
    </row>
    <row r="11616" spans="1:18" ht="24">
      <c r="A11616" s="309">
        <v>66</v>
      </c>
      <c r="B11616" s="306" t="s">
        <v>21214</v>
      </c>
      <c r="C11616" s="310" t="s">
        <v>21215</v>
      </c>
      <c r="D11616" s="311">
        <v>17704.41</v>
      </c>
      <c r="E11616" s="311">
        <v>3789.5</v>
      </c>
      <c r="F11616" s="311">
        <v>8406.4599999999991</v>
      </c>
      <c r="G11616" s="311">
        <v>5508.45</v>
      </c>
      <c r="H11616" s="312">
        <v>125182.96</v>
      </c>
      <c r="I11616" s="312">
        <v>43580.68</v>
      </c>
      <c r="J11616" s="312">
        <v>45376.22</v>
      </c>
      <c r="K11616" s="312">
        <v>36226.06</v>
      </c>
      <c r="L11616" s="43">
        <v>7.0707219274745672</v>
      </c>
      <c r="M11616" s="43">
        <v>11.500377358490566</v>
      </c>
      <c r="N11616" s="43">
        <v>5.3977798026755623</v>
      </c>
      <c r="O11616" s="43">
        <v>6.5764525410959527</v>
      </c>
      <c r="P11616" s="313"/>
      <c r="Q11616" s="313"/>
      <c r="R11616" s="313">
        <v>12</v>
      </c>
    </row>
    <row r="11617" spans="1:18" ht="12.75" customHeight="1">
      <c r="A11617" s="628" t="s">
        <v>21216</v>
      </c>
      <c r="B11617" s="629"/>
      <c r="C11617" s="629"/>
      <c r="D11617" s="629"/>
      <c r="E11617" s="629"/>
      <c r="F11617" s="629"/>
      <c r="G11617" s="629"/>
      <c r="H11617" s="629"/>
      <c r="I11617" s="629"/>
      <c r="J11617" s="629"/>
      <c r="K11617" s="629"/>
      <c r="L11617" s="629"/>
      <c r="M11617" s="629"/>
      <c r="N11617" s="629"/>
      <c r="O11617" s="629"/>
      <c r="P11617" s="629"/>
      <c r="Q11617" s="629"/>
      <c r="R11617" s="629"/>
    </row>
    <row r="11618" spans="1:18" ht="24">
      <c r="A11618" s="309">
        <v>67</v>
      </c>
      <c r="B11618" s="306" t="s">
        <v>21217</v>
      </c>
      <c r="C11618" s="310" t="s">
        <v>21215</v>
      </c>
      <c r="D11618" s="311">
        <v>19211.11</v>
      </c>
      <c r="E11618" s="311">
        <v>5127.75</v>
      </c>
      <c r="F11618" s="311">
        <v>3666.52</v>
      </c>
      <c r="G11618" s="311">
        <v>10416.84</v>
      </c>
      <c r="H11618" s="312">
        <v>134741.17000000001</v>
      </c>
      <c r="I11618" s="312">
        <v>58971.06</v>
      </c>
      <c r="J11618" s="312">
        <v>19995.259999999998</v>
      </c>
      <c r="K11618" s="312">
        <v>55774.85</v>
      </c>
      <c r="L11618" s="43">
        <v>7.0137108162932806</v>
      </c>
      <c r="M11618" s="43">
        <v>11.500377358490566</v>
      </c>
      <c r="N11618" s="43">
        <v>5.453470866107371</v>
      </c>
      <c r="O11618" s="43">
        <v>5.3542965045061646</v>
      </c>
      <c r="P11618" s="313"/>
      <c r="Q11618" s="313"/>
      <c r="R11618" s="313">
        <v>13</v>
      </c>
    </row>
    <row r="11619" spans="1:18" ht="12.75" customHeight="1">
      <c r="A11619" s="628" t="s">
        <v>21218</v>
      </c>
      <c r="B11619" s="629"/>
      <c r="C11619" s="629"/>
      <c r="D11619" s="629"/>
      <c r="E11619" s="629"/>
      <c r="F11619" s="629"/>
      <c r="G11619" s="629"/>
      <c r="H11619" s="629"/>
      <c r="I11619" s="629"/>
      <c r="J11619" s="629"/>
      <c r="K11619" s="629"/>
      <c r="L11619" s="629"/>
      <c r="M11619" s="629"/>
      <c r="N11619" s="629"/>
      <c r="O11619" s="629"/>
      <c r="P11619" s="629"/>
      <c r="Q11619" s="629"/>
      <c r="R11619" s="629"/>
    </row>
    <row r="11620" spans="1:18" ht="12.75" customHeight="1">
      <c r="A11620" s="628" t="s">
        <v>21219</v>
      </c>
      <c r="B11620" s="629"/>
      <c r="C11620" s="629"/>
      <c r="D11620" s="629"/>
      <c r="E11620" s="629"/>
      <c r="F11620" s="629"/>
      <c r="G11620" s="629"/>
      <c r="H11620" s="629"/>
      <c r="I11620" s="629"/>
      <c r="J11620" s="629"/>
      <c r="K11620" s="629"/>
      <c r="L11620" s="629"/>
      <c r="M11620" s="629"/>
      <c r="N11620" s="629"/>
      <c r="O11620" s="629"/>
      <c r="P11620" s="629"/>
      <c r="Q11620" s="629"/>
      <c r="R11620" s="629"/>
    </row>
    <row r="11621" spans="1:18" ht="24">
      <c r="A11621" s="309">
        <v>68</v>
      </c>
      <c r="B11621" s="306" t="s">
        <v>21220</v>
      </c>
      <c r="C11621" s="310" t="s">
        <v>21221</v>
      </c>
      <c r="D11621" s="311">
        <v>502.42</v>
      </c>
      <c r="E11621" s="311">
        <v>173.58</v>
      </c>
      <c r="F11621" s="311">
        <v>128.44</v>
      </c>
      <c r="G11621" s="311">
        <v>200.4</v>
      </c>
      <c r="H11621" s="312">
        <v>3987.52</v>
      </c>
      <c r="I11621" s="312">
        <v>1996.18</v>
      </c>
      <c r="J11621" s="312">
        <v>691.55</v>
      </c>
      <c r="K11621" s="312">
        <v>1299.79</v>
      </c>
      <c r="L11621" s="43">
        <v>7.9366267266430475</v>
      </c>
      <c r="M11621" s="43">
        <v>11.50005761032377</v>
      </c>
      <c r="N11621" s="43">
        <v>5.3842260977888508</v>
      </c>
      <c r="O11621" s="43">
        <v>6.4859780439121755</v>
      </c>
      <c r="P11621" s="313"/>
      <c r="Q11621" s="313"/>
      <c r="R11621" s="313">
        <v>1</v>
      </c>
    </row>
    <row r="11622" spans="1:18" ht="24">
      <c r="A11622" s="309">
        <v>69</v>
      </c>
      <c r="B11622" s="306" t="s">
        <v>21222</v>
      </c>
      <c r="C11622" s="310" t="s">
        <v>21223</v>
      </c>
      <c r="D11622" s="311">
        <v>560.36</v>
      </c>
      <c r="E11622" s="311">
        <v>202.73</v>
      </c>
      <c r="F11622" s="311">
        <v>156.44</v>
      </c>
      <c r="G11622" s="311">
        <v>201.19</v>
      </c>
      <c r="H11622" s="312">
        <v>4482.08</v>
      </c>
      <c r="I11622" s="312">
        <v>2331.41</v>
      </c>
      <c r="J11622" s="312">
        <v>842.4</v>
      </c>
      <c r="K11622" s="312">
        <v>1308.27</v>
      </c>
      <c r="L11622" s="43">
        <v>7.9985723463487757</v>
      </c>
      <c r="M11622" s="43">
        <v>11.500073990036009</v>
      </c>
      <c r="N11622" s="43">
        <v>5.3848120685246741</v>
      </c>
      <c r="O11622" s="43">
        <v>6.5026591778915455</v>
      </c>
      <c r="P11622" s="313"/>
      <c r="Q11622" s="313"/>
      <c r="R11622" s="313">
        <v>1</v>
      </c>
    </row>
    <row r="11623" spans="1:18" ht="24">
      <c r="A11623" s="309">
        <v>70</v>
      </c>
      <c r="B11623" s="306" t="s">
        <v>21224</v>
      </c>
      <c r="C11623" s="310" t="s">
        <v>21225</v>
      </c>
      <c r="D11623" s="311">
        <v>639.73</v>
      </c>
      <c r="E11623" s="311">
        <v>230.55</v>
      </c>
      <c r="F11623" s="311">
        <v>174.28</v>
      </c>
      <c r="G11623" s="311">
        <v>234.9</v>
      </c>
      <c r="H11623" s="312">
        <v>5116.97</v>
      </c>
      <c r="I11623" s="312">
        <v>2651.41</v>
      </c>
      <c r="J11623" s="312">
        <v>938.06</v>
      </c>
      <c r="K11623" s="312">
        <v>1527.5</v>
      </c>
      <c r="L11623" s="43">
        <v>7.9986400512716305</v>
      </c>
      <c r="M11623" s="43">
        <v>11.500368683582735</v>
      </c>
      <c r="N11623" s="43">
        <v>5.3824879504246042</v>
      </c>
      <c r="O11623" s="43">
        <v>6.5027671349510427</v>
      </c>
      <c r="P11623" s="313"/>
      <c r="Q11623" s="313"/>
      <c r="R11623" s="313">
        <v>1</v>
      </c>
    </row>
    <row r="11624" spans="1:18" ht="24">
      <c r="A11624" s="309">
        <v>71</v>
      </c>
      <c r="B11624" s="306" t="s">
        <v>21226</v>
      </c>
      <c r="C11624" s="310" t="s">
        <v>21227</v>
      </c>
      <c r="D11624" s="311">
        <v>842.93</v>
      </c>
      <c r="E11624" s="311">
        <v>303.43</v>
      </c>
      <c r="F11624" s="311">
        <v>236.4</v>
      </c>
      <c r="G11624" s="311">
        <v>303.10000000000002</v>
      </c>
      <c r="H11624" s="312">
        <v>6733.99</v>
      </c>
      <c r="I11624" s="312">
        <v>3489.5</v>
      </c>
      <c r="J11624" s="312">
        <v>1270.6199999999999</v>
      </c>
      <c r="K11624" s="312">
        <v>1973.87</v>
      </c>
      <c r="L11624" s="43">
        <v>7.9887891046706132</v>
      </c>
      <c r="M11624" s="43">
        <v>11.50018126091685</v>
      </c>
      <c r="N11624" s="43">
        <v>5.3748730964466995</v>
      </c>
      <c r="O11624" s="43">
        <v>6.5122731771692504</v>
      </c>
      <c r="P11624" s="313"/>
      <c r="Q11624" s="313"/>
      <c r="R11624" s="313">
        <v>1</v>
      </c>
    </row>
    <row r="11625" spans="1:18" ht="24">
      <c r="A11625" s="309">
        <v>72</v>
      </c>
      <c r="B11625" s="306" t="s">
        <v>21228</v>
      </c>
      <c r="C11625" s="310" t="s">
        <v>21229</v>
      </c>
      <c r="D11625" s="311">
        <v>2797.12</v>
      </c>
      <c r="E11625" s="311">
        <v>981.83</v>
      </c>
      <c r="F11625" s="311">
        <v>945.67</v>
      </c>
      <c r="G11625" s="311">
        <v>869.62</v>
      </c>
      <c r="H11625" s="312">
        <v>21917.18</v>
      </c>
      <c r="I11625" s="312">
        <v>11291.36</v>
      </c>
      <c r="J11625" s="312">
        <v>5140.22</v>
      </c>
      <c r="K11625" s="312">
        <v>5485.6</v>
      </c>
      <c r="L11625" s="43">
        <v>7.8356237844640209</v>
      </c>
      <c r="M11625" s="43">
        <v>11.500320829471498</v>
      </c>
      <c r="N11625" s="43">
        <v>5.4355324796176259</v>
      </c>
      <c r="O11625" s="43">
        <v>6.3080425933166211</v>
      </c>
      <c r="P11625" s="313"/>
      <c r="Q11625" s="313"/>
      <c r="R11625" s="313">
        <v>1</v>
      </c>
    </row>
    <row r="11626" spans="1:18" ht="24">
      <c r="A11626" s="309">
        <v>73</v>
      </c>
      <c r="B11626" s="306" t="s">
        <v>21230</v>
      </c>
      <c r="C11626" s="310" t="s">
        <v>21231</v>
      </c>
      <c r="D11626" s="311">
        <v>3691.52</v>
      </c>
      <c r="E11626" s="311">
        <v>1616.5</v>
      </c>
      <c r="F11626" s="311">
        <v>1287</v>
      </c>
      <c r="G11626" s="311">
        <v>788.02</v>
      </c>
      <c r="H11626" s="312">
        <v>30621.98</v>
      </c>
      <c r="I11626" s="312">
        <v>18590.36</v>
      </c>
      <c r="J11626" s="312">
        <v>6993.36</v>
      </c>
      <c r="K11626" s="312">
        <v>5038.26</v>
      </c>
      <c r="L11626" s="43">
        <v>8.2952225641470179</v>
      </c>
      <c r="M11626" s="43">
        <v>11.500377358490566</v>
      </c>
      <c r="N11626" s="43">
        <v>5.4338461538461535</v>
      </c>
      <c r="O11626" s="43">
        <v>6.3935686911499712</v>
      </c>
      <c r="P11626" s="313"/>
      <c r="Q11626" s="313"/>
      <c r="R11626" s="313">
        <v>1</v>
      </c>
    </row>
    <row r="11627" spans="1:18" ht="12.75" customHeight="1">
      <c r="A11627" s="628" t="s">
        <v>21232</v>
      </c>
      <c r="B11627" s="629"/>
      <c r="C11627" s="629"/>
      <c r="D11627" s="629"/>
      <c r="E11627" s="629"/>
      <c r="F11627" s="629"/>
      <c r="G11627" s="629"/>
      <c r="H11627" s="629"/>
      <c r="I11627" s="629"/>
      <c r="J11627" s="629"/>
      <c r="K11627" s="629"/>
      <c r="L11627" s="629"/>
      <c r="M11627" s="629"/>
      <c r="N11627" s="629"/>
      <c r="O11627" s="629"/>
      <c r="P11627" s="629"/>
      <c r="Q11627" s="629"/>
      <c r="R11627" s="629"/>
    </row>
    <row r="11628" spans="1:18" ht="36">
      <c r="A11628" s="309">
        <v>74</v>
      </c>
      <c r="B11628" s="306" t="s">
        <v>21233</v>
      </c>
      <c r="C11628" s="310" t="s">
        <v>21234</v>
      </c>
      <c r="D11628" s="311">
        <v>35538.51</v>
      </c>
      <c r="E11628" s="311">
        <v>2742.75</v>
      </c>
      <c r="F11628" s="311">
        <v>6463.76</v>
      </c>
      <c r="G11628" s="311">
        <v>26332</v>
      </c>
      <c r="H11628" s="312">
        <v>189403.3</v>
      </c>
      <c r="I11628" s="312">
        <v>31542.66</v>
      </c>
      <c r="J11628" s="312">
        <v>34837.69</v>
      </c>
      <c r="K11628" s="312">
        <v>123022.95</v>
      </c>
      <c r="L11628" s="43">
        <v>5.329522819048969</v>
      </c>
      <c r="M11628" s="43">
        <v>11.500377358490566</v>
      </c>
      <c r="N11628" s="43">
        <v>5.3896942336967957</v>
      </c>
      <c r="O11628" s="43">
        <v>4.6719941516026129</v>
      </c>
      <c r="P11628" s="313"/>
      <c r="Q11628" s="313"/>
      <c r="R11628" s="313">
        <v>2</v>
      </c>
    </row>
    <row r="11629" spans="1:18" ht="24">
      <c r="A11629" s="309">
        <v>75</v>
      </c>
      <c r="B11629" s="306" t="s">
        <v>21235</v>
      </c>
      <c r="C11629" s="310" t="s">
        <v>21236</v>
      </c>
      <c r="D11629" s="311">
        <v>37799.42</v>
      </c>
      <c r="E11629" s="311">
        <v>3259.5</v>
      </c>
      <c r="F11629" s="311">
        <v>7485.16</v>
      </c>
      <c r="G11629" s="311">
        <v>27054.76</v>
      </c>
      <c r="H11629" s="312">
        <v>204086.37</v>
      </c>
      <c r="I11629" s="312">
        <v>37485.480000000003</v>
      </c>
      <c r="J11629" s="312">
        <v>40324.519999999997</v>
      </c>
      <c r="K11629" s="312">
        <v>126276.37</v>
      </c>
      <c r="L11629" s="43">
        <v>5.3991931622231242</v>
      </c>
      <c r="M11629" s="43">
        <v>11.500377358490567</v>
      </c>
      <c r="N11629" s="43">
        <v>5.3872622629309186</v>
      </c>
      <c r="O11629" s="43">
        <v>4.6674363402225705</v>
      </c>
      <c r="P11629" s="313"/>
      <c r="Q11629" s="313"/>
      <c r="R11629" s="313">
        <v>2</v>
      </c>
    </row>
    <row r="11630" spans="1:18" ht="24">
      <c r="A11630" s="309">
        <v>76</v>
      </c>
      <c r="B11630" s="306" t="s">
        <v>21237</v>
      </c>
      <c r="C11630" s="310" t="s">
        <v>21238</v>
      </c>
      <c r="D11630" s="311">
        <v>48281.66</v>
      </c>
      <c r="E11630" s="311">
        <v>4690.5</v>
      </c>
      <c r="F11630" s="311">
        <v>10013.530000000001</v>
      </c>
      <c r="G11630" s="311">
        <v>33577.629999999997</v>
      </c>
      <c r="H11630" s="312">
        <v>264429.43</v>
      </c>
      <c r="I11630" s="312">
        <v>53942.52</v>
      </c>
      <c r="J11630" s="312">
        <v>53953.54</v>
      </c>
      <c r="K11630" s="312">
        <v>156533.37</v>
      </c>
      <c r="L11630" s="43">
        <v>5.476808999524871</v>
      </c>
      <c r="M11630" s="43">
        <v>11.500377358490566</v>
      </c>
      <c r="N11630" s="43">
        <v>5.3880639494763578</v>
      </c>
      <c r="O11630" s="43">
        <v>4.6618349776324299</v>
      </c>
      <c r="P11630" s="313"/>
      <c r="Q11630" s="313"/>
      <c r="R11630" s="313">
        <v>2</v>
      </c>
    </row>
    <row r="11631" spans="1:18" ht="36">
      <c r="A11631" s="309">
        <v>77</v>
      </c>
      <c r="B11631" s="306" t="s">
        <v>21239</v>
      </c>
      <c r="C11631" s="310" t="s">
        <v>21240</v>
      </c>
      <c r="D11631" s="311">
        <v>67082.259999999995</v>
      </c>
      <c r="E11631" s="311">
        <v>6293.75</v>
      </c>
      <c r="F11631" s="311">
        <v>13658.86</v>
      </c>
      <c r="G11631" s="311">
        <v>47129.65</v>
      </c>
      <c r="H11631" s="312">
        <v>365688.87</v>
      </c>
      <c r="I11631" s="312">
        <v>72380.5</v>
      </c>
      <c r="J11631" s="312">
        <v>73253.33</v>
      </c>
      <c r="K11631" s="312">
        <v>220055.04000000001</v>
      </c>
      <c r="L11631" s="43">
        <v>5.451349879983173</v>
      </c>
      <c r="M11631" s="43">
        <v>11.500377358490566</v>
      </c>
      <c r="N11631" s="43">
        <v>5.3630632424667946</v>
      </c>
      <c r="O11631" s="43">
        <v>4.6691422490937233</v>
      </c>
      <c r="P11631" s="313"/>
      <c r="Q11631" s="313"/>
      <c r="R11631" s="313">
        <v>2</v>
      </c>
    </row>
    <row r="11632" spans="1:18" ht="24">
      <c r="A11632" s="309">
        <v>78</v>
      </c>
      <c r="B11632" s="306" t="s">
        <v>21241</v>
      </c>
      <c r="C11632" s="310" t="s">
        <v>21242</v>
      </c>
      <c r="D11632" s="311">
        <v>104199.24</v>
      </c>
      <c r="E11632" s="311">
        <v>17887.5</v>
      </c>
      <c r="F11632" s="311">
        <v>22944.95</v>
      </c>
      <c r="G11632" s="311">
        <v>63366.79</v>
      </c>
      <c r="H11632" s="312">
        <v>632428.19999999995</v>
      </c>
      <c r="I11632" s="312">
        <v>205713</v>
      </c>
      <c r="J11632" s="312">
        <v>123098.46</v>
      </c>
      <c r="K11632" s="312">
        <v>303616.74</v>
      </c>
      <c r="L11632" s="43">
        <v>6.0694127903428079</v>
      </c>
      <c r="M11632" s="43">
        <v>11.500377358490566</v>
      </c>
      <c r="N11632" s="43">
        <v>5.3649478425535904</v>
      </c>
      <c r="O11632" s="43">
        <v>4.791417397030842</v>
      </c>
      <c r="P11632" s="313"/>
      <c r="Q11632" s="313"/>
      <c r="R11632" s="313">
        <v>2</v>
      </c>
    </row>
    <row r="11633" spans="1:18" ht="24">
      <c r="A11633" s="309">
        <v>79</v>
      </c>
      <c r="B11633" s="306" t="s">
        <v>21243</v>
      </c>
      <c r="C11633" s="310" t="s">
        <v>21244</v>
      </c>
      <c r="D11633" s="311">
        <v>167335.72</v>
      </c>
      <c r="E11633" s="311">
        <v>25850.75</v>
      </c>
      <c r="F11633" s="311">
        <v>44410.47</v>
      </c>
      <c r="G11633" s="311">
        <v>97074.5</v>
      </c>
      <c r="H11633" s="312">
        <v>1024192.47</v>
      </c>
      <c r="I11633" s="312">
        <v>297293.38</v>
      </c>
      <c r="J11633" s="312">
        <v>238512.32</v>
      </c>
      <c r="K11633" s="312">
        <v>488386.77</v>
      </c>
      <c r="L11633" s="43">
        <v>6.1205848338896196</v>
      </c>
      <c r="M11633" s="43">
        <v>11.500377358490566</v>
      </c>
      <c r="N11633" s="43">
        <v>5.3706326458603115</v>
      </c>
      <c r="O11633" s="43">
        <v>5.0310510999284057</v>
      </c>
      <c r="P11633" s="313"/>
      <c r="Q11633" s="313"/>
      <c r="R11633" s="313">
        <v>2</v>
      </c>
    </row>
    <row r="11634" spans="1:18" ht="24">
      <c r="A11634" s="309">
        <v>80</v>
      </c>
      <c r="B11634" s="306" t="s">
        <v>21245</v>
      </c>
      <c r="C11634" s="310" t="s">
        <v>21246</v>
      </c>
      <c r="D11634" s="311">
        <v>36630.769999999997</v>
      </c>
      <c r="E11634" s="311">
        <v>9314.75</v>
      </c>
      <c r="F11634" s="311">
        <v>6763.26</v>
      </c>
      <c r="G11634" s="311">
        <v>20552.759999999998</v>
      </c>
      <c r="H11634" s="312">
        <v>243814.83</v>
      </c>
      <c r="I11634" s="312">
        <v>107123.14</v>
      </c>
      <c r="J11634" s="312">
        <v>36860.910000000003</v>
      </c>
      <c r="K11634" s="312">
        <v>99830.78</v>
      </c>
      <c r="L11634" s="43">
        <v>6.6560115989917765</v>
      </c>
      <c r="M11634" s="43">
        <v>11.500377358490566</v>
      </c>
      <c r="N11634" s="43">
        <v>5.4501690013395914</v>
      </c>
      <c r="O11634" s="43">
        <v>4.8572931324065483</v>
      </c>
      <c r="P11634" s="313"/>
      <c r="Q11634" s="313"/>
      <c r="R11634" s="313">
        <v>2</v>
      </c>
    </row>
    <row r="11635" spans="1:18" ht="24">
      <c r="A11635" s="309">
        <v>81</v>
      </c>
      <c r="B11635" s="306" t="s">
        <v>21247</v>
      </c>
      <c r="C11635" s="310" t="s">
        <v>21248</v>
      </c>
      <c r="D11635" s="311">
        <v>40231.24</v>
      </c>
      <c r="E11635" s="311">
        <v>10454.25</v>
      </c>
      <c r="F11635" s="311">
        <v>8473.48</v>
      </c>
      <c r="G11635" s="311">
        <v>21303.51</v>
      </c>
      <c r="H11635" s="312">
        <v>269404.62</v>
      </c>
      <c r="I11635" s="312">
        <v>120227.82</v>
      </c>
      <c r="J11635" s="312">
        <v>46212.27</v>
      </c>
      <c r="K11635" s="312">
        <v>102964.53</v>
      </c>
      <c r="L11635" s="43">
        <v>6.6964035908413466</v>
      </c>
      <c r="M11635" s="43">
        <v>11.500377358490567</v>
      </c>
      <c r="N11635" s="43">
        <v>5.4537533575343309</v>
      </c>
      <c r="O11635" s="43">
        <v>4.8332190329199278</v>
      </c>
      <c r="P11635" s="313"/>
      <c r="Q11635" s="313"/>
      <c r="R11635" s="313">
        <v>2</v>
      </c>
    </row>
    <row r="11636" spans="1:18" ht="24">
      <c r="A11636" s="309">
        <v>82</v>
      </c>
      <c r="B11636" s="306" t="s">
        <v>21249</v>
      </c>
      <c r="C11636" s="310" t="s">
        <v>21250</v>
      </c>
      <c r="D11636" s="311">
        <v>49971.77</v>
      </c>
      <c r="E11636" s="311">
        <v>12097.25</v>
      </c>
      <c r="F11636" s="311">
        <v>9927.48</v>
      </c>
      <c r="G11636" s="311">
        <v>27947.040000000001</v>
      </c>
      <c r="H11636" s="312">
        <v>327534.3</v>
      </c>
      <c r="I11636" s="312">
        <v>139122.94</v>
      </c>
      <c r="J11636" s="312">
        <v>54199.68</v>
      </c>
      <c r="K11636" s="312">
        <v>134211.68</v>
      </c>
      <c r="L11636" s="43">
        <v>6.5543866066781309</v>
      </c>
      <c r="M11636" s="43">
        <v>11.500377358490566</v>
      </c>
      <c r="N11636" s="43">
        <v>5.459560734446204</v>
      </c>
      <c r="O11636" s="43">
        <v>4.8023576020931014</v>
      </c>
      <c r="P11636" s="313"/>
      <c r="Q11636" s="313"/>
      <c r="R11636" s="313">
        <v>2</v>
      </c>
    </row>
    <row r="11637" spans="1:18" ht="24">
      <c r="A11637" s="309">
        <v>83</v>
      </c>
      <c r="B11637" s="306" t="s">
        <v>21251</v>
      </c>
      <c r="C11637" s="310" t="s">
        <v>21252</v>
      </c>
      <c r="D11637" s="311">
        <v>72580.67</v>
      </c>
      <c r="E11637" s="311">
        <v>16854</v>
      </c>
      <c r="F11637" s="311">
        <v>25211.51</v>
      </c>
      <c r="G11637" s="311">
        <v>30515.16</v>
      </c>
      <c r="H11637" s="312">
        <v>476093.97</v>
      </c>
      <c r="I11637" s="312">
        <v>193827.36</v>
      </c>
      <c r="J11637" s="312">
        <v>135336.37</v>
      </c>
      <c r="K11637" s="312">
        <v>146930.23999999999</v>
      </c>
      <c r="L11637" s="43">
        <v>6.5595146751883107</v>
      </c>
      <c r="M11637" s="43">
        <v>11.500377358490566</v>
      </c>
      <c r="N11637" s="43">
        <v>5.36803904248496</v>
      </c>
      <c r="O11637" s="43">
        <v>4.8149916303896161</v>
      </c>
      <c r="P11637" s="313"/>
      <c r="Q11637" s="313"/>
      <c r="R11637" s="313">
        <v>2</v>
      </c>
    </row>
    <row r="11638" spans="1:18" ht="24">
      <c r="A11638" s="309">
        <v>84</v>
      </c>
      <c r="B11638" s="306" t="s">
        <v>21253</v>
      </c>
      <c r="C11638" s="310" t="s">
        <v>21254</v>
      </c>
      <c r="D11638" s="311">
        <v>104500.69</v>
      </c>
      <c r="E11638" s="311">
        <v>18960.75</v>
      </c>
      <c r="F11638" s="311">
        <v>43486.01</v>
      </c>
      <c r="G11638" s="311">
        <v>42053.93</v>
      </c>
      <c r="H11638" s="312">
        <v>654273.56000000006</v>
      </c>
      <c r="I11638" s="312">
        <v>218055.78</v>
      </c>
      <c r="J11638" s="312">
        <v>233214.99</v>
      </c>
      <c r="K11638" s="312">
        <v>203002.79</v>
      </c>
      <c r="L11638" s="43">
        <v>6.2609496645428848</v>
      </c>
      <c r="M11638" s="43">
        <v>11.500377358490566</v>
      </c>
      <c r="N11638" s="43">
        <v>5.3629889244839886</v>
      </c>
      <c r="O11638" s="43">
        <v>4.8272014054334518</v>
      </c>
      <c r="P11638" s="313"/>
      <c r="Q11638" s="313"/>
      <c r="R11638" s="313">
        <v>2</v>
      </c>
    </row>
    <row r="11639" spans="1:18" ht="24">
      <c r="A11639" s="309">
        <v>85</v>
      </c>
      <c r="B11639" s="306" t="s">
        <v>21255</v>
      </c>
      <c r="C11639" s="310" t="s">
        <v>21256</v>
      </c>
      <c r="D11639" s="311">
        <v>177741.51</v>
      </c>
      <c r="E11639" s="311">
        <v>24565.5</v>
      </c>
      <c r="F11639" s="311">
        <v>102221.6</v>
      </c>
      <c r="G11639" s="311">
        <v>50954.41</v>
      </c>
      <c r="H11639" s="312">
        <v>1087535.42</v>
      </c>
      <c r="I11639" s="312">
        <v>282512.52</v>
      </c>
      <c r="J11639" s="312">
        <v>558248.49</v>
      </c>
      <c r="K11639" s="312">
        <v>246774.41</v>
      </c>
      <c r="L11639" s="43">
        <v>6.118634977276832</v>
      </c>
      <c r="M11639" s="43">
        <v>11.500377358490567</v>
      </c>
      <c r="N11639" s="43">
        <v>5.4611597744508007</v>
      </c>
      <c r="O11639" s="43">
        <v>4.8430432223628923</v>
      </c>
      <c r="P11639" s="313"/>
      <c r="Q11639" s="313"/>
      <c r="R11639" s="313">
        <v>2</v>
      </c>
    </row>
    <row r="11640" spans="1:18" ht="12.75" customHeight="1">
      <c r="A11640" s="628" t="s">
        <v>21257</v>
      </c>
      <c r="B11640" s="629"/>
      <c r="C11640" s="629"/>
      <c r="D11640" s="629"/>
      <c r="E11640" s="629"/>
      <c r="F11640" s="629"/>
      <c r="G11640" s="629"/>
      <c r="H11640" s="629"/>
      <c r="I11640" s="629"/>
      <c r="J11640" s="629"/>
      <c r="K11640" s="629"/>
      <c r="L11640" s="629"/>
      <c r="M11640" s="629"/>
      <c r="N11640" s="629"/>
      <c r="O11640" s="629"/>
      <c r="P11640" s="629"/>
      <c r="Q11640" s="629"/>
      <c r="R11640" s="629"/>
    </row>
    <row r="11641" spans="1:18" ht="72">
      <c r="A11641" s="309">
        <v>86</v>
      </c>
      <c r="B11641" s="306" t="s">
        <v>21258</v>
      </c>
      <c r="C11641" s="310" t="s">
        <v>21259</v>
      </c>
      <c r="D11641" s="311">
        <v>14776.43</v>
      </c>
      <c r="E11641" s="311">
        <v>2451.25</v>
      </c>
      <c r="F11641" s="311">
        <v>7632.03</v>
      </c>
      <c r="G11641" s="311">
        <v>4693.1499999999996</v>
      </c>
      <c r="H11641" s="312">
        <v>96120.86</v>
      </c>
      <c r="I11641" s="312">
        <v>28190.3</v>
      </c>
      <c r="J11641" s="312">
        <v>41296.769999999997</v>
      </c>
      <c r="K11641" s="312">
        <v>26633.79</v>
      </c>
      <c r="L11641" s="43">
        <v>6.5050123744368564</v>
      </c>
      <c r="M11641" s="43">
        <v>11.500377358490566</v>
      </c>
      <c r="N11641" s="43">
        <v>5.4109810889108134</v>
      </c>
      <c r="O11641" s="43">
        <v>5.675034891277714</v>
      </c>
      <c r="P11641" s="313"/>
      <c r="Q11641" s="313"/>
      <c r="R11641" s="313">
        <v>3</v>
      </c>
    </row>
    <row r="11642" spans="1:18" ht="72">
      <c r="A11642" s="309">
        <v>87</v>
      </c>
      <c r="B11642" s="306" t="s">
        <v>21260</v>
      </c>
      <c r="C11642" s="310" t="s">
        <v>21261</v>
      </c>
      <c r="D11642" s="311">
        <v>32620.53</v>
      </c>
      <c r="E11642" s="311">
        <v>6068.5</v>
      </c>
      <c r="F11642" s="311">
        <v>13621.52</v>
      </c>
      <c r="G11642" s="311">
        <v>12930.51</v>
      </c>
      <c r="H11642" s="312">
        <v>216506.34</v>
      </c>
      <c r="I11642" s="312">
        <v>69790.039999999994</v>
      </c>
      <c r="J11642" s="312">
        <v>73493.929999999993</v>
      </c>
      <c r="K11642" s="312">
        <v>73222.37</v>
      </c>
      <c r="L11642" s="43">
        <v>6.6371190167664356</v>
      </c>
      <c r="M11642" s="43">
        <v>11.500377358490566</v>
      </c>
      <c r="N11642" s="43">
        <v>5.3954279698594574</v>
      </c>
      <c r="O11642" s="43">
        <v>5.6627596281971861</v>
      </c>
      <c r="P11642" s="313"/>
      <c r="Q11642" s="313"/>
      <c r="R11642" s="313">
        <v>3</v>
      </c>
    </row>
    <row r="11643" spans="1:18" ht="72">
      <c r="A11643" s="309">
        <v>88</v>
      </c>
      <c r="B11643" s="306" t="s">
        <v>21262</v>
      </c>
      <c r="C11643" s="310" t="s">
        <v>21263</v>
      </c>
      <c r="D11643" s="311">
        <v>49495.6</v>
      </c>
      <c r="E11643" s="311">
        <v>8957</v>
      </c>
      <c r="F11643" s="311">
        <v>20919.59</v>
      </c>
      <c r="G11643" s="311">
        <v>19619.009999999998</v>
      </c>
      <c r="H11643" s="312">
        <v>327660.49</v>
      </c>
      <c r="I11643" s="312">
        <v>103008.88</v>
      </c>
      <c r="J11643" s="312">
        <v>112748.73</v>
      </c>
      <c r="K11643" s="312">
        <v>111902.88</v>
      </c>
      <c r="L11643" s="43">
        <v>6.6199922821422508</v>
      </c>
      <c r="M11643" s="43">
        <v>11.500377358490567</v>
      </c>
      <c r="N11643" s="43">
        <v>5.3896242708389597</v>
      </c>
      <c r="O11643" s="43">
        <v>5.7037985097107358</v>
      </c>
      <c r="P11643" s="313"/>
      <c r="Q11643" s="313"/>
      <c r="R11643" s="313">
        <v>3</v>
      </c>
    </row>
    <row r="11644" spans="1:18" ht="72">
      <c r="A11644" s="309">
        <v>89</v>
      </c>
      <c r="B11644" s="306" t="s">
        <v>21264</v>
      </c>
      <c r="C11644" s="310" t="s">
        <v>21265</v>
      </c>
      <c r="D11644" s="311">
        <v>56321.58</v>
      </c>
      <c r="E11644" s="311">
        <v>13077.75</v>
      </c>
      <c r="F11644" s="311">
        <v>22100.87</v>
      </c>
      <c r="G11644" s="311">
        <v>21142.959999999999</v>
      </c>
      <c r="H11644" s="312">
        <v>389623.55</v>
      </c>
      <c r="I11644" s="312">
        <v>150399.06</v>
      </c>
      <c r="J11644" s="312">
        <v>119111.63</v>
      </c>
      <c r="K11644" s="312">
        <v>120112.86</v>
      </c>
      <c r="L11644" s="43">
        <v>6.917837709808567</v>
      </c>
      <c r="M11644" s="43">
        <v>11.500377358490566</v>
      </c>
      <c r="N11644" s="43">
        <v>5.3894543517970108</v>
      </c>
      <c r="O11644" s="43">
        <v>5.680986011419404</v>
      </c>
      <c r="P11644" s="313"/>
      <c r="Q11644" s="313"/>
      <c r="R11644" s="313">
        <v>3</v>
      </c>
    </row>
    <row r="11645" spans="1:18" ht="72">
      <c r="A11645" s="309">
        <v>90</v>
      </c>
      <c r="B11645" s="306" t="s">
        <v>21266</v>
      </c>
      <c r="C11645" s="310" t="s">
        <v>21265</v>
      </c>
      <c r="D11645" s="311">
        <v>86586.51</v>
      </c>
      <c r="E11645" s="311">
        <v>16430</v>
      </c>
      <c r="F11645" s="311">
        <v>35474.769999999997</v>
      </c>
      <c r="G11645" s="311">
        <v>34681.74</v>
      </c>
      <c r="H11645" s="312">
        <v>579307.14</v>
      </c>
      <c r="I11645" s="312">
        <v>188951.2</v>
      </c>
      <c r="J11645" s="312">
        <v>190939.64</v>
      </c>
      <c r="K11645" s="312">
        <v>199416.3</v>
      </c>
      <c r="L11645" s="43">
        <v>6.690501095378484</v>
      </c>
      <c r="M11645" s="43">
        <v>11.500377358490567</v>
      </c>
      <c r="N11645" s="43">
        <v>5.3824067076403885</v>
      </c>
      <c r="O11645" s="43">
        <v>5.7498931714498758</v>
      </c>
      <c r="P11645" s="313"/>
      <c r="Q11645" s="313"/>
      <c r="R11645" s="313">
        <v>3</v>
      </c>
    </row>
    <row r="11646" spans="1:18" ht="72">
      <c r="A11646" s="309">
        <v>91</v>
      </c>
      <c r="B11646" s="306" t="s">
        <v>21267</v>
      </c>
      <c r="C11646" s="310" t="s">
        <v>21268</v>
      </c>
      <c r="D11646" s="311">
        <v>102400.7</v>
      </c>
      <c r="E11646" s="311">
        <v>19517.25</v>
      </c>
      <c r="F11646" s="311">
        <v>42071.37</v>
      </c>
      <c r="G11646" s="311">
        <v>40812.080000000002</v>
      </c>
      <c r="H11646" s="312">
        <v>685385.62</v>
      </c>
      <c r="I11646" s="312">
        <v>224455.74</v>
      </c>
      <c r="J11646" s="312">
        <v>226430.02</v>
      </c>
      <c r="K11646" s="312">
        <v>234499.86</v>
      </c>
      <c r="L11646" s="43">
        <v>6.6931731911988885</v>
      </c>
      <c r="M11646" s="43">
        <v>11.500377358490566</v>
      </c>
      <c r="N11646" s="43">
        <v>5.3820453196556226</v>
      </c>
      <c r="O11646" s="43">
        <v>5.7458443676480098</v>
      </c>
      <c r="P11646" s="313"/>
      <c r="Q11646" s="313"/>
      <c r="R11646" s="313">
        <v>3</v>
      </c>
    </row>
    <row r="11647" spans="1:18" ht="72">
      <c r="A11647" s="309">
        <v>92</v>
      </c>
      <c r="B11647" s="306" t="s">
        <v>21269</v>
      </c>
      <c r="C11647" s="310" t="s">
        <v>21270</v>
      </c>
      <c r="D11647" s="311">
        <v>161402.59</v>
      </c>
      <c r="E11647" s="311">
        <v>29984.75</v>
      </c>
      <c r="F11647" s="311">
        <v>65474.22</v>
      </c>
      <c r="G11647" s="311">
        <v>65943.62</v>
      </c>
      <c r="H11647" s="312">
        <v>1072543.95</v>
      </c>
      <c r="I11647" s="312">
        <v>344835.94</v>
      </c>
      <c r="J11647" s="312">
        <v>352197.43</v>
      </c>
      <c r="K11647" s="312">
        <v>375510.58</v>
      </c>
      <c r="L11647" s="43">
        <v>6.6451470822122491</v>
      </c>
      <c r="M11647" s="43">
        <v>11.500377358490566</v>
      </c>
      <c r="N11647" s="43">
        <v>5.3791771784375593</v>
      </c>
      <c r="O11647" s="43">
        <v>5.6944186564219565</v>
      </c>
      <c r="P11647" s="313"/>
      <c r="Q11647" s="313"/>
      <c r="R11647" s="313">
        <v>3</v>
      </c>
    </row>
    <row r="11648" spans="1:18" ht="12.75" customHeight="1">
      <c r="A11648" s="628" t="s">
        <v>21271</v>
      </c>
      <c r="B11648" s="629"/>
      <c r="C11648" s="629"/>
      <c r="D11648" s="629"/>
      <c r="E11648" s="629"/>
      <c r="F11648" s="629"/>
      <c r="G11648" s="629"/>
      <c r="H11648" s="629"/>
      <c r="I11648" s="629"/>
      <c r="J11648" s="629"/>
      <c r="K11648" s="629"/>
      <c r="L11648" s="629"/>
      <c r="M11648" s="629"/>
      <c r="N11648" s="629"/>
      <c r="O11648" s="629"/>
      <c r="P11648" s="629"/>
      <c r="Q11648" s="629"/>
      <c r="R11648" s="629"/>
    </row>
    <row r="11649" spans="1:18" ht="36">
      <c r="A11649" s="309">
        <v>93</v>
      </c>
      <c r="B11649" s="306" t="s">
        <v>21272</v>
      </c>
      <c r="C11649" s="310" t="s">
        <v>21273</v>
      </c>
      <c r="D11649" s="311">
        <v>3427.54</v>
      </c>
      <c r="E11649" s="311">
        <v>808.25</v>
      </c>
      <c r="F11649" s="311">
        <v>1297.31</v>
      </c>
      <c r="G11649" s="311">
        <v>1321.98</v>
      </c>
      <c r="H11649" s="312">
        <v>22091.759999999998</v>
      </c>
      <c r="I11649" s="312">
        <v>9295.18</v>
      </c>
      <c r="J11649" s="312">
        <v>7045.84</v>
      </c>
      <c r="K11649" s="312">
        <v>5750.74</v>
      </c>
      <c r="L11649" s="43">
        <v>6.4453689818353688</v>
      </c>
      <c r="M11649" s="43">
        <v>11.500377358490566</v>
      </c>
      <c r="N11649" s="43">
        <v>5.4311151536641207</v>
      </c>
      <c r="O11649" s="43">
        <v>4.3500960680191829</v>
      </c>
      <c r="P11649" s="313"/>
      <c r="Q11649" s="313"/>
      <c r="R11649" s="313">
        <v>4</v>
      </c>
    </row>
    <row r="11650" spans="1:18" ht="12.75" customHeight="1">
      <c r="A11650" s="628" t="s">
        <v>21274</v>
      </c>
      <c r="B11650" s="629"/>
      <c r="C11650" s="629"/>
      <c r="D11650" s="629"/>
      <c r="E11650" s="629"/>
      <c r="F11650" s="629"/>
      <c r="G11650" s="629"/>
      <c r="H11650" s="629"/>
      <c r="I11650" s="629"/>
      <c r="J11650" s="629"/>
      <c r="K11650" s="629"/>
      <c r="L11650" s="629"/>
      <c r="M11650" s="629"/>
      <c r="N11650" s="629"/>
      <c r="O11650" s="629"/>
      <c r="P11650" s="629"/>
      <c r="Q11650" s="629"/>
      <c r="R11650" s="629"/>
    </row>
    <row r="11651" spans="1:18" ht="24">
      <c r="A11651" s="309">
        <v>94</v>
      </c>
      <c r="B11651" s="306" t="s">
        <v>21275</v>
      </c>
      <c r="C11651" s="310" t="s">
        <v>21276</v>
      </c>
      <c r="D11651" s="311">
        <v>3078.49</v>
      </c>
      <c r="E11651" s="311">
        <v>895.7</v>
      </c>
      <c r="F11651" s="311">
        <v>858.45</v>
      </c>
      <c r="G11651" s="311">
        <v>1324.34</v>
      </c>
      <c r="H11651" s="312">
        <v>20740.25</v>
      </c>
      <c r="I11651" s="312">
        <v>10300.89</v>
      </c>
      <c r="J11651" s="312">
        <v>4663.22</v>
      </c>
      <c r="K11651" s="312">
        <v>5776.14</v>
      </c>
      <c r="L11651" s="43">
        <v>6.7371503561811155</v>
      </c>
      <c r="M11651" s="43">
        <v>11.500379591381041</v>
      </c>
      <c r="N11651" s="43">
        <v>5.4321393208690081</v>
      </c>
      <c r="O11651" s="43">
        <v>4.3615234758445718</v>
      </c>
      <c r="P11651" s="313"/>
      <c r="Q11651" s="313"/>
      <c r="R11651" s="313">
        <v>5</v>
      </c>
    </row>
    <row r="11652" spans="1:18" ht="24">
      <c r="A11652" s="309">
        <v>95</v>
      </c>
      <c r="B11652" s="306" t="s">
        <v>21277</v>
      </c>
      <c r="C11652" s="310" t="s">
        <v>21278</v>
      </c>
      <c r="D11652" s="311">
        <v>3733.47</v>
      </c>
      <c r="E11652" s="311">
        <v>1140.83</v>
      </c>
      <c r="F11652" s="311">
        <v>1262.27</v>
      </c>
      <c r="G11652" s="311">
        <v>1330.37</v>
      </c>
      <c r="H11652" s="312">
        <v>25818.76</v>
      </c>
      <c r="I11652" s="312">
        <v>13119.92</v>
      </c>
      <c r="J11652" s="312">
        <v>6856.4</v>
      </c>
      <c r="K11652" s="312">
        <v>5842.44</v>
      </c>
      <c r="L11652" s="43">
        <v>6.9154861295256156</v>
      </c>
      <c r="M11652" s="43">
        <v>11.500328708045897</v>
      </c>
      <c r="N11652" s="43">
        <v>5.4318014370934904</v>
      </c>
      <c r="O11652" s="43">
        <v>4.3915903094627815</v>
      </c>
      <c r="P11652" s="313"/>
      <c r="Q11652" s="313"/>
      <c r="R11652" s="313">
        <v>5</v>
      </c>
    </row>
    <row r="11653" spans="1:18" ht="12.75" customHeight="1">
      <c r="A11653" s="628" t="s">
        <v>21279</v>
      </c>
      <c r="B11653" s="629"/>
      <c r="C11653" s="629"/>
      <c r="D11653" s="629"/>
      <c r="E11653" s="629"/>
      <c r="F11653" s="629"/>
      <c r="G11653" s="629"/>
      <c r="H11653" s="629"/>
      <c r="I11653" s="629"/>
      <c r="J11653" s="629"/>
      <c r="K11653" s="629"/>
      <c r="L11653" s="629"/>
      <c r="M11653" s="629"/>
      <c r="N11653" s="629"/>
      <c r="O11653" s="629"/>
      <c r="P11653" s="629"/>
      <c r="Q11653" s="629"/>
      <c r="R11653" s="629"/>
    </row>
    <row r="11654" spans="1:18" ht="24">
      <c r="A11654" s="309">
        <v>96</v>
      </c>
      <c r="B11654" s="306" t="s">
        <v>21280</v>
      </c>
      <c r="C11654" s="310" t="s">
        <v>21281</v>
      </c>
      <c r="D11654" s="311">
        <v>5280.2</v>
      </c>
      <c r="E11654" s="311">
        <v>3180</v>
      </c>
      <c r="F11654" s="311">
        <v>1690.43</v>
      </c>
      <c r="G11654" s="311">
        <v>409.77</v>
      </c>
      <c r="H11654" s="312">
        <v>48680.01</v>
      </c>
      <c r="I11654" s="312">
        <v>36571.199999999997</v>
      </c>
      <c r="J11654" s="312">
        <v>9367.9</v>
      </c>
      <c r="K11654" s="312">
        <v>2740.91</v>
      </c>
      <c r="L11654" s="43">
        <v>9.2193496458467497</v>
      </c>
      <c r="M11654" s="43">
        <v>11.500377358490566</v>
      </c>
      <c r="N11654" s="43">
        <v>5.5417260696982424</v>
      </c>
      <c r="O11654" s="43">
        <v>6.6888986504624546</v>
      </c>
      <c r="P11654" s="313"/>
      <c r="Q11654" s="313"/>
      <c r="R11654" s="313">
        <v>6</v>
      </c>
    </row>
    <row r="11655" spans="1:18" ht="12.75" customHeight="1">
      <c r="A11655" s="628" t="s">
        <v>21282</v>
      </c>
      <c r="B11655" s="629"/>
      <c r="C11655" s="629"/>
      <c r="D11655" s="629"/>
      <c r="E11655" s="629"/>
      <c r="F11655" s="629"/>
      <c r="G11655" s="629"/>
      <c r="H11655" s="629"/>
      <c r="I11655" s="629"/>
      <c r="J11655" s="629"/>
      <c r="K11655" s="629"/>
      <c r="L11655" s="629"/>
      <c r="M11655" s="629"/>
      <c r="N11655" s="629"/>
      <c r="O11655" s="629"/>
      <c r="P11655" s="629"/>
      <c r="Q11655" s="629"/>
      <c r="R11655" s="629"/>
    </row>
    <row r="11656" spans="1:18" ht="24">
      <c r="A11656" s="309">
        <v>97</v>
      </c>
      <c r="B11656" s="306" t="s">
        <v>21283</v>
      </c>
      <c r="C11656" s="310" t="s">
        <v>21284</v>
      </c>
      <c r="D11656" s="311">
        <v>62220.92</v>
      </c>
      <c r="E11656" s="311">
        <v>30700.25</v>
      </c>
      <c r="F11656" s="311">
        <v>11055.49</v>
      </c>
      <c r="G11656" s="311">
        <v>20465.18</v>
      </c>
      <c r="H11656" s="312">
        <v>524045.99</v>
      </c>
      <c r="I11656" s="312">
        <v>353064.46</v>
      </c>
      <c r="J11656" s="312">
        <v>58190.46</v>
      </c>
      <c r="K11656" s="312">
        <v>112791.07</v>
      </c>
      <c r="L11656" s="43">
        <v>8.4223439640558198</v>
      </c>
      <c r="M11656" s="43">
        <v>11.500377358490567</v>
      </c>
      <c r="N11656" s="43">
        <v>5.2634899041109895</v>
      </c>
      <c r="O11656" s="43">
        <v>5.5113646691600078</v>
      </c>
      <c r="P11656" s="313"/>
      <c r="Q11656" s="313"/>
      <c r="R11656" s="313">
        <v>7</v>
      </c>
    </row>
    <row r="11657" spans="1:18" ht="12.75" customHeight="1">
      <c r="A11657" s="628" t="s">
        <v>21285</v>
      </c>
      <c r="B11657" s="629"/>
      <c r="C11657" s="629"/>
      <c r="D11657" s="629"/>
      <c r="E11657" s="629"/>
      <c r="F11657" s="629"/>
      <c r="G11657" s="629"/>
      <c r="H11657" s="629"/>
      <c r="I11657" s="629"/>
      <c r="J11657" s="629"/>
      <c r="K11657" s="629"/>
      <c r="L11657" s="629"/>
      <c r="M11657" s="629"/>
      <c r="N11657" s="629"/>
      <c r="O11657" s="629"/>
      <c r="P11657" s="629"/>
      <c r="Q11657" s="629"/>
      <c r="R11657" s="629"/>
    </row>
    <row r="11658" spans="1:18" ht="12.75" customHeight="1">
      <c r="A11658" s="628" t="s">
        <v>21286</v>
      </c>
      <c r="B11658" s="629"/>
      <c r="C11658" s="629"/>
      <c r="D11658" s="629"/>
      <c r="E11658" s="629"/>
      <c r="F11658" s="629"/>
      <c r="G11658" s="629"/>
      <c r="H11658" s="629"/>
      <c r="I11658" s="629"/>
      <c r="J11658" s="629"/>
      <c r="K11658" s="629"/>
      <c r="L11658" s="629"/>
      <c r="M11658" s="629"/>
      <c r="N11658" s="629"/>
      <c r="O11658" s="629"/>
      <c r="P11658" s="629"/>
      <c r="Q11658" s="629"/>
      <c r="R11658" s="629"/>
    </row>
    <row r="11659" spans="1:18" ht="24">
      <c r="A11659" s="309">
        <v>98</v>
      </c>
      <c r="B11659" s="306" t="s">
        <v>21287</v>
      </c>
      <c r="C11659" s="310" t="s">
        <v>21288</v>
      </c>
      <c r="D11659" s="311">
        <v>1808.22</v>
      </c>
      <c r="E11659" s="311">
        <v>996.4</v>
      </c>
      <c r="F11659" s="311">
        <v>445.72</v>
      </c>
      <c r="G11659" s="311">
        <v>366.1</v>
      </c>
      <c r="H11659" s="312">
        <v>16115.61</v>
      </c>
      <c r="I11659" s="312">
        <v>11458.98</v>
      </c>
      <c r="J11659" s="312">
        <v>2417.92</v>
      </c>
      <c r="K11659" s="312">
        <v>2238.71</v>
      </c>
      <c r="L11659" s="43">
        <v>8.9124166307197132</v>
      </c>
      <c r="M11659" s="43">
        <v>11.500381372942593</v>
      </c>
      <c r="N11659" s="43">
        <v>5.4247509647312215</v>
      </c>
      <c r="O11659" s="43">
        <v>6.1150232177000818</v>
      </c>
      <c r="P11659" s="313"/>
      <c r="Q11659" s="313"/>
      <c r="R11659" s="313">
        <v>1</v>
      </c>
    </row>
    <row r="11660" spans="1:18" ht="24">
      <c r="A11660" s="309">
        <v>99</v>
      </c>
      <c r="B11660" s="306" t="s">
        <v>21289</v>
      </c>
      <c r="C11660" s="310" t="s">
        <v>21290</v>
      </c>
      <c r="D11660" s="311">
        <v>1164.55</v>
      </c>
      <c r="E11660" s="311">
        <v>834.75</v>
      </c>
      <c r="F11660" s="311">
        <v>313.10000000000002</v>
      </c>
      <c r="G11660" s="311">
        <v>16.7</v>
      </c>
      <c r="H11660" s="312">
        <v>11491.87</v>
      </c>
      <c r="I11660" s="312">
        <v>9599.94</v>
      </c>
      <c r="J11660" s="312">
        <v>1699.88</v>
      </c>
      <c r="K11660" s="312">
        <v>192.05</v>
      </c>
      <c r="L11660" s="43">
        <v>9.8680777982911874</v>
      </c>
      <c r="M11660" s="43">
        <v>11.500377358490567</v>
      </c>
      <c r="N11660" s="43">
        <v>5.4291919514532099</v>
      </c>
      <c r="O11660" s="43">
        <v>11.500000000000002</v>
      </c>
      <c r="P11660" s="313"/>
      <c r="Q11660" s="313"/>
      <c r="R11660" s="313">
        <v>1</v>
      </c>
    </row>
    <row r="11661" spans="1:18" ht="24">
      <c r="A11661" s="309">
        <v>100</v>
      </c>
      <c r="B11661" s="306" t="s">
        <v>21291</v>
      </c>
      <c r="C11661" s="310" t="s">
        <v>21292</v>
      </c>
      <c r="D11661" s="311">
        <v>2035.96</v>
      </c>
      <c r="E11661" s="311">
        <v>1213.7</v>
      </c>
      <c r="F11661" s="311">
        <v>451.82</v>
      </c>
      <c r="G11661" s="311">
        <v>370.44</v>
      </c>
      <c r="H11661" s="312">
        <v>18697.82</v>
      </c>
      <c r="I11661" s="312">
        <v>13958.01</v>
      </c>
      <c r="J11661" s="312">
        <v>2451.19</v>
      </c>
      <c r="K11661" s="312">
        <v>2288.62</v>
      </c>
      <c r="L11661" s="43">
        <v>9.1837855360616114</v>
      </c>
      <c r="M11661" s="43">
        <v>11.500379006344236</v>
      </c>
      <c r="N11661" s="43">
        <v>5.4251471825063078</v>
      </c>
      <c r="O11661" s="43">
        <v>6.178112514847208</v>
      </c>
      <c r="P11661" s="313"/>
      <c r="Q11661" s="313"/>
      <c r="R11661" s="313">
        <v>1</v>
      </c>
    </row>
    <row r="11662" spans="1:18" ht="24">
      <c r="A11662" s="309">
        <v>101</v>
      </c>
      <c r="B11662" s="306" t="s">
        <v>21293</v>
      </c>
      <c r="C11662" s="310" t="s">
        <v>21294</v>
      </c>
      <c r="D11662" s="311">
        <v>1394.3</v>
      </c>
      <c r="E11662" s="311">
        <v>1060</v>
      </c>
      <c r="F11662" s="311">
        <v>313.10000000000002</v>
      </c>
      <c r="G11662" s="311">
        <v>21.2</v>
      </c>
      <c r="H11662" s="312">
        <v>14134.08</v>
      </c>
      <c r="I11662" s="312">
        <v>12190.4</v>
      </c>
      <c r="J11662" s="312">
        <v>1699.88</v>
      </c>
      <c r="K11662" s="312">
        <v>243.8</v>
      </c>
      <c r="L11662" s="43">
        <v>10.137043677831169</v>
      </c>
      <c r="M11662" s="43">
        <v>11.500377358490566</v>
      </c>
      <c r="N11662" s="43">
        <v>5.4291919514532099</v>
      </c>
      <c r="O11662" s="43">
        <v>11.500000000000002</v>
      </c>
      <c r="P11662" s="313"/>
      <c r="Q11662" s="313"/>
      <c r="R11662" s="313">
        <v>1</v>
      </c>
    </row>
    <row r="11663" spans="1:18" ht="12.75" customHeight="1">
      <c r="A11663" s="628" t="s">
        <v>21295</v>
      </c>
      <c r="B11663" s="629"/>
      <c r="C11663" s="629"/>
      <c r="D11663" s="629"/>
      <c r="E11663" s="629"/>
      <c r="F11663" s="629"/>
      <c r="G11663" s="629"/>
      <c r="H11663" s="629"/>
      <c r="I11663" s="629"/>
      <c r="J11663" s="629"/>
      <c r="K11663" s="629"/>
      <c r="L11663" s="629"/>
      <c r="M11663" s="629"/>
      <c r="N11663" s="629"/>
      <c r="O11663" s="629"/>
      <c r="P11663" s="629"/>
      <c r="Q11663" s="629"/>
      <c r="R11663" s="629"/>
    </row>
    <row r="11664" spans="1:18" ht="12.75" customHeight="1">
      <c r="A11664" s="628" t="s">
        <v>21296</v>
      </c>
      <c r="B11664" s="629"/>
      <c r="C11664" s="629"/>
      <c r="D11664" s="629"/>
      <c r="E11664" s="629"/>
      <c r="F11664" s="629"/>
      <c r="G11664" s="629"/>
      <c r="H11664" s="629"/>
      <c r="I11664" s="629"/>
      <c r="J11664" s="629"/>
      <c r="K11664" s="629"/>
      <c r="L11664" s="629"/>
      <c r="M11664" s="629"/>
      <c r="N11664" s="629"/>
      <c r="O11664" s="629"/>
      <c r="P11664" s="629"/>
      <c r="Q11664" s="629"/>
      <c r="R11664" s="629"/>
    </row>
    <row r="11665" spans="1:18" ht="24">
      <c r="A11665" s="309">
        <v>102</v>
      </c>
      <c r="B11665" s="306" t="s">
        <v>21297</v>
      </c>
      <c r="C11665" s="310" t="s">
        <v>21298</v>
      </c>
      <c r="D11665" s="311">
        <v>751.25</v>
      </c>
      <c r="E11665" s="311">
        <v>308.73</v>
      </c>
      <c r="F11665" s="311">
        <v>370.31</v>
      </c>
      <c r="G11665" s="311">
        <v>72.209999999999994</v>
      </c>
      <c r="H11665" s="312">
        <v>6099.64</v>
      </c>
      <c r="I11665" s="312">
        <v>3550.45</v>
      </c>
      <c r="J11665" s="312">
        <v>2191.6999999999998</v>
      </c>
      <c r="K11665" s="312">
        <v>357.49</v>
      </c>
      <c r="L11665" s="43">
        <v>8.1193211314475882</v>
      </c>
      <c r="M11665" s="43">
        <v>11.50017814919185</v>
      </c>
      <c r="N11665" s="43">
        <v>5.9185547244200798</v>
      </c>
      <c r="O11665" s="43">
        <v>4.9506993491206206</v>
      </c>
      <c r="P11665" s="313"/>
      <c r="Q11665" s="313"/>
      <c r="R11665" s="313">
        <v>1</v>
      </c>
    </row>
    <row r="11666" spans="1:18" ht="12.75" customHeight="1">
      <c r="A11666" s="628" t="s">
        <v>21299</v>
      </c>
      <c r="B11666" s="629"/>
      <c r="C11666" s="629"/>
      <c r="D11666" s="629"/>
      <c r="E11666" s="629"/>
      <c r="F11666" s="629"/>
      <c r="G11666" s="629"/>
      <c r="H11666" s="629"/>
      <c r="I11666" s="629"/>
      <c r="J11666" s="629"/>
      <c r="K11666" s="629"/>
      <c r="L11666" s="629"/>
      <c r="M11666" s="629"/>
      <c r="N11666" s="629"/>
      <c r="O11666" s="629"/>
      <c r="P11666" s="629"/>
      <c r="Q11666" s="629"/>
      <c r="R11666" s="629"/>
    </row>
    <row r="11667" spans="1:18" ht="36">
      <c r="A11667" s="309">
        <v>103</v>
      </c>
      <c r="B11667" s="306" t="s">
        <v>21300</v>
      </c>
      <c r="C11667" s="310" t="s">
        <v>21301</v>
      </c>
      <c r="D11667" s="311">
        <v>26369.02</v>
      </c>
      <c r="E11667" s="311">
        <v>6466</v>
      </c>
      <c r="F11667" s="311">
        <v>5677.12</v>
      </c>
      <c r="G11667" s="311">
        <v>14225.9</v>
      </c>
      <c r="H11667" s="312">
        <v>179264.19</v>
      </c>
      <c r="I11667" s="312">
        <v>74361.440000000002</v>
      </c>
      <c r="J11667" s="312">
        <v>33960.46</v>
      </c>
      <c r="K11667" s="312">
        <v>70942.289999999994</v>
      </c>
      <c r="L11667" s="43">
        <v>6.7982879151367781</v>
      </c>
      <c r="M11667" s="43">
        <v>11.500377358490566</v>
      </c>
      <c r="N11667" s="43">
        <v>5.9819873456964094</v>
      </c>
      <c r="O11667" s="43">
        <v>4.9868401999170526</v>
      </c>
      <c r="P11667" s="313"/>
      <c r="Q11667" s="313"/>
      <c r="R11667" s="313">
        <v>2</v>
      </c>
    </row>
    <row r="11668" spans="1:18" ht="36">
      <c r="A11668" s="309">
        <v>104</v>
      </c>
      <c r="B11668" s="306" t="s">
        <v>21302</v>
      </c>
      <c r="C11668" s="310" t="s">
        <v>21303</v>
      </c>
      <c r="D11668" s="311">
        <v>35255.18</v>
      </c>
      <c r="E11668" s="311">
        <v>6545.5</v>
      </c>
      <c r="F11668" s="311">
        <v>8821.35</v>
      </c>
      <c r="G11668" s="311">
        <v>19888.330000000002</v>
      </c>
      <c r="H11668" s="312">
        <v>224328.84</v>
      </c>
      <c r="I11668" s="312">
        <v>75275.72</v>
      </c>
      <c r="J11668" s="312">
        <v>53085.5</v>
      </c>
      <c r="K11668" s="312">
        <v>95967.62</v>
      </c>
      <c r="L11668" s="43">
        <v>6.3630036777574244</v>
      </c>
      <c r="M11668" s="43">
        <v>11.500377358490566</v>
      </c>
      <c r="N11668" s="43">
        <v>6.0178430739059214</v>
      </c>
      <c r="O11668" s="43">
        <v>4.8253231920427702</v>
      </c>
      <c r="P11668" s="313"/>
      <c r="Q11668" s="313"/>
      <c r="R11668" s="313">
        <v>2</v>
      </c>
    </row>
    <row r="11669" spans="1:18" ht="12.75" customHeight="1">
      <c r="A11669" s="628" t="s">
        <v>21304</v>
      </c>
      <c r="B11669" s="629"/>
      <c r="C11669" s="629"/>
      <c r="D11669" s="629"/>
      <c r="E11669" s="629"/>
      <c r="F11669" s="629"/>
      <c r="G11669" s="629"/>
      <c r="H11669" s="629"/>
      <c r="I11669" s="629"/>
      <c r="J11669" s="629"/>
      <c r="K11669" s="629"/>
      <c r="L11669" s="629"/>
      <c r="M11669" s="629"/>
      <c r="N11669" s="629"/>
      <c r="O11669" s="629"/>
      <c r="P11669" s="629"/>
      <c r="Q11669" s="629"/>
      <c r="R11669" s="629"/>
    </row>
    <row r="11670" spans="1:18" ht="24">
      <c r="A11670" s="309">
        <v>105</v>
      </c>
      <c r="B11670" s="306" t="s">
        <v>21305</v>
      </c>
      <c r="C11670" s="310" t="s">
        <v>21306</v>
      </c>
      <c r="D11670" s="311">
        <v>1544.36</v>
      </c>
      <c r="E11670" s="311">
        <v>459.78</v>
      </c>
      <c r="F11670" s="311">
        <v>398.34</v>
      </c>
      <c r="G11670" s="311">
        <v>686.24</v>
      </c>
      <c r="H11670" s="312">
        <v>11134.53</v>
      </c>
      <c r="I11670" s="312">
        <v>5287.59</v>
      </c>
      <c r="J11670" s="312">
        <v>2410.27</v>
      </c>
      <c r="K11670" s="312">
        <v>3436.67</v>
      </c>
      <c r="L11670" s="43">
        <v>7.2098021186769934</v>
      </c>
      <c r="M11670" s="43">
        <v>11.500260994388622</v>
      </c>
      <c r="N11670" s="43">
        <v>6.0507857609077673</v>
      </c>
      <c r="O11670" s="43">
        <v>5.0079709722546051</v>
      </c>
      <c r="P11670" s="313"/>
      <c r="Q11670" s="313"/>
      <c r="R11670" s="313">
        <v>3</v>
      </c>
    </row>
    <row r="11671" spans="1:18" ht="12.75" customHeight="1">
      <c r="A11671" s="628" t="s">
        <v>21307</v>
      </c>
      <c r="B11671" s="629"/>
      <c r="C11671" s="629"/>
      <c r="D11671" s="629"/>
      <c r="E11671" s="629"/>
      <c r="F11671" s="629"/>
      <c r="G11671" s="629"/>
      <c r="H11671" s="629"/>
      <c r="I11671" s="629"/>
      <c r="J11671" s="629"/>
      <c r="K11671" s="629"/>
      <c r="L11671" s="629"/>
      <c r="M11671" s="629"/>
      <c r="N11671" s="629"/>
      <c r="O11671" s="629"/>
      <c r="P11671" s="629"/>
      <c r="Q11671" s="629"/>
      <c r="R11671" s="629"/>
    </row>
    <row r="11672" spans="1:18" ht="24">
      <c r="A11672" s="309">
        <v>106</v>
      </c>
      <c r="B11672" s="306" t="s">
        <v>21308</v>
      </c>
      <c r="C11672" s="310" t="s">
        <v>21309</v>
      </c>
      <c r="D11672" s="311">
        <v>887.86</v>
      </c>
      <c r="E11672" s="311">
        <v>194.78</v>
      </c>
      <c r="F11672" s="311">
        <v>407.77</v>
      </c>
      <c r="G11672" s="311">
        <v>285.31</v>
      </c>
      <c r="H11672" s="312">
        <v>5808.59</v>
      </c>
      <c r="I11672" s="312">
        <v>2239.9899999999998</v>
      </c>
      <c r="J11672" s="312">
        <v>2468.1</v>
      </c>
      <c r="K11672" s="312">
        <v>1100.5</v>
      </c>
      <c r="L11672" s="43">
        <v>6.5422363886198278</v>
      </c>
      <c r="M11672" s="43">
        <v>11.500102679946606</v>
      </c>
      <c r="N11672" s="43">
        <v>6.0526767540525297</v>
      </c>
      <c r="O11672" s="43">
        <v>3.8572079492481861</v>
      </c>
      <c r="P11672" s="313"/>
      <c r="Q11672" s="313"/>
      <c r="R11672" s="313">
        <v>4</v>
      </c>
    </row>
    <row r="11673" spans="1:18" ht="12.75" customHeight="1">
      <c r="A11673" s="628" t="s">
        <v>21310</v>
      </c>
      <c r="B11673" s="629"/>
      <c r="C11673" s="629"/>
      <c r="D11673" s="629"/>
      <c r="E11673" s="629"/>
      <c r="F11673" s="629"/>
      <c r="G11673" s="629"/>
      <c r="H11673" s="629"/>
      <c r="I11673" s="629"/>
      <c r="J11673" s="629"/>
      <c r="K11673" s="629"/>
      <c r="L11673" s="629"/>
      <c r="M11673" s="629"/>
      <c r="N11673" s="629"/>
      <c r="O11673" s="629"/>
      <c r="P11673" s="629"/>
      <c r="Q11673" s="629"/>
      <c r="R11673" s="629"/>
    </row>
    <row r="11674" spans="1:18" ht="24">
      <c r="A11674" s="309">
        <v>107</v>
      </c>
      <c r="B11674" s="306" t="s">
        <v>21311</v>
      </c>
      <c r="C11674" s="310" t="s">
        <v>21312</v>
      </c>
      <c r="D11674" s="311">
        <v>1480.7</v>
      </c>
      <c r="E11674" s="311">
        <v>266.33</v>
      </c>
      <c r="F11674" s="311">
        <v>416.88</v>
      </c>
      <c r="G11674" s="311">
        <v>797.49</v>
      </c>
      <c r="H11674" s="312">
        <v>9051.1</v>
      </c>
      <c r="I11674" s="312">
        <v>3062.84</v>
      </c>
      <c r="J11674" s="312">
        <v>2619.0100000000002</v>
      </c>
      <c r="K11674" s="312">
        <v>3369.25</v>
      </c>
      <c r="L11674" s="43">
        <v>6.1127169581954481</v>
      </c>
      <c r="M11674" s="43">
        <v>11.500168963316188</v>
      </c>
      <c r="N11674" s="43">
        <v>6.2824074074074083</v>
      </c>
      <c r="O11674" s="43">
        <v>4.2248178660547469</v>
      </c>
      <c r="P11674" s="313"/>
      <c r="Q11674" s="313"/>
      <c r="R11674" s="313">
        <v>5</v>
      </c>
    </row>
    <row r="11675" spans="1:18" ht="12.75" customHeight="1">
      <c r="A11675" s="628" t="s">
        <v>21313</v>
      </c>
      <c r="B11675" s="629"/>
      <c r="C11675" s="629"/>
      <c r="D11675" s="629"/>
      <c r="E11675" s="629"/>
      <c r="F11675" s="629"/>
      <c r="G11675" s="629"/>
      <c r="H11675" s="629"/>
      <c r="I11675" s="629"/>
      <c r="J11675" s="629"/>
      <c r="K11675" s="629"/>
      <c r="L11675" s="629"/>
      <c r="M11675" s="629"/>
      <c r="N11675" s="629"/>
      <c r="O11675" s="629"/>
      <c r="P11675" s="629"/>
      <c r="Q11675" s="629"/>
      <c r="R11675" s="629"/>
    </row>
    <row r="11676" spans="1:18" ht="24">
      <c r="A11676" s="309">
        <v>108</v>
      </c>
      <c r="B11676" s="306" t="s">
        <v>21314</v>
      </c>
      <c r="C11676" s="310" t="s">
        <v>21315</v>
      </c>
      <c r="D11676" s="311">
        <v>778.56</v>
      </c>
      <c r="E11676" s="311">
        <v>253.08</v>
      </c>
      <c r="F11676" s="311">
        <v>416.88</v>
      </c>
      <c r="G11676" s="311">
        <v>108.6</v>
      </c>
      <c r="H11676" s="312">
        <v>5901.44</v>
      </c>
      <c r="I11676" s="312">
        <v>2910.46</v>
      </c>
      <c r="J11676" s="312">
        <v>2619.0100000000002</v>
      </c>
      <c r="K11676" s="312">
        <v>371.97</v>
      </c>
      <c r="L11676" s="43">
        <v>7.5799424578709411</v>
      </c>
      <c r="M11676" s="43">
        <v>11.500158052789631</v>
      </c>
      <c r="N11676" s="43">
        <v>6.2824074074074083</v>
      </c>
      <c r="O11676" s="43">
        <v>3.4251381215469618</v>
      </c>
      <c r="P11676" s="313"/>
      <c r="Q11676" s="313"/>
      <c r="R11676" s="313">
        <v>6</v>
      </c>
    </row>
    <row r="11677" spans="1:18" ht="12.75" customHeight="1">
      <c r="A11677" s="628" t="s">
        <v>21316</v>
      </c>
      <c r="B11677" s="629"/>
      <c r="C11677" s="629"/>
      <c r="D11677" s="629"/>
      <c r="E11677" s="629"/>
      <c r="F11677" s="629"/>
      <c r="G11677" s="629"/>
      <c r="H11677" s="629"/>
      <c r="I11677" s="629"/>
      <c r="J11677" s="629"/>
      <c r="K11677" s="629"/>
      <c r="L11677" s="629"/>
      <c r="M11677" s="629"/>
      <c r="N11677" s="629"/>
      <c r="O11677" s="629"/>
      <c r="P11677" s="629"/>
      <c r="Q11677" s="629"/>
      <c r="R11677" s="629"/>
    </row>
    <row r="11678" spans="1:18" ht="24">
      <c r="A11678" s="309">
        <v>109</v>
      </c>
      <c r="B11678" s="306" t="s">
        <v>21317</v>
      </c>
      <c r="C11678" s="310" t="s">
        <v>21318</v>
      </c>
      <c r="D11678" s="311">
        <v>1621.65</v>
      </c>
      <c r="E11678" s="311">
        <v>84.27</v>
      </c>
      <c r="F11678" s="311">
        <v>155.77000000000001</v>
      </c>
      <c r="G11678" s="311">
        <v>1381.61</v>
      </c>
      <c r="H11678" s="312">
        <v>9487.48</v>
      </c>
      <c r="I11678" s="312">
        <v>969.14</v>
      </c>
      <c r="J11678" s="312">
        <v>962.72</v>
      </c>
      <c r="K11678" s="312">
        <v>7555.62</v>
      </c>
      <c r="L11678" s="43">
        <v>5.8505102827367184</v>
      </c>
      <c r="M11678" s="43">
        <v>11.500415331672007</v>
      </c>
      <c r="N11678" s="43">
        <v>6.180394170892983</v>
      </c>
      <c r="O11678" s="43">
        <v>5.468706798590051</v>
      </c>
      <c r="P11678" s="313"/>
      <c r="Q11678" s="313"/>
      <c r="R11678" s="313">
        <v>7</v>
      </c>
    </row>
    <row r="11679" spans="1:18" ht="12.75" customHeight="1">
      <c r="A11679" s="628" t="s">
        <v>21319</v>
      </c>
      <c r="B11679" s="629"/>
      <c r="C11679" s="629"/>
      <c r="D11679" s="629"/>
      <c r="E11679" s="629"/>
      <c r="F11679" s="629"/>
      <c r="G11679" s="629"/>
      <c r="H11679" s="629"/>
      <c r="I11679" s="629"/>
      <c r="J11679" s="629"/>
      <c r="K11679" s="629"/>
      <c r="L11679" s="629"/>
      <c r="M11679" s="629"/>
      <c r="N11679" s="629"/>
      <c r="O11679" s="629"/>
      <c r="P11679" s="629"/>
      <c r="Q11679" s="629"/>
      <c r="R11679" s="629"/>
    </row>
    <row r="11680" spans="1:18" ht="24">
      <c r="A11680" s="309">
        <v>110</v>
      </c>
      <c r="B11680" s="306" t="s">
        <v>21320</v>
      </c>
      <c r="C11680" s="310" t="s">
        <v>21321</v>
      </c>
      <c r="D11680" s="311">
        <v>1020.32</v>
      </c>
      <c r="E11680" s="311">
        <v>558.41</v>
      </c>
      <c r="F11680" s="311">
        <v>376.58</v>
      </c>
      <c r="G11680" s="311">
        <v>85.33</v>
      </c>
      <c r="H11680" s="312">
        <v>9147.4599999999991</v>
      </c>
      <c r="I11680" s="312">
        <v>6422</v>
      </c>
      <c r="J11680" s="312">
        <v>2133.9499999999998</v>
      </c>
      <c r="K11680" s="312">
        <v>591.51</v>
      </c>
      <c r="L11680" s="43">
        <v>8.9652854006586153</v>
      </c>
      <c r="M11680" s="43">
        <v>11.500510377679483</v>
      </c>
      <c r="N11680" s="43">
        <v>5.6666578150724947</v>
      </c>
      <c r="O11680" s="43">
        <v>6.9320285948669866</v>
      </c>
      <c r="P11680" s="313"/>
      <c r="Q11680" s="313"/>
      <c r="R11680" s="313">
        <v>8</v>
      </c>
    </row>
    <row r="11681" spans="1:18" ht="24">
      <c r="A11681" s="309">
        <v>111</v>
      </c>
      <c r="B11681" s="306" t="s">
        <v>21322</v>
      </c>
      <c r="C11681" s="310" t="s">
        <v>21323</v>
      </c>
      <c r="D11681" s="311">
        <v>1337.02</v>
      </c>
      <c r="E11681" s="311">
        <v>664.12</v>
      </c>
      <c r="F11681" s="311">
        <v>566.64</v>
      </c>
      <c r="G11681" s="311">
        <v>106.26</v>
      </c>
      <c r="H11681" s="312">
        <v>11547.26</v>
      </c>
      <c r="I11681" s="312">
        <v>7637.69</v>
      </c>
      <c r="J11681" s="312">
        <v>3168.04</v>
      </c>
      <c r="K11681" s="312">
        <v>741.53</v>
      </c>
      <c r="L11681" s="43">
        <v>8.6365648980568732</v>
      </c>
      <c r="M11681" s="43">
        <v>11.500466783111484</v>
      </c>
      <c r="N11681" s="43">
        <v>5.5909219257376819</v>
      </c>
      <c r="O11681" s="43">
        <v>6.9784490871447389</v>
      </c>
      <c r="P11681" s="313"/>
      <c r="Q11681" s="313"/>
      <c r="R11681" s="313">
        <v>8</v>
      </c>
    </row>
    <row r="11682" spans="1:18" ht="24">
      <c r="A11682" s="309">
        <v>112</v>
      </c>
      <c r="B11682" s="306" t="s">
        <v>21324</v>
      </c>
      <c r="C11682" s="310" t="s">
        <v>21325</v>
      </c>
      <c r="D11682" s="311">
        <v>1401.48</v>
      </c>
      <c r="E11682" s="311">
        <v>689.4</v>
      </c>
      <c r="F11682" s="311">
        <v>596.36</v>
      </c>
      <c r="G11682" s="311">
        <v>115.72</v>
      </c>
      <c r="H11682" s="312">
        <v>12063.66</v>
      </c>
      <c r="I11682" s="312">
        <v>7928.4</v>
      </c>
      <c r="J11682" s="312">
        <v>3335.54</v>
      </c>
      <c r="K11682" s="312">
        <v>799.72</v>
      </c>
      <c r="L11682" s="43">
        <v>8.6078003253703219</v>
      </c>
      <c r="M11682" s="43">
        <v>11.500435161009573</v>
      </c>
      <c r="N11682" s="43">
        <v>5.5931652022268423</v>
      </c>
      <c r="O11682" s="43">
        <v>6.9108192188040096</v>
      </c>
      <c r="P11682" s="313"/>
      <c r="Q11682" s="313"/>
      <c r="R11682" s="313">
        <v>8</v>
      </c>
    </row>
    <row r="11683" spans="1:18" ht="24">
      <c r="A11683" s="309">
        <v>113</v>
      </c>
      <c r="B11683" s="306" t="s">
        <v>21326</v>
      </c>
      <c r="C11683" s="310" t="s">
        <v>21327</v>
      </c>
      <c r="D11683" s="311">
        <v>1923.34</v>
      </c>
      <c r="E11683" s="311">
        <v>864.05</v>
      </c>
      <c r="F11683" s="311">
        <v>899.45</v>
      </c>
      <c r="G11683" s="311">
        <v>159.84</v>
      </c>
      <c r="H11683" s="312">
        <v>16046.33</v>
      </c>
      <c r="I11683" s="312">
        <v>9936.93</v>
      </c>
      <c r="J11683" s="312">
        <v>4989.2</v>
      </c>
      <c r="K11683" s="312">
        <v>1120.2</v>
      </c>
      <c r="L11683" s="43">
        <v>8.3429502844010948</v>
      </c>
      <c r="M11683" s="43">
        <v>11.50041085585325</v>
      </c>
      <c r="N11683" s="43">
        <v>5.5469453554950245</v>
      </c>
      <c r="O11683" s="43">
        <v>7.008258258258258</v>
      </c>
      <c r="P11683" s="313"/>
      <c r="Q11683" s="313"/>
      <c r="R11683" s="313">
        <v>8</v>
      </c>
    </row>
    <row r="11684" spans="1:18" ht="24">
      <c r="A11684" s="309">
        <v>114</v>
      </c>
      <c r="B11684" s="306" t="s">
        <v>21328</v>
      </c>
      <c r="C11684" s="310" t="s">
        <v>21329</v>
      </c>
      <c r="D11684" s="311">
        <v>2307.5700000000002</v>
      </c>
      <c r="E11684" s="311">
        <v>973.2</v>
      </c>
      <c r="F11684" s="311">
        <v>1141.06</v>
      </c>
      <c r="G11684" s="311">
        <v>193.31</v>
      </c>
      <c r="H11684" s="312">
        <v>18889.34</v>
      </c>
      <c r="I11684" s="312">
        <v>11192.26</v>
      </c>
      <c r="J11684" s="312">
        <v>6333.9</v>
      </c>
      <c r="K11684" s="312">
        <v>1363.18</v>
      </c>
      <c r="L11684" s="43">
        <v>8.1858145148359522</v>
      </c>
      <c r="M11684" s="43">
        <v>11.500472667488697</v>
      </c>
      <c r="N11684" s="43">
        <v>5.5508912765323473</v>
      </c>
      <c r="O11684" s="43">
        <v>7.0517821116341626</v>
      </c>
      <c r="P11684" s="313"/>
      <c r="Q11684" s="313"/>
      <c r="R11684" s="313">
        <v>8</v>
      </c>
    </row>
    <row r="11685" spans="1:18" ht="24">
      <c r="A11685" s="309">
        <v>115</v>
      </c>
      <c r="B11685" s="306" t="s">
        <v>21330</v>
      </c>
      <c r="C11685" s="310" t="s">
        <v>21331</v>
      </c>
      <c r="D11685" s="311">
        <v>2844.6</v>
      </c>
      <c r="E11685" s="311">
        <v>1124.8699999999999</v>
      </c>
      <c r="F11685" s="311">
        <v>1482.5</v>
      </c>
      <c r="G11685" s="311">
        <v>237.23</v>
      </c>
      <c r="H11685" s="312">
        <v>22867.74</v>
      </c>
      <c r="I11685" s="312">
        <v>12936.51</v>
      </c>
      <c r="J11685" s="312">
        <v>8228.92</v>
      </c>
      <c r="K11685" s="312">
        <v>1702.31</v>
      </c>
      <c r="L11685" s="43">
        <v>8.0390002109259662</v>
      </c>
      <c r="M11685" s="43">
        <v>11.500448940766489</v>
      </c>
      <c r="N11685" s="43">
        <v>5.5507048903878582</v>
      </c>
      <c r="O11685" s="43">
        <v>7.1757787800868353</v>
      </c>
      <c r="P11685" s="313"/>
      <c r="Q11685" s="313"/>
      <c r="R11685" s="313">
        <v>8</v>
      </c>
    </row>
    <row r="11686" spans="1:18" ht="24">
      <c r="A11686" s="309">
        <v>116</v>
      </c>
      <c r="B11686" s="306" t="s">
        <v>21332</v>
      </c>
      <c r="C11686" s="310" t="s">
        <v>21333</v>
      </c>
      <c r="D11686" s="311">
        <v>1241.78</v>
      </c>
      <c r="E11686" s="311">
        <v>558.41</v>
      </c>
      <c r="F11686" s="311">
        <v>186.71</v>
      </c>
      <c r="G11686" s="311">
        <v>496.66</v>
      </c>
      <c r="H11686" s="312">
        <v>9917.56</v>
      </c>
      <c r="I11686" s="312">
        <v>6422</v>
      </c>
      <c r="J11686" s="312">
        <v>1111.56</v>
      </c>
      <c r="K11686" s="312">
        <v>2384</v>
      </c>
      <c r="L11686" s="43">
        <v>7.9865676689912863</v>
      </c>
      <c r="M11686" s="43">
        <v>11.500510377679483</v>
      </c>
      <c r="N11686" s="43">
        <v>5.9534036741470722</v>
      </c>
      <c r="O11686" s="43">
        <v>4.8000644303950386</v>
      </c>
      <c r="P11686" s="313"/>
      <c r="Q11686" s="313"/>
      <c r="R11686" s="313">
        <v>8</v>
      </c>
    </row>
    <row r="11687" spans="1:18" ht="24">
      <c r="A11687" s="309">
        <v>117</v>
      </c>
      <c r="B11687" s="306" t="s">
        <v>21334</v>
      </c>
      <c r="C11687" s="310" t="s">
        <v>21335</v>
      </c>
      <c r="D11687" s="311">
        <v>1542.82</v>
      </c>
      <c r="E11687" s="311">
        <v>657.23</v>
      </c>
      <c r="F11687" s="311">
        <v>229.22</v>
      </c>
      <c r="G11687" s="311">
        <v>656.37</v>
      </c>
      <c r="H11687" s="312">
        <v>12090.15</v>
      </c>
      <c r="I11687" s="312">
        <v>7558.41</v>
      </c>
      <c r="J11687" s="312">
        <v>1351.23</v>
      </c>
      <c r="K11687" s="312">
        <v>3180.51</v>
      </c>
      <c r="L11687" s="43">
        <v>7.8363969873348802</v>
      </c>
      <c r="M11687" s="43">
        <v>11.500403207400757</v>
      </c>
      <c r="N11687" s="43">
        <v>5.8949044585987265</v>
      </c>
      <c r="O11687" s="43">
        <v>4.8456053750171399</v>
      </c>
      <c r="P11687" s="313"/>
      <c r="Q11687" s="313"/>
      <c r="R11687" s="313">
        <v>8</v>
      </c>
    </row>
    <row r="11688" spans="1:18" ht="24">
      <c r="A11688" s="309">
        <v>118</v>
      </c>
      <c r="B11688" s="306" t="s">
        <v>21336</v>
      </c>
      <c r="C11688" s="310" t="s">
        <v>21337</v>
      </c>
      <c r="D11688" s="311">
        <v>1740.95</v>
      </c>
      <c r="E11688" s="311">
        <v>689.4</v>
      </c>
      <c r="F11688" s="311">
        <v>254.59</v>
      </c>
      <c r="G11688" s="311">
        <v>796.96</v>
      </c>
      <c r="H11688" s="312">
        <v>13292.48</v>
      </c>
      <c r="I11688" s="312">
        <v>7928.4</v>
      </c>
      <c r="J11688" s="312">
        <v>1495.33</v>
      </c>
      <c r="K11688" s="312">
        <v>3868.75</v>
      </c>
      <c r="L11688" s="43">
        <v>7.6351876848846887</v>
      </c>
      <c r="M11688" s="43">
        <v>11.500435161009573</v>
      </c>
      <c r="N11688" s="43">
        <v>5.8734828547861264</v>
      </c>
      <c r="O11688" s="43">
        <v>4.8543841598072675</v>
      </c>
      <c r="P11688" s="313"/>
      <c r="Q11688" s="313"/>
      <c r="R11688" s="313">
        <v>8</v>
      </c>
    </row>
    <row r="11689" spans="1:18" ht="24">
      <c r="A11689" s="309">
        <v>119</v>
      </c>
      <c r="B11689" s="306" t="s">
        <v>21338</v>
      </c>
      <c r="C11689" s="310" t="s">
        <v>21339</v>
      </c>
      <c r="D11689" s="311">
        <v>88.61</v>
      </c>
      <c r="E11689" s="311">
        <v>34.47</v>
      </c>
      <c r="F11689" s="311">
        <v>53.45</v>
      </c>
      <c r="G11689" s="311">
        <v>0.69</v>
      </c>
      <c r="H11689" s="312">
        <v>692.91</v>
      </c>
      <c r="I11689" s="312">
        <v>396.42</v>
      </c>
      <c r="J11689" s="312">
        <v>288.55</v>
      </c>
      <c r="K11689" s="312">
        <v>7.94</v>
      </c>
      <c r="L11689" s="43">
        <v>7.8197720347590565</v>
      </c>
      <c r="M11689" s="43">
        <v>11.500435161009575</v>
      </c>
      <c r="N11689" s="43">
        <v>5.3985032740879326</v>
      </c>
      <c r="O11689" s="43">
        <v>11.500158277936057</v>
      </c>
      <c r="P11689" s="313"/>
      <c r="Q11689" s="313"/>
      <c r="R11689" s="313">
        <v>8</v>
      </c>
    </row>
    <row r="11690" spans="1:18" ht="24">
      <c r="A11690" s="309">
        <v>120</v>
      </c>
      <c r="B11690" s="306" t="s">
        <v>21340</v>
      </c>
      <c r="C11690" s="310" t="s">
        <v>21341</v>
      </c>
      <c r="D11690" s="311">
        <v>120.16</v>
      </c>
      <c r="E11690" s="311">
        <v>45.96</v>
      </c>
      <c r="F11690" s="311">
        <v>73.28</v>
      </c>
      <c r="G11690" s="311">
        <v>0.92</v>
      </c>
      <c r="H11690" s="312">
        <v>934.74</v>
      </c>
      <c r="I11690" s="312">
        <v>528.55999999999995</v>
      </c>
      <c r="J11690" s="312">
        <v>395.6</v>
      </c>
      <c r="K11690" s="312">
        <v>10.58</v>
      </c>
      <c r="L11690" s="43">
        <v>7.7791278295605863</v>
      </c>
      <c r="M11690" s="43">
        <v>11.500435161009571</v>
      </c>
      <c r="N11690" s="43">
        <v>5.3984716157205241</v>
      </c>
      <c r="O11690" s="43">
        <v>11.5</v>
      </c>
      <c r="P11690" s="313"/>
      <c r="Q11690" s="313"/>
      <c r="R11690" s="313">
        <v>8</v>
      </c>
    </row>
    <row r="11691" spans="1:18" ht="24">
      <c r="A11691" s="309">
        <v>121</v>
      </c>
      <c r="B11691" s="306" t="s">
        <v>21342</v>
      </c>
      <c r="C11691" s="310" t="s">
        <v>21343</v>
      </c>
      <c r="D11691" s="311">
        <v>129.85</v>
      </c>
      <c r="E11691" s="311">
        <v>45.96</v>
      </c>
      <c r="F11691" s="311">
        <v>82.97</v>
      </c>
      <c r="G11691" s="311">
        <v>0.92</v>
      </c>
      <c r="H11691" s="312">
        <v>987.08</v>
      </c>
      <c r="I11691" s="312">
        <v>528.55999999999995</v>
      </c>
      <c r="J11691" s="312">
        <v>447.94</v>
      </c>
      <c r="K11691" s="312">
        <v>10.58</v>
      </c>
      <c r="L11691" s="43">
        <v>7.6016942626107049</v>
      </c>
      <c r="M11691" s="43">
        <v>11.500435161009571</v>
      </c>
      <c r="N11691" s="43">
        <v>5.3988188501868146</v>
      </c>
      <c r="O11691" s="43">
        <v>11.5</v>
      </c>
      <c r="P11691" s="313"/>
      <c r="Q11691" s="313"/>
      <c r="R11691" s="313">
        <v>8</v>
      </c>
    </row>
    <row r="11692" spans="1:18" ht="24">
      <c r="A11692" s="309">
        <v>122</v>
      </c>
      <c r="B11692" s="306" t="s">
        <v>21344</v>
      </c>
      <c r="C11692" s="310" t="s">
        <v>21345</v>
      </c>
      <c r="D11692" s="311">
        <v>206.69</v>
      </c>
      <c r="E11692" s="311">
        <v>57.45</v>
      </c>
      <c r="F11692" s="311">
        <v>148.09</v>
      </c>
      <c r="G11692" s="311">
        <v>1.1499999999999999</v>
      </c>
      <c r="H11692" s="312">
        <v>1473.29</v>
      </c>
      <c r="I11692" s="312">
        <v>660.7</v>
      </c>
      <c r="J11692" s="312">
        <v>799.36</v>
      </c>
      <c r="K11692" s="312">
        <v>13.23</v>
      </c>
      <c r="L11692" s="43">
        <v>7.1280178044414342</v>
      </c>
      <c r="M11692" s="43">
        <v>11.500435161009573</v>
      </c>
      <c r="N11692" s="43">
        <v>5.397798635964616</v>
      </c>
      <c r="O11692" s="43">
        <v>11.504347826086958</v>
      </c>
      <c r="P11692" s="313"/>
      <c r="Q11692" s="313"/>
      <c r="R11692" s="313">
        <v>8</v>
      </c>
    </row>
    <row r="11693" spans="1:18" ht="24">
      <c r="A11693" s="309">
        <v>123</v>
      </c>
      <c r="B11693" s="306" t="s">
        <v>21346</v>
      </c>
      <c r="C11693" s="310" t="s">
        <v>21347</v>
      </c>
      <c r="D11693" s="311">
        <v>250.96</v>
      </c>
      <c r="E11693" s="311">
        <v>68.94</v>
      </c>
      <c r="F11693" s="311">
        <v>180.64</v>
      </c>
      <c r="G11693" s="311">
        <v>1.38</v>
      </c>
      <c r="H11693" s="312">
        <v>1783.77</v>
      </c>
      <c r="I11693" s="312">
        <v>792.84</v>
      </c>
      <c r="J11693" s="312">
        <v>975.06</v>
      </c>
      <c r="K11693" s="312">
        <v>15.87</v>
      </c>
      <c r="L11693" s="43">
        <v>7.1077861013707357</v>
      </c>
      <c r="M11693" s="43">
        <v>11.500435161009575</v>
      </c>
      <c r="N11693" s="43">
        <v>5.3978077945084149</v>
      </c>
      <c r="O11693" s="43">
        <v>11.5</v>
      </c>
      <c r="P11693" s="313"/>
      <c r="Q11693" s="313"/>
      <c r="R11693" s="313">
        <v>8</v>
      </c>
    </row>
    <row r="11694" spans="1:18" ht="24">
      <c r="A11694" s="309">
        <v>124</v>
      </c>
      <c r="B11694" s="306" t="s">
        <v>21348</v>
      </c>
      <c r="C11694" s="310" t="s">
        <v>21349</v>
      </c>
      <c r="D11694" s="311">
        <v>332.46</v>
      </c>
      <c r="E11694" s="311">
        <v>80.430000000000007</v>
      </c>
      <c r="F11694" s="311">
        <v>250.42</v>
      </c>
      <c r="G11694" s="311">
        <v>1.61</v>
      </c>
      <c r="H11694" s="312">
        <v>2295.4699999999998</v>
      </c>
      <c r="I11694" s="312">
        <v>924.98</v>
      </c>
      <c r="J11694" s="312">
        <v>1351.97</v>
      </c>
      <c r="K11694" s="312">
        <v>18.52</v>
      </c>
      <c r="L11694" s="43">
        <v>6.9044997894483542</v>
      </c>
      <c r="M11694" s="43">
        <v>11.500435161009573</v>
      </c>
      <c r="N11694" s="43">
        <v>5.3988099992013421</v>
      </c>
      <c r="O11694" s="43">
        <v>11.503105590062111</v>
      </c>
      <c r="P11694" s="313"/>
      <c r="Q11694" s="313"/>
      <c r="R11694" s="313">
        <v>8</v>
      </c>
    </row>
    <row r="11695" spans="1:18" ht="24">
      <c r="A11695" s="309">
        <v>125</v>
      </c>
      <c r="B11695" s="306" t="s">
        <v>21350</v>
      </c>
      <c r="C11695" s="310" t="s">
        <v>21351</v>
      </c>
      <c r="D11695" s="311">
        <v>121.99</v>
      </c>
      <c r="E11695" s="311">
        <v>102.03</v>
      </c>
      <c r="F11695" s="311">
        <v>17.920000000000002</v>
      </c>
      <c r="G11695" s="311">
        <v>2.04</v>
      </c>
      <c r="H11695" s="312">
        <v>1295.08</v>
      </c>
      <c r="I11695" s="312">
        <v>1173.4000000000001</v>
      </c>
      <c r="J11695" s="312">
        <v>98.22</v>
      </c>
      <c r="K11695" s="312">
        <v>23.46</v>
      </c>
      <c r="L11695" s="43">
        <v>10.616280022952701</v>
      </c>
      <c r="M11695" s="43">
        <v>11.500539057140058</v>
      </c>
      <c r="N11695" s="43">
        <v>5.4810267857142847</v>
      </c>
      <c r="O11695" s="43">
        <v>11.5</v>
      </c>
      <c r="P11695" s="313"/>
      <c r="Q11695" s="313"/>
      <c r="R11695" s="313">
        <v>8</v>
      </c>
    </row>
    <row r="11696" spans="1:18" ht="24">
      <c r="A11696" s="309">
        <v>126</v>
      </c>
      <c r="B11696" s="306" t="s">
        <v>21352</v>
      </c>
      <c r="C11696" s="310" t="s">
        <v>21353</v>
      </c>
      <c r="D11696" s="311">
        <v>141.77000000000001</v>
      </c>
      <c r="E11696" s="311">
        <v>114.79</v>
      </c>
      <c r="F11696" s="311">
        <v>24.68</v>
      </c>
      <c r="G11696" s="311">
        <v>2.2999999999999998</v>
      </c>
      <c r="H11696" s="312">
        <v>1481.77</v>
      </c>
      <c r="I11696" s="312">
        <v>1320.08</v>
      </c>
      <c r="J11696" s="312">
        <v>135.24</v>
      </c>
      <c r="K11696" s="312">
        <v>26.45</v>
      </c>
      <c r="L11696" s="43">
        <v>10.451929181067927</v>
      </c>
      <c r="M11696" s="43">
        <v>11.499956442198796</v>
      </c>
      <c r="N11696" s="43">
        <v>5.4797406807131281</v>
      </c>
      <c r="O11696" s="43">
        <v>11.5</v>
      </c>
      <c r="P11696" s="313"/>
      <c r="Q11696" s="313"/>
      <c r="R11696" s="313">
        <v>8</v>
      </c>
    </row>
    <row r="11697" spans="1:18" ht="24">
      <c r="A11697" s="309">
        <v>127</v>
      </c>
      <c r="B11697" s="306" t="s">
        <v>21354</v>
      </c>
      <c r="C11697" s="310" t="s">
        <v>21355</v>
      </c>
      <c r="D11697" s="311">
        <v>145.12</v>
      </c>
      <c r="E11697" s="311">
        <v>113.75</v>
      </c>
      <c r="F11697" s="311">
        <v>29.09</v>
      </c>
      <c r="G11697" s="311">
        <v>2.2799999999999998</v>
      </c>
      <c r="H11697" s="312">
        <v>1493.89</v>
      </c>
      <c r="I11697" s="312">
        <v>1308.19</v>
      </c>
      <c r="J11697" s="312">
        <v>159.47999999999999</v>
      </c>
      <c r="K11697" s="312">
        <v>26.22</v>
      </c>
      <c r="L11697" s="43">
        <v>10.294170341786108</v>
      </c>
      <c r="M11697" s="43">
        <v>11.50057142857143</v>
      </c>
      <c r="N11697" s="43">
        <v>5.4822963217600549</v>
      </c>
      <c r="O11697" s="43">
        <v>11.5</v>
      </c>
      <c r="P11697" s="313"/>
      <c r="Q11697" s="313"/>
      <c r="R11697" s="313">
        <v>8</v>
      </c>
    </row>
    <row r="11698" spans="1:18" ht="12.75" customHeight="1">
      <c r="A11698" s="628" t="s">
        <v>21356</v>
      </c>
      <c r="B11698" s="629"/>
      <c r="C11698" s="629"/>
      <c r="D11698" s="629"/>
      <c r="E11698" s="629"/>
      <c r="F11698" s="629"/>
      <c r="G11698" s="629"/>
      <c r="H11698" s="629"/>
      <c r="I11698" s="629"/>
      <c r="J11698" s="629"/>
      <c r="K11698" s="629"/>
      <c r="L11698" s="629"/>
      <c r="M11698" s="629"/>
      <c r="N11698" s="629"/>
      <c r="O11698" s="629"/>
      <c r="P11698" s="629"/>
      <c r="Q11698" s="629"/>
      <c r="R11698" s="629"/>
    </row>
    <row r="11699" spans="1:18" ht="24">
      <c r="A11699" s="309">
        <v>128</v>
      </c>
      <c r="B11699" s="306" t="s">
        <v>21357</v>
      </c>
      <c r="C11699" s="310" t="s">
        <v>21358</v>
      </c>
      <c r="D11699" s="311">
        <v>83.59</v>
      </c>
      <c r="E11699" s="311">
        <v>66.25</v>
      </c>
      <c r="F11699" s="311">
        <v>9.16</v>
      </c>
      <c r="G11699" s="311">
        <v>8.18</v>
      </c>
      <c r="H11699" s="312">
        <v>879.56</v>
      </c>
      <c r="I11699" s="312">
        <v>761.9</v>
      </c>
      <c r="J11699" s="312">
        <v>67.19</v>
      </c>
      <c r="K11699" s="312">
        <v>50.47</v>
      </c>
      <c r="L11699" s="43">
        <v>10.522311281253737</v>
      </c>
      <c r="M11699" s="43">
        <v>11.500377358490566</v>
      </c>
      <c r="N11699" s="43">
        <v>7.3351528384279474</v>
      </c>
      <c r="O11699" s="43">
        <v>6.1699266503667483</v>
      </c>
      <c r="P11699" s="313"/>
      <c r="Q11699" s="313"/>
      <c r="R11699" s="313">
        <v>9</v>
      </c>
    </row>
    <row r="11700" spans="1:18" ht="24">
      <c r="A11700" s="309">
        <v>129</v>
      </c>
      <c r="B11700" s="306" t="s">
        <v>21359</v>
      </c>
      <c r="C11700" s="310" t="s">
        <v>21360</v>
      </c>
      <c r="D11700" s="311">
        <v>83.67</v>
      </c>
      <c r="E11700" s="311">
        <v>66.25</v>
      </c>
      <c r="F11700" s="311">
        <v>9.24</v>
      </c>
      <c r="G11700" s="311">
        <v>8.18</v>
      </c>
      <c r="H11700" s="312">
        <v>880.02</v>
      </c>
      <c r="I11700" s="312">
        <v>761.9</v>
      </c>
      <c r="J11700" s="312">
        <v>67.650000000000006</v>
      </c>
      <c r="K11700" s="312">
        <v>50.47</v>
      </c>
      <c r="L11700" s="43">
        <v>10.517748296880601</v>
      </c>
      <c r="M11700" s="43">
        <v>11.500377358490566</v>
      </c>
      <c r="N11700" s="43">
        <v>7.3214285714285721</v>
      </c>
      <c r="O11700" s="43">
        <v>6.1699266503667483</v>
      </c>
      <c r="P11700" s="313"/>
      <c r="Q11700" s="313"/>
      <c r="R11700" s="313">
        <v>9</v>
      </c>
    </row>
    <row r="11701" spans="1:18" ht="24">
      <c r="A11701" s="309">
        <v>130</v>
      </c>
      <c r="B11701" s="306" t="s">
        <v>21361</v>
      </c>
      <c r="C11701" s="310" t="s">
        <v>21362</v>
      </c>
      <c r="D11701" s="311">
        <v>3.8</v>
      </c>
      <c r="E11701" s="311">
        <v>3.71</v>
      </c>
      <c r="F11701" s="311">
        <v>0.02</v>
      </c>
      <c r="G11701" s="311">
        <v>7.0000000000000007E-2</v>
      </c>
      <c r="H11701" s="312">
        <v>43.56</v>
      </c>
      <c r="I11701" s="312">
        <v>42.67</v>
      </c>
      <c r="J11701" s="312">
        <v>0.08</v>
      </c>
      <c r="K11701" s="312">
        <v>0.81</v>
      </c>
      <c r="L11701" s="43">
        <v>11.463157894736844</v>
      </c>
      <c r="M11701" s="43">
        <v>11.50134770889488</v>
      </c>
      <c r="N11701" s="43">
        <v>4</v>
      </c>
      <c r="O11701" s="43">
        <v>11.500158277936057</v>
      </c>
      <c r="P11701" s="313"/>
      <c r="Q11701" s="313"/>
      <c r="R11701" s="313">
        <v>9</v>
      </c>
    </row>
    <row r="11702" spans="1:18" ht="24">
      <c r="A11702" s="309">
        <v>131</v>
      </c>
      <c r="B11702" s="306" t="s">
        <v>21363</v>
      </c>
      <c r="C11702" s="310" t="s">
        <v>21364</v>
      </c>
      <c r="D11702" s="311">
        <v>3.88</v>
      </c>
      <c r="E11702" s="311">
        <v>3.71</v>
      </c>
      <c r="F11702" s="311">
        <v>0.1</v>
      </c>
      <c r="G11702" s="311">
        <v>7.0000000000000007E-2</v>
      </c>
      <c r="H11702" s="312">
        <v>44.02</v>
      </c>
      <c r="I11702" s="312">
        <v>42.67</v>
      </c>
      <c r="J11702" s="312">
        <v>0.54</v>
      </c>
      <c r="K11702" s="312">
        <v>0.81</v>
      </c>
      <c r="L11702" s="43">
        <v>11.345360824742269</v>
      </c>
      <c r="M11702" s="43">
        <v>11.50134770889488</v>
      </c>
      <c r="N11702" s="43">
        <v>5.4</v>
      </c>
      <c r="O11702" s="43">
        <v>11.500158277936057</v>
      </c>
      <c r="P11702" s="313"/>
      <c r="Q11702" s="313"/>
      <c r="R11702" s="313">
        <v>9</v>
      </c>
    </row>
    <row r="11703" spans="1:18" ht="12.75" customHeight="1">
      <c r="A11703" s="628" t="s">
        <v>21365</v>
      </c>
      <c r="B11703" s="629"/>
      <c r="C11703" s="629"/>
      <c r="D11703" s="629"/>
      <c r="E11703" s="629"/>
      <c r="F11703" s="629"/>
      <c r="G11703" s="629"/>
      <c r="H11703" s="629"/>
      <c r="I11703" s="629"/>
      <c r="J11703" s="629"/>
      <c r="K11703" s="629"/>
      <c r="L11703" s="629"/>
      <c r="M11703" s="629"/>
      <c r="N11703" s="629"/>
      <c r="O11703" s="629"/>
      <c r="P11703" s="629"/>
      <c r="Q11703" s="629"/>
      <c r="R11703" s="629"/>
    </row>
    <row r="11704" spans="1:18" ht="24">
      <c r="A11704" s="309">
        <v>132</v>
      </c>
      <c r="B11704" s="306" t="s">
        <v>21366</v>
      </c>
      <c r="C11704" s="310" t="s">
        <v>21367</v>
      </c>
      <c r="D11704" s="311">
        <v>94.7</v>
      </c>
      <c r="E11704" s="311">
        <v>57.77</v>
      </c>
      <c r="F11704" s="311">
        <v>35.770000000000003</v>
      </c>
      <c r="G11704" s="311">
        <v>1.1599999999999999</v>
      </c>
      <c r="H11704" s="312">
        <v>868.26</v>
      </c>
      <c r="I11704" s="312">
        <v>664.38</v>
      </c>
      <c r="J11704" s="312">
        <v>190.54</v>
      </c>
      <c r="K11704" s="312">
        <v>13.34</v>
      </c>
      <c r="L11704" s="43">
        <v>9.1685322069693758</v>
      </c>
      <c r="M11704" s="43">
        <v>11.500432750562576</v>
      </c>
      <c r="N11704" s="43">
        <v>5.3268101761252442</v>
      </c>
      <c r="O11704" s="43">
        <v>11.5</v>
      </c>
      <c r="P11704" s="313"/>
      <c r="Q11704" s="313"/>
      <c r="R11704" s="313">
        <v>10</v>
      </c>
    </row>
    <row r="11705" spans="1:18" ht="24">
      <c r="A11705" s="314">
        <v>133</v>
      </c>
      <c r="B11705" s="315" t="s">
        <v>21368</v>
      </c>
      <c r="C11705" s="316" t="s">
        <v>21369</v>
      </c>
      <c r="D11705" s="317">
        <v>57.03</v>
      </c>
      <c r="E11705" s="317">
        <v>43.33</v>
      </c>
      <c r="F11705" s="317">
        <v>12.83</v>
      </c>
      <c r="G11705" s="317">
        <v>0.87</v>
      </c>
      <c r="H11705" s="318">
        <v>577.96</v>
      </c>
      <c r="I11705" s="318">
        <v>498.28</v>
      </c>
      <c r="J11705" s="318">
        <v>69.67</v>
      </c>
      <c r="K11705" s="318">
        <v>10.01</v>
      </c>
      <c r="L11705" s="611">
        <v>10.13431527266351</v>
      </c>
      <c r="M11705" s="611">
        <v>11.499653819524578</v>
      </c>
      <c r="N11705" s="611">
        <v>5.4302416212003122</v>
      </c>
      <c r="O11705" s="43">
        <v>11.500158277936057</v>
      </c>
      <c r="P11705" s="319"/>
      <c r="Q11705" s="319"/>
      <c r="R11705" s="319">
        <v>10</v>
      </c>
    </row>
    <row r="11706" spans="1:18" ht="12.75" customHeight="1">
      <c r="A11706" s="630" t="s">
        <v>21370</v>
      </c>
      <c r="B11706" s="631"/>
      <c r="C11706" s="631"/>
      <c r="D11706" s="631"/>
      <c r="E11706" s="631"/>
      <c r="F11706" s="631"/>
      <c r="G11706" s="631"/>
      <c r="H11706" s="631"/>
      <c r="I11706" s="631"/>
      <c r="J11706" s="631"/>
      <c r="K11706" s="631"/>
      <c r="L11706" s="631"/>
      <c r="M11706" s="631"/>
      <c r="N11706" s="631"/>
      <c r="O11706" s="631"/>
      <c r="P11706" s="631"/>
      <c r="Q11706" s="631"/>
      <c r="R11706" s="631"/>
    </row>
    <row r="11707" spans="1:18" ht="12.75" customHeight="1">
      <c r="A11707" s="628" t="s">
        <v>21371</v>
      </c>
      <c r="B11707" s="629"/>
      <c r="C11707" s="629"/>
      <c r="D11707" s="629"/>
      <c r="E11707" s="629"/>
      <c r="F11707" s="629"/>
      <c r="G11707" s="629"/>
      <c r="H11707" s="629"/>
      <c r="I11707" s="629"/>
      <c r="J11707" s="629"/>
      <c r="K11707" s="629"/>
      <c r="L11707" s="629"/>
      <c r="M11707" s="629"/>
      <c r="N11707" s="629"/>
      <c r="O11707" s="629"/>
      <c r="P11707" s="629"/>
      <c r="Q11707" s="629"/>
      <c r="R11707" s="629"/>
    </row>
    <row r="11708" spans="1:18" ht="12.75" customHeight="1">
      <c r="A11708" s="628" t="s">
        <v>21372</v>
      </c>
      <c r="B11708" s="629"/>
      <c r="C11708" s="629"/>
      <c r="D11708" s="629"/>
      <c r="E11708" s="629"/>
      <c r="F11708" s="629"/>
      <c r="G11708" s="629"/>
      <c r="H11708" s="629"/>
      <c r="I11708" s="629"/>
      <c r="J11708" s="629"/>
      <c r="K11708" s="629"/>
      <c r="L11708" s="629"/>
      <c r="M11708" s="629"/>
      <c r="N11708" s="629"/>
      <c r="O11708" s="629"/>
      <c r="P11708" s="629"/>
      <c r="Q11708" s="629"/>
      <c r="R11708" s="629"/>
    </row>
    <row r="11709" spans="1:18" ht="24">
      <c r="A11709" s="309">
        <v>134</v>
      </c>
      <c r="B11709" s="306" t="s">
        <v>21373</v>
      </c>
      <c r="C11709" s="310" t="s">
        <v>21374</v>
      </c>
      <c r="D11709" s="311">
        <v>1564.9</v>
      </c>
      <c r="E11709" s="311">
        <v>212.46</v>
      </c>
      <c r="F11709" s="311">
        <v>1156.19</v>
      </c>
      <c r="G11709" s="311">
        <v>196.25</v>
      </c>
      <c r="H11709" s="312">
        <v>9802.66</v>
      </c>
      <c r="I11709" s="312">
        <v>2443.34</v>
      </c>
      <c r="J11709" s="312">
        <v>6257.42</v>
      </c>
      <c r="K11709" s="312">
        <v>1101.9000000000001</v>
      </c>
      <c r="L11709" s="43">
        <v>6.2640807719343083</v>
      </c>
      <c r="M11709" s="43">
        <v>11.500235338416644</v>
      </c>
      <c r="N11709" s="43">
        <v>5.4121035469948708</v>
      </c>
      <c r="O11709" s="43">
        <v>5.6147770700636945</v>
      </c>
      <c r="P11709" s="313"/>
      <c r="Q11709" s="313"/>
      <c r="R11709" s="313">
        <v>1</v>
      </c>
    </row>
    <row r="11710" spans="1:18" ht="24">
      <c r="A11710" s="309">
        <v>135</v>
      </c>
      <c r="B11710" s="306" t="s">
        <v>21375</v>
      </c>
      <c r="C11710" s="310" t="s">
        <v>21376</v>
      </c>
      <c r="D11710" s="311">
        <v>1742.24</v>
      </c>
      <c r="E11710" s="311">
        <v>227.08</v>
      </c>
      <c r="F11710" s="311">
        <v>1315.79</v>
      </c>
      <c r="G11710" s="311">
        <v>199.37</v>
      </c>
      <c r="H11710" s="312">
        <v>10819.79</v>
      </c>
      <c r="I11710" s="312">
        <v>2611.5100000000002</v>
      </c>
      <c r="J11710" s="312">
        <v>7118.43</v>
      </c>
      <c r="K11710" s="312">
        <v>1089.8499999999999</v>
      </c>
      <c r="L11710" s="43">
        <v>6.2102752778032881</v>
      </c>
      <c r="M11710" s="43">
        <v>11.500396336093008</v>
      </c>
      <c r="N11710" s="43">
        <v>5.4100046359981464</v>
      </c>
      <c r="O11710" s="43">
        <v>5.4664693785424081</v>
      </c>
      <c r="P11710" s="313"/>
      <c r="Q11710" s="313"/>
      <c r="R11710" s="313">
        <v>1</v>
      </c>
    </row>
    <row r="11711" spans="1:18" ht="48">
      <c r="A11711" s="309">
        <v>136</v>
      </c>
      <c r="B11711" s="306" t="s">
        <v>21377</v>
      </c>
      <c r="C11711" s="310" t="s">
        <v>21378</v>
      </c>
      <c r="D11711" s="311">
        <v>1682.96</v>
      </c>
      <c r="E11711" s="311">
        <v>190.79</v>
      </c>
      <c r="F11711" s="311">
        <v>1381.56</v>
      </c>
      <c r="G11711" s="311">
        <v>110.61</v>
      </c>
      <c r="H11711" s="312">
        <v>10493.41</v>
      </c>
      <c r="I11711" s="312">
        <v>2194.11</v>
      </c>
      <c r="J11711" s="312">
        <v>7503.6</v>
      </c>
      <c r="K11711" s="312">
        <v>795.7</v>
      </c>
      <c r="L11711" s="43">
        <v>6.2350917431192654</v>
      </c>
      <c r="M11711" s="43">
        <v>11.500131034121287</v>
      </c>
      <c r="N11711" s="43">
        <v>5.4312516285937642</v>
      </c>
      <c r="O11711" s="43">
        <v>7.1937437844679506</v>
      </c>
      <c r="P11711" s="313"/>
      <c r="Q11711" s="313"/>
      <c r="R11711" s="313">
        <v>1</v>
      </c>
    </row>
    <row r="11712" spans="1:18" ht="24">
      <c r="A11712" s="309">
        <v>137</v>
      </c>
      <c r="B11712" s="306" t="s">
        <v>21379</v>
      </c>
      <c r="C11712" s="310" t="s">
        <v>21380</v>
      </c>
      <c r="D11712" s="311">
        <v>1592.48</v>
      </c>
      <c r="E11712" s="311">
        <v>385.84</v>
      </c>
      <c r="F11712" s="311">
        <v>952.42</v>
      </c>
      <c r="G11712" s="311">
        <v>254.22</v>
      </c>
      <c r="H11712" s="312">
        <v>11025.7</v>
      </c>
      <c r="I11712" s="312">
        <v>4437.18</v>
      </c>
      <c r="J11712" s="312">
        <v>5194.01</v>
      </c>
      <c r="K11712" s="312">
        <v>1394.51</v>
      </c>
      <c r="L11712" s="43">
        <v>6.9236034361499046</v>
      </c>
      <c r="M11712" s="43">
        <v>11.500051834957496</v>
      </c>
      <c r="N11712" s="43">
        <v>5.4534869070368117</v>
      </c>
      <c r="O11712" s="43">
        <v>5.4854456769727005</v>
      </c>
      <c r="P11712" s="313"/>
      <c r="Q11712" s="313"/>
      <c r="R11712" s="313">
        <v>1</v>
      </c>
    </row>
    <row r="11713" spans="1:18" ht="24">
      <c r="A11713" s="309">
        <v>138</v>
      </c>
      <c r="B11713" s="306" t="s">
        <v>21381</v>
      </c>
      <c r="C11713" s="310" t="s">
        <v>21382</v>
      </c>
      <c r="D11713" s="311">
        <v>2363.6</v>
      </c>
      <c r="E11713" s="311">
        <v>420.12</v>
      </c>
      <c r="F11713" s="311">
        <v>1260.54</v>
      </c>
      <c r="G11713" s="311">
        <v>682.94</v>
      </c>
      <c r="H11713" s="312">
        <v>18555.32</v>
      </c>
      <c r="I11713" s="312">
        <v>4831.5600000000004</v>
      </c>
      <c r="J11713" s="312">
        <v>6676.94</v>
      </c>
      <c r="K11713" s="312">
        <v>7046.82</v>
      </c>
      <c r="L11713" s="43">
        <v>7.8504484684379765</v>
      </c>
      <c r="M11713" s="43">
        <v>11.500428449014569</v>
      </c>
      <c r="N11713" s="43">
        <v>5.2968886350294317</v>
      </c>
      <c r="O11713" s="43">
        <v>10.318358860221981</v>
      </c>
      <c r="P11713" s="313"/>
      <c r="Q11713" s="313"/>
      <c r="R11713" s="313">
        <v>1</v>
      </c>
    </row>
    <row r="11714" spans="1:18" ht="24">
      <c r="A11714" s="309">
        <v>139</v>
      </c>
      <c r="B11714" s="306" t="s">
        <v>21383</v>
      </c>
      <c r="C11714" s="310" t="s">
        <v>21384</v>
      </c>
      <c r="D11714" s="311">
        <v>5158.38</v>
      </c>
      <c r="E11714" s="311">
        <v>651.19000000000005</v>
      </c>
      <c r="F11714" s="311">
        <v>3882.71</v>
      </c>
      <c r="G11714" s="311">
        <v>624.48</v>
      </c>
      <c r="H11714" s="312">
        <v>32534.92</v>
      </c>
      <c r="I11714" s="312">
        <v>7488.92</v>
      </c>
      <c r="J11714" s="312">
        <v>20990.02</v>
      </c>
      <c r="K11714" s="312">
        <v>4055.98</v>
      </c>
      <c r="L11714" s="43">
        <v>6.3071972208328964</v>
      </c>
      <c r="M11714" s="43">
        <v>11.500360877777606</v>
      </c>
      <c r="N11714" s="43">
        <v>5.4060231127228144</v>
      </c>
      <c r="O11714" s="43">
        <v>6.494971816551371</v>
      </c>
      <c r="P11714" s="313"/>
      <c r="Q11714" s="313"/>
      <c r="R11714" s="313">
        <v>1</v>
      </c>
    </row>
    <row r="11715" spans="1:18" ht="24">
      <c r="A11715" s="309">
        <v>140</v>
      </c>
      <c r="B11715" s="306" t="s">
        <v>21385</v>
      </c>
      <c r="C11715" s="310" t="s">
        <v>21386</v>
      </c>
      <c r="D11715" s="311">
        <v>6924.93</v>
      </c>
      <c r="E11715" s="311">
        <v>632.51</v>
      </c>
      <c r="F11715" s="311">
        <v>4797.62</v>
      </c>
      <c r="G11715" s="311">
        <v>1494.8</v>
      </c>
      <c r="H11715" s="312">
        <v>56023.85</v>
      </c>
      <c r="I11715" s="312">
        <v>7274.18</v>
      </c>
      <c r="J11715" s="312">
        <v>26180.36</v>
      </c>
      <c r="K11715" s="312">
        <v>22569.31</v>
      </c>
      <c r="L11715" s="43">
        <v>8.0901684204750079</v>
      </c>
      <c r="M11715" s="43">
        <v>11.500498015841647</v>
      </c>
      <c r="N11715" s="43">
        <v>5.4569474030873648</v>
      </c>
      <c r="O11715" s="43">
        <v>15.098548300776025</v>
      </c>
      <c r="P11715" s="313"/>
      <c r="Q11715" s="313"/>
      <c r="R11715" s="313">
        <v>1</v>
      </c>
    </row>
    <row r="11716" spans="1:18" ht="12.75" customHeight="1">
      <c r="A11716" s="628" t="s">
        <v>21387</v>
      </c>
      <c r="B11716" s="629"/>
      <c r="C11716" s="629"/>
      <c r="D11716" s="629"/>
      <c r="E11716" s="629"/>
      <c r="F11716" s="629"/>
      <c r="G11716" s="629"/>
      <c r="H11716" s="629"/>
      <c r="I11716" s="629"/>
      <c r="J11716" s="629"/>
      <c r="K11716" s="629"/>
      <c r="L11716" s="629"/>
      <c r="M11716" s="629"/>
      <c r="N11716" s="629"/>
      <c r="O11716" s="629"/>
      <c r="P11716" s="629"/>
      <c r="Q11716" s="629"/>
      <c r="R11716" s="629"/>
    </row>
    <row r="11717" spans="1:18" ht="24">
      <c r="A11717" s="309">
        <v>141</v>
      </c>
      <c r="B11717" s="306" t="s">
        <v>21388</v>
      </c>
      <c r="C11717" s="310" t="s">
        <v>21389</v>
      </c>
      <c r="D11717" s="311">
        <v>3359.98</v>
      </c>
      <c r="E11717" s="311">
        <v>1065.06</v>
      </c>
      <c r="F11717" s="311">
        <v>2055.7600000000002</v>
      </c>
      <c r="G11717" s="311">
        <v>239.16</v>
      </c>
      <c r="H11717" s="312">
        <v>24846.68</v>
      </c>
      <c r="I11717" s="312">
        <v>12248.59</v>
      </c>
      <c r="J11717" s="312">
        <v>11135.38</v>
      </c>
      <c r="K11717" s="312">
        <v>1462.71</v>
      </c>
      <c r="L11717" s="43">
        <v>7.3948892552931866</v>
      </c>
      <c r="M11717" s="43">
        <v>11.50037556569583</v>
      </c>
      <c r="N11717" s="43">
        <v>5.416673152508074</v>
      </c>
      <c r="O11717" s="43">
        <v>6.1160311088810841</v>
      </c>
      <c r="P11717" s="313"/>
      <c r="Q11717" s="313"/>
      <c r="R11717" s="313">
        <v>2</v>
      </c>
    </row>
    <row r="11718" spans="1:18" ht="24">
      <c r="A11718" s="309">
        <v>142</v>
      </c>
      <c r="B11718" s="306" t="s">
        <v>21390</v>
      </c>
      <c r="C11718" s="310" t="s">
        <v>21391</v>
      </c>
      <c r="D11718" s="311">
        <v>1994.34</v>
      </c>
      <c r="E11718" s="311">
        <v>969.81</v>
      </c>
      <c r="F11718" s="311">
        <v>951.66</v>
      </c>
      <c r="G11718" s="311">
        <v>72.87</v>
      </c>
      <c r="H11718" s="312">
        <v>16793.740000000002</v>
      </c>
      <c r="I11718" s="312">
        <v>11153.18</v>
      </c>
      <c r="J11718" s="312">
        <v>5132.26</v>
      </c>
      <c r="K11718" s="312">
        <v>508.3</v>
      </c>
      <c r="L11718" s="43">
        <v>8.4207005826488981</v>
      </c>
      <c r="M11718" s="43">
        <v>11.50037636238026</v>
      </c>
      <c r="N11718" s="43">
        <v>5.3929554672887381</v>
      </c>
      <c r="O11718" s="43">
        <v>6.9754357074241797</v>
      </c>
      <c r="P11718" s="313"/>
      <c r="Q11718" s="313"/>
      <c r="R11718" s="313">
        <v>2</v>
      </c>
    </row>
    <row r="11719" spans="1:18" ht="24">
      <c r="A11719" s="309">
        <v>143</v>
      </c>
      <c r="B11719" s="306" t="s">
        <v>21392</v>
      </c>
      <c r="C11719" s="310" t="s">
        <v>21393</v>
      </c>
      <c r="D11719" s="311">
        <v>3086.2</v>
      </c>
      <c r="E11719" s="311">
        <v>1298.8499999999999</v>
      </c>
      <c r="F11719" s="311">
        <v>1512.3</v>
      </c>
      <c r="G11719" s="311">
        <v>275.05</v>
      </c>
      <c r="H11719" s="312">
        <v>24613.91</v>
      </c>
      <c r="I11719" s="312">
        <v>14937.3</v>
      </c>
      <c r="J11719" s="312">
        <v>8106.69</v>
      </c>
      <c r="K11719" s="312">
        <v>1569.92</v>
      </c>
      <c r="L11719" s="43">
        <v>7.9754746937981986</v>
      </c>
      <c r="M11719" s="43">
        <v>11.500404203718675</v>
      </c>
      <c r="N11719" s="43">
        <v>5.3605038682801034</v>
      </c>
      <c r="O11719" s="43">
        <v>5.7077622250499909</v>
      </c>
      <c r="P11719" s="313"/>
      <c r="Q11719" s="313"/>
      <c r="R11719" s="313">
        <v>2</v>
      </c>
    </row>
    <row r="11720" spans="1:18" ht="24">
      <c r="A11720" s="309">
        <v>144</v>
      </c>
      <c r="B11720" s="306" t="s">
        <v>21394</v>
      </c>
      <c r="C11720" s="310" t="s">
        <v>21395</v>
      </c>
      <c r="D11720" s="311">
        <v>1169.96</v>
      </c>
      <c r="E11720" s="311">
        <v>465.11</v>
      </c>
      <c r="F11720" s="311">
        <v>631.1</v>
      </c>
      <c r="G11720" s="311">
        <v>73.75</v>
      </c>
      <c r="H11720" s="312">
        <v>9192.11</v>
      </c>
      <c r="I11720" s="312">
        <v>5348.98</v>
      </c>
      <c r="J11720" s="312">
        <v>3402.23</v>
      </c>
      <c r="K11720" s="312">
        <v>440.9</v>
      </c>
      <c r="L11720" s="43">
        <v>7.8567728811241411</v>
      </c>
      <c r="M11720" s="43">
        <v>11.500462256240459</v>
      </c>
      <c r="N11720" s="43">
        <v>5.3909523054983364</v>
      </c>
      <c r="O11720" s="43">
        <v>5.9783050847457622</v>
      </c>
      <c r="P11720" s="313"/>
      <c r="Q11720" s="313"/>
      <c r="R11720" s="313">
        <v>2</v>
      </c>
    </row>
    <row r="11721" spans="1:18" ht="24">
      <c r="A11721" s="309">
        <v>145</v>
      </c>
      <c r="B11721" s="306" t="s">
        <v>21396</v>
      </c>
      <c r="C11721" s="310" t="s">
        <v>21397</v>
      </c>
      <c r="D11721" s="311">
        <v>2415.91</v>
      </c>
      <c r="E11721" s="311">
        <v>733.54</v>
      </c>
      <c r="F11721" s="311">
        <v>1587.34</v>
      </c>
      <c r="G11721" s="311">
        <v>95.03</v>
      </c>
      <c r="H11721" s="312">
        <v>17662.23</v>
      </c>
      <c r="I11721" s="312">
        <v>8436.02</v>
      </c>
      <c r="J11721" s="312">
        <v>8695.66</v>
      </c>
      <c r="K11721" s="312">
        <v>530.54999999999995</v>
      </c>
      <c r="L11721" s="43">
        <v>7.3107980015811851</v>
      </c>
      <c r="M11721" s="43">
        <v>11.500422608174061</v>
      </c>
      <c r="N11721" s="43">
        <v>5.478133229175854</v>
      </c>
      <c r="O11721" s="43">
        <v>5.5829737977480791</v>
      </c>
      <c r="P11721" s="313"/>
      <c r="Q11721" s="313"/>
      <c r="R11721" s="313">
        <v>2</v>
      </c>
    </row>
    <row r="11722" spans="1:18" ht="12.75" customHeight="1">
      <c r="A11722" s="628" t="s">
        <v>21398</v>
      </c>
      <c r="B11722" s="629"/>
      <c r="C11722" s="629"/>
      <c r="D11722" s="629"/>
      <c r="E11722" s="629"/>
      <c r="F11722" s="629"/>
      <c r="G11722" s="629"/>
      <c r="H11722" s="629"/>
      <c r="I11722" s="629"/>
      <c r="J11722" s="629"/>
      <c r="K11722" s="629"/>
      <c r="L11722" s="629"/>
      <c r="M11722" s="629"/>
      <c r="N11722" s="629"/>
      <c r="O11722" s="629"/>
      <c r="P11722" s="629"/>
      <c r="Q11722" s="629"/>
      <c r="R11722" s="629"/>
    </row>
    <row r="11723" spans="1:18" ht="12.75" customHeight="1">
      <c r="A11723" s="628" t="s">
        <v>21399</v>
      </c>
      <c r="B11723" s="629"/>
      <c r="C11723" s="629"/>
      <c r="D11723" s="629"/>
      <c r="E11723" s="629"/>
      <c r="F11723" s="629"/>
      <c r="G11723" s="629"/>
      <c r="H11723" s="629"/>
      <c r="I11723" s="629"/>
      <c r="J11723" s="629"/>
      <c r="K11723" s="629"/>
      <c r="L11723" s="629"/>
      <c r="M11723" s="629"/>
      <c r="N11723" s="629"/>
      <c r="O11723" s="629"/>
      <c r="P11723" s="629"/>
      <c r="Q11723" s="629"/>
      <c r="R11723" s="629"/>
    </row>
    <row r="11724" spans="1:18" ht="24">
      <c r="A11724" s="309">
        <v>146</v>
      </c>
      <c r="B11724" s="306" t="s">
        <v>21400</v>
      </c>
      <c r="C11724" s="310" t="s">
        <v>21401</v>
      </c>
      <c r="D11724" s="311">
        <v>3080.99</v>
      </c>
      <c r="E11724" s="311">
        <v>814.57</v>
      </c>
      <c r="F11724" s="311">
        <v>1926.63</v>
      </c>
      <c r="G11724" s="311">
        <v>339.79</v>
      </c>
      <c r="H11724" s="312">
        <v>22015.16</v>
      </c>
      <c r="I11724" s="312">
        <v>9367.86</v>
      </c>
      <c r="J11724" s="312">
        <v>10381.92</v>
      </c>
      <c r="K11724" s="312">
        <v>2265.38</v>
      </c>
      <c r="L11724" s="43">
        <v>7.145482458560398</v>
      </c>
      <c r="M11724" s="43">
        <v>11.500374430681218</v>
      </c>
      <c r="N11724" s="43">
        <v>5.3886423444044782</v>
      </c>
      <c r="O11724" s="43">
        <v>6.6670002060095941</v>
      </c>
      <c r="P11724" s="313"/>
      <c r="Q11724" s="313"/>
      <c r="R11724" s="313">
        <v>1</v>
      </c>
    </row>
    <row r="11725" spans="1:18" ht="12.75" customHeight="1">
      <c r="A11725" s="628" t="s">
        <v>21402</v>
      </c>
      <c r="B11725" s="629"/>
      <c r="C11725" s="629"/>
      <c r="D11725" s="629"/>
      <c r="E11725" s="629"/>
      <c r="F11725" s="629"/>
      <c r="G11725" s="629"/>
      <c r="H11725" s="629"/>
      <c r="I11725" s="629"/>
      <c r="J11725" s="629"/>
      <c r="K11725" s="629"/>
      <c r="L11725" s="629"/>
      <c r="M11725" s="629"/>
      <c r="N11725" s="629"/>
      <c r="O11725" s="629"/>
      <c r="P11725" s="629"/>
      <c r="Q11725" s="629"/>
      <c r="R11725" s="629"/>
    </row>
    <row r="11726" spans="1:18" ht="12.75" customHeight="1">
      <c r="A11726" s="628" t="s">
        <v>21403</v>
      </c>
      <c r="B11726" s="629"/>
      <c r="C11726" s="629"/>
      <c r="D11726" s="629"/>
      <c r="E11726" s="629"/>
      <c r="F11726" s="629"/>
      <c r="G11726" s="629"/>
      <c r="H11726" s="629"/>
      <c r="I11726" s="629"/>
      <c r="J11726" s="629"/>
      <c r="K11726" s="629"/>
      <c r="L11726" s="629"/>
      <c r="M11726" s="629"/>
      <c r="N11726" s="629"/>
      <c r="O11726" s="629"/>
      <c r="P11726" s="629"/>
      <c r="Q11726" s="629"/>
      <c r="R11726" s="629"/>
    </row>
    <row r="11727" spans="1:18" ht="24">
      <c r="A11727" s="309">
        <v>147</v>
      </c>
      <c r="B11727" s="306" t="s">
        <v>21404</v>
      </c>
      <c r="C11727" s="310" t="s">
        <v>21405</v>
      </c>
      <c r="D11727" s="311">
        <v>14976.63</v>
      </c>
      <c r="E11727" s="311">
        <v>2950.93</v>
      </c>
      <c r="F11727" s="311">
        <v>5221.88</v>
      </c>
      <c r="G11727" s="311">
        <v>6803.82</v>
      </c>
      <c r="H11727" s="312">
        <v>88228.52</v>
      </c>
      <c r="I11727" s="312">
        <v>33937.040000000001</v>
      </c>
      <c r="J11727" s="312">
        <v>28468.55</v>
      </c>
      <c r="K11727" s="312">
        <v>25822.93</v>
      </c>
      <c r="L11727" s="43">
        <v>5.891079635405295</v>
      </c>
      <c r="M11727" s="43">
        <v>11.500455788514131</v>
      </c>
      <c r="N11727" s="43">
        <v>5.4517817337817025</v>
      </c>
      <c r="O11727" s="43">
        <v>3.795357607932015</v>
      </c>
      <c r="P11727" s="313"/>
      <c r="Q11727" s="313"/>
      <c r="R11727" s="313">
        <v>1</v>
      </c>
    </row>
    <row r="11728" spans="1:18" ht="24">
      <c r="A11728" s="309">
        <v>148</v>
      </c>
      <c r="B11728" s="306" t="s">
        <v>21406</v>
      </c>
      <c r="C11728" s="310" t="s">
        <v>21407</v>
      </c>
      <c r="D11728" s="311">
        <v>127280.22</v>
      </c>
      <c r="E11728" s="311">
        <v>53669.3</v>
      </c>
      <c r="F11728" s="311">
        <v>61914.22</v>
      </c>
      <c r="G11728" s="311">
        <v>11696.7</v>
      </c>
      <c r="H11728" s="312">
        <v>1012573.34</v>
      </c>
      <c r="I11728" s="312">
        <v>617196.94999999995</v>
      </c>
      <c r="J11728" s="312">
        <v>333205.12</v>
      </c>
      <c r="K11728" s="312">
        <v>62171.27</v>
      </c>
      <c r="L11728" s="43">
        <v>7.9554650361226589</v>
      </c>
      <c r="M11728" s="43">
        <v>11.499999999999998</v>
      </c>
      <c r="N11728" s="43">
        <v>5.3817220018276899</v>
      </c>
      <c r="O11728" s="43">
        <v>5.3152829430523134</v>
      </c>
      <c r="P11728" s="313"/>
      <c r="Q11728" s="313"/>
      <c r="R11728" s="313">
        <v>1</v>
      </c>
    </row>
    <row r="11729" spans="1:18" ht="12.75" customHeight="1">
      <c r="A11729" s="628" t="s">
        <v>21408</v>
      </c>
      <c r="B11729" s="629"/>
      <c r="C11729" s="629"/>
      <c r="D11729" s="629"/>
      <c r="E11729" s="629"/>
      <c r="F11729" s="629"/>
      <c r="G11729" s="629"/>
      <c r="H11729" s="629"/>
      <c r="I11729" s="629"/>
      <c r="J11729" s="629"/>
      <c r="K11729" s="629"/>
      <c r="L11729" s="629"/>
      <c r="M11729" s="629"/>
      <c r="N11729" s="629"/>
      <c r="O11729" s="629"/>
      <c r="P11729" s="629"/>
      <c r="Q11729" s="629"/>
      <c r="R11729" s="629"/>
    </row>
    <row r="11730" spans="1:18" ht="12.75" customHeight="1">
      <c r="A11730" s="628" t="s">
        <v>21409</v>
      </c>
      <c r="B11730" s="629"/>
      <c r="C11730" s="629"/>
      <c r="D11730" s="629"/>
      <c r="E11730" s="629"/>
      <c r="F11730" s="629"/>
      <c r="G11730" s="629"/>
      <c r="H11730" s="629"/>
      <c r="I11730" s="629"/>
      <c r="J11730" s="629"/>
      <c r="K11730" s="629"/>
      <c r="L11730" s="629"/>
      <c r="M11730" s="629"/>
      <c r="N11730" s="629"/>
      <c r="O11730" s="629"/>
      <c r="P11730" s="629"/>
      <c r="Q11730" s="629"/>
      <c r="R11730" s="629"/>
    </row>
    <row r="11731" spans="1:18" ht="24">
      <c r="A11731" s="314">
        <v>149</v>
      </c>
      <c r="B11731" s="315" t="s">
        <v>21410</v>
      </c>
      <c r="C11731" s="316" t="s">
        <v>21411</v>
      </c>
      <c r="D11731" s="317">
        <v>5406.75</v>
      </c>
      <c r="E11731" s="317">
        <v>1094.46</v>
      </c>
      <c r="F11731" s="317">
        <v>4290.3999999999996</v>
      </c>
      <c r="G11731" s="317">
        <v>21.89</v>
      </c>
      <c r="H11731" s="318">
        <v>37110.22</v>
      </c>
      <c r="I11731" s="318">
        <v>12586.29</v>
      </c>
      <c r="J11731" s="318">
        <v>24272.19</v>
      </c>
      <c r="K11731" s="318">
        <v>251.74</v>
      </c>
      <c r="L11731" s="611">
        <v>6.8636833587645079</v>
      </c>
      <c r="M11731" s="611">
        <v>11.5</v>
      </c>
      <c r="N11731" s="611">
        <v>5.6573256572813726</v>
      </c>
      <c r="O11731" s="611">
        <v>11.500228414801279</v>
      </c>
      <c r="P11731" s="319"/>
      <c r="Q11731" s="319"/>
      <c r="R11731" s="319">
        <v>1</v>
      </c>
    </row>
    <row r="11732" spans="1:18" ht="12.75" customHeight="1">
      <c r="A11732" s="630" t="s">
        <v>21412</v>
      </c>
      <c r="B11732" s="631"/>
      <c r="C11732" s="631"/>
      <c r="D11732" s="631"/>
      <c r="E11732" s="631"/>
      <c r="F11732" s="631"/>
      <c r="G11732" s="631"/>
      <c r="H11732" s="631"/>
      <c r="I11732" s="631"/>
      <c r="J11732" s="631"/>
      <c r="K11732" s="631"/>
      <c r="L11732" s="631"/>
      <c r="M11732" s="631"/>
      <c r="N11732" s="631"/>
      <c r="O11732" s="631"/>
      <c r="P11732" s="631"/>
      <c r="Q11732" s="631"/>
      <c r="R11732" s="631"/>
    </row>
    <row r="11733" spans="1:18" ht="12.75" customHeight="1">
      <c r="A11733" s="628" t="s">
        <v>21413</v>
      </c>
      <c r="B11733" s="629"/>
      <c r="C11733" s="629"/>
      <c r="D11733" s="629"/>
      <c r="E11733" s="629"/>
      <c r="F11733" s="629"/>
      <c r="G11733" s="629"/>
      <c r="H11733" s="629"/>
      <c r="I11733" s="629"/>
      <c r="J11733" s="629"/>
      <c r="K11733" s="629"/>
      <c r="L11733" s="629"/>
      <c r="M11733" s="629"/>
      <c r="N11733" s="629"/>
      <c r="O11733" s="629"/>
      <c r="P11733" s="629"/>
      <c r="Q11733" s="629"/>
      <c r="R11733" s="629"/>
    </row>
    <row r="11734" spans="1:18" ht="24">
      <c r="A11734" s="309">
        <v>150</v>
      </c>
      <c r="B11734" s="306" t="s">
        <v>21414</v>
      </c>
      <c r="C11734" s="310" t="s">
        <v>21415</v>
      </c>
      <c r="D11734" s="311">
        <v>2646.56</v>
      </c>
      <c r="E11734" s="311">
        <v>695.08</v>
      </c>
      <c r="F11734" s="311">
        <v>440.24</v>
      </c>
      <c r="G11734" s="311">
        <v>1511.24</v>
      </c>
      <c r="H11734" s="312">
        <v>20956.66</v>
      </c>
      <c r="I11734" s="312">
        <v>7993.73</v>
      </c>
      <c r="J11734" s="312">
        <v>2677.23</v>
      </c>
      <c r="K11734" s="312">
        <v>10285.700000000001</v>
      </c>
      <c r="L11734" s="43">
        <v>7.918452632851702</v>
      </c>
      <c r="M11734" s="43">
        <v>11.500445991828277</v>
      </c>
      <c r="N11734" s="43">
        <v>6.0812965655097218</v>
      </c>
      <c r="O11734" s="43">
        <v>6.8061327122098412</v>
      </c>
      <c r="P11734" s="313"/>
      <c r="Q11734" s="313"/>
      <c r="R11734" s="313">
        <v>1</v>
      </c>
    </row>
    <row r="11735" spans="1:18" ht="12.75" customHeight="1">
      <c r="A11735" s="628" t="s">
        <v>21416</v>
      </c>
      <c r="B11735" s="629"/>
      <c r="C11735" s="629"/>
      <c r="D11735" s="629"/>
      <c r="E11735" s="629"/>
      <c r="F11735" s="629"/>
      <c r="G11735" s="629"/>
      <c r="H11735" s="629"/>
      <c r="I11735" s="629"/>
      <c r="J11735" s="629"/>
      <c r="K11735" s="629"/>
      <c r="L11735" s="629"/>
      <c r="M11735" s="629"/>
      <c r="N11735" s="629"/>
      <c r="O11735" s="629"/>
      <c r="P11735" s="629"/>
      <c r="Q11735" s="629"/>
      <c r="R11735" s="629"/>
    </row>
    <row r="11736" spans="1:18" ht="24">
      <c r="A11736" s="309">
        <v>151</v>
      </c>
      <c r="B11736" s="306" t="s">
        <v>21417</v>
      </c>
      <c r="C11736" s="310" t="s">
        <v>21418</v>
      </c>
      <c r="D11736" s="311">
        <v>1342.65</v>
      </c>
      <c r="E11736" s="311">
        <v>1170.08</v>
      </c>
      <c r="F11736" s="311">
        <v>149.16999999999999</v>
      </c>
      <c r="G11736" s="311">
        <v>23.4</v>
      </c>
      <c r="H11736" s="312">
        <v>14523.14</v>
      </c>
      <c r="I11736" s="312">
        <v>13455.92</v>
      </c>
      <c r="J11736" s="312">
        <v>798.12</v>
      </c>
      <c r="K11736" s="312">
        <v>269.10000000000002</v>
      </c>
      <c r="L11736" s="43">
        <v>10.816772800059583</v>
      </c>
      <c r="M11736" s="43">
        <v>11.5</v>
      </c>
      <c r="N11736" s="43">
        <v>5.3504055775289938</v>
      </c>
      <c r="O11736" s="43">
        <v>11.500000000000002</v>
      </c>
      <c r="P11736" s="313"/>
      <c r="Q11736" s="313"/>
      <c r="R11736" s="313">
        <v>2</v>
      </c>
    </row>
    <row r="11737" spans="1:18" ht="24">
      <c r="A11737" s="309">
        <v>152</v>
      </c>
      <c r="B11737" s="306" t="s">
        <v>21419</v>
      </c>
      <c r="C11737" s="310" t="s">
        <v>21420</v>
      </c>
      <c r="D11737" s="311">
        <v>210.67</v>
      </c>
      <c r="E11737" s="311">
        <v>189.38</v>
      </c>
      <c r="F11737" s="311">
        <v>17.5</v>
      </c>
      <c r="G11737" s="311">
        <v>3.79</v>
      </c>
      <c r="H11737" s="312">
        <v>2315.5</v>
      </c>
      <c r="I11737" s="312">
        <v>2177.89</v>
      </c>
      <c r="J11737" s="312">
        <v>94.02</v>
      </c>
      <c r="K11737" s="312">
        <v>43.59</v>
      </c>
      <c r="L11737" s="43">
        <v>10.991123558171548</v>
      </c>
      <c r="M11737" s="43">
        <v>11.500105607772731</v>
      </c>
      <c r="N11737" s="43">
        <v>5.3725714285714288</v>
      </c>
      <c r="O11737" s="43">
        <v>11.501319261213721</v>
      </c>
      <c r="P11737" s="313"/>
      <c r="Q11737" s="313"/>
      <c r="R11737" s="313">
        <v>2</v>
      </c>
    </row>
    <row r="11738" spans="1:18" ht="12.75" customHeight="1">
      <c r="A11738" s="628" t="s">
        <v>21421</v>
      </c>
      <c r="B11738" s="629"/>
      <c r="C11738" s="629"/>
      <c r="D11738" s="629"/>
      <c r="E11738" s="629"/>
      <c r="F11738" s="629"/>
      <c r="G11738" s="629"/>
      <c r="H11738" s="629"/>
      <c r="I11738" s="629"/>
      <c r="J11738" s="629"/>
      <c r="K11738" s="629"/>
      <c r="L11738" s="629"/>
      <c r="M11738" s="629"/>
      <c r="N11738" s="629"/>
      <c r="O11738" s="629"/>
      <c r="P11738" s="629"/>
      <c r="Q11738" s="629"/>
      <c r="R11738" s="629"/>
    </row>
    <row r="11739" spans="1:18" ht="24">
      <c r="A11739" s="309">
        <v>153</v>
      </c>
      <c r="B11739" s="306" t="s">
        <v>21422</v>
      </c>
      <c r="C11739" s="310" t="s">
        <v>21423</v>
      </c>
      <c r="D11739" s="311">
        <v>1596.66</v>
      </c>
      <c r="E11739" s="311">
        <v>1226.8800000000001</v>
      </c>
      <c r="F11739" s="311">
        <v>345.24</v>
      </c>
      <c r="G11739" s="311">
        <v>24.54</v>
      </c>
      <c r="H11739" s="312">
        <v>16232.45</v>
      </c>
      <c r="I11739" s="312">
        <v>14109.12</v>
      </c>
      <c r="J11739" s="312">
        <v>1841.12</v>
      </c>
      <c r="K11739" s="312">
        <v>282.20999999999998</v>
      </c>
      <c r="L11739" s="43">
        <v>10.166503826738316</v>
      </c>
      <c r="M11739" s="43">
        <v>11.5</v>
      </c>
      <c r="N11739" s="43">
        <v>5.3328698876144127</v>
      </c>
      <c r="O11739" s="43">
        <v>11.5</v>
      </c>
      <c r="P11739" s="313"/>
      <c r="Q11739" s="313"/>
      <c r="R11739" s="313">
        <v>3</v>
      </c>
    </row>
    <row r="11740" spans="1:18" ht="24">
      <c r="A11740" s="309">
        <v>154</v>
      </c>
      <c r="B11740" s="306" t="s">
        <v>21424</v>
      </c>
      <c r="C11740" s="310" t="s">
        <v>21425</v>
      </c>
      <c r="D11740" s="311">
        <v>3519.54</v>
      </c>
      <c r="E11740" s="311">
        <v>1258.8800000000001</v>
      </c>
      <c r="F11740" s="311">
        <v>612.21</v>
      </c>
      <c r="G11740" s="311">
        <v>1648.45</v>
      </c>
      <c r="H11740" s="312">
        <v>29299.49</v>
      </c>
      <c r="I11740" s="312">
        <v>14477.12</v>
      </c>
      <c r="J11740" s="312">
        <v>3593.98</v>
      </c>
      <c r="K11740" s="312">
        <v>11228.39</v>
      </c>
      <c r="L11740" s="43">
        <v>8.3248066508691476</v>
      </c>
      <c r="M11740" s="43">
        <v>11.5</v>
      </c>
      <c r="N11740" s="43">
        <v>5.8705019519445942</v>
      </c>
      <c r="O11740" s="43">
        <v>6.811483514816949</v>
      </c>
      <c r="P11740" s="313"/>
      <c r="Q11740" s="313"/>
      <c r="R11740" s="313">
        <v>3</v>
      </c>
    </row>
    <row r="11741" spans="1:18" ht="24">
      <c r="A11741" s="309">
        <v>155</v>
      </c>
      <c r="B11741" s="306" t="s">
        <v>21426</v>
      </c>
      <c r="C11741" s="310" t="s">
        <v>21427</v>
      </c>
      <c r="D11741" s="311">
        <v>2027.02</v>
      </c>
      <c r="E11741" s="311">
        <v>1224.92</v>
      </c>
      <c r="F11741" s="311">
        <v>777.6</v>
      </c>
      <c r="G11741" s="311">
        <v>24.5</v>
      </c>
      <c r="H11741" s="312">
        <v>18636.080000000002</v>
      </c>
      <c r="I11741" s="312">
        <v>14086.58</v>
      </c>
      <c r="J11741" s="312">
        <v>4267.75</v>
      </c>
      <c r="K11741" s="312">
        <v>281.75</v>
      </c>
      <c r="L11741" s="43">
        <v>9.1938313386153077</v>
      </c>
      <c r="M11741" s="43">
        <v>11.5</v>
      </c>
      <c r="N11741" s="43">
        <v>5.4883616255144032</v>
      </c>
      <c r="O11741" s="43">
        <v>11.5</v>
      </c>
      <c r="P11741" s="313"/>
      <c r="Q11741" s="313"/>
      <c r="R11741" s="313">
        <v>3</v>
      </c>
    </row>
    <row r="11742" spans="1:18" ht="12.75" customHeight="1">
      <c r="A11742" s="628" t="s">
        <v>21428</v>
      </c>
      <c r="B11742" s="629"/>
      <c r="C11742" s="629"/>
      <c r="D11742" s="629"/>
      <c r="E11742" s="629"/>
      <c r="F11742" s="629"/>
      <c r="G11742" s="629"/>
      <c r="H11742" s="629"/>
      <c r="I11742" s="629"/>
      <c r="J11742" s="629"/>
      <c r="K11742" s="629"/>
      <c r="L11742" s="629"/>
      <c r="M11742" s="629"/>
      <c r="N11742" s="629"/>
      <c r="O11742" s="629"/>
      <c r="P11742" s="629"/>
      <c r="Q11742" s="629"/>
      <c r="R11742" s="629"/>
    </row>
    <row r="11743" spans="1:18" ht="24">
      <c r="A11743" s="309">
        <v>156</v>
      </c>
      <c r="B11743" s="306" t="s">
        <v>21429</v>
      </c>
      <c r="C11743" s="310" t="s">
        <v>21430</v>
      </c>
      <c r="D11743" s="311">
        <v>7179.1</v>
      </c>
      <c r="E11743" s="311">
        <v>1711.32</v>
      </c>
      <c r="F11743" s="311">
        <v>1206.8900000000001</v>
      </c>
      <c r="G11743" s="311">
        <v>4260.8900000000003</v>
      </c>
      <c r="H11743" s="312">
        <v>55116.33</v>
      </c>
      <c r="I11743" s="312">
        <v>19680.96</v>
      </c>
      <c r="J11743" s="312">
        <v>7148.34</v>
      </c>
      <c r="K11743" s="312">
        <v>28287.03</v>
      </c>
      <c r="L11743" s="43">
        <v>7.6773314203730267</v>
      </c>
      <c r="M11743" s="43">
        <v>11.500455788514129</v>
      </c>
      <c r="N11743" s="43">
        <v>5.9229424388303817</v>
      </c>
      <c r="O11743" s="43">
        <v>6.6387609161466257</v>
      </c>
      <c r="P11743" s="313"/>
      <c r="Q11743" s="313"/>
      <c r="R11743" s="313">
        <v>4</v>
      </c>
    </row>
    <row r="11744" spans="1:18" ht="24">
      <c r="A11744" s="309">
        <v>157</v>
      </c>
      <c r="B11744" s="306" t="s">
        <v>21431</v>
      </c>
      <c r="C11744" s="310" t="s">
        <v>21432</v>
      </c>
      <c r="D11744" s="311">
        <v>5945.95</v>
      </c>
      <c r="E11744" s="311">
        <v>1546.77</v>
      </c>
      <c r="F11744" s="311">
        <v>1015.93</v>
      </c>
      <c r="G11744" s="311">
        <v>3383.25</v>
      </c>
      <c r="H11744" s="312">
        <v>46425.46</v>
      </c>
      <c r="I11744" s="312">
        <v>17788.560000000001</v>
      </c>
      <c r="J11744" s="312">
        <v>6006.84</v>
      </c>
      <c r="K11744" s="312">
        <v>22630.06</v>
      </c>
      <c r="L11744" s="43">
        <v>7.8079129491502623</v>
      </c>
      <c r="M11744" s="43">
        <v>11.500455788514131</v>
      </c>
      <c r="N11744" s="43">
        <v>5.9126514622070419</v>
      </c>
      <c r="O11744" s="43">
        <v>6.6888524347890348</v>
      </c>
      <c r="P11744" s="313"/>
      <c r="Q11744" s="313"/>
      <c r="R11744" s="313">
        <v>4</v>
      </c>
    </row>
    <row r="11745" spans="1:18" ht="24">
      <c r="A11745" s="309">
        <v>158</v>
      </c>
      <c r="B11745" s="306" t="s">
        <v>21433</v>
      </c>
      <c r="C11745" s="310" t="s">
        <v>21434</v>
      </c>
      <c r="D11745" s="311">
        <v>6975.84</v>
      </c>
      <c r="E11745" s="311">
        <v>1568.71</v>
      </c>
      <c r="F11745" s="311">
        <v>1149.0999999999999</v>
      </c>
      <c r="G11745" s="311">
        <v>4258.03</v>
      </c>
      <c r="H11745" s="312">
        <v>53162.12</v>
      </c>
      <c r="I11745" s="312">
        <v>18040.88</v>
      </c>
      <c r="J11745" s="312">
        <v>6867.1</v>
      </c>
      <c r="K11745" s="312">
        <v>28254.14</v>
      </c>
      <c r="L11745" s="43">
        <v>7.6208915342095001</v>
      </c>
      <c r="M11745" s="43">
        <v>11.500455788514129</v>
      </c>
      <c r="N11745" s="43">
        <v>5.9760682273083292</v>
      </c>
      <c r="O11745" s="43">
        <v>6.6354957574277309</v>
      </c>
      <c r="P11745" s="313"/>
      <c r="Q11745" s="313"/>
      <c r="R11745" s="313">
        <v>4</v>
      </c>
    </row>
    <row r="11746" spans="1:18" ht="12.75" customHeight="1">
      <c r="A11746" s="628" t="s">
        <v>21435</v>
      </c>
      <c r="B11746" s="629"/>
      <c r="C11746" s="629"/>
      <c r="D11746" s="629"/>
      <c r="E11746" s="629"/>
      <c r="F11746" s="629"/>
      <c r="G11746" s="629"/>
      <c r="H11746" s="629"/>
      <c r="I11746" s="629"/>
      <c r="J11746" s="629"/>
      <c r="K11746" s="629"/>
      <c r="L11746" s="629"/>
      <c r="M11746" s="629"/>
      <c r="N11746" s="629"/>
      <c r="O11746" s="629"/>
      <c r="P11746" s="629"/>
      <c r="Q11746" s="629"/>
      <c r="R11746" s="629"/>
    </row>
    <row r="11747" spans="1:18" ht="24">
      <c r="A11747" s="309">
        <v>159</v>
      </c>
      <c r="B11747" s="306" t="s">
        <v>21436</v>
      </c>
      <c r="C11747" s="310" t="s">
        <v>21437</v>
      </c>
      <c r="D11747" s="311">
        <v>6028.13</v>
      </c>
      <c r="E11747" s="311">
        <v>1777.76</v>
      </c>
      <c r="F11747" s="311">
        <v>1222.51</v>
      </c>
      <c r="G11747" s="311">
        <v>3027.86</v>
      </c>
      <c r="H11747" s="312">
        <v>47176.66</v>
      </c>
      <c r="I11747" s="312">
        <v>20444.240000000002</v>
      </c>
      <c r="J11747" s="312">
        <v>6508.18</v>
      </c>
      <c r="K11747" s="312">
        <v>20224.240000000002</v>
      </c>
      <c r="L11747" s="43">
        <v>7.8260853697581174</v>
      </c>
      <c r="M11747" s="43">
        <v>11.500000000000002</v>
      </c>
      <c r="N11747" s="43">
        <v>5.3236210746742358</v>
      </c>
      <c r="O11747" s="43">
        <v>6.6793841194771231</v>
      </c>
      <c r="P11747" s="313"/>
      <c r="Q11747" s="313"/>
      <c r="R11747" s="313">
        <v>5</v>
      </c>
    </row>
    <row r="11748" spans="1:18" ht="12.75" customHeight="1">
      <c r="A11748" s="628" t="s">
        <v>21438</v>
      </c>
      <c r="B11748" s="629"/>
      <c r="C11748" s="629"/>
      <c r="D11748" s="629"/>
      <c r="E11748" s="629"/>
      <c r="F11748" s="629"/>
      <c r="G11748" s="629"/>
      <c r="H11748" s="629"/>
      <c r="I11748" s="629"/>
      <c r="J11748" s="629"/>
      <c r="K11748" s="629"/>
      <c r="L11748" s="629"/>
      <c r="M11748" s="629"/>
      <c r="N11748" s="629"/>
      <c r="O11748" s="629"/>
      <c r="P11748" s="629"/>
      <c r="Q11748" s="629"/>
      <c r="R11748" s="629"/>
    </row>
    <row r="11749" spans="1:18" ht="24">
      <c r="A11749" s="309">
        <v>160</v>
      </c>
      <c r="B11749" s="306" t="s">
        <v>21439</v>
      </c>
      <c r="C11749" s="310" t="s">
        <v>21440</v>
      </c>
      <c r="D11749" s="311">
        <v>11228.98</v>
      </c>
      <c r="E11749" s="311">
        <v>2157.16</v>
      </c>
      <c r="F11749" s="311">
        <v>3967.65</v>
      </c>
      <c r="G11749" s="311">
        <v>5104.17</v>
      </c>
      <c r="H11749" s="312">
        <v>80653.789999999994</v>
      </c>
      <c r="I11749" s="312">
        <v>24807.34</v>
      </c>
      <c r="J11749" s="312">
        <v>21522.080000000002</v>
      </c>
      <c r="K11749" s="312">
        <v>34324.370000000003</v>
      </c>
      <c r="L11749" s="43">
        <v>7.1826461530789079</v>
      </c>
      <c r="M11749" s="43">
        <v>11.5</v>
      </c>
      <c r="N11749" s="43">
        <v>5.4243897521202733</v>
      </c>
      <c r="O11749" s="43">
        <v>6.7247701389256243</v>
      </c>
      <c r="P11749" s="313"/>
      <c r="Q11749" s="313"/>
      <c r="R11749" s="313">
        <v>6</v>
      </c>
    </row>
    <row r="11750" spans="1:18" ht="24">
      <c r="A11750" s="309">
        <v>161</v>
      </c>
      <c r="B11750" s="306" t="s">
        <v>21441</v>
      </c>
      <c r="C11750" s="310" t="s">
        <v>21442</v>
      </c>
      <c r="D11750" s="311">
        <v>11504.1</v>
      </c>
      <c r="E11750" s="311">
        <v>2243.88</v>
      </c>
      <c r="F11750" s="311">
        <v>4154.3100000000004</v>
      </c>
      <c r="G11750" s="311">
        <v>5105.91</v>
      </c>
      <c r="H11750" s="312">
        <v>82681.179999999993</v>
      </c>
      <c r="I11750" s="312">
        <v>25804.62</v>
      </c>
      <c r="J11750" s="312">
        <v>22532.18</v>
      </c>
      <c r="K11750" s="312">
        <v>34344.379999999997</v>
      </c>
      <c r="L11750" s="43">
        <v>7.1871054667466376</v>
      </c>
      <c r="M11750" s="43">
        <v>11.499999999999998</v>
      </c>
      <c r="N11750" s="43">
        <v>5.4238080451386628</v>
      </c>
      <c r="O11750" s="43">
        <v>6.7263974492304017</v>
      </c>
      <c r="P11750" s="313"/>
      <c r="Q11750" s="313"/>
      <c r="R11750" s="313">
        <v>6</v>
      </c>
    </row>
    <row r="11751" spans="1:18" ht="24">
      <c r="A11751" s="309">
        <v>162</v>
      </c>
      <c r="B11751" s="306" t="s">
        <v>21443</v>
      </c>
      <c r="C11751" s="310" t="s">
        <v>21444</v>
      </c>
      <c r="D11751" s="311">
        <v>11124.59</v>
      </c>
      <c r="E11751" s="311">
        <v>2384.8000000000002</v>
      </c>
      <c r="F11751" s="311">
        <v>3628.34</v>
      </c>
      <c r="G11751" s="311">
        <v>5111.45</v>
      </c>
      <c r="H11751" s="312">
        <v>81521.240000000005</v>
      </c>
      <c r="I11751" s="312">
        <v>27425.200000000001</v>
      </c>
      <c r="J11751" s="312">
        <v>19695.39</v>
      </c>
      <c r="K11751" s="312">
        <v>34400.65</v>
      </c>
      <c r="L11751" s="43">
        <v>7.328021976540259</v>
      </c>
      <c r="M11751" s="43">
        <v>11.5</v>
      </c>
      <c r="N11751" s="43">
        <v>5.4282095944701982</v>
      </c>
      <c r="O11751" s="43">
        <v>6.7301157205880919</v>
      </c>
      <c r="P11751" s="313"/>
      <c r="Q11751" s="313"/>
      <c r="R11751" s="313">
        <v>6</v>
      </c>
    </row>
    <row r="11752" spans="1:18" ht="24">
      <c r="A11752" s="309">
        <v>163</v>
      </c>
      <c r="B11752" s="306" t="s">
        <v>21445</v>
      </c>
      <c r="C11752" s="310" t="s">
        <v>21446</v>
      </c>
      <c r="D11752" s="311">
        <v>10793.88</v>
      </c>
      <c r="E11752" s="311">
        <v>2623.28</v>
      </c>
      <c r="F11752" s="311">
        <v>3444.69</v>
      </c>
      <c r="G11752" s="311">
        <v>4725.91</v>
      </c>
      <c r="H11752" s="312">
        <v>80537.75</v>
      </c>
      <c r="I11752" s="312">
        <v>30167.72</v>
      </c>
      <c r="J11752" s="312">
        <v>18710.330000000002</v>
      </c>
      <c r="K11752" s="312">
        <v>31659.7</v>
      </c>
      <c r="L11752" s="43">
        <v>7.4614272161632336</v>
      </c>
      <c r="M11752" s="43">
        <v>11.5</v>
      </c>
      <c r="N11752" s="43">
        <v>5.4316440666649255</v>
      </c>
      <c r="O11752" s="43">
        <v>6.6991753969076857</v>
      </c>
      <c r="P11752" s="313"/>
      <c r="Q11752" s="313"/>
      <c r="R11752" s="313">
        <v>6</v>
      </c>
    </row>
    <row r="11753" spans="1:18" ht="24">
      <c r="A11753" s="309">
        <v>164</v>
      </c>
      <c r="B11753" s="306" t="s">
        <v>21447</v>
      </c>
      <c r="C11753" s="310" t="s">
        <v>21448</v>
      </c>
      <c r="D11753" s="311">
        <v>6435.08</v>
      </c>
      <c r="E11753" s="311">
        <v>1420.04</v>
      </c>
      <c r="F11753" s="311">
        <v>1650.8</v>
      </c>
      <c r="G11753" s="311">
        <v>3364.24</v>
      </c>
      <c r="H11753" s="312">
        <v>47650.54</v>
      </c>
      <c r="I11753" s="312">
        <v>16330.46</v>
      </c>
      <c r="J11753" s="312">
        <v>9016.9</v>
      </c>
      <c r="K11753" s="312">
        <v>22303.18</v>
      </c>
      <c r="L11753" s="43">
        <v>7.4048092642204919</v>
      </c>
      <c r="M11753" s="43">
        <v>11.5</v>
      </c>
      <c r="N11753" s="43">
        <v>5.4621395686939662</v>
      </c>
      <c r="O11753" s="43">
        <v>6.6294854112667352</v>
      </c>
      <c r="P11753" s="313"/>
      <c r="Q11753" s="313"/>
      <c r="R11753" s="313">
        <v>6</v>
      </c>
    </row>
    <row r="11754" spans="1:18" ht="24">
      <c r="A11754" s="309">
        <v>165</v>
      </c>
      <c r="B11754" s="306" t="s">
        <v>21449</v>
      </c>
      <c r="C11754" s="310" t="s">
        <v>21450</v>
      </c>
      <c r="D11754" s="311">
        <v>3496.68</v>
      </c>
      <c r="E11754" s="311">
        <v>484.55</v>
      </c>
      <c r="F11754" s="311">
        <v>653.97</v>
      </c>
      <c r="G11754" s="311">
        <v>2358.16</v>
      </c>
      <c r="H11754" s="312">
        <v>24864.48</v>
      </c>
      <c r="I11754" s="312">
        <v>5572.3</v>
      </c>
      <c r="J11754" s="312">
        <v>3513.96</v>
      </c>
      <c r="K11754" s="312">
        <v>15778.22</v>
      </c>
      <c r="L11754" s="43">
        <v>7.1108823226603519</v>
      </c>
      <c r="M11754" s="43">
        <v>11.499948405737282</v>
      </c>
      <c r="N11754" s="43">
        <v>5.3732740033946511</v>
      </c>
      <c r="O11754" s="43">
        <v>6.6909030769752693</v>
      </c>
      <c r="P11754" s="313"/>
      <c r="Q11754" s="313"/>
      <c r="R11754" s="313">
        <v>6</v>
      </c>
    </row>
    <row r="11755" spans="1:18" ht="12.75" customHeight="1">
      <c r="A11755" s="628" t="s">
        <v>21451</v>
      </c>
      <c r="B11755" s="629"/>
      <c r="C11755" s="629"/>
      <c r="D11755" s="629"/>
      <c r="E11755" s="629"/>
      <c r="F11755" s="629"/>
      <c r="G11755" s="629"/>
      <c r="H11755" s="629"/>
      <c r="I11755" s="629"/>
      <c r="J11755" s="629"/>
      <c r="K11755" s="629"/>
      <c r="L11755" s="629"/>
      <c r="M11755" s="629"/>
      <c r="N11755" s="629"/>
      <c r="O11755" s="629"/>
      <c r="P11755" s="629"/>
      <c r="Q11755" s="629"/>
      <c r="R11755" s="629"/>
    </row>
    <row r="11756" spans="1:18" ht="24">
      <c r="A11756" s="309">
        <v>166</v>
      </c>
      <c r="B11756" s="306" t="s">
        <v>21452</v>
      </c>
      <c r="C11756" s="310" t="s">
        <v>21453</v>
      </c>
      <c r="D11756" s="311">
        <v>3574.43</v>
      </c>
      <c r="E11756" s="311">
        <v>613.01</v>
      </c>
      <c r="F11756" s="311">
        <v>913.45</v>
      </c>
      <c r="G11756" s="311">
        <v>2047.97</v>
      </c>
      <c r="H11756" s="312">
        <v>26467.64</v>
      </c>
      <c r="I11756" s="312">
        <v>7049.59</v>
      </c>
      <c r="J11756" s="312">
        <v>5624.82</v>
      </c>
      <c r="K11756" s="312">
        <v>13793.23</v>
      </c>
      <c r="L11756" s="43">
        <v>7.4047162764412793</v>
      </c>
      <c r="M11756" s="43">
        <v>11.499959217631034</v>
      </c>
      <c r="N11756" s="43">
        <v>6.1577754666374727</v>
      </c>
      <c r="O11756" s="43">
        <v>6.7350742442516243</v>
      </c>
      <c r="P11756" s="313"/>
      <c r="Q11756" s="313"/>
      <c r="R11756" s="313">
        <v>7</v>
      </c>
    </row>
    <row r="11757" spans="1:18" ht="24">
      <c r="A11757" s="309">
        <v>167</v>
      </c>
      <c r="B11757" s="306" t="s">
        <v>21454</v>
      </c>
      <c r="C11757" s="310" t="s">
        <v>21455</v>
      </c>
      <c r="D11757" s="311">
        <v>3934.46</v>
      </c>
      <c r="E11757" s="311">
        <v>840.05</v>
      </c>
      <c r="F11757" s="311">
        <v>1041.9000000000001</v>
      </c>
      <c r="G11757" s="311">
        <v>2052.5100000000002</v>
      </c>
      <c r="H11757" s="312">
        <v>29803.47</v>
      </c>
      <c r="I11757" s="312">
        <v>9660.5499999999993</v>
      </c>
      <c r="J11757" s="312">
        <v>6297.48</v>
      </c>
      <c r="K11757" s="312">
        <v>13845.44</v>
      </c>
      <c r="L11757" s="43">
        <v>7.5749836063907123</v>
      </c>
      <c r="M11757" s="43">
        <v>11.499970239866675</v>
      </c>
      <c r="N11757" s="43">
        <v>6.044226893175928</v>
      </c>
      <c r="O11757" s="43">
        <v>6.7456139068749961</v>
      </c>
      <c r="P11757" s="313"/>
      <c r="Q11757" s="313"/>
      <c r="R11757" s="313">
        <v>7</v>
      </c>
    </row>
    <row r="11758" spans="1:18" ht="24">
      <c r="A11758" s="309">
        <v>168</v>
      </c>
      <c r="B11758" s="306" t="s">
        <v>21456</v>
      </c>
      <c r="C11758" s="310" t="s">
        <v>21457</v>
      </c>
      <c r="D11758" s="311">
        <v>3865.71</v>
      </c>
      <c r="E11758" s="311">
        <v>851.4</v>
      </c>
      <c r="F11758" s="311">
        <v>961.57</v>
      </c>
      <c r="G11758" s="311">
        <v>2052.7399999999998</v>
      </c>
      <c r="H11758" s="312">
        <v>29487.31</v>
      </c>
      <c r="I11758" s="312">
        <v>9791.1</v>
      </c>
      <c r="J11758" s="312">
        <v>5848.12</v>
      </c>
      <c r="K11758" s="312">
        <v>13848.09</v>
      </c>
      <c r="L11758" s="43">
        <v>7.6279156998326316</v>
      </c>
      <c r="M11758" s="43">
        <v>11.5</v>
      </c>
      <c r="N11758" s="43">
        <v>6.081845315473652</v>
      </c>
      <c r="O11758" s="43">
        <v>6.7461490495630239</v>
      </c>
      <c r="P11758" s="313"/>
      <c r="Q11758" s="313"/>
      <c r="R11758" s="313">
        <v>7</v>
      </c>
    </row>
    <row r="11759" spans="1:18" ht="24">
      <c r="A11759" s="309">
        <v>169</v>
      </c>
      <c r="B11759" s="306" t="s">
        <v>21458</v>
      </c>
      <c r="C11759" s="310" t="s">
        <v>21459</v>
      </c>
      <c r="D11759" s="311">
        <v>3353.56</v>
      </c>
      <c r="E11759" s="311">
        <v>442.73</v>
      </c>
      <c r="F11759" s="311">
        <v>866.27</v>
      </c>
      <c r="G11759" s="311">
        <v>2044.56</v>
      </c>
      <c r="H11759" s="312">
        <v>24173.4</v>
      </c>
      <c r="I11759" s="312">
        <v>5091.37</v>
      </c>
      <c r="J11759" s="312">
        <v>5328.01</v>
      </c>
      <c r="K11759" s="312">
        <v>13754.02</v>
      </c>
      <c r="L11759" s="43">
        <v>7.2082801560133118</v>
      </c>
      <c r="M11759" s="43">
        <v>11.499943532175365</v>
      </c>
      <c r="N11759" s="43">
        <v>6.1505188913387281</v>
      </c>
      <c r="O11759" s="43">
        <v>6.7271295535469742</v>
      </c>
      <c r="P11759" s="313"/>
      <c r="Q11759" s="313"/>
      <c r="R11759" s="313">
        <v>7</v>
      </c>
    </row>
    <row r="11760" spans="1:18" ht="12.75" customHeight="1">
      <c r="A11760" s="628" t="s">
        <v>21460</v>
      </c>
      <c r="B11760" s="629"/>
      <c r="C11760" s="629"/>
      <c r="D11760" s="629"/>
      <c r="E11760" s="629"/>
      <c r="F11760" s="629"/>
      <c r="G11760" s="629"/>
      <c r="H11760" s="629"/>
      <c r="I11760" s="629"/>
      <c r="J11760" s="629"/>
      <c r="K11760" s="629"/>
      <c r="L11760" s="629"/>
      <c r="M11760" s="629"/>
      <c r="N11760" s="629"/>
      <c r="O11760" s="629"/>
      <c r="P11760" s="629"/>
      <c r="Q11760" s="629"/>
      <c r="R11760" s="629"/>
    </row>
    <row r="11761" spans="1:18" ht="24">
      <c r="A11761" s="309">
        <v>170</v>
      </c>
      <c r="B11761" s="306" t="s">
        <v>21461</v>
      </c>
      <c r="C11761" s="310" t="s">
        <v>21462</v>
      </c>
      <c r="D11761" s="311">
        <v>5838.11</v>
      </c>
      <c r="E11761" s="311">
        <v>1360.17</v>
      </c>
      <c r="F11761" s="311">
        <v>1259.21</v>
      </c>
      <c r="G11761" s="311">
        <v>3218.73</v>
      </c>
      <c r="H11761" s="312">
        <v>44344.49</v>
      </c>
      <c r="I11761" s="312">
        <v>15642.59</v>
      </c>
      <c r="J11761" s="312">
        <v>7606.76</v>
      </c>
      <c r="K11761" s="312">
        <v>21095.14</v>
      </c>
      <c r="L11761" s="43">
        <v>7.5956927841373325</v>
      </c>
      <c r="M11761" s="43">
        <v>11.50046685340803</v>
      </c>
      <c r="N11761" s="43">
        <v>6.0408986586828251</v>
      </c>
      <c r="O11761" s="43">
        <v>6.5538706259922392</v>
      </c>
      <c r="P11761" s="313"/>
      <c r="Q11761" s="313"/>
      <c r="R11761" s="313">
        <v>8</v>
      </c>
    </row>
    <row r="11762" spans="1:18" ht="24">
      <c r="A11762" s="309">
        <v>171</v>
      </c>
      <c r="B11762" s="306" t="s">
        <v>21463</v>
      </c>
      <c r="C11762" s="310" t="s">
        <v>21464</v>
      </c>
      <c r="D11762" s="311">
        <v>6679.17</v>
      </c>
      <c r="E11762" s="311">
        <v>1883.24</v>
      </c>
      <c r="F11762" s="311">
        <v>1566.74</v>
      </c>
      <c r="G11762" s="311">
        <v>3229.19</v>
      </c>
      <c r="H11762" s="312">
        <v>52224.23</v>
      </c>
      <c r="I11762" s="312">
        <v>21657.26</v>
      </c>
      <c r="J11762" s="312">
        <v>9351.5400000000009</v>
      </c>
      <c r="K11762" s="312">
        <v>21215.43</v>
      </c>
      <c r="L11762" s="43">
        <v>7.8189700217242564</v>
      </c>
      <c r="M11762" s="43">
        <v>11.499999999999998</v>
      </c>
      <c r="N11762" s="43">
        <v>5.9687886949972562</v>
      </c>
      <c r="O11762" s="43">
        <v>6.569892140134213</v>
      </c>
      <c r="P11762" s="313"/>
      <c r="Q11762" s="313"/>
      <c r="R11762" s="313">
        <v>8</v>
      </c>
    </row>
    <row r="11763" spans="1:18" ht="24">
      <c r="A11763" s="309">
        <v>172</v>
      </c>
      <c r="B11763" s="306" t="s">
        <v>21465</v>
      </c>
      <c r="C11763" s="310" t="s">
        <v>21466</v>
      </c>
      <c r="D11763" s="311">
        <v>4978.6899999999996</v>
      </c>
      <c r="E11763" s="311">
        <v>739.54</v>
      </c>
      <c r="F11763" s="311">
        <v>1032.83</v>
      </c>
      <c r="G11763" s="311">
        <v>3206.32</v>
      </c>
      <c r="H11763" s="312">
        <v>35795.620000000003</v>
      </c>
      <c r="I11763" s="312">
        <v>8504.73</v>
      </c>
      <c r="J11763" s="312">
        <v>6338.46</v>
      </c>
      <c r="K11763" s="312">
        <v>20952.43</v>
      </c>
      <c r="L11763" s="43">
        <v>7.1897667860421128</v>
      </c>
      <c r="M11763" s="43">
        <v>11.500027043838061</v>
      </c>
      <c r="N11763" s="43">
        <v>6.1369828529380444</v>
      </c>
      <c r="O11763" s="43">
        <v>6.5347282866338974</v>
      </c>
      <c r="P11763" s="313"/>
      <c r="Q11763" s="313"/>
      <c r="R11763" s="313">
        <v>8</v>
      </c>
    </row>
    <row r="11764" spans="1:18" ht="12.75" customHeight="1">
      <c r="A11764" s="628" t="s">
        <v>21467</v>
      </c>
      <c r="B11764" s="629"/>
      <c r="C11764" s="629"/>
      <c r="D11764" s="629"/>
      <c r="E11764" s="629"/>
      <c r="F11764" s="629"/>
      <c r="G11764" s="629"/>
      <c r="H11764" s="629"/>
      <c r="I11764" s="629"/>
      <c r="J11764" s="629"/>
      <c r="K11764" s="629"/>
      <c r="L11764" s="629"/>
      <c r="M11764" s="629"/>
      <c r="N11764" s="629"/>
      <c r="O11764" s="629"/>
      <c r="P11764" s="629"/>
      <c r="Q11764" s="629"/>
      <c r="R11764" s="629"/>
    </row>
    <row r="11765" spans="1:18" ht="24">
      <c r="A11765" s="309">
        <v>173</v>
      </c>
      <c r="B11765" s="306" t="s">
        <v>21468</v>
      </c>
      <c r="C11765" s="310" t="s">
        <v>21469</v>
      </c>
      <c r="D11765" s="311">
        <v>4940.46</v>
      </c>
      <c r="E11765" s="311">
        <v>1713.96</v>
      </c>
      <c r="F11765" s="311">
        <v>1389.13</v>
      </c>
      <c r="G11765" s="311">
        <v>1837.37</v>
      </c>
      <c r="H11765" s="312">
        <v>39861.379999999997</v>
      </c>
      <c r="I11765" s="312">
        <v>19710.54</v>
      </c>
      <c r="J11765" s="312">
        <v>7744.53</v>
      </c>
      <c r="K11765" s="312">
        <v>12406.31</v>
      </c>
      <c r="L11765" s="43">
        <v>8.0683539589430939</v>
      </c>
      <c r="M11765" s="43">
        <v>11.5</v>
      </c>
      <c r="N11765" s="43">
        <v>5.5750937637226174</v>
      </c>
      <c r="O11765" s="43">
        <v>6.7522110407811162</v>
      </c>
      <c r="P11765" s="313"/>
      <c r="Q11765" s="313"/>
      <c r="R11765" s="313">
        <v>9</v>
      </c>
    </row>
    <row r="11766" spans="1:18" ht="12.75" customHeight="1">
      <c r="A11766" s="628" t="s">
        <v>21470</v>
      </c>
      <c r="B11766" s="629"/>
      <c r="C11766" s="629"/>
      <c r="D11766" s="629"/>
      <c r="E11766" s="629"/>
      <c r="F11766" s="629"/>
      <c r="G11766" s="629"/>
      <c r="H11766" s="629"/>
      <c r="I11766" s="629"/>
      <c r="J11766" s="629"/>
      <c r="K11766" s="629"/>
      <c r="L11766" s="629"/>
      <c r="M11766" s="629"/>
      <c r="N11766" s="629"/>
      <c r="O11766" s="629"/>
      <c r="P11766" s="629"/>
      <c r="Q11766" s="629"/>
      <c r="R11766" s="629"/>
    </row>
    <row r="11767" spans="1:18" ht="36">
      <c r="A11767" s="309">
        <v>174</v>
      </c>
      <c r="B11767" s="306" t="s">
        <v>21471</v>
      </c>
      <c r="C11767" s="310" t="s">
        <v>21472</v>
      </c>
      <c r="D11767" s="311">
        <v>21541.919999999998</v>
      </c>
      <c r="E11767" s="311">
        <v>7189.35</v>
      </c>
      <c r="F11767" s="311">
        <v>4809.26</v>
      </c>
      <c r="G11767" s="311">
        <v>9543.31</v>
      </c>
      <c r="H11767" s="312">
        <v>175639.29</v>
      </c>
      <c r="I11767" s="312">
        <v>82680.03</v>
      </c>
      <c r="J11767" s="312">
        <v>26500.87</v>
      </c>
      <c r="K11767" s="312">
        <v>66458.39</v>
      </c>
      <c r="L11767" s="43">
        <v>8.1533721228191371</v>
      </c>
      <c r="M11767" s="43">
        <v>11.500348432055748</v>
      </c>
      <c r="N11767" s="43">
        <v>5.5103841339416038</v>
      </c>
      <c r="O11767" s="43">
        <v>6.9638720737354234</v>
      </c>
      <c r="P11767" s="313"/>
      <c r="Q11767" s="313"/>
      <c r="R11767" s="313">
        <v>10</v>
      </c>
    </row>
    <row r="11768" spans="1:18" ht="12.75" customHeight="1">
      <c r="A11768" s="628" t="s">
        <v>21473</v>
      </c>
      <c r="B11768" s="629"/>
      <c r="C11768" s="629"/>
      <c r="D11768" s="629"/>
      <c r="E11768" s="629"/>
      <c r="F11768" s="629"/>
      <c r="G11768" s="629"/>
      <c r="H11768" s="629"/>
      <c r="I11768" s="629"/>
      <c r="J11768" s="629"/>
      <c r="K11768" s="629"/>
      <c r="L11768" s="629"/>
      <c r="M11768" s="629"/>
      <c r="N11768" s="629"/>
      <c r="O11768" s="629"/>
      <c r="P11768" s="629"/>
      <c r="Q11768" s="629"/>
      <c r="R11768" s="629"/>
    </row>
    <row r="11769" spans="1:18" ht="24">
      <c r="A11769" s="309">
        <v>175</v>
      </c>
      <c r="B11769" s="306" t="s">
        <v>21474</v>
      </c>
      <c r="C11769" s="310" t="s">
        <v>21475</v>
      </c>
      <c r="D11769" s="311">
        <v>14735.65</v>
      </c>
      <c r="E11769" s="311">
        <v>7060.2</v>
      </c>
      <c r="F11769" s="311">
        <v>5343.09</v>
      </c>
      <c r="G11769" s="311">
        <v>2332.36</v>
      </c>
      <c r="H11769" s="312">
        <v>128158</v>
      </c>
      <c r="I11769" s="312">
        <v>81194.759999999995</v>
      </c>
      <c r="J11769" s="312">
        <v>29067.99</v>
      </c>
      <c r="K11769" s="312">
        <v>17895.25</v>
      </c>
      <c r="L11769" s="43">
        <v>8.6971392507286751</v>
      </c>
      <c r="M11769" s="43">
        <v>11.500348432055748</v>
      </c>
      <c r="N11769" s="43">
        <v>5.4402957839003276</v>
      </c>
      <c r="O11769" s="43">
        <v>7.6725934246857257</v>
      </c>
      <c r="P11769" s="313"/>
      <c r="Q11769" s="313"/>
      <c r="R11769" s="313">
        <v>11</v>
      </c>
    </row>
    <row r="11770" spans="1:18" ht="24">
      <c r="A11770" s="309">
        <v>176</v>
      </c>
      <c r="B11770" s="306" t="s">
        <v>21476</v>
      </c>
      <c r="C11770" s="310" t="s">
        <v>21477</v>
      </c>
      <c r="D11770" s="311">
        <v>3788.23</v>
      </c>
      <c r="E11770" s="311">
        <v>1736.35</v>
      </c>
      <c r="F11770" s="311">
        <v>879.05</v>
      </c>
      <c r="G11770" s="311">
        <v>1172.83</v>
      </c>
      <c r="H11770" s="312">
        <v>33543.58</v>
      </c>
      <c r="I11770" s="312">
        <v>19968.63</v>
      </c>
      <c r="J11770" s="312">
        <v>4628.34</v>
      </c>
      <c r="K11770" s="312">
        <v>8946.61</v>
      </c>
      <c r="L11770" s="43">
        <v>8.8546841136889789</v>
      </c>
      <c r="M11770" s="43">
        <v>11.50034843205575</v>
      </c>
      <c r="N11770" s="43">
        <v>5.2651612536260739</v>
      </c>
      <c r="O11770" s="43">
        <v>7.6282240392895826</v>
      </c>
      <c r="P11770" s="313"/>
      <c r="Q11770" s="313"/>
      <c r="R11770" s="313">
        <v>11</v>
      </c>
    </row>
    <row r="11771" spans="1:18" ht="12.75">
      <c r="A11771" s="632" t="s">
        <v>18</v>
      </c>
      <c r="B11771" s="632"/>
      <c r="C11771" s="632"/>
      <c r="D11771" s="307">
        <v>2659069.1</v>
      </c>
      <c r="E11771" s="307">
        <v>716178.16</v>
      </c>
      <c r="F11771" s="307">
        <v>885277.98</v>
      </c>
      <c r="G11771" s="307">
        <v>1057612.96</v>
      </c>
      <c r="H11771" s="308">
        <v>18520855.75</v>
      </c>
      <c r="I11771" s="308">
        <v>8236288.4400000004</v>
      </c>
      <c r="J11771" s="308">
        <v>4799159.45</v>
      </c>
      <c r="K11771" s="308">
        <v>5485407.8600000003</v>
      </c>
      <c r="L11771" s="612">
        <v>6.9651652715606369</v>
      </c>
      <c r="M11771" s="612">
        <v>11.500334553625596</v>
      </c>
      <c r="N11771" s="612">
        <v>5.4210762703032556</v>
      </c>
      <c r="O11771" s="612">
        <v>5.1865928912217569</v>
      </c>
      <c r="P11771" s="305"/>
      <c r="Q11771" s="305"/>
      <c r="R11771" s="305"/>
    </row>
    <row r="11772" spans="1:18" ht="18">
      <c r="A11772" s="616" t="s">
        <v>21836</v>
      </c>
      <c r="B11772" s="626"/>
      <c r="C11772" s="626"/>
      <c r="D11772" s="626"/>
      <c r="E11772" s="626"/>
      <c r="F11772" s="626"/>
      <c r="G11772" s="626"/>
      <c r="H11772" s="626"/>
      <c r="I11772" s="626"/>
      <c r="J11772" s="626"/>
      <c r="K11772" s="626"/>
      <c r="L11772" s="626"/>
      <c r="M11772" s="626"/>
      <c r="N11772" s="626"/>
      <c r="O11772" s="626"/>
      <c r="P11772" s="626"/>
      <c r="Q11772" s="626"/>
      <c r="R11772" s="627"/>
    </row>
    <row r="11773" spans="1:18" ht="12.75" customHeight="1">
      <c r="A11773" s="630" t="s">
        <v>21478</v>
      </c>
      <c r="B11773" s="631"/>
      <c r="C11773" s="631"/>
      <c r="D11773" s="631"/>
      <c r="E11773" s="631"/>
      <c r="F11773" s="631"/>
      <c r="G11773" s="631"/>
      <c r="H11773" s="631"/>
      <c r="I11773" s="631"/>
      <c r="J11773" s="631"/>
      <c r="K11773" s="631"/>
      <c r="L11773" s="631"/>
      <c r="M11773" s="631"/>
      <c r="N11773" s="631"/>
      <c r="O11773" s="631"/>
      <c r="P11773" s="631"/>
      <c r="Q11773" s="631"/>
      <c r="R11773" s="631"/>
    </row>
    <row r="11774" spans="1:18" ht="12.75" customHeight="1">
      <c r="A11774" s="628" t="s">
        <v>21479</v>
      </c>
      <c r="B11774" s="629"/>
      <c r="C11774" s="629"/>
      <c r="D11774" s="629"/>
      <c r="E11774" s="629"/>
      <c r="F11774" s="629"/>
      <c r="G11774" s="629"/>
      <c r="H11774" s="629"/>
      <c r="I11774" s="629"/>
      <c r="J11774" s="629"/>
      <c r="K11774" s="629"/>
      <c r="L11774" s="629"/>
      <c r="M11774" s="629"/>
      <c r="N11774" s="629"/>
      <c r="O11774" s="629"/>
      <c r="P11774" s="629"/>
      <c r="Q11774" s="629"/>
      <c r="R11774" s="629"/>
    </row>
    <row r="11775" spans="1:18" ht="12.75" customHeight="1">
      <c r="A11775" s="628" t="s">
        <v>21480</v>
      </c>
      <c r="B11775" s="629"/>
      <c r="C11775" s="629"/>
      <c r="D11775" s="629"/>
      <c r="E11775" s="629"/>
      <c r="F11775" s="629"/>
      <c r="G11775" s="629"/>
      <c r="H11775" s="629"/>
      <c r="I11775" s="629"/>
      <c r="J11775" s="629"/>
      <c r="K11775" s="629"/>
      <c r="L11775" s="629"/>
      <c r="M11775" s="629"/>
      <c r="N11775" s="629"/>
      <c r="O11775" s="629"/>
      <c r="P11775" s="629"/>
      <c r="Q11775" s="629"/>
      <c r="R11775" s="629"/>
    </row>
    <row r="11776" spans="1:18" ht="60">
      <c r="A11776" s="324">
        <v>1</v>
      </c>
      <c r="B11776" s="321" t="s">
        <v>21481</v>
      </c>
      <c r="C11776" s="325" t="s">
        <v>21482</v>
      </c>
      <c r="D11776" s="326">
        <v>317293.13</v>
      </c>
      <c r="E11776" s="326">
        <v>103623.49</v>
      </c>
      <c r="F11776" s="326">
        <v>196946.33</v>
      </c>
      <c r="G11776" s="326">
        <v>16723.310000000001</v>
      </c>
      <c r="H11776" s="327">
        <v>2265439.35</v>
      </c>
      <c r="I11776" s="327">
        <v>1191712.02</v>
      </c>
      <c r="J11776" s="327">
        <v>974605.61</v>
      </c>
      <c r="K11776" s="327">
        <v>99121.72</v>
      </c>
      <c r="L11776" s="43">
        <v>7.1398941099039872</v>
      </c>
      <c r="M11776" s="43">
        <v>11.500404203718674</v>
      </c>
      <c r="N11776" s="43">
        <v>4.9485847743392837</v>
      </c>
      <c r="O11776" s="43">
        <v>5.9271591568893953</v>
      </c>
      <c r="P11776" s="328"/>
      <c r="Q11776" s="328"/>
      <c r="R11776" s="328">
        <v>1</v>
      </c>
    </row>
    <row r="11777" spans="1:18" ht="60">
      <c r="A11777" s="324">
        <v>2</v>
      </c>
      <c r="B11777" s="321" t="s">
        <v>21483</v>
      </c>
      <c r="C11777" s="325" t="s">
        <v>21484</v>
      </c>
      <c r="D11777" s="326">
        <v>940852.08</v>
      </c>
      <c r="E11777" s="326">
        <v>220804.5</v>
      </c>
      <c r="F11777" s="326">
        <v>642945.97</v>
      </c>
      <c r="G11777" s="326">
        <v>77101.61</v>
      </c>
      <c r="H11777" s="327">
        <v>6024287.4400000004</v>
      </c>
      <c r="I11777" s="327">
        <v>2539341</v>
      </c>
      <c r="J11777" s="327">
        <v>3052702.25</v>
      </c>
      <c r="K11777" s="327">
        <v>432244.19</v>
      </c>
      <c r="L11777" s="43">
        <v>6.4030122992341161</v>
      </c>
      <c r="M11777" s="43">
        <v>11.500404203718674</v>
      </c>
      <c r="N11777" s="43">
        <v>4.7479918880275429</v>
      </c>
      <c r="O11777" s="43">
        <v>5.6061629582054122</v>
      </c>
      <c r="P11777" s="328"/>
      <c r="Q11777" s="328"/>
      <c r="R11777" s="328">
        <v>1</v>
      </c>
    </row>
    <row r="11778" spans="1:18" ht="60">
      <c r="A11778" s="324">
        <v>3</v>
      </c>
      <c r="B11778" s="321" t="s">
        <v>21485</v>
      </c>
      <c r="C11778" s="325" t="s">
        <v>21486</v>
      </c>
      <c r="D11778" s="326">
        <v>1659511.06</v>
      </c>
      <c r="E11778" s="326">
        <v>337391.75</v>
      </c>
      <c r="F11778" s="326">
        <v>1156517.8899999999</v>
      </c>
      <c r="G11778" s="326">
        <v>165601.42000000001</v>
      </c>
      <c r="H11778" s="327">
        <v>10225214.890000001</v>
      </c>
      <c r="I11778" s="327">
        <v>3880141.5</v>
      </c>
      <c r="J11778" s="327">
        <v>5456923.3700000001</v>
      </c>
      <c r="K11778" s="327">
        <v>888150.02</v>
      </c>
      <c r="L11778" s="43">
        <v>6.1615828519997935</v>
      </c>
      <c r="M11778" s="43">
        <v>11.500404203718674</v>
      </c>
      <c r="N11778" s="43">
        <v>4.7184080913785094</v>
      </c>
      <c r="O11778" s="43">
        <v>5.3631787698438815</v>
      </c>
      <c r="P11778" s="328"/>
      <c r="Q11778" s="328"/>
      <c r="R11778" s="328">
        <v>1</v>
      </c>
    </row>
    <row r="11779" spans="1:18" ht="12.75" customHeight="1">
      <c r="A11779" s="628" t="s">
        <v>21487</v>
      </c>
      <c r="B11779" s="629"/>
      <c r="C11779" s="629"/>
      <c r="D11779" s="629"/>
      <c r="E11779" s="629"/>
      <c r="F11779" s="629"/>
      <c r="G11779" s="629"/>
      <c r="H11779" s="629"/>
      <c r="I11779" s="629"/>
      <c r="J11779" s="629"/>
      <c r="K11779" s="629"/>
      <c r="L11779" s="629"/>
      <c r="M11779" s="629"/>
      <c r="N11779" s="629"/>
      <c r="O11779" s="629"/>
      <c r="P11779" s="629"/>
      <c r="Q11779" s="629"/>
      <c r="R11779" s="629"/>
    </row>
    <row r="11780" spans="1:18" ht="60">
      <c r="A11780" s="324">
        <v>4</v>
      </c>
      <c r="B11780" s="321" t="s">
        <v>21488</v>
      </c>
      <c r="C11780" s="325" t="s">
        <v>21489</v>
      </c>
      <c r="D11780" s="326">
        <v>198622.93</v>
      </c>
      <c r="E11780" s="326">
        <v>85171.68</v>
      </c>
      <c r="F11780" s="326">
        <v>102194.2</v>
      </c>
      <c r="G11780" s="326">
        <v>11257.05</v>
      </c>
      <c r="H11780" s="327">
        <v>1560937.6</v>
      </c>
      <c r="I11780" s="327">
        <v>979474.32</v>
      </c>
      <c r="J11780" s="327">
        <v>516025.1</v>
      </c>
      <c r="K11780" s="327">
        <v>65438.18</v>
      </c>
      <c r="L11780" s="43">
        <v>7.8587985787945032</v>
      </c>
      <c r="M11780" s="43">
        <v>11.5</v>
      </c>
      <c r="N11780" s="43">
        <v>5.0494558399596059</v>
      </c>
      <c r="O11780" s="43">
        <v>5.813084244984255</v>
      </c>
      <c r="P11780" s="328"/>
      <c r="Q11780" s="328"/>
      <c r="R11780" s="328">
        <v>2</v>
      </c>
    </row>
    <row r="11781" spans="1:18" ht="60">
      <c r="A11781" s="324">
        <v>5</v>
      </c>
      <c r="B11781" s="321" t="s">
        <v>21490</v>
      </c>
      <c r="C11781" s="325" t="s">
        <v>21491</v>
      </c>
      <c r="D11781" s="326">
        <v>276734.2</v>
      </c>
      <c r="E11781" s="326">
        <v>100934.46</v>
      </c>
      <c r="F11781" s="326">
        <v>157389.29999999999</v>
      </c>
      <c r="G11781" s="326">
        <v>18410.439999999999</v>
      </c>
      <c r="H11781" s="327">
        <v>2014704.6399999999</v>
      </c>
      <c r="I11781" s="327">
        <v>1160746.29</v>
      </c>
      <c r="J11781" s="327">
        <v>754432.19</v>
      </c>
      <c r="K11781" s="327">
        <v>99526.16</v>
      </c>
      <c r="L11781" s="43">
        <v>7.2802878719001836</v>
      </c>
      <c r="M11781" s="43">
        <v>11.5</v>
      </c>
      <c r="N11781" s="43">
        <v>4.7934147365799324</v>
      </c>
      <c r="O11781" s="43">
        <v>5.4059631383063094</v>
      </c>
      <c r="P11781" s="328"/>
      <c r="Q11781" s="328"/>
      <c r="R11781" s="328">
        <v>2</v>
      </c>
    </row>
    <row r="11782" spans="1:18" ht="72">
      <c r="A11782" s="324">
        <v>6</v>
      </c>
      <c r="B11782" s="321" t="s">
        <v>21492</v>
      </c>
      <c r="C11782" s="325" t="s">
        <v>21493</v>
      </c>
      <c r="D11782" s="326">
        <v>871295.46</v>
      </c>
      <c r="E11782" s="326">
        <v>171183.54</v>
      </c>
      <c r="F11782" s="326">
        <v>647925.65</v>
      </c>
      <c r="G11782" s="326">
        <v>52186.27</v>
      </c>
      <c r="H11782" s="327">
        <v>5167772.91</v>
      </c>
      <c r="I11782" s="327">
        <v>1968610.71</v>
      </c>
      <c r="J11782" s="327">
        <v>2930840.78</v>
      </c>
      <c r="K11782" s="327">
        <v>268321.42</v>
      </c>
      <c r="L11782" s="43">
        <v>5.9311371942647337</v>
      </c>
      <c r="M11782" s="43">
        <v>11.5</v>
      </c>
      <c r="N11782" s="43">
        <v>4.5234214450377133</v>
      </c>
      <c r="O11782" s="43">
        <v>5.1416094693106063</v>
      </c>
      <c r="P11782" s="328"/>
      <c r="Q11782" s="328"/>
      <c r="R11782" s="328">
        <v>2</v>
      </c>
    </row>
    <row r="11783" spans="1:18" ht="72">
      <c r="A11783" s="324">
        <v>7</v>
      </c>
      <c r="B11783" s="321" t="s">
        <v>21494</v>
      </c>
      <c r="C11783" s="325" t="s">
        <v>21495</v>
      </c>
      <c r="D11783" s="326">
        <v>1239972.45</v>
      </c>
      <c r="E11783" s="326">
        <v>268957.92</v>
      </c>
      <c r="F11783" s="326">
        <v>885912.09</v>
      </c>
      <c r="G11783" s="326">
        <v>85102.44</v>
      </c>
      <c r="H11783" s="327">
        <v>8233806.4900000002</v>
      </c>
      <c r="I11783" s="327">
        <v>3093016.08</v>
      </c>
      <c r="J11783" s="327">
        <v>4709637.46</v>
      </c>
      <c r="K11783" s="327">
        <v>431152.95</v>
      </c>
      <c r="L11783" s="43">
        <v>6.6403140569776369</v>
      </c>
      <c r="M11783" s="43">
        <v>11.500000000000002</v>
      </c>
      <c r="N11783" s="43">
        <v>5.3161453751014962</v>
      </c>
      <c r="O11783" s="43">
        <v>5.0662818833396548</v>
      </c>
      <c r="P11783" s="328"/>
      <c r="Q11783" s="328"/>
      <c r="R11783" s="328">
        <v>2</v>
      </c>
    </row>
    <row r="11784" spans="1:18" ht="72">
      <c r="A11784" s="324">
        <v>8</v>
      </c>
      <c r="B11784" s="321" t="s">
        <v>21496</v>
      </c>
      <c r="C11784" s="325" t="s">
        <v>21497</v>
      </c>
      <c r="D11784" s="326">
        <v>1701638.88</v>
      </c>
      <c r="E11784" s="326">
        <v>307041.90000000002</v>
      </c>
      <c r="F11784" s="326">
        <v>1296330.0900000001</v>
      </c>
      <c r="G11784" s="326">
        <v>98266.89</v>
      </c>
      <c r="H11784" s="327">
        <v>10921604.369999999</v>
      </c>
      <c r="I11784" s="327">
        <v>3530981.85</v>
      </c>
      <c r="J11784" s="327">
        <v>6894585.1799999997</v>
      </c>
      <c r="K11784" s="327">
        <v>496037.34</v>
      </c>
      <c r="L11784" s="43">
        <v>6.4182856294397785</v>
      </c>
      <c r="M11784" s="43">
        <v>11.5</v>
      </c>
      <c r="N11784" s="43">
        <v>5.3185413446663103</v>
      </c>
      <c r="O11784" s="43">
        <v>5.0478583376353932</v>
      </c>
      <c r="P11784" s="328"/>
      <c r="Q11784" s="328"/>
      <c r="R11784" s="328">
        <v>2</v>
      </c>
    </row>
    <row r="11785" spans="1:18" ht="12.75" customHeight="1">
      <c r="A11785" s="628" t="s">
        <v>21498</v>
      </c>
      <c r="B11785" s="629"/>
      <c r="C11785" s="629"/>
      <c r="D11785" s="629"/>
      <c r="E11785" s="629"/>
      <c r="F11785" s="629"/>
      <c r="G11785" s="629"/>
      <c r="H11785" s="629"/>
      <c r="I11785" s="629"/>
      <c r="J11785" s="629"/>
      <c r="K11785" s="629"/>
      <c r="L11785" s="629"/>
      <c r="M11785" s="629"/>
      <c r="N11785" s="629"/>
      <c r="O11785" s="629"/>
      <c r="P11785" s="629"/>
      <c r="Q11785" s="629"/>
      <c r="R11785" s="629"/>
    </row>
    <row r="11786" spans="1:18" ht="12.75" customHeight="1">
      <c r="A11786" s="628" t="s">
        <v>21499</v>
      </c>
      <c r="B11786" s="629"/>
      <c r="C11786" s="629"/>
      <c r="D11786" s="629"/>
      <c r="E11786" s="629"/>
      <c r="F11786" s="629"/>
      <c r="G11786" s="629"/>
      <c r="H11786" s="629"/>
      <c r="I11786" s="629"/>
      <c r="J11786" s="629"/>
      <c r="K11786" s="629"/>
      <c r="L11786" s="629"/>
      <c r="M11786" s="629"/>
      <c r="N11786" s="629"/>
      <c r="O11786" s="629"/>
      <c r="P11786" s="629"/>
      <c r="Q11786" s="629"/>
      <c r="R11786" s="629"/>
    </row>
    <row r="11787" spans="1:18" ht="48">
      <c r="A11787" s="324">
        <v>9</v>
      </c>
      <c r="B11787" s="321" t="s">
        <v>21500</v>
      </c>
      <c r="C11787" s="325" t="s">
        <v>21501</v>
      </c>
      <c r="D11787" s="326">
        <v>9623.43</v>
      </c>
      <c r="E11787" s="326">
        <v>1958.88</v>
      </c>
      <c r="F11787" s="326">
        <v>6902.41</v>
      </c>
      <c r="G11787" s="326">
        <v>762.14</v>
      </c>
      <c r="H11787" s="327">
        <v>63755.65</v>
      </c>
      <c r="I11787" s="327">
        <v>22527.119999999999</v>
      </c>
      <c r="J11787" s="327">
        <v>36694.639999999999</v>
      </c>
      <c r="K11787" s="327">
        <v>4533.8900000000003</v>
      </c>
      <c r="L11787" s="43">
        <v>6.6250442929392115</v>
      </c>
      <c r="M11787" s="43">
        <v>11.499999999999998</v>
      </c>
      <c r="N11787" s="43">
        <v>5.3162069480080145</v>
      </c>
      <c r="O11787" s="43">
        <v>5.9488939040071385</v>
      </c>
      <c r="P11787" s="328"/>
      <c r="Q11787" s="328"/>
      <c r="R11787" s="328">
        <v>1</v>
      </c>
    </row>
    <row r="11788" spans="1:18" ht="48">
      <c r="A11788" s="324">
        <v>10</v>
      </c>
      <c r="B11788" s="321" t="s">
        <v>21502</v>
      </c>
      <c r="C11788" s="325" t="s">
        <v>21503</v>
      </c>
      <c r="D11788" s="326">
        <v>11725.7</v>
      </c>
      <c r="E11788" s="326">
        <v>2645.76</v>
      </c>
      <c r="F11788" s="326">
        <v>8304.06</v>
      </c>
      <c r="G11788" s="326">
        <v>775.88</v>
      </c>
      <c r="H11788" s="327">
        <v>79282.679999999993</v>
      </c>
      <c r="I11788" s="327">
        <v>30426.240000000002</v>
      </c>
      <c r="J11788" s="327">
        <v>44164.54</v>
      </c>
      <c r="K11788" s="327">
        <v>4691.8999999999996</v>
      </c>
      <c r="L11788" s="43">
        <v>6.7614453721313001</v>
      </c>
      <c r="M11788" s="43">
        <v>11.5</v>
      </c>
      <c r="N11788" s="43">
        <v>5.3184273716712074</v>
      </c>
      <c r="O11788" s="43">
        <v>6.0471980203124192</v>
      </c>
      <c r="P11788" s="328"/>
      <c r="Q11788" s="328"/>
      <c r="R11788" s="328">
        <v>1</v>
      </c>
    </row>
    <row r="11789" spans="1:18" ht="48">
      <c r="A11789" s="324">
        <v>11</v>
      </c>
      <c r="B11789" s="321" t="s">
        <v>21504</v>
      </c>
      <c r="C11789" s="325" t="s">
        <v>21505</v>
      </c>
      <c r="D11789" s="326">
        <v>12361.94</v>
      </c>
      <c r="E11789" s="326">
        <v>2798.4</v>
      </c>
      <c r="F11789" s="326">
        <v>8784.61</v>
      </c>
      <c r="G11789" s="326">
        <v>778.93</v>
      </c>
      <c r="H11789" s="327">
        <v>83635.73</v>
      </c>
      <c r="I11789" s="327">
        <v>32181.599999999999</v>
      </c>
      <c r="J11789" s="327">
        <v>46727.15</v>
      </c>
      <c r="K11789" s="327">
        <v>4726.9799999999996</v>
      </c>
      <c r="L11789" s="43">
        <v>6.7655829101257563</v>
      </c>
      <c r="M11789" s="43">
        <v>11.499999999999998</v>
      </c>
      <c r="N11789" s="43">
        <v>5.3192059749949054</v>
      </c>
      <c r="O11789" s="43">
        <v>6.068555582658262</v>
      </c>
      <c r="P11789" s="328"/>
      <c r="Q11789" s="328"/>
      <c r="R11789" s="328">
        <v>1</v>
      </c>
    </row>
    <row r="11790" spans="1:18" ht="12.75" customHeight="1">
      <c r="A11790" s="628" t="s">
        <v>21506</v>
      </c>
      <c r="B11790" s="629"/>
      <c r="C11790" s="629"/>
      <c r="D11790" s="629"/>
      <c r="E11790" s="629"/>
      <c r="F11790" s="629"/>
      <c r="G11790" s="629"/>
      <c r="H11790" s="629"/>
      <c r="I11790" s="629"/>
      <c r="J11790" s="629"/>
      <c r="K11790" s="629"/>
      <c r="L11790" s="629"/>
      <c r="M11790" s="629"/>
      <c r="N11790" s="629"/>
      <c r="O11790" s="629"/>
      <c r="P11790" s="629"/>
      <c r="Q11790" s="629"/>
      <c r="R11790" s="629"/>
    </row>
    <row r="11791" spans="1:18" ht="24">
      <c r="A11791" s="324">
        <v>12</v>
      </c>
      <c r="B11791" s="321" t="s">
        <v>21507</v>
      </c>
      <c r="C11791" s="325" t="s">
        <v>21508</v>
      </c>
      <c r="D11791" s="326">
        <v>20268.689999999999</v>
      </c>
      <c r="E11791" s="326">
        <v>1671.4</v>
      </c>
      <c r="F11791" s="326">
        <v>6266.97</v>
      </c>
      <c r="G11791" s="326">
        <v>12330.32</v>
      </c>
      <c r="H11791" s="327">
        <v>106534.31</v>
      </c>
      <c r="I11791" s="327">
        <v>19221.099999999999</v>
      </c>
      <c r="J11791" s="327">
        <v>34307.440000000002</v>
      </c>
      <c r="K11791" s="327">
        <v>53005.77</v>
      </c>
      <c r="L11791" s="43">
        <v>5.2561023924091792</v>
      </c>
      <c r="M11791" s="43">
        <v>11.499999999999998</v>
      </c>
      <c r="N11791" s="43">
        <v>5.4743265086636761</v>
      </c>
      <c r="O11791" s="43">
        <v>4.2988154403129846</v>
      </c>
      <c r="P11791" s="328"/>
      <c r="Q11791" s="328"/>
      <c r="R11791" s="328">
        <v>2</v>
      </c>
    </row>
    <row r="11792" spans="1:18" ht="12.75" customHeight="1">
      <c r="A11792" s="628" t="s">
        <v>21509</v>
      </c>
      <c r="B11792" s="629"/>
      <c r="C11792" s="629"/>
      <c r="D11792" s="629"/>
      <c r="E11792" s="629"/>
      <c r="F11792" s="629"/>
      <c r="G11792" s="629"/>
      <c r="H11792" s="629"/>
      <c r="I11792" s="629"/>
      <c r="J11792" s="629"/>
      <c r="K11792" s="629"/>
      <c r="L11792" s="629"/>
      <c r="M11792" s="629"/>
      <c r="N11792" s="629"/>
      <c r="O11792" s="629"/>
      <c r="P11792" s="629"/>
      <c r="Q11792" s="629"/>
      <c r="R11792" s="629"/>
    </row>
    <row r="11793" spans="1:18" ht="24">
      <c r="A11793" s="324">
        <v>13</v>
      </c>
      <c r="B11793" s="321" t="s">
        <v>21510</v>
      </c>
      <c r="C11793" s="325" t="s">
        <v>21511</v>
      </c>
      <c r="D11793" s="326">
        <v>9924.84</v>
      </c>
      <c r="E11793" s="326">
        <v>2371.7600000000002</v>
      </c>
      <c r="F11793" s="326">
        <v>6826.41</v>
      </c>
      <c r="G11793" s="326">
        <v>726.67</v>
      </c>
      <c r="H11793" s="327">
        <v>67079.759999999995</v>
      </c>
      <c r="I11793" s="327">
        <v>27276.16</v>
      </c>
      <c r="J11793" s="327">
        <v>35698.28</v>
      </c>
      <c r="K11793" s="327">
        <v>4105.32</v>
      </c>
      <c r="L11793" s="43">
        <v>6.7587749525433152</v>
      </c>
      <c r="M11793" s="43">
        <v>11.500387897595035</v>
      </c>
      <c r="N11793" s="43">
        <v>5.2294368489440277</v>
      </c>
      <c r="O11793" s="43">
        <v>5.6494970206558683</v>
      </c>
      <c r="P11793" s="328"/>
      <c r="Q11793" s="328"/>
      <c r="R11793" s="328">
        <v>3</v>
      </c>
    </row>
    <row r="11794" spans="1:18" ht="12.75" customHeight="1">
      <c r="A11794" s="628" t="s">
        <v>21512</v>
      </c>
      <c r="B11794" s="629"/>
      <c r="C11794" s="629"/>
      <c r="D11794" s="629"/>
      <c r="E11794" s="629"/>
      <c r="F11794" s="629"/>
      <c r="G11794" s="629"/>
      <c r="H11794" s="629"/>
      <c r="I11794" s="629"/>
      <c r="J11794" s="629"/>
      <c r="K11794" s="629"/>
      <c r="L11794" s="629"/>
      <c r="M11794" s="629"/>
      <c r="N11794" s="629"/>
      <c r="O11794" s="629"/>
      <c r="P11794" s="629"/>
      <c r="Q11794" s="629"/>
      <c r="R11794" s="629"/>
    </row>
    <row r="11795" spans="1:18" ht="12.75" customHeight="1">
      <c r="A11795" s="628" t="s">
        <v>21513</v>
      </c>
      <c r="B11795" s="629"/>
      <c r="C11795" s="629"/>
      <c r="D11795" s="629"/>
      <c r="E11795" s="629"/>
      <c r="F11795" s="629"/>
      <c r="G11795" s="629"/>
      <c r="H11795" s="629"/>
      <c r="I11795" s="629"/>
      <c r="J11795" s="629"/>
      <c r="K11795" s="629"/>
      <c r="L11795" s="629"/>
      <c r="M11795" s="629"/>
      <c r="N11795" s="629"/>
      <c r="O11795" s="629"/>
      <c r="P11795" s="629"/>
      <c r="Q11795" s="629"/>
      <c r="R11795" s="629"/>
    </row>
    <row r="11796" spans="1:18" ht="24">
      <c r="A11796" s="324">
        <v>14</v>
      </c>
      <c r="B11796" s="321" t="s">
        <v>21514</v>
      </c>
      <c r="C11796" s="325" t="s">
        <v>21515</v>
      </c>
      <c r="D11796" s="326">
        <v>52981.3</v>
      </c>
      <c r="E11796" s="326">
        <v>24929.26</v>
      </c>
      <c r="F11796" s="326">
        <v>25787.8</v>
      </c>
      <c r="G11796" s="326">
        <v>2264.2399999999998</v>
      </c>
      <c r="H11796" s="327">
        <v>433128.21</v>
      </c>
      <c r="I11796" s="327">
        <v>286696.15999999997</v>
      </c>
      <c r="J11796" s="327">
        <v>130791.4</v>
      </c>
      <c r="K11796" s="327">
        <v>15640.65</v>
      </c>
      <c r="L11796" s="43">
        <v>8.1751148046574915</v>
      </c>
      <c r="M11796" s="43">
        <v>11.500387897595035</v>
      </c>
      <c r="N11796" s="43">
        <v>5.0718324168792996</v>
      </c>
      <c r="O11796" s="43">
        <v>6.9076820478394518</v>
      </c>
      <c r="P11796" s="328"/>
      <c r="Q11796" s="328"/>
      <c r="R11796" s="328">
        <v>1</v>
      </c>
    </row>
    <row r="11797" spans="1:18" ht="24">
      <c r="A11797" s="324">
        <v>15</v>
      </c>
      <c r="B11797" s="321" t="s">
        <v>21516</v>
      </c>
      <c r="C11797" s="325" t="s">
        <v>21517</v>
      </c>
      <c r="D11797" s="326">
        <v>57218.15</v>
      </c>
      <c r="E11797" s="326">
        <v>26991.66</v>
      </c>
      <c r="F11797" s="326">
        <v>27371.439999999999</v>
      </c>
      <c r="G11797" s="326">
        <v>2855.05</v>
      </c>
      <c r="H11797" s="327">
        <v>469037.08</v>
      </c>
      <c r="I11797" s="327">
        <v>310414.56</v>
      </c>
      <c r="J11797" s="327">
        <v>139420.45000000001</v>
      </c>
      <c r="K11797" s="327">
        <v>19202.07</v>
      </c>
      <c r="L11797" s="43">
        <v>8.1973478695134325</v>
      </c>
      <c r="M11797" s="43">
        <v>11.500387897595035</v>
      </c>
      <c r="N11797" s="43">
        <v>5.0936468815670644</v>
      </c>
      <c r="O11797" s="43">
        <v>6.7256510393863502</v>
      </c>
      <c r="P11797" s="328"/>
      <c r="Q11797" s="328"/>
      <c r="R11797" s="328">
        <v>1</v>
      </c>
    </row>
    <row r="11798" spans="1:18" ht="12.75" customHeight="1">
      <c r="A11798" s="628" t="s">
        <v>21518</v>
      </c>
      <c r="B11798" s="629"/>
      <c r="C11798" s="629"/>
      <c r="D11798" s="629"/>
      <c r="E11798" s="629"/>
      <c r="F11798" s="629"/>
      <c r="G11798" s="629"/>
      <c r="H11798" s="629"/>
      <c r="I11798" s="629"/>
      <c r="J11798" s="629"/>
      <c r="K11798" s="629"/>
      <c r="L11798" s="629"/>
      <c r="M11798" s="629"/>
      <c r="N11798" s="629"/>
      <c r="O11798" s="629"/>
      <c r="P11798" s="629"/>
      <c r="Q11798" s="629"/>
      <c r="R11798" s="629"/>
    </row>
    <row r="11799" spans="1:18" ht="36">
      <c r="A11799" s="324">
        <v>16</v>
      </c>
      <c r="B11799" s="321" t="s">
        <v>21519</v>
      </c>
      <c r="C11799" s="325" t="s">
        <v>21520</v>
      </c>
      <c r="D11799" s="326">
        <v>49948.28</v>
      </c>
      <c r="E11799" s="326">
        <v>24594.12</v>
      </c>
      <c r="F11799" s="326">
        <v>23127.15</v>
      </c>
      <c r="G11799" s="326">
        <v>2227.0100000000002</v>
      </c>
      <c r="H11799" s="327">
        <v>417899.39</v>
      </c>
      <c r="I11799" s="327">
        <v>282841.92</v>
      </c>
      <c r="J11799" s="327">
        <v>119683.61</v>
      </c>
      <c r="K11799" s="327">
        <v>15373.86</v>
      </c>
      <c r="L11799" s="43">
        <v>8.3666422547483119</v>
      </c>
      <c r="M11799" s="43">
        <v>11.500387897595035</v>
      </c>
      <c r="N11799" s="43">
        <v>5.1750263218771009</v>
      </c>
      <c r="O11799" s="43">
        <v>6.9033637029020971</v>
      </c>
      <c r="P11799" s="328"/>
      <c r="Q11799" s="328"/>
      <c r="R11799" s="328">
        <v>2</v>
      </c>
    </row>
    <row r="11800" spans="1:18" ht="36">
      <c r="A11800" s="324">
        <v>17</v>
      </c>
      <c r="B11800" s="321" t="s">
        <v>21521</v>
      </c>
      <c r="C11800" s="325" t="s">
        <v>21522</v>
      </c>
      <c r="D11800" s="326">
        <v>93817.41</v>
      </c>
      <c r="E11800" s="326">
        <v>44006.46</v>
      </c>
      <c r="F11800" s="326">
        <v>45556.27</v>
      </c>
      <c r="G11800" s="326">
        <v>4254.68</v>
      </c>
      <c r="H11800" s="327">
        <v>768203.54</v>
      </c>
      <c r="I11800" s="327">
        <v>506091.36</v>
      </c>
      <c r="J11800" s="327">
        <v>233078.83</v>
      </c>
      <c r="K11800" s="327">
        <v>29033.35</v>
      </c>
      <c r="L11800" s="43">
        <v>8.1882833900445551</v>
      </c>
      <c r="M11800" s="43">
        <v>11.500387897595035</v>
      </c>
      <c r="N11800" s="43">
        <v>5.1162843226629402</v>
      </c>
      <c r="O11800" s="43">
        <v>6.8238621941015536</v>
      </c>
      <c r="P11800" s="328"/>
      <c r="Q11800" s="328"/>
      <c r="R11800" s="328">
        <v>2</v>
      </c>
    </row>
    <row r="11801" spans="1:18" ht="12.75" customHeight="1">
      <c r="A11801" s="628" t="s">
        <v>21523</v>
      </c>
      <c r="B11801" s="629"/>
      <c r="C11801" s="629"/>
      <c r="D11801" s="629"/>
      <c r="E11801" s="629"/>
      <c r="F11801" s="629"/>
      <c r="G11801" s="629"/>
      <c r="H11801" s="629"/>
      <c r="I11801" s="629"/>
      <c r="J11801" s="629"/>
      <c r="K11801" s="629"/>
      <c r="L11801" s="629"/>
      <c r="M11801" s="629"/>
      <c r="N11801" s="629"/>
      <c r="O11801" s="629"/>
      <c r="P11801" s="629"/>
      <c r="Q11801" s="629"/>
      <c r="R11801" s="629"/>
    </row>
    <row r="11802" spans="1:18" ht="12.75" customHeight="1">
      <c r="A11802" s="628" t="s">
        <v>21524</v>
      </c>
      <c r="B11802" s="629"/>
      <c r="C11802" s="629"/>
      <c r="D11802" s="629"/>
      <c r="E11802" s="629"/>
      <c r="F11802" s="629"/>
      <c r="G11802" s="629"/>
      <c r="H11802" s="629"/>
      <c r="I11802" s="629"/>
      <c r="J11802" s="629"/>
      <c r="K11802" s="629"/>
      <c r="L11802" s="629"/>
      <c r="M11802" s="629"/>
      <c r="N11802" s="629"/>
      <c r="O11802" s="629"/>
      <c r="P11802" s="629"/>
      <c r="Q11802" s="629"/>
      <c r="R11802" s="629"/>
    </row>
    <row r="11803" spans="1:18" ht="24">
      <c r="A11803" s="324">
        <v>18</v>
      </c>
      <c r="B11803" s="321" t="s">
        <v>21525</v>
      </c>
      <c r="C11803" s="325" t="s">
        <v>21526</v>
      </c>
      <c r="D11803" s="326">
        <v>23748.47</v>
      </c>
      <c r="E11803" s="326">
        <v>7545.7</v>
      </c>
      <c r="F11803" s="326">
        <v>14643.41</v>
      </c>
      <c r="G11803" s="326">
        <v>1559.36</v>
      </c>
      <c r="H11803" s="327">
        <v>163445.35</v>
      </c>
      <c r="I11803" s="327">
        <v>86778.6</v>
      </c>
      <c r="J11803" s="327">
        <v>68373.25</v>
      </c>
      <c r="K11803" s="327">
        <v>8293.5</v>
      </c>
      <c r="L11803" s="43">
        <v>6.8823528420988804</v>
      </c>
      <c r="M11803" s="43">
        <v>11.500404203718675</v>
      </c>
      <c r="N11803" s="43">
        <v>4.6692163915372173</v>
      </c>
      <c r="O11803" s="43">
        <v>5.3185281140980916</v>
      </c>
      <c r="P11803" s="328"/>
      <c r="Q11803" s="328"/>
      <c r="R11803" s="328">
        <v>1</v>
      </c>
    </row>
    <row r="11804" spans="1:18" ht="24">
      <c r="A11804" s="324">
        <v>19</v>
      </c>
      <c r="B11804" s="321" t="s">
        <v>21527</v>
      </c>
      <c r="C11804" s="325" t="s">
        <v>21528</v>
      </c>
      <c r="D11804" s="326">
        <v>33772.959999999999</v>
      </c>
      <c r="E11804" s="326">
        <v>10477.39</v>
      </c>
      <c r="F11804" s="326">
        <v>20783.79</v>
      </c>
      <c r="G11804" s="326">
        <v>2511.7800000000002</v>
      </c>
      <c r="H11804" s="327">
        <v>256256.88</v>
      </c>
      <c r="I11804" s="327">
        <v>120494.22</v>
      </c>
      <c r="J11804" s="327">
        <v>122636.71</v>
      </c>
      <c r="K11804" s="327">
        <v>13125.95</v>
      </c>
      <c r="L11804" s="43">
        <v>7.587634604725201</v>
      </c>
      <c r="M11804" s="43">
        <v>11.500404203718675</v>
      </c>
      <c r="N11804" s="43">
        <v>5.9005941649718361</v>
      </c>
      <c r="O11804" s="43">
        <v>5.225756236613079</v>
      </c>
      <c r="P11804" s="328"/>
      <c r="Q11804" s="328"/>
      <c r="R11804" s="328">
        <v>1</v>
      </c>
    </row>
    <row r="11805" spans="1:18" ht="12.75" customHeight="1">
      <c r="A11805" s="628" t="s">
        <v>21529</v>
      </c>
      <c r="B11805" s="629"/>
      <c r="C11805" s="629"/>
      <c r="D11805" s="629"/>
      <c r="E11805" s="629"/>
      <c r="F11805" s="629"/>
      <c r="G11805" s="629"/>
      <c r="H11805" s="629"/>
      <c r="I11805" s="629"/>
      <c r="J11805" s="629"/>
      <c r="K11805" s="629"/>
      <c r="L11805" s="629"/>
      <c r="M11805" s="629"/>
      <c r="N11805" s="629"/>
      <c r="O11805" s="629"/>
      <c r="P11805" s="629"/>
      <c r="Q11805" s="629"/>
      <c r="R11805" s="629"/>
    </row>
    <row r="11806" spans="1:18" ht="24">
      <c r="A11806" s="324">
        <v>20</v>
      </c>
      <c r="B11806" s="321" t="s">
        <v>21530</v>
      </c>
      <c r="C11806" s="325" t="s">
        <v>21531</v>
      </c>
      <c r="D11806" s="326">
        <v>36608.089999999997</v>
      </c>
      <c r="E11806" s="326">
        <v>14232.9</v>
      </c>
      <c r="F11806" s="326">
        <v>19300.97</v>
      </c>
      <c r="G11806" s="326">
        <v>3074.22</v>
      </c>
      <c r="H11806" s="327">
        <v>275548.39</v>
      </c>
      <c r="I11806" s="327">
        <v>163678.35</v>
      </c>
      <c r="J11806" s="327">
        <v>95599.73</v>
      </c>
      <c r="K11806" s="327">
        <v>16270.31</v>
      </c>
      <c r="L11806" s="43">
        <v>7.5269807848483774</v>
      </c>
      <c r="M11806" s="43">
        <v>11.5</v>
      </c>
      <c r="N11806" s="43">
        <v>4.9531049475751736</v>
      </c>
      <c r="O11806" s="43">
        <v>5.2925002114357467</v>
      </c>
      <c r="P11806" s="328"/>
      <c r="Q11806" s="328"/>
      <c r="R11806" s="328">
        <v>2</v>
      </c>
    </row>
    <row r="11807" spans="1:18" ht="24">
      <c r="A11807" s="324">
        <v>21</v>
      </c>
      <c r="B11807" s="321" t="s">
        <v>21532</v>
      </c>
      <c r="C11807" s="325" t="s">
        <v>21533</v>
      </c>
      <c r="D11807" s="326">
        <v>62229.2</v>
      </c>
      <c r="E11807" s="326">
        <v>17405.52</v>
      </c>
      <c r="F11807" s="326">
        <v>39710.980000000003</v>
      </c>
      <c r="G11807" s="326">
        <v>5112.7</v>
      </c>
      <c r="H11807" s="327">
        <v>411712.86</v>
      </c>
      <c r="I11807" s="327">
        <v>200163.48</v>
      </c>
      <c r="J11807" s="327">
        <v>185291.99</v>
      </c>
      <c r="K11807" s="327">
        <v>26257.39</v>
      </c>
      <c r="L11807" s="43">
        <v>6.616071876225309</v>
      </c>
      <c r="M11807" s="43">
        <v>11.5</v>
      </c>
      <c r="N11807" s="43">
        <v>4.6660140344055971</v>
      </c>
      <c r="O11807" s="43">
        <v>5.135718896082305</v>
      </c>
      <c r="P11807" s="328"/>
      <c r="Q11807" s="328"/>
      <c r="R11807" s="328">
        <v>2</v>
      </c>
    </row>
    <row r="11808" spans="1:18" ht="12.75" customHeight="1">
      <c r="A11808" s="628" t="s">
        <v>21534</v>
      </c>
      <c r="B11808" s="629"/>
      <c r="C11808" s="629"/>
      <c r="D11808" s="629"/>
      <c r="E11808" s="629"/>
      <c r="F11808" s="629"/>
      <c r="G11808" s="629"/>
      <c r="H11808" s="629"/>
      <c r="I11808" s="629"/>
      <c r="J11808" s="629"/>
      <c r="K11808" s="629"/>
      <c r="L11808" s="629"/>
      <c r="M11808" s="629"/>
      <c r="N11808" s="629"/>
      <c r="O11808" s="629"/>
      <c r="P11808" s="629"/>
      <c r="Q11808" s="629"/>
      <c r="R11808" s="629"/>
    </row>
    <row r="11809" spans="1:18" ht="12.75" customHeight="1">
      <c r="A11809" s="628" t="s">
        <v>21535</v>
      </c>
      <c r="B11809" s="629"/>
      <c r="C11809" s="629"/>
      <c r="D11809" s="629"/>
      <c r="E11809" s="629"/>
      <c r="F11809" s="629"/>
      <c r="G11809" s="629"/>
      <c r="H11809" s="629"/>
      <c r="I11809" s="629"/>
      <c r="J11809" s="629"/>
      <c r="K11809" s="629"/>
      <c r="L11809" s="629"/>
      <c r="M11809" s="629"/>
      <c r="N11809" s="629"/>
      <c r="O11809" s="629"/>
      <c r="P11809" s="629"/>
      <c r="Q11809" s="629"/>
      <c r="R11809" s="629"/>
    </row>
    <row r="11810" spans="1:18" ht="36">
      <c r="A11810" s="324">
        <v>22</v>
      </c>
      <c r="B11810" s="321" t="s">
        <v>21536</v>
      </c>
      <c r="C11810" s="325" t="s">
        <v>21537</v>
      </c>
      <c r="D11810" s="326">
        <v>166060.92000000001</v>
      </c>
      <c r="E11810" s="326">
        <v>75308.56</v>
      </c>
      <c r="F11810" s="326">
        <v>74109.31</v>
      </c>
      <c r="G11810" s="326">
        <v>16643.05</v>
      </c>
      <c r="H11810" s="327">
        <v>1317926.1499999999</v>
      </c>
      <c r="I11810" s="327">
        <v>866078.88</v>
      </c>
      <c r="J11810" s="327">
        <v>359338.63</v>
      </c>
      <c r="K11810" s="327">
        <v>92508.64</v>
      </c>
      <c r="L11810" s="43">
        <v>7.9364015928612215</v>
      </c>
      <c r="M11810" s="43">
        <v>11.500404203718675</v>
      </c>
      <c r="N11810" s="43">
        <v>4.8487650202113608</v>
      </c>
      <c r="O11810" s="43">
        <v>5.5583946452122657</v>
      </c>
      <c r="P11810" s="328"/>
      <c r="Q11810" s="328"/>
      <c r="R11810" s="328">
        <v>1</v>
      </c>
    </row>
    <row r="11811" spans="1:18" ht="48">
      <c r="A11811" s="324">
        <v>23</v>
      </c>
      <c r="B11811" s="321" t="s">
        <v>21538</v>
      </c>
      <c r="C11811" s="325" t="s">
        <v>21539</v>
      </c>
      <c r="D11811" s="326">
        <v>756104.5</v>
      </c>
      <c r="E11811" s="326">
        <v>201334.12</v>
      </c>
      <c r="F11811" s="326">
        <v>496392.63</v>
      </c>
      <c r="G11811" s="326">
        <v>58377.75</v>
      </c>
      <c r="H11811" s="327">
        <v>4870777.3899999997</v>
      </c>
      <c r="I11811" s="327">
        <v>2315423.7599999998</v>
      </c>
      <c r="J11811" s="327">
        <v>2251976.9500000002</v>
      </c>
      <c r="K11811" s="327">
        <v>303376.68</v>
      </c>
      <c r="L11811" s="43">
        <v>6.4419367825479146</v>
      </c>
      <c r="M11811" s="43">
        <v>11.500404203718674</v>
      </c>
      <c r="N11811" s="43">
        <v>4.536684902030073</v>
      </c>
      <c r="O11811" s="43">
        <v>5.1967861042948726</v>
      </c>
      <c r="P11811" s="328"/>
      <c r="Q11811" s="328"/>
      <c r="R11811" s="328">
        <v>1</v>
      </c>
    </row>
    <row r="11812" spans="1:18" ht="48">
      <c r="A11812" s="324">
        <v>24</v>
      </c>
      <c r="B11812" s="321" t="s">
        <v>21540</v>
      </c>
      <c r="C11812" s="325" t="s">
        <v>21541</v>
      </c>
      <c r="D11812" s="326">
        <v>1609183.16</v>
      </c>
      <c r="E11812" s="326">
        <v>459706.31</v>
      </c>
      <c r="F11812" s="326">
        <v>1012721.83</v>
      </c>
      <c r="G11812" s="326">
        <v>136755.01999999999</v>
      </c>
      <c r="H11812" s="327">
        <v>10557359.810000001</v>
      </c>
      <c r="I11812" s="327">
        <v>5286808.38</v>
      </c>
      <c r="J11812" s="327">
        <v>4569856.6100000003</v>
      </c>
      <c r="K11812" s="327">
        <v>700694.82</v>
      </c>
      <c r="L11812" s="43">
        <v>6.5606949366783089</v>
      </c>
      <c r="M11812" s="43">
        <v>11.500404203718674</v>
      </c>
      <c r="N11812" s="43">
        <v>4.5124499883645255</v>
      </c>
      <c r="O11812" s="43">
        <v>5.1237228439584888</v>
      </c>
      <c r="P11812" s="328"/>
      <c r="Q11812" s="328"/>
      <c r="R11812" s="328">
        <v>1</v>
      </c>
    </row>
    <row r="11813" spans="1:18" ht="48">
      <c r="A11813" s="324">
        <v>25</v>
      </c>
      <c r="B11813" s="321" t="s">
        <v>21542</v>
      </c>
      <c r="C11813" s="325" t="s">
        <v>21543</v>
      </c>
      <c r="D11813" s="326">
        <v>2635285.29</v>
      </c>
      <c r="E11813" s="326">
        <v>494849.48</v>
      </c>
      <c r="F11813" s="326">
        <v>1986675.52</v>
      </c>
      <c r="G11813" s="326">
        <v>153760.29</v>
      </c>
      <c r="H11813" s="327">
        <v>15291961.890000001</v>
      </c>
      <c r="I11813" s="327">
        <v>5690969.04</v>
      </c>
      <c r="J11813" s="327">
        <v>8827835.9499999993</v>
      </c>
      <c r="K11813" s="327">
        <v>773156.9</v>
      </c>
      <c r="L11813" s="43">
        <v>5.8027728337526598</v>
      </c>
      <c r="M11813" s="43">
        <v>11.500404203718675</v>
      </c>
      <c r="N11813" s="43">
        <v>4.4435217835673537</v>
      </c>
      <c r="O11813" s="43">
        <v>5.0283262342962542</v>
      </c>
      <c r="P11813" s="328"/>
      <c r="Q11813" s="328"/>
      <c r="R11813" s="328">
        <v>1</v>
      </c>
    </row>
    <row r="11814" spans="1:18" ht="12.75" customHeight="1">
      <c r="A11814" s="628" t="s">
        <v>21544</v>
      </c>
      <c r="B11814" s="629"/>
      <c r="C11814" s="629"/>
      <c r="D11814" s="629"/>
      <c r="E11814" s="629"/>
      <c r="F11814" s="629"/>
      <c r="G11814" s="629"/>
      <c r="H11814" s="629"/>
      <c r="I11814" s="629"/>
      <c r="J11814" s="629"/>
      <c r="K11814" s="629"/>
      <c r="L11814" s="629"/>
      <c r="M11814" s="629"/>
      <c r="N11814" s="629"/>
      <c r="O11814" s="629"/>
      <c r="P11814" s="629"/>
      <c r="Q11814" s="629"/>
      <c r="R11814" s="629"/>
    </row>
    <row r="11815" spans="1:18" ht="48">
      <c r="A11815" s="324">
        <v>26</v>
      </c>
      <c r="B11815" s="321" t="s">
        <v>21545</v>
      </c>
      <c r="C11815" s="325" t="s">
        <v>21546</v>
      </c>
      <c r="D11815" s="326">
        <v>174195.58</v>
      </c>
      <c r="E11815" s="326">
        <v>86713.7</v>
      </c>
      <c r="F11815" s="326">
        <v>76460</v>
      </c>
      <c r="G11815" s="326">
        <v>11021.88</v>
      </c>
      <c r="H11815" s="327">
        <v>1432824.48</v>
      </c>
      <c r="I11815" s="327">
        <v>997242.6</v>
      </c>
      <c r="J11815" s="327">
        <v>371782.06</v>
      </c>
      <c r="K11815" s="327">
        <v>63799.82</v>
      </c>
      <c r="L11815" s="43">
        <v>8.2253779343884617</v>
      </c>
      <c r="M11815" s="43">
        <v>11.500404203718674</v>
      </c>
      <c r="N11815" s="43">
        <v>4.8624386607376406</v>
      </c>
      <c r="O11815" s="43">
        <v>5.7884698436201454</v>
      </c>
      <c r="P11815" s="328"/>
      <c r="Q11815" s="328"/>
      <c r="R11815" s="328">
        <v>2</v>
      </c>
    </row>
    <row r="11816" spans="1:18" ht="48">
      <c r="A11816" s="324">
        <v>27</v>
      </c>
      <c r="B11816" s="321" t="s">
        <v>21547</v>
      </c>
      <c r="C11816" s="325" t="s">
        <v>21548</v>
      </c>
      <c r="D11816" s="326">
        <v>984448.96</v>
      </c>
      <c r="E11816" s="326">
        <v>258866.99</v>
      </c>
      <c r="F11816" s="326">
        <v>664502.66</v>
      </c>
      <c r="G11816" s="326">
        <v>61079.31</v>
      </c>
      <c r="H11816" s="327">
        <v>6286790.0800000001</v>
      </c>
      <c r="I11816" s="327">
        <v>2977075.02</v>
      </c>
      <c r="J11816" s="327">
        <v>2986127.22</v>
      </c>
      <c r="K11816" s="327">
        <v>323587.84000000003</v>
      </c>
      <c r="L11816" s="43">
        <v>6.3861005856514899</v>
      </c>
      <c r="M11816" s="43">
        <v>11.500404203718675</v>
      </c>
      <c r="N11816" s="43">
        <v>4.4937776772782216</v>
      </c>
      <c r="O11816" s="43">
        <v>5.2978306401955102</v>
      </c>
      <c r="P11816" s="328"/>
      <c r="Q11816" s="328"/>
      <c r="R11816" s="328">
        <v>2</v>
      </c>
    </row>
    <row r="11817" spans="1:18" ht="48">
      <c r="A11817" s="324">
        <v>28</v>
      </c>
      <c r="B11817" s="321" t="s">
        <v>21549</v>
      </c>
      <c r="C11817" s="325" t="s">
        <v>21550</v>
      </c>
      <c r="D11817" s="326">
        <v>2409017.9</v>
      </c>
      <c r="E11817" s="326">
        <v>381800.05</v>
      </c>
      <c r="F11817" s="326">
        <v>1924817.07</v>
      </c>
      <c r="G11817" s="326">
        <v>102400.78</v>
      </c>
      <c r="H11817" s="327">
        <v>15204385.949999999</v>
      </c>
      <c r="I11817" s="327">
        <v>4390854.9000000004</v>
      </c>
      <c r="J11817" s="327">
        <v>10281927.359999999</v>
      </c>
      <c r="K11817" s="327">
        <v>531603.68999999994</v>
      </c>
      <c r="L11817" s="43">
        <v>6.3114458178164634</v>
      </c>
      <c r="M11817" s="43">
        <v>11.500404203718675</v>
      </c>
      <c r="N11817" s="43">
        <v>5.3417685868714786</v>
      </c>
      <c r="O11817" s="43">
        <v>5.1914027412681811</v>
      </c>
      <c r="P11817" s="328"/>
      <c r="Q11817" s="328"/>
      <c r="R11817" s="328">
        <v>2</v>
      </c>
    </row>
    <row r="11818" spans="1:18" ht="48">
      <c r="A11818" s="324">
        <v>29</v>
      </c>
      <c r="B11818" s="321" t="s">
        <v>21551</v>
      </c>
      <c r="C11818" s="325" t="s">
        <v>21552</v>
      </c>
      <c r="D11818" s="326">
        <v>1677047.4</v>
      </c>
      <c r="E11818" s="326">
        <v>474253.43</v>
      </c>
      <c r="F11818" s="326">
        <v>1064244.8999999999</v>
      </c>
      <c r="G11818" s="326">
        <v>138549.07</v>
      </c>
      <c r="H11818" s="327">
        <v>11028230.57</v>
      </c>
      <c r="I11818" s="327">
        <v>5454106.1399999997</v>
      </c>
      <c r="J11818" s="327">
        <v>4848653.49</v>
      </c>
      <c r="K11818" s="327">
        <v>725470.94</v>
      </c>
      <c r="L11818" s="43">
        <v>6.5759802436114807</v>
      </c>
      <c r="M11818" s="43">
        <v>11.500404203718674</v>
      </c>
      <c r="N11818" s="43">
        <v>4.555956519030536</v>
      </c>
      <c r="O11818" s="43">
        <v>5.2362021628871265</v>
      </c>
      <c r="P11818" s="328"/>
      <c r="Q11818" s="328"/>
      <c r="R11818" s="328">
        <v>2</v>
      </c>
    </row>
    <row r="11819" spans="1:18" ht="48">
      <c r="A11819" s="324">
        <v>30</v>
      </c>
      <c r="B11819" s="321" t="s">
        <v>21553</v>
      </c>
      <c r="C11819" s="325" t="s">
        <v>21554</v>
      </c>
      <c r="D11819" s="326">
        <v>1540677.1</v>
      </c>
      <c r="E11819" s="326">
        <v>399526.26</v>
      </c>
      <c r="F11819" s="326">
        <v>1005693.11</v>
      </c>
      <c r="G11819" s="326">
        <v>135457.73000000001</v>
      </c>
      <c r="H11819" s="327">
        <v>9855440.4700000007</v>
      </c>
      <c r="I11819" s="327">
        <v>4594713.4800000004</v>
      </c>
      <c r="J11819" s="327">
        <v>4566549.45</v>
      </c>
      <c r="K11819" s="327">
        <v>694177.54</v>
      </c>
      <c r="L11819" s="43">
        <v>6.3968241430991606</v>
      </c>
      <c r="M11819" s="43">
        <v>11.500404203718675</v>
      </c>
      <c r="N11819" s="43">
        <v>4.5406987525250129</v>
      </c>
      <c r="O11819" s="43">
        <v>5.1246801492982348</v>
      </c>
      <c r="P11819" s="328"/>
      <c r="Q11819" s="328"/>
      <c r="R11819" s="328">
        <v>2</v>
      </c>
    </row>
    <row r="11820" spans="1:18" ht="48">
      <c r="A11820" s="329">
        <v>31</v>
      </c>
      <c r="B11820" s="330" t="s">
        <v>21555</v>
      </c>
      <c r="C11820" s="331" t="s">
        <v>21556</v>
      </c>
      <c r="D11820" s="332">
        <v>2320608.0099999998</v>
      </c>
      <c r="E11820" s="332">
        <v>487835.69</v>
      </c>
      <c r="F11820" s="332">
        <v>1641446.42</v>
      </c>
      <c r="G11820" s="332">
        <v>191325.9</v>
      </c>
      <c r="H11820" s="333">
        <v>13879481.26</v>
      </c>
      <c r="I11820" s="333">
        <v>5610307.6200000001</v>
      </c>
      <c r="J11820" s="333">
        <v>7308006.0999999996</v>
      </c>
      <c r="K11820" s="333">
        <v>961167.54</v>
      </c>
      <c r="L11820" s="611">
        <v>5.9809675740971011</v>
      </c>
      <c r="M11820" s="611">
        <v>11.500404203718674</v>
      </c>
      <c r="N11820" s="611">
        <v>4.452174625352681</v>
      </c>
      <c r="O11820" s="611">
        <v>5.0237189005774967</v>
      </c>
      <c r="P11820" s="334"/>
      <c r="Q11820" s="334"/>
      <c r="R11820" s="334">
        <v>2</v>
      </c>
    </row>
    <row r="11821" spans="1:18" ht="12.75" customHeight="1">
      <c r="A11821" s="630" t="s">
        <v>21557</v>
      </c>
      <c r="B11821" s="631"/>
      <c r="C11821" s="631"/>
      <c r="D11821" s="631"/>
      <c r="E11821" s="631"/>
      <c r="F11821" s="631"/>
      <c r="G11821" s="631"/>
      <c r="H11821" s="631"/>
      <c r="I11821" s="631"/>
      <c r="J11821" s="631"/>
      <c r="K11821" s="631"/>
      <c r="L11821" s="631"/>
      <c r="M11821" s="631"/>
      <c r="N11821" s="631"/>
      <c r="O11821" s="631"/>
      <c r="P11821" s="631"/>
      <c r="Q11821" s="631"/>
      <c r="R11821" s="631"/>
    </row>
    <row r="11822" spans="1:18" ht="12.75" customHeight="1">
      <c r="A11822" s="628" t="s">
        <v>21558</v>
      </c>
      <c r="B11822" s="629"/>
      <c r="C11822" s="629"/>
      <c r="D11822" s="629"/>
      <c r="E11822" s="629"/>
      <c r="F11822" s="629"/>
      <c r="G11822" s="629"/>
      <c r="H11822" s="629"/>
      <c r="I11822" s="629"/>
      <c r="J11822" s="629"/>
      <c r="K11822" s="629"/>
      <c r="L11822" s="629"/>
      <c r="M11822" s="629"/>
      <c r="N11822" s="629"/>
      <c r="O11822" s="629"/>
      <c r="P11822" s="629"/>
      <c r="Q11822" s="629"/>
      <c r="R11822" s="629"/>
    </row>
    <row r="11823" spans="1:18" ht="12.75" customHeight="1">
      <c r="A11823" s="628" t="s">
        <v>21559</v>
      </c>
      <c r="B11823" s="629"/>
      <c r="C11823" s="629"/>
      <c r="D11823" s="629"/>
      <c r="E11823" s="629"/>
      <c r="F11823" s="629"/>
      <c r="G11823" s="629"/>
      <c r="H11823" s="629"/>
      <c r="I11823" s="629"/>
      <c r="J11823" s="629"/>
      <c r="K11823" s="629"/>
      <c r="L11823" s="629"/>
      <c r="M11823" s="629"/>
      <c r="N11823" s="629"/>
      <c r="O11823" s="629"/>
      <c r="P11823" s="629"/>
      <c r="Q11823" s="629"/>
      <c r="R11823" s="629"/>
    </row>
    <row r="11824" spans="1:18" ht="24">
      <c r="A11824" s="324">
        <v>32</v>
      </c>
      <c r="B11824" s="321" t="s">
        <v>21560</v>
      </c>
      <c r="C11824" s="325" t="s">
        <v>21561</v>
      </c>
      <c r="D11824" s="326">
        <v>1224.8599999999999</v>
      </c>
      <c r="E11824" s="326">
        <v>785.68</v>
      </c>
      <c r="F11824" s="326">
        <v>320.08999999999997</v>
      </c>
      <c r="G11824" s="326">
        <v>119.09</v>
      </c>
      <c r="H11824" s="327">
        <v>11475.09</v>
      </c>
      <c r="I11824" s="327">
        <v>9035.32</v>
      </c>
      <c r="J11824" s="327">
        <v>1693.04</v>
      </c>
      <c r="K11824" s="327">
        <v>746.73</v>
      </c>
      <c r="L11824" s="43">
        <v>9.3684910928595926</v>
      </c>
      <c r="M11824" s="43">
        <v>11.5</v>
      </c>
      <c r="N11824" s="43">
        <v>5.2892623949514199</v>
      </c>
      <c r="O11824" s="43">
        <v>6.270299773280712</v>
      </c>
      <c r="P11824" s="328"/>
      <c r="Q11824" s="328"/>
      <c r="R11824" s="328">
        <v>1</v>
      </c>
    </row>
    <row r="11825" spans="1:18" ht="24">
      <c r="A11825" s="324">
        <v>33</v>
      </c>
      <c r="B11825" s="321" t="s">
        <v>21562</v>
      </c>
      <c r="C11825" s="325" t="s">
        <v>21563</v>
      </c>
      <c r="D11825" s="326">
        <v>1312.84</v>
      </c>
      <c r="E11825" s="326">
        <v>785.68</v>
      </c>
      <c r="F11825" s="326">
        <v>333.88</v>
      </c>
      <c r="G11825" s="326">
        <v>193.28</v>
      </c>
      <c r="H11825" s="327">
        <v>11933.74</v>
      </c>
      <c r="I11825" s="327">
        <v>9035.32</v>
      </c>
      <c r="J11825" s="327">
        <v>1766.78</v>
      </c>
      <c r="K11825" s="327">
        <v>1131.6400000000001</v>
      </c>
      <c r="L11825" s="43">
        <v>9.0900185856616194</v>
      </c>
      <c r="M11825" s="43">
        <v>11.5</v>
      </c>
      <c r="N11825" s="43">
        <v>5.2916616748532403</v>
      </c>
      <c r="O11825" s="43">
        <v>5.8549254966887423</v>
      </c>
      <c r="P11825" s="328"/>
      <c r="Q11825" s="328"/>
      <c r="R11825" s="328">
        <v>1</v>
      </c>
    </row>
    <row r="11826" spans="1:18" ht="24">
      <c r="A11826" s="324">
        <v>34</v>
      </c>
      <c r="B11826" s="321" t="s">
        <v>21564</v>
      </c>
      <c r="C11826" s="325" t="s">
        <v>21565</v>
      </c>
      <c r="D11826" s="326">
        <v>1577.53</v>
      </c>
      <c r="E11826" s="326">
        <v>856.44</v>
      </c>
      <c r="F11826" s="326">
        <v>425.56</v>
      </c>
      <c r="G11826" s="326">
        <v>295.52999999999997</v>
      </c>
      <c r="H11826" s="327">
        <v>13776.93</v>
      </c>
      <c r="I11826" s="327">
        <v>9849.06</v>
      </c>
      <c r="J11826" s="327">
        <v>2238.81</v>
      </c>
      <c r="K11826" s="327">
        <v>1689.06</v>
      </c>
      <c r="L11826" s="43">
        <v>8.7332285281420958</v>
      </c>
      <c r="M11826" s="43">
        <v>11.499999999999998</v>
      </c>
      <c r="N11826" s="43">
        <v>5.2608562834852899</v>
      </c>
      <c r="O11826" s="43">
        <v>5.7153588468175824</v>
      </c>
      <c r="P11826" s="328"/>
      <c r="Q11826" s="328"/>
      <c r="R11826" s="328">
        <v>1</v>
      </c>
    </row>
    <row r="11827" spans="1:18" ht="12.75" customHeight="1">
      <c r="A11827" s="628" t="s">
        <v>21566</v>
      </c>
      <c r="B11827" s="629"/>
      <c r="C11827" s="629"/>
      <c r="D11827" s="629"/>
      <c r="E11827" s="629"/>
      <c r="F11827" s="629"/>
      <c r="G11827" s="629"/>
      <c r="H11827" s="629"/>
      <c r="I11827" s="629"/>
      <c r="J11827" s="629"/>
      <c r="K11827" s="629"/>
      <c r="L11827" s="629"/>
      <c r="M11827" s="629"/>
      <c r="N11827" s="629"/>
      <c r="O11827" s="629"/>
      <c r="P11827" s="629"/>
      <c r="Q11827" s="629"/>
      <c r="R11827" s="629"/>
    </row>
    <row r="11828" spans="1:18" ht="24">
      <c r="A11828" s="324">
        <v>35</v>
      </c>
      <c r="B11828" s="321" t="s">
        <v>21567</v>
      </c>
      <c r="C11828" s="325" t="s">
        <v>21568</v>
      </c>
      <c r="D11828" s="326">
        <v>2465.58</v>
      </c>
      <c r="E11828" s="326">
        <v>1055.3599999999999</v>
      </c>
      <c r="F11828" s="326">
        <v>1045.78</v>
      </c>
      <c r="G11828" s="326">
        <v>364.44</v>
      </c>
      <c r="H11828" s="327">
        <v>20677.25</v>
      </c>
      <c r="I11828" s="327">
        <v>12136.59</v>
      </c>
      <c r="J11828" s="327">
        <v>6044.52</v>
      </c>
      <c r="K11828" s="327">
        <v>2496.14</v>
      </c>
      <c r="L11828" s="43">
        <v>8.3863634520072363</v>
      </c>
      <c r="M11828" s="43">
        <v>11.499952622801699</v>
      </c>
      <c r="N11828" s="43">
        <v>5.7799154697928827</v>
      </c>
      <c r="O11828" s="43">
        <v>6.8492481615629455</v>
      </c>
      <c r="P11828" s="328"/>
      <c r="Q11828" s="328"/>
      <c r="R11828" s="328">
        <v>2</v>
      </c>
    </row>
    <row r="11829" spans="1:18" ht="24">
      <c r="A11829" s="324">
        <v>36</v>
      </c>
      <c r="B11829" s="321" t="s">
        <v>21569</v>
      </c>
      <c r="C11829" s="325" t="s">
        <v>21570</v>
      </c>
      <c r="D11829" s="326">
        <v>2124.52</v>
      </c>
      <c r="E11829" s="326">
        <v>753.65</v>
      </c>
      <c r="F11829" s="326">
        <v>945.01</v>
      </c>
      <c r="G11829" s="326">
        <v>425.86</v>
      </c>
      <c r="H11829" s="327">
        <v>17265.63</v>
      </c>
      <c r="I11829" s="327">
        <v>8667.02</v>
      </c>
      <c r="J11829" s="327">
        <v>5594.11</v>
      </c>
      <c r="K11829" s="327">
        <v>3004.5</v>
      </c>
      <c r="L11829" s="43">
        <v>8.1268380622446479</v>
      </c>
      <c r="M11829" s="43">
        <v>11.500059709414185</v>
      </c>
      <c r="N11829" s="43">
        <v>5.9196304801007393</v>
      </c>
      <c r="O11829" s="43">
        <v>7.055135490536796</v>
      </c>
      <c r="P11829" s="328"/>
      <c r="Q11829" s="328"/>
      <c r="R11829" s="328">
        <v>2</v>
      </c>
    </row>
    <row r="11830" spans="1:18" ht="24">
      <c r="A11830" s="324">
        <v>37</v>
      </c>
      <c r="B11830" s="321" t="s">
        <v>21571</v>
      </c>
      <c r="C11830" s="325" t="s">
        <v>21572</v>
      </c>
      <c r="D11830" s="326">
        <v>1601.88</v>
      </c>
      <c r="E11830" s="326">
        <v>442.34</v>
      </c>
      <c r="F11830" s="326">
        <v>845.87</v>
      </c>
      <c r="G11830" s="326">
        <v>313.67</v>
      </c>
      <c r="H11830" s="327">
        <v>12253.03</v>
      </c>
      <c r="I11830" s="327">
        <v>5086.8599999999997</v>
      </c>
      <c r="J11830" s="327">
        <v>5142.74</v>
      </c>
      <c r="K11830" s="327">
        <v>2023.43</v>
      </c>
      <c r="L11830" s="43">
        <v>7.6491559917097414</v>
      </c>
      <c r="M11830" s="43">
        <v>11.499886964778225</v>
      </c>
      <c r="N11830" s="43">
        <v>6.079823140671734</v>
      </c>
      <c r="O11830" s="43">
        <v>6.4508241145152549</v>
      </c>
      <c r="P11830" s="328"/>
      <c r="Q11830" s="328"/>
      <c r="R11830" s="328">
        <v>2</v>
      </c>
    </row>
    <row r="11831" spans="1:18" ht="24">
      <c r="A11831" s="324">
        <v>38</v>
      </c>
      <c r="B11831" s="321" t="s">
        <v>21573</v>
      </c>
      <c r="C11831" s="325" t="s">
        <v>21574</v>
      </c>
      <c r="D11831" s="326">
        <v>1083.02</v>
      </c>
      <c r="E11831" s="326">
        <v>289.68</v>
      </c>
      <c r="F11831" s="326">
        <v>483.18</v>
      </c>
      <c r="G11831" s="326">
        <v>310.16000000000003</v>
      </c>
      <c r="H11831" s="327">
        <v>8245.67</v>
      </c>
      <c r="I11831" s="327">
        <v>3331.34</v>
      </c>
      <c r="J11831" s="327">
        <v>2927.04</v>
      </c>
      <c r="K11831" s="327">
        <v>1987.29</v>
      </c>
      <c r="L11831" s="43">
        <v>7.6135897767354255</v>
      </c>
      <c r="M11831" s="43">
        <v>11.500069041701188</v>
      </c>
      <c r="N11831" s="43">
        <v>6.0578666335527132</v>
      </c>
      <c r="O11831" s="43">
        <v>6.407305906628836</v>
      </c>
      <c r="P11831" s="328"/>
      <c r="Q11831" s="328"/>
      <c r="R11831" s="328">
        <v>2</v>
      </c>
    </row>
    <row r="11832" spans="1:18" ht="24">
      <c r="A11832" s="324">
        <v>39</v>
      </c>
      <c r="B11832" s="321" t="s">
        <v>21575</v>
      </c>
      <c r="C11832" s="325" t="s">
        <v>21576</v>
      </c>
      <c r="D11832" s="326">
        <v>922.24</v>
      </c>
      <c r="E11832" s="326">
        <v>221.17</v>
      </c>
      <c r="F11832" s="326">
        <v>309.01</v>
      </c>
      <c r="G11832" s="326">
        <v>392.06</v>
      </c>
      <c r="H11832" s="327">
        <v>6878.19</v>
      </c>
      <c r="I11832" s="327">
        <v>2543.4299999999998</v>
      </c>
      <c r="J11832" s="327">
        <v>1810.74</v>
      </c>
      <c r="K11832" s="327">
        <v>2524.02</v>
      </c>
      <c r="L11832" s="43">
        <v>7.458134541984732</v>
      </c>
      <c r="M11832" s="43">
        <v>11.499886964778225</v>
      </c>
      <c r="N11832" s="43">
        <v>5.859810362124203</v>
      </c>
      <c r="O11832" s="43">
        <v>6.4378411467632501</v>
      </c>
      <c r="P11832" s="328"/>
      <c r="Q11832" s="328"/>
      <c r="R11832" s="328">
        <v>2</v>
      </c>
    </row>
    <row r="11833" spans="1:18" ht="36">
      <c r="A11833" s="324">
        <v>40</v>
      </c>
      <c r="B11833" s="321" t="s">
        <v>21577</v>
      </c>
      <c r="C11833" s="325" t="s">
        <v>21578</v>
      </c>
      <c r="D11833" s="326">
        <v>1817.21</v>
      </c>
      <c r="E11833" s="326">
        <v>295.69</v>
      </c>
      <c r="F11833" s="326">
        <v>1030.1500000000001</v>
      </c>
      <c r="G11833" s="326">
        <v>491.37</v>
      </c>
      <c r="H11833" s="327">
        <v>12151.41</v>
      </c>
      <c r="I11833" s="327">
        <v>3400.46</v>
      </c>
      <c r="J11833" s="327">
        <v>5847.16</v>
      </c>
      <c r="K11833" s="327">
        <v>2903.79</v>
      </c>
      <c r="L11833" s="43">
        <v>6.6868496211224899</v>
      </c>
      <c r="M11833" s="43">
        <v>11.500084548006358</v>
      </c>
      <c r="N11833" s="43">
        <v>5.6760277629471432</v>
      </c>
      <c r="O11833" s="43">
        <v>5.9095793393980092</v>
      </c>
      <c r="P11833" s="328"/>
      <c r="Q11833" s="328"/>
      <c r="R11833" s="328">
        <v>2</v>
      </c>
    </row>
    <row r="11834" spans="1:18" ht="36">
      <c r="A11834" s="324">
        <v>41</v>
      </c>
      <c r="B11834" s="321" t="s">
        <v>21579</v>
      </c>
      <c r="C11834" s="325" t="s">
        <v>21580</v>
      </c>
      <c r="D11834" s="326">
        <v>2414.71</v>
      </c>
      <c r="E11834" s="326">
        <v>396.66</v>
      </c>
      <c r="F11834" s="326">
        <v>1440.16</v>
      </c>
      <c r="G11834" s="326">
        <v>577.89</v>
      </c>
      <c r="H11834" s="327">
        <v>16883.86</v>
      </c>
      <c r="I11834" s="327">
        <v>4561.59</v>
      </c>
      <c r="J11834" s="327">
        <v>8024.18</v>
      </c>
      <c r="K11834" s="327">
        <v>4298.09</v>
      </c>
      <c r="L11834" s="43">
        <v>6.9920860061870789</v>
      </c>
      <c r="M11834" s="43">
        <v>11.5</v>
      </c>
      <c r="N11834" s="43">
        <v>5.5717281413176316</v>
      </c>
      <c r="O11834" s="43">
        <v>7.437557320597346</v>
      </c>
      <c r="P11834" s="328"/>
      <c r="Q11834" s="328"/>
      <c r="R11834" s="328">
        <v>2</v>
      </c>
    </row>
    <row r="11835" spans="1:18" ht="36">
      <c r="A11835" s="324">
        <v>42</v>
      </c>
      <c r="B11835" s="321" t="s">
        <v>21581</v>
      </c>
      <c r="C11835" s="325" t="s">
        <v>21582</v>
      </c>
      <c r="D11835" s="326">
        <v>1369.56</v>
      </c>
      <c r="E11835" s="326">
        <v>212.75</v>
      </c>
      <c r="F11835" s="326">
        <v>692.57</v>
      </c>
      <c r="G11835" s="326">
        <v>464.24</v>
      </c>
      <c r="H11835" s="327">
        <v>9653.02</v>
      </c>
      <c r="I11835" s="327">
        <v>2446.67</v>
      </c>
      <c r="J11835" s="327">
        <v>3859.3</v>
      </c>
      <c r="K11835" s="327">
        <v>3347.05</v>
      </c>
      <c r="L11835" s="43">
        <v>7.0482636759251154</v>
      </c>
      <c r="M11835" s="43">
        <v>11.50021151586369</v>
      </c>
      <c r="N11835" s="43">
        <v>5.5724331114544379</v>
      </c>
      <c r="O11835" s="43">
        <v>7.2097406513872135</v>
      </c>
      <c r="P11835" s="328"/>
      <c r="Q11835" s="328"/>
      <c r="R11835" s="328">
        <v>2</v>
      </c>
    </row>
    <row r="11836" spans="1:18" ht="36">
      <c r="A11836" s="324">
        <v>43</v>
      </c>
      <c r="B11836" s="321" t="s">
        <v>21583</v>
      </c>
      <c r="C11836" s="325" t="s">
        <v>21584</v>
      </c>
      <c r="D11836" s="326">
        <v>1434.24</v>
      </c>
      <c r="E11836" s="326">
        <v>254.82</v>
      </c>
      <c r="F11836" s="326">
        <v>687.77</v>
      </c>
      <c r="G11836" s="326">
        <v>491.65</v>
      </c>
      <c r="H11836" s="327">
        <v>10286.77</v>
      </c>
      <c r="I11836" s="327">
        <v>2930.48</v>
      </c>
      <c r="J11836" s="327">
        <v>3881.69</v>
      </c>
      <c r="K11836" s="327">
        <v>3474.6</v>
      </c>
      <c r="L11836" s="43">
        <v>7.1722793953592152</v>
      </c>
      <c r="M11836" s="43">
        <v>11.500196216937447</v>
      </c>
      <c r="N11836" s="43">
        <v>5.6438780406240463</v>
      </c>
      <c r="O11836" s="43">
        <v>7.0672226177158546</v>
      </c>
      <c r="P11836" s="328"/>
      <c r="Q11836" s="328"/>
      <c r="R11836" s="328">
        <v>2</v>
      </c>
    </row>
    <row r="11837" spans="1:18" ht="36">
      <c r="A11837" s="324">
        <v>44</v>
      </c>
      <c r="B11837" s="321" t="s">
        <v>21585</v>
      </c>
      <c r="C11837" s="325" t="s">
        <v>21586</v>
      </c>
      <c r="D11837" s="326">
        <v>1453.1</v>
      </c>
      <c r="E11837" s="326">
        <v>198.33</v>
      </c>
      <c r="F11837" s="326">
        <v>739.48</v>
      </c>
      <c r="G11837" s="326">
        <v>515.29</v>
      </c>
      <c r="H11837" s="327">
        <v>10141.280000000001</v>
      </c>
      <c r="I11837" s="327">
        <v>2280.8000000000002</v>
      </c>
      <c r="J11837" s="327">
        <v>4101.8</v>
      </c>
      <c r="K11837" s="327">
        <v>3758.68</v>
      </c>
      <c r="L11837" s="43">
        <v>6.9790654462872492</v>
      </c>
      <c r="M11837" s="43">
        <v>11.50002521050774</v>
      </c>
      <c r="N11837" s="43">
        <v>5.5468707740574459</v>
      </c>
      <c r="O11837" s="43">
        <v>7.2943002969201807</v>
      </c>
      <c r="P11837" s="328"/>
      <c r="Q11837" s="328"/>
      <c r="R11837" s="328">
        <v>2</v>
      </c>
    </row>
    <row r="11838" spans="1:18" ht="36">
      <c r="A11838" s="324">
        <v>45</v>
      </c>
      <c r="B11838" s="321" t="s">
        <v>21587</v>
      </c>
      <c r="C11838" s="325" t="s">
        <v>21588</v>
      </c>
      <c r="D11838" s="326">
        <v>3092.47</v>
      </c>
      <c r="E11838" s="326">
        <v>959.2</v>
      </c>
      <c r="F11838" s="326">
        <v>1486.07</v>
      </c>
      <c r="G11838" s="326">
        <v>647.20000000000005</v>
      </c>
      <c r="H11838" s="327">
        <v>24085.49</v>
      </c>
      <c r="I11838" s="327">
        <v>11030.75</v>
      </c>
      <c r="J11838" s="327">
        <v>8575.52</v>
      </c>
      <c r="K11838" s="327">
        <v>4479.22</v>
      </c>
      <c r="L11838" s="43">
        <v>7.7884312539814466</v>
      </c>
      <c r="M11838" s="43">
        <v>11.49994787322769</v>
      </c>
      <c r="N11838" s="43">
        <v>5.7706029998586885</v>
      </c>
      <c r="O11838" s="43">
        <v>6.9209208899876389</v>
      </c>
      <c r="P11838" s="328"/>
      <c r="Q11838" s="328"/>
      <c r="R11838" s="328">
        <v>2</v>
      </c>
    </row>
    <row r="11839" spans="1:18" ht="36">
      <c r="A11839" s="324">
        <v>46</v>
      </c>
      <c r="B11839" s="321" t="s">
        <v>21589</v>
      </c>
      <c r="C11839" s="325" t="s">
        <v>21590</v>
      </c>
      <c r="D11839" s="326">
        <v>2390.94</v>
      </c>
      <c r="E11839" s="326">
        <v>644.27</v>
      </c>
      <c r="F11839" s="326">
        <v>1098.73</v>
      </c>
      <c r="G11839" s="326">
        <v>647.94000000000005</v>
      </c>
      <c r="H11839" s="327">
        <v>18499.2</v>
      </c>
      <c r="I11839" s="327">
        <v>7409.13</v>
      </c>
      <c r="J11839" s="327">
        <v>6513.69</v>
      </c>
      <c r="K11839" s="327">
        <v>4576.38</v>
      </c>
      <c r="L11839" s="43">
        <v>7.7372079600491857</v>
      </c>
      <c r="M11839" s="43">
        <v>11.500038803607184</v>
      </c>
      <c r="N11839" s="43">
        <v>5.9283809489137456</v>
      </c>
      <c r="O11839" s="43">
        <v>7.0629687934067968</v>
      </c>
      <c r="P11839" s="328"/>
      <c r="Q11839" s="328"/>
      <c r="R11839" s="328">
        <v>2</v>
      </c>
    </row>
    <row r="11840" spans="1:18" ht="36">
      <c r="A11840" s="324">
        <v>47</v>
      </c>
      <c r="B11840" s="321" t="s">
        <v>21591</v>
      </c>
      <c r="C11840" s="325" t="s">
        <v>21592</v>
      </c>
      <c r="D11840" s="326">
        <v>1654.93</v>
      </c>
      <c r="E11840" s="326">
        <v>281.27</v>
      </c>
      <c r="F11840" s="326">
        <v>812.62</v>
      </c>
      <c r="G11840" s="326">
        <v>561.04</v>
      </c>
      <c r="H11840" s="327">
        <v>10775.53</v>
      </c>
      <c r="I11840" s="327">
        <v>3234.58</v>
      </c>
      <c r="J11840" s="327">
        <v>4462.1400000000003</v>
      </c>
      <c r="K11840" s="327">
        <v>3078.81</v>
      </c>
      <c r="L11840" s="43">
        <v>6.5111696567226414</v>
      </c>
      <c r="M11840" s="43">
        <v>11.499911117431649</v>
      </c>
      <c r="N11840" s="43">
        <v>5.4910536290024865</v>
      </c>
      <c r="O11840" s="43">
        <v>5.4876835876229864</v>
      </c>
      <c r="P11840" s="328"/>
      <c r="Q11840" s="328"/>
      <c r="R11840" s="328">
        <v>2</v>
      </c>
    </row>
    <row r="11841" spans="1:18" ht="36">
      <c r="A11841" s="324">
        <v>48</v>
      </c>
      <c r="B11841" s="321" t="s">
        <v>21593</v>
      </c>
      <c r="C11841" s="325" t="s">
        <v>21594</v>
      </c>
      <c r="D11841" s="326">
        <v>1657.33</v>
      </c>
      <c r="E11841" s="326">
        <v>227.18</v>
      </c>
      <c r="F11841" s="326">
        <v>709.43</v>
      </c>
      <c r="G11841" s="326">
        <v>720.72</v>
      </c>
      <c r="H11841" s="327">
        <v>11447.86</v>
      </c>
      <c r="I11841" s="327">
        <v>2612.5500000000002</v>
      </c>
      <c r="J11841" s="327">
        <v>3897.82</v>
      </c>
      <c r="K11841" s="327">
        <v>4937.49</v>
      </c>
      <c r="L11841" s="43">
        <v>6.9074113182045824</v>
      </c>
      <c r="M11841" s="43">
        <v>11.499911964081345</v>
      </c>
      <c r="N11841" s="43">
        <v>5.4942982394316573</v>
      </c>
      <c r="O11841" s="43">
        <v>6.8507742257742255</v>
      </c>
      <c r="P11841" s="328"/>
      <c r="Q11841" s="328"/>
      <c r="R11841" s="328">
        <v>2</v>
      </c>
    </row>
    <row r="11842" spans="1:18" ht="24">
      <c r="A11842" s="324">
        <v>49</v>
      </c>
      <c r="B11842" s="321" t="s">
        <v>21595</v>
      </c>
      <c r="C11842" s="325" t="s">
        <v>21596</v>
      </c>
      <c r="D11842" s="326">
        <v>3632.16</v>
      </c>
      <c r="E11842" s="326">
        <v>1327.2</v>
      </c>
      <c r="F11842" s="326">
        <v>1331.41</v>
      </c>
      <c r="G11842" s="326">
        <v>973.55</v>
      </c>
      <c r="H11842" s="327">
        <v>28439.51</v>
      </c>
      <c r="I11842" s="327">
        <v>15263.36</v>
      </c>
      <c r="J11842" s="327">
        <v>7721.53</v>
      </c>
      <c r="K11842" s="327">
        <v>5454.62</v>
      </c>
      <c r="L11842" s="43">
        <v>7.829916633628474</v>
      </c>
      <c r="M11842" s="43">
        <v>11.50042194092827</v>
      </c>
      <c r="N11842" s="43">
        <v>5.7995132979322666</v>
      </c>
      <c r="O11842" s="43">
        <v>5.6028144419906525</v>
      </c>
      <c r="P11842" s="328"/>
      <c r="Q11842" s="328"/>
      <c r="R11842" s="328">
        <v>2</v>
      </c>
    </row>
    <row r="11843" spans="1:18" ht="24">
      <c r="A11843" s="324">
        <v>50</v>
      </c>
      <c r="B11843" s="321" t="s">
        <v>21597</v>
      </c>
      <c r="C11843" s="325" t="s">
        <v>21598</v>
      </c>
      <c r="D11843" s="326">
        <v>1577.24</v>
      </c>
      <c r="E11843" s="326">
        <v>257.14999999999998</v>
      </c>
      <c r="F11843" s="326">
        <v>367.65</v>
      </c>
      <c r="G11843" s="326">
        <v>952.44</v>
      </c>
      <c r="H11843" s="327">
        <v>10299.209999999999</v>
      </c>
      <c r="I11843" s="327">
        <v>2957.28</v>
      </c>
      <c r="J11843" s="327">
        <v>2131.7800000000002</v>
      </c>
      <c r="K11843" s="327">
        <v>5210.1499999999996</v>
      </c>
      <c r="L11843" s="43">
        <v>6.5298939920367216</v>
      </c>
      <c r="M11843" s="43">
        <v>11.500213882947698</v>
      </c>
      <c r="N11843" s="43">
        <v>5.7983952128382983</v>
      </c>
      <c r="O11843" s="43">
        <v>5.470318340262903</v>
      </c>
      <c r="P11843" s="328"/>
      <c r="Q11843" s="328"/>
      <c r="R11843" s="328">
        <v>2</v>
      </c>
    </row>
    <row r="11844" spans="1:18" ht="36">
      <c r="A11844" s="324">
        <v>51</v>
      </c>
      <c r="B11844" s="321" t="s">
        <v>21599</v>
      </c>
      <c r="C11844" s="325" t="s">
        <v>21600</v>
      </c>
      <c r="D11844" s="326">
        <v>1319.71</v>
      </c>
      <c r="E11844" s="326">
        <v>162.35</v>
      </c>
      <c r="F11844" s="326">
        <v>221.3</v>
      </c>
      <c r="G11844" s="326">
        <v>936.06</v>
      </c>
      <c r="H11844" s="327">
        <v>8227.81</v>
      </c>
      <c r="I11844" s="327">
        <v>1867.04</v>
      </c>
      <c r="J11844" s="327">
        <v>1253.1500000000001</v>
      </c>
      <c r="K11844" s="327">
        <v>5107.62</v>
      </c>
      <c r="L11844" s="43">
        <v>6.234559107682748</v>
      </c>
      <c r="M11844" s="43">
        <v>11.500092392978134</v>
      </c>
      <c r="N11844" s="43">
        <v>5.6626751016719385</v>
      </c>
      <c r="O11844" s="43">
        <v>5.4565091981283249</v>
      </c>
      <c r="P11844" s="328"/>
      <c r="Q11844" s="328"/>
      <c r="R11844" s="328">
        <v>2</v>
      </c>
    </row>
    <row r="11845" spans="1:18" ht="24">
      <c r="A11845" s="324">
        <v>52</v>
      </c>
      <c r="B11845" s="321" t="s">
        <v>21601</v>
      </c>
      <c r="C11845" s="325" t="s">
        <v>21602</v>
      </c>
      <c r="D11845" s="326">
        <v>6452.97</v>
      </c>
      <c r="E11845" s="326">
        <v>2331.88</v>
      </c>
      <c r="F11845" s="326">
        <v>3332.09</v>
      </c>
      <c r="G11845" s="326">
        <v>789</v>
      </c>
      <c r="H11845" s="327">
        <v>50539.3</v>
      </c>
      <c r="I11845" s="327">
        <v>26816.62</v>
      </c>
      <c r="J11845" s="327">
        <v>19259.96</v>
      </c>
      <c r="K11845" s="327">
        <v>4462.72</v>
      </c>
      <c r="L11845" s="43">
        <v>7.8319440505689633</v>
      </c>
      <c r="M11845" s="43">
        <v>11.499999999999998</v>
      </c>
      <c r="N11845" s="43">
        <v>5.780143993709653</v>
      </c>
      <c r="O11845" s="43">
        <v>5.6561723700887203</v>
      </c>
      <c r="P11845" s="328"/>
      <c r="Q11845" s="328"/>
      <c r="R11845" s="328">
        <v>2</v>
      </c>
    </row>
    <row r="11846" spans="1:18" ht="24">
      <c r="A11846" s="324">
        <v>53</v>
      </c>
      <c r="B11846" s="321" t="s">
        <v>21603</v>
      </c>
      <c r="C11846" s="325" t="s">
        <v>21604</v>
      </c>
      <c r="D11846" s="326">
        <v>4290.2</v>
      </c>
      <c r="E11846" s="326">
        <v>1682.8</v>
      </c>
      <c r="F11846" s="326">
        <v>1831.42</v>
      </c>
      <c r="G11846" s="326">
        <v>775.98</v>
      </c>
      <c r="H11846" s="327">
        <v>34268.949999999997</v>
      </c>
      <c r="I11846" s="327">
        <v>19352.2</v>
      </c>
      <c r="J11846" s="327">
        <v>10605.49</v>
      </c>
      <c r="K11846" s="327">
        <v>4311.26</v>
      </c>
      <c r="L11846" s="43">
        <v>7.9877278448557174</v>
      </c>
      <c r="M11846" s="43">
        <v>11.5</v>
      </c>
      <c r="N11846" s="43">
        <v>5.7908562754583874</v>
      </c>
      <c r="O11846" s="43">
        <v>5.5558906157375194</v>
      </c>
      <c r="P11846" s="328"/>
      <c r="Q11846" s="328"/>
      <c r="R11846" s="328">
        <v>2</v>
      </c>
    </row>
    <row r="11847" spans="1:18" ht="24">
      <c r="A11847" s="324">
        <v>54</v>
      </c>
      <c r="B11847" s="321" t="s">
        <v>21605</v>
      </c>
      <c r="C11847" s="325" t="s">
        <v>21606</v>
      </c>
      <c r="D11847" s="326">
        <v>3607.41</v>
      </c>
      <c r="E11847" s="326">
        <v>1370.28</v>
      </c>
      <c r="F11847" s="326">
        <v>1481.49</v>
      </c>
      <c r="G11847" s="326">
        <v>755.64</v>
      </c>
      <c r="H11847" s="327">
        <v>28522.42</v>
      </c>
      <c r="I11847" s="327">
        <v>15758.22</v>
      </c>
      <c r="J11847" s="327">
        <v>8589.19</v>
      </c>
      <c r="K11847" s="327">
        <v>4175.01</v>
      </c>
      <c r="L11847" s="43">
        <v>7.9066199849753698</v>
      </c>
      <c r="M11847" s="43">
        <v>11.5</v>
      </c>
      <c r="N11847" s="43">
        <v>5.7976699133979981</v>
      </c>
      <c r="O11847" s="43">
        <v>5.5251310147689381</v>
      </c>
      <c r="P11847" s="328"/>
      <c r="Q11847" s="328"/>
      <c r="R11847" s="328">
        <v>2</v>
      </c>
    </row>
    <row r="11848" spans="1:18" ht="24">
      <c r="A11848" s="324">
        <v>55</v>
      </c>
      <c r="B11848" s="321" t="s">
        <v>21607</v>
      </c>
      <c r="C11848" s="325" t="s">
        <v>21608</v>
      </c>
      <c r="D11848" s="326">
        <v>2912.45</v>
      </c>
      <c r="E11848" s="326">
        <v>1027.71</v>
      </c>
      <c r="F11848" s="326">
        <v>1120.79</v>
      </c>
      <c r="G11848" s="326">
        <v>763.95</v>
      </c>
      <c r="H11848" s="327">
        <v>22500.27</v>
      </c>
      <c r="I11848" s="327">
        <v>11818.67</v>
      </c>
      <c r="J11848" s="327">
        <v>6511.85</v>
      </c>
      <c r="K11848" s="327">
        <v>4169.75</v>
      </c>
      <c r="L11848" s="43">
        <v>7.725547219694759</v>
      </c>
      <c r="M11848" s="43">
        <v>11.500004865185703</v>
      </c>
      <c r="N11848" s="43">
        <v>5.8100536228909974</v>
      </c>
      <c r="O11848" s="43">
        <v>5.4581451665684924</v>
      </c>
      <c r="P11848" s="328"/>
      <c r="Q11848" s="328"/>
      <c r="R11848" s="328">
        <v>2</v>
      </c>
    </row>
    <row r="11849" spans="1:18" ht="24">
      <c r="A11849" s="324">
        <v>56</v>
      </c>
      <c r="B11849" s="321" t="s">
        <v>21609</v>
      </c>
      <c r="C11849" s="325" t="s">
        <v>21610</v>
      </c>
      <c r="D11849" s="326">
        <v>2214.84</v>
      </c>
      <c r="E11849" s="326">
        <v>671.92</v>
      </c>
      <c r="F11849" s="326">
        <v>827.51</v>
      </c>
      <c r="G11849" s="326">
        <v>715.41</v>
      </c>
      <c r="H11849" s="327">
        <v>16509.36</v>
      </c>
      <c r="I11849" s="327">
        <v>7727.06</v>
      </c>
      <c r="J11849" s="327">
        <v>4874.8999999999996</v>
      </c>
      <c r="K11849" s="327">
        <v>3907.4</v>
      </c>
      <c r="L11849" s="43">
        <v>7.4539741019667334</v>
      </c>
      <c r="M11849" s="43">
        <v>11.499970234551734</v>
      </c>
      <c r="N11849" s="43">
        <v>5.8910466338775356</v>
      </c>
      <c r="O11849" s="43">
        <v>5.4617631847472081</v>
      </c>
      <c r="P11849" s="328"/>
      <c r="Q11849" s="328"/>
      <c r="R11849" s="328">
        <v>2</v>
      </c>
    </row>
    <row r="11850" spans="1:18" ht="12.75" customHeight="1">
      <c r="A11850" s="628" t="s">
        <v>21611</v>
      </c>
      <c r="B11850" s="629"/>
      <c r="C11850" s="629"/>
      <c r="D11850" s="629"/>
      <c r="E11850" s="629"/>
      <c r="F11850" s="629"/>
      <c r="G11850" s="629"/>
      <c r="H11850" s="629"/>
      <c r="I11850" s="629"/>
      <c r="J11850" s="629"/>
      <c r="K11850" s="629"/>
      <c r="L11850" s="629"/>
      <c r="M11850" s="629"/>
      <c r="N11850" s="629"/>
      <c r="O11850" s="629"/>
      <c r="P11850" s="629"/>
      <c r="Q11850" s="629"/>
      <c r="R11850" s="629"/>
    </row>
    <row r="11851" spans="1:18" ht="48">
      <c r="A11851" s="324">
        <v>57</v>
      </c>
      <c r="B11851" s="321" t="s">
        <v>21612</v>
      </c>
      <c r="C11851" s="325" t="s">
        <v>21613</v>
      </c>
      <c r="D11851" s="326">
        <v>5304.29</v>
      </c>
      <c r="E11851" s="326">
        <v>797.51</v>
      </c>
      <c r="F11851" s="326">
        <v>2941.03</v>
      </c>
      <c r="G11851" s="326">
        <v>1565.75</v>
      </c>
      <c r="H11851" s="327">
        <v>32765.439999999999</v>
      </c>
      <c r="I11851" s="327">
        <v>9171.64</v>
      </c>
      <c r="J11851" s="327">
        <v>16167.28</v>
      </c>
      <c r="K11851" s="327">
        <v>7426.52</v>
      </c>
      <c r="L11851" s="43">
        <v>6.1771584886949995</v>
      </c>
      <c r="M11851" s="43">
        <v>11.500344823262404</v>
      </c>
      <c r="N11851" s="43">
        <v>5.4971489580181094</v>
      </c>
      <c r="O11851" s="43">
        <v>4.7431071371547189</v>
      </c>
      <c r="P11851" s="328"/>
      <c r="Q11851" s="328"/>
      <c r="R11851" s="328">
        <v>3</v>
      </c>
    </row>
    <row r="11852" spans="1:18" ht="48">
      <c r="A11852" s="324">
        <v>58</v>
      </c>
      <c r="B11852" s="321" t="s">
        <v>21614</v>
      </c>
      <c r="C11852" s="325" t="s">
        <v>21615</v>
      </c>
      <c r="D11852" s="326">
        <v>2635.21</v>
      </c>
      <c r="E11852" s="326">
        <v>378.02</v>
      </c>
      <c r="F11852" s="326">
        <v>1363.78</v>
      </c>
      <c r="G11852" s="326">
        <v>893.41</v>
      </c>
      <c r="H11852" s="327">
        <v>16225.01</v>
      </c>
      <c r="I11852" s="327">
        <v>4347.33</v>
      </c>
      <c r="J11852" s="327">
        <v>7503.95</v>
      </c>
      <c r="K11852" s="327">
        <v>4373.7299999999996</v>
      </c>
      <c r="L11852" s="43">
        <v>6.157008359865058</v>
      </c>
      <c r="M11852" s="43">
        <v>11.500264536267922</v>
      </c>
      <c r="N11852" s="43">
        <v>5.5023170892665973</v>
      </c>
      <c r="O11852" s="43">
        <v>4.8955462777448204</v>
      </c>
      <c r="P11852" s="328"/>
      <c r="Q11852" s="328"/>
      <c r="R11852" s="328">
        <v>3</v>
      </c>
    </row>
    <row r="11853" spans="1:18" ht="48">
      <c r="A11853" s="324">
        <v>59</v>
      </c>
      <c r="B11853" s="321" t="s">
        <v>21616</v>
      </c>
      <c r="C11853" s="325" t="s">
        <v>21617</v>
      </c>
      <c r="D11853" s="326">
        <v>3432.79</v>
      </c>
      <c r="E11853" s="326">
        <v>587.76</v>
      </c>
      <c r="F11853" s="326">
        <v>1932.82</v>
      </c>
      <c r="G11853" s="326">
        <v>912.21</v>
      </c>
      <c r="H11853" s="327">
        <v>21698.44</v>
      </c>
      <c r="I11853" s="327">
        <v>6759.49</v>
      </c>
      <c r="J11853" s="327">
        <v>10485.4</v>
      </c>
      <c r="K11853" s="327">
        <v>4453.55</v>
      </c>
      <c r="L11853" s="43">
        <v>6.3209342837750047</v>
      </c>
      <c r="M11853" s="43">
        <v>11.500425343677691</v>
      </c>
      <c r="N11853" s="43">
        <v>5.4249231692552851</v>
      </c>
      <c r="O11853" s="43">
        <v>4.8821543284989204</v>
      </c>
      <c r="P11853" s="328"/>
      <c r="Q11853" s="328"/>
      <c r="R11853" s="328">
        <v>3</v>
      </c>
    </row>
    <row r="11854" spans="1:18" ht="48">
      <c r="A11854" s="324">
        <v>60</v>
      </c>
      <c r="B11854" s="321" t="s">
        <v>21618</v>
      </c>
      <c r="C11854" s="325" t="s">
        <v>21619</v>
      </c>
      <c r="D11854" s="326">
        <v>2759.55</v>
      </c>
      <c r="E11854" s="326">
        <v>460.97</v>
      </c>
      <c r="F11854" s="326">
        <v>1409.77</v>
      </c>
      <c r="G11854" s="326">
        <v>888.81</v>
      </c>
      <c r="H11854" s="327">
        <v>17301.84</v>
      </c>
      <c r="I11854" s="327">
        <v>5301.29</v>
      </c>
      <c r="J11854" s="327">
        <v>7656.42</v>
      </c>
      <c r="K11854" s="327">
        <v>4344.13</v>
      </c>
      <c r="L11854" s="43">
        <v>6.2698048594879596</v>
      </c>
      <c r="M11854" s="43">
        <v>11.50029286070677</v>
      </c>
      <c r="N11854" s="43">
        <v>5.4309710094554431</v>
      </c>
      <c r="O11854" s="43">
        <v>4.8875800227270174</v>
      </c>
      <c r="P11854" s="328"/>
      <c r="Q11854" s="328"/>
      <c r="R11854" s="328">
        <v>3</v>
      </c>
    </row>
    <row r="11855" spans="1:18" ht="48">
      <c r="A11855" s="324">
        <v>61</v>
      </c>
      <c r="B11855" s="321" t="s">
        <v>21620</v>
      </c>
      <c r="C11855" s="325" t="s">
        <v>21621</v>
      </c>
      <c r="D11855" s="326">
        <v>7240.89</v>
      </c>
      <c r="E11855" s="326">
        <v>1398.3</v>
      </c>
      <c r="F11855" s="326">
        <v>4909.3599999999997</v>
      </c>
      <c r="G11855" s="326">
        <v>933.23</v>
      </c>
      <c r="H11855" s="327">
        <v>46053.71</v>
      </c>
      <c r="I11855" s="327">
        <v>16081.04</v>
      </c>
      <c r="J11855" s="327">
        <v>25267.81</v>
      </c>
      <c r="K11855" s="327">
        <v>4704.8599999999997</v>
      </c>
      <c r="L11855" s="43">
        <v>6.3602278172987017</v>
      </c>
      <c r="M11855" s="43">
        <v>11.500421940928272</v>
      </c>
      <c r="N11855" s="43">
        <v>5.1468643570648727</v>
      </c>
      <c r="O11855" s="43">
        <v>5.0414795923834417</v>
      </c>
      <c r="P11855" s="328"/>
      <c r="Q11855" s="328"/>
      <c r="R11855" s="328">
        <v>3</v>
      </c>
    </row>
    <row r="11856" spans="1:18" ht="36">
      <c r="A11856" s="324">
        <v>62</v>
      </c>
      <c r="B11856" s="321" t="s">
        <v>21622</v>
      </c>
      <c r="C11856" s="325" t="s">
        <v>21623</v>
      </c>
      <c r="D11856" s="326">
        <v>5929.51</v>
      </c>
      <c r="E11856" s="326">
        <v>1114.54</v>
      </c>
      <c r="F11856" s="326">
        <v>3715.28</v>
      </c>
      <c r="G11856" s="326">
        <v>1099.69</v>
      </c>
      <c r="H11856" s="327">
        <v>39136.730000000003</v>
      </c>
      <c r="I11856" s="327">
        <v>12817.63</v>
      </c>
      <c r="J11856" s="327">
        <v>21055.14</v>
      </c>
      <c r="K11856" s="327">
        <v>5263.96</v>
      </c>
      <c r="L11856" s="43">
        <v>6.6003312246711792</v>
      </c>
      <c r="M11856" s="43">
        <v>11.500376837080768</v>
      </c>
      <c r="N11856" s="43">
        <v>5.6671744794470396</v>
      </c>
      <c r="O11856" s="43">
        <v>4.7867671798415916</v>
      </c>
      <c r="P11856" s="328"/>
      <c r="Q11856" s="328"/>
      <c r="R11856" s="328">
        <v>3</v>
      </c>
    </row>
    <row r="11857" spans="1:18" ht="24">
      <c r="A11857" s="324">
        <v>63</v>
      </c>
      <c r="B11857" s="321" t="s">
        <v>21624</v>
      </c>
      <c r="C11857" s="325" t="s">
        <v>21625</v>
      </c>
      <c r="D11857" s="326">
        <v>1852.65</v>
      </c>
      <c r="E11857" s="326">
        <v>265.44</v>
      </c>
      <c r="F11857" s="326">
        <v>635.74</v>
      </c>
      <c r="G11857" s="326">
        <v>951.47</v>
      </c>
      <c r="H11857" s="327">
        <v>11230.46</v>
      </c>
      <c r="I11857" s="327">
        <v>3052.67</v>
      </c>
      <c r="J11857" s="327">
        <v>3541.17</v>
      </c>
      <c r="K11857" s="327">
        <v>4636.62</v>
      </c>
      <c r="L11857" s="43">
        <v>6.0618357487922694</v>
      </c>
      <c r="M11857" s="43">
        <v>11.500414406268836</v>
      </c>
      <c r="N11857" s="43">
        <v>5.5701544656620632</v>
      </c>
      <c r="O11857" s="43">
        <v>4.8731121317540227</v>
      </c>
      <c r="P11857" s="328"/>
      <c r="Q11857" s="328"/>
      <c r="R11857" s="328">
        <v>3</v>
      </c>
    </row>
    <row r="11858" spans="1:18" ht="12.75" customHeight="1">
      <c r="A11858" s="628" t="s">
        <v>21626</v>
      </c>
      <c r="B11858" s="629"/>
      <c r="C11858" s="629"/>
      <c r="D11858" s="629"/>
      <c r="E11858" s="629"/>
      <c r="F11858" s="629"/>
      <c r="G11858" s="629"/>
      <c r="H11858" s="629"/>
      <c r="I11858" s="629"/>
      <c r="J11858" s="629"/>
      <c r="K11858" s="629"/>
      <c r="L11858" s="629"/>
      <c r="M11858" s="629"/>
      <c r="N11858" s="629"/>
      <c r="O11858" s="629"/>
      <c r="P11858" s="629"/>
      <c r="Q11858" s="629"/>
      <c r="R11858" s="629"/>
    </row>
    <row r="11859" spans="1:18" ht="12.75" customHeight="1">
      <c r="A11859" s="628" t="s">
        <v>21627</v>
      </c>
      <c r="B11859" s="629"/>
      <c r="C11859" s="629"/>
      <c r="D11859" s="629"/>
      <c r="E11859" s="629"/>
      <c r="F11859" s="629"/>
      <c r="G11859" s="629"/>
      <c r="H11859" s="629"/>
      <c r="I11859" s="629"/>
      <c r="J11859" s="629"/>
      <c r="K11859" s="629"/>
      <c r="L11859" s="629"/>
      <c r="M11859" s="629"/>
      <c r="N11859" s="629"/>
      <c r="O11859" s="629"/>
      <c r="P11859" s="629"/>
      <c r="Q11859" s="629"/>
      <c r="R11859" s="629"/>
    </row>
    <row r="11860" spans="1:18" ht="36">
      <c r="A11860" s="324">
        <v>64</v>
      </c>
      <c r="B11860" s="321" t="s">
        <v>21628</v>
      </c>
      <c r="C11860" s="325" t="s">
        <v>21629</v>
      </c>
      <c r="D11860" s="326">
        <v>2860.64</v>
      </c>
      <c r="E11860" s="326">
        <v>513.62</v>
      </c>
      <c r="F11860" s="326">
        <v>2032.16</v>
      </c>
      <c r="G11860" s="326">
        <v>314.86</v>
      </c>
      <c r="H11860" s="327">
        <v>18749.71</v>
      </c>
      <c r="I11860" s="327">
        <v>5906.63</v>
      </c>
      <c r="J11860" s="327">
        <v>11076.32</v>
      </c>
      <c r="K11860" s="327">
        <v>1766.76</v>
      </c>
      <c r="L11860" s="43">
        <v>6.5543759438447342</v>
      </c>
      <c r="M11860" s="43">
        <v>11.5</v>
      </c>
      <c r="N11860" s="43">
        <v>5.4505157074246116</v>
      </c>
      <c r="O11860" s="43">
        <v>5.6112557962268941</v>
      </c>
      <c r="P11860" s="328"/>
      <c r="Q11860" s="328"/>
      <c r="R11860" s="328">
        <v>1</v>
      </c>
    </row>
    <row r="11861" spans="1:18" ht="48">
      <c r="A11861" s="324">
        <v>65</v>
      </c>
      <c r="B11861" s="321" t="s">
        <v>21630</v>
      </c>
      <c r="C11861" s="325" t="s">
        <v>21631</v>
      </c>
      <c r="D11861" s="326">
        <v>2153.5100000000002</v>
      </c>
      <c r="E11861" s="326">
        <v>431.88</v>
      </c>
      <c r="F11861" s="326">
        <v>1365.88</v>
      </c>
      <c r="G11861" s="326">
        <v>355.75</v>
      </c>
      <c r="H11861" s="327">
        <v>14505.36</v>
      </c>
      <c r="I11861" s="327">
        <v>4966.62</v>
      </c>
      <c r="J11861" s="327">
        <v>7516.89</v>
      </c>
      <c r="K11861" s="327">
        <v>2021.85</v>
      </c>
      <c r="L11861" s="43">
        <v>6.7356826761891044</v>
      </c>
      <c r="M11861" s="43">
        <v>11.5</v>
      </c>
      <c r="N11861" s="43">
        <v>5.5033311857557035</v>
      </c>
      <c r="O11861" s="43">
        <v>5.6833450456781449</v>
      </c>
      <c r="P11861" s="328"/>
      <c r="Q11861" s="328"/>
      <c r="R11861" s="328">
        <v>1</v>
      </c>
    </row>
    <row r="11862" spans="1:18" ht="48">
      <c r="A11862" s="324">
        <v>66</v>
      </c>
      <c r="B11862" s="321" t="s">
        <v>21632</v>
      </c>
      <c r="C11862" s="325" t="s">
        <v>21633</v>
      </c>
      <c r="D11862" s="326">
        <v>1696.89</v>
      </c>
      <c r="E11862" s="326">
        <v>287.92</v>
      </c>
      <c r="F11862" s="326">
        <v>1060.8900000000001</v>
      </c>
      <c r="G11862" s="326">
        <v>348.08</v>
      </c>
      <c r="H11862" s="327">
        <v>11053.55</v>
      </c>
      <c r="I11862" s="327">
        <v>3311.08</v>
      </c>
      <c r="J11862" s="327">
        <v>5832.78</v>
      </c>
      <c r="K11862" s="327">
        <v>1909.69</v>
      </c>
      <c r="L11862" s="43">
        <v>6.5140050327363577</v>
      </c>
      <c r="M11862" s="43">
        <v>11.5</v>
      </c>
      <c r="N11862" s="43">
        <v>5.4980063908605032</v>
      </c>
      <c r="O11862" s="43">
        <v>5.4863537117903931</v>
      </c>
      <c r="P11862" s="328"/>
      <c r="Q11862" s="328"/>
      <c r="R11862" s="328">
        <v>1</v>
      </c>
    </row>
    <row r="11863" spans="1:18" ht="48">
      <c r="A11863" s="324">
        <v>67</v>
      </c>
      <c r="B11863" s="321" t="s">
        <v>21634</v>
      </c>
      <c r="C11863" s="325" t="s">
        <v>21635</v>
      </c>
      <c r="D11863" s="326">
        <v>1496.39</v>
      </c>
      <c r="E11863" s="326">
        <v>230.58</v>
      </c>
      <c r="F11863" s="326">
        <v>916.39</v>
      </c>
      <c r="G11863" s="326">
        <v>349.42</v>
      </c>
      <c r="H11863" s="327">
        <v>9688.5</v>
      </c>
      <c r="I11863" s="327">
        <v>2651.67</v>
      </c>
      <c r="J11863" s="327">
        <v>5074.53</v>
      </c>
      <c r="K11863" s="327">
        <v>1962.3</v>
      </c>
      <c r="L11863" s="43">
        <v>6.4745821610676355</v>
      </c>
      <c r="M11863" s="43">
        <v>11.5</v>
      </c>
      <c r="N11863" s="43">
        <v>5.5375222339833474</v>
      </c>
      <c r="O11863" s="43">
        <v>5.6158777402552795</v>
      </c>
      <c r="P11863" s="328"/>
      <c r="Q11863" s="328"/>
      <c r="R11863" s="328">
        <v>1</v>
      </c>
    </row>
    <row r="11864" spans="1:18" ht="12.75" customHeight="1">
      <c r="A11864" s="628" t="s">
        <v>21636</v>
      </c>
      <c r="B11864" s="629"/>
      <c r="C11864" s="629"/>
      <c r="D11864" s="629"/>
      <c r="E11864" s="629"/>
      <c r="F11864" s="629"/>
      <c r="G11864" s="629"/>
      <c r="H11864" s="629"/>
      <c r="I11864" s="629"/>
      <c r="J11864" s="629"/>
      <c r="K11864" s="629"/>
      <c r="L11864" s="629"/>
      <c r="M11864" s="629"/>
      <c r="N11864" s="629"/>
      <c r="O11864" s="629"/>
      <c r="P11864" s="629"/>
      <c r="Q11864" s="629"/>
      <c r="R11864" s="629"/>
    </row>
    <row r="11865" spans="1:18" ht="24">
      <c r="A11865" s="324">
        <v>68</v>
      </c>
      <c r="B11865" s="321" t="s">
        <v>21637</v>
      </c>
      <c r="C11865" s="325" t="s">
        <v>21638</v>
      </c>
      <c r="D11865" s="326">
        <v>3670.37</v>
      </c>
      <c r="E11865" s="326">
        <v>958.11</v>
      </c>
      <c r="F11865" s="326">
        <v>2094.89</v>
      </c>
      <c r="G11865" s="326">
        <v>617.37</v>
      </c>
      <c r="H11865" s="327">
        <v>26803.22</v>
      </c>
      <c r="I11865" s="327">
        <v>11018.64</v>
      </c>
      <c r="J11865" s="327">
        <v>12761.15</v>
      </c>
      <c r="K11865" s="327">
        <v>3023.43</v>
      </c>
      <c r="L11865" s="43">
        <v>7.302593471502874</v>
      </c>
      <c r="M11865" s="43">
        <v>11.500391395560008</v>
      </c>
      <c r="N11865" s="43">
        <v>6.0915608934120646</v>
      </c>
      <c r="O11865" s="43">
        <v>4.8972739200155493</v>
      </c>
      <c r="P11865" s="328"/>
      <c r="Q11865" s="328"/>
      <c r="R11865" s="328">
        <v>2</v>
      </c>
    </row>
    <row r="11866" spans="1:18" ht="24">
      <c r="A11866" s="324">
        <v>69</v>
      </c>
      <c r="B11866" s="321" t="s">
        <v>21639</v>
      </c>
      <c r="C11866" s="325" t="s">
        <v>21640</v>
      </c>
      <c r="D11866" s="326">
        <v>1778.88</v>
      </c>
      <c r="E11866" s="326">
        <v>457.46</v>
      </c>
      <c r="F11866" s="326">
        <v>735.69</v>
      </c>
      <c r="G11866" s="326">
        <v>585.73</v>
      </c>
      <c r="H11866" s="327">
        <v>12465.94</v>
      </c>
      <c r="I11866" s="327">
        <v>5261.03</v>
      </c>
      <c r="J11866" s="327">
        <v>4392.6899999999996</v>
      </c>
      <c r="K11866" s="327">
        <v>2812.22</v>
      </c>
      <c r="L11866" s="43">
        <v>7.0077464472027344</v>
      </c>
      <c r="M11866" s="43">
        <v>11.500524636033752</v>
      </c>
      <c r="N11866" s="43">
        <v>5.9708436977531285</v>
      </c>
      <c r="O11866" s="43">
        <v>4.801222406228125</v>
      </c>
      <c r="P11866" s="328"/>
      <c r="Q11866" s="328"/>
      <c r="R11866" s="328">
        <v>2</v>
      </c>
    </row>
    <row r="11867" spans="1:18" ht="24">
      <c r="A11867" s="324">
        <v>70</v>
      </c>
      <c r="B11867" s="321" t="s">
        <v>21641</v>
      </c>
      <c r="C11867" s="325" t="s">
        <v>21642</v>
      </c>
      <c r="D11867" s="326">
        <v>1493.25</v>
      </c>
      <c r="E11867" s="326">
        <v>313.92</v>
      </c>
      <c r="F11867" s="326">
        <v>602.42999999999995</v>
      </c>
      <c r="G11867" s="326">
        <v>576.9</v>
      </c>
      <c r="H11867" s="327">
        <v>9975.24</v>
      </c>
      <c r="I11867" s="327">
        <v>3610.25</v>
      </c>
      <c r="J11867" s="327">
        <v>3619.64</v>
      </c>
      <c r="K11867" s="327">
        <v>2745.35</v>
      </c>
      <c r="L11867" s="43">
        <v>6.6802209944751381</v>
      </c>
      <c r="M11867" s="43">
        <v>11.500541539245667</v>
      </c>
      <c r="N11867" s="43">
        <v>6.008399316103116</v>
      </c>
      <c r="O11867" s="43">
        <v>4.7587970185474084</v>
      </c>
      <c r="P11867" s="328"/>
      <c r="Q11867" s="328"/>
      <c r="R11867" s="328">
        <v>2</v>
      </c>
    </row>
    <row r="11868" spans="1:18" ht="12.75" customHeight="1">
      <c r="A11868" s="628" t="s">
        <v>21643</v>
      </c>
      <c r="B11868" s="629"/>
      <c r="C11868" s="629"/>
      <c r="D11868" s="629"/>
      <c r="E11868" s="629"/>
      <c r="F11868" s="629"/>
      <c r="G11868" s="629"/>
      <c r="H11868" s="629"/>
      <c r="I11868" s="629"/>
      <c r="J11868" s="629"/>
      <c r="K11868" s="629"/>
      <c r="L11868" s="629"/>
      <c r="M11868" s="629"/>
      <c r="N11868" s="629"/>
      <c r="O11868" s="629"/>
      <c r="P11868" s="629"/>
      <c r="Q11868" s="629"/>
      <c r="R11868" s="629"/>
    </row>
    <row r="11869" spans="1:18" ht="12.75" customHeight="1">
      <c r="A11869" s="628" t="s">
        <v>21644</v>
      </c>
      <c r="B11869" s="629"/>
      <c r="C11869" s="629"/>
      <c r="D11869" s="629"/>
      <c r="E11869" s="629"/>
      <c r="F11869" s="629"/>
      <c r="G11869" s="629"/>
      <c r="H11869" s="629"/>
      <c r="I11869" s="629"/>
      <c r="J11869" s="629"/>
      <c r="K11869" s="629"/>
      <c r="L11869" s="629"/>
      <c r="M11869" s="629"/>
      <c r="N11869" s="629"/>
      <c r="O11869" s="629"/>
      <c r="P11869" s="629"/>
      <c r="Q11869" s="629"/>
      <c r="R11869" s="629"/>
    </row>
    <row r="11870" spans="1:18" ht="36">
      <c r="A11870" s="324">
        <v>71</v>
      </c>
      <c r="B11870" s="321" t="s">
        <v>21645</v>
      </c>
      <c r="C11870" s="325" t="s">
        <v>21646</v>
      </c>
      <c r="D11870" s="326">
        <v>2887.11</v>
      </c>
      <c r="E11870" s="326">
        <v>941.36</v>
      </c>
      <c r="F11870" s="326">
        <v>1825.67</v>
      </c>
      <c r="G11870" s="326">
        <v>120.08</v>
      </c>
      <c r="H11870" s="327">
        <v>22233.01</v>
      </c>
      <c r="I11870" s="327">
        <v>10825.99</v>
      </c>
      <c r="J11870" s="327">
        <v>10696.22</v>
      </c>
      <c r="K11870" s="327">
        <v>710.8</v>
      </c>
      <c r="L11870" s="43">
        <v>7.7007838288115096</v>
      </c>
      <c r="M11870" s="43">
        <v>11.500371802498512</v>
      </c>
      <c r="N11870" s="43">
        <v>5.8587915669315915</v>
      </c>
      <c r="O11870" s="43">
        <v>5.9193870752831446</v>
      </c>
      <c r="P11870" s="328"/>
      <c r="Q11870" s="328"/>
      <c r="R11870" s="328">
        <v>1</v>
      </c>
    </row>
    <row r="11871" spans="1:18" ht="36">
      <c r="A11871" s="324">
        <v>72</v>
      </c>
      <c r="B11871" s="321" t="s">
        <v>21647</v>
      </c>
      <c r="C11871" s="325" t="s">
        <v>21648</v>
      </c>
      <c r="D11871" s="326">
        <v>2295.83</v>
      </c>
      <c r="E11871" s="326">
        <v>752.1</v>
      </c>
      <c r="F11871" s="326">
        <v>1455.59</v>
      </c>
      <c r="G11871" s="326">
        <v>88.14</v>
      </c>
      <c r="H11871" s="327">
        <v>17738.3</v>
      </c>
      <c r="I11871" s="327">
        <v>8649.41</v>
      </c>
      <c r="J11871" s="327">
        <v>8534.74</v>
      </c>
      <c r="K11871" s="327">
        <v>554.15</v>
      </c>
      <c r="L11871" s="43">
        <v>7.7263124882939938</v>
      </c>
      <c r="M11871" s="43">
        <v>11.500345698710277</v>
      </c>
      <c r="N11871" s="43">
        <v>5.8634230793011772</v>
      </c>
      <c r="O11871" s="43">
        <v>6.2871567960063528</v>
      </c>
      <c r="P11871" s="328"/>
      <c r="Q11871" s="328"/>
      <c r="R11871" s="328">
        <v>1</v>
      </c>
    </row>
    <row r="11872" spans="1:18" ht="36">
      <c r="A11872" s="324">
        <v>73</v>
      </c>
      <c r="B11872" s="321" t="s">
        <v>21649</v>
      </c>
      <c r="C11872" s="325" t="s">
        <v>21650</v>
      </c>
      <c r="D11872" s="326">
        <v>2097.58</v>
      </c>
      <c r="E11872" s="326">
        <v>520.78</v>
      </c>
      <c r="F11872" s="326">
        <v>787.23</v>
      </c>
      <c r="G11872" s="326">
        <v>789.57</v>
      </c>
      <c r="H11872" s="327">
        <v>14433.35</v>
      </c>
      <c r="I11872" s="327">
        <v>5989.15</v>
      </c>
      <c r="J11872" s="327">
        <v>4666.38</v>
      </c>
      <c r="K11872" s="327">
        <v>3777.82</v>
      </c>
      <c r="L11872" s="43">
        <v>6.8809532890283096</v>
      </c>
      <c r="M11872" s="43">
        <v>11.500345635393064</v>
      </c>
      <c r="N11872" s="43">
        <v>5.9275942227811438</v>
      </c>
      <c r="O11872" s="43">
        <v>4.7846549387641373</v>
      </c>
      <c r="P11872" s="328"/>
      <c r="Q11872" s="328"/>
      <c r="R11872" s="328">
        <v>1</v>
      </c>
    </row>
    <row r="11873" spans="1:18" ht="36">
      <c r="A11873" s="324">
        <v>74</v>
      </c>
      <c r="B11873" s="321" t="s">
        <v>21651</v>
      </c>
      <c r="C11873" s="325" t="s">
        <v>21652</v>
      </c>
      <c r="D11873" s="326">
        <v>1872.24</v>
      </c>
      <c r="E11873" s="326">
        <v>419.34</v>
      </c>
      <c r="F11873" s="326">
        <v>676.47</v>
      </c>
      <c r="G11873" s="326">
        <v>776.43</v>
      </c>
      <c r="H11873" s="327">
        <v>12512.55</v>
      </c>
      <c r="I11873" s="327">
        <v>4822.6099999999997</v>
      </c>
      <c r="J11873" s="327">
        <v>4019.89</v>
      </c>
      <c r="K11873" s="327">
        <v>3670.05</v>
      </c>
      <c r="L11873" s="43">
        <v>6.6831976669657731</v>
      </c>
      <c r="M11873" s="43">
        <v>11.500476939953259</v>
      </c>
      <c r="N11873" s="43">
        <v>5.9424512543054382</v>
      </c>
      <c r="O11873" s="43">
        <v>4.7268266295738188</v>
      </c>
      <c r="P11873" s="328"/>
      <c r="Q11873" s="328"/>
      <c r="R11873" s="328">
        <v>1</v>
      </c>
    </row>
    <row r="11874" spans="1:18" ht="12.75" customHeight="1">
      <c r="A11874" s="628" t="s">
        <v>21653</v>
      </c>
      <c r="B11874" s="629"/>
      <c r="C11874" s="629"/>
      <c r="D11874" s="629"/>
      <c r="E11874" s="629"/>
      <c r="F11874" s="629"/>
      <c r="G11874" s="629"/>
      <c r="H11874" s="629"/>
      <c r="I11874" s="629"/>
      <c r="J11874" s="629"/>
      <c r="K11874" s="629"/>
      <c r="L11874" s="629"/>
      <c r="M11874" s="629"/>
      <c r="N11874" s="629"/>
      <c r="O11874" s="629"/>
      <c r="P11874" s="629"/>
      <c r="Q11874" s="629"/>
      <c r="R11874" s="629"/>
    </row>
    <row r="11875" spans="1:18" ht="24">
      <c r="A11875" s="324">
        <v>75</v>
      </c>
      <c r="B11875" s="321" t="s">
        <v>21654</v>
      </c>
      <c r="C11875" s="325" t="s">
        <v>21655</v>
      </c>
      <c r="D11875" s="326">
        <v>994.37</v>
      </c>
      <c r="E11875" s="326">
        <v>577.1</v>
      </c>
      <c r="F11875" s="326">
        <v>341.93</v>
      </c>
      <c r="G11875" s="326">
        <v>75.34</v>
      </c>
      <c r="H11875" s="327">
        <v>8902.49</v>
      </c>
      <c r="I11875" s="327">
        <v>6636.84</v>
      </c>
      <c r="J11875" s="327">
        <v>1804.17</v>
      </c>
      <c r="K11875" s="327">
        <v>461.48</v>
      </c>
      <c r="L11875" s="43">
        <v>8.9528947977111137</v>
      </c>
      <c r="M11875" s="43">
        <v>11.50032923236874</v>
      </c>
      <c r="N11875" s="43">
        <v>5.2764308484192668</v>
      </c>
      <c r="O11875" s="43">
        <v>6.1252986461375096</v>
      </c>
      <c r="P11875" s="328"/>
      <c r="Q11875" s="328"/>
      <c r="R11875" s="328">
        <v>2</v>
      </c>
    </row>
    <row r="11876" spans="1:18" ht="24">
      <c r="A11876" s="324">
        <v>76</v>
      </c>
      <c r="B11876" s="321" t="s">
        <v>21656</v>
      </c>
      <c r="C11876" s="325" t="s">
        <v>21657</v>
      </c>
      <c r="D11876" s="326">
        <v>1217.21</v>
      </c>
      <c r="E11876" s="326">
        <v>728.78</v>
      </c>
      <c r="F11876" s="326">
        <v>410.05</v>
      </c>
      <c r="G11876" s="326">
        <v>78.38</v>
      </c>
      <c r="H11876" s="327">
        <v>11030.45</v>
      </c>
      <c r="I11876" s="327">
        <v>8381.2199999999993</v>
      </c>
      <c r="J11876" s="327">
        <v>2152.79</v>
      </c>
      <c r="K11876" s="327">
        <v>496.44</v>
      </c>
      <c r="L11876" s="43">
        <v>9.0620763878048987</v>
      </c>
      <c r="M11876" s="43">
        <v>11.500343039051565</v>
      </c>
      <c r="N11876" s="43">
        <v>5.2500670649920735</v>
      </c>
      <c r="O11876" s="43">
        <v>6.3337586118907891</v>
      </c>
      <c r="P11876" s="328"/>
      <c r="Q11876" s="328"/>
      <c r="R11876" s="328">
        <v>2</v>
      </c>
    </row>
    <row r="11877" spans="1:18" ht="24">
      <c r="A11877" s="324">
        <v>77</v>
      </c>
      <c r="B11877" s="321" t="s">
        <v>21658</v>
      </c>
      <c r="C11877" s="325" t="s">
        <v>21659</v>
      </c>
      <c r="D11877" s="326">
        <v>4345.08</v>
      </c>
      <c r="E11877" s="326">
        <v>2133</v>
      </c>
      <c r="F11877" s="326">
        <v>2105.56</v>
      </c>
      <c r="G11877" s="326">
        <v>106.52</v>
      </c>
      <c r="H11877" s="327">
        <v>37633.94</v>
      </c>
      <c r="I11877" s="327">
        <v>24530.400000000001</v>
      </c>
      <c r="J11877" s="327">
        <v>12283.72</v>
      </c>
      <c r="K11877" s="327">
        <v>819.82</v>
      </c>
      <c r="L11877" s="43">
        <v>8.6612766623399349</v>
      </c>
      <c r="M11877" s="43">
        <v>11.500421940928272</v>
      </c>
      <c r="N11877" s="43">
        <v>5.8339444138376484</v>
      </c>
      <c r="O11877" s="43">
        <v>7.6963950431843795</v>
      </c>
      <c r="P11877" s="328"/>
      <c r="Q11877" s="328"/>
      <c r="R11877" s="328">
        <v>2</v>
      </c>
    </row>
    <row r="11878" spans="1:18" ht="12.75" customHeight="1">
      <c r="A11878" s="628" t="s">
        <v>21660</v>
      </c>
      <c r="B11878" s="629"/>
      <c r="C11878" s="629"/>
      <c r="D11878" s="629"/>
      <c r="E11878" s="629"/>
      <c r="F11878" s="629"/>
      <c r="G11878" s="629"/>
      <c r="H11878" s="629"/>
      <c r="I11878" s="629"/>
      <c r="J11878" s="629"/>
      <c r="K11878" s="629"/>
      <c r="L11878" s="629"/>
      <c r="M11878" s="629"/>
      <c r="N11878" s="629"/>
      <c r="O11878" s="629"/>
      <c r="P11878" s="629"/>
      <c r="Q11878" s="629"/>
      <c r="R11878" s="629"/>
    </row>
    <row r="11879" spans="1:18" ht="24">
      <c r="A11879" s="324">
        <v>78</v>
      </c>
      <c r="B11879" s="321" t="s">
        <v>21661</v>
      </c>
      <c r="C11879" s="325" t="s">
        <v>21662</v>
      </c>
      <c r="D11879" s="326">
        <v>2393.17</v>
      </c>
      <c r="E11879" s="326">
        <v>518.5</v>
      </c>
      <c r="F11879" s="326">
        <v>1192.8499999999999</v>
      </c>
      <c r="G11879" s="326">
        <v>681.82</v>
      </c>
      <c r="H11879" s="327">
        <v>15847.67</v>
      </c>
      <c r="I11879" s="327">
        <v>5962.75</v>
      </c>
      <c r="J11879" s="327">
        <v>6763.91</v>
      </c>
      <c r="K11879" s="327">
        <v>3121.01</v>
      </c>
      <c r="L11879" s="43">
        <v>6.6220410585123499</v>
      </c>
      <c r="M11879" s="43">
        <v>11.5</v>
      </c>
      <c r="N11879" s="43">
        <v>5.6703776669321373</v>
      </c>
      <c r="O11879" s="43">
        <v>4.5774691267489951</v>
      </c>
      <c r="P11879" s="328"/>
      <c r="Q11879" s="328"/>
      <c r="R11879" s="328">
        <v>3</v>
      </c>
    </row>
    <row r="11880" spans="1:18" ht="24">
      <c r="A11880" s="324">
        <v>79</v>
      </c>
      <c r="B11880" s="321" t="s">
        <v>21663</v>
      </c>
      <c r="C11880" s="325" t="s">
        <v>21664</v>
      </c>
      <c r="D11880" s="326">
        <v>2044.27</v>
      </c>
      <c r="E11880" s="326">
        <v>392.84</v>
      </c>
      <c r="F11880" s="326">
        <v>963.76</v>
      </c>
      <c r="G11880" s="326">
        <v>687.67</v>
      </c>
      <c r="H11880" s="327">
        <v>13080.69</v>
      </c>
      <c r="I11880" s="327">
        <v>4517.66</v>
      </c>
      <c r="J11880" s="327">
        <v>5559.5</v>
      </c>
      <c r="K11880" s="327">
        <v>3003.53</v>
      </c>
      <c r="L11880" s="43">
        <v>6.3987095638051725</v>
      </c>
      <c r="M11880" s="43">
        <v>11.5</v>
      </c>
      <c r="N11880" s="43">
        <v>5.7685523366813314</v>
      </c>
      <c r="O11880" s="43">
        <v>4.3676908982506149</v>
      </c>
      <c r="P11880" s="328"/>
      <c r="Q11880" s="328"/>
      <c r="R11880" s="328">
        <v>3</v>
      </c>
    </row>
    <row r="11881" spans="1:18" ht="24">
      <c r="A11881" s="324">
        <v>80</v>
      </c>
      <c r="B11881" s="321" t="s">
        <v>21665</v>
      </c>
      <c r="C11881" s="325" t="s">
        <v>21666</v>
      </c>
      <c r="D11881" s="326">
        <v>2140.0500000000002</v>
      </c>
      <c r="E11881" s="326">
        <v>435.54</v>
      </c>
      <c r="F11881" s="326">
        <v>1073.3399999999999</v>
      </c>
      <c r="G11881" s="326">
        <v>631.16999999999996</v>
      </c>
      <c r="H11881" s="327">
        <v>13973.6</v>
      </c>
      <c r="I11881" s="327">
        <v>5008.71</v>
      </c>
      <c r="J11881" s="327">
        <v>6149.17</v>
      </c>
      <c r="K11881" s="327">
        <v>2815.72</v>
      </c>
      <c r="L11881" s="43">
        <v>6.529567066190042</v>
      </c>
      <c r="M11881" s="43">
        <v>11.5</v>
      </c>
      <c r="N11881" s="43">
        <v>5.7290047887901325</v>
      </c>
      <c r="O11881" s="43">
        <v>4.4611119032907141</v>
      </c>
      <c r="P11881" s="328"/>
      <c r="Q11881" s="328"/>
      <c r="R11881" s="328">
        <v>3</v>
      </c>
    </row>
    <row r="11882" spans="1:18" ht="12.75" customHeight="1">
      <c r="A11882" s="628" t="s">
        <v>21667</v>
      </c>
      <c r="B11882" s="629"/>
      <c r="C11882" s="629"/>
      <c r="D11882" s="629"/>
      <c r="E11882" s="629"/>
      <c r="F11882" s="629"/>
      <c r="G11882" s="629"/>
      <c r="H11882" s="629"/>
      <c r="I11882" s="629"/>
      <c r="J11882" s="629"/>
      <c r="K11882" s="629"/>
      <c r="L11882" s="629"/>
      <c r="M11882" s="629"/>
      <c r="N11882" s="629"/>
      <c r="O11882" s="629"/>
      <c r="P11882" s="629"/>
      <c r="Q11882" s="629"/>
      <c r="R11882" s="629"/>
    </row>
    <row r="11883" spans="1:18" ht="12.75" customHeight="1">
      <c r="A11883" s="628" t="s">
        <v>21668</v>
      </c>
      <c r="B11883" s="629"/>
      <c r="C11883" s="629"/>
      <c r="D11883" s="629"/>
      <c r="E11883" s="629"/>
      <c r="F11883" s="629"/>
      <c r="G11883" s="629"/>
      <c r="H11883" s="629"/>
      <c r="I11883" s="629"/>
      <c r="J11883" s="629"/>
      <c r="K11883" s="629"/>
      <c r="L11883" s="629"/>
      <c r="M11883" s="629"/>
      <c r="N11883" s="629"/>
      <c r="O11883" s="629"/>
      <c r="P11883" s="629"/>
      <c r="Q11883" s="629"/>
      <c r="R11883" s="629"/>
    </row>
    <row r="11884" spans="1:18" ht="36">
      <c r="A11884" s="324">
        <v>81</v>
      </c>
      <c r="B11884" s="321" t="s">
        <v>21669</v>
      </c>
      <c r="C11884" s="325" t="s">
        <v>21670</v>
      </c>
      <c r="D11884" s="326">
        <v>1271.3699999999999</v>
      </c>
      <c r="E11884" s="326">
        <v>599.61</v>
      </c>
      <c r="F11884" s="326">
        <v>586.48</v>
      </c>
      <c r="G11884" s="326">
        <v>85.28</v>
      </c>
      <c r="H11884" s="327">
        <v>10602.88</v>
      </c>
      <c r="I11884" s="327">
        <v>6895.77</v>
      </c>
      <c r="J11884" s="327">
        <v>3187.7</v>
      </c>
      <c r="K11884" s="327">
        <v>519.41</v>
      </c>
      <c r="L11884" s="43">
        <v>8.3397280099420303</v>
      </c>
      <c r="M11884" s="43">
        <v>11.500425276429679</v>
      </c>
      <c r="N11884" s="43">
        <v>5.435308961942436</v>
      </c>
      <c r="O11884" s="43">
        <v>6.0906425891181986</v>
      </c>
      <c r="P11884" s="328"/>
      <c r="Q11884" s="328"/>
      <c r="R11884" s="328">
        <v>1</v>
      </c>
    </row>
    <row r="11885" spans="1:18" ht="24">
      <c r="A11885" s="324">
        <v>82</v>
      </c>
      <c r="B11885" s="321" t="s">
        <v>21671</v>
      </c>
      <c r="C11885" s="325" t="s">
        <v>21672</v>
      </c>
      <c r="D11885" s="326">
        <v>1590.64</v>
      </c>
      <c r="E11885" s="326">
        <v>763.14</v>
      </c>
      <c r="F11885" s="326">
        <v>738.95</v>
      </c>
      <c r="G11885" s="326">
        <v>88.55</v>
      </c>
      <c r="H11885" s="327">
        <v>13390.75</v>
      </c>
      <c r="I11885" s="327">
        <v>8776.43</v>
      </c>
      <c r="J11885" s="327">
        <v>4057.24</v>
      </c>
      <c r="K11885" s="327">
        <v>557.08000000000004</v>
      </c>
      <c r="L11885" s="43">
        <v>8.4184667806669005</v>
      </c>
      <c r="M11885" s="43">
        <v>11.500419320177164</v>
      </c>
      <c r="N11885" s="43">
        <v>5.4905473983354751</v>
      </c>
      <c r="O11885" s="43">
        <v>6.2911349520045174</v>
      </c>
      <c r="P11885" s="328"/>
      <c r="Q11885" s="328"/>
      <c r="R11885" s="328">
        <v>1</v>
      </c>
    </row>
    <row r="11886" spans="1:18" ht="24">
      <c r="A11886" s="324">
        <v>83</v>
      </c>
      <c r="B11886" s="321" t="s">
        <v>21673</v>
      </c>
      <c r="C11886" s="325" t="s">
        <v>21674</v>
      </c>
      <c r="D11886" s="326">
        <v>540.53</v>
      </c>
      <c r="E11886" s="326">
        <v>175.38</v>
      </c>
      <c r="F11886" s="326">
        <v>287.91000000000003</v>
      </c>
      <c r="G11886" s="326">
        <v>77.239999999999995</v>
      </c>
      <c r="H11886" s="327">
        <v>4128.66</v>
      </c>
      <c r="I11886" s="327">
        <v>2016.94</v>
      </c>
      <c r="J11886" s="327">
        <v>1686.44</v>
      </c>
      <c r="K11886" s="327">
        <v>425.28</v>
      </c>
      <c r="L11886" s="43">
        <v>7.6381699443139146</v>
      </c>
      <c r="M11886" s="43">
        <v>11.500399133310527</v>
      </c>
      <c r="N11886" s="43">
        <v>5.8575249209822511</v>
      </c>
      <c r="O11886" s="43">
        <v>5.5059554634904195</v>
      </c>
      <c r="P11886" s="328"/>
      <c r="Q11886" s="328"/>
      <c r="R11886" s="328">
        <v>1</v>
      </c>
    </row>
    <row r="11887" spans="1:18" ht="36">
      <c r="A11887" s="324">
        <v>84</v>
      </c>
      <c r="B11887" s="321" t="s">
        <v>21675</v>
      </c>
      <c r="C11887" s="325" t="s">
        <v>21676</v>
      </c>
      <c r="D11887" s="326">
        <v>1317.07</v>
      </c>
      <c r="E11887" s="326">
        <v>459.78</v>
      </c>
      <c r="F11887" s="326">
        <v>404.09</v>
      </c>
      <c r="G11887" s="326">
        <v>453.2</v>
      </c>
      <c r="H11887" s="327">
        <v>9823.2900000000009</v>
      </c>
      <c r="I11887" s="327">
        <v>5287.66</v>
      </c>
      <c r="J11887" s="327">
        <v>2348.08</v>
      </c>
      <c r="K11887" s="327">
        <v>2187.5500000000002</v>
      </c>
      <c r="L11887" s="43">
        <v>7.4584418443970337</v>
      </c>
      <c r="M11887" s="43">
        <v>11.500413241115316</v>
      </c>
      <c r="N11887" s="43">
        <v>5.8107847261748624</v>
      </c>
      <c r="O11887" s="43">
        <v>4.8268976169461615</v>
      </c>
      <c r="P11887" s="328"/>
      <c r="Q11887" s="328"/>
      <c r="R11887" s="328">
        <v>1</v>
      </c>
    </row>
    <row r="11888" spans="1:18" ht="36">
      <c r="A11888" s="324">
        <v>85</v>
      </c>
      <c r="B11888" s="321" t="s">
        <v>21677</v>
      </c>
      <c r="C11888" s="325" t="s">
        <v>21678</v>
      </c>
      <c r="D11888" s="326">
        <v>1479.75</v>
      </c>
      <c r="E11888" s="326">
        <v>405.27</v>
      </c>
      <c r="F11888" s="326">
        <v>437.7</v>
      </c>
      <c r="G11888" s="326">
        <v>636.78</v>
      </c>
      <c r="H11888" s="327">
        <v>10266.67</v>
      </c>
      <c r="I11888" s="327">
        <v>4660.78</v>
      </c>
      <c r="J11888" s="327">
        <v>2582</v>
      </c>
      <c r="K11888" s="327">
        <v>3023.89</v>
      </c>
      <c r="L11888" s="43">
        <v>6.9381111674269302</v>
      </c>
      <c r="M11888" s="43">
        <v>11.500431810891504</v>
      </c>
      <c r="N11888" s="43">
        <v>5.8990175919579624</v>
      </c>
      <c r="O11888" s="43">
        <v>4.7487201231194449</v>
      </c>
      <c r="P11888" s="328"/>
      <c r="Q11888" s="328"/>
      <c r="R11888" s="328">
        <v>1</v>
      </c>
    </row>
    <row r="11889" spans="1:18" ht="36">
      <c r="A11889" s="324">
        <v>86</v>
      </c>
      <c r="B11889" s="321" t="s">
        <v>21679</v>
      </c>
      <c r="C11889" s="325" t="s">
        <v>21680</v>
      </c>
      <c r="D11889" s="326">
        <v>1299.3499999999999</v>
      </c>
      <c r="E11889" s="326">
        <v>283.22000000000003</v>
      </c>
      <c r="F11889" s="326">
        <v>335.43</v>
      </c>
      <c r="G11889" s="326">
        <v>680.7</v>
      </c>
      <c r="H11889" s="327">
        <v>8478.2000000000007</v>
      </c>
      <c r="I11889" s="327">
        <v>3257.09</v>
      </c>
      <c r="J11889" s="327">
        <v>2011.34</v>
      </c>
      <c r="K11889" s="327">
        <v>3209.77</v>
      </c>
      <c r="L11889" s="43">
        <v>6.5249547850848515</v>
      </c>
      <c r="M11889" s="43">
        <v>11.500211849445661</v>
      </c>
      <c r="N11889" s="43">
        <v>5.9963032525415132</v>
      </c>
      <c r="O11889" s="43">
        <v>4.7153959159688554</v>
      </c>
      <c r="P11889" s="328"/>
      <c r="Q11889" s="328"/>
      <c r="R11889" s="328">
        <v>1</v>
      </c>
    </row>
    <row r="11890" spans="1:18" ht="24">
      <c r="A11890" s="324">
        <v>87</v>
      </c>
      <c r="B11890" s="321" t="s">
        <v>21681</v>
      </c>
      <c r="C11890" s="325" t="s">
        <v>21682</v>
      </c>
      <c r="D11890" s="326">
        <v>3307.46</v>
      </c>
      <c r="E11890" s="326">
        <v>1647</v>
      </c>
      <c r="F11890" s="326">
        <v>1363.98</v>
      </c>
      <c r="G11890" s="326">
        <v>296.48</v>
      </c>
      <c r="H11890" s="327">
        <v>28688.45</v>
      </c>
      <c r="I11890" s="327">
        <v>18940.5</v>
      </c>
      <c r="J11890" s="327">
        <v>7879.6</v>
      </c>
      <c r="K11890" s="327">
        <v>1868.35</v>
      </c>
      <c r="L11890" s="43">
        <v>8.6738615130644057</v>
      </c>
      <c r="M11890" s="43">
        <v>11.5</v>
      </c>
      <c r="N11890" s="43">
        <v>5.7769175501107055</v>
      </c>
      <c r="O11890" s="43">
        <v>6.3017741500269828</v>
      </c>
      <c r="P11890" s="328"/>
      <c r="Q11890" s="328"/>
      <c r="R11890" s="328">
        <v>1</v>
      </c>
    </row>
    <row r="11891" spans="1:18" ht="24">
      <c r="A11891" s="324">
        <v>88</v>
      </c>
      <c r="B11891" s="321" t="s">
        <v>21683</v>
      </c>
      <c r="C11891" s="325" t="s">
        <v>21684</v>
      </c>
      <c r="D11891" s="326">
        <v>1852.93</v>
      </c>
      <c r="E11891" s="326">
        <v>861.32</v>
      </c>
      <c r="F11891" s="326">
        <v>721.28</v>
      </c>
      <c r="G11891" s="326">
        <v>270.33</v>
      </c>
      <c r="H11891" s="327">
        <v>15829.05</v>
      </c>
      <c r="I11891" s="327">
        <v>9905.18</v>
      </c>
      <c r="J11891" s="327">
        <v>4309.6499999999996</v>
      </c>
      <c r="K11891" s="327">
        <v>1614.22</v>
      </c>
      <c r="L11891" s="43">
        <v>8.5427134322397489</v>
      </c>
      <c r="M11891" s="43">
        <v>11.5</v>
      </c>
      <c r="N11891" s="43">
        <v>5.9750027728482697</v>
      </c>
      <c r="O11891" s="43">
        <v>5.9712943439499879</v>
      </c>
      <c r="P11891" s="328"/>
      <c r="Q11891" s="328"/>
      <c r="R11891" s="328">
        <v>1</v>
      </c>
    </row>
    <row r="11892" spans="1:18" ht="24">
      <c r="A11892" s="324">
        <v>89</v>
      </c>
      <c r="B11892" s="321" t="s">
        <v>21685</v>
      </c>
      <c r="C11892" s="325" t="s">
        <v>21686</v>
      </c>
      <c r="D11892" s="326">
        <v>1074.8599999999999</v>
      </c>
      <c r="E11892" s="326">
        <v>328.18</v>
      </c>
      <c r="F11892" s="326">
        <v>474.3</v>
      </c>
      <c r="G11892" s="326">
        <v>272.38</v>
      </c>
      <c r="H11892" s="327">
        <v>8222.2900000000009</v>
      </c>
      <c r="I11892" s="327">
        <v>3774.07</v>
      </c>
      <c r="J11892" s="327">
        <v>2875.44</v>
      </c>
      <c r="K11892" s="327">
        <v>1572.78</v>
      </c>
      <c r="L11892" s="43">
        <v>7.649638092402733</v>
      </c>
      <c r="M11892" s="43">
        <v>11.5</v>
      </c>
      <c r="N11892" s="43">
        <v>6.0624920936116382</v>
      </c>
      <c r="O11892" s="43">
        <v>5.7742124972464941</v>
      </c>
      <c r="P11892" s="328"/>
      <c r="Q11892" s="328"/>
      <c r="R11892" s="328">
        <v>1</v>
      </c>
    </row>
    <row r="11893" spans="1:18" ht="24">
      <c r="A11893" s="324">
        <v>90</v>
      </c>
      <c r="B11893" s="321" t="s">
        <v>21687</v>
      </c>
      <c r="C11893" s="325" t="s">
        <v>21688</v>
      </c>
      <c r="D11893" s="326">
        <v>1027.55</v>
      </c>
      <c r="E11893" s="326">
        <v>259.86</v>
      </c>
      <c r="F11893" s="326">
        <v>496.67</v>
      </c>
      <c r="G11893" s="326">
        <v>271.02</v>
      </c>
      <c r="H11893" s="327">
        <v>7578.49</v>
      </c>
      <c r="I11893" s="327">
        <v>2988.39</v>
      </c>
      <c r="J11893" s="327">
        <v>3032.96</v>
      </c>
      <c r="K11893" s="327">
        <v>1557.14</v>
      </c>
      <c r="L11893" s="43">
        <v>7.3753004719964963</v>
      </c>
      <c r="M11893" s="43">
        <v>11.499999999999998</v>
      </c>
      <c r="N11893" s="43">
        <v>6.1065898886584655</v>
      </c>
      <c r="O11893" s="43">
        <v>5.7454800383735529</v>
      </c>
      <c r="P11893" s="328"/>
      <c r="Q11893" s="328"/>
      <c r="R11893" s="328">
        <v>1</v>
      </c>
    </row>
    <row r="11894" spans="1:18" ht="24">
      <c r="A11894" s="324">
        <v>91</v>
      </c>
      <c r="B11894" s="321" t="s">
        <v>21689</v>
      </c>
      <c r="C11894" s="325" t="s">
        <v>21690</v>
      </c>
      <c r="D11894" s="326">
        <v>911.06</v>
      </c>
      <c r="E11894" s="326">
        <v>259.86</v>
      </c>
      <c r="F11894" s="326">
        <v>380.18</v>
      </c>
      <c r="G11894" s="326">
        <v>271.02</v>
      </c>
      <c r="H11894" s="327">
        <v>6854.88</v>
      </c>
      <c r="I11894" s="327">
        <v>2988.39</v>
      </c>
      <c r="J11894" s="327">
        <v>2309.35</v>
      </c>
      <c r="K11894" s="327">
        <v>1557.14</v>
      </c>
      <c r="L11894" s="43">
        <v>7.5240708625117998</v>
      </c>
      <c r="M11894" s="43">
        <v>11.499999999999998</v>
      </c>
      <c r="N11894" s="43">
        <v>6.0743595139144615</v>
      </c>
      <c r="O11894" s="43">
        <v>5.7454800383735529</v>
      </c>
      <c r="P11894" s="328"/>
      <c r="Q11894" s="328"/>
      <c r="R11894" s="328">
        <v>1</v>
      </c>
    </row>
    <row r="11895" spans="1:18" ht="24">
      <c r="A11895" s="324">
        <v>92</v>
      </c>
      <c r="B11895" s="321" t="s">
        <v>21691</v>
      </c>
      <c r="C11895" s="325" t="s">
        <v>21692</v>
      </c>
      <c r="D11895" s="326">
        <v>1275.21</v>
      </c>
      <c r="E11895" s="326">
        <v>328.18</v>
      </c>
      <c r="F11895" s="326">
        <v>781.52</v>
      </c>
      <c r="G11895" s="326">
        <v>165.51</v>
      </c>
      <c r="H11895" s="327">
        <v>9420.9</v>
      </c>
      <c r="I11895" s="327">
        <v>3774.07</v>
      </c>
      <c r="J11895" s="327">
        <v>4735.05</v>
      </c>
      <c r="K11895" s="327">
        <v>911.78</v>
      </c>
      <c r="L11895" s="43">
        <v>7.3877243748088546</v>
      </c>
      <c r="M11895" s="43">
        <v>11.5</v>
      </c>
      <c r="N11895" s="43">
        <v>6.058770089057222</v>
      </c>
      <c r="O11895" s="43">
        <v>5.5089118482266937</v>
      </c>
      <c r="P11895" s="328"/>
      <c r="Q11895" s="328"/>
      <c r="R11895" s="328">
        <v>1</v>
      </c>
    </row>
    <row r="11896" spans="1:18" ht="12.75" customHeight="1">
      <c r="A11896" s="628" t="s">
        <v>21693</v>
      </c>
      <c r="B11896" s="629"/>
      <c r="C11896" s="629"/>
      <c r="D11896" s="629"/>
      <c r="E11896" s="629"/>
      <c r="F11896" s="629"/>
      <c r="G11896" s="629"/>
      <c r="H11896" s="629"/>
      <c r="I11896" s="629"/>
      <c r="J11896" s="629"/>
      <c r="K11896" s="629"/>
      <c r="L11896" s="629"/>
      <c r="M11896" s="629"/>
      <c r="N11896" s="629"/>
      <c r="O11896" s="629"/>
      <c r="P11896" s="629"/>
      <c r="Q11896" s="629"/>
      <c r="R11896" s="629"/>
    </row>
    <row r="11897" spans="1:18" ht="24">
      <c r="A11897" s="324">
        <v>93</v>
      </c>
      <c r="B11897" s="321" t="s">
        <v>21694</v>
      </c>
      <c r="C11897" s="325" t="s">
        <v>21695</v>
      </c>
      <c r="D11897" s="326">
        <v>3283</v>
      </c>
      <c r="E11897" s="326">
        <v>581.84</v>
      </c>
      <c r="F11897" s="326">
        <v>1814.16</v>
      </c>
      <c r="G11897" s="326">
        <v>887</v>
      </c>
      <c r="H11897" s="327">
        <v>21541.96</v>
      </c>
      <c r="I11897" s="327">
        <v>6691.35</v>
      </c>
      <c r="J11897" s="327">
        <v>9794.27</v>
      </c>
      <c r="K11897" s="327">
        <v>5056.34</v>
      </c>
      <c r="L11897" s="43">
        <v>6.5616692049954306</v>
      </c>
      <c r="M11897" s="43">
        <v>11.500326550254366</v>
      </c>
      <c r="N11897" s="43">
        <v>5.3987906248621949</v>
      </c>
      <c r="O11897" s="43">
        <v>5.7004960541149945</v>
      </c>
      <c r="P11897" s="328"/>
      <c r="Q11897" s="328"/>
      <c r="R11897" s="328">
        <v>2</v>
      </c>
    </row>
    <row r="11898" spans="1:18" ht="24">
      <c r="A11898" s="324">
        <v>94</v>
      </c>
      <c r="B11898" s="321" t="s">
        <v>21696</v>
      </c>
      <c r="C11898" s="325" t="s">
        <v>21697</v>
      </c>
      <c r="D11898" s="326">
        <v>1897.79</v>
      </c>
      <c r="E11898" s="326">
        <v>223.97</v>
      </c>
      <c r="F11898" s="326">
        <v>951.83</v>
      </c>
      <c r="G11898" s="326">
        <v>721.99</v>
      </c>
      <c r="H11898" s="327">
        <v>11833.48</v>
      </c>
      <c r="I11898" s="327">
        <v>2575.69</v>
      </c>
      <c r="J11898" s="327">
        <v>5180.6099999999997</v>
      </c>
      <c r="K11898" s="327">
        <v>4077.18</v>
      </c>
      <c r="L11898" s="43">
        <v>6.2354001233013134</v>
      </c>
      <c r="M11898" s="43">
        <v>11.500156270929143</v>
      </c>
      <c r="N11898" s="43">
        <v>5.4427891535253137</v>
      </c>
      <c r="O11898" s="43">
        <v>5.6471419271735064</v>
      </c>
      <c r="P11898" s="328"/>
      <c r="Q11898" s="328"/>
      <c r="R11898" s="328">
        <v>2</v>
      </c>
    </row>
    <row r="11899" spans="1:18" ht="12.75" customHeight="1">
      <c r="A11899" s="628" t="s">
        <v>21698</v>
      </c>
      <c r="B11899" s="629"/>
      <c r="C11899" s="629"/>
      <c r="D11899" s="629"/>
      <c r="E11899" s="629"/>
      <c r="F11899" s="629"/>
      <c r="G11899" s="629"/>
      <c r="H11899" s="629"/>
      <c r="I11899" s="629"/>
      <c r="J11899" s="629"/>
      <c r="K11899" s="629"/>
      <c r="L11899" s="629"/>
      <c r="M11899" s="629"/>
      <c r="N11899" s="629"/>
      <c r="O11899" s="629"/>
      <c r="P11899" s="629"/>
      <c r="Q11899" s="629"/>
      <c r="R11899" s="629"/>
    </row>
    <row r="11900" spans="1:18" ht="12.75" customHeight="1">
      <c r="A11900" s="628" t="s">
        <v>21699</v>
      </c>
      <c r="B11900" s="629"/>
      <c r="C11900" s="629"/>
      <c r="D11900" s="629"/>
      <c r="E11900" s="629"/>
      <c r="F11900" s="629"/>
      <c r="G11900" s="629"/>
      <c r="H11900" s="629"/>
      <c r="I11900" s="629"/>
      <c r="J11900" s="629"/>
      <c r="K11900" s="629"/>
      <c r="L11900" s="629"/>
      <c r="M11900" s="629"/>
      <c r="N11900" s="629"/>
      <c r="O11900" s="629"/>
      <c r="P11900" s="629"/>
      <c r="Q11900" s="629"/>
      <c r="R11900" s="629"/>
    </row>
    <row r="11901" spans="1:18" ht="24">
      <c r="A11901" s="324">
        <v>95</v>
      </c>
      <c r="B11901" s="321" t="s">
        <v>21700</v>
      </c>
      <c r="C11901" s="325" t="s">
        <v>21701</v>
      </c>
      <c r="D11901" s="326">
        <v>8100.2</v>
      </c>
      <c r="E11901" s="326">
        <v>1991.57</v>
      </c>
      <c r="F11901" s="326">
        <v>4861.49</v>
      </c>
      <c r="G11901" s="326">
        <v>1247.1400000000001</v>
      </c>
      <c r="H11901" s="327">
        <v>56719.08</v>
      </c>
      <c r="I11901" s="327">
        <v>22903.86</v>
      </c>
      <c r="J11901" s="327">
        <v>28777.5</v>
      </c>
      <c r="K11901" s="327">
        <v>5037.72</v>
      </c>
      <c r="L11901" s="43">
        <v>7.00218266215649</v>
      </c>
      <c r="M11901" s="43">
        <v>11.500404203718675</v>
      </c>
      <c r="N11901" s="43">
        <v>5.9194814758438259</v>
      </c>
      <c r="O11901" s="43">
        <v>4.0394181888160112</v>
      </c>
      <c r="P11901" s="328"/>
      <c r="Q11901" s="328"/>
      <c r="R11901" s="328">
        <v>1</v>
      </c>
    </row>
    <row r="11902" spans="1:18" ht="24">
      <c r="A11902" s="324">
        <v>96</v>
      </c>
      <c r="B11902" s="321" t="s">
        <v>21702</v>
      </c>
      <c r="C11902" s="325" t="s">
        <v>21703</v>
      </c>
      <c r="D11902" s="326">
        <v>5010.54</v>
      </c>
      <c r="E11902" s="326">
        <v>995.79</v>
      </c>
      <c r="F11902" s="326">
        <v>2817.39</v>
      </c>
      <c r="G11902" s="326">
        <v>1197.3599999999999</v>
      </c>
      <c r="H11902" s="327">
        <v>32494.22</v>
      </c>
      <c r="I11902" s="327">
        <v>11451.93</v>
      </c>
      <c r="J11902" s="327">
        <v>16343.4</v>
      </c>
      <c r="K11902" s="327">
        <v>4698.8900000000003</v>
      </c>
      <c r="L11902" s="43">
        <v>6.4851732547789265</v>
      </c>
      <c r="M11902" s="43">
        <v>11.500346458590668</v>
      </c>
      <c r="N11902" s="43">
        <v>5.8009008337503865</v>
      </c>
      <c r="O11902" s="43">
        <v>3.9243752923097488</v>
      </c>
      <c r="P11902" s="328"/>
      <c r="Q11902" s="328"/>
      <c r="R11902" s="328">
        <v>1</v>
      </c>
    </row>
    <row r="11903" spans="1:18" ht="24">
      <c r="A11903" s="324">
        <v>97</v>
      </c>
      <c r="B11903" s="321" t="s">
        <v>21704</v>
      </c>
      <c r="C11903" s="325" t="s">
        <v>21705</v>
      </c>
      <c r="D11903" s="326">
        <v>4329.3999999999996</v>
      </c>
      <c r="E11903" s="326">
        <v>811.47</v>
      </c>
      <c r="F11903" s="326">
        <v>2313.77</v>
      </c>
      <c r="G11903" s="326">
        <v>1204.1600000000001</v>
      </c>
      <c r="H11903" s="327">
        <v>27359.16</v>
      </c>
      <c r="I11903" s="327">
        <v>9332.26</v>
      </c>
      <c r="J11903" s="327">
        <v>13317.59</v>
      </c>
      <c r="K11903" s="327">
        <v>4709.3100000000004</v>
      </c>
      <c r="L11903" s="43">
        <v>6.3193883679031737</v>
      </c>
      <c r="M11903" s="43">
        <v>11.500437477663992</v>
      </c>
      <c r="N11903" s="43">
        <v>5.7557968164510731</v>
      </c>
      <c r="O11903" s="43">
        <v>3.910867326601116</v>
      </c>
      <c r="P11903" s="328"/>
      <c r="Q11903" s="328"/>
      <c r="R11903" s="328">
        <v>1</v>
      </c>
    </row>
    <row r="11904" spans="1:18" ht="12.75" customHeight="1">
      <c r="A11904" s="628" t="s">
        <v>21706</v>
      </c>
      <c r="B11904" s="629"/>
      <c r="C11904" s="629"/>
      <c r="D11904" s="629"/>
      <c r="E11904" s="629"/>
      <c r="F11904" s="629"/>
      <c r="G11904" s="629"/>
      <c r="H11904" s="629"/>
      <c r="I11904" s="629"/>
      <c r="J11904" s="629"/>
      <c r="K11904" s="629"/>
      <c r="L11904" s="629"/>
      <c r="M11904" s="629"/>
      <c r="N11904" s="629"/>
      <c r="O11904" s="629"/>
      <c r="P11904" s="629"/>
      <c r="Q11904" s="629"/>
      <c r="R11904" s="629"/>
    </row>
    <row r="11905" spans="1:18" ht="36">
      <c r="A11905" s="324">
        <v>98</v>
      </c>
      <c r="B11905" s="321" t="s">
        <v>21707</v>
      </c>
      <c r="C11905" s="325" t="s">
        <v>21708</v>
      </c>
      <c r="D11905" s="326">
        <v>7969.44</v>
      </c>
      <c r="E11905" s="326">
        <v>463.75</v>
      </c>
      <c r="F11905" s="326">
        <v>858.11</v>
      </c>
      <c r="G11905" s="326">
        <v>6647.58</v>
      </c>
      <c r="H11905" s="327">
        <v>46819.78</v>
      </c>
      <c r="I11905" s="327">
        <v>5333.15</v>
      </c>
      <c r="J11905" s="327">
        <v>5105.5200000000004</v>
      </c>
      <c r="K11905" s="327">
        <v>36381.11</v>
      </c>
      <c r="L11905" s="43">
        <v>5.8749146740548897</v>
      </c>
      <c r="M11905" s="43">
        <v>11.500053908355794</v>
      </c>
      <c r="N11905" s="43">
        <v>5.9497267250119457</v>
      </c>
      <c r="O11905" s="43">
        <v>5.4728352272556329</v>
      </c>
      <c r="P11905" s="328"/>
      <c r="Q11905" s="328"/>
      <c r="R11905" s="328">
        <v>2</v>
      </c>
    </row>
    <row r="11906" spans="1:18" ht="36">
      <c r="A11906" s="324">
        <v>99</v>
      </c>
      <c r="B11906" s="321" t="s">
        <v>21709</v>
      </c>
      <c r="C11906" s="325" t="s">
        <v>21710</v>
      </c>
      <c r="D11906" s="326">
        <v>3195.44</v>
      </c>
      <c r="E11906" s="326">
        <v>283.18</v>
      </c>
      <c r="F11906" s="326">
        <v>931.7</v>
      </c>
      <c r="G11906" s="326">
        <v>1980.56</v>
      </c>
      <c r="H11906" s="327">
        <v>17746.07</v>
      </c>
      <c r="I11906" s="327">
        <v>3256.52</v>
      </c>
      <c r="J11906" s="327">
        <v>5271.08</v>
      </c>
      <c r="K11906" s="327">
        <v>9218.4699999999993</v>
      </c>
      <c r="L11906" s="43">
        <v>5.5535606989960691</v>
      </c>
      <c r="M11906" s="43">
        <v>11.499823433858323</v>
      </c>
      <c r="N11906" s="43">
        <v>5.6574863153375547</v>
      </c>
      <c r="O11906" s="43">
        <v>4.6544765116936624</v>
      </c>
      <c r="P11906" s="328"/>
      <c r="Q11906" s="328"/>
      <c r="R11906" s="328">
        <v>2</v>
      </c>
    </row>
    <row r="11907" spans="1:18" ht="12.75" customHeight="1">
      <c r="A11907" s="628" t="s">
        <v>21711</v>
      </c>
      <c r="B11907" s="629"/>
      <c r="C11907" s="629"/>
      <c r="D11907" s="629"/>
      <c r="E11907" s="629"/>
      <c r="F11907" s="629"/>
      <c r="G11907" s="629"/>
      <c r="H11907" s="629"/>
      <c r="I11907" s="629"/>
      <c r="J11907" s="629"/>
      <c r="K11907" s="629"/>
      <c r="L11907" s="629"/>
      <c r="M11907" s="629"/>
      <c r="N11907" s="629"/>
      <c r="O11907" s="629"/>
      <c r="P11907" s="629"/>
      <c r="Q11907" s="629"/>
      <c r="R11907" s="629"/>
    </row>
    <row r="11908" spans="1:18" ht="36">
      <c r="A11908" s="324">
        <v>100</v>
      </c>
      <c r="B11908" s="321" t="s">
        <v>21712</v>
      </c>
      <c r="C11908" s="325" t="s">
        <v>21713</v>
      </c>
      <c r="D11908" s="326">
        <v>2359.0500000000002</v>
      </c>
      <c r="E11908" s="326">
        <v>441.22</v>
      </c>
      <c r="F11908" s="326">
        <v>814.4</v>
      </c>
      <c r="G11908" s="326">
        <v>1103.43</v>
      </c>
      <c r="H11908" s="327">
        <v>14153.09</v>
      </c>
      <c r="I11908" s="327">
        <v>5074.18</v>
      </c>
      <c r="J11908" s="327">
        <v>4937.5600000000004</v>
      </c>
      <c r="K11908" s="327">
        <v>4141.3500000000004</v>
      </c>
      <c r="L11908" s="43">
        <v>5.9994870816642285</v>
      </c>
      <c r="M11908" s="43">
        <v>11.500339966456643</v>
      </c>
      <c r="N11908" s="43">
        <v>6.0628192534381142</v>
      </c>
      <c r="O11908" s="43">
        <v>3.7531605992224248</v>
      </c>
      <c r="P11908" s="328"/>
      <c r="Q11908" s="328"/>
      <c r="R11908" s="328">
        <v>3</v>
      </c>
    </row>
    <row r="11909" spans="1:18" ht="36">
      <c r="A11909" s="324">
        <v>101</v>
      </c>
      <c r="B11909" s="321" t="s">
        <v>21714</v>
      </c>
      <c r="C11909" s="325" t="s">
        <v>21715</v>
      </c>
      <c r="D11909" s="326">
        <v>1828.56</v>
      </c>
      <c r="E11909" s="326">
        <v>120.65</v>
      </c>
      <c r="F11909" s="326">
        <v>596.17999999999995</v>
      </c>
      <c r="G11909" s="326">
        <v>1111.73</v>
      </c>
      <c r="H11909" s="327">
        <v>8855.94</v>
      </c>
      <c r="I11909" s="327">
        <v>1387.47</v>
      </c>
      <c r="J11909" s="327">
        <v>3316.67</v>
      </c>
      <c r="K11909" s="327">
        <v>4151.8</v>
      </c>
      <c r="L11909" s="43">
        <v>4.8431224570153564</v>
      </c>
      <c r="M11909" s="43">
        <v>11.499958557811851</v>
      </c>
      <c r="N11909" s="43">
        <v>5.5632023885403745</v>
      </c>
      <c r="O11909" s="43">
        <v>3.7345398612972573</v>
      </c>
      <c r="P11909" s="328"/>
      <c r="Q11909" s="328"/>
      <c r="R11909" s="328">
        <v>3</v>
      </c>
    </row>
    <row r="11910" spans="1:18" ht="12.75" customHeight="1">
      <c r="A11910" s="628" t="s">
        <v>21716</v>
      </c>
      <c r="B11910" s="629"/>
      <c r="C11910" s="629"/>
      <c r="D11910" s="629"/>
      <c r="E11910" s="629"/>
      <c r="F11910" s="629"/>
      <c r="G11910" s="629"/>
      <c r="H11910" s="629"/>
      <c r="I11910" s="629"/>
      <c r="J11910" s="629"/>
      <c r="K11910" s="629"/>
      <c r="L11910" s="629"/>
      <c r="M11910" s="629"/>
      <c r="N11910" s="629"/>
      <c r="O11910" s="629"/>
      <c r="P11910" s="629"/>
      <c r="Q11910" s="629"/>
      <c r="R11910" s="629"/>
    </row>
    <row r="11911" spans="1:18" ht="24">
      <c r="A11911" s="324">
        <v>102</v>
      </c>
      <c r="B11911" s="321" t="s">
        <v>21717</v>
      </c>
      <c r="C11911" s="325" t="s">
        <v>21718</v>
      </c>
      <c r="D11911" s="326">
        <v>3082.77</v>
      </c>
      <c r="E11911" s="326">
        <v>429.69</v>
      </c>
      <c r="F11911" s="326">
        <v>1433.89</v>
      </c>
      <c r="G11911" s="326">
        <v>1219.19</v>
      </c>
      <c r="H11911" s="327">
        <v>17490.71</v>
      </c>
      <c r="I11911" s="327">
        <v>4941.63</v>
      </c>
      <c r="J11911" s="327">
        <v>7792.46</v>
      </c>
      <c r="K11911" s="327">
        <v>4756.62</v>
      </c>
      <c r="L11911" s="43">
        <v>5.6736993028996645</v>
      </c>
      <c r="M11911" s="43">
        <v>11.500453815541437</v>
      </c>
      <c r="N11911" s="43">
        <v>5.4344893959787708</v>
      </c>
      <c r="O11911" s="43">
        <v>3.901459165511528</v>
      </c>
      <c r="P11911" s="328"/>
      <c r="Q11911" s="328"/>
      <c r="R11911" s="328">
        <v>4</v>
      </c>
    </row>
    <row r="11912" spans="1:18" ht="24">
      <c r="A11912" s="324">
        <v>103</v>
      </c>
      <c r="B11912" s="321" t="s">
        <v>21719</v>
      </c>
      <c r="C11912" s="325" t="s">
        <v>21720</v>
      </c>
      <c r="D11912" s="326">
        <v>2744.34</v>
      </c>
      <c r="E11912" s="326">
        <v>381.2</v>
      </c>
      <c r="F11912" s="326">
        <v>1151.23</v>
      </c>
      <c r="G11912" s="326">
        <v>1211.9100000000001</v>
      </c>
      <c r="H11912" s="327">
        <v>15389.11</v>
      </c>
      <c r="I11912" s="327">
        <v>4383.95</v>
      </c>
      <c r="J11912" s="327">
        <v>6291.1</v>
      </c>
      <c r="K11912" s="327">
        <v>4714.0600000000004</v>
      </c>
      <c r="L11912" s="43">
        <v>5.6075814221269962</v>
      </c>
      <c r="M11912" s="43">
        <v>11.500393494228751</v>
      </c>
      <c r="N11912" s="43">
        <v>5.4646769107823809</v>
      </c>
      <c r="O11912" s="43">
        <v>3.8897772936934261</v>
      </c>
      <c r="P11912" s="328"/>
      <c r="Q11912" s="328"/>
      <c r="R11912" s="328">
        <v>4</v>
      </c>
    </row>
    <row r="11913" spans="1:18" ht="24">
      <c r="A11913" s="324">
        <v>104</v>
      </c>
      <c r="B11913" s="321" t="s">
        <v>21721</v>
      </c>
      <c r="C11913" s="325" t="s">
        <v>21722</v>
      </c>
      <c r="D11913" s="326">
        <v>2433.56</v>
      </c>
      <c r="E11913" s="326">
        <v>317.89</v>
      </c>
      <c r="F11913" s="326">
        <v>951.22</v>
      </c>
      <c r="G11913" s="326">
        <v>1164.45</v>
      </c>
      <c r="H11913" s="327">
        <v>13429.54</v>
      </c>
      <c r="I11913" s="327">
        <v>3655.88</v>
      </c>
      <c r="J11913" s="327">
        <v>5309.29</v>
      </c>
      <c r="K11913" s="327">
        <v>4464.37</v>
      </c>
      <c r="L11913" s="43">
        <v>5.5184749913706677</v>
      </c>
      <c r="M11913" s="43">
        <v>11.500456132624494</v>
      </c>
      <c r="N11913" s="43">
        <v>5.5815584197136303</v>
      </c>
      <c r="O11913" s="43">
        <v>3.8338872429043751</v>
      </c>
      <c r="P11913" s="328"/>
      <c r="Q11913" s="328"/>
      <c r="R11913" s="328">
        <v>4</v>
      </c>
    </row>
    <row r="11914" spans="1:18" ht="12.75" customHeight="1">
      <c r="A11914" s="628" t="s">
        <v>21723</v>
      </c>
      <c r="B11914" s="629"/>
      <c r="C11914" s="629"/>
      <c r="D11914" s="629"/>
      <c r="E11914" s="629"/>
      <c r="F11914" s="629"/>
      <c r="G11914" s="629"/>
      <c r="H11914" s="629"/>
      <c r="I11914" s="629"/>
      <c r="J11914" s="629"/>
      <c r="K11914" s="629"/>
      <c r="L11914" s="629"/>
      <c r="M11914" s="629"/>
      <c r="N11914" s="629"/>
      <c r="O11914" s="629"/>
      <c r="P11914" s="629"/>
      <c r="Q11914" s="629"/>
      <c r="R11914" s="629"/>
    </row>
    <row r="11915" spans="1:18" ht="24">
      <c r="A11915" s="324">
        <v>105</v>
      </c>
      <c r="B11915" s="321" t="s">
        <v>21724</v>
      </c>
      <c r="C11915" s="325" t="s">
        <v>21725</v>
      </c>
      <c r="D11915" s="326">
        <v>3408.14</v>
      </c>
      <c r="E11915" s="326">
        <v>684</v>
      </c>
      <c r="F11915" s="326">
        <v>1793.68</v>
      </c>
      <c r="G11915" s="326">
        <v>930.46</v>
      </c>
      <c r="H11915" s="327">
        <v>22882.7</v>
      </c>
      <c r="I11915" s="327">
        <v>7866</v>
      </c>
      <c r="J11915" s="327">
        <v>9707.68</v>
      </c>
      <c r="K11915" s="327">
        <v>5309.02</v>
      </c>
      <c r="L11915" s="43">
        <v>6.7141314617357271</v>
      </c>
      <c r="M11915" s="43">
        <v>11.5</v>
      </c>
      <c r="N11915" s="43">
        <v>5.4121582445029217</v>
      </c>
      <c r="O11915" s="43">
        <v>5.7058014315499861</v>
      </c>
      <c r="P11915" s="328"/>
      <c r="Q11915" s="328"/>
      <c r="R11915" s="328">
        <v>5</v>
      </c>
    </row>
    <row r="11916" spans="1:18" ht="24">
      <c r="A11916" s="324">
        <v>106</v>
      </c>
      <c r="B11916" s="321" t="s">
        <v>21726</v>
      </c>
      <c r="C11916" s="325" t="s">
        <v>21727</v>
      </c>
      <c r="D11916" s="326">
        <v>2268.0700000000002</v>
      </c>
      <c r="E11916" s="326">
        <v>432.29</v>
      </c>
      <c r="F11916" s="326">
        <v>1075.6600000000001</v>
      </c>
      <c r="G11916" s="326">
        <v>760.12</v>
      </c>
      <c r="H11916" s="327">
        <v>15487.56</v>
      </c>
      <c r="I11916" s="327">
        <v>4971.3100000000004</v>
      </c>
      <c r="J11916" s="327">
        <v>6152.57</v>
      </c>
      <c r="K11916" s="327">
        <v>4363.68</v>
      </c>
      <c r="L11916" s="43">
        <v>6.8285194019584923</v>
      </c>
      <c r="M11916" s="43">
        <v>11.499942168451733</v>
      </c>
      <c r="N11916" s="43">
        <v>5.7198092334008876</v>
      </c>
      <c r="O11916" s="43">
        <v>5.7407777719307482</v>
      </c>
      <c r="P11916" s="328"/>
      <c r="Q11916" s="328"/>
      <c r="R11916" s="328">
        <v>5</v>
      </c>
    </row>
    <row r="11917" spans="1:18" ht="24">
      <c r="A11917" s="324">
        <v>107</v>
      </c>
      <c r="B11917" s="321" t="s">
        <v>21728</v>
      </c>
      <c r="C11917" s="325" t="s">
        <v>21729</v>
      </c>
      <c r="D11917" s="326">
        <v>4192.16</v>
      </c>
      <c r="E11917" s="326">
        <v>554.04</v>
      </c>
      <c r="F11917" s="326">
        <v>2073.86</v>
      </c>
      <c r="G11917" s="326">
        <v>1564.26</v>
      </c>
      <c r="H11917" s="327">
        <v>26560.74</v>
      </c>
      <c r="I11917" s="327">
        <v>6371.46</v>
      </c>
      <c r="J11917" s="327">
        <v>11250.93</v>
      </c>
      <c r="K11917" s="327">
        <v>8938.35</v>
      </c>
      <c r="L11917" s="43">
        <v>6.3358125644059395</v>
      </c>
      <c r="M11917" s="43">
        <v>11.5</v>
      </c>
      <c r="N11917" s="43">
        <v>5.4251154851340013</v>
      </c>
      <c r="O11917" s="43">
        <v>5.7141076291665067</v>
      </c>
      <c r="P11917" s="328"/>
      <c r="Q11917" s="328"/>
      <c r="R11917" s="328">
        <v>5</v>
      </c>
    </row>
    <row r="11918" spans="1:18" ht="12.75" customHeight="1">
      <c r="A11918" s="628" t="s">
        <v>21730</v>
      </c>
      <c r="B11918" s="629"/>
      <c r="C11918" s="629"/>
      <c r="D11918" s="629"/>
      <c r="E11918" s="629"/>
      <c r="F11918" s="629"/>
      <c r="G11918" s="629"/>
      <c r="H11918" s="629"/>
      <c r="I11918" s="629"/>
      <c r="J11918" s="629"/>
      <c r="K11918" s="629"/>
      <c r="L11918" s="629"/>
      <c r="M11918" s="629"/>
      <c r="N11918" s="629"/>
      <c r="O11918" s="629"/>
      <c r="P11918" s="629"/>
      <c r="Q11918" s="629"/>
      <c r="R11918" s="629"/>
    </row>
    <row r="11919" spans="1:18" ht="24">
      <c r="A11919" s="324">
        <v>108</v>
      </c>
      <c r="B11919" s="321" t="s">
        <v>21731</v>
      </c>
      <c r="C11919" s="325" t="s">
        <v>21732</v>
      </c>
      <c r="D11919" s="326">
        <v>5011.07</v>
      </c>
      <c r="E11919" s="326">
        <v>765.7</v>
      </c>
      <c r="F11919" s="326">
        <v>3851.17</v>
      </c>
      <c r="G11919" s="326">
        <v>394.2</v>
      </c>
      <c r="H11919" s="327">
        <v>31703.27</v>
      </c>
      <c r="I11919" s="327">
        <v>8805.89</v>
      </c>
      <c r="J11919" s="327">
        <v>20926.36</v>
      </c>
      <c r="K11919" s="327">
        <v>1971.02</v>
      </c>
      <c r="L11919" s="43">
        <v>6.326646803975998</v>
      </c>
      <c r="M11919" s="43">
        <v>11.500444038135038</v>
      </c>
      <c r="N11919" s="43">
        <v>5.4337668812334954</v>
      </c>
      <c r="O11919" s="43">
        <v>5.0000507356671742</v>
      </c>
      <c r="P11919" s="328"/>
      <c r="Q11919" s="328"/>
      <c r="R11919" s="328">
        <v>6</v>
      </c>
    </row>
    <row r="11920" spans="1:18" ht="24">
      <c r="A11920" s="324">
        <v>109</v>
      </c>
      <c r="B11920" s="321" t="s">
        <v>21733</v>
      </c>
      <c r="C11920" s="325" t="s">
        <v>21734</v>
      </c>
      <c r="D11920" s="326">
        <v>2782.33</v>
      </c>
      <c r="E11920" s="326">
        <v>411.92</v>
      </c>
      <c r="F11920" s="326">
        <v>2028.22</v>
      </c>
      <c r="G11920" s="326">
        <v>342.19</v>
      </c>
      <c r="H11920" s="327">
        <v>17391.82</v>
      </c>
      <c r="I11920" s="327">
        <v>4737.26</v>
      </c>
      <c r="J11920" s="327">
        <v>11035.22</v>
      </c>
      <c r="K11920" s="327">
        <v>1619.34</v>
      </c>
      <c r="L11920" s="43">
        <v>6.2508113703263097</v>
      </c>
      <c r="M11920" s="43">
        <v>11.50043697805399</v>
      </c>
      <c r="N11920" s="43">
        <v>5.4408397511118123</v>
      </c>
      <c r="O11920" s="43">
        <v>4.7322832344603869</v>
      </c>
      <c r="P11920" s="328"/>
      <c r="Q11920" s="328"/>
      <c r="R11920" s="328">
        <v>6</v>
      </c>
    </row>
    <row r="11921" spans="1:18" ht="12.75" customHeight="1">
      <c r="A11921" s="628" t="s">
        <v>21735</v>
      </c>
      <c r="B11921" s="629"/>
      <c r="C11921" s="629"/>
      <c r="D11921" s="629"/>
      <c r="E11921" s="629"/>
      <c r="F11921" s="629"/>
      <c r="G11921" s="629"/>
      <c r="H11921" s="629"/>
      <c r="I11921" s="629"/>
      <c r="J11921" s="629"/>
      <c r="K11921" s="629"/>
      <c r="L11921" s="629"/>
      <c r="M11921" s="629"/>
      <c r="N11921" s="629"/>
      <c r="O11921" s="629"/>
      <c r="P11921" s="629"/>
      <c r="Q11921" s="629"/>
      <c r="R11921" s="629"/>
    </row>
    <row r="11922" spans="1:18" ht="12.75" customHeight="1">
      <c r="A11922" s="628" t="s">
        <v>21736</v>
      </c>
      <c r="B11922" s="629"/>
      <c r="C11922" s="629"/>
      <c r="D11922" s="629"/>
      <c r="E11922" s="629"/>
      <c r="F11922" s="629"/>
      <c r="G11922" s="629"/>
      <c r="H11922" s="629"/>
      <c r="I11922" s="629"/>
      <c r="J11922" s="629"/>
      <c r="K11922" s="629"/>
      <c r="L11922" s="629"/>
      <c r="M11922" s="629"/>
      <c r="N11922" s="629"/>
      <c r="O11922" s="629"/>
      <c r="P11922" s="629"/>
      <c r="Q11922" s="629"/>
      <c r="R11922" s="629"/>
    </row>
    <row r="11923" spans="1:18" ht="24">
      <c r="A11923" s="324">
        <v>110</v>
      </c>
      <c r="B11923" s="321" t="s">
        <v>21737</v>
      </c>
      <c r="C11923" s="325" t="s">
        <v>21738</v>
      </c>
      <c r="D11923" s="326">
        <v>2739.55</v>
      </c>
      <c r="E11923" s="326">
        <v>625.91999999999996</v>
      </c>
      <c r="F11923" s="326">
        <v>1397.74</v>
      </c>
      <c r="G11923" s="326">
        <v>715.89</v>
      </c>
      <c r="H11923" s="327">
        <v>19527.490000000002</v>
      </c>
      <c r="I11923" s="327">
        <v>7198.36</v>
      </c>
      <c r="J11923" s="327">
        <v>8426.2999999999993</v>
      </c>
      <c r="K11923" s="327">
        <v>3902.83</v>
      </c>
      <c r="L11923" s="43">
        <v>7.127991823474658</v>
      </c>
      <c r="M11923" s="43">
        <v>11.500447341513294</v>
      </c>
      <c r="N11923" s="43">
        <v>6.0285174639060193</v>
      </c>
      <c r="O11923" s="43">
        <v>5.4517174426238668</v>
      </c>
      <c r="P11923" s="328"/>
      <c r="Q11923" s="328"/>
      <c r="R11923" s="328">
        <v>1</v>
      </c>
    </row>
    <row r="11924" spans="1:18" ht="24">
      <c r="A11924" s="324">
        <v>111</v>
      </c>
      <c r="B11924" s="321" t="s">
        <v>21739</v>
      </c>
      <c r="C11924" s="325" t="s">
        <v>21740</v>
      </c>
      <c r="D11924" s="326">
        <v>1691.38</v>
      </c>
      <c r="E11924" s="326">
        <v>330.67</v>
      </c>
      <c r="F11924" s="326">
        <v>654.88</v>
      </c>
      <c r="G11924" s="326">
        <v>705.83</v>
      </c>
      <c r="H11924" s="327">
        <v>11548.36</v>
      </c>
      <c r="I11924" s="327">
        <v>3802.84</v>
      </c>
      <c r="J11924" s="327">
        <v>3933.56</v>
      </c>
      <c r="K11924" s="327">
        <v>3811.96</v>
      </c>
      <c r="L11924" s="43">
        <v>6.8277737705305723</v>
      </c>
      <c r="M11924" s="43">
        <v>11.500408262013488</v>
      </c>
      <c r="N11924" s="43">
        <v>6.0065355484974345</v>
      </c>
      <c r="O11924" s="43">
        <v>5.4006772168935857</v>
      </c>
      <c r="P11924" s="328"/>
      <c r="Q11924" s="328"/>
      <c r="R11924" s="328">
        <v>1</v>
      </c>
    </row>
    <row r="11925" spans="1:18" ht="12.75" customHeight="1">
      <c r="A11925" s="628" t="s">
        <v>21741</v>
      </c>
      <c r="B11925" s="629"/>
      <c r="C11925" s="629"/>
      <c r="D11925" s="629"/>
      <c r="E11925" s="629"/>
      <c r="F11925" s="629"/>
      <c r="G11925" s="629"/>
      <c r="H11925" s="629"/>
      <c r="I11925" s="629"/>
      <c r="J11925" s="629"/>
      <c r="K11925" s="629"/>
      <c r="L11925" s="629"/>
      <c r="M11925" s="629"/>
      <c r="N11925" s="629"/>
      <c r="O11925" s="629"/>
      <c r="P11925" s="629"/>
      <c r="Q11925" s="629"/>
      <c r="R11925" s="629"/>
    </row>
    <row r="11926" spans="1:18" ht="36">
      <c r="A11926" s="324">
        <v>112</v>
      </c>
      <c r="B11926" s="321" t="s">
        <v>21742</v>
      </c>
      <c r="C11926" s="325" t="s">
        <v>21743</v>
      </c>
      <c r="D11926" s="326">
        <v>1968.49</v>
      </c>
      <c r="E11926" s="326">
        <v>383.44</v>
      </c>
      <c r="F11926" s="326">
        <v>808.72</v>
      </c>
      <c r="G11926" s="326">
        <v>776.33</v>
      </c>
      <c r="H11926" s="327">
        <v>13208.49</v>
      </c>
      <c r="I11926" s="327">
        <v>4409.54</v>
      </c>
      <c r="J11926" s="327">
        <v>4723.18</v>
      </c>
      <c r="K11926" s="327">
        <v>4075.77</v>
      </c>
      <c r="L11926" s="43">
        <v>6.7099604265198201</v>
      </c>
      <c r="M11926" s="43">
        <v>11.499947840600877</v>
      </c>
      <c r="N11926" s="43">
        <v>5.8403155603917307</v>
      </c>
      <c r="O11926" s="43">
        <v>5.2500483042005328</v>
      </c>
      <c r="P11926" s="328"/>
      <c r="Q11926" s="328"/>
      <c r="R11926" s="328">
        <v>2</v>
      </c>
    </row>
    <row r="11927" spans="1:18" ht="36">
      <c r="A11927" s="324">
        <v>113</v>
      </c>
      <c r="B11927" s="321" t="s">
        <v>21744</v>
      </c>
      <c r="C11927" s="325" t="s">
        <v>21745</v>
      </c>
      <c r="D11927" s="326">
        <v>1701.82</v>
      </c>
      <c r="E11927" s="326">
        <v>269.25</v>
      </c>
      <c r="F11927" s="326">
        <v>670.08</v>
      </c>
      <c r="G11927" s="326">
        <v>762.49</v>
      </c>
      <c r="H11927" s="327">
        <v>11040.81</v>
      </c>
      <c r="I11927" s="327">
        <v>3096.35</v>
      </c>
      <c r="J11927" s="327">
        <v>3906.22</v>
      </c>
      <c r="K11927" s="327">
        <v>4038.24</v>
      </c>
      <c r="L11927" s="43">
        <v>6.4876485174695322</v>
      </c>
      <c r="M11927" s="43">
        <v>11.499907149489323</v>
      </c>
      <c r="N11927" s="43">
        <v>5.8294830468003811</v>
      </c>
      <c r="O11927" s="43">
        <v>5.2961219163530009</v>
      </c>
      <c r="P11927" s="328"/>
      <c r="Q11927" s="328"/>
      <c r="R11927" s="328">
        <v>2</v>
      </c>
    </row>
    <row r="11928" spans="1:18" ht="12.75" customHeight="1">
      <c r="A11928" s="628" t="s">
        <v>21746</v>
      </c>
      <c r="B11928" s="629"/>
      <c r="C11928" s="629"/>
      <c r="D11928" s="629"/>
      <c r="E11928" s="629"/>
      <c r="F11928" s="629"/>
      <c r="G11928" s="629"/>
      <c r="H11928" s="629"/>
      <c r="I11928" s="629"/>
      <c r="J11928" s="629"/>
      <c r="K11928" s="629"/>
      <c r="L11928" s="629"/>
      <c r="M11928" s="629"/>
      <c r="N11928" s="629"/>
      <c r="O11928" s="629"/>
      <c r="P11928" s="629"/>
      <c r="Q11928" s="629"/>
      <c r="R11928" s="629"/>
    </row>
    <row r="11929" spans="1:18" ht="24">
      <c r="A11929" s="324">
        <v>114</v>
      </c>
      <c r="B11929" s="321" t="s">
        <v>21747</v>
      </c>
      <c r="C11929" s="325" t="s">
        <v>21748</v>
      </c>
      <c r="D11929" s="326">
        <v>2171.09</v>
      </c>
      <c r="E11929" s="326">
        <v>334.28</v>
      </c>
      <c r="F11929" s="326">
        <v>1078.26</v>
      </c>
      <c r="G11929" s="326">
        <v>758.55</v>
      </c>
      <c r="H11929" s="327">
        <v>14097.66</v>
      </c>
      <c r="I11929" s="327">
        <v>3844.22</v>
      </c>
      <c r="J11929" s="327">
        <v>6266.59</v>
      </c>
      <c r="K11929" s="327">
        <v>3986.85</v>
      </c>
      <c r="L11929" s="43">
        <v>6.4933558719352948</v>
      </c>
      <c r="M11929" s="43">
        <v>11.5</v>
      </c>
      <c r="N11929" s="43">
        <v>5.8117615417431789</v>
      </c>
      <c r="O11929" s="43">
        <v>5.2558829345461735</v>
      </c>
      <c r="P11929" s="328"/>
      <c r="Q11929" s="328"/>
      <c r="R11929" s="328">
        <v>3</v>
      </c>
    </row>
    <row r="11930" spans="1:18" ht="24">
      <c r="A11930" s="324">
        <v>115</v>
      </c>
      <c r="B11930" s="321" t="s">
        <v>21749</v>
      </c>
      <c r="C11930" s="325" t="s">
        <v>21750</v>
      </c>
      <c r="D11930" s="326">
        <v>2030.79</v>
      </c>
      <c r="E11930" s="326">
        <v>317.2</v>
      </c>
      <c r="F11930" s="326">
        <v>948.34</v>
      </c>
      <c r="G11930" s="326">
        <v>765.25</v>
      </c>
      <c r="H11930" s="327">
        <v>13171.46</v>
      </c>
      <c r="I11930" s="327">
        <v>3647.8</v>
      </c>
      <c r="J11930" s="327">
        <v>5507.51</v>
      </c>
      <c r="K11930" s="327">
        <v>4016.15</v>
      </c>
      <c r="L11930" s="43">
        <v>6.4858798792588104</v>
      </c>
      <c r="M11930" s="43">
        <v>11.500000000000002</v>
      </c>
      <c r="N11930" s="43">
        <v>5.8075268363667041</v>
      </c>
      <c r="O11930" s="43">
        <v>5.2481541979745181</v>
      </c>
      <c r="P11930" s="328"/>
      <c r="Q11930" s="328"/>
      <c r="R11930" s="328">
        <v>3</v>
      </c>
    </row>
    <row r="11931" spans="1:18" ht="12.75" customHeight="1">
      <c r="A11931" s="628" t="s">
        <v>21751</v>
      </c>
      <c r="B11931" s="629"/>
      <c r="C11931" s="629"/>
      <c r="D11931" s="629"/>
      <c r="E11931" s="629"/>
      <c r="F11931" s="629"/>
      <c r="G11931" s="629"/>
      <c r="H11931" s="629"/>
      <c r="I11931" s="629"/>
      <c r="J11931" s="629"/>
      <c r="K11931" s="629"/>
      <c r="L11931" s="629"/>
      <c r="M11931" s="629"/>
      <c r="N11931" s="629"/>
      <c r="O11931" s="629"/>
      <c r="P11931" s="629"/>
      <c r="Q11931" s="629"/>
      <c r="R11931" s="629"/>
    </row>
    <row r="11932" spans="1:18" ht="12.75" customHeight="1">
      <c r="A11932" s="628" t="s">
        <v>21752</v>
      </c>
      <c r="B11932" s="629"/>
      <c r="C11932" s="629"/>
      <c r="D11932" s="629"/>
      <c r="E11932" s="629"/>
      <c r="F11932" s="629"/>
      <c r="G11932" s="629"/>
      <c r="H11932" s="629"/>
      <c r="I11932" s="629"/>
      <c r="J11932" s="629"/>
      <c r="K11932" s="629"/>
      <c r="L11932" s="629"/>
      <c r="M11932" s="629"/>
      <c r="N11932" s="629"/>
      <c r="O11932" s="629"/>
      <c r="P11932" s="629"/>
      <c r="Q11932" s="629"/>
      <c r="R11932" s="629"/>
    </row>
    <row r="11933" spans="1:18" ht="24">
      <c r="A11933" s="324">
        <v>116</v>
      </c>
      <c r="B11933" s="321" t="s">
        <v>21753</v>
      </c>
      <c r="C11933" s="325" t="s">
        <v>21754</v>
      </c>
      <c r="D11933" s="326">
        <v>2023.8</v>
      </c>
      <c r="E11933" s="326">
        <v>369.93</v>
      </c>
      <c r="F11933" s="326">
        <v>849.81</v>
      </c>
      <c r="G11933" s="326">
        <v>804.06</v>
      </c>
      <c r="H11933" s="327">
        <v>13280.78</v>
      </c>
      <c r="I11933" s="327">
        <v>4254.2</v>
      </c>
      <c r="J11933" s="327">
        <v>4654.78</v>
      </c>
      <c r="K11933" s="327">
        <v>4371.8</v>
      </c>
      <c r="L11933" s="43">
        <v>6.5622986461112767</v>
      </c>
      <c r="M11933" s="43">
        <v>11.500013516070608</v>
      </c>
      <c r="N11933" s="43">
        <v>5.4774361327826222</v>
      </c>
      <c r="O11933" s="43">
        <v>5.4371564311121068</v>
      </c>
      <c r="P11933" s="328"/>
      <c r="Q11933" s="328"/>
      <c r="R11933" s="328">
        <v>1</v>
      </c>
    </row>
    <row r="11934" spans="1:18" ht="36">
      <c r="A11934" s="324">
        <v>117</v>
      </c>
      <c r="B11934" s="321" t="s">
        <v>21755</v>
      </c>
      <c r="C11934" s="325" t="s">
        <v>21756</v>
      </c>
      <c r="D11934" s="326">
        <v>2216</v>
      </c>
      <c r="E11934" s="326">
        <v>295.94</v>
      </c>
      <c r="F11934" s="326">
        <v>759.25</v>
      </c>
      <c r="G11934" s="326">
        <v>1160.81</v>
      </c>
      <c r="H11934" s="327">
        <v>13719.5</v>
      </c>
      <c r="I11934" s="327">
        <v>3403.36</v>
      </c>
      <c r="J11934" s="327">
        <v>4158.42</v>
      </c>
      <c r="K11934" s="327">
        <v>6157.72</v>
      </c>
      <c r="L11934" s="43">
        <v>6.1911101083032491</v>
      </c>
      <c r="M11934" s="43">
        <v>11.500168953166183</v>
      </c>
      <c r="N11934" s="43">
        <v>5.4770102074415545</v>
      </c>
      <c r="O11934" s="43">
        <v>5.3046751837079285</v>
      </c>
      <c r="P11934" s="328"/>
      <c r="Q11934" s="328"/>
      <c r="R11934" s="328">
        <v>1</v>
      </c>
    </row>
    <row r="11935" spans="1:18" ht="12.75" customHeight="1">
      <c r="A11935" s="628" t="s">
        <v>21757</v>
      </c>
      <c r="B11935" s="629"/>
      <c r="C11935" s="629"/>
      <c r="D11935" s="629"/>
      <c r="E11935" s="629"/>
      <c r="F11935" s="629"/>
      <c r="G11935" s="629"/>
      <c r="H11935" s="629"/>
      <c r="I11935" s="629"/>
      <c r="J11935" s="629"/>
      <c r="K11935" s="629"/>
      <c r="L11935" s="629"/>
      <c r="M11935" s="629"/>
      <c r="N11935" s="629"/>
      <c r="O11935" s="629"/>
      <c r="P11935" s="629"/>
      <c r="Q11935" s="629"/>
      <c r="R11935" s="629"/>
    </row>
    <row r="11936" spans="1:18" ht="24">
      <c r="A11936" s="324">
        <v>118</v>
      </c>
      <c r="B11936" s="321" t="s">
        <v>21758</v>
      </c>
      <c r="C11936" s="325" t="s">
        <v>21759</v>
      </c>
      <c r="D11936" s="326">
        <v>2473.02</v>
      </c>
      <c r="E11936" s="326">
        <v>318.91000000000003</v>
      </c>
      <c r="F11936" s="326">
        <v>1303.24</v>
      </c>
      <c r="G11936" s="326">
        <v>850.87</v>
      </c>
      <c r="H11936" s="327">
        <v>15547.38</v>
      </c>
      <c r="I11936" s="327">
        <v>3667.56</v>
      </c>
      <c r="J11936" s="327">
        <v>7274.7</v>
      </c>
      <c r="K11936" s="327">
        <v>4605.12</v>
      </c>
      <c r="L11936" s="43">
        <v>6.2867991362787192</v>
      </c>
      <c r="M11936" s="43">
        <v>11.500297889686744</v>
      </c>
      <c r="N11936" s="43">
        <v>5.5820109879991406</v>
      </c>
      <c r="O11936" s="43">
        <v>5.4122486396276752</v>
      </c>
      <c r="P11936" s="328"/>
      <c r="Q11936" s="328"/>
      <c r="R11936" s="328">
        <v>2</v>
      </c>
    </row>
    <row r="11937" spans="1:18" ht="12.75" customHeight="1">
      <c r="A11937" s="628" t="s">
        <v>21760</v>
      </c>
      <c r="B11937" s="629"/>
      <c r="C11937" s="629"/>
      <c r="D11937" s="629"/>
      <c r="E11937" s="629"/>
      <c r="F11937" s="629"/>
      <c r="G11937" s="629"/>
      <c r="H11937" s="629"/>
      <c r="I11937" s="629"/>
      <c r="J11937" s="629"/>
      <c r="K11937" s="629"/>
      <c r="L11937" s="629"/>
      <c r="M11937" s="629"/>
      <c r="N11937" s="629"/>
      <c r="O11937" s="629"/>
      <c r="P11937" s="629"/>
      <c r="Q11937" s="629"/>
      <c r="R11937" s="629"/>
    </row>
    <row r="11938" spans="1:18" ht="12.75" customHeight="1">
      <c r="A11938" s="628" t="s">
        <v>21761</v>
      </c>
      <c r="B11938" s="629"/>
      <c r="C11938" s="629"/>
      <c r="D11938" s="629"/>
      <c r="E11938" s="629"/>
      <c r="F11938" s="629"/>
      <c r="G11938" s="629"/>
      <c r="H11938" s="629"/>
      <c r="I11938" s="629"/>
      <c r="J11938" s="629"/>
      <c r="K11938" s="629"/>
      <c r="L11938" s="629"/>
      <c r="M11938" s="629"/>
      <c r="N11938" s="629"/>
      <c r="O11938" s="629"/>
      <c r="P11938" s="629"/>
      <c r="Q11938" s="629"/>
      <c r="R11938" s="629"/>
    </row>
    <row r="11939" spans="1:18" ht="36">
      <c r="A11939" s="324">
        <v>119</v>
      </c>
      <c r="B11939" s="321" t="s">
        <v>21762</v>
      </c>
      <c r="C11939" s="325" t="s">
        <v>21763</v>
      </c>
      <c r="D11939" s="326">
        <v>1639.96</v>
      </c>
      <c r="E11939" s="326">
        <v>379.17</v>
      </c>
      <c r="F11939" s="326">
        <v>1073.28</v>
      </c>
      <c r="G11939" s="326">
        <v>187.51</v>
      </c>
      <c r="H11939" s="327">
        <v>11196.12</v>
      </c>
      <c r="I11939" s="327">
        <v>4360.62</v>
      </c>
      <c r="J11939" s="327">
        <v>5941.62</v>
      </c>
      <c r="K11939" s="327">
        <v>893.88</v>
      </c>
      <c r="L11939" s="43">
        <v>6.8270689529012909</v>
      </c>
      <c r="M11939" s="43">
        <v>11.500435161009573</v>
      </c>
      <c r="N11939" s="43">
        <v>5.5359458855098387</v>
      </c>
      <c r="O11939" s="43">
        <v>4.7671057543597675</v>
      </c>
      <c r="P11939" s="328"/>
      <c r="Q11939" s="328"/>
      <c r="R11939" s="328">
        <v>1</v>
      </c>
    </row>
    <row r="11940" spans="1:18" ht="36">
      <c r="A11940" s="324">
        <v>120</v>
      </c>
      <c r="B11940" s="321" t="s">
        <v>21764</v>
      </c>
      <c r="C11940" s="325" t="s">
        <v>21765</v>
      </c>
      <c r="D11940" s="326">
        <v>1744.36</v>
      </c>
      <c r="E11940" s="326">
        <v>366.53</v>
      </c>
      <c r="F11940" s="326">
        <v>940.19</v>
      </c>
      <c r="G11940" s="326">
        <v>437.64</v>
      </c>
      <c r="H11940" s="327">
        <v>11416.93</v>
      </c>
      <c r="I11940" s="327">
        <v>4215.2700000000004</v>
      </c>
      <c r="J11940" s="327">
        <v>5174.74</v>
      </c>
      <c r="K11940" s="327">
        <v>2026.92</v>
      </c>
      <c r="L11940" s="43">
        <v>6.5450537733036764</v>
      </c>
      <c r="M11940" s="43">
        <v>11.500477450686168</v>
      </c>
      <c r="N11940" s="43">
        <v>5.5039300566906686</v>
      </c>
      <c r="O11940" s="43">
        <v>4.6314779270633402</v>
      </c>
      <c r="P11940" s="328"/>
      <c r="Q11940" s="328"/>
      <c r="R11940" s="328">
        <v>1</v>
      </c>
    </row>
    <row r="11941" spans="1:18" ht="12.75" customHeight="1">
      <c r="A11941" s="628" t="s">
        <v>21766</v>
      </c>
      <c r="B11941" s="629"/>
      <c r="C11941" s="629"/>
      <c r="D11941" s="629"/>
      <c r="E11941" s="629"/>
      <c r="F11941" s="629"/>
      <c r="G11941" s="629"/>
      <c r="H11941" s="629"/>
      <c r="I11941" s="629"/>
      <c r="J11941" s="629"/>
      <c r="K11941" s="629"/>
      <c r="L11941" s="629"/>
      <c r="M11941" s="629"/>
      <c r="N11941" s="629"/>
      <c r="O11941" s="629"/>
      <c r="P11941" s="629"/>
      <c r="Q11941" s="629"/>
      <c r="R11941" s="629"/>
    </row>
    <row r="11942" spans="1:18" ht="24">
      <c r="A11942" s="324">
        <v>121</v>
      </c>
      <c r="B11942" s="321" t="s">
        <v>21767</v>
      </c>
      <c r="C11942" s="325" t="s">
        <v>21768</v>
      </c>
      <c r="D11942" s="326">
        <v>1087.28</v>
      </c>
      <c r="E11942" s="326">
        <v>631.96</v>
      </c>
      <c r="F11942" s="326">
        <v>442.68</v>
      </c>
      <c r="G11942" s="326">
        <v>12.64</v>
      </c>
      <c r="H11942" s="327">
        <v>9769.84</v>
      </c>
      <c r="I11942" s="327">
        <v>7267.54</v>
      </c>
      <c r="J11942" s="327">
        <v>2356.94</v>
      </c>
      <c r="K11942" s="327">
        <v>145.36000000000001</v>
      </c>
      <c r="L11942" s="43">
        <v>8.9855786917813258</v>
      </c>
      <c r="M11942" s="43">
        <v>11.5</v>
      </c>
      <c r="N11942" s="43">
        <v>5.3242522815577846</v>
      </c>
      <c r="O11942" s="43">
        <v>11.5</v>
      </c>
      <c r="P11942" s="328"/>
      <c r="Q11942" s="328"/>
      <c r="R11942" s="328">
        <v>2</v>
      </c>
    </row>
    <row r="11943" spans="1:18" ht="12.75" customHeight="1">
      <c r="A11943" s="628" t="s">
        <v>21769</v>
      </c>
      <c r="B11943" s="629"/>
      <c r="C11943" s="629"/>
      <c r="D11943" s="629"/>
      <c r="E11943" s="629"/>
      <c r="F11943" s="629"/>
      <c r="G11943" s="629"/>
      <c r="H11943" s="629"/>
      <c r="I11943" s="629"/>
      <c r="J11943" s="629"/>
      <c r="K11943" s="629"/>
      <c r="L11943" s="629"/>
      <c r="M11943" s="629"/>
      <c r="N11943" s="629"/>
      <c r="O11943" s="629"/>
      <c r="P11943" s="629"/>
      <c r="Q11943" s="629"/>
      <c r="R11943" s="629"/>
    </row>
    <row r="11944" spans="1:18" ht="24">
      <c r="A11944" s="324">
        <v>122</v>
      </c>
      <c r="B11944" s="321" t="s">
        <v>21770</v>
      </c>
      <c r="C11944" s="325" t="s">
        <v>21771</v>
      </c>
      <c r="D11944" s="326">
        <v>872.18</v>
      </c>
      <c r="E11944" s="326">
        <v>53.77</v>
      </c>
      <c r="F11944" s="326">
        <v>431.62</v>
      </c>
      <c r="G11944" s="326">
        <v>386.79</v>
      </c>
      <c r="H11944" s="327">
        <v>5201.29</v>
      </c>
      <c r="I11944" s="327">
        <v>618.41999999999996</v>
      </c>
      <c r="J11944" s="327">
        <v>2366.54</v>
      </c>
      <c r="K11944" s="327">
        <v>2216.33</v>
      </c>
      <c r="L11944" s="43">
        <v>5.9635511018367771</v>
      </c>
      <c r="M11944" s="43">
        <v>11.501208852519991</v>
      </c>
      <c r="N11944" s="43">
        <v>5.482924794958528</v>
      </c>
      <c r="O11944" s="43">
        <v>5.730060239406396</v>
      </c>
      <c r="P11944" s="328"/>
      <c r="Q11944" s="328"/>
      <c r="R11944" s="328">
        <v>3</v>
      </c>
    </row>
    <row r="11945" spans="1:18" ht="24">
      <c r="A11945" s="324">
        <v>123</v>
      </c>
      <c r="B11945" s="321" t="s">
        <v>21772</v>
      </c>
      <c r="C11945" s="325" t="s">
        <v>21773</v>
      </c>
      <c r="D11945" s="326">
        <v>794.96</v>
      </c>
      <c r="E11945" s="326">
        <v>53.77</v>
      </c>
      <c r="F11945" s="326">
        <v>354.4</v>
      </c>
      <c r="G11945" s="326">
        <v>386.79</v>
      </c>
      <c r="H11945" s="327">
        <v>4781.57</v>
      </c>
      <c r="I11945" s="327">
        <v>618.41999999999996</v>
      </c>
      <c r="J11945" s="327">
        <v>1946.82</v>
      </c>
      <c r="K11945" s="327">
        <v>2216.33</v>
      </c>
      <c r="L11945" s="43">
        <v>6.0148560933883459</v>
      </c>
      <c r="M11945" s="43">
        <v>11.501208852519991</v>
      </c>
      <c r="N11945" s="43">
        <v>5.4932844243792323</v>
      </c>
      <c r="O11945" s="43">
        <v>5.730060239406396</v>
      </c>
      <c r="P11945" s="328"/>
      <c r="Q11945" s="328"/>
      <c r="R11945" s="328">
        <v>3</v>
      </c>
    </row>
    <row r="11946" spans="1:18" ht="24">
      <c r="A11946" s="324">
        <v>124</v>
      </c>
      <c r="B11946" s="321" t="s">
        <v>21774</v>
      </c>
      <c r="C11946" s="325" t="s">
        <v>21775</v>
      </c>
      <c r="D11946" s="326">
        <v>946.24</v>
      </c>
      <c r="E11946" s="326">
        <v>71.98</v>
      </c>
      <c r="F11946" s="326">
        <v>487.11</v>
      </c>
      <c r="G11946" s="326">
        <v>387.15</v>
      </c>
      <c r="H11946" s="327">
        <v>5716.42</v>
      </c>
      <c r="I11946" s="327">
        <v>827.77</v>
      </c>
      <c r="J11946" s="327">
        <v>2668.18</v>
      </c>
      <c r="K11946" s="327">
        <v>2220.4699999999998</v>
      </c>
      <c r="L11946" s="43">
        <v>6.0411946229286437</v>
      </c>
      <c r="M11946" s="43">
        <v>11.5</v>
      </c>
      <c r="N11946" s="43">
        <v>5.4775718010305674</v>
      </c>
      <c r="O11946" s="43">
        <v>5.735425545654139</v>
      </c>
      <c r="P11946" s="328"/>
      <c r="Q11946" s="328"/>
      <c r="R11946" s="328">
        <v>3</v>
      </c>
    </row>
    <row r="11947" spans="1:18" ht="12.75" customHeight="1">
      <c r="A11947" s="628" t="s">
        <v>21776</v>
      </c>
      <c r="B11947" s="629"/>
      <c r="C11947" s="629"/>
      <c r="D11947" s="629"/>
      <c r="E11947" s="629"/>
      <c r="F11947" s="629"/>
      <c r="G11947" s="629"/>
      <c r="H11947" s="629"/>
      <c r="I11947" s="629"/>
      <c r="J11947" s="629"/>
      <c r="K11947" s="629"/>
      <c r="L11947" s="629"/>
      <c r="M11947" s="629"/>
      <c r="N11947" s="629"/>
      <c r="O11947" s="629"/>
      <c r="P11947" s="629"/>
      <c r="Q11947" s="629"/>
      <c r="R11947" s="629"/>
    </row>
    <row r="11948" spans="1:18" ht="24">
      <c r="A11948" s="324">
        <v>125</v>
      </c>
      <c r="B11948" s="321" t="s">
        <v>21777</v>
      </c>
      <c r="C11948" s="325" t="s">
        <v>21778</v>
      </c>
      <c r="D11948" s="326">
        <v>2558.98</v>
      </c>
      <c r="E11948" s="326">
        <v>408.21</v>
      </c>
      <c r="F11948" s="326">
        <v>2099.64</v>
      </c>
      <c r="G11948" s="326">
        <v>51.13</v>
      </c>
      <c r="H11948" s="327">
        <v>16464.95</v>
      </c>
      <c r="I11948" s="327">
        <v>4694.58</v>
      </c>
      <c r="J11948" s="327">
        <v>11425.6</v>
      </c>
      <c r="K11948" s="327">
        <v>344.77</v>
      </c>
      <c r="L11948" s="43">
        <v>6.4341847142220727</v>
      </c>
      <c r="M11948" s="43">
        <v>11.500404203718675</v>
      </c>
      <c r="N11948" s="43">
        <v>5.4416947667219144</v>
      </c>
      <c r="O11948" s="43">
        <v>6.7430080187756696</v>
      </c>
      <c r="P11948" s="328"/>
      <c r="Q11948" s="328"/>
      <c r="R11948" s="328">
        <v>4</v>
      </c>
    </row>
    <row r="11949" spans="1:18" ht="24">
      <c r="A11949" s="324">
        <v>126</v>
      </c>
      <c r="B11949" s="321" t="s">
        <v>21779</v>
      </c>
      <c r="C11949" s="325" t="s">
        <v>21780</v>
      </c>
      <c r="D11949" s="326">
        <v>1090.0999999999999</v>
      </c>
      <c r="E11949" s="326">
        <v>160.81</v>
      </c>
      <c r="F11949" s="326">
        <v>882.88</v>
      </c>
      <c r="G11949" s="326">
        <v>46.41</v>
      </c>
      <c r="H11949" s="327">
        <v>6957.99</v>
      </c>
      <c r="I11949" s="327">
        <v>1849.38</v>
      </c>
      <c r="J11949" s="327">
        <v>4818.95</v>
      </c>
      <c r="K11949" s="327">
        <v>289.66000000000003</v>
      </c>
      <c r="L11949" s="43">
        <v>6.3828914778460693</v>
      </c>
      <c r="M11949" s="43">
        <v>11.500404203718675</v>
      </c>
      <c r="N11949" s="43">
        <v>5.4582162921348312</v>
      </c>
      <c r="O11949" s="43">
        <v>6.2413273001508305</v>
      </c>
      <c r="P11949" s="328"/>
      <c r="Q11949" s="328"/>
      <c r="R11949" s="328">
        <v>4</v>
      </c>
    </row>
    <row r="11950" spans="1:18" ht="12.75" customHeight="1">
      <c r="A11950" s="628" t="s">
        <v>21781</v>
      </c>
      <c r="B11950" s="629"/>
      <c r="C11950" s="629"/>
      <c r="D11950" s="629"/>
      <c r="E11950" s="629"/>
      <c r="F11950" s="629"/>
      <c r="G11950" s="629"/>
      <c r="H11950" s="629"/>
      <c r="I11950" s="629"/>
      <c r="J11950" s="629"/>
      <c r="K11950" s="629"/>
      <c r="L11950" s="629"/>
      <c r="M11950" s="629"/>
      <c r="N11950" s="629"/>
      <c r="O11950" s="629"/>
      <c r="P11950" s="629"/>
      <c r="Q11950" s="629"/>
      <c r="R11950" s="629"/>
    </row>
    <row r="11951" spans="1:18" ht="24">
      <c r="A11951" s="324">
        <v>127</v>
      </c>
      <c r="B11951" s="321" t="s">
        <v>21782</v>
      </c>
      <c r="C11951" s="325" t="s">
        <v>21783</v>
      </c>
      <c r="D11951" s="326">
        <v>990.57</v>
      </c>
      <c r="E11951" s="326">
        <v>383.08</v>
      </c>
      <c r="F11951" s="326">
        <v>130.02000000000001</v>
      </c>
      <c r="G11951" s="326">
        <v>477.47</v>
      </c>
      <c r="H11951" s="327">
        <v>7195.09</v>
      </c>
      <c r="I11951" s="327">
        <v>4405.42</v>
      </c>
      <c r="J11951" s="327">
        <v>776.31</v>
      </c>
      <c r="K11951" s="327">
        <v>2013.36</v>
      </c>
      <c r="L11951" s="43">
        <v>7.2635856123242171</v>
      </c>
      <c r="M11951" s="43">
        <v>11.5</v>
      </c>
      <c r="N11951" s="43">
        <v>5.9706968158744802</v>
      </c>
      <c r="O11951" s="43">
        <v>4.2167256581565331</v>
      </c>
      <c r="P11951" s="328"/>
      <c r="Q11951" s="328"/>
      <c r="R11951" s="328">
        <v>5</v>
      </c>
    </row>
    <row r="11952" spans="1:18" ht="24">
      <c r="A11952" s="324">
        <v>128</v>
      </c>
      <c r="B11952" s="321" t="s">
        <v>21784</v>
      </c>
      <c r="C11952" s="325" t="s">
        <v>21785</v>
      </c>
      <c r="D11952" s="326">
        <v>1594.26</v>
      </c>
      <c r="E11952" s="326">
        <v>314.76</v>
      </c>
      <c r="F11952" s="326">
        <v>118.88</v>
      </c>
      <c r="G11952" s="326">
        <v>1160.6199999999999</v>
      </c>
      <c r="H11952" s="327">
        <v>9087.6200000000008</v>
      </c>
      <c r="I11952" s="327">
        <v>3619.74</v>
      </c>
      <c r="J11952" s="327">
        <v>710.6</v>
      </c>
      <c r="K11952" s="327">
        <v>4757.28</v>
      </c>
      <c r="L11952" s="43">
        <v>5.7002120105879852</v>
      </c>
      <c r="M11952" s="43">
        <v>11.5</v>
      </c>
      <c r="N11952" s="43">
        <v>5.977456258411844</v>
      </c>
      <c r="O11952" s="43">
        <v>4.0989126501352731</v>
      </c>
      <c r="P11952" s="328"/>
      <c r="Q11952" s="328"/>
      <c r="R11952" s="328">
        <v>5</v>
      </c>
    </row>
    <row r="11953" spans="1:18" ht="24">
      <c r="A11953" s="324">
        <v>129</v>
      </c>
      <c r="B11953" s="321" t="s">
        <v>21786</v>
      </c>
      <c r="C11953" s="325" t="s">
        <v>21787</v>
      </c>
      <c r="D11953" s="326">
        <v>1177.56</v>
      </c>
      <c r="E11953" s="326">
        <v>273.27999999999997</v>
      </c>
      <c r="F11953" s="326">
        <v>785.24</v>
      </c>
      <c r="G11953" s="326">
        <v>119.04</v>
      </c>
      <c r="H11953" s="327">
        <v>8520.99</v>
      </c>
      <c r="I11953" s="327">
        <v>3142.72</v>
      </c>
      <c r="J11953" s="327">
        <v>4767.8599999999997</v>
      </c>
      <c r="K11953" s="327">
        <v>610.41</v>
      </c>
      <c r="L11953" s="43">
        <v>7.2361408335880979</v>
      </c>
      <c r="M11953" s="43">
        <v>11.5</v>
      </c>
      <c r="N11953" s="43">
        <v>6.0718506443889764</v>
      </c>
      <c r="O11953" s="43">
        <v>5.1277721774193541</v>
      </c>
      <c r="P11953" s="328"/>
      <c r="Q11953" s="328"/>
      <c r="R11953" s="328">
        <v>5</v>
      </c>
    </row>
    <row r="11954" spans="1:18" ht="24">
      <c r="A11954" s="324">
        <v>130</v>
      </c>
      <c r="B11954" s="321" t="s">
        <v>21788</v>
      </c>
      <c r="C11954" s="325" t="s">
        <v>21789</v>
      </c>
      <c r="D11954" s="326">
        <v>3472.86</v>
      </c>
      <c r="E11954" s="326">
        <v>1202.01</v>
      </c>
      <c r="F11954" s="326">
        <v>2246.81</v>
      </c>
      <c r="G11954" s="326">
        <v>24.04</v>
      </c>
      <c r="H11954" s="327">
        <v>27909.19</v>
      </c>
      <c r="I11954" s="327">
        <v>13823.63</v>
      </c>
      <c r="J11954" s="327">
        <v>13809.1</v>
      </c>
      <c r="K11954" s="327">
        <v>276.45999999999998</v>
      </c>
      <c r="L11954" s="43">
        <v>8.0363705994482935</v>
      </c>
      <c r="M11954" s="43">
        <v>11.500428449014567</v>
      </c>
      <c r="N11954" s="43">
        <v>6.1460915698256642</v>
      </c>
      <c r="O11954" s="43">
        <v>11.5</v>
      </c>
      <c r="P11954" s="328"/>
      <c r="Q11954" s="328"/>
      <c r="R11954" s="328">
        <v>5</v>
      </c>
    </row>
    <row r="11955" spans="1:18" ht="24">
      <c r="A11955" s="324">
        <v>131</v>
      </c>
      <c r="B11955" s="321" t="s">
        <v>21790</v>
      </c>
      <c r="C11955" s="325" t="s">
        <v>21791</v>
      </c>
      <c r="D11955" s="326">
        <v>1743.89</v>
      </c>
      <c r="E11955" s="326">
        <v>927.77</v>
      </c>
      <c r="F11955" s="326">
        <v>797.56</v>
      </c>
      <c r="G11955" s="326">
        <v>18.559999999999999</v>
      </c>
      <c r="H11955" s="327">
        <v>15678.77</v>
      </c>
      <c r="I11955" s="327">
        <v>10669.7</v>
      </c>
      <c r="J11955" s="327">
        <v>4795.63</v>
      </c>
      <c r="K11955" s="327">
        <v>213.44</v>
      </c>
      <c r="L11955" s="43">
        <v>8.9906874860226278</v>
      </c>
      <c r="M11955" s="43">
        <v>11.50037185940481</v>
      </c>
      <c r="N11955" s="43">
        <v>6.0128767741611924</v>
      </c>
      <c r="O11955" s="43">
        <v>11.5</v>
      </c>
      <c r="P11955" s="328"/>
      <c r="Q11955" s="328"/>
      <c r="R11955" s="328">
        <v>5</v>
      </c>
    </row>
    <row r="11956" spans="1:18" ht="12.75" customHeight="1">
      <c r="A11956" s="628" t="s">
        <v>21792</v>
      </c>
      <c r="B11956" s="629"/>
      <c r="C11956" s="629"/>
      <c r="D11956" s="629"/>
      <c r="E11956" s="629"/>
      <c r="F11956" s="629"/>
      <c r="G11956" s="629"/>
      <c r="H11956" s="629"/>
      <c r="I11956" s="629"/>
      <c r="J11956" s="629"/>
      <c r="K11956" s="629"/>
      <c r="L11956" s="629"/>
      <c r="M11956" s="629"/>
      <c r="N11956" s="629"/>
      <c r="O11956" s="629"/>
      <c r="P11956" s="629"/>
      <c r="Q11956" s="629"/>
      <c r="R11956" s="629"/>
    </row>
    <row r="11957" spans="1:18" ht="24">
      <c r="A11957" s="324">
        <v>132</v>
      </c>
      <c r="B11957" s="321" t="s">
        <v>21793</v>
      </c>
      <c r="C11957" s="325" t="s">
        <v>21794</v>
      </c>
      <c r="D11957" s="326">
        <v>69.239999999999995</v>
      </c>
      <c r="E11957" s="326">
        <v>1.42</v>
      </c>
      <c r="F11957" s="326">
        <v>4.12</v>
      </c>
      <c r="G11957" s="326">
        <v>63.7</v>
      </c>
      <c r="H11957" s="327">
        <v>358.15</v>
      </c>
      <c r="I11957" s="327">
        <v>16.350000000000001</v>
      </c>
      <c r="J11957" s="327">
        <v>24.22</v>
      </c>
      <c r="K11957" s="327">
        <v>317.58</v>
      </c>
      <c r="L11957" s="43">
        <v>5.1725880993645292</v>
      </c>
      <c r="M11957" s="43">
        <v>11.5040845070423</v>
      </c>
      <c r="N11957" s="43">
        <v>5.8786407766990285</v>
      </c>
      <c r="O11957" s="43">
        <v>4.9855572998430135</v>
      </c>
      <c r="P11957" s="328"/>
      <c r="Q11957" s="328"/>
      <c r="R11957" s="328">
        <v>6</v>
      </c>
    </row>
    <row r="11958" spans="1:18" ht="12.75" customHeight="1">
      <c r="A11958" s="628" t="s">
        <v>21795</v>
      </c>
      <c r="B11958" s="629"/>
      <c r="C11958" s="629"/>
      <c r="D11958" s="629"/>
      <c r="E11958" s="629"/>
      <c r="F11958" s="629"/>
      <c r="G11958" s="629"/>
      <c r="H11958" s="629"/>
      <c r="I11958" s="629"/>
      <c r="J11958" s="629"/>
      <c r="K11958" s="629"/>
      <c r="L11958" s="629"/>
      <c r="M11958" s="629"/>
      <c r="N11958" s="629"/>
      <c r="O11958" s="629"/>
      <c r="P11958" s="629"/>
      <c r="Q11958" s="629"/>
      <c r="R11958" s="629"/>
    </row>
    <row r="11959" spans="1:18" ht="48">
      <c r="A11959" s="324">
        <v>133</v>
      </c>
      <c r="B11959" s="321" t="s">
        <v>21796</v>
      </c>
      <c r="C11959" s="325" t="s">
        <v>21797</v>
      </c>
      <c r="D11959" s="326">
        <v>14751.59</v>
      </c>
      <c r="E11959" s="326">
        <v>2855.85</v>
      </c>
      <c r="F11959" s="326">
        <v>11209.22</v>
      </c>
      <c r="G11959" s="326">
        <v>686.52</v>
      </c>
      <c r="H11959" s="327">
        <v>97515.65</v>
      </c>
      <c r="I11959" s="327">
        <v>32843.480000000003</v>
      </c>
      <c r="J11959" s="327">
        <v>60707.82</v>
      </c>
      <c r="K11959" s="327">
        <v>3964.35</v>
      </c>
      <c r="L11959" s="43">
        <v>6.610517917051653</v>
      </c>
      <c r="M11959" s="43">
        <v>11.500421940928272</v>
      </c>
      <c r="N11959" s="43">
        <v>5.4158826394700084</v>
      </c>
      <c r="O11959" s="43">
        <v>5.7745586435937772</v>
      </c>
      <c r="P11959" s="328"/>
      <c r="Q11959" s="328"/>
      <c r="R11959" s="328">
        <v>7</v>
      </c>
    </row>
    <row r="11960" spans="1:18" ht="48">
      <c r="A11960" s="324">
        <v>134</v>
      </c>
      <c r="B11960" s="321" t="s">
        <v>21798</v>
      </c>
      <c r="C11960" s="325" t="s">
        <v>21799</v>
      </c>
      <c r="D11960" s="326">
        <v>6128.68</v>
      </c>
      <c r="E11960" s="326">
        <v>1493.1</v>
      </c>
      <c r="F11960" s="326">
        <v>4092.31</v>
      </c>
      <c r="G11960" s="326">
        <v>543.27</v>
      </c>
      <c r="H11960" s="327">
        <v>42334.54</v>
      </c>
      <c r="I11960" s="327">
        <v>17171.28</v>
      </c>
      <c r="J11960" s="327">
        <v>22217.3</v>
      </c>
      <c r="K11960" s="327">
        <v>2945.96</v>
      </c>
      <c r="L11960" s="43">
        <v>6.9076114269304316</v>
      </c>
      <c r="M11960" s="43">
        <v>11.50042194092827</v>
      </c>
      <c r="N11960" s="43">
        <v>5.4290364121975117</v>
      </c>
      <c r="O11960" s="43">
        <v>5.4226443573177248</v>
      </c>
      <c r="P11960" s="328"/>
      <c r="Q11960" s="328"/>
      <c r="R11960" s="328">
        <v>7</v>
      </c>
    </row>
    <row r="11961" spans="1:18" ht="48">
      <c r="A11961" s="324">
        <v>135</v>
      </c>
      <c r="B11961" s="321" t="s">
        <v>21800</v>
      </c>
      <c r="C11961" s="325" t="s">
        <v>21801</v>
      </c>
      <c r="D11961" s="326">
        <v>1951.79</v>
      </c>
      <c r="E11961" s="326">
        <v>391.05</v>
      </c>
      <c r="F11961" s="326">
        <v>1044.6600000000001</v>
      </c>
      <c r="G11961" s="326">
        <v>516.08000000000004</v>
      </c>
      <c r="H11961" s="327">
        <v>12903.23</v>
      </c>
      <c r="I11961" s="327">
        <v>4497.24</v>
      </c>
      <c r="J11961" s="327">
        <v>5744.76</v>
      </c>
      <c r="K11961" s="327">
        <v>2661.23</v>
      </c>
      <c r="L11961" s="43">
        <v>6.6109724919176758</v>
      </c>
      <c r="M11961" s="43">
        <v>11.50042194092827</v>
      </c>
      <c r="N11961" s="43">
        <v>5.4991671931537534</v>
      </c>
      <c r="O11961" s="43">
        <v>5.1566230041853975</v>
      </c>
      <c r="P11961" s="328"/>
      <c r="Q11961" s="328"/>
      <c r="R11961" s="328">
        <v>7</v>
      </c>
    </row>
    <row r="11962" spans="1:18" ht="48">
      <c r="A11962" s="324">
        <v>136</v>
      </c>
      <c r="B11962" s="321" t="s">
        <v>21802</v>
      </c>
      <c r="C11962" s="325" t="s">
        <v>21803</v>
      </c>
      <c r="D11962" s="326">
        <v>1221.82</v>
      </c>
      <c r="E11962" s="326">
        <v>304.55</v>
      </c>
      <c r="F11962" s="326">
        <v>402.92</v>
      </c>
      <c r="G11962" s="326">
        <v>514.35</v>
      </c>
      <c r="H11962" s="327">
        <v>8405.2199999999993</v>
      </c>
      <c r="I11962" s="327">
        <v>3502.4</v>
      </c>
      <c r="J11962" s="327">
        <v>2261.48</v>
      </c>
      <c r="K11962" s="327">
        <v>2641.34</v>
      </c>
      <c r="L11962" s="43">
        <v>6.8792620844314216</v>
      </c>
      <c r="M11962" s="43">
        <v>11.50024626498112</v>
      </c>
      <c r="N11962" s="43">
        <v>5.6127270922267449</v>
      </c>
      <c r="O11962" s="43">
        <v>5.1352969767667931</v>
      </c>
      <c r="P11962" s="328"/>
      <c r="Q11962" s="328"/>
      <c r="R11962" s="328">
        <v>7</v>
      </c>
    </row>
    <row r="11963" spans="1:18" ht="48">
      <c r="A11963" s="324">
        <v>137</v>
      </c>
      <c r="B11963" s="321" t="s">
        <v>21804</v>
      </c>
      <c r="C11963" s="325" t="s">
        <v>21805</v>
      </c>
      <c r="D11963" s="326">
        <v>14576.14</v>
      </c>
      <c r="E11963" s="326">
        <v>2548.2399999999998</v>
      </c>
      <c r="F11963" s="326">
        <v>11976.94</v>
      </c>
      <c r="G11963" s="326">
        <v>50.96</v>
      </c>
      <c r="H11963" s="327">
        <v>94981.73</v>
      </c>
      <c r="I11963" s="327">
        <v>29304.76</v>
      </c>
      <c r="J11963" s="327">
        <v>65090.93</v>
      </c>
      <c r="K11963" s="327">
        <v>586.04</v>
      </c>
      <c r="L11963" s="43">
        <v>6.5162470997122695</v>
      </c>
      <c r="M11963" s="43">
        <v>11.5</v>
      </c>
      <c r="N11963" s="43">
        <v>5.4346878251039081</v>
      </c>
      <c r="O11963" s="43">
        <v>11.499999999999998</v>
      </c>
      <c r="P11963" s="328"/>
      <c r="Q11963" s="328"/>
      <c r="R11963" s="328">
        <v>7</v>
      </c>
    </row>
    <row r="11964" spans="1:18" ht="48">
      <c r="A11964" s="324">
        <v>138</v>
      </c>
      <c r="B11964" s="321" t="s">
        <v>21806</v>
      </c>
      <c r="C11964" s="325" t="s">
        <v>21807</v>
      </c>
      <c r="D11964" s="326">
        <v>4336.55</v>
      </c>
      <c r="E11964" s="326">
        <v>808.95</v>
      </c>
      <c r="F11964" s="326">
        <v>3511.42</v>
      </c>
      <c r="G11964" s="326">
        <v>16.18</v>
      </c>
      <c r="H11964" s="327">
        <v>28591</v>
      </c>
      <c r="I11964" s="327">
        <v>9302.8799999999992</v>
      </c>
      <c r="J11964" s="327">
        <v>19102.05</v>
      </c>
      <c r="K11964" s="327">
        <v>186.07</v>
      </c>
      <c r="L11964" s="43">
        <v>6.5930290207653544</v>
      </c>
      <c r="M11964" s="43">
        <v>11.499944372334506</v>
      </c>
      <c r="N11964" s="43">
        <v>5.439978698076561</v>
      </c>
      <c r="O11964" s="43">
        <v>11.5</v>
      </c>
      <c r="P11964" s="328"/>
      <c r="Q11964" s="328"/>
      <c r="R11964" s="328">
        <v>7</v>
      </c>
    </row>
    <row r="11965" spans="1:18" ht="48">
      <c r="A11965" s="324">
        <v>139</v>
      </c>
      <c r="B11965" s="321" t="s">
        <v>21808</v>
      </c>
      <c r="C11965" s="325" t="s">
        <v>21809</v>
      </c>
      <c r="D11965" s="326">
        <v>1393.3</v>
      </c>
      <c r="E11965" s="326">
        <v>254.82</v>
      </c>
      <c r="F11965" s="326">
        <v>1133.3800000000001</v>
      </c>
      <c r="G11965" s="326">
        <v>5.0999999999999996</v>
      </c>
      <c r="H11965" s="327">
        <v>9170.2099999999991</v>
      </c>
      <c r="I11965" s="327">
        <v>2930.48</v>
      </c>
      <c r="J11965" s="327">
        <v>6181.08</v>
      </c>
      <c r="K11965" s="327">
        <v>58.65</v>
      </c>
      <c r="L11965" s="43">
        <v>6.5816478863130694</v>
      </c>
      <c r="M11965" s="43">
        <v>11.500196216937447</v>
      </c>
      <c r="N11965" s="43">
        <v>5.4536695547830378</v>
      </c>
      <c r="O11965" s="43">
        <v>11.5</v>
      </c>
      <c r="P11965" s="328"/>
      <c r="Q11965" s="328"/>
      <c r="R11965" s="328">
        <v>7</v>
      </c>
    </row>
    <row r="11966" spans="1:18" ht="48">
      <c r="A11966" s="324">
        <v>140</v>
      </c>
      <c r="B11966" s="321" t="s">
        <v>21810</v>
      </c>
      <c r="C11966" s="325" t="s">
        <v>21811</v>
      </c>
      <c r="D11966" s="326">
        <v>808.11</v>
      </c>
      <c r="E11966" s="326">
        <v>156.26</v>
      </c>
      <c r="F11966" s="326">
        <v>648.72</v>
      </c>
      <c r="G11966" s="326">
        <v>3.13</v>
      </c>
      <c r="H11966" s="327">
        <v>5382.27</v>
      </c>
      <c r="I11966" s="327">
        <v>1796.99</v>
      </c>
      <c r="J11966" s="327">
        <v>3549.28</v>
      </c>
      <c r="K11966" s="327">
        <v>36</v>
      </c>
      <c r="L11966" s="43">
        <v>6.6603185209934299</v>
      </c>
      <c r="M11966" s="43">
        <v>11.5</v>
      </c>
      <c r="N11966" s="43">
        <v>5.4712048341349115</v>
      </c>
      <c r="O11966" s="43">
        <v>11.501597444089457</v>
      </c>
      <c r="P11966" s="328"/>
      <c r="Q11966" s="328"/>
      <c r="R11966" s="328">
        <v>7</v>
      </c>
    </row>
    <row r="11967" spans="1:18" ht="48">
      <c r="A11967" s="324">
        <v>141</v>
      </c>
      <c r="B11967" s="321" t="s">
        <v>21812</v>
      </c>
      <c r="C11967" s="325" t="s">
        <v>21813</v>
      </c>
      <c r="D11967" s="326">
        <v>449.39</v>
      </c>
      <c r="E11967" s="326">
        <v>98.44</v>
      </c>
      <c r="F11967" s="326">
        <v>348.98</v>
      </c>
      <c r="G11967" s="326">
        <v>1.97</v>
      </c>
      <c r="H11967" s="327">
        <v>3082.81</v>
      </c>
      <c r="I11967" s="327">
        <v>1132.0999999999999</v>
      </c>
      <c r="J11967" s="327">
        <v>1928.05</v>
      </c>
      <c r="K11967" s="327">
        <v>22.66</v>
      </c>
      <c r="L11967" s="43">
        <v>6.8599879837112532</v>
      </c>
      <c r="M11967" s="43">
        <v>11.500406338886631</v>
      </c>
      <c r="N11967" s="43">
        <v>5.5248151756547648</v>
      </c>
      <c r="O11967" s="43">
        <v>11.50253807106599</v>
      </c>
      <c r="P11967" s="328"/>
      <c r="Q11967" s="328"/>
      <c r="R11967" s="328">
        <v>7</v>
      </c>
    </row>
    <row r="11968" spans="1:18" ht="48">
      <c r="A11968" s="324">
        <v>142</v>
      </c>
      <c r="B11968" s="321" t="s">
        <v>21814</v>
      </c>
      <c r="C11968" s="325" t="s">
        <v>21815</v>
      </c>
      <c r="D11968" s="326">
        <v>1234.67</v>
      </c>
      <c r="E11968" s="326">
        <v>242.44</v>
      </c>
      <c r="F11968" s="326">
        <v>481.7</v>
      </c>
      <c r="G11968" s="326">
        <v>510.53</v>
      </c>
      <c r="H11968" s="327">
        <v>7937.78</v>
      </c>
      <c r="I11968" s="327">
        <v>2788.15</v>
      </c>
      <c r="J11968" s="327">
        <v>2625.72</v>
      </c>
      <c r="K11968" s="327">
        <v>2523.91</v>
      </c>
      <c r="L11968" s="43">
        <v>6.4290701159014141</v>
      </c>
      <c r="M11968" s="43">
        <v>11.500371225870319</v>
      </c>
      <c r="N11968" s="43">
        <v>5.450944571309944</v>
      </c>
      <c r="O11968" s="43">
        <v>4.9437055608877047</v>
      </c>
      <c r="P11968" s="328"/>
      <c r="Q11968" s="328"/>
      <c r="R11968" s="328">
        <v>7</v>
      </c>
    </row>
    <row r="11969" spans="1:18" ht="48">
      <c r="A11969" s="324">
        <v>143</v>
      </c>
      <c r="B11969" s="321" t="s">
        <v>21816</v>
      </c>
      <c r="C11969" s="325" t="s">
        <v>21817</v>
      </c>
      <c r="D11969" s="326">
        <v>3042.64</v>
      </c>
      <c r="E11969" s="326">
        <v>472.39</v>
      </c>
      <c r="F11969" s="326">
        <v>1058.24</v>
      </c>
      <c r="G11969" s="326">
        <v>1512.01</v>
      </c>
      <c r="H11969" s="327">
        <v>20373.78</v>
      </c>
      <c r="I11969" s="327">
        <v>5432.44</v>
      </c>
      <c r="J11969" s="327">
        <v>6034.37</v>
      </c>
      <c r="K11969" s="327">
        <v>8906.9699999999993</v>
      </c>
      <c r="L11969" s="43">
        <v>6.6960862934819758</v>
      </c>
      <c r="M11969" s="43">
        <v>11.499904739727766</v>
      </c>
      <c r="N11969" s="43">
        <v>5.7022698064711221</v>
      </c>
      <c r="O11969" s="43">
        <v>5.890814214191705</v>
      </c>
      <c r="P11969" s="328"/>
      <c r="Q11969" s="328"/>
      <c r="R11969" s="328">
        <v>7</v>
      </c>
    </row>
    <row r="11970" spans="1:18" ht="48">
      <c r="A11970" s="324">
        <v>144</v>
      </c>
      <c r="B11970" s="321" t="s">
        <v>21818</v>
      </c>
      <c r="C11970" s="325" t="s">
        <v>21819</v>
      </c>
      <c r="D11970" s="326">
        <v>1196.25</v>
      </c>
      <c r="E11970" s="326">
        <v>197.13</v>
      </c>
      <c r="F11970" s="326">
        <v>331.01</v>
      </c>
      <c r="G11970" s="326">
        <v>668.11</v>
      </c>
      <c r="H11970" s="327">
        <v>7820.26</v>
      </c>
      <c r="I11970" s="327">
        <v>2266.9699999999998</v>
      </c>
      <c r="J11970" s="327">
        <v>1819.85</v>
      </c>
      <c r="K11970" s="327">
        <v>3733.44</v>
      </c>
      <c r="L11970" s="43">
        <v>6.5373124346917448</v>
      </c>
      <c r="M11970" s="43">
        <v>11.499873180134935</v>
      </c>
      <c r="N11970" s="43">
        <v>5.4978701549802116</v>
      </c>
      <c r="O11970" s="43">
        <v>5.5880618461031863</v>
      </c>
      <c r="P11970" s="328"/>
      <c r="Q11970" s="328"/>
      <c r="R11970" s="328">
        <v>7</v>
      </c>
    </row>
    <row r="11971" spans="1:18" ht="48">
      <c r="A11971" s="324">
        <v>145</v>
      </c>
      <c r="B11971" s="321" t="s">
        <v>21820</v>
      </c>
      <c r="C11971" s="325" t="s">
        <v>21821</v>
      </c>
      <c r="D11971" s="326">
        <v>1631.29</v>
      </c>
      <c r="E11971" s="326">
        <v>212.75</v>
      </c>
      <c r="F11971" s="326">
        <v>992.37</v>
      </c>
      <c r="G11971" s="326">
        <v>426.17</v>
      </c>
      <c r="H11971" s="327">
        <v>9750.2800000000007</v>
      </c>
      <c r="I11971" s="327">
        <v>2446.67</v>
      </c>
      <c r="J11971" s="327">
        <v>5412.39</v>
      </c>
      <c r="K11971" s="327">
        <v>1891.22</v>
      </c>
      <c r="L11971" s="43">
        <v>5.9770365784134034</v>
      </c>
      <c r="M11971" s="43">
        <v>11.50021151586369</v>
      </c>
      <c r="N11971" s="43">
        <v>5.4540040509084315</v>
      </c>
      <c r="O11971" s="43">
        <v>4.4377126498815027</v>
      </c>
      <c r="P11971" s="328"/>
      <c r="Q11971" s="328"/>
      <c r="R11971" s="328">
        <v>7</v>
      </c>
    </row>
    <row r="11972" spans="1:18" ht="60">
      <c r="A11972" s="324">
        <v>146</v>
      </c>
      <c r="B11972" s="321" t="s">
        <v>21822</v>
      </c>
      <c r="C11972" s="325" t="s">
        <v>21823</v>
      </c>
      <c r="D11972" s="326">
        <v>4634.88</v>
      </c>
      <c r="E11972" s="326">
        <v>609.41</v>
      </c>
      <c r="F11972" s="326">
        <v>3474.03</v>
      </c>
      <c r="G11972" s="326">
        <v>551.44000000000005</v>
      </c>
      <c r="H11972" s="327">
        <v>28740</v>
      </c>
      <c r="I11972" s="327">
        <v>7008.26</v>
      </c>
      <c r="J11972" s="327">
        <v>18972.04</v>
      </c>
      <c r="K11972" s="327">
        <v>2759.7</v>
      </c>
      <c r="L11972" s="43">
        <v>6.2008077879038934</v>
      </c>
      <c r="M11972" s="43">
        <v>11.50007384191267</v>
      </c>
      <c r="N11972" s="43">
        <v>5.4611042506829248</v>
      </c>
      <c r="O11972" s="43">
        <v>5.0045335847961692</v>
      </c>
      <c r="P11972" s="328"/>
      <c r="Q11972" s="328"/>
      <c r="R11972" s="328">
        <v>7</v>
      </c>
    </row>
    <row r="11973" spans="1:18" ht="48">
      <c r="A11973" s="324">
        <v>147</v>
      </c>
      <c r="B11973" s="321" t="s">
        <v>21824</v>
      </c>
      <c r="C11973" s="325" t="s">
        <v>21825</v>
      </c>
      <c r="D11973" s="326">
        <v>3053.82</v>
      </c>
      <c r="E11973" s="326">
        <v>501.23</v>
      </c>
      <c r="F11973" s="326">
        <v>2500.33</v>
      </c>
      <c r="G11973" s="326">
        <v>52.26</v>
      </c>
      <c r="H11973" s="327">
        <v>19743.36</v>
      </c>
      <c r="I11973" s="327">
        <v>5764.19</v>
      </c>
      <c r="J11973" s="327">
        <v>13616.09</v>
      </c>
      <c r="K11973" s="327">
        <v>363.08</v>
      </c>
      <c r="L11973" s="43">
        <v>6.4651354696740473</v>
      </c>
      <c r="M11973" s="43">
        <v>11.500089779143305</v>
      </c>
      <c r="N11973" s="43">
        <v>5.4457171653341758</v>
      </c>
      <c r="O11973" s="43">
        <v>6.9475698430922312</v>
      </c>
      <c r="P11973" s="328"/>
      <c r="Q11973" s="328"/>
      <c r="R11973" s="328">
        <v>7</v>
      </c>
    </row>
    <row r="11974" spans="1:18" ht="48">
      <c r="A11974" s="324">
        <v>148</v>
      </c>
      <c r="B11974" s="321" t="s">
        <v>21826</v>
      </c>
      <c r="C11974" s="325" t="s">
        <v>21827</v>
      </c>
      <c r="D11974" s="326">
        <v>2402.98</v>
      </c>
      <c r="E11974" s="326">
        <v>354.59</v>
      </c>
      <c r="F11974" s="326">
        <v>1998.06</v>
      </c>
      <c r="G11974" s="326">
        <v>50.33</v>
      </c>
      <c r="H11974" s="327">
        <v>15301.47</v>
      </c>
      <c r="I11974" s="327">
        <v>4077.79</v>
      </c>
      <c r="J11974" s="327">
        <v>10888.97</v>
      </c>
      <c r="K11974" s="327">
        <v>334.71</v>
      </c>
      <c r="L11974" s="43">
        <v>6.3677059318013463</v>
      </c>
      <c r="M11974" s="43">
        <v>11.500014100792466</v>
      </c>
      <c r="N11974" s="43">
        <v>5.4497712781397958</v>
      </c>
      <c r="O11974" s="43">
        <v>6.6503079674150607</v>
      </c>
      <c r="P11974" s="328"/>
      <c r="Q11974" s="328"/>
      <c r="R11974" s="328">
        <v>7</v>
      </c>
    </row>
    <row r="11975" spans="1:18" ht="48">
      <c r="A11975" s="324">
        <v>149</v>
      </c>
      <c r="B11975" s="321" t="s">
        <v>21828</v>
      </c>
      <c r="C11975" s="325" t="s">
        <v>21829</v>
      </c>
      <c r="D11975" s="326">
        <v>1883.13</v>
      </c>
      <c r="E11975" s="326">
        <v>283.67</v>
      </c>
      <c r="F11975" s="326">
        <v>1551.55</v>
      </c>
      <c r="G11975" s="326">
        <v>47.91</v>
      </c>
      <c r="H11975" s="327">
        <v>12028.31</v>
      </c>
      <c r="I11975" s="327">
        <v>3262.23</v>
      </c>
      <c r="J11975" s="327">
        <v>8453.02</v>
      </c>
      <c r="K11975" s="327">
        <v>313.06</v>
      </c>
      <c r="L11975" s="43">
        <v>6.3874028877454023</v>
      </c>
      <c r="M11975" s="43">
        <v>11.500088130574259</v>
      </c>
      <c r="N11975" s="43">
        <v>5.4481131771454354</v>
      </c>
      <c r="O11975" s="43">
        <v>6.5343352118555629</v>
      </c>
      <c r="P11975" s="328"/>
      <c r="Q11975" s="328"/>
      <c r="R11975" s="328">
        <v>7</v>
      </c>
    </row>
    <row r="11976" spans="1:18" ht="48">
      <c r="A11976" s="324">
        <v>150</v>
      </c>
      <c r="B11976" s="321" t="s">
        <v>21830</v>
      </c>
      <c r="C11976" s="325" t="s">
        <v>21831</v>
      </c>
      <c r="D11976" s="326">
        <v>1151.8599999999999</v>
      </c>
      <c r="E11976" s="326">
        <v>198.33</v>
      </c>
      <c r="F11976" s="326">
        <v>906.32</v>
      </c>
      <c r="G11976" s="326">
        <v>47.21</v>
      </c>
      <c r="H11976" s="327">
        <v>7527.05</v>
      </c>
      <c r="I11976" s="327">
        <v>2280.8000000000002</v>
      </c>
      <c r="J11976" s="327">
        <v>4947.42</v>
      </c>
      <c r="K11976" s="327">
        <v>298.83</v>
      </c>
      <c r="L11976" s="43">
        <v>6.5346917160071545</v>
      </c>
      <c r="M11976" s="43">
        <v>11.50002521050774</v>
      </c>
      <c r="N11976" s="43">
        <v>5.4588004236914109</v>
      </c>
      <c r="O11976" s="43">
        <v>6.329803007837322</v>
      </c>
      <c r="P11976" s="328"/>
      <c r="Q11976" s="328"/>
      <c r="R11976" s="328">
        <v>7</v>
      </c>
    </row>
    <row r="11977" spans="1:18" ht="72">
      <c r="A11977" s="324">
        <v>151</v>
      </c>
      <c r="B11977" s="321" t="s">
        <v>21832</v>
      </c>
      <c r="C11977" s="325" t="s">
        <v>21833</v>
      </c>
      <c r="D11977" s="326">
        <v>1995.73</v>
      </c>
      <c r="E11977" s="326">
        <v>281</v>
      </c>
      <c r="F11977" s="326">
        <v>1401.99</v>
      </c>
      <c r="G11977" s="326">
        <v>312.74</v>
      </c>
      <c r="H11977" s="327">
        <v>13032.14</v>
      </c>
      <c r="I11977" s="327">
        <v>3231.5</v>
      </c>
      <c r="J11977" s="327">
        <v>8446.75</v>
      </c>
      <c r="K11977" s="327">
        <v>1353.89</v>
      </c>
      <c r="L11977" s="43">
        <v>6.5300115747120095</v>
      </c>
      <c r="M11977" s="43">
        <v>11.5</v>
      </c>
      <c r="N11977" s="43">
        <v>6.0248289930741299</v>
      </c>
      <c r="O11977" s="43">
        <v>4.329123233356782</v>
      </c>
      <c r="P11977" s="328"/>
      <c r="Q11977" s="328"/>
      <c r="R11977" s="328">
        <v>7</v>
      </c>
    </row>
    <row r="11978" spans="1:18" ht="72">
      <c r="A11978" s="324">
        <v>152</v>
      </c>
      <c r="B11978" s="321" t="s">
        <v>21834</v>
      </c>
      <c r="C11978" s="325" t="s">
        <v>21835</v>
      </c>
      <c r="D11978" s="326">
        <v>859.8</v>
      </c>
      <c r="E11978" s="326">
        <v>107</v>
      </c>
      <c r="F11978" s="326">
        <v>443.54</v>
      </c>
      <c r="G11978" s="326">
        <v>309.26</v>
      </c>
      <c r="H11978" s="327">
        <v>5209.8900000000003</v>
      </c>
      <c r="I11978" s="327">
        <v>1230.56</v>
      </c>
      <c r="J11978" s="327">
        <v>2665.46</v>
      </c>
      <c r="K11978" s="327">
        <v>1313.87</v>
      </c>
      <c r="L11978" s="43">
        <v>6.0594207955338462</v>
      </c>
      <c r="M11978" s="43">
        <v>11.500560747663551</v>
      </c>
      <c r="N11978" s="43">
        <v>6.0095143617261124</v>
      </c>
      <c r="O11978" s="43">
        <v>4.248431740283257</v>
      </c>
      <c r="P11978" s="328"/>
      <c r="Q11978" s="328"/>
      <c r="R11978" s="328">
        <v>7</v>
      </c>
    </row>
    <row r="11979" spans="1:18" ht="12.75">
      <c r="A11979" s="632" t="s">
        <v>18</v>
      </c>
      <c r="B11979" s="632"/>
      <c r="C11979" s="632"/>
      <c r="D11979" s="322">
        <v>22263319.579999998</v>
      </c>
      <c r="E11979" s="322">
        <v>5167146.0999999996</v>
      </c>
      <c r="F11979" s="322">
        <v>15453157.710000001</v>
      </c>
      <c r="G11979" s="322">
        <v>1643015.77</v>
      </c>
      <c r="H11979" s="323">
        <v>141861612.12</v>
      </c>
      <c r="I11979" s="323">
        <v>59423858.630000003</v>
      </c>
      <c r="J11979" s="323">
        <v>73888808.230000004</v>
      </c>
      <c r="K11979" s="323">
        <v>8548945.2599999998</v>
      </c>
      <c r="L11979" s="612">
        <v>6.3719883106488657</v>
      </c>
      <c r="M11979" s="612">
        <v>11.500324836954002</v>
      </c>
      <c r="N11979" s="612">
        <v>4.7814698857428537</v>
      </c>
      <c r="O11979" s="612">
        <v>5.2032034117359691</v>
      </c>
      <c r="P11979" s="320"/>
      <c r="Q11979" s="320"/>
      <c r="R11979" s="320"/>
    </row>
    <row r="11980" spans="1:18" ht="18">
      <c r="A11980" s="616" t="s">
        <v>22513</v>
      </c>
      <c r="B11980" s="626"/>
      <c r="C11980" s="626"/>
      <c r="D11980" s="626"/>
      <c r="E11980" s="626"/>
      <c r="F11980" s="626"/>
      <c r="G11980" s="626"/>
      <c r="H11980" s="626"/>
      <c r="I11980" s="626"/>
      <c r="J11980" s="626"/>
      <c r="K11980" s="626"/>
      <c r="L11980" s="626"/>
      <c r="M11980" s="626"/>
      <c r="N11980" s="626"/>
      <c r="O11980" s="626"/>
      <c r="P11980" s="626"/>
      <c r="Q11980" s="626"/>
      <c r="R11980" s="627"/>
    </row>
    <row r="11981" spans="1:18" ht="12.75" customHeight="1">
      <c r="A11981" s="630" t="s">
        <v>21837</v>
      </c>
      <c r="B11981" s="631"/>
      <c r="C11981" s="631"/>
      <c r="D11981" s="631"/>
      <c r="E11981" s="631"/>
      <c r="F11981" s="631"/>
      <c r="G11981" s="631"/>
      <c r="H11981" s="631"/>
      <c r="I11981" s="631"/>
      <c r="J11981" s="631"/>
      <c r="K11981" s="631"/>
      <c r="L11981" s="631"/>
      <c r="M11981" s="631"/>
      <c r="N11981" s="631"/>
      <c r="O11981" s="631"/>
      <c r="P11981" s="631"/>
      <c r="Q11981" s="631"/>
      <c r="R11981" s="631"/>
    </row>
    <row r="11982" spans="1:18" ht="12.75" customHeight="1">
      <c r="A11982" s="628" t="s">
        <v>21838</v>
      </c>
      <c r="B11982" s="629"/>
      <c r="C11982" s="629"/>
      <c r="D11982" s="629"/>
      <c r="E11982" s="629"/>
      <c r="F11982" s="629"/>
      <c r="G11982" s="629"/>
      <c r="H11982" s="629"/>
      <c r="I11982" s="629"/>
      <c r="J11982" s="629"/>
      <c r="K11982" s="629"/>
      <c r="L11982" s="629"/>
      <c r="M11982" s="629"/>
      <c r="N11982" s="629"/>
      <c r="O11982" s="629"/>
      <c r="P11982" s="629"/>
      <c r="Q11982" s="629"/>
      <c r="R11982" s="629"/>
    </row>
    <row r="11983" spans="1:18" ht="12.75" customHeight="1">
      <c r="A11983" s="628" t="s">
        <v>21839</v>
      </c>
      <c r="B11983" s="629"/>
      <c r="C11983" s="629"/>
      <c r="D11983" s="629"/>
      <c r="E11983" s="629"/>
      <c r="F11983" s="629"/>
      <c r="G11983" s="629"/>
      <c r="H11983" s="629"/>
      <c r="I11983" s="629"/>
      <c r="J11983" s="629"/>
      <c r="K11983" s="629"/>
      <c r="L11983" s="629"/>
      <c r="M11983" s="629"/>
      <c r="N11983" s="629"/>
      <c r="O11983" s="629"/>
      <c r="P11983" s="629"/>
      <c r="Q11983" s="629"/>
      <c r="R11983" s="629"/>
    </row>
    <row r="11984" spans="1:18" ht="36">
      <c r="A11984" s="339">
        <v>1</v>
      </c>
      <c r="B11984" s="336" t="s">
        <v>21840</v>
      </c>
      <c r="C11984" s="340" t="s">
        <v>21841</v>
      </c>
      <c r="D11984" s="341">
        <v>935.23</v>
      </c>
      <c r="E11984" s="341">
        <v>448.44</v>
      </c>
      <c r="F11984" s="341">
        <v>411.72</v>
      </c>
      <c r="G11984" s="341">
        <v>75.069999999999993</v>
      </c>
      <c r="H11984" s="342">
        <v>7869.09</v>
      </c>
      <c r="I11984" s="342">
        <v>5157.0600000000004</v>
      </c>
      <c r="J11984" s="342">
        <v>2219.61</v>
      </c>
      <c r="K11984" s="342">
        <v>492.42</v>
      </c>
      <c r="L11984" s="43">
        <v>8.4140692663836703</v>
      </c>
      <c r="M11984" s="43">
        <v>11.500000000000002</v>
      </c>
      <c r="N11984" s="43">
        <v>5.3910667443893905</v>
      </c>
      <c r="O11984" s="43">
        <v>6.5594778207006801</v>
      </c>
      <c r="P11984" s="343"/>
      <c r="Q11984" s="343"/>
      <c r="R11984" s="343">
        <v>1</v>
      </c>
    </row>
    <row r="11985" spans="1:18" ht="36">
      <c r="A11985" s="339">
        <v>2</v>
      </c>
      <c r="B11985" s="336" t="s">
        <v>21842</v>
      </c>
      <c r="C11985" s="340" t="s">
        <v>21843</v>
      </c>
      <c r="D11985" s="341">
        <v>1098.73</v>
      </c>
      <c r="E11985" s="341">
        <v>523.91999999999996</v>
      </c>
      <c r="F11985" s="341">
        <v>495.38</v>
      </c>
      <c r="G11985" s="341">
        <v>79.430000000000007</v>
      </c>
      <c r="H11985" s="342">
        <v>9231.27</v>
      </c>
      <c r="I11985" s="342">
        <v>6025.08</v>
      </c>
      <c r="J11985" s="342">
        <v>2671.38</v>
      </c>
      <c r="K11985" s="342">
        <v>534.80999999999995</v>
      </c>
      <c r="L11985" s="43">
        <v>8.4017638546321667</v>
      </c>
      <c r="M11985" s="43">
        <v>11.5</v>
      </c>
      <c r="N11985" s="43">
        <v>5.3925875085792727</v>
      </c>
      <c r="O11985" s="43">
        <v>6.7330983255696824</v>
      </c>
      <c r="P11985" s="343"/>
      <c r="Q11985" s="343"/>
      <c r="R11985" s="343">
        <v>1</v>
      </c>
    </row>
    <row r="11986" spans="1:18" ht="36">
      <c r="A11986" s="339">
        <v>3</v>
      </c>
      <c r="B11986" s="336" t="s">
        <v>21844</v>
      </c>
      <c r="C11986" s="340" t="s">
        <v>21845</v>
      </c>
      <c r="D11986" s="341">
        <v>1830.32</v>
      </c>
      <c r="E11986" s="341">
        <v>934.62</v>
      </c>
      <c r="F11986" s="341">
        <v>787.45</v>
      </c>
      <c r="G11986" s="341">
        <v>108.25</v>
      </c>
      <c r="H11986" s="342">
        <v>15741.65</v>
      </c>
      <c r="I11986" s="342">
        <v>10748.13</v>
      </c>
      <c r="J11986" s="342">
        <v>4247.05</v>
      </c>
      <c r="K11986" s="342">
        <v>746.47</v>
      </c>
      <c r="L11986" s="43">
        <v>8.6004906245902362</v>
      </c>
      <c r="M11986" s="43">
        <v>11.499999999999998</v>
      </c>
      <c r="N11986" s="43">
        <v>5.3934218045590194</v>
      </c>
      <c r="O11986" s="43">
        <v>6.8957967667436488</v>
      </c>
      <c r="P11986" s="343"/>
      <c r="Q11986" s="343"/>
      <c r="R11986" s="343">
        <v>1</v>
      </c>
    </row>
    <row r="11987" spans="1:18" ht="36">
      <c r="A11987" s="339">
        <v>4</v>
      </c>
      <c r="B11987" s="336" t="s">
        <v>21846</v>
      </c>
      <c r="C11987" s="340" t="s">
        <v>21847</v>
      </c>
      <c r="D11987" s="341">
        <v>10352.94</v>
      </c>
      <c r="E11987" s="341">
        <v>5067.09</v>
      </c>
      <c r="F11987" s="341">
        <v>1235.79</v>
      </c>
      <c r="G11987" s="341">
        <v>4050.06</v>
      </c>
      <c r="H11987" s="342">
        <v>80952.27</v>
      </c>
      <c r="I11987" s="342">
        <v>58273.74</v>
      </c>
      <c r="J11987" s="342">
        <v>6643.27</v>
      </c>
      <c r="K11987" s="342">
        <v>16035.26</v>
      </c>
      <c r="L11987" s="43">
        <v>7.8192542408243453</v>
      </c>
      <c r="M11987" s="43">
        <v>11.500435161009573</v>
      </c>
      <c r="N11987" s="43">
        <v>5.3757272675778252</v>
      </c>
      <c r="O11987" s="43">
        <v>3.9592648010152938</v>
      </c>
      <c r="P11987" s="343"/>
      <c r="Q11987" s="343"/>
      <c r="R11987" s="343">
        <v>1</v>
      </c>
    </row>
    <row r="11988" spans="1:18" ht="12.75" customHeight="1">
      <c r="A11988" s="628" t="s">
        <v>21848</v>
      </c>
      <c r="B11988" s="629"/>
      <c r="C11988" s="629"/>
      <c r="D11988" s="629"/>
      <c r="E11988" s="629"/>
      <c r="F11988" s="629"/>
      <c r="G11988" s="629"/>
      <c r="H11988" s="629"/>
      <c r="I11988" s="629"/>
      <c r="J11988" s="629"/>
      <c r="K11988" s="629"/>
      <c r="L11988" s="629"/>
      <c r="M11988" s="629"/>
      <c r="N11988" s="629"/>
      <c r="O11988" s="629"/>
      <c r="P11988" s="629"/>
      <c r="Q11988" s="629"/>
      <c r="R11988" s="629"/>
    </row>
    <row r="11989" spans="1:18" ht="24">
      <c r="A11989" s="339">
        <v>5</v>
      </c>
      <c r="B11989" s="336" t="s">
        <v>21849</v>
      </c>
      <c r="C11989" s="340" t="s">
        <v>21850</v>
      </c>
      <c r="D11989" s="341">
        <v>3181.83</v>
      </c>
      <c r="E11989" s="341">
        <v>2306.08</v>
      </c>
      <c r="F11989" s="341">
        <v>741.98</v>
      </c>
      <c r="G11989" s="341">
        <v>133.77000000000001</v>
      </c>
      <c r="H11989" s="342">
        <v>31558.48</v>
      </c>
      <c r="I11989" s="342">
        <v>26519.919999999998</v>
      </c>
      <c r="J11989" s="342">
        <v>3993.34</v>
      </c>
      <c r="K11989" s="342">
        <v>1045.22</v>
      </c>
      <c r="L11989" s="43">
        <v>9.9183425890132408</v>
      </c>
      <c r="M11989" s="43">
        <v>11.5</v>
      </c>
      <c r="N11989" s="43">
        <v>5.3820049057926092</v>
      </c>
      <c r="O11989" s="43">
        <v>7.8135605890707929</v>
      </c>
      <c r="P11989" s="343"/>
      <c r="Q11989" s="343"/>
      <c r="R11989" s="343">
        <v>2</v>
      </c>
    </row>
    <row r="11990" spans="1:18" ht="36">
      <c r="A11990" s="339">
        <v>6</v>
      </c>
      <c r="B11990" s="336" t="s">
        <v>21851</v>
      </c>
      <c r="C11990" s="340" t="s">
        <v>21852</v>
      </c>
      <c r="D11990" s="341">
        <v>3333.56</v>
      </c>
      <c r="E11990" s="341">
        <v>2294.7199999999998</v>
      </c>
      <c r="F11990" s="341">
        <v>901.49</v>
      </c>
      <c r="G11990" s="341">
        <v>137.35</v>
      </c>
      <c r="H11990" s="342">
        <v>32322.86</v>
      </c>
      <c r="I11990" s="342">
        <v>26389.279999999999</v>
      </c>
      <c r="J11990" s="342">
        <v>4857.62</v>
      </c>
      <c r="K11990" s="342">
        <v>1075.96</v>
      </c>
      <c r="L11990" s="43">
        <v>9.6961986584912232</v>
      </c>
      <c r="M11990" s="43">
        <v>11.5</v>
      </c>
      <c r="N11990" s="43">
        <v>5.3884347025480039</v>
      </c>
      <c r="O11990" s="43">
        <v>7.833709501274118</v>
      </c>
      <c r="P11990" s="343"/>
      <c r="Q11990" s="343"/>
      <c r="R11990" s="343">
        <v>2</v>
      </c>
    </row>
    <row r="11991" spans="1:18" ht="36">
      <c r="A11991" s="339">
        <v>7</v>
      </c>
      <c r="B11991" s="336" t="s">
        <v>21853</v>
      </c>
      <c r="C11991" s="340" t="s">
        <v>21854</v>
      </c>
      <c r="D11991" s="341">
        <v>5020.21</v>
      </c>
      <c r="E11991" s="341">
        <v>3079.76</v>
      </c>
      <c r="F11991" s="341">
        <v>1742.51</v>
      </c>
      <c r="G11991" s="341">
        <v>197.94</v>
      </c>
      <c r="H11991" s="342">
        <v>46212.24</v>
      </c>
      <c r="I11991" s="342">
        <v>35417.24</v>
      </c>
      <c r="J11991" s="342">
        <v>9208.3700000000008</v>
      </c>
      <c r="K11991" s="342">
        <v>1586.63</v>
      </c>
      <c r="L11991" s="43">
        <v>9.2052404182295167</v>
      </c>
      <c r="M11991" s="43">
        <v>11.499999999999998</v>
      </c>
      <c r="N11991" s="43">
        <v>5.2845435607256208</v>
      </c>
      <c r="O11991" s="43">
        <v>8.0157118318682432</v>
      </c>
      <c r="P11991" s="343"/>
      <c r="Q11991" s="343"/>
      <c r="R11991" s="343">
        <v>2</v>
      </c>
    </row>
    <row r="11992" spans="1:18" ht="36">
      <c r="A11992" s="339">
        <v>8</v>
      </c>
      <c r="B11992" s="336" t="s">
        <v>21855</v>
      </c>
      <c r="C11992" s="340" t="s">
        <v>21856</v>
      </c>
      <c r="D11992" s="341">
        <v>11841.27</v>
      </c>
      <c r="E11992" s="341">
        <v>5147.92</v>
      </c>
      <c r="F11992" s="341">
        <v>2534.63</v>
      </c>
      <c r="G11992" s="341">
        <v>4158.72</v>
      </c>
      <c r="H11992" s="342">
        <v>89629.32</v>
      </c>
      <c r="I11992" s="342">
        <v>59201.08</v>
      </c>
      <c r="J11992" s="342">
        <v>13626.3</v>
      </c>
      <c r="K11992" s="342">
        <v>16801.939999999999</v>
      </c>
      <c r="L11992" s="43">
        <v>7.5692320164982307</v>
      </c>
      <c r="M11992" s="43">
        <v>11.5</v>
      </c>
      <c r="N11992" s="43">
        <v>5.3760509423466143</v>
      </c>
      <c r="O11992" s="43">
        <v>4.0401710141582017</v>
      </c>
      <c r="P11992" s="343"/>
      <c r="Q11992" s="343"/>
      <c r="R11992" s="343">
        <v>2</v>
      </c>
    </row>
    <row r="11993" spans="1:18" ht="36">
      <c r="A11993" s="339">
        <v>9</v>
      </c>
      <c r="B11993" s="336" t="s">
        <v>21857</v>
      </c>
      <c r="C11993" s="340" t="s">
        <v>21858</v>
      </c>
      <c r="D11993" s="341">
        <v>15989</v>
      </c>
      <c r="E11993" s="341">
        <v>6114.56</v>
      </c>
      <c r="F11993" s="341">
        <v>4402.59</v>
      </c>
      <c r="G11993" s="341">
        <v>5471.85</v>
      </c>
      <c r="H11993" s="342">
        <v>115926.02</v>
      </c>
      <c r="I11993" s="342">
        <v>70317.440000000002</v>
      </c>
      <c r="J11993" s="342">
        <v>23718.82</v>
      </c>
      <c r="K11993" s="342">
        <v>21889.759999999998</v>
      </c>
      <c r="L11993" s="43">
        <v>7.2503608731002567</v>
      </c>
      <c r="M11993" s="43">
        <v>11.5</v>
      </c>
      <c r="N11993" s="43">
        <v>5.3874696485477864</v>
      </c>
      <c r="O11993" s="43">
        <v>4.0004312983725789</v>
      </c>
      <c r="P11993" s="343"/>
      <c r="Q11993" s="343"/>
      <c r="R11993" s="343">
        <v>2</v>
      </c>
    </row>
    <row r="11994" spans="1:18" ht="36">
      <c r="A11994" s="339">
        <v>10</v>
      </c>
      <c r="B11994" s="336" t="s">
        <v>21859</v>
      </c>
      <c r="C11994" s="340" t="s">
        <v>21860</v>
      </c>
      <c r="D11994" s="341">
        <v>25120.49</v>
      </c>
      <c r="E11994" s="341">
        <v>11296.2</v>
      </c>
      <c r="F11994" s="341">
        <v>6824.72</v>
      </c>
      <c r="G11994" s="341">
        <v>6999.57</v>
      </c>
      <c r="H11994" s="342">
        <v>195074.17</v>
      </c>
      <c r="I11994" s="342">
        <v>129906.3</v>
      </c>
      <c r="J11994" s="342">
        <v>36416.79</v>
      </c>
      <c r="K11994" s="342">
        <v>28751.08</v>
      </c>
      <c r="L11994" s="43">
        <v>7.7655400033996154</v>
      </c>
      <c r="M11994" s="43">
        <v>11.5</v>
      </c>
      <c r="N11994" s="43">
        <v>5.3360123199193517</v>
      </c>
      <c r="O11994" s="43">
        <v>4.1075494637527736</v>
      </c>
      <c r="P11994" s="343"/>
      <c r="Q11994" s="343"/>
      <c r="R11994" s="343">
        <v>2</v>
      </c>
    </row>
    <row r="11995" spans="1:18" ht="36">
      <c r="A11995" s="339">
        <v>11</v>
      </c>
      <c r="B11995" s="336" t="s">
        <v>21861</v>
      </c>
      <c r="C11995" s="340" t="s">
        <v>21862</v>
      </c>
      <c r="D11995" s="341">
        <v>17852.330000000002</v>
      </c>
      <c r="E11995" s="341">
        <v>7520.32</v>
      </c>
      <c r="F11995" s="341">
        <v>3557.28</v>
      </c>
      <c r="G11995" s="341">
        <v>6774.73</v>
      </c>
      <c r="H11995" s="342">
        <v>132520.87</v>
      </c>
      <c r="I11995" s="342">
        <v>86483.68</v>
      </c>
      <c r="J11995" s="342">
        <v>19125.41</v>
      </c>
      <c r="K11995" s="342">
        <v>26911.78</v>
      </c>
      <c r="L11995" s="43">
        <v>7.423169412620088</v>
      </c>
      <c r="M11995" s="43">
        <v>11.5</v>
      </c>
      <c r="N11995" s="43">
        <v>5.3764140017091711</v>
      </c>
      <c r="O11995" s="43">
        <v>3.972376758926186</v>
      </c>
      <c r="P11995" s="343"/>
      <c r="Q11995" s="343"/>
      <c r="R11995" s="343">
        <v>2</v>
      </c>
    </row>
    <row r="11996" spans="1:18" ht="36">
      <c r="A11996" s="339">
        <v>12</v>
      </c>
      <c r="B11996" s="336" t="s">
        <v>21863</v>
      </c>
      <c r="C11996" s="340" t="s">
        <v>21864</v>
      </c>
      <c r="D11996" s="341">
        <v>24786.68</v>
      </c>
      <c r="E11996" s="341">
        <v>9531.52</v>
      </c>
      <c r="F11996" s="341">
        <v>6916.16</v>
      </c>
      <c r="G11996" s="341">
        <v>8339</v>
      </c>
      <c r="H11996" s="342">
        <v>180776.05</v>
      </c>
      <c r="I11996" s="342">
        <v>109612.48</v>
      </c>
      <c r="J11996" s="342">
        <v>37243.56</v>
      </c>
      <c r="K11996" s="342">
        <v>33920.01</v>
      </c>
      <c r="L11996" s="43">
        <v>7.2932740488036307</v>
      </c>
      <c r="M11996" s="43">
        <v>11.499999999999998</v>
      </c>
      <c r="N11996" s="43">
        <v>5.3850055522139453</v>
      </c>
      <c r="O11996" s="43">
        <v>4.0676352080585207</v>
      </c>
      <c r="P11996" s="343"/>
      <c r="Q11996" s="343"/>
      <c r="R11996" s="343">
        <v>2</v>
      </c>
    </row>
    <row r="11997" spans="1:18" ht="36">
      <c r="A11997" s="339">
        <v>13</v>
      </c>
      <c r="B11997" s="336" t="s">
        <v>21865</v>
      </c>
      <c r="C11997" s="340" t="s">
        <v>21866</v>
      </c>
      <c r="D11997" s="341">
        <v>34535.15</v>
      </c>
      <c r="E11997" s="341">
        <v>14668.2</v>
      </c>
      <c r="F11997" s="341">
        <v>11495.6</v>
      </c>
      <c r="G11997" s="341">
        <v>8371.35</v>
      </c>
      <c r="H11997" s="342">
        <v>264019.61</v>
      </c>
      <c r="I11997" s="342">
        <v>168684.3</v>
      </c>
      <c r="J11997" s="342">
        <v>60850.77</v>
      </c>
      <c r="K11997" s="342">
        <v>34484.54</v>
      </c>
      <c r="L11997" s="43">
        <v>7.6449533301578239</v>
      </c>
      <c r="M11997" s="43">
        <v>11.499999999999998</v>
      </c>
      <c r="N11997" s="43">
        <v>5.29339660391802</v>
      </c>
      <c r="O11997" s="43">
        <v>4.119352314740155</v>
      </c>
      <c r="P11997" s="343"/>
      <c r="Q11997" s="343"/>
      <c r="R11997" s="343">
        <v>2</v>
      </c>
    </row>
    <row r="11998" spans="1:18" ht="12.75" customHeight="1">
      <c r="A11998" s="628" t="s">
        <v>21867</v>
      </c>
      <c r="B11998" s="629"/>
      <c r="C11998" s="629"/>
      <c r="D11998" s="629"/>
      <c r="E11998" s="629"/>
      <c r="F11998" s="629"/>
      <c r="G11998" s="629"/>
      <c r="H11998" s="629"/>
      <c r="I11998" s="629"/>
      <c r="J11998" s="629"/>
      <c r="K11998" s="629"/>
      <c r="L11998" s="629"/>
      <c r="M11998" s="629"/>
      <c r="N11998" s="629"/>
      <c r="O11998" s="629"/>
      <c r="P11998" s="629"/>
      <c r="Q11998" s="629"/>
      <c r="R11998" s="629"/>
    </row>
    <row r="11999" spans="1:18" ht="36">
      <c r="A11999" s="339">
        <v>14</v>
      </c>
      <c r="B11999" s="336" t="s">
        <v>21868</v>
      </c>
      <c r="C11999" s="340" t="s">
        <v>21869</v>
      </c>
      <c r="D11999" s="341">
        <v>31657.51</v>
      </c>
      <c r="E11999" s="341">
        <v>12280.16</v>
      </c>
      <c r="F11999" s="341">
        <v>9167.7999999999993</v>
      </c>
      <c r="G11999" s="341">
        <v>10209.549999999999</v>
      </c>
      <c r="H11999" s="342">
        <v>231009.1</v>
      </c>
      <c r="I11999" s="342">
        <v>141221.84</v>
      </c>
      <c r="J11999" s="342">
        <v>49033.46</v>
      </c>
      <c r="K11999" s="342">
        <v>40753.800000000003</v>
      </c>
      <c r="L11999" s="43">
        <v>7.2971342344991763</v>
      </c>
      <c r="M11999" s="43">
        <v>11.5</v>
      </c>
      <c r="N11999" s="43">
        <v>5.3484434651715791</v>
      </c>
      <c r="O11999" s="43">
        <v>3.9917332301619566</v>
      </c>
      <c r="P11999" s="343"/>
      <c r="Q11999" s="343"/>
      <c r="R11999" s="343">
        <v>3</v>
      </c>
    </row>
    <row r="12000" spans="1:18" ht="36">
      <c r="A12000" s="339">
        <v>15</v>
      </c>
      <c r="B12000" s="336" t="s">
        <v>21870</v>
      </c>
      <c r="C12000" s="340" t="s">
        <v>21871</v>
      </c>
      <c r="D12000" s="341">
        <v>34706.36</v>
      </c>
      <c r="E12000" s="341">
        <v>12586.88</v>
      </c>
      <c r="F12000" s="341">
        <v>11853.81</v>
      </c>
      <c r="G12000" s="341">
        <v>10265.67</v>
      </c>
      <c r="H12000" s="342">
        <v>249642.42</v>
      </c>
      <c r="I12000" s="342">
        <v>144749.12</v>
      </c>
      <c r="J12000" s="342">
        <v>63630.83</v>
      </c>
      <c r="K12000" s="342">
        <v>41262.47</v>
      </c>
      <c r="L12000" s="43">
        <v>7.1929876829491777</v>
      </c>
      <c r="M12000" s="43">
        <v>11.5</v>
      </c>
      <c r="N12000" s="43">
        <v>5.3679643928829641</v>
      </c>
      <c r="O12000" s="43">
        <v>4.0194619542611445</v>
      </c>
      <c r="P12000" s="343"/>
      <c r="Q12000" s="343"/>
      <c r="R12000" s="343">
        <v>3</v>
      </c>
    </row>
    <row r="12001" spans="1:18" ht="36">
      <c r="A12001" s="339">
        <v>16</v>
      </c>
      <c r="B12001" s="336" t="s">
        <v>21872</v>
      </c>
      <c r="C12001" s="340" t="s">
        <v>21873</v>
      </c>
      <c r="D12001" s="341">
        <v>37632.21</v>
      </c>
      <c r="E12001" s="341">
        <v>13472.96</v>
      </c>
      <c r="F12001" s="341">
        <v>11895.04</v>
      </c>
      <c r="G12001" s="341">
        <v>12264.21</v>
      </c>
      <c r="H12001" s="342">
        <v>267656.15000000002</v>
      </c>
      <c r="I12001" s="342">
        <v>154939.04</v>
      </c>
      <c r="J12001" s="342">
        <v>63812.11</v>
      </c>
      <c r="K12001" s="342">
        <v>48905</v>
      </c>
      <c r="L12001" s="43">
        <v>7.1124217791089075</v>
      </c>
      <c r="M12001" s="43">
        <v>11.500000000000002</v>
      </c>
      <c r="N12001" s="43">
        <v>5.3645981854621754</v>
      </c>
      <c r="O12001" s="43">
        <v>3.9876192596180271</v>
      </c>
      <c r="P12001" s="343"/>
      <c r="Q12001" s="343"/>
      <c r="R12001" s="343">
        <v>3</v>
      </c>
    </row>
    <row r="12002" spans="1:18" ht="36">
      <c r="A12002" s="339">
        <v>17</v>
      </c>
      <c r="B12002" s="336" t="s">
        <v>21874</v>
      </c>
      <c r="C12002" s="340" t="s">
        <v>21875</v>
      </c>
      <c r="D12002" s="341">
        <v>34266.92</v>
      </c>
      <c r="E12002" s="341">
        <v>11666.72</v>
      </c>
      <c r="F12002" s="341">
        <v>10476.5</v>
      </c>
      <c r="G12002" s="341">
        <v>12123.7</v>
      </c>
      <c r="H12002" s="342">
        <v>238582.29</v>
      </c>
      <c r="I12002" s="342">
        <v>134167.28</v>
      </c>
      <c r="J12002" s="342">
        <v>56629.19</v>
      </c>
      <c r="K12002" s="342">
        <v>47785.82</v>
      </c>
      <c r="L12002" s="43">
        <v>6.9624667171721306</v>
      </c>
      <c r="M12002" s="43">
        <v>11.5</v>
      </c>
      <c r="N12002" s="43">
        <v>5.405353887271513</v>
      </c>
      <c r="O12002" s="43">
        <v>3.9415211527833911</v>
      </c>
      <c r="P12002" s="343"/>
      <c r="Q12002" s="343"/>
      <c r="R12002" s="343">
        <v>3</v>
      </c>
    </row>
    <row r="12003" spans="1:18" ht="36">
      <c r="A12003" s="339">
        <v>18</v>
      </c>
      <c r="B12003" s="336" t="s">
        <v>21876</v>
      </c>
      <c r="C12003" s="340" t="s">
        <v>21877</v>
      </c>
      <c r="D12003" s="341">
        <v>36858.400000000001</v>
      </c>
      <c r="E12003" s="341">
        <v>12859.52</v>
      </c>
      <c r="F12003" s="341">
        <v>11808.48</v>
      </c>
      <c r="G12003" s="341">
        <v>12190.4</v>
      </c>
      <c r="H12003" s="342">
        <v>259590.72</v>
      </c>
      <c r="I12003" s="342">
        <v>147884.48000000001</v>
      </c>
      <c r="J12003" s="342">
        <v>63270.55</v>
      </c>
      <c r="K12003" s="342">
        <v>48435.69</v>
      </c>
      <c r="L12003" s="43">
        <v>7.0429188461788899</v>
      </c>
      <c r="M12003" s="43">
        <v>11.5</v>
      </c>
      <c r="N12003" s="43">
        <v>5.3580604785713319</v>
      </c>
      <c r="O12003" s="43">
        <v>3.9732650282189268</v>
      </c>
      <c r="P12003" s="343"/>
      <c r="Q12003" s="343"/>
      <c r="R12003" s="343">
        <v>3</v>
      </c>
    </row>
    <row r="12004" spans="1:18" ht="36">
      <c r="A12004" s="339">
        <v>19</v>
      </c>
      <c r="B12004" s="336" t="s">
        <v>21878</v>
      </c>
      <c r="C12004" s="340" t="s">
        <v>21879</v>
      </c>
      <c r="D12004" s="341">
        <v>48792.42</v>
      </c>
      <c r="E12004" s="341">
        <v>19153.830000000002</v>
      </c>
      <c r="F12004" s="341">
        <v>15341.48</v>
      </c>
      <c r="G12004" s="341">
        <v>14297.11</v>
      </c>
      <c r="H12004" s="342">
        <v>359993.53</v>
      </c>
      <c r="I12004" s="342">
        <v>220277.38</v>
      </c>
      <c r="J12004" s="342">
        <v>82393.98</v>
      </c>
      <c r="K12004" s="342">
        <v>57322.17</v>
      </c>
      <c r="L12004" s="43">
        <v>7.3780626171032315</v>
      </c>
      <c r="M12004" s="43">
        <v>11.500435161009573</v>
      </c>
      <c r="N12004" s="43">
        <v>5.3706669760674979</v>
      </c>
      <c r="O12004" s="43">
        <v>4.0093536386024864</v>
      </c>
      <c r="P12004" s="343"/>
      <c r="Q12004" s="343"/>
      <c r="R12004" s="343">
        <v>3</v>
      </c>
    </row>
    <row r="12005" spans="1:18" ht="36">
      <c r="A12005" s="339">
        <v>20</v>
      </c>
      <c r="B12005" s="336" t="s">
        <v>21880</v>
      </c>
      <c r="C12005" s="340" t="s">
        <v>21881</v>
      </c>
      <c r="D12005" s="341">
        <v>58600.3</v>
      </c>
      <c r="E12005" s="341">
        <v>26415.51</v>
      </c>
      <c r="F12005" s="341">
        <v>17778.150000000001</v>
      </c>
      <c r="G12005" s="341">
        <v>14406.64</v>
      </c>
      <c r="H12005" s="342">
        <v>457501.12</v>
      </c>
      <c r="I12005" s="342">
        <v>303789.86</v>
      </c>
      <c r="J12005" s="342">
        <v>95031.84</v>
      </c>
      <c r="K12005" s="342">
        <v>58679.42</v>
      </c>
      <c r="L12005" s="43">
        <v>7.8071463797966896</v>
      </c>
      <c r="M12005" s="43">
        <v>11.500435161009573</v>
      </c>
      <c r="N12005" s="43">
        <v>5.3454290800786355</v>
      </c>
      <c r="O12005" s="43">
        <v>4.0730815790496608</v>
      </c>
      <c r="P12005" s="343"/>
      <c r="Q12005" s="343"/>
      <c r="R12005" s="343">
        <v>3</v>
      </c>
    </row>
    <row r="12006" spans="1:18" ht="36">
      <c r="A12006" s="339">
        <v>21</v>
      </c>
      <c r="B12006" s="336" t="s">
        <v>21882</v>
      </c>
      <c r="C12006" s="340" t="s">
        <v>21883</v>
      </c>
      <c r="D12006" s="341">
        <v>34551.58</v>
      </c>
      <c r="E12006" s="341">
        <v>11450.88</v>
      </c>
      <c r="F12006" s="341">
        <v>8964.7900000000009</v>
      </c>
      <c r="G12006" s="341">
        <v>14135.91</v>
      </c>
      <c r="H12006" s="342">
        <v>235753.60000000001</v>
      </c>
      <c r="I12006" s="342">
        <v>131685.12</v>
      </c>
      <c r="J12006" s="342">
        <v>48580.58</v>
      </c>
      <c r="K12006" s="342">
        <v>55487.9</v>
      </c>
      <c r="L12006" s="43">
        <v>6.8232364482318895</v>
      </c>
      <c r="M12006" s="43">
        <v>11.5</v>
      </c>
      <c r="N12006" s="43">
        <v>5.4190427215807615</v>
      </c>
      <c r="O12006" s="43">
        <v>3.9253150310096769</v>
      </c>
      <c r="P12006" s="343"/>
      <c r="Q12006" s="343"/>
      <c r="R12006" s="343">
        <v>3</v>
      </c>
    </row>
    <row r="12007" spans="1:18" ht="12.75" customHeight="1">
      <c r="A12007" s="628" t="s">
        <v>21884</v>
      </c>
      <c r="B12007" s="629"/>
      <c r="C12007" s="629"/>
      <c r="D12007" s="629"/>
      <c r="E12007" s="629"/>
      <c r="F12007" s="629"/>
      <c r="G12007" s="629"/>
      <c r="H12007" s="629"/>
      <c r="I12007" s="629"/>
      <c r="J12007" s="629"/>
      <c r="K12007" s="629"/>
      <c r="L12007" s="629"/>
      <c r="M12007" s="629"/>
      <c r="N12007" s="629"/>
      <c r="O12007" s="629"/>
      <c r="P12007" s="629"/>
      <c r="Q12007" s="629"/>
      <c r="R12007" s="629"/>
    </row>
    <row r="12008" spans="1:18" ht="24">
      <c r="A12008" s="339">
        <v>22</v>
      </c>
      <c r="B12008" s="336" t="s">
        <v>21885</v>
      </c>
      <c r="C12008" s="340" t="s">
        <v>21886</v>
      </c>
      <c r="D12008" s="341">
        <v>38589.14</v>
      </c>
      <c r="E12008" s="341">
        <v>16358.4</v>
      </c>
      <c r="F12008" s="341">
        <v>11892.36</v>
      </c>
      <c r="G12008" s="341">
        <v>10338.379999999999</v>
      </c>
      <c r="H12008" s="342">
        <v>294246.08</v>
      </c>
      <c r="I12008" s="342">
        <v>188121.60000000001</v>
      </c>
      <c r="J12008" s="342">
        <v>64229.57</v>
      </c>
      <c r="K12008" s="342">
        <v>41894.910000000003</v>
      </c>
      <c r="L12008" s="43">
        <v>7.6251007407783646</v>
      </c>
      <c r="M12008" s="43">
        <v>11.5</v>
      </c>
      <c r="N12008" s="43">
        <v>5.4009103323478262</v>
      </c>
      <c r="O12008" s="43">
        <v>4.0523670052754888</v>
      </c>
      <c r="P12008" s="343"/>
      <c r="Q12008" s="343"/>
      <c r="R12008" s="343">
        <v>4</v>
      </c>
    </row>
    <row r="12009" spans="1:18" ht="24">
      <c r="A12009" s="339">
        <v>23</v>
      </c>
      <c r="B12009" s="336" t="s">
        <v>21887</v>
      </c>
      <c r="C12009" s="340" t="s">
        <v>21888</v>
      </c>
      <c r="D12009" s="341">
        <v>44569.79</v>
      </c>
      <c r="E12009" s="341">
        <v>19039.36</v>
      </c>
      <c r="F12009" s="341">
        <v>15131.29</v>
      </c>
      <c r="G12009" s="341">
        <v>10399.14</v>
      </c>
      <c r="H12009" s="342">
        <v>343371.21</v>
      </c>
      <c r="I12009" s="342">
        <v>218952.64</v>
      </c>
      <c r="J12009" s="342">
        <v>81844.45</v>
      </c>
      <c r="K12009" s="342">
        <v>42574.12</v>
      </c>
      <c r="L12009" s="43">
        <v>7.7041244753452958</v>
      </c>
      <c r="M12009" s="43">
        <v>11.5</v>
      </c>
      <c r="N12009" s="43">
        <v>5.408953896197878</v>
      </c>
      <c r="O12009" s="43">
        <v>4.0940039272478304</v>
      </c>
      <c r="P12009" s="343"/>
      <c r="Q12009" s="343"/>
      <c r="R12009" s="343">
        <v>4</v>
      </c>
    </row>
    <row r="12010" spans="1:18" ht="12.75" customHeight="1">
      <c r="A12010" s="628" t="s">
        <v>21889</v>
      </c>
      <c r="B12010" s="629"/>
      <c r="C12010" s="629"/>
      <c r="D12010" s="629"/>
      <c r="E12010" s="629"/>
      <c r="F12010" s="629"/>
      <c r="G12010" s="629"/>
      <c r="H12010" s="629"/>
      <c r="I12010" s="629"/>
      <c r="J12010" s="629"/>
      <c r="K12010" s="629"/>
      <c r="L12010" s="629"/>
      <c r="M12010" s="629"/>
      <c r="N12010" s="629"/>
      <c r="O12010" s="629"/>
      <c r="P12010" s="629"/>
      <c r="Q12010" s="629"/>
      <c r="R12010" s="629"/>
    </row>
    <row r="12011" spans="1:18" ht="24">
      <c r="A12011" s="339">
        <v>24</v>
      </c>
      <c r="B12011" s="336" t="s">
        <v>21890</v>
      </c>
      <c r="C12011" s="340" t="s">
        <v>21891</v>
      </c>
      <c r="D12011" s="341">
        <v>1934.31</v>
      </c>
      <c r="E12011" s="341">
        <v>882.34</v>
      </c>
      <c r="F12011" s="341">
        <v>947.96</v>
      </c>
      <c r="G12011" s="341">
        <v>104.01</v>
      </c>
      <c r="H12011" s="342">
        <v>15988.82</v>
      </c>
      <c r="I12011" s="342">
        <v>10146.91</v>
      </c>
      <c r="J12011" s="342">
        <v>5135.41</v>
      </c>
      <c r="K12011" s="342">
        <v>706.5</v>
      </c>
      <c r="L12011" s="43">
        <v>8.2659036038690807</v>
      </c>
      <c r="M12011" s="43">
        <v>11.5</v>
      </c>
      <c r="N12011" s="43">
        <v>5.4173277353474827</v>
      </c>
      <c r="O12011" s="43">
        <v>6.7926160946062879</v>
      </c>
      <c r="P12011" s="343"/>
      <c r="Q12011" s="343"/>
      <c r="R12011" s="343">
        <v>5</v>
      </c>
    </row>
    <row r="12012" spans="1:18" ht="36">
      <c r="A12012" s="339">
        <v>25</v>
      </c>
      <c r="B12012" s="336" t="s">
        <v>21892</v>
      </c>
      <c r="C12012" s="340" t="s">
        <v>21893</v>
      </c>
      <c r="D12012" s="341">
        <v>9824.34</v>
      </c>
      <c r="E12012" s="341">
        <v>4327.3999999999996</v>
      </c>
      <c r="F12012" s="341">
        <v>5234.13</v>
      </c>
      <c r="G12012" s="341">
        <v>262.81</v>
      </c>
      <c r="H12012" s="342">
        <v>80523.97</v>
      </c>
      <c r="I12012" s="342">
        <v>49765.1</v>
      </c>
      <c r="J12012" s="342">
        <v>28725.51</v>
      </c>
      <c r="K12012" s="342">
        <v>2033.36</v>
      </c>
      <c r="L12012" s="43">
        <v>8.1963745147256706</v>
      </c>
      <c r="M12012" s="43">
        <v>11.5</v>
      </c>
      <c r="N12012" s="43">
        <v>5.4881155034361004</v>
      </c>
      <c r="O12012" s="43">
        <v>7.7369963091206575</v>
      </c>
      <c r="P12012" s="343"/>
      <c r="Q12012" s="343"/>
      <c r="R12012" s="343">
        <v>5</v>
      </c>
    </row>
    <row r="12013" spans="1:18" ht="24">
      <c r="A12013" s="339">
        <v>26</v>
      </c>
      <c r="B12013" s="336" t="s">
        <v>21894</v>
      </c>
      <c r="C12013" s="340" t="s">
        <v>21895</v>
      </c>
      <c r="D12013" s="341">
        <v>7391.31</v>
      </c>
      <c r="E12013" s="341">
        <v>4608.3999999999996</v>
      </c>
      <c r="F12013" s="341">
        <v>2475.92</v>
      </c>
      <c r="G12013" s="341">
        <v>306.99</v>
      </c>
      <c r="H12013" s="342">
        <v>68835.86</v>
      </c>
      <c r="I12013" s="342">
        <v>52996.6</v>
      </c>
      <c r="J12013" s="342">
        <v>13403.34</v>
      </c>
      <c r="K12013" s="342">
        <v>2435.92</v>
      </c>
      <c r="L12013" s="43">
        <v>9.3130798194095501</v>
      </c>
      <c r="M12013" s="43">
        <v>11.5</v>
      </c>
      <c r="N12013" s="43">
        <v>5.4134786261268539</v>
      </c>
      <c r="O12013" s="43">
        <v>7.934851298087886</v>
      </c>
      <c r="P12013" s="343"/>
      <c r="Q12013" s="343"/>
      <c r="R12013" s="343">
        <v>5</v>
      </c>
    </row>
    <row r="12014" spans="1:18" ht="24">
      <c r="A12014" s="339">
        <v>27</v>
      </c>
      <c r="B12014" s="336" t="s">
        <v>21896</v>
      </c>
      <c r="C12014" s="340" t="s">
        <v>21897</v>
      </c>
      <c r="D12014" s="341">
        <v>18092.810000000001</v>
      </c>
      <c r="E12014" s="341">
        <v>8137.76</v>
      </c>
      <c r="F12014" s="341">
        <v>7280.75</v>
      </c>
      <c r="G12014" s="341">
        <v>2674.3</v>
      </c>
      <c r="H12014" s="342">
        <v>152816.60999999999</v>
      </c>
      <c r="I12014" s="342">
        <v>93584.24</v>
      </c>
      <c r="J12014" s="342">
        <v>39059.53</v>
      </c>
      <c r="K12014" s="342">
        <v>20172.84</v>
      </c>
      <c r="L12014" s="43">
        <v>8.4462618023402651</v>
      </c>
      <c r="M12014" s="43">
        <v>11.5</v>
      </c>
      <c r="N12014" s="43">
        <v>5.3647673659993815</v>
      </c>
      <c r="O12014" s="43">
        <v>7.5432225255206964</v>
      </c>
      <c r="P12014" s="343"/>
      <c r="Q12014" s="343"/>
      <c r="R12014" s="343">
        <v>5</v>
      </c>
    </row>
    <row r="12015" spans="1:18" ht="12.75" customHeight="1">
      <c r="A12015" s="628" t="s">
        <v>21898</v>
      </c>
      <c r="B12015" s="629"/>
      <c r="C12015" s="629"/>
      <c r="D12015" s="629"/>
      <c r="E12015" s="629"/>
      <c r="F12015" s="629"/>
      <c r="G12015" s="629"/>
      <c r="H12015" s="629"/>
      <c r="I12015" s="629"/>
      <c r="J12015" s="629"/>
      <c r="K12015" s="629"/>
      <c r="L12015" s="629"/>
      <c r="M12015" s="629"/>
      <c r="N12015" s="629"/>
      <c r="O12015" s="629"/>
      <c r="P12015" s="629"/>
      <c r="Q12015" s="629"/>
      <c r="R12015" s="629"/>
    </row>
    <row r="12016" spans="1:18" ht="12.75" customHeight="1">
      <c r="A12016" s="628" t="s">
        <v>21899</v>
      </c>
      <c r="B12016" s="629"/>
      <c r="C12016" s="629"/>
      <c r="D12016" s="629"/>
      <c r="E12016" s="629"/>
      <c r="F12016" s="629"/>
      <c r="G12016" s="629"/>
      <c r="H12016" s="629"/>
      <c r="I12016" s="629"/>
      <c r="J12016" s="629"/>
      <c r="K12016" s="629"/>
      <c r="L12016" s="629"/>
      <c r="M12016" s="629"/>
      <c r="N12016" s="629"/>
      <c r="O12016" s="629"/>
      <c r="P12016" s="629"/>
      <c r="Q12016" s="629"/>
      <c r="R12016" s="629"/>
    </row>
    <row r="12017" spans="1:18" ht="36">
      <c r="A12017" s="339">
        <v>28</v>
      </c>
      <c r="B12017" s="336" t="s">
        <v>21900</v>
      </c>
      <c r="C12017" s="340" t="s">
        <v>21901</v>
      </c>
      <c r="D12017" s="341">
        <v>1177.54</v>
      </c>
      <c r="E12017" s="341">
        <v>311.91000000000003</v>
      </c>
      <c r="F12017" s="341">
        <v>184</v>
      </c>
      <c r="G12017" s="341">
        <v>681.63</v>
      </c>
      <c r="H12017" s="342">
        <v>7230.5</v>
      </c>
      <c r="I12017" s="342">
        <v>3586.97</v>
      </c>
      <c r="J12017" s="342">
        <v>994.87</v>
      </c>
      <c r="K12017" s="342">
        <v>2648.66</v>
      </c>
      <c r="L12017" s="43">
        <v>6.1403434278241082</v>
      </c>
      <c r="M12017" s="43">
        <v>11.500016030265138</v>
      </c>
      <c r="N12017" s="43">
        <v>5.4069021739130436</v>
      </c>
      <c r="O12017" s="43">
        <v>3.8857738069040386</v>
      </c>
      <c r="P12017" s="343"/>
      <c r="Q12017" s="343"/>
      <c r="R12017" s="343">
        <v>1</v>
      </c>
    </row>
    <row r="12018" spans="1:18" ht="12.75" customHeight="1">
      <c r="A12018" s="628" t="s">
        <v>21902</v>
      </c>
      <c r="B12018" s="629"/>
      <c r="C12018" s="629"/>
      <c r="D12018" s="629"/>
      <c r="E12018" s="629"/>
      <c r="F12018" s="629"/>
      <c r="G12018" s="629"/>
      <c r="H12018" s="629"/>
      <c r="I12018" s="629"/>
      <c r="J12018" s="629"/>
      <c r="K12018" s="629"/>
      <c r="L12018" s="629"/>
      <c r="M12018" s="629"/>
      <c r="N12018" s="629"/>
      <c r="O12018" s="629"/>
      <c r="P12018" s="629"/>
      <c r="Q12018" s="629"/>
      <c r="R12018" s="629"/>
    </row>
    <row r="12019" spans="1:18" ht="36">
      <c r="A12019" s="339">
        <v>29</v>
      </c>
      <c r="B12019" s="336" t="s">
        <v>21903</v>
      </c>
      <c r="C12019" s="340" t="s">
        <v>21904</v>
      </c>
      <c r="D12019" s="341">
        <v>16465.79</v>
      </c>
      <c r="E12019" s="341">
        <v>9077.1</v>
      </c>
      <c r="F12019" s="341">
        <v>3190.43</v>
      </c>
      <c r="G12019" s="341">
        <v>4198.26</v>
      </c>
      <c r="H12019" s="342">
        <v>138857.31</v>
      </c>
      <c r="I12019" s="342">
        <v>104390.6</v>
      </c>
      <c r="J12019" s="342">
        <v>17103.2</v>
      </c>
      <c r="K12019" s="342">
        <v>17363.509999999998</v>
      </c>
      <c r="L12019" s="43">
        <v>8.4330791295164094</v>
      </c>
      <c r="M12019" s="43">
        <v>11.500435161009573</v>
      </c>
      <c r="N12019" s="43">
        <v>5.3607820889347213</v>
      </c>
      <c r="O12019" s="43">
        <v>4.135882484648401</v>
      </c>
      <c r="P12019" s="343"/>
      <c r="Q12019" s="343"/>
      <c r="R12019" s="343">
        <v>2</v>
      </c>
    </row>
    <row r="12020" spans="1:18" ht="36">
      <c r="A12020" s="339">
        <v>30</v>
      </c>
      <c r="B12020" s="336" t="s">
        <v>21905</v>
      </c>
      <c r="C12020" s="340" t="s">
        <v>21906</v>
      </c>
      <c r="D12020" s="341">
        <v>15607.26</v>
      </c>
      <c r="E12020" s="341">
        <v>7767.24</v>
      </c>
      <c r="F12020" s="341">
        <v>3638.44</v>
      </c>
      <c r="G12020" s="341">
        <v>4201.58</v>
      </c>
      <c r="H12020" s="342">
        <v>126227.39</v>
      </c>
      <c r="I12020" s="342">
        <v>89326.64</v>
      </c>
      <c r="J12020" s="342">
        <v>19579.88</v>
      </c>
      <c r="K12020" s="342">
        <v>17320.87</v>
      </c>
      <c r="L12020" s="43">
        <v>8.087735451322013</v>
      </c>
      <c r="M12020" s="43">
        <v>11.500435161009573</v>
      </c>
      <c r="N12020" s="43">
        <v>5.3813942238981545</v>
      </c>
      <c r="O12020" s="43">
        <v>4.1224658342813889</v>
      </c>
      <c r="P12020" s="343"/>
      <c r="Q12020" s="343"/>
      <c r="R12020" s="343">
        <v>2</v>
      </c>
    </row>
    <row r="12021" spans="1:18" ht="48">
      <c r="A12021" s="339">
        <v>31</v>
      </c>
      <c r="B12021" s="336" t="s">
        <v>21907</v>
      </c>
      <c r="C12021" s="340" t="s">
        <v>21908</v>
      </c>
      <c r="D12021" s="341">
        <v>5966.62</v>
      </c>
      <c r="E12021" s="341">
        <v>2975.91</v>
      </c>
      <c r="F12021" s="341">
        <v>928.44</v>
      </c>
      <c r="G12021" s="341">
        <v>2062.27</v>
      </c>
      <c r="H12021" s="342">
        <v>47488.6</v>
      </c>
      <c r="I12021" s="342">
        <v>34224.26</v>
      </c>
      <c r="J12021" s="342">
        <v>4991.13</v>
      </c>
      <c r="K12021" s="342">
        <v>8273.2099999999991</v>
      </c>
      <c r="L12021" s="43">
        <v>7.9590454897412606</v>
      </c>
      <c r="M12021" s="43">
        <v>11.500435161009575</v>
      </c>
      <c r="N12021" s="43">
        <v>5.3758239627762698</v>
      </c>
      <c r="O12021" s="43">
        <v>4.0117006987445869</v>
      </c>
      <c r="P12021" s="343"/>
      <c r="Q12021" s="343"/>
      <c r="R12021" s="343">
        <v>2</v>
      </c>
    </row>
    <row r="12022" spans="1:18" ht="36">
      <c r="A12022" s="339">
        <v>32</v>
      </c>
      <c r="B12022" s="336" t="s">
        <v>21909</v>
      </c>
      <c r="C12022" s="340" t="s">
        <v>21910</v>
      </c>
      <c r="D12022" s="341">
        <v>6889.77</v>
      </c>
      <c r="E12022" s="341">
        <v>3791.7</v>
      </c>
      <c r="F12022" s="341">
        <v>1018.74</v>
      </c>
      <c r="G12022" s="341">
        <v>2079.33</v>
      </c>
      <c r="H12022" s="342">
        <v>57535.14</v>
      </c>
      <c r="I12022" s="342">
        <v>43606.2</v>
      </c>
      <c r="J12022" s="342">
        <v>5461.61</v>
      </c>
      <c r="K12022" s="342">
        <v>8467.33</v>
      </c>
      <c r="L12022" s="43">
        <v>8.3508070661284766</v>
      </c>
      <c r="M12022" s="43">
        <v>11.500435161009573</v>
      </c>
      <c r="N12022" s="43">
        <v>5.361142195260812</v>
      </c>
      <c r="O12022" s="43">
        <v>4.0721434308166575</v>
      </c>
      <c r="P12022" s="343"/>
      <c r="Q12022" s="343"/>
      <c r="R12022" s="343">
        <v>2</v>
      </c>
    </row>
    <row r="12023" spans="1:18" ht="36">
      <c r="A12023" s="339">
        <v>33</v>
      </c>
      <c r="B12023" s="336" t="s">
        <v>21911</v>
      </c>
      <c r="C12023" s="340" t="s">
        <v>21912</v>
      </c>
      <c r="D12023" s="341">
        <v>476.86</v>
      </c>
      <c r="E12023" s="341">
        <v>266.95999999999998</v>
      </c>
      <c r="F12023" s="341">
        <v>169.93</v>
      </c>
      <c r="G12023" s="341">
        <v>39.97</v>
      </c>
      <c r="H12023" s="342">
        <v>4249.03</v>
      </c>
      <c r="I12023" s="342">
        <v>3070.04</v>
      </c>
      <c r="J12023" s="342">
        <v>919.68</v>
      </c>
      <c r="K12023" s="342">
        <v>259.31</v>
      </c>
      <c r="L12023" s="43">
        <v>8.9104349284905418</v>
      </c>
      <c r="M12023" s="43">
        <v>11.5</v>
      </c>
      <c r="N12023" s="43">
        <v>5.4121108691814275</v>
      </c>
      <c r="O12023" s="43">
        <v>6.487615711783838</v>
      </c>
      <c r="P12023" s="343"/>
      <c r="Q12023" s="343"/>
      <c r="R12023" s="343">
        <v>2</v>
      </c>
    </row>
    <row r="12024" spans="1:18" ht="36">
      <c r="A12024" s="339">
        <v>34</v>
      </c>
      <c r="B12024" s="336" t="s">
        <v>21913</v>
      </c>
      <c r="C12024" s="340" t="s">
        <v>21914</v>
      </c>
      <c r="D12024" s="341">
        <v>2416.19</v>
      </c>
      <c r="E12024" s="341">
        <v>1669.92</v>
      </c>
      <c r="F12024" s="341">
        <v>628.30999999999995</v>
      </c>
      <c r="G12024" s="341">
        <v>117.96</v>
      </c>
      <c r="H12024" s="342">
        <v>23451.53</v>
      </c>
      <c r="I12024" s="342">
        <v>19204.080000000002</v>
      </c>
      <c r="J12024" s="342">
        <v>3375.63</v>
      </c>
      <c r="K12024" s="342">
        <v>871.82</v>
      </c>
      <c r="L12024" s="43">
        <v>9.7059958033101701</v>
      </c>
      <c r="M12024" s="43">
        <v>11.5</v>
      </c>
      <c r="N12024" s="43">
        <v>5.3725549489901487</v>
      </c>
      <c r="O12024" s="43">
        <v>7.3908104442183795</v>
      </c>
      <c r="P12024" s="343"/>
      <c r="Q12024" s="343"/>
      <c r="R12024" s="343">
        <v>2</v>
      </c>
    </row>
    <row r="12025" spans="1:18" ht="36">
      <c r="A12025" s="339">
        <v>35</v>
      </c>
      <c r="B12025" s="336" t="s">
        <v>21915</v>
      </c>
      <c r="C12025" s="340" t="s">
        <v>21916</v>
      </c>
      <c r="D12025" s="341">
        <v>5463.57</v>
      </c>
      <c r="E12025" s="341">
        <v>2283.36</v>
      </c>
      <c r="F12025" s="341">
        <v>1130.7</v>
      </c>
      <c r="G12025" s="341">
        <v>2049.5100000000002</v>
      </c>
      <c r="H12025" s="342">
        <v>40470.85</v>
      </c>
      <c r="I12025" s="342">
        <v>26258.639999999999</v>
      </c>
      <c r="J12025" s="342">
        <v>6088.74</v>
      </c>
      <c r="K12025" s="342">
        <v>8123.47</v>
      </c>
      <c r="L12025" s="43">
        <v>7.4074002895542659</v>
      </c>
      <c r="M12025" s="43">
        <v>11.499999999999998</v>
      </c>
      <c r="N12025" s="43">
        <v>5.3849296895728305</v>
      </c>
      <c r="O12025" s="43">
        <v>3.9636156935072284</v>
      </c>
      <c r="P12025" s="343"/>
      <c r="Q12025" s="343"/>
      <c r="R12025" s="343">
        <v>2</v>
      </c>
    </row>
    <row r="12026" spans="1:18" ht="36">
      <c r="A12026" s="339">
        <v>36</v>
      </c>
      <c r="B12026" s="336" t="s">
        <v>21917</v>
      </c>
      <c r="C12026" s="340" t="s">
        <v>21918</v>
      </c>
      <c r="D12026" s="341">
        <v>5880.86</v>
      </c>
      <c r="E12026" s="341">
        <v>2351.52</v>
      </c>
      <c r="F12026" s="341">
        <v>1399.15</v>
      </c>
      <c r="G12026" s="341">
        <v>2130.19</v>
      </c>
      <c r="H12026" s="342">
        <v>43362.3</v>
      </c>
      <c r="I12026" s="342">
        <v>27042.48</v>
      </c>
      <c r="J12026" s="342">
        <v>7548.82</v>
      </c>
      <c r="K12026" s="342">
        <v>8771</v>
      </c>
      <c r="L12026" s="43">
        <v>7.3734623847532514</v>
      </c>
      <c r="M12026" s="43">
        <v>11.5</v>
      </c>
      <c r="N12026" s="43">
        <v>5.3952899974984803</v>
      </c>
      <c r="O12026" s="43">
        <v>4.1174730892549487</v>
      </c>
      <c r="P12026" s="343"/>
      <c r="Q12026" s="343"/>
      <c r="R12026" s="343">
        <v>2</v>
      </c>
    </row>
    <row r="12027" spans="1:18" ht="12.75" customHeight="1">
      <c r="A12027" s="628" t="s">
        <v>21919</v>
      </c>
      <c r="B12027" s="629"/>
      <c r="C12027" s="629"/>
      <c r="D12027" s="629"/>
      <c r="E12027" s="629"/>
      <c r="F12027" s="629"/>
      <c r="G12027" s="629"/>
      <c r="H12027" s="629"/>
      <c r="I12027" s="629"/>
      <c r="J12027" s="629"/>
      <c r="K12027" s="629"/>
      <c r="L12027" s="629"/>
      <c r="M12027" s="629"/>
      <c r="N12027" s="629"/>
      <c r="O12027" s="629"/>
      <c r="P12027" s="629"/>
      <c r="Q12027" s="629"/>
      <c r="R12027" s="629"/>
    </row>
    <row r="12028" spans="1:18" ht="24">
      <c r="A12028" s="339">
        <v>37</v>
      </c>
      <c r="B12028" s="336" t="s">
        <v>21920</v>
      </c>
      <c r="C12028" s="340" t="s">
        <v>21921</v>
      </c>
      <c r="D12028" s="341">
        <v>19121.330000000002</v>
      </c>
      <c r="E12028" s="341">
        <v>9690.08</v>
      </c>
      <c r="F12028" s="341">
        <v>5015.09</v>
      </c>
      <c r="G12028" s="341">
        <v>4416.16</v>
      </c>
      <c r="H12028" s="342">
        <v>157765.09</v>
      </c>
      <c r="I12028" s="342">
        <v>111435.92</v>
      </c>
      <c r="J12028" s="342">
        <v>27022.37</v>
      </c>
      <c r="K12028" s="342">
        <v>19306.8</v>
      </c>
      <c r="L12028" s="43">
        <v>8.2507383116132598</v>
      </c>
      <c r="M12028" s="43">
        <v>11.5</v>
      </c>
      <c r="N12028" s="43">
        <v>5.3882123750520927</v>
      </c>
      <c r="O12028" s="43">
        <v>4.3718524691134375</v>
      </c>
      <c r="P12028" s="343"/>
      <c r="Q12028" s="343"/>
      <c r="R12028" s="343">
        <v>3</v>
      </c>
    </row>
    <row r="12029" spans="1:18" ht="24">
      <c r="A12029" s="339">
        <v>38</v>
      </c>
      <c r="B12029" s="336" t="s">
        <v>21922</v>
      </c>
      <c r="C12029" s="340" t="s">
        <v>21923</v>
      </c>
      <c r="D12029" s="341">
        <v>24671.74</v>
      </c>
      <c r="E12029" s="341">
        <v>10996.48</v>
      </c>
      <c r="F12029" s="341">
        <v>9013.6</v>
      </c>
      <c r="G12029" s="341">
        <v>4661.66</v>
      </c>
      <c r="H12029" s="342">
        <v>195456.59</v>
      </c>
      <c r="I12029" s="342">
        <v>126459.52</v>
      </c>
      <c r="J12029" s="342">
        <v>47804.95</v>
      </c>
      <c r="K12029" s="342">
        <v>21192.12</v>
      </c>
      <c r="L12029" s="43">
        <v>7.9222863892048139</v>
      </c>
      <c r="M12029" s="43">
        <v>11.5</v>
      </c>
      <c r="N12029" s="43">
        <v>5.30364671163575</v>
      </c>
      <c r="O12029" s="43">
        <v>4.5460458291681505</v>
      </c>
      <c r="P12029" s="343"/>
      <c r="Q12029" s="343"/>
      <c r="R12029" s="343">
        <v>3</v>
      </c>
    </row>
    <row r="12030" spans="1:18" ht="24">
      <c r="A12030" s="339">
        <v>39</v>
      </c>
      <c r="B12030" s="336" t="s">
        <v>21924</v>
      </c>
      <c r="C12030" s="340" t="s">
        <v>21925</v>
      </c>
      <c r="D12030" s="341">
        <v>26867.15</v>
      </c>
      <c r="E12030" s="341">
        <v>11314.56</v>
      </c>
      <c r="F12030" s="341">
        <v>9924.93</v>
      </c>
      <c r="G12030" s="341">
        <v>5627.66</v>
      </c>
      <c r="H12030" s="342">
        <v>207660.68</v>
      </c>
      <c r="I12030" s="342">
        <v>130117.44</v>
      </c>
      <c r="J12030" s="342">
        <v>52722.71</v>
      </c>
      <c r="K12030" s="342">
        <v>24820.53</v>
      </c>
      <c r="L12030" s="43">
        <v>7.7291666589124635</v>
      </c>
      <c r="M12030" s="43">
        <v>11.5</v>
      </c>
      <c r="N12030" s="43">
        <v>5.3121493048313688</v>
      </c>
      <c r="O12030" s="43">
        <v>4.4104530124421162</v>
      </c>
      <c r="P12030" s="343"/>
      <c r="Q12030" s="343"/>
      <c r="R12030" s="343">
        <v>3</v>
      </c>
    </row>
    <row r="12031" spans="1:18" ht="12.75" customHeight="1">
      <c r="A12031" s="628" t="s">
        <v>21926</v>
      </c>
      <c r="B12031" s="629"/>
      <c r="C12031" s="629"/>
      <c r="D12031" s="629"/>
      <c r="E12031" s="629"/>
      <c r="F12031" s="629"/>
      <c r="G12031" s="629"/>
      <c r="H12031" s="629"/>
      <c r="I12031" s="629"/>
      <c r="J12031" s="629"/>
      <c r="K12031" s="629"/>
      <c r="L12031" s="629"/>
      <c r="M12031" s="629"/>
      <c r="N12031" s="629"/>
      <c r="O12031" s="629"/>
      <c r="P12031" s="629"/>
      <c r="Q12031" s="629"/>
      <c r="R12031" s="629"/>
    </row>
    <row r="12032" spans="1:18" ht="48">
      <c r="A12032" s="339">
        <v>40</v>
      </c>
      <c r="B12032" s="336" t="s">
        <v>21927</v>
      </c>
      <c r="C12032" s="340" t="s">
        <v>21928</v>
      </c>
      <c r="D12032" s="341">
        <v>16332.56</v>
      </c>
      <c r="E12032" s="341">
        <v>8893.26</v>
      </c>
      <c r="F12032" s="341">
        <v>3395.57</v>
      </c>
      <c r="G12032" s="341">
        <v>4043.73</v>
      </c>
      <c r="H12032" s="342">
        <v>141136.78</v>
      </c>
      <c r="I12032" s="342">
        <v>102276.36</v>
      </c>
      <c r="J12032" s="342">
        <v>18267.150000000001</v>
      </c>
      <c r="K12032" s="342">
        <v>20593.27</v>
      </c>
      <c r="L12032" s="43">
        <v>8.6414364925033187</v>
      </c>
      <c r="M12032" s="43">
        <v>11.500435161009573</v>
      </c>
      <c r="N12032" s="43">
        <v>5.3797006099123275</v>
      </c>
      <c r="O12032" s="43">
        <v>5.0926421892658515</v>
      </c>
      <c r="P12032" s="343"/>
      <c r="Q12032" s="343"/>
      <c r="R12032" s="343">
        <v>4</v>
      </c>
    </row>
    <row r="12033" spans="1:18" ht="48">
      <c r="A12033" s="339">
        <v>41</v>
      </c>
      <c r="B12033" s="336" t="s">
        <v>21929</v>
      </c>
      <c r="C12033" s="340" t="s">
        <v>21930</v>
      </c>
      <c r="D12033" s="341">
        <v>19070.84</v>
      </c>
      <c r="E12033" s="341">
        <v>10777.62</v>
      </c>
      <c r="F12033" s="341">
        <v>4111.8500000000004</v>
      </c>
      <c r="G12033" s="341">
        <v>4181.37</v>
      </c>
      <c r="H12033" s="342">
        <v>167948.82</v>
      </c>
      <c r="I12033" s="342">
        <v>123947.32</v>
      </c>
      <c r="J12033" s="342">
        <v>22098.79</v>
      </c>
      <c r="K12033" s="342">
        <v>21902.71</v>
      </c>
      <c r="L12033" s="43">
        <v>8.806576952037771</v>
      </c>
      <c r="M12033" s="43">
        <v>11.500435161009573</v>
      </c>
      <c r="N12033" s="43">
        <v>5.3744154091224141</v>
      </c>
      <c r="O12033" s="43">
        <v>5.2381659599604911</v>
      </c>
      <c r="P12033" s="343"/>
      <c r="Q12033" s="343"/>
      <c r="R12033" s="343">
        <v>4</v>
      </c>
    </row>
    <row r="12034" spans="1:18" ht="48">
      <c r="A12034" s="339">
        <v>42</v>
      </c>
      <c r="B12034" s="336" t="s">
        <v>21931</v>
      </c>
      <c r="C12034" s="340" t="s">
        <v>21930</v>
      </c>
      <c r="D12034" s="341">
        <v>23027.52</v>
      </c>
      <c r="E12034" s="341">
        <v>13604.16</v>
      </c>
      <c r="F12034" s="341">
        <v>5066.99</v>
      </c>
      <c r="G12034" s="341">
        <v>4356.37</v>
      </c>
      <c r="H12034" s="342">
        <v>207116.61</v>
      </c>
      <c r="I12034" s="342">
        <v>156453.76000000001</v>
      </c>
      <c r="J12034" s="342">
        <v>27231.9</v>
      </c>
      <c r="K12034" s="342">
        <v>23430.95</v>
      </c>
      <c r="L12034" s="43">
        <v>8.9943081148121884</v>
      </c>
      <c r="M12034" s="43">
        <v>11.500435161009575</v>
      </c>
      <c r="N12034" s="43">
        <v>5.3743741353347847</v>
      </c>
      <c r="O12034" s="43">
        <v>5.3785491131377734</v>
      </c>
      <c r="P12034" s="343"/>
      <c r="Q12034" s="343"/>
      <c r="R12034" s="343">
        <v>4</v>
      </c>
    </row>
    <row r="12035" spans="1:18" ht="48">
      <c r="A12035" s="339">
        <v>43</v>
      </c>
      <c r="B12035" s="336" t="s">
        <v>21932</v>
      </c>
      <c r="C12035" s="340" t="s">
        <v>21933</v>
      </c>
      <c r="D12035" s="341">
        <v>25700.45</v>
      </c>
      <c r="E12035" s="341">
        <v>14075.25</v>
      </c>
      <c r="F12035" s="341">
        <v>5439.11</v>
      </c>
      <c r="G12035" s="341">
        <v>6186.09</v>
      </c>
      <c r="H12035" s="342">
        <v>225641.59</v>
      </c>
      <c r="I12035" s="342">
        <v>161871.5</v>
      </c>
      <c r="J12035" s="342">
        <v>29254.84</v>
      </c>
      <c r="K12035" s="342">
        <v>34515.25</v>
      </c>
      <c r="L12035" s="43">
        <v>8.7796746749570538</v>
      </c>
      <c r="M12035" s="43">
        <v>11.500435161009573</v>
      </c>
      <c r="N12035" s="43">
        <v>5.3786078972478961</v>
      </c>
      <c r="O12035" s="43">
        <v>5.5794936704768281</v>
      </c>
      <c r="P12035" s="343"/>
      <c r="Q12035" s="343"/>
      <c r="R12035" s="343">
        <v>4</v>
      </c>
    </row>
    <row r="12036" spans="1:18" ht="48">
      <c r="A12036" s="339">
        <v>44</v>
      </c>
      <c r="B12036" s="336" t="s">
        <v>21934</v>
      </c>
      <c r="C12036" s="340" t="s">
        <v>21935</v>
      </c>
      <c r="D12036" s="341">
        <v>27234.14</v>
      </c>
      <c r="E12036" s="341">
        <v>13891.41</v>
      </c>
      <c r="F12036" s="341">
        <v>6648.29</v>
      </c>
      <c r="G12036" s="341">
        <v>6694.44</v>
      </c>
      <c r="H12036" s="342">
        <v>234376.04</v>
      </c>
      <c r="I12036" s="342">
        <v>159757.26</v>
      </c>
      <c r="J12036" s="342">
        <v>35734.69</v>
      </c>
      <c r="K12036" s="342">
        <v>38884.089999999997</v>
      </c>
      <c r="L12036" s="43">
        <v>8.605964425533541</v>
      </c>
      <c r="M12036" s="43">
        <v>11.500435161009575</v>
      </c>
      <c r="N12036" s="43">
        <v>5.3750197419185994</v>
      </c>
      <c r="O12036" s="43">
        <v>5.8084156404419192</v>
      </c>
      <c r="P12036" s="343"/>
      <c r="Q12036" s="343"/>
      <c r="R12036" s="343">
        <v>4</v>
      </c>
    </row>
    <row r="12037" spans="1:18" ht="48">
      <c r="A12037" s="339">
        <v>45</v>
      </c>
      <c r="B12037" s="336" t="s">
        <v>21936</v>
      </c>
      <c r="C12037" s="340" t="s">
        <v>21937</v>
      </c>
      <c r="D12037" s="341">
        <v>26222.22</v>
      </c>
      <c r="E12037" s="341">
        <v>13064.13</v>
      </c>
      <c r="F12037" s="341">
        <v>5716.4</v>
      </c>
      <c r="G12037" s="341">
        <v>7441.69</v>
      </c>
      <c r="H12037" s="342">
        <v>221344.59</v>
      </c>
      <c r="I12037" s="342">
        <v>150243.18</v>
      </c>
      <c r="J12037" s="342">
        <v>30684.2</v>
      </c>
      <c r="K12037" s="342">
        <v>40417.21</v>
      </c>
      <c r="L12037" s="43">
        <v>8.441107961110843</v>
      </c>
      <c r="M12037" s="43">
        <v>11.500435161009573</v>
      </c>
      <c r="N12037" s="43">
        <v>5.3677489328948296</v>
      </c>
      <c r="O12037" s="43">
        <v>5.4311870018772623</v>
      </c>
      <c r="P12037" s="343"/>
      <c r="Q12037" s="343"/>
      <c r="R12037" s="343">
        <v>4</v>
      </c>
    </row>
    <row r="12038" spans="1:18" ht="12.75" customHeight="1">
      <c r="A12038" s="628" t="s">
        <v>21938</v>
      </c>
      <c r="B12038" s="629"/>
      <c r="C12038" s="629"/>
      <c r="D12038" s="629"/>
      <c r="E12038" s="629"/>
      <c r="F12038" s="629"/>
      <c r="G12038" s="629"/>
      <c r="H12038" s="629"/>
      <c r="I12038" s="629"/>
      <c r="J12038" s="629"/>
      <c r="K12038" s="629"/>
      <c r="L12038" s="629"/>
      <c r="M12038" s="629"/>
      <c r="N12038" s="629"/>
      <c r="O12038" s="629"/>
      <c r="P12038" s="629"/>
      <c r="Q12038" s="629"/>
      <c r="R12038" s="629"/>
    </row>
    <row r="12039" spans="1:18" ht="24">
      <c r="A12039" s="339">
        <v>46</v>
      </c>
      <c r="B12039" s="336" t="s">
        <v>21939</v>
      </c>
      <c r="C12039" s="340" t="s">
        <v>21940</v>
      </c>
      <c r="D12039" s="341">
        <v>20769.45</v>
      </c>
      <c r="E12039" s="341">
        <v>10881.03</v>
      </c>
      <c r="F12039" s="341">
        <v>3928.14</v>
      </c>
      <c r="G12039" s="341">
        <v>5960.28</v>
      </c>
      <c r="H12039" s="342">
        <v>178439.61</v>
      </c>
      <c r="I12039" s="342">
        <v>125136.58</v>
      </c>
      <c r="J12039" s="342">
        <v>21090.27</v>
      </c>
      <c r="K12039" s="342">
        <v>32212.76</v>
      </c>
      <c r="L12039" s="43">
        <v>8.591446090291269</v>
      </c>
      <c r="M12039" s="43">
        <v>11.500435161009573</v>
      </c>
      <c r="N12039" s="43">
        <v>5.369021979868335</v>
      </c>
      <c r="O12039" s="43">
        <v>5.404571597307509</v>
      </c>
      <c r="P12039" s="343"/>
      <c r="Q12039" s="343"/>
      <c r="R12039" s="343">
        <v>5</v>
      </c>
    </row>
    <row r="12040" spans="1:18" ht="24">
      <c r="A12040" s="339">
        <v>47</v>
      </c>
      <c r="B12040" s="336" t="s">
        <v>21941</v>
      </c>
      <c r="C12040" s="340" t="s">
        <v>21942</v>
      </c>
      <c r="D12040" s="341">
        <v>17328.88</v>
      </c>
      <c r="E12040" s="341">
        <v>8514.09</v>
      </c>
      <c r="F12040" s="341">
        <v>2955.06</v>
      </c>
      <c r="G12040" s="341">
        <v>5859.73</v>
      </c>
      <c r="H12040" s="342">
        <v>145348.95000000001</v>
      </c>
      <c r="I12040" s="342">
        <v>97915.74</v>
      </c>
      <c r="J12040" s="342">
        <v>15862.95</v>
      </c>
      <c r="K12040" s="342">
        <v>31570.26</v>
      </c>
      <c r="L12040" s="43">
        <v>8.3876713324808065</v>
      </c>
      <c r="M12040" s="43">
        <v>11.500435161009573</v>
      </c>
      <c r="N12040" s="43">
        <v>5.3680635926174087</v>
      </c>
      <c r="O12040" s="43">
        <v>5.3876646193595956</v>
      </c>
      <c r="P12040" s="343"/>
      <c r="Q12040" s="343"/>
      <c r="R12040" s="343">
        <v>5</v>
      </c>
    </row>
    <row r="12041" spans="1:18" ht="12.75" customHeight="1">
      <c r="A12041" s="628" t="s">
        <v>21943</v>
      </c>
      <c r="B12041" s="629"/>
      <c r="C12041" s="629"/>
      <c r="D12041" s="629"/>
      <c r="E12041" s="629"/>
      <c r="F12041" s="629"/>
      <c r="G12041" s="629"/>
      <c r="H12041" s="629"/>
      <c r="I12041" s="629"/>
      <c r="J12041" s="629"/>
      <c r="K12041" s="629"/>
      <c r="L12041" s="629"/>
      <c r="M12041" s="629"/>
      <c r="N12041" s="629"/>
      <c r="O12041" s="629"/>
      <c r="P12041" s="629"/>
      <c r="Q12041" s="629"/>
      <c r="R12041" s="629"/>
    </row>
    <row r="12042" spans="1:18" ht="24">
      <c r="A12042" s="339">
        <v>48</v>
      </c>
      <c r="B12042" s="336" t="s">
        <v>21944</v>
      </c>
      <c r="C12042" s="340" t="s">
        <v>21945</v>
      </c>
      <c r="D12042" s="341">
        <v>35780.720000000001</v>
      </c>
      <c r="E12042" s="341">
        <v>20243.52</v>
      </c>
      <c r="F12042" s="341">
        <v>9734.5</v>
      </c>
      <c r="G12042" s="341">
        <v>5802.7</v>
      </c>
      <c r="H12042" s="342">
        <v>317350.23</v>
      </c>
      <c r="I12042" s="342">
        <v>232800.48</v>
      </c>
      <c r="J12042" s="342">
        <v>52323.56</v>
      </c>
      <c r="K12042" s="342">
        <v>32226.19</v>
      </c>
      <c r="L12042" s="43">
        <v>8.8693081078301379</v>
      </c>
      <c r="M12042" s="43">
        <v>11.5</v>
      </c>
      <c r="N12042" s="43">
        <v>5.3750639478144739</v>
      </c>
      <c r="O12042" s="43">
        <v>5.5536543333275885</v>
      </c>
      <c r="P12042" s="343"/>
      <c r="Q12042" s="343"/>
      <c r="R12042" s="343">
        <v>6</v>
      </c>
    </row>
    <row r="12043" spans="1:18" ht="24">
      <c r="A12043" s="339">
        <v>49</v>
      </c>
      <c r="B12043" s="336" t="s">
        <v>21946</v>
      </c>
      <c r="C12043" s="340" t="s">
        <v>21947</v>
      </c>
      <c r="D12043" s="341">
        <v>40315.599999999999</v>
      </c>
      <c r="E12043" s="341">
        <v>19766.400000000001</v>
      </c>
      <c r="F12043" s="341">
        <v>12267.6</v>
      </c>
      <c r="G12043" s="341">
        <v>8281.6</v>
      </c>
      <c r="H12043" s="342">
        <v>345453.57</v>
      </c>
      <c r="I12043" s="342">
        <v>227313.6</v>
      </c>
      <c r="J12043" s="342">
        <v>65313.57</v>
      </c>
      <c r="K12043" s="342">
        <v>52826.400000000001</v>
      </c>
      <c r="L12043" s="43">
        <v>8.5687319548760286</v>
      </c>
      <c r="M12043" s="43">
        <v>11.5</v>
      </c>
      <c r="N12043" s="43">
        <v>5.3240707228797808</v>
      </c>
      <c r="O12043" s="43">
        <v>6.3787673879443583</v>
      </c>
      <c r="P12043" s="343"/>
      <c r="Q12043" s="343"/>
      <c r="R12043" s="343">
        <v>6</v>
      </c>
    </row>
    <row r="12044" spans="1:18" ht="36">
      <c r="A12044" s="339">
        <v>50</v>
      </c>
      <c r="B12044" s="336" t="s">
        <v>21948</v>
      </c>
      <c r="C12044" s="340" t="s">
        <v>21949</v>
      </c>
      <c r="D12044" s="341">
        <v>65571.08</v>
      </c>
      <c r="E12044" s="341">
        <v>32217.96</v>
      </c>
      <c r="F12044" s="341">
        <v>18206.060000000001</v>
      </c>
      <c r="G12044" s="341">
        <v>15147.06</v>
      </c>
      <c r="H12044" s="342">
        <v>562860.12</v>
      </c>
      <c r="I12044" s="342">
        <v>370520.56</v>
      </c>
      <c r="J12044" s="342">
        <v>96953</v>
      </c>
      <c r="K12044" s="342">
        <v>95386.559999999998</v>
      </c>
      <c r="L12044" s="43">
        <v>8.5839690302493104</v>
      </c>
      <c r="M12044" s="43">
        <v>11.500435161009573</v>
      </c>
      <c r="N12044" s="43">
        <v>5.3253147578333806</v>
      </c>
      <c r="O12044" s="43">
        <v>6.2973646370978926</v>
      </c>
      <c r="P12044" s="343"/>
      <c r="Q12044" s="343"/>
      <c r="R12044" s="343">
        <v>6</v>
      </c>
    </row>
    <row r="12045" spans="1:18" ht="12.75" customHeight="1">
      <c r="A12045" s="628" t="s">
        <v>21950</v>
      </c>
      <c r="B12045" s="629"/>
      <c r="C12045" s="629"/>
      <c r="D12045" s="629"/>
      <c r="E12045" s="629"/>
      <c r="F12045" s="629"/>
      <c r="G12045" s="629"/>
      <c r="H12045" s="629"/>
      <c r="I12045" s="629"/>
      <c r="J12045" s="629"/>
      <c r="K12045" s="629"/>
      <c r="L12045" s="629"/>
      <c r="M12045" s="629"/>
      <c r="N12045" s="629"/>
      <c r="O12045" s="629"/>
      <c r="P12045" s="629"/>
      <c r="Q12045" s="629"/>
      <c r="R12045" s="629"/>
    </row>
    <row r="12046" spans="1:18" ht="24">
      <c r="A12046" s="339">
        <v>51</v>
      </c>
      <c r="B12046" s="336" t="s">
        <v>21951</v>
      </c>
      <c r="C12046" s="340" t="s">
        <v>21952</v>
      </c>
      <c r="D12046" s="341">
        <v>1266.47</v>
      </c>
      <c r="E12046" s="341">
        <v>618.20000000000005</v>
      </c>
      <c r="F12046" s="341">
        <v>551.32000000000005</v>
      </c>
      <c r="G12046" s="341">
        <v>96.95</v>
      </c>
      <c r="H12046" s="342">
        <v>10713.74</v>
      </c>
      <c r="I12046" s="342">
        <v>7109.3</v>
      </c>
      <c r="J12046" s="342">
        <v>2974.28</v>
      </c>
      <c r="K12046" s="342">
        <v>630.16</v>
      </c>
      <c r="L12046" s="43">
        <v>8.4595292426982081</v>
      </c>
      <c r="M12046" s="43">
        <v>11.5</v>
      </c>
      <c r="N12046" s="43">
        <v>5.3948342160632663</v>
      </c>
      <c r="O12046" s="43">
        <v>6.4998452810727176</v>
      </c>
      <c r="P12046" s="343"/>
      <c r="Q12046" s="343"/>
      <c r="R12046" s="343">
        <v>7</v>
      </c>
    </row>
    <row r="12047" spans="1:18" ht="12.75" customHeight="1">
      <c r="A12047" s="628" t="s">
        <v>21953</v>
      </c>
      <c r="B12047" s="629"/>
      <c r="C12047" s="629"/>
      <c r="D12047" s="629"/>
      <c r="E12047" s="629"/>
      <c r="F12047" s="629"/>
      <c r="G12047" s="629"/>
      <c r="H12047" s="629"/>
      <c r="I12047" s="629"/>
      <c r="J12047" s="629"/>
      <c r="K12047" s="629"/>
      <c r="L12047" s="629"/>
      <c r="M12047" s="629"/>
      <c r="N12047" s="629"/>
      <c r="O12047" s="629"/>
      <c r="P12047" s="629"/>
      <c r="Q12047" s="629"/>
      <c r="R12047" s="629"/>
    </row>
    <row r="12048" spans="1:18" ht="36">
      <c r="A12048" s="339">
        <v>52</v>
      </c>
      <c r="B12048" s="336" t="s">
        <v>21954</v>
      </c>
      <c r="C12048" s="340" t="s">
        <v>21955</v>
      </c>
      <c r="D12048" s="341">
        <v>5481.37</v>
      </c>
      <c r="E12048" s="341">
        <v>315.83999999999997</v>
      </c>
      <c r="F12048" s="341">
        <v>282.06</v>
      </c>
      <c r="G12048" s="341">
        <v>4883.47</v>
      </c>
      <c r="H12048" s="342">
        <v>23504.25</v>
      </c>
      <c r="I12048" s="342">
        <v>3632.21</v>
      </c>
      <c r="J12048" s="342">
        <v>1521.11</v>
      </c>
      <c r="K12048" s="342">
        <v>18350.93</v>
      </c>
      <c r="L12048" s="43">
        <v>4.2880247091511796</v>
      </c>
      <c r="M12048" s="43">
        <v>11.500158308004053</v>
      </c>
      <c r="N12048" s="43">
        <v>5.3928596752464006</v>
      </c>
      <c r="O12048" s="43">
        <v>3.7577644584690804</v>
      </c>
      <c r="P12048" s="343"/>
      <c r="Q12048" s="343"/>
      <c r="R12048" s="343">
        <v>8</v>
      </c>
    </row>
    <row r="12049" spans="1:18" ht="36">
      <c r="A12049" s="339">
        <v>53</v>
      </c>
      <c r="B12049" s="336" t="s">
        <v>21956</v>
      </c>
      <c r="C12049" s="340" t="s">
        <v>21957</v>
      </c>
      <c r="D12049" s="341">
        <v>6845.17</v>
      </c>
      <c r="E12049" s="341">
        <v>530.53</v>
      </c>
      <c r="F12049" s="341">
        <v>411.41</v>
      </c>
      <c r="G12049" s="341">
        <v>5903.23</v>
      </c>
      <c r="H12049" s="342">
        <v>30699.54</v>
      </c>
      <c r="I12049" s="342">
        <v>6101.07</v>
      </c>
      <c r="J12049" s="342">
        <v>2216.96</v>
      </c>
      <c r="K12049" s="342">
        <v>22381.51</v>
      </c>
      <c r="L12049" s="43">
        <v>4.4848469796951722</v>
      </c>
      <c r="M12049" s="43">
        <v>11.499952877311367</v>
      </c>
      <c r="N12049" s="43">
        <v>5.3886876838190609</v>
      </c>
      <c r="O12049" s="43">
        <v>3.7914006399886162</v>
      </c>
      <c r="P12049" s="343"/>
      <c r="Q12049" s="343"/>
      <c r="R12049" s="343">
        <v>8</v>
      </c>
    </row>
    <row r="12050" spans="1:18" ht="36">
      <c r="A12050" s="339">
        <v>54</v>
      </c>
      <c r="B12050" s="336" t="s">
        <v>21958</v>
      </c>
      <c r="C12050" s="340" t="s">
        <v>21959</v>
      </c>
      <c r="D12050" s="341">
        <v>2332.1999999999998</v>
      </c>
      <c r="E12050" s="341">
        <v>1046.73</v>
      </c>
      <c r="F12050" s="341">
        <v>1135.54</v>
      </c>
      <c r="G12050" s="341">
        <v>149.93</v>
      </c>
      <c r="H12050" s="342">
        <v>19226.59</v>
      </c>
      <c r="I12050" s="342">
        <v>12037.4</v>
      </c>
      <c r="J12050" s="342">
        <v>6071.28</v>
      </c>
      <c r="K12050" s="342">
        <v>1117.9100000000001</v>
      </c>
      <c r="L12050" s="43">
        <v>8.243971357516509</v>
      </c>
      <c r="M12050" s="43">
        <v>11.500004776781022</v>
      </c>
      <c r="N12050" s="43">
        <v>5.3466016168518946</v>
      </c>
      <c r="O12050" s="43">
        <v>7.4562128993530319</v>
      </c>
      <c r="P12050" s="343"/>
      <c r="Q12050" s="343"/>
      <c r="R12050" s="343">
        <v>8</v>
      </c>
    </row>
    <row r="12051" spans="1:18" ht="36">
      <c r="A12051" s="339">
        <v>55</v>
      </c>
      <c r="B12051" s="336" t="s">
        <v>21960</v>
      </c>
      <c r="C12051" s="340" t="s">
        <v>21961</v>
      </c>
      <c r="D12051" s="341">
        <v>2760.95</v>
      </c>
      <c r="E12051" s="341">
        <v>1398.6</v>
      </c>
      <c r="F12051" s="341">
        <v>1182.74</v>
      </c>
      <c r="G12051" s="341">
        <v>179.61</v>
      </c>
      <c r="H12051" s="342">
        <v>23728.67</v>
      </c>
      <c r="I12051" s="342">
        <v>16083.9</v>
      </c>
      <c r="J12051" s="342">
        <v>6310.78</v>
      </c>
      <c r="K12051" s="342">
        <v>1333.99</v>
      </c>
      <c r="L12051" s="43">
        <v>8.5943859903294157</v>
      </c>
      <c r="M12051" s="43">
        <v>11.5</v>
      </c>
      <c r="N12051" s="43">
        <v>5.335728900688232</v>
      </c>
      <c r="O12051" s="43">
        <v>7.4271477089248927</v>
      </c>
      <c r="P12051" s="343"/>
      <c r="Q12051" s="343"/>
      <c r="R12051" s="343">
        <v>8</v>
      </c>
    </row>
    <row r="12052" spans="1:18" ht="24">
      <c r="A12052" s="339">
        <v>56</v>
      </c>
      <c r="B12052" s="336" t="s">
        <v>21962</v>
      </c>
      <c r="C12052" s="340" t="s">
        <v>21963</v>
      </c>
      <c r="D12052" s="341">
        <v>13724.38</v>
      </c>
      <c r="E12052" s="341">
        <v>4464.4799999999996</v>
      </c>
      <c r="F12052" s="341">
        <v>3921.97</v>
      </c>
      <c r="G12052" s="341">
        <v>5337.93</v>
      </c>
      <c r="H12052" s="342">
        <v>94520.9</v>
      </c>
      <c r="I12052" s="342">
        <v>51341.52</v>
      </c>
      <c r="J12052" s="342">
        <v>20935.09</v>
      </c>
      <c r="K12052" s="342">
        <v>22244.29</v>
      </c>
      <c r="L12052" s="43">
        <v>6.8870797806531154</v>
      </c>
      <c r="M12052" s="43">
        <v>11.5</v>
      </c>
      <c r="N12052" s="43">
        <v>5.337901615769626</v>
      </c>
      <c r="O12052" s="43">
        <v>4.1672127585037648</v>
      </c>
      <c r="P12052" s="343"/>
      <c r="Q12052" s="343"/>
      <c r="R12052" s="343">
        <v>8</v>
      </c>
    </row>
    <row r="12053" spans="1:18" ht="24">
      <c r="A12053" s="339">
        <v>57</v>
      </c>
      <c r="B12053" s="336" t="s">
        <v>21964</v>
      </c>
      <c r="C12053" s="340" t="s">
        <v>21965</v>
      </c>
      <c r="D12053" s="341">
        <v>17421.5</v>
      </c>
      <c r="E12053" s="341">
        <v>5975.36</v>
      </c>
      <c r="F12053" s="341">
        <v>5095.57</v>
      </c>
      <c r="G12053" s="341">
        <v>6350.57</v>
      </c>
      <c r="H12053" s="342">
        <v>122182.23</v>
      </c>
      <c r="I12053" s="342">
        <v>68716.639999999999</v>
      </c>
      <c r="J12053" s="342">
        <v>27118.84</v>
      </c>
      <c r="K12053" s="342">
        <v>26346.75</v>
      </c>
      <c r="L12053" s="43">
        <v>7.0133013804781443</v>
      </c>
      <c r="M12053" s="43">
        <v>11.5</v>
      </c>
      <c r="N12053" s="43">
        <v>5.3220424800365809</v>
      </c>
      <c r="O12053" s="43">
        <v>4.1487220832145777</v>
      </c>
      <c r="P12053" s="343"/>
      <c r="Q12053" s="343"/>
      <c r="R12053" s="343">
        <v>8</v>
      </c>
    </row>
    <row r="12054" spans="1:18" ht="24">
      <c r="A12054" s="339">
        <v>58</v>
      </c>
      <c r="B12054" s="336" t="s">
        <v>21966</v>
      </c>
      <c r="C12054" s="340" t="s">
        <v>21967</v>
      </c>
      <c r="D12054" s="341">
        <v>10146.92</v>
      </c>
      <c r="E12054" s="341">
        <v>3601.12</v>
      </c>
      <c r="F12054" s="341">
        <v>1472.6</v>
      </c>
      <c r="G12054" s="341">
        <v>5073.2</v>
      </c>
      <c r="H12054" s="342">
        <v>69406.81</v>
      </c>
      <c r="I12054" s="342">
        <v>41412.879999999997</v>
      </c>
      <c r="J12054" s="342">
        <v>7927.04</v>
      </c>
      <c r="K12054" s="342">
        <v>20066.89</v>
      </c>
      <c r="L12054" s="43">
        <v>6.8401850019513306</v>
      </c>
      <c r="M12054" s="43">
        <v>11.5</v>
      </c>
      <c r="N12054" s="43">
        <v>5.3830232242292544</v>
      </c>
      <c r="O12054" s="43">
        <v>3.9554699203658439</v>
      </c>
      <c r="P12054" s="343"/>
      <c r="Q12054" s="343"/>
      <c r="R12054" s="343">
        <v>8</v>
      </c>
    </row>
    <row r="12055" spans="1:18" ht="12.75" customHeight="1">
      <c r="A12055" s="628" t="s">
        <v>21968</v>
      </c>
      <c r="B12055" s="629"/>
      <c r="C12055" s="629"/>
      <c r="D12055" s="629"/>
      <c r="E12055" s="629"/>
      <c r="F12055" s="629"/>
      <c r="G12055" s="629"/>
      <c r="H12055" s="629"/>
      <c r="I12055" s="629"/>
      <c r="J12055" s="629"/>
      <c r="K12055" s="629"/>
      <c r="L12055" s="629"/>
      <c r="M12055" s="629"/>
      <c r="N12055" s="629"/>
      <c r="O12055" s="629"/>
      <c r="P12055" s="629"/>
      <c r="Q12055" s="629"/>
      <c r="R12055" s="629"/>
    </row>
    <row r="12056" spans="1:18" ht="12.75" customHeight="1">
      <c r="A12056" s="628" t="s">
        <v>21969</v>
      </c>
      <c r="B12056" s="629"/>
      <c r="C12056" s="629"/>
      <c r="D12056" s="629"/>
      <c r="E12056" s="629"/>
      <c r="F12056" s="629"/>
      <c r="G12056" s="629"/>
      <c r="H12056" s="629"/>
      <c r="I12056" s="629"/>
      <c r="J12056" s="629"/>
      <c r="K12056" s="629"/>
      <c r="L12056" s="629"/>
      <c r="M12056" s="629"/>
      <c r="N12056" s="629"/>
      <c r="O12056" s="629"/>
      <c r="P12056" s="629"/>
      <c r="Q12056" s="629"/>
      <c r="R12056" s="629"/>
    </row>
    <row r="12057" spans="1:18" ht="24">
      <c r="A12057" s="339">
        <v>59</v>
      </c>
      <c r="B12057" s="336" t="s">
        <v>21970</v>
      </c>
      <c r="C12057" s="340" t="s">
        <v>21971</v>
      </c>
      <c r="D12057" s="341">
        <v>678.85</v>
      </c>
      <c r="E12057" s="341">
        <v>382.85</v>
      </c>
      <c r="F12057" s="341">
        <v>245.53</v>
      </c>
      <c r="G12057" s="341">
        <v>50.47</v>
      </c>
      <c r="H12057" s="342">
        <v>6065.12</v>
      </c>
      <c r="I12057" s="342">
        <v>4402.9799999999996</v>
      </c>
      <c r="J12057" s="342">
        <v>1325.57</v>
      </c>
      <c r="K12057" s="342">
        <v>336.57</v>
      </c>
      <c r="L12057" s="43">
        <v>8.9344037710834492</v>
      </c>
      <c r="M12057" s="43">
        <v>11.500535457751075</v>
      </c>
      <c r="N12057" s="43">
        <v>5.3988107359589455</v>
      </c>
      <c r="O12057" s="43">
        <v>6.6687140875767783</v>
      </c>
      <c r="P12057" s="343"/>
      <c r="Q12057" s="343"/>
      <c r="R12057" s="343">
        <v>1</v>
      </c>
    </row>
    <row r="12058" spans="1:18" ht="12.75" customHeight="1">
      <c r="A12058" s="628" t="s">
        <v>21972</v>
      </c>
      <c r="B12058" s="629"/>
      <c r="C12058" s="629"/>
      <c r="D12058" s="629"/>
      <c r="E12058" s="629"/>
      <c r="F12058" s="629"/>
      <c r="G12058" s="629"/>
      <c r="H12058" s="629"/>
      <c r="I12058" s="629"/>
      <c r="J12058" s="629"/>
      <c r="K12058" s="629"/>
      <c r="L12058" s="629"/>
      <c r="M12058" s="629"/>
      <c r="N12058" s="629"/>
      <c r="O12058" s="629"/>
      <c r="P12058" s="629"/>
      <c r="Q12058" s="629"/>
      <c r="R12058" s="629"/>
    </row>
    <row r="12059" spans="1:18" ht="24">
      <c r="A12059" s="339">
        <v>60</v>
      </c>
      <c r="B12059" s="336" t="s">
        <v>21973</v>
      </c>
      <c r="C12059" s="340" t="s">
        <v>21974</v>
      </c>
      <c r="D12059" s="341">
        <v>2096.5</v>
      </c>
      <c r="E12059" s="341">
        <v>971.25</v>
      </c>
      <c r="F12059" s="341">
        <v>1017.89</v>
      </c>
      <c r="G12059" s="341">
        <v>107.36</v>
      </c>
      <c r="H12059" s="342">
        <v>17435.63</v>
      </c>
      <c r="I12059" s="342">
        <v>11169.38</v>
      </c>
      <c r="J12059" s="342">
        <v>5493.53</v>
      </c>
      <c r="K12059" s="342">
        <v>772.72</v>
      </c>
      <c r="L12059" s="43">
        <v>8.3165418554734085</v>
      </c>
      <c r="M12059" s="43">
        <v>11.500005148005148</v>
      </c>
      <c r="N12059" s="43">
        <v>5.3969780624625452</v>
      </c>
      <c r="O12059" s="43">
        <v>7.1974664679582716</v>
      </c>
      <c r="P12059" s="343"/>
      <c r="Q12059" s="343"/>
      <c r="R12059" s="343">
        <v>2</v>
      </c>
    </row>
    <row r="12060" spans="1:18" ht="12.75" customHeight="1">
      <c r="A12060" s="628" t="s">
        <v>21975</v>
      </c>
      <c r="B12060" s="629"/>
      <c r="C12060" s="629"/>
      <c r="D12060" s="629"/>
      <c r="E12060" s="629"/>
      <c r="F12060" s="629"/>
      <c r="G12060" s="629"/>
      <c r="H12060" s="629"/>
      <c r="I12060" s="629"/>
      <c r="J12060" s="629"/>
      <c r="K12060" s="629"/>
      <c r="L12060" s="629"/>
      <c r="M12060" s="629"/>
      <c r="N12060" s="629"/>
      <c r="O12060" s="629"/>
      <c r="P12060" s="629"/>
      <c r="Q12060" s="629"/>
      <c r="R12060" s="629"/>
    </row>
    <row r="12061" spans="1:18" ht="24">
      <c r="A12061" s="339">
        <v>61</v>
      </c>
      <c r="B12061" s="336" t="s">
        <v>21976</v>
      </c>
      <c r="C12061" s="340" t="s">
        <v>21977</v>
      </c>
      <c r="D12061" s="341">
        <v>1196.26</v>
      </c>
      <c r="E12061" s="341">
        <v>656.42</v>
      </c>
      <c r="F12061" s="341">
        <v>456.33</v>
      </c>
      <c r="G12061" s="341">
        <v>83.51</v>
      </c>
      <c r="H12061" s="342">
        <v>10594.97</v>
      </c>
      <c r="I12061" s="342">
        <v>7548.78</v>
      </c>
      <c r="J12061" s="342">
        <v>2468.38</v>
      </c>
      <c r="K12061" s="342">
        <v>577.80999999999995</v>
      </c>
      <c r="L12061" s="43">
        <v>8.856745189172921</v>
      </c>
      <c r="M12061" s="43">
        <v>11.49992382925566</v>
      </c>
      <c r="N12061" s="43">
        <v>5.4091994828304086</v>
      </c>
      <c r="O12061" s="43">
        <v>6.9190516105855577</v>
      </c>
      <c r="P12061" s="343"/>
      <c r="Q12061" s="343"/>
      <c r="R12061" s="343">
        <v>3</v>
      </c>
    </row>
    <row r="12062" spans="1:18" ht="24">
      <c r="A12062" s="339">
        <v>62</v>
      </c>
      <c r="B12062" s="336" t="s">
        <v>21978</v>
      </c>
      <c r="C12062" s="340" t="s">
        <v>21979</v>
      </c>
      <c r="D12062" s="341">
        <v>1575.81</v>
      </c>
      <c r="E12062" s="341">
        <v>794.67</v>
      </c>
      <c r="F12062" s="341">
        <v>659.03</v>
      </c>
      <c r="G12062" s="341">
        <v>122.11</v>
      </c>
      <c r="H12062" s="342">
        <v>13561.29</v>
      </c>
      <c r="I12062" s="342">
        <v>9138.68</v>
      </c>
      <c r="J12062" s="342">
        <v>3562.32</v>
      </c>
      <c r="K12062" s="342">
        <v>860.29</v>
      </c>
      <c r="L12062" s="43">
        <v>8.6059169569935463</v>
      </c>
      <c r="M12062" s="43">
        <v>11.499968540400419</v>
      </c>
      <c r="N12062" s="43">
        <v>5.4053988437552167</v>
      </c>
      <c r="O12062" s="43">
        <v>7.0452051429039386</v>
      </c>
      <c r="P12062" s="343"/>
      <c r="Q12062" s="343"/>
      <c r="R12062" s="343">
        <v>3</v>
      </c>
    </row>
    <row r="12063" spans="1:18" ht="12.75" customHeight="1">
      <c r="A12063" s="628" t="s">
        <v>21980</v>
      </c>
      <c r="B12063" s="629"/>
      <c r="C12063" s="629"/>
      <c r="D12063" s="629"/>
      <c r="E12063" s="629"/>
      <c r="F12063" s="629"/>
      <c r="G12063" s="629"/>
      <c r="H12063" s="629"/>
      <c r="I12063" s="629"/>
      <c r="J12063" s="629"/>
      <c r="K12063" s="629"/>
      <c r="L12063" s="629"/>
      <c r="M12063" s="629"/>
      <c r="N12063" s="629"/>
      <c r="O12063" s="629"/>
      <c r="P12063" s="629"/>
      <c r="Q12063" s="629"/>
      <c r="R12063" s="629"/>
    </row>
    <row r="12064" spans="1:18" ht="24">
      <c r="A12064" s="339">
        <v>63</v>
      </c>
      <c r="B12064" s="336" t="s">
        <v>21981</v>
      </c>
      <c r="C12064" s="340" t="s">
        <v>21982</v>
      </c>
      <c r="D12064" s="341">
        <v>1231.77</v>
      </c>
      <c r="E12064" s="341">
        <v>710.4</v>
      </c>
      <c r="F12064" s="341">
        <v>462.21</v>
      </c>
      <c r="G12064" s="341">
        <v>59.16</v>
      </c>
      <c r="H12064" s="342">
        <v>11093.87</v>
      </c>
      <c r="I12064" s="342">
        <v>8169.6</v>
      </c>
      <c r="J12064" s="342">
        <v>2493.6</v>
      </c>
      <c r="K12064" s="342">
        <v>430.67</v>
      </c>
      <c r="L12064" s="43">
        <v>9.0064460085892666</v>
      </c>
      <c r="M12064" s="43">
        <v>11.5</v>
      </c>
      <c r="N12064" s="43">
        <v>5.3949503472447589</v>
      </c>
      <c r="O12064" s="43">
        <v>7.2797498309668702</v>
      </c>
      <c r="P12064" s="343"/>
      <c r="Q12064" s="343"/>
      <c r="R12064" s="343">
        <v>4</v>
      </c>
    </row>
    <row r="12065" spans="1:18" ht="24">
      <c r="A12065" s="344">
        <v>64</v>
      </c>
      <c r="B12065" s="345" t="s">
        <v>21983</v>
      </c>
      <c r="C12065" s="346" t="s">
        <v>21984</v>
      </c>
      <c r="D12065" s="347">
        <v>841.57</v>
      </c>
      <c r="E12065" s="347">
        <v>472.86</v>
      </c>
      <c r="F12065" s="347">
        <v>313.93</v>
      </c>
      <c r="G12065" s="347">
        <v>54.78</v>
      </c>
      <c r="H12065" s="348">
        <v>7516.63</v>
      </c>
      <c r="I12065" s="348">
        <v>5437.89</v>
      </c>
      <c r="J12065" s="348">
        <v>1699.42</v>
      </c>
      <c r="K12065" s="348">
        <v>379.32</v>
      </c>
      <c r="L12065" s="611">
        <v>8.9316753211259901</v>
      </c>
      <c r="M12065" s="611">
        <v>11.5</v>
      </c>
      <c r="N12065" s="611">
        <v>5.4133724078616252</v>
      </c>
      <c r="O12065" s="611">
        <v>6.9244249726177438</v>
      </c>
      <c r="P12065" s="349"/>
      <c r="Q12065" s="349"/>
      <c r="R12065" s="349">
        <v>4</v>
      </c>
    </row>
    <row r="12066" spans="1:18" ht="12.75" customHeight="1">
      <c r="A12066" s="630" t="s">
        <v>21985</v>
      </c>
      <c r="B12066" s="631"/>
      <c r="C12066" s="631"/>
      <c r="D12066" s="631"/>
      <c r="E12066" s="631"/>
      <c r="F12066" s="631"/>
      <c r="G12066" s="631"/>
      <c r="H12066" s="631"/>
      <c r="I12066" s="631"/>
      <c r="J12066" s="631"/>
      <c r="K12066" s="631"/>
      <c r="L12066" s="631"/>
      <c r="M12066" s="631"/>
      <c r="N12066" s="631"/>
      <c r="O12066" s="631"/>
      <c r="P12066" s="631"/>
      <c r="Q12066" s="631"/>
      <c r="R12066" s="631"/>
    </row>
    <row r="12067" spans="1:18" ht="12.75" customHeight="1">
      <c r="A12067" s="628" t="s">
        <v>21986</v>
      </c>
      <c r="B12067" s="629"/>
      <c r="C12067" s="629"/>
      <c r="D12067" s="629"/>
      <c r="E12067" s="629"/>
      <c r="F12067" s="629"/>
      <c r="G12067" s="629"/>
      <c r="H12067" s="629"/>
      <c r="I12067" s="629"/>
      <c r="J12067" s="629"/>
      <c r="K12067" s="629"/>
      <c r="L12067" s="629"/>
      <c r="M12067" s="629"/>
      <c r="N12067" s="629"/>
      <c r="O12067" s="629"/>
      <c r="P12067" s="629"/>
      <c r="Q12067" s="629"/>
      <c r="R12067" s="629"/>
    </row>
    <row r="12068" spans="1:18" ht="12.75" customHeight="1">
      <c r="A12068" s="628" t="s">
        <v>21987</v>
      </c>
      <c r="B12068" s="629"/>
      <c r="C12068" s="629"/>
      <c r="D12068" s="629"/>
      <c r="E12068" s="629"/>
      <c r="F12068" s="629"/>
      <c r="G12068" s="629"/>
      <c r="H12068" s="629"/>
      <c r="I12068" s="629"/>
      <c r="J12068" s="629"/>
      <c r="K12068" s="629"/>
      <c r="L12068" s="629"/>
      <c r="M12068" s="629"/>
      <c r="N12068" s="629"/>
      <c r="O12068" s="629"/>
      <c r="P12068" s="629"/>
      <c r="Q12068" s="629"/>
      <c r="R12068" s="629"/>
    </row>
    <row r="12069" spans="1:18" ht="24">
      <c r="A12069" s="339">
        <v>65</v>
      </c>
      <c r="B12069" s="336" t="s">
        <v>21988</v>
      </c>
      <c r="C12069" s="340" t="s">
        <v>21989</v>
      </c>
      <c r="D12069" s="341">
        <v>407.93</v>
      </c>
      <c r="E12069" s="341">
        <v>295.08999999999997</v>
      </c>
      <c r="F12069" s="341">
        <v>86.24</v>
      </c>
      <c r="G12069" s="341">
        <v>26.6</v>
      </c>
      <c r="H12069" s="342">
        <v>4046.36</v>
      </c>
      <c r="I12069" s="342">
        <v>3393.7</v>
      </c>
      <c r="J12069" s="342">
        <v>466.74</v>
      </c>
      <c r="K12069" s="342">
        <v>185.92</v>
      </c>
      <c r="L12069" s="43">
        <v>9.9192508518618396</v>
      </c>
      <c r="M12069" s="43">
        <v>11.500559151445323</v>
      </c>
      <c r="N12069" s="43">
        <v>5.4121057513914659</v>
      </c>
      <c r="O12069" s="43">
        <v>6.9894736842105258</v>
      </c>
      <c r="P12069" s="343"/>
      <c r="Q12069" s="343"/>
      <c r="R12069" s="343">
        <v>1</v>
      </c>
    </row>
    <row r="12070" spans="1:18" ht="12.75" customHeight="1">
      <c r="A12070" s="628" t="s">
        <v>21990</v>
      </c>
      <c r="B12070" s="629"/>
      <c r="C12070" s="629"/>
      <c r="D12070" s="629"/>
      <c r="E12070" s="629"/>
      <c r="F12070" s="629"/>
      <c r="G12070" s="629"/>
      <c r="H12070" s="629"/>
      <c r="I12070" s="629"/>
      <c r="J12070" s="629"/>
      <c r="K12070" s="629"/>
      <c r="L12070" s="629"/>
      <c r="M12070" s="629"/>
      <c r="N12070" s="629"/>
      <c r="O12070" s="629"/>
      <c r="P12070" s="629"/>
      <c r="Q12070" s="629"/>
      <c r="R12070" s="629"/>
    </row>
    <row r="12071" spans="1:18" ht="24">
      <c r="A12071" s="339">
        <v>66</v>
      </c>
      <c r="B12071" s="336" t="s">
        <v>21991</v>
      </c>
      <c r="C12071" s="340" t="s">
        <v>21992</v>
      </c>
      <c r="D12071" s="341">
        <v>644.54999999999995</v>
      </c>
      <c r="E12071" s="341">
        <v>361.86</v>
      </c>
      <c r="F12071" s="341">
        <v>213.28</v>
      </c>
      <c r="G12071" s="341">
        <v>69.41</v>
      </c>
      <c r="H12071" s="342">
        <v>5752.89</v>
      </c>
      <c r="I12071" s="342">
        <v>4161.3900000000003</v>
      </c>
      <c r="J12071" s="342">
        <v>1153.3699999999999</v>
      </c>
      <c r="K12071" s="342">
        <v>438.13</v>
      </c>
      <c r="L12071" s="43">
        <v>8.925436350942519</v>
      </c>
      <c r="M12071" s="43">
        <v>11.5</v>
      </c>
      <c r="N12071" s="43">
        <v>5.4077738184546131</v>
      </c>
      <c r="O12071" s="43">
        <v>6.312202852614897</v>
      </c>
      <c r="P12071" s="343"/>
      <c r="Q12071" s="343"/>
      <c r="R12071" s="343">
        <v>2</v>
      </c>
    </row>
    <row r="12072" spans="1:18" ht="24">
      <c r="A12072" s="339">
        <v>67</v>
      </c>
      <c r="B12072" s="336" t="s">
        <v>21993</v>
      </c>
      <c r="C12072" s="340" t="s">
        <v>21994</v>
      </c>
      <c r="D12072" s="341">
        <v>828.83</v>
      </c>
      <c r="E12072" s="341">
        <v>274.17</v>
      </c>
      <c r="F12072" s="341">
        <v>113.71</v>
      </c>
      <c r="G12072" s="341">
        <v>440.95</v>
      </c>
      <c r="H12072" s="342">
        <v>8814.6299999999992</v>
      </c>
      <c r="I12072" s="342">
        <v>3152.96</v>
      </c>
      <c r="J12072" s="342">
        <v>614.33000000000004</v>
      </c>
      <c r="K12072" s="342">
        <v>5047.34</v>
      </c>
      <c r="L12072" s="43">
        <v>10.635027689634786</v>
      </c>
      <c r="M12072" s="43">
        <v>11.500018236860342</v>
      </c>
      <c r="N12072" s="43">
        <v>5.402603113182658</v>
      </c>
      <c r="O12072" s="43">
        <v>11.446513210114526</v>
      </c>
      <c r="P12072" s="343"/>
      <c r="Q12072" s="343"/>
      <c r="R12072" s="343">
        <v>2</v>
      </c>
    </row>
    <row r="12073" spans="1:18" ht="24">
      <c r="A12073" s="339">
        <v>68</v>
      </c>
      <c r="B12073" s="336" t="s">
        <v>21995</v>
      </c>
      <c r="C12073" s="340" t="s">
        <v>21996</v>
      </c>
      <c r="D12073" s="341">
        <v>754.7</v>
      </c>
      <c r="E12073" s="341">
        <v>369.69</v>
      </c>
      <c r="F12073" s="341">
        <v>315.08999999999997</v>
      </c>
      <c r="G12073" s="341">
        <v>69.92</v>
      </c>
      <c r="H12073" s="342">
        <v>6392.95</v>
      </c>
      <c r="I12073" s="342">
        <v>4251.59</v>
      </c>
      <c r="J12073" s="342">
        <v>1698.4</v>
      </c>
      <c r="K12073" s="342">
        <v>442.96</v>
      </c>
      <c r="L12073" s="43">
        <v>8.4708493441102419</v>
      </c>
      <c r="M12073" s="43">
        <v>11.500419270199357</v>
      </c>
      <c r="N12073" s="43">
        <v>5.3902059728966334</v>
      </c>
      <c r="O12073" s="43">
        <v>6.335240274599542</v>
      </c>
      <c r="P12073" s="343"/>
      <c r="Q12073" s="343"/>
      <c r="R12073" s="343">
        <v>2</v>
      </c>
    </row>
    <row r="12074" spans="1:18" ht="24">
      <c r="A12074" s="339">
        <v>69</v>
      </c>
      <c r="B12074" s="336" t="s">
        <v>21997</v>
      </c>
      <c r="C12074" s="340" t="s">
        <v>21998</v>
      </c>
      <c r="D12074" s="341">
        <v>875.07</v>
      </c>
      <c r="E12074" s="341">
        <v>498.39</v>
      </c>
      <c r="F12074" s="341">
        <v>304.18</v>
      </c>
      <c r="G12074" s="341">
        <v>72.5</v>
      </c>
      <c r="H12074" s="342">
        <v>7849.56</v>
      </c>
      <c r="I12074" s="342">
        <v>5731.49</v>
      </c>
      <c r="J12074" s="342">
        <v>1645.44</v>
      </c>
      <c r="K12074" s="342">
        <v>472.63</v>
      </c>
      <c r="L12074" s="43">
        <v>8.9702080976379026</v>
      </c>
      <c r="M12074" s="43">
        <v>11.500010032304019</v>
      </c>
      <c r="N12074" s="43">
        <v>5.4094286277861796</v>
      </c>
      <c r="O12074" s="43">
        <v>6.5190344827586202</v>
      </c>
      <c r="P12074" s="343"/>
      <c r="Q12074" s="343"/>
      <c r="R12074" s="343">
        <v>2</v>
      </c>
    </row>
    <row r="12075" spans="1:18" ht="24">
      <c r="A12075" s="339">
        <v>70</v>
      </c>
      <c r="B12075" s="336" t="s">
        <v>21999</v>
      </c>
      <c r="C12075" s="340" t="s">
        <v>22000</v>
      </c>
      <c r="D12075" s="341">
        <v>306.7</v>
      </c>
      <c r="E12075" s="341">
        <v>199.8</v>
      </c>
      <c r="F12075" s="341">
        <v>82.01</v>
      </c>
      <c r="G12075" s="341">
        <v>24.89</v>
      </c>
      <c r="H12075" s="342">
        <v>2906.23</v>
      </c>
      <c r="I12075" s="342">
        <v>2297.6999999999998</v>
      </c>
      <c r="J12075" s="342">
        <v>442.79</v>
      </c>
      <c r="K12075" s="342">
        <v>165.74</v>
      </c>
      <c r="L12075" s="43">
        <v>9.4758069775024456</v>
      </c>
      <c r="M12075" s="43">
        <v>11.499999999999998</v>
      </c>
      <c r="N12075" s="43">
        <v>5.3992196073649552</v>
      </c>
      <c r="O12075" s="43">
        <v>6.6588991562876663</v>
      </c>
      <c r="P12075" s="343"/>
      <c r="Q12075" s="343"/>
      <c r="R12075" s="343">
        <v>2</v>
      </c>
    </row>
    <row r="12076" spans="1:18" ht="24">
      <c r="A12076" s="339">
        <v>71</v>
      </c>
      <c r="B12076" s="336" t="s">
        <v>22001</v>
      </c>
      <c r="C12076" s="340" t="s">
        <v>22002</v>
      </c>
      <c r="D12076" s="341">
        <v>419.39</v>
      </c>
      <c r="E12076" s="341">
        <v>274.17</v>
      </c>
      <c r="F12076" s="341">
        <v>81.31</v>
      </c>
      <c r="G12076" s="341">
        <v>63.91</v>
      </c>
      <c r="H12076" s="342">
        <v>3937.29</v>
      </c>
      <c r="I12076" s="342">
        <v>3152.96</v>
      </c>
      <c r="J12076" s="342">
        <v>439.97</v>
      </c>
      <c r="K12076" s="342">
        <v>344.36</v>
      </c>
      <c r="L12076" s="43">
        <v>9.3881351486683045</v>
      </c>
      <c r="M12076" s="43">
        <v>11.500018236860342</v>
      </c>
      <c r="N12076" s="43">
        <v>5.4110195547903093</v>
      </c>
      <c r="O12076" s="43">
        <v>5.3882021592864975</v>
      </c>
      <c r="P12076" s="343"/>
      <c r="Q12076" s="343"/>
      <c r="R12076" s="343">
        <v>2</v>
      </c>
    </row>
    <row r="12077" spans="1:18" ht="12.75" customHeight="1">
      <c r="A12077" s="628" t="s">
        <v>22003</v>
      </c>
      <c r="B12077" s="629"/>
      <c r="C12077" s="629"/>
      <c r="D12077" s="629"/>
      <c r="E12077" s="629"/>
      <c r="F12077" s="629"/>
      <c r="G12077" s="629"/>
      <c r="H12077" s="629"/>
      <c r="I12077" s="629"/>
      <c r="J12077" s="629"/>
      <c r="K12077" s="629"/>
      <c r="L12077" s="629"/>
      <c r="M12077" s="629"/>
      <c r="N12077" s="629"/>
      <c r="O12077" s="629"/>
      <c r="P12077" s="629"/>
      <c r="Q12077" s="629"/>
      <c r="R12077" s="629"/>
    </row>
    <row r="12078" spans="1:18" ht="24">
      <c r="A12078" s="339">
        <v>72</v>
      </c>
      <c r="B12078" s="336" t="s">
        <v>22004</v>
      </c>
      <c r="C12078" s="340" t="s">
        <v>22005</v>
      </c>
      <c r="D12078" s="341">
        <v>290.10000000000002</v>
      </c>
      <c r="E12078" s="341">
        <v>199.8</v>
      </c>
      <c r="F12078" s="341">
        <v>65.55</v>
      </c>
      <c r="G12078" s="341">
        <v>24.75</v>
      </c>
      <c r="H12078" s="342">
        <v>2816.8</v>
      </c>
      <c r="I12078" s="342">
        <v>2297.6999999999998</v>
      </c>
      <c r="J12078" s="342">
        <v>354.61</v>
      </c>
      <c r="K12078" s="342">
        <v>164.49</v>
      </c>
      <c r="L12078" s="43">
        <v>9.7097552568079966</v>
      </c>
      <c r="M12078" s="43">
        <v>11.499999999999998</v>
      </c>
      <c r="N12078" s="43">
        <v>5.4097635392829906</v>
      </c>
      <c r="O12078" s="43">
        <v>6.6460606060606064</v>
      </c>
      <c r="P12078" s="343"/>
      <c r="Q12078" s="343"/>
      <c r="R12078" s="343">
        <v>3</v>
      </c>
    </row>
    <row r="12079" spans="1:18" ht="24">
      <c r="A12079" s="339">
        <v>73</v>
      </c>
      <c r="B12079" s="336" t="s">
        <v>22006</v>
      </c>
      <c r="C12079" s="340" t="s">
        <v>22007</v>
      </c>
      <c r="D12079" s="341">
        <v>370.41</v>
      </c>
      <c r="E12079" s="341">
        <v>260.85000000000002</v>
      </c>
      <c r="F12079" s="341">
        <v>83.68</v>
      </c>
      <c r="G12079" s="341">
        <v>25.88</v>
      </c>
      <c r="H12079" s="342">
        <v>3630.37</v>
      </c>
      <c r="I12079" s="342">
        <v>2999.78</v>
      </c>
      <c r="J12079" s="342">
        <v>452.81</v>
      </c>
      <c r="K12079" s="342">
        <v>177.78</v>
      </c>
      <c r="L12079" s="43">
        <v>9.8009502983180798</v>
      </c>
      <c r="M12079" s="43">
        <v>11.500019168104274</v>
      </c>
      <c r="N12079" s="43">
        <v>5.4112093690248564</v>
      </c>
      <c r="O12079" s="43">
        <v>6.8693972179289027</v>
      </c>
      <c r="P12079" s="343"/>
      <c r="Q12079" s="343"/>
      <c r="R12079" s="343">
        <v>3</v>
      </c>
    </row>
    <row r="12080" spans="1:18" ht="24">
      <c r="A12080" s="339">
        <v>74</v>
      </c>
      <c r="B12080" s="336" t="s">
        <v>22008</v>
      </c>
      <c r="C12080" s="340" t="s">
        <v>22009</v>
      </c>
      <c r="D12080" s="341">
        <v>435.53</v>
      </c>
      <c r="E12080" s="341">
        <v>237.54</v>
      </c>
      <c r="F12080" s="341">
        <v>158.34</v>
      </c>
      <c r="G12080" s="341">
        <v>39.65</v>
      </c>
      <c r="H12080" s="342">
        <v>3840.54</v>
      </c>
      <c r="I12080" s="342">
        <v>2731.71</v>
      </c>
      <c r="J12080" s="342">
        <v>855.73</v>
      </c>
      <c r="K12080" s="342">
        <v>253.1</v>
      </c>
      <c r="L12080" s="43">
        <v>8.8180837140954704</v>
      </c>
      <c r="M12080" s="43">
        <v>11.5</v>
      </c>
      <c r="N12080" s="43">
        <v>5.4043829733484907</v>
      </c>
      <c r="O12080" s="43">
        <v>6.3833543505674655</v>
      </c>
      <c r="P12080" s="343"/>
      <c r="Q12080" s="343"/>
      <c r="R12080" s="343">
        <v>3</v>
      </c>
    </row>
    <row r="12081" spans="1:18" ht="36">
      <c r="A12081" s="339">
        <v>75</v>
      </c>
      <c r="B12081" s="336" t="s">
        <v>22010</v>
      </c>
      <c r="C12081" s="340" t="s">
        <v>22011</v>
      </c>
      <c r="D12081" s="341">
        <v>3452.1</v>
      </c>
      <c r="E12081" s="341">
        <v>913.8</v>
      </c>
      <c r="F12081" s="341">
        <v>517.75</v>
      </c>
      <c r="G12081" s="341">
        <v>2020.55</v>
      </c>
      <c r="H12081" s="342">
        <v>21258.03</v>
      </c>
      <c r="I12081" s="342">
        <v>10509.13</v>
      </c>
      <c r="J12081" s="342">
        <v>2954.18</v>
      </c>
      <c r="K12081" s="342">
        <v>7794.72</v>
      </c>
      <c r="L12081" s="43">
        <v>6.1579994785782564</v>
      </c>
      <c r="M12081" s="43">
        <v>11.500470562486321</v>
      </c>
      <c r="N12081" s="43">
        <v>5.7058039594398835</v>
      </c>
      <c r="O12081" s="43">
        <v>3.8577219074014502</v>
      </c>
      <c r="P12081" s="343"/>
      <c r="Q12081" s="343"/>
      <c r="R12081" s="343">
        <v>3</v>
      </c>
    </row>
    <row r="12082" spans="1:18" ht="12.75" customHeight="1">
      <c r="A12082" s="628" t="s">
        <v>19144</v>
      </c>
      <c r="B12082" s="629"/>
      <c r="C12082" s="629"/>
      <c r="D12082" s="629"/>
      <c r="E12082" s="629"/>
      <c r="F12082" s="629"/>
      <c r="G12082" s="629"/>
      <c r="H12082" s="629"/>
      <c r="I12082" s="629"/>
      <c r="J12082" s="629"/>
      <c r="K12082" s="629"/>
      <c r="L12082" s="629"/>
      <c r="M12082" s="629"/>
      <c r="N12082" s="629"/>
      <c r="O12082" s="629"/>
      <c r="P12082" s="629"/>
      <c r="Q12082" s="629"/>
      <c r="R12082" s="629"/>
    </row>
    <row r="12083" spans="1:18" ht="24">
      <c r="A12083" s="339">
        <v>76</v>
      </c>
      <c r="B12083" s="336" t="s">
        <v>22012</v>
      </c>
      <c r="C12083" s="340" t="s">
        <v>22013</v>
      </c>
      <c r="D12083" s="341">
        <v>324.62</v>
      </c>
      <c r="E12083" s="341">
        <v>260.85000000000002</v>
      </c>
      <c r="F12083" s="341">
        <v>34.130000000000003</v>
      </c>
      <c r="G12083" s="341">
        <v>29.64</v>
      </c>
      <c r="H12083" s="342">
        <v>3384.3</v>
      </c>
      <c r="I12083" s="342">
        <v>2999.78</v>
      </c>
      <c r="J12083" s="342">
        <v>184.37</v>
      </c>
      <c r="K12083" s="342">
        <v>200.15</v>
      </c>
      <c r="L12083" s="43">
        <v>10.425420491651778</v>
      </c>
      <c r="M12083" s="43">
        <v>11.500019168104274</v>
      </c>
      <c r="N12083" s="43">
        <v>5.4019923820685607</v>
      </c>
      <c r="O12083" s="43">
        <v>6.7526990553306341</v>
      </c>
      <c r="P12083" s="343"/>
      <c r="Q12083" s="343"/>
      <c r="R12083" s="343">
        <v>4</v>
      </c>
    </row>
    <row r="12084" spans="1:18" ht="24">
      <c r="A12084" s="339">
        <v>77</v>
      </c>
      <c r="B12084" s="336" t="s">
        <v>22014</v>
      </c>
      <c r="C12084" s="340" t="s">
        <v>22015</v>
      </c>
      <c r="D12084" s="341">
        <v>433.29</v>
      </c>
      <c r="E12084" s="341">
        <v>308.26</v>
      </c>
      <c r="F12084" s="341">
        <v>91.3</v>
      </c>
      <c r="G12084" s="341">
        <v>33.729999999999997</v>
      </c>
      <c r="H12084" s="342">
        <v>4267.3500000000004</v>
      </c>
      <c r="I12084" s="342">
        <v>3545.1</v>
      </c>
      <c r="J12084" s="342">
        <v>494.2</v>
      </c>
      <c r="K12084" s="342">
        <v>228.05</v>
      </c>
      <c r="L12084" s="43">
        <v>9.8487156407948486</v>
      </c>
      <c r="M12084" s="43">
        <v>11.500356841627198</v>
      </c>
      <c r="N12084" s="43">
        <v>5.4129244249726174</v>
      </c>
      <c r="O12084" s="43">
        <v>6.7610435813815606</v>
      </c>
      <c r="P12084" s="343"/>
      <c r="Q12084" s="343"/>
      <c r="R12084" s="343">
        <v>4</v>
      </c>
    </row>
    <row r="12085" spans="1:18" ht="24">
      <c r="A12085" s="339">
        <v>78</v>
      </c>
      <c r="B12085" s="336" t="s">
        <v>22016</v>
      </c>
      <c r="C12085" s="340" t="s">
        <v>22017</v>
      </c>
      <c r="D12085" s="341">
        <v>497.38</v>
      </c>
      <c r="E12085" s="341">
        <v>308.26</v>
      </c>
      <c r="F12085" s="341">
        <v>147.96</v>
      </c>
      <c r="G12085" s="341">
        <v>41.16</v>
      </c>
      <c r="H12085" s="342">
        <v>4614</v>
      </c>
      <c r="I12085" s="342">
        <v>3545.1</v>
      </c>
      <c r="J12085" s="342">
        <v>799.59</v>
      </c>
      <c r="K12085" s="342">
        <v>269.31</v>
      </c>
      <c r="L12085" s="43">
        <v>9.2766094334311795</v>
      </c>
      <c r="M12085" s="43">
        <v>11.500356841627198</v>
      </c>
      <c r="N12085" s="43">
        <v>5.4040957015409568</v>
      </c>
      <c r="O12085" s="43">
        <v>6.5430029154518961</v>
      </c>
      <c r="P12085" s="343"/>
      <c r="Q12085" s="343"/>
      <c r="R12085" s="343">
        <v>4</v>
      </c>
    </row>
    <row r="12086" spans="1:18" ht="12.75" customHeight="1">
      <c r="A12086" s="628" t="s">
        <v>22018</v>
      </c>
      <c r="B12086" s="629"/>
      <c r="C12086" s="629"/>
      <c r="D12086" s="629"/>
      <c r="E12086" s="629"/>
      <c r="F12086" s="629"/>
      <c r="G12086" s="629"/>
      <c r="H12086" s="629"/>
      <c r="I12086" s="629"/>
      <c r="J12086" s="629"/>
      <c r="K12086" s="629"/>
      <c r="L12086" s="629"/>
      <c r="M12086" s="629"/>
      <c r="N12086" s="629"/>
      <c r="O12086" s="629"/>
      <c r="P12086" s="629"/>
      <c r="Q12086" s="629"/>
      <c r="R12086" s="629"/>
    </row>
    <row r="12087" spans="1:18" ht="12.75" customHeight="1">
      <c r="A12087" s="628" t="s">
        <v>22019</v>
      </c>
      <c r="B12087" s="629"/>
      <c r="C12087" s="629"/>
      <c r="D12087" s="629"/>
      <c r="E12087" s="629"/>
      <c r="F12087" s="629"/>
      <c r="G12087" s="629"/>
      <c r="H12087" s="629"/>
      <c r="I12087" s="629"/>
      <c r="J12087" s="629"/>
      <c r="K12087" s="629"/>
      <c r="L12087" s="629"/>
      <c r="M12087" s="629"/>
      <c r="N12087" s="629"/>
      <c r="O12087" s="629"/>
      <c r="P12087" s="629"/>
      <c r="Q12087" s="629"/>
      <c r="R12087" s="629"/>
    </row>
    <row r="12088" spans="1:18" ht="36">
      <c r="A12088" s="339">
        <v>79</v>
      </c>
      <c r="B12088" s="336" t="s">
        <v>22020</v>
      </c>
      <c r="C12088" s="340" t="s">
        <v>22021</v>
      </c>
      <c r="D12088" s="341">
        <v>871.35</v>
      </c>
      <c r="E12088" s="341">
        <v>431.12</v>
      </c>
      <c r="F12088" s="341">
        <v>368.55</v>
      </c>
      <c r="G12088" s="341">
        <v>71.680000000000007</v>
      </c>
      <c r="H12088" s="342">
        <v>7403.54</v>
      </c>
      <c r="I12088" s="342">
        <v>4958.09</v>
      </c>
      <c r="J12088" s="342">
        <v>1986.45</v>
      </c>
      <c r="K12088" s="342">
        <v>459</v>
      </c>
      <c r="L12088" s="43">
        <v>8.4966316635106445</v>
      </c>
      <c r="M12088" s="43">
        <v>11.500487103358694</v>
      </c>
      <c r="N12088" s="43">
        <v>5.3899063899063897</v>
      </c>
      <c r="O12088" s="43">
        <v>6.4034598214285712</v>
      </c>
      <c r="P12088" s="343"/>
      <c r="Q12088" s="343"/>
      <c r="R12088" s="343">
        <v>1</v>
      </c>
    </row>
    <row r="12089" spans="1:18" ht="24">
      <c r="A12089" s="339">
        <v>80</v>
      </c>
      <c r="B12089" s="336" t="s">
        <v>22022</v>
      </c>
      <c r="C12089" s="340" t="s">
        <v>22023</v>
      </c>
      <c r="D12089" s="341">
        <v>471.54</v>
      </c>
      <c r="E12089" s="341">
        <v>298.58999999999997</v>
      </c>
      <c r="F12089" s="341">
        <v>132.41</v>
      </c>
      <c r="G12089" s="341">
        <v>40.54</v>
      </c>
      <c r="H12089" s="342">
        <v>4415.24</v>
      </c>
      <c r="I12089" s="342">
        <v>3433.79</v>
      </c>
      <c r="J12089" s="342">
        <v>715.36</v>
      </c>
      <c r="K12089" s="342">
        <v>266.08999999999997</v>
      </c>
      <c r="L12089" s="43">
        <v>9.3634474275777233</v>
      </c>
      <c r="M12089" s="43">
        <v>11.500016745369907</v>
      </c>
      <c r="N12089" s="43">
        <v>5.402613095687637</v>
      </c>
      <c r="O12089" s="43">
        <v>6.5636408485446465</v>
      </c>
      <c r="P12089" s="343"/>
      <c r="Q12089" s="343"/>
      <c r="R12089" s="343">
        <v>1</v>
      </c>
    </row>
    <row r="12090" spans="1:18" ht="36">
      <c r="A12090" s="339">
        <v>81</v>
      </c>
      <c r="B12090" s="336" t="s">
        <v>22024</v>
      </c>
      <c r="C12090" s="340" t="s">
        <v>22025</v>
      </c>
      <c r="D12090" s="341">
        <v>592.70000000000005</v>
      </c>
      <c r="E12090" s="341">
        <v>311.91000000000003</v>
      </c>
      <c r="F12090" s="341">
        <v>212.4</v>
      </c>
      <c r="G12090" s="341">
        <v>68.39</v>
      </c>
      <c r="H12090" s="342">
        <v>5162.25</v>
      </c>
      <c r="I12090" s="342">
        <v>3586.97</v>
      </c>
      <c r="J12090" s="342">
        <v>1148.99</v>
      </c>
      <c r="K12090" s="342">
        <v>426.29</v>
      </c>
      <c r="L12090" s="43">
        <v>8.7097182385692591</v>
      </c>
      <c r="M12090" s="43">
        <v>11.500016030265138</v>
      </c>
      <c r="N12090" s="43">
        <v>5.4095574387947272</v>
      </c>
      <c r="O12090" s="43">
        <v>6.2332212311741486</v>
      </c>
      <c r="P12090" s="343"/>
      <c r="Q12090" s="343"/>
      <c r="R12090" s="343">
        <v>1</v>
      </c>
    </row>
    <row r="12091" spans="1:18" ht="24">
      <c r="A12091" s="339">
        <v>82</v>
      </c>
      <c r="B12091" s="336" t="s">
        <v>22026</v>
      </c>
      <c r="C12091" s="340" t="s">
        <v>22027</v>
      </c>
      <c r="D12091" s="341">
        <v>618.72</v>
      </c>
      <c r="E12091" s="341">
        <v>336.33</v>
      </c>
      <c r="F12091" s="341">
        <v>213.61</v>
      </c>
      <c r="G12091" s="341">
        <v>68.78</v>
      </c>
      <c r="H12091" s="342">
        <v>5453.82</v>
      </c>
      <c r="I12091" s="342">
        <v>3867.8</v>
      </c>
      <c r="J12091" s="342">
        <v>1154.82</v>
      </c>
      <c r="K12091" s="342">
        <v>431.2</v>
      </c>
      <c r="L12091" s="43">
        <v>8.8146819239720706</v>
      </c>
      <c r="M12091" s="43">
        <v>11.500014866351501</v>
      </c>
      <c r="N12091" s="43">
        <v>5.4062075745517522</v>
      </c>
      <c r="O12091" s="43">
        <v>6.2692643210235532</v>
      </c>
      <c r="P12091" s="343"/>
      <c r="Q12091" s="343"/>
      <c r="R12091" s="343">
        <v>1</v>
      </c>
    </row>
    <row r="12092" spans="1:18" ht="24">
      <c r="A12092" s="339">
        <v>83</v>
      </c>
      <c r="B12092" s="336" t="s">
        <v>22028</v>
      </c>
      <c r="C12092" s="340" t="s">
        <v>22029</v>
      </c>
      <c r="D12092" s="341">
        <v>1085.8599999999999</v>
      </c>
      <c r="E12092" s="341">
        <v>529.85</v>
      </c>
      <c r="F12092" s="341">
        <v>462.92</v>
      </c>
      <c r="G12092" s="341">
        <v>93.09</v>
      </c>
      <c r="H12092" s="342">
        <v>9178.25</v>
      </c>
      <c r="I12092" s="342">
        <v>6093.53</v>
      </c>
      <c r="J12092" s="342">
        <v>2493.2399999999998</v>
      </c>
      <c r="K12092" s="342">
        <v>591.48</v>
      </c>
      <c r="L12092" s="43">
        <v>8.4525168990477599</v>
      </c>
      <c r="M12092" s="43">
        <v>11.500481268283476</v>
      </c>
      <c r="N12092" s="43">
        <v>5.3858982113540126</v>
      </c>
      <c r="O12092" s="43">
        <v>6.3538511118272636</v>
      </c>
      <c r="P12092" s="343"/>
      <c r="Q12092" s="343"/>
      <c r="R12092" s="343">
        <v>1</v>
      </c>
    </row>
    <row r="12093" spans="1:18" ht="24">
      <c r="A12093" s="339">
        <v>84</v>
      </c>
      <c r="B12093" s="336" t="s">
        <v>22030</v>
      </c>
      <c r="C12093" s="340" t="s">
        <v>22031</v>
      </c>
      <c r="D12093" s="341">
        <v>583.38</v>
      </c>
      <c r="E12093" s="341">
        <v>324.12</v>
      </c>
      <c r="F12093" s="341">
        <v>197.58</v>
      </c>
      <c r="G12093" s="341">
        <v>61.68</v>
      </c>
      <c r="H12093" s="342">
        <v>5184.9399999999996</v>
      </c>
      <c r="I12093" s="342">
        <v>3727.38</v>
      </c>
      <c r="J12093" s="342">
        <v>1068.23</v>
      </c>
      <c r="K12093" s="342">
        <v>389.33</v>
      </c>
      <c r="L12093" s="43">
        <v>8.8877575508245048</v>
      </c>
      <c r="M12093" s="43">
        <v>11.5</v>
      </c>
      <c r="N12093" s="43">
        <v>5.4065694908391535</v>
      </c>
      <c r="O12093" s="43">
        <v>6.3120946822308683</v>
      </c>
      <c r="P12093" s="343"/>
      <c r="Q12093" s="343"/>
      <c r="R12093" s="343">
        <v>1</v>
      </c>
    </row>
    <row r="12094" spans="1:18" ht="12.75" customHeight="1">
      <c r="A12094" s="628" t="s">
        <v>22032</v>
      </c>
      <c r="B12094" s="629"/>
      <c r="C12094" s="629"/>
      <c r="D12094" s="629"/>
      <c r="E12094" s="629"/>
      <c r="F12094" s="629"/>
      <c r="G12094" s="629"/>
      <c r="H12094" s="629"/>
      <c r="I12094" s="629"/>
      <c r="J12094" s="629"/>
      <c r="K12094" s="629"/>
      <c r="L12094" s="629"/>
      <c r="M12094" s="629"/>
      <c r="N12094" s="629"/>
      <c r="O12094" s="629"/>
      <c r="P12094" s="629"/>
      <c r="Q12094" s="629"/>
      <c r="R12094" s="629"/>
    </row>
    <row r="12095" spans="1:18" ht="24">
      <c r="A12095" s="339">
        <v>85</v>
      </c>
      <c r="B12095" s="336" t="s">
        <v>22033</v>
      </c>
      <c r="C12095" s="340" t="s">
        <v>22034</v>
      </c>
      <c r="D12095" s="341">
        <v>680.93</v>
      </c>
      <c r="E12095" s="341">
        <v>357.62</v>
      </c>
      <c r="F12095" s="341">
        <v>254.09</v>
      </c>
      <c r="G12095" s="341">
        <v>69.22</v>
      </c>
      <c r="H12095" s="342">
        <v>5917.7</v>
      </c>
      <c r="I12095" s="342">
        <v>4112.82</v>
      </c>
      <c r="J12095" s="342">
        <v>1369</v>
      </c>
      <c r="K12095" s="342">
        <v>435.88</v>
      </c>
      <c r="L12095" s="43">
        <v>8.6906143069037931</v>
      </c>
      <c r="M12095" s="43">
        <v>11.500531290196296</v>
      </c>
      <c r="N12095" s="43">
        <v>5.3878546971545518</v>
      </c>
      <c r="O12095" s="43">
        <v>6.2970239815082349</v>
      </c>
      <c r="P12095" s="343"/>
      <c r="Q12095" s="343"/>
      <c r="R12095" s="343">
        <v>2</v>
      </c>
    </row>
    <row r="12096" spans="1:18" ht="24">
      <c r="A12096" s="339">
        <v>86</v>
      </c>
      <c r="B12096" s="336" t="s">
        <v>22035</v>
      </c>
      <c r="C12096" s="340" t="s">
        <v>22036</v>
      </c>
      <c r="D12096" s="341">
        <v>3488.68</v>
      </c>
      <c r="E12096" s="341">
        <v>1021.31</v>
      </c>
      <c r="F12096" s="341">
        <v>444.49</v>
      </c>
      <c r="G12096" s="341">
        <v>2022.88</v>
      </c>
      <c r="H12096" s="342">
        <v>22177.64</v>
      </c>
      <c r="I12096" s="342">
        <v>11745.5</v>
      </c>
      <c r="J12096" s="342">
        <v>2611.2600000000002</v>
      </c>
      <c r="K12096" s="342">
        <v>7820.88</v>
      </c>
      <c r="L12096" s="43">
        <v>6.3570290195718728</v>
      </c>
      <c r="M12096" s="43">
        <v>11.50042592356875</v>
      </c>
      <c r="N12096" s="43">
        <v>5.8747328398839125</v>
      </c>
      <c r="O12096" s="43">
        <v>3.8662105512932055</v>
      </c>
      <c r="P12096" s="343"/>
      <c r="Q12096" s="343"/>
      <c r="R12096" s="343">
        <v>2</v>
      </c>
    </row>
    <row r="12097" spans="1:18" ht="12.75" customHeight="1">
      <c r="A12097" s="628" t="s">
        <v>22037</v>
      </c>
      <c r="B12097" s="629"/>
      <c r="C12097" s="629"/>
      <c r="D12097" s="629"/>
      <c r="E12097" s="629"/>
      <c r="F12097" s="629"/>
      <c r="G12097" s="629"/>
      <c r="H12097" s="629"/>
      <c r="I12097" s="629"/>
      <c r="J12097" s="629"/>
      <c r="K12097" s="629"/>
      <c r="L12097" s="629"/>
      <c r="M12097" s="629"/>
      <c r="N12097" s="629"/>
      <c r="O12097" s="629"/>
      <c r="P12097" s="629"/>
      <c r="Q12097" s="629"/>
      <c r="R12097" s="629"/>
    </row>
    <row r="12098" spans="1:18" ht="36">
      <c r="A12098" s="339">
        <v>87</v>
      </c>
      <c r="B12098" s="336" t="s">
        <v>22038</v>
      </c>
      <c r="C12098" s="340" t="s">
        <v>22039</v>
      </c>
      <c r="D12098" s="341">
        <v>458.43</v>
      </c>
      <c r="E12098" s="341">
        <v>286.38</v>
      </c>
      <c r="F12098" s="341">
        <v>131.76</v>
      </c>
      <c r="G12098" s="341">
        <v>40.29</v>
      </c>
      <c r="H12098" s="342">
        <v>4268.6400000000003</v>
      </c>
      <c r="I12098" s="342">
        <v>3293.37</v>
      </c>
      <c r="J12098" s="342">
        <v>712.06</v>
      </c>
      <c r="K12098" s="342">
        <v>263.20999999999998</v>
      </c>
      <c r="L12098" s="43">
        <v>9.3114324978731773</v>
      </c>
      <c r="M12098" s="43">
        <v>11.5</v>
      </c>
      <c r="N12098" s="43">
        <v>5.4042197935640557</v>
      </c>
      <c r="O12098" s="43">
        <v>6.532886572350459</v>
      </c>
      <c r="P12098" s="343"/>
      <c r="Q12098" s="343"/>
      <c r="R12098" s="343">
        <v>3</v>
      </c>
    </row>
    <row r="12099" spans="1:18" ht="12.75" customHeight="1">
      <c r="A12099" s="628" t="s">
        <v>22040</v>
      </c>
      <c r="B12099" s="629"/>
      <c r="C12099" s="629"/>
      <c r="D12099" s="629"/>
      <c r="E12099" s="629"/>
      <c r="F12099" s="629"/>
      <c r="G12099" s="629"/>
      <c r="H12099" s="629"/>
      <c r="I12099" s="629"/>
      <c r="J12099" s="629"/>
      <c r="K12099" s="629"/>
      <c r="L12099" s="629"/>
      <c r="M12099" s="629"/>
      <c r="N12099" s="629"/>
      <c r="O12099" s="629"/>
      <c r="P12099" s="629"/>
      <c r="Q12099" s="629"/>
      <c r="R12099" s="629"/>
    </row>
    <row r="12100" spans="1:18" ht="12.75" customHeight="1">
      <c r="A12100" s="628" t="s">
        <v>22041</v>
      </c>
      <c r="B12100" s="629"/>
      <c r="C12100" s="629"/>
      <c r="D12100" s="629"/>
      <c r="E12100" s="629"/>
      <c r="F12100" s="629"/>
      <c r="G12100" s="629"/>
      <c r="H12100" s="629"/>
      <c r="I12100" s="629"/>
      <c r="J12100" s="629"/>
      <c r="K12100" s="629"/>
      <c r="L12100" s="629"/>
      <c r="M12100" s="629"/>
      <c r="N12100" s="629"/>
      <c r="O12100" s="629"/>
      <c r="P12100" s="629"/>
      <c r="Q12100" s="629"/>
      <c r="R12100" s="629"/>
    </row>
    <row r="12101" spans="1:18" ht="36">
      <c r="A12101" s="339">
        <v>88</v>
      </c>
      <c r="B12101" s="336" t="s">
        <v>22042</v>
      </c>
      <c r="C12101" s="340" t="s">
        <v>22043</v>
      </c>
      <c r="D12101" s="341">
        <v>1045.6400000000001</v>
      </c>
      <c r="E12101" s="341">
        <v>541.91999999999996</v>
      </c>
      <c r="F12101" s="341">
        <v>400.55</v>
      </c>
      <c r="G12101" s="341">
        <v>103.17</v>
      </c>
      <c r="H12101" s="342">
        <v>9112.4500000000007</v>
      </c>
      <c r="I12101" s="342">
        <v>6232.3</v>
      </c>
      <c r="J12101" s="342">
        <v>2160.38</v>
      </c>
      <c r="K12101" s="342">
        <v>719.77</v>
      </c>
      <c r="L12101" s="43">
        <v>8.7147106078573895</v>
      </c>
      <c r="M12101" s="43">
        <v>11.500405963979924</v>
      </c>
      <c r="N12101" s="43">
        <v>5.393533890900013</v>
      </c>
      <c r="O12101" s="43">
        <v>6.9765435688669184</v>
      </c>
      <c r="P12101" s="343"/>
      <c r="Q12101" s="343"/>
      <c r="R12101" s="343">
        <v>1</v>
      </c>
    </row>
    <row r="12102" spans="1:18" ht="36">
      <c r="A12102" s="339">
        <v>89</v>
      </c>
      <c r="B12102" s="336" t="s">
        <v>22044</v>
      </c>
      <c r="C12102" s="340" t="s">
        <v>22045</v>
      </c>
      <c r="D12102" s="341">
        <v>3424.23</v>
      </c>
      <c r="E12102" s="341">
        <v>923.67</v>
      </c>
      <c r="F12102" s="341">
        <v>406.79</v>
      </c>
      <c r="G12102" s="341">
        <v>2093.77</v>
      </c>
      <c r="H12102" s="342">
        <v>21429.17</v>
      </c>
      <c r="I12102" s="342">
        <v>10622.67</v>
      </c>
      <c r="J12102" s="342">
        <v>2394.4299999999998</v>
      </c>
      <c r="K12102" s="342">
        <v>8412.07</v>
      </c>
      <c r="L12102" s="43">
        <v>6.2580989010668082</v>
      </c>
      <c r="M12102" s="43">
        <v>11.500503426548443</v>
      </c>
      <c r="N12102" s="43">
        <v>5.8861574768307969</v>
      </c>
      <c r="O12102" s="43">
        <v>4.0176666969151338</v>
      </c>
      <c r="P12102" s="343"/>
      <c r="Q12102" s="343"/>
      <c r="R12102" s="343">
        <v>1</v>
      </c>
    </row>
    <row r="12103" spans="1:18" ht="36">
      <c r="A12103" s="339">
        <v>90</v>
      </c>
      <c r="B12103" s="336" t="s">
        <v>22046</v>
      </c>
      <c r="C12103" s="340" t="s">
        <v>22047</v>
      </c>
      <c r="D12103" s="341">
        <v>3524.15</v>
      </c>
      <c r="E12103" s="341">
        <v>950</v>
      </c>
      <c r="F12103" s="341">
        <v>473.71</v>
      </c>
      <c r="G12103" s="341">
        <v>2100.44</v>
      </c>
      <c r="H12103" s="342">
        <v>22181.5</v>
      </c>
      <c r="I12103" s="342">
        <v>10925.46</v>
      </c>
      <c r="J12103" s="342">
        <v>2794.48</v>
      </c>
      <c r="K12103" s="342">
        <v>8461.56</v>
      </c>
      <c r="L12103" s="43">
        <v>6.2941418498077546</v>
      </c>
      <c r="M12103" s="43">
        <v>11.500484210526315</v>
      </c>
      <c r="N12103" s="43">
        <v>5.8991366025627494</v>
      </c>
      <c r="O12103" s="43">
        <v>4.0284702252861297</v>
      </c>
      <c r="P12103" s="343"/>
      <c r="Q12103" s="343"/>
      <c r="R12103" s="343">
        <v>1</v>
      </c>
    </row>
    <row r="12104" spans="1:18" ht="36">
      <c r="A12104" s="339">
        <v>91</v>
      </c>
      <c r="B12104" s="336" t="s">
        <v>22048</v>
      </c>
      <c r="C12104" s="340" t="s">
        <v>22049</v>
      </c>
      <c r="D12104" s="341">
        <v>4736.1099999999997</v>
      </c>
      <c r="E12104" s="341">
        <v>1118.94</v>
      </c>
      <c r="F12104" s="341">
        <v>552.14</v>
      </c>
      <c r="G12104" s="341">
        <v>3065.03</v>
      </c>
      <c r="H12104" s="342">
        <v>28197.97</v>
      </c>
      <c r="I12104" s="342">
        <v>12868.32</v>
      </c>
      <c r="J12104" s="342">
        <v>3263.45</v>
      </c>
      <c r="K12104" s="342">
        <v>12066.2</v>
      </c>
      <c r="L12104" s="43">
        <v>5.9538249745043936</v>
      </c>
      <c r="M12104" s="43">
        <v>11.500455788514129</v>
      </c>
      <c r="N12104" s="43">
        <v>5.9105480494077591</v>
      </c>
      <c r="O12104" s="43">
        <v>3.9367314512419127</v>
      </c>
      <c r="P12104" s="343"/>
      <c r="Q12104" s="343"/>
      <c r="R12104" s="343">
        <v>1</v>
      </c>
    </row>
    <row r="12105" spans="1:18" ht="36">
      <c r="A12105" s="339">
        <v>92</v>
      </c>
      <c r="B12105" s="336" t="s">
        <v>22050</v>
      </c>
      <c r="C12105" s="340" t="s">
        <v>22051</v>
      </c>
      <c r="D12105" s="341">
        <v>1180.18</v>
      </c>
      <c r="E12105" s="341">
        <v>652.72</v>
      </c>
      <c r="F12105" s="341">
        <v>415.86</v>
      </c>
      <c r="G12105" s="341">
        <v>111.6</v>
      </c>
      <c r="H12105" s="342">
        <v>10494.84</v>
      </c>
      <c r="I12105" s="342">
        <v>7506.52</v>
      </c>
      <c r="J12105" s="342">
        <v>2237.25</v>
      </c>
      <c r="K12105" s="342">
        <v>751.07</v>
      </c>
      <c r="L12105" s="43">
        <v>8.8925757087901847</v>
      </c>
      <c r="M12105" s="43">
        <v>11.500367692119132</v>
      </c>
      <c r="N12105" s="43">
        <v>5.3798153224642906</v>
      </c>
      <c r="O12105" s="43">
        <v>6.7300179211469544</v>
      </c>
      <c r="P12105" s="343"/>
      <c r="Q12105" s="343"/>
      <c r="R12105" s="343">
        <v>1</v>
      </c>
    </row>
    <row r="12106" spans="1:18" ht="36">
      <c r="A12106" s="339">
        <v>93</v>
      </c>
      <c r="B12106" s="336" t="s">
        <v>22052</v>
      </c>
      <c r="C12106" s="340" t="s">
        <v>22053</v>
      </c>
      <c r="D12106" s="341">
        <v>3342.5</v>
      </c>
      <c r="E12106" s="341">
        <v>906.12</v>
      </c>
      <c r="F12106" s="341">
        <v>395.12</v>
      </c>
      <c r="G12106" s="341">
        <v>2041.26</v>
      </c>
      <c r="H12106" s="342">
        <v>20703.740000000002</v>
      </c>
      <c r="I12106" s="342">
        <v>10420.82</v>
      </c>
      <c r="J12106" s="342">
        <v>2319.11</v>
      </c>
      <c r="K12106" s="342">
        <v>7963.81</v>
      </c>
      <c r="L12106" s="43">
        <v>6.1940882572924458</v>
      </c>
      <c r="M12106" s="43">
        <v>11.500485586897982</v>
      </c>
      <c r="N12106" s="43">
        <v>5.8693814537355742</v>
      </c>
      <c r="O12106" s="43">
        <v>3.9014187315677575</v>
      </c>
      <c r="P12106" s="343"/>
      <c r="Q12106" s="343"/>
      <c r="R12106" s="343">
        <v>1</v>
      </c>
    </row>
    <row r="12107" spans="1:18" ht="12.75" customHeight="1">
      <c r="A12107" s="628" t="s">
        <v>22054</v>
      </c>
      <c r="B12107" s="629"/>
      <c r="C12107" s="629"/>
      <c r="D12107" s="629"/>
      <c r="E12107" s="629"/>
      <c r="F12107" s="629"/>
      <c r="G12107" s="629"/>
      <c r="H12107" s="629"/>
      <c r="I12107" s="629"/>
      <c r="J12107" s="629"/>
      <c r="K12107" s="629"/>
      <c r="L12107" s="629"/>
      <c r="M12107" s="629"/>
      <c r="N12107" s="629"/>
      <c r="O12107" s="629"/>
      <c r="P12107" s="629"/>
      <c r="Q12107" s="629"/>
      <c r="R12107" s="629"/>
    </row>
    <row r="12108" spans="1:18" ht="12.75" customHeight="1">
      <c r="A12108" s="628" t="s">
        <v>22055</v>
      </c>
      <c r="B12108" s="629"/>
      <c r="C12108" s="629"/>
      <c r="D12108" s="629"/>
      <c r="E12108" s="629"/>
      <c r="F12108" s="629"/>
      <c r="G12108" s="629"/>
      <c r="H12108" s="629"/>
      <c r="I12108" s="629"/>
      <c r="J12108" s="629"/>
      <c r="K12108" s="629"/>
      <c r="L12108" s="629"/>
      <c r="M12108" s="629"/>
      <c r="N12108" s="629"/>
      <c r="O12108" s="629"/>
      <c r="P12108" s="629"/>
      <c r="Q12108" s="629"/>
      <c r="R12108" s="629"/>
    </row>
    <row r="12109" spans="1:18" ht="24">
      <c r="A12109" s="339">
        <v>94</v>
      </c>
      <c r="B12109" s="336" t="s">
        <v>22056</v>
      </c>
      <c r="C12109" s="340" t="s">
        <v>22057</v>
      </c>
      <c r="D12109" s="341">
        <v>5160.4399999999996</v>
      </c>
      <c r="E12109" s="341">
        <v>1365.3</v>
      </c>
      <c r="F12109" s="341">
        <v>752.38</v>
      </c>
      <c r="G12109" s="341">
        <v>3042.76</v>
      </c>
      <c r="H12109" s="342">
        <v>31959.94</v>
      </c>
      <c r="I12109" s="342">
        <v>15700.95</v>
      </c>
      <c r="J12109" s="342">
        <v>4399.21</v>
      </c>
      <c r="K12109" s="342">
        <v>11859.78</v>
      </c>
      <c r="L12109" s="43">
        <v>6.1932587143731936</v>
      </c>
      <c r="M12109" s="43">
        <v>11.500000000000002</v>
      </c>
      <c r="N12109" s="43">
        <v>5.8470586671628695</v>
      </c>
      <c r="O12109" s="43">
        <v>3.8977047154557045</v>
      </c>
      <c r="P12109" s="343"/>
      <c r="Q12109" s="343"/>
      <c r="R12109" s="343">
        <v>1</v>
      </c>
    </row>
    <row r="12110" spans="1:18" ht="12.75" customHeight="1">
      <c r="A12110" s="628" t="s">
        <v>22058</v>
      </c>
      <c r="B12110" s="629"/>
      <c r="C12110" s="629"/>
      <c r="D12110" s="629"/>
      <c r="E12110" s="629"/>
      <c r="F12110" s="629"/>
      <c r="G12110" s="629"/>
      <c r="H12110" s="629"/>
      <c r="I12110" s="629"/>
      <c r="J12110" s="629"/>
      <c r="K12110" s="629"/>
      <c r="L12110" s="629"/>
      <c r="M12110" s="629"/>
      <c r="N12110" s="629"/>
      <c r="O12110" s="629"/>
      <c r="P12110" s="629"/>
      <c r="Q12110" s="629"/>
      <c r="R12110" s="629"/>
    </row>
    <row r="12111" spans="1:18" ht="12.75" customHeight="1">
      <c r="A12111" s="628" t="s">
        <v>22059</v>
      </c>
      <c r="B12111" s="629"/>
      <c r="C12111" s="629"/>
      <c r="D12111" s="629"/>
      <c r="E12111" s="629"/>
      <c r="F12111" s="629"/>
      <c r="G12111" s="629"/>
      <c r="H12111" s="629"/>
      <c r="I12111" s="629"/>
      <c r="J12111" s="629"/>
      <c r="K12111" s="629"/>
      <c r="L12111" s="629"/>
      <c r="M12111" s="629"/>
      <c r="N12111" s="629"/>
      <c r="O12111" s="629"/>
      <c r="P12111" s="629"/>
      <c r="Q12111" s="629"/>
      <c r="R12111" s="629"/>
    </row>
    <row r="12112" spans="1:18" ht="36">
      <c r="A12112" s="339">
        <v>95</v>
      </c>
      <c r="B12112" s="336" t="s">
        <v>22060</v>
      </c>
      <c r="C12112" s="340" t="s">
        <v>22061</v>
      </c>
      <c r="D12112" s="341">
        <v>909.77</v>
      </c>
      <c r="E12112" s="341">
        <v>411.81</v>
      </c>
      <c r="F12112" s="341">
        <v>319.37</v>
      </c>
      <c r="G12112" s="341">
        <v>178.59</v>
      </c>
      <c r="H12112" s="342">
        <v>8183.54</v>
      </c>
      <c r="I12112" s="342">
        <v>4735.82</v>
      </c>
      <c r="J12112" s="342">
        <v>1720.45</v>
      </c>
      <c r="K12112" s="342">
        <v>1727.27</v>
      </c>
      <c r="L12112" s="43">
        <v>8.9951746045703853</v>
      </c>
      <c r="M12112" s="43">
        <v>11.500012141521575</v>
      </c>
      <c r="N12112" s="43">
        <v>5.3870119297366692</v>
      </c>
      <c r="O12112" s="43">
        <v>9.6717061425611739</v>
      </c>
      <c r="P12112" s="343"/>
      <c r="Q12112" s="343"/>
      <c r="R12112" s="343">
        <v>1</v>
      </c>
    </row>
    <row r="12113" spans="1:18" ht="36">
      <c r="A12113" s="339">
        <v>96</v>
      </c>
      <c r="B12113" s="336" t="s">
        <v>22062</v>
      </c>
      <c r="C12113" s="340" t="s">
        <v>22063</v>
      </c>
      <c r="D12113" s="341">
        <v>11428.39</v>
      </c>
      <c r="E12113" s="341">
        <v>6043.52</v>
      </c>
      <c r="F12113" s="341">
        <v>1920.89</v>
      </c>
      <c r="G12113" s="341">
        <v>3463.98</v>
      </c>
      <c r="H12113" s="342">
        <v>96793.7</v>
      </c>
      <c r="I12113" s="342">
        <v>69500.479999999996</v>
      </c>
      <c r="J12113" s="342">
        <v>10385.17</v>
      </c>
      <c r="K12113" s="342">
        <v>16908.05</v>
      </c>
      <c r="L12113" s="43">
        <v>8.4695832046333734</v>
      </c>
      <c r="M12113" s="43">
        <v>11.499999999999998</v>
      </c>
      <c r="N12113" s="43">
        <v>5.4064365997011796</v>
      </c>
      <c r="O12113" s="43">
        <v>4.8811049717377122</v>
      </c>
      <c r="P12113" s="343"/>
      <c r="Q12113" s="343"/>
      <c r="R12113" s="343">
        <v>1</v>
      </c>
    </row>
    <row r="12114" spans="1:18" ht="12.75" customHeight="1">
      <c r="A12114" s="628" t="s">
        <v>22064</v>
      </c>
      <c r="B12114" s="629"/>
      <c r="C12114" s="629"/>
      <c r="D12114" s="629"/>
      <c r="E12114" s="629"/>
      <c r="F12114" s="629"/>
      <c r="G12114" s="629"/>
      <c r="H12114" s="629"/>
      <c r="I12114" s="629"/>
      <c r="J12114" s="629"/>
      <c r="K12114" s="629"/>
      <c r="L12114" s="629"/>
      <c r="M12114" s="629"/>
      <c r="N12114" s="629"/>
      <c r="O12114" s="629"/>
      <c r="P12114" s="629"/>
      <c r="Q12114" s="629"/>
      <c r="R12114" s="629"/>
    </row>
    <row r="12115" spans="1:18" ht="12.75" customHeight="1">
      <c r="A12115" s="628" t="s">
        <v>22065</v>
      </c>
      <c r="B12115" s="629"/>
      <c r="C12115" s="629"/>
      <c r="D12115" s="629"/>
      <c r="E12115" s="629"/>
      <c r="F12115" s="629"/>
      <c r="G12115" s="629"/>
      <c r="H12115" s="629"/>
      <c r="I12115" s="629"/>
      <c r="J12115" s="629"/>
      <c r="K12115" s="629"/>
      <c r="L12115" s="629"/>
      <c r="M12115" s="629"/>
      <c r="N12115" s="629"/>
      <c r="O12115" s="629"/>
      <c r="P12115" s="629"/>
      <c r="Q12115" s="629"/>
      <c r="R12115" s="629"/>
    </row>
    <row r="12116" spans="1:18" ht="36">
      <c r="A12116" s="339">
        <v>97</v>
      </c>
      <c r="B12116" s="336" t="s">
        <v>22066</v>
      </c>
      <c r="C12116" s="340" t="s">
        <v>22067</v>
      </c>
      <c r="D12116" s="341">
        <v>4720.7299999999996</v>
      </c>
      <c r="E12116" s="341">
        <v>2337.92</v>
      </c>
      <c r="F12116" s="341">
        <v>1109.21</v>
      </c>
      <c r="G12116" s="341">
        <v>1273.5999999999999</v>
      </c>
      <c r="H12116" s="342">
        <v>41053.480000000003</v>
      </c>
      <c r="I12116" s="342">
        <v>26886.080000000002</v>
      </c>
      <c r="J12116" s="342">
        <v>5976.33</v>
      </c>
      <c r="K12116" s="342">
        <v>8191.07</v>
      </c>
      <c r="L12116" s="43">
        <v>8.6964261883225706</v>
      </c>
      <c r="M12116" s="43">
        <v>11.5</v>
      </c>
      <c r="N12116" s="43">
        <v>5.3879157238034274</v>
      </c>
      <c r="O12116" s="43">
        <v>6.431430590452262</v>
      </c>
      <c r="P12116" s="343"/>
      <c r="Q12116" s="343"/>
      <c r="R12116" s="343">
        <v>1</v>
      </c>
    </row>
    <row r="12117" spans="1:18" ht="36">
      <c r="A12117" s="339">
        <v>98</v>
      </c>
      <c r="B12117" s="336" t="s">
        <v>22068</v>
      </c>
      <c r="C12117" s="340" t="s">
        <v>22069</v>
      </c>
      <c r="D12117" s="341">
        <v>4901.41</v>
      </c>
      <c r="E12117" s="341">
        <v>2843.72</v>
      </c>
      <c r="F12117" s="341">
        <v>1449.71</v>
      </c>
      <c r="G12117" s="341">
        <v>607.98</v>
      </c>
      <c r="H12117" s="342">
        <v>45445.47</v>
      </c>
      <c r="I12117" s="342">
        <v>32702.78</v>
      </c>
      <c r="J12117" s="342">
        <v>7813.44</v>
      </c>
      <c r="K12117" s="342">
        <v>4929.25</v>
      </c>
      <c r="L12117" s="43">
        <v>9.2719176726697015</v>
      </c>
      <c r="M12117" s="43">
        <v>11.5</v>
      </c>
      <c r="N12117" s="43">
        <v>5.3896572417931861</v>
      </c>
      <c r="O12117" s="43">
        <v>8.1075857758478893</v>
      </c>
      <c r="P12117" s="343"/>
      <c r="Q12117" s="343"/>
      <c r="R12117" s="343">
        <v>1</v>
      </c>
    </row>
    <row r="12118" spans="1:18" ht="36">
      <c r="A12118" s="339">
        <v>99</v>
      </c>
      <c r="B12118" s="336" t="s">
        <v>22070</v>
      </c>
      <c r="C12118" s="340" t="s">
        <v>22071</v>
      </c>
      <c r="D12118" s="341">
        <v>10873.37</v>
      </c>
      <c r="E12118" s="341">
        <v>4662</v>
      </c>
      <c r="F12118" s="341">
        <v>3844.91</v>
      </c>
      <c r="G12118" s="341">
        <v>2366.46</v>
      </c>
      <c r="H12118" s="342">
        <v>91889.86</v>
      </c>
      <c r="I12118" s="342">
        <v>53613</v>
      </c>
      <c r="J12118" s="342">
        <v>20696.93</v>
      </c>
      <c r="K12118" s="342">
        <v>17579.93</v>
      </c>
      <c r="L12118" s="43">
        <v>8.4509089638263024</v>
      </c>
      <c r="M12118" s="43">
        <v>11.5</v>
      </c>
      <c r="N12118" s="43">
        <v>5.3829426436509573</v>
      </c>
      <c r="O12118" s="43">
        <v>7.4287881476974045</v>
      </c>
      <c r="P12118" s="343"/>
      <c r="Q12118" s="343"/>
      <c r="R12118" s="343">
        <v>1</v>
      </c>
    </row>
    <row r="12119" spans="1:18" ht="36">
      <c r="A12119" s="339">
        <v>100</v>
      </c>
      <c r="B12119" s="336" t="s">
        <v>22072</v>
      </c>
      <c r="C12119" s="340" t="s">
        <v>22073</v>
      </c>
      <c r="D12119" s="341">
        <v>6186.79</v>
      </c>
      <c r="E12119" s="341">
        <v>3405.72</v>
      </c>
      <c r="F12119" s="341">
        <v>2111.69</v>
      </c>
      <c r="G12119" s="341">
        <v>669.38</v>
      </c>
      <c r="H12119" s="342">
        <v>56231.5</v>
      </c>
      <c r="I12119" s="342">
        <v>39165.78</v>
      </c>
      <c r="J12119" s="342">
        <v>11378.06</v>
      </c>
      <c r="K12119" s="342">
        <v>5687.66</v>
      </c>
      <c r="L12119" s="43">
        <v>9.0889621273713832</v>
      </c>
      <c r="M12119" s="43">
        <v>11.5</v>
      </c>
      <c r="N12119" s="43">
        <v>5.3881298864890201</v>
      </c>
      <c r="O12119" s="43">
        <v>8.4969075861244736</v>
      </c>
      <c r="P12119" s="343"/>
      <c r="Q12119" s="343"/>
      <c r="R12119" s="343">
        <v>1</v>
      </c>
    </row>
    <row r="12120" spans="1:18" ht="36">
      <c r="A12120" s="339">
        <v>101</v>
      </c>
      <c r="B12120" s="336" t="s">
        <v>22074</v>
      </c>
      <c r="C12120" s="340" t="s">
        <v>22075</v>
      </c>
      <c r="D12120" s="341">
        <v>5018.96</v>
      </c>
      <c r="E12120" s="341">
        <v>4112.32</v>
      </c>
      <c r="F12120" s="341">
        <v>709.86</v>
      </c>
      <c r="G12120" s="341">
        <v>196.78</v>
      </c>
      <c r="H12120" s="342">
        <v>52770.18</v>
      </c>
      <c r="I12120" s="342">
        <v>47291.68</v>
      </c>
      <c r="J12120" s="342">
        <v>3831.05</v>
      </c>
      <c r="K12120" s="342">
        <v>1647.45</v>
      </c>
      <c r="L12120" s="43">
        <v>10.514166281460701</v>
      </c>
      <c r="M12120" s="43">
        <v>11.5</v>
      </c>
      <c r="N12120" s="43">
        <v>5.3969092497112108</v>
      </c>
      <c r="O12120" s="43">
        <v>8.3720398414473021</v>
      </c>
      <c r="P12120" s="343"/>
      <c r="Q12120" s="343"/>
      <c r="R12120" s="343">
        <v>1</v>
      </c>
    </row>
    <row r="12121" spans="1:18" ht="36">
      <c r="A12121" s="339">
        <v>102</v>
      </c>
      <c r="B12121" s="336" t="s">
        <v>22076</v>
      </c>
      <c r="C12121" s="340" t="s">
        <v>22077</v>
      </c>
      <c r="D12121" s="341">
        <v>10755.45</v>
      </c>
      <c r="E12121" s="341">
        <v>7668</v>
      </c>
      <c r="F12121" s="341">
        <v>2344.09</v>
      </c>
      <c r="G12121" s="341">
        <v>743.36</v>
      </c>
      <c r="H12121" s="342">
        <v>107339.89</v>
      </c>
      <c r="I12121" s="342">
        <v>88182</v>
      </c>
      <c r="J12121" s="342">
        <v>12627.58</v>
      </c>
      <c r="K12121" s="342">
        <v>6530.31</v>
      </c>
      <c r="L12121" s="43">
        <v>9.9800463950834217</v>
      </c>
      <c r="M12121" s="43">
        <v>11.5</v>
      </c>
      <c r="N12121" s="43">
        <v>5.3869859945650544</v>
      </c>
      <c r="O12121" s="43">
        <v>8.7848552518295318</v>
      </c>
      <c r="P12121" s="343"/>
      <c r="Q12121" s="343"/>
      <c r="R12121" s="343">
        <v>1</v>
      </c>
    </row>
    <row r="12122" spans="1:18" ht="36">
      <c r="A12122" s="339">
        <v>103</v>
      </c>
      <c r="B12122" s="336" t="s">
        <v>22078</v>
      </c>
      <c r="C12122" s="340" t="s">
        <v>22079</v>
      </c>
      <c r="D12122" s="341">
        <v>15305.54</v>
      </c>
      <c r="E12122" s="341">
        <v>11303.2</v>
      </c>
      <c r="F12122" s="341">
        <v>3361.83</v>
      </c>
      <c r="G12122" s="341">
        <v>640.51</v>
      </c>
      <c r="H12122" s="342">
        <v>153746.28</v>
      </c>
      <c r="I12122" s="342">
        <v>129986.8</v>
      </c>
      <c r="J12122" s="342">
        <v>18080.98</v>
      </c>
      <c r="K12122" s="342">
        <v>5678.5</v>
      </c>
      <c r="L12122" s="43">
        <v>10.045139211030776</v>
      </c>
      <c r="M12122" s="43">
        <v>11.5</v>
      </c>
      <c r="N12122" s="43">
        <v>5.3783147868869037</v>
      </c>
      <c r="O12122" s="43">
        <v>8.8655914817879502</v>
      </c>
      <c r="P12122" s="343"/>
      <c r="Q12122" s="343"/>
      <c r="R12122" s="343">
        <v>1</v>
      </c>
    </row>
    <row r="12123" spans="1:18" ht="24">
      <c r="A12123" s="339">
        <v>104</v>
      </c>
      <c r="B12123" s="336" t="s">
        <v>22080</v>
      </c>
      <c r="C12123" s="340" t="s">
        <v>22081</v>
      </c>
      <c r="D12123" s="341">
        <v>9768.23</v>
      </c>
      <c r="E12123" s="341">
        <v>6634.24</v>
      </c>
      <c r="F12123" s="341">
        <v>2653.24</v>
      </c>
      <c r="G12123" s="341">
        <v>480.75</v>
      </c>
      <c r="H12123" s="342">
        <v>94594.3</v>
      </c>
      <c r="I12123" s="342">
        <v>76293.759999999995</v>
      </c>
      <c r="J12123" s="342">
        <v>14289.38</v>
      </c>
      <c r="K12123" s="342">
        <v>4011.16</v>
      </c>
      <c r="L12123" s="43">
        <v>9.6838731274755006</v>
      </c>
      <c r="M12123" s="43">
        <v>11.5</v>
      </c>
      <c r="N12123" s="43">
        <v>5.385634168036062</v>
      </c>
      <c r="O12123" s="43">
        <v>8.3435465418616737</v>
      </c>
      <c r="P12123" s="343"/>
      <c r="Q12123" s="343"/>
      <c r="R12123" s="343">
        <v>1</v>
      </c>
    </row>
    <row r="12124" spans="1:18" ht="12.75" customHeight="1">
      <c r="A12124" s="628" t="s">
        <v>22082</v>
      </c>
      <c r="B12124" s="629"/>
      <c r="C12124" s="629"/>
      <c r="D12124" s="629"/>
      <c r="E12124" s="629"/>
      <c r="F12124" s="629"/>
      <c r="G12124" s="629"/>
      <c r="H12124" s="629"/>
      <c r="I12124" s="629"/>
      <c r="J12124" s="629"/>
      <c r="K12124" s="629"/>
      <c r="L12124" s="629"/>
      <c r="M12124" s="629"/>
      <c r="N12124" s="629"/>
      <c r="O12124" s="629"/>
      <c r="P12124" s="629"/>
      <c r="Q12124" s="629"/>
      <c r="R12124" s="629"/>
    </row>
    <row r="12125" spans="1:18" ht="36">
      <c r="A12125" s="339">
        <v>105</v>
      </c>
      <c r="B12125" s="336" t="s">
        <v>22083</v>
      </c>
      <c r="C12125" s="340" t="s">
        <v>22084</v>
      </c>
      <c r="D12125" s="341">
        <v>12937.55</v>
      </c>
      <c r="E12125" s="341">
        <v>9394.7199999999993</v>
      </c>
      <c r="F12125" s="341">
        <v>3002.02</v>
      </c>
      <c r="G12125" s="341">
        <v>540.80999999999995</v>
      </c>
      <c r="H12125" s="342">
        <v>129163.16</v>
      </c>
      <c r="I12125" s="342">
        <v>108039.28</v>
      </c>
      <c r="J12125" s="342">
        <v>16186.65</v>
      </c>
      <c r="K12125" s="342">
        <v>4937.2299999999996</v>
      </c>
      <c r="L12125" s="43">
        <v>9.9835873098074988</v>
      </c>
      <c r="M12125" s="43">
        <v>11.5</v>
      </c>
      <c r="N12125" s="43">
        <v>5.3919194409097875</v>
      </c>
      <c r="O12125" s="43">
        <v>9.1293245317209379</v>
      </c>
      <c r="P12125" s="343"/>
      <c r="Q12125" s="343"/>
      <c r="R12125" s="343">
        <v>2</v>
      </c>
    </row>
    <row r="12126" spans="1:18" ht="36">
      <c r="A12126" s="339">
        <v>106</v>
      </c>
      <c r="B12126" s="336" t="s">
        <v>22085</v>
      </c>
      <c r="C12126" s="340" t="s">
        <v>22086</v>
      </c>
      <c r="D12126" s="341">
        <v>11836.15</v>
      </c>
      <c r="E12126" s="341">
        <v>8690.4</v>
      </c>
      <c r="F12126" s="341">
        <v>2569.04</v>
      </c>
      <c r="G12126" s="341">
        <v>576.71</v>
      </c>
      <c r="H12126" s="342">
        <v>119003.31</v>
      </c>
      <c r="I12126" s="342">
        <v>99939.6</v>
      </c>
      <c r="J12126" s="342">
        <v>13850.34</v>
      </c>
      <c r="K12126" s="342">
        <v>5213.37</v>
      </c>
      <c r="L12126" s="43">
        <v>10.05422455781652</v>
      </c>
      <c r="M12126" s="43">
        <v>11.500000000000002</v>
      </c>
      <c r="N12126" s="43">
        <v>5.391251206676424</v>
      </c>
      <c r="O12126" s="43">
        <v>9.0398467167207084</v>
      </c>
      <c r="P12126" s="343"/>
      <c r="Q12126" s="343"/>
      <c r="R12126" s="343">
        <v>2</v>
      </c>
    </row>
    <row r="12127" spans="1:18" ht="12.75" customHeight="1">
      <c r="A12127" s="628" t="s">
        <v>22087</v>
      </c>
      <c r="B12127" s="629"/>
      <c r="C12127" s="629"/>
      <c r="D12127" s="629"/>
      <c r="E12127" s="629"/>
      <c r="F12127" s="629"/>
      <c r="G12127" s="629"/>
      <c r="H12127" s="629"/>
      <c r="I12127" s="629"/>
      <c r="J12127" s="629"/>
      <c r="K12127" s="629"/>
      <c r="L12127" s="629"/>
      <c r="M12127" s="629"/>
      <c r="N12127" s="629"/>
      <c r="O12127" s="629"/>
      <c r="P12127" s="629"/>
      <c r="Q12127" s="629"/>
      <c r="R12127" s="629"/>
    </row>
    <row r="12128" spans="1:18" ht="12.75" customHeight="1">
      <c r="A12128" s="628" t="s">
        <v>22088</v>
      </c>
      <c r="B12128" s="629"/>
      <c r="C12128" s="629"/>
      <c r="D12128" s="629"/>
      <c r="E12128" s="629"/>
      <c r="F12128" s="629"/>
      <c r="G12128" s="629"/>
      <c r="H12128" s="629"/>
      <c r="I12128" s="629"/>
      <c r="J12128" s="629"/>
      <c r="K12128" s="629"/>
      <c r="L12128" s="629"/>
      <c r="M12128" s="629"/>
      <c r="N12128" s="629"/>
      <c r="O12128" s="629"/>
      <c r="P12128" s="629"/>
      <c r="Q12128" s="629"/>
      <c r="R12128" s="629"/>
    </row>
    <row r="12129" spans="1:18" ht="24">
      <c r="A12129" s="339">
        <v>107</v>
      </c>
      <c r="B12129" s="336" t="s">
        <v>22089</v>
      </c>
      <c r="C12129" s="340" t="s">
        <v>22090</v>
      </c>
      <c r="D12129" s="341">
        <v>8252.9699999999993</v>
      </c>
      <c r="E12129" s="341">
        <v>3850.47</v>
      </c>
      <c r="F12129" s="341">
        <v>3997.01</v>
      </c>
      <c r="G12129" s="341">
        <v>405.49</v>
      </c>
      <c r="H12129" s="342">
        <v>69032.62</v>
      </c>
      <c r="I12129" s="342">
        <v>44282.16</v>
      </c>
      <c r="J12129" s="342">
        <v>21567.09</v>
      </c>
      <c r="K12129" s="342">
        <v>3183.37</v>
      </c>
      <c r="L12129" s="43">
        <v>8.3645790545706582</v>
      </c>
      <c r="M12129" s="43">
        <v>11.500455788514131</v>
      </c>
      <c r="N12129" s="43">
        <v>5.3958058648840002</v>
      </c>
      <c r="O12129" s="43">
        <v>7.8506744925892127</v>
      </c>
      <c r="P12129" s="343"/>
      <c r="Q12129" s="343"/>
      <c r="R12129" s="343">
        <v>1</v>
      </c>
    </row>
    <row r="12130" spans="1:18" ht="24">
      <c r="A12130" s="339">
        <v>108</v>
      </c>
      <c r="B12130" s="336" t="s">
        <v>22091</v>
      </c>
      <c r="C12130" s="340" t="s">
        <v>22092</v>
      </c>
      <c r="D12130" s="341">
        <v>870.31</v>
      </c>
      <c r="E12130" s="341">
        <v>480.49</v>
      </c>
      <c r="F12130" s="341">
        <v>291.44</v>
      </c>
      <c r="G12130" s="341">
        <v>98.38</v>
      </c>
      <c r="H12130" s="342">
        <v>7918.63</v>
      </c>
      <c r="I12130" s="342">
        <v>5525.81</v>
      </c>
      <c r="J12130" s="342">
        <v>1570.82</v>
      </c>
      <c r="K12130" s="342">
        <v>822</v>
      </c>
      <c r="L12130" s="43">
        <v>9.0986315221013214</v>
      </c>
      <c r="M12130" s="43">
        <v>11.500364211534059</v>
      </c>
      <c r="N12130" s="43">
        <v>5.3898572604995882</v>
      </c>
      <c r="O12130" s="43">
        <v>8.3553567798333006</v>
      </c>
      <c r="P12130" s="343"/>
      <c r="Q12130" s="343"/>
      <c r="R12130" s="343">
        <v>1</v>
      </c>
    </row>
    <row r="12131" spans="1:18" ht="24">
      <c r="A12131" s="339">
        <v>109</v>
      </c>
      <c r="B12131" s="336" t="s">
        <v>22093</v>
      </c>
      <c r="C12131" s="340" t="s">
        <v>22094</v>
      </c>
      <c r="D12131" s="341">
        <v>1916.26</v>
      </c>
      <c r="E12131" s="341">
        <v>911.61</v>
      </c>
      <c r="F12131" s="341">
        <v>828.43</v>
      </c>
      <c r="G12131" s="341">
        <v>176.22</v>
      </c>
      <c r="H12131" s="342">
        <v>16975.61</v>
      </c>
      <c r="I12131" s="342">
        <v>10483.9</v>
      </c>
      <c r="J12131" s="342">
        <v>4484.55</v>
      </c>
      <c r="K12131" s="342">
        <v>2007.16</v>
      </c>
      <c r="L12131" s="43">
        <v>8.8587195891997954</v>
      </c>
      <c r="M12131" s="43">
        <v>11.500422329724334</v>
      </c>
      <c r="N12131" s="43">
        <v>5.4133119273807084</v>
      </c>
      <c r="O12131" s="43">
        <v>11.390080581091818</v>
      </c>
      <c r="P12131" s="343"/>
      <c r="Q12131" s="343"/>
      <c r="R12131" s="343">
        <v>1</v>
      </c>
    </row>
    <row r="12132" spans="1:18" ht="24">
      <c r="A12132" s="339">
        <v>110</v>
      </c>
      <c r="B12132" s="336" t="s">
        <v>22095</v>
      </c>
      <c r="C12132" s="340" t="s">
        <v>22096</v>
      </c>
      <c r="D12132" s="341">
        <v>887.78</v>
      </c>
      <c r="E12132" s="341">
        <v>486.18</v>
      </c>
      <c r="F12132" s="341">
        <v>286.52999999999997</v>
      </c>
      <c r="G12132" s="341">
        <v>115.07</v>
      </c>
      <c r="H12132" s="342">
        <v>8204.35</v>
      </c>
      <c r="I12132" s="342">
        <v>5591.07</v>
      </c>
      <c r="J12132" s="342">
        <v>1549.92</v>
      </c>
      <c r="K12132" s="342">
        <v>1063.3599999999999</v>
      </c>
      <c r="L12132" s="43">
        <v>9.241422424474532</v>
      </c>
      <c r="M12132" s="43">
        <v>11.5</v>
      </c>
      <c r="N12132" s="43">
        <v>5.4092765155481111</v>
      </c>
      <c r="O12132" s="43">
        <v>9.2409837490223339</v>
      </c>
      <c r="P12132" s="343"/>
      <c r="Q12132" s="343"/>
      <c r="R12132" s="343">
        <v>1</v>
      </c>
    </row>
    <row r="12133" spans="1:18" ht="24">
      <c r="A12133" s="339">
        <v>111</v>
      </c>
      <c r="B12133" s="336" t="s">
        <v>22097</v>
      </c>
      <c r="C12133" s="340" t="s">
        <v>22098</v>
      </c>
      <c r="D12133" s="341">
        <v>830.19</v>
      </c>
      <c r="E12133" s="341">
        <v>460.65</v>
      </c>
      <c r="F12133" s="341">
        <v>254.98</v>
      </c>
      <c r="G12133" s="341">
        <v>114.56</v>
      </c>
      <c r="H12133" s="342">
        <v>7736.38</v>
      </c>
      <c r="I12133" s="342">
        <v>5297.48</v>
      </c>
      <c r="J12133" s="342">
        <v>1381.4</v>
      </c>
      <c r="K12133" s="342">
        <v>1057.5</v>
      </c>
      <c r="L12133" s="43">
        <v>9.3188065382623257</v>
      </c>
      <c r="M12133" s="43">
        <v>11.500010854227721</v>
      </c>
      <c r="N12133" s="43">
        <v>5.4176798180249435</v>
      </c>
      <c r="O12133" s="43">
        <v>9.230970670391061</v>
      </c>
      <c r="P12133" s="343"/>
      <c r="Q12133" s="343"/>
      <c r="R12133" s="343">
        <v>1</v>
      </c>
    </row>
    <row r="12134" spans="1:18" ht="24">
      <c r="A12134" s="339">
        <v>112</v>
      </c>
      <c r="B12134" s="336" t="s">
        <v>22099</v>
      </c>
      <c r="C12134" s="340" t="s">
        <v>22100</v>
      </c>
      <c r="D12134" s="341">
        <v>592.30999999999995</v>
      </c>
      <c r="E12134" s="341">
        <v>406.99</v>
      </c>
      <c r="F12134" s="341">
        <v>130.35</v>
      </c>
      <c r="G12134" s="341">
        <v>54.97</v>
      </c>
      <c r="H12134" s="342">
        <v>5763.98</v>
      </c>
      <c r="I12134" s="342">
        <v>4680.54</v>
      </c>
      <c r="J12134" s="342">
        <v>705.84</v>
      </c>
      <c r="K12134" s="342">
        <v>377.6</v>
      </c>
      <c r="L12134" s="43">
        <v>9.7313568908173078</v>
      </c>
      <c r="M12134" s="43">
        <v>11.500380844738199</v>
      </c>
      <c r="N12134" s="43">
        <v>5.4149597238204841</v>
      </c>
      <c r="O12134" s="43">
        <v>6.8692013825723128</v>
      </c>
      <c r="P12134" s="343"/>
      <c r="Q12134" s="343"/>
      <c r="R12134" s="343">
        <v>1</v>
      </c>
    </row>
    <row r="12135" spans="1:18" ht="24">
      <c r="A12135" s="339">
        <v>113</v>
      </c>
      <c r="B12135" s="336" t="s">
        <v>22101</v>
      </c>
      <c r="C12135" s="340" t="s">
        <v>22102</v>
      </c>
      <c r="D12135" s="341">
        <v>331.95</v>
      </c>
      <c r="E12135" s="341">
        <v>267.75</v>
      </c>
      <c r="F12135" s="341">
        <v>44.74</v>
      </c>
      <c r="G12135" s="341">
        <v>19.46</v>
      </c>
      <c r="H12135" s="342">
        <v>3463.84</v>
      </c>
      <c r="I12135" s="342">
        <v>3079.1</v>
      </c>
      <c r="J12135" s="342">
        <v>241.77</v>
      </c>
      <c r="K12135" s="342">
        <v>142.97</v>
      </c>
      <c r="L12135" s="43">
        <v>10.434824521765327</v>
      </c>
      <c r="M12135" s="43">
        <v>11.499906629318394</v>
      </c>
      <c r="N12135" s="43">
        <v>5.4038891372373712</v>
      </c>
      <c r="O12135" s="43">
        <v>7.3468653648509763</v>
      </c>
      <c r="P12135" s="343"/>
      <c r="Q12135" s="343"/>
      <c r="R12135" s="343">
        <v>1</v>
      </c>
    </row>
    <row r="12136" spans="1:18" ht="24">
      <c r="A12136" s="339">
        <v>114</v>
      </c>
      <c r="B12136" s="336" t="s">
        <v>22103</v>
      </c>
      <c r="C12136" s="340" t="s">
        <v>22104</v>
      </c>
      <c r="D12136" s="341">
        <v>1636.88</v>
      </c>
      <c r="E12136" s="341">
        <v>796.98</v>
      </c>
      <c r="F12136" s="341">
        <v>716.76</v>
      </c>
      <c r="G12136" s="341">
        <v>123.14</v>
      </c>
      <c r="H12136" s="342">
        <v>13896.34</v>
      </c>
      <c r="I12136" s="342">
        <v>9165.27</v>
      </c>
      <c r="J12136" s="342">
        <v>3878.96</v>
      </c>
      <c r="K12136" s="342">
        <v>852.11</v>
      </c>
      <c r="L12136" s="43">
        <v>8.4895288597820233</v>
      </c>
      <c r="M12136" s="43">
        <v>11.5</v>
      </c>
      <c r="N12136" s="43">
        <v>5.4117975333444948</v>
      </c>
      <c r="O12136" s="43">
        <v>6.9198473282442752</v>
      </c>
      <c r="P12136" s="343"/>
      <c r="Q12136" s="343"/>
      <c r="R12136" s="343">
        <v>1</v>
      </c>
    </row>
    <row r="12137" spans="1:18" ht="24">
      <c r="A12137" s="339">
        <v>115</v>
      </c>
      <c r="B12137" s="336" t="s">
        <v>22105</v>
      </c>
      <c r="C12137" s="340" t="s">
        <v>22106</v>
      </c>
      <c r="D12137" s="341">
        <v>702.03</v>
      </c>
      <c r="E12137" s="341">
        <v>381.76</v>
      </c>
      <c r="F12137" s="341">
        <v>249.86</v>
      </c>
      <c r="G12137" s="341">
        <v>70.41</v>
      </c>
      <c r="H12137" s="342">
        <v>6189.65</v>
      </c>
      <c r="I12137" s="342">
        <v>4390.37</v>
      </c>
      <c r="J12137" s="342">
        <v>1351.37</v>
      </c>
      <c r="K12137" s="342">
        <v>447.91</v>
      </c>
      <c r="L12137" s="43">
        <v>8.8167884563337751</v>
      </c>
      <c r="M12137" s="43">
        <v>11.50034052808047</v>
      </c>
      <c r="N12137" s="43">
        <v>5.4085087649083476</v>
      </c>
      <c r="O12137" s="43">
        <v>6.3614543388723197</v>
      </c>
      <c r="P12137" s="343"/>
      <c r="Q12137" s="343"/>
      <c r="R12137" s="343">
        <v>1</v>
      </c>
    </row>
    <row r="12138" spans="1:18" ht="24">
      <c r="A12138" s="339">
        <v>116</v>
      </c>
      <c r="B12138" s="336" t="s">
        <v>22107</v>
      </c>
      <c r="C12138" s="340" t="s">
        <v>22108</v>
      </c>
      <c r="D12138" s="341">
        <v>409.84</v>
      </c>
      <c r="E12138" s="341">
        <v>324.12</v>
      </c>
      <c r="F12138" s="341">
        <v>57.74</v>
      </c>
      <c r="G12138" s="341">
        <v>27.98</v>
      </c>
      <c r="H12138" s="342">
        <v>4237.37</v>
      </c>
      <c r="I12138" s="342">
        <v>3727.38</v>
      </c>
      <c r="J12138" s="342">
        <v>312.24</v>
      </c>
      <c r="K12138" s="342">
        <v>197.75</v>
      </c>
      <c r="L12138" s="43">
        <v>10.339083544797971</v>
      </c>
      <c r="M12138" s="43">
        <v>11.5</v>
      </c>
      <c r="N12138" s="43">
        <v>5.4076896432282648</v>
      </c>
      <c r="O12138" s="43">
        <v>7.0675482487491061</v>
      </c>
      <c r="P12138" s="343"/>
      <c r="Q12138" s="343"/>
      <c r="R12138" s="343">
        <v>1</v>
      </c>
    </row>
    <row r="12139" spans="1:18" ht="24">
      <c r="A12139" s="339">
        <v>117</v>
      </c>
      <c r="B12139" s="336" t="s">
        <v>22109</v>
      </c>
      <c r="C12139" s="340" t="s">
        <v>22110</v>
      </c>
      <c r="D12139" s="341">
        <v>794.39</v>
      </c>
      <c r="E12139" s="341">
        <v>424.02</v>
      </c>
      <c r="F12139" s="341">
        <v>282.72000000000003</v>
      </c>
      <c r="G12139" s="341">
        <v>87.65</v>
      </c>
      <c r="H12139" s="342">
        <v>6998.79</v>
      </c>
      <c r="I12139" s="342">
        <v>4876.2299999999996</v>
      </c>
      <c r="J12139" s="342">
        <v>1532.22</v>
      </c>
      <c r="K12139" s="342">
        <v>590.34</v>
      </c>
      <c r="L12139" s="43">
        <v>8.8102695149737542</v>
      </c>
      <c r="M12139" s="43">
        <v>11.5</v>
      </c>
      <c r="N12139" s="43">
        <v>5.4195670628183361</v>
      </c>
      <c r="O12139" s="43">
        <v>6.7351968054763258</v>
      </c>
      <c r="P12139" s="343"/>
      <c r="Q12139" s="343"/>
      <c r="R12139" s="343">
        <v>1</v>
      </c>
    </row>
    <row r="12140" spans="1:18" ht="24">
      <c r="A12140" s="339">
        <v>118</v>
      </c>
      <c r="B12140" s="336" t="s">
        <v>22111</v>
      </c>
      <c r="C12140" s="340" t="s">
        <v>22112</v>
      </c>
      <c r="D12140" s="341">
        <v>1255.24</v>
      </c>
      <c r="E12140" s="341">
        <v>1032.6199999999999</v>
      </c>
      <c r="F12140" s="341">
        <v>163.66999999999999</v>
      </c>
      <c r="G12140" s="341">
        <v>58.95</v>
      </c>
      <c r="H12140" s="342">
        <v>13226.57</v>
      </c>
      <c r="I12140" s="342">
        <v>11875.18</v>
      </c>
      <c r="J12140" s="342">
        <v>886.57</v>
      </c>
      <c r="K12140" s="342">
        <v>464.82</v>
      </c>
      <c r="L12140" s="43">
        <v>10.537084541601606</v>
      </c>
      <c r="M12140" s="43">
        <v>11.500048420522555</v>
      </c>
      <c r="N12140" s="43">
        <v>5.4168143215005813</v>
      </c>
      <c r="O12140" s="43">
        <v>7.8849872773536891</v>
      </c>
      <c r="P12140" s="343"/>
      <c r="Q12140" s="343"/>
      <c r="R12140" s="343">
        <v>1</v>
      </c>
    </row>
    <row r="12141" spans="1:18" ht="24">
      <c r="A12141" s="339">
        <v>119</v>
      </c>
      <c r="B12141" s="336" t="s">
        <v>22113</v>
      </c>
      <c r="C12141" s="340" t="s">
        <v>22114</v>
      </c>
      <c r="D12141" s="341">
        <v>1018.87</v>
      </c>
      <c r="E12141" s="341">
        <v>498.39</v>
      </c>
      <c r="F12141" s="341">
        <v>407.39</v>
      </c>
      <c r="G12141" s="341">
        <v>113.09</v>
      </c>
      <c r="H12141" s="342">
        <v>8654.36</v>
      </c>
      <c r="I12141" s="342">
        <v>5731.49</v>
      </c>
      <c r="J12141" s="342">
        <v>2197.02</v>
      </c>
      <c r="K12141" s="342">
        <v>725.85</v>
      </c>
      <c r="L12141" s="43">
        <v>8.494076771325096</v>
      </c>
      <c r="M12141" s="43">
        <v>11.500010032304019</v>
      </c>
      <c r="N12141" s="43">
        <v>5.3929158791330174</v>
      </c>
      <c r="O12141" s="43">
        <v>6.4183393757184541</v>
      </c>
      <c r="P12141" s="343"/>
      <c r="Q12141" s="343"/>
      <c r="R12141" s="343">
        <v>1</v>
      </c>
    </row>
    <row r="12142" spans="1:18" ht="24">
      <c r="A12142" s="339">
        <v>120</v>
      </c>
      <c r="B12142" s="336" t="s">
        <v>22115</v>
      </c>
      <c r="C12142" s="340" t="s">
        <v>22116</v>
      </c>
      <c r="D12142" s="341">
        <v>2683.21</v>
      </c>
      <c r="E12142" s="341">
        <v>1327.37</v>
      </c>
      <c r="F12142" s="341">
        <v>1134.29</v>
      </c>
      <c r="G12142" s="341">
        <v>221.55</v>
      </c>
      <c r="H12142" s="342">
        <v>22955.45</v>
      </c>
      <c r="I12142" s="342">
        <v>15265.36</v>
      </c>
      <c r="J12142" s="342">
        <v>6115.86</v>
      </c>
      <c r="K12142" s="342">
        <v>1574.23</v>
      </c>
      <c r="L12142" s="43">
        <v>8.5552193082166514</v>
      </c>
      <c r="M12142" s="43">
        <v>11.500455788514131</v>
      </c>
      <c r="N12142" s="43">
        <v>5.3917957488825605</v>
      </c>
      <c r="O12142" s="43">
        <v>7.1055292259083727</v>
      </c>
      <c r="P12142" s="343"/>
      <c r="Q12142" s="343"/>
      <c r="R12142" s="343">
        <v>1</v>
      </c>
    </row>
    <row r="12143" spans="1:18" ht="24">
      <c r="A12143" s="339">
        <v>121</v>
      </c>
      <c r="B12143" s="336" t="s">
        <v>22117</v>
      </c>
      <c r="C12143" s="340" t="s">
        <v>22118</v>
      </c>
      <c r="D12143" s="341">
        <v>974.14</v>
      </c>
      <c r="E12143" s="341">
        <v>472.86</v>
      </c>
      <c r="F12143" s="341">
        <v>347.61</v>
      </c>
      <c r="G12143" s="341">
        <v>153.66999999999999</v>
      </c>
      <c r="H12143" s="342">
        <v>8359.9500000000007</v>
      </c>
      <c r="I12143" s="342">
        <v>5437.89</v>
      </c>
      <c r="J12143" s="342">
        <v>1879.11</v>
      </c>
      <c r="K12143" s="342">
        <v>1042.95</v>
      </c>
      <c r="L12143" s="43">
        <v>8.5818773482251025</v>
      </c>
      <c r="M12143" s="43">
        <v>11.5</v>
      </c>
      <c r="N12143" s="43">
        <v>5.4057996030033655</v>
      </c>
      <c r="O12143" s="43">
        <v>6.7869460532309507</v>
      </c>
      <c r="P12143" s="343"/>
      <c r="Q12143" s="343"/>
      <c r="R12143" s="343">
        <v>1</v>
      </c>
    </row>
    <row r="12144" spans="1:18" ht="24">
      <c r="A12144" s="339">
        <v>122</v>
      </c>
      <c r="B12144" s="336" t="s">
        <v>22119</v>
      </c>
      <c r="C12144" s="340" t="s">
        <v>22120</v>
      </c>
      <c r="D12144" s="341">
        <v>524.61</v>
      </c>
      <c r="E12144" s="341">
        <v>348.54</v>
      </c>
      <c r="F12144" s="341">
        <v>132.32</v>
      </c>
      <c r="G12144" s="341">
        <v>43.75</v>
      </c>
      <c r="H12144" s="342">
        <v>5011.92</v>
      </c>
      <c r="I12144" s="342">
        <v>4008.21</v>
      </c>
      <c r="J12144" s="342">
        <v>716.05</v>
      </c>
      <c r="K12144" s="342">
        <v>287.66000000000003</v>
      </c>
      <c r="L12144" s="43">
        <v>9.5536112540744558</v>
      </c>
      <c r="M12144" s="43">
        <v>11.5</v>
      </c>
      <c r="N12144" s="43">
        <v>5.4115024183796852</v>
      </c>
      <c r="O12144" s="43">
        <v>6.5750857142857146</v>
      </c>
      <c r="P12144" s="343"/>
      <c r="Q12144" s="343"/>
      <c r="R12144" s="343">
        <v>1</v>
      </c>
    </row>
    <row r="12145" spans="1:18" ht="24">
      <c r="A12145" s="339">
        <v>123</v>
      </c>
      <c r="B12145" s="336" t="s">
        <v>22121</v>
      </c>
      <c r="C12145" s="340" t="s">
        <v>22122</v>
      </c>
      <c r="D12145" s="341">
        <v>1223.53</v>
      </c>
      <c r="E12145" s="341">
        <v>640.65</v>
      </c>
      <c r="F12145" s="341">
        <v>468.59</v>
      </c>
      <c r="G12145" s="341">
        <v>114.29</v>
      </c>
      <c r="H12145" s="342">
        <v>10675.57</v>
      </c>
      <c r="I12145" s="342">
        <v>7367.74</v>
      </c>
      <c r="J12145" s="342">
        <v>2524.59</v>
      </c>
      <c r="K12145" s="342">
        <v>783.24</v>
      </c>
      <c r="L12145" s="43">
        <v>8.7252212859513048</v>
      </c>
      <c r="M12145" s="43">
        <v>11.500413642394443</v>
      </c>
      <c r="N12145" s="43">
        <v>5.3876309780405052</v>
      </c>
      <c r="O12145" s="43">
        <v>6.853093009012162</v>
      </c>
      <c r="P12145" s="343"/>
      <c r="Q12145" s="343"/>
      <c r="R12145" s="343">
        <v>1</v>
      </c>
    </row>
    <row r="12146" spans="1:18" ht="24">
      <c r="A12146" s="339">
        <v>124</v>
      </c>
      <c r="B12146" s="336" t="s">
        <v>22123</v>
      </c>
      <c r="C12146" s="340" t="s">
        <v>22124</v>
      </c>
      <c r="D12146" s="341">
        <v>3576.26</v>
      </c>
      <c r="E12146" s="341">
        <v>2023.2</v>
      </c>
      <c r="F12146" s="341">
        <v>1377.01</v>
      </c>
      <c r="G12146" s="341">
        <v>176.05</v>
      </c>
      <c r="H12146" s="342">
        <v>32085.16</v>
      </c>
      <c r="I12146" s="342">
        <v>23266.799999999999</v>
      </c>
      <c r="J12146" s="342">
        <v>7419.78</v>
      </c>
      <c r="K12146" s="342">
        <v>1398.58</v>
      </c>
      <c r="L12146" s="43">
        <v>8.971707873588608</v>
      </c>
      <c r="M12146" s="43">
        <v>11.5</v>
      </c>
      <c r="N12146" s="43">
        <v>5.3883268821577186</v>
      </c>
      <c r="O12146" s="43">
        <v>7.9442203919341088</v>
      </c>
      <c r="P12146" s="343"/>
      <c r="Q12146" s="343"/>
      <c r="R12146" s="343">
        <v>1</v>
      </c>
    </row>
    <row r="12147" spans="1:18" ht="24">
      <c r="A12147" s="339">
        <v>125</v>
      </c>
      <c r="B12147" s="336" t="s">
        <v>22125</v>
      </c>
      <c r="C12147" s="340" t="s">
        <v>22126</v>
      </c>
      <c r="D12147" s="341">
        <v>7420.53</v>
      </c>
      <c r="E12147" s="341">
        <v>4293.68</v>
      </c>
      <c r="F12147" s="341">
        <v>2500.04</v>
      </c>
      <c r="G12147" s="341">
        <v>626.80999999999995</v>
      </c>
      <c r="H12147" s="342">
        <v>68220.399999999994</v>
      </c>
      <c r="I12147" s="342">
        <v>49377.32</v>
      </c>
      <c r="J12147" s="342">
        <v>13431.14</v>
      </c>
      <c r="K12147" s="342">
        <v>5411.94</v>
      </c>
      <c r="L12147" s="43">
        <v>9.1934673129816868</v>
      </c>
      <c r="M12147" s="43">
        <v>11.5</v>
      </c>
      <c r="N12147" s="43">
        <v>5.3723700420793268</v>
      </c>
      <c r="O12147" s="43">
        <v>8.6340996474210687</v>
      </c>
      <c r="P12147" s="343"/>
      <c r="Q12147" s="343"/>
      <c r="R12147" s="343">
        <v>1</v>
      </c>
    </row>
    <row r="12148" spans="1:18" ht="24">
      <c r="A12148" s="339">
        <v>126</v>
      </c>
      <c r="B12148" s="336" t="s">
        <v>22127</v>
      </c>
      <c r="C12148" s="340" t="s">
        <v>22128</v>
      </c>
      <c r="D12148" s="341">
        <v>2264.15</v>
      </c>
      <c r="E12148" s="341">
        <v>1506.16</v>
      </c>
      <c r="F12148" s="341">
        <v>625.94000000000005</v>
      </c>
      <c r="G12148" s="341">
        <v>132.05000000000001</v>
      </c>
      <c r="H12148" s="342">
        <v>21749.54</v>
      </c>
      <c r="I12148" s="342">
        <v>17320.84</v>
      </c>
      <c r="J12148" s="342">
        <v>3378.97</v>
      </c>
      <c r="K12148" s="342">
        <v>1049.73</v>
      </c>
      <c r="L12148" s="43">
        <v>9.6060508358545142</v>
      </c>
      <c r="M12148" s="43">
        <v>11.5</v>
      </c>
      <c r="N12148" s="43">
        <v>5.3982330574815469</v>
      </c>
      <c r="O12148" s="43">
        <v>7.9494888299886401</v>
      </c>
      <c r="P12148" s="343"/>
      <c r="Q12148" s="343"/>
      <c r="R12148" s="343">
        <v>1</v>
      </c>
    </row>
    <row r="12149" spans="1:18" ht="24">
      <c r="A12149" s="339">
        <v>127</v>
      </c>
      <c r="B12149" s="336" t="s">
        <v>22129</v>
      </c>
      <c r="C12149" s="340" t="s">
        <v>22130</v>
      </c>
      <c r="D12149" s="341">
        <v>10428.75</v>
      </c>
      <c r="E12149" s="341">
        <v>4709.5600000000004</v>
      </c>
      <c r="F12149" s="341">
        <v>4992.21</v>
      </c>
      <c r="G12149" s="341">
        <v>726.98</v>
      </c>
      <c r="H12149" s="342">
        <v>87224.320000000007</v>
      </c>
      <c r="I12149" s="342">
        <v>54159.94</v>
      </c>
      <c r="J12149" s="342">
        <v>26948.35</v>
      </c>
      <c r="K12149" s="342">
        <v>6116.03</v>
      </c>
      <c r="L12149" s="43">
        <v>8.3638326740980471</v>
      </c>
      <c r="M12149" s="43">
        <v>11.5</v>
      </c>
      <c r="N12149" s="43">
        <v>5.3980802089655677</v>
      </c>
      <c r="O12149" s="43">
        <v>8.4129274532999521</v>
      </c>
      <c r="P12149" s="343"/>
      <c r="Q12149" s="343"/>
      <c r="R12149" s="343">
        <v>1</v>
      </c>
    </row>
    <row r="12150" spans="1:18" ht="12.75" customHeight="1">
      <c r="A12150" s="628" t="s">
        <v>22131</v>
      </c>
      <c r="B12150" s="629"/>
      <c r="C12150" s="629"/>
      <c r="D12150" s="629"/>
      <c r="E12150" s="629"/>
      <c r="F12150" s="629"/>
      <c r="G12150" s="629"/>
      <c r="H12150" s="629"/>
      <c r="I12150" s="629"/>
      <c r="J12150" s="629"/>
      <c r="K12150" s="629"/>
      <c r="L12150" s="629"/>
      <c r="M12150" s="629"/>
      <c r="N12150" s="629"/>
      <c r="O12150" s="629"/>
      <c r="P12150" s="629"/>
      <c r="Q12150" s="629"/>
      <c r="R12150" s="629"/>
    </row>
    <row r="12151" spans="1:18" ht="24">
      <c r="A12151" s="339">
        <v>128</v>
      </c>
      <c r="B12151" s="336" t="s">
        <v>22132</v>
      </c>
      <c r="C12151" s="340" t="s">
        <v>22133</v>
      </c>
      <c r="D12151" s="341">
        <v>11347.1</v>
      </c>
      <c r="E12151" s="341">
        <v>5541.32</v>
      </c>
      <c r="F12151" s="341">
        <v>3789.63</v>
      </c>
      <c r="G12151" s="341">
        <v>2016.15</v>
      </c>
      <c r="H12151" s="342">
        <v>100222.97</v>
      </c>
      <c r="I12151" s="342">
        <v>63725.18</v>
      </c>
      <c r="J12151" s="342">
        <v>20490.86</v>
      </c>
      <c r="K12151" s="342">
        <v>16006.93</v>
      </c>
      <c r="L12151" s="43">
        <v>8.8324743767129927</v>
      </c>
      <c r="M12151" s="43">
        <v>11.5</v>
      </c>
      <c r="N12151" s="43">
        <v>5.4070872354293167</v>
      </c>
      <c r="O12151" s="43">
        <v>7.9393547107110081</v>
      </c>
      <c r="P12151" s="343"/>
      <c r="Q12151" s="343"/>
      <c r="R12151" s="343">
        <v>2</v>
      </c>
    </row>
    <row r="12152" spans="1:18" ht="24">
      <c r="A12152" s="339">
        <v>129</v>
      </c>
      <c r="B12152" s="336" t="s">
        <v>22134</v>
      </c>
      <c r="C12152" s="340" t="s">
        <v>22135</v>
      </c>
      <c r="D12152" s="341">
        <v>3586.1</v>
      </c>
      <c r="E12152" s="341">
        <v>2447.37</v>
      </c>
      <c r="F12152" s="341">
        <v>882.24</v>
      </c>
      <c r="G12152" s="341">
        <v>256.49</v>
      </c>
      <c r="H12152" s="342">
        <v>35042</v>
      </c>
      <c r="I12152" s="342">
        <v>28145.82</v>
      </c>
      <c r="J12152" s="342">
        <v>4767.66</v>
      </c>
      <c r="K12152" s="342">
        <v>2128.52</v>
      </c>
      <c r="L12152" s="43">
        <v>9.7716181924653522</v>
      </c>
      <c r="M12152" s="43">
        <v>11.500435161009573</v>
      </c>
      <c r="N12152" s="43">
        <v>5.4040397170837862</v>
      </c>
      <c r="O12152" s="43">
        <v>8.2986471207454482</v>
      </c>
      <c r="P12152" s="343"/>
      <c r="Q12152" s="343"/>
      <c r="R12152" s="343">
        <v>2</v>
      </c>
    </row>
    <row r="12153" spans="1:18" ht="24">
      <c r="A12153" s="339">
        <v>130</v>
      </c>
      <c r="B12153" s="336" t="s">
        <v>22136</v>
      </c>
      <c r="C12153" s="340" t="s">
        <v>22137</v>
      </c>
      <c r="D12153" s="341">
        <v>2268.9899999999998</v>
      </c>
      <c r="E12153" s="341">
        <v>1420</v>
      </c>
      <c r="F12153" s="341">
        <v>629.98</v>
      </c>
      <c r="G12153" s="341">
        <v>219.01</v>
      </c>
      <c r="H12153" s="342">
        <v>21190.51</v>
      </c>
      <c r="I12153" s="342">
        <v>16330</v>
      </c>
      <c r="J12153" s="342">
        <v>3408.75</v>
      </c>
      <c r="K12153" s="342">
        <v>1451.76</v>
      </c>
      <c r="L12153" s="43">
        <v>9.3391817504704733</v>
      </c>
      <c r="M12153" s="43">
        <v>11.5</v>
      </c>
      <c r="N12153" s="43">
        <v>5.4108860598749162</v>
      </c>
      <c r="O12153" s="43">
        <v>6.6287384137710612</v>
      </c>
      <c r="P12153" s="343"/>
      <c r="Q12153" s="343"/>
      <c r="R12153" s="343">
        <v>2</v>
      </c>
    </row>
    <row r="12154" spans="1:18" ht="24">
      <c r="A12154" s="339">
        <v>131</v>
      </c>
      <c r="B12154" s="336" t="s">
        <v>22138</v>
      </c>
      <c r="C12154" s="340" t="s">
        <v>22139</v>
      </c>
      <c r="D12154" s="341">
        <v>5841.21</v>
      </c>
      <c r="E12154" s="341">
        <v>3619.28</v>
      </c>
      <c r="F12154" s="341">
        <v>1744.01</v>
      </c>
      <c r="G12154" s="341">
        <v>477.92</v>
      </c>
      <c r="H12154" s="342">
        <v>55263.09</v>
      </c>
      <c r="I12154" s="342">
        <v>41621.72</v>
      </c>
      <c r="J12154" s="342">
        <v>9426.42</v>
      </c>
      <c r="K12154" s="342">
        <v>4214.95</v>
      </c>
      <c r="L12154" s="43">
        <v>9.4608976564787088</v>
      </c>
      <c r="M12154" s="43">
        <v>11.5</v>
      </c>
      <c r="N12154" s="43">
        <v>5.4050263473259905</v>
      </c>
      <c r="O12154" s="43">
        <v>8.8193630733177102</v>
      </c>
      <c r="P12154" s="343"/>
      <c r="Q12154" s="343"/>
      <c r="R12154" s="343">
        <v>2</v>
      </c>
    </row>
    <row r="12155" spans="1:18" ht="24">
      <c r="A12155" s="339">
        <v>132</v>
      </c>
      <c r="B12155" s="336" t="s">
        <v>22140</v>
      </c>
      <c r="C12155" s="340" t="s">
        <v>22141</v>
      </c>
      <c r="D12155" s="341">
        <v>6468.17</v>
      </c>
      <c r="E12155" s="341">
        <v>2519.6999999999998</v>
      </c>
      <c r="F12155" s="341">
        <v>1858.58</v>
      </c>
      <c r="G12155" s="341">
        <v>2089.89</v>
      </c>
      <c r="H12155" s="342">
        <v>56407.32</v>
      </c>
      <c r="I12155" s="342">
        <v>28976.55</v>
      </c>
      <c r="J12155" s="342">
        <v>10022.57</v>
      </c>
      <c r="K12155" s="342">
        <v>17408.2</v>
      </c>
      <c r="L12155" s="43">
        <v>8.7207540927341114</v>
      </c>
      <c r="M12155" s="43">
        <v>11.5</v>
      </c>
      <c r="N12155" s="43">
        <v>5.3925954223116577</v>
      </c>
      <c r="O12155" s="43">
        <v>8.3297207030035079</v>
      </c>
      <c r="P12155" s="343"/>
      <c r="Q12155" s="343"/>
      <c r="R12155" s="343">
        <v>2</v>
      </c>
    </row>
    <row r="12156" spans="1:18" ht="24">
      <c r="A12156" s="339">
        <v>133</v>
      </c>
      <c r="B12156" s="336" t="s">
        <v>22142</v>
      </c>
      <c r="C12156" s="340" t="s">
        <v>22143</v>
      </c>
      <c r="D12156" s="341">
        <v>10871.24</v>
      </c>
      <c r="E12156" s="341">
        <v>5106</v>
      </c>
      <c r="F12156" s="341">
        <v>4941.12</v>
      </c>
      <c r="G12156" s="341">
        <v>824.12</v>
      </c>
      <c r="H12156" s="342">
        <v>91920.639999999999</v>
      </c>
      <c r="I12156" s="342">
        <v>58719</v>
      </c>
      <c r="J12156" s="342">
        <v>26740.59</v>
      </c>
      <c r="K12156" s="342">
        <v>6461.05</v>
      </c>
      <c r="L12156" s="43">
        <v>8.4553960725731372</v>
      </c>
      <c r="M12156" s="43">
        <v>11.5</v>
      </c>
      <c r="N12156" s="43">
        <v>5.4118479211190991</v>
      </c>
      <c r="O12156" s="43">
        <v>7.8399383584914819</v>
      </c>
      <c r="P12156" s="343"/>
      <c r="Q12156" s="343"/>
      <c r="R12156" s="343">
        <v>2</v>
      </c>
    </row>
    <row r="12157" spans="1:18" ht="24">
      <c r="A12157" s="339">
        <v>134</v>
      </c>
      <c r="B12157" s="336" t="s">
        <v>22144</v>
      </c>
      <c r="C12157" s="340" t="s">
        <v>22145</v>
      </c>
      <c r="D12157" s="341">
        <v>2468.29</v>
      </c>
      <c r="E12157" s="341">
        <v>1817.6</v>
      </c>
      <c r="F12157" s="341">
        <v>466.04</v>
      </c>
      <c r="G12157" s="341">
        <v>184.65</v>
      </c>
      <c r="H12157" s="342">
        <v>24669.71</v>
      </c>
      <c r="I12157" s="342">
        <v>20902.400000000001</v>
      </c>
      <c r="J12157" s="342">
        <v>2520.98</v>
      </c>
      <c r="K12157" s="342">
        <v>1246.33</v>
      </c>
      <c r="L12157" s="43">
        <v>9.994656219487986</v>
      </c>
      <c r="M12157" s="43">
        <v>11.500000000000002</v>
      </c>
      <c r="N12157" s="43">
        <v>5.4093640030898635</v>
      </c>
      <c r="O12157" s="43">
        <v>6.7496886000541556</v>
      </c>
      <c r="P12157" s="343"/>
      <c r="Q12157" s="343"/>
      <c r="R12157" s="343">
        <v>2</v>
      </c>
    </row>
    <row r="12158" spans="1:18" ht="24">
      <c r="A12158" s="339">
        <v>135</v>
      </c>
      <c r="B12158" s="336" t="s">
        <v>22146</v>
      </c>
      <c r="C12158" s="340" t="s">
        <v>22147</v>
      </c>
      <c r="D12158" s="341">
        <v>32230.03</v>
      </c>
      <c r="E12158" s="341">
        <v>2911.16</v>
      </c>
      <c r="F12158" s="341">
        <v>1727.69</v>
      </c>
      <c r="G12158" s="341">
        <v>27591.18</v>
      </c>
      <c r="H12158" s="342">
        <v>190244.57</v>
      </c>
      <c r="I12158" s="342">
        <v>33478.339999999997</v>
      </c>
      <c r="J12158" s="342">
        <v>9285.49</v>
      </c>
      <c r="K12158" s="342">
        <v>147480.74</v>
      </c>
      <c r="L12158" s="43">
        <v>5.9027115395176493</v>
      </c>
      <c r="M12158" s="43">
        <v>11.5</v>
      </c>
      <c r="N12158" s="43">
        <v>5.3745116311375298</v>
      </c>
      <c r="O12158" s="43">
        <v>5.3452132166873616</v>
      </c>
      <c r="P12158" s="343"/>
      <c r="Q12158" s="343"/>
      <c r="R12158" s="343">
        <v>2</v>
      </c>
    </row>
    <row r="12159" spans="1:18" ht="24">
      <c r="A12159" s="339">
        <v>136</v>
      </c>
      <c r="B12159" s="336" t="s">
        <v>22148</v>
      </c>
      <c r="C12159" s="340" t="s">
        <v>22149</v>
      </c>
      <c r="D12159" s="341">
        <v>2790.05</v>
      </c>
      <c r="E12159" s="341">
        <v>948.91</v>
      </c>
      <c r="F12159" s="341">
        <v>456.2</v>
      </c>
      <c r="G12159" s="341">
        <v>1384.94</v>
      </c>
      <c r="H12159" s="342">
        <v>19068.72</v>
      </c>
      <c r="I12159" s="342">
        <v>10912.84</v>
      </c>
      <c r="J12159" s="342">
        <v>2694.01</v>
      </c>
      <c r="K12159" s="342">
        <v>5461.87</v>
      </c>
      <c r="L12159" s="43">
        <v>6.8345441837959893</v>
      </c>
      <c r="M12159" s="43">
        <v>11.500395190270943</v>
      </c>
      <c r="N12159" s="43">
        <v>5.9053266111354672</v>
      </c>
      <c r="O12159" s="43">
        <v>3.9437592964316139</v>
      </c>
      <c r="P12159" s="343"/>
      <c r="Q12159" s="343"/>
      <c r="R12159" s="343">
        <v>2</v>
      </c>
    </row>
    <row r="12160" spans="1:18" ht="24">
      <c r="A12160" s="339">
        <v>137</v>
      </c>
      <c r="B12160" s="336" t="s">
        <v>22150</v>
      </c>
      <c r="C12160" s="340" t="s">
        <v>22151</v>
      </c>
      <c r="D12160" s="341">
        <v>936.8</v>
      </c>
      <c r="E12160" s="341">
        <v>510.6</v>
      </c>
      <c r="F12160" s="341">
        <v>351.7</v>
      </c>
      <c r="G12160" s="341">
        <v>74.5</v>
      </c>
      <c r="H12160" s="342">
        <v>8252.4</v>
      </c>
      <c r="I12160" s="342">
        <v>5871.9</v>
      </c>
      <c r="J12160" s="342">
        <v>1894.29</v>
      </c>
      <c r="K12160" s="342">
        <v>486.21</v>
      </c>
      <c r="L12160" s="43">
        <v>8.8091374893253622</v>
      </c>
      <c r="M12160" s="43">
        <v>11.499999999999998</v>
      </c>
      <c r="N12160" s="43">
        <v>5.3860961046346318</v>
      </c>
      <c r="O12160" s="43">
        <v>6.5263087248322149</v>
      </c>
      <c r="P12160" s="343"/>
      <c r="Q12160" s="343"/>
      <c r="R12160" s="343">
        <v>2</v>
      </c>
    </row>
    <row r="12161" spans="1:18" ht="24">
      <c r="A12161" s="339">
        <v>138</v>
      </c>
      <c r="B12161" s="336" t="s">
        <v>22152</v>
      </c>
      <c r="C12161" s="340" t="s">
        <v>22153</v>
      </c>
      <c r="D12161" s="341">
        <v>1858.44</v>
      </c>
      <c r="E12161" s="341">
        <v>780.33</v>
      </c>
      <c r="F12161" s="341">
        <v>972.31</v>
      </c>
      <c r="G12161" s="341">
        <v>105.8</v>
      </c>
      <c r="H12161" s="342">
        <v>14945.85</v>
      </c>
      <c r="I12161" s="342">
        <v>8973.7999999999993</v>
      </c>
      <c r="J12161" s="342">
        <v>5274.06</v>
      </c>
      <c r="K12161" s="342">
        <v>697.99</v>
      </c>
      <c r="L12161" s="43">
        <v>8.0421482533737976</v>
      </c>
      <c r="M12161" s="43">
        <v>11.500006407545524</v>
      </c>
      <c r="N12161" s="43">
        <v>5.4242576955909128</v>
      </c>
      <c r="O12161" s="43">
        <v>6.5972589792060496</v>
      </c>
      <c r="P12161" s="343"/>
      <c r="Q12161" s="343"/>
      <c r="R12161" s="343">
        <v>2</v>
      </c>
    </row>
    <row r="12162" spans="1:18" ht="24">
      <c r="A12162" s="339">
        <v>139</v>
      </c>
      <c r="B12162" s="336" t="s">
        <v>22154</v>
      </c>
      <c r="C12162" s="340" t="s">
        <v>22155</v>
      </c>
      <c r="D12162" s="341">
        <v>3333.26</v>
      </c>
      <c r="E12162" s="341">
        <v>940.13</v>
      </c>
      <c r="F12162" s="341">
        <v>367.54</v>
      </c>
      <c r="G12162" s="341">
        <v>2025.59</v>
      </c>
      <c r="H12162" s="342">
        <v>20808.05</v>
      </c>
      <c r="I12162" s="342">
        <v>10811.91</v>
      </c>
      <c r="J12162" s="342">
        <v>2160.4299999999998</v>
      </c>
      <c r="K12162" s="342">
        <v>7835.71</v>
      </c>
      <c r="L12162" s="43">
        <v>6.2425523361513946</v>
      </c>
      <c r="M12162" s="43">
        <v>11.500441428313106</v>
      </c>
      <c r="N12162" s="43">
        <v>5.8780812972737655</v>
      </c>
      <c r="O12162" s="43">
        <v>3.8683593422163423</v>
      </c>
      <c r="P12162" s="343"/>
      <c r="Q12162" s="343"/>
      <c r="R12162" s="343">
        <v>2</v>
      </c>
    </row>
    <row r="12163" spans="1:18" ht="24">
      <c r="A12163" s="339">
        <v>140</v>
      </c>
      <c r="B12163" s="336" t="s">
        <v>22156</v>
      </c>
      <c r="C12163" s="340" t="s">
        <v>22157</v>
      </c>
      <c r="D12163" s="341">
        <v>900.52</v>
      </c>
      <c r="E12163" s="341">
        <v>498.39</v>
      </c>
      <c r="F12163" s="341">
        <v>317.39999999999998</v>
      </c>
      <c r="G12163" s="341">
        <v>84.73</v>
      </c>
      <c r="H12163" s="342">
        <v>8022.05</v>
      </c>
      <c r="I12163" s="342">
        <v>5731.49</v>
      </c>
      <c r="J12163" s="342">
        <v>1715.33</v>
      </c>
      <c r="K12163" s="342">
        <v>575.23</v>
      </c>
      <c r="L12163" s="43">
        <v>8.9082419046772987</v>
      </c>
      <c r="M12163" s="43">
        <v>11.500010032304019</v>
      </c>
      <c r="N12163" s="43">
        <v>5.4043163201008193</v>
      </c>
      <c r="O12163" s="43">
        <v>6.7889767496754398</v>
      </c>
      <c r="P12163" s="343"/>
      <c r="Q12163" s="343"/>
      <c r="R12163" s="343">
        <v>2</v>
      </c>
    </row>
    <row r="12164" spans="1:18" ht="24">
      <c r="A12164" s="339">
        <v>141</v>
      </c>
      <c r="B12164" s="336" t="s">
        <v>22158</v>
      </c>
      <c r="C12164" s="340" t="s">
        <v>22159</v>
      </c>
      <c r="D12164" s="341">
        <v>854.09</v>
      </c>
      <c r="E12164" s="341">
        <v>394.92</v>
      </c>
      <c r="F12164" s="341">
        <v>285.7</v>
      </c>
      <c r="G12164" s="341">
        <v>173.47</v>
      </c>
      <c r="H12164" s="342">
        <v>7400.22</v>
      </c>
      <c r="I12164" s="342">
        <v>4541.76</v>
      </c>
      <c r="J12164" s="342">
        <v>1539.79</v>
      </c>
      <c r="K12164" s="342">
        <v>1318.67</v>
      </c>
      <c r="L12164" s="43">
        <v>8.6644498823309011</v>
      </c>
      <c r="M12164" s="43">
        <v>11.500455788514129</v>
      </c>
      <c r="N12164" s="43">
        <v>5.3895344767238367</v>
      </c>
      <c r="O12164" s="43">
        <v>7.6017178762898485</v>
      </c>
      <c r="P12164" s="343"/>
      <c r="Q12164" s="343"/>
      <c r="R12164" s="343">
        <v>2</v>
      </c>
    </row>
    <row r="12165" spans="1:18" ht="24">
      <c r="A12165" s="339">
        <v>142</v>
      </c>
      <c r="B12165" s="336" t="s">
        <v>22160</v>
      </c>
      <c r="C12165" s="340" t="s">
        <v>22161</v>
      </c>
      <c r="D12165" s="341">
        <v>786.67</v>
      </c>
      <c r="E12165" s="341">
        <v>365.31</v>
      </c>
      <c r="F12165" s="341">
        <v>267.58</v>
      </c>
      <c r="G12165" s="341">
        <v>153.78</v>
      </c>
      <c r="H12165" s="342">
        <v>6803.1</v>
      </c>
      <c r="I12165" s="342">
        <v>4201.04</v>
      </c>
      <c r="J12165" s="342">
        <v>1441.61</v>
      </c>
      <c r="K12165" s="342">
        <v>1160.45</v>
      </c>
      <c r="L12165" s="43">
        <v>8.6479718306278368</v>
      </c>
      <c r="M12165" s="43">
        <v>11.499931564972215</v>
      </c>
      <c r="N12165" s="43">
        <v>5.3875850213020406</v>
      </c>
      <c r="O12165" s="43">
        <v>7.5461698530368064</v>
      </c>
      <c r="P12165" s="343"/>
      <c r="Q12165" s="343"/>
      <c r="R12165" s="343">
        <v>2</v>
      </c>
    </row>
    <row r="12166" spans="1:18" ht="24">
      <c r="A12166" s="339">
        <v>143</v>
      </c>
      <c r="B12166" s="336" t="s">
        <v>22162</v>
      </c>
      <c r="C12166" s="340" t="s">
        <v>22163</v>
      </c>
      <c r="D12166" s="341">
        <v>856.88</v>
      </c>
      <c r="E12166" s="341">
        <v>411.81</v>
      </c>
      <c r="F12166" s="341">
        <v>291.13</v>
      </c>
      <c r="G12166" s="341">
        <v>153.94</v>
      </c>
      <c r="H12166" s="342">
        <v>7456.45</v>
      </c>
      <c r="I12166" s="342">
        <v>4735.82</v>
      </c>
      <c r="J12166" s="342">
        <v>1569.24</v>
      </c>
      <c r="K12166" s="342">
        <v>1151.3900000000001</v>
      </c>
      <c r="L12166" s="43">
        <v>8.7018602371393889</v>
      </c>
      <c r="M12166" s="43">
        <v>11.500012141521575</v>
      </c>
      <c r="N12166" s="43">
        <v>5.3901693401573185</v>
      </c>
      <c r="O12166" s="43">
        <v>7.4794725217617257</v>
      </c>
      <c r="P12166" s="343"/>
      <c r="Q12166" s="343"/>
      <c r="R12166" s="343">
        <v>2</v>
      </c>
    </row>
    <row r="12167" spans="1:18" ht="24">
      <c r="A12167" s="339">
        <v>144</v>
      </c>
      <c r="B12167" s="336" t="s">
        <v>22164</v>
      </c>
      <c r="C12167" s="340" t="s">
        <v>22165</v>
      </c>
      <c r="D12167" s="341">
        <v>474.78</v>
      </c>
      <c r="E12167" s="341">
        <v>295.08999999999997</v>
      </c>
      <c r="F12167" s="341">
        <v>91.64</v>
      </c>
      <c r="G12167" s="341">
        <v>88.05</v>
      </c>
      <c r="H12167" s="342">
        <v>4530.2</v>
      </c>
      <c r="I12167" s="342">
        <v>3393.7</v>
      </c>
      <c r="J12167" s="342">
        <v>495.95</v>
      </c>
      <c r="K12167" s="342">
        <v>640.54999999999995</v>
      </c>
      <c r="L12167" s="43">
        <v>9.541682463456759</v>
      </c>
      <c r="M12167" s="43">
        <v>11.500559151445323</v>
      </c>
      <c r="N12167" s="43">
        <v>5.4119380183326058</v>
      </c>
      <c r="O12167" s="43">
        <v>7.2748438387279952</v>
      </c>
      <c r="P12167" s="343"/>
      <c r="Q12167" s="343"/>
      <c r="R12167" s="343">
        <v>2</v>
      </c>
    </row>
    <row r="12168" spans="1:18" ht="24">
      <c r="A12168" s="339">
        <v>145</v>
      </c>
      <c r="B12168" s="336" t="s">
        <v>22166</v>
      </c>
      <c r="C12168" s="340" t="s">
        <v>22167</v>
      </c>
      <c r="D12168" s="341">
        <v>1035.01</v>
      </c>
      <c r="E12168" s="341">
        <v>573.87</v>
      </c>
      <c r="F12168" s="341">
        <v>383.23</v>
      </c>
      <c r="G12168" s="341">
        <v>77.91</v>
      </c>
      <c r="H12168" s="342">
        <v>9182.8799999999992</v>
      </c>
      <c r="I12168" s="342">
        <v>6599.51</v>
      </c>
      <c r="J12168" s="342">
        <v>2063.79</v>
      </c>
      <c r="K12168" s="342">
        <v>519.58000000000004</v>
      </c>
      <c r="L12168" s="43">
        <v>8.87226210374779</v>
      </c>
      <c r="M12168" s="43">
        <v>11.500008712774671</v>
      </c>
      <c r="N12168" s="43">
        <v>5.3852516765388927</v>
      </c>
      <c r="O12168" s="43">
        <v>6.6689770247721736</v>
      </c>
      <c r="P12168" s="343"/>
      <c r="Q12168" s="343"/>
      <c r="R12168" s="343">
        <v>2</v>
      </c>
    </row>
    <row r="12169" spans="1:18" ht="24">
      <c r="A12169" s="339">
        <v>146</v>
      </c>
      <c r="B12169" s="336" t="s">
        <v>22168</v>
      </c>
      <c r="C12169" s="340" t="s">
        <v>22169</v>
      </c>
      <c r="D12169" s="341">
        <v>493.9</v>
      </c>
      <c r="E12169" s="341">
        <v>320.32</v>
      </c>
      <c r="F12169" s="341">
        <v>130.44999999999999</v>
      </c>
      <c r="G12169" s="341">
        <v>43.13</v>
      </c>
      <c r="H12169" s="342">
        <v>4680.18</v>
      </c>
      <c r="I12169" s="342">
        <v>3683.87</v>
      </c>
      <c r="J12169" s="342">
        <v>706.33</v>
      </c>
      <c r="K12169" s="342">
        <v>289.98</v>
      </c>
      <c r="L12169" s="43">
        <v>9.4759667948977544</v>
      </c>
      <c r="M12169" s="43">
        <v>11.500593156843157</v>
      </c>
      <c r="N12169" s="43">
        <v>5.4145649674204686</v>
      </c>
      <c r="O12169" s="43">
        <v>6.7233943890563417</v>
      </c>
      <c r="P12169" s="343"/>
      <c r="Q12169" s="343"/>
      <c r="R12169" s="343">
        <v>2</v>
      </c>
    </row>
    <row r="12170" spans="1:18" ht="24">
      <c r="A12170" s="339">
        <v>147</v>
      </c>
      <c r="B12170" s="336" t="s">
        <v>22170</v>
      </c>
      <c r="C12170" s="340" t="s">
        <v>22171</v>
      </c>
      <c r="D12170" s="341">
        <v>1437</v>
      </c>
      <c r="E12170" s="341">
        <v>698.19</v>
      </c>
      <c r="F12170" s="341">
        <v>639.02</v>
      </c>
      <c r="G12170" s="341">
        <v>99.79</v>
      </c>
      <c r="H12170" s="342">
        <v>12129.76</v>
      </c>
      <c r="I12170" s="342">
        <v>8029.19</v>
      </c>
      <c r="J12170" s="342">
        <v>3447.42</v>
      </c>
      <c r="K12170" s="342">
        <v>653.15</v>
      </c>
      <c r="L12170" s="43">
        <v>8.4410299234516355</v>
      </c>
      <c r="M12170" s="43">
        <v>11.500007161374409</v>
      </c>
      <c r="N12170" s="43">
        <v>5.3948546211386184</v>
      </c>
      <c r="O12170" s="43">
        <v>6.5452450145305132</v>
      </c>
      <c r="P12170" s="343"/>
      <c r="Q12170" s="343"/>
      <c r="R12170" s="343">
        <v>2</v>
      </c>
    </row>
    <row r="12171" spans="1:18" ht="24">
      <c r="A12171" s="339">
        <v>148</v>
      </c>
      <c r="B12171" s="336" t="s">
        <v>22172</v>
      </c>
      <c r="C12171" s="340" t="s">
        <v>22173</v>
      </c>
      <c r="D12171" s="341">
        <v>960.83</v>
      </c>
      <c r="E12171" s="341">
        <v>510.6</v>
      </c>
      <c r="F12171" s="341">
        <v>371.7</v>
      </c>
      <c r="G12171" s="341">
        <v>78.53</v>
      </c>
      <c r="H12171" s="342">
        <v>8403.6200000000008</v>
      </c>
      <c r="I12171" s="342">
        <v>5871.9</v>
      </c>
      <c r="J12171" s="342">
        <v>2011.81</v>
      </c>
      <c r="K12171" s="342">
        <v>519.91</v>
      </c>
      <c r="L12171" s="43">
        <v>8.7462090067962084</v>
      </c>
      <c r="M12171" s="43">
        <v>11.499999999999998</v>
      </c>
      <c r="N12171" s="43">
        <v>5.412456281947807</v>
      </c>
      <c r="O12171" s="43">
        <v>6.6205271870622688</v>
      </c>
      <c r="P12171" s="343"/>
      <c r="Q12171" s="343"/>
      <c r="R12171" s="343">
        <v>2</v>
      </c>
    </row>
    <row r="12172" spans="1:18" ht="24">
      <c r="A12172" s="339">
        <v>149</v>
      </c>
      <c r="B12172" s="336" t="s">
        <v>22174</v>
      </c>
      <c r="C12172" s="340" t="s">
        <v>22175</v>
      </c>
      <c r="D12172" s="341">
        <v>654.24</v>
      </c>
      <c r="E12172" s="341">
        <v>374.07</v>
      </c>
      <c r="F12172" s="341">
        <v>205.49</v>
      </c>
      <c r="G12172" s="341">
        <v>74.680000000000007</v>
      </c>
      <c r="H12172" s="342">
        <v>5895.03</v>
      </c>
      <c r="I12172" s="342">
        <v>4301.8100000000004</v>
      </c>
      <c r="J12172" s="342">
        <v>1111.03</v>
      </c>
      <c r="K12172" s="342">
        <v>482.19</v>
      </c>
      <c r="L12172" s="43">
        <v>9.0105007336757144</v>
      </c>
      <c r="M12172" s="43">
        <v>11.500013366482211</v>
      </c>
      <c r="N12172" s="43">
        <v>5.4067351209304588</v>
      </c>
      <c r="O12172" s="43">
        <v>6.4567487948580604</v>
      </c>
      <c r="P12172" s="343"/>
      <c r="Q12172" s="343"/>
      <c r="R12172" s="343">
        <v>2</v>
      </c>
    </row>
    <row r="12173" spans="1:18" ht="24">
      <c r="A12173" s="339">
        <v>150</v>
      </c>
      <c r="B12173" s="336" t="s">
        <v>22176</v>
      </c>
      <c r="C12173" s="340" t="s">
        <v>22177</v>
      </c>
      <c r="D12173" s="341">
        <v>488.66</v>
      </c>
      <c r="E12173" s="341">
        <v>348.54</v>
      </c>
      <c r="F12173" s="341">
        <v>104.25</v>
      </c>
      <c r="G12173" s="341">
        <v>35.869999999999997</v>
      </c>
      <c r="H12173" s="342">
        <v>4821.59</v>
      </c>
      <c r="I12173" s="342">
        <v>4008.21</v>
      </c>
      <c r="J12173" s="342">
        <v>564.38</v>
      </c>
      <c r="K12173" s="342">
        <v>249</v>
      </c>
      <c r="L12173" s="43">
        <v>9.8669627143617245</v>
      </c>
      <c r="M12173" s="43">
        <v>11.5</v>
      </c>
      <c r="N12173" s="43">
        <v>5.4137170263788965</v>
      </c>
      <c r="O12173" s="43">
        <v>6.9417340395873994</v>
      </c>
      <c r="P12173" s="343"/>
      <c r="Q12173" s="343"/>
      <c r="R12173" s="343">
        <v>2</v>
      </c>
    </row>
    <row r="12174" spans="1:18" ht="24">
      <c r="A12174" s="339">
        <v>151</v>
      </c>
      <c r="B12174" s="336" t="s">
        <v>22178</v>
      </c>
      <c r="C12174" s="340" t="s">
        <v>22179</v>
      </c>
      <c r="D12174" s="341">
        <v>399.97</v>
      </c>
      <c r="E12174" s="341">
        <v>295.08999999999997</v>
      </c>
      <c r="F12174" s="341">
        <v>80.959999999999994</v>
      </c>
      <c r="G12174" s="341">
        <v>23.92</v>
      </c>
      <c r="H12174" s="342">
        <v>4004.86</v>
      </c>
      <c r="I12174" s="342">
        <v>3393.7</v>
      </c>
      <c r="J12174" s="342">
        <v>438.16</v>
      </c>
      <c r="K12174" s="342">
        <v>173</v>
      </c>
      <c r="L12174" s="43">
        <v>10.012900967572568</v>
      </c>
      <c r="M12174" s="43">
        <v>11.500559151445323</v>
      </c>
      <c r="N12174" s="43">
        <v>5.4120553359683798</v>
      </c>
      <c r="O12174" s="43">
        <v>7.2324414715719056</v>
      </c>
      <c r="P12174" s="343"/>
      <c r="Q12174" s="343"/>
      <c r="R12174" s="343">
        <v>2</v>
      </c>
    </row>
    <row r="12175" spans="1:18" ht="24">
      <c r="A12175" s="339">
        <v>152</v>
      </c>
      <c r="B12175" s="336" t="s">
        <v>22180</v>
      </c>
      <c r="C12175" s="340" t="s">
        <v>22181</v>
      </c>
      <c r="D12175" s="341">
        <v>1250.77</v>
      </c>
      <c r="E12175" s="341">
        <v>579.22</v>
      </c>
      <c r="F12175" s="341">
        <v>575.95000000000005</v>
      </c>
      <c r="G12175" s="341">
        <v>95.6</v>
      </c>
      <c r="H12175" s="342">
        <v>10388.26</v>
      </c>
      <c r="I12175" s="342">
        <v>6661.25</v>
      </c>
      <c r="J12175" s="342">
        <v>3111.76</v>
      </c>
      <c r="K12175" s="342">
        <v>615.25</v>
      </c>
      <c r="L12175" s="43">
        <v>8.3054918170407035</v>
      </c>
      <c r="M12175" s="43">
        <v>11.500379821138772</v>
      </c>
      <c r="N12175" s="43">
        <v>5.4028301067801028</v>
      </c>
      <c r="O12175" s="43">
        <v>6.4356694560669458</v>
      </c>
      <c r="P12175" s="343"/>
      <c r="Q12175" s="343"/>
      <c r="R12175" s="343">
        <v>2</v>
      </c>
    </row>
    <row r="12176" spans="1:18" ht="24">
      <c r="A12176" s="339">
        <v>153</v>
      </c>
      <c r="B12176" s="336" t="s">
        <v>22182</v>
      </c>
      <c r="C12176" s="340" t="s">
        <v>22183</v>
      </c>
      <c r="D12176" s="341">
        <v>850.75</v>
      </c>
      <c r="E12176" s="341">
        <v>460.65</v>
      </c>
      <c r="F12176" s="341">
        <v>315.64999999999998</v>
      </c>
      <c r="G12176" s="341">
        <v>74.45</v>
      </c>
      <c r="H12176" s="342">
        <v>7482.89</v>
      </c>
      <c r="I12176" s="342">
        <v>5297.48</v>
      </c>
      <c r="J12176" s="342">
        <v>1707.04</v>
      </c>
      <c r="K12176" s="342">
        <v>478.37</v>
      </c>
      <c r="L12176" s="43">
        <v>8.795639141933588</v>
      </c>
      <c r="M12176" s="43">
        <v>11.500010854227721</v>
      </c>
      <c r="N12176" s="43">
        <v>5.4080152067162999</v>
      </c>
      <c r="O12176" s="43">
        <v>6.4253861652115516</v>
      </c>
      <c r="P12176" s="343"/>
      <c r="Q12176" s="343"/>
      <c r="R12176" s="343">
        <v>2</v>
      </c>
    </row>
    <row r="12177" spans="1:18" ht="24">
      <c r="A12177" s="339">
        <v>154</v>
      </c>
      <c r="B12177" s="336" t="s">
        <v>22184</v>
      </c>
      <c r="C12177" s="340" t="s">
        <v>22185</v>
      </c>
      <c r="D12177" s="341">
        <v>491.7</v>
      </c>
      <c r="E12177" s="341">
        <v>304.60000000000002</v>
      </c>
      <c r="F12177" s="341">
        <v>146.09</v>
      </c>
      <c r="G12177" s="341">
        <v>41.01</v>
      </c>
      <c r="H12177" s="342">
        <v>4562.51</v>
      </c>
      <c r="I12177" s="342">
        <v>3502.95</v>
      </c>
      <c r="J12177" s="342">
        <v>791.1</v>
      </c>
      <c r="K12177" s="342">
        <v>268.45999999999998</v>
      </c>
      <c r="L12177" s="43">
        <v>9.2790522676428715</v>
      </c>
      <c r="M12177" s="43">
        <v>11.500164149704529</v>
      </c>
      <c r="N12177" s="43">
        <v>5.4151550414128273</v>
      </c>
      <c r="O12177" s="43">
        <v>6.5462082418922209</v>
      </c>
      <c r="P12177" s="343"/>
      <c r="Q12177" s="343"/>
      <c r="R12177" s="343">
        <v>2</v>
      </c>
    </row>
    <row r="12178" spans="1:18" ht="24">
      <c r="A12178" s="339">
        <v>155</v>
      </c>
      <c r="B12178" s="336" t="s">
        <v>22186</v>
      </c>
      <c r="C12178" s="340" t="s">
        <v>22187</v>
      </c>
      <c r="D12178" s="341">
        <v>437.7</v>
      </c>
      <c r="E12178" s="341">
        <v>304.60000000000002</v>
      </c>
      <c r="F12178" s="341">
        <v>104.23</v>
      </c>
      <c r="G12178" s="341">
        <v>28.87</v>
      </c>
      <c r="H12178" s="342">
        <v>4284.2299999999996</v>
      </c>
      <c r="I12178" s="342">
        <v>3502.95</v>
      </c>
      <c r="J12178" s="342">
        <v>564.37</v>
      </c>
      <c r="K12178" s="342">
        <v>216.91</v>
      </c>
      <c r="L12178" s="43">
        <v>9.7880511766049807</v>
      </c>
      <c r="M12178" s="43">
        <v>11.500164149704529</v>
      </c>
      <c r="N12178" s="43">
        <v>5.414659886788832</v>
      </c>
      <c r="O12178" s="43">
        <v>7.5133356425355036</v>
      </c>
      <c r="P12178" s="343"/>
      <c r="Q12178" s="343"/>
      <c r="R12178" s="343">
        <v>2</v>
      </c>
    </row>
    <row r="12179" spans="1:18" ht="24">
      <c r="A12179" s="339">
        <v>156</v>
      </c>
      <c r="B12179" s="336" t="s">
        <v>22188</v>
      </c>
      <c r="C12179" s="340" t="s">
        <v>22189</v>
      </c>
      <c r="D12179" s="341">
        <v>467.88</v>
      </c>
      <c r="E12179" s="341">
        <v>308.26</v>
      </c>
      <c r="F12179" s="341">
        <v>117.41</v>
      </c>
      <c r="G12179" s="341">
        <v>42.21</v>
      </c>
      <c r="H12179" s="342">
        <v>4483.1000000000004</v>
      </c>
      <c r="I12179" s="342">
        <v>3545.1</v>
      </c>
      <c r="J12179" s="342">
        <v>635.62</v>
      </c>
      <c r="K12179" s="342">
        <v>302.38</v>
      </c>
      <c r="L12179" s="43">
        <v>9.5817303582115088</v>
      </c>
      <c r="M12179" s="43">
        <v>11.500356841627198</v>
      </c>
      <c r="N12179" s="43">
        <v>5.4136785623030406</v>
      </c>
      <c r="O12179" s="43">
        <v>7.1637052831082677</v>
      </c>
      <c r="P12179" s="343"/>
      <c r="Q12179" s="343"/>
      <c r="R12179" s="343">
        <v>2</v>
      </c>
    </row>
    <row r="12180" spans="1:18" ht="24">
      <c r="A12180" s="339">
        <v>157</v>
      </c>
      <c r="B12180" s="336" t="s">
        <v>22190</v>
      </c>
      <c r="C12180" s="340" t="s">
        <v>22191</v>
      </c>
      <c r="D12180" s="341">
        <v>450.62</v>
      </c>
      <c r="E12180" s="341">
        <v>304.60000000000002</v>
      </c>
      <c r="F12180" s="341">
        <v>117.46</v>
      </c>
      <c r="G12180" s="341">
        <v>28.56</v>
      </c>
      <c r="H12180" s="342">
        <v>4342.5600000000004</v>
      </c>
      <c r="I12180" s="342">
        <v>3502.95</v>
      </c>
      <c r="J12180" s="342">
        <v>635.94000000000005</v>
      </c>
      <c r="K12180" s="342">
        <v>203.67</v>
      </c>
      <c r="L12180" s="43">
        <v>9.636855887443966</v>
      </c>
      <c r="M12180" s="43">
        <v>11.500164149704529</v>
      </c>
      <c r="N12180" s="43">
        <v>5.414098416482207</v>
      </c>
      <c r="O12180" s="43">
        <v>7.1313025210084033</v>
      </c>
      <c r="P12180" s="343"/>
      <c r="Q12180" s="343"/>
      <c r="R12180" s="343">
        <v>2</v>
      </c>
    </row>
    <row r="12181" spans="1:18" ht="24">
      <c r="A12181" s="339">
        <v>158</v>
      </c>
      <c r="B12181" s="336" t="s">
        <v>22192</v>
      </c>
      <c r="C12181" s="340" t="s">
        <v>22193</v>
      </c>
      <c r="D12181" s="341">
        <v>705.96</v>
      </c>
      <c r="E12181" s="341">
        <v>424.02</v>
      </c>
      <c r="F12181" s="341">
        <v>210.32</v>
      </c>
      <c r="G12181" s="341">
        <v>71.62</v>
      </c>
      <c r="H12181" s="342">
        <v>6476.59</v>
      </c>
      <c r="I12181" s="342">
        <v>4876.2299999999996</v>
      </c>
      <c r="J12181" s="342">
        <v>1139.51</v>
      </c>
      <c r="K12181" s="342">
        <v>460.85</v>
      </c>
      <c r="L12181" s="43">
        <v>9.1741600090656696</v>
      </c>
      <c r="M12181" s="43">
        <v>11.5</v>
      </c>
      <c r="N12181" s="43">
        <v>5.4179821224800309</v>
      </c>
      <c r="O12181" s="43">
        <v>6.4346551242669641</v>
      </c>
      <c r="P12181" s="343"/>
      <c r="Q12181" s="343"/>
      <c r="R12181" s="343">
        <v>2</v>
      </c>
    </row>
    <row r="12182" spans="1:18" ht="24">
      <c r="A12182" s="339">
        <v>159</v>
      </c>
      <c r="B12182" s="336" t="s">
        <v>22194</v>
      </c>
      <c r="C12182" s="340" t="s">
        <v>22195</v>
      </c>
      <c r="D12182" s="341">
        <v>1176.77</v>
      </c>
      <c r="E12182" s="341">
        <v>759.24</v>
      </c>
      <c r="F12182" s="341">
        <v>340.54</v>
      </c>
      <c r="G12182" s="341">
        <v>76.989999999999995</v>
      </c>
      <c r="H12182" s="342">
        <v>11103.2</v>
      </c>
      <c r="I12182" s="342">
        <v>8731.26</v>
      </c>
      <c r="J12182" s="342">
        <v>1845.66</v>
      </c>
      <c r="K12182" s="342">
        <v>526.28</v>
      </c>
      <c r="L12182" s="43">
        <v>9.4353187113879518</v>
      </c>
      <c r="M12182" s="43">
        <v>11.5</v>
      </c>
      <c r="N12182" s="43">
        <v>5.4198038409584779</v>
      </c>
      <c r="O12182" s="43">
        <v>6.8356929471359917</v>
      </c>
      <c r="P12182" s="343"/>
      <c r="Q12182" s="343"/>
      <c r="R12182" s="343">
        <v>2</v>
      </c>
    </row>
    <row r="12183" spans="1:18" ht="24">
      <c r="A12183" s="339">
        <v>160</v>
      </c>
      <c r="B12183" s="336" t="s">
        <v>22196</v>
      </c>
      <c r="C12183" s="340" t="s">
        <v>22197</v>
      </c>
      <c r="D12183" s="341">
        <v>1037.58</v>
      </c>
      <c r="E12183" s="341">
        <v>536.13</v>
      </c>
      <c r="F12183" s="341">
        <v>427.49</v>
      </c>
      <c r="G12183" s="341">
        <v>73.959999999999994</v>
      </c>
      <c r="H12183" s="342">
        <v>8966.1200000000008</v>
      </c>
      <c r="I12183" s="342">
        <v>6165.5</v>
      </c>
      <c r="J12183" s="342">
        <v>2313.11</v>
      </c>
      <c r="K12183" s="342">
        <v>487.51</v>
      </c>
      <c r="L12183" s="43">
        <v>8.641377050444305</v>
      </c>
      <c r="M12183" s="43">
        <v>11.500009326096283</v>
      </c>
      <c r="N12183" s="43">
        <v>5.4109101967297484</v>
      </c>
      <c r="O12183" s="43">
        <v>6.5915359653866963</v>
      </c>
      <c r="P12183" s="343"/>
      <c r="Q12183" s="343"/>
      <c r="R12183" s="343">
        <v>2</v>
      </c>
    </row>
    <row r="12184" spans="1:18" ht="24">
      <c r="A12184" s="339">
        <v>161</v>
      </c>
      <c r="B12184" s="336" t="s">
        <v>22198</v>
      </c>
      <c r="C12184" s="340" t="s">
        <v>22199</v>
      </c>
      <c r="D12184" s="341">
        <v>823.81</v>
      </c>
      <c r="E12184" s="341">
        <v>436.23</v>
      </c>
      <c r="F12184" s="341">
        <v>315.72000000000003</v>
      </c>
      <c r="G12184" s="341">
        <v>71.86</v>
      </c>
      <c r="H12184" s="342">
        <v>7187.64</v>
      </c>
      <c r="I12184" s="342">
        <v>5016.6499999999996</v>
      </c>
      <c r="J12184" s="342">
        <v>1707.38</v>
      </c>
      <c r="K12184" s="342">
        <v>463.61</v>
      </c>
      <c r="L12184" s="43">
        <v>8.7248758815746363</v>
      </c>
      <c r="M12184" s="43">
        <v>11.500011461843522</v>
      </c>
      <c r="N12184" s="43">
        <v>5.4078930698086909</v>
      </c>
      <c r="O12184" s="43">
        <v>6.4515725020873926</v>
      </c>
      <c r="P12184" s="343"/>
      <c r="Q12184" s="343"/>
      <c r="R12184" s="343">
        <v>2</v>
      </c>
    </row>
    <row r="12185" spans="1:18" ht="24">
      <c r="A12185" s="339">
        <v>162</v>
      </c>
      <c r="B12185" s="336" t="s">
        <v>22200</v>
      </c>
      <c r="C12185" s="340" t="s">
        <v>22201</v>
      </c>
      <c r="D12185" s="341">
        <v>1186.3</v>
      </c>
      <c r="E12185" s="341">
        <v>567.15</v>
      </c>
      <c r="F12185" s="341">
        <v>523.96</v>
      </c>
      <c r="G12185" s="341">
        <v>95.19</v>
      </c>
      <c r="H12185" s="342">
        <v>9958.41</v>
      </c>
      <c r="I12185" s="342">
        <v>6522.47</v>
      </c>
      <c r="J12185" s="342">
        <v>2824.06</v>
      </c>
      <c r="K12185" s="342">
        <v>611.88</v>
      </c>
      <c r="L12185" s="43">
        <v>8.3945123493214204</v>
      </c>
      <c r="M12185" s="43">
        <v>11.500431984483823</v>
      </c>
      <c r="N12185" s="43">
        <v>5.3898389190014502</v>
      </c>
      <c r="O12185" s="43">
        <v>6.4279861329971633</v>
      </c>
      <c r="P12185" s="343"/>
      <c r="Q12185" s="343"/>
      <c r="R12185" s="343">
        <v>2</v>
      </c>
    </row>
    <row r="12186" spans="1:18" ht="24">
      <c r="A12186" s="339">
        <v>163</v>
      </c>
      <c r="B12186" s="336" t="s">
        <v>22202</v>
      </c>
      <c r="C12186" s="340" t="s">
        <v>22203</v>
      </c>
      <c r="D12186" s="341">
        <v>398.34</v>
      </c>
      <c r="E12186" s="341">
        <v>270.95999999999998</v>
      </c>
      <c r="F12186" s="341">
        <v>104.49</v>
      </c>
      <c r="G12186" s="341">
        <v>22.89</v>
      </c>
      <c r="H12186" s="342">
        <v>3844.42</v>
      </c>
      <c r="I12186" s="342">
        <v>3116.15</v>
      </c>
      <c r="J12186" s="342">
        <v>565.62</v>
      </c>
      <c r="K12186" s="342">
        <v>162.65</v>
      </c>
      <c r="L12186" s="43">
        <v>9.6511020736054629</v>
      </c>
      <c r="M12186" s="43">
        <v>11.500405963979924</v>
      </c>
      <c r="N12186" s="43">
        <v>5.4131495836922197</v>
      </c>
      <c r="O12186" s="43">
        <v>7.1057230231542157</v>
      </c>
      <c r="P12186" s="343"/>
      <c r="Q12186" s="343"/>
      <c r="R12186" s="343">
        <v>2</v>
      </c>
    </row>
    <row r="12187" spans="1:18" ht="24">
      <c r="A12187" s="339">
        <v>164</v>
      </c>
      <c r="B12187" s="336" t="s">
        <v>22204</v>
      </c>
      <c r="C12187" s="340" t="s">
        <v>22205</v>
      </c>
      <c r="D12187" s="341">
        <v>510.94</v>
      </c>
      <c r="E12187" s="341">
        <v>311.91000000000003</v>
      </c>
      <c r="F12187" s="341">
        <v>156.11000000000001</v>
      </c>
      <c r="G12187" s="341">
        <v>42.92</v>
      </c>
      <c r="H12187" s="342">
        <v>4711</v>
      </c>
      <c r="I12187" s="342">
        <v>3586.97</v>
      </c>
      <c r="J12187" s="342">
        <v>845.66</v>
      </c>
      <c r="K12187" s="342">
        <v>278.37</v>
      </c>
      <c r="L12187" s="43">
        <v>9.2202606959721294</v>
      </c>
      <c r="M12187" s="43">
        <v>11.500016030265138</v>
      </c>
      <c r="N12187" s="43">
        <v>5.4170777016206513</v>
      </c>
      <c r="O12187" s="43">
        <v>6.4857875116495807</v>
      </c>
      <c r="P12187" s="343"/>
      <c r="Q12187" s="343"/>
      <c r="R12187" s="343">
        <v>2</v>
      </c>
    </row>
    <row r="12188" spans="1:18" ht="24">
      <c r="A12188" s="339">
        <v>165</v>
      </c>
      <c r="B12188" s="336" t="s">
        <v>22206</v>
      </c>
      <c r="C12188" s="340" t="s">
        <v>22207</v>
      </c>
      <c r="D12188" s="341">
        <v>708.68</v>
      </c>
      <c r="E12188" s="341">
        <v>424.02</v>
      </c>
      <c r="F12188" s="341">
        <v>213.89</v>
      </c>
      <c r="G12188" s="341">
        <v>70.77</v>
      </c>
      <c r="H12188" s="342">
        <v>6485.8</v>
      </c>
      <c r="I12188" s="342">
        <v>4876.2299999999996</v>
      </c>
      <c r="J12188" s="342">
        <v>1156.17</v>
      </c>
      <c r="K12188" s="342">
        <v>453.4</v>
      </c>
      <c r="L12188" s="43">
        <v>9.1519444601230457</v>
      </c>
      <c r="M12188" s="43">
        <v>11.5</v>
      </c>
      <c r="N12188" s="43">
        <v>5.4054420496516906</v>
      </c>
      <c r="O12188" s="43">
        <v>6.4066694927229051</v>
      </c>
      <c r="P12188" s="343"/>
      <c r="Q12188" s="343"/>
      <c r="R12188" s="343">
        <v>2</v>
      </c>
    </row>
    <row r="12189" spans="1:18" ht="12.75" customHeight="1">
      <c r="A12189" s="628" t="s">
        <v>22208</v>
      </c>
      <c r="B12189" s="629"/>
      <c r="C12189" s="629"/>
      <c r="D12189" s="629"/>
      <c r="E12189" s="629"/>
      <c r="F12189" s="629"/>
      <c r="G12189" s="629"/>
      <c r="H12189" s="629"/>
      <c r="I12189" s="629"/>
      <c r="J12189" s="629"/>
      <c r="K12189" s="629"/>
      <c r="L12189" s="629"/>
      <c r="M12189" s="629"/>
      <c r="N12189" s="629"/>
      <c r="O12189" s="629"/>
      <c r="P12189" s="629"/>
      <c r="Q12189" s="629"/>
      <c r="R12189" s="629"/>
    </row>
    <row r="12190" spans="1:18" ht="24">
      <c r="A12190" s="339">
        <v>166</v>
      </c>
      <c r="B12190" s="336" t="s">
        <v>22209</v>
      </c>
      <c r="C12190" s="340" t="s">
        <v>22210</v>
      </c>
      <c r="D12190" s="341">
        <v>375.76</v>
      </c>
      <c r="E12190" s="341">
        <v>293.08999999999997</v>
      </c>
      <c r="F12190" s="341">
        <v>52.49</v>
      </c>
      <c r="G12190" s="341">
        <v>30.18</v>
      </c>
      <c r="H12190" s="342">
        <v>3861.07</v>
      </c>
      <c r="I12190" s="342">
        <v>3370.51</v>
      </c>
      <c r="J12190" s="342">
        <v>283.89</v>
      </c>
      <c r="K12190" s="342">
        <v>206.67</v>
      </c>
      <c r="L12190" s="43">
        <v>10.275361933148819</v>
      </c>
      <c r="M12190" s="43">
        <v>11.499914701968681</v>
      </c>
      <c r="N12190" s="43">
        <v>5.4084587540483895</v>
      </c>
      <c r="O12190" s="43">
        <v>6.8479125248508943</v>
      </c>
      <c r="P12190" s="343"/>
      <c r="Q12190" s="343"/>
      <c r="R12190" s="343">
        <v>3</v>
      </c>
    </row>
    <row r="12191" spans="1:18" ht="24">
      <c r="A12191" s="339">
        <v>167</v>
      </c>
      <c r="B12191" s="336" t="s">
        <v>22211</v>
      </c>
      <c r="C12191" s="340" t="s">
        <v>22212</v>
      </c>
      <c r="D12191" s="341">
        <v>423.9</v>
      </c>
      <c r="E12191" s="341">
        <v>305.58</v>
      </c>
      <c r="F12191" s="341">
        <v>91.32</v>
      </c>
      <c r="G12191" s="341">
        <v>27</v>
      </c>
      <c r="H12191" s="342">
        <v>4198.59</v>
      </c>
      <c r="I12191" s="342">
        <v>3514.22</v>
      </c>
      <c r="J12191" s="342">
        <v>494.36</v>
      </c>
      <c r="K12191" s="342">
        <v>190.01</v>
      </c>
      <c r="L12191" s="43">
        <v>9.9046709129511683</v>
      </c>
      <c r="M12191" s="43">
        <v>11.500163623273775</v>
      </c>
      <c r="N12191" s="43">
        <v>5.4134910205869478</v>
      </c>
      <c r="O12191" s="43">
        <v>7.0374074074074073</v>
      </c>
      <c r="P12191" s="343"/>
      <c r="Q12191" s="343"/>
      <c r="R12191" s="343">
        <v>3</v>
      </c>
    </row>
    <row r="12192" spans="1:18" ht="12.75" customHeight="1">
      <c r="A12192" s="628" t="s">
        <v>22213</v>
      </c>
      <c r="B12192" s="629"/>
      <c r="C12192" s="629"/>
      <c r="D12192" s="629"/>
      <c r="E12192" s="629"/>
      <c r="F12192" s="629"/>
      <c r="G12192" s="629"/>
      <c r="H12192" s="629"/>
      <c r="I12192" s="629"/>
      <c r="J12192" s="629"/>
      <c r="K12192" s="629"/>
      <c r="L12192" s="629"/>
      <c r="M12192" s="629"/>
      <c r="N12192" s="629"/>
      <c r="O12192" s="629"/>
      <c r="P12192" s="629"/>
      <c r="Q12192" s="629"/>
      <c r="R12192" s="629"/>
    </row>
    <row r="12193" spans="1:18" ht="36">
      <c r="A12193" s="339">
        <v>168</v>
      </c>
      <c r="B12193" s="336" t="s">
        <v>22214</v>
      </c>
      <c r="C12193" s="340" t="s">
        <v>22215</v>
      </c>
      <c r="D12193" s="341">
        <v>3589.28</v>
      </c>
      <c r="E12193" s="341">
        <v>2067.52</v>
      </c>
      <c r="F12193" s="341">
        <v>1072.95</v>
      </c>
      <c r="G12193" s="341">
        <v>448.81</v>
      </c>
      <c r="H12193" s="342">
        <v>33358.15</v>
      </c>
      <c r="I12193" s="342">
        <v>23776.48</v>
      </c>
      <c r="J12193" s="342">
        <v>5788.31</v>
      </c>
      <c r="K12193" s="342">
        <v>3793.36</v>
      </c>
      <c r="L12193" s="43">
        <v>9.2938277314670348</v>
      </c>
      <c r="M12193" s="43">
        <v>11.5</v>
      </c>
      <c r="N12193" s="43">
        <v>5.3947621044783078</v>
      </c>
      <c r="O12193" s="43">
        <v>8.4520398386845219</v>
      </c>
      <c r="P12193" s="343"/>
      <c r="Q12193" s="343"/>
      <c r="R12193" s="343">
        <v>4</v>
      </c>
    </row>
    <row r="12194" spans="1:18" ht="24">
      <c r="A12194" s="339">
        <v>169</v>
      </c>
      <c r="B12194" s="336" t="s">
        <v>22216</v>
      </c>
      <c r="C12194" s="340" t="s">
        <v>22217</v>
      </c>
      <c r="D12194" s="341">
        <v>1112.31</v>
      </c>
      <c r="E12194" s="341">
        <v>555.08000000000004</v>
      </c>
      <c r="F12194" s="341">
        <v>457.3</v>
      </c>
      <c r="G12194" s="341">
        <v>99.93</v>
      </c>
      <c r="H12194" s="342">
        <v>9527.4699999999993</v>
      </c>
      <c r="I12194" s="342">
        <v>6383.7</v>
      </c>
      <c r="J12194" s="342">
        <v>2474.09</v>
      </c>
      <c r="K12194" s="342">
        <v>669.68</v>
      </c>
      <c r="L12194" s="43">
        <v>8.5654808461669862</v>
      </c>
      <c r="M12194" s="43">
        <v>11.500504431793614</v>
      </c>
      <c r="N12194" s="43">
        <v>5.4102121145856117</v>
      </c>
      <c r="O12194" s="43">
        <v>6.7014910437306101</v>
      </c>
      <c r="P12194" s="343"/>
      <c r="Q12194" s="343"/>
      <c r="R12194" s="343">
        <v>4</v>
      </c>
    </row>
    <row r="12195" spans="1:18" ht="24">
      <c r="A12195" s="339">
        <v>170</v>
      </c>
      <c r="B12195" s="336" t="s">
        <v>22218</v>
      </c>
      <c r="C12195" s="340" t="s">
        <v>22219</v>
      </c>
      <c r="D12195" s="341">
        <v>3355.17</v>
      </c>
      <c r="E12195" s="341">
        <v>1919.84</v>
      </c>
      <c r="F12195" s="341">
        <v>453.03</v>
      </c>
      <c r="G12195" s="341">
        <v>982.3</v>
      </c>
      <c r="H12195" s="342">
        <v>32470.98</v>
      </c>
      <c r="I12195" s="342">
        <v>22078.16</v>
      </c>
      <c r="J12195" s="342">
        <v>2454.25</v>
      </c>
      <c r="K12195" s="342">
        <v>7938.57</v>
      </c>
      <c r="L12195" s="43">
        <v>9.6778941156483871</v>
      </c>
      <c r="M12195" s="43">
        <v>11.5</v>
      </c>
      <c r="N12195" s="43">
        <v>5.4174116504425758</v>
      </c>
      <c r="O12195" s="43">
        <v>8.0816145780311519</v>
      </c>
      <c r="P12195" s="343"/>
      <c r="Q12195" s="343"/>
      <c r="R12195" s="343">
        <v>4</v>
      </c>
    </row>
    <row r="12196" spans="1:18" ht="24">
      <c r="A12196" s="339">
        <v>171</v>
      </c>
      <c r="B12196" s="336" t="s">
        <v>22220</v>
      </c>
      <c r="C12196" s="340" t="s">
        <v>22221</v>
      </c>
      <c r="D12196" s="341">
        <v>5491.71</v>
      </c>
      <c r="E12196" s="341">
        <v>2506.52</v>
      </c>
      <c r="F12196" s="341">
        <v>994.2</v>
      </c>
      <c r="G12196" s="341">
        <v>1990.99</v>
      </c>
      <c r="H12196" s="342">
        <v>47990.46</v>
      </c>
      <c r="I12196" s="342">
        <v>28824.98</v>
      </c>
      <c r="J12196" s="342">
        <v>5386.79</v>
      </c>
      <c r="K12196" s="342">
        <v>13778.69</v>
      </c>
      <c r="L12196" s="43">
        <v>8.7387098007724369</v>
      </c>
      <c r="M12196" s="43">
        <v>11.5</v>
      </c>
      <c r="N12196" s="43">
        <v>5.4182156507744921</v>
      </c>
      <c r="O12196" s="43">
        <v>6.9205219513910166</v>
      </c>
      <c r="P12196" s="343"/>
      <c r="Q12196" s="343"/>
      <c r="R12196" s="343">
        <v>4</v>
      </c>
    </row>
    <row r="12197" spans="1:18" ht="24">
      <c r="A12197" s="339">
        <v>172</v>
      </c>
      <c r="B12197" s="336" t="s">
        <v>22222</v>
      </c>
      <c r="C12197" s="340" t="s">
        <v>22223</v>
      </c>
      <c r="D12197" s="341">
        <v>379.26</v>
      </c>
      <c r="E12197" s="341">
        <v>267.75</v>
      </c>
      <c r="F12197" s="341">
        <v>88.69</v>
      </c>
      <c r="G12197" s="341">
        <v>22.82</v>
      </c>
      <c r="H12197" s="342">
        <v>3721.14</v>
      </c>
      <c r="I12197" s="342">
        <v>3079.1</v>
      </c>
      <c r="J12197" s="342">
        <v>480.19</v>
      </c>
      <c r="K12197" s="342">
        <v>161.85</v>
      </c>
      <c r="L12197" s="43">
        <v>9.8115804461319414</v>
      </c>
      <c r="M12197" s="43">
        <v>11.499906629318394</v>
      </c>
      <c r="N12197" s="43">
        <v>5.4142518886007442</v>
      </c>
      <c r="O12197" s="43">
        <v>7.0924627519719543</v>
      </c>
      <c r="P12197" s="343"/>
      <c r="Q12197" s="343"/>
      <c r="R12197" s="343">
        <v>4</v>
      </c>
    </row>
    <row r="12198" spans="1:18" ht="24">
      <c r="A12198" s="339">
        <v>173</v>
      </c>
      <c r="B12198" s="336" t="s">
        <v>22224</v>
      </c>
      <c r="C12198" s="340" t="s">
        <v>22225</v>
      </c>
      <c r="D12198" s="341">
        <v>396.65</v>
      </c>
      <c r="E12198" s="341">
        <v>270.95999999999998</v>
      </c>
      <c r="F12198" s="341">
        <v>101.54</v>
      </c>
      <c r="G12198" s="341">
        <v>24.15</v>
      </c>
      <c r="H12198" s="342">
        <v>3839.85</v>
      </c>
      <c r="I12198" s="342">
        <v>3116.15</v>
      </c>
      <c r="J12198" s="342">
        <v>549.96</v>
      </c>
      <c r="K12198" s="342">
        <v>173.74</v>
      </c>
      <c r="L12198" s="43">
        <v>9.6807008697844452</v>
      </c>
      <c r="M12198" s="43">
        <v>11.500405963979924</v>
      </c>
      <c r="N12198" s="43">
        <v>5.4161906637778214</v>
      </c>
      <c r="O12198" s="43">
        <v>7.1942028985507251</v>
      </c>
      <c r="P12198" s="343"/>
      <c r="Q12198" s="343"/>
      <c r="R12198" s="343">
        <v>4</v>
      </c>
    </row>
    <row r="12199" spans="1:18" ht="24">
      <c r="A12199" s="339">
        <v>174</v>
      </c>
      <c r="B12199" s="336" t="s">
        <v>22226</v>
      </c>
      <c r="C12199" s="340" t="s">
        <v>22227</v>
      </c>
      <c r="D12199" s="341">
        <v>341.82</v>
      </c>
      <c r="E12199" s="341">
        <v>246.83</v>
      </c>
      <c r="F12199" s="341">
        <v>62.32</v>
      </c>
      <c r="G12199" s="341">
        <v>32.67</v>
      </c>
      <c r="H12199" s="342">
        <v>3392.46</v>
      </c>
      <c r="I12199" s="342">
        <v>2838.6</v>
      </c>
      <c r="J12199" s="342">
        <v>337.47</v>
      </c>
      <c r="K12199" s="342">
        <v>216.39</v>
      </c>
      <c r="L12199" s="43">
        <v>9.924697209057399</v>
      </c>
      <c r="M12199" s="43">
        <v>11.500222825426405</v>
      </c>
      <c r="N12199" s="43">
        <v>5.4151155327342755</v>
      </c>
      <c r="O12199" s="43">
        <v>6.6235078053259864</v>
      </c>
      <c r="P12199" s="343"/>
      <c r="Q12199" s="343"/>
      <c r="R12199" s="343">
        <v>4</v>
      </c>
    </row>
    <row r="12200" spans="1:18" ht="24">
      <c r="A12200" s="339">
        <v>175</v>
      </c>
      <c r="B12200" s="336" t="s">
        <v>22228</v>
      </c>
      <c r="C12200" s="340" t="s">
        <v>22229</v>
      </c>
      <c r="D12200" s="341">
        <v>221.7</v>
      </c>
      <c r="E12200" s="341">
        <v>192.78</v>
      </c>
      <c r="F12200" s="341">
        <v>10.95</v>
      </c>
      <c r="G12200" s="341">
        <v>17.97</v>
      </c>
      <c r="H12200" s="342">
        <v>2401.54</v>
      </c>
      <c r="I12200" s="342">
        <v>2217.06</v>
      </c>
      <c r="J12200" s="342">
        <v>58.65</v>
      </c>
      <c r="K12200" s="342">
        <v>125.83</v>
      </c>
      <c r="L12200" s="43">
        <v>10.832386107352278</v>
      </c>
      <c r="M12200" s="43">
        <v>11.50046685340803</v>
      </c>
      <c r="N12200" s="43">
        <v>5.3561643835616444</v>
      </c>
      <c r="O12200" s="43">
        <v>7.002225932109071</v>
      </c>
      <c r="P12200" s="343"/>
      <c r="Q12200" s="343"/>
      <c r="R12200" s="343">
        <v>4</v>
      </c>
    </row>
    <row r="12201" spans="1:18" ht="12.75" customHeight="1">
      <c r="A12201" s="628" t="s">
        <v>22230</v>
      </c>
      <c r="B12201" s="629"/>
      <c r="C12201" s="629"/>
      <c r="D12201" s="629"/>
      <c r="E12201" s="629"/>
      <c r="F12201" s="629"/>
      <c r="G12201" s="629"/>
      <c r="H12201" s="629"/>
      <c r="I12201" s="629"/>
      <c r="J12201" s="629"/>
      <c r="K12201" s="629"/>
      <c r="L12201" s="629"/>
      <c r="M12201" s="629"/>
      <c r="N12201" s="629"/>
      <c r="O12201" s="629"/>
      <c r="P12201" s="629"/>
      <c r="Q12201" s="629"/>
      <c r="R12201" s="629"/>
    </row>
    <row r="12202" spans="1:18" ht="24">
      <c r="A12202" s="339">
        <v>176</v>
      </c>
      <c r="B12202" s="336" t="s">
        <v>22231</v>
      </c>
      <c r="C12202" s="340" t="s">
        <v>22232</v>
      </c>
      <c r="D12202" s="341">
        <v>2372</v>
      </c>
      <c r="E12202" s="341">
        <v>1919.84</v>
      </c>
      <c r="F12202" s="341">
        <v>351.66</v>
      </c>
      <c r="G12202" s="341">
        <v>100.5</v>
      </c>
      <c r="H12202" s="342">
        <v>24765.66</v>
      </c>
      <c r="I12202" s="342">
        <v>22078.16</v>
      </c>
      <c r="J12202" s="342">
        <v>1891.69</v>
      </c>
      <c r="K12202" s="342">
        <v>795.81</v>
      </c>
      <c r="L12202" s="43">
        <v>10.4408347386172</v>
      </c>
      <c r="M12202" s="43">
        <v>11.5</v>
      </c>
      <c r="N12202" s="43">
        <v>5.3793152476824204</v>
      </c>
      <c r="O12202" s="43">
        <v>7.9185074626865664</v>
      </c>
      <c r="P12202" s="343"/>
      <c r="Q12202" s="343"/>
      <c r="R12202" s="343">
        <v>5</v>
      </c>
    </row>
    <row r="12203" spans="1:18" ht="24">
      <c r="A12203" s="339">
        <v>177</v>
      </c>
      <c r="B12203" s="336" t="s">
        <v>22233</v>
      </c>
      <c r="C12203" s="340" t="s">
        <v>22234</v>
      </c>
      <c r="D12203" s="341">
        <v>3407.41</v>
      </c>
      <c r="E12203" s="341">
        <v>2226.56</v>
      </c>
      <c r="F12203" s="341">
        <v>1050.57</v>
      </c>
      <c r="G12203" s="341">
        <v>130.28</v>
      </c>
      <c r="H12203" s="342">
        <v>32256.85</v>
      </c>
      <c r="I12203" s="342">
        <v>25605.439999999999</v>
      </c>
      <c r="J12203" s="342">
        <v>5641.16</v>
      </c>
      <c r="K12203" s="342">
        <v>1010.25</v>
      </c>
      <c r="L12203" s="43">
        <v>9.4666770362239934</v>
      </c>
      <c r="M12203" s="43">
        <v>11.5</v>
      </c>
      <c r="N12203" s="43">
        <v>5.3696183976317622</v>
      </c>
      <c r="O12203" s="43">
        <v>7.7544519496469144</v>
      </c>
      <c r="P12203" s="343"/>
      <c r="Q12203" s="343"/>
      <c r="R12203" s="343">
        <v>5</v>
      </c>
    </row>
    <row r="12204" spans="1:18" ht="48">
      <c r="A12204" s="339">
        <v>178</v>
      </c>
      <c r="B12204" s="336" t="s">
        <v>22235</v>
      </c>
      <c r="C12204" s="340" t="s">
        <v>22236</v>
      </c>
      <c r="D12204" s="341">
        <v>807.62</v>
      </c>
      <c r="E12204" s="341">
        <v>448.44</v>
      </c>
      <c r="F12204" s="341">
        <v>287.58</v>
      </c>
      <c r="G12204" s="341">
        <v>71.599999999999994</v>
      </c>
      <c r="H12204" s="342">
        <v>7173.7</v>
      </c>
      <c r="I12204" s="342">
        <v>5157.0600000000004</v>
      </c>
      <c r="J12204" s="342">
        <v>1554.62</v>
      </c>
      <c r="K12204" s="342">
        <v>462.02</v>
      </c>
      <c r="L12204" s="43">
        <v>8.8825190064634363</v>
      </c>
      <c r="M12204" s="43">
        <v>11.500000000000002</v>
      </c>
      <c r="N12204" s="43">
        <v>5.4058696710480563</v>
      </c>
      <c r="O12204" s="43">
        <v>6.4527932960893857</v>
      </c>
      <c r="P12204" s="343"/>
      <c r="Q12204" s="343"/>
      <c r="R12204" s="343">
        <v>5</v>
      </c>
    </row>
    <row r="12205" spans="1:18" ht="12.75" customHeight="1">
      <c r="A12205" s="628" t="s">
        <v>22237</v>
      </c>
      <c r="B12205" s="629"/>
      <c r="C12205" s="629"/>
      <c r="D12205" s="629"/>
      <c r="E12205" s="629"/>
      <c r="F12205" s="629"/>
      <c r="G12205" s="629"/>
      <c r="H12205" s="629"/>
      <c r="I12205" s="629"/>
      <c r="J12205" s="629"/>
      <c r="K12205" s="629"/>
      <c r="L12205" s="629"/>
      <c r="M12205" s="629"/>
      <c r="N12205" s="629"/>
      <c r="O12205" s="629"/>
      <c r="P12205" s="629"/>
      <c r="Q12205" s="629"/>
      <c r="R12205" s="629"/>
    </row>
    <row r="12206" spans="1:18" ht="24">
      <c r="A12206" s="339">
        <v>179</v>
      </c>
      <c r="B12206" s="336" t="s">
        <v>22238</v>
      </c>
      <c r="C12206" s="340" t="s">
        <v>22239</v>
      </c>
      <c r="D12206" s="341">
        <v>3140.69</v>
      </c>
      <c r="E12206" s="341">
        <v>1738.08</v>
      </c>
      <c r="F12206" s="341">
        <v>374.78</v>
      </c>
      <c r="G12206" s="341">
        <v>1027.83</v>
      </c>
      <c r="H12206" s="342">
        <v>30421.119999999999</v>
      </c>
      <c r="I12206" s="342">
        <v>19987.919999999998</v>
      </c>
      <c r="J12206" s="342">
        <v>2026.17</v>
      </c>
      <c r="K12206" s="342">
        <v>8407.0300000000007</v>
      </c>
      <c r="L12206" s="43">
        <v>9.6861262970875828</v>
      </c>
      <c r="M12206" s="43">
        <v>11.5</v>
      </c>
      <c r="N12206" s="43">
        <v>5.4062916911254613</v>
      </c>
      <c r="O12206" s="43">
        <v>8.1793973711606025</v>
      </c>
      <c r="P12206" s="343"/>
      <c r="Q12206" s="343"/>
      <c r="R12206" s="343">
        <v>6</v>
      </c>
    </row>
    <row r="12207" spans="1:18" ht="24">
      <c r="A12207" s="339">
        <v>180</v>
      </c>
      <c r="B12207" s="336" t="s">
        <v>22240</v>
      </c>
      <c r="C12207" s="340" t="s">
        <v>22241</v>
      </c>
      <c r="D12207" s="341">
        <v>2529.8000000000002</v>
      </c>
      <c r="E12207" s="341">
        <v>1806.24</v>
      </c>
      <c r="F12207" s="341">
        <v>508.81</v>
      </c>
      <c r="G12207" s="341">
        <v>214.75</v>
      </c>
      <c r="H12207" s="342">
        <v>24832.52</v>
      </c>
      <c r="I12207" s="342">
        <v>20771.759999999998</v>
      </c>
      <c r="J12207" s="342">
        <v>2758.12</v>
      </c>
      <c r="K12207" s="342">
        <v>1302.6400000000001</v>
      </c>
      <c r="L12207" s="43">
        <v>9.8160012649221269</v>
      </c>
      <c r="M12207" s="43">
        <v>11.499999999999998</v>
      </c>
      <c r="N12207" s="43">
        <v>5.420726793891629</v>
      </c>
      <c r="O12207" s="43">
        <v>6.0658440046565776</v>
      </c>
      <c r="P12207" s="343"/>
      <c r="Q12207" s="343"/>
      <c r="R12207" s="343">
        <v>6</v>
      </c>
    </row>
    <row r="12208" spans="1:18" ht="24">
      <c r="A12208" s="339">
        <v>181</v>
      </c>
      <c r="B12208" s="336" t="s">
        <v>22242</v>
      </c>
      <c r="C12208" s="340" t="s">
        <v>22243</v>
      </c>
      <c r="D12208" s="341">
        <v>1901.04</v>
      </c>
      <c r="E12208" s="341">
        <v>1397.28</v>
      </c>
      <c r="F12208" s="341">
        <v>397.34</v>
      </c>
      <c r="G12208" s="341">
        <v>106.42</v>
      </c>
      <c r="H12208" s="342">
        <v>19041.32</v>
      </c>
      <c r="I12208" s="342">
        <v>16068.72</v>
      </c>
      <c r="J12208" s="342">
        <v>2153.44</v>
      </c>
      <c r="K12208" s="342">
        <v>819.16</v>
      </c>
      <c r="L12208" s="43">
        <v>10.016264781382823</v>
      </c>
      <c r="M12208" s="43">
        <v>11.5</v>
      </c>
      <c r="N12208" s="43">
        <v>5.419640610056879</v>
      </c>
      <c r="O12208" s="43">
        <v>7.6974252959969922</v>
      </c>
      <c r="P12208" s="343"/>
      <c r="Q12208" s="343"/>
      <c r="R12208" s="343">
        <v>6</v>
      </c>
    </row>
    <row r="12209" spans="1:18" ht="24">
      <c r="A12209" s="339">
        <v>182</v>
      </c>
      <c r="B12209" s="336" t="s">
        <v>22244</v>
      </c>
      <c r="C12209" s="340" t="s">
        <v>22245</v>
      </c>
      <c r="D12209" s="341">
        <v>2700.58</v>
      </c>
      <c r="E12209" s="341">
        <v>1287.5999999999999</v>
      </c>
      <c r="F12209" s="341">
        <v>1247.21</v>
      </c>
      <c r="G12209" s="341">
        <v>165.77</v>
      </c>
      <c r="H12209" s="342">
        <v>22806.94</v>
      </c>
      <c r="I12209" s="342">
        <v>14807.4</v>
      </c>
      <c r="J12209" s="342">
        <v>6728.92</v>
      </c>
      <c r="K12209" s="342">
        <v>1270.6199999999999</v>
      </c>
      <c r="L12209" s="43">
        <v>8.4452006605988341</v>
      </c>
      <c r="M12209" s="43">
        <v>11.5</v>
      </c>
      <c r="N12209" s="43">
        <v>5.3951780373794307</v>
      </c>
      <c r="O12209" s="43">
        <v>7.6649574711950281</v>
      </c>
      <c r="P12209" s="343"/>
      <c r="Q12209" s="343"/>
      <c r="R12209" s="343">
        <v>6</v>
      </c>
    </row>
    <row r="12210" spans="1:18" ht="24">
      <c r="A12210" s="339">
        <v>183</v>
      </c>
      <c r="B12210" s="336" t="s">
        <v>22246</v>
      </c>
      <c r="C12210" s="340" t="s">
        <v>22247</v>
      </c>
      <c r="D12210" s="341">
        <v>1050.46</v>
      </c>
      <c r="E12210" s="341">
        <v>548.34</v>
      </c>
      <c r="F12210" s="341">
        <v>373.92</v>
      </c>
      <c r="G12210" s="341">
        <v>128.19999999999999</v>
      </c>
      <c r="H12210" s="342">
        <v>9166.77</v>
      </c>
      <c r="I12210" s="342">
        <v>6305.91</v>
      </c>
      <c r="J12210" s="342">
        <v>2022.49</v>
      </c>
      <c r="K12210" s="342">
        <v>838.37</v>
      </c>
      <c r="L12210" s="43">
        <v>8.7264341336176532</v>
      </c>
      <c r="M12210" s="43">
        <v>11.499999999999998</v>
      </c>
      <c r="N12210" s="43">
        <v>5.4088842533162174</v>
      </c>
      <c r="O12210" s="43">
        <v>6.5395475819032765</v>
      </c>
      <c r="P12210" s="343"/>
      <c r="Q12210" s="343"/>
      <c r="R12210" s="343">
        <v>6</v>
      </c>
    </row>
    <row r="12211" spans="1:18" ht="24">
      <c r="A12211" s="339">
        <v>184</v>
      </c>
      <c r="B12211" s="336" t="s">
        <v>22248</v>
      </c>
      <c r="C12211" s="340" t="s">
        <v>22249</v>
      </c>
      <c r="D12211" s="341">
        <v>542.52</v>
      </c>
      <c r="E12211" s="341">
        <v>324.12</v>
      </c>
      <c r="F12211" s="341">
        <v>147.93</v>
      </c>
      <c r="G12211" s="341">
        <v>70.47</v>
      </c>
      <c r="H12211" s="342">
        <v>4949.8999999999996</v>
      </c>
      <c r="I12211" s="342">
        <v>3727.38</v>
      </c>
      <c r="J12211" s="342">
        <v>799.4</v>
      </c>
      <c r="K12211" s="342">
        <v>423.12</v>
      </c>
      <c r="L12211" s="43">
        <v>9.1239032662390329</v>
      </c>
      <c r="M12211" s="43">
        <v>11.5</v>
      </c>
      <c r="N12211" s="43">
        <v>5.4039072534306767</v>
      </c>
      <c r="O12211" s="43">
        <v>6.0042571306939125</v>
      </c>
      <c r="P12211" s="343"/>
      <c r="Q12211" s="343"/>
      <c r="R12211" s="343">
        <v>6</v>
      </c>
    </row>
    <row r="12212" spans="1:18" ht="12.75" customHeight="1">
      <c r="A12212" s="628" t="s">
        <v>22250</v>
      </c>
      <c r="B12212" s="629"/>
      <c r="C12212" s="629"/>
      <c r="D12212" s="629"/>
      <c r="E12212" s="629"/>
      <c r="F12212" s="629"/>
      <c r="G12212" s="629"/>
      <c r="H12212" s="629"/>
      <c r="I12212" s="629"/>
      <c r="J12212" s="629"/>
      <c r="K12212" s="629"/>
      <c r="L12212" s="629"/>
      <c r="M12212" s="629"/>
      <c r="N12212" s="629"/>
      <c r="O12212" s="629"/>
      <c r="P12212" s="629"/>
      <c r="Q12212" s="629"/>
      <c r="R12212" s="629"/>
    </row>
    <row r="12213" spans="1:18" ht="12.75" customHeight="1">
      <c r="A12213" s="628" t="s">
        <v>22251</v>
      </c>
      <c r="B12213" s="629"/>
      <c r="C12213" s="629"/>
      <c r="D12213" s="629"/>
      <c r="E12213" s="629"/>
      <c r="F12213" s="629"/>
      <c r="G12213" s="629"/>
      <c r="H12213" s="629"/>
      <c r="I12213" s="629"/>
      <c r="J12213" s="629"/>
      <c r="K12213" s="629"/>
      <c r="L12213" s="629"/>
      <c r="M12213" s="629"/>
      <c r="N12213" s="629"/>
      <c r="O12213" s="629"/>
      <c r="P12213" s="629"/>
      <c r="Q12213" s="629"/>
      <c r="R12213" s="629"/>
    </row>
    <row r="12214" spans="1:18" ht="24">
      <c r="A12214" s="339">
        <v>185</v>
      </c>
      <c r="B12214" s="336" t="s">
        <v>22252</v>
      </c>
      <c r="C12214" s="340" t="s">
        <v>22253</v>
      </c>
      <c r="D12214" s="341">
        <v>511.7</v>
      </c>
      <c r="E12214" s="341">
        <v>357.62</v>
      </c>
      <c r="F12214" s="341">
        <v>117.32</v>
      </c>
      <c r="G12214" s="341">
        <v>36.76</v>
      </c>
      <c r="H12214" s="342">
        <v>5005.47</v>
      </c>
      <c r="I12214" s="342">
        <v>4112.82</v>
      </c>
      <c r="J12214" s="342">
        <v>635.33000000000004</v>
      </c>
      <c r="K12214" s="342">
        <v>257.32</v>
      </c>
      <c r="L12214" s="43">
        <v>9.7820402579636507</v>
      </c>
      <c r="M12214" s="43">
        <v>11.500531290196296</v>
      </c>
      <c r="N12214" s="43">
        <v>5.4153596999659062</v>
      </c>
      <c r="O12214" s="43">
        <v>7</v>
      </c>
      <c r="P12214" s="343"/>
      <c r="Q12214" s="343"/>
      <c r="R12214" s="343">
        <v>1</v>
      </c>
    </row>
    <row r="12215" spans="1:18" ht="12.75" customHeight="1">
      <c r="A12215" s="628" t="s">
        <v>22254</v>
      </c>
      <c r="B12215" s="629"/>
      <c r="C12215" s="629"/>
      <c r="D12215" s="629"/>
      <c r="E12215" s="629"/>
      <c r="F12215" s="629"/>
      <c r="G12215" s="629"/>
      <c r="H12215" s="629"/>
      <c r="I12215" s="629"/>
      <c r="J12215" s="629"/>
      <c r="K12215" s="629"/>
      <c r="L12215" s="629"/>
      <c r="M12215" s="629"/>
      <c r="N12215" s="629"/>
      <c r="O12215" s="629"/>
      <c r="P12215" s="629"/>
      <c r="Q12215" s="629"/>
      <c r="R12215" s="629"/>
    </row>
    <row r="12216" spans="1:18" ht="36">
      <c r="A12216" s="339">
        <v>186</v>
      </c>
      <c r="B12216" s="336" t="s">
        <v>22255</v>
      </c>
      <c r="C12216" s="340" t="s">
        <v>22256</v>
      </c>
      <c r="D12216" s="341">
        <v>539.13</v>
      </c>
      <c r="E12216" s="341">
        <v>369.69</v>
      </c>
      <c r="F12216" s="341">
        <v>125.33</v>
      </c>
      <c r="G12216" s="341">
        <v>44.11</v>
      </c>
      <c r="H12216" s="342">
        <v>5231.3900000000003</v>
      </c>
      <c r="I12216" s="342">
        <v>4251.59</v>
      </c>
      <c r="J12216" s="342">
        <v>678.55</v>
      </c>
      <c r="K12216" s="342">
        <v>301.25</v>
      </c>
      <c r="L12216" s="43">
        <v>9.7033925027358894</v>
      </c>
      <c r="M12216" s="43">
        <v>11.500419270199357</v>
      </c>
      <c r="N12216" s="43">
        <v>5.4141067581584617</v>
      </c>
      <c r="O12216" s="43">
        <v>6.8295171163001589</v>
      </c>
      <c r="P12216" s="343"/>
      <c r="Q12216" s="343"/>
      <c r="R12216" s="343">
        <v>2</v>
      </c>
    </row>
    <row r="12217" spans="1:18" ht="36">
      <c r="A12217" s="339">
        <v>187</v>
      </c>
      <c r="B12217" s="336" t="s">
        <v>22257</v>
      </c>
      <c r="C12217" s="340" t="s">
        <v>22258</v>
      </c>
      <c r="D12217" s="341">
        <v>596.35</v>
      </c>
      <c r="E12217" s="341">
        <v>394.92</v>
      </c>
      <c r="F12217" s="341">
        <v>156.81</v>
      </c>
      <c r="G12217" s="341">
        <v>44.62</v>
      </c>
      <c r="H12217" s="342">
        <v>5698.02</v>
      </c>
      <c r="I12217" s="342">
        <v>4541.76</v>
      </c>
      <c r="J12217" s="342">
        <v>849.15</v>
      </c>
      <c r="K12217" s="342">
        <v>307.11</v>
      </c>
      <c r="L12217" s="43">
        <v>9.5548251865515219</v>
      </c>
      <c r="M12217" s="43">
        <v>11.500455788514129</v>
      </c>
      <c r="N12217" s="43">
        <v>5.4151520948919067</v>
      </c>
      <c r="O12217" s="43">
        <v>6.882787987449575</v>
      </c>
      <c r="P12217" s="343"/>
      <c r="Q12217" s="343"/>
      <c r="R12217" s="343">
        <v>2</v>
      </c>
    </row>
    <row r="12218" spans="1:18" ht="36">
      <c r="A12218" s="339">
        <v>188</v>
      </c>
      <c r="B12218" s="336" t="s">
        <v>22259</v>
      </c>
      <c r="C12218" s="340" t="s">
        <v>22260</v>
      </c>
      <c r="D12218" s="341">
        <v>561.67999999999995</v>
      </c>
      <c r="E12218" s="341">
        <v>374.07</v>
      </c>
      <c r="F12218" s="341">
        <v>143.41</v>
      </c>
      <c r="G12218" s="341">
        <v>44.2</v>
      </c>
      <c r="H12218" s="342">
        <v>5380.68</v>
      </c>
      <c r="I12218" s="342">
        <v>4301.8100000000004</v>
      </c>
      <c r="J12218" s="342">
        <v>776.59</v>
      </c>
      <c r="K12218" s="342">
        <v>302.27999999999997</v>
      </c>
      <c r="L12218" s="43">
        <v>9.5796182879931653</v>
      </c>
      <c r="M12218" s="43">
        <v>11.500013366482211</v>
      </c>
      <c r="N12218" s="43">
        <v>5.4151732794086884</v>
      </c>
      <c r="O12218" s="43">
        <v>6.8389140271493201</v>
      </c>
      <c r="P12218" s="343"/>
      <c r="Q12218" s="343"/>
      <c r="R12218" s="343">
        <v>2</v>
      </c>
    </row>
    <row r="12219" spans="1:18" ht="36">
      <c r="A12219" s="339">
        <v>189</v>
      </c>
      <c r="B12219" s="336" t="s">
        <v>22261</v>
      </c>
      <c r="C12219" s="340" t="s">
        <v>22262</v>
      </c>
      <c r="D12219" s="341">
        <v>814.32</v>
      </c>
      <c r="E12219" s="341">
        <v>419.05</v>
      </c>
      <c r="F12219" s="341">
        <v>321.51</v>
      </c>
      <c r="G12219" s="341">
        <v>73.760000000000005</v>
      </c>
      <c r="H12219" s="342">
        <v>7030.63</v>
      </c>
      <c r="I12219" s="342">
        <v>4819.3100000000004</v>
      </c>
      <c r="J12219" s="342">
        <v>1731.95</v>
      </c>
      <c r="K12219" s="342">
        <v>479.37</v>
      </c>
      <c r="L12219" s="43">
        <v>8.633743491502111</v>
      </c>
      <c r="M12219" s="43">
        <v>11.500560792268226</v>
      </c>
      <c r="N12219" s="43">
        <v>5.3869242014245282</v>
      </c>
      <c r="O12219" s="43">
        <v>6.499050976138828</v>
      </c>
      <c r="P12219" s="343"/>
      <c r="Q12219" s="343"/>
      <c r="R12219" s="343">
        <v>2</v>
      </c>
    </row>
    <row r="12220" spans="1:18" ht="12.75" customHeight="1">
      <c r="A12220" s="628" t="s">
        <v>22263</v>
      </c>
      <c r="B12220" s="629"/>
      <c r="C12220" s="629"/>
      <c r="D12220" s="629"/>
      <c r="E12220" s="629"/>
      <c r="F12220" s="629"/>
      <c r="G12220" s="629"/>
      <c r="H12220" s="629"/>
      <c r="I12220" s="629"/>
      <c r="J12220" s="629"/>
      <c r="K12220" s="629"/>
      <c r="L12220" s="629"/>
      <c r="M12220" s="629"/>
      <c r="N12220" s="629"/>
      <c r="O12220" s="629"/>
      <c r="P12220" s="629"/>
      <c r="Q12220" s="629"/>
      <c r="R12220" s="629"/>
    </row>
    <row r="12221" spans="1:18" ht="36">
      <c r="A12221" s="339">
        <v>190</v>
      </c>
      <c r="B12221" s="336" t="s">
        <v>22264</v>
      </c>
      <c r="C12221" s="340" t="s">
        <v>22265</v>
      </c>
      <c r="D12221" s="341">
        <v>1120.8499999999999</v>
      </c>
      <c r="E12221" s="341">
        <v>492.55</v>
      </c>
      <c r="F12221" s="341">
        <v>548.54</v>
      </c>
      <c r="G12221" s="341">
        <v>79.760000000000005</v>
      </c>
      <c r="H12221" s="342">
        <v>9162.9699999999993</v>
      </c>
      <c r="I12221" s="342">
        <v>5664.58</v>
      </c>
      <c r="J12221" s="342">
        <v>2962.48</v>
      </c>
      <c r="K12221" s="342">
        <v>535.91</v>
      </c>
      <c r="L12221" s="43">
        <v>8.1750189588258912</v>
      </c>
      <c r="M12221" s="43">
        <v>11.50051771393767</v>
      </c>
      <c r="N12221" s="43">
        <v>5.4006635796842533</v>
      </c>
      <c r="O12221" s="43">
        <v>6.7190320962888661</v>
      </c>
      <c r="P12221" s="343"/>
      <c r="Q12221" s="343"/>
      <c r="R12221" s="343">
        <v>3</v>
      </c>
    </row>
    <row r="12222" spans="1:18" ht="36">
      <c r="A12222" s="339">
        <v>191</v>
      </c>
      <c r="B12222" s="336" t="s">
        <v>22266</v>
      </c>
      <c r="C12222" s="340" t="s">
        <v>22267</v>
      </c>
      <c r="D12222" s="341">
        <v>1403.68</v>
      </c>
      <c r="E12222" s="341">
        <v>573.87</v>
      </c>
      <c r="F12222" s="341">
        <v>746.04</v>
      </c>
      <c r="G12222" s="341">
        <v>83.77</v>
      </c>
      <c r="H12222" s="342">
        <v>11207.46</v>
      </c>
      <c r="I12222" s="342">
        <v>6599.51</v>
      </c>
      <c r="J12222" s="342">
        <v>4032.44</v>
      </c>
      <c r="K12222" s="342">
        <v>575.51</v>
      </c>
      <c r="L12222" s="43">
        <v>7.9843411603784329</v>
      </c>
      <c r="M12222" s="43">
        <v>11.500008712774671</v>
      </c>
      <c r="N12222" s="43">
        <v>5.4051257305238325</v>
      </c>
      <c r="O12222" s="43">
        <v>6.8701205682225144</v>
      </c>
      <c r="P12222" s="343"/>
      <c r="Q12222" s="343"/>
      <c r="R12222" s="343">
        <v>3</v>
      </c>
    </row>
    <row r="12223" spans="1:18" ht="36">
      <c r="A12223" s="339">
        <v>192</v>
      </c>
      <c r="B12223" s="336" t="s">
        <v>22268</v>
      </c>
      <c r="C12223" s="340" t="s">
        <v>22269</v>
      </c>
      <c r="D12223" s="341">
        <v>1701.49</v>
      </c>
      <c r="E12223" s="341">
        <v>727.31</v>
      </c>
      <c r="F12223" s="341">
        <v>869.12</v>
      </c>
      <c r="G12223" s="341">
        <v>105.06</v>
      </c>
      <c r="H12223" s="342">
        <v>13762.75</v>
      </c>
      <c r="I12223" s="342">
        <v>8364.41</v>
      </c>
      <c r="J12223" s="342">
        <v>4691.1400000000003</v>
      </c>
      <c r="K12223" s="342">
        <v>707.2</v>
      </c>
      <c r="L12223" s="43">
        <v>8.0886458339455416</v>
      </c>
      <c r="M12223" s="43">
        <v>11.500474350689528</v>
      </c>
      <c r="N12223" s="43">
        <v>5.3975745581737851</v>
      </c>
      <c r="O12223" s="43">
        <v>6.7313915857605178</v>
      </c>
      <c r="P12223" s="343"/>
      <c r="Q12223" s="343"/>
      <c r="R12223" s="343">
        <v>3</v>
      </c>
    </row>
    <row r="12224" spans="1:18" ht="12.75" customHeight="1">
      <c r="A12224" s="628" t="s">
        <v>22270</v>
      </c>
      <c r="B12224" s="629"/>
      <c r="C12224" s="629"/>
      <c r="D12224" s="629"/>
      <c r="E12224" s="629"/>
      <c r="F12224" s="629"/>
      <c r="G12224" s="629"/>
      <c r="H12224" s="629"/>
      <c r="I12224" s="629"/>
      <c r="J12224" s="629"/>
      <c r="K12224" s="629"/>
      <c r="L12224" s="629"/>
      <c r="M12224" s="629"/>
      <c r="N12224" s="629"/>
      <c r="O12224" s="629"/>
      <c r="P12224" s="629"/>
      <c r="Q12224" s="629"/>
      <c r="R12224" s="629"/>
    </row>
    <row r="12225" spans="1:18" ht="36">
      <c r="A12225" s="339">
        <v>193</v>
      </c>
      <c r="B12225" s="336" t="s">
        <v>22271</v>
      </c>
      <c r="C12225" s="340" t="s">
        <v>22272</v>
      </c>
      <c r="D12225" s="341">
        <v>10785.54</v>
      </c>
      <c r="E12225" s="341">
        <v>7588.48</v>
      </c>
      <c r="F12225" s="341">
        <v>2726.87</v>
      </c>
      <c r="G12225" s="341">
        <v>470.19</v>
      </c>
      <c r="H12225" s="342">
        <v>105922.29</v>
      </c>
      <c r="I12225" s="342">
        <v>87267.520000000004</v>
      </c>
      <c r="J12225" s="342">
        <v>14631</v>
      </c>
      <c r="K12225" s="342">
        <v>4023.77</v>
      </c>
      <c r="L12225" s="43">
        <v>9.8207683620847899</v>
      </c>
      <c r="M12225" s="43">
        <v>11.500000000000002</v>
      </c>
      <c r="N12225" s="43">
        <v>5.3654923043636114</v>
      </c>
      <c r="O12225" s="43">
        <v>8.5577532486867014</v>
      </c>
      <c r="P12225" s="343"/>
      <c r="Q12225" s="343"/>
      <c r="R12225" s="343">
        <v>4</v>
      </c>
    </row>
    <row r="12226" spans="1:18" ht="36">
      <c r="A12226" s="339">
        <v>194</v>
      </c>
      <c r="B12226" s="336" t="s">
        <v>22273</v>
      </c>
      <c r="C12226" s="340" t="s">
        <v>22274</v>
      </c>
      <c r="D12226" s="341">
        <v>9401.6299999999992</v>
      </c>
      <c r="E12226" s="341">
        <v>5623.2</v>
      </c>
      <c r="F12226" s="341">
        <v>3290.43</v>
      </c>
      <c r="G12226" s="341">
        <v>488</v>
      </c>
      <c r="H12226" s="342">
        <v>86464.66</v>
      </c>
      <c r="I12226" s="342">
        <v>64666.8</v>
      </c>
      <c r="J12226" s="342">
        <v>17725.52</v>
      </c>
      <c r="K12226" s="342">
        <v>4072.34</v>
      </c>
      <c r="L12226" s="43">
        <v>9.1967733254765403</v>
      </c>
      <c r="M12226" s="43">
        <v>11.500000000000002</v>
      </c>
      <c r="N12226" s="43">
        <v>5.3869919736934087</v>
      </c>
      <c r="O12226" s="43">
        <v>8.3449590163934424</v>
      </c>
      <c r="P12226" s="343"/>
      <c r="Q12226" s="343"/>
      <c r="R12226" s="343">
        <v>4</v>
      </c>
    </row>
    <row r="12227" spans="1:18" ht="36">
      <c r="A12227" s="339">
        <v>195</v>
      </c>
      <c r="B12227" s="336" t="s">
        <v>22275</v>
      </c>
      <c r="C12227" s="340" t="s">
        <v>22276</v>
      </c>
      <c r="D12227" s="341">
        <v>14127.31</v>
      </c>
      <c r="E12227" s="341">
        <v>9496.9599999999991</v>
      </c>
      <c r="F12227" s="341">
        <v>3726.07</v>
      </c>
      <c r="G12227" s="341">
        <v>904.28</v>
      </c>
      <c r="H12227" s="342">
        <v>137145.96</v>
      </c>
      <c r="I12227" s="342">
        <v>109215.03999999999</v>
      </c>
      <c r="J12227" s="342">
        <v>20001.79</v>
      </c>
      <c r="K12227" s="342">
        <v>7929.13</v>
      </c>
      <c r="L12227" s="43">
        <v>9.7078608737261369</v>
      </c>
      <c r="M12227" s="43">
        <v>11.5</v>
      </c>
      <c r="N12227" s="43">
        <v>5.3680660857149762</v>
      </c>
      <c r="O12227" s="43">
        <v>8.7684456141902949</v>
      </c>
      <c r="P12227" s="343"/>
      <c r="Q12227" s="343"/>
      <c r="R12227" s="343">
        <v>4</v>
      </c>
    </row>
    <row r="12228" spans="1:18" ht="36">
      <c r="A12228" s="339">
        <v>196</v>
      </c>
      <c r="B12228" s="336" t="s">
        <v>22277</v>
      </c>
      <c r="C12228" s="340" t="s">
        <v>22278</v>
      </c>
      <c r="D12228" s="341">
        <v>26864.02</v>
      </c>
      <c r="E12228" s="341">
        <v>10959</v>
      </c>
      <c r="F12228" s="341">
        <v>4940.4399999999996</v>
      </c>
      <c r="G12228" s="341">
        <v>10964.58</v>
      </c>
      <c r="H12228" s="342">
        <v>220450.2</v>
      </c>
      <c r="I12228" s="342">
        <v>126028.5</v>
      </c>
      <c r="J12228" s="342">
        <v>27924.880000000001</v>
      </c>
      <c r="K12228" s="342">
        <v>66496.820000000007</v>
      </c>
      <c r="L12228" s="43">
        <v>8.2061508292504257</v>
      </c>
      <c r="M12228" s="43">
        <v>11.5</v>
      </c>
      <c r="N12228" s="43">
        <v>5.6523062723158271</v>
      </c>
      <c r="O12228" s="43">
        <v>6.0646937684799607</v>
      </c>
      <c r="P12228" s="343"/>
      <c r="Q12228" s="343"/>
      <c r="R12228" s="343">
        <v>4</v>
      </c>
    </row>
    <row r="12229" spans="1:18" ht="36">
      <c r="A12229" s="339">
        <v>197</v>
      </c>
      <c r="B12229" s="336" t="s">
        <v>22279</v>
      </c>
      <c r="C12229" s="340" t="s">
        <v>22280</v>
      </c>
      <c r="D12229" s="341">
        <v>13615.84</v>
      </c>
      <c r="E12229" s="341">
        <v>9349.2800000000007</v>
      </c>
      <c r="F12229" s="341">
        <v>3399.39</v>
      </c>
      <c r="G12229" s="341">
        <v>867.17</v>
      </c>
      <c r="H12229" s="342">
        <v>133368.09</v>
      </c>
      <c r="I12229" s="342">
        <v>107516.72</v>
      </c>
      <c r="J12229" s="342">
        <v>18251.849999999999</v>
      </c>
      <c r="K12229" s="342">
        <v>7599.52</v>
      </c>
      <c r="L12229" s="43">
        <v>9.7950688315961401</v>
      </c>
      <c r="M12229" s="43">
        <v>11.5</v>
      </c>
      <c r="N12229" s="43">
        <v>5.3691544659483021</v>
      </c>
      <c r="O12229" s="43">
        <v>8.7635873012212144</v>
      </c>
      <c r="P12229" s="343"/>
      <c r="Q12229" s="343"/>
      <c r="R12229" s="343">
        <v>4</v>
      </c>
    </row>
    <row r="12230" spans="1:18" ht="36">
      <c r="A12230" s="339">
        <v>198</v>
      </c>
      <c r="B12230" s="336" t="s">
        <v>22281</v>
      </c>
      <c r="C12230" s="340" t="s">
        <v>22282</v>
      </c>
      <c r="D12230" s="341">
        <v>5186.33</v>
      </c>
      <c r="E12230" s="341">
        <v>2464.1999999999998</v>
      </c>
      <c r="F12230" s="341">
        <v>1961.63</v>
      </c>
      <c r="G12230" s="341">
        <v>760.5</v>
      </c>
      <c r="H12230" s="342">
        <v>45183.5</v>
      </c>
      <c r="I12230" s="342">
        <v>28338.3</v>
      </c>
      <c r="J12230" s="342">
        <v>10551.72</v>
      </c>
      <c r="K12230" s="342">
        <v>6293.48</v>
      </c>
      <c r="L12230" s="43">
        <v>8.7120372209250085</v>
      </c>
      <c r="M12230" s="43">
        <v>11.5</v>
      </c>
      <c r="N12230" s="43">
        <v>5.3790572126241942</v>
      </c>
      <c r="O12230" s="43">
        <v>8.2754503616042072</v>
      </c>
      <c r="P12230" s="343"/>
      <c r="Q12230" s="343"/>
      <c r="R12230" s="343">
        <v>4</v>
      </c>
    </row>
    <row r="12231" spans="1:18" ht="12.75" customHeight="1">
      <c r="A12231" s="628" t="s">
        <v>22283</v>
      </c>
      <c r="B12231" s="629"/>
      <c r="C12231" s="629"/>
      <c r="D12231" s="629"/>
      <c r="E12231" s="629"/>
      <c r="F12231" s="629"/>
      <c r="G12231" s="629"/>
      <c r="H12231" s="629"/>
      <c r="I12231" s="629"/>
      <c r="J12231" s="629"/>
      <c r="K12231" s="629"/>
      <c r="L12231" s="629"/>
      <c r="M12231" s="629"/>
      <c r="N12231" s="629"/>
      <c r="O12231" s="629"/>
      <c r="P12231" s="629"/>
      <c r="Q12231" s="629"/>
      <c r="R12231" s="629"/>
    </row>
    <row r="12232" spans="1:18" ht="12.75" customHeight="1">
      <c r="A12232" s="628" t="s">
        <v>22284</v>
      </c>
      <c r="B12232" s="629"/>
      <c r="C12232" s="629"/>
      <c r="D12232" s="629"/>
      <c r="E12232" s="629"/>
      <c r="F12232" s="629"/>
      <c r="G12232" s="629"/>
      <c r="H12232" s="629"/>
      <c r="I12232" s="629"/>
      <c r="J12232" s="629"/>
      <c r="K12232" s="629"/>
      <c r="L12232" s="629"/>
      <c r="M12232" s="629"/>
      <c r="N12232" s="629"/>
      <c r="O12232" s="629"/>
      <c r="P12232" s="629"/>
      <c r="Q12232" s="629"/>
      <c r="R12232" s="629"/>
    </row>
    <row r="12233" spans="1:18" ht="24">
      <c r="A12233" s="339">
        <v>199</v>
      </c>
      <c r="B12233" s="336" t="s">
        <v>22285</v>
      </c>
      <c r="C12233" s="340" t="s">
        <v>22286</v>
      </c>
      <c r="D12233" s="341">
        <v>1179.3</v>
      </c>
      <c r="E12233" s="341">
        <v>969.01</v>
      </c>
      <c r="F12233" s="341">
        <v>155.86000000000001</v>
      </c>
      <c r="G12233" s="341">
        <v>54.43</v>
      </c>
      <c r="H12233" s="342">
        <v>12412.26</v>
      </c>
      <c r="I12233" s="342">
        <v>11143.59</v>
      </c>
      <c r="J12233" s="342">
        <v>844.14</v>
      </c>
      <c r="K12233" s="342">
        <v>424.53</v>
      </c>
      <c r="L12233" s="43">
        <v>10.525108114983466</v>
      </c>
      <c r="M12233" s="43">
        <v>11.499974200472648</v>
      </c>
      <c r="N12233" s="43">
        <v>5.4160143718721923</v>
      </c>
      <c r="O12233" s="43">
        <v>7.7995590666911623</v>
      </c>
      <c r="P12233" s="343"/>
      <c r="Q12233" s="343"/>
      <c r="R12233" s="343">
        <v>1</v>
      </c>
    </row>
    <row r="12234" spans="1:18" ht="24">
      <c r="A12234" s="339">
        <v>200</v>
      </c>
      <c r="B12234" s="336" t="s">
        <v>22287</v>
      </c>
      <c r="C12234" s="340" t="s">
        <v>22288</v>
      </c>
      <c r="D12234" s="341">
        <v>2597.19</v>
      </c>
      <c r="E12234" s="341">
        <v>1953.92</v>
      </c>
      <c r="F12234" s="341">
        <v>518.91999999999996</v>
      </c>
      <c r="G12234" s="341">
        <v>124.35</v>
      </c>
      <c r="H12234" s="342">
        <v>26221.85</v>
      </c>
      <c r="I12234" s="342">
        <v>22470.080000000002</v>
      </c>
      <c r="J12234" s="342">
        <v>2808.37</v>
      </c>
      <c r="K12234" s="342">
        <v>943.4</v>
      </c>
      <c r="L12234" s="43">
        <v>10.09623862713163</v>
      </c>
      <c r="M12234" s="43">
        <v>11.5</v>
      </c>
      <c r="N12234" s="43">
        <v>5.4119517459338624</v>
      </c>
      <c r="O12234" s="43">
        <v>7.5866505830317656</v>
      </c>
      <c r="P12234" s="343"/>
      <c r="Q12234" s="343"/>
      <c r="R12234" s="343">
        <v>1</v>
      </c>
    </row>
    <row r="12235" spans="1:18" ht="24">
      <c r="A12235" s="339">
        <v>201</v>
      </c>
      <c r="B12235" s="336" t="s">
        <v>22289</v>
      </c>
      <c r="C12235" s="340" t="s">
        <v>22290</v>
      </c>
      <c r="D12235" s="341">
        <v>9901</v>
      </c>
      <c r="E12235" s="341">
        <v>7293.12</v>
      </c>
      <c r="F12235" s="341">
        <v>2011.82</v>
      </c>
      <c r="G12235" s="341">
        <v>596.05999999999995</v>
      </c>
      <c r="H12235" s="342">
        <v>100725.04</v>
      </c>
      <c r="I12235" s="342">
        <v>83870.880000000005</v>
      </c>
      <c r="J12235" s="342">
        <v>10893.1</v>
      </c>
      <c r="K12235" s="342">
        <v>5961.06</v>
      </c>
      <c r="L12235" s="43">
        <v>10.173218866781133</v>
      </c>
      <c r="M12235" s="43">
        <v>11.5</v>
      </c>
      <c r="N12235" s="43">
        <v>5.4145500094441852</v>
      </c>
      <c r="O12235" s="43">
        <v>10.000771734389158</v>
      </c>
      <c r="P12235" s="343"/>
      <c r="Q12235" s="343"/>
      <c r="R12235" s="343">
        <v>1</v>
      </c>
    </row>
    <row r="12236" spans="1:18" ht="24">
      <c r="A12236" s="339">
        <v>202</v>
      </c>
      <c r="B12236" s="336" t="s">
        <v>22291</v>
      </c>
      <c r="C12236" s="340" t="s">
        <v>22292</v>
      </c>
      <c r="D12236" s="341">
        <v>14299.78</v>
      </c>
      <c r="E12236" s="341">
        <v>10610.24</v>
      </c>
      <c r="F12236" s="341">
        <v>2960.19</v>
      </c>
      <c r="G12236" s="341">
        <v>729.35</v>
      </c>
      <c r="H12236" s="342">
        <v>145167.67999999999</v>
      </c>
      <c r="I12236" s="342">
        <v>122017.76</v>
      </c>
      <c r="J12236" s="342">
        <v>16029.24</v>
      </c>
      <c r="K12236" s="342">
        <v>7120.68</v>
      </c>
      <c r="L12236" s="43">
        <v>10.151742194635162</v>
      </c>
      <c r="M12236" s="43">
        <v>11.5</v>
      </c>
      <c r="N12236" s="43">
        <v>5.4149362034193746</v>
      </c>
      <c r="O12236" s="43">
        <v>9.763049290464112</v>
      </c>
      <c r="P12236" s="343"/>
      <c r="Q12236" s="343"/>
      <c r="R12236" s="343">
        <v>1</v>
      </c>
    </row>
    <row r="12237" spans="1:18" ht="12.75" customHeight="1">
      <c r="A12237" s="628" t="s">
        <v>22293</v>
      </c>
      <c r="B12237" s="629"/>
      <c r="C12237" s="629"/>
      <c r="D12237" s="629"/>
      <c r="E12237" s="629"/>
      <c r="F12237" s="629"/>
      <c r="G12237" s="629"/>
      <c r="H12237" s="629"/>
      <c r="I12237" s="629"/>
      <c r="J12237" s="629"/>
      <c r="K12237" s="629"/>
      <c r="L12237" s="629"/>
      <c r="M12237" s="629"/>
      <c r="N12237" s="629"/>
      <c r="O12237" s="629"/>
      <c r="P12237" s="629"/>
      <c r="Q12237" s="629"/>
      <c r="R12237" s="629"/>
    </row>
    <row r="12238" spans="1:18" ht="24">
      <c r="A12238" s="339">
        <v>203</v>
      </c>
      <c r="B12238" s="336" t="s">
        <v>22294</v>
      </c>
      <c r="C12238" s="340" t="s">
        <v>22295</v>
      </c>
      <c r="D12238" s="341">
        <v>1137.4100000000001</v>
      </c>
      <c r="E12238" s="341">
        <v>794.67</v>
      </c>
      <c r="F12238" s="341">
        <v>260.69</v>
      </c>
      <c r="G12238" s="341">
        <v>82.05</v>
      </c>
      <c r="H12238" s="342">
        <v>11114.43</v>
      </c>
      <c r="I12238" s="342">
        <v>9138.68</v>
      </c>
      <c r="J12238" s="342">
        <v>1409.74</v>
      </c>
      <c r="K12238" s="342">
        <v>566.01</v>
      </c>
      <c r="L12238" s="43">
        <v>9.7717006180708808</v>
      </c>
      <c r="M12238" s="43">
        <v>11.499968540400419</v>
      </c>
      <c r="N12238" s="43">
        <v>5.4077256511565466</v>
      </c>
      <c r="O12238" s="43">
        <v>6.8983546617915907</v>
      </c>
      <c r="P12238" s="343"/>
      <c r="Q12238" s="343"/>
      <c r="R12238" s="343">
        <v>2</v>
      </c>
    </row>
    <row r="12239" spans="1:18" ht="24">
      <c r="A12239" s="339">
        <v>204</v>
      </c>
      <c r="B12239" s="336" t="s">
        <v>22296</v>
      </c>
      <c r="C12239" s="340" t="s">
        <v>22297</v>
      </c>
      <c r="D12239" s="341">
        <v>4426.95</v>
      </c>
      <c r="E12239" s="341">
        <v>3339.84</v>
      </c>
      <c r="F12239" s="341">
        <v>919.31</v>
      </c>
      <c r="G12239" s="341">
        <v>167.8</v>
      </c>
      <c r="H12239" s="342">
        <v>44738.67</v>
      </c>
      <c r="I12239" s="342">
        <v>38408.160000000003</v>
      </c>
      <c r="J12239" s="342">
        <v>4977.78</v>
      </c>
      <c r="K12239" s="342">
        <v>1352.73</v>
      </c>
      <c r="L12239" s="43">
        <v>10.105980415410158</v>
      </c>
      <c r="M12239" s="43">
        <v>11.5</v>
      </c>
      <c r="N12239" s="43">
        <v>5.4146914533726385</v>
      </c>
      <c r="O12239" s="43">
        <v>8.061561382598331</v>
      </c>
      <c r="P12239" s="343"/>
      <c r="Q12239" s="343"/>
      <c r="R12239" s="343">
        <v>2</v>
      </c>
    </row>
    <row r="12240" spans="1:18" ht="24">
      <c r="A12240" s="339">
        <v>205</v>
      </c>
      <c r="B12240" s="336" t="s">
        <v>22298</v>
      </c>
      <c r="C12240" s="340" t="s">
        <v>22299</v>
      </c>
      <c r="D12240" s="341">
        <v>5677.35</v>
      </c>
      <c r="E12240" s="341">
        <v>4419.04</v>
      </c>
      <c r="F12240" s="341">
        <v>1062.96</v>
      </c>
      <c r="G12240" s="341">
        <v>195.35</v>
      </c>
      <c r="H12240" s="342">
        <v>58230.41</v>
      </c>
      <c r="I12240" s="342">
        <v>50818.96</v>
      </c>
      <c r="J12240" s="342">
        <v>5755.26</v>
      </c>
      <c r="K12240" s="342">
        <v>1656.19</v>
      </c>
      <c r="L12240" s="43">
        <v>10.256617964367178</v>
      </c>
      <c r="M12240" s="43">
        <v>11.5</v>
      </c>
      <c r="N12240" s="43">
        <v>5.4143711898848501</v>
      </c>
      <c r="O12240" s="43">
        <v>8.4780650115177885</v>
      </c>
      <c r="P12240" s="343"/>
      <c r="Q12240" s="343"/>
      <c r="R12240" s="343">
        <v>2</v>
      </c>
    </row>
    <row r="12241" spans="1:18" ht="24">
      <c r="A12241" s="339">
        <v>206</v>
      </c>
      <c r="B12241" s="336" t="s">
        <v>22300</v>
      </c>
      <c r="C12241" s="340" t="s">
        <v>22301</v>
      </c>
      <c r="D12241" s="341">
        <v>4717.87</v>
      </c>
      <c r="E12241" s="341">
        <v>3430.72</v>
      </c>
      <c r="F12241" s="341">
        <v>1109.3</v>
      </c>
      <c r="G12241" s="341">
        <v>177.85</v>
      </c>
      <c r="H12241" s="342">
        <v>46897.2</v>
      </c>
      <c r="I12241" s="342">
        <v>39453.279999999999</v>
      </c>
      <c r="J12241" s="342">
        <v>5995.12</v>
      </c>
      <c r="K12241" s="342">
        <v>1448.8</v>
      </c>
      <c r="L12241" s="43">
        <v>9.9403332436035754</v>
      </c>
      <c r="M12241" s="43">
        <v>11.5</v>
      </c>
      <c r="N12241" s="43">
        <v>5.4044172000360593</v>
      </c>
      <c r="O12241" s="43">
        <v>8.1461906100646608</v>
      </c>
      <c r="P12241" s="343"/>
      <c r="Q12241" s="343"/>
      <c r="R12241" s="343">
        <v>2</v>
      </c>
    </row>
    <row r="12242" spans="1:18" ht="24">
      <c r="A12242" s="339">
        <v>207</v>
      </c>
      <c r="B12242" s="336" t="s">
        <v>22302</v>
      </c>
      <c r="C12242" s="340" t="s">
        <v>22303</v>
      </c>
      <c r="D12242" s="341">
        <v>542.88</v>
      </c>
      <c r="E12242" s="341">
        <v>344.46</v>
      </c>
      <c r="F12242" s="341">
        <v>155.76</v>
      </c>
      <c r="G12242" s="341">
        <v>42.66</v>
      </c>
      <c r="H12242" s="342">
        <v>5092.3100000000004</v>
      </c>
      <c r="I12242" s="342">
        <v>3961.42</v>
      </c>
      <c r="J12242" s="342">
        <v>843.73</v>
      </c>
      <c r="K12242" s="342">
        <v>287.16000000000003</v>
      </c>
      <c r="L12242" s="43">
        <v>9.380176097848512</v>
      </c>
      <c r="M12242" s="43">
        <v>11.500377402310864</v>
      </c>
      <c r="N12242" s="43">
        <v>5.4168592706728305</v>
      </c>
      <c r="O12242" s="43">
        <v>6.7313642756680743</v>
      </c>
      <c r="P12242" s="343"/>
      <c r="Q12242" s="343"/>
      <c r="R12242" s="343">
        <v>2</v>
      </c>
    </row>
    <row r="12243" spans="1:18" ht="12.75" customHeight="1">
      <c r="A12243" s="628" t="s">
        <v>22304</v>
      </c>
      <c r="B12243" s="629"/>
      <c r="C12243" s="629"/>
      <c r="D12243" s="629"/>
      <c r="E12243" s="629"/>
      <c r="F12243" s="629"/>
      <c r="G12243" s="629"/>
      <c r="H12243" s="629"/>
      <c r="I12243" s="629"/>
      <c r="J12243" s="629"/>
      <c r="K12243" s="629"/>
      <c r="L12243" s="629"/>
      <c r="M12243" s="629"/>
      <c r="N12243" s="629"/>
      <c r="O12243" s="629"/>
      <c r="P12243" s="629"/>
      <c r="Q12243" s="629"/>
      <c r="R12243" s="629"/>
    </row>
    <row r="12244" spans="1:18" ht="24">
      <c r="A12244" s="339">
        <v>208</v>
      </c>
      <c r="B12244" s="336" t="s">
        <v>22305</v>
      </c>
      <c r="C12244" s="340" t="s">
        <v>22306</v>
      </c>
      <c r="D12244" s="341">
        <v>2298.54</v>
      </c>
      <c r="E12244" s="341">
        <v>1083.8399999999999</v>
      </c>
      <c r="F12244" s="341">
        <v>1061.6400000000001</v>
      </c>
      <c r="G12244" s="341">
        <v>153.06</v>
      </c>
      <c r="H12244" s="342">
        <v>19323.169999999998</v>
      </c>
      <c r="I12244" s="342">
        <v>12464.61</v>
      </c>
      <c r="J12244" s="342">
        <v>5711.17</v>
      </c>
      <c r="K12244" s="342">
        <v>1147.3900000000001</v>
      </c>
      <c r="L12244" s="43">
        <v>8.4067146971555857</v>
      </c>
      <c r="M12244" s="43">
        <v>11.500415190434014</v>
      </c>
      <c r="N12244" s="43">
        <v>5.3795731132964093</v>
      </c>
      <c r="O12244" s="43">
        <v>7.4963413040637663</v>
      </c>
      <c r="P12244" s="343"/>
      <c r="Q12244" s="343"/>
      <c r="R12244" s="343">
        <v>3</v>
      </c>
    </row>
    <row r="12245" spans="1:18" ht="24">
      <c r="A12245" s="339">
        <v>209</v>
      </c>
      <c r="B12245" s="336" t="s">
        <v>22307</v>
      </c>
      <c r="C12245" s="340" t="s">
        <v>22308</v>
      </c>
      <c r="D12245" s="341">
        <v>10508.45</v>
      </c>
      <c r="E12245" s="341">
        <v>7486.24</v>
      </c>
      <c r="F12245" s="341">
        <v>2528.61</v>
      </c>
      <c r="G12245" s="341">
        <v>493.6</v>
      </c>
      <c r="H12245" s="342">
        <v>103938.23</v>
      </c>
      <c r="I12245" s="342">
        <v>86091.76</v>
      </c>
      <c r="J12245" s="342">
        <v>13634.48</v>
      </c>
      <c r="K12245" s="342">
        <v>4211.99</v>
      </c>
      <c r="L12245" s="43">
        <v>9.8909192126336407</v>
      </c>
      <c r="M12245" s="43">
        <v>11.5</v>
      </c>
      <c r="N12245" s="43">
        <v>5.3920849794946628</v>
      </c>
      <c r="O12245" s="43">
        <v>8.533205024311183</v>
      </c>
      <c r="P12245" s="343"/>
      <c r="Q12245" s="343"/>
      <c r="R12245" s="343">
        <v>3</v>
      </c>
    </row>
    <row r="12246" spans="1:18" ht="24">
      <c r="A12246" s="339">
        <v>210</v>
      </c>
      <c r="B12246" s="336" t="s">
        <v>22309</v>
      </c>
      <c r="C12246" s="340" t="s">
        <v>22310</v>
      </c>
      <c r="D12246" s="341">
        <v>18705.62</v>
      </c>
      <c r="E12246" s="341">
        <v>12745.92</v>
      </c>
      <c r="F12246" s="341">
        <v>4911.25</v>
      </c>
      <c r="G12246" s="341">
        <v>1048.45</v>
      </c>
      <c r="H12246" s="342">
        <v>181930.23999999999</v>
      </c>
      <c r="I12246" s="342">
        <v>146578.07999999999</v>
      </c>
      <c r="J12246" s="342">
        <v>26384.54</v>
      </c>
      <c r="K12246" s="342">
        <v>8967.6200000000008</v>
      </c>
      <c r="L12246" s="43">
        <v>9.7259668484658626</v>
      </c>
      <c r="M12246" s="43">
        <v>11.499999999999998</v>
      </c>
      <c r="N12246" s="43">
        <v>5.3722657164672949</v>
      </c>
      <c r="O12246" s="43">
        <v>8.5532166531546565</v>
      </c>
      <c r="P12246" s="343"/>
      <c r="Q12246" s="343"/>
      <c r="R12246" s="343">
        <v>3</v>
      </c>
    </row>
    <row r="12247" spans="1:18" ht="24">
      <c r="A12247" s="339">
        <v>211</v>
      </c>
      <c r="B12247" s="336" t="s">
        <v>22311</v>
      </c>
      <c r="C12247" s="340" t="s">
        <v>22312</v>
      </c>
      <c r="D12247" s="341">
        <v>831.98</v>
      </c>
      <c r="E12247" s="341">
        <v>394.92</v>
      </c>
      <c r="F12247" s="341">
        <v>349.73</v>
      </c>
      <c r="G12247" s="341">
        <v>87.33</v>
      </c>
      <c r="H12247" s="342">
        <v>7023.61</v>
      </c>
      <c r="I12247" s="342">
        <v>4541.76</v>
      </c>
      <c r="J12247" s="342">
        <v>1884.93</v>
      </c>
      <c r="K12247" s="342">
        <v>596.91999999999996</v>
      </c>
      <c r="L12247" s="43">
        <v>8.442041876006634</v>
      </c>
      <c r="M12247" s="43">
        <v>11.500455788514129</v>
      </c>
      <c r="N12247" s="43">
        <v>5.3896720327109486</v>
      </c>
      <c r="O12247" s="43">
        <v>6.835222718424367</v>
      </c>
      <c r="P12247" s="343"/>
      <c r="Q12247" s="343"/>
      <c r="R12247" s="343">
        <v>3</v>
      </c>
    </row>
    <row r="12248" spans="1:18" ht="24">
      <c r="A12248" s="339">
        <v>212</v>
      </c>
      <c r="B12248" s="336" t="s">
        <v>22313</v>
      </c>
      <c r="C12248" s="340" t="s">
        <v>22314</v>
      </c>
      <c r="D12248" s="341">
        <v>811.36</v>
      </c>
      <c r="E12248" s="341">
        <v>472.86</v>
      </c>
      <c r="F12248" s="341">
        <v>242.47</v>
      </c>
      <c r="G12248" s="341">
        <v>96.03</v>
      </c>
      <c r="H12248" s="342">
        <v>7428.63</v>
      </c>
      <c r="I12248" s="342">
        <v>5437.89</v>
      </c>
      <c r="J12248" s="342">
        <v>1313.3</v>
      </c>
      <c r="K12248" s="342">
        <v>677.44</v>
      </c>
      <c r="L12248" s="43">
        <v>9.1557754880694144</v>
      </c>
      <c r="M12248" s="43">
        <v>11.5</v>
      </c>
      <c r="N12248" s="43">
        <v>5.4163401657937067</v>
      </c>
      <c r="O12248" s="43">
        <v>7.054462147245653</v>
      </c>
      <c r="P12248" s="343"/>
      <c r="Q12248" s="343"/>
      <c r="R12248" s="343">
        <v>3</v>
      </c>
    </row>
    <row r="12249" spans="1:18" ht="36">
      <c r="A12249" s="339">
        <v>213</v>
      </c>
      <c r="B12249" s="336" t="s">
        <v>22315</v>
      </c>
      <c r="C12249" s="340" t="s">
        <v>22316</v>
      </c>
      <c r="D12249" s="341">
        <v>4667.9799999999996</v>
      </c>
      <c r="E12249" s="341">
        <v>2675.12</v>
      </c>
      <c r="F12249" s="341">
        <v>1656.48</v>
      </c>
      <c r="G12249" s="341">
        <v>336.38</v>
      </c>
      <c r="H12249" s="342">
        <v>42505.41</v>
      </c>
      <c r="I12249" s="342">
        <v>30763.88</v>
      </c>
      <c r="J12249" s="342">
        <v>8963.67</v>
      </c>
      <c r="K12249" s="342">
        <v>2777.86</v>
      </c>
      <c r="L12249" s="43">
        <v>9.1057395275900941</v>
      </c>
      <c r="M12249" s="43">
        <v>11.5</v>
      </c>
      <c r="N12249" s="43">
        <v>5.4112757171834254</v>
      </c>
      <c r="O12249" s="43">
        <v>8.2581009572507291</v>
      </c>
      <c r="P12249" s="343"/>
      <c r="Q12249" s="343"/>
      <c r="R12249" s="343">
        <v>3</v>
      </c>
    </row>
    <row r="12250" spans="1:18" ht="36">
      <c r="A12250" s="339">
        <v>214</v>
      </c>
      <c r="B12250" s="336" t="s">
        <v>22317</v>
      </c>
      <c r="C12250" s="340" t="s">
        <v>22318</v>
      </c>
      <c r="D12250" s="341">
        <v>5039.1899999999996</v>
      </c>
      <c r="E12250" s="341">
        <v>2763.9</v>
      </c>
      <c r="F12250" s="341">
        <v>1887.49</v>
      </c>
      <c r="G12250" s="341">
        <v>387.8</v>
      </c>
      <c r="H12250" s="342">
        <v>45230.55</v>
      </c>
      <c r="I12250" s="342">
        <v>31784.85</v>
      </c>
      <c r="J12250" s="342">
        <v>10212.290000000001</v>
      </c>
      <c r="K12250" s="342">
        <v>3233.41</v>
      </c>
      <c r="L12250" s="43">
        <v>8.9757580087275937</v>
      </c>
      <c r="M12250" s="43">
        <v>11.499999999999998</v>
      </c>
      <c r="N12250" s="43">
        <v>5.4105134331837528</v>
      </c>
      <c r="O12250" s="43">
        <v>8.3378287777204747</v>
      </c>
      <c r="P12250" s="343"/>
      <c r="Q12250" s="343"/>
      <c r="R12250" s="343">
        <v>3</v>
      </c>
    </row>
    <row r="12251" spans="1:18" ht="24">
      <c r="A12251" s="344">
        <v>215</v>
      </c>
      <c r="B12251" s="345" t="s">
        <v>22319</v>
      </c>
      <c r="C12251" s="346" t="s">
        <v>22320</v>
      </c>
      <c r="D12251" s="347">
        <v>6751.86</v>
      </c>
      <c r="E12251" s="347">
        <v>3731.68</v>
      </c>
      <c r="F12251" s="347">
        <v>2559.71</v>
      </c>
      <c r="G12251" s="347">
        <v>460.47</v>
      </c>
      <c r="H12251" s="348">
        <v>60502.239999999998</v>
      </c>
      <c r="I12251" s="348">
        <v>42914.32</v>
      </c>
      <c r="J12251" s="348">
        <v>13854.77</v>
      </c>
      <c r="K12251" s="348">
        <v>3733.15</v>
      </c>
      <c r="L12251" s="611">
        <v>8.9608256095357426</v>
      </c>
      <c r="M12251" s="611">
        <v>11.5</v>
      </c>
      <c r="N12251" s="611">
        <v>5.4126326810459</v>
      </c>
      <c r="O12251" s="611">
        <v>8.1072599735053306</v>
      </c>
      <c r="P12251" s="349"/>
      <c r="Q12251" s="349"/>
      <c r="R12251" s="349">
        <v>3</v>
      </c>
    </row>
    <row r="12252" spans="1:18" ht="12.75" customHeight="1">
      <c r="A12252" s="630" t="s">
        <v>22321</v>
      </c>
      <c r="B12252" s="631"/>
      <c r="C12252" s="631"/>
      <c r="D12252" s="631"/>
      <c r="E12252" s="631"/>
      <c r="F12252" s="631"/>
      <c r="G12252" s="631"/>
      <c r="H12252" s="631"/>
      <c r="I12252" s="631"/>
      <c r="J12252" s="631"/>
      <c r="K12252" s="631"/>
      <c r="L12252" s="631"/>
      <c r="M12252" s="631"/>
      <c r="N12252" s="631"/>
      <c r="O12252" s="631"/>
      <c r="P12252" s="631"/>
      <c r="Q12252" s="631"/>
      <c r="R12252" s="631"/>
    </row>
    <row r="12253" spans="1:18" ht="12.75" customHeight="1">
      <c r="A12253" s="628" t="s">
        <v>22322</v>
      </c>
      <c r="B12253" s="629"/>
      <c r="C12253" s="629"/>
      <c r="D12253" s="629"/>
      <c r="E12253" s="629"/>
      <c r="F12253" s="629"/>
      <c r="G12253" s="629"/>
      <c r="H12253" s="629"/>
      <c r="I12253" s="629"/>
      <c r="J12253" s="629"/>
      <c r="K12253" s="629"/>
      <c r="L12253" s="629"/>
      <c r="M12253" s="629"/>
      <c r="N12253" s="629"/>
      <c r="O12253" s="629"/>
      <c r="P12253" s="629"/>
      <c r="Q12253" s="629"/>
      <c r="R12253" s="629"/>
    </row>
    <row r="12254" spans="1:18" ht="12.75" customHeight="1">
      <c r="A12254" s="628" t="s">
        <v>22323</v>
      </c>
      <c r="B12254" s="629"/>
      <c r="C12254" s="629"/>
      <c r="D12254" s="629"/>
      <c r="E12254" s="629"/>
      <c r="F12254" s="629"/>
      <c r="G12254" s="629"/>
      <c r="H12254" s="629"/>
      <c r="I12254" s="629"/>
      <c r="J12254" s="629"/>
      <c r="K12254" s="629"/>
      <c r="L12254" s="629"/>
      <c r="M12254" s="629"/>
      <c r="N12254" s="629"/>
      <c r="O12254" s="629"/>
      <c r="P12254" s="629"/>
      <c r="Q12254" s="629"/>
      <c r="R12254" s="629"/>
    </row>
    <row r="12255" spans="1:18" ht="24">
      <c r="A12255" s="339">
        <v>216</v>
      </c>
      <c r="B12255" s="336" t="s">
        <v>22324</v>
      </c>
      <c r="C12255" s="340" t="s">
        <v>22325</v>
      </c>
      <c r="D12255" s="341">
        <v>4912.3100000000004</v>
      </c>
      <c r="E12255" s="341">
        <v>1332</v>
      </c>
      <c r="F12255" s="341">
        <v>545.75</v>
      </c>
      <c r="G12255" s="341">
        <v>3034.56</v>
      </c>
      <c r="H12255" s="342">
        <v>30367.77</v>
      </c>
      <c r="I12255" s="342">
        <v>15318</v>
      </c>
      <c r="J12255" s="342">
        <v>3200.39</v>
      </c>
      <c r="K12255" s="342">
        <v>11849.38</v>
      </c>
      <c r="L12255" s="43">
        <v>6.1819734503726345</v>
      </c>
      <c r="M12255" s="43">
        <v>11.5</v>
      </c>
      <c r="N12255" s="43">
        <v>5.8642052221713232</v>
      </c>
      <c r="O12255" s="43">
        <v>3.904809923020141</v>
      </c>
      <c r="P12255" s="343"/>
      <c r="Q12255" s="343"/>
      <c r="R12255" s="343">
        <v>1</v>
      </c>
    </row>
    <row r="12256" spans="1:18" ht="24">
      <c r="A12256" s="339">
        <v>217</v>
      </c>
      <c r="B12256" s="336" t="s">
        <v>22326</v>
      </c>
      <c r="C12256" s="340" t="s">
        <v>22327</v>
      </c>
      <c r="D12256" s="341">
        <v>700.57</v>
      </c>
      <c r="E12256" s="341">
        <v>378.79</v>
      </c>
      <c r="F12256" s="341">
        <v>276.77</v>
      </c>
      <c r="G12256" s="341">
        <v>45.01</v>
      </c>
      <c r="H12256" s="342">
        <v>6164.32</v>
      </c>
      <c r="I12256" s="342">
        <v>4356.0600000000004</v>
      </c>
      <c r="J12256" s="342">
        <v>1498.57</v>
      </c>
      <c r="K12256" s="342">
        <v>309.69</v>
      </c>
      <c r="L12256" s="43">
        <v>8.7990065232596297</v>
      </c>
      <c r="M12256" s="43">
        <v>11.499934000369599</v>
      </c>
      <c r="N12256" s="43">
        <v>5.4144957907287639</v>
      </c>
      <c r="O12256" s="43">
        <v>6.8804710064430132</v>
      </c>
      <c r="P12256" s="343"/>
      <c r="Q12256" s="343"/>
      <c r="R12256" s="343">
        <v>1</v>
      </c>
    </row>
    <row r="12257" spans="1:18" ht="36">
      <c r="A12257" s="339">
        <v>218</v>
      </c>
      <c r="B12257" s="336" t="s">
        <v>22328</v>
      </c>
      <c r="C12257" s="340" t="s">
        <v>22329</v>
      </c>
      <c r="D12257" s="341">
        <v>736.07</v>
      </c>
      <c r="E12257" s="341">
        <v>404.64</v>
      </c>
      <c r="F12257" s="341">
        <v>284.24</v>
      </c>
      <c r="G12257" s="341">
        <v>47.19</v>
      </c>
      <c r="H12257" s="342">
        <v>6522.7</v>
      </c>
      <c r="I12257" s="342">
        <v>4653.3599999999997</v>
      </c>
      <c r="J12257" s="342">
        <v>1539.18</v>
      </c>
      <c r="K12257" s="342">
        <v>330.16</v>
      </c>
      <c r="L12257" s="43">
        <v>8.8615213227002858</v>
      </c>
      <c r="M12257" s="43">
        <v>11.5</v>
      </c>
      <c r="N12257" s="43">
        <v>5.4150717703349285</v>
      </c>
      <c r="O12257" s="43">
        <v>6.9963975418520885</v>
      </c>
      <c r="P12257" s="343"/>
      <c r="Q12257" s="343"/>
      <c r="R12257" s="343">
        <v>1</v>
      </c>
    </row>
    <row r="12258" spans="1:18" ht="24">
      <c r="A12258" s="339">
        <v>219</v>
      </c>
      <c r="B12258" s="336" t="s">
        <v>22330</v>
      </c>
      <c r="C12258" s="340" t="s">
        <v>22331</v>
      </c>
      <c r="D12258" s="341">
        <v>8608.8799999999992</v>
      </c>
      <c r="E12258" s="341">
        <v>2068.16</v>
      </c>
      <c r="F12258" s="341">
        <v>620.41</v>
      </c>
      <c r="G12258" s="341">
        <v>5920.31</v>
      </c>
      <c r="H12258" s="342">
        <v>49916.27</v>
      </c>
      <c r="I12258" s="342">
        <v>23783.84</v>
      </c>
      <c r="J12258" s="342">
        <v>3580.44</v>
      </c>
      <c r="K12258" s="342">
        <v>22551.99</v>
      </c>
      <c r="L12258" s="43">
        <v>5.7982304318331774</v>
      </c>
      <c r="M12258" s="43">
        <v>11.5</v>
      </c>
      <c r="N12258" s="43">
        <v>5.7710868619138962</v>
      </c>
      <c r="O12258" s="43">
        <v>3.8092582989742092</v>
      </c>
      <c r="P12258" s="343"/>
      <c r="Q12258" s="343"/>
      <c r="R12258" s="343">
        <v>1</v>
      </c>
    </row>
    <row r="12259" spans="1:18" ht="12.75" customHeight="1">
      <c r="A12259" s="628" t="s">
        <v>22332</v>
      </c>
      <c r="B12259" s="629"/>
      <c r="C12259" s="629"/>
      <c r="D12259" s="629"/>
      <c r="E12259" s="629"/>
      <c r="F12259" s="629"/>
      <c r="G12259" s="629"/>
      <c r="H12259" s="629"/>
      <c r="I12259" s="629"/>
      <c r="J12259" s="629"/>
      <c r="K12259" s="629"/>
      <c r="L12259" s="629"/>
      <c r="M12259" s="629"/>
      <c r="N12259" s="629"/>
      <c r="O12259" s="629"/>
      <c r="P12259" s="629"/>
      <c r="Q12259" s="629"/>
      <c r="R12259" s="629"/>
    </row>
    <row r="12260" spans="1:18" ht="24">
      <c r="A12260" s="339">
        <v>220</v>
      </c>
      <c r="B12260" s="336" t="s">
        <v>22333</v>
      </c>
      <c r="C12260" s="340" t="s">
        <v>22334</v>
      </c>
      <c r="D12260" s="341">
        <v>1101.3399999999999</v>
      </c>
      <c r="E12260" s="341">
        <v>593.47</v>
      </c>
      <c r="F12260" s="341">
        <v>433.71</v>
      </c>
      <c r="G12260" s="341">
        <v>74.16</v>
      </c>
      <c r="H12260" s="342">
        <v>9656.09</v>
      </c>
      <c r="I12260" s="342">
        <v>6824.93</v>
      </c>
      <c r="J12260" s="342">
        <v>2338.77</v>
      </c>
      <c r="K12260" s="342">
        <v>492.39</v>
      </c>
      <c r="L12260" s="43">
        <v>8.767583126010134</v>
      </c>
      <c r="M12260" s="43">
        <v>11.500042125128482</v>
      </c>
      <c r="N12260" s="43">
        <v>5.3924742339351184</v>
      </c>
      <c r="O12260" s="43">
        <v>6.6395631067961167</v>
      </c>
      <c r="P12260" s="343"/>
      <c r="Q12260" s="343"/>
      <c r="R12260" s="343">
        <v>2</v>
      </c>
    </row>
    <row r="12261" spans="1:18" ht="12.75" customHeight="1">
      <c r="A12261" s="628" t="s">
        <v>22335</v>
      </c>
      <c r="B12261" s="629"/>
      <c r="C12261" s="629"/>
      <c r="D12261" s="629"/>
      <c r="E12261" s="629"/>
      <c r="F12261" s="629"/>
      <c r="G12261" s="629"/>
      <c r="H12261" s="629"/>
      <c r="I12261" s="629"/>
      <c r="J12261" s="629"/>
      <c r="K12261" s="629"/>
      <c r="L12261" s="629"/>
      <c r="M12261" s="629"/>
      <c r="N12261" s="629"/>
      <c r="O12261" s="629"/>
      <c r="P12261" s="629"/>
      <c r="Q12261" s="629"/>
      <c r="R12261" s="629"/>
    </row>
    <row r="12262" spans="1:18" ht="24">
      <c r="A12262" s="339">
        <v>221</v>
      </c>
      <c r="B12262" s="336" t="s">
        <v>22336</v>
      </c>
      <c r="C12262" s="340" t="s">
        <v>22337</v>
      </c>
      <c r="D12262" s="341">
        <v>418.63</v>
      </c>
      <c r="E12262" s="341">
        <v>264.14</v>
      </c>
      <c r="F12262" s="341">
        <v>128.32</v>
      </c>
      <c r="G12262" s="341">
        <v>26.17</v>
      </c>
      <c r="H12262" s="342">
        <v>3912.14</v>
      </c>
      <c r="I12262" s="342">
        <v>3037.61</v>
      </c>
      <c r="J12262" s="342">
        <v>694.07</v>
      </c>
      <c r="K12262" s="342">
        <v>180.46</v>
      </c>
      <c r="L12262" s="43">
        <v>9.3451018799417138</v>
      </c>
      <c r="M12262" s="43">
        <v>11.500000000000002</v>
      </c>
      <c r="N12262" s="43">
        <v>5.4088996259351632</v>
      </c>
      <c r="O12262" s="43">
        <v>6.8956820787160868</v>
      </c>
      <c r="P12262" s="343"/>
      <c r="Q12262" s="343"/>
      <c r="R12262" s="343">
        <v>3</v>
      </c>
    </row>
    <row r="12263" spans="1:18" ht="24">
      <c r="A12263" s="339">
        <v>222</v>
      </c>
      <c r="B12263" s="336" t="s">
        <v>22338</v>
      </c>
      <c r="C12263" s="340" t="s">
        <v>22339</v>
      </c>
      <c r="D12263" s="341">
        <v>1002.13</v>
      </c>
      <c r="E12263" s="341">
        <v>466.46</v>
      </c>
      <c r="F12263" s="341">
        <v>464.19</v>
      </c>
      <c r="G12263" s="341">
        <v>71.48</v>
      </c>
      <c r="H12263" s="342">
        <v>8328.69</v>
      </c>
      <c r="I12263" s="342">
        <v>5364.29</v>
      </c>
      <c r="J12263" s="342">
        <v>2502.4699999999998</v>
      </c>
      <c r="K12263" s="342">
        <v>461.93</v>
      </c>
      <c r="L12263" s="43">
        <v>8.3109875964196274</v>
      </c>
      <c r="M12263" s="43">
        <v>11.5</v>
      </c>
      <c r="N12263" s="43">
        <v>5.3910467696417408</v>
      </c>
      <c r="O12263" s="43">
        <v>6.4623670956911026</v>
      </c>
      <c r="P12263" s="343"/>
      <c r="Q12263" s="343"/>
      <c r="R12263" s="343">
        <v>3</v>
      </c>
    </row>
    <row r="12264" spans="1:18" ht="12.75" customHeight="1">
      <c r="A12264" s="628" t="s">
        <v>22340</v>
      </c>
      <c r="B12264" s="629"/>
      <c r="C12264" s="629"/>
      <c r="D12264" s="629"/>
      <c r="E12264" s="629"/>
      <c r="F12264" s="629"/>
      <c r="G12264" s="629"/>
      <c r="H12264" s="629"/>
      <c r="I12264" s="629"/>
      <c r="J12264" s="629"/>
      <c r="K12264" s="629"/>
      <c r="L12264" s="629"/>
      <c r="M12264" s="629"/>
      <c r="N12264" s="629"/>
      <c r="O12264" s="629"/>
      <c r="P12264" s="629"/>
      <c r="Q12264" s="629"/>
      <c r="R12264" s="629"/>
    </row>
    <row r="12265" spans="1:18" ht="24">
      <c r="A12265" s="339">
        <v>223</v>
      </c>
      <c r="B12265" s="336" t="s">
        <v>22341</v>
      </c>
      <c r="C12265" s="340" t="s">
        <v>22342</v>
      </c>
      <c r="D12265" s="341">
        <v>737.92</v>
      </c>
      <c r="E12265" s="341">
        <v>404.64</v>
      </c>
      <c r="F12265" s="341">
        <v>261.81</v>
      </c>
      <c r="G12265" s="341">
        <v>71.47</v>
      </c>
      <c r="H12265" s="342">
        <v>6528.73</v>
      </c>
      <c r="I12265" s="342">
        <v>4653.3599999999997</v>
      </c>
      <c r="J12265" s="342">
        <v>1416.91</v>
      </c>
      <c r="K12265" s="342">
        <v>458.46</v>
      </c>
      <c r="L12265" s="43">
        <v>8.8474766912402423</v>
      </c>
      <c r="M12265" s="43">
        <v>11.5</v>
      </c>
      <c r="N12265" s="43">
        <v>5.4119781520950312</v>
      </c>
      <c r="O12265" s="43">
        <v>6.4147194627116271</v>
      </c>
      <c r="P12265" s="343"/>
      <c r="Q12265" s="343"/>
      <c r="R12265" s="343">
        <v>4</v>
      </c>
    </row>
    <row r="12266" spans="1:18" ht="12.75" customHeight="1">
      <c r="A12266" s="628" t="s">
        <v>22343</v>
      </c>
      <c r="B12266" s="629"/>
      <c r="C12266" s="629"/>
      <c r="D12266" s="629"/>
      <c r="E12266" s="629"/>
      <c r="F12266" s="629"/>
      <c r="G12266" s="629"/>
      <c r="H12266" s="629"/>
      <c r="I12266" s="629"/>
      <c r="J12266" s="629"/>
      <c r="K12266" s="629"/>
      <c r="L12266" s="629"/>
      <c r="M12266" s="629"/>
      <c r="N12266" s="629"/>
      <c r="O12266" s="629"/>
      <c r="P12266" s="629"/>
      <c r="Q12266" s="629"/>
      <c r="R12266" s="629"/>
    </row>
    <row r="12267" spans="1:18" ht="24">
      <c r="A12267" s="339">
        <v>224</v>
      </c>
      <c r="B12267" s="336" t="s">
        <v>22344</v>
      </c>
      <c r="C12267" s="340" t="s">
        <v>22345</v>
      </c>
      <c r="D12267" s="341">
        <v>801.92</v>
      </c>
      <c r="E12267" s="341">
        <v>542.33000000000004</v>
      </c>
      <c r="F12267" s="341">
        <v>213.82</v>
      </c>
      <c r="G12267" s="341">
        <v>45.77</v>
      </c>
      <c r="H12267" s="342">
        <v>7717.98</v>
      </c>
      <c r="I12267" s="342">
        <v>6237.01</v>
      </c>
      <c r="J12267" s="342">
        <v>1155.72</v>
      </c>
      <c r="K12267" s="342">
        <v>325.25</v>
      </c>
      <c r="L12267" s="43">
        <v>9.6243764964086189</v>
      </c>
      <c r="M12267" s="43">
        <v>11.500396437593347</v>
      </c>
      <c r="N12267" s="43">
        <v>5.4051070994294266</v>
      </c>
      <c r="O12267" s="43">
        <v>7.1061830893598419</v>
      </c>
      <c r="P12267" s="343"/>
      <c r="Q12267" s="343"/>
      <c r="R12267" s="343">
        <v>5</v>
      </c>
    </row>
    <row r="12268" spans="1:18" ht="24">
      <c r="A12268" s="339">
        <v>225</v>
      </c>
      <c r="B12268" s="336" t="s">
        <v>22346</v>
      </c>
      <c r="C12268" s="340" t="s">
        <v>22347</v>
      </c>
      <c r="D12268" s="341">
        <v>887.3</v>
      </c>
      <c r="E12268" s="341">
        <v>441.73</v>
      </c>
      <c r="F12268" s="341">
        <v>374.21</v>
      </c>
      <c r="G12268" s="341">
        <v>71.36</v>
      </c>
      <c r="H12268" s="342">
        <v>7561.2</v>
      </c>
      <c r="I12268" s="342">
        <v>5079.92</v>
      </c>
      <c r="J12268" s="342">
        <v>2021.76</v>
      </c>
      <c r="K12268" s="342">
        <v>459.52</v>
      </c>
      <c r="L12268" s="43">
        <v>8.5215823284120376</v>
      </c>
      <c r="M12268" s="43">
        <v>11.500056595657981</v>
      </c>
      <c r="N12268" s="43">
        <v>5.4027417760081242</v>
      </c>
      <c r="O12268" s="43">
        <v>6.4394618834080717</v>
      </c>
      <c r="P12268" s="343"/>
      <c r="Q12268" s="343"/>
      <c r="R12268" s="343">
        <v>5</v>
      </c>
    </row>
    <row r="12269" spans="1:18" ht="24">
      <c r="A12269" s="339">
        <v>226</v>
      </c>
      <c r="B12269" s="336" t="s">
        <v>22348</v>
      </c>
      <c r="C12269" s="340" t="s">
        <v>22349</v>
      </c>
      <c r="D12269" s="341">
        <v>614.82000000000005</v>
      </c>
      <c r="E12269" s="341">
        <v>391.15</v>
      </c>
      <c r="F12269" s="341">
        <v>215.37</v>
      </c>
      <c r="G12269" s="341">
        <v>8.3000000000000007</v>
      </c>
      <c r="H12269" s="342">
        <v>5753.52</v>
      </c>
      <c r="I12269" s="342">
        <v>4498.25</v>
      </c>
      <c r="J12269" s="342">
        <v>1161.17</v>
      </c>
      <c r="K12269" s="342">
        <v>94.1</v>
      </c>
      <c r="L12269" s="43">
        <v>9.358056016395043</v>
      </c>
      <c r="M12269" s="43">
        <v>11.500063914099451</v>
      </c>
      <c r="N12269" s="43">
        <v>5.3915122811905096</v>
      </c>
      <c r="O12269" s="43">
        <v>11.33734939759036</v>
      </c>
      <c r="P12269" s="343"/>
      <c r="Q12269" s="343"/>
      <c r="R12269" s="343">
        <v>5</v>
      </c>
    </row>
    <row r="12270" spans="1:18" ht="24">
      <c r="A12270" s="339">
        <v>227</v>
      </c>
      <c r="B12270" s="336" t="s">
        <v>22350</v>
      </c>
      <c r="C12270" s="340" t="s">
        <v>22351</v>
      </c>
      <c r="D12270" s="341">
        <v>4011.55</v>
      </c>
      <c r="E12270" s="341">
        <v>3492.96</v>
      </c>
      <c r="F12270" s="341">
        <v>386.03</v>
      </c>
      <c r="G12270" s="341">
        <v>132.56</v>
      </c>
      <c r="H12270" s="342">
        <v>43413.66</v>
      </c>
      <c r="I12270" s="342">
        <v>40170.559999999998</v>
      </c>
      <c r="J12270" s="342">
        <v>2080.25</v>
      </c>
      <c r="K12270" s="342">
        <v>1162.8499999999999</v>
      </c>
      <c r="L12270" s="43">
        <v>10.822165995687453</v>
      </c>
      <c r="M12270" s="43">
        <v>11.500435161009573</v>
      </c>
      <c r="N12270" s="43">
        <v>5.388829883687797</v>
      </c>
      <c r="O12270" s="43">
        <v>8.7722540736270354</v>
      </c>
      <c r="P12270" s="343"/>
      <c r="Q12270" s="343"/>
      <c r="R12270" s="343">
        <v>5</v>
      </c>
    </row>
    <row r="12271" spans="1:18" ht="12.75" customHeight="1">
      <c r="A12271" s="628" t="s">
        <v>22352</v>
      </c>
      <c r="B12271" s="629"/>
      <c r="C12271" s="629"/>
      <c r="D12271" s="629"/>
      <c r="E12271" s="629"/>
      <c r="F12271" s="629"/>
      <c r="G12271" s="629"/>
      <c r="H12271" s="629"/>
      <c r="I12271" s="629"/>
      <c r="J12271" s="629"/>
      <c r="K12271" s="629"/>
      <c r="L12271" s="629"/>
      <c r="M12271" s="629"/>
      <c r="N12271" s="629"/>
      <c r="O12271" s="629"/>
      <c r="P12271" s="629"/>
      <c r="Q12271" s="629"/>
      <c r="R12271" s="629"/>
    </row>
    <row r="12272" spans="1:18" ht="24">
      <c r="A12272" s="339">
        <v>228</v>
      </c>
      <c r="B12272" s="336" t="s">
        <v>22353</v>
      </c>
      <c r="C12272" s="340" t="s">
        <v>22354</v>
      </c>
      <c r="D12272" s="341">
        <v>444.22</v>
      </c>
      <c r="E12272" s="341">
        <v>264.14</v>
      </c>
      <c r="F12272" s="341">
        <v>153.38</v>
      </c>
      <c r="G12272" s="341">
        <v>26.7</v>
      </c>
      <c r="H12272" s="342">
        <v>4053.55</v>
      </c>
      <c r="I12272" s="342">
        <v>3037.61</v>
      </c>
      <c r="J12272" s="342">
        <v>830.83</v>
      </c>
      <c r="K12272" s="342">
        <v>185.11</v>
      </c>
      <c r="L12272" s="43">
        <v>9.1250956733150232</v>
      </c>
      <c r="M12272" s="43">
        <v>11.500000000000002</v>
      </c>
      <c r="N12272" s="43">
        <v>5.4168079280219068</v>
      </c>
      <c r="O12272" s="43">
        <v>6.9329588014981276</v>
      </c>
      <c r="P12272" s="343"/>
      <c r="Q12272" s="343"/>
      <c r="R12272" s="343">
        <v>6</v>
      </c>
    </row>
    <row r="12273" spans="1:18" ht="12.75" customHeight="1">
      <c r="A12273" s="628" t="s">
        <v>22355</v>
      </c>
      <c r="B12273" s="629"/>
      <c r="C12273" s="629"/>
      <c r="D12273" s="629"/>
      <c r="E12273" s="629"/>
      <c r="F12273" s="629"/>
      <c r="G12273" s="629"/>
      <c r="H12273" s="629"/>
      <c r="I12273" s="629"/>
      <c r="J12273" s="629"/>
      <c r="K12273" s="629"/>
      <c r="L12273" s="629"/>
      <c r="M12273" s="629"/>
      <c r="N12273" s="629"/>
      <c r="O12273" s="629"/>
      <c r="P12273" s="629"/>
      <c r="Q12273" s="629"/>
      <c r="R12273" s="629"/>
    </row>
    <row r="12274" spans="1:18" ht="24">
      <c r="A12274" s="339">
        <v>229</v>
      </c>
      <c r="B12274" s="336" t="s">
        <v>22356</v>
      </c>
      <c r="C12274" s="340" t="s">
        <v>22357</v>
      </c>
      <c r="D12274" s="341">
        <v>413.18</v>
      </c>
      <c r="E12274" s="341">
        <v>277.63</v>
      </c>
      <c r="F12274" s="341">
        <v>112.69</v>
      </c>
      <c r="G12274" s="341">
        <v>22.86</v>
      </c>
      <c r="H12274" s="342">
        <v>3965.01</v>
      </c>
      <c r="I12274" s="342">
        <v>3192.72</v>
      </c>
      <c r="J12274" s="342">
        <v>609.51</v>
      </c>
      <c r="K12274" s="342">
        <v>162.78</v>
      </c>
      <c r="L12274" s="43">
        <v>9.5963260564402919</v>
      </c>
      <c r="M12274" s="43">
        <v>11.499909952094514</v>
      </c>
      <c r="N12274" s="43">
        <v>5.4087319194249712</v>
      </c>
      <c r="O12274" s="43">
        <v>7.120734908136483</v>
      </c>
      <c r="P12274" s="343"/>
      <c r="Q12274" s="343"/>
      <c r="R12274" s="343">
        <v>7</v>
      </c>
    </row>
    <row r="12275" spans="1:18" ht="12.75" customHeight="1">
      <c r="A12275" s="628" t="s">
        <v>22358</v>
      </c>
      <c r="B12275" s="629"/>
      <c r="C12275" s="629"/>
      <c r="D12275" s="629"/>
      <c r="E12275" s="629"/>
      <c r="F12275" s="629"/>
      <c r="G12275" s="629"/>
      <c r="H12275" s="629"/>
      <c r="I12275" s="629"/>
      <c r="J12275" s="629"/>
      <c r="K12275" s="629"/>
      <c r="L12275" s="629"/>
      <c r="M12275" s="629"/>
      <c r="N12275" s="629"/>
      <c r="O12275" s="629"/>
      <c r="P12275" s="629"/>
      <c r="Q12275" s="629"/>
      <c r="R12275" s="629"/>
    </row>
    <row r="12276" spans="1:18" ht="24">
      <c r="A12276" s="339">
        <v>230</v>
      </c>
      <c r="B12276" s="336" t="s">
        <v>22359</v>
      </c>
      <c r="C12276" s="340" t="s">
        <v>22360</v>
      </c>
      <c r="D12276" s="341">
        <v>517.03</v>
      </c>
      <c r="E12276" s="341">
        <v>302.36</v>
      </c>
      <c r="F12276" s="341">
        <v>173.46</v>
      </c>
      <c r="G12276" s="341">
        <v>41.21</v>
      </c>
      <c r="H12276" s="342">
        <v>4683.88</v>
      </c>
      <c r="I12276" s="342">
        <v>3477.09</v>
      </c>
      <c r="J12276" s="342">
        <v>934.66</v>
      </c>
      <c r="K12276" s="342">
        <v>272.13</v>
      </c>
      <c r="L12276" s="43">
        <v>9.0592035278417118</v>
      </c>
      <c r="M12276" s="43">
        <v>11.499834634210874</v>
      </c>
      <c r="N12276" s="43">
        <v>5.3883316038279716</v>
      </c>
      <c r="O12276" s="43">
        <v>6.6034942975006068</v>
      </c>
      <c r="P12276" s="343"/>
      <c r="Q12276" s="343"/>
      <c r="R12276" s="343">
        <v>8</v>
      </c>
    </row>
    <row r="12277" spans="1:18" ht="24">
      <c r="A12277" s="339">
        <v>231</v>
      </c>
      <c r="B12277" s="336" t="s">
        <v>22361</v>
      </c>
      <c r="C12277" s="340" t="s">
        <v>22362</v>
      </c>
      <c r="D12277" s="341">
        <v>649.71</v>
      </c>
      <c r="E12277" s="341">
        <v>311.91000000000003</v>
      </c>
      <c r="F12277" s="341">
        <v>289.33</v>
      </c>
      <c r="G12277" s="341">
        <v>48.47</v>
      </c>
      <c r="H12277" s="342">
        <v>5462.93</v>
      </c>
      <c r="I12277" s="342">
        <v>3586.97</v>
      </c>
      <c r="J12277" s="342">
        <v>1560.79</v>
      </c>
      <c r="K12277" s="342">
        <v>315.17</v>
      </c>
      <c r="L12277" s="43">
        <v>8.4082590694309776</v>
      </c>
      <c r="M12277" s="43">
        <v>11.500016030265138</v>
      </c>
      <c r="N12277" s="43">
        <v>5.3944976324612037</v>
      </c>
      <c r="O12277" s="43">
        <v>6.5023726016092436</v>
      </c>
      <c r="P12277" s="343"/>
      <c r="Q12277" s="343"/>
      <c r="R12277" s="343">
        <v>8</v>
      </c>
    </row>
    <row r="12278" spans="1:18" ht="24">
      <c r="A12278" s="339">
        <v>232</v>
      </c>
      <c r="B12278" s="336" t="s">
        <v>22363</v>
      </c>
      <c r="C12278" s="340" t="s">
        <v>22364</v>
      </c>
      <c r="D12278" s="341">
        <v>1447.84</v>
      </c>
      <c r="E12278" s="341">
        <v>698.19</v>
      </c>
      <c r="F12278" s="341">
        <v>648.38</v>
      </c>
      <c r="G12278" s="341">
        <v>101.27</v>
      </c>
      <c r="H12278" s="342">
        <v>12181.3</v>
      </c>
      <c r="I12278" s="342">
        <v>8029.19</v>
      </c>
      <c r="J12278" s="342">
        <v>3479.71</v>
      </c>
      <c r="K12278" s="342">
        <v>672.4</v>
      </c>
      <c r="L12278" s="43">
        <v>8.4134296607359929</v>
      </c>
      <c r="M12278" s="43">
        <v>11.500007161374409</v>
      </c>
      <c r="N12278" s="43">
        <v>5.3667756562509643</v>
      </c>
      <c r="O12278" s="43">
        <v>6.6396761133603235</v>
      </c>
      <c r="P12278" s="343"/>
      <c r="Q12278" s="343"/>
      <c r="R12278" s="343">
        <v>8</v>
      </c>
    </row>
    <row r="12279" spans="1:18" ht="24">
      <c r="A12279" s="339">
        <v>233</v>
      </c>
      <c r="B12279" s="336" t="s">
        <v>22365</v>
      </c>
      <c r="C12279" s="340" t="s">
        <v>22366</v>
      </c>
      <c r="D12279" s="341">
        <v>4503.34</v>
      </c>
      <c r="E12279" s="341">
        <v>1036.74</v>
      </c>
      <c r="F12279" s="341">
        <v>475.93</v>
      </c>
      <c r="G12279" s="341">
        <v>2990.67</v>
      </c>
      <c r="H12279" s="342">
        <v>26181.29</v>
      </c>
      <c r="I12279" s="342">
        <v>11922.51</v>
      </c>
      <c r="J12279" s="342">
        <v>2810.23</v>
      </c>
      <c r="K12279" s="342">
        <v>11448.55</v>
      </c>
      <c r="L12279" s="43">
        <v>5.8137493504820865</v>
      </c>
      <c r="M12279" s="43">
        <v>11.5</v>
      </c>
      <c r="N12279" s="43">
        <v>5.9047128779442355</v>
      </c>
      <c r="O12279" s="43">
        <v>3.8280886891566102</v>
      </c>
      <c r="P12279" s="343"/>
      <c r="Q12279" s="343"/>
      <c r="R12279" s="343">
        <v>8</v>
      </c>
    </row>
    <row r="12280" spans="1:18" ht="24">
      <c r="A12280" s="339">
        <v>234</v>
      </c>
      <c r="B12280" s="336" t="s">
        <v>22367</v>
      </c>
      <c r="C12280" s="340" t="s">
        <v>22368</v>
      </c>
      <c r="D12280" s="341">
        <v>1750.5</v>
      </c>
      <c r="E12280" s="341">
        <v>958.77</v>
      </c>
      <c r="F12280" s="341">
        <v>689.85</v>
      </c>
      <c r="G12280" s="341">
        <v>101.88</v>
      </c>
      <c r="H12280" s="342">
        <v>15448.49</v>
      </c>
      <c r="I12280" s="342">
        <v>11025.88</v>
      </c>
      <c r="J12280" s="342">
        <v>3730.59</v>
      </c>
      <c r="K12280" s="342">
        <v>692.02</v>
      </c>
      <c r="L12280" s="43">
        <v>8.8251870894030269</v>
      </c>
      <c r="M12280" s="43">
        <v>11.500026075075356</v>
      </c>
      <c r="N12280" s="43">
        <v>5.4078277886497066</v>
      </c>
      <c r="O12280" s="43">
        <v>6.7925009815469179</v>
      </c>
      <c r="P12280" s="343"/>
      <c r="Q12280" s="343"/>
      <c r="R12280" s="343">
        <v>8</v>
      </c>
    </row>
    <row r="12281" spans="1:18" ht="24">
      <c r="A12281" s="339">
        <v>235</v>
      </c>
      <c r="B12281" s="336" t="s">
        <v>22369</v>
      </c>
      <c r="C12281" s="340" t="s">
        <v>22370</v>
      </c>
      <c r="D12281" s="341">
        <v>9521.09</v>
      </c>
      <c r="E12281" s="341">
        <v>8330.25</v>
      </c>
      <c r="F12281" s="341">
        <v>939.77</v>
      </c>
      <c r="G12281" s="341">
        <v>251.07</v>
      </c>
      <c r="H12281" s="342">
        <v>103276.41</v>
      </c>
      <c r="I12281" s="342">
        <v>95801.5</v>
      </c>
      <c r="J12281" s="342">
        <v>5072.0600000000004</v>
      </c>
      <c r="K12281" s="342">
        <v>2402.85</v>
      </c>
      <c r="L12281" s="43">
        <v>10.847120445243139</v>
      </c>
      <c r="M12281" s="43">
        <v>11.500435161009573</v>
      </c>
      <c r="N12281" s="43">
        <v>5.3971290847760631</v>
      </c>
      <c r="O12281" s="43">
        <v>9.5704385231210427</v>
      </c>
      <c r="P12281" s="343"/>
      <c r="Q12281" s="343"/>
      <c r="R12281" s="343">
        <v>8</v>
      </c>
    </row>
    <row r="12282" spans="1:18" ht="12.75" customHeight="1">
      <c r="A12282" s="628" t="s">
        <v>22371</v>
      </c>
      <c r="B12282" s="629"/>
      <c r="C12282" s="629"/>
      <c r="D12282" s="629"/>
      <c r="E12282" s="629"/>
      <c r="F12282" s="629"/>
      <c r="G12282" s="629"/>
      <c r="H12282" s="629"/>
      <c r="I12282" s="629"/>
      <c r="J12282" s="629"/>
      <c r="K12282" s="629"/>
      <c r="L12282" s="629"/>
      <c r="M12282" s="629"/>
      <c r="N12282" s="629"/>
      <c r="O12282" s="629"/>
      <c r="P12282" s="629"/>
      <c r="Q12282" s="629"/>
      <c r="R12282" s="629"/>
    </row>
    <row r="12283" spans="1:18" ht="24">
      <c r="A12283" s="339">
        <v>236</v>
      </c>
      <c r="B12283" s="336" t="s">
        <v>22372</v>
      </c>
      <c r="C12283" s="340" t="s">
        <v>22373</v>
      </c>
      <c r="D12283" s="341">
        <v>813.92</v>
      </c>
      <c r="E12283" s="341">
        <v>417</v>
      </c>
      <c r="F12283" s="341">
        <v>342.27</v>
      </c>
      <c r="G12283" s="341">
        <v>54.65</v>
      </c>
      <c r="H12283" s="342">
        <v>7023.81</v>
      </c>
      <c r="I12283" s="342">
        <v>4795.55</v>
      </c>
      <c r="J12283" s="342">
        <v>1853.18</v>
      </c>
      <c r="K12283" s="342">
        <v>375.08</v>
      </c>
      <c r="L12283" s="43">
        <v>8.6296073324159632</v>
      </c>
      <c r="M12283" s="43">
        <v>11.500119904076739</v>
      </c>
      <c r="N12283" s="43">
        <v>5.4143804598708627</v>
      </c>
      <c r="O12283" s="43">
        <v>6.8633119853613902</v>
      </c>
      <c r="P12283" s="343"/>
      <c r="Q12283" s="343"/>
      <c r="R12283" s="343">
        <v>9</v>
      </c>
    </row>
    <row r="12284" spans="1:18" ht="12.75" customHeight="1">
      <c r="A12284" s="628" t="s">
        <v>19144</v>
      </c>
      <c r="B12284" s="629"/>
      <c r="C12284" s="629"/>
      <c r="D12284" s="629"/>
      <c r="E12284" s="629"/>
      <c r="F12284" s="629"/>
      <c r="G12284" s="629"/>
      <c r="H12284" s="629"/>
      <c r="I12284" s="629"/>
      <c r="J12284" s="629"/>
      <c r="K12284" s="629"/>
      <c r="L12284" s="629"/>
      <c r="M12284" s="629"/>
      <c r="N12284" s="629"/>
      <c r="O12284" s="629"/>
      <c r="P12284" s="629"/>
      <c r="Q12284" s="629"/>
      <c r="R12284" s="629"/>
    </row>
    <row r="12285" spans="1:18" ht="24">
      <c r="A12285" s="344">
        <v>237</v>
      </c>
      <c r="B12285" s="345" t="s">
        <v>22374</v>
      </c>
      <c r="C12285" s="346" t="s">
        <v>22375</v>
      </c>
      <c r="D12285" s="347">
        <v>2372.5700000000002</v>
      </c>
      <c r="E12285" s="347">
        <v>1803.93</v>
      </c>
      <c r="F12285" s="347">
        <v>436.41</v>
      </c>
      <c r="G12285" s="347">
        <v>132.22999999999999</v>
      </c>
      <c r="H12285" s="348">
        <v>24163.91</v>
      </c>
      <c r="I12285" s="348">
        <v>20745.98</v>
      </c>
      <c r="J12285" s="348">
        <v>2350.3200000000002</v>
      </c>
      <c r="K12285" s="348">
        <v>1067.6099999999999</v>
      </c>
      <c r="L12285" s="611">
        <v>10.18469844936082</v>
      </c>
      <c r="M12285" s="611">
        <v>11.500435161009573</v>
      </c>
      <c r="N12285" s="611">
        <v>5.3855777823606239</v>
      </c>
      <c r="O12285" s="611">
        <v>8.0738864100431069</v>
      </c>
      <c r="P12285" s="349"/>
      <c r="Q12285" s="349"/>
      <c r="R12285" s="349">
        <v>10</v>
      </c>
    </row>
    <row r="12286" spans="1:18" ht="12.75" customHeight="1">
      <c r="A12286" s="630" t="s">
        <v>22376</v>
      </c>
      <c r="B12286" s="631"/>
      <c r="C12286" s="631"/>
      <c r="D12286" s="631"/>
      <c r="E12286" s="631"/>
      <c r="F12286" s="631"/>
      <c r="G12286" s="631"/>
      <c r="H12286" s="631"/>
      <c r="I12286" s="631"/>
      <c r="J12286" s="631"/>
      <c r="K12286" s="631"/>
      <c r="L12286" s="631"/>
      <c r="M12286" s="631"/>
      <c r="N12286" s="631"/>
      <c r="O12286" s="631"/>
      <c r="P12286" s="631"/>
      <c r="Q12286" s="631"/>
      <c r="R12286" s="631"/>
    </row>
    <row r="12287" spans="1:18" ht="12.75" customHeight="1">
      <c r="A12287" s="628" t="s">
        <v>22377</v>
      </c>
      <c r="B12287" s="629"/>
      <c r="C12287" s="629"/>
      <c r="D12287" s="629"/>
      <c r="E12287" s="629"/>
      <c r="F12287" s="629"/>
      <c r="G12287" s="629"/>
      <c r="H12287" s="629"/>
      <c r="I12287" s="629"/>
      <c r="J12287" s="629"/>
      <c r="K12287" s="629"/>
      <c r="L12287" s="629"/>
      <c r="M12287" s="629"/>
      <c r="N12287" s="629"/>
      <c r="O12287" s="629"/>
      <c r="P12287" s="629"/>
      <c r="Q12287" s="629"/>
      <c r="R12287" s="629"/>
    </row>
    <row r="12288" spans="1:18" ht="12.75" customHeight="1">
      <c r="A12288" s="628" t="s">
        <v>22378</v>
      </c>
      <c r="B12288" s="629"/>
      <c r="C12288" s="629"/>
      <c r="D12288" s="629"/>
      <c r="E12288" s="629"/>
      <c r="F12288" s="629"/>
      <c r="G12288" s="629"/>
      <c r="H12288" s="629"/>
      <c r="I12288" s="629"/>
      <c r="J12288" s="629"/>
      <c r="K12288" s="629"/>
      <c r="L12288" s="629"/>
      <c r="M12288" s="629"/>
      <c r="N12288" s="629"/>
      <c r="O12288" s="629"/>
      <c r="P12288" s="629"/>
      <c r="Q12288" s="629"/>
      <c r="R12288" s="629"/>
    </row>
    <row r="12289" spans="1:18" ht="24">
      <c r="A12289" s="339">
        <v>238</v>
      </c>
      <c r="B12289" s="336" t="s">
        <v>22379</v>
      </c>
      <c r="C12289" s="340" t="s">
        <v>22380</v>
      </c>
      <c r="D12289" s="341">
        <v>44705.24</v>
      </c>
      <c r="E12289" s="341">
        <v>28725</v>
      </c>
      <c r="F12289" s="341">
        <v>4909.6899999999996</v>
      </c>
      <c r="G12289" s="341">
        <v>11070.55</v>
      </c>
      <c r="H12289" s="342">
        <v>406744.96</v>
      </c>
      <c r="I12289" s="342">
        <v>330350</v>
      </c>
      <c r="J12289" s="342">
        <v>27195.11</v>
      </c>
      <c r="K12289" s="342">
        <v>49199.85</v>
      </c>
      <c r="L12289" s="43">
        <v>9.0983732555736196</v>
      </c>
      <c r="M12289" s="43">
        <v>11.500435161009573</v>
      </c>
      <c r="N12289" s="43">
        <v>5.5390686581026509</v>
      </c>
      <c r="O12289" s="43">
        <v>4.4442100889296379</v>
      </c>
      <c r="P12289" s="343"/>
      <c r="Q12289" s="343"/>
      <c r="R12289" s="343">
        <v>1</v>
      </c>
    </row>
    <row r="12290" spans="1:18" ht="24">
      <c r="A12290" s="339">
        <v>239</v>
      </c>
      <c r="B12290" s="336" t="s">
        <v>22381</v>
      </c>
      <c r="C12290" s="340" t="s">
        <v>22382</v>
      </c>
      <c r="D12290" s="341">
        <v>7623.84</v>
      </c>
      <c r="E12290" s="341">
        <v>6032.25</v>
      </c>
      <c r="F12290" s="341">
        <v>1341.72</v>
      </c>
      <c r="G12290" s="341">
        <v>249.87</v>
      </c>
      <c r="H12290" s="342">
        <v>79000</v>
      </c>
      <c r="I12290" s="342">
        <v>69373.5</v>
      </c>
      <c r="J12290" s="342">
        <v>7221.78</v>
      </c>
      <c r="K12290" s="342">
        <v>2404.7199999999998</v>
      </c>
      <c r="L12290" s="43">
        <v>10.362232155973892</v>
      </c>
      <c r="M12290" s="43">
        <v>11.500435161009573</v>
      </c>
      <c r="N12290" s="43">
        <v>5.382479205795546</v>
      </c>
      <c r="O12290" s="43">
        <v>9.6238844198983458</v>
      </c>
      <c r="P12290" s="343"/>
      <c r="Q12290" s="343"/>
      <c r="R12290" s="343">
        <v>1</v>
      </c>
    </row>
    <row r="12291" spans="1:18" ht="24">
      <c r="A12291" s="339">
        <v>240</v>
      </c>
      <c r="B12291" s="336" t="s">
        <v>22383</v>
      </c>
      <c r="C12291" s="340" t="s">
        <v>22384</v>
      </c>
      <c r="D12291" s="341">
        <v>3857.4</v>
      </c>
      <c r="E12291" s="341">
        <v>2355.4499999999998</v>
      </c>
      <c r="F12291" s="341">
        <v>1258.52</v>
      </c>
      <c r="G12291" s="341">
        <v>243.43</v>
      </c>
      <c r="H12291" s="342">
        <v>35879.440000000002</v>
      </c>
      <c r="I12291" s="342">
        <v>27088.7</v>
      </c>
      <c r="J12291" s="342">
        <v>6781.72</v>
      </c>
      <c r="K12291" s="342">
        <v>2009.02</v>
      </c>
      <c r="L12291" s="43">
        <v>9.3014569399077107</v>
      </c>
      <c r="M12291" s="43">
        <v>11.500435161009575</v>
      </c>
      <c r="N12291" s="43">
        <v>5.3886469821695329</v>
      </c>
      <c r="O12291" s="43">
        <v>8.2529679990140892</v>
      </c>
      <c r="P12291" s="343"/>
      <c r="Q12291" s="343"/>
      <c r="R12291" s="343">
        <v>1</v>
      </c>
    </row>
    <row r="12292" spans="1:18" ht="24">
      <c r="A12292" s="339">
        <v>241</v>
      </c>
      <c r="B12292" s="336" t="s">
        <v>22385</v>
      </c>
      <c r="C12292" s="340" t="s">
        <v>22386</v>
      </c>
      <c r="D12292" s="341">
        <v>12339.94</v>
      </c>
      <c r="E12292" s="341">
        <v>10157.16</v>
      </c>
      <c r="F12292" s="341">
        <v>1769.19</v>
      </c>
      <c r="G12292" s="341">
        <v>413.59</v>
      </c>
      <c r="H12292" s="342">
        <v>130475.1</v>
      </c>
      <c r="I12292" s="342">
        <v>116811.76</v>
      </c>
      <c r="J12292" s="342">
        <v>9504.91</v>
      </c>
      <c r="K12292" s="342">
        <v>4158.43</v>
      </c>
      <c r="L12292" s="43">
        <v>10.573398249910454</v>
      </c>
      <c r="M12292" s="43">
        <v>11.500435161009573</v>
      </c>
      <c r="N12292" s="43">
        <v>5.3724642350454159</v>
      </c>
      <c r="O12292" s="43">
        <v>10.054474237771707</v>
      </c>
      <c r="P12292" s="343"/>
      <c r="Q12292" s="343"/>
      <c r="R12292" s="343">
        <v>1</v>
      </c>
    </row>
    <row r="12293" spans="1:18" ht="24">
      <c r="A12293" s="339">
        <v>242</v>
      </c>
      <c r="B12293" s="336" t="s">
        <v>22387</v>
      </c>
      <c r="C12293" s="340" t="s">
        <v>22388</v>
      </c>
      <c r="D12293" s="341">
        <v>12512.12</v>
      </c>
      <c r="E12293" s="341">
        <v>10111.200000000001</v>
      </c>
      <c r="F12293" s="341">
        <v>2045.09</v>
      </c>
      <c r="G12293" s="341">
        <v>355.83</v>
      </c>
      <c r="H12293" s="342">
        <v>130784.78</v>
      </c>
      <c r="I12293" s="342">
        <v>116283.2</v>
      </c>
      <c r="J12293" s="342">
        <v>10999.21</v>
      </c>
      <c r="K12293" s="342">
        <v>3502.37</v>
      </c>
      <c r="L12293" s="43">
        <v>10.452647512971422</v>
      </c>
      <c r="M12293" s="43">
        <v>11.500435161009573</v>
      </c>
      <c r="N12293" s="43">
        <v>5.3783500970617428</v>
      </c>
      <c r="O12293" s="43">
        <v>9.8428181997021049</v>
      </c>
      <c r="P12293" s="343"/>
      <c r="Q12293" s="343"/>
      <c r="R12293" s="343">
        <v>1</v>
      </c>
    </row>
    <row r="12294" spans="1:18" ht="12.75" customHeight="1">
      <c r="A12294" s="628" t="s">
        <v>22389</v>
      </c>
      <c r="B12294" s="629"/>
      <c r="C12294" s="629"/>
      <c r="D12294" s="629"/>
      <c r="E12294" s="629"/>
      <c r="F12294" s="629"/>
      <c r="G12294" s="629"/>
      <c r="H12294" s="629"/>
      <c r="I12294" s="629"/>
      <c r="J12294" s="629"/>
      <c r="K12294" s="629"/>
      <c r="L12294" s="629"/>
      <c r="M12294" s="629"/>
      <c r="N12294" s="629"/>
      <c r="O12294" s="629"/>
      <c r="P12294" s="629"/>
      <c r="Q12294" s="629"/>
      <c r="R12294" s="629"/>
    </row>
    <row r="12295" spans="1:18" ht="24">
      <c r="A12295" s="344">
        <v>243</v>
      </c>
      <c r="B12295" s="345" t="s">
        <v>22390</v>
      </c>
      <c r="C12295" s="346" t="s">
        <v>22391</v>
      </c>
      <c r="D12295" s="347">
        <v>24344.29</v>
      </c>
      <c r="E12295" s="347">
        <v>7861.12</v>
      </c>
      <c r="F12295" s="347">
        <v>6090.68</v>
      </c>
      <c r="G12295" s="347">
        <v>10392.49</v>
      </c>
      <c r="H12295" s="348">
        <v>167100.51</v>
      </c>
      <c r="I12295" s="348">
        <v>90402.880000000005</v>
      </c>
      <c r="J12295" s="348">
        <v>34582.160000000003</v>
      </c>
      <c r="K12295" s="348">
        <v>42115.47</v>
      </c>
      <c r="L12295" s="611">
        <v>6.8640535419188646</v>
      </c>
      <c r="M12295" s="611">
        <v>11.5</v>
      </c>
      <c r="N12295" s="611">
        <v>5.67788161584585</v>
      </c>
      <c r="O12295" s="611">
        <v>4.0524907890216877</v>
      </c>
      <c r="P12295" s="349"/>
      <c r="Q12295" s="349"/>
      <c r="R12295" s="349">
        <v>2</v>
      </c>
    </row>
    <row r="12296" spans="1:18" ht="12.75" customHeight="1">
      <c r="A12296" s="630" t="s">
        <v>22392</v>
      </c>
      <c r="B12296" s="631"/>
      <c r="C12296" s="631"/>
      <c r="D12296" s="631"/>
      <c r="E12296" s="631"/>
      <c r="F12296" s="631"/>
      <c r="G12296" s="631"/>
      <c r="H12296" s="631"/>
      <c r="I12296" s="631"/>
      <c r="J12296" s="631"/>
      <c r="K12296" s="631"/>
      <c r="L12296" s="631"/>
      <c r="M12296" s="631"/>
      <c r="N12296" s="631"/>
      <c r="O12296" s="631"/>
      <c r="P12296" s="631"/>
      <c r="Q12296" s="631"/>
      <c r="R12296" s="631"/>
    </row>
    <row r="12297" spans="1:18" ht="12.75" customHeight="1">
      <c r="A12297" s="628" t="s">
        <v>22393</v>
      </c>
      <c r="B12297" s="629"/>
      <c r="C12297" s="629"/>
      <c r="D12297" s="629"/>
      <c r="E12297" s="629"/>
      <c r="F12297" s="629"/>
      <c r="G12297" s="629"/>
      <c r="H12297" s="629"/>
      <c r="I12297" s="629"/>
      <c r="J12297" s="629"/>
      <c r="K12297" s="629"/>
      <c r="L12297" s="629"/>
      <c r="M12297" s="629"/>
      <c r="N12297" s="629"/>
      <c r="O12297" s="629"/>
      <c r="P12297" s="629"/>
      <c r="Q12297" s="629"/>
      <c r="R12297" s="629"/>
    </row>
    <row r="12298" spans="1:18" ht="12.75" customHeight="1">
      <c r="A12298" s="628" t="s">
        <v>22394</v>
      </c>
      <c r="B12298" s="629"/>
      <c r="C12298" s="629"/>
      <c r="D12298" s="629"/>
      <c r="E12298" s="629"/>
      <c r="F12298" s="629"/>
      <c r="G12298" s="629"/>
      <c r="H12298" s="629"/>
      <c r="I12298" s="629"/>
      <c r="J12298" s="629"/>
      <c r="K12298" s="629"/>
      <c r="L12298" s="629"/>
      <c r="M12298" s="629"/>
      <c r="N12298" s="629"/>
      <c r="O12298" s="629"/>
      <c r="P12298" s="629"/>
      <c r="Q12298" s="629"/>
      <c r="R12298" s="629"/>
    </row>
    <row r="12299" spans="1:18" ht="24">
      <c r="A12299" s="339">
        <v>244</v>
      </c>
      <c r="B12299" s="336" t="s">
        <v>22395</v>
      </c>
      <c r="C12299" s="340" t="s">
        <v>22396</v>
      </c>
      <c r="D12299" s="341">
        <v>4477.68</v>
      </c>
      <c r="E12299" s="341">
        <v>2309.4899999999998</v>
      </c>
      <c r="F12299" s="341">
        <v>1273.75</v>
      </c>
      <c r="G12299" s="341">
        <v>894.44</v>
      </c>
      <c r="H12299" s="342">
        <v>39941.32</v>
      </c>
      <c r="I12299" s="342">
        <v>26560.14</v>
      </c>
      <c r="J12299" s="342">
        <v>6872.48</v>
      </c>
      <c r="K12299" s="342">
        <v>6508.7</v>
      </c>
      <c r="L12299" s="43">
        <v>8.920092547926604</v>
      </c>
      <c r="M12299" s="43">
        <v>11.500435161009575</v>
      </c>
      <c r="N12299" s="43">
        <v>5.3954700686947987</v>
      </c>
      <c r="O12299" s="43">
        <v>7.2768436116452744</v>
      </c>
      <c r="P12299" s="343"/>
      <c r="Q12299" s="343"/>
      <c r="R12299" s="343">
        <v>1</v>
      </c>
    </row>
    <row r="12300" spans="1:18" ht="36">
      <c r="A12300" s="339">
        <v>245</v>
      </c>
      <c r="B12300" s="336" t="s">
        <v>22397</v>
      </c>
      <c r="C12300" s="340" t="s">
        <v>22398</v>
      </c>
      <c r="D12300" s="341">
        <v>6782.62</v>
      </c>
      <c r="E12300" s="341">
        <v>3260.32</v>
      </c>
      <c r="F12300" s="341">
        <v>2094.09</v>
      </c>
      <c r="G12300" s="341">
        <v>1428.21</v>
      </c>
      <c r="H12300" s="342">
        <v>59945.49</v>
      </c>
      <c r="I12300" s="342">
        <v>37493.68</v>
      </c>
      <c r="J12300" s="342">
        <v>11299.06</v>
      </c>
      <c r="K12300" s="342">
        <v>11152.75</v>
      </c>
      <c r="L12300" s="43">
        <v>8.8381023852139737</v>
      </c>
      <c r="M12300" s="43">
        <v>11.5</v>
      </c>
      <c r="N12300" s="43">
        <v>5.3956897745560122</v>
      </c>
      <c r="O12300" s="43">
        <v>7.8089006518649215</v>
      </c>
      <c r="P12300" s="343"/>
      <c r="Q12300" s="343"/>
      <c r="R12300" s="343">
        <v>1</v>
      </c>
    </row>
    <row r="12301" spans="1:18" ht="36">
      <c r="A12301" s="339">
        <v>246</v>
      </c>
      <c r="B12301" s="336" t="s">
        <v>22399</v>
      </c>
      <c r="C12301" s="340" t="s">
        <v>22400</v>
      </c>
      <c r="D12301" s="341">
        <v>15893.4</v>
      </c>
      <c r="E12301" s="341">
        <v>4816.6400000000003</v>
      </c>
      <c r="F12301" s="341">
        <v>1993.07</v>
      </c>
      <c r="G12301" s="341">
        <v>9083.69</v>
      </c>
      <c r="H12301" s="342">
        <v>122857.27</v>
      </c>
      <c r="I12301" s="342">
        <v>55391.360000000001</v>
      </c>
      <c r="J12301" s="342">
        <v>11484.89</v>
      </c>
      <c r="K12301" s="342">
        <v>55981.02</v>
      </c>
      <c r="L12301" s="43">
        <v>7.7300810399285238</v>
      </c>
      <c r="M12301" s="43">
        <v>11.5</v>
      </c>
      <c r="N12301" s="43">
        <v>5.7624117567370936</v>
      </c>
      <c r="O12301" s="43">
        <v>6.1628060843115513</v>
      </c>
      <c r="P12301" s="343"/>
      <c r="Q12301" s="343"/>
      <c r="R12301" s="343">
        <v>1</v>
      </c>
    </row>
    <row r="12302" spans="1:18" ht="12.75" customHeight="1">
      <c r="A12302" s="628" t="s">
        <v>22401</v>
      </c>
      <c r="B12302" s="629"/>
      <c r="C12302" s="629"/>
      <c r="D12302" s="629"/>
      <c r="E12302" s="629"/>
      <c r="F12302" s="629"/>
      <c r="G12302" s="629"/>
      <c r="H12302" s="629"/>
      <c r="I12302" s="629"/>
      <c r="J12302" s="629"/>
      <c r="K12302" s="629"/>
      <c r="L12302" s="629"/>
      <c r="M12302" s="629"/>
      <c r="N12302" s="629"/>
      <c r="O12302" s="629"/>
      <c r="P12302" s="629"/>
      <c r="Q12302" s="629"/>
      <c r="R12302" s="629"/>
    </row>
    <row r="12303" spans="1:18" ht="24">
      <c r="A12303" s="339">
        <v>247</v>
      </c>
      <c r="B12303" s="336" t="s">
        <v>22402</v>
      </c>
      <c r="C12303" s="340" t="s">
        <v>22403</v>
      </c>
      <c r="D12303" s="341">
        <v>3526</v>
      </c>
      <c r="E12303" s="341">
        <v>2229.06</v>
      </c>
      <c r="F12303" s="341">
        <v>950.47</v>
      </c>
      <c r="G12303" s="341">
        <v>346.47</v>
      </c>
      <c r="H12303" s="342">
        <v>33386.65</v>
      </c>
      <c r="I12303" s="342">
        <v>25635.16</v>
      </c>
      <c r="J12303" s="342">
        <v>5132.03</v>
      </c>
      <c r="K12303" s="342">
        <v>2619.46</v>
      </c>
      <c r="L12303" s="43">
        <v>9.4687039137833242</v>
      </c>
      <c r="M12303" s="43">
        <v>11.500435161009573</v>
      </c>
      <c r="N12303" s="43">
        <v>5.399465527581091</v>
      </c>
      <c r="O12303" s="43">
        <v>7.5604237019078129</v>
      </c>
      <c r="P12303" s="343"/>
      <c r="Q12303" s="343"/>
      <c r="R12303" s="343">
        <v>2</v>
      </c>
    </row>
    <row r="12304" spans="1:18" ht="24">
      <c r="A12304" s="339">
        <v>248</v>
      </c>
      <c r="B12304" s="336" t="s">
        <v>22404</v>
      </c>
      <c r="C12304" s="340" t="s">
        <v>22405</v>
      </c>
      <c r="D12304" s="341">
        <v>3914.55</v>
      </c>
      <c r="E12304" s="341">
        <v>2068.1999999999998</v>
      </c>
      <c r="F12304" s="341">
        <v>1067.1400000000001</v>
      </c>
      <c r="G12304" s="341">
        <v>779.21</v>
      </c>
      <c r="H12304" s="342">
        <v>38879.29</v>
      </c>
      <c r="I12304" s="342">
        <v>23785.200000000001</v>
      </c>
      <c r="J12304" s="342">
        <v>5760.31</v>
      </c>
      <c r="K12304" s="342">
        <v>9333.7800000000007</v>
      </c>
      <c r="L12304" s="43">
        <v>9.9319947375815865</v>
      </c>
      <c r="M12304" s="43">
        <v>11.500435161009575</v>
      </c>
      <c r="N12304" s="43">
        <v>5.3978953089566506</v>
      </c>
      <c r="O12304" s="43">
        <v>11.978516702814389</v>
      </c>
      <c r="P12304" s="343"/>
      <c r="Q12304" s="343"/>
      <c r="R12304" s="343">
        <v>2</v>
      </c>
    </row>
    <row r="12305" spans="1:18" ht="24">
      <c r="A12305" s="339">
        <v>249</v>
      </c>
      <c r="B12305" s="336" t="s">
        <v>22406</v>
      </c>
      <c r="C12305" s="340" t="s">
        <v>22407</v>
      </c>
      <c r="D12305" s="341">
        <v>5883.64</v>
      </c>
      <c r="E12305" s="341">
        <v>3044.48</v>
      </c>
      <c r="F12305" s="341">
        <v>1233.19</v>
      </c>
      <c r="G12305" s="341">
        <v>1605.97</v>
      </c>
      <c r="H12305" s="342">
        <v>55653.84</v>
      </c>
      <c r="I12305" s="342">
        <v>35011.519999999997</v>
      </c>
      <c r="J12305" s="342">
        <v>6639.99</v>
      </c>
      <c r="K12305" s="342">
        <v>14002.33</v>
      </c>
      <c r="L12305" s="43">
        <v>9.4590831526062082</v>
      </c>
      <c r="M12305" s="43">
        <v>11.499999999999998</v>
      </c>
      <c r="N12305" s="43">
        <v>5.38440143043651</v>
      </c>
      <c r="O12305" s="43">
        <v>8.718923765699234</v>
      </c>
      <c r="P12305" s="343"/>
      <c r="Q12305" s="343"/>
      <c r="R12305" s="343">
        <v>2</v>
      </c>
    </row>
    <row r="12306" spans="1:18" ht="24">
      <c r="A12306" s="339">
        <v>250</v>
      </c>
      <c r="B12306" s="336" t="s">
        <v>22408</v>
      </c>
      <c r="C12306" s="340" t="s">
        <v>22409</v>
      </c>
      <c r="D12306" s="341">
        <v>4124.9799999999996</v>
      </c>
      <c r="E12306" s="341">
        <v>2556</v>
      </c>
      <c r="F12306" s="341">
        <v>1279.29</v>
      </c>
      <c r="G12306" s="341">
        <v>289.69</v>
      </c>
      <c r="H12306" s="342">
        <v>38388.47</v>
      </c>
      <c r="I12306" s="342">
        <v>29394</v>
      </c>
      <c r="J12306" s="342">
        <v>6900.69</v>
      </c>
      <c r="K12306" s="342">
        <v>2093.7800000000002</v>
      </c>
      <c r="L12306" s="43">
        <v>9.3063408792285074</v>
      </c>
      <c r="M12306" s="43">
        <v>11.5</v>
      </c>
      <c r="N12306" s="43">
        <v>5.3941561334802897</v>
      </c>
      <c r="O12306" s="43">
        <v>7.2276571507473513</v>
      </c>
      <c r="P12306" s="343"/>
      <c r="Q12306" s="343"/>
      <c r="R12306" s="343">
        <v>2</v>
      </c>
    </row>
    <row r="12307" spans="1:18" ht="24">
      <c r="A12307" s="339">
        <v>251</v>
      </c>
      <c r="B12307" s="336" t="s">
        <v>22410</v>
      </c>
      <c r="C12307" s="340" t="s">
        <v>22411</v>
      </c>
      <c r="D12307" s="341">
        <v>5305.35</v>
      </c>
      <c r="E12307" s="341">
        <v>2987.68</v>
      </c>
      <c r="F12307" s="341">
        <v>1741.35</v>
      </c>
      <c r="G12307" s="341">
        <v>576.32000000000005</v>
      </c>
      <c r="H12307" s="342">
        <v>48709.7</v>
      </c>
      <c r="I12307" s="342">
        <v>34358.32</v>
      </c>
      <c r="J12307" s="342">
        <v>9371.2999999999993</v>
      </c>
      <c r="K12307" s="342">
        <v>4980.08</v>
      </c>
      <c r="L12307" s="43">
        <v>9.1812415768987901</v>
      </c>
      <c r="M12307" s="43">
        <v>11.5</v>
      </c>
      <c r="N12307" s="43">
        <v>5.3816291957389382</v>
      </c>
      <c r="O12307" s="43">
        <v>8.6411715713492487</v>
      </c>
      <c r="P12307" s="343"/>
      <c r="Q12307" s="343"/>
      <c r="R12307" s="343">
        <v>2</v>
      </c>
    </row>
    <row r="12308" spans="1:18" ht="24">
      <c r="A12308" s="339">
        <v>252</v>
      </c>
      <c r="B12308" s="336" t="s">
        <v>22412</v>
      </c>
      <c r="C12308" s="340" t="s">
        <v>22413</v>
      </c>
      <c r="D12308" s="341">
        <v>7121.91</v>
      </c>
      <c r="E12308" s="341">
        <v>4066.88</v>
      </c>
      <c r="F12308" s="341">
        <v>1988.77</v>
      </c>
      <c r="G12308" s="341">
        <v>1066.26</v>
      </c>
      <c r="H12308" s="342">
        <v>66391.48</v>
      </c>
      <c r="I12308" s="342">
        <v>46769.120000000003</v>
      </c>
      <c r="J12308" s="342">
        <v>10714.95</v>
      </c>
      <c r="K12308" s="342">
        <v>8907.41</v>
      </c>
      <c r="L12308" s="43">
        <v>9.3221453233753309</v>
      </c>
      <c r="M12308" s="43">
        <v>11.5</v>
      </c>
      <c r="N12308" s="43">
        <v>5.3877270875968568</v>
      </c>
      <c r="O12308" s="43">
        <v>8.3538817924333646</v>
      </c>
      <c r="P12308" s="343"/>
      <c r="Q12308" s="343"/>
      <c r="R12308" s="343">
        <v>2</v>
      </c>
    </row>
    <row r="12309" spans="1:18" ht="12.75" customHeight="1">
      <c r="A12309" s="628" t="s">
        <v>22414</v>
      </c>
      <c r="B12309" s="629"/>
      <c r="C12309" s="629"/>
      <c r="D12309" s="629"/>
      <c r="E12309" s="629"/>
      <c r="F12309" s="629"/>
      <c r="G12309" s="629"/>
      <c r="H12309" s="629"/>
      <c r="I12309" s="629"/>
      <c r="J12309" s="629"/>
      <c r="K12309" s="629"/>
      <c r="L12309" s="629"/>
      <c r="M12309" s="629"/>
      <c r="N12309" s="629"/>
      <c r="O12309" s="629"/>
      <c r="P12309" s="629"/>
      <c r="Q12309" s="629"/>
      <c r="R12309" s="629"/>
    </row>
    <row r="12310" spans="1:18" ht="24">
      <c r="A12310" s="339">
        <v>253</v>
      </c>
      <c r="B12310" s="336" t="s">
        <v>22415</v>
      </c>
      <c r="C12310" s="340" t="s">
        <v>22416</v>
      </c>
      <c r="D12310" s="341">
        <v>4350.6099999999997</v>
      </c>
      <c r="E12310" s="341">
        <v>3033.12</v>
      </c>
      <c r="F12310" s="341">
        <v>920.6</v>
      </c>
      <c r="G12310" s="341">
        <v>396.89</v>
      </c>
      <c r="H12310" s="342">
        <v>44047.75</v>
      </c>
      <c r="I12310" s="342">
        <v>34880.879999999997</v>
      </c>
      <c r="J12310" s="342">
        <v>4971.3900000000003</v>
      </c>
      <c r="K12310" s="342">
        <v>4195.4799999999996</v>
      </c>
      <c r="L12310" s="43">
        <v>10.124499782789082</v>
      </c>
      <c r="M12310" s="43">
        <v>11.5</v>
      </c>
      <c r="N12310" s="43">
        <v>5.4001629372148603</v>
      </c>
      <c r="O12310" s="43">
        <v>10.570888659326261</v>
      </c>
      <c r="P12310" s="343"/>
      <c r="Q12310" s="343"/>
      <c r="R12310" s="343">
        <v>3</v>
      </c>
    </row>
    <row r="12311" spans="1:18" ht="24">
      <c r="A12311" s="339">
        <v>254</v>
      </c>
      <c r="B12311" s="336" t="s">
        <v>22417</v>
      </c>
      <c r="C12311" s="340" t="s">
        <v>22418</v>
      </c>
      <c r="D12311" s="341">
        <v>3038.96</v>
      </c>
      <c r="E12311" s="341">
        <v>1704</v>
      </c>
      <c r="F12311" s="341">
        <v>1099.45</v>
      </c>
      <c r="G12311" s="341">
        <v>235.51</v>
      </c>
      <c r="H12311" s="342">
        <v>27230.47</v>
      </c>
      <c r="I12311" s="342">
        <v>19596</v>
      </c>
      <c r="J12311" s="342">
        <v>5931.68</v>
      </c>
      <c r="K12311" s="342">
        <v>1702.79</v>
      </c>
      <c r="L12311" s="43">
        <v>8.9604568668228612</v>
      </c>
      <c r="M12311" s="43">
        <v>11.5</v>
      </c>
      <c r="N12311" s="43">
        <v>5.3951339306016646</v>
      </c>
      <c r="O12311" s="43">
        <v>7.2302237696913085</v>
      </c>
      <c r="P12311" s="343"/>
      <c r="Q12311" s="343"/>
      <c r="R12311" s="343">
        <v>3</v>
      </c>
    </row>
    <row r="12312" spans="1:18" ht="24">
      <c r="A12312" s="339">
        <v>255</v>
      </c>
      <c r="B12312" s="336" t="s">
        <v>22419</v>
      </c>
      <c r="C12312" s="340" t="s">
        <v>22420</v>
      </c>
      <c r="D12312" s="341">
        <v>3762.98</v>
      </c>
      <c r="E12312" s="341">
        <v>2033.44</v>
      </c>
      <c r="F12312" s="341">
        <v>1446.72</v>
      </c>
      <c r="G12312" s="341">
        <v>282.82</v>
      </c>
      <c r="H12312" s="342">
        <v>33211.18</v>
      </c>
      <c r="I12312" s="342">
        <v>23384.560000000001</v>
      </c>
      <c r="J12312" s="342">
        <v>7806.7</v>
      </c>
      <c r="K12312" s="342">
        <v>2019.92</v>
      </c>
      <c r="L12312" s="43">
        <v>8.8257657494857806</v>
      </c>
      <c r="M12312" s="43">
        <v>11.5</v>
      </c>
      <c r="N12312" s="43">
        <v>5.3961374695863746</v>
      </c>
      <c r="O12312" s="43">
        <v>7.1420691605968463</v>
      </c>
      <c r="P12312" s="343"/>
      <c r="Q12312" s="343"/>
      <c r="R12312" s="343">
        <v>3</v>
      </c>
    </row>
    <row r="12313" spans="1:18" ht="12.75" customHeight="1">
      <c r="A12313" s="628" t="s">
        <v>22421</v>
      </c>
      <c r="B12313" s="629"/>
      <c r="C12313" s="629"/>
      <c r="D12313" s="629"/>
      <c r="E12313" s="629"/>
      <c r="F12313" s="629"/>
      <c r="G12313" s="629"/>
      <c r="H12313" s="629"/>
      <c r="I12313" s="629"/>
      <c r="J12313" s="629"/>
      <c r="K12313" s="629"/>
      <c r="L12313" s="629"/>
      <c r="M12313" s="629"/>
      <c r="N12313" s="629"/>
      <c r="O12313" s="629"/>
      <c r="P12313" s="629"/>
      <c r="Q12313" s="629"/>
      <c r="R12313" s="629"/>
    </row>
    <row r="12314" spans="1:18" ht="24">
      <c r="A12314" s="339">
        <v>256</v>
      </c>
      <c r="B12314" s="336" t="s">
        <v>22422</v>
      </c>
      <c r="C12314" s="340" t="s">
        <v>22423</v>
      </c>
      <c r="D12314" s="341">
        <v>49996.94</v>
      </c>
      <c r="E12314" s="341">
        <v>11041.92</v>
      </c>
      <c r="F12314" s="341">
        <v>3361.64</v>
      </c>
      <c r="G12314" s="341">
        <v>35593.379999999997</v>
      </c>
      <c r="H12314" s="342">
        <v>338727.47</v>
      </c>
      <c r="I12314" s="342">
        <v>126982.08</v>
      </c>
      <c r="J12314" s="342">
        <v>19223.52</v>
      </c>
      <c r="K12314" s="342">
        <v>192521.87</v>
      </c>
      <c r="L12314" s="43">
        <v>6.7749640277985002</v>
      </c>
      <c r="M12314" s="43">
        <v>11.5</v>
      </c>
      <c r="N12314" s="43">
        <v>5.7184945443295536</v>
      </c>
      <c r="O12314" s="43">
        <v>5.4089235133050027</v>
      </c>
      <c r="P12314" s="343"/>
      <c r="Q12314" s="343"/>
      <c r="R12314" s="343">
        <v>4</v>
      </c>
    </row>
    <row r="12315" spans="1:18" ht="12.75" customHeight="1">
      <c r="A12315" s="628" t="s">
        <v>22424</v>
      </c>
      <c r="B12315" s="629"/>
      <c r="C12315" s="629"/>
      <c r="D12315" s="629"/>
      <c r="E12315" s="629"/>
      <c r="F12315" s="629"/>
      <c r="G12315" s="629"/>
      <c r="H12315" s="629"/>
      <c r="I12315" s="629"/>
      <c r="J12315" s="629"/>
      <c r="K12315" s="629"/>
      <c r="L12315" s="629"/>
      <c r="M12315" s="629"/>
      <c r="N12315" s="629"/>
      <c r="O12315" s="629"/>
      <c r="P12315" s="629"/>
      <c r="Q12315" s="629"/>
      <c r="R12315" s="629"/>
    </row>
    <row r="12316" spans="1:18" ht="24">
      <c r="A12316" s="339">
        <v>257</v>
      </c>
      <c r="B12316" s="336" t="s">
        <v>22425</v>
      </c>
      <c r="C12316" s="340" t="s">
        <v>22426</v>
      </c>
      <c r="D12316" s="341">
        <v>10967.96</v>
      </c>
      <c r="E12316" s="341">
        <v>4419.04</v>
      </c>
      <c r="F12316" s="341">
        <v>2777.19</v>
      </c>
      <c r="G12316" s="341">
        <v>3771.73</v>
      </c>
      <c r="H12316" s="342">
        <v>95285.89</v>
      </c>
      <c r="I12316" s="342">
        <v>50818.96</v>
      </c>
      <c r="J12316" s="342">
        <v>14994.73</v>
      </c>
      <c r="K12316" s="342">
        <v>29472.2</v>
      </c>
      <c r="L12316" s="43">
        <v>8.6876584159679648</v>
      </c>
      <c r="M12316" s="43">
        <v>11.5</v>
      </c>
      <c r="N12316" s="43">
        <v>5.3992452803013116</v>
      </c>
      <c r="O12316" s="43">
        <v>7.8139739588994974</v>
      </c>
      <c r="P12316" s="343"/>
      <c r="Q12316" s="343"/>
      <c r="R12316" s="343">
        <v>5</v>
      </c>
    </row>
    <row r="12317" spans="1:18" ht="24">
      <c r="A12317" s="339">
        <v>258</v>
      </c>
      <c r="B12317" s="336" t="s">
        <v>22427</v>
      </c>
      <c r="C12317" s="340" t="s">
        <v>22428</v>
      </c>
      <c r="D12317" s="341">
        <v>11962.58</v>
      </c>
      <c r="E12317" s="341">
        <v>2911.16</v>
      </c>
      <c r="F12317" s="341">
        <v>2241.88</v>
      </c>
      <c r="G12317" s="341">
        <v>6809.54</v>
      </c>
      <c r="H12317" s="342">
        <v>105573.59</v>
      </c>
      <c r="I12317" s="342">
        <v>33478.339999999997</v>
      </c>
      <c r="J12317" s="342">
        <v>12082.48</v>
      </c>
      <c r="K12317" s="342">
        <v>60012.77</v>
      </c>
      <c r="L12317" s="43">
        <v>8.8253194544989455</v>
      </c>
      <c r="M12317" s="43">
        <v>11.5</v>
      </c>
      <c r="N12317" s="43">
        <v>5.3894410048709114</v>
      </c>
      <c r="O12317" s="43">
        <v>8.8130431717854645</v>
      </c>
      <c r="P12317" s="343"/>
      <c r="Q12317" s="343"/>
      <c r="R12317" s="343">
        <v>5</v>
      </c>
    </row>
    <row r="12318" spans="1:18" ht="12.75" customHeight="1">
      <c r="A12318" s="628" t="s">
        <v>22429</v>
      </c>
      <c r="B12318" s="629"/>
      <c r="C12318" s="629"/>
      <c r="D12318" s="629"/>
      <c r="E12318" s="629"/>
      <c r="F12318" s="629"/>
      <c r="G12318" s="629"/>
      <c r="H12318" s="629"/>
      <c r="I12318" s="629"/>
      <c r="J12318" s="629"/>
      <c r="K12318" s="629"/>
      <c r="L12318" s="629"/>
      <c r="M12318" s="629"/>
      <c r="N12318" s="629"/>
      <c r="O12318" s="629"/>
      <c r="P12318" s="629"/>
      <c r="Q12318" s="629"/>
      <c r="R12318" s="629"/>
    </row>
    <row r="12319" spans="1:18" ht="24">
      <c r="A12319" s="339">
        <v>259</v>
      </c>
      <c r="B12319" s="336" t="s">
        <v>22430</v>
      </c>
      <c r="C12319" s="340" t="s">
        <v>22431</v>
      </c>
      <c r="D12319" s="341">
        <v>9995.24</v>
      </c>
      <c r="E12319" s="341">
        <v>3529.36</v>
      </c>
      <c r="F12319" s="341">
        <v>2895.28</v>
      </c>
      <c r="G12319" s="341">
        <v>3570.6</v>
      </c>
      <c r="H12319" s="342">
        <v>85324.66</v>
      </c>
      <c r="I12319" s="342">
        <v>40587.64</v>
      </c>
      <c r="J12319" s="342">
        <v>15618.84</v>
      </c>
      <c r="K12319" s="342">
        <v>29118.18</v>
      </c>
      <c r="L12319" s="43">
        <v>8.5365293879886828</v>
      </c>
      <c r="M12319" s="43">
        <v>11.5</v>
      </c>
      <c r="N12319" s="43">
        <v>5.3945870520295101</v>
      </c>
      <c r="O12319" s="43">
        <v>8.1549823559065704</v>
      </c>
      <c r="P12319" s="343"/>
      <c r="Q12319" s="343"/>
      <c r="R12319" s="343">
        <v>6</v>
      </c>
    </row>
    <row r="12320" spans="1:18" ht="12.75" customHeight="1">
      <c r="A12320" s="628" t="s">
        <v>22432</v>
      </c>
      <c r="B12320" s="629"/>
      <c r="C12320" s="629"/>
      <c r="D12320" s="629"/>
      <c r="E12320" s="629"/>
      <c r="F12320" s="629"/>
      <c r="G12320" s="629"/>
      <c r="H12320" s="629"/>
      <c r="I12320" s="629"/>
      <c r="J12320" s="629"/>
      <c r="K12320" s="629"/>
      <c r="L12320" s="629"/>
      <c r="M12320" s="629"/>
      <c r="N12320" s="629"/>
      <c r="O12320" s="629"/>
      <c r="P12320" s="629"/>
      <c r="Q12320" s="629"/>
      <c r="R12320" s="629"/>
    </row>
    <row r="12321" spans="1:18" ht="24">
      <c r="A12321" s="339">
        <v>260</v>
      </c>
      <c r="B12321" s="336" t="s">
        <v>22433</v>
      </c>
      <c r="C12321" s="340" t="s">
        <v>22434</v>
      </c>
      <c r="D12321" s="341">
        <v>26532.240000000002</v>
      </c>
      <c r="E12321" s="341">
        <v>5080.4799999999996</v>
      </c>
      <c r="F12321" s="341">
        <v>5096.8599999999997</v>
      </c>
      <c r="G12321" s="341">
        <v>16354.9</v>
      </c>
      <c r="H12321" s="342">
        <v>421484.96</v>
      </c>
      <c r="I12321" s="342">
        <v>58425.52</v>
      </c>
      <c r="J12321" s="342">
        <v>27559.81</v>
      </c>
      <c r="K12321" s="342">
        <v>335499.63</v>
      </c>
      <c r="L12321" s="43">
        <v>15.885766147147772</v>
      </c>
      <c r="M12321" s="43">
        <v>11.5</v>
      </c>
      <c r="N12321" s="43">
        <v>5.4072134608366724</v>
      </c>
      <c r="O12321" s="43">
        <v>20.513707207014413</v>
      </c>
      <c r="P12321" s="343"/>
      <c r="Q12321" s="343"/>
      <c r="R12321" s="343">
        <v>7</v>
      </c>
    </row>
    <row r="12322" spans="1:18" ht="12.75" customHeight="1">
      <c r="A12322" s="628" t="s">
        <v>22435</v>
      </c>
      <c r="B12322" s="629"/>
      <c r="C12322" s="629"/>
      <c r="D12322" s="629"/>
      <c r="E12322" s="629"/>
      <c r="F12322" s="629"/>
      <c r="G12322" s="629"/>
      <c r="H12322" s="629"/>
      <c r="I12322" s="629"/>
      <c r="J12322" s="629"/>
      <c r="K12322" s="629"/>
      <c r="L12322" s="629"/>
      <c r="M12322" s="629"/>
      <c r="N12322" s="629"/>
      <c r="O12322" s="629"/>
      <c r="P12322" s="629"/>
      <c r="Q12322" s="629"/>
      <c r="R12322" s="629"/>
    </row>
    <row r="12323" spans="1:18" ht="24">
      <c r="A12323" s="339">
        <v>261</v>
      </c>
      <c r="B12323" s="336" t="s">
        <v>22436</v>
      </c>
      <c r="C12323" s="340" t="s">
        <v>22437</v>
      </c>
      <c r="D12323" s="341">
        <v>4088.89</v>
      </c>
      <c r="E12323" s="341">
        <v>2217.5700000000002</v>
      </c>
      <c r="F12323" s="341">
        <v>1241.97</v>
      </c>
      <c r="G12323" s="341">
        <v>629.35</v>
      </c>
      <c r="H12323" s="342">
        <v>37433.43</v>
      </c>
      <c r="I12323" s="342">
        <v>25503.02</v>
      </c>
      <c r="J12323" s="342">
        <v>6705.5</v>
      </c>
      <c r="K12323" s="342">
        <v>5224.91</v>
      </c>
      <c r="L12323" s="43">
        <v>9.1549124579042243</v>
      </c>
      <c r="M12323" s="43">
        <v>11.500435161009573</v>
      </c>
      <c r="N12323" s="43">
        <v>5.3990837137773049</v>
      </c>
      <c r="O12323" s="43">
        <v>8.30207356796695</v>
      </c>
      <c r="P12323" s="343"/>
      <c r="Q12323" s="343"/>
      <c r="R12323" s="343">
        <v>8</v>
      </c>
    </row>
    <row r="12324" spans="1:18" ht="12.75" customHeight="1">
      <c r="A12324" s="628" t="s">
        <v>22438</v>
      </c>
      <c r="B12324" s="629"/>
      <c r="C12324" s="629"/>
      <c r="D12324" s="629"/>
      <c r="E12324" s="629"/>
      <c r="F12324" s="629"/>
      <c r="G12324" s="629"/>
      <c r="H12324" s="629"/>
      <c r="I12324" s="629"/>
      <c r="J12324" s="629"/>
      <c r="K12324" s="629"/>
      <c r="L12324" s="629"/>
      <c r="M12324" s="629"/>
      <c r="N12324" s="629"/>
      <c r="O12324" s="629"/>
      <c r="P12324" s="629"/>
      <c r="Q12324" s="629"/>
      <c r="R12324" s="629"/>
    </row>
    <row r="12325" spans="1:18" ht="12.75" customHeight="1">
      <c r="A12325" s="628" t="s">
        <v>22439</v>
      </c>
      <c r="B12325" s="629"/>
      <c r="C12325" s="629"/>
      <c r="D12325" s="629"/>
      <c r="E12325" s="629"/>
      <c r="F12325" s="629"/>
      <c r="G12325" s="629"/>
      <c r="H12325" s="629"/>
      <c r="I12325" s="629"/>
      <c r="J12325" s="629"/>
      <c r="K12325" s="629"/>
      <c r="L12325" s="629"/>
      <c r="M12325" s="629"/>
      <c r="N12325" s="629"/>
      <c r="O12325" s="629"/>
      <c r="P12325" s="629"/>
      <c r="Q12325" s="629"/>
      <c r="R12325" s="629"/>
    </row>
    <row r="12326" spans="1:18" ht="36">
      <c r="A12326" s="339">
        <v>262</v>
      </c>
      <c r="B12326" s="336" t="s">
        <v>22440</v>
      </c>
      <c r="C12326" s="340" t="s">
        <v>22441</v>
      </c>
      <c r="D12326" s="341">
        <v>9980.92</v>
      </c>
      <c r="E12326" s="341">
        <v>4349.88</v>
      </c>
      <c r="F12326" s="341">
        <v>3421.71</v>
      </c>
      <c r="G12326" s="341">
        <v>2209.33</v>
      </c>
      <c r="H12326" s="342">
        <v>82769.75</v>
      </c>
      <c r="I12326" s="342">
        <v>50023.62</v>
      </c>
      <c r="J12326" s="342">
        <v>18488.36</v>
      </c>
      <c r="K12326" s="342">
        <v>14257.77</v>
      </c>
      <c r="L12326" s="43">
        <v>8.2927976579313327</v>
      </c>
      <c r="M12326" s="43">
        <v>11.5</v>
      </c>
      <c r="N12326" s="43">
        <v>5.4032515905789795</v>
      </c>
      <c r="O12326" s="43">
        <v>6.4534361095897852</v>
      </c>
      <c r="P12326" s="343"/>
      <c r="Q12326" s="343"/>
      <c r="R12326" s="343">
        <v>1</v>
      </c>
    </row>
    <row r="12327" spans="1:18" ht="48">
      <c r="A12327" s="339">
        <v>263</v>
      </c>
      <c r="B12327" s="336" t="s">
        <v>22442</v>
      </c>
      <c r="C12327" s="340" t="s">
        <v>22443</v>
      </c>
      <c r="D12327" s="341">
        <v>22571.14</v>
      </c>
      <c r="E12327" s="341">
        <v>9557.1</v>
      </c>
      <c r="F12327" s="341">
        <v>9772.5400000000009</v>
      </c>
      <c r="G12327" s="341">
        <v>3241.5</v>
      </c>
      <c r="H12327" s="342">
        <v>184678.37</v>
      </c>
      <c r="I12327" s="342">
        <v>109906.65</v>
      </c>
      <c r="J12327" s="342">
        <v>52441.94</v>
      </c>
      <c r="K12327" s="342">
        <v>22329.78</v>
      </c>
      <c r="L12327" s="43">
        <v>8.1820577073200553</v>
      </c>
      <c r="M12327" s="43">
        <v>11.499999999999998</v>
      </c>
      <c r="N12327" s="43">
        <v>5.3662548324181838</v>
      </c>
      <c r="O12327" s="43">
        <v>6.8887181860249882</v>
      </c>
      <c r="P12327" s="343"/>
      <c r="Q12327" s="343"/>
      <c r="R12327" s="343">
        <v>1</v>
      </c>
    </row>
    <row r="12328" spans="1:18" ht="48">
      <c r="A12328" s="339">
        <v>264</v>
      </c>
      <c r="B12328" s="336" t="s">
        <v>22444</v>
      </c>
      <c r="C12328" s="340" t="s">
        <v>22445</v>
      </c>
      <c r="D12328" s="341">
        <v>29277.49</v>
      </c>
      <c r="E12328" s="341">
        <v>12409.8</v>
      </c>
      <c r="F12328" s="341">
        <v>10484.19</v>
      </c>
      <c r="G12328" s="341">
        <v>6383.5</v>
      </c>
      <c r="H12328" s="342">
        <v>242454.56</v>
      </c>
      <c r="I12328" s="342">
        <v>142712.70000000001</v>
      </c>
      <c r="J12328" s="342">
        <v>56400.92</v>
      </c>
      <c r="K12328" s="342">
        <v>43340.94</v>
      </c>
      <c r="L12328" s="43">
        <v>8.2812618158182278</v>
      </c>
      <c r="M12328" s="43">
        <v>11.500000000000002</v>
      </c>
      <c r="N12328" s="43">
        <v>5.3796163556745915</v>
      </c>
      <c r="O12328" s="43">
        <v>6.7895261220333678</v>
      </c>
      <c r="P12328" s="343"/>
      <c r="Q12328" s="343"/>
      <c r="R12328" s="343">
        <v>1</v>
      </c>
    </row>
    <row r="12329" spans="1:18" ht="12.75" customHeight="1">
      <c r="A12329" s="628" t="s">
        <v>22446</v>
      </c>
      <c r="B12329" s="629"/>
      <c r="C12329" s="629"/>
      <c r="D12329" s="629"/>
      <c r="E12329" s="629"/>
      <c r="F12329" s="629"/>
      <c r="G12329" s="629"/>
      <c r="H12329" s="629"/>
      <c r="I12329" s="629"/>
      <c r="J12329" s="629"/>
      <c r="K12329" s="629"/>
      <c r="L12329" s="629"/>
      <c r="M12329" s="629"/>
      <c r="N12329" s="629"/>
      <c r="O12329" s="629"/>
      <c r="P12329" s="629"/>
      <c r="Q12329" s="629"/>
      <c r="R12329" s="629"/>
    </row>
    <row r="12330" spans="1:18" ht="48">
      <c r="A12330" s="339">
        <v>265</v>
      </c>
      <c r="B12330" s="336" t="s">
        <v>22447</v>
      </c>
      <c r="C12330" s="340" t="s">
        <v>22448</v>
      </c>
      <c r="D12330" s="341">
        <v>8425.57</v>
      </c>
      <c r="E12330" s="341">
        <v>5526.69</v>
      </c>
      <c r="F12330" s="341">
        <v>1243.07</v>
      </c>
      <c r="G12330" s="341">
        <v>1655.81</v>
      </c>
      <c r="H12330" s="342">
        <v>79463.39</v>
      </c>
      <c r="I12330" s="342">
        <v>63559.34</v>
      </c>
      <c r="J12330" s="342">
        <v>6665.24</v>
      </c>
      <c r="K12330" s="342">
        <v>9238.81</v>
      </c>
      <c r="L12330" s="43">
        <v>9.4312183033314074</v>
      </c>
      <c r="M12330" s="43">
        <v>11.500435161009573</v>
      </c>
      <c r="N12330" s="43">
        <v>5.3619184760311169</v>
      </c>
      <c r="O12330" s="43">
        <v>5.5796317210307942</v>
      </c>
      <c r="P12330" s="343"/>
      <c r="Q12330" s="343"/>
      <c r="R12330" s="343">
        <v>2</v>
      </c>
    </row>
    <row r="12331" spans="1:18" ht="60">
      <c r="A12331" s="339">
        <v>266</v>
      </c>
      <c r="B12331" s="336" t="s">
        <v>22449</v>
      </c>
      <c r="C12331" s="340" t="s">
        <v>22450</v>
      </c>
      <c r="D12331" s="341">
        <v>9413.43</v>
      </c>
      <c r="E12331" s="341">
        <v>5733.51</v>
      </c>
      <c r="F12331" s="341">
        <v>1760.12</v>
      </c>
      <c r="G12331" s="341">
        <v>1919.8</v>
      </c>
      <c r="H12331" s="342">
        <v>86601.1</v>
      </c>
      <c r="I12331" s="342">
        <v>65937.86</v>
      </c>
      <c r="J12331" s="342">
        <v>9424.74</v>
      </c>
      <c r="K12331" s="342">
        <v>11238.5</v>
      </c>
      <c r="L12331" s="43">
        <v>9.1997390961636736</v>
      </c>
      <c r="M12331" s="43">
        <v>11.500435161009573</v>
      </c>
      <c r="N12331" s="43">
        <v>5.3546008226711814</v>
      </c>
      <c r="O12331" s="43">
        <v>5.8539952078341493</v>
      </c>
      <c r="P12331" s="343"/>
      <c r="Q12331" s="343"/>
      <c r="R12331" s="343">
        <v>2</v>
      </c>
    </row>
    <row r="12332" spans="1:18" ht="12.75" customHeight="1">
      <c r="A12332" s="628" t="s">
        <v>22451</v>
      </c>
      <c r="B12332" s="629"/>
      <c r="C12332" s="629"/>
      <c r="D12332" s="629"/>
      <c r="E12332" s="629"/>
      <c r="F12332" s="629"/>
      <c r="G12332" s="629"/>
      <c r="H12332" s="629"/>
      <c r="I12332" s="629"/>
      <c r="J12332" s="629"/>
      <c r="K12332" s="629"/>
      <c r="L12332" s="629"/>
      <c r="M12332" s="629"/>
      <c r="N12332" s="629"/>
      <c r="O12332" s="629"/>
      <c r="P12332" s="629"/>
      <c r="Q12332" s="629"/>
      <c r="R12332" s="629"/>
    </row>
    <row r="12333" spans="1:18" ht="36">
      <c r="A12333" s="339">
        <v>267</v>
      </c>
      <c r="B12333" s="336" t="s">
        <v>22452</v>
      </c>
      <c r="C12333" s="340" t="s">
        <v>22453</v>
      </c>
      <c r="D12333" s="341">
        <v>15376.5</v>
      </c>
      <c r="E12333" s="341">
        <v>7111.36</v>
      </c>
      <c r="F12333" s="341">
        <v>1390.22</v>
      </c>
      <c r="G12333" s="341">
        <v>6874.92</v>
      </c>
      <c r="H12333" s="342">
        <v>120593.46</v>
      </c>
      <c r="I12333" s="342">
        <v>81780.639999999999</v>
      </c>
      <c r="J12333" s="342">
        <v>7862.43</v>
      </c>
      <c r="K12333" s="342">
        <v>30950.39</v>
      </c>
      <c r="L12333" s="43">
        <v>7.8427119305433619</v>
      </c>
      <c r="M12333" s="43">
        <v>11.5</v>
      </c>
      <c r="N12333" s="43">
        <v>5.6555293406798928</v>
      </c>
      <c r="O12333" s="43">
        <v>4.5019272951539797</v>
      </c>
      <c r="P12333" s="343"/>
      <c r="Q12333" s="343"/>
      <c r="R12333" s="343">
        <v>3</v>
      </c>
    </row>
    <row r="12334" spans="1:18" ht="48">
      <c r="A12334" s="339">
        <v>268</v>
      </c>
      <c r="B12334" s="336" t="s">
        <v>22454</v>
      </c>
      <c r="C12334" s="340" t="s">
        <v>22455</v>
      </c>
      <c r="D12334" s="341">
        <v>16307.12</v>
      </c>
      <c r="E12334" s="341">
        <v>7384</v>
      </c>
      <c r="F12334" s="341">
        <v>1443.52</v>
      </c>
      <c r="G12334" s="341">
        <v>7479.6</v>
      </c>
      <c r="H12334" s="342">
        <v>128194.89</v>
      </c>
      <c r="I12334" s="342">
        <v>84916</v>
      </c>
      <c r="J12334" s="342">
        <v>8149.76</v>
      </c>
      <c r="K12334" s="342">
        <v>35129.129999999997</v>
      </c>
      <c r="L12334" s="43">
        <v>7.8612832922061031</v>
      </c>
      <c r="M12334" s="43">
        <v>11.5</v>
      </c>
      <c r="N12334" s="43">
        <v>5.645754821547329</v>
      </c>
      <c r="O12334" s="43">
        <v>4.6966589122412961</v>
      </c>
      <c r="P12334" s="343"/>
      <c r="Q12334" s="343"/>
      <c r="R12334" s="343">
        <v>3</v>
      </c>
    </row>
    <row r="12335" spans="1:18" ht="12.75" customHeight="1">
      <c r="A12335" s="628" t="s">
        <v>22456</v>
      </c>
      <c r="B12335" s="629"/>
      <c r="C12335" s="629"/>
      <c r="D12335" s="629"/>
      <c r="E12335" s="629"/>
      <c r="F12335" s="629"/>
      <c r="G12335" s="629"/>
      <c r="H12335" s="629"/>
      <c r="I12335" s="629"/>
      <c r="J12335" s="629"/>
      <c r="K12335" s="629"/>
      <c r="L12335" s="629"/>
      <c r="M12335" s="629"/>
      <c r="N12335" s="629"/>
      <c r="O12335" s="629"/>
      <c r="P12335" s="629"/>
      <c r="Q12335" s="629"/>
      <c r="R12335" s="629"/>
    </row>
    <row r="12336" spans="1:18" ht="24">
      <c r="A12336" s="339">
        <v>269</v>
      </c>
      <c r="B12336" s="336" t="s">
        <v>22457</v>
      </c>
      <c r="C12336" s="340" t="s">
        <v>22458</v>
      </c>
      <c r="D12336" s="341">
        <v>438.68</v>
      </c>
      <c r="E12336" s="341">
        <v>264.14</v>
      </c>
      <c r="F12336" s="341">
        <v>134.47999999999999</v>
      </c>
      <c r="G12336" s="341">
        <v>40.06</v>
      </c>
      <c r="H12336" s="342">
        <v>4024.28</v>
      </c>
      <c r="I12336" s="342">
        <v>3037.61</v>
      </c>
      <c r="J12336" s="342">
        <v>726.68</v>
      </c>
      <c r="K12336" s="342">
        <v>259.99</v>
      </c>
      <c r="L12336" s="43">
        <v>9.1736117443238818</v>
      </c>
      <c r="M12336" s="43">
        <v>11.500000000000002</v>
      </c>
      <c r="N12336" s="43">
        <v>5.4036287923854847</v>
      </c>
      <c r="O12336" s="43">
        <v>6.4900149775336997</v>
      </c>
      <c r="P12336" s="343"/>
      <c r="Q12336" s="343"/>
      <c r="R12336" s="343">
        <v>4</v>
      </c>
    </row>
    <row r="12337" spans="1:18" ht="12.75" customHeight="1">
      <c r="A12337" s="628" t="s">
        <v>22459</v>
      </c>
      <c r="B12337" s="629"/>
      <c r="C12337" s="629"/>
      <c r="D12337" s="629"/>
      <c r="E12337" s="629"/>
      <c r="F12337" s="629"/>
      <c r="G12337" s="629"/>
      <c r="H12337" s="629"/>
      <c r="I12337" s="629"/>
      <c r="J12337" s="629"/>
      <c r="K12337" s="629"/>
      <c r="L12337" s="629"/>
      <c r="M12337" s="629"/>
      <c r="N12337" s="629"/>
      <c r="O12337" s="629"/>
      <c r="P12337" s="629"/>
      <c r="Q12337" s="629"/>
      <c r="R12337" s="629"/>
    </row>
    <row r="12338" spans="1:18" ht="12.75" customHeight="1">
      <c r="A12338" s="628" t="s">
        <v>22460</v>
      </c>
      <c r="B12338" s="629"/>
      <c r="C12338" s="629"/>
      <c r="D12338" s="629"/>
      <c r="E12338" s="629"/>
      <c r="F12338" s="629"/>
      <c r="G12338" s="629"/>
      <c r="H12338" s="629"/>
      <c r="I12338" s="629"/>
      <c r="J12338" s="629"/>
      <c r="K12338" s="629"/>
      <c r="L12338" s="629"/>
      <c r="M12338" s="629"/>
      <c r="N12338" s="629"/>
      <c r="O12338" s="629"/>
      <c r="P12338" s="629"/>
      <c r="Q12338" s="629"/>
      <c r="R12338" s="629"/>
    </row>
    <row r="12339" spans="1:18" ht="24">
      <c r="A12339" s="339">
        <v>270</v>
      </c>
      <c r="B12339" s="336" t="s">
        <v>22461</v>
      </c>
      <c r="C12339" s="340" t="s">
        <v>22462</v>
      </c>
      <c r="D12339" s="341">
        <v>294.20999999999998</v>
      </c>
      <c r="E12339" s="341">
        <v>207.04</v>
      </c>
      <c r="F12339" s="341">
        <v>65.25</v>
      </c>
      <c r="G12339" s="341">
        <v>21.92</v>
      </c>
      <c r="H12339" s="342">
        <v>2884.83</v>
      </c>
      <c r="I12339" s="342">
        <v>2381.0100000000002</v>
      </c>
      <c r="J12339" s="342">
        <v>353.15</v>
      </c>
      <c r="K12339" s="342">
        <v>150.66999999999999</v>
      </c>
      <c r="L12339" s="43">
        <v>9.805343122259611</v>
      </c>
      <c r="M12339" s="43">
        <v>11.500241499227204</v>
      </c>
      <c r="N12339" s="43">
        <v>5.4122605363984668</v>
      </c>
      <c r="O12339" s="43">
        <v>6.8736313868613124</v>
      </c>
      <c r="P12339" s="343"/>
      <c r="Q12339" s="343"/>
      <c r="R12339" s="343">
        <v>1</v>
      </c>
    </row>
    <row r="12340" spans="1:18" ht="12.75" customHeight="1">
      <c r="A12340" s="628" t="s">
        <v>22463</v>
      </c>
      <c r="B12340" s="629"/>
      <c r="C12340" s="629"/>
      <c r="D12340" s="629"/>
      <c r="E12340" s="629"/>
      <c r="F12340" s="629"/>
      <c r="G12340" s="629"/>
      <c r="H12340" s="629"/>
      <c r="I12340" s="629"/>
      <c r="J12340" s="629"/>
      <c r="K12340" s="629"/>
      <c r="L12340" s="629"/>
      <c r="M12340" s="629"/>
      <c r="N12340" s="629"/>
      <c r="O12340" s="629"/>
      <c r="P12340" s="629"/>
      <c r="Q12340" s="629"/>
      <c r="R12340" s="629"/>
    </row>
    <row r="12341" spans="1:18" ht="24">
      <c r="A12341" s="339">
        <v>271</v>
      </c>
      <c r="B12341" s="336" t="s">
        <v>22464</v>
      </c>
      <c r="C12341" s="340" t="s">
        <v>22465</v>
      </c>
      <c r="D12341" s="341">
        <v>534.41999999999996</v>
      </c>
      <c r="E12341" s="341">
        <v>311.91000000000003</v>
      </c>
      <c r="F12341" s="341">
        <v>170</v>
      </c>
      <c r="G12341" s="341">
        <v>52.51</v>
      </c>
      <c r="H12341" s="342">
        <v>4961.25</v>
      </c>
      <c r="I12341" s="342">
        <v>3586.97</v>
      </c>
      <c r="J12341" s="342">
        <v>919.86</v>
      </c>
      <c r="K12341" s="342">
        <v>454.42</v>
      </c>
      <c r="L12341" s="43">
        <v>9.2834287638935677</v>
      </c>
      <c r="M12341" s="43">
        <v>11.500016030265138</v>
      </c>
      <c r="N12341" s="43">
        <v>5.4109411764705886</v>
      </c>
      <c r="O12341" s="43">
        <v>8.6539706722529051</v>
      </c>
      <c r="P12341" s="343"/>
      <c r="Q12341" s="343"/>
      <c r="R12341" s="343">
        <v>2</v>
      </c>
    </row>
    <row r="12342" spans="1:18" ht="12.75" customHeight="1">
      <c r="A12342" s="628" t="s">
        <v>22466</v>
      </c>
      <c r="B12342" s="629"/>
      <c r="C12342" s="629"/>
      <c r="D12342" s="629"/>
      <c r="E12342" s="629"/>
      <c r="F12342" s="629"/>
      <c r="G12342" s="629"/>
      <c r="H12342" s="629"/>
      <c r="I12342" s="629"/>
      <c r="J12342" s="629"/>
      <c r="K12342" s="629"/>
      <c r="L12342" s="629"/>
      <c r="M12342" s="629"/>
      <c r="N12342" s="629"/>
      <c r="O12342" s="629"/>
      <c r="P12342" s="629"/>
      <c r="Q12342" s="629"/>
      <c r="R12342" s="629"/>
    </row>
    <row r="12343" spans="1:18" ht="24">
      <c r="A12343" s="339">
        <v>272</v>
      </c>
      <c r="B12343" s="336" t="s">
        <v>22467</v>
      </c>
      <c r="C12343" s="340" t="s">
        <v>22468</v>
      </c>
      <c r="D12343" s="341">
        <v>463.5</v>
      </c>
      <c r="E12343" s="341">
        <v>289.99</v>
      </c>
      <c r="F12343" s="341">
        <v>145.78</v>
      </c>
      <c r="G12343" s="341">
        <v>27.73</v>
      </c>
      <c r="H12343" s="342">
        <v>4319.55</v>
      </c>
      <c r="I12343" s="342">
        <v>3334.91</v>
      </c>
      <c r="J12343" s="342">
        <v>789.08</v>
      </c>
      <c r="K12343" s="342">
        <v>195.56</v>
      </c>
      <c r="L12343" s="43">
        <v>9.3194174757281552</v>
      </c>
      <c r="M12343" s="43">
        <v>11.500086209869306</v>
      </c>
      <c r="N12343" s="43">
        <v>5.4128138290574839</v>
      </c>
      <c r="O12343" s="43">
        <v>7.052289938694555</v>
      </c>
      <c r="P12343" s="343"/>
      <c r="Q12343" s="343"/>
      <c r="R12343" s="343">
        <v>3</v>
      </c>
    </row>
    <row r="12344" spans="1:18" ht="12.75" customHeight="1">
      <c r="A12344" s="628" t="s">
        <v>19144</v>
      </c>
      <c r="B12344" s="629"/>
      <c r="C12344" s="629"/>
      <c r="D12344" s="629"/>
      <c r="E12344" s="629"/>
      <c r="F12344" s="629"/>
      <c r="G12344" s="629"/>
      <c r="H12344" s="629"/>
      <c r="I12344" s="629"/>
      <c r="J12344" s="629"/>
      <c r="K12344" s="629"/>
      <c r="L12344" s="629"/>
      <c r="M12344" s="629"/>
      <c r="N12344" s="629"/>
      <c r="O12344" s="629"/>
      <c r="P12344" s="629"/>
      <c r="Q12344" s="629"/>
      <c r="R12344" s="629"/>
    </row>
    <row r="12345" spans="1:18" ht="24">
      <c r="A12345" s="339">
        <v>273</v>
      </c>
      <c r="B12345" s="336" t="s">
        <v>22469</v>
      </c>
      <c r="C12345" s="340" t="s">
        <v>22470</v>
      </c>
      <c r="D12345" s="341">
        <v>368.09</v>
      </c>
      <c r="E12345" s="341">
        <v>277.63</v>
      </c>
      <c r="F12345" s="341">
        <v>67.59</v>
      </c>
      <c r="G12345" s="341">
        <v>22.87</v>
      </c>
      <c r="H12345" s="342">
        <v>3721.04</v>
      </c>
      <c r="I12345" s="342">
        <v>3192.72</v>
      </c>
      <c r="J12345" s="342">
        <v>365.91</v>
      </c>
      <c r="K12345" s="342">
        <v>162.41</v>
      </c>
      <c r="L12345" s="43">
        <v>10.109049417262083</v>
      </c>
      <c r="M12345" s="43">
        <v>11.499909952094514</v>
      </c>
      <c r="N12345" s="43">
        <v>5.4136706613404355</v>
      </c>
      <c r="O12345" s="43">
        <v>7.1014429383471791</v>
      </c>
      <c r="P12345" s="343"/>
      <c r="Q12345" s="343"/>
      <c r="R12345" s="343">
        <v>4</v>
      </c>
    </row>
    <row r="12346" spans="1:18" ht="24">
      <c r="A12346" s="339">
        <v>274</v>
      </c>
      <c r="B12346" s="336" t="s">
        <v>22471</v>
      </c>
      <c r="C12346" s="340" t="s">
        <v>22472</v>
      </c>
      <c r="D12346" s="341">
        <v>475.26</v>
      </c>
      <c r="E12346" s="341">
        <v>298.58999999999997</v>
      </c>
      <c r="F12346" s="341">
        <v>131.80000000000001</v>
      </c>
      <c r="G12346" s="341">
        <v>44.87</v>
      </c>
      <c r="H12346" s="342">
        <v>4471.46</v>
      </c>
      <c r="I12346" s="342">
        <v>3433.79</v>
      </c>
      <c r="J12346" s="342">
        <v>712.56</v>
      </c>
      <c r="K12346" s="342">
        <v>325.11</v>
      </c>
      <c r="L12346" s="43">
        <v>9.4084501115179062</v>
      </c>
      <c r="M12346" s="43">
        <v>11.500016745369907</v>
      </c>
      <c r="N12346" s="43">
        <v>5.4063732928679809</v>
      </c>
      <c r="O12346" s="43">
        <v>7.2455983953643868</v>
      </c>
      <c r="P12346" s="343"/>
      <c r="Q12346" s="343"/>
      <c r="R12346" s="343">
        <v>4</v>
      </c>
    </row>
    <row r="12347" spans="1:18" ht="12.75" customHeight="1">
      <c r="A12347" s="628" t="s">
        <v>22473</v>
      </c>
      <c r="B12347" s="629"/>
      <c r="C12347" s="629"/>
      <c r="D12347" s="629"/>
      <c r="E12347" s="629"/>
      <c r="F12347" s="629"/>
      <c r="G12347" s="629"/>
      <c r="H12347" s="629"/>
      <c r="I12347" s="629"/>
      <c r="J12347" s="629"/>
      <c r="K12347" s="629"/>
      <c r="L12347" s="629"/>
      <c r="M12347" s="629"/>
      <c r="N12347" s="629"/>
      <c r="O12347" s="629"/>
      <c r="P12347" s="629"/>
      <c r="Q12347" s="629"/>
      <c r="R12347" s="629"/>
    </row>
    <row r="12348" spans="1:18" ht="12.75" customHeight="1">
      <c r="A12348" s="628" t="s">
        <v>22474</v>
      </c>
      <c r="B12348" s="629"/>
      <c r="C12348" s="629"/>
      <c r="D12348" s="629"/>
      <c r="E12348" s="629"/>
      <c r="F12348" s="629"/>
      <c r="G12348" s="629"/>
      <c r="H12348" s="629"/>
      <c r="I12348" s="629"/>
      <c r="J12348" s="629"/>
      <c r="K12348" s="629"/>
      <c r="L12348" s="629"/>
      <c r="M12348" s="629"/>
      <c r="N12348" s="629"/>
      <c r="O12348" s="629"/>
      <c r="P12348" s="629"/>
      <c r="Q12348" s="629"/>
      <c r="R12348" s="629"/>
    </row>
    <row r="12349" spans="1:18" ht="24">
      <c r="A12349" s="339">
        <v>275</v>
      </c>
      <c r="B12349" s="336" t="s">
        <v>22475</v>
      </c>
      <c r="C12349" s="340" t="s">
        <v>22476</v>
      </c>
      <c r="D12349" s="341">
        <v>770.84</v>
      </c>
      <c r="E12349" s="341">
        <v>441.73</v>
      </c>
      <c r="F12349" s="341">
        <v>215.65</v>
      </c>
      <c r="G12349" s="341">
        <v>113.46</v>
      </c>
      <c r="H12349" s="342">
        <v>6929.63</v>
      </c>
      <c r="I12349" s="342">
        <v>5079.92</v>
      </c>
      <c r="J12349" s="342">
        <v>1166.28</v>
      </c>
      <c r="K12349" s="342">
        <v>683.43</v>
      </c>
      <c r="L12349" s="43">
        <v>8.9897125214052203</v>
      </c>
      <c r="M12349" s="43">
        <v>11.500056595657981</v>
      </c>
      <c r="N12349" s="43">
        <v>5.4082077440296779</v>
      </c>
      <c r="O12349" s="43">
        <v>6.0235325224748806</v>
      </c>
      <c r="P12349" s="343"/>
      <c r="Q12349" s="343"/>
      <c r="R12349" s="343">
        <v>1</v>
      </c>
    </row>
    <row r="12350" spans="1:18" ht="24">
      <c r="A12350" s="339">
        <v>276</v>
      </c>
      <c r="B12350" s="336" t="s">
        <v>22477</v>
      </c>
      <c r="C12350" s="340" t="s">
        <v>22478</v>
      </c>
      <c r="D12350" s="341">
        <v>781.25</v>
      </c>
      <c r="E12350" s="341">
        <v>454.1</v>
      </c>
      <c r="F12350" s="341">
        <v>213.16</v>
      </c>
      <c r="G12350" s="341">
        <v>113.99</v>
      </c>
      <c r="H12350" s="342">
        <v>7070.88</v>
      </c>
      <c r="I12350" s="342">
        <v>5222.1000000000004</v>
      </c>
      <c r="J12350" s="342">
        <v>1152.67</v>
      </c>
      <c r="K12350" s="342">
        <v>696.11</v>
      </c>
      <c r="L12350" s="43">
        <v>9.0507264000000003</v>
      </c>
      <c r="M12350" s="43">
        <v>11.499889892094252</v>
      </c>
      <c r="N12350" s="43">
        <v>5.4075342465753433</v>
      </c>
      <c r="O12350" s="43">
        <v>6.1067637512062465</v>
      </c>
      <c r="P12350" s="343"/>
      <c r="Q12350" s="343"/>
      <c r="R12350" s="343">
        <v>1</v>
      </c>
    </row>
    <row r="12351" spans="1:18" ht="12.75" customHeight="1">
      <c r="A12351" s="628" t="s">
        <v>22479</v>
      </c>
      <c r="B12351" s="629"/>
      <c r="C12351" s="629"/>
      <c r="D12351" s="629"/>
      <c r="E12351" s="629"/>
      <c r="F12351" s="629"/>
      <c r="G12351" s="629"/>
      <c r="H12351" s="629"/>
      <c r="I12351" s="629"/>
      <c r="J12351" s="629"/>
      <c r="K12351" s="629"/>
      <c r="L12351" s="629"/>
      <c r="M12351" s="629"/>
      <c r="N12351" s="629"/>
      <c r="O12351" s="629"/>
      <c r="P12351" s="629"/>
      <c r="Q12351" s="629"/>
      <c r="R12351" s="629"/>
    </row>
    <row r="12352" spans="1:18" ht="24">
      <c r="A12352" s="339">
        <v>277</v>
      </c>
      <c r="B12352" s="336" t="s">
        <v>22480</v>
      </c>
      <c r="C12352" s="340" t="s">
        <v>22481</v>
      </c>
      <c r="D12352" s="341">
        <v>338.3</v>
      </c>
      <c r="E12352" s="341">
        <v>240.54</v>
      </c>
      <c r="F12352" s="341">
        <v>75.61</v>
      </c>
      <c r="G12352" s="341">
        <v>22.15</v>
      </c>
      <c r="H12352" s="342">
        <v>3330</v>
      </c>
      <c r="I12352" s="342">
        <v>2766.16</v>
      </c>
      <c r="J12352" s="342">
        <v>409.36</v>
      </c>
      <c r="K12352" s="342">
        <v>154.47999999999999</v>
      </c>
      <c r="L12352" s="43">
        <v>9.843334318652083</v>
      </c>
      <c r="M12352" s="43">
        <v>11.499792134364347</v>
      </c>
      <c r="N12352" s="43">
        <v>5.4140986641978577</v>
      </c>
      <c r="O12352" s="43">
        <v>6.9742663656884876</v>
      </c>
      <c r="P12352" s="343"/>
      <c r="Q12352" s="343"/>
      <c r="R12352" s="343">
        <v>2</v>
      </c>
    </row>
    <row r="12353" spans="1:18" ht="24">
      <c r="A12353" s="339">
        <v>278</v>
      </c>
      <c r="B12353" s="336" t="s">
        <v>22482</v>
      </c>
      <c r="C12353" s="340" t="s">
        <v>22483</v>
      </c>
      <c r="D12353" s="341">
        <v>663.94</v>
      </c>
      <c r="E12353" s="341">
        <v>352.94</v>
      </c>
      <c r="F12353" s="341">
        <v>241.07</v>
      </c>
      <c r="G12353" s="341">
        <v>69.930000000000007</v>
      </c>
      <c r="H12353" s="342">
        <v>5799.6</v>
      </c>
      <c r="I12353" s="342">
        <v>4058.76</v>
      </c>
      <c r="J12353" s="342">
        <v>1298.7</v>
      </c>
      <c r="K12353" s="342">
        <v>442.14</v>
      </c>
      <c r="L12353" s="43">
        <v>8.7351266680724162</v>
      </c>
      <c r="M12353" s="43">
        <v>11.499858332861111</v>
      </c>
      <c r="N12353" s="43">
        <v>5.3872319243373301</v>
      </c>
      <c r="O12353" s="43">
        <v>6.3226083226083221</v>
      </c>
      <c r="P12353" s="343"/>
      <c r="Q12353" s="343"/>
      <c r="R12353" s="343">
        <v>2</v>
      </c>
    </row>
    <row r="12354" spans="1:18" ht="12.75" customHeight="1">
      <c r="A12354" s="628" t="s">
        <v>22484</v>
      </c>
      <c r="B12354" s="629"/>
      <c r="C12354" s="629"/>
      <c r="D12354" s="629"/>
      <c r="E12354" s="629"/>
      <c r="F12354" s="629"/>
      <c r="G12354" s="629"/>
      <c r="H12354" s="629"/>
      <c r="I12354" s="629"/>
      <c r="J12354" s="629"/>
      <c r="K12354" s="629"/>
      <c r="L12354" s="629"/>
      <c r="M12354" s="629"/>
      <c r="N12354" s="629"/>
      <c r="O12354" s="629"/>
      <c r="P12354" s="629"/>
      <c r="Q12354" s="629"/>
      <c r="R12354" s="629"/>
    </row>
    <row r="12355" spans="1:18" ht="12.75" customHeight="1">
      <c r="A12355" s="628" t="s">
        <v>22485</v>
      </c>
      <c r="B12355" s="629"/>
      <c r="C12355" s="629"/>
      <c r="D12355" s="629"/>
      <c r="E12355" s="629"/>
      <c r="F12355" s="629"/>
      <c r="G12355" s="629"/>
      <c r="H12355" s="629"/>
      <c r="I12355" s="629"/>
      <c r="J12355" s="629"/>
      <c r="K12355" s="629"/>
      <c r="L12355" s="629"/>
      <c r="M12355" s="629"/>
      <c r="N12355" s="629"/>
      <c r="O12355" s="629"/>
      <c r="P12355" s="629"/>
      <c r="Q12355" s="629"/>
      <c r="R12355" s="629"/>
    </row>
    <row r="12356" spans="1:18" ht="24">
      <c r="A12356" s="339">
        <v>279</v>
      </c>
      <c r="B12356" s="336" t="s">
        <v>22486</v>
      </c>
      <c r="C12356" s="340" t="s">
        <v>22487</v>
      </c>
      <c r="D12356" s="341">
        <v>1685.05</v>
      </c>
      <c r="E12356" s="341">
        <v>1147.8499999999999</v>
      </c>
      <c r="F12356" s="341">
        <v>428.67</v>
      </c>
      <c r="G12356" s="341">
        <v>108.53</v>
      </c>
      <c r="H12356" s="342">
        <v>16306.2</v>
      </c>
      <c r="I12356" s="342">
        <v>13200.79</v>
      </c>
      <c r="J12356" s="342">
        <v>2310.66</v>
      </c>
      <c r="K12356" s="342">
        <v>794.75</v>
      </c>
      <c r="L12356" s="43">
        <v>9.6769828788463261</v>
      </c>
      <c r="M12356" s="43">
        <v>11.50044866489524</v>
      </c>
      <c r="N12356" s="43">
        <v>5.3903002309468819</v>
      </c>
      <c r="O12356" s="43">
        <v>7.3228600386989768</v>
      </c>
      <c r="P12356" s="343"/>
      <c r="Q12356" s="343"/>
      <c r="R12356" s="343">
        <v>1</v>
      </c>
    </row>
    <row r="12357" spans="1:18" ht="24">
      <c r="A12357" s="339">
        <v>280</v>
      </c>
      <c r="B12357" s="336" t="s">
        <v>22488</v>
      </c>
      <c r="C12357" s="340" t="s">
        <v>22489</v>
      </c>
      <c r="D12357" s="341">
        <v>1670.4</v>
      </c>
      <c r="E12357" s="341">
        <v>1109.93</v>
      </c>
      <c r="F12357" s="341">
        <v>363.93</v>
      </c>
      <c r="G12357" s="341">
        <v>196.54</v>
      </c>
      <c r="H12357" s="342">
        <v>16290.24</v>
      </c>
      <c r="I12357" s="342">
        <v>12764.72</v>
      </c>
      <c r="J12357" s="342">
        <v>1964.33</v>
      </c>
      <c r="K12357" s="342">
        <v>1561.19</v>
      </c>
      <c r="L12357" s="43">
        <v>9.7522988505747126</v>
      </c>
      <c r="M12357" s="43">
        <v>11.500473002801977</v>
      </c>
      <c r="N12357" s="43">
        <v>5.3975489791992963</v>
      </c>
      <c r="O12357" s="43">
        <v>7.9433703062989727</v>
      </c>
      <c r="P12357" s="343"/>
      <c r="Q12357" s="343"/>
      <c r="R12357" s="343">
        <v>1</v>
      </c>
    </row>
    <row r="12358" spans="1:18" ht="24">
      <c r="A12358" s="339">
        <v>281</v>
      </c>
      <c r="B12358" s="336" t="s">
        <v>22490</v>
      </c>
      <c r="C12358" s="340" t="s">
        <v>22491</v>
      </c>
      <c r="D12358" s="341">
        <v>1859.89</v>
      </c>
      <c r="E12358" s="341">
        <v>1286.8800000000001</v>
      </c>
      <c r="F12358" s="341">
        <v>462.44</v>
      </c>
      <c r="G12358" s="341">
        <v>110.57</v>
      </c>
      <c r="H12358" s="342">
        <v>18108.02</v>
      </c>
      <c r="I12358" s="342">
        <v>14799.68</v>
      </c>
      <c r="J12358" s="342">
        <v>2489.0500000000002</v>
      </c>
      <c r="K12358" s="342">
        <v>819.29</v>
      </c>
      <c r="L12358" s="43">
        <v>9.7360704127663453</v>
      </c>
      <c r="M12358" s="43">
        <v>11.500435161009573</v>
      </c>
      <c r="N12358" s="43">
        <v>5.3824279906582477</v>
      </c>
      <c r="O12358" s="43">
        <v>7.4096952157004612</v>
      </c>
      <c r="P12358" s="343"/>
      <c r="Q12358" s="343"/>
      <c r="R12358" s="343">
        <v>1</v>
      </c>
    </row>
    <row r="12359" spans="1:18" ht="24">
      <c r="A12359" s="339">
        <v>282</v>
      </c>
      <c r="B12359" s="336" t="s">
        <v>22492</v>
      </c>
      <c r="C12359" s="340" t="s">
        <v>22493</v>
      </c>
      <c r="D12359" s="341">
        <v>2126.98</v>
      </c>
      <c r="E12359" s="341">
        <v>1424.76</v>
      </c>
      <c r="F12359" s="341">
        <v>609.91</v>
      </c>
      <c r="G12359" s="341">
        <v>92.31</v>
      </c>
      <c r="H12359" s="342">
        <v>20361.099999999999</v>
      </c>
      <c r="I12359" s="342">
        <v>16385.36</v>
      </c>
      <c r="J12359" s="342">
        <v>3285.51</v>
      </c>
      <c r="K12359" s="342">
        <v>690.23</v>
      </c>
      <c r="L12359" s="43">
        <v>9.5727745441894125</v>
      </c>
      <c r="M12359" s="43">
        <v>11.500435161009573</v>
      </c>
      <c r="N12359" s="43">
        <v>5.3868767523077183</v>
      </c>
      <c r="O12359" s="43">
        <v>7.4773047340483156</v>
      </c>
      <c r="P12359" s="343"/>
      <c r="Q12359" s="343"/>
      <c r="R12359" s="343">
        <v>1</v>
      </c>
    </row>
    <row r="12360" spans="1:18" ht="24">
      <c r="A12360" s="339">
        <v>283</v>
      </c>
      <c r="B12360" s="336" t="s">
        <v>22494</v>
      </c>
      <c r="C12360" s="340" t="s">
        <v>22495</v>
      </c>
      <c r="D12360" s="341">
        <v>2102.21</v>
      </c>
      <c r="E12360" s="341">
        <v>1424.76</v>
      </c>
      <c r="F12360" s="341">
        <v>581.67999999999995</v>
      </c>
      <c r="G12360" s="341">
        <v>95.77</v>
      </c>
      <c r="H12360" s="342">
        <v>20225.22</v>
      </c>
      <c r="I12360" s="342">
        <v>16385.36</v>
      </c>
      <c r="J12360" s="342">
        <v>3132.24</v>
      </c>
      <c r="K12360" s="342">
        <v>707.62</v>
      </c>
      <c r="L12360" s="43">
        <v>9.6209322570057232</v>
      </c>
      <c r="M12360" s="43">
        <v>11.500435161009573</v>
      </c>
      <c r="N12360" s="43">
        <v>5.3848163938935496</v>
      </c>
      <c r="O12360" s="43">
        <v>7.3887438655111204</v>
      </c>
      <c r="P12360" s="343"/>
      <c r="Q12360" s="343"/>
      <c r="R12360" s="343">
        <v>1</v>
      </c>
    </row>
    <row r="12361" spans="1:18" ht="24">
      <c r="A12361" s="339">
        <v>284</v>
      </c>
      <c r="B12361" s="336" t="s">
        <v>22496</v>
      </c>
      <c r="C12361" s="340" t="s">
        <v>22497</v>
      </c>
      <c r="D12361" s="341">
        <v>3345.3</v>
      </c>
      <c r="E12361" s="341">
        <v>2286.5100000000002</v>
      </c>
      <c r="F12361" s="341">
        <v>909.52</v>
      </c>
      <c r="G12361" s="341">
        <v>149.27000000000001</v>
      </c>
      <c r="H12361" s="342">
        <v>32298.27</v>
      </c>
      <c r="I12361" s="342">
        <v>26295.86</v>
      </c>
      <c r="J12361" s="342">
        <v>4899.92</v>
      </c>
      <c r="K12361" s="342">
        <v>1102.49</v>
      </c>
      <c r="L12361" s="43">
        <v>9.6548201954981607</v>
      </c>
      <c r="M12361" s="43">
        <v>11.500435161009573</v>
      </c>
      <c r="N12361" s="43">
        <v>5.3873691617556512</v>
      </c>
      <c r="O12361" s="43">
        <v>7.3858779393046152</v>
      </c>
      <c r="P12361" s="343"/>
      <c r="Q12361" s="343"/>
      <c r="R12361" s="343">
        <v>1</v>
      </c>
    </row>
    <row r="12362" spans="1:18" ht="24">
      <c r="A12362" s="339">
        <v>285</v>
      </c>
      <c r="B12362" s="336" t="s">
        <v>22498</v>
      </c>
      <c r="C12362" s="340" t="s">
        <v>22499</v>
      </c>
      <c r="D12362" s="341">
        <v>3850.47</v>
      </c>
      <c r="E12362" s="341">
        <v>2608.23</v>
      </c>
      <c r="F12362" s="341">
        <v>1069.8499999999999</v>
      </c>
      <c r="G12362" s="341">
        <v>172.39</v>
      </c>
      <c r="H12362" s="342">
        <v>37020.21</v>
      </c>
      <c r="I12362" s="342">
        <v>29995.78</v>
      </c>
      <c r="J12362" s="342">
        <v>5765.75</v>
      </c>
      <c r="K12362" s="342">
        <v>1258.68</v>
      </c>
      <c r="L12362" s="43">
        <v>9.6144652470997052</v>
      </c>
      <c r="M12362" s="43">
        <v>11.500435161009573</v>
      </c>
      <c r="N12362" s="43">
        <v>5.3893069121839519</v>
      </c>
      <c r="O12362" s="43">
        <v>7.3013515865189405</v>
      </c>
      <c r="P12362" s="343"/>
      <c r="Q12362" s="343"/>
      <c r="R12362" s="343">
        <v>1</v>
      </c>
    </row>
    <row r="12363" spans="1:18" ht="12.75" customHeight="1">
      <c r="A12363" s="628" t="s">
        <v>22500</v>
      </c>
      <c r="B12363" s="629"/>
      <c r="C12363" s="629"/>
      <c r="D12363" s="629"/>
      <c r="E12363" s="629"/>
      <c r="F12363" s="629"/>
      <c r="G12363" s="629"/>
      <c r="H12363" s="629"/>
      <c r="I12363" s="629"/>
      <c r="J12363" s="629"/>
      <c r="K12363" s="629"/>
      <c r="L12363" s="629"/>
      <c r="M12363" s="629"/>
      <c r="N12363" s="629"/>
      <c r="O12363" s="629"/>
      <c r="P12363" s="629"/>
      <c r="Q12363" s="629"/>
      <c r="R12363" s="629"/>
    </row>
    <row r="12364" spans="1:18" ht="24">
      <c r="A12364" s="339">
        <v>286</v>
      </c>
      <c r="B12364" s="336" t="s">
        <v>22501</v>
      </c>
      <c r="C12364" s="340" t="s">
        <v>22502</v>
      </c>
      <c r="D12364" s="341">
        <v>416</v>
      </c>
      <c r="E12364" s="341">
        <v>277.63</v>
      </c>
      <c r="F12364" s="341">
        <v>102.11</v>
      </c>
      <c r="G12364" s="341">
        <v>36.26</v>
      </c>
      <c r="H12364" s="342">
        <v>4033.16</v>
      </c>
      <c r="I12364" s="342">
        <v>3192.72</v>
      </c>
      <c r="J12364" s="342">
        <v>552.25</v>
      </c>
      <c r="K12364" s="342">
        <v>288.19</v>
      </c>
      <c r="L12364" s="43">
        <v>9.6950961538461531</v>
      </c>
      <c r="M12364" s="43">
        <v>11.499909952094514</v>
      </c>
      <c r="N12364" s="43">
        <v>5.408383116247184</v>
      </c>
      <c r="O12364" s="43">
        <v>7.9478764478764479</v>
      </c>
      <c r="P12364" s="343"/>
      <c r="Q12364" s="343"/>
      <c r="R12364" s="343">
        <v>2</v>
      </c>
    </row>
    <row r="12365" spans="1:18" ht="12.75" customHeight="1">
      <c r="A12365" s="628" t="s">
        <v>22503</v>
      </c>
      <c r="B12365" s="629"/>
      <c r="C12365" s="629"/>
      <c r="D12365" s="629"/>
      <c r="E12365" s="629"/>
      <c r="F12365" s="629"/>
      <c r="G12365" s="629"/>
      <c r="H12365" s="629"/>
      <c r="I12365" s="629"/>
      <c r="J12365" s="629"/>
      <c r="K12365" s="629"/>
      <c r="L12365" s="629"/>
      <c r="M12365" s="629"/>
      <c r="N12365" s="629"/>
      <c r="O12365" s="629"/>
      <c r="P12365" s="629"/>
      <c r="Q12365" s="629"/>
      <c r="R12365" s="629"/>
    </row>
    <row r="12366" spans="1:18" ht="12.75" customHeight="1">
      <c r="A12366" s="628" t="s">
        <v>22504</v>
      </c>
      <c r="B12366" s="629"/>
      <c r="C12366" s="629"/>
      <c r="D12366" s="629"/>
      <c r="E12366" s="629"/>
      <c r="F12366" s="629"/>
      <c r="G12366" s="629"/>
      <c r="H12366" s="629"/>
      <c r="I12366" s="629"/>
      <c r="J12366" s="629"/>
      <c r="K12366" s="629"/>
      <c r="L12366" s="629"/>
      <c r="M12366" s="629"/>
      <c r="N12366" s="629"/>
      <c r="O12366" s="629"/>
      <c r="P12366" s="629"/>
      <c r="Q12366" s="629"/>
      <c r="R12366" s="629"/>
    </row>
    <row r="12367" spans="1:18" ht="24">
      <c r="A12367" s="339">
        <v>287</v>
      </c>
      <c r="B12367" s="336" t="s">
        <v>22505</v>
      </c>
      <c r="C12367" s="340" t="s">
        <v>22506</v>
      </c>
      <c r="D12367" s="341">
        <v>4234.78</v>
      </c>
      <c r="E12367" s="341">
        <v>3056.34</v>
      </c>
      <c r="F12367" s="341">
        <v>555.70000000000005</v>
      </c>
      <c r="G12367" s="341">
        <v>622.74</v>
      </c>
      <c r="H12367" s="342">
        <v>43575</v>
      </c>
      <c r="I12367" s="342">
        <v>35149.24</v>
      </c>
      <c r="J12367" s="342">
        <v>2990.45</v>
      </c>
      <c r="K12367" s="342">
        <v>5435.31</v>
      </c>
      <c r="L12367" s="43">
        <v>10.289790732930637</v>
      </c>
      <c r="M12367" s="43">
        <v>11.500435161009573</v>
      </c>
      <c r="N12367" s="43">
        <v>5.3814108331833719</v>
      </c>
      <c r="O12367" s="43">
        <v>8.7280566528567309</v>
      </c>
      <c r="P12367" s="343"/>
      <c r="Q12367" s="343"/>
      <c r="R12367" s="343">
        <v>1</v>
      </c>
    </row>
    <row r="12368" spans="1:18" ht="24">
      <c r="A12368" s="339">
        <v>288</v>
      </c>
      <c r="B12368" s="336" t="s">
        <v>22507</v>
      </c>
      <c r="C12368" s="340" t="s">
        <v>22508</v>
      </c>
      <c r="D12368" s="341">
        <v>334.92</v>
      </c>
      <c r="E12368" s="341">
        <v>249.75</v>
      </c>
      <c r="F12368" s="341">
        <v>62.76</v>
      </c>
      <c r="G12368" s="341">
        <v>22.41</v>
      </c>
      <c r="H12368" s="342">
        <v>3368.96</v>
      </c>
      <c r="I12368" s="342">
        <v>2872.13</v>
      </c>
      <c r="J12368" s="342">
        <v>339.54</v>
      </c>
      <c r="K12368" s="342">
        <v>157.29</v>
      </c>
      <c r="L12368" s="43">
        <v>10.058999163979458</v>
      </c>
      <c r="M12368" s="43">
        <v>11.50002002002002</v>
      </c>
      <c r="N12368" s="43">
        <v>5.4101338432122379</v>
      </c>
      <c r="O12368" s="43">
        <v>7.0187416331994639</v>
      </c>
      <c r="P12368" s="343"/>
      <c r="Q12368" s="343"/>
      <c r="R12368" s="343">
        <v>1</v>
      </c>
    </row>
    <row r="12369" spans="1:18" ht="24">
      <c r="A12369" s="339">
        <v>289</v>
      </c>
      <c r="B12369" s="336" t="s">
        <v>22509</v>
      </c>
      <c r="C12369" s="340" t="s">
        <v>22510</v>
      </c>
      <c r="D12369" s="341">
        <v>333.77</v>
      </c>
      <c r="E12369" s="341">
        <v>252.9</v>
      </c>
      <c r="F12369" s="341">
        <v>52.83</v>
      </c>
      <c r="G12369" s="341">
        <v>28.04</v>
      </c>
      <c r="H12369" s="342">
        <v>3390.18</v>
      </c>
      <c r="I12369" s="342">
        <v>2908.35</v>
      </c>
      <c r="J12369" s="342">
        <v>285.54000000000002</v>
      </c>
      <c r="K12369" s="342">
        <v>196.29</v>
      </c>
      <c r="L12369" s="43">
        <v>10.157234023429307</v>
      </c>
      <c r="M12369" s="43">
        <v>11.5</v>
      </c>
      <c r="N12369" s="43">
        <v>5.4048835888699607</v>
      </c>
      <c r="O12369" s="43">
        <v>7.0003566333808847</v>
      </c>
      <c r="P12369" s="343"/>
      <c r="Q12369" s="343"/>
      <c r="R12369" s="343">
        <v>1</v>
      </c>
    </row>
    <row r="12370" spans="1:18" ht="24">
      <c r="A12370" s="339">
        <v>290</v>
      </c>
      <c r="B12370" s="336" t="s">
        <v>22511</v>
      </c>
      <c r="C12370" s="340" t="s">
        <v>22512</v>
      </c>
      <c r="D12370" s="341">
        <v>681.62</v>
      </c>
      <c r="E12370" s="341">
        <v>454.1</v>
      </c>
      <c r="F12370" s="341">
        <v>154.25</v>
      </c>
      <c r="G12370" s="341">
        <v>73.27</v>
      </c>
      <c r="H12370" s="342">
        <v>6532.26</v>
      </c>
      <c r="I12370" s="342">
        <v>5222.1000000000004</v>
      </c>
      <c r="J12370" s="342">
        <v>833.17</v>
      </c>
      <c r="K12370" s="342">
        <v>476.99</v>
      </c>
      <c r="L12370" s="43">
        <v>9.5834335846952854</v>
      </c>
      <c r="M12370" s="43">
        <v>11.499889892094252</v>
      </c>
      <c r="N12370" s="43">
        <v>5.4014262560777953</v>
      </c>
      <c r="O12370" s="43">
        <v>6.5100313907465539</v>
      </c>
      <c r="P12370" s="343"/>
      <c r="Q12370" s="343"/>
      <c r="R12370" s="343">
        <v>1</v>
      </c>
    </row>
    <row r="12371" spans="1:18" ht="12.75">
      <c r="A12371" s="632" t="s">
        <v>18</v>
      </c>
      <c r="B12371" s="632"/>
      <c r="C12371" s="632"/>
      <c r="D12371" s="337">
        <v>2096347.52</v>
      </c>
      <c r="E12371" s="337">
        <v>998993.74</v>
      </c>
      <c r="F12371" s="337">
        <v>543497.30000000005</v>
      </c>
      <c r="G12371" s="337">
        <v>553856.48</v>
      </c>
      <c r="H12371" s="338">
        <v>17509749.140000001</v>
      </c>
      <c r="I12371" s="338">
        <v>11488575.34</v>
      </c>
      <c r="J12371" s="338">
        <v>2930874.39</v>
      </c>
      <c r="K12371" s="338">
        <v>3090299.41</v>
      </c>
      <c r="L12371" s="612">
        <v>8.3525030907089306</v>
      </c>
      <c r="M12371" s="612">
        <v>11.500147478401617</v>
      </c>
      <c r="N12371" s="612">
        <v>5.3926199633374443</v>
      </c>
      <c r="O12371" s="612">
        <v>5.5796032394529362</v>
      </c>
      <c r="P12371" s="335"/>
      <c r="Q12371" s="335"/>
      <c r="R12371" s="335"/>
    </row>
    <row r="12372" spans="1:18" ht="18">
      <c r="A12372" s="616" t="s">
        <v>22514</v>
      </c>
      <c r="B12372" s="626"/>
      <c r="C12372" s="626"/>
      <c r="D12372" s="626"/>
      <c r="E12372" s="626"/>
      <c r="F12372" s="626"/>
      <c r="G12372" s="626"/>
      <c r="H12372" s="626"/>
      <c r="I12372" s="626"/>
      <c r="J12372" s="626"/>
      <c r="K12372" s="626"/>
      <c r="L12372" s="626"/>
      <c r="M12372" s="626"/>
      <c r="N12372" s="626"/>
      <c r="O12372" s="626"/>
      <c r="P12372" s="626"/>
      <c r="Q12372" s="626"/>
      <c r="R12372" s="627"/>
    </row>
    <row r="12373" spans="1:18" ht="12.75" customHeight="1">
      <c r="A12373" s="630" t="s">
        <v>266</v>
      </c>
      <c r="B12373" s="631"/>
      <c r="C12373" s="631"/>
      <c r="D12373" s="631"/>
      <c r="E12373" s="631"/>
      <c r="F12373" s="631"/>
      <c r="G12373" s="631"/>
      <c r="H12373" s="631"/>
      <c r="I12373" s="631"/>
      <c r="J12373" s="631"/>
      <c r="K12373" s="631"/>
      <c r="L12373" s="631"/>
      <c r="M12373" s="631"/>
      <c r="N12373" s="631"/>
      <c r="O12373" s="631"/>
      <c r="P12373" s="631"/>
      <c r="Q12373" s="631"/>
      <c r="R12373" s="631"/>
    </row>
    <row r="12374" spans="1:18" ht="12.75" customHeight="1">
      <c r="A12374" s="628" t="s">
        <v>22515</v>
      </c>
      <c r="B12374" s="629"/>
      <c r="C12374" s="629"/>
      <c r="D12374" s="629"/>
      <c r="E12374" s="629"/>
      <c r="F12374" s="629"/>
      <c r="G12374" s="629"/>
      <c r="H12374" s="629"/>
      <c r="I12374" s="629"/>
      <c r="J12374" s="629"/>
      <c r="K12374" s="629"/>
      <c r="L12374" s="629"/>
      <c r="M12374" s="629"/>
      <c r="N12374" s="629"/>
      <c r="O12374" s="629"/>
      <c r="P12374" s="629"/>
      <c r="Q12374" s="629"/>
      <c r="R12374" s="629"/>
    </row>
    <row r="12375" spans="1:18" ht="12.75" customHeight="1">
      <c r="A12375" s="628" t="s">
        <v>22516</v>
      </c>
      <c r="B12375" s="629"/>
      <c r="C12375" s="629"/>
      <c r="D12375" s="629"/>
      <c r="E12375" s="629"/>
      <c r="F12375" s="629"/>
      <c r="G12375" s="629"/>
      <c r="H12375" s="629"/>
      <c r="I12375" s="629"/>
      <c r="J12375" s="629"/>
      <c r="K12375" s="629"/>
      <c r="L12375" s="629"/>
      <c r="M12375" s="629"/>
      <c r="N12375" s="629"/>
      <c r="O12375" s="629"/>
      <c r="P12375" s="629"/>
      <c r="Q12375" s="629"/>
      <c r="R12375" s="629"/>
    </row>
    <row r="12376" spans="1:18" ht="24">
      <c r="A12376" s="355">
        <v>1</v>
      </c>
      <c r="B12376" s="352" t="s">
        <v>22517</v>
      </c>
      <c r="C12376" s="356" t="s">
        <v>22518</v>
      </c>
      <c r="D12376" s="357">
        <v>6934.58</v>
      </c>
      <c r="E12376" s="357">
        <v>2819.4</v>
      </c>
      <c r="F12376" s="357">
        <v>3536.65</v>
      </c>
      <c r="G12376" s="357">
        <v>578.53</v>
      </c>
      <c r="H12376" s="358">
        <v>55438.67</v>
      </c>
      <c r="I12376" s="358">
        <v>32423.1</v>
      </c>
      <c r="J12376" s="358">
        <v>19317.5</v>
      </c>
      <c r="K12376" s="358">
        <v>3698.07</v>
      </c>
      <c r="L12376" s="43">
        <v>7.9945245422217353</v>
      </c>
      <c r="M12376" s="43">
        <v>11.5</v>
      </c>
      <c r="N12376" s="43">
        <v>5.462089830772058</v>
      </c>
      <c r="O12376" s="43">
        <v>6.3921836378407351</v>
      </c>
      <c r="P12376" s="359"/>
      <c r="Q12376" s="359"/>
      <c r="R12376" s="359">
        <v>1</v>
      </c>
    </row>
    <row r="12377" spans="1:18" ht="12.75" customHeight="1">
      <c r="A12377" s="628" t="s">
        <v>22519</v>
      </c>
      <c r="B12377" s="629"/>
      <c r="C12377" s="629"/>
      <c r="D12377" s="629"/>
      <c r="E12377" s="629"/>
      <c r="F12377" s="629"/>
      <c r="G12377" s="629"/>
      <c r="H12377" s="629"/>
      <c r="I12377" s="629"/>
      <c r="J12377" s="629"/>
      <c r="K12377" s="629"/>
      <c r="L12377" s="629"/>
      <c r="M12377" s="629"/>
      <c r="N12377" s="629"/>
      <c r="O12377" s="629"/>
      <c r="P12377" s="629"/>
      <c r="Q12377" s="629"/>
      <c r="R12377" s="629"/>
    </row>
    <row r="12378" spans="1:18" ht="24">
      <c r="A12378" s="355">
        <v>2</v>
      </c>
      <c r="B12378" s="352" t="s">
        <v>22520</v>
      </c>
      <c r="C12378" s="356" t="s">
        <v>22521</v>
      </c>
      <c r="D12378" s="357">
        <v>6588.8</v>
      </c>
      <c r="E12378" s="357">
        <v>2578.7199999999998</v>
      </c>
      <c r="F12378" s="357">
        <v>3806.19</v>
      </c>
      <c r="G12378" s="357">
        <v>203.89</v>
      </c>
      <c r="H12378" s="358">
        <v>51975.77</v>
      </c>
      <c r="I12378" s="358">
        <v>29655.279999999999</v>
      </c>
      <c r="J12378" s="358">
        <v>20392.39</v>
      </c>
      <c r="K12378" s="358">
        <v>1928.1</v>
      </c>
      <c r="L12378" s="43">
        <v>7.8885032175813494</v>
      </c>
      <c r="M12378" s="43">
        <v>11.5</v>
      </c>
      <c r="N12378" s="43">
        <v>5.357691024357691</v>
      </c>
      <c r="O12378" s="43">
        <v>9.4565697189661098</v>
      </c>
      <c r="P12378" s="359"/>
      <c r="Q12378" s="359"/>
      <c r="R12378" s="359">
        <v>2</v>
      </c>
    </row>
    <row r="12379" spans="1:18" ht="12.75" customHeight="1">
      <c r="A12379" s="628" t="s">
        <v>22522</v>
      </c>
      <c r="B12379" s="629"/>
      <c r="C12379" s="629"/>
      <c r="D12379" s="629"/>
      <c r="E12379" s="629"/>
      <c r="F12379" s="629"/>
      <c r="G12379" s="629"/>
      <c r="H12379" s="629"/>
      <c r="I12379" s="629"/>
      <c r="J12379" s="629"/>
      <c r="K12379" s="629"/>
      <c r="L12379" s="629"/>
      <c r="M12379" s="629"/>
      <c r="N12379" s="629"/>
      <c r="O12379" s="629"/>
      <c r="P12379" s="629"/>
      <c r="Q12379" s="629"/>
      <c r="R12379" s="629"/>
    </row>
    <row r="12380" spans="1:18" ht="36">
      <c r="A12380" s="355">
        <v>3</v>
      </c>
      <c r="B12380" s="352" t="s">
        <v>22523</v>
      </c>
      <c r="C12380" s="356" t="s">
        <v>22524</v>
      </c>
      <c r="D12380" s="357">
        <v>9327.6</v>
      </c>
      <c r="E12380" s="357">
        <v>3021.87</v>
      </c>
      <c r="F12380" s="357">
        <v>4556.7</v>
      </c>
      <c r="G12380" s="357">
        <v>1749.03</v>
      </c>
      <c r="H12380" s="358">
        <v>69173.789999999994</v>
      </c>
      <c r="I12380" s="358">
        <v>34752.82</v>
      </c>
      <c r="J12380" s="358">
        <v>25814.41</v>
      </c>
      <c r="K12380" s="358">
        <v>8606.56</v>
      </c>
      <c r="L12380" s="43">
        <v>7.4160330631673732</v>
      </c>
      <c r="M12380" s="43">
        <v>11.500435161009573</v>
      </c>
      <c r="N12380" s="43">
        <v>5.6651546075010426</v>
      </c>
      <c r="O12380" s="43">
        <v>4.9207617936799251</v>
      </c>
      <c r="P12380" s="359"/>
      <c r="Q12380" s="359"/>
      <c r="R12380" s="359">
        <v>3</v>
      </c>
    </row>
    <row r="12381" spans="1:18" ht="48">
      <c r="A12381" s="355">
        <v>4</v>
      </c>
      <c r="B12381" s="352" t="s">
        <v>22525</v>
      </c>
      <c r="C12381" s="356" t="s">
        <v>22526</v>
      </c>
      <c r="D12381" s="357">
        <v>86338.83</v>
      </c>
      <c r="E12381" s="357">
        <v>19959.52</v>
      </c>
      <c r="F12381" s="357">
        <v>48902.11</v>
      </c>
      <c r="G12381" s="357">
        <v>17477.2</v>
      </c>
      <c r="H12381" s="358">
        <v>592717.71</v>
      </c>
      <c r="I12381" s="358">
        <v>229534.48</v>
      </c>
      <c r="J12381" s="358">
        <v>285436.02</v>
      </c>
      <c r="K12381" s="358">
        <v>77747.210000000006</v>
      </c>
      <c r="L12381" s="43">
        <v>6.8650190186732889</v>
      </c>
      <c r="M12381" s="43">
        <v>11.5</v>
      </c>
      <c r="N12381" s="43">
        <v>5.836885565878446</v>
      </c>
      <c r="O12381" s="43">
        <v>4.4484934657725494</v>
      </c>
      <c r="P12381" s="359"/>
      <c r="Q12381" s="359"/>
      <c r="R12381" s="359">
        <v>3</v>
      </c>
    </row>
    <row r="12382" spans="1:18" ht="48">
      <c r="A12382" s="355">
        <v>5</v>
      </c>
      <c r="B12382" s="352" t="s">
        <v>22527</v>
      </c>
      <c r="C12382" s="356" t="s">
        <v>22528</v>
      </c>
      <c r="D12382" s="357">
        <v>113326.68</v>
      </c>
      <c r="E12382" s="357">
        <v>26468.799999999999</v>
      </c>
      <c r="F12382" s="357">
        <v>66342.52</v>
      </c>
      <c r="G12382" s="357">
        <v>20515.36</v>
      </c>
      <c r="H12382" s="358">
        <v>782354.69</v>
      </c>
      <c r="I12382" s="358">
        <v>304391.2</v>
      </c>
      <c r="J12382" s="358">
        <v>385985.28000000003</v>
      </c>
      <c r="K12382" s="358">
        <v>91978.21</v>
      </c>
      <c r="L12382" s="43">
        <v>6.9035348957544684</v>
      </c>
      <c r="M12382" s="43">
        <v>11.5</v>
      </c>
      <c r="N12382" s="43">
        <v>5.8180678093023905</v>
      </c>
      <c r="O12382" s="43">
        <v>4.4833826947223931</v>
      </c>
      <c r="P12382" s="359"/>
      <c r="Q12382" s="359"/>
      <c r="R12382" s="359">
        <v>3</v>
      </c>
    </row>
    <row r="12383" spans="1:18" ht="60">
      <c r="A12383" s="355">
        <v>6</v>
      </c>
      <c r="B12383" s="352" t="s">
        <v>22529</v>
      </c>
      <c r="C12383" s="356" t="s">
        <v>22530</v>
      </c>
      <c r="D12383" s="357">
        <v>104848.06</v>
      </c>
      <c r="E12383" s="357">
        <v>23969.599999999999</v>
      </c>
      <c r="F12383" s="357">
        <v>61733.83</v>
      </c>
      <c r="G12383" s="357">
        <v>19144.63</v>
      </c>
      <c r="H12383" s="358">
        <v>722180.24</v>
      </c>
      <c r="I12383" s="358">
        <v>275650.40000000002</v>
      </c>
      <c r="J12383" s="358">
        <v>360267.6</v>
      </c>
      <c r="K12383" s="358">
        <v>86262.24</v>
      </c>
      <c r="L12383" s="43">
        <v>6.8878741294784094</v>
      </c>
      <c r="M12383" s="43">
        <v>11.500000000000002</v>
      </c>
      <c r="N12383" s="43">
        <v>5.8358212992778835</v>
      </c>
      <c r="O12383" s="43">
        <v>4.5058191252586237</v>
      </c>
      <c r="P12383" s="359"/>
      <c r="Q12383" s="359"/>
      <c r="R12383" s="359">
        <v>3</v>
      </c>
    </row>
    <row r="12384" spans="1:18" ht="48">
      <c r="A12384" s="355">
        <v>7</v>
      </c>
      <c r="B12384" s="352" t="s">
        <v>22531</v>
      </c>
      <c r="C12384" s="356" t="s">
        <v>22532</v>
      </c>
      <c r="D12384" s="357">
        <v>154842.82999999999</v>
      </c>
      <c r="E12384" s="357">
        <v>39824.339999999997</v>
      </c>
      <c r="F12384" s="357">
        <v>89207.02</v>
      </c>
      <c r="G12384" s="357">
        <v>25811.47</v>
      </c>
      <c r="H12384" s="358">
        <v>1092335.3500000001</v>
      </c>
      <c r="I12384" s="358">
        <v>457997.24</v>
      </c>
      <c r="J12384" s="358">
        <v>516794.68</v>
      </c>
      <c r="K12384" s="358">
        <v>117543.43</v>
      </c>
      <c r="L12384" s="43">
        <v>7.0544780794822737</v>
      </c>
      <c r="M12384" s="43">
        <v>11.500435161009575</v>
      </c>
      <c r="N12384" s="43">
        <v>5.7932064090920194</v>
      </c>
      <c r="O12384" s="43">
        <v>4.5539223453759119</v>
      </c>
      <c r="P12384" s="359"/>
      <c r="Q12384" s="359"/>
      <c r="R12384" s="359">
        <v>3</v>
      </c>
    </row>
    <row r="12385" spans="1:18" ht="48">
      <c r="A12385" s="355">
        <v>8</v>
      </c>
      <c r="B12385" s="352" t="s">
        <v>22533</v>
      </c>
      <c r="C12385" s="356" t="s">
        <v>22534</v>
      </c>
      <c r="D12385" s="357">
        <v>80641.570000000007</v>
      </c>
      <c r="E12385" s="357">
        <v>18028.32</v>
      </c>
      <c r="F12385" s="357">
        <v>45329.8</v>
      </c>
      <c r="G12385" s="357">
        <v>17283.45</v>
      </c>
      <c r="H12385" s="358">
        <v>548312.12</v>
      </c>
      <c r="I12385" s="358">
        <v>207325.68</v>
      </c>
      <c r="J12385" s="358">
        <v>264510.81</v>
      </c>
      <c r="K12385" s="358">
        <v>76475.63</v>
      </c>
      <c r="L12385" s="43">
        <v>6.7993730776818948</v>
      </c>
      <c r="M12385" s="43">
        <v>11.5</v>
      </c>
      <c r="N12385" s="43">
        <v>5.8352520858243357</v>
      </c>
      <c r="O12385" s="43">
        <v>4.4247896108705147</v>
      </c>
      <c r="P12385" s="359"/>
      <c r="Q12385" s="359"/>
      <c r="R12385" s="359">
        <v>3</v>
      </c>
    </row>
    <row r="12386" spans="1:18" ht="12.75" customHeight="1">
      <c r="A12386" s="628" t="s">
        <v>22535</v>
      </c>
      <c r="B12386" s="629"/>
      <c r="C12386" s="629"/>
      <c r="D12386" s="629"/>
      <c r="E12386" s="629"/>
      <c r="F12386" s="629"/>
      <c r="G12386" s="629"/>
      <c r="H12386" s="629"/>
      <c r="I12386" s="629"/>
      <c r="J12386" s="629"/>
      <c r="K12386" s="629"/>
      <c r="L12386" s="629"/>
      <c r="M12386" s="629"/>
      <c r="N12386" s="629"/>
      <c r="O12386" s="629"/>
      <c r="P12386" s="629"/>
      <c r="Q12386" s="629"/>
      <c r="R12386" s="629"/>
    </row>
    <row r="12387" spans="1:18" ht="36">
      <c r="A12387" s="355">
        <v>9</v>
      </c>
      <c r="B12387" s="352" t="s">
        <v>22536</v>
      </c>
      <c r="C12387" s="356" t="s">
        <v>22537</v>
      </c>
      <c r="D12387" s="357">
        <v>2135.98</v>
      </c>
      <c r="E12387" s="357">
        <v>787.65</v>
      </c>
      <c r="F12387" s="357">
        <v>750.48</v>
      </c>
      <c r="G12387" s="357">
        <v>597.85</v>
      </c>
      <c r="H12387" s="358">
        <v>15470.5</v>
      </c>
      <c r="I12387" s="358">
        <v>9058.2900000000009</v>
      </c>
      <c r="J12387" s="358">
        <v>4037.38</v>
      </c>
      <c r="K12387" s="358">
        <v>2374.83</v>
      </c>
      <c r="L12387" s="43">
        <v>7.242811262277737</v>
      </c>
      <c r="M12387" s="43">
        <v>11.500399923824036</v>
      </c>
      <c r="N12387" s="43">
        <v>5.3797303059375334</v>
      </c>
      <c r="O12387" s="43">
        <v>3.9722840177301997</v>
      </c>
      <c r="P12387" s="359"/>
      <c r="Q12387" s="359"/>
      <c r="R12387" s="359">
        <v>4</v>
      </c>
    </row>
    <row r="12388" spans="1:18" ht="12.75" customHeight="1">
      <c r="A12388" s="628" t="s">
        <v>22538</v>
      </c>
      <c r="B12388" s="629"/>
      <c r="C12388" s="629"/>
      <c r="D12388" s="629"/>
      <c r="E12388" s="629"/>
      <c r="F12388" s="629"/>
      <c r="G12388" s="629"/>
      <c r="H12388" s="629"/>
      <c r="I12388" s="629"/>
      <c r="J12388" s="629"/>
      <c r="K12388" s="629"/>
      <c r="L12388" s="629"/>
      <c r="M12388" s="629"/>
      <c r="N12388" s="629"/>
      <c r="O12388" s="629"/>
      <c r="P12388" s="629"/>
      <c r="Q12388" s="629"/>
      <c r="R12388" s="629"/>
    </row>
    <row r="12389" spans="1:18" ht="36">
      <c r="A12389" s="355">
        <v>10</v>
      </c>
      <c r="B12389" s="352" t="s">
        <v>22539</v>
      </c>
      <c r="C12389" s="356" t="s">
        <v>22540</v>
      </c>
      <c r="D12389" s="357">
        <v>1561.03</v>
      </c>
      <c r="E12389" s="357">
        <v>810.3</v>
      </c>
      <c r="F12389" s="357">
        <v>611.29999999999995</v>
      </c>
      <c r="G12389" s="357">
        <v>139.43</v>
      </c>
      <c r="H12389" s="358">
        <v>13297.9</v>
      </c>
      <c r="I12389" s="358">
        <v>9318.4500000000007</v>
      </c>
      <c r="J12389" s="358">
        <v>3294.69</v>
      </c>
      <c r="K12389" s="358">
        <v>684.76</v>
      </c>
      <c r="L12389" s="43">
        <v>8.5186703650794673</v>
      </c>
      <c r="M12389" s="43">
        <v>11.500000000000002</v>
      </c>
      <c r="N12389" s="43">
        <v>5.3896450188123675</v>
      </c>
      <c r="O12389" s="43">
        <v>4.9111382055511728</v>
      </c>
      <c r="P12389" s="359"/>
      <c r="Q12389" s="359"/>
      <c r="R12389" s="359">
        <v>5</v>
      </c>
    </row>
    <row r="12390" spans="1:18" ht="36">
      <c r="A12390" s="355">
        <v>11</v>
      </c>
      <c r="B12390" s="352" t="s">
        <v>22541</v>
      </c>
      <c r="C12390" s="356" t="s">
        <v>22542</v>
      </c>
      <c r="D12390" s="357">
        <v>741.43</v>
      </c>
      <c r="E12390" s="357">
        <v>264.18</v>
      </c>
      <c r="F12390" s="357">
        <v>447.7</v>
      </c>
      <c r="G12390" s="357">
        <v>29.55</v>
      </c>
      <c r="H12390" s="358">
        <v>5727.84</v>
      </c>
      <c r="I12390" s="358">
        <v>3038.07</v>
      </c>
      <c r="J12390" s="358">
        <v>2437.37</v>
      </c>
      <c r="K12390" s="358">
        <v>252.4</v>
      </c>
      <c r="L12390" s="43">
        <v>7.7253955194691351</v>
      </c>
      <c r="M12390" s="43">
        <v>11.5</v>
      </c>
      <c r="N12390" s="43">
        <v>5.4442037078400718</v>
      </c>
      <c r="O12390" s="43">
        <v>8.5414551607445013</v>
      </c>
      <c r="P12390" s="359"/>
      <c r="Q12390" s="359"/>
      <c r="R12390" s="359">
        <v>5</v>
      </c>
    </row>
    <row r="12391" spans="1:18" ht="24">
      <c r="A12391" s="355">
        <v>12</v>
      </c>
      <c r="B12391" s="352" t="s">
        <v>22543</v>
      </c>
      <c r="C12391" s="356" t="s">
        <v>22544</v>
      </c>
      <c r="D12391" s="357">
        <v>1815.39</v>
      </c>
      <c r="E12391" s="357">
        <v>647.13</v>
      </c>
      <c r="F12391" s="357">
        <v>1059.02</v>
      </c>
      <c r="G12391" s="357">
        <v>109.24</v>
      </c>
      <c r="H12391" s="358">
        <v>14107.52</v>
      </c>
      <c r="I12391" s="358">
        <v>7442</v>
      </c>
      <c r="J12391" s="358">
        <v>5758.43</v>
      </c>
      <c r="K12391" s="358">
        <v>907.09</v>
      </c>
      <c r="L12391" s="43">
        <v>7.771068475644352</v>
      </c>
      <c r="M12391" s="43">
        <v>11.500007726422821</v>
      </c>
      <c r="N12391" s="43">
        <v>5.4375082623557631</v>
      </c>
      <c r="O12391" s="43">
        <v>8.3036433540827534</v>
      </c>
      <c r="P12391" s="359"/>
      <c r="Q12391" s="359"/>
      <c r="R12391" s="359">
        <v>5</v>
      </c>
    </row>
    <row r="12392" spans="1:18" ht="24">
      <c r="A12392" s="355">
        <v>13</v>
      </c>
      <c r="B12392" s="352" t="s">
        <v>22545</v>
      </c>
      <c r="C12392" s="356" t="s">
        <v>22546</v>
      </c>
      <c r="D12392" s="357">
        <v>2781.66</v>
      </c>
      <c r="E12392" s="357">
        <v>1002.33</v>
      </c>
      <c r="F12392" s="357">
        <v>1591.97</v>
      </c>
      <c r="G12392" s="357">
        <v>187.36</v>
      </c>
      <c r="H12392" s="358">
        <v>21768.39</v>
      </c>
      <c r="I12392" s="358">
        <v>11526.8</v>
      </c>
      <c r="J12392" s="358">
        <v>8677.1200000000008</v>
      </c>
      <c r="K12392" s="358">
        <v>1564.47</v>
      </c>
      <c r="L12392" s="43">
        <v>7.8256832251245658</v>
      </c>
      <c r="M12392" s="43">
        <v>11.50000498837708</v>
      </c>
      <c r="N12392" s="43">
        <v>5.4505549727695879</v>
      </c>
      <c r="O12392" s="43">
        <v>8.3500747224594356</v>
      </c>
      <c r="P12392" s="359"/>
      <c r="Q12392" s="359"/>
      <c r="R12392" s="359">
        <v>5</v>
      </c>
    </row>
    <row r="12393" spans="1:18" ht="12.75" customHeight="1">
      <c r="A12393" s="628" t="s">
        <v>22547</v>
      </c>
      <c r="B12393" s="629"/>
      <c r="C12393" s="629"/>
      <c r="D12393" s="629"/>
      <c r="E12393" s="629"/>
      <c r="F12393" s="629"/>
      <c r="G12393" s="629"/>
      <c r="H12393" s="629"/>
      <c r="I12393" s="629"/>
      <c r="J12393" s="629"/>
      <c r="K12393" s="629"/>
      <c r="L12393" s="629"/>
      <c r="M12393" s="629"/>
      <c r="N12393" s="629"/>
      <c r="O12393" s="629"/>
      <c r="P12393" s="629"/>
      <c r="Q12393" s="629"/>
      <c r="R12393" s="629"/>
    </row>
    <row r="12394" spans="1:18" ht="24">
      <c r="A12394" s="355">
        <v>14</v>
      </c>
      <c r="B12394" s="352" t="s">
        <v>22548</v>
      </c>
      <c r="C12394" s="356" t="s">
        <v>22549</v>
      </c>
      <c r="D12394" s="357">
        <v>567.64</v>
      </c>
      <c r="E12394" s="357">
        <v>185.39</v>
      </c>
      <c r="F12394" s="357">
        <v>378.54</v>
      </c>
      <c r="G12394" s="357">
        <v>3.71</v>
      </c>
      <c r="H12394" s="358">
        <v>4228.37</v>
      </c>
      <c r="I12394" s="358">
        <v>2132.1</v>
      </c>
      <c r="J12394" s="358">
        <v>2053.6</v>
      </c>
      <c r="K12394" s="358">
        <v>42.67</v>
      </c>
      <c r="L12394" s="43">
        <v>7.4490345993939817</v>
      </c>
      <c r="M12394" s="43">
        <v>11.50062031393279</v>
      </c>
      <c r="N12394" s="43">
        <v>5.4250541554393186</v>
      </c>
      <c r="O12394" s="43">
        <v>11.50134770889488</v>
      </c>
      <c r="P12394" s="359"/>
      <c r="Q12394" s="359"/>
      <c r="R12394" s="359">
        <v>6</v>
      </c>
    </row>
    <row r="12395" spans="1:18" ht="24">
      <c r="A12395" s="355">
        <v>15</v>
      </c>
      <c r="B12395" s="352" t="s">
        <v>22550</v>
      </c>
      <c r="C12395" s="356" t="s">
        <v>22551</v>
      </c>
      <c r="D12395" s="357">
        <v>695.35</v>
      </c>
      <c r="E12395" s="357">
        <v>239.76</v>
      </c>
      <c r="F12395" s="357">
        <v>450.79</v>
      </c>
      <c r="G12395" s="357">
        <v>4.8</v>
      </c>
      <c r="H12395" s="358">
        <v>5260.43</v>
      </c>
      <c r="I12395" s="358">
        <v>2757.24</v>
      </c>
      <c r="J12395" s="358">
        <v>2447.9899999999998</v>
      </c>
      <c r="K12395" s="358">
        <v>55.2</v>
      </c>
      <c r="L12395" s="43">
        <v>7.5651542388725108</v>
      </c>
      <c r="M12395" s="43">
        <v>11.5</v>
      </c>
      <c r="N12395" s="43">
        <v>5.430444331063244</v>
      </c>
      <c r="O12395" s="43">
        <v>11.500000000000002</v>
      </c>
      <c r="P12395" s="359"/>
      <c r="Q12395" s="359"/>
      <c r="R12395" s="359">
        <v>6</v>
      </c>
    </row>
    <row r="12396" spans="1:18" ht="24">
      <c r="A12396" s="355">
        <v>16</v>
      </c>
      <c r="B12396" s="352" t="s">
        <v>22552</v>
      </c>
      <c r="C12396" s="356" t="s">
        <v>22553</v>
      </c>
      <c r="D12396" s="357">
        <v>1467.34</v>
      </c>
      <c r="E12396" s="357">
        <v>748.14</v>
      </c>
      <c r="F12396" s="357">
        <v>628.46</v>
      </c>
      <c r="G12396" s="357">
        <v>90.74</v>
      </c>
      <c r="H12396" s="358">
        <v>12474.18</v>
      </c>
      <c r="I12396" s="358">
        <v>8603.61</v>
      </c>
      <c r="J12396" s="358">
        <v>3397.87</v>
      </c>
      <c r="K12396" s="358">
        <v>472.7</v>
      </c>
      <c r="L12396" s="43">
        <v>8.5012198945029791</v>
      </c>
      <c r="M12396" s="43">
        <v>11.500000000000002</v>
      </c>
      <c r="N12396" s="43">
        <v>5.4066607262196476</v>
      </c>
      <c r="O12396" s="43">
        <v>5.2093894644037908</v>
      </c>
      <c r="P12396" s="359"/>
      <c r="Q12396" s="359"/>
      <c r="R12396" s="359">
        <v>6</v>
      </c>
    </row>
    <row r="12397" spans="1:18" ht="12.75" customHeight="1">
      <c r="A12397" s="628" t="s">
        <v>22554</v>
      </c>
      <c r="B12397" s="629"/>
      <c r="C12397" s="629"/>
      <c r="D12397" s="629"/>
      <c r="E12397" s="629"/>
      <c r="F12397" s="629"/>
      <c r="G12397" s="629"/>
      <c r="H12397" s="629"/>
      <c r="I12397" s="629"/>
      <c r="J12397" s="629"/>
      <c r="K12397" s="629"/>
      <c r="L12397" s="629"/>
      <c r="M12397" s="629"/>
      <c r="N12397" s="629"/>
      <c r="O12397" s="629"/>
      <c r="P12397" s="629"/>
      <c r="Q12397" s="629"/>
      <c r="R12397" s="629"/>
    </row>
    <row r="12398" spans="1:18" ht="12.75" customHeight="1">
      <c r="A12398" s="628" t="s">
        <v>22555</v>
      </c>
      <c r="B12398" s="629"/>
      <c r="C12398" s="629"/>
      <c r="D12398" s="629"/>
      <c r="E12398" s="629"/>
      <c r="F12398" s="629"/>
      <c r="G12398" s="629"/>
      <c r="H12398" s="629"/>
      <c r="I12398" s="629"/>
      <c r="J12398" s="629"/>
      <c r="K12398" s="629"/>
      <c r="L12398" s="629"/>
      <c r="M12398" s="629"/>
      <c r="N12398" s="629"/>
      <c r="O12398" s="629"/>
      <c r="P12398" s="629"/>
      <c r="Q12398" s="629"/>
      <c r="R12398" s="629"/>
    </row>
    <row r="12399" spans="1:18" ht="24">
      <c r="A12399" s="355">
        <v>17</v>
      </c>
      <c r="B12399" s="352" t="s">
        <v>22556</v>
      </c>
      <c r="C12399" s="356" t="s">
        <v>22557</v>
      </c>
      <c r="D12399" s="357">
        <v>4730.7299999999996</v>
      </c>
      <c r="E12399" s="357">
        <v>1109.8699999999999</v>
      </c>
      <c r="F12399" s="357">
        <v>2916.54</v>
      </c>
      <c r="G12399" s="357">
        <v>704.32</v>
      </c>
      <c r="H12399" s="358">
        <v>30897.59</v>
      </c>
      <c r="I12399" s="358">
        <v>12763.53</v>
      </c>
      <c r="J12399" s="358">
        <v>15693.62</v>
      </c>
      <c r="K12399" s="358">
        <v>2440.44</v>
      </c>
      <c r="L12399" s="43">
        <v>6.5312520477812095</v>
      </c>
      <c r="M12399" s="43">
        <v>11.500022525160606</v>
      </c>
      <c r="N12399" s="43">
        <v>5.3809033992333388</v>
      </c>
      <c r="O12399" s="43">
        <v>3.4649591094956835</v>
      </c>
      <c r="P12399" s="359"/>
      <c r="Q12399" s="359"/>
      <c r="R12399" s="359">
        <v>1</v>
      </c>
    </row>
    <row r="12400" spans="1:18" ht="24">
      <c r="A12400" s="355">
        <v>18</v>
      </c>
      <c r="B12400" s="352" t="s">
        <v>22558</v>
      </c>
      <c r="C12400" s="356" t="s">
        <v>22559</v>
      </c>
      <c r="D12400" s="357">
        <v>11398.79</v>
      </c>
      <c r="E12400" s="357">
        <v>2362.88</v>
      </c>
      <c r="F12400" s="357">
        <v>7001.43</v>
      </c>
      <c r="G12400" s="357">
        <v>2034.48</v>
      </c>
      <c r="H12400" s="358">
        <v>73279.12</v>
      </c>
      <c r="I12400" s="358">
        <v>27173.119999999999</v>
      </c>
      <c r="J12400" s="358">
        <v>38883.64</v>
      </c>
      <c r="K12400" s="358">
        <v>7222.36</v>
      </c>
      <c r="L12400" s="43">
        <v>6.4286753243107375</v>
      </c>
      <c r="M12400" s="43">
        <v>11.499999999999998</v>
      </c>
      <c r="N12400" s="43">
        <v>5.5536711786020856</v>
      </c>
      <c r="O12400" s="43">
        <v>3.5499783728520309</v>
      </c>
      <c r="P12400" s="359"/>
      <c r="Q12400" s="359"/>
      <c r="R12400" s="359">
        <v>1</v>
      </c>
    </row>
    <row r="12401" spans="1:18" ht="24">
      <c r="A12401" s="355">
        <v>19</v>
      </c>
      <c r="B12401" s="352" t="s">
        <v>22560</v>
      </c>
      <c r="C12401" s="356" t="s">
        <v>22561</v>
      </c>
      <c r="D12401" s="357">
        <v>17526.22</v>
      </c>
      <c r="E12401" s="357">
        <v>2964.96</v>
      </c>
      <c r="F12401" s="357">
        <v>11771.03</v>
      </c>
      <c r="G12401" s="357">
        <v>2790.23</v>
      </c>
      <c r="H12401" s="358">
        <v>107132.73</v>
      </c>
      <c r="I12401" s="358">
        <v>34097.040000000001</v>
      </c>
      <c r="J12401" s="358">
        <v>63253.33</v>
      </c>
      <c r="K12401" s="358">
        <v>9782.36</v>
      </c>
      <c r="L12401" s="43">
        <v>6.1127116971029682</v>
      </c>
      <c r="M12401" s="43">
        <v>11.5</v>
      </c>
      <c r="N12401" s="43">
        <v>5.3736444474272851</v>
      </c>
      <c r="O12401" s="43">
        <v>3.5059332026392092</v>
      </c>
      <c r="P12401" s="359"/>
      <c r="Q12401" s="359"/>
      <c r="R12401" s="359">
        <v>1</v>
      </c>
    </row>
    <row r="12402" spans="1:18" ht="12.75" customHeight="1">
      <c r="A12402" s="628" t="s">
        <v>22562</v>
      </c>
      <c r="B12402" s="629"/>
      <c r="C12402" s="629"/>
      <c r="D12402" s="629"/>
      <c r="E12402" s="629"/>
      <c r="F12402" s="629"/>
      <c r="G12402" s="629"/>
      <c r="H12402" s="629"/>
      <c r="I12402" s="629"/>
      <c r="J12402" s="629"/>
      <c r="K12402" s="629"/>
      <c r="L12402" s="629"/>
      <c r="M12402" s="629"/>
      <c r="N12402" s="629"/>
      <c r="O12402" s="629"/>
      <c r="P12402" s="629"/>
      <c r="Q12402" s="629"/>
      <c r="R12402" s="629"/>
    </row>
    <row r="12403" spans="1:18" ht="24">
      <c r="A12403" s="355">
        <v>20</v>
      </c>
      <c r="B12403" s="352" t="s">
        <v>22563</v>
      </c>
      <c r="C12403" s="356" t="s">
        <v>22564</v>
      </c>
      <c r="D12403" s="357">
        <v>2942.93</v>
      </c>
      <c r="E12403" s="357">
        <v>1360.04</v>
      </c>
      <c r="F12403" s="357">
        <v>496.67</v>
      </c>
      <c r="G12403" s="357">
        <v>1086.22</v>
      </c>
      <c r="H12403" s="358">
        <v>23628.58</v>
      </c>
      <c r="I12403" s="358">
        <v>15640.46</v>
      </c>
      <c r="J12403" s="358">
        <v>2875.18</v>
      </c>
      <c r="K12403" s="358">
        <v>5112.9399999999996</v>
      </c>
      <c r="L12403" s="43">
        <v>8.0289303517243038</v>
      </c>
      <c r="M12403" s="43">
        <v>11.5</v>
      </c>
      <c r="N12403" s="43">
        <v>5.7889141683612859</v>
      </c>
      <c r="O12403" s="43">
        <v>4.707094327116053</v>
      </c>
      <c r="P12403" s="359"/>
      <c r="Q12403" s="359"/>
      <c r="R12403" s="359">
        <v>2</v>
      </c>
    </row>
    <row r="12404" spans="1:18" ht="12.75" customHeight="1">
      <c r="A12404" s="628" t="s">
        <v>22565</v>
      </c>
      <c r="B12404" s="629"/>
      <c r="C12404" s="629"/>
      <c r="D12404" s="629"/>
      <c r="E12404" s="629"/>
      <c r="F12404" s="629"/>
      <c r="G12404" s="629"/>
      <c r="H12404" s="629"/>
      <c r="I12404" s="629"/>
      <c r="J12404" s="629"/>
      <c r="K12404" s="629"/>
      <c r="L12404" s="629"/>
      <c r="M12404" s="629"/>
      <c r="N12404" s="629"/>
      <c r="O12404" s="629"/>
      <c r="P12404" s="629"/>
      <c r="Q12404" s="629"/>
      <c r="R12404" s="629"/>
    </row>
    <row r="12405" spans="1:18" ht="24">
      <c r="A12405" s="355">
        <v>21</v>
      </c>
      <c r="B12405" s="352" t="s">
        <v>22566</v>
      </c>
      <c r="C12405" s="356" t="s">
        <v>22567</v>
      </c>
      <c r="D12405" s="357">
        <v>2488.2399999999998</v>
      </c>
      <c r="E12405" s="357">
        <v>935.73</v>
      </c>
      <c r="F12405" s="357">
        <v>474.78</v>
      </c>
      <c r="G12405" s="357">
        <v>1077.73</v>
      </c>
      <c r="H12405" s="358">
        <v>18353.89</v>
      </c>
      <c r="I12405" s="358">
        <v>10760.9</v>
      </c>
      <c r="J12405" s="358">
        <v>2577.6799999999998</v>
      </c>
      <c r="K12405" s="358">
        <v>5015.3100000000004</v>
      </c>
      <c r="L12405" s="43">
        <v>7.3762538983377812</v>
      </c>
      <c r="M12405" s="43">
        <v>11.500005343421712</v>
      </c>
      <c r="N12405" s="43">
        <v>5.4292093179999155</v>
      </c>
      <c r="O12405" s="43">
        <v>4.6535867053900333</v>
      </c>
      <c r="P12405" s="359"/>
      <c r="Q12405" s="359"/>
      <c r="R12405" s="359">
        <v>3</v>
      </c>
    </row>
    <row r="12406" spans="1:18" ht="12.75" customHeight="1">
      <c r="A12406" s="628" t="s">
        <v>22568</v>
      </c>
      <c r="B12406" s="629"/>
      <c r="C12406" s="629"/>
      <c r="D12406" s="629"/>
      <c r="E12406" s="629"/>
      <c r="F12406" s="629"/>
      <c r="G12406" s="629"/>
      <c r="H12406" s="629"/>
      <c r="I12406" s="629"/>
      <c r="J12406" s="629"/>
      <c r="K12406" s="629"/>
      <c r="L12406" s="629"/>
      <c r="M12406" s="629"/>
      <c r="N12406" s="629"/>
      <c r="O12406" s="629"/>
      <c r="P12406" s="629"/>
      <c r="Q12406" s="629"/>
      <c r="R12406" s="629"/>
    </row>
    <row r="12407" spans="1:18" ht="36">
      <c r="A12407" s="355">
        <v>22</v>
      </c>
      <c r="B12407" s="352" t="s">
        <v>22569</v>
      </c>
      <c r="C12407" s="356" t="s">
        <v>22570</v>
      </c>
      <c r="D12407" s="357">
        <v>3193.68</v>
      </c>
      <c r="E12407" s="357">
        <v>1465.2</v>
      </c>
      <c r="F12407" s="357">
        <v>1159.2</v>
      </c>
      <c r="G12407" s="357">
        <v>569.28</v>
      </c>
      <c r="H12407" s="358">
        <v>25712.62</v>
      </c>
      <c r="I12407" s="358">
        <v>16849.8</v>
      </c>
      <c r="J12407" s="358">
        <v>6337.81</v>
      </c>
      <c r="K12407" s="358">
        <v>2525.0100000000002</v>
      </c>
      <c r="L12407" s="43">
        <v>8.0510946619573662</v>
      </c>
      <c r="M12407" s="43">
        <v>11.5</v>
      </c>
      <c r="N12407" s="43">
        <v>5.4673999309868879</v>
      </c>
      <c r="O12407" s="43">
        <v>4.435444772344014</v>
      </c>
      <c r="P12407" s="359"/>
      <c r="Q12407" s="359"/>
      <c r="R12407" s="359">
        <v>4</v>
      </c>
    </row>
    <row r="12408" spans="1:18" ht="24">
      <c r="A12408" s="355">
        <v>23</v>
      </c>
      <c r="B12408" s="352" t="s">
        <v>22571</v>
      </c>
      <c r="C12408" s="356" t="s">
        <v>22572</v>
      </c>
      <c r="D12408" s="357">
        <v>1119.99</v>
      </c>
      <c r="E12408" s="357">
        <v>722.61</v>
      </c>
      <c r="F12408" s="357">
        <v>238</v>
      </c>
      <c r="G12408" s="357">
        <v>159.38</v>
      </c>
      <c r="H12408" s="358">
        <v>10309.129999999999</v>
      </c>
      <c r="I12408" s="358">
        <v>8310.02</v>
      </c>
      <c r="J12408" s="358">
        <v>1289.72</v>
      </c>
      <c r="K12408" s="358">
        <v>709.39</v>
      </c>
      <c r="L12408" s="43">
        <v>9.2046625416298351</v>
      </c>
      <c r="M12408" s="43">
        <v>11.500006919361759</v>
      </c>
      <c r="N12408" s="43">
        <v>5.4189915966386559</v>
      </c>
      <c r="O12408" s="43">
        <v>4.4509348726314473</v>
      </c>
      <c r="P12408" s="359"/>
      <c r="Q12408" s="359"/>
      <c r="R12408" s="359">
        <v>4</v>
      </c>
    </row>
    <row r="12409" spans="1:18" ht="12.75" customHeight="1">
      <c r="A12409" s="628" t="s">
        <v>22573</v>
      </c>
      <c r="B12409" s="629"/>
      <c r="C12409" s="629"/>
      <c r="D12409" s="629"/>
      <c r="E12409" s="629"/>
      <c r="F12409" s="629"/>
      <c r="G12409" s="629"/>
      <c r="H12409" s="629"/>
      <c r="I12409" s="629"/>
      <c r="J12409" s="629"/>
      <c r="K12409" s="629"/>
      <c r="L12409" s="629"/>
      <c r="M12409" s="629"/>
      <c r="N12409" s="629"/>
      <c r="O12409" s="629"/>
      <c r="P12409" s="629"/>
      <c r="Q12409" s="629"/>
      <c r="R12409" s="629"/>
    </row>
    <row r="12410" spans="1:18" ht="24">
      <c r="A12410" s="355">
        <v>24</v>
      </c>
      <c r="B12410" s="352" t="s">
        <v>22574</v>
      </c>
      <c r="C12410" s="356" t="s">
        <v>22575</v>
      </c>
      <c r="D12410" s="357">
        <v>7038.35</v>
      </c>
      <c r="E12410" s="357">
        <v>2783.2</v>
      </c>
      <c r="F12410" s="357">
        <v>1389.48</v>
      </c>
      <c r="G12410" s="357">
        <v>2865.67</v>
      </c>
      <c r="H12410" s="358">
        <v>53547.24</v>
      </c>
      <c r="I12410" s="358">
        <v>32006.799999999999</v>
      </c>
      <c r="J12410" s="358">
        <v>7276.63</v>
      </c>
      <c r="K12410" s="358">
        <v>14263.81</v>
      </c>
      <c r="L12410" s="43">
        <v>7.6079251529122587</v>
      </c>
      <c r="M12410" s="43">
        <v>11.5</v>
      </c>
      <c r="N12410" s="43">
        <v>5.236944756311714</v>
      </c>
      <c r="O12410" s="43">
        <v>4.9774782162635614</v>
      </c>
      <c r="P12410" s="359"/>
      <c r="Q12410" s="359"/>
      <c r="R12410" s="359">
        <v>5</v>
      </c>
    </row>
    <row r="12411" spans="1:18" ht="36">
      <c r="A12411" s="355">
        <v>25</v>
      </c>
      <c r="B12411" s="352" t="s">
        <v>22576</v>
      </c>
      <c r="C12411" s="356" t="s">
        <v>22577</v>
      </c>
      <c r="D12411" s="357">
        <v>18694.36</v>
      </c>
      <c r="E12411" s="357">
        <v>2862.72</v>
      </c>
      <c r="F12411" s="357">
        <v>12032.73</v>
      </c>
      <c r="G12411" s="357">
        <v>3798.91</v>
      </c>
      <c r="H12411" s="358">
        <v>112467.44</v>
      </c>
      <c r="I12411" s="358">
        <v>32921.279999999999</v>
      </c>
      <c r="J12411" s="358">
        <v>68021.38</v>
      </c>
      <c r="K12411" s="358">
        <v>11524.78</v>
      </c>
      <c r="L12411" s="43">
        <v>6.0161160906284037</v>
      </c>
      <c r="M12411" s="43">
        <v>11.5</v>
      </c>
      <c r="N12411" s="43">
        <v>5.6530296948406562</v>
      </c>
      <c r="O12411" s="43">
        <v>3.0337070370185133</v>
      </c>
      <c r="P12411" s="359"/>
      <c r="Q12411" s="359"/>
      <c r="R12411" s="359">
        <v>5</v>
      </c>
    </row>
    <row r="12412" spans="1:18" ht="36">
      <c r="A12412" s="355">
        <v>26</v>
      </c>
      <c r="B12412" s="352" t="s">
        <v>22578</v>
      </c>
      <c r="C12412" s="356" t="s">
        <v>22579</v>
      </c>
      <c r="D12412" s="357">
        <v>14709.07</v>
      </c>
      <c r="E12412" s="357">
        <v>2396.96</v>
      </c>
      <c r="F12412" s="357">
        <v>9335.4599999999991</v>
      </c>
      <c r="G12412" s="357">
        <v>2976.65</v>
      </c>
      <c r="H12412" s="358">
        <v>89750.1</v>
      </c>
      <c r="I12412" s="358">
        <v>27565.040000000001</v>
      </c>
      <c r="J12412" s="358">
        <v>52929.85</v>
      </c>
      <c r="K12412" s="358">
        <v>9255.2099999999991</v>
      </c>
      <c r="L12412" s="43">
        <v>6.1016841989330395</v>
      </c>
      <c r="M12412" s="43">
        <v>11.5</v>
      </c>
      <c r="N12412" s="43">
        <v>5.669763461039949</v>
      </c>
      <c r="O12412" s="43">
        <v>3.1092704886365543</v>
      </c>
      <c r="P12412" s="359"/>
      <c r="Q12412" s="359"/>
      <c r="R12412" s="359">
        <v>5</v>
      </c>
    </row>
    <row r="12413" spans="1:18" ht="12.75" customHeight="1">
      <c r="A12413" s="628" t="s">
        <v>22580</v>
      </c>
      <c r="B12413" s="629"/>
      <c r="C12413" s="629"/>
      <c r="D12413" s="629"/>
      <c r="E12413" s="629"/>
      <c r="F12413" s="629"/>
      <c r="G12413" s="629"/>
      <c r="H12413" s="629"/>
      <c r="I12413" s="629"/>
      <c r="J12413" s="629"/>
      <c r="K12413" s="629"/>
      <c r="L12413" s="629"/>
      <c r="M12413" s="629"/>
      <c r="N12413" s="629"/>
      <c r="O12413" s="629"/>
      <c r="P12413" s="629"/>
      <c r="Q12413" s="629"/>
      <c r="R12413" s="629"/>
    </row>
    <row r="12414" spans="1:18" ht="24">
      <c r="A12414" s="355">
        <v>27</v>
      </c>
      <c r="B12414" s="352" t="s">
        <v>22581</v>
      </c>
      <c r="C12414" s="356" t="s">
        <v>22582</v>
      </c>
      <c r="D12414" s="357">
        <v>2262.38</v>
      </c>
      <c r="E12414" s="357">
        <v>922.41</v>
      </c>
      <c r="F12414" s="357">
        <v>861.4</v>
      </c>
      <c r="G12414" s="357">
        <v>478.57</v>
      </c>
      <c r="H12414" s="358">
        <v>17369.37</v>
      </c>
      <c r="I12414" s="358">
        <v>10607.72</v>
      </c>
      <c r="J12414" s="358">
        <v>4697.83</v>
      </c>
      <c r="K12414" s="358">
        <v>2063.8200000000002</v>
      </c>
      <c r="L12414" s="43">
        <v>7.6774768164499321</v>
      </c>
      <c r="M12414" s="43">
        <v>11.500005420583038</v>
      </c>
      <c r="N12414" s="43">
        <v>5.4537148827490132</v>
      </c>
      <c r="O12414" s="43">
        <v>4.3124725745449988</v>
      </c>
      <c r="P12414" s="359"/>
      <c r="Q12414" s="359"/>
      <c r="R12414" s="359">
        <v>6</v>
      </c>
    </row>
    <row r="12415" spans="1:18" ht="12.75" customHeight="1">
      <c r="A12415" s="628" t="s">
        <v>22583</v>
      </c>
      <c r="B12415" s="629"/>
      <c r="C12415" s="629"/>
      <c r="D12415" s="629"/>
      <c r="E12415" s="629"/>
      <c r="F12415" s="629"/>
      <c r="G12415" s="629"/>
      <c r="H12415" s="629"/>
      <c r="I12415" s="629"/>
      <c r="J12415" s="629"/>
      <c r="K12415" s="629"/>
      <c r="L12415" s="629"/>
      <c r="M12415" s="629"/>
      <c r="N12415" s="629"/>
      <c r="O12415" s="629"/>
      <c r="P12415" s="629"/>
      <c r="Q12415" s="629"/>
      <c r="R12415" s="629"/>
    </row>
    <row r="12416" spans="1:18" ht="12.75" customHeight="1">
      <c r="A12416" s="628" t="s">
        <v>22584</v>
      </c>
      <c r="B12416" s="629"/>
      <c r="C12416" s="629"/>
      <c r="D12416" s="629"/>
      <c r="E12416" s="629"/>
      <c r="F12416" s="629"/>
      <c r="G12416" s="629"/>
      <c r="H12416" s="629"/>
      <c r="I12416" s="629"/>
      <c r="J12416" s="629"/>
      <c r="K12416" s="629"/>
      <c r="L12416" s="629"/>
      <c r="M12416" s="629"/>
      <c r="N12416" s="629"/>
      <c r="O12416" s="629"/>
      <c r="P12416" s="629"/>
      <c r="Q12416" s="629"/>
      <c r="R12416" s="629"/>
    </row>
    <row r="12417" spans="1:18" ht="24">
      <c r="A12417" s="355">
        <v>28</v>
      </c>
      <c r="B12417" s="352" t="s">
        <v>22585</v>
      </c>
      <c r="C12417" s="356" t="s">
        <v>22586</v>
      </c>
      <c r="D12417" s="357">
        <v>132.25</v>
      </c>
      <c r="E12417" s="357">
        <v>62.27</v>
      </c>
      <c r="F12417" s="357">
        <v>68.73</v>
      </c>
      <c r="G12417" s="357">
        <v>1.25</v>
      </c>
      <c r="H12417" s="358">
        <v>1101.6300000000001</v>
      </c>
      <c r="I12417" s="358">
        <v>716.12</v>
      </c>
      <c r="J12417" s="358">
        <v>371.13</v>
      </c>
      <c r="K12417" s="358">
        <v>14.38</v>
      </c>
      <c r="L12417" s="43">
        <v>8.329905482041589</v>
      </c>
      <c r="M12417" s="43">
        <v>11.50024088646218</v>
      </c>
      <c r="N12417" s="43">
        <v>5.3998254037538187</v>
      </c>
      <c r="O12417" s="43">
        <v>11.504000000000001</v>
      </c>
      <c r="P12417" s="359"/>
      <c r="Q12417" s="359"/>
      <c r="R12417" s="359">
        <v>1</v>
      </c>
    </row>
    <row r="12418" spans="1:18" ht="24">
      <c r="A12418" s="355">
        <v>29</v>
      </c>
      <c r="B12418" s="352" t="s">
        <v>22587</v>
      </c>
      <c r="C12418" s="356" t="s">
        <v>22588</v>
      </c>
      <c r="D12418" s="357">
        <v>588.46</v>
      </c>
      <c r="E12418" s="357">
        <v>174.27</v>
      </c>
      <c r="F12418" s="357">
        <v>410.7</v>
      </c>
      <c r="G12418" s="357">
        <v>3.49</v>
      </c>
      <c r="H12418" s="358">
        <v>4266.88</v>
      </c>
      <c r="I12418" s="358">
        <v>2004.11</v>
      </c>
      <c r="J12418" s="358">
        <v>2222.63</v>
      </c>
      <c r="K12418" s="358">
        <v>40.14</v>
      </c>
      <c r="L12418" s="43">
        <v>7.250926146212147</v>
      </c>
      <c r="M12418" s="43">
        <v>11.500028691111492</v>
      </c>
      <c r="N12418" s="43">
        <v>5.4118091064037017</v>
      </c>
      <c r="O12418" s="43">
        <v>11.501432664756447</v>
      </c>
      <c r="P12418" s="359"/>
      <c r="Q12418" s="359"/>
      <c r="R12418" s="359">
        <v>1</v>
      </c>
    </row>
    <row r="12419" spans="1:18" ht="12.75" customHeight="1">
      <c r="A12419" s="628" t="s">
        <v>22589</v>
      </c>
      <c r="B12419" s="629"/>
      <c r="C12419" s="629"/>
      <c r="D12419" s="629"/>
      <c r="E12419" s="629"/>
      <c r="F12419" s="629"/>
      <c r="G12419" s="629"/>
      <c r="H12419" s="629"/>
      <c r="I12419" s="629"/>
      <c r="J12419" s="629"/>
      <c r="K12419" s="629"/>
      <c r="L12419" s="629"/>
      <c r="M12419" s="629"/>
      <c r="N12419" s="629"/>
      <c r="O12419" s="629"/>
      <c r="P12419" s="629"/>
      <c r="Q12419" s="629"/>
      <c r="R12419" s="629"/>
    </row>
    <row r="12420" spans="1:18" ht="24">
      <c r="A12420" s="355">
        <v>30</v>
      </c>
      <c r="B12420" s="352" t="s">
        <v>22590</v>
      </c>
      <c r="C12420" s="356" t="s">
        <v>22591</v>
      </c>
      <c r="D12420" s="357">
        <v>1477.71</v>
      </c>
      <c r="E12420" s="357">
        <v>536.13</v>
      </c>
      <c r="F12420" s="357">
        <v>917.26</v>
      </c>
      <c r="G12420" s="357">
        <v>24.32</v>
      </c>
      <c r="H12420" s="358">
        <v>11365.81</v>
      </c>
      <c r="I12420" s="358">
        <v>6165.5</v>
      </c>
      <c r="J12420" s="358">
        <v>4957.83</v>
      </c>
      <c r="K12420" s="358">
        <v>242.48</v>
      </c>
      <c r="L12420" s="43">
        <v>7.6915023922149803</v>
      </c>
      <c r="M12420" s="43">
        <v>11.500009326096283</v>
      </c>
      <c r="N12420" s="43">
        <v>5.4050432810762485</v>
      </c>
      <c r="O12420" s="43">
        <v>9.9703947368421044</v>
      </c>
      <c r="P12420" s="359"/>
      <c r="Q12420" s="359"/>
      <c r="R12420" s="359">
        <v>2</v>
      </c>
    </row>
    <row r="12421" spans="1:18" ht="36">
      <c r="A12421" s="355">
        <v>31</v>
      </c>
      <c r="B12421" s="352" t="s">
        <v>22592</v>
      </c>
      <c r="C12421" s="356" t="s">
        <v>22593</v>
      </c>
      <c r="D12421" s="357">
        <v>2398.7199999999998</v>
      </c>
      <c r="E12421" s="357">
        <v>616.04999999999995</v>
      </c>
      <c r="F12421" s="357">
        <v>1699.63</v>
      </c>
      <c r="G12421" s="357">
        <v>83.04</v>
      </c>
      <c r="H12421" s="358">
        <v>17019.310000000001</v>
      </c>
      <c r="I12421" s="358">
        <v>7084.58</v>
      </c>
      <c r="J12421" s="358">
        <v>9173.2099999999991</v>
      </c>
      <c r="K12421" s="358">
        <v>761.52</v>
      </c>
      <c r="L12421" s="43">
        <v>7.0951632537353264</v>
      </c>
      <c r="M12421" s="43">
        <v>11.500008116224333</v>
      </c>
      <c r="N12421" s="43">
        <v>5.3971805628283791</v>
      </c>
      <c r="O12421" s="43">
        <v>9.1705202312138727</v>
      </c>
      <c r="P12421" s="359"/>
      <c r="Q12421" s="359"/>
      <c r="R12421" s="359">
        <v>2</v>
      </c>
    </row>
    <row r="12422" spans="1:18" ht="12.75" customHeight="1">
      <c r="A12422" s="628" t="s">
        <v>22594</v>
      </c>
      <c r="B12422" s="629"/>
      <c r="C12422" s="629"/>
      <c r="D12422" s="629"/>
      <c r="E12422" s="629"/>
      <c r="F12422" s="629"/>
      <c r="G12422" s="629"/>
      <c r="H12422" s="629"/>
      <c r="I12422" s="629"/>
      <c r="J12422" s="629"/>
      <c r="K12422" s="629"/>
      <c r="L12422" s="629"/>
      <c r="M12422" s="629"/>
      <c r="N12422" s="629"/>
      <c r="O12422" s="629"/>
      <c r="P12422" s="629"/>
      <c r="Q12422" s="629"/>
      <c r="R12422" s="629"/>
    </row>
    <row r="12423" spans="1:18" ht="24">
      <c r="A12423" s="355">
        <v>32</v>
      </c>
      <c r="B12423" s="352" t="s">
        <v>22595</v>
      </c>
      <c r="C12423" s="356" t="s">
        <v>22596</v>
      </c>
      <c r="D12423" s="357">
        <v>1044.3</v>
      </c>
      <c r="E12423" s="357">
        <v>624.94000000000005</v>
      </c>
      <c r="F12423" s="357">
        <v>234.1</v>
      </c>
      <c r="G12423" s="357">
        <v>185.26</v>
      </c>
      <c r="H12423" s="358">
        <v>9231.99</v>
      </c>
      <c r="I12423" s="358">
        <v>7186.86</v>
      </c>
      <c r="J12423" s="358">
        <v>1259.6600000000001</v>
      </c>
      <c r="K12423" s="358">
        <v>785.47</v>
      </c>
      <c r="L12423" s="43">
        <v>8.8403619649525993</v>
      </c>
      <c r="M12423" s="43">
        <v>11.500080007680737</v>
      </c>
      <c r="N12423" s="43">
        <v>5.3808628791114916</v>
      </c>
      <c r="O12423" s="43">
        <v>4.2398251106552953</v>
      </c>
      <c r="P12423" s="359"/>
      <c r="Q12423" s="359"/>
      <c r="R12423" s="359">
        <v>3</v>
      </c>
    </row>
    <row r="12424" spans="1:18" ht="24">
      <c r="A12424" s="355">
        <v>33</v>
      </c>
      <c r="B12424" s="352" t="s">
        <v>22597</v>
      </c>
      <c r="C12424" s="356" t="s">
        <v>22598</v>
      </c>
      <c r="D12424" s="357">
        <v>1105.93</v>
      </c>
      <c r="E12424" s="357">
        <v>631.62</v>
      </c>
      <c r="F12424" s="357">
        <v>260.24</v>
      </c>
      <c r="G12424" s="357">
        <v>214.07</v>
      </c>
      <c r="H12424" s="358">
        <v>9557.8799999999992</v>
      </c>
      <c r="I12424" s="358">
        <v>7263.58</v>
      </c>
      <c r="J12424" s="358">
        <v>1401.37</v>
      </c>
      <c r="K12424" s="358">
        <v>892.93</v>
      </c>
      <c r="L12424" s="43">
        <v>8.6423914714312833</v>
      </c>
      <c r="M12424" s="43">
        <v>11.499920838478833</v>
      </c>
      <c r="N12424" s="43">
        <v>5.3849139256071314</v>
      </c>
      <c r="O12424" s="43">
        <v>4.1712056803849205</v>
      </c>
      <c r="P12424" s="359"/>
      <c r="Q12424" s="359"/>
      <c r="R12424" s="359">
        <v>3</v>
      </c>
    </row>
    <row r="12425" spans="1:18" ht="24">
      <c r="A12425" s="355">
        <v>34</v>
      </c>
      <c r="B12425" s="352" t="s">
        <v>22599</v>
      </c>
      <c r="C12425" s="356" t="s">
        <v>22600</v>
      </c>
      <c r="D12425" s="357">
        <v>677.78</v>
      </c>
      <c r="E12425" s="357">
        <v>491.89</v>
      </c>
      <c r="F12425" s="357">
        <v>132.69</v>
      </c>
      <c r="G12425" s="357">
        <v>53.2</v>
      </c>
      <c r="H12425" s="358">
        <v>6645.72</v>
      </c>
      <c r="I12425" s="358">
        <v>5656.71</v>
      </c>
      <c r="J12425" s="358">
        <v>713.93</v>
      </c>
      <c r="K12425" s="358">
        <v>275.08</v>
      </c>
      <c r="L12425" s="43">
        <v>9.8051285077753843</v>
      </c>
      <c r="M12425" s="43">
        <v>11.499949175628698</v>
      </c>
      <c r="N12425" s="43">
        <v>5.380435601778581</v>
      </c>
      <c r="O12425" s="43">
        <v>5.170676691729323</v>
      </c>
      <c r="P12425" s="359"/>
      <c r="Q12425" s="359"/>
      <c r="R12425" s="359">
        <v>3</v>
      </c>
    </row>
    <row r="12426" spans="1:18" ht="24">
      <c r="A12426" s="355">
        <v>35</v>
      </c>
      <c r="B12426" s="352" t="s">
        <v>22601</v>
      </c>
      <c r="C12426" s="356" t="s">
        <v>22602</v>
      </c>
      <c r="D12426" s="357">
        <v>898.06</v>
      </c>
      <c r="E12426" s="357">
        <v>541.87</v>
      </c>
      <c r="F12426" s="357">
        <v>200.93</v>
      </c>
      <c r="G12426" s="357">
        <v>155.26</v>
      </c>
      <c r="H12426" s="358">
        <v>7979.28</v>
      </c>
      <c r="I12426" s="358">
        <v>6231.53</v>
      </c>
      <c r="J12426" s="358">
        <v>1084.3499999999999</v>
      </c>
      <c r="K12426" s="358">
        <v>663.4</v>
      </c>
      <c r="L12426" s="43">
        <v>8.8850188183417593</v>
      </c>
      <c r="M12426" s="43">
        <v>11.50004613652721</v>
      </c>
      <c r="N12426" s="43">
        <v>5.3966555516846659</v>
      </c>
      <c r="O12426" s="43">
        <v>4.2728326677830735</v>
      </c>
      <c r="P12426" s="359"/>
      <c r="Q12426" s="359"/>
      <c r="R12426" s="359">
        <v>3</v>
      </c>
    </row>
    <row r="12427" spans="1:18" ht="24">
      <c r="A12427" s="355">
        <v>36</v>
      </c>
      <c r="B12427" s="352" t="s">
        <v>22603</v>
      </c>
      <c r="C12427" s="356" t="s">
        <v>22604</v>
      </c>
      <c r="D12427" s="357">
        <v>143.72999999999999</v>
      </c>
      <c r="E12427" s="357">
        <v>63.73</v>
      </c>
      <c r="F12427" s="357">
        <v>50.05</v>
      </c>
      <c r="G12427" s="357">
        <v>29.95</v>
      </c>
      <c r="H12427" s="358">
        <v>1124.33</v>
      </c>
      <c r="I12427" s="358">
        <v>732.9</v>
      </c>
      <c r="J12427" s="358">
        <v>270.86</v>
      </c>
      <c r="K12427" s="358">
        <v>120.57</v>
      </c>
      <c r="L12427" s="43">
        <v>7.8225144367912058</v>
      </c>
      <c r="M12427" s="43">
        <v>11.500078455986191</v>
      </c>
      <c r="N12427" s="43">
        <v>5.4117882117882123</v>
      </c>
      <c r="O12427" s="43">
        <v>4.0257095158597664</v>
      </c>
      <c r="P12427" s="359"/>
      <c r="Q12427" s="359"/>
      <c r="R12427" s="359">
        <v>3</v>
      </c>
    </row>
    <row r="12428" spans="1:18" ht="24">
      <c r="A12428" s="355">
        <v>37</v>
      </c>
      <c r="B12428" s="352" t="s">
        <v>22605</v>
      </c>
      <c r="C12428" s="356" t="s">
        <v>22606</v>
      </c>
      <c r="D12428" s="357">
        <v>650.76</v>
      </c>
      <c r="E12428" s="357">
        <v>427.14</v>
      </c>
      <c r="F12428" s="357">
        <v>157.04</v>
      </c>
      <c r="G12428" s="357">
        <v>66.58</v>
      </c>
      <c r="H12428" s="358">
        <v>6076.96</v>
      </c>
      <c r="I12428" s="358">
        <v>4912.0600000000004</v>
      </c>
      <c r="J12428" s="358">
        <v>848.81</v>
      </c>
      <c r="K12428" s="358">
        <v>316.08999999999997</v>
      </c>
      <c r="L12428" s="43">
        <v>9.3382506607658744</v>
      </c>
      <c r="M12428" s="43">
        <v>11.49988294236082</v>
      </c>
      <c r="N12428" s="43">
        <v>5.4050560366785527</v>
      </c>
      <c r="O12428" s="43">
        <v>4.7475217783118051</v>
      </c>
      <c r="P12428" s="359"/>
      <c r="Q12428" s="359"/>
      <c r="R12428" s="359">
        <v>3</v>
      </c>
    </row>
    <row r="12429" spans="1:18" ht="12.75" customHeight="1">
      <c r="A12429" s="628" t="s">
        <v>22607</v>
      </c>
      <c r="B12429" s="629"/>
      <c r="C12429" s="629"/>
      <c r="D12429" s="629"/>
      <c r="E12429" s="629"/>
      <c r="F12429" s="629"/>
      <c r="G12429" s="629"/>
      <c r="H12429" s="629"/>
      <c r="I12429" s="629"/>
      <c r="J12429" s="629"/>
      <c r="K12429" s="629"/>
      <c r="L12429" s="629"/>
      <c r="M12429" s="629"/>
      <c r="N12429" s="629"/>
      <c r="O12429" s="629"/>
      <c r="P12429" s="629"/>
      <c r="Q12429" s="629"/>
      <c r="R12429" s="629"/>
    </row>
    <row r="12430" spans="1:18" ht="24">
      <c r="A12430" s="355">
        <v>38</v>
      </c>
      <c r="B12430" s="352" t="s">
        <v>22608</v>
      </c>
      <c r="C12430" s="356" t="s">
        <v>22609</v>
      </c>
      <c r="D12430" s="357">
        <v>488.4</v>
      </c>
      <c r="E12430" s="357">
        <v>366.42</v>
      </c>
      <c r="F12430" s="357">
        <v>114.04</v>
      </c>
      <c r="G12430" s="357">
        <v>7.94</v>
      </c>
      <c r="H12430" s="358">
        <v>4904.1400000000003</v>
      </c>
      <c r="I12430" s="358">
        <v>4213.88</v>
      </c>
      <c r="J12430" s="358">
        <v>600.6</v>
      </c>
      <c r="K12430" s="358">
        <v>89.66</v>
      </c>
      <c r="L12430" s="43">
        <v>10.041236691236692</v>
      </c>
      <c r="M12430" s="43">
        <v>11.500136455433655</v>
      </c>
      <c r="N12430" s="43">
        <v>5.2665731322343037</v>
      </c>
      <c r="O12430" s="43">
        <v>11.292191435768261</v>
      </c>
      <c r="P12430" s="359"/>
      <c r="Q12430" s="359"/>
      <c r="R12430" s="359">
        <v>4</v>
      </c>
    </row>
    <row r="12431" spans="1:18" ht="24">
      <c r="A12431" s="355">
        <v>39</v>
      </c>
      <c r="B12431" s="352" t="s">
        <v>22610</v>
      </c>
      <c r="C12431" s="356" t="s">
        <v>22611</v>
      </c>
      <c r="D12431" s="357">
        <v>494.81</v>
      </c>
      <c r="E12431" s="357">
        <v>264.14</v>
      </c>
      <c r="F12431" s="357">
        <v>224.69</v>
      </c>
      <c r="G12431" s="357">
        <v>5.98</v>
      </c>
      <c r="H12431" s="358">
        <v>4315.0600000000004</v>
      </c>
      <c r="I12431" s="358">
        <v>3037.61</v>
      </c>
      <c r="J12431" s="358">
        <v>1212.3599999999999</v>
      </c>
      <c r="K12431" s="358">
        <v>65.09</v>
      </c>
      <c r="L12431" s="43">
        <v>8.7206402457508947</v>
      </c>
      <c r="M12431" s="43">
        <v>11.500000000000002</v>
      </c>
      <c r="N12431" s="43">
        <v>5.39570074324625</v>
      </c>
      <c r="O12431" s="43">
        <v>10.884615384615385</v>
      </c>
      <c r="P12431" s="359"/>
      <c r="Q12431" s="359"/>
      <c r="R12431" s="359">
        <v>4</v>
      </c>
    </row>
    <row r="12432" spans="1:18" ht="24">
      <c r="A12432" s="355">
        <v>40</v>
      </c>
      <c r="B12432" s="352" t="s">
        <v>22612</v>
      </c>
      <c r="C12432" s="356" t="s">
        <v>22613</v>
      </c>
      <c r="D12432" s="357">
        <v>455.93</v>
      </c>
      <c r="E12432" s="357">
        <v>340.57</v>
      </c>
      <c r="F12432" s="357">
        <v>107.94</v>
      </c>
      <c r="G12432" s="357">
        <v>7.42</v>
      </c>
      <c r="H12432" s="358">
        <v>4567.5600000000004</v>
      </c>
      <c r="I12432" s="358">
        <v>3916.58</v>
      </c>
      <c r="J12432" s="358">
        <v>567.29999999999995</v>
      </c>
      <c r="K12432" s="358">
        <v>83.68</v>
      </c>
      <c r="L12432" s="43">
        <v>10.018116816177923</v>
      </c>
      <c r="M12432" s="43">
        <v>11.50007340634818</v>
      </c>
      <c r="N12432" s="43">
        <v>5.2556976097832129</v>
      </c>
      <c r="O12432" s="43">
        <v>11.277628032345014</v>
      </c>
      <c r="P12432" s="359"/>
      <c r="Q12432" s="359"/>
      <c r="R12432" s="359">
        <v>4</v>
      </c>
    </row>
    <row r="12433" spans="1:18" ht="12.75" customHeight="1">
      <c r="A12433" s="628" t="s">
        <v>22614</v>
      </c>
      <c r="B12433" s="629"/>
      <c r="C12433" s="629"/>
      <c r="D12433" s="629"/>
      <c r="E12433" s="629"/>
      <c r="F12433" s="629"/>
      <c r="G12433" s="629"/>
      <c r="H12433" s="629"/>
      <c r="I12433" s="629"/>
      <c r="J12433" s="629"/>
      <c r="K12433" s="629"/>
      <c r="L12433" s="629"/>
      <c r="M12433" s="629"/>
      <c r="N12433" s="629"/>
      <c r="O12433" s="629"/>
      <c r="P12433" s="629"/>
      <c r="Q12433" s="629"/>
      <c r="R12433" s="629"/>
    </row>
    <row r="12434" spans="1:18" ht="24">
      <c r="A12434" s="355">
        <v>41</v>
      </c>
      <c r="B12434" s="352" t="s">
        <v>22615</v>
      </c>
      <c r="C12434" s="356" t="s">
        <v>22616</v>
      </c>
      <c r="D12434" s="357">
        <v>188.7</v>
      </c>
      <c r="E12434" s="357">
        <v>114.74</v>
      </c>
      <c r="F12434" s="357">
        <v>19.100000000000001</v>
      </c>
      <c r="G12434" s="357">
        <v>54.86</v>
      </c>
      <c r="H12434" s="358">
        <v>1887.15</v>
      </c>
      <c r="I12434" s="358">
        <v>1319.46</v>
      </c>
      <c r="J12434" s="358">
        <v>103.12</v>
      </c>
      <c r="K12434" s="358">
        <v>464.57</v>
      </c>
      <c r="L12434" s="43">
        <v>10.00079491255962</v>
      </c>
      <c r="M12434" s="43">
        <v>11.499564232177097</v>
      </c>
      <c r="N12434" s="43">
        <v>5.3989528795811514</v>
      </c>
      <c r="O12434" s="43">
        <v>8.4682829019321915</v>
      </c>
      <c r="P12434" s="359"/>
      <c r="Q12434" s="359"/>
      <c r="R12434" s="359">
        <v>5</v>
      </c>
    </row>
    <row r="12435" spans="1:18" ht="12.75" customHeight="1">
      <c r="A12435" s="628" t="s">
        <v>22617</v>
      </c>
      <c r="B12435" s="629"/>
      <c r="C12435" s="629"/>
      <c r="D12435" s="629"/>
      <c r="E12435" s="629"/>
      <c r="F12435" s="629"/>
      <c r="G12435" s="629"/>
      <c r="H12435" s="629"/>
      <c r="I12435" s="629"/>
      <c r="J12435" s="629"/>
      <c r="K12435" s="629"/>
      <c r="L12435" s="629"/>
      <c r="M12435" s="629"/>
      <c r="N12435" s="629"/>
      <c r="O12435" s="629"/>
      <c r="P12435" s="629"/>
      <c r="Q12435" s="629"/>
      <c r="R12435" s="629"/>
    </row>
    <row r="12436" spans="1:18" ht="12.75" customHeight="1">
      <c r="A12436" s="628" t="s">
        <v>22618</v>
      </c>
      <c r="B12436" s="629"/>
      <c r="C12436" s="629"/>
      <c r="D12436" s="629"/>
      <c r="E12436" s="629"/>
      <c r="F12436" s="629"/>
      <c r="G12436" s="629"/>
      <c r="H12436" s="629"/>
      <c r="I12436" s="629"/>
      <c r="J12436" s="629"/>
      <c r="K12436" s="629"/>
      <c r="L12436" s="629"/>
      <c r="M12436" s="629"/>
      <c r="N12436" s="629"/>
      <c r="O12436" s="629"/>
      <c r="P12436" s="629"/>
      <c r="Q12436" s="629"/>
      <c r="R12436" s="629"/>
    </row>
    <row r="12437" spans="1:18" ht="24">
      <c r="A12437" s="355">
        <v>42</v>
      </c>
      <c r="B12437" s="352" t="s">
        <v>22619</v>
      </c>
      <c r="C12437" s="356" t="s">
        <v>22620</v>
      </c>
      <c r="D12437" s="357">
        <v>1973.39</v>
      </c>
      <c r="E12437" s="357">
        <v>915.75</v>
      </c>
      <c r="F12437" s="357">
        <v>301.52999999999997</v>
      </c>
      <c r="G12437" s="357">
        <v>756.11</v>
      </c>
      <c r="H12437" s="358">
        <v>15324.76</v>
      </c>
      <c r="I12437" s="358">
        <v>10531.56</v>
      </c>
      <c r="J12437" s="358">
        <v>1601.34</v>
      </c>
      <c r="K12437" s="358">
        <v>3191.86</v>
      </c>
      <c r="L12437" s="43">
        <v>7.7657026740786161</v>
      </c>
      <c r="M12437" s="43">
        <v>11.500475020475021</v>
      </c>
      <c r="N12437" s="43">
        <v>5.3107153517062979</v>
      </c>
      <c r="O12437" s="43">
        <v>4.2214228088505639</v>
      </c>
      <c r="P12437" s="359"/>
      <c r="Q12437" s="359"/>
      <c r="R12437" s="359">
        <v>1</v>
      </c>
    </row>
    <row r="12438" spans="1:18" ht="24">
      <c r="A12438" s="355">
        <v>43</v>
      </c>
      <c r="B12438" s="352" t="s">
        <v>22621</v>
      </c>
      <c r="C12438" s="356" t="s">
        <v>22622</v>
      </c>
      <c r="D12438" s="357">
        <v>2415.81</v>
      </c>
      <c r="E12438" s="357">
        <v>1803.93</v>
      </c>
      <c r="F12438" s="357">
        <v>446.58</v>
      </c>
      <c r="G12438" s="357">
        <v>165.3</v>
      </c>
      <c r="H12438" s="358">
        <v>24195.040000000001</v>
      </c>
      <c r="I12438" s="358">
        <v>20745.98</v>
      </c>
      <c r="J12438" s="358">
        <v>2326.2199999999998</v>
      </c>
      <c r="K12438" s="358">
        <v>1122.8399999999999</v>
      </c>
      <c r="L12438" s="43">
        <v>10.015290937615127</v>
      </c>
      <c r="M12438" s="43">
        <v>11.500435161009573</v>
      </c>
      <c r="N12438" s="43">
        <v>5.2089659187603559</v>
      </c>
      <c r="O12438" s="43">
        <v>6.7927404718693278</v>
      </c>
      <c r="P12438" s="359"/>
      <c r="Q12438" s="359"/>
      <c r="R12438" s="359">
        <v>1</v>
      </c>
    </row>
    <row r="12439" spans="1:18" ht="12.75" customHeight="1">
      <c r="A12439" s="628" t="s">
        <v>22623</v>
      </c>
      <c r="B12439" s="629"/>
      <c r="C12439" s="629"/>
      <c r="D12439" s="629"/>
      <c r="E12439" s="629"/>
      <c r="F12439" s="629"/>
      <c r="G12439" s="629"/>
      <c r="H12439" s="629"/>
      <c r="I12439" s="629"/>
      <c r="J12439" s="629"/>
      <c r="K12439" s="629"/>
      <c r="L12439" s="629"/>
      <c r="M12439" s="629"/>
      <c r="N12439" s="629"/>
      <c r="O12439" s="629"/>
      <c r="P12439" s="629"/>
      <c r="Q12439" s="629"/>
      <c r="R12439" s="629"/>
    </row>
    <row r="12440" spans="1:18" ht="24">
      <c r="A12440" s="355">
        <v>44</v>
      </c>
      <c r="B12440" s="352" t="s">
        <v>22624</v>
      </c>
      <c r="C12440" s="356" t="s">
        <v>22625</v>
      </c>
      <c r="D12440" s="357">
        <v>17803.36</v>
      </c>
      <c r="E12440" s="357">
        <v>4975.68</v>
      </c>
      <c r="F12440" s="357">
        <v>12155.82</v>
      </c>
      <c r="G12440" s="357">
        <v>671.86</v>
      </c>
      <c r="H12440" s="358">
        <v>126764.32</v>
      </c>
      <c r="I12440" s="358">
        <v>57220.32</v>
      </c>
      <c r="J12440" s="358">
        <v>65927.87</v>
      </c>
      <c r="K12440" s="358">
        <v>3616.13</v>
      </c>
      <c r="L12440" s="43">
        <v>7.1202469646179152</v>
      </c>
      <c r="M12440" s="43">
        <v>11.5</v>
      </c>
      <c r="N12440" s="43">
        <v>5.4235641857151551</v>
      </c>
      <c r="O12440" s="43">
        <v>5.3822671389872889</v>
      </c>
      <c r="P12440" s="359"/>
      <c r="Q12440" s="359"/>
      <c r="R12440" s="359">
        <v>2</v>
      </c>
    </row>
    <row r="12441" spans="1:18" ht="36">
      <c r="A12441" s="355">
        <v>45</v>
      </c>
      <c r="B12441" s="352" t="s">
        <v>22626</v>
      </c>
      <c r="C12441" s="356" t="s">
        <v>22627</v>
      </c>
      <c r="D12441" s="357">
        <v>14476.19</v>
      </c>
      <c r="E12441" s="357">
        <v>6702.4</v>
      </c>
      <c r="F12441" s="357">
        <v>7104.38</v>
      </c>
      <c r="G12441" s="357">
        <v>669.41</v>
      </c>
      <c r="H12441" s="358">
        <v>119941.16</v>
      </c>
      <c r="I12441" s="358">
        <v>77077.600000000006</v>
      </c>
      <c r="J12441" s="358">
        <v>38520.06</v>
      </c>
      <c r="K12441" s="358">
        <v>4343.5</v>
      </c>
      <c r="L12441" s="43">
        <v>8.2854093514937279</v>
      </c>
      <c r="M12441" s="43">
        <v>11.500000000000002</v>
      </c>
      <c r="N12441" s="43">
        <v>5.4220157142495191</v>
      </c>
      <c r="O12441" s="43">
        <v>6.4885496183206106</v>
      </c>
      <c r="P12441" s="359"/>
      <c r="Q12441" s="359"/>
      <c r="R12441" s="359">
        <v>2</v>
      </c>
    </row>
    <row r="12442" spans="1:18" ht="12.75" customHeight="1">
      <c r="A12442" s="628" t="s">
        <v>22628</v>
      </c>
      <c r="B12442" s="629"/>
      <c r="C12442" s="629"/>
      <c r="D12442" s="629"/>
      <c r="E12442" s="629"/>
      <c r="F12442" s="629"/>
      <c r="G12442" s="629"/>
      <c r="H12442" s="629"/>
      <c r="I12442" s="629"/>
      <c r="J12442" s="629"/>
      <c r="K12442" s="629"/>
      <c r="L12442" s="629"/>
      <c r="M12442" s="629"/>
      <c r="N12442" s="629"/>
      <c r="O12442" s="629"/>
      <c r="P12442" s="629"/>
      <c r="Q12442" s="629"/>
      <c r="R12442" s="629"/>
    </row>
    <row r="12443" spans="1:18" ht="24">
      <c r="A12443" s="355">
        <v>46</v>
      </c>
      <c r="B12443" s="352" t="s">
        <v>22629</v>
      </c>
      <c r="C12443" s="356" t="s">
        <v>22630</v>
      </c>
      <c r="D12443" s="357">
        <v>348.49</v>
      </c>
      <c r="E12443" s="357">
        <v>189.96</v>
      </c>
      <c r="F12443" s="357">
        <v>153.97999999999999</v>
      </c>
      <c r="G12443" s="357">
        <v>4.55</v>
      </c>
      <c r="H12443" s="358">
        <v>3070.82</v>
      </c>
      <c r="I12443" s="358">
        <v>2184.4899999999998</v>
      </c>
      <c r="J12443" s="358">
        <v>836.01</v>
      </c>
      <c r="K12443" s="358">
        <v>50.32</v>
      </c>
      <c r="L12443" s="43">
        <v>8.8117879996556567</v>
      </c>
      <c r="M12443" s="43">
        <v>11.499736786691933</v>
      </c>
      <c r="N12443" s="43">
        <v>5.4293414729185612</v>
      </c>
      <c r="O12443" s="43">
        <v>11.059340659340659</v>
      </c>
      <c r="P12443" s="359"/>
      <c r="Q12443" s="359"/>
      <c r="R12443" s="359">
        <v>3</v>
      </c>
    </row>
    <row r="12444" spans="1:18" ht="24">
      <c r="A12444" s="355">
        <v>47</v>
      </c>
      <c r="B12444" s="352" t="s">
        <v>22631</v>
      </c>
      <c r="C12444" s="356" t="s">
        <v>22632</v>
      </c>
      <c r="D12444" s="357">
        <v>439.93</v>
      </c>
      <c r="E12444" s="357">
        <v>328.21</v>
      </c>
      <c r="F12444" s="357">
        <v>104.6</v>
      </c>
      <c r="G12444" s="357">
        <v>7.12</v>
      </c>
      <c r="H12444" s="358">
        <v>4405</v>
      </c>
      <c r="I12444" s="358">
        <v>3774.39</v>
      </c>
      <c r="J12444" s="358">
        <v>550.25</v>
      </c>
      <c r="K12444" s="358">
        <v>80.36</v>
      </c>
      <c r="L12444" s="43">
        <v>10.012956606732889</v>
      </c>
      <c r="M12444" s="43">
        <v>11.49992382925566</v>
      </c>
      <c r="N12444" s="43">
        <v>5.2605162523900573</v>
      </c>
      <c r="O12444" s="43">
        <v>11.286516853932584</v>
      </c>
      <c r="P12444" s="359"/>
      <c r="Q12444" s="359"/>
      <c r="R12444" s="359">
        <v>3</v>
      </c>
    </row>
    <row r="12445" spans="1:18" ht="24">
      <c r="A12445" s="360">
        <v>48</v>
      </c>
      <c r="B12445" s="361" t="s">
        <v>22633</v>
      </c>
      <c r="C12445" s="362" t="s">
        <v>22634</v>
      </c>
      <c r="D12445" s="363">
        <v>190.39</v>
      </c>
      <c r="E12445" s="363">
        <v>138.25</v>
      </c>
      <c r="F12445" s="363">
        <v>48.76</v>
      </c>
      <c r="G12445" s="363">
        <v>3.38</v>
      </c>
      <c r="H12445" s="364">
        <v>1891.85</v>
      </c>
      <c r="I12445" s="364">
        <v>1589.9</v>
      </c>
      <c r="J12445" s="364">
        <v>264.73</v>
      </c>
      <c r="K12445" s="364">
        <v>37.22</v>
      </c>
      <c r="L12445" s="611">
        <v>9.9367088607594933</v>
      </c>
      <c r="M12445" s="611">
        <v>11.500180831826402</v>
      </c>
      <c r="N12445" s="611">
        <v>5.4292452830188687</v>
      </c>
      <c r="O12445" s="611">
        <v>11.011834319526628</v>
      </c>
      <c r="P12445" s="365"/>
      <c r="Q12445" s="365"/>
      <c r="R12445" s="365">
        <v>3</v>
      </c>
    </row>
    <row r="12446" spans="1:18" ht="12.75" customHeight="1">
      <c r="A12446" s="630" t="s">
        <v>22635</v>
      </c>
      <c r="B12446" s="631"/>
      <c r="C12446" s="631"/>
      <c r="D12446" s="631"/>
      <c r="E12446" s="631"/>
      <c r="F12446" s="631"/>
      <c r="G12446" s="631"/>
      <c r="H12446" s="631"/>
      <c r="I12446" s="631"/>
      <c r="J12446" s="631"/>
      <c r="K12446" s="631"/>
      <c r="L12446" s="631"/>
      <c r="M12446" s="631"/>
      <c r="N12446" s="631"/>
      <c r="O12446" s="631"/>
      <c r="P12446" s="631"/>
      <c r="Q12446" s="631"/>
      <c r="R12446" s="631"/>
    </row>
    <row r="12447" spans="1:18" ht="12.75" customHeight="1">
      <c r="A12447" s="628" t="s">
        <v>22636</v>
      </c>
      <c r="B12447" s="629"/>
      <c r="C12447" s="629"/>
      <c r="D12447" s="629"/>
      <c r="E12447" s="629"/>
      <c r="F12447" s="629"/>
      <c r="G12447" s="629"/>
      <c r="H12447" s="629"/>
      <c r="I12447" s="629"/>
      <c r="J12447" s="629"/>
      <c r="K12447" s="629"/>
      <c r="L12447" s="629"/>
      <c r="M12447" s="629"/>
      <c r="N12447" s="629"/>
      <c r="O12447" s="629"/>
      <c r="P12447" s="629"/>
      <c r="Q12447" s="629"/>
      <c r="R12447" s="629"/>
    </row>
    <row r="12448" spans="1:18" ht="12.75" customHeight="1">
      <c r="A12448" s="628" t="s">
        <v>22637</v>
      </c>
      <c r="B12448" s="629"/>
      <c r="C12448" s="629"/>
      <c r="D12448" s="629"/>
      <c r="E12448" s="629"/>
      <c r="F12448" s="629"/>
      <c r="G12448" s="629"/>
      <c r="H12448" s="629"/>
      <c r="I12448" s="629"/>
      <c r="J12448" s="629"/>
      <c r="K12448" s="629"/>
      <c r="L12448" s="629"/>
      <c r="M12448" s="629"/>
      <c r="N12448" s="629"/>
      <c r="O12448" s="629"/>
      <c r="P12448" s="629"/>
      <c r="Q12448" s="629"/>
      <c r="R12448" s="629"/>
    </row>
    <row r="12449" spans="1:18" ht="24">
      <c r="A12449" s="355">
        <v>49</v>
      </c>
      <c r="B12449" s="352" t="s">
        <v>22638</v>
      </c>
      <c r="C12449" s="356" t="s">
        <v>22639</v>
      </c>
      <c r="D12449" s="357">
        <v>1826594.59</v>
      </c>
      <c r="E12449" s="357">
        <v>307659.59999999998</v>
      </c>
      <c r="F12449" s="357">
        <v>902176.86</v>
      </c>
      <c r="G12449" s="357">
        <v>616758.13</v>
      </c>
      <c r="H12449" s="358">
        <v>11338947.130000001</v>
      </c>
      <c r="I12449" s="358">
        <v>3538085.4</v>
      </c>
      <c r="J12449" s="358">
        <v>4975408.1100000003</v>
      </c>
      <c r="K12449" s="358">
        <v>2825453.62</v>
      </c>
      <c r="L12449" s="43">
        <v>6.2076977519133028</v>
      </c>
      <c r="M12449" s="43">
        <v>11.5</v>
      </c>
      <c r="N12449" s="43">
        <v>5.5148921797883403</v>
      </c>
      <c r="O12449" s="43">
        <v>4.581137211762413</v>
      </c>
      <c r="P12449" s="359"/>
      <c r="Q12449" s="359"/>
      <c r="R12449" s="359">
        <v>1</v>
      </c>
    </row>
    <row r="12450" spans="1:18" ht="24">
      <c r="A12450" s="355">
        <v>50</v>
      </c>
      <c r="B12450" s="352" t="s">
        <v>22640</v>
      </c>
      <c r="C12450" s="356" t="s">
        <v>22641</v>
      </c>
      <c r="D12450" s="357">
        <v>2097654.23</v>
      </c>
      <c r="E12450" s="357">
        <v>348834.6</v>
      </c>
      <c r="F12450" s="357">
        <v>946106.05</v>
      </c>
      <c r="G12450" s="357">
        <v>802713.58</v>
      </c>
      <c r="H12450" s="358">
        <v>12901109.050000001</v>
      </c>
      <c r="I12450" s="358">
        <v>4011597.9</v>
      </c>
      <c r="J12450" s="358">
        <v>5229330.43</v>
      </c>
      <c r="K12450" s="358">
        <v>3660180.72</v>
      </c>
      <c r="L12450" s="43">
        <v>6.1502553020857018</v>
      </c>
      <c r="M12450" s="43">
        <v>11.5</v>
      </c>
      <c r="N12450" s="43">
        <v>5.5272138149840595</v>
      </c>
      <c r="O12450" s="43">
        <v>4.559759310413062</v>
      </c>
      <c r="P12450" s="359"/>
      <c r="Q12450" s="359"/>
      <c r="R12450" s="359">
        <v>1</v>
      </c>
    </row>
    <row r="12451" spans="1:18" ht="24">
      <c r="A12451" s="355">
        <v>51</v>
      </c>
      <c r="B12451" s="352" t="s">
        <v>22642</v>
      </c>
      <c r="C12451" s="356" t="s">
        <v>22643</v>
      </c>
      <c r="D12451" s="357">
        <v>2880388.65</v>
      </c>
      <c r="E12451" s="357">
        <v>485133</v>
      </c>
      <c r="F12451" s="357">
        <v>1417114.34</v>
      </c>
      <c r="G12451" s="357">
        <v>978141.31</v>
      </c>
      <c r="H12451" s="358">
        <v>17878821.280000001</v>
      </c>
      <c r="I12451" s="358">
        <v>5579029.5</v>
      </c>
      <c r="J12451" s="358">
        <v>7849863.75</v>
      </c>
      <c r="K12451" s="358">
        <v>4449928.03</v>
      </c>
      <c r="L12451" s="43">
        <v>6.2070864221743136</v>
      </c>
      <c r="M12451" s="43">
        <v>11.5</v>
      </c>
      <c r="N12451" s="43">
        <v>5.5393298398208284</v>
      </c>
      <c r="O12451" s="43">
        <v>4.5493713275436658</v>
      </c>
      <c r="P12451" s="359"/>
      <c r="Q12451" s="359"/>
      <c r="R12451" s="359">
        <v>1</v>
      </c>
    </row>
    <row r="12452" spans="1:18" ht="36">
      <c r="A12452" s="355">
        <v>52</v>
      </c>
      <c r="B12452" s="352" t="s">
        <v>22644</v>
      </c>
      <c r="C12452" s="356" t="s">
        <v>22645</v>
      </c>
      <c r="D12452" s="357">
        <v>2102135.59</v>
      </c>
      <c r="E12452" s="357">
        <v>279343.40000000002</v>
      </c>
      <c r="F12452" s="357">
        <v>935736.23</v>
      </c>
      <c r="G12452" s="357">
        <v>887055.96</v>
      </c>
      <c r="H12452" s="358">
        <v>12428590.68</v>
      </c>
      <c r="I12452" s="358">
        <v>3212449.1</v>
      </c>
      <c r="J12452" s="358">
        <v>5150544.87</v>
      </c>
      <c r="K12452" s="358">
        <v>4065596.71</v>
      </c>
      <c r="L12452" s="43">
        <v>5.9123639498439777</v>
      </c>
      <c r="M12452" s="43">
        <v>11.5</v>
      </c>
      <c r="N12452" s="43">
        <v>5.5042700120738086</v>
      </c>
      <c r="O12452" s="43">
        <v>4.5832471606413652</v>
      </c>
      <c r="P12452" s="359"/>
      <c r="Q12452" s="359"/>
      <c r="R12452" s="359">
        <v>1</v>
      </c>
    </row>
    <row r="12453" spans="1:18" ht="24">
      <c r="A12453" s="355">
        <v>53</v>
      </c>
      <c r="B12453" s="352" t="s">
        <v>22646</v>
      </c>
      <c r="C12453" s="356" t="s">
        <v>22647</v>
      </c>
      <c r="D12453" s="357">
        <v>1754460.42</v>
      </c>
      <c r="E12453" s="357">
        <v>266460.2</v>
      </c>
      <c r="F12453" s="357">
        <v>599174.56999999995</v>
      </c>
      <c r="G12453" s="357">
        <v>888825.65</v>
      </c>
      <c r="H12453" s="358">
        <v>10220518.57</v>
      </c>
      <c r="I12453" s="358">
        <v>3064292.3</v>
      </c>
      <c r="J12453" s="358">
        <v>3293189.23</v>
      </c>
      <c r="K12453" s="358">
        <v>3863037.04</v>
      </c>
      <c r="L12453" s="43">
        <v>5.8254483563670254</v>
      </c>
      <c r="M12453" s="43">
        <v>11.499999999999998</v>
      </c>
      <c r="N12453" s="43">
        <v>5.496209944290527</v>
      </c>
      <c r="O12453" s="43">
        <v>4.3462258768072228</v>
      </c>
      <c r="P12453" s="359"/>
      <c r="Q12453" s="359"/>
      <c r="R12453" s="359">
        <v>1</v>
      </c>
    </row>
    <row r="12454" spans="1:18" ht="12.75" customHeight="1">
      <c r="A12454" s="628" t="s">
        <v>22648</v>
      </c>
      <c r="B12454" s="629"/>
      <c r="C12454" s="629"/>
      <c r="D12454" s="629"/>
      <c r="E12454" s="629"/>
      <c r="F12454" s="629"/>
      <c r="G12454" s="629"/>
      <c r="H12454" s="629"/>
      <c r="I12454" s="629"/>
      <c r="J12454" s="629"/>
      <c r="K12454" s="629"/>
      <c r="L12454" s="629"/>
      <c r="M12454" s="629"/>
      <c r="N12454" s="629"/>
      <c r="O12454" s="629"/>
      <c r="P12454" s="629"/>
      <c r="Q12454" s="629"/>
      <c r="R12454" s="629"/>
    </row>
    <row r="12455" spans="1:18" ht="48">
      <c r="A12455" s="355">
        <v>54</v>
      </c>
      <c r="B12455" s="352" t="s">
        <v>22649</v>
      </c>
      <c r="C12455" s="356" t="s">
        <v>22650</v>
      </c>
      <c r="D12455" s="357">
        <v>144597.72</v>
      </c>
      <c r="E12455" s="357">
        <v>50257.26</v>
      </c>
      <c r="F12455" s="357">
        <v>44048.15</v>
      </c>
      <c r="G12455" s="357">
        <v>50292.31</v>
      </c>
      <c r="H12455" s="358">
        <v>1037289.58</v>
      </c>
      <c r="I12455" s="358">
        <v>577980.36</v>
      </c>
      <c r="J12455" s="358">
        <v>235850.93</v>
      </c>
      <c r="K12455" s="358">
        <v>223458.29</v>
      </c>
      <c r="L12455" s="43">
        <v>7.1736233462049048</v>
      </c>
      <c r="M12455" s="43">
        <v>11.500435161009573</v>
      </c>
      <c r="N12455" s="43">
        <v>5.354389003851467</v>
      </c>
      <c r="O12455" s="43">
        <v>4.4431900224905165</v>
      </c>
      <c r="P12455" s="359"/>
      <c r="Q12455" s="359"/>
      <c r="R12455" s="359">
        <v>2</v>
      </c>
    </row>
    <row r="12456" spans="1:18" ht="48">
      <c r="A12456" s="355">
        <v>55</v>
      </c>
      <c r="B12456" s="352" t="s">
        <v>22651</v>
      </c>
      <c r="C12456" s="356" t="s">
        <v>22652</v>
      </c>
      <c r="D12456" s="357">
        <v>175404.25</v>
      </c>
      <c r="E12456" s="357">
        <v>63753.21</v>
      </c>
      <c r="F12456" s="357">
        <v>57273.99</v>
      </c>
      <c r="G12456" s="357">
        <v>54377.05</v>
      </c>
      <c r="H12456" s="358">
        <v>1287063.23</v>
      </c>
      <c r="I12456" s="358">
        <v>733189.23</v>
      </c>
      <c r="J12456" s="358">
        <v>306612.11</v>
      </c>
      <c r="K12456" s="358">
        <v>247261.89</v>
      </c>
      <c r="L12456" s="43">
        <v>7.337696948620116</v>
      </c>
      <c r="M12456" s="43">
        <v>11.500428449014567</v>
      </c>
      <c r="N12456" s="43">
        <v>5.3534267474642503</v>
      </c>
      <c r="O12456" s="43">
        <v>4.5471736697742893</v>
      </c>
      <c r="P12456" s="359"/>
      <c r="Q12456" s="359"/>
      <c r="R12456" s="359">
        <v>2</v>
      </c>
    </row>
    <row r="12457" spans="1:18" ht="48">
      <c r="A12457" s="355">
        <v>56</v>
      </c>
      <c r="B12457" s="352" t="s">
        <v>22653</v>
      </c>
      <c r="C12457" s="356" t="s">
        <v>22654</v>
      </c>
      <c r="D12457" s="357">
        <v>208585.92</v>
      </c>
      <c r="E12457" s="357">
        <v>78162.600000000006</v>
      </c>
      <c r="F12457" s="357">
        <v>69152.850000000006</v>
      </c>
      <c r="G12457" s="357">
        <v>61270.47</v>
      </c>
      <c r="H12457" s="358">
        <v>1557193.9</v>
      </c>
      <c r="I12457" s="358">
        <v>898902.88</v>
      </c>
      <c r="J12457" s="358">
        <v>371112.47</v>
      </c>
      <c r="K12457" s="358">
        <v>287178.55</v>
      </c>
      <c r="L12457" s="43">
        <v>7.4654794532631916</v>
      </c>
      <c r="M12457" s="43">
        <v>11.50042194092827</v>
      </c>
      <c r="N12457" s="43">
        <v>5.3665535115327847</v>
      </c>
      <c r="O12457" s="43">
        <v>4.6870629521856122</v>
      </c>
      <c r="P12457" s="359"/>
      <c r="Q12457" s="359"/>
      <c r="R12457" s="359">
        <v>2</v>
      </c>
    </row>
    <row r="12458" spans="1:18" ht="48">
      <c r="A12458" s="355">
        <v>57</v>
      </c>
      <c r="B12458" s="352" t="s">
        <v>22655</v>
      </c>
      <c r="C12458" s="356" t="s">
        <v>22656</v>
      </c>
      <c r="D12458" s="357">
        <v>321501.43</v>
      </c>
      <c r="E12458" s="357">
        <v>107598</v>
      </c>
      <c r="F12458" s="357">
        <v>136584.82</v>
      </c>
      <c r="G12458" s="357">
        <v>77318.61</v>
      </c>
      <c r="H12458" s="358">
        <v>2364817.4900000002</v>
      </c>
      <c r="I12458" s="358">
        <v>1237422.3999999999</v>
      </c>
      <c r="J12458" s="358">
        <v>737575.46</v>
      </c>
      <c r="K12458" s="358">
        <v>389819.63</v>
      </c>
      <c r="L12458" s="43">
        <v>7.3555426798568213</v>
      </c>
      <c r="M12458" s="43">
        <v>11.50042194092827</v>
      </c>
      <c r="N12458" s="43">
        <v>5.4001276276529113</v>
      </c>
      <c r="O12458" s="43">
        <v>5.041730962312954</v>
      </c>
      <c r="P12458" s="359"/>
      <c r="Q12458" s="359"/>
      <c r="R12458" s="359">
        <v>2</v>
      </c>
    </row>
    <row r="12459" spans="1:18" ht="12.75" customHeight="1">
      <c r="A12459" s="628" t="s">
        <v>22657</v>
      </c>
      <c r="B12459" s="629"/>
      <c r="C12459" s="629"/>
      <c r="D12459" s="629"/>
      <c r="E12459" s="629"/>
      <c r="F12459" s="629"/>
      <c r="G12459" s="629"/>
      <c r="H12459" s="629"/>
      <c r="I12459" s="629"/>
      <c r="J12459" s="629"/>
      <c r="K12459" s="629"/>
      <c r="L12459" s="629"/>
      <c r="M12459" s="629"/>
      <c r="N12459" s="629"/>
      <c r="O12459" s="629"/>
      <c r="P12459" s="629"/>
      <c r="Q12459" s="629"/>
      <c r="R12459" s="629"/>
    </row>
    <row r="12460" spans="1:18" ht="24">
      <c r="A12460" s="355">
        <v>58</v>
      </c>
      <c r="B12460" s="352" t="s">
        <v>22658</v>
      </c>
      <c r="C12460" s="356" t="s">
        <v>22659</v>
      </c>
      <c r="D12460" s="357">
        <v>951066.84</v>
      </c>
      <c r="E12460" s="357">
        <v>306311.90999999997</v>
      </c>
      <c r="F12460" s="357">
        <v>584506.47</v>
      </c>
      <c r="G12460" s="357">
        <v>60248.46</v>
      </c>
      <c r="H12460" s="358">
        <v>7040010</v>
      </c>
      <c r="I12460" s="358">
        <v>3522720.26</v>
      </c>
      <c r="J12460" s="358">
        <v>3124303.32</v>
      </c>
      <c r="K12460" s="358">
        <v>392986.42</v>
      </c>
      <c r="L12460" s="43">
        <v>7.4022242222218582</v>
      </c>
      <c r="M12460" s="43">
        <v>11.500435161009573</v>
      </c>
      <c r="N12460" s="43">
        <v>5.3451988649501176</v>
      </c>
      <c r="O12460" s="43">
        <v>6.5227629054750942</v>
      </c>
      <c r="P12460" s="359"/>
      <c r="Q12460" s="359"/>
      <c r="R12460" s="359">
        <v>3</v>
      </c>
    </row>
    <row r="12461" spans="1:18" ht="24">
      <c r="A12461" s="355">
        <v>59</v>
      </c>
      <c r="B12461" s="352" t="s">
        <v>22660</v>
      </c>
      <c r="C12461" s="356" t="s">
        <v>22661</v>
      </c>
      <c r="D12461" s="357">
        <v>775258.64</v>
      </c>
      <c r="E12461" s="357">
        <v>278391.21000000002</v>
      </c>
      <c r="F12461" s="357">
        <v>396091.16</v>
      </c>
      <c r="G12461" s="357">
        <v>100776.27</v>
      </c>
      <c r="H12461" s="358">
        <v>5955058.1500000004</v>
      </c>
      <c r="I12461" s="358">
        <v>3201620.06</v>
      </c>
      <c r="J12461" s="358">
        <v>2127541.83</v>
      </c>
      <c r="K12461" s="358">
        <v>625896.26</v>
      </c>
      <c r="L12461" s="43">
        <v>7.6813824996519875</v>
      </c>
      <c r="M12461" s="43">
        <v>11.500435161009573</v>
      </c>
      <c r="N12461" s="43">
        <v>5.3713438845744506</v>
      </c>
      <c r="O12461" s="43">
        <v>6.2107504078092983</v>
      </c>
      <c r="P12461" s="359"/>
      <c r="Q12461" s="359"/>
      <c r="R12461" s="359">
        <v>3</v>
      </c>
    </row>
    <row r="12462" spans="1:18" ht="12.75" customHeight="1">
      <c r="A12462" s="628" t="s">
        <v>22662</v>
      </c>
      <c r="B12462" s="629"/>
      <c r="C12462" s="629"/>
      <c r="D12462" s="629"/>
      <c r="E12462" s="629"/>
      <c r="F12462" s="629"/>
      <c r="G12462" s="629"/>
      <c r="H12462" s="629"/>
      <c r="I12462" s="629"/>
      <c r="J12462" s="629"/>
      <c r="K12462" s="629"/>
      <c r="L12462" s="629"/>
      <c r="M12462" s="629"/>
      <c r="N12462" s="629"/>
      <c r="O12462" s="629"/>
      <c r="P12462" s="629"/>
      <c r="Q12462" s="629"/>
      <c r="R12462" s="629"/>
    </row>
    <row r="12463" spans="1:18" ht="24">
      <c r="A12463" s="355">
        <v>60</v>
      </c>
      <c r="B12463" s="352" t="s">
        <v>22663</v>
      </c>
      <c r="C12463" s="356" t="s">
        <v>22664</v>
      </c>
      <c r="D12463" s="357">
        <v>6608.6</v>
      </c>
      <c r="E12463" s="357">
        <v>4407.68</v>
      </c>
      <c r="F12463" s="357">
        <v>1209.5899999999999</v>
      </c>
      <c r="G12463" s="357">
        <v>991.33</v>
      </c>
      <c r="H12463" s="358">
        <v>61668.55</v>
      </c>
      <c r="I12463" s="358">
        <v>50688.32</v>
      </c>
      <c r="J12463" s="358">
        <v>6559.54</v>
      </c>
      <c r="K12463" s="358">
        <v>4420.6899999999996</v>
      </c>
      <c r="L12463" s="43">
        <v>9.3315603910056595</v>
      </c>
      <c r="M12463" s="43">
        <v>11.5</v>
      </c>
      <c r="N12463" s="43">
        <v>5.4229449648227916</v>
      </c>
      <c r="O12463" s="43">
        <v>4.459352586928671</v>
      </c>
      <c r="P12463" s="359"/>
      <c r="Q12463" s="359"/>
      <c r="R12463" s="359">
        <v>4</v>
      </c>
    </row>
    <row r="12464" spans="1:18" ht="12.75" customHeight="1">
      <c r="A12464" s="628" t="s">
        <v>22665</v>
      </c>
      <c r="B12464" s="629"/>
      <c r="C12464" s="629"/>
      <c r="D12464" s="629"/>
      <c r="E12464" s="629"/>
      <c r="F12464" s="629"/>
      <c r="G12464" s="629"/>
      <c r="H12464" s="629"/>
      <c r="I12464" s="629"/>
      <c r="J12464" s="629"/>
      <c r="K12464" s="629"/>
      <c r="L12464" s="629"/>
      <c r="M12464" s="629"/>
      <c r="N12464" s="629"/>
      <c r="O12464" s="629"/>
      <c r="P12464" s="629"/>
      <c r="Q12464" s="629"/>
      <c r="R12464" s="629"/>
    </row>
    <row r="12465" spans="1:18" ht="24">
      <c r="A12465" s="355">
        <v>61</v>
      </c>
      <c r="B12465" s="352" t="s">
        <v>22666</v>
      </c>
      <c r="C12465" s="356" t="s">
        <v>22667</v>
      </c>
      <c r="D12465" s="357">
        <v>307.64999999999998</v>
      </c>
      <c r="E12465" s="357">
        <v>219.46</v>
      </c>
      <c r="F12465" s="357">
        <v>83.8</v>
      </c>
      <c r="G12465" s="357">
        <v>4.3899999999999997</v>
      </c>
      <c r="H12465" s="358">
        <v>3028.11</v>
      </c>
      <c r="I12465" s="358">
        <v>2523.87</v>
      </c>
      <c r="J12465" s="358">
        <v>453.75</v>
      </c>
      <c r="K12465" s="358">
        <v>50.49</v>
      </c>
      <c r="L12465" s="43">
        <v>9.8427108727450037</v>
      </c>
      <c r="M12465" s="43">
        <v>11.500364531121843</v>
      </c>
      <c r="N12465" s="43">
        <v>5.4146778042959429</v>
      </c>
      <c r="O12465" s="43">
        <v>11.501138952164011</v>
      </c>
      <c r="P12465" s="359"/>
      <c r="Q12465" s="359"/>
      <c r="R12465" s="359">
        <v>5</v>
      </c>
    </row>
    <row r="12466" spans="1:18" ht="24">
      <c r="A12466" s="355">
        <v>62</v>
      </c>
      <c r="B12466" s="352" t="s">
        <v>22668</v>
      </c>
      <c r="C12466" s="356" t="s">
        <v>22669</v>
      </c>
      <c r="D12466" s="357">
        <v>1039.54</v>
      </c>
      <c r="E12466" s="357">
        <v>594.03</v>
      </c>
      <c r="F12466" s="357">
        <v>124.36</v>
      </c>
      <c r="G12466" s="357">
        <v>321.14999999999998</v>
      </c>
      <c r="H12466" s="358">
        <v>9065.69</v>
      </c>
      <c r="I12466" s="358">
        <v>6831.64</v>
      </c>
      <c r="J12466" s="358">
        <v>662.37</v>
      </c>
      <c r="K12466" s="358">
        <v>1571.68</v>
      </c>
      <c r="L12466" s="43">
        <v>8.720866921907767</v>
      </c>
      <c r="M12466" s="43">
        <v>11.500496607915426</v>
      </c>
      <c r="N12466" s="43">
        <v>5.326230299131554</v>
      </c>
      <c r="O12466" s="43">
        <v>4.893912501946132</v>
      </c>
      <c r="P12466" s="359"/>
      <c r="Q12466" s="359"/>
      <c r="R12466" s="359">
        <v>5</v>
      </c>
    </row>
    <row r="12467" spans="1:18" ht="24">
      <c r="A12467" s="355">
        <v>63</v>
      </c>
      <c r="B12467" s="352" t="s">
        <v>22670</v>
      </c>
      <c r="C12467" s="356" t="s">
        <v>22671</v>
      </c>
      <c r="D12467" s="357">
        <v>1273.5899999999999</v>
      </c>
      <c r="E12467" s="357">
        <v>663.42</v>
      </c>
      <c r="F12467" s="357">
        <v>126.53</v>
      </c>
      <c r="G12467" s="357">
        <v>483.64</v>
      </c>
      <c r="H12467" s="358">
        <v>10662.87</v>
      </c>
      <c r="I12467" s="358">
        <v>7629.38</v>
      </c>
      <c r="J12467" s="358">
        <v>671.66</v>
      </c>
      <c r="K12467" s="358">
        <v>2361.83</v>
      </c>
      <c r="L12467" s="43">
        <v>8.3722940663792915</v>
      </c>
      <c r="M12467" s="43">
        <v>11.500075367037473</v>
      </c>
      <c r="N12467" s="43">
        <v>5.308306330514502</v>
      </c>
      <c r="O12467" s="43">
        <v>4.8834463650649242</v>
      </c>
      <c r="P12467" s="359"/>
      <c r="Q12467" s="359"/>
      <c r="R12467" s="359">
        <v>5</v>
      </c>
    </row>
    <row r="12468" spans="1:18" ht="24">
      <c r="A12468" s="355">
        <v>64</v>
      </c>
      <c r="B12468" s="352" t="s">
        <v>22672</v>
      </c>
      <c r="C12468" s="356" t="s">
        <v>22673</v>
      </c>
      <c r="D12468" s="357">
        <v>9792.7900000000009</v>
      </c>
      <c r="E12468" s="357">
        <v>2453.1</v>
      </c>
      <c r="F12468" s="357">
        <v>4588.83</v>
      </c>
      <c r="G12468" s="357">
        <v>2750.86</v>
      </c>
      <c r="H12468" s="358">
        <v>64991.37</v>
      </c>
      <c r="I12468" s="358">
        <v>28210.65</v>
      </c>
      <c r="J12468" s="358">
        <v>24494.93</v>
      </c>
      <c r="K12468" s="358">
        <v>12285.79</v>
      </c>
      <c r="L12468" s="43">
        <v>6.636655130968804</v>
      </c>
      <c r="M12468" s="43">
        <v>11.500000000000002</v>
      </c>
      <c r="N12468" s="43">
        <v>5.3379467097277518</v>
      </c>
      <c r="O12468" s="43">
        <v>4.4661633089288442</v>
      </c>
      <c r="P12468" s="359"/>
      <c r="Q12468" s="359"/>
      <c r="R12468" s="359">
        <v>5</v>
      </c>
    </row>
    <row r="12469" spans="1:18" ht="24">
      <c r="A12469" s="355">
        <v>65</v>
      </c>
      <c r="B12469" s="352" t="s">
        <v>22674</v>
      </c>
      <c r="C12469" s="356" t="s">
        <v>22675</v>
      </c>
      <c r="D12469" s="357">
        <v>10388.34</v>
      </c>
      <c r="E12469" s="357">
        <v>2731.32</v>
      </c>
      <c r="F12469" s="357">
        <v>3999.99</v>
      </c>
      <c r="G12469" s="357">
        <v>3657.03</v>
      </c>
      <c r="H12469" s="358">
        <v>69009.279999999999</v>
      </c>
      <c r="I12469" s="358">
        <v>31410.18</v>
      </c>
      <c r="J12469" s="358">
        <v>21342.05</v>
      </c>
      <c r="K12469" s="358">
        <v>16257.05</v>
      </c>
      <c r="L12469" s="43">
        <v>6.6429554673797737</v>
      </c>
      <c r="M12469" s="43">
        <v>11.5</v>
      </c>
      <c r="N12469" s="43">
        <v>5.335525838814597</v>
      </c>
      <c r="O12469" s="43">
        <v>4.4454242923902729</v>
      </c>
      <c r="P12469" s="359"/>
      <c r="Q12469" s="359"/>
      <c r="R12469" s="359">
        <v>5</v>
      </c>
    </row>
    <row r="12470" spans="1:18" ht="36">
      <c r="A12470" s="355">
        <v>66</v>
      </c>
      <c r="B12470" s="352" t="s">
        <v>22676</v>
      </c>
      <c r="C12470" s="356" t="s">
        <v>22677</v>
      </c>
      <c r="D12470" s="357">
        <v>3287.38</v>
      </c>
      <c r="E12470" s="357">
        <v>944.02</v>
      </c>
      <c r="F12470" s="357">
        <v>1544.05</v>
      </c>
      <c r="G12470" s="357">
        <v>799.31</v>
      </c>
      <c r="H12470" s="358">
        <v>23460.81</v>
      </c>
      <c r="I12470" s="358">
        <v>10856.18</v>
      </c>
      <c r="J12470" s="358">
        <v>8318.33</v>
      </c>
      <c r="K12470" s="358">
        <v>4286.3</v>
      </c>
      <c r="L12470" s="43">
        <v>7.1366285613467264</v>
      </c>
      <c r="M12470" s="43">
        <v>11.499947035020446</v>
      </c>
      <c r="N12470" s="43">
        <v>5.3873449693986597</v>
      </c>
      <c r="O12470" s="43">
        <v>5.3625001563848826</v>
      </c>
      <c r="P12470" s="359"/>
      <c r="Q12470" s="359"/>
      <c r="R12470" s="359">
        <v>5</v>
      </c>
    </row>
    <row r="12471" spans="1:18" ht="36">
      <c r="A12471" s="355">
        <v>67</v>
      </c>
      <c r="B12471" s="352" t="s">
        <v>22678</v>
      </c>
      <c r="C12471" s="356" t="s">
        <v>22679</v>
      </c>
      <c r="D12471" s="357">
        <v>3727.07</v>
      </c>
      <c r="E12471" s="357">
        <v>1147.3599999999999</v>
      </c>
      <c r="F12471" s="357">
        <v>1768.17</v>
      </c>
      <c r="G12471" s="357">
        <v>811.54</v>
      </c>
      <c r="H12471" s="358">
        <v>27107.02</v>
      </c>
      <c r="I12471" s="358">
        <v>13194.64</v>
      </c>
      <c r="J12471" s="358">
        <v>9507.75</v>
      </c>
      <c r="K12471" s="358">
        <v>4404.63</v>
      </c>
      <c r="L12471" s="43">
        <v>7.2730107027772481</v>
      </c>
      <c r="M12471" s="43">
        <v>11.5</v>
      </c>
      <c r="N12471" s="43">
        <v>5.3771696160437061</v>
      </c>
      <c r="O12471" s="43">
        <v>5.4274958720457409</v>
      </c>
      <c r="P12471" s="359"/>
      <c r="Q12471" s="359"/>
      <c r="R12471" s="359">
        <v>5</v>
      </c>
    </row>
    <row r="12472" spans="1:18" ht="12.75" customHeight="1">
      <c r="A12472" s="628" t="s">
        <v>22680</v>
      </c>
      <c r="B12472" s="629"/>
      <c r="C12472" s="629"/>
      <c r="D12472" s="629"/>
      <c r="E12472" s="629"/>
      <c r="F12472" s="629"/>
      <c r="G12472" s="629"/>
      <c r="H12472" s="629"/>
      <c r="I12472" s="629"/>
      <c r="J12472" s="629"/>
      <c r="K12472" s="629"/>
      <c r="L12472" s="629"/>
      <c r="M12472" s="629"/>
      <c r="N12472" s="629"/>
      <c r="O12472" s="629"/>
      <c r="P12472" s="629"/>
      <c r="Q12472" s="629"/>
      <c r="R12472" s="629"/>
    </row>
    <row r="12473" spans="1:18" ht="24">
      <c r="A12473" s="355">
        <v>68</v>
      </c>
      <c r="B12473" s="352" t="s">
        <v>22681</v>
      </c>
      <c r="C12473" s="356" t="s">
        <v>22682</v>
      </c>
      <c r="D12473" s="357">
        <v>361.52</v>
      </c>
      <c r="E12473" s="357">
        <v>241.97</v>
      </c>
      <c r="F12473" s="357">
        <v>111.85</v>
      </c>
      <c r="G12473" s="357">
        <v>7.7</v>
      </c>
      <c r="H12473" s="358">
        <v>3486.19</v>
      </c>
      <c r="I12473" s="358">
        <v>2782.63</v>
      </c>
      <c r="J12473" s="358">
        <v>622.87</v>
      </c>
      <c r="K12473" s="358">
        <v>80.69</v>
      </c>
      <c r="L12473" s="43">
        <v>9.6431456074352742</v>
      </c>
      <c r="M12473" s="43">
        <v>11.499896681406787</v>
      </c>
      <c r="N12473" s="43">
        <v>5.5687974966472957</v>
      </c>
      <c r="O12473" s="43">
        <v>10.479220779220778</v>
      </c>
      <c r="P12473" s="359"/>
      <c r="Q12473" s="359"/>
      <c r="R12473" s="359">
        <v>6</v>
      </c>
    </row>
    <row r="12474" spans="1:18" ht="24">
      <c r="A12474" s="355">
        <v>69</v>
      </c>
      <c r="B12474" s="352" t="s">
        <v>22683</v>
      </c>
      <c r="C12474" s="356" t="s">
        <v>22684</v>
      </c>
      <c r="D12474" s="357">
        <v>469.32</v>
      </c>
      <c r="E12474" s="357">
        <v>266.95999999999998</v>
      </c>
      <c r="F12474" s="357">
        <v>191.93</v>
      </c>
      <c r="G12474" s="357">
        <v>10.43</v>
      </c>
      <c r="H12474" s="358">
        <v>4236.7</v>
      </c>
      <c r="I12474" s="358">
        <v>3070.04</v>
      </c>
      <c r="J12474" s="358">
        <v>1060.67</v>
      </c>
      <c r="K12474" s="358">
        <v>105.99</v>
      </c>
      <c r="L12474" s="43">
        <v>9.0273161169351397</v>
      </c>
      <c r="M12474" s="43">
        <v>11.5</v>
      </c>
      <c r="N12474" s="43">
        <v>5.5263377272964105</v>
      </c>
      <c r="O12474" s="43">
        <v>10.162032598274209</v>
      </c>
      <c r="P12474" s="359"/>
      <c r="Q12474" s="359"/>
      <c r="R12474" s="359">
        <v>6</v>
      </c>
    </row>
    <row r="12475" spans="1:18" ht="24">
      <c r="A12475" s="355">
        <v>70</v>
      </c>
      <c r="B12475" s="352" t="s">
        <v>22685</v>
      </c>
      <c r="C12475" s="356" t="s">
        <v>22686</v>
      </c>
      <c r="D12475" s="357">
        <v>614.57000000000005</v>
      </c>
      <c r="E12475" s="357">
        <v>333.98</v>
      </c>
      <c r="F12475" s="357">
        <v>266.77</v>
      </c>
      <c r="G12475" s="357">
        <v>13.82</v>
      </c>
      <c r="H12475" s="358">
        <v>5453.94</v>
      </c>
      <c r="I12475" s="358">
        <v>3840.82</v>
      </c>
      <c r="J12475" s="358">
        <v>1473.72</v>
      </c>
      <c r="K12475" s="358">
        <v>139.4</v>
      </c>
      <c r="L12475" s="43">
        <v>8.8743999869827679</v>
      </c>
      <c r="M12475" s="43">
        <v>11.500149709563447</v>
      </c>
      <c r="N12475" s="43">
        <v>5.5243093301345736</v>
      </c>
      <c r="O12475" s="43">
        <v>10.086830680173662</v>
      </c>
      <c r="P12475" s="359"/>
      <c r="Q12475" s="359"/>
      <c r="R12475" s="359">
        <v>6</v>
      </c>
    </row>
    <row r="12476" spans="1:18" ht="12.75" customHeight="1">
      <c r="A12476" s="628" t="s">
        <v>22687</v>
      </c>
      <c r="B12476" s="629"/>
      <c r="C12476" s="629"/>
      <c r="D12476" s="629"/>
      <c r="E12476" s="629"/>
      <c r="F12476" s="629"/>
      <c r="G12476" s="629"/>
      <c r="H12476" s="629"/>
      <c r="I12476" s="629"/>
      <c r="J12476" s="629"/>
      <c r="K12476" s="629"/>
      <c r="L12476" s="629"/>
      <c r="M12476" s="629"/>
      <c r="N12476" s="629"/>
      <c r="O12476" s="629"/>
      <c r="P12476" s="629"/>
      <c r="Q12476" s="629"/>
      <c r="R12476" s="629"/>
    </row>
    <row r="12477" spans="1:18" ht="24">
      <c r="A12477" s="355">
        <v>71</v>
      </c>
      <c r="B12477" s="352" t="s">
        <v>22688</v>
      </c>
      <c r="C12477" s="356" t="s">
        <v>22689</v>
      </c>
      <c r="D12477" s="357">
        <v>364.96</v>
      </c>
      <c r="E12477" s="357">
        <v>348.15</v>
      </c>
      <c r="F12477" s="357">
        <v>9.85</v>
      </c>
      <c r="G12477" s="357">
        <v>6.96</v>
      </c>
      <c r="H12477" s="358">
        <v>4129.74</v>
      </c>
      <c r="I12477" s="358">
        <v>4003.84</v>
      </c>
      <c r="J12477" s="358">
        <v>45.86</v>
      </c>
      <c r="K12477" s="358">
        <v>80.040000000000006</v>
      </c>
      <c r="L12477" s="43">
        <v>11.315596229723806</v>
      </c>
      <c r="M12477" s="43">
        <v>11.50033031739193</v>
      </c>
      <c r="N12477" s="43">
        <v>4.6558375634517768</v>
      </c>
      <c r="O12477" s="43">
        <v>11.500000000000002</v>
      </c>
      <c r="P12477" s="359"/>
      <c r="Q12477" s="359"/>
      <c r="R12477" s="359">
        <v>7</v>
      </c>
    </row>
    <row r="12478" spans="1:18" ht="12.75" customHeight="1">
      <c r="A12478" s="628" t="s">
        <v>22690</v>
      </c>
      <c r="B12478" s="629"/>
      <c r="C12478" s="629"/>
      <c r="D12478" s="629"/>
      <c r="E12478" s="629"/>
      <c r="F12478" s="629"/>
      <c r="G12478" s="629"/>
      <c r="H12478" s="629"/>
      <c r="I12478" s="629"/>
      <c r="J12478" s="629"/>
      <c r="K12478" s="629"/>
      <c r="L12478" s="629"/>
      <c r="M12478" s="629"/>
      <c r="N12478" s="629"/>
      <c r="O12478" s="629"/>
      <c r="P12478" s="629"/>
      <c r="Q12478" s="629"/>
      <c r="R12478" s="629"/>
    </row>
    <row r="12479" spans="1:18" ht="12.75" customHeight="1">
      <c r="A12479" s="628" t="s">
        <v>22691</v>
      </c>
      <c r="B12479" s="629"/>
      <c r="C12479" s="629"/>
      <c r="D12479" s="629"/>
      <c r="E12479" s="629"/>
      <c r="F12479" s="629"/>
      <c r="G12479" s="629"/>
      <c r="H12479" s="629"/>
      <c r="I12479" s="629"/>
      <c r="J12479" s="629"/>
      <c r="K12479" s="629"/>
      <c r="L12479" s="629"/>
      <c r="M12479" s="629"/>
      <c r="N12479" s="629"/>
      <c r="O12479" s="629"/>
      <c r="P12479" s="629"/>
      <c r="Q12479" s="629"/>
      <c r="R12479" s="629"/>
    </row>
    <row r="12480" spans="1:18" ht="24">
      <c r="A12480" s="355">
        <v>72</v>
      </c>
      <c r="B12480" s="352" t="s">
        <v>22692</v>
      </c>
      <c r="C12480" s="356" t="s">
        <v>22693</v>
      </c>
      <c r="D12480" s="357">
        <v>173356.92</v>
      </c>
      <c r="E12480" s="357">
        <v>53128.4</v>
      </c>
      <c r="F12480" s="357">
        <v>96779.39</v>
      </c>
      <c r="G12480" s="357">
        <v>23449.13</v>
      </c>
      <c r="H12480" s="358">
        <v>1262402.3999999999</v>
      </c>
      <c r="I12480" s="358">
        <v>610976.6</v>
      </c>
      <c r="J12480" s="358">
        <v>522129.27</v>
      </c>
      <c r="K12480" s="358">
        <v>129296.53</v>
      </c>
      <c r="L12480" s="43">
        <v>7.2820998434905269</v>
      </c>
      <c r="M12480" s="43">
        <v>11.5</v>
      </c>
      <c r="N12480" s="43">
        <v>5.3950460940082392</v>
      </c>
      <c r="O12480" s="43">
        <v>5.5139158680940401</v>
      </c>
      <c r="P12480" s="359"/>
      <c r="Q12480" s="359"/>
      <c r="R12480" s="359">
        <v>1</v>
      </c>
    </row>
    <row r="12481" spans="1:18" ht="24">
      <c r="A12481" s="355">
        <v>73</v>
      </c>
      <c r="B12481" s="352" t="s">
        <v>22694</v>
      </c>
      <c r="C12481" s="356" t="s">
        <v>22695</v>
      </c>
      <c r="D12481" s="357">
        <v>153221.10999999999</v>
      </c>
      <c r="E12481" s="357">
        <v>46577.5</v>
      </c>
      <c r="F12481" s="357">
        <v>88437.33</v>
      </c>
      <c r="G12481" s="357">
        <v>18206.28</v>
      </c>
      <c r="H12481" s="358">
        <v>1110335.68</v>
      </c>
      <c r="I12481" s="358">
        <v>535641.25</v>
      </c>
      <c r="J12481" s="358">
        <v>476273.36</v>
      </c>
      <c r="K12481" s="358">
        <v>98421.07</v>
      </c>
      <c r="L12481" s="43">
        <v>7.2466233928210029</v>
      </c>
      <c r="M12481" s="43">
        <v>11.5</v>
      </c>
      <c r="N12481" s="43">
        <v>5.3854335041548627</v>
      </c>
      <c r="O12481" s="43">
        <v>5.4058857712833159</v>
      </c>
      <c r="P12481" s="359"/>
      <c r="Q12481" s="359"/>
      <c r="R12481" s="359">
        <v>1</v>
      </c>
    </row>
    <row r="12482" spans="1:18" ht="12.75" customHeight="1">
      <c r="A12482" s="628" t="s">
        <v>22696</v>
      </c>
      <c r="B12482" s="629"/>
      <c r="C12482" s="629"/>
      <c r="D12482" s="629"/>
      <c r="E12482" s="629"/>
      <c r="F12482" s="629"/>
      <c r="G12482" s="629"/>
      <c r="H12482" s="629"/>
      <c r="I12482" s="629"/>
      <c r="J12482" s="629"/>
      <c r="K12482" s="629"/>
      <c r="L12482" s="629"/>
      <c r="M12482" s="629"/>
      <c r="N12482" s="629"/>
      <c r="O12482" s="629"/>
      <c r="P12482" s="629"/>
      <c r="Q12482" s="629"/>
      <c r="R12482" s="629"/>
    </row>
    <row r="12483" spans="1:18" ht="24">
      <c r="A12483" s="355">
        <v>74</v>
      </c>
      <c r="B12483" s="352" t="s">
        <v>22697</v>
      </c>
      <c r="C12483" s="356" t="s">
        <v>22698</v>
      </c>
      <c r="D12483" s="357">
        <v>25607.35</v>
      </c>
      <c r="E12483" s="357">
        <v>6181.62</v>
      </c>
      <c r="F12483" s="357">
        <v>14892.9</v>
      </c>
      <c r="G12483" s="357">
        <v>4532.83</v>
      </c>
      <c r="H12483" s="358">
        <v>168518.23</v>
      </c>
      <c r="I12483" s="358">
        <v>71091.320000000007</v>
      </c>
      <c r="J12483" s="358">
        <v>80125.95</v>
      </c>
      <c r="K12483" s="358">
        <v>17300.96</v>
      </c>
      <c r="L12483" s="43">
        <v>6.580853934514896</v>
      </c>
      <c r="M12483" s="43">
        <v>11.500435161009575</v>
      </c>
      <c r="N12483" s="43">
        <v>5.3801442298007771</v>
      </c>
      <c r="O12483" s="43">
        <v>3.8168120136868136</v>
      </c>
      <c r="P12483" s="359"/>
      <c r="Q12483" s="359"/>
      <c r="R12483" s="359">
        <v>2</v>
      </c>
    </row>
    <row r="12484" spans="1:18" ht="24">
      <c r="A12484" s="355">
        <v>75</v>
      </c>
      <c r="B12484" s="352" t="s">
        <v>22699</v>
      </c>
      <c r="C12484" s="356" t="s">
        <v>22700</v>
      </c>
      <c r="D12484" s="357">
        <v>38386.11</v>
      </c>
      <c r="E12484" s="357">
        <v>7906.56</v>
      </c>
      <c r="F12484" s="357">
        <v>23393.23</v>
      </c>
      <c r="G12484" s="357">
        <v>7086.32</v>
      </c>
      <c r="H12484" s="358">
        <v>242658.06</v>
      </c>
      <c r="I12484" s="358">
        <v>90925.440000000002</v>
      </c>
      <c r="J12484" s="358">
        <v>125537.1</v>
      </c>
      <c r="K12484" s="358">
        <v>26195.52</v>
      </c>
      <c r="L12484" s="43">
        <v>6.3215069200812479</v>
      </c>
      <c r="M12484" s="43">
        <v>11.5</v>
      </c>
      <c r="N12484" s="43">
        <v>5.3663859159252487</v>
      </c>
      <c r="O12484" s="43">
        <v>3.6966323846509899</v>
      </c>
      <c r="P12484" s="359"/>
      <c r="Q12484" s="359"/>
      <c r="R12484" s="359">
        <v>2</v>
      </c>
    </row>
    <row r="12485" spans="1:18" ht="24">
      <c r="A12485" s="355">
        <v>76</v>
      </c>
      <c r="B12485" s="352" t="s">
        <v>22701</v>
      </c>
      <c r="C12485" s="356" t="s">
        <v>22702</v>
      </c>
      <c r="D12485" s="357">
        <v>142130.81</v>
      </c>
      <c r="E12485" s="357">
        <v>14364.72</v>
      </c>
      <c r="F12485" s="357">
        <v>115624.92</v>
      </c>
      <c r="G12485" s="357">
        <v>12141.17</v>
      </c>
      <c r="H12485" s="358">
        <v>840797.82</v>
      </c>
      <c r="I12485" s="358">
        <v>165194.28</v>
      </c>
      <c r="J12485" s="358">
        <v>631735.84</v>
      </c>
      <c r="K12485" s="358">
        <v>43867.7</v>
      </c>
      <c r="L12485" s="43">
        <v>5.9156619173562719</v>
      </c>
      <c r="M12485" s="43">
        <v>11.5</v>
      </c>
      <c r="N12485" s="43">
        <v>5.4636650991845013</v>
      </c>
      <c r="O12485" s="43">
        <v>3.6131361310318524</v>
      </c>
      <c r="P12485" s="359"/>
      <c r="Q12485" s="359"/>
      <c r="R12485" s="359">
        <v>2</v>
      </c>
    </row>
    <row r="12486" spans="1:18" ht="24">
      <c r="A12486" s="355">
        <v>77</v>
      </c>
      <c r="B12486" s="352" t="s">
        <v>22703</v>
      </c>
      <c r="C12486" s="356" t="s">
        <v>22704</v>
      </c>
      <c r="D12486" s="357">
        <v>152194.47</v>
      </c>
      <c r="E12486" s="357">
        <v>16028.24</v>
      </c>
      <c r="F12486" s="357">
        <v>120557.5</v>
      </c>
      <c r="G12486" s="357">
        <v>15608.73</v>
      </c>
      <c r="H12486" s="358">
        <v>898829.98</v>
      </c>
      <c r="I12486" s="358">
        <v>184324.76</v>
      </c>
      <c r="J12486" s="358">
        <v>658455.89</v>
      </c>
      <c r="K12486" s="358">
        <v>56049.33</v>
      </c>
      <c r="L12486" s="43">
        <v>5.9057992054507631</v>
      </c>
      <c r="M12486" s="43">
        <v>11.5</v>
      </c>
      <c r="N12486" s="43">
        <v>5.4617579992949423</v>
      </c>
      <c r="O12486" s="43">
        <v>3.5908962484455818</v>
      </c>
      <c r="P12486" s="359"/>
      <c r="Q12486" s="359"/>
      <c r="R12486" s="359">
        <v>2</v>
      </c>
    </row>
    <row r="12487" spans="1:18" ht="12.75" customHeight="1">
      <c r="A12487" s="628" t="s">
        <v>22705</v>
      </c>
      <c r="B12487" s="629"/>
      <c r="C12487" s="629"/>
      <c r="D12487" s="629"/>
      <c r="E12487" s="629"/>
      <c r="F12487" s="629"/>
      <c r="G12487" s="629"/>
      <c r="H12487" s="629"/>
      <c r="I12487" s="629"/>
      <c r="J12487" s="629"/>
      <c r="K12487" s="629"/>
      <c r="L12487" s="629"/>
      <c r="M12487" s="629"/>
      <c r="N12487" s="629"/>
      <c r="O12487" s="629"/>
      <c r="P12487" s="629"/>
      <c r="Q12487" s="629"/>
      <c r="R12487" s="629"/>
    </row>
    <row r="12488" spans="1:18" ht="24">
      <c r="A12488" s="355">
        <v>78</v>
      </c>
      <c r="B12488" s="352" t="s">
        <v>22706</v>
      </c>
      <c r="C12488" s="356" t="s">
        <v>22707</v>
      </c>
      <c r="D12488" s="357">
        <v>8399.64</v>
      </c>
      <c r="E12488" s="357">
        <v>1942.56</v>
      </c>
      <c r="F12488" s="357">
        <v>4346</v>
      </c>
      <c r="G12488" s="357">
        <v>2111.08</v>
      </c>
      <c r="H12488" s="358">
        <v>52745.7</v>
      </c>
      <c r="I12488" s="358">
        <v>22339.439999999999</v>
      </c>
      <c r="J12488" s="358">
        <v>23399.88</v>
      </c>
      <c r="K12488" s="358">
        <v>7006.38</v>
      </c>
      <c r="L12488" s="43">
        <v>6.2795191222480966</v>
      </c>
      <c r="M12488" s="43">
        <v>11.5</v>
      </c>
      <c r="N12488" s="43">
        <v>5.3842337781868386</v>
      </c>
      <c r="O12488" s="43">
        <v>3.3188604884703565</v>
      </c>
      <c r="P12488" s="359"/>
      <c r="Q12488" s="359"/>
      <c r="R12488" s="359">
        <v>3</v>
      </c>
    </row>
    <row r="12489" spans="1:18" ht="24">
      <c r="A12489" s="355">
        <v>79</v>
      </c>
      <c r="B12489" s="352" t="s">
        <v>22708</v>
      </c>
      <c r="C12489" s="356" t="s">
        <v>22709</v>
      </c>
      <c r="D12489" s="357">
        <v>15020.77</v>
      </c>
      <c r="E12489" s="357">
        <v>3339.84</v>
      </c>
      <c r="F12489" s="357">
        <v>8054.91</v>
      </c>
      <c r="G12489" s="357">
        <v>3626.02</v>
      </c>
      <c r="H12489" s="358">
        <v>92463.679999999993</v>
      </c>
      <c r="I12489" s="358">
        <v>38408.160000000003</v>
      </c>
      <c r="J12489" s="358">
        <v>43365.599999999999</v>
      </c>
      <c r="K12489" s="358">
        <v>10689.92</v>
      </c>
      <c r="L12489" s="43">
        <v>6.1557217106712896</v>
      </c>
      <c r="M12489" s="43">
        <v>11.5</v>
      </c>
      <c r="N12489" s="43">
        <v>5.3837473044391553</v>
      </c>
      <c r="O12489" s="43">
        <v>2.9481139100170437</v>
      </c>
      <c r="P12489" s="359"/>
      <c r="Q12489" s="359"/>
      <c r="R12489" s="359">
        <v>3</v>
      </c>
    </row>
    <row r="12490" spans="1:18" ht="12.75" customHeight="1">
      <c r="A12490" s="628" t="s">
        <v>22710</v>
      </c>
      <c r="B12490" s="629"/>
      <c r="C12490" s="629"/>
      <c r="D12490" s="629"/>
      <c r="E12490" s="629"/>
      <c r="F12490" s="629"/>
      <c r="G12490" s="629"/>
      <c r="H12490" s="629"/>
      <c r="I12490" s="629"/>
      <c r="J12490" s="629"/>
      <c r="K12490" s="629"/>
      <c r="L12490" s="629"/>
      <c r="M12490" s="629"/>
      <c r="N12490" s="629"/>
      <c r="O12490" s="629"/>
      <c r="P12490" s="629"/>
      <c r="Q12490" s="629"/>
      <c r="R12490" s="629"/>
    </row>
    <row r="12491" spans="1:18" ht="12.75" customHeight="1">
      <c r="A12491" s="628" t="s">
        <v>22711</v>
      </c>
      <c r="B12491" s="629"/>
      <c r="C12491" s="629"/>
      <c r="D12491" s="629"/>
      <c r="E12491" s="629"/>
      <c r="F12491" s="629"/>
      <c r="G12491" s="629"/>
      <c r="H12491" s="629"/>
      <c r="I12491" s="629"/>
      <c r="J12491" s="629"/>
      <c r="K12491" s="629"/>
      <c r="L12491" s="629"/>
      <c r="M12491" s="629"/>
      <c r="N12491" s="629"/>
      <c r="O12491" s="629"/>
      <c r="P12491" s="629"/>
      <c r="Q12491" s="629"/>
      <c r="R12491" s="629"/>
    </row>
    <row r="12492" spans="1:18" ht="36">
      <c r="A12492" s="355">
        <v>80</v>
      </c>
      <c r="B12492" s="352" t="s">
        <v>22712</v>
      </c>
      <c r="C12492" s="356" t="s">
        <v>22713</v>
      </c>
      <c r="D12492" s="357">
        <v>13059.64</v>
      </c>
      <c r="E12492" s="357">
        <v>6399.93</v>
      </c>
      <c r="F12492" s="357">
        <v>3919.91</v>
      </c>
      <c r="G12492" s="357">
        <v>2739.8</v>
      </c>
      <c r="H12492" s="358">
        <v>105637.31</v>
      </c>
      <c r="I12492" s="358">
        <v>73601.98</v>
      </c>
      <c r="J12492" s="358">
        <v>20758.73</v>
      </c>
      <c r="K12492" s="358">
        <v>11276.6</v>
      </c>
      <c r="L12492" s="43">
        <v>8.0888378240135257</v>
      </c>
      <c r="M12492" s="43">
        <v>11.500435161009573</v>
      </c>
      <c r="N12492" s="43">
        <v>5.2957159730708101</v>
      </c>
      <c r="O12492" s="43">
        <v>4.1158478721074534</v>
      </c>
      <c r="P12492" s="359"/>
      <c r="Q12492" s="359"/>
      <c r="R12492" s="359">
        <v>1</v>
      </c>
    </row>
    <row r="12493" spans="1:18" ht="36">
      <c r="A12493" s="355">
        <v>81</v>
      </c>
      <c r="B12493" s="352" t="s">
        <v>22714</v>
      </c>
      <c r="C12493" s="356" t="s">
        <v>22715</v>
      </c>
      <c r="D12493" s="357">
        <v>26181.41</v>
      </c>
      <c r="E12493" s="357">
        <v>12167.91</v>
      </c>
      <c r="F12493" s="357">
        <v>10149.64</v>
      </c>
      <c r="G12493" s="357">
        <v>3863.86</v>
      </c>
      <c r="H12493" s="358">
        <v>208798.61</v>
      </c>
      <c r="I12493" s="358">
        <v>139936.26</v>
      </c>
      <c r="J12493" s="358">
        <v>52507.6</v>
      </c>
      <c r="K12493" s="358">
        <v>16354.75</v>
      </c>
      <c r="L12493" s="43">
        <v>7.9750712432982027</v>
      </c>
      <c r="M12493" s="43">
        <v>11.500435161009575</v>
      </c>
      <c r="N12493" s="43">
        <v>5.1733460497121078</v>
      </c>
      <c r="O12493" s="43">
        <v>4.2327491161688053</v>
      </c>
      <c r="P12493" s="359"/>
      <c r="Q12493" s="359"/>
      <c r="R12493" s="359">
        <v>1</v>
      </c>
    </row>
    <row r="12494" spans="1:18" ht="36">
      <c r="A12494" s="355">
        <v>82</v>
      </c>
      <c r="B12494" s="352" t="s">
        <v>22716</v>
      </c>
      <c r="C12494" s="356" t="s">
        <v>22717</v>
      </c>
      <c r="D12494" s="357">
        <v>32525.919999999998</v>
      </c>
      <c r="E12494" s="357">
        <v>15787.26</v>
      </c>
      <c r="F12494" s="357">
        <v>12048.69</v>
      </c>
      <c r="G12494" s="357">
        <v>4689.97</v>
      </c>
      <c r="H12494" s="358">
        <v>264394.59999999998</v>
      </c>
      <c r="I12494" s="358">
        <v>181560.36</v>
      </c>
      <c r="J12494" s="358">
        <v>62676.160000000003</v>
      </c>
      <c r="K12494" s="358">
        <v>20158.080000000002</v>
      </c>
      <c r="L12494" s="43">
        <v>8.1287354823476168</v>
      </c>
      <c r="M12494" s="43">
        <v>11.500435161009573</v>
      </c>
      <c r="N12494" s="43">
        <v>5.2019065973147285</v>
      </c>
      <c r="O12494" s="43">
        <v>4.2981255743640157</v>
      </c>
      <c r="P12494" s="359"/>
      <c r="Q12494" s="359"/>
      <c r="R12494" s="359">
        <v>1</v>
      </c>
    </row>
    <row r="12495" spans="1:18" ht="24">
      <c r="A12495" s="355">
        <v>83</v>
      </c>
      <c r="B12495" s="352" t="s">
        <v>22718</v>
      </c>
      <c r="C12495" s="356" t="s">
        <v>22719</v>
      </c>
      <c r="D12495" s="357">
        <v>840.53</v>
      </c>
      <c r="E12495" s="357">
        <v>671.02</v>
      </c>
      <c r="F12495" s="357">
        <v>153.03</v>
      </c>
      <c r="G12495" s="357">
        <v>16.48</v>
      </c>
      <c r="H12495" s="358">
        <v>8704.2099999999991</v>
      </c>
      <c r="I12495" s="358">
        <v>7716.98</v>
      </c>
      <c r="J12495" s="358">
        <v>806.08</v>
      </c>
      <c r="K12495" s="358">
        <v>181.15</v>
      </c>
      <c r="L12495" s="43">
        <v>10.355620858267997</v>
      </c>
      <c r="M12495" s="43">
        <v>11.500372567136598</v>
      </c>
      <c r="N12495" s="43">
        <v>5.2674638959681115</v>
      </c>
      <c r="O12495" s="43">
        <v>10.992111650485437</v>
      </c>
      <c r="P12495" s="359"/>
      <c r="Q12495" s="359"/>
      <c r="R12495" s="359">
        <v>1</v>
      </c>
    </row>
    <row r="12496" spans="1:18" ht="24">
      <c r="A12496" s="355">
        <v>84</v>
      </c>
      <c r="B12496" s="352" t="s">
        <v>22720</v>
      </c>
      <c r="C12496" s="356" t="s">
        <v>22721</v>
      </c>
      <c r="D12496" s="357">
        <v>7834.56</v>
      </c>
      <c r="E12496" s="357">
        <v>2389.92</v>
      </c>
      <c r="F12496" s="357">
        <v>2812.95</v>
      </c>
      <c r="G12496" s="357">
        <v>2631.69</v>
      </c>
      <c r="H12496" s="358">
        <v>55084.21</v>
      </c>
      <c r="I12496" s="358">
        <v>27485.119999999999</v>
      </c>
      <c r="J12496" s="358">
        <v>14635.4</v>
      </c>
      <c r="K12496" s="358">
        <v>12963.69</v>
      </c>
      <c r="L12496" s="43">
        <v>7.0309257954499031</v>
      </c>
      <c r="M12496" s="43">
        <v>11.500435161009573</v>
      </c>
      <c r="N12496" s="43">
        <v>5.2028653193266861</v>
      </c>
      <c r="O12496" s="43">
        <v>4.9259943230395677</v>
      </c>
      <c r="P12496" s="359"/>
      <c r="Q12496" s="359"/>
      <c r="R12496" s="359">
        <v>1</v>
      </c>
    </row>
    <row r="12497" spans="1:18" ht="12.75" customHeight="1">
      <c r="A12497" s="628" t="s">
        <v>22722</v>
      </c>
      <c r="B12497" s="629"/>
      <c r="C12497" s="629"/>
      <c r="D12497" s="629"/>
      <c r="E12497" s="629"/>
      <c r="F12497" s="629"/>
      <c r="G12497" s="629"/>
      <c r="H12497" s="629"/>
      <c r="I12497" s="629"/>
      <c r="J12497" s="629"/>
      <c r="K12497" s="629"/>
      <c r="L12497" s="629"/>
      <c r="M12497" s="629"/>
      <c r="N12497" s="629"/>
      <c r="O12497" s="629"/>
      <c r="P12497" s="629"/>
      <c r="Q12497" s="629"/>
      <c r="R12497" s="629"/>
    </row>
    <row r="12498" spans="1:18" ht="36">
      <c r="A12498" s="355">
        <v>85</v>
      </c>
      <c r="B12498" s="352" t="s">
        <v>22723</v>
      </c>
      <c r="C12498" s="356" t="s">
        <v>22724</v>
      </c>
      <c r="D12498" s="357">
        <v>1943.71</v>
      </c>
      <c r="E12498" s="357">
        <v>851.41</v>
      </c>
      <c r="F12498" s="357">
        <v>715.28</v>
      </c>
      <c r="G12498" s="357">
        <v>377.02</v>
      </c>
      <c r="H12498" s="358">
        <v>16087.7</v>
      </c>
      <c r="I12498" s="358">
        <v>9791.57</v>
      </c>
      <c r="J12498" s="358">
        <v>3792.36</v>
      </c>
      <c r="K12498" s="358">
        <v>2503.77</v>
      </c>
      <c r="L12498" s="43">
        <v>8.2768005515226033</v>
      </c>
      <c r="M12498" s="43">
        <v>11.50041695540339</v>
      </c>
      <c r="N12498" s="43">
        <v>5.3019237221787279</v>
      </c>
      <c r="O12498" s="43">
        <v>6.6409474298445712</v>
      </c>
      <c r="P12498" s="359"/>
      <c r="Q12498" s="359"/>
      <c r="R12498" s="359">
        <v>2</v>
      </c>
    </row>
    <row r="12499" spans="1:18" ht="36">
      <c r="A12499" s="355">
        <v>86</v>
      </c>
      <c r="B12499" s="352" t="s">
        <v>22725</v>
      </c>
      <c r="C12499" s="356" t="s">
        <v>22726</v>
      </c>
      <c r="D12499" s="357">
        <v>4723.1099999999997</v>
      </c>
      <c r="E12499" s="357">
        <v>2527.8000000000002</v>
      </c>
      <c r="F12499" s="357">
        <v>1637.64</v>
      </c>
      <c r="G12499" s="357">
        <v>557.66999999999996</v>
      </c>
      <c r="H12499" s="358">
        <v>41569.32</v>
      </c>
      <c r="I12499" s="358">
        <v>29070.799999999999</v>
      </c>
      <c r="J12499" s="358">
        <v>8624.1</v>
      </c>
      <c r="K12499" s="358">
        <v>3874.42</v>
      </c>
      <c r="L12499" s="43">
        <v>8.8012601866143285</v>
      </c>
      <c r="M12499" s="43">
        <v>11.500435161009573</v>
      </c>
      <c r="N12499" s="43">
        <v>5.2661757162746392</v>
      </c>
      <c r="O12499" s="43">
        <v>6.9475137626194705</v>
      </c>
      <c r="P12499" s="359"/>
      <c r="Q12499" s="359"/>
      <c r="R12499" s="359">
        <v>2</v>
      </c>
    </row>
    <row r="12500" spans="1:18" ht="12.75" customHeight="1">
      <c r="A12500" s="628" t="s">
        <v>22727</v>
      </c>
      <c r="B12500" s="629"/>
      <c r="C12500" s="629"/>
      <c r="D12500" s="629"/>
      <c r="E12500" s="629"/>
      <c r="F12500" s="629"/>
      <c r="G12500" s="629"/>
      <c r="H12500" s="629"/>
      <c r="I12500" s="629"/>
      <c r="J12500" s="629"/>
      <c r="K12500" s="629"/>
      <c r="L12500" s="629"/>
      <c r="M12500" s="629"/>
      <c r="N12500" s="629"/>
      <c r="O12500" s="629"/>
      <c r="P12500" s="629"/>
      <c r="Q12500" s="629"/>
      <c r="R12500" s="629"/>
    </row>
    <row r="12501" spans="1:18" ht="24">
      <c r="A12501" s="355">
        <v>87</v>
      </c>
      <c r="B12501" s="352" t="s">
        <v>22728</v>
      </c>
      <c r="C12501" s="356" t="s">
        <v>22729</v>
      </c>
      <c r="D12501" s="357">
        <v>1738.71</v>
      </c>
      <c r="E12501" s="357">
        <v>554.97</v>
      </c>
      <c r="F12501" s="357">
        <v>595.47</v>
      </c>
      <c r="G12501" s="357">
        <v>588.27</v>
      </c>
      <c r="H12501" s="358">
        <v>11863.47</v>
      </c>
      <c r="I12501" s="358">
        <v>6382.36</v>
      </c>
      <c r="J12501" s="358">
        <v>3202.97</v>
      </c>
      <c r="K12501" s="358">
        <v>2278.14</v>
      </c>
      <c r="L12501" s="43">
        <v>6.8231447452421614</v>
      </c>
      <c r="M12501" s="43">
        <v>11.50036938933636</v>
      </c>
      <c r="N12501" s="43">
        <v>5.3788939829042599</v>
      </c>
      <c r="O12501" s="43">
        <v>3.8726095160385534</v>
      </c>
      <c r="P12501" s="359"/>
      <c r="Q12501" s="359"/>
      <c r="R12501" s="359">
        <v>3</v>
      </c>
    </row>
    <row r="12502" spans="1:18" ht="24">
      <c r="A12502" s="355">
        <v>88</v>
      </c>
      <c r="B12502" s="352" t="s">
        <v>22730</v>
      </c>
      <c r="C12502" s="356" t="s">
        <v>22731</v>
      </c>
      <c r="D12502" s="357">
        <v>841.24</v>
      </c>
      <c r="E12502" s="357">
        <v>335.51</v>
      </c>
      <c r="F12502" s="357">
        <v>211.47</v>
      </c>
      <c r="G12502" s="357">
        <v>294.26</v>
      </c>
      <c r="H12502" s="358">
        <v>6143.18</v>
      </c>
      <c r="I12502" s="358">
        <v>3858.49</v>
      </c>
      <c r="J12502" s="358">
        <v>1143.98</v>
      </c>
      <c r="K12502" s="358">
        <v>1140.71</v>
      </c>
      <c r="L12502" s="43">
        <v>7.3025295991631403</v>
      </c>
      <c r="M12502" s="43">
        <v>11.500372567136598</v>
      </c>
      <c r="N12502" s="43">
        <v>5.4096562160117276</v>
      </c>
      <c r="O12502" s="43">
        <v>3.8765377557262286</v>
      </c>
      <c r="P12502" s="359"/>
      <c r="Q12502" s="359"/>
      <c r="R12502" s="359">
        <v>3</v>
      </c>
    </row>
    <row r="12503" spans="1:18" ht="24">
      <c r="A12503" s="355">
        <v>89</v>
      </c>
      <c r="B12503" s="352" t="s">
        <v>22732</v>
      </c>
      <c r="C12503" s="356" t="s">
        <v>22733</v>
      </c>
      <c r="D12503" s="357">
        <v>562.04999999999995</v>
      </c>
      <c r="E12503" s="357">
        <v>185.39</v>
      </c>
      <c r="F12503" s="357">
        <v>86</v>
      </c>
      <c r="G12503" s="357">
        <v>290.66000000000003</v>
      </c>
      <c r="H12503" s="358">
        <v>3701.07</v>
      </c>
      <c r="I12503" s="358">
        <v>2132.1</v>
      </c>
      <c r="J12503" s="358">
        <v>465.36</v>
      </c>
      <c r="K12503" s="358">
        <v>1103.6099999999999</v>
      </c>
      <c r="L12503" s="43">
        <v>6.5849479583666941</v>
      </c>
      <c r="M12503" s="43">
        <v>11.50062031393279</v>
      </c>
      <c r="N12503" s="43">
        <v>5.4111627906976745</v>
      </c>
      <c r="O12503" s="43">
        <v>3.7969104795981554</v>
      </c>
      <c r="P12503" s="359"/>
      <c r="Q12503" s="359"/>
      <c r="R12503" s="359">
        <v>3</v>
      </c>
    </row>
    <row r="12504" spans="1:18" ht="24">
      <c r="A12504" s="355">
        <v>90</v>
      </c>
      <c r="B12504" s="352" t="s">
        <v>22734</v>
      </c>
      <c r="C12504" s="356" t="s">
        <v>22735</v>
      </c>
      <c r="D12504" s="357">
        <v>1240.56</v>
      </c>
      <c r="E12504" s="357">
        <v>289.99</v>
      </c>
      <c r="F12504" s="357">
        <v>370.44</v>
      </c>
      <c r="G12504" s="357">
        <v>580.13</v>
      </c>
      <c r="H12504" s="358">
        <v>7518.31</v>
      </c>
      <c r="I12504" s="358">
        <v>3334.91</v>
      </c>
      <c r="J12504" s="358">
        <v>1993.49</v>
      </c>
      <c r="K12504" s="358">
        <v>2189.91</v>
      </c>
      <c r="L12504" s="43">
        <v>6.0604162636228809</v>
      </c>
      <c r="M12504" s="43">
        <v>11.500086209869306</v>
      </c>
      <c r="N12504" s="43">
        <v>5.3814112946766013</v>
      </c>
      <c r="O12504" s="43">
        <v>3.7748608070604863</v>
      </c>
      <c r="P12504" s="359"/>
      <c r="Q12504" s="359"/>
      <c r="R12504" s="359">
        <v>3</v>
      </c>
    </row>
    <row r="12505" spans="1:18" ht="24">
      <c r="A12505" s="355">
        <v>91</v>
      </c>
      <c r="B12505" s="352" t="s">
        <v>22736</v>
      </c>
      <c r="C12505" s="356" t="s">
        <v>22737</v>
      </c>
      <c r="D12505" s="357">
        <v>564.03</v>
      </c>
      <c r="E12505" s="357">
        <v>128.35</v>
      </c>
      <c r="F12505" s="357">
        <v>146.22</v>
      </c>
      <c r="G12505" s="357">
        <v>289.45999999999998</v>
      </c>
      <c r="H12505" s="358">
        <v>3356.62</v>
      </c>
      <c r="I12505" s="358">
        <v>1476.07</v>
      </c>
      <c r="J12505" s="358">
        <v>791</v>
      </c>
      <c r="K12505" s="358">
        <v>1089.55</v>
      </c>
      <c r="L12505" s="43">
        <v>5.9511373508501322</v>
      </c>
      <c r="M12505" s="43">
        <v>11.500350603817687</v>
      </c>
      <c r="N12505" s="43">
        <v>5.4096566817124883</v>
      </c>
      <c r="O12505" s="43">
        <v>3.7640779382298075</v>
      </c>
      <c r="P12505" s="359"/>
      <c r="Q12505" s="359"/>
      <c r="R12505" s="359">
        <v>3</v>
      </c>
    </row>
    <row r="12506" spans="1:18" ht="24">
      <c r="A12506" s="355">
        <v>92</v>
      </c>
      <c r="B12506" s="352" t="s">
        <v>22738</v>
      </c>
      <c r="C12506" s="356" t="s">
        <v>22739</v>
      </c>
      <c r="D12506" s="357">
        <v>978.85</v>
      </c>
      <c r="E12506" s="357">
        <v>199.8</v>
      </c>
      <c r="F12506" s="357">
        <v>195.48</v>
      </c>
      <c r="G12506" s="357">
        <v>583.57000000000005</v>
      </c>
      <c r="H12506" s="358">
        <v>5572.87</v>
      </c>
      <c r="I12506" s="358">
        <v>2297.6999999999998</v>
      </c>
      <c r="J12506" s="358">
        <v>1057.67</v>
      </c>
      <c r="K12506" s="358">
        <v>2217.5</v>
      </c>
      <c r="L12506" s="43">
        <v>5.6932829340552686</v>
      </c>
      <c r="M12506" s="43">
        <v>11.499999999999998</v>
      </c>
      <c r="N12506" s="43">
        <v>5.4106302435031726</v>
      </c>
      <c r="O12506" s="43">
        <v>3.7998869030279141</v>
      </c>
      <c r="P12506" s="359"/>
      <c r="Q12506" s="359"/>
      <c r="R12506" s="359">
        <v>3</v>
      </c>
    </row>
    <row r="12507" spans="1:18" ht="24">
      <c r="A12507" s="355">
        <v>93</v>
      </c>
      <c r="B12507" s="352" t="s">
        <v>22740</v>
      </c>
      <c r="C12507" s="356" t="s">
        <v>22741</v>
      </c>
      <c r="D12507" s="357">
        <v>1531.29</v>
      </c>
      <c r="E12507" s="357">
        <v>483.94</v>
      </c>
      <c r="F12507" s="357">
        <v>453.26</v>
      </c>
      <c r="G12507" s="357">
        <v>594.09</v>
      </c>
      <c r="H12507" s="358">
        <v>10343.4</v>
      </c>
      <c r="I12507" s="358">
        <v>5565.26</v>
      </c>
      <c r="J12507" s="358">
        <v>2452.86</v>
      </c>
      <c r="K12507" s="358">
        <v>2325.2800000000002</v>
      </c>
      <c r="L12507" s="43">
        <v>6.7546970201594734</v>
      </c>
      <c r="M12507" s="43">
        <v>11.499896681406787</v>
      </c>
      <c r="N12507" s="43">
        <v>5.4115959934695326</v>
      </c>
      <c r="O12507" s="43">
        <v>3.9140197613156258</v>
      </c>
      <c r="P12507" s="359"/>
      <c r="Q12507" s="359"/>
      <c r="R12507" s="359">
        <v>3</v>
      </c>
    </row>
    <row r="12508" spans="1:18" ht="12.75" customHeight="1">
      <c r="A12508" s="628" t="s">
        <v>22742</v>
      </c>
      <c r="B12508" s="629"/>
      <c r="C12508" s="629"/>
      <c r="D12508" s="629"/>
      <c r="E12508" s="629"/>
      <c r="F12508" s="629"/>
      <c r="G12508" s="629"/>
      <c r="H12508" s="629"/>
      <c r="I12508" s="629"/>
      <c r="J12508" s="629"/>
      <c r="K12508" s="629"/>
      <c r="L12508" s="629"/>
      <c r="M12508" s="629"/>
      <c r="N12508" s="629"/>
      <c r="O12508" s="629"/>
      <c r="P12508" s="629"/>
      <c r="Q12508" s="629"/>
      <c r="R12508" s="629"/>
    </row>
    <row r="12509" spans="1:18" ht="24">
      <c r="A12509" s="355">
        <v>94</v>
      </c>
      <c r="B12509" s="352" t="s">
        <v>22743</v>
      </c>
      <c r="C12509" s="356" t="s">
        <v>22744</v>
      </c>
      <c r="D12509" s="357">
        <v>1990.87</v>
      </c>
      <c r="E12509" s="357">
        <v>838.77</v>
      </c>
      <c r="F12509" s="357">
        <v>500.01</v>
      </c>
      <c r="G12509" s="357">
        <v>652.09</v>
      </c>
      <c r="H12509" s="358">
        <v>14892.18</v>
      </c>
      <c r="I12509" s="358">
        <v>9646.2199999999993</v>
      </c>
      <c r="J12509" s="358">
        <v>2592.09</v>
      </c>
      <c r="K12509" s="358">
        <v>2653.87</v>
      </c>
      <c r="L12509" s="43">
        <v>7.4802372831977983</v>
      </c>
      <c r="M12509" s="43">
        <v>11.500435161009573</v>
      </c>
      <c r="N12509" s="43">
        <v>5.1840763184736307</v>
      </c>
      <c r="O12509" s="43">
        <v>4.0697909797727307</v>
      </c>
      <c r="P12509" s="359"/>
      <c r="Q12509" s="359"/>
      <c r="R12509" s="359">
        <v>4</v>
      </c>
    </row>
    <row r="12510" spans="1:18" ht="24">
      <c r="A12510" s="355">
        <v>95</v>
      </c>
      <c r="B12510" s="352" t="s">
        <v>22745</v>
      </c>
      <c r="C12510" s="356" t="s">
        <v>22746</v>
      </c>
      <c r="D12510" s="357">
        <v>4006.27</v>
      </c>
      <c r="E12510" s="357">
        <v>1746.48</v>
      </c>
      <c r="F12510" s="357">
        <v>902.37</v>
      </c>
      <c r="G12510" s="357">
        <v>1357.42</v>
      </c>
      <c r="H12510" s="358">
        <v>31427.85</v>
      </c>
      <c r="I12510" s="358">
        <v>20085.28</v>
      </c>
      <c r="J12510" s="358">
        <v>4842.6499999999996</v>
      </c>
      <c r="K12510" s="358">
        <v>6499.92</v>
      </c>
      <c r="L12510" s="43">
        <v>7.8446659860668397</v>
      </c>
      <c r="M12510" s="43">
        <v>11.500435161009573</v>
      </c>
      <c r="N12510" s="43">
        <v>5.366590201358644</v>
      </c>
      <c r="O12510" s="43">
        <v>4.7884368876250534</v>
      </c>
      <c r="P12510" s="359"/>
      <c r="Q12510" s="359"/>
      <c r="R12510" s="359">
        <v>4</v>
      </c>
    </row>
    <row r="12511" spans="1:18" ht="24">
      <c r="A12511" s="355">
        <v>96</v>
      </c>
      <c r="B12511" s="352" t="s">
        <v>22747</v>
      </c>
      <c r="C12511" s="356" t="s">
        <v>22748</v>
      </c>
      <c r="D12511" s="357">
        <v>7720.92</v>
      </c>
      <c r="E12511" s="357">
        <v>4228.32</v>
      </c>
      <c r="F12511" s="357">
        <v>2409.52</v>
      </c>
      <c r="G12511" s="357">
        <v>1083.08</v>
      </c>
      <c r="H12511" s="358">
        <v>66489.289999999994</v>
      </c>
      <c r="I12511" s="358">
        <v>48627.519999999997</v>
      </c>
      <c r="J12511" s="358">
        <v>12569.47</v>
      </c>
      <c r="K12511" s="358">
        <v>5292.3</v>
      </c>
      <c r="L12511" s="43">
        <v>8.6115760816068541</v>
      </c>
      <c r="M12511" s="43">
        <v>11.500435161009573</v>
      </c>
      <c r="N12511" s="43">
        <v>5.2165867060659386</v>
      </c>
      <c r="O12511" s="43">
        <v>4.8863426524356468</v>
      </c>
      <c r="P12511" s="359"/>
      <c r="Q12511" s="359"/>
      <c r="R12511" s="359">
        <v>4</v>
      </c>
    </row>
    <row r="12512" spans="1:18" ht="12.75" customHeight="1">
      <c r="A12512" s="628" t="s">
        <v>2739</v>
      </c>
      <c r="B12512" s="629"/>
      <c r="C12512" s="629"/>
      <c r="D12512" s="629"/>
      <c r="E12512" s="629"/>
      <c r="F12512" s="629"/>
      <c r="G12512" s="629"/>
      <c r="H12512" s="629"/>
      <c r="I12512" s="629"/>
      <c r="J12512" s="629"/>
      <c r="K12512" s="629"/>
      <c r="L12512" s="629"/>
      <c r="M12512" s="629"/>
      <c r="N12512" s="629"/>
      <c r="O12512" s="629"/>
      <c r="P12512" s="629"/>
      <c r="Q12512" s="629"/>
      <c r="R12512" s="629"/>
    </row>
    <row r="12513" spans="1:18" ht="24">
      <c r="A12513" s="355">
        <v>97</v>
      </c>
      <c r="B12513" s="352" t="s">
        <v>22749</v>
      </c>
      <c r="C12513" s="356" t="s">
        <v>22750</v>
      </c>
      <c r="D12513" s="357">
        <v>5020.16</v>
      </c>
      <c r="E12513" s="357">
        <v>3056.34</v>
      </c>
      <c r="F12513" s="357">
        <v>1043.57</v>
      </c>
      <c r="G12513" s="357">
        <v>920.25</v>
      </c>
      <c r="H12513" s="358">
        <v>45122.19</v>
      </c>
      <c r="I12513" s="358">
        <v>35149.24</v>
      </c>
      <c r="J12513" s="358">
        <v>5571.63</v>
      </c>
      <c r="K12513" s="358">
        <v>4401.32</v>
      </c>
      <c r="L12513" s="43">
        <v>8.9881975873278943</v>
      </c>
      <c r="M12513" s="43">
        <v>11.500435161009573</v>
      </c>
      <c r="N12513" s="43">
        <v>5.3390093620935835</v>
      </c>
      <c r="O12513" s="43">
        <v>4.7827438196142351</v>
      </c>
      <c r="P12513" s="359"/>
      <c r="Q12513" s="359"/>
      <c r="R12513" s="359">
        <v>5</v>
      </c>
    </row>
    <row r="12514" spans="1:18" ht="36">
      <c r="A12514" s="355">
        <v>98</v>
      </c>
      <c r="B12514" s="352" t="s">
        <v>22751</v>
      </c>
      <c r="C12514" s="356" t="s">
        <v>22752</v>
      </c>
      <c r="D12514" s="357">
        <v>2551.2600000000002</v>
      </c>
      <c r="E12514" s="357">
        <v>1160.49</v>
      </c>
      <c r="F12514" s="357">
        <v>769.77</v>
      </c>
      <c r="G12514" s="357">
        <v>621</v>
      </c>
      <c r="H12514" s="358">
        <v>19996.189999999999</v>
      </c>
      <c r="I12514" s="358">
        <v>13346.14</v>
      </c>
      <c r="J12514" s="358">
        <v>4111.53</v>
      </c>
      <c r="K12514" s="358">
        <v>2538.52</v>
      </c>
      <c r="L12514" s="43">
        <v>7.8377703566081065</v>
      </c>
      <c r="M12514" s="43">
        <v>11.500435161009573</v>
      </c>
      <c r="N12514" s="43">
        <v>5.3412447874040296</v>
      </c>
      <c r="O12514" s="43">
        <v>4.0877938808373591</v>
      </c>
      <c r="P12514" s="359"/>
      <c r="Q12514" s="359"/>
      <c r="R12514" s="359">
        <v>5</v>
      </c>
    </row>
    <row r="12515" spans="1:18" ht="24">
      <c r="A12515" s="355">
        <v>99</v>
      </c>
      <c r="B12515" s="352" t="s">
        <v>22753</v>
      </c>
      <c r="C12515" s="356" t="s">
        <v>22754</v>
      </c>
      <c r="D12515" s="357">
        <v>811.85</v>
      </c>
      <c r="E12515" s="357">
        <v>296.44</v>
      </c>
      <c r="F12515" s="357">
        <v>221.15</v>
      </c>
      <c r="G12515" s="357">
        <v>294.26</v>
      </c>
      <c r="H12515" s="358">
        <v>5747.43</v>
      </c>
      <c r="I12515" s="358">
        <v>3409.21</v>
      </c>
      <c r="J12515" s="358">
        <v>1197.01</v>
      </c>
      <c r="K12515" s="358">
        <v>1141.21</v>
      </c>
      <c r="L12515" s="43">
        <v>7.0794235388310653</v>
      </c>
      <c r="M12515" s="43">
        <v>11.500506004587775</v>
      </c>
      <c r="N12515" s="43">
        <v>5.4126610897580827</v>
      </c>
      <c r="O12515" s="43">
        <v>3.8782369333242714</v>
      </c>
      <c r="P12515" s="359"/>
      <c r="Q12515" s="359"/>
      <c r="R12515" s="359">
        <v>5</v>
      </c>
    </row>
    <row r="12516" spans="1:18" ht="24">
      <c r="A12516" s="355">
        <v>100</v>
      </c>
      <c r="B12516" s="352" t="s">
        <v>22755</v>
      </c>
      <c r="C12516" s="356" t="s">
        <v>22756</v>
      </c>
      <c r="D12516" s="357">
        <v>148.28</v>
      </c>
      <c r="E12516" s="357">
        <v>114.74</v>
      </c>
      <c r="F12516" s="357">
        <v>31.25</v>
      </c>
      <c r="G12516" s="357">
        <v>2.29</v>
      </c>
      <c r="H12516" s="358">
        <v>1514.92</v>
      </c>
      <c r="I12516" s="358">
        <v>1319.46</v>
      </c>
      <c r="J12516" s="358">
        <v>169.12</v>
      </c>
      <c r="K12516" s="358">
        <v>26.34</v>
      </c>
      <c r="L12516" s="43">
        <v>10.216617210682493</v>
      </c>
      <c r="M12516" s="43">
        <v>11.499564232177097</v>
      </c>
      <c r="N12516" s="43">
        <v>5.4118399999999998</v>
      </c>
      <c r="O12516" s="43">
        <v>11.502183406113536</v>
      </c>
      <c r="P12516" s="359"/>
      <c r="Q12516" s="359"/>
      <c r="R12516" s="359">
        <v>5</v>
      </c>
    </row>
    <row r="12517" spans="1:18" ht="12.75" customHeight="1">
      <c r="A12517" s="628" t="s">
        <v>22757</v>
      </c>
      <c r="B12517" s="629"/>
      <c r="C12517" s="629"/>
      <c r="D12517" s="629"/>
      <c r="E12517" s="629"/>
      <c r="F12517" s="629"/>
      <c r="G12517" s="629"/>
      <c r="H12517" s="629"/>
      <c r="I12517" s="629"/>
      <c r="J12517" s="629"/>
      <c r="K12517" s="629"/>
      <c r="L12517" s="629"/>
      <c r="M12517" s="629"/>
      <c r="N12517" s="629"/>
      <c r="O12517" s="629"/>
      <c r="P12517" s="629"/>
      <c r="Q12517" s="629"/>
      <c r="R12517" s="629"/>
    </row>
    <row r="12518" spans="1:18" ht="24">
      <c r="A12518" s="355">
        <v>101</v>
      </c>
      <c r="B12518" s="352" t="s">
        <v>22758</v>
      </c>
      <c r="C12518" s="356" t="s">
        <v>22759</v>
      </c>
      <c r="D12518" s="357">
        <v>3068.66</v>
      </c>
      <c r="E12518" s="357">
        <v>1488.16</v>
      </c>
      <c r="F12518" s="357">
        <v>974.08</v>
      </c>
      <c r="G12518" s="357">
        <v>606.41999999999996</v>
      </c>
      <c r="H12518" s="358">
        <v>24802.85</v>
      </c>
      <c r="I12518" s="358">
        <v>17113.84</v>
      </c>
      <c r="J12518" s="358">
        <v>5200.75</v>
      </c>
      <c r="K12518" s="358">
        <v>2488.2600000000002</v>
      </c>
      <c r="L12518" s="43">
        <v>8.0826321586620864</v>
      </c>
      <c r="M12518" s="43">
        <v>11.5</v>
      </c>
      <c r="N12518" s="43">
        <v>5.3391405223390276</v>
      </c>
      <c r="O12518" s="43">
        <v>4.1031958048877026</v>
      </c>
      <c r="P12518" s="359"/>
      <c r="Q12518" s="359"/>
      <c r="R12518" s="359">
        <v>6</v>
      </c>
    </row>
    <row r="12519" spans="1:18" ht="24">
      <c r="A12519" s="355">
        <v>102</v>
      </c>
      <c r="B12519" s="352" t="s">
        <v>22760</v>
      </c>
      <c r="C12519" s="356" t="s">
        <v>22761</v>
      </c>
      <c r="D12519" s="357">
        <v>5323.11</v>
      </c>
      <c r="E12519" s="357">
        <v>2654.19</v>
      </c>
      <c r="F12519" s="357">
        <v>1825.89</v>
      </c>
      <c r="G12519" s="357">
        <v>843.03</v>
      </c>
      <c r="H12519" s="358">
        <v>43789.07</v>
      </c>
      <c r="I12519" s="358">
        <v>30524.34</v>
      </c>
      <c r="J12519" s="358">
        <v>9661.48</v>
      </c>
      <c r="K12519" s="358">
        <v>3603.25</v>
      </c>
      <c r="L12519" s="43">
        <v>8.2262192590421765</v>
      </c>
      <c r="M12519" s="43">
        <v>11.500435161009573</v>
      </c>
      <c r="N12519" s="43">
        <v>5.2913811894473373</v>
      </c>
      <c r="O12519" s="43">
        <v>4.2741658066735466</v>
      </c>
      <c r="P12519" s="359"/>
      <c r="Q12519" s="359"/>
      <c r="R12519" s="359">
        <v>6</v>
      </c>
    </row>
    <row r="12520" spans="1:18" ht="12.75" customHeight="1">
      <c r="A12520" s="628" t="s">
        <v>22762</v>
      </c>
      <c r="B12520" s="629"/>
      <c r="C12520" s="629"/>
      <c r="D12520" s="629"/>
      <c r="E12520" s="629"/>
      <c r="F12520" s="629"/>
      <c r="G12520" s="629"/>
      <c r="H12520" s="629"/>
      <c r="I12520" s="629"/>
      <c r="J12520" s="629"/>
      <c r="K12520" s="629"/>
      <c r="L12520" s="629"/>
      <c r="M12520" s="629"/>
      <c r="N12520" s="629"/>
      <c r="O12520" s="629"/>
      <c r="P12520" s="629"/>
      <c r="Q12520" s="629"/>
      <c r="R12520" s="629"/>
    </row>
    <row r="12521" spans="1:18" ht="24">
      <c r="A12521" s="355">
        <v>103</v>
      </c>
      <c r="B12521" s="352" t="s">
        <v>22763</v>
      </c>
      <c r="C12521" s="356" t="s">
        <v>22764</v>
      </c>
      <c r="D12521" s="357">
        <v>13306.74</v>
      </c>
      <c r="E12521" s="357">
        <v>4952.1899999999996</v>
      </c>
      <c r="F12521" s="357">
        <v>4825.3900000000003</v>
      </c>
      <c r="G12521" s="357">
        <v>3529.16</v>
      </c>
      <c r="H12521" s="358">
        <v>96679.91</v>
      </c>
      <c r="I12521" s="358">
        <v>56952.34</v>
      </c>
      <c r="J12521" s="358">
        <v>25332.18</v>
      </c>
      <c r="K12521" s="358">
        <v>14395.39</v>
      </c>
      <c r="L12521" s="43">
        <v>7.2654842583532862</v>
      </c>
      <c r="M12521" s="43">
        <v>11.500435161009573</v>
      </c>
      <c r="N12521" s="43">
        <v>5.249768412501373</v>
      </c>
      <c r="O12521" s="43">
        <v>4.0789848009157987</v>
      </c>
      <c r="P12521" s="359"/>
      <c r="Q12521" s="359"/>
      <c r="R12521" s="359">
        <v>7</v>
      </c>
    </row>
    <row r="12522" spans="1:18" ht="24">
      <c r="A12522" s="355">
        <v>104</v>
      </c>
      <c r="B12522" s="352" t="s">
        <v>22765</v>
      </c>
      <c r="C12522" s="356" t="s">
        <v>22766</v>
      </c>
      <c r="D12522" s="357">
        <v>3396.84</v>
      </c>
      <c r="E12522" s="357">
        <v>919.2</v>
      </c>
      <c r="F12522" s="357">
        <v>1413.56</v>
      </c>
      <c r="G12522" s="357">
        <v>1064.08</v>
      </c>
      <c r="H12522" s="358">
        <v>22369.3</v>
      </c>
      <c r="I12522" s="358">
        <v>10571.2</v>
      </c>
      <c r="J12522" s="358">
        <v>7491.8</v>
      </c>
      <c r="K12522" s="358">
        <v>4306.3</v>
      </c>
      <c r="L12522" s="43">
        <v>6.5853263621483489</v>
      </c>
      <c r="M12522" s="43">
        <v>11.500435161009573</v>
      </c>
      <c r="N12522" s="43">
        <v>5.2999518945074851</v>
      </c>
      <c r="O12522" s="43">
        <v>4.0469701526201041</v>
      </c>
      <c r="P12522" s="359"/>
      <c r="Q12522" s="359"/>
      <c r="R12522" s="359">
        <v>7</v>
      </c>
    </row>
    <row r="12523" spans="1:18" ht="24">
      <c r="A12523" s="355">
        <v>105</v>
      </c>
      <c r="B12523" s="352" t="s">
        <v>22767</v>
      </c>
      <c r="C12523" s="356" t="s">
        <v>22768</v>
      </c>
      <c r="D12523" s="357">
        <v>4847.99</v>
      </c>
      <c r="E12523" s="357">
        <v>1608.6</v>
      </c>
      <c r="F12523" s="357">
        <v>1941.7</v>
      </c>
      <c r="G12523" s="357">
        <v>1297.69</v>
      </c>
      <c r="H12523" s="358">
        <v>34330.870000000003</v>
      </c>
      <c r="I12523" s="358">
        <v>18499.599999999999</v>
      </c>
      <c r="J12523" s="358">
        <v>10396.469999999999</v>
      </c>
      <c r="K12523" s="358">
        <v>5434.8</v>
      </c>
      <c r="L12523" s="43">
        <v>7.0814646894898718</v>
      </c>
      <c r="M12523" s="43">
        <v>11.500435161009573</v>
      </c>
      <c r="N12523" s="43">
        <v>5.3543132306741512</v>
      </c>
      <c r="O12523" s="43">
        <v>4.188057240172923</v>
      </c>
      <c r="P12523" s="359"/>
      <c r="Q12523" s="359"/>
      <c r="R12523" s="359">
        <v>7</v>
      </c>
    </row>
    <row r="12524" spans="1:18" ht="12.75" customHeight="1">
      <c r="A12524" s="628" t="s">
        <v>22769</v>
      </c>
      <c r="B12524" s="629"/>
      <c r="C12524" s="629"/>
      <c r="D12524" s="629"/>
      <c r="E12524" s="629"/>
      <c r="F12524" s="629"/>
      <c r="G12524" s="629"/>
      <c r="H12524" s="629"/>
      <c r="I12524" s="629"/>
      <c r="J12524" s="629"/>
      <c r="K12524" s="629"/>
      <c r="L12524" s="629"/>
      <c r="M12524" s="629"/>
      <c r="N12524" s="629"/>
      <c r="O12524" s="629"/>
      <c r="P12524" s="629"/>
      <c r="Q12524" s="629"/>
      <c r="R12524" s="629"/>
    </row>
    <row r="12525" spans="1:18" ht="36">
      <c r="A12525" s="355">
        <v>106</v>
      </c>
      <c r="B12525" s="352" t="s">
        <v>22770</v>
      </c>
      <c r="C12525" s="356" t="s">
        <v>22771</v>
      </c>
      <c r="D12525" s="357">
        <v>17671.07</v>
      </c>
      <c r="E12525" s="357">
        <v>8950.7099999999991</v>
      </c>
      <c r="F12525" s="357">
        <v>5839.38</v>
      </c>
      <c r="G12525" s="357">
        <v>2880.98</v>
      </c>
      <c r="H12525" s="358">
        <v>145602.81</v>
      </c>
      <c r="I12525" s="358">
        <v>102937.06</v>
      </c>
      <c r="J12525" s="358">
        <v>30012.23</v>
      </c>
      <c r="K12525" s="358">
        <v>12653.52</v>
      </c>
      <c r="L12525" s="43">
        <v>8.2396148054418887</v>
      </c>
      <c r="M12525" s="43">
        <v>11.500435161009575</v>
      </c>
      <c r="N12525" s="43">
        <v>5.1396261246913202</v>
      </c>
      <c r="O12525" s="43">
        <v>4.3920888031156062</v>
      </c>
      <c r="P12525" s="359"/>
      <c r="Q12525" s="359"/>
      <c r="R12525" s="359">
        <v>8</v>
      </c>
    </row>
    <row r="12526" spans="1:18" ht="12.75" customHeight="1">
      <c r="A12526" s="628" t="s">
        <v>22772</v>
      </c>
      <c r="B12526" s="629"/>
      <c r="C12526" s="629"/>
      <c r="D12526" s="629"/>
      <c r="E12526" s="629"/>
      <c r="F12526" s="629"/>
      <c r="G12526" s="629"/>
      <c r="H12526" s="629"/>
      <c r="I12526" s="629"/>
      <c r="J12526" s="629"/>
      <c r="K12526" s="629"/>
      <c r="L12526" s="629"/>
      <c r="M12526" s="629"/>
      <c r="N12526" s="629"/>
      <c r="O12526" s="629"/>
      <c r="P12526" s="629"/>
      <c r="Q12526" s="629"/>
      <c r="R12526" s="629"/>
    </row>
    <row r="12527" spans="1:18" ht="24">
      <c r="A12527" s="355">
        <v>107</v>
      </c>
      <c r="B12527" s="352" t="s">
        <v>22773</v>
      </c>
      <c r="C12527" s="356" t="s">
        <v>22774</v>
      </c>
      <c r="D12527" s="357">
        <v>1456.37</v>
      </c>
      <c r="E12527" s="357">
        <v>408.96</v>
      </c>
      <c r="F12527" s="357">
        <v>465.07</v>
      </c>
      <c r="G12527" s="357">
        <v>582.34</v>
      </c>
      <c r="H12527" s="358">
        <v>9368.74</v>
      </c>
      <c r="I12527" s="358">
        <v>4703.04</v>
      </c>
      <c r="J12527" s="358">
        <v>2447.5100000000002</v>
      </c>
      <c r="K12527" s="358">
        <v>2218.19</v>
      </c>
      <c r="L12527" s="43">
        <v>6.4329394316004862</v>
      </c>
      <c r="M12527" s="43">
        <v>11.5</v>
      </c>
      <c r="N12527" s="43">
        <v>5.2626701356785004</v>
      </c>
      <c r="O12527" s="43">
        <v>3.8090977779304187</v>
      </c>
      <c r="P12527" s="359"/>
      <c r="Q12527" s="359"/>
      <c r="R12527" s="359">
        <v>9</v>
      </c>
    </row>
    <row r="12528" spans="1:18" ht="12.75" customHeight="1">
      <c r="A12528" s="628" t="s">
        <v>22775</v>
      </c>
      <c r="B12528" s="629"/>
      <c r="C12528" s="629"/>
      <c r="D12528" s="629"/>
      <c r="E12528" s="629"/>
      <c r="F12528" s="629"/>
      <c r="G12528" s="629"/>
      <c r="H12528" s="629"/>
      <c r="I12528" s="629"/>
      <c r="J12528" s="629"/>
      <c r="K12528" s="629"/>
      <c r="L12528" s="629"/>
      <c r="M12528" s="629"/>
      <c r="N12528" s="629"/>
      <c r="O12528" s="629"/>
      <c r="P12528" s="629"/>
      <c r="Q12528" s="629"/>
      <c r="R12528" s="629"/>
    </row>
    <row r="12529" spans="1:18" ht="24">
      <c r="A12529" s="355">
        <v>108</v>
      </c>
      <c r="B12529" s="352" t="s">
        <v>22776</v>
      </c>
      <c r="C12529" s="356" t="s">
        <v>22777</v>
      </c>
      <c r="D12529" s="357">
        <v>1986.43</v>
      </c>
      <c r="E12529" s="357">
        <v>581.11</v>
      </c>
      <c r="F12529" s="357">
        <v>818.26</v>
      </c>
      <c r="G12529" s="357">
        <v>587.05999999999995</v>
      </c>
      <c r="H12529" s="358">
        <v>13370.5</v>
      </c>
      <c r="I12529" s="358">
        <v>6682.74</v>
      </c>
      <c r="J12529" s="358">
        <v>4418.84</v>
      </c>
      <c r="K12529" s="358">
        <v>2268.92</v>
      </c>
      <c r="L12529" s="43">
        <v>6.7309192873647694</v>
      </c>
      <c r="M12529" s="43">
        <v>11.499956978885237</v>
      </c>
      <c r="N12529" s="43">
        <v>5.4002884168846093</v>
      </c>
      <c r="O12529" s="43">
        <v>3.8648860423125408</v>
      </c>
      <c r="P12529" s="359"/>
      <c r="Q12529" s="359"/>
      <c r="R12529" s="359">
        <v>10</v>
      </c>
    </row>
    <row r="12530" spans="1:18" ht="12.75" customHeight="1">
      <c r="A12530" s="628" t="s">
        <v>22778</v>
      </c>
      <c r="B12530" s="629"/>
      <c r="C12530" s="629"/>
      <c r="D12530" s="629"/>
      <c r="E12530" s="629"/>
      <c r="F12530" s="629"/>
      <c r="G12530" s="629"/>
      <c r="H12530" s="629"/>
      <c r="I12530" s="629"/>
      <c r="J12530" s="629"/>
      <c r="K12530" s="629"/>
      <c r="L12530" s="629"/>
      <c r="M12530" s="629"/>
      <c r="N12530" s="629"/>
      <c r="O12530" s="629"/>
      <c r="P12530" s="629"/>
      <c r="Q12530" s="629"/>
      <c r="R12530" s="629"/>
    </row>
    <row r="12531" spans="1:18" ht="24">
      <c r="A12531" s="355">
        <v>109</v>
      </c>
      <c r="B12531" s="352" t="s">
        <v>22779</v>
      </c>
      <c r="C12531" s="356" t="s">
        <v>22780</v>
      </c>
      <c r="D12531" s="357">
        <v>798.89</v>
      </c>
      <c r="E12531" s="357">
        <v>240.54</v>
      </c>
      <c r="F12531" s="357">
        <v>264.77999999999997</v>
      </c>
      <c r="G12531" s="357">
        <v>293.57</v>
      </c>
      <c r="H12531" s="358">
        <v>5332.11</v>
      </c>
      <c r="I12531" s="358">
        <v>2766.16</v>
      </c>
      <c r="J12531" s="358">
        <v>1433.87</v>
      </c>
      <c r="K12531" s="358">
        <v>1132.08</v>
      </c>
      <c r="L12531" s="43">
        <v>6.6743982275407125</v>
      </c>
      <c r="M12531" s="43">
        <v>11.499792134364347</v>
      </c>
      <c r="N12531" s="43">
        <v>5.4153259309615533</v>
      </c>
      <c r="O12531" s="43">
        <v>3.8562523418605443</v>
      </c>
      <c r="P12531" s="359"/>
      <c r="Q12531" s="359"/>
      <c r="R12531" s="359">
        <v>11</v>
      </c>
    </row>
    <row r="12532" spans="1:18" ht="12.75" customHeight="1">
      <c r="A12532" s="628" t="s">
        <v>22781</v>
      </c>
      <c r="B12532" s="629"/>
      <c r="C12532" s="629"/>
      <c r="D12532" s="629"/>
      <c r="E12532" s="629"/>
      <c r="F12532" s="629"/>
      <c r="G12532" s="629"/>
      <c r="H12532" s="629"/>
      <c r="I12532" s="629"/>
      <c r="J12532" s="629"/>
      <c r="K12532" s="629"/>
      <c r="L12532" s="629"/>
      <c r="M12532" s="629"/>
      <c r="N12532" s="629"/>
      <c r="O12532" s="629"/>
      <c r="P12532" s="629"/>
      <c r="Q12532" s="629"/>
      <c r="R12532" s="629"/>
    </row>
    <row r="12533" spans="1:18" ht="24">
      <c r="A12533" s="355">
        <v>110</v>
      </c>
      <c r="B12533" s="352" t="s">
        <v>22782</v>
      </c>
      <c r="C12533" s="356" t="s">
        <v>22783</v>
      </c>
      <c r="D12533" s="357">
        <v>1137.75</v>
      </c>
      <c r="E12533" s="357">
        <v>237.54</v>
      </c>
      <c r="F12533" s="357">
        <v>311.66000000000003</v>
      </c>
      <c r="G12533" s="357">
        <v>588.54999999999995</v>
      </c>
      <c r="H12533" s="358">
        <v>6682.54</v>
      </c>
      <c r="I12533" s="358">
        <v>2731.71</v>
      </c>
      <c r="J12533" s="358">
        <v>1687.6</v>
      </c>
      <c r="K12533" s="358">
        <v>2263.23</v>
      </c>
      <c r="L12533" s="43">
        <v>5.8734695671281036</v>
      </c>
      <c r="M12533" s="43">
        <v>11.5</v>
      </c>
      <c r="N12533" s="43">
        <v>5.4148751844959246</v>
      </c>
      <c r="O12533" s="43">
        <v>3.8454336929742592</v>
      </c>
      <c r="P12533" s="359"/>
      <c r="Q12533" s="359"/>
      <c r="R12533" s="359">
        <v>12</v>
      </c>
    </row>
    <row r="12534" spans="1:18" ht="24">
      <c r="A12534" s="355">
        <v>111</v>
      </c>
      <c r="B12534" s="352" t="s">
        <v>22784</v>
      </c>
      <c r="C12534" s="356" t="s">
        <v>22785</v>
      </c>
      <c r="D12534" s="357">
        <v>2067.87</v>
      </c>
      <c r="E12534" s="357">
        <v>498.39</v>
      </c>
      <c r="F12534" s="357">
        <v>972.58</v>
      </c>
      <c r="G12534" s="357">
        <v>596.9</v>
      </c>
      <c r="H12534" s="358">
        <v>13339.1</v>
      </c>
      <c r="I12534" s="358">
        <v>5731.49</v>
      </c>
      <c r="J12534" s="358">
        <v>5256.93</v>
      </c>
      <c r="K12534" s="358">
        <v>2350.6799999999998</v>
      </c>
      <c r="L12534" s="43">
        <v>6.4506472844037592</v>
      </c>
      <c r="M12534" s="43">
        <v>11.500010032304019</v>
      </c>
      <c r="N12534" s="43">
        <v>5.4051389088815318</v>
      </c>
      <c r="O12534" s="43">
        <v>3.9381470933154632</v>
      </c>
      <c r="P12534" s="359"/>
      <c r="Q12534" s="359"/>
      <c r="R12534" s="359">
        <v>12</v>
      </c>
    </row>
    <row r="12535" spans="1:18" ht="24">
      <c r="A12535" s="355">
        <v>112</v>
      </c>
      <c r="B12535" s="352" t="s">
        <v>22786</v>
      </c>
      <c r="C12535" s="356" t="s">
        <v>22787</v>
      </c>
      <c r="D12535" s="357">
        <v>679.1</v>
      </c>
      <c r="E12535" s="357">
        <v>298.58999999999997</v>
      </c>
      <c r="F12535" s="357">
        <v>374.54</v>
      </c>
      <c r="G12535" s="357">
        <v>5.97</v>
      </c>
      <c r="H12535" s="358">
        <v>5526.02</v>
      </c>
      <c r="I12535" s="358">
        <v>3433.79</v>
      </c>
      <c r="J12535" s="358">
        <v>2023.57</v>
      </c>
      <c r="K12535" s="358">
        <v>68.66</v>
      </c>
      <c r="L12535" s="43">
        <v>8.1372699160653816</v>
      </c>
      <c r="M12535" s="43">
        <v>11.500016745369907</v>
      </c>
      <c r="N12535" s="43">
        <v>5.4028141186522127</v>
      </c>
      <c r="O12535" s="43">
        <v>11.500837520938024</v>
      </c>
      <c r="P12535" s="359"/>
      <c r="Q12535" s="359"/>
      <c r="R12535" s="359">
        <v>12</v>
      </c>
    </row>
    <row r="12536" spans="1:18" ht="24">
      <c r="A12536" s="355">
        <v>113</v>
      </c>
      <c r="B12536" s="352" t="s">
        <v>22788</v>
      </c>
      <c r="C12536" s="356" t="s">
        <v>22789</v>
      </c>
      <c r="D12536" s="357">
        <v>1162.8800000000001</v>
      </c>
      <c r="E12536" s="357">
        <v>472.86</v>
      </c>
      <c r="F12536" s="357">
        <v>680.56</v>
      </c>
      <c r="G12536" s="357">
        <v>9.4600000000000009</v>
      </c>
      <c r="H12536" s="358">
        <v>9228.76</v>
      </c>
      <c r="I12536" s="358">
        <v>5437.89</v>
      </c>
      <c r="J12536" s="358">
        <v>3682.08</v>
      </c>
      <c r="K12536" s="358">
        <v>108.79</v>
      </c>
      <c r="L12536" s="43">
        <v>7.936124105668684</v>
      </c>
      <c r="M12536" s="43">
        <v>11.5</v>
      </c>
      <c r="N12536" s="43">
        <v>5.4103679322910549</v>
      </c>
      <c r="O12536" s="43">
        <v>11.5</v>
      </c>
      <c r="P12536" s="359"/>
      <c r="Q12536" s="359"/>
      <c r="R12536" s="359">
        <v>12</v>
      </c>
    </row>
    <row r="12537" spans="1:18" ht="24">
      <c r="A12537" s="355">
        <v>114</v>
      </c>
      <c r="B12537" s="352" t="s">
        <v>22790</v>
      </c>
      <c r="C12537" s="356" t="s">
        <v>22791</v>
      </c>
      <c r="D12537" s="357">
        <v>485.8</v>
      </c>
      <c r="E12537" s="357">
        <v>124.32</v>
      </c>
      <c r="F12537" s="357">
        <v>72.19</v>
      </c>
      <c r="G12537" s="357">
        <v>289.29000000000002</v>
      </c>
      <c r="H12537" s="358">
        <v>2909.47</v>
      </c>
      <c r="I12537" s="358">
        <v>1429.68</v>
      </c>
      <c r="J12537" s="358">
        <v>391.55</v>
      </c>
      <c r="K12537" s="358">
        <v>1088.24</v>
      </c>
      <c r="L12537" s="43">
        <v>5.989028406751749</v>
      </c>
      <c r="M12537" s="43">
        <v>11.500000000000002</v>
      </c>
      <c r="N12537" s="43">
        <v>5.4238814240199478</v>
      </c>
      <c r="O12537" s="43">
        <v>3.7617615541498148</v>
      </c>
      <c r="P12537" s="359"/>
      <c r="Q12537" s="359"/>
      <c r="R12537" s="359">
        <v>12</v>
      </c>
    </row>
    <row r="12538" spans="1:18" ht="12.75" customHeight="1">
      <c r="A12538" s="628" t="s">
        <v>22792</v>
      </c>
      <c r="B12538" s="629"/>
      <c r="C12538" s="629"/>
      <c r="D12538" s="629"/>
      <c r="E12538" s="629"/>
      <c r="F12538" s="629"/>
      <c r="G12538" s="629"/>
      <c r="H12538" s="629"/>
      <c r="I12538" s="629"/>
      <c r="J12538" s="629"/>
      <c r="K12538" s="629"/>
      <c r="L12538" s="629"/>
      <c r="M12538" s="629"/>
      <c r="N12538" s="629"/>
      <c r="O12538" s="629"/>
      <c r="P12538" s="629"/>
      <c r="Q12538" s="629"/>
      <c r="R12538" s="629"/>
    </row>
    <row r="12539" spans="1:18" ht="24">
      <c r="A12539" s="355">
        <v>115</v>
      </c>
      <c r="B12539" s="352" t="s">
        <v>22793</v>
      </c>
      <c r="C12539" s="356" t="s">
        <v>22794</v>
      </c>
      <c r="D12539" s="357">
        <v>1228.92</v>
      </c>
      <c r="E12539" s="357">
        <v>277.63</v>
      </c>
      <c r="F12539" s="357">
        <v>369.13</v>
      </c>
      <c r="G12539" s="357">
        <v>582.16</v>
      </c>
      <c r="H12539" s="358">
        <v>7400.54</v>
      </c>
      <c r="I12539" s="358">
        <v>3192.72</v>
      </c>
      <c r="J12539" s="358">
        <v>1998.42</v>
      </c>
      <c r="K12539" s="358">
        <v>2209.4</v>
      </c>
      <c r="L12539" s="43">
        <v>6.0219867851446791</v>
      </c>
      <c r="M12539" s="43">
        <v>11.499909952094514</v>
      </c>
      <c r="N12539" s="43">
        <v>5.4138650339988628</v>
      </c>
      <c r="O12539" s="43">
        <v>3.7951765837570433</v>
      </c>
      <c r="P12539" s="359"/>
      <c r="Q12539" s="359"/>
      <c r="R12539" s="359">
        <v>13</v>
      </c>
    </row>
    <row r="12540" spans="1:18" ht="12.75" customHeight="1">
      <c r="A12540" s="628" t="s">
        <v>22795</v>
      </c>
      <c r="B12540" s="629"/>
      <c r="C12540" s="629"/>
      <c r="D12540" s="629"/>
      <c r="E12540" s="629"/>
      <c r="F12540" s="629"/>
      <c r="G12540" s="629"/>
      <c r="H12540" s="629"/>
      <c r="I12540" s="629"/>
      <c r="J12540" s="629"/>
      <c r="K12540" s="629"/>
      <c r="L12540" s="629"/>
      <c r="M12540" s="629"/>
      <c r="N12540" s="629"/>
      <c r="O12540" s="629"/>
      <c r="P12540" s="629"/>
      <c r="Q12540" s="629"/>
      <c r="R12540" s="629"/>
    </row>
    <row r="12541" spans="1:18" ht="12.75" customHeight="1">
      <c r="A12541" s="628" t="s">
        <v>22796</v>
      </c>
      <c r="B12541" s="629"/>
      <c r="C12541" s="629"/>
      <c r="D12541" s="629"/>
      <c r="E12541" s="629"/>
      <c r="F12541" s="629"/>
      <c r="G12541" s="629"/>
      <c r="H12541" s="629"/>
      <c r="I12541" s="629"/>
      <c r="J12541" s="629"/>
      <c r="K12541" s="629"/>
      <c r="L12541" s="629"/>
      <c r="M12541" s="629"/>
      <c r="N12541" s="629"/>
      <c r="O12541" s="629"/>
      <c r="P12541" s="629"/>
      <c r="Q12541" s="629"/>
      <c r="R12541" s="629"/>
    </row>
    <row r="12542" spans="1:18" ht="24">
      <c r="A12542" s="355">
        <v>116</v>
      </c>
      <c r="B12542" s="352" t="s">
        <v>22797</v>
      </c>
      <c r="C12542" s="356" t="s">
        <v>22798</v>
      </c>
      <c r="D12542" s="357">
        <v>1633.16</v>
      </c>
      <c r="E12542" s="357">
        <v>799.88</v>
      </c>
      <c r="F12542" s="357">
        <v>687.19</v>
      </c>
      <c r="G12542" s="357">
        <v>146.09</v>
      </c>
      <c r="H12542" s="358">
        <v>14026.52</v>
      </c>
      <c r="I12542" s="358">
        <v>9198.9</v>
      </c>
      <c r="J12542" s="358">
        <v>3722.35</v>
      </c>
      <c r="K12542" s="358">
        <v>1105.27</v>
      </c>
      <c r="L12542" s="43">
        <v>8.5885767469200811</v>
      </c>
      <c r="M12542" s="43">
        <v>11.500350052507876</v>
      </c>
      <c r="N12542" s="43">
        <v>5.4167697434479543</v>
      </c>
      <c r="O12542" s="43">
        <v>7.5656786912177418</v>
      </c>
      <c r="P12542" s="359"/>
      <c r="Q12542" s="359"/>
      <c r="R12542" s="359">
        <v>1</v>
      </c>
    </row>
    <row r="12543" spans="1:18" ht="24">
      <c r="A12543" s="355">
        <v>117</v>
      </c>
      <c r="B12543" s="352" t="s">
        <v>22799</v>
      </c>
      <c r="C12543" s="356" t="s">
        <v>22800</v>
      </c>
      <c r="D12543" s="357">
        <v>1977.53</v>
      </c>
      <c r="E12543" s="357">
        <v>1360.04</v>
      </c>
      <c r="F12543" s="357">
        <v>479.89</v>
      </c>
      <c r="G12543" s="357">
        <v>137.6</v>
      </c>
      <c r="H12543" s="358">
        <v>19288.23</v>
      </c>
      <c r="I12543" s="358">
        <v>15640.46</v>
      </c>
      <c r="J12543" s="358">
        <v>2596.46</v>
      </c>
      <c r="K12543" s="358">
        <v>1051.31</v>
      </c>
      <c r="L12543" s="43">
        <v>9.7536977947237204</v>
      </c>
      <c r="M12543" s="43">
        <v>11.5</v>
      </c>
      <c r="N12543" s="43">
        <v>5.4105315801537852</v>
      </c>
      <c r="O12543" s="43">
        <v>7.6403343023255816</v>
      </c>
      <c r="P12543" s="359"/>
      <c r="Q12543" s="359"/>
      <c r="R12543" s="359">
        <v>1</v>
      </c>
    </row>
    <row r="12544" spans="1:18" ht="24">
      <c r="A12544" s="355">
        <v>118</v>
      </c>
      <c r="B12544" s="352" t="s">
        <v>22801</v>
      </c>
      <c r="C12544" s="356" t="s">
        <v>22802</v>
      </c>
      <c r="D12544" s="357">
        <v>9734.77</v>
      </c>
      <c r="E12544" s="357">
        <v>5811.66</v>
      </c>
      <c r="F12544" s="357">
        <v>2929.61</v>
      </c>
      <c r="G12544" s="357">
        <v>993.5</v>
      </c>
      <c r="H12544" s="358">
        <v>87924.57</v>
      </c>
      <c r="I12544" s="358">
        <v>66836.58</v>
      </c>
      <c r="J12544" s="358">
        <v>15089.48</v>
      </c>
      <c r="K12544" s="358">
        <v>5998.51</v>
      </c>
      <c r="L12544" s="43">
        <v>9.0320130830004199</v>
      </c>
      <c r="M12544" s="43">
        <v>11.500428449014567</v>
      </c>
      <c r="N12544" s="43">
        <v>5.1506787592887786</v>
      </c>
      <c r="O12544" s="43">
        <v>6.0377554101660795</v>
      </c>
      <c r="P12544" s="359"/>
      <c r="Q12544" s="359"/>
      <c r="R12544" s="359">
        <v>1</v>
      </c>
    </row>
    <row r="12545" spans="1:18" ht="24">
      <c r="A12545" s="355">
        <v>119</v>
      </c>
      <c r="B12545" s="352" t="s">
        <v>22803</v>
      </c>
      <c r="C12545" s="356" t="s">
        <v>22804</v>
      </c>
      <c r="D12545" s="357">
        <v>2390.2800000000002</v>
      </c>
      <c r="E12545" s="357">
        <v>783.43</v>
      </c>
      <c r="F12545" s="357">
        <v>1569.45</v>
      </c>
      <c r="G12545" s="357">
        <v>37.4</v>
      </c>
      <c r="H12545" s="358">
        <v>17751.36</v>
      </c>
      <c r="I12545" s="358">
        <v>9009.42</v>
      </c>
      <c r="J12545" s="358">
        <v>8371.31</v>
      </c>
      <c r="K12545" s="358">
        <v>370.63</v>
      </c>
      <c r="L12545" s="43">
        <v>7.4264772327928101</v>
      </c>
      <c r="M12545" s="43">
        <v>11.499968089044332</v>
      </c>
      <c r="N12545" s="43">
        <v>5.3339131542897187</v>
      </c>
      <c r="O12545" s="43">
        <v>9.9098930481283425</v>
      </c>
      <c r="P12545" s="359"/>
      <c r="Q12545" s="359"/>
      <c r="R12545" s="359">
        <v>1</v>
      </c>
    </row>
    <row r="12546" spans="1:18" ht="12.75" customHeight="1">
      <c r="A12546" s="628" t="s">
        <v>22805</v>
      </c>
      <c r="B12546" s="629"/>
      <c r="C12546" s="629"/>
      <c r="D12546" s="629"/>
      <c r="E12546" s="629"/>
      <c r="F12546" s="629"/>
      <c r="G12546" s="629"/>
      <c r="H12546" s="629"/>
      <c r="I12546" s="629"/>
      <c r="J12546" s="629"/>
      <c r="K12546" s="629"/>
      <c r="L12546" s="629"/>
      <c r="M12546" s="629"/>
      <c r="N12546" s="629"/>
      <c r="O12546" s="629"/>
      <c r="P12546" s="629"/>
      <c r="Q12546" s="629"/>
      <c r="R12546" s="629"/>
    </row>
    <row r="12547" spans="1:18" ht="24">
      <c r="A12547" s="355">
        <v>120</v>
      </c>
      <c r="B12547" s="352" t="s">
        <v>22806</v>
      </c>
      <c r="C12547" s="356" t="s">
        <v>22807</v>
      </c>
      <c r="D12547" s="357">
        <v>18748.810000000001</v>
      </c>
      <c r="E12547" s="357">
        <v>9835.44</v>
      </c>
      <c r="F12547" s="357">
        <v>8272.9500000000007</v>
      </c>
      <c r="G12547" s="357">
        <v>640.41999999999996</v>
      </c>
      <c r="H12547" s="358">
        <v>162172.51</v>
      </c>
      <c r="I12547" s="358">
        <v>113111.84</v>
      </c>
      <c r="J12547" s="358">
        <v>44046.61</v>
      </c>
      <c r="K12547" s="358">
        <v>5014.0600000000004</v>
      </c>
      <c r="L12547" s="43">
        <v>8.6497495041018606</v>
      </c>
      <c r="M12547" s="43">
        <v>11.500435161009573</v>
      </c>
      <c r="N12547" s="43">
        <v>5.32417215140911</v>
      </c>
      <c r="O12547" s="43">
        <v>7.8293307516942017</v>
      </c>
      <c r="P12547" s="359"/>
      <c r="Q12547" s="359"/>
      <c r="R12547" s="359">
        <v>2</v>
      </c>
    </row>
    <row r="12548" spans="1:18" ht="24">
      <c r="A12548" s="355">
        <v>121</v>
      </c>
      <c r="B12548" s="352" t="s">
        <v>22808</v>
      </c>
      <c r="C12548" s="356" t="s">
        <v>22809</v>
      </c>
      <c r="D12548" s="357">
        <v>5663.75</v>
      </c>
      <c r="E12548" s="357">
        <v>2967.36</v>
      </c>
      <c r="F12548" s="357">
        <v>2567.2199999999998</v>
      </c>
      <c r="G12548" s="357">
        <v>129.16999999999999</v>
      </c>
      <c r="H12548" s="358">
        <v>49614.83</v>
      </c>
      <c r="I12548" s="358">
        <v>34124.639999999999</v>
      </c>
      <c r="J12548" s="358">
        <v>14388.03</v>
      </c>
      <c r="K12548" s="358">
        <v>1102.1600000000001</v>
      </c>
      <c r="L12548" s="43">
        <v>8.7600670933568754</v>
      </c>
      <c r="M12548" s="43">
        <v>11.5</v>
      </c>
      <c r="N12548" s="43">
        <v>5.6045177273470923</v>
      </c>
      <c r="O12548" s="43">
        <v>8.5326314159634613</v>
      </c>
      <c r="P12548" s="359"/>
      <c r="Q12548" s="359"/>
      <c r="R12548" s="359">
        <v>2</v>
      </c>
    </row>
    <row r="12549" spans="1:18" ht="24">
      <c r="A12549" s="355">
        <v>122</v>
      </c>
      <c r="B12549" s="352" t="s">
        <v>22810</v>
      </c>
      <c r="C12549" s="356" t="s">
        <v>22811</v>
      </c>
      <c r="D12549" s="357">
        <v>5351.41</v>
      </c>
      <c r="E12549" s="357">
        <v>2607.6799999999998</v>
      </c>
      <c r="F12549" s="357">
        <v>2632.91</v>
      </c>
      <c r="G12549" s="357">
        <v>110.82</v>
      </c>
      <c r="H12549" s="358">
        <v>45716.53</v>
      </c>
      <c r="I12549" s="358">
        <v>29988.32</v>
      </c>
      <c r="J12549" s="358">
        <v>14737.58</v>
      </c>
      <c r="K12549" s="358">
        <v>990.63</v>
      </c>
      <c r="L12549" s="43">
        <v>8.5428943026230471</v>
      </c>
      <c r="M12549" s="43">
        <v>11.5</v>
      </c>
      <c r="N12549" s="43">
        <v>5.5974492101894864</v>
      </c>
      <c r="O12549" s="43">
        <v>8.9390904168922578</v>
      </c>
      <c r="P12549" s="359"/>
      <c r="Q12549" s="359"/>
      <c r="R12549" s="359">
        <v>2</v>
      </c>
    </row>
    <row r="12550" spans="1:18" ht="24">
      <c r="A12550" s="355">
        <v>123</v>
      </c>
      <c r="B12550" s="352" t="s">
        <v>22812</v>
      </c>
      <c r="C12550" s="356" t="s">
        <v>22813</v>
      </c>
      <c r="D12550" s="357">
        <v>4575.99</v>
      </c>
      <c r="E12550" s="357">
        <v>2191.8000000000002</v>
      </c>
      <c r="F12550" s="357">
        <v>2279.37</v>
      </c>
      <c r="G12550" s="357">
        <v>104.82</v>
      </c>
      <c r="H12550" s="358">
        <v>38857.230000000003</v>
      </c>
      <c r="I12550" s="358">
        <v>25205.7</v>
      </c>
      <c r="J12550" s="358">
        <v>12736.21</v>
      </c>
      <c r="K12550" s="358">
        <v>915.32</v>
      </c>
      <c r="L12550" s="43">
        <v>8.4915460916654109</v>
      </c>
      <c r="M12550" s="43">
        <v>11.5</v>
      </c>
      <c r="N12550" s="43">
        <v>5.5876009599143623</v>
      </c>
      <c r="O12550" s="43">
        <v>8.7323029956115263</v>
      </c>
      <c r="P12550" s="359"/>
      <c r="Q12550" s="359"/>
      <c r="R12550" s="359">
        <v>2</v>
      </c>
    </row>
    <row r="12551" spans="1:18" ht="24">
      <c r="A12551" s="355">
        <v>124</v>
      </c>
      <c r="B12551" s="352" t="s">
        <v>22814</v>
      </c>
      <c r="C12551" s="356" t="s">
        <v>22815</v>
      </c>
      <c r="D12551" s="357">
        <v>26630.2</v>
      </c>
      <c r="E12551" s="357">
        <v>15563.2</v>
      </c>
      <c r="F12551" s="357">
        <v>9780.7800000000007</v>
      </c>
      <c r="G12551" s="357">
        <v>1286.22</v>
      </c>
      <c r="H12551" s="358">
        <v>240432.27</v>
      </c>
      <c r="I12551" s="358">
        <v>178976.8</v>
      </c>
      <c r="J12551" s="358">
        <v>52512.14</v>
      </c>
      <c r="K12551" s="358">
        <v>8943.33</v>
      </c>
      <c r="L12551" s="43">
        <v>9.0285566762547784</v>
      </c>
      <c r="M12551" s="43">
        <v>11.499999999999998</v>
      </c>
      <c r="N12551" s="43">
        <v>5.3689112729250628</v>
      </c>
      <c r="O12551" s="43">
        <v>6.9531884125577275</v>
      </c>
      <c r="P12551" s="359"/>
      <c r="Q12551" s="359"/>
      <c r="R12551" s="359">
        <v>2</v>
      </c>
    </row>
    <row r="12552" spans="1:18" ht="24">
      <c r="A12552" s="355">
        <v>125</v>
      </c>
      <c r="B12552" s="352" t="s">
        <v>22816</v>
      </c>
      <c r="C12552" s="356" t="s">
        <v>22817</v>
      </c>
      <c r="D12552" s="357">
        <v>5460.76</v>
      </c>
      <c r="E12552" s="357">
        <v>2862.72</v>
      </c>
      <c r="F12552" s="357">
        <v>2453.4899999999998</v>
      </c>
      <c r="G12552" s="357">
        <v>144.55000000000001</v>
      </c>
      <c r="H12552" s="358">
        <v>47253.11</v>
      </c>
      <c r="I12552" s="358">
        <v>32921.279999999999</v>
      </c>
      <c r="J12552" s="358">
        <v>13185.26</v>
      </c>
      <c r="K12552" s="358">
        <v>1146.57</v>
      </c>
      <c r="L12552" s="43">
        <v>8.6532112746211141</v>
      </c>
      <c r="M12552" s="43">
        <v>11.5</v>
      </c>
      <c r="N12552" s="43">
        <v>5.3740834484754378</v>
      </c>
      <c r="O12552" s="43">
        <v>7.9319958491871319</v>
      </c>
      <c r="P12552" s="359"/>
      <c r="Q12552" s="359"/>
      <c r="R12552" s="359">
        <v>2</v>
      </c>
    </row>
    <row r="12553" spans="1:18" ht="24">
      <c r="A12553" s="355">
        <v>126</v>
      </c>
      <c r="B12553" s="352" t="s">
        <v>22818</v>
      </c>
      <c r="C12553" s="356" t="s">
        <v>22819</v>
      </c>
      <c r="D12553" s="357">
        <v>8779.3799999999992</v>
      </c>
      <c r="E12553" s="357">
        <v>4373.6000000000004</v>
      </c>
      <c r="F12553" s="357">
        <v>4139.34</v>
      </c>
      <c r="G12553" s="357">
        <v>266.44</v>
      </c>
      <c r="H12553" s="358">
        <v>74521.47</v>
      </c>
      <c r="I12553" s="358">
        <v>50296.4</v>
      </c>
      <c r="J12553" s="358">
        <v>22163.69</v>
      </c>
      <c r="K12553" s="358">
        <v>2061.38</v>
      </c>
      <c r="L12553" s="43">
        <v>8.4882383494050835</v>
      </c>
      <c r="M12553" s="43">
        <v>11.5</v>
      </c>
      <c r="N12553" s="43">
        <v>5.3544019094831539</v>
      </c>
      <c r="O12553" s="43">
        <v>7.7367512385527704</v>
      </c>
      <c r="P12553" s="359"/>
      <c r="Q12553" s="359"/>
      <c r="R12553" s="359">
        <v>2</v>
      </c>
    </row>
    <row r="12554" spans="1:18" ht="24">
      <c r="A12554" s="355">
        <v>127</v>
      </c>
      <c r="B12554" s="352" t="s">
        <v>22820</v>
      </c>
      <c r="C12554" s="356" t="s">
        <v>22821</v>
      </c>
      <c r="D12554" s="357">
        <v>24976.91</v>
      </c>
      <c r="E12554" s="357">
        <v>13257.12</v>
      </c>
      <c r="F12554" s="357">
        <v>9106.02</v>
      </c>
      <c r="G12554" s="357">
        <v>2613.77</v>
      </c>
      <c r="H12554" s="358">
        <v>217181.77</v>
      </c>
      <c r="I12554" s="358">
        <v>152456.88</v>
      </c>
      <c r="J12554" s="358">
        <v>49136.97</v>
      </c>
      <c r="K12554" s="358">
        <v>15587.92</v>
      </c>
      <c r="L12554" s="43">
        <v>8.6953017807246766</v>
      </c>
      <c r="M12554" s="43">
        <v>11.5</v>
      </c>
      <c r="N12554" s="43">
        <v>5.3960973070562108</v>
      </c>
      <c r="O12554" s="43">
        <v>5.9637688090382861</v>
      </c>
      <c r="P12554" s="359"/>
      <c r="Q12554" s="359"/>
      <c r="R12554" s="359">
        <v>2</v>
      </c>
    </row>
    <row r="12555" spans="1:18" ht="24">
      <c r="A12555" s="355">
        <v>128</v>
      </c>
      <c r="B12555" s="352" t="s">
        <v>22822</v>
      </c>
      <c r="C12555" s="356" t="s">
        <v>22823</v>
      </c>
      <c r="D12555" s="357">
        <v>47848.28</v>
      </c>
      <c r="E12555" s="357">
        <v>22538.240000000002</v>
      </c>
      <c r="F12555" s="357">
        <v>23768.18</v>
      </c>
      <c r="G12555" s="357">
        <v>1541.86</v>
      </c>
      <c r="H12555" s="358">
        <v>399999.3</v>
      </c>
      <c r="I12555" s="358">
        <v>259189.76000000001</v>
      </c>
      <c r="J12555" s="358">
        <v>128087.56</v>
      </c>
      <c r="K12555" s="358">
        <v>12721.98</v>
      </c>
      <c r="L12555" s="43">
        <v>8.3597425027608097</v>
      </c>
      <c r="M12555" s="43">
        <v>11.5</v>
      </c>
      <c r="N12555" s="43">
        <v>5.3890352563805894</v>
      </c>
      <c r="O12555" s="43">
        <v>8.2510604075597005</v>
      </c>
      <c r="P12555" s="359"/>
      <c r="Q12555" s="359"/>
      <c r="R12555" s="359">
        <v>2</v>
      </c>
    </row>
    <row r="12556" spans="1:18" ht="24">
      <c r="A12556" s="355">
        <v>129</v>
      </c>
      <c r="B12556" s="352" t="s">
        <v>22824</v>
      </c>
      <c r="C12556" s="356" t="s">
        <v>22825</v>
      </c>
      <c r="D12556" s="357">
        <v>86242.07</v>
      </c>
      <c r="E12556" s="357">
        <v>28400</v>
      </c>
      <c r="F12556" s="357">
        <v>55331.95</v>
      </c>
      <c r="G12556" s="357">
        <v>2510.12</v>
      </c>
      <c r="H12556" s="358">
        <v>641388.26</v>
      </c>
      <c r="I12556" s="358">
        <v>326600</v>
      </c>
      <c r="J12556" s="358">
        <v>293482.63</v>
      </c>
      <c r="K12556" s="358">
        <v>21305.63</v>
      </c>
      <c r="L12556" s="43">
        <v>7.4370694024389712</v>
      </c>
      <c r="M12556" s="43">
        <v>11.5</v>
      </c>
      <c r="N12556" s="43">
        <v>5.304035552696047</v>
      </c>
      <c r="O12556" s="43">
        <v>8.4878930090991673</v>
      </c>
      <c r="P12556" s="359"/>
      <c r="Q12556" s="359"/>
      <c r="R12556" s="359">
        <v>2</v>
      </c>
    </row>
    <row r="12557" spans="1:18" ht="24">
      <c r="A12557" s="355">
        <v>130</v>
      </c>
      <c r="B12557" s="352" t="s">
        <v>22826</v>
      </c>
      <c r="C12557" s="356" t="s">
        <v>22827</v>
      </c>
      <c r="D12557" s="357">
        <v>214837.92</v>
      </c>
      <c r="E12557" s="357">
        <v>136799.94</v>
      </c>
      <c r="F12557" s="357">
        <v>72335.960000000006</v>
      </c>
      <c r="G12557" s="357">
        <v>5702.02</v>
      </c>
      <c r="H12557" s="358">
        <v>1992609</v>
      </c>
      <c r="I12557" s="358">
        <v>1573258.84</v>
      </c>
      <c r="J12557" s="358">
        <v>371519.7</v>
      </c>
      <c r="K12557" s="358">
        <v>47830.46</v>
      </c>
      <c r="L12557" s="43">
        <v>9.2749408484312266</v>
      </c>
      <c r="M12557" s="43">
        <v>11.500435161009573</v>
      </c>
      <c r="N12557" s="43">
        <v>5.1360305441442957</v>
      </c>
      <c r="O12557" s="43">
        <v>8.3883360633600006</v>
      </c>
      <c r="P12557" s="359"/>
      <c r="Q12557" s="359"/>
      <c r="R12557" s="359">
        <v>2</v>
      </c>
    </row>
    <row r="12558" spans="1:18" ht="24">
      <c r="A12558" s="355">
        <v>131</v>
      </c>
      <c r="B12558" s="352" t="s">
        <v>22828</v>
      </c>
      <c r="C12558" s="356" t="s">
        <v>22829</v>
      </c>
      <c r="D12558" s="357">
        <v>184791.69</v>
      </c>
      <c r="E12558" s="357">
        <v>90823.2</v>
      </c>
      <c r="F12558" s="357">
        <v>89411.22</v>
      </c>
      <c r="G12558" s="357">
        <v>4557.2700000000004</v>
      </c>
      <c r="H12558" s="358">
        <v>1562071.98</v>
      </c>
      <c r="I12558" s="358">
        <v>1044466.8</v>
      </c>
      <c r="J12558" s="358">
        <v>481657.47</v>
      </c>
      <c r="K12558" s="358">
        <v>35947.71</v>
      </c>
      <c r="L12558" s="43">
        <v>8.4531505718682478</v>
      </c>
      <c r="M12558" s="43">
        <v>11.5</v>
      </c>
      <c r="N12558" s="43">
        <v>5.3869913641710738</v>
      </c>
      <c r="O12558" s="43">
        <v>7.8879921531969792</v>
      </c>
      <c r="P12558" s="359"/>
      <c r="Q12558" s="359"/>
      <c r="R12558" s="359">
        <v>2</v>
      </c>
    </row>
    <row r="12559" spans="1:18" ht="24">
      <c r="A12559" s="355">
        <v>132</v>
      </c>
      <c r="B12559" s="352" t="s">
        <v>22830</v>
      </c>
      <c r="C12559" s="356" t="s">
        <v>22831</v>
      </c>
      <c r="D12559" s="357">
        <v>6395.78</v>
      </c>
      <c r="E12559" s="357">
        <v>3023.56</v>
      </c>
      <c r="F12559" s="357">
        <v>3236.3</v>
      </c>
      <c r="G12559" s="357">
        <v>135.91999999999999</v>
      </c>
      <c r="H12559" s="358">
        <v>53955.49</v>
      </c>
      <c r="I12559" s="358">
        <v>34770.94</v>
      </c>
      <c r="J12559" s="358">
        <v>18074.47</v>
      </c>
      <c r="K12559" s="358">
        <v>1110.08</v>
      </c>
      <c r="L12559" s="43">
        <v>8.4361078711275255</v>
      </c>
      <c r="M12559" s="43">
        <v>11.500000000000002</v>
      </c>
      <c r="N12559" s="43">
        <v>5.5849179618700369</v>
      </c>
      <c r="O12559" s="43">
        <v>8.1671571512654513</v>
      </c>
      <c r="P12559" s="359"/>
      <c r="Q12559" s="359"/>
      <c r="R12559" s="359">
        <v>2</v>
      </c>
    </row>
    <row r="12560" spans="1:18" ht="24">
      <c r="A12560" s="355">
        <v>133</v>
      </c>
      <c r="B12560" s="352" t="s">
        <v>22832</v>
      </c>
      <c r="C12560" s="356" t="s">
        <v>22833</v>
      </c>
      <c r="D12560" s="357">
        <v>4581.2700000000004</v>
      </c>
      <c r="E12560" s="357">
        <v>2158.4</v>
      </c>
      <c r="F12560" s="357">
        <v>2298.0700000000002</v>
      </c>
      <c r="G12560" s="357">
        <v>124.8</v>
      </c>
      <c r="H12560" s="358">
        <v>38585.68</v>
      </c>
      <c r="I12560" s="358">
        <v>24821.599999999999</v>
      </c>
      <c r="J12560" s="358">
        <v>12754.32</v>
      </c>
      <c r="K12560" s="358">
        <v>1009.76</v>
      </c>
      <c r="L12560" s="43">
        <v>8.4224854680034138</v>
      </c>
      <c r="M12560" s="43">
        <v>11.499999999999998</v>
      </c>
      <c r="N12560" s="43">
        <v>5.5500137071542639</v>
      </c>
      <c r="O12560" s="43">
        <v>8.0910256410256416</v>
      </c>
      <c r="P12560" s="359"/>
      <c r="Q12560" s="359"/>
      <c r="R12560" s="359">
        <v>2</v>
      </c>
    </row>
    <row r="12561" spans="1:18" ht="12.75" customHeight="1">
      <c r="A12561" s="628" t="s">
        <v>22834</v>
      </c>
      <c r="B12561" s="629"/>
      <c r="C12561" s="629"/>
      <c r="D12561" s="629"/>
      <c r="E12561" s="629"/>
      <c r="F12561" s="629"/>
      <c r="G12561" s="629"/>
      <c r="H12561" s="629"/>
      <c r="I12561" s="629"/>
      <c r="J12561" s="629"/>
      <c r="K12561" s="629"/>
      <c r="L12561" s="629"/>
      <c r="M12561" s="629"/>
      <c r="N12561" s="629"/>
      <c r="O12561" s="629"/>
      <c r="P12561" s="629"/>
      <c r="Q12561" s="629"/>
      <c r="R12561" s="629"/>
    </row>
    <row r="12562" spans="1:18" ht="24">
      <c r="A12562" s="355">
        <v>134</v>
      </c>
      <c r="B12562" s="352" t="s">
        <v>22835</v>
      </c>
      <c r="C12562" s="356" t="s">
        <v>22836</v>
      </c>
      <c r="D12562" s="357">
        <v>6360.47</v>
      </c>
      <c r="E12562" s="357">
        <v>2872.5</v>
      </c>
      <c r="F12562" s="357">
        <v>3306.09</v>
      </c>
      <c r="G12562" s="357">
        <v>181.88</v>
      </c>
      <c r="H12562" s="358">
        <v>51709.61</v>
      </c>
      <c r="I12562" s="358">
        <v>33035</v>
      </c>
      <c r="J12562" s="358">
        <v>17273.14</v>
      </c>
      <c r="K12562" s="358">
        <v>1401.47</v>
      </c>
      <c r="L12562" s="43">
        <v>8.1298410337600835</v>
      </c>
      <c r="M12562" s="43">
        <v>11.500435161009573</v>
      </c>
      <c r="N12562" s="43">
        <v>5.2246430072986518</v>
      </c>
      <c r="O12562" s="43">
        <v>7.7054651418517706</v>
      </c>
      <c r="P12562" s="359"/>
      <c r="Q12562" s="359"/>
      <c r="R12562" s="359">
        <v>3</v>
      </c>
    </row>
    <row r="12563" spans="1:18" ht="24">
      <c r="A12563" s="355">
        <v>135</v>
      </c>
      <c r="B12563" s="352" t="s">
        <v>22837</v>
      </c>
      <c r="C12563" s="356" t="s">
        <v>22838</v>
      </c>
      <c r="D12563" s="357">
        <v>7467.48</v>
      </c>
      <c r="E12563" s="357">
        <v>3412.53</v>
      </c>
      <c r="F12563" s="357">
        <v>3851.79</v>
      </c>
      <c r="G12563" s="357">
        <v>203.16</v>
      </c>
      <c r="H12563" s="358">
        <v>60968.5</v>
      </c>
      <c r="I12563" s="358">
        <v>39245.58</v>
      </c>
      <c r="J12563" s="358">
        <v>20139.8</v>
      </c>
      <c r="K12563" s="358">
        <v>1583.12</v>
      </c>
      <c r="L12563" s="43">
        <v>8.1645347560355042</v>
      </c>
      <c r="M12563" s="43">
        <v>11.500435161009573</v>
      </c>
      <c r="N12563" s="43">
        <v>5.2286858837060173</v>
      </c>
      <c r="O12563" s="43">
        <v>7.7924788344162232</v>
      </c>
      <c r="P12563" s="359"/>
      <c r="Q12563" s="359"/>
      <c r="R12563" s="359">
        <v>3</v>
      </c>
    </row>
    <row r="12564" spans="1:18" ht="24">
      <c r="A12564" s="355">
        <v>136</v>
      </c>
      <c r="B12564" s="352" t="s">
        <v>22839</v>
      </c>
      <c r="C12564" s="356" t="s">
        <v>22840</v>
      </c>
      <c r="D12564" s="357">
        <v>5197.55</v>
      </c>
      <c r="E12564" s="357">
        <v>2378.4299999999998</v>
      </c>
      <c r="F12564" s="357">
        <v>2661.43</v>
      </c>
      <c r="G12564" s="357">
        <v>157.69</v>
      </c>
      <c r="H12564" s="358">
        <v>42540.56</v>
      </c>
      <c r="I12564" s="358">
        <v>27352.98</v>
      </c>
      <c r="J12564" s="358">
        <v>13957.47</v>
      </c>
      <c r="K12564" s="358">
        <v>1230.1099999999999</v>
      </c>
      <c r="L12564" s="43">
        <v>8.1847331915998875</v>
      </c>
      <c r="M12564" s="43">
        <v>11.500435161009575</v>
      </c>
      <c r="N12564" s="43">
        <v>5.2443498420022321</v>
      </c>
      <c r="O12564" s="43">
        <v>7.8008117191958899</v>
      </c>
      <c r="P12564" s="359"/>
      <c r="Q12564" s="359"/>
      <c r="R12564" s="359">
        <v>3</v>
      </c>
    </row>
    <row r="12565" spans="1:18" ht="24">
      <c r="A12565" s="355">
        <v>137</v>
      </c>
      <c r="B12565" s="352" t="s">
        <v>22841</v>
      </c>
      <c r="C12565" s="356" t="s">
        <v>22842</v>
      </c>
      <c r="D12565" s="357">
        <v>5528.83</v>
      </c>
      <c r="E12565" s="357">
        <v>2769.09</v>
      </c>
      <c r="F12565" s="357">
        <v>2585.2399999999998</v>
      </c>
      <c r="G12565" s="357">
        <v>174.5</v>
      </c>
      <c r="H12565" s="358">
        <v>46714.69</v>
      </c>
      <c r="I12565" s="358">
        <v>31845.74</v>
      </c>
      <c r="J12565" s="358">
        <v>13486.43</v>
      </c>
      <c r="K12565" s="358">
        <v>1382.52</v>
      </c>
      <c r="L12565" s="43">
        <v>8.4492903561874755</v>
      </c>
      <c r="M12565" s="43">
        <v>11.500435161009573</v>
      </c>
      <c r="N12565" s="43">
        <v>5.2167032848014117</v>
      </c>
      <c r="O12565" s="43">
        <v>7.922750716332378</v>
      </c>
      <c r="P12565" s="359"/>
      <c r="Q12565" s="359"/>
      <c r="R12565" s="359">
        <v>3</v>
      </c>
    </row>
    <row r="12566" spans="1:18" ht="12.75" customHeight="1">
      <c r="A12566" s="628" t="s">
        <v>22687</v>
      </c>
      <c r="B12566" s="629"/>
      <c r="C12566" s="629"/>
      <c r="D12566" s="629"/>
      <c r="E12566" s="629"/>
      <c r="F12566" s="629"/>
      <c r="G12566" s="629"/>
      <c r="H12566" s="629"/>
      <c r="I12566" s="629"/>
      <c r="J12566" s="629"/>
      <c r="K12566" s="629"/>
      <c r="L12566" s="629"/>
      <c r="M12566" s="629"/>
      <c r="N12566" s="629"/>
      <c r="O12566" s="629"/>
      <c r="P12566" s="629"/>
      <c r="Q12566" s="629"/>
      <c r="R12566" s="629"/>
    </row>
    <row r="12567" spans="1:18" ht="24">
      <c r="A12567" s="355">
        <v>138</v>
      </c>
      <c r="B12567" s="352" t="s">
        <v>22843</v>
      </c>
      <c r="C12567" s="356" t="s">
        <v>22844</v>
      </c>
      <c r="D12567" s="357">
        <v>1312.48</v>
      </c>
      <c r="E12567" s="357">
        <v>512.34</v>
      </c>
      <c r="F12567" s="357">
        <v>772.03</v>
      </c>
      <c r="G12567" s="357">
        <v>28.11</v>
      </c>
      <c r="H12567" s="358">
        <v>10391.02</v>
      </c>
      <c r="I12567" s="358">
        <v>5891.86</v>
      </c>
      <c r="J12567" s="358">
        <v>4278.95</v>
      </c>
      <c r="K12567" s="358">
        <v>220.21</v>
      </c>
      <c r="L12567" s="43">
        <v>7.9170882603925392</v>
      </c>
      <c r="M12567" s="43">
        <v>11.499902408556816</v>
      </c>
      <c r="N12567" s="43">
        <v>5.5424659663484581</v>
      </c>
      <c r="O12567" s="43">
        <v>7.8338669512628964</v>
      </c>
      <c r="P12567" s="359"/>
      <c r="Q12567" s="359"/>
      <c r="R12567" s="359">
        <v>4</v>
      </c>
    </row>
    <row r="12568" spans="1:18" ht="24">
      <c r="A12568" s="355">
        <v>139</v>
      </c>
      <c r="B12568" s="352" t="s">
        <v>22845</v>
      </c>
      <c r="C12568" s="356" t="s">
        <v>22846</v>
      </c>
      <c r="D12568" s="357">
        <v>1502.22</v>
      </c>
      <c r="E12568" s="357">
        <v>544.14</v>
      </c>
      <c r="F12568" s="357">
        <v>927.31</v>
      </c>
      <c r="G12568" s="357">
        <v>30.77</v>
      </c>
      <c r="H12568" s="358">
        <v>11614.84</v>
      </c>
      <c r="I12568" s="358">
        <v>6257.66</v>
      </c>
      <c r="J12568" s="358">
        <v>5121.88</v>
      </c>
      <c r="K12568" s="358">
        <v>235.3</v>
      </c>
      <c r="L12568" s="43">
        <v>7.7317836268988565</v>
      </c>
      <c r="M12568" s="43">
        <v>11.500091888117028</v>
      </c>
      <c r="N12568" s="43">
        <v>5.523374060454433</v>
      </c>
      <c r="O12568" s="43">
        <v>7.6470588235294121</v>
      </c>
      <c r="P12568" s="359"/>
      <c r="Q12568" s="359"/>
      <c r="R12568" s="359">
        <v>4</v>
      </c>
    </row>
    <row r="12569" spans="1:18" ht="24">
      <c r="A12569" s="355">
        <v>140</v>
      </c>
      <c r="B12569" s="352" t="s">
        <v>22847</v>
      </c>
      <c r="C12569" s="356" t="s">
        <v>22848</v>
      </c>
      <c r="D12569" s="357">
        <v>1788.95</v>
      </c>
      <c r="E12569" s="357">
        <v>814.64</v>
      </c>
      <c r="F12569" s="357">
        <v>941.13</v>
      </c>
      <c r="G12569" s="357">
        <v>33.18</v>
      </c>
      <c r="H12569" s="358">
        <v>14785.69</v>
      </c>
      <c r="I12569" s="358">
        <v>9368.73</v>
      </c>
      <c r="J12569" s="358">
        <v>5097.2</v>
      </c>
      <c r="K12569" s="358">
        <v>319.76</v>
      </c>
      <c r="L12569" s="43">
        <v>8.2650102015148548</v>
      </c>
      <c r="M12569" s="43">
        <v>11.500454188353137</v>
      </c>
      <c r="N12569" s="43">
        <v>5.416042417094344</v>
      </c>
      <c r="O12569" s="43">
        <v>9.6371308016877641</v>
      </c>
      <c r="P12569" s="359"/>
      <c r="Q12569" s="359"/>
      <c r="R12569" s="359">
        <v>4</v>
      </c>
    </row>
    <row r="12570" spans="1:18" ht="12.75" customHeight="1">
      <c r="A12570" s="628" t="s">
        <v>22849</v>
      </c>
      <c r="B12570" s="629"/>
      <c r="C12570" s="629"/>
      <c r="D12570" s="629"/>
      <c r="E12570" s="629"/>
      <c r="F12570" s="629"/>
      <c r="G12570" s="629"/>
      <c r="H12570" s="629"/>
      <c r="I12570" s="629"/>
      <c r="J12570" s="629"/>
      <c r="K12570" s="629"/>
      <c r="L12570" s="629"/>
      <c r="M12570" s="629"/>
      <c r="N12570" s="629"/>
      <c r="O12570" s="629"/>
      <c r="P12570" s="629"/>
      <c r="Q12570" s="629"/>
      <c r="R12570" s="629"/>
    </row>
    <row r="12571" spans="1:18" ht="12.75" customHeight="1">
      <c r="A12571" s="628" t="s">
        <v>22850</v>
      </c>
      <c r="B12571" s="629"/>
      <c r="C12571" s="629"/>
      <c r="D12571" s="629"/>
      <c r="E12571" s="629"/>
      <c r="F12571" s="629"/>
      <c r="G12571" s="629"/>
      <c r="H12571" s="629"/>
      <c r="I12571" s="629"/>
      <c r="J12571" s="629"/>
      <c r="K12571" s="629"/>
      <c r="L12571" s="629"/>
      <c r="M12571" s="629"/>
      <c r="N12571" s="629"/>
      <c r="O12571" s="629"/>
      <c r="P12571" s="629"/>
      <c r="Q12571" s="629"/>
      <c r="R12571" s="629"/>
    </row>
    <row r="12572" spans="1:18" ht="24">
      <c r="A12572" s="355">
        <v>141</v>
      </c>
      <c r="B12572" s="352" t="s">
        <v>22851</v>
      </c>
      <c r="C12572" s="356" t="s">
        <v>22852</v>
      </c>
      <c r="D12572" s="357">
        <v>10883.95</v>
      </c>
      <c r="E12572" s="357">
        <v>6790.59</v>
      </c>
      <c r="F12572" s="357">
        <v>2772.26</v>
      </c>
      <c r="G12572" s="357">
        <v>1321.1</v>
      </c>
      <c r="H12572" s="358">
        <v>98301.27</v>
      </c>
      <c r="I12572" s="358">
        <v>78094.740000000005</v>
      </c>
      <c r="J12572" s="358">
        <v>14981.48</v>
      </c>
      <c r="K12572" s="358">
        <v>5225.05</v>
      </c>
      <c r="L12572" s="43">
        <v>9.0317642032534149</v>
      </c>
      <c r="M12572" s="43">
        <v>11.500435161009573</v>
      </c>
      <c r="N12572" s="43">
        <v>5.4040674395619455</v>
      </c>
      <c r="O12572" s="43">
        <v>3.9550753160245256</v>
      </c>
      <c r="P12572" s="359"/>
      <c r="Q12572" s="359"/>
      <c r="R12572" s="359">
        <v>1</v>
      </c>
    </row>
    <row r="12573" spans="1:18" ht="36">
      <c r="A12573" s="355">
        <v>142</v>
      </c>
      <c r="B12573" s="352" t="s">
        <v>22853</v>
      </c>
      <c r="C12573" s="356" t="s">
        <v>22854</v>
      </c>
      <c r="D12573" s="357">
        <v>29577.34</v>
      </c>
      <c r="E12573" s="357">
        <v>12420.69</v>
      </c>
      <c r="F12573" s="357">
        <v>12087.14</v>
      </c>
      <c r="G12573" s="357">
        <v>5069.51</v>
      </c>
      <c r="H12573" s="358">
        <v>225112.22</v>
      </c>
      <c r="I12573" s="358">
        <v>142843.34</v>
      </c>
      <c r="J12573" s="358">
        <v>65188.5</v>
      </c>
      <c r="K12573" s="358">
        <v>17080.38</v>
      </c>
      <c r="L12573" s="43">
        <v>7.610969072945708</v>
      </c>
      <c r="M12573" s="43">
        <v>11.500435161009573</v>
      </c>
      <c r="N12573" s="43">
        <v>5.3932112972961352</v>
      </c>
      <c r="O12573" s="43">
        <v>3.3692368690465155</v>
      </c>
      <c r="P12573" s="359"/>
      <c r="Q12573" s="359"/>
      <c r="R12573" s="359">
        <v>1</v>
      </c>
    </row>
    <row r="12574" spans="1:18" ht="24">
      <c r="A12574" s="355">
        <v>143</v>
      </c>
      <c r="B12574" s="352" t="s">
        <v>22855</v>
      </c>
      <c r="C12574" s="356" t="s">
        <v>22856</v>
      </c>
      <c r="D12574" s="357">
        <v>5871.02</v>
      </c>
      <c r="E12574" s="357">
        <v>3780.21</v>
      </c>
      <c r="F12574" s="357">
        <v>1606.04</v>
      </c>
      <c r="G12574" s="357">
        <v>484.77</v>
      </c>
      <c r="H12574" s="358">
        <v>54250.53</v>
      </c>
      <c r="I12574" s="358">
        <v>43474.06</v>
      </c>
      <c r="J12574" s="358">
        <v>8665.25</v>
      </c>
      <c r="K12574" s="358">
        <v>2111.2199999999998</v>
      </c>
      <c r="L12574" s="43">
        <v>9.2403926404611116</v>
      </c>
      <c r="M12574" s="43">
        <v>11.500435161009573</v>
      </c>
      <c r="N12574" s="43">
        <v>5.3954135637966676</v>
      </c>
      <c r="O12574" s="43">
        <v>4.3550962312024257</v>
      </c>
      <c r="P12574" s="359"/>
      <c r="Q12574" s="359"/>
      <c r="R12574" s="359">
        <v>1</v>
      </c>
    </row>
    <row r="12575" spans="1:18" ht="12.75" customHeight="1">
      <c r="A12575" s="628" t="s">
        <v>22857</v>
      </c>
      <c r="B12575" s="629"/>
      <c r="C12575" s="629"/>
      <c r="D12575" s="629"/>
      <c r="E12575" s="629"/>
      <c r="F12575" s="629"/>
      <c r="G12575" s="629"/>
      <c r="H12575" s="629"/>
      <c r="I12575" s="629"/>
      <c r="J12575" s="629"/>
      <c r="K12575" s="629"/>
      <c r="L12575" s="629"/>
      <c r="M12575" s="629"/>
      <c r="N12575" s="629"/>
      <c r="O12575" s="629"/>
      <c r="P12575" s="629"/>
      <c r="Q12575" s="629"/>
      <c r="R12575" s="629"/>
    </row>
    <row r="12576" spans="1:18" ht="24">
      <c r="A12576" s="355">
        <v>144</v>
      </c>
      <c r="B12576" s="352" t="s">
        <v>22858</v>
      </c>
      <c r="C12576" s="356" t="s">
        <v>22859</v>
      </c>
      <c r="D12576" s="357">
        <v>16762.3</v>
      </c>
      <c r="E12576" s="357">
        <v>4215</v>
      </c>
      <c r="F12576" s="357">
        <v>9025.19</v>
      </c>
      <c r="G12576" s="357">
        <v>3522.11</v>
      </c>
      <c r="H12576" s="358">
        <v>107794.7</v>
      </c>
      <c r="I12576" s="358">
        <v>48472.5</v>
      </c>
      <c r="J12576" s="358">
        <v>48192.3</v>
      </c>
      <c r="K12576" s="358">
        <v>11129.9</v>
      </c>
      <c r="L12576" s="43">
        <v>6.4307821718976514</v>
      </c>
      <c r="M12576" s="43">
        <v>11.5</v>
      </c>
      <c r="N12576" s="43">
        <v>5.3397546201243413</v>
      </c>
      <c r="O12576" s="43">
        <v>3.1600091990312622</v>
      </c>
      <c r="P12576" s="359"/>
      <c r="Q12576" s="359"/>
      <c r="R12576" s="359">
        <v>2</v>
      </c>
    </row>
    <row r="12577" spans="1:18" ht="24">
      <c r="A12577" s="355">
        <v>145</v>
      </c>
      <c r="B12577" s="352" t="s">
        <v>22860</v>
      </c>
      <c r="C12577" s="356" t="s">
        <v>22861</v>
      </c>
      <c r="D12577" s="357">
        <v>17820.669999999998</v>
      </c>
      <c r="E12577" s="357">
        <v>4406.08</v>
      </c>
      <c r="F12577" s="357">
        <v>9631.92</v>
      </c>
      <c r="G12577" s="357">
        <v>3782.67</v>
      </c>
      <c r="H12577" s="358">
        <v>114029.82</v>
      </c>
      <c r="I12577" s="358">
        <v>50669.919999999998</v>
      </c>
      <c r="J12577" s="358">
        <v>51437.46</v>
      </c>
      <c r="K12577" s="358">
        <v>11922.44</v>
      </c>
      <c r="L12577" s="43">
        <v>6.3987392168756854</v>
      </c>
      <c r="M12577" s="43">
        <v>11.5</v>
      </c>
      <c r="N12577" s="43">
        <v>5.3403122118954478</v>
      </c>
      <c r="O12577" s="43">
        <v>3.1518583434452383</v>
      </c>
      <c r="P12577" s="359"/>
      <c r="Q12577" s="359"/>
      <c r="R12577" s="359">
        <v>2</v>
      </c>
    </row>
    <row r="12578" spans="1:18" ht="24">
      <c r="A12578" s="355">
        <v>146</v>
      </c>
      <c r="B12578" s="352" t="s">
        <v>22862</v>
      </c>
      <c r="C12578" s="356" t="s">
        <v>22863</v>
      </c>
      <c r="D12578" s="357">
        <v>32720.43</v>
      </c>
      <c r="E12578" s="357">
        <v>5664.96</v>
      </c>
      <c r="F12578" s="357">
        <v>20972.33</v>
      </c>
      <c r="G12578" s="357">
        <v>6083.14</v>
      </c>
      <c r="H12578" s="358">
        <v>195412.56</v>
      </c>
      <c r="I12578" s="358">
        <v>65147.040000000001</v>
      </c>
      <c r="J12578" s="358">
        <v>111716.53</v>
      </c>
      <c r="K12578" s="358">
        <v>18548.990000000002</v>
      </c>
      <c r="L12578" s="43">
        <v>5.9721880183114955</v>
      </c>
      <c r="M12578" s="43">
        <v>11.5</v>
      </c>
      <c r="N12578" s="43">
        <v>5.3268535255739344</v>
      </c>
      <c r="O12578" s="43">
        <v>3.0492459486383678</v>
      </c>
      <c r="P12578" s="359"/>
      <c r="Q12578" s="359"/>
      <c r="R12578" s="359">
        <v>2</v>
      </c>
    </row>
    <row r="12579" spans="1:18" ht="24">
      <c r="A12579" s="355">
        <v>147</v>
      </c>
      <c r="B12579" s="352" t="s">
        <v>22864</v>
      </c>
      <c r="C12579" s="356" t="s">
        <v>22865</v>
      </c>
      <c r="D12579" s="357">
        <v>76130.399999999994</v>
      </c>
      <c r="E12579" s="357">
        <v>9452.84</v>
      </c>
      <c r="F12579" s="357">
        <v>51884.09</v>
      </c>
      <c r="G12579" s="357">
        <v>14793.47</v>
      </c>
      <c r="H12579" s="358">
        <v>433855.49</v>
      </c>
      <c r="I12579" s="358">
        <v>108707.66</v>
      </c>
      <c r="J12579" s="358">
        <v>281863.71000000002</v>
      </c>
      <c r="K12579" s="358">
        <v>43284.12</v>
      </c>
      <c r="L12579" s="43">
        <v>5.6988468469888511</v>
      </c>
      <c r="M12579" s="43">
        <v>11.5</v>
      </c>
      <c r="N12579" s="43">
        <v>5.4325653586677545</v>
      </c>
      <c r="O12579" s="43">
        <v>2.9258936544299616</v>
      </c>
      <c r="P12579" s="359"/>
      <c r="Q12579" s="359"/>
      <c r="R12579" s="359">
        <v>2</v>
      </c>
    </row>
    <row r="12580" spans="1:18" ht="24">
      <c r="A12580" s="355">
        <v>148</v>
      </c>
      <c r="B12580" s="352" t="s">
        <v>22866</v>
      </c>
      <c r="C12580" s="356" t="s">
        <v>22867</v>
      </c>
      <c r="D12580" s="357">
        <v>15834.45</v>
      </c>
      <c r="E12580" s="357">
        <v>4372.3599999999997</v>
      </c>
      <c r="F12580" s="357">
        <v>8400.99</v>
      </c>
      <c r="G12580" s="357">
        <v>3061.1</v>
      </c>
      <c r="H12580" s="358">
        <v>104939.19</v>
      </c>
      <c r="I12580" s="358">
        <v>50282.14</v>
      </c>
      <c r="J12580" s="358">
        <v>44992.11</v>
      </c>
      <c r="K12580" s="358">
        <v>9664.94</v>
      </c>
      <c r="L12580" s="43">
        <v>6.6272709187878327</v>
      </c>
      <c r="M12580" s="43">
        <v>11.5</v>
      </c>
      <c r="N12580" s="43">
        <v>5.3555723789696215</v>
      </c>
      <c r="O12580" s="43">
        <v>3.1573421319133645</v>
      </c>
      <c r="P12580" s="359"/>
      <c r="Q12580" s="359"/>
      <c r="R12580" s="359">
        <v>2</v>
      </c>
    </row>
    <row r="12581" spans="1:18" ht="24">
      <c r="A12581" s="355">
        <v>149</v>
      </c>
      <c r="B12581" s="352" t="s">
        <v>22868</v>
      </c>
      <c r="C12581" s="356" t="s">
        <v>22869</v>
      </c>
      <c r="D12581" s="357">
        <v>16953.240000000002</v>
      </c>
      <c r="E12581" s="357">
        <v>4585.92</v>
      </c>
      <c r="F12581" s="357">
        <v>9023.84</v>
      </c>
      <c r="G12581" s="357">
        <v>3343.48</v>
      </c>
      <c r="H12581" s="358">
        <v>111598.27</v>
      </c>
      <c r="I12581" s="358">
        <v>52738.080000000002</v>
      </c>
      <c r="J12581" s="358">
        <v>48338.57</v>
      </c>
      <c r="K12581" s="358">
        <v>10521.62</v>
      </c>
      <c r="L12581" s="43">
        <v>6.5827104435494332</v>
      </c>
      <c r="M12581" s="43">
        <v>11.5</v>
      </c>
      <c r="N12581" s="43">
        <v>5.3567627528856896</v>
      </c>
      <c r="O12581" s="43">
        <v>3.1469068156531521</v>
      </c>
      <c r="P12581" s="359"/>
      <c r="Q12581" s="359"/>
      <c r="R12581" s="359">
        <v>2</v>
      </c>
    </row>
    <row r="12582" spans="1:18" ht="24">
      <c r="A12582" s="355">
        <v>150</v>
      </c>
      <c r="B12582" s="352" t="s">
        <v>22870</v>
      </c>
      <c r="C12582" s="356" t="s">
        <v>22871</v>
      </c>
      <c r="D12582" s="357">
        <v>29030.959999999999</v>
      </c>
      <c r="E12582" s="357">
        <v>5114.2</v>
      </c>
      <c r="F12582" s="357">
        <v>18883.46</v>
      </c>
      <c r="G12582" s="357">
        <v>5033.3</v>
      </c>
      <c r="H12582" s="358">
        <v>175303.7</v>
      </c>
      <c r="I12582" s="358">
        <v>58813.3</v>
      </c>
      <c r="J12582" s="358">
        <v>101140.59</v>
      </c>
      <c r="K12582" s="358">
        <v>15349.81</v>
      </c>
      <c r="L12582" s="43">
        <v>6.0385085439820116</v>
      </c>
      <c r="M12582" s="43">
        <v>11.500000000000002</v>
      </c>
      <c r="N12582" s="43">
        <v>5.3560412127862165</v>
      </c>
      <c r="O12582" s="43">
        <v>3.0496513221941863</v>
      </c>
      <c r="P12582" s="359"/>
      <c r="Q12582" s="359"/>
      <c r="R12582" s="359">
        <v>2</v>
      </c>
    </row>
    <row r="12583" spans="1:18" ht="24">
      <c r="A12583" s="355">
        <v>151</v>
      </c>
      <c r="B12583" s="352" t="s">
        <v>22872</v>
      </c>
      <c r="C12583" s="356" t="s">
        <v>22873</v>
      </c>
      <c r="D12583" s="357">
        <v>51102.51</v>
      </c>
      <c r="E12583" s="357">
        <v>8036.6</v>
      </c>
      <c r="F12583" s="357">
        <v>30237.22</v>
      </c>
      <c r="G12583" s="357">
        <v>12828.69</v>
      </c>
      <c r="H12583" s="358">
        <v>292256.81</v>
      </c>
      <c r="I12583" s="358">
        <v>92420.9</v>
      </c>
      <c r="J12583" s="358">
        <v>162426.67000000001</v>
      </c>
      <c r="K12583" s="358">
        <v>37409.24</v>
      </c>
      <c r="L12583" s="43">
        <v>5.7190304350999588</v>
      </c>
      <c r="M12583" s="43">
        <v>11.499999999999998</v>
      </c>
      <c r="N12583" s="43">
        <v>5.3717461459750604</v>
      </c>
      <c r="O12583" s="43">
        <v>2.9160607981017543</v>
      </c>
      <c r="P12583" s="359"/>
      <c r="Q12583" s="359"/>
      <c r="R12583" s="359">
        <v>2</v>
      </c>
    </row>
    <row r="12584" spans="1:18" ht="12.75" customHeight="1">
      <c r="A12584" s="628" t="s">
        <v>22874</v>
      </c>
      <c r="B12584" s="629"/>
      <c r="C12584" s="629"/>
      <c r="D12584" s="629"/>
      <c r="E12584" s="629"/>
      <c r="F12584" s="629"/>
      <c r="G12584" s="629"/>
      <c r="H12584" s="629"/>
      <c r="I12584" s="629"/>
      <c r="J12584" s="629"/>
      <c r="K12584" s="629"/>
      <c r="L12584" s="629"/>
      <c r="M12584" s="629"/>
      <c r="N12584" s="629"/>
      <c r="O12584" s="629"/>
      <c r="P12584" s="629"/>
      <c r="Q12584" s="629"/>
      <c r="R12584" s="629"/>
    </row>
    <row r="12585" spans="1:18" ht="24">
      <c r="A12585" s="355">
        <v>152</v>
      </c>
      <c r="B12585" s="352" t="s">
        <v>22875</v>
      </c>
      <c r="C12585" s="356" t="s">
        <v>22876</v>
      </c>
      <c r="D12585" s="357">
        <v>3692.55</v>
      </c>
      <c r="E12585" s="357">
        <v>1642.8</v>
      </c>
      <c r="F12585" s="357">
        <v>1367.51</v>
      </c>
      <c r="G12585" s="357">
        <v>682.24</v>
      </c>
      <c r="H12585" s="358">
        <v>29053.63</v>
      </c>
      <c r="I12585" s="358">
        <v>18892.2</v>
      </c>
      <c r="J12585" s="358">
        <v>7363.68</v>
      </c>
      <c r="K12585" s="358">
        <v>2797.75</v>
      </c>
      <c r="L12585" s="43">
        <v>7.8681751093417827</v>
      </c>
      <c r="M12585" s="43">
        <v>11.5</v>
      </c>
      <c r="N12585" s="43">
        <v>5.3847357606160102</v>
      </c>
      <c r="O12585" s="43">
        <v>4.1008296200750465</v>
      </c>
      <c r="P12585" s="359"/>
      <c r="Q12585" s="359"/>
      <c r="R12585" s="359">
        <v>3</v>
      </c>
    </row>
    <row r="12586" spans="1:18" ht="24">
      <c r="A12586" s="355">
        <v>153</v>
      </c>
      <c r="B12586" s="352" t="s">
        <v>22877</v>
      </c>
      <c r="C12586" s="356" t="s">
        <v>22878</v>
      </c>
      <c r="D12586" s="357">
        <v>4945</v>
      </c>
      <c r="E12586" s="357">
        <v>1753.8</v>
      </c>
      <c r="F12586" s="357">
        <v>1789.74</v>
      </c>
      <c r="G12586" s="357">
        <v>1401.46</v>
      </c>
      <c r="H12586" s="358">
        <v>35361.97</v>
      </c>
      <c r="I12586" s="358">
        <v>20168.7</v>
      </c>
      <c r="J12586" s="358">
        <v>9720.99</v>
      </c>
      <c r="K12586" s="358">
        <v>5472.28</v>
      </c>
      <c r="L12586" s="43">
        <v>7.1510556117290198</v>
      </c>
      <c r="M12586" s="43">
        <v>11.5</v>
      </c>
      <c r="N12586" s="43">
        <v>5.4315096047470579</v>
      </c>
      <c r="O12586" s="43">
        <v>3.904699384927147</v>
      </c>
      <c r="P12586" s="359"/>
      <c r="Q12586" s="359"/>
      <c r="R12586" s="359">
        <v>3</v>
      </c>
    </row>
    <row r="12587" spans="1:18" ht="24">
      <c r="A12587" s="355">
        <v>154</v>
      </c>
      <c r="B12587" s="352" t="s">
        <v>22879</v>
      </c>
      <c r="C12587" s="356" t="s">
        <v>22880</v>
      </c>
      <c r="D12587" s="357">
        <v>2345.7399999999998</v>
      </c>
      <c r="E12587" s="357">
        <v>984.57</v>
      </c>
      <c r="F12587" s="357">
        <v>837.54</v>
      </c>
      <c r="G12587" s="357">
        <v>523.63</v>
      </c>
      <c r="H12587" s="358">
        <v>17940.02</v>
      </c>
      <c r="I12587" s="358">
        <v>11322.56</v>
      </c>
      <c r="J12587" s="358">
        <v>4518.84</v>
      </c>
      <c r="K12587" s="358">
        <v>2098.62</v>
      </c>
      <c r="L12587" s="43">
        <v>7.6479149436851497</v>
      </c>
      <c r="M12587" s="43">
        <v>11.500005078359079</v>
      </c>
      <c r="N12587" s="43">
        <v>5.3953721613296084</v>
      </c>
      <c r="O12587" s="43">
        <v>4.0078299562668294</v>
      </c>
      <c r="P12587" s="359"/>
      <c r="Q12587" s="359"/>
      <c r="R12587" s="359">
        <v>3</v>
      </c>
    </row>
    <row r="12588" spans="1:18" ht="24">
      <c r="A12588" s="355">
        <v>155</v>
      </c>
      <c r="B12588" s="352" t="s">
        <v>22881</v>
      </c>
      <c r="C12588" s="356" t="s">
        <v>22882</v>
      </c>
      <c r="D12588" s="357">
        <v>2046.77</v>
      </c>
      <c r="E12588" s="357">
        <v>648.24</v>
      </c>
      <c r="F12588" s="357">
        <v>679.7</v>
      </c>
      <c r="G12588" s="357">
        <v>718.83</v>
      </c>
      <c r="H12588" s="358">
        <v>13881.79</v>
      </c>
      <c r="I12588" s="358">
        <v>7454.76</v>
      </c>
      <c r="J12588" s="358">
        <v>3662.77</v>
      </c>
      <c r="K12588" s="358">
        <v>2764.26</v>
      </c>
      <c r="L12588" s="43">
        <v>6.7822911221094708</v>
      </c>
      <c r="M12588" s="43">
        <v>11.5</v>
      </c>
      <c r="N12588" s="43">
        <v>5.3888038840664994</v>
      </c>
      <c r="O12588" s="43">
        <v>3.8454989357706273</v>
      </c>
      <c r="P12588" s="359"/>
      <c r="Q12588" s="359"/>
      <c r="R12588" s="359">
        <v>3</v>
      </c>
    </row>
    <row r="12589" spans="1:18" ht="12.75" customHeight="1">
      <c r="A12589" s="628" t="s">
        <v>19144</v>
      </c>
      <c r="B12589" s="629"/>
      <c r="C12589" s="629"/>
      <c r="D12589" s="629"/>
      <c r="E12589" s="629"/>
      <c r="F12589" s="629"/>
      <c r="G12589" s="629"/>
      <c r="H12589" s="629"/>
      <c r="I12589" s="629"/>
      <c r="J12589" s="629"/>
      <c r="K12589" s="629"/>
      <c r="L12589" s="629"/>
      <c r="M12589" s="629"/>
      <c r="N12589" s="629"/>
      <c r="O12589" s="629"/>
      <c r="P12589" s="629"/>
      <c r="Q12589" s="629"/>
      <c r="R12589" s="629"/>
    </row>
    <row r="12590" spans="1:18" ht="24">
      <c r="A12590" s="355">
        <v>156</v>
      </c>
      <c r="B12590" s="352" t="s">
        <v>22883</v>
      </c>
      <c r="C12590" s="356" t="s">
        <v>22884</v>
      </c>
      <c r="D12590" s="357">
        <v>1199.5</v>
      </c>
      <c r="E12590" s="357">
        <v>727.04</v>
      </c>
      <c r="F12590" s="357">
        <v>294.35000000000002</v>
      </c>
      <c r="G12590" s="357">
        <v>178.11</v>
      </c>
      <c r="H12590" s="358">
        <v>11177.89</v>
      </c>
      <c r="I12590" s="358">
        <v>8360.9599999999991</v>
      </c>
      <c r="J12590" s="358">
        <v>1569.62</v>
      </c>
      <c r="K12590" s="358">
        <v>1247.31</v>
      </c>
      <c r="L12590" s="43">
        <v>9.3187911629845761</v>
      </c>
      <c r="M12590" s="43">
        <v>11.5</v>
      </c>
      <c r="N12590" s="43">
        <v>5.3324953286903343</v>
      </c>
      <c r="O12590" s="43">
        <v>7.0030318342597262</v>
      </c>
      <c r="P12590" s="359"/>
      <c r="Q12590" s="359"/>
      <c r="R12590" s="359">
        <v>4</v>
      </c>
    </row>
    <row r="12591" spans="1:18" ht="24">
      <c r="A12591" s="355">
        <v>157</v>
      </c>
      <c r="B12591" s="352" t="s">
        <v>22885</v>
      </c>
      <c r="C12591" s="356" t="s">
        <v>22886</v>
      </c>
      <c r="D12591" s="357">
        <v>1800.64</v>
      </c>
      <c r="E12591" s="357">
        <v>981.5</v>
      </c>
      <c r="F12591" s="357">
        <v>538.17999999999995</v>
      </c>
      <c r="G12591" s="357">
        <v>280.95999999999998</v>
      </c>
      <c r="H12591" s="358">
        <v>16113.45</v>
      </c>
      <c r="I12591" s="358">
        <v>11287.3</v>
      </c>
      <c r="J12591" s="358">
        <v>2876.42</v>
      </c>
      <c r="K12591" s="358">
        <v>1949.73</v>
      </c>
      <c r="L12591" s="43">
        <v>8.9487348942598182</v>
      </c>
      <c r="M12591" s="43">
        <v>11.500050942435047</v>
      </c>
      <c r="N12591" s="43">
        <v>5.3447173808019626</v>
      </c>
      <c r="O12591" s="43">
        <v>6.9395287585421421</v>
      </c>
      <c r="P12591" s="359"/>
      <c r="Q12591" s="359"/>
      <c r="R12591" s="359">
        <v>4</v>
      </c>
    </row>
    <row r="12592" spans="1:18" ht="36">
      <c r="A12592" s="355">
        <v>158</v>
      </c>
      <c r="B12592" s="352" t="s">
        <v>22887</v>
      </c>
      <c r="C12592" s="356" t="s">
        <v>22888</v>
      </c>
      <c r="D12592" s="357">
        <v>821.58</v>
      </c>
      <c r="E12592" s="357">
        <v>561.17999999999995</v>
      </c>
      <c r="F12592" s="357">
        <v>151.43</v>
      </c>
      <c r="G12592" s="357">
        <v>108.97</v>
      </c>
      <c r="H12592" s="358">
        <v>8031.07</v>
      </c>
      <c r="I12592" s="358">
        <v>6453.62</v>
      </c>
      <c r="J12592" s="358">
        <v>804.54</v>
      </c>
      <c r="K12592" s="358">
        <v>772.91</v>
      </c>
      <c r="L12592" s="43">
        <v>9.7751527544487438</v>
      </c>
      <c r="M12592" s="43">
        <v>11.500089097972131</v>
      </c>
      <c r="N12592" s="43">
        <v>5.3129498778313407</v>
      </c>
      <c r="O12592" s="43">
        <v>7.0928695971368265</v>
      </c>
      <c r="P12592" s="359"/>
      <c r="Q12592" s="359"/>
      <c r="R12592" s="359">
        <v>4</v>
      </c>
    </row>
    <row r="12593" spans="1:18" ht="36">
      <c r="A12593" s="355">
        <v>159</v>
      </c>
      <c r="B12593" s="352" t="s">
        <v>22889</v>
      </c>
      <c r="C12593" s="356" t="s">
        <v>22890</v>
      </c>
      <c r="D12593" s="357">
        <v>997.2</v>
      </c>
      <c r="E12593" s="357">
        <v>637.29999999999995</v>
      </c>
      <c r="F12593" s="357">
        <v>217.55</v>
      </c>
      <c r="G12593" s="357">
        <v>142.35</v>
      </c>
      <c r="H12593" s="358">
        <v>9488.44</v>
      </c>
      <c r="I12593" s="358">
        <v>7328.9</v>
      </c>
      <c r="J12593" s="358">
        <v>1158.3399999999999</v>
      </c>
      <c r="K12593" s="358">
        <v>1001.2</v>
      </c>
      <c r="L12593" s="43">
        <v>9.5150822302446851</v>
      </c>
      <c r="M12593" s="43">
        <v>11.499921544013809</v>
      </c>
      <c r="N12593" s="43">
        <v>5.3244771316938628</v>
      </c>
      <c r="O12593" s="43">
        <v>7.0333684580259925</v>
      </c>
      <c r="P12593" s="359"/>
      <c r="Q12593" s="359"/>
      <c r="R12593" s="359">
        <v>4</v>
      </c>
    </row>
    <row r="12594" spans="1:18" ht="36">
      <c r="A12594" s="355">
        <v>160</v>
      </c>
      <c r="B12594" s="352" t="s">
        <v>22891</v>
      </c>
      <c r="C12594" s="356" t="s">
        <v>22892</v>
      </c>
      <c r="D12594" s="357">
        <v>1036.72</v>
      </c>
      <c r="E12594" s="357">
        <v>649.79</v>
      </c>
      <c r="F12594" s="357">
        <v>243.31</v>
      </c>
      <c r="G12594" s="357">
        <v>143.62</v>
      </c>
      <c r="H12594" s="358">
        <v>9783.7099999999991</v>
      </c>
      <c r="I12594" s="358">
        <v>7472.61</v>
      </c>
      <c r="J12594" s="358">
        <v>1298.0899999999999</v>
      </c>
      <c r="K12594" s="358">
        <v>1013.01</v>
      </c>
      <c r="L12594" s="43">
        <v>9.4371768654988806</v>
      </c>
      <c r="M12594" s="43">
        <v>11.500038473968512</v>
      </c>
      <c r="N12594" s="43">
        <v>5.3351280259750933</v>
      </c>
      <c r="O12594" s="43">
        <v>7.0534048182704359</v>
      </c>
      <c r="P12594" s="359"/>
      <c r="Q12594" s="359"/>
      <c r="R12594" s="359">
        <v>4</v>
      </c>
    </row>
    <row r="12595" spans="1:18" ht="36">
      <c r="A12595" s="355">
        <v>161</v>
      </c>
      <c r="B12595" s="352" t="s">
        <v>22893</v>
      </c>
      <c r="C12595" s="356" t="s">
        <v>22894</v>
      </c>
      <c r="D12595" s="357">
        <v>1609.52</v>
      </c>
      <c r="E12595" s="357">
        <v>931.52</v>
      </c>
      <c r="F12595" s="357">
        <v>462.84</v>
      </c>
      <c r="G12595" s="357">
        <v>215.16</v>
      </c>
      <c r="H12595" s="358">
        <v>14700.61</v>
      </c>
      <c r="I12595" s="358">
        <v>10712.48</v>
      </c>
      <c r="J12595" s="358">
        <v>2477.1799999999998</v>
      </c>
      <c r="K12595" s="358">
        <v>1510.95</v>
      </c>
      <c r="L12595" s="43">
        <v>9.1335367065957556</v>
      </c>
      <c r="M12595" s="43">
        <v>11.5</v>
      </c>
      <c r="N12595" s="43">
        <v>5.3521303258145361</v>
      </c>
      <c r="O12595" s="43">
        <v>7.0224484104852207</v>
      </c>
      <c r="P12595" s="359"/>
      <c r="Q12595" s="359"/>
      <c r="R12595" s="359">
        <v>4</v>
      </c>
    </row>
    <row r="12596" spans="1:18" ht="12.75" customHeight="1">
      <c r="A12596" s="628" t="s">
        <v>22895</v>
      </c>
      <c r="B12596" s="629"/>
      <c r="C12596" s="629"/>
      <c r="D12596" s="629"/>
      <c r="E12596" s="629"/>
      <c r="F12596" s="629"/>
      <c r="G12596" s="629"/>
      <c r="H12596" s="629"/>
      <c r="I12596" s="629"/>
      <c r="J12596" s="629"/>
      <c r="K12596" s="629"/>
      <c r="L12596" s="629"/>
      <c r="M12596" s="629"/>
      <c r="N12596" s="629"/>
      <c r="O12596" s="629"/>
      <c r="P12596" s="629"/>
      <c r="Q12596" s="629"/>
      <c r="R12596" s="629"/>
    </row>
    <row r="12597" spans="1:18" ht="12.75" customHeight="1">
      <c r="A12597" s="628" t="s">
        <v>22896</v>
      </c>
      <c r="B12597" s="629"/>
      <c r="C12597" s="629"/>
      <c r="D12597" s="629"/>
      <c r="E12597" s="629"/>
      <c r="F12597" s="629"/>
      <c r="G12597" s="629"/>
      <c r="H12597" s="629"/>
      <c r="I12597" s="629"/>
      <c r="J12597" s="629"/>
      <c r="K12597" s="629"/>
      <c r="L12597" s="629"/>
      <c r="M12597" s="629"/>
      <c r="N12597" s="629"/>
      <c r="O12597" s="629"/>
      <c r="P12597" s="629"/>
      <c r="Q12597" s="629"/>
      <c r="R12597" s="629"/>
    </row>
    <row r="12598" spans="1:18" ht="24">
      <c r="A12598" s="355">
        <v>162</v>
      </c>
      <c r="B12598" s="352" t="s">
        <v>22897</v>
      </c>
      <c r="C12598" s="356" t="s">
        <v>22898</v>
      </c>
      <c r="D12598" s="357">
        <v>5652.15</v>
      </c>
      <c r="E12598" s="357">
        <v>2225.52</v>
      </c>
      <c r="F12598" s="357">
        <v>2628.69</v>
      </c>
      <c r="G12598" s="357">
        <v>797.94</v>
      </c>
      <c r="H12598" s="358">
        <v>46492.12</v>
      </c>
      <c r="I12598" s="358">
        <v>25593.48</v>
      </c>
      <c r="J12598" s="358">
        <v>14703.42</v>
      </c>
      <c r="K12598" s="358">
        <v>6195.22</v>
      </c>
      <c r="L12598" s="43">
        <v>8.2255637235388317</v>
      </c>
      <c r="M12598" s="43">
        <v>11.5</v>
      </c>
      <c r="N12598" s="43">
        <v>5.5934400785181975</v>
      </c>
      <c r="O12598" s="43">
        <v>7.7640173446625056</v>
      </c>
      <c r="P12598" s="359"/>
      <c r="Q12598" s="359"/>
      <c r="R12598" s="359">
        <v>1</v>
      </c>
    </row>
    <row r="12599" spans="1:18" ht="24">
      <c r="A12599" s="355">
        <v>163</v>
      </c>
      <c r="B12599" s="352" t="s">
        <v>22899</v>
      </c>
      <c r="C12599" s="356" t="s">
        <v>22900</v>
      </c>
      <c r="D12599" s="357">
        <v>32609.71</v>
      </c>
      <c r="E12599" s="357">
        <v>10576.84</v>
      </c>
      <c r="F12599" s="357">
        <v>13467.82</v>
      </c>
      <c r="G12599" s="357">
        <v>8565.0499999999993</v>
      </c>
      <c r="H12599" s="358">
        <v>224699.76</v>
      </c>
      <c r="I12599" s="358">
        <v>121633.66</v>
      </c>
      <c r="J12599" s="358">
        <v>74379.16</v>
      </c>
      <c r="K12599" s="358">
        <v>28686.94</v>
      </c>
      <c r="L12599" s="43">
        <v>6.8905782970777727</v>
      </c>
      <c r="M12599" s="43">
        <v>11.5</v>
      </c>
      <c r="N12599" s="43">
        <v>5.5227319640446639</v>
      </c>
      <c r="O12599" s="43">
        <v>3.3493021056502883</v>
      </c>
      <c r="P12599" s="359"/>
      <c r="Q12599" s="359"/>
      <c r="R12599" s="359">
        <v>1</v>
      </c>
    </row>
    <row r="12600" spans="1:18" ht="36">
      <c r="A12600" s="355">
        <v>164</v>
      </c>
      <c r="B12600" s="352" t="s">
        <v>22901</v>
      </c>
      <c r="C12600" s="356" t="s">
        <v>22902</v>
      </c>
      <c r="D12600" s="357">
        <v>1685.92</v>
      </c>
      <c r="E12600" s="357">
        <v>1018.34</v>
      </c>
      <c r="F12600" s="357">
        <v>307.25</v>
      </c>
      <c r="G12600" s="357">
        <v>360.33</v>
      </c>
      <c r="H12600" s="358">
        <v>14663.04</v>
      </c>
      <c r="I12600" s="358">
        <v>11710.96</v>
      </c>
      <c r="J12600" s="358">
        <v>1697.61</v>
      </c>
      <c r="K12600" s="358">
        <v>1254.47</v>
      </c>
      <c r="L12600" s="43">
        <v>8.697352187529658</v>
      </c>
      <c r="M12600" s="43">
        <v>11.500049099514895</v>
      </c>
      <c r="N12600" s="43">
        <v>5.525174938974776</v>
      </c>
      <c r="O12600" s="43">
        <v>3.4814475619570953</v>
      </c>
      <c r="P12600" s="359"/>
      <c r="Q12600" s="359"/>
      <c r="R12600" s="359">
        <v>1</v>
      </c>
    </row>
    <row r="12601" spans="1:18" ht="36">
      <c r="A12601" s="355">
        <v>165</v>
      </c>
      <c r="B12601" s="352" t="s">
        <v>22903</v>
      </c>
      <c r="C12601" s="356" t="s">
        <v>22904</v>
      </c>
      <c r="D12601" s="357">
        <v>11321.36</v>
      </c>
      <c r="E12601" s="357">
        <v>3439.44</v>
      </c>
      <c r="F12601" s="357">
        <v>4586.91</v>
      </c>
      <c r="G12601" s="357">
        <v>3295.01</v>
      </c>
      <c r="H12601" s="358">
        <v>75436.929999999993</v>
      </c>
      <c r="I12601" s="358">
        <v>39553.56</v>
      </c>
      <c r="J12601" s="358">
        <v>25246.080000000002</v>
      </c>
      <c r="K12601" s="358">
        <v>10637.29</v>
      </c>
      <c r="L12601" s="43">
        <v>6.6632392221429217</v>
      </c>
      <c r="M12601" s="43">
        <v>11.5</v>
      </c>
      <c r="N12601" s="43">
        <v>5.5039405612928967</v>
      </c>
      <c r="O12601" s="43">
        <v>3.2283027972600995</v>
      </c>
      <c r="P12601" s="359"/>
      <c r="Q12601" s="359"/>
      <c r="R12601" s="359">
        <v>1</v>
      </c>
    </row>
    <row r="12602" spans="1:18" ht="36">
      <c r="A12602" s="355">
        <v>166</v>
      </c>
      <c r="B12602" s="352" t="s">
        <v>22905</v>
      </c>
      <c r="C12602" s="356" t="s">
        <v>22906</v>
      </c>
      <c r="D12602" s="357">
        <v>1626.98</v>
      </c>
      <c r="E12602" s="357">
        <v>962.14</v>
      </c>
      <c r="F12602" s="357">
        <v>276.60000000000002</v>
      </c>
      <c r="G12602" s="357">
        <v>388.24</v>
      </c>
      <c r="H12602" s="358">
        <v>14444.34</v>
      </c>
      <c r="I12602" s="358">
        <v>11064.66</v>
      </c>
      <c r="J12602" s="358">
        <v>1498.59</v>
      </c>
      <c r="K12602" s="358">
        <v>1881.09</v>
      </c>
      <c r="L12602" s="43">
        <v>8.8780071051887539</v>
      </c>
      <c r="M12602" s="43">
        <v>11.500051967489139</v>
      </c>
      <c r="N12602" s="43">
        <v>5.4178958785249449</v>
      </c>
      <c r="O12602" s="43">
        <v>4.8451730888110447</v>
      </c>
      <c r="P12602" s="359"/>
      <c r="Q12602" s="359"/>
      <c r="R12602" s="359">
        <v>1</v>
      </c>
    </row>
    <row r="12603" spans="1:18" ht="36">
      <c r="A12603" s="355">
        <v>167</v>
      </c>
      <c r="B12603" s="352" t="s">
        <v>22907</v>
      </c>
      <c r="C12603" s="356" t="s">
        <v>22908</v>
      </c>
      <c r="D12603" s="357">
        <v>3032.57</v>
      </c>
      <c r="E12603" s="357">
        <v>1348.8</v>
      </c>
      <c r="F12603" s="357">
        <v>799.69</v>
      </c>
      <c r="G12603" s="357">
        <v>884.08</v>
      </c>
      <c r="H12603" s="358">
        <v>22990.31</v>
      </c>
      <c r="I12603" s="358">
        <v>15511.2</v>
      </c>
      <c r="J12603" s="358">
        <v>4413.79</v>
      </c>
      <c r="K12603" s="358">
        <v>3065.32</v>
      </c>
      <c r="L12603" s="43">
        <v>7.5811308560066211</v>
      </c>
      <c r="M12603" s="43">
        <v>11.500000000000002</v>
      </c>
      <c r="N12603" s="43">
        <v>5.5193762583000909</v>
      </c>
      <c r="O12603" s="43">
        <v>3.4672427834585107</v>
      </c>
      <c r="P12603" s="359"/>
      <c r="Q12603" s="359"/>
      <c r="R12603" s="359">
        <v>1</v>
      </c>
    </row>
    <row r="12604" spans="1:18" ht="36">
      <c r="A12604" s="355">
        <v>168</v>
      </c>
      <c r="B12604" s="352" t="s">
        <v>22909</v>
      </c>
      <c r="C12604" s="356" t="s">
        <v>22910</v>
      </c>
      <c r="D12604" s="357">
        <v>3283.66</v>
      </c>
      <c r="E12604" s="357">
        <v>1382.52</v>
      </c>
      <c r="F12604" s="357">
        <v>973.86</v>
      </c>
      <c r="G12604" s="357">
        <v>927.28</v>
      </c>
      <c r="H12604" s="358">
        <v>24491.46</v>
      </c>
      <c r="I12604" s="358">
        <v>15898.98</v>
      </c>
      <c r="J12604" s="358">
        <v>5446.39</v>
      </c>
      <c r="K12604" s="358">
        <v>3146.09</v>
      </c>
      <c r="L12604" s="43">
        <v>7.4585858462812835</v>
      </c>
      <c r="M12604" s="43">
        <v>11.5</v>
      </c>
      <c r="N12604" s="43">
        <v>5.592580042305876</v>
      </c>
      <c r="O12604" s="43">
        <v>3.3928155465447332</v>
      </c>
      <c r="P12604" s="359"/>
      <c r="Q12604" s="359"/>
      <c r="R12604" s="359">
        <v>1</v>
      </c>
    </row>
    <row r="12605" spans="1:18" ht="36">
      <c r="A12605" s="355">
        <v>169</v>
      </c>
      <c r="B12605" s="352" t="s">
        <v>22911</v>
      </c>
      <c r="C12605" s="356" t="s">
        <v>22912</v>
      </c>
      <c r="D12605" s="357">
        <v>2357.6</v>
      </c>
      <c r="E12605" s="357">
        <v>1202.68</v>
      </c>
      <c r="F12605" s="357">
        <v>520.76</v>
      </c>
      <c r="G12605" s="357">
        <v>634.16</v>
      </c>
      <c r="H12605" s="358">
        <v>18984.87</v>
      </c>
      <c r="I12605" s="358">
        <v>13830.82</v>
      </c>
      <c r="J12605" s="358">
        <v>2841.21</v>
      </c>
      <c r="K12605" s="358">
        <v>2312.84</v>
      </c>
      <c r="L12605" s="43">
        <v>8.0526255514082123</v>
      </c>
      <c r="M12605" s="43">
        <v>11.5</v>
      </c>
      <c r="N12605" s="43">
        <v>5.4558913895076424</v>
      </c>
      <c r="O12605" s="43">
        <v>3.6470922164753379</v>
      </c>
      <c r="P12605" s="359"/>
      <c r="Q12605" s="359"/>
      <c r="R12605" s="359">
        <v>1</v>
      </c>
    </row>
    <row r="12606" spans="1:18" ht="36">
      <c r="A12606" s="355">
        <v>170</v>
      </c>
      <c r="B12606" s="352" t="s">
        <v>22913</v>
      </c>
      <c r="C12606" s="356" t="s">
        <v>22914</v>
      </c>
      <c r="D12606" s="357">
        <v>6763.98</v>
      </c>
      <c r="E12606" s="357">
        <v>2349.16</v>
      </c>
      <c r="F12606" s="357">
        <v>2518.15</v>
      </c>
      <c r="G12606" s="357">
        <v>1896.67</v>
      </c>
      <c r="H12606" s="358">
        <v>47040.92</v>
      </c>
      <c r="I12606" s="358">
        <v>27015.34</v>
      </c>
      <c r="J12606" s="358">
        <v>14028.93</v>
      </c>
      <c r="K12606" s="358">
        <v>5996.65</v>
      </c>
      <c r="L12606" s="43">
        <v>6.9546213915475805</v>
      </c>
      <c r="M12606" s="43">
        <v>11.5</v>
      </c>
      <c r="N12606" s="43">
        <v>5.5711256279411474</v>
      </c>
      <c r="O12606" s="43">
        <v>3.1616728265855416</v>
      </c>
      <c r="P12606" s="359"/>
      <c r="Q12606" s="359"/>
      <c r="R12606" s="359">
        <v>1</v>
      </c>
    </row>
    <row r="12607" spans="1:18" ht="36">
      <c r="A12607" s="355">
        <v>171</v>
      </c>
      <c r="B12607" s="352" t="s">
        <v>22915</v>
      </c>
      <c r="C12607" s="356" t="s">
        <v>22916</v>
      </c>
      <c r="D12607" s="357">
        <v>1572.24</v>
      </c>
      <c r="E12607" s="357">
        <v>1025.0899999999999</v>
      </c>
      <c r="F12607" s="357">
        <v>281.42</v>
      </c>
      <c r="G12607" s="357">
        <v>265.73</v>
      </c>
      <c r="H12607" s="358">
        <v>14321.59</v>
      </c>
      <c r="I12607" s="358">
        <v>11788.51</v>
      </c>
      <c r="J12607" s="358">
        <v>1521.26</v>
      </c>
      <c r="K12607" s="358">
        <v>1011.82</v>
      </c>
      <c r="L12607" s="43">
        <v>9.1090355162061769</v>
      </c>
      <c r="M12607" s="43">
        <v>11.499975611897494</v>
      </c>
      <c r="N12607" s="43">
        <v>5.4056570250870584</v>
      </c>
      <c r="O12607" s="43">
        <v>3.807699544650585</v>
      </c>
      <c r="P12607" s="359"/>
      <c r="Q12607" s="359"/>
      <c r="R12607" s="359">
        <v>1</v>
      </c>
    </row>
    <row r="12608" spans="1:18" ht="12.75" customHeight="1">
      <c r="A12608" s="628" t="s">
        <v>22917</v>
      </c>
      <c r="B12608" s="629"/>
      <c r="C12608" s="629"/>
      <c r="D12608" s="629"/>
      <c r="E12608" s="629"/>
      <c r="F12608" s="629"/>
      <c r="G12608" s="629"/>
      <c r="H12608" s="629"/>
      <c r="I12608" s="629"/>
      <c r="J12608" s="629"/>
      <c r="K12608" s="629"/>
      <c r="L12608" s="629"/>
      <c r="M12608" s="629"/>
      <c r="N12608" s="629"/>
      <c r="O12608" s="629"/>
      <c r="P12608" s="629"/>
      <c r="Q12608" s="629"/>
      <c r="R12608" s="629"/>
    </row>
    <row r="12609" spans="1:18" ht="12.75" customHeight="1">
      <c r="A12609" s="628" t="s">
        <v>22918</v>
      </c>
      <c r="B12609" s="629"/>
      <c r="C12609" s="629"/>
      <c r="D12609" s="629"/>
      <c r="E12609" s="629"/>
      <c r="F12609" s="629"/>
      <c r="G12609" s="629"/>
      <c r="H12609" s="629"/>
      <c r="I12609" s="629"/>
      <c r="J12609" s="629"/>
      <c r="K12609" s="629"/>
      <c r="L12609" s="629"/>
      <c r="M12609" s="629"/>
      <c r="N12609" s="629"/>
      <c r="O12609" s="629"/>
      <c r="P12609" s="629"/>
      <c r="Q12609" s="629"/>
      <c r="R12609" s="629"/>
    </row>
    <row r="12610" spans="1:18" ht="24">
      <c r="A12610" s="355">
        <v>172</v>
      </c>
      <c r="B12610" s="352" t="s">
        <v>22919</v>
      </c>
      <c r="C12610" s="356" t="s">
        <v>22920</v>
      </c>
      <c r="D12610" s="357">
        <v>718.89</v>
      </c>
      <c r="E12610" s="357">
        <v>264.14</v>
      </c>
      <c r="F12610" s="357">
        <v>311.89</v>
      </c>
      <c r="G12610" s="357">
        <v>142.86000000000001</v>
      </c>
      <c r="H12610" s="358">
        <v>5204.05</v>
      </c>
      <c r="I12610" s="358">
        <v>3037.61</v>
      </c>
      <c r="J12610" s="358">
        <v>1687.04</v>
      </c>
      <c r="K12610" s="358">
        <v>479.4</v>
      </c>
      <c r="L12610" s="43">
        <v>7.2390073585666794</v>
      </c>
      <c r="M12610" s="43">
        <v>11.500000000000002</v>
      </c>
      <c r="N12610" s="43">
        <v>5.4090865369200678</v>
      </c>
      <c r="O12610" s="43">
        <v>3.3557328853422925</v>
      </c>
      <c r="P12610" s="359"/>
      <c r="Q12610" s="359"/>
      <c r="R12610" s="359">
        <v>1</v>
      </c>
    </row>
    <row r="12611" spans="1:18" ht="24">
      <c r="A12611" s="355">
        <v>173</v>
      </c>
      <c r="B12611" s="352" t="s">
        <v>22921</v>
      </c>
      <c r="C12611" s="356" t="s">
        <v>22922</v>
      </c>
      <c r="D12611" s="357">
        <v>1315.68</v>
      </c>
      <c r="E12611" s="357">
        <v>366.42</v>
      </c>
      <c r="F12611" s="357">
        <v>579.24</v>
      </c>
      <c r="G12611" s="357">
        <v>370.02</v>
      </c>
      <c r="H12611" s="358">
        <v>8521.65</v>
      </c>
      <c r="I12611" s="358">
        <v>4213.88</v>
      </c>
      <c r="J12611" s="358">
        <v>3132.37</v>
      </c>
      <c r="K12611" s="358">
        <v>1175.4000000000001</v>
      </c>
      <c r="L12611" s="43">
        <v>6.476992885808099</v>
      </c>
      <c r="M12611" s="43">
        <v>11.500136455433655</v>
      </c>
      <c r="N12611" s="43">
        <v>5.4077239140943298</v>
      </c>
      <c r="O12611" s="43">
        <v>3.1765850494567864</v>
      </c>
      <c r="P12611" s="359"/>
      <c r="Q12611" s="359"/>
      <c r="R12611" s="359">
        <v>1</v>
      </c>
    </row>
    <row r="12612" spans="1:18" ht="24">
      <c r="A12612" s="355">
        <v>174</v>
      </c>
      <c r="B12612" s="352" t="s">
        <v>22923</v>
      </c>
      <c r="C12612" s="356" t="s">
        <v>22924</v>
      </c>
      <c r="D12612" s="357">
        <v>2371.0700000000002</v>
      </c>
      <c r="E12612" s="357">
        <v>568.74</v>
      </c>
      <c r="F12612" s="357">
        <v>1061.21</v>
      </c>
      <c r="G12612" s="357">
        <v>741.12</v>
      </c>
      <c r="H12612" s="358">
        <v>14504.8</v>
      </c>
      <c r="I12612" s="358">
        <v>6540.56</v>
      </c>
      <c r="J12612" s="358">
        <v>5707.14</v>
      </c>
      <c r="K12612" s="358">
        <v>2257.1</v>
      </c>
      <c r="L12612" s="43">
        <v>6.1174069091169798</v>
      </c>
      <c r="M12612" s="43">
        <v>11.500087913633648</v>
      </c>
      <c r="N12612" s="43">
        <v>5.3779553528519335</v>
      </c>
      <c r="O12612" s="43">
        <v>3.0455256908462864</v>
      </c>
      <c r="P12612" s="359"/>
      <c r="Q12612" s="359"/>
      <c r="R12612" s="359">
        <v>1</v>
      </c>
    </row>
    <row r="12613" spans="1:18" ht="36">
      <c r="A12613" s="355">
        <v>175</v>
      </c>
      <c r="B12613" s="352" t="s">
        <v>22925</v>
      </c>
      <c r="C12613" s="356" t="s">
        <v>22926</v>
      </c>
      <c r="D12613" s="357">
        <v>3395.86</v>
      </c>
      <c r="E12613" s="357">
        <v>958.77</v>
      </c>
      <c r="F12613" s="357">
        <v>1303.46</v>
      </c>
      <c r="G12613" s="357">
        <v>1133.6300000000001</v>
      </c>
      <c r="H12613" s="358">
        <v>21472.73</v>
      </c>
      <c r="I12613" s="358">
        <v>11025.88</v>
      </c>
      <c r="J12613" s="358">
        <v>7038.53</v>
      </c>
      <c r="K12613" s="358">
        <v>3408.32</v>
      </c>
      <c r="L12613" s="43">
        <v>6.3232082594688821</v>
      </c>
      <c r="M12613" s="43">
        <v>11.500026075075356</v>
      </c>
      <c r="N12613" s="43">
        <v>5.3998818529145503</v>
      </c>
      <c r="O12613" s="43">
        <v>3.0065541667034217</v>
      </c>
      <c r="P12613" s="359"/>
      <c r="Q12613" s="359"/>
      <c r="R12613" s="359">
        <v>1</v>
      </c>
    </row>
    <row r="12614" spans="1:18" ht="24">
      <c r="A12614" s="355">
        <v>176</v>
      </c>
      <c r="B12614" s="352" t="s">
        <v>22927</v>
      </c>
      <c r="C12614" s="356" t="s">
        <v>22928</v>
      </c>
      <c r="D12614" s="357">
        <v>218.93</v>
      </c>
      <c r="E12614" s="357">
        <v>113.52</v>
      </c>
      <c r="F12614" s="357">
        <v>53.09</v>
      </c>
      <c r="G12614" s="357">
        <v>52.32</v>
      </c>
      <c r="H12614" s="358">
        <v>1783.74</v>
      </c>
      <c r="I12614" s="358">
        <v>1305.53</v>
      </c>
      <c r="J12614" s="358">
        <v>287.17</v>
      </c>
      <c r="K12614" s="358">
        <v>191.04</v>
      </c>
      <c r="L12614" s="43">
        <v>8.1475357420179968</v>
      </c>
      <c r="M12614" s="43">
        <v>11.500440451021847</v>
      </c>
      <c r="N12614" s="43">
        <v>5.4091165944622341</v>
      </c>
      <c r="O12614" s="43">
        <v>3.6513761467889907</v>
      </c>
      <c r="P12614" s="359"/>
      <c r="Q12614" s="359"/>
      <c r="R12614" s="359">
        <v>1</v>
      </c>
    </row>
    <row r="12615" spans="1:18" ht="24">
      <c r="A12615" s="355">
        <v>177</v>
      </c>
      <c r="B12615" s="352" t="s">
        <v>22929</v>
      </c>
      <c r="C12615" s="356" t="s">
        <v>22930</v>
      </c>
      <c r="D12615" s="357">
        <v>284.18</v>
      </c>
      <c r="E12615" s="357">
        <v>125.89</v>
      </c>
      <c r="F12615" s="357">
        <v>84.35</v>
      </c>
      <c r="G12615" s="357">
        <v>73.94</v>
      </c>
      <c r="H12615" s="358">
        <v>2157.34</v>
      </c>
      <c r="I12615" s="358">
        <v>1447.71</v>
      </c>
      <c r="J12615" s="358">
        <v>456.76</v>
      </c>
      <c r="K12615" s="358">
        <v>252.87</v>
      </c>
      <c r="L12615" s="43">
        <v>7.5914561193609691</v>
      </c>
      <c r="M12615" s="43">
        <v>11.499801413932799</v>
      </c>
      <c r="N12615" s="43">
        <v>5.4150563129816245</v>
      </c>
      <c r="O12615" s="43">
        <v>3.419935082499324</v>
      </c>
      <c r="P12615" s="359"/>
      <c r="Q12615" s="359"/>
      <c r="R12615" s="359">
        <v>1</v>
      </c>
    </row>
    <row r="12616" spans="1:18" ht="12.75" customHeight="1">
      <c r="A12616" s="628" t="s">
        <v>22931</v>
      </c>
      <c r="B12616" s="629"/>
      <c r="C12616" s="629"/>
      <c r="D12616" s="629"/>
      <c r="E12616" s="629"/>
      <c r="F12616" s="629"/>
      <c r="G12616" s="629"/>
      <c r="H12616" s="629"/>
      <c r="I12616" s="629"/>
      <c r="J12616" s="629"/>
      <c r="K12616" s="629"/>
      <c r="L12616" s="629"/>
      <c r="M12616" s="629"/>
      <c r="N12616" s="629"/>
      <c r="O12616" s="629"/>
      <c r="P12616" s="629"/>
      <c r="Q12616" s="629"/>
      <c r="R12616" s="629"/>
    </row>
    <row r="12617" spans="1:18" ht="12.75" customHeight="1">
      <c r="A12617" s="628" t="s">
        <v>22932</v>
      </c>
      <c r="B12617" s="629"/>
      <c r="C12617" s="629"/>
      <c r="D12617" s="629"/>
      <c r="E12617" s="629"/>
      <c r="F12617" s="629"/>
      <c r="G12617" s="629"/>
      <c r="H12617" s="629"/>
      <c r="I12617" s="629"/>
      <c r="J12617" s="629"/>
      <c r="K12617" s="629"/>
      <c r="L12617" s="629"/>
      <c r="M12617" s="629"/>
      <c r="N12617" s="629"/>
      <c r="O12617" s="629"/>
      <c r="P12617" s="629"/>
      <c r="Q12617" s="629"/>
      <c r="R12617" s="629"/>
    </row>
    <row r="12618" spans="1:18" ht="48">
      <c r="A12618" s="355">
        <v>178</v>
      </c>
      <c r="B12618" s="352" t="s">
        <v>22933</v>
      </c>
      <c r="C12618" s="356" t="s">
        <v>22934</v>
      </c>
      <c r="D12618" s="357">
        <v>787.77</v>
      </c>
      <c r="E12618" s="357">
        <v>433.95</v>
      </c>
      <c r="F12618" s="357">
        <v>330.11</v>
      </c>
      <c r="G12618" s="357">
        <v>23.71</v>
      </c>
      <c r="H12618" s="358">
        <v>7011.47</v>
      </c>
      <c r="I12618" s="358">
        <v>4990.45</v>
      </c>
      <c r="J12618" s="358">
        <v>1789.48</v>
      </c>
      <c r="K12618" s="358">
        <v>231.54</v>
      </c>
      <c r="L12618" s="43">
        <v>8.9004024017162369</v>
      </c>
      <c r="M12618" s="43">
        <v>11.50005761032377</v>
      </c>
      <c r="N12618" s="43">
        <v>5.4208597134288565</v>
      </c>
      <c r="O12618" s="43">
        <v>9.7654997891185147</v>
      </c>
      <c r="P12618" s="359"/>
      <c r="Q12618" s="359"/>
      <c r="R12618" s="359">
        <v>1</v>
      </c>
    </row>
    <row r="12619" spans="1:18" ht="48">
      <c r="A12619" s="355">
        <v>179</v>
      </c>
      <c r="B12619" s="352" t="s">
        <v>22935</v>
      </c>
      <c r="C12619" s="356" t="s">
        <v>22936</v>
      </c>
      <c r="D12619" s="357">
        <v>1333.39</v>
      </c>
      <c r="E12619" s="357">
        <v>561.17999999999995</v>
      </c>
      <c r="F12619" s="357">
        <v>736.71</v>
      </c>
      <c r="G12619" s="357">
        <v>35.5</v>
      </c>
      <c r="H12619" s="358">
        <v>10787.11</v>
      </c>
      <c r="I12619" s="358">
        <v>6453.62</v>
      </c>
      <c r="J12619" s="358">
        <v>3991.69</v>
      </c>
      <c r="K12619" s="358">
        <v>341.8</v>
      </c>
      <c r="L12619" s="43">
        <v>8.0899886754812922</v>
      </c>
      <c r="M12619" s="43">
        <v>11.500089097972131</v>
      </c>
      <c r="N12619" s="43">
        <v>5.4182649889373025</v>
      </c>
      <c r="O12619" s="43">
        <v>9.6281690140845075</v>
      </c>
      <c r="P12619" s="359"/>
      <c r="Q12619" s="359"/>
      <c r="R12619" s="359">
        <v>1</v>
      </c>
    </row>
    <row r="12620" spans="1:18" ht="36">
      <c r="A12620" s="355">
        <v>180</v>
      </c>
      <c r="B12620" s="352" t="s">
        <v>22937</v>
      </c>
      <c r="C12620" s="356" t="s">
        <v>22938</v>
      </c>
      <c r="D12620" s="357">
        <v>2017.38</v>
      </c>
      <c r="E12620" s="357">
        <v>803.15</v>
      </c>
      <c r="F12620" s="357">
        <v>1158.9000000000001</v>
      </c>
      <c r="G12620" s="357">
        <v>55.33</v>
      </c>
      <c r="H12620" s="358">
        <v>16038.29</v>
      </c>
      <c r="I12620" s="358">
        <v>9236.25</v>
      </c>
      <c r="J12620" s="358">
        <v>6273.16</v>
      </c>
      <c r="K12620" s="358">
        <v>528.88</v>
      </c>
      <c r="L12620" s="43">
        <v>7.9500589873994985</v>
      </c>
      <c r="M12620" s="43">
        <v>11.500031127435722</v>
      </c>
      <c r="N12620" s="43">
        <v>5.4130295970316675</v>
      </c>
      <c r="O12620" s="43">
        <v>9.5586481113320083</v>
      </c>
      <c r="P12620" s="359"/>
      <c r="Q12620" s="359"/>
      <c r="R12620" s="359">
        <v>1</v>
      </c>
    </row>
    <row r="12621" spans="1:18" ht="36">
      <c r="A12621" s="355">
        <v>181</v>
      </c>
      <c r="B12621" s="352" t="s">
        <v>22939</v>
      </c>
      <c r="C12621" s="356" t="s">
        <v>22940</v>
      </c>
      <c r="D12621" s="357">
        <v>2973.48</v>
      </c>
      <c r="E12621" s="357">
        <v>1363.2</v>
      </c>
      <c r="F12621" s="357">
        <v>1543.75</v>
      </c>
      <c r="G12621" s="357">
        <v>66.53</v>
      </c>
      <c r="H12621" s="358">
        <v>24689.33</v>
      </c>
      <c r="I12621" s="358">
        <v>15676.8</v>
      </c>
      <c r="J12621" s="358">
        <v>8354.85</v>
      </c>
      <c r="K12621" s="358">
        <v>657.68</v>
      </c>
      <c r="L12621" s="43">
        <v>8.3031767491289674</v>
      </c>
      <c r="M12621" s="43">
        <v>11.499999999999998</v>
      </c>
      <c r="N12621" s="43">
        <v>5.4120485829959515</v>
      </c>
      <c r="O12621" s="43">
        <v>9.8854652036675184</v>
      </c>
      <c r="P12621" s="359"/>
      <c r="Q12621" s="359"/>
      <c r="R12621" s="359">
        <v>1</v>
      </c>
    </row>
    <row r="12622" spans="1:18" ht="36">
      <c r="A12622" s="355">
        <v>182</v>
      </c>
      <c r="B12622" s="352" t="s">
        <v>22941</v>
      </c>
      <c r="C12622" s="356" t="s">
        <v>22942</v>
      </c>
      <c r="D12622" s="357">
        <v>4819.09</v>
      </c>
      <c r="E12622" s="357">
        <v>1749.44</v>
      </c>
      <c r="F12622" s="357">
        <v>2953.37</v>
      </c>
      <c r="G12622" s="357">
        <v>116.28</v>
      </c>
      <c r="H12622" s="358">
        <v>37213.449999999997</v>
      </c>
      <c r="I12622" s="358">
        <v>20118.560000000001</v>
      </c>
      <c r="J12622" s="358">
        <v>15979.98</v>
      </c>
      <c r="K12622" s="358">
        <v>1114.9100000000001</v>
      </c>
      <c r="L12622" s="43">
        <v>7.7220906851708513</v>
      </c>
      <c r="M12622" s="43">
        <v>11.5</v>
      </c>
      <c r="N12622" s="43">
        <v>5.410761265943651</v>
      </c>
      <c r="O12622" s="43">
        <v>9.5881492948056426</v>
      </c>
      <c r="P12622" s="359"/>
      <c r="Q12622" s="359"/>
      <c r="R12622" s="359">
        <v>1</v>
      </c>
    </row>
    <row r="12623" spans="1:18" ht="36">
      <c r="A12623" s="355">
        <v>183</v>
      </c>
      <c r="B12623" s="352" t="s">
        <v>22943</v>
      </c>
      <c r="C12623" s="356" t="s">
        <v>22944</v>
      </c>
      <c r="D12623" s="357">
        <v>6296.49</v>
      </c>
      <c r="E12623" s="357">
        <v>2147.04</v>
      </c>
      <c r="F12623" s="357">
        <v>4000.84</v>
      </c>
      <c r="G12623" s="357">
        <v>148.61000000000001</v>
      </c>
      <c r="H12623" s="358">
        <v>47764.2</v>
      </c>
      <c r="I12623" s="358">
        <v>24690.959999999999</v>
      </c>
      <c r="J12623" s="358">
        <v>21653.25</v>
      </c>
      <c r="K12623" s="358">
        <v>1419.99</v>
      </c>
      <c r="L12623" s="43">
        <v>7.5858454472253589</v>
      </c>
      <c r="M12623" s="43">
        <v>11.5</v>
      </c>
      <c r="N12623" s="43">
        <v>5.4121759430519587</v>
      </c>
      <c r="O12623" s="43">
        <v>9.5551443375277572</v>
      </c>
      <c r="P12623" s="359"/>
      <c r="Q12623" s="359"/>
      <c r="R12623" s="359">
        <v>1</v>
      </c>
    </row>
    <row r="12624" spans="1:18" ht="48">
      <c r="A12624" s="355">
        <v>184</v>
      </c>
      <c r="B12624" s="352" t="s">
        <v>22945</v>
      </c>
      <c r="C12624" s="356" t="s">
        <v>22946</v>
      </c>
      <c r="D12624" s="357">
        <v>1633.78</v>
      </c>
      <c r="E12624" s="357">
        <v>905.39</v>
      </c>
      <c r="F12624" s="357">
        <v>675.06</v>
      </c>
      <c r="G12624" s="357">
        <v>53.33</v>
      </c>
      <c r="H12624" s="358">
        <v>14582.67</v>
      </c>
      <c r="I12624" s="358">
        <v>10412.01</v>
      </c>
      <c r="J12624" s="358">
        <v>3653.66</v>
      </c>
      <c r="K12624" s="358">
        <v>517</v>
      </c>
      <c r="L12624" s="43">
        <v>8.925724393737223</v>
      </c>
      <c r="M12624" s="43">
        <v>11.500027612410122</v>
      </c>
      <c r="N12624" s="43">
        <v>5.4123485319823423</v>
      </c>
      <c r="O12624" s="43">
        <v>9.6943558972435788</v>
      </c>
      <c r="P12624" s="359"/>
      <c r="Q12624" s="359"/>
      <c r="R12624" s="359">
        <v>1</v>
      </c>
    </row>
    <row r="12625" spans="1:18" ht="12.75" customHeight="1">
      <c r="A12625" s="628" t="s">
        <v>22947</v>
      </c>
      <c r="B12625" s="629"/>
      <c r="C12625" s="629"/>
      <c r="D12625" s="629"/>
      <c r="E12625" s="629"/>
      <c r="F12625" s="629"/>
      <c r="G12625" s="629"/>
      <c r="H12625" s="629"/>
      <c r="I12625" s="629"/>
      <c r="J12625" s="629"/>
      <c r="K12625" s="629"/>
      <c r="L12625" s="629"/>
      <c r="M12625" s="629"/>
      <c r="N12625" s="629"/>
      <c r="O12625" s="629"/>
      <c r="P12625" s="629"/>
      <c r="Q12625" s="629"/>
      <c r="R12625" s="629"/>
    </row>
    <row r="12626" spans="1:18" ht="24">
      <c r="A12626" s="355">
        <v>185</v>
      </c>
      <c r="B12626" s="352" t="s">
        <v>22948</v>
      </c>
      <c r="C12626" s="356" t="s">
        <v>22949</v>
      </c>
      <c r="D12626" s="357">
        <v>1043.56</v>
      </c>
      <c r="E12626" s="357">
        <v>232.1</v>
      </c>
      <c r="F12626" s="357">
        <v>89.49</v>
      </c>
      <c r="G12626" s="357">
        <v>721.97</v>
      </c>
      <c r="H12626" s="358">
        <v>5866.41</v>
      </c>
      <c r="I12626" s="358">
        <v>2669.23</v>
      </c>
      <c r="J12626" s="358">
        <v>484.62</v>
      </c>
      <c r="K12626" s="358">
        <v>2712.56</v>
      </c>
      <c r="L12626" s="43">
        <v>5.6215358963547857</v>
      </c>
      <c r="M12626" s="43">
        <v>11.500344679017665</v>
      </c>
      <c r="N12626" s="43">
        <v>5.4153536708012071</v>
      </c>
      <c r="O12626" s="43">
        <v>3.7571644251146168</v>
      </c>
      <c r="P12626" s="359"/>
      <c r="Q12626" s="359"/>
      <c r="R12626" s="359">
        <v>2</v>
      </c>
    </row>
    <row r="12627" spans="1:18" ht="24">
      <c r="A12627" s="355">
        <v>186</v>
      </c>
      <c r="B12627" s="352" t="s">
        <v>22950</v>
      </c>
      <c r="C12627" s="356" t="s">
        <v>22951</v>
      </c>
      <c r="D12627" s="357">
        <v>1688.95</v>
      </c>
      <c r="E12627" s="357">
        <v>515.9</v>
      </c>
      <c r="F12627" s="357">
        <v>259.62</v>
      </c>
      <c r="G12627" s="357">
        <v>913.43</v>
      </c>
      <c r="H12627" s="358">
        <v>10838.23</v>
      </c>
      <c r="I12627" s="358">
        <v>5933.09</v>
      </c>
      <c r="J12627" s="358">
        <v>1407.8</v>
      </c>
      <c r="K12627" s="358">
        <v>3497.34</v>
      </c>
      <c r="L12627" s="43">
        <v>6.4171408271411225</v>
      </c>
      <c r="M12627" s="43">
        <v>11.500465206435356</v>
      </c>
      <c r="N12627" s="43">
        <v>5.4225406363146131</v>
      </c>
      <c r="O12627" s="43">
        <v>3.828799141696682</v>
      </c>
      <c r="P12627" s="359"/>
      <c r="Q12627" s="359"/>
      <c r="R12627" s="359">
        <v>2</v>
      </c>
    </row>
    <row r="12628" spans="1:18" ht="24">
      <c r="A12628" s="355">
        <v>187</v>
      </c>
      <c r="B12628" s="352" t="s">
        <v>22952</v>
      </c>
      <c r="C12628" s="356" t="s">
        <v>22953</v>
      </c>
      <c r="D12628" s="357">
        <v>2802.64</v>
      </c>
      <c r="E12628" s="357">
        <v>528.54</v>
      </c>
      <c r="F12628" s="357">
        <v>646.98</v>
      </c>
      <c r="G12628" s="357">
        <v>1627.12</v>
      </c>
      <c r="H12628" s="358">
        <v>15731.82</v>
      </c>
      <c r="I12628" s="358">
        <v>6078.44</v>
      </c>
      <c r="J12628" s="358">
        <v>3506.28</v>
      </c>
      <c r="K12628" s="358">
        <v>6147.1</v>
      </c>
      <c r="L12628" s="43">
        <v>5.6132146832986045</v>
      </c>
      <c r="M12628" s="43">
        <v>11.500435161009573</v>
      </c>
      <c r="N12628" s="43">
        <v>5.4194565519799687</v>
      </c>
      <c r="O12628" s="43">
        <v>3.7779020600816171</v>
      </c>
      <c r="P12628" s="359"/>
      <c r="Q12628" s="359"/>
      <c r="R12628" s="359">
        <v>2</v>
      </c>
    </row>
    <row r="12629" spans="1:18" ht="24">
      <c r="A12629" s="355">
        <v>188</v>
      </c>
      <c r="B12629" s="352" t="s">
        <v>22954</v>
      </c>
      <c r="C12629" s="356" t="s">
        <v>22955</v>
      </c>
      <c r="D12629" s="357">
        <v>5816.66</v>
      </c>
      <c r="E12629" s="357">
        <v>1058.23</v>
      </c>
      <c r="F12629" s="357">
        <v>1201.6500000000001</v>
      </c>
      <c r="G12629" s="357">
        <v>3556.78</v>
      </c>
      <c r="H12629" s="358">
        <v>32239.599999999999</v>
      </c>
      <c r="I12629" s="358">
        <v>12170.09</v>
      </c>
      <c r="J12629" s="358">
        <v>6505.03</v>
      </c>
      <c r="K12629" s="358">
        <v>13564.48</v>
      </c>
      <c r="L12629" s="43">
        <v>5.5426309944194774</v>
      </c>
      <c r="M12629" s="43">
        <v>11.500420513498955</v>
      </c>
      <c r="N12629" s="43">
        <v>5.4134148878625217</v>
      </c>
      <c r="O12629" s="43">
        <v>3.8136966582133276</v>
      </c>
      <c r="P12629" s="359"/>
      <c r="Q12629" s="359"/>
      <c r="R12629" s="359">
        <v>2</v>
      </c>
    </row>
    <row r="12630" spans="1:18" ht="36">
      <c r="A12630" s="355">
        <v>189</v>
      </c>
      <c r="B12630" s="352" t="s">
        <v>22956</v>
      </c>
      <c r="C12630" s="356" t="s">
        <v>22957</v>
      </c>
      <c r="D12630" s="357">
        <v>6134.95</v>
      </c>
      <c r="E12630" s="357">
        <v>774.43</v>
      </c>
      <c r="F12630" s="357">
        <v>788.13</v>
      </c>
      <c r="G12630" s="357">
        <v>4572.3900000000003</v>
      </c>
      <c r="H12630" s="358">
        <v>30612.69</v>
      </c>
      <c r="I12630" s="358">
        <v>8906.24</v>
      </c>
      <c r="J12630" s="358">
        <v>4272.62</v>
      </c>
      <c r="K12630" s="358">
        <v>17433.830000000002</v>
      </c>
      <c r="L12630" s="43">
        <v>4.9898841881351927</v>
      </c>
      <c r="M12630" s="43">
        <v>11.500380925325723</v>
      </c>
      <c r="N12630" s="43">
        <v>5.421212236559958</v>
      </c>
      <c r="O12630" s="43">
        <v>3.8128484228160766</v>
      </c>
      <c r="P12630" s="359"/>
      <c r="Q12630" s="359"/>
      <c r="R12630" s="359">
        <v>2</v>
      </c>
    </row>
    <row r="12631" spans="1:18" ht="36">
      <c r="A12631" s="355">
        <v>190</v>
      </c>
      <c r="B12631" s="352" t="s">
        <v>22958</v>
      </c>
      <c r="C12631" s="356" t="s">
        <v>22959</v>
      </c>
      <c r="D12631" s="357">
        <v>8680.48</v>
      </c>
      <c r="E12631" s="357">
        <v>1413.27</v>
      </c>
      <c r="F12631" s="357">
        <v>1924.46</v>
      </c>
      <c r="G12631" s="357">
        <v>5342.75</v>
      </c>
      <c r="H12631" s="358">
        <v>47691.12</v>
      </c>
      <c r="I12631" s="358">
        <v>16253.22</v>
      </c>
      <c r="J12631" s="358">
        <v>10416.23</v>
      </c>
      <c r="K12631" s="358">
        <v>21021.67</v>
      </c>
      <c r="L12631" s="43">
        <v>5.4940648443404054</v>
      </c>
      <c r="M12631" s="43">
        <v>11.500435161009573</v>
      </c>
      <c r="N12631" s="43">
        <v>5.4125468962722003</v>
      </c>
      <c r="O12631" s="43">
        <v>3.934616068504047</v>
      </c>
      <c r="P12631" s="359"/>
      <c r="Q12631" s="359"/>
      <c r="R12631" s="359">
        <v>2</v>
      </c>
    </row>
    <row r="12632" spans="1:18" ht="48">
      <c r="A12632" s="355">
        <v>191</v>
      </c>
      <c r="B12632" s="352" t="s">
        <v>22960</v>
      </c>
      <c r="C12632" s="356" t="s">
        <v>22961</v>
      </c>
      <c r="D12632" s="357">
        <v>10201.98</v>
      </c>
      <c r="E12632" s="357">
        <v>1930.32</v>
      </c>
      <c r="F12632" s="357">
        <v>2612.44</v>
      </c>
      <c r="G12632" s="357">
        <v>5659.22</v>
      </c>
      <c r="H12632" s="358">
        <v>59514.53</v>
      </c>
      <c r="I12632" s="358">
        <v>22199.52</v>
      </c>
      <c r="J12632" s="358">
        <v>14145.63</v>
      </c>
      <c r="K12632" s="358">
        <v>23169.38</v>
      </c>
      <c r="L12632" s="43">
        <v>5.8336254334942828</v>
      </c>
      <c r="M12632" s="43">
        <v>11.500435161009575</v>
      </c>
      <c r="N12632" s="43">
        <v>5.4147195725069279</v>
      </c>
      <c r="O12632" s="43">
        <v>4.0940942391354289</v>
      </c>
      <c r="P12632" s="359"/>
      <c r="Q12632" s="359"/>
      <c r="R12632" s="359">
        <v>2</v>
      </c>
    </row>
    <row r="12633" spans="1:18" ht="36">
      <c r="A12633" s="355">
        <v>192</v>
      </c>
      <c r="B12633" s="352" t="s">
        <v>22962</v>
      </c>
      <c r="C12633" s="356" t="s">
        <v>22963</v>
      </c>
      <c r="D12633" s="357">
        <v>11026.43</v>
      </c>
      <c r="E12633" s="357">
        <v>2033.73</v>
      </c>
      <c r="F12633" s="357">
        <v>3197.6</v>
      </c>
      <c r="G12633" s="357">
        <v>5795.1</v>
      </c>
      <c r="H12633" s="358">
        <v>64403.93</v>
      </c>
      <c r="I12633" s="358">
        <v>23388.78</v>
      </c>
      <c r="J12633" s="358">
        <v>17303.54</v>
      </c>
      <c r="K12633" s="358">
        <v>23711.61</v>
      </c>
      <c r="L12633" s="43">
        <v>5.8408687127202548</v>
      </c>
      <c r="M12633" s="43">
        <v>11.500435161009573</v>
      </c>
      <c r="N12633" s="43">
        <v>5.4114148111083313</v>
      </c>
      <c r="O12633" s="43">
        <v>4.0916653724698451</v>
      </c>
      <c r="P12633" s="359"/>
      <c r="Q12633" s="359"/>
      <c r="R12633" s="359">
        <v>2</v>
      </c>
    </row>
    <row r="12634" spans="1:18" ht="36">
      <c r="A12634" s="355">
        <v>193</v>
      </c>
      <c r="B12634" s="352" t="s">
        <v>22964</v>
      </c>
      <c r="C12634" s="356" t="s">
        <v>22965</v>
      </c>
      <c r="D12634" s="357">
        <v>22065.7</v>
      </c>
      <c r="E12634" s="357">
        <v>4205.34</v>
      </c>
      <c r="F12634" s="357">
        <v>8475.82</v>
      </c>
      <c r="G12634" s="357">
        <v>9384.5400000000009</v>
      </c>
      <c r="H12634" s="358">
        <v>130120.17</v>
      </c>
      <c r="I12634" s="358">
        <v>48363.24</v>
      </c>
      <c r="J12634" s="358">
        <v>45587.76</v>
      </c>
      <c r="K12634" s="358">
        <v>36169.17</v>
      </c>
      <c r="L12634" s="43">
        <v>5.8969427663749618</v>
      </c>
      <c r="M12634" s="43">
        <v>11.500435161009573</v>
      </c>
      <c r="N12634" s="43">
        <v>5.3785663216066411</v>
      </c>
      <c r="O12634" s="43">
        <v>3.8541228445933413</v>
      </c>
      <c r="P12634" s="359"/>
      <c r="Q12634" s="359"/>
      <c r="R12634" s="359">
        <v>2</v>
      </c>
    </row>
    <row r="12635" spans="1:18" ht="36">
      <c r="A12635" s="355">
        <v>194</v>
      </c>
      <c r="B12635" s="352" t="s">
        <v>22966</v>
      </c>
      <c r="C12635" s="356" t="s">
        <v>22967</v>
      </c>
      <c r="D12635" s="357">
        <v>26612.6</v>
      </c>
      <c r="E12635" s="357">
        <v>4837.29</v>
      </c>
      <c r="F12635" s="357">
        <v>12871.28</v>
      </c>
      <c r="G12635" s="357">
        <v>8904.0300000000007</v>
      </c>
      <c r="H12635" s="358">
        <v>159371.78</v>
      </c>
      <c r="I12635" s="358">
        <v>55630.94</v>
      </c>
      <c r="J12635" s="358">
        <v>69422.05</v>
      </c>
      <c r="K12635" s="358">
        <v>34318.79</v>
      </c>
      <c r="L12635" s="43">
        <v>5.9885836032556012</v>
      </c>
      <c r="M12635" s="43">
        <v>11.500435161009575</v>
      </c>
      <c r="N12635" s="43">
        <v>5.3935622564344801</v>
      </c>
      <c r="O12635" s="43">
        <v>3.8542985591917365</v>
      </c>
      <c r="P12635" s="359"/>
      <c r="Q12635" s="359"/>
      <c r="R12635" s="359">
        <v>2</v>
      </c>
    </row>
    <row r="12636" spans="1:18" ht="24">
      <c r="A12636" s="355">
        <v>195</v>
      </c>
      <c r="B12636" s="352" t="s">
        <v>22968</v>
      </c>
      <c r="C12636" s="356" t="s">
        <v>22969</v>
      </c>
      <c r="D12636" s="357">
        <v>5067.54</v>
      </c>
      <c r="E12636" s="357">
        <v>1194.96</v>
      </c>
      <c r="F12636" s="357">
        <v>1294.03</v>
      </c>
      <c r="G12636" s="357">
        <v>2578.5500000000002</v>
      </c>
      <c r="H12636" s="358">
        <v>30688.79</v>
      </c>
      <c r="I12636" s="358">
        <v>13742.56</v>
      </c>
      <c r="J12636" s="358">
        <v>7004.14</v>
      </c>
      <c r="K12636" s="358">
        <v>9942.09</v>
      </c>
      <c r="L12636" s="43">
        <v>6.0559541710573574</v>
      </c>
      <c r="M12636" s="43">
        <v>11.500435161009573</v>
      </c>
      <c r="N12636" s="43">
        <v>5.4126565844686754</v>
      </c>
      <c r="O12636" s="43">
        <v>3.8556902134920787</v>
      </c>
      <c r="P12636" s="359"/>
      <c r="Q12636" s="359"/>
      <c r="R12636" s="359">
        <v>2</v>
      </c>
    </row>
    <row r="12637" spans="1:18" ht="12.75" customHeight="1">
      <c r="A12637" s="628" t="s">
        <v>22970</v>
      </c>
      <c r="B12637" s="629"/>
      <c r="C12637" s="629"/>
      <c r="D12637" s="629"/>
      <c r="E12637" s="629"/>
      <c r="F12637" s="629"/>
      <c r="G12637" s="629"/>
      <c r="H12637" s="629"/>
      <c r="I12637" s="629"/>
      <c r="J12637" s="629"/>
      <c r="K12637" s="629"/>
      <c r="L12637" s="629"/>
      <c r="M12637" s="629"/>
      <c r="N12637" s="629"/>
      <c r="O12637" s="629"/>
      <c r="P12637" s="629"/>
      <c r="Q12637" s="629"/>
      <c r="R12637" s="629"/>
    </row>
    <row r="12638" spans="1:18" ht="36">
      <c r="A12638" s="355">
        <v>196</v>
      </c>
      <c r="B12638" s="352" t="s">
        <v>22971</v>
      </c>
      <c r="C12638" s="356" t="s">
        <v>22972</v>
      </c>
      <c r="D12638" s="357">
        <v>1491.07</v>
      </c>
      <c r="E12638" s="357">
        <v>283.8</v>
      </c>
      <c r="F12638" s="357">
        <v>303.68</v>
      </c>
      <c r="G12638" s="357">
        <v>903.59</v>
      </c>
      <c r="H12638" s="358">
        <v>8308.4599999999991</v>
      </c>
      <c r="I12638" s="358">
        <v>3263.86</v>
      </c>
      <c r="J12638" s="358">
        <v>1646.21</v>
      </c>
      <c r="K12638" s="358">
        <v>3398.39</v>
      </c>
      <c r="L12638" s="43">
        <v>5.5721461769065161</v>
      </c>
      <c r="M12638" s="43">
        <v>11.500563777307963</v>
      </c>
      <c r="N12638" s="43">
        <v>5.4208706533192839</v>
      </c>
      <c r="O12638" s="43">
        <v>3.7609867307075109</v>
      </c>
      <c r="P12638" s="359"/>
      <c r="Q12638" s="359"/>
      <c r="R12638" s="359">
        <v>3</v>
      </c>
    </row>
    <row r="12639" spans="1:18" ht="36">
      <c r="A12639" s="355">
        <v>197</v>
      </c>
      <c r="B12639" s="352" t="s">
        <v>22973</v>
      </c>
      <c r="C12639" s="356" t="s">
        <v>22974</v>
      </c>
      <c r="D12639" s="357">
        <v>2143.2600000000002</v>
      </c>
      <c r="E12639" s="357">
        <v>464.2</v>
      </c>
      <c r="F12639" s="357">
        <v>586.47</v>
      </c>
      <c r="G12639" s="357">
        <v>1092.5899999999999</v>
      </c>
      <c r="H12639" s="358">
        <v>12674.02</v>
      </c>
      <c r="I12639" s="358">
        <v>5338.46</v>
      </c>
      <c r="J12639" s="358">
        <v>3179.58</v>
      </c>
      <c r="K12639" s="358">
        <v>4155.9799999999996</v>
      </c>
      <c r="L12639" s="43">
        <v>5.9134309416496365</v>
      </c>
      <c r="M12639" s="43">
        <v>11.500344679017665</v>
      </c>
      <c r="N12639" s="43">
        <v>5.4215560898255664</v>
      </c>
      <c r="O12639" s="43">
        <v>3.8037873310207853</v>
      </c>
      <c r="P12639" s="359"/>
      <c r="Q12639" s="359"/>
      <c r="R12639" s="359">
        <v>3</v>
      </c>
    </row>
    <row r="12640" spans="1:18" ht="36">
      <c r="A12640" s="355">
        <v>198</v>
      </c>
      <c r="B12640" s="352" t="s">
        <v>22975</v>
      </c>
      <c r="C12640" s="356" t="s">
        <v>22976</v>
      </c>
      <c r="D12640" s="357">
        <v>8478.4699999999993</v>
      </c>
      <c r="E12640" s="357">
        <v>1585.62</v>
      </c>
      <c r="F12640" s="357">
        <v>2994.82</v>
      </c>
      <c r="G12640" s="357">
        <v>3898.03</v>
      </c>
      <c r="H12640" s="358">
        <v>49643.88</v>
      </c>
      <c r="I12640" s="358">
        <v>18235.32</v>
      </c>
      <c r="J12640" s="358">
        <v>16205.66</v>
      </c>
      <c r="K12640" s="358">
        <v>15202.9</v>
      </c>
      <c r="L12640" s="43">
        <v>5.8552875695732842</v>
      </c>
      <c r="M12640" s="43">
        <v>11.500435161009575</v>
      </c>
      <c r="N12640" s="43">
        <v>5.4112300572321539</v>
      </c>
      <c r="O12640" s="43">
        <v>3.9001495627278393</v>
      </c>
      <c r="P12640" s="359"/>
      <c r="Q12640" s="359"/>
      <c r="R12640" s="359">
        <v>3</v>
      </c>
    </row>
    <row r="12641" spans="1:18" ht="12.75" customHeight="1">
      <c r="A12641" s="628" t="s">
        <v>22977</v>
      </c>
      <c r="B12641" s="629"/>
      <c r="C12641" s="629"/>
      <c r="D12641" s="629"/>
      <c r="E12641" s="629"/>
      <c r="F12641" s="629"/>
      <c r="G12641" s="629"/>
      <c r="H12641" s="629"/>
      <c r="I12641" s="629"/>
      <c r="J12641" s="629"/>
      <c r="K12641" s="629"/>
      <c r="L12641" s="629"/>
      <c r="M12641" s="629"/>
      <c r="N12641" s="629"/>
      <c r="O12641" s="629"/>
      <c r="P12641" s="629"/>
      <c r="Q12641" s="629"/>
      <c r="R12641" s="629"/>
    </row>
    <row r="12642" spans="1:18" ht="24">
      <c r="A12642" s="355">
        <v>199</v>
      </c>
      <c r="B12642" s="352" t="s">
        <v>22978</v>
      </c>
      <c r="C12642" s="356" t="s">
        <v>22979</v>
      </c>
      <c r="D12642" s="357">
        <v>964.22</v>
      </c>
      <c r="E12642" s="357">
        <v>413.64</v>
      </c>
      <c r="F12642" s="357">
        <v>178</v>
      </c>
      <c r="G12642" s="357">
        <v>372.58</v>
      </c>
      <c r="H12642" s="358">
        <v>7191.83</v>
      </c>
      <c r="I12642" s="358">
        <v>4757.04</v>
      </c>
      <c r="J12642" s="358">
        <v>964.22</v>
      </c>
      <c r="K12642" s="358">
        <v>1470.57</v>
      </c>
      <c r="L12642" s="43">
        <v>7.4587023708282336</v>
      </c>
      <c r="M12642" s="43">
        <v>11.500435161009573</v>
      </c>
      <c r="N12642" s="43">
        <v>5.4169662921348314</v>
      </c>
      <c r="O12642" s="43">
        <v>3.9469912502012989</v>
      </c>
      <c r="P12642" s="359"/>
      <c r="Q12642" s="359"/>
      <c r="R12642" s="359">
        <v>4</v>
      </c>
    </row>
    <row r="12643" spans="1:18" ht="24">
      <c r="A12643" s="355">
        <v>200</v>
      </c>
      <c r="B12643" s="352" t="s">
        <v>22980</v>
      </c>
      <c r="C12643" s="356" t="s">
        <v>22981</v>
      </c>
      <c r="D12643" s="357">
        <v>1061.24</v>
      </c>
      <c r="E12643" s="357">
        <v>451.56</v>
      </c>
      <c r="F12643" s="357">
        <v>236.34</v>
      </c>
      <c r="G12643" s="357">
        <v>373.34</v>
      </c>
      <c r="H12643" s="358">
        <v>7952.7</v>
      </c>
      <c r="I12643" s="358">
        <v>5193.1000000000004</v>
      </c>
      <c r="J12643" s="358">
        <v>1280.29</v>
      </c>
      <c r="K12643" s="358">
        <v>1479.31</v>
      </c>
      <c r="L12643" s="43">
        <v>7.4937808601258906</v>
      </c>
      <c r="M12643" s="43">
        <v>11.50035432722119</v>
      </c>
      <c r="N12643" s="43">
        <v>5.4171532537869167</v>
      </c>
      <c r="O12643" s="43">
        <v>3.9623667434510099</v>
      </c>
      <c r="P12643" s="359"/>
      <c r="Q12643" s="359"/>
      <c r="R12643" s="359">
        <v>4</v>
      </c>
    </row>
    <row r="12644" spans="1:18" ht="48">
      <c r="A12644" s="355">
        <v>201</v>
      </c>
      <c r="B12644" s="352" t="s">
        <v>22982</v>
      </c>
      <c r="C12644" s="356" t="s">
        <v>22983</v>
      </c>
      <c r="D12644" s="357">
        <v>5262</v>
      </c>
      <c r="E12644" s="357">
        <v>1217.94</v>
      </c>
      <c r="F12644" s="357">
        <v>1094.58</v>
      </c>
      <c r="G12644" s="357">
        <v>2949.48</v>
      </c>
      <c r="H12644" s="358">
        <v>31310.240000000002</v>
      </c>
      <c r="I12644" s="358">
        <v>14006.84</v>
      </c>
      <c r="J12644" s="358">
        <v>5926.62</v>
      </c>
      <c r="K12644" s="358">
        <v>11376.78</v>
      </c>
      <c r="L12644" s="43">
        <v>5.9502546560243257</v>
      </c>
      <c r="M12644" s="43">
        <v>11.500435161009573</v>
      </c>
      <c r="N12644" s="43">
        <v>5.4145151564983829</v>
      </c>
      <c r="O12644" s="43">
        <v>3.8572155091744986</v>
      </c>
      <c r="P12644" s="359"/>
      <c r="Q12644" s="359"/>
      <c r="R12644" s="359">
        <v>4</v>
      </c>
    </row>
    <row r="12645" spans="1:18" ht="48">
      <c r="A12645" s="355">
        <v>202</v>
      </c>
      <c r="B12645" s="352" t="s">
        <v>22984</v>
      </c>
      <c r="C12645" s="356" t="s">
        <v>22985</v>
      </c>
      <c r="D12645" s="357">
        <v>13600.31</v>
      </c>
      <c r="E12645" s="357">
        <v>3056.34</v>
      </c>
      <c r="F12645" s="357">
        <v>4650.5200000000004</v>
      </c>
      <c r="G12645" s="357">
        <v>5893.45</v>
      </c>
      <c r="H12645" s="358">
        <v>83848.53</v>
      </c>
      <c r="I12645" s="358">
        <v>35149.24</v>
      </c>
      <c r="J12645" s="358">
        <v>25014.86</v>
      </c>
      <c r="K12645" s="358">
        <v>23684.43</v>
      </c>
      <c r="L12645" s="43">
        <v>6.1651925581108076</v>
      </c>
      <c r="M12645" s="43">
        <v>11.500435161009573</v>
      </c>
      <c r="N12645" s="43">
        <v>5.3789382692688124</v>
      </c>
      <c r="O12645" s="43">
        <v>4.0187716872120749</v>
      </c>
      <c r="P12645" s="359"/>
      <c r="Q12645" s="359"/>
      <c r="R12645" s="359">
        <v>4</v>
      </c>
    </row>
    <row r="12646" spans="1:18" ht="12.75" customHeight="1">
      <c r="A12646" s="628" t="s">
        <v>22986</v>
      </c>
      <c r="B12646" s="629"/>
      <c r="C12646" s="629"/>
      <c r="D12646" s="629"/>
      <c r="E12646" s="629"/>
      <c r="F12646" s="629"/>
      <c r="G12646" s="629"/>
      <c r="H12646" s="629"/>
      <c r="I12646" s="629"/>
      <c r="J12646" s="629"/>
      <c r="K12646" s="629"/>
      <c r="L12646" s="629"/>
      <c r="M12646" s="629"/>
      <c r="N12646" s="629"/>
      <c r="O12646" s="629"/>
      <c r="P12646" s="629"/>
      <c r="Q12646" s="629"/>
      <c r="R12646" s="629"/>
    </row>
    <row r="12647" spans="1:18" ht="36">
      <c r="A12647" s="355">
        <v>203</v>
      </c>
      <c r="B12647" s="352" t="s">
        <v>22987</v>
      </c>
      <c r="C12647" s="356" t="s">
        <v>22988</v>
      </c>
      <c r="D12647" s="357">
        <v>15203.5</v>
      </c>
      <c r="E12647" s="357">
        <v>2646.88</v>
      </c>
      <c r="F12647" s="357">
        <v>3955.86</v>
      </c>
      <c r="G12647" s="357">
        <v>8600.76</v>
      </c>
      <c r="H12647" s="358">
        <v>86080.88</v>
      </c>
      <c r="I12647" s="358">
        <v>30439.119999999999</v>
      </c>
      <c r="J12647" s="358">
        <v>21410.799999999999</v>
      </c>
      <c r="K12647" s="358">
        <v>34230.959999999999</v>
      </c>
      <c r="L12647" s="43">
        <v>5.6619120597230905</v>
      </c>
      <c r="M12647" s="43">
        <v>11.5</v>
      </c>
      <c r="N12647" s="43">
        <v>5.412426122259129</v>
      </c>
      <c r="O12647" s="43">
        <v>3.9799924657820935</v>
      </c>
      <c r="P12647" s="359"/>
      <c r="Q12647" s="359"/>
      <c r="R12647" s="359">
        <v>5</v>
      </c>
    </row>
    <row r="12648" spans="1:18" ht="12.75" customHeight="1">
      <c r="A12648" s="628" t="s">
        <v>19144</v>
      </c>
      <c r="B12648" s="629"/>
      <c r="C12648" s="629"/>
      <c r="D12648" s="629"/>
      <c r="E12648" s="629"/>
      <c r="F12648" s="629"/>
      <c r="G12648" s="629"/>
      <c r="H12648" s="629"/>
      <c r="I12648" s="629"/>
      <c r="J12648" s="629"/>
      <c r="K12648" s="629"/>
      <c r="L12648" s="629"/>
      <c r="M12648" s="629"/>
      <c r="N12648" s="629"/>
      <c r="O12648" s="629"/>
      <c r="P12648" s="629"/>
      <c r="Q12648" s="629"/>
      <c r="R12648" s="629"/>
    </row>
    <row r="12649" spans="1:18" ht="36">
      <c r="A12649" s="355">
        <v>204</v>
      </c>
      <c r="B12649" s="352" t="s">
        <v>22989</v>
      </c>
      <c r="C12649" s="356" t="s">
        <v>22990</v>
      </c>
      <c r="D12649" s="357">
        <v>313.58999999999997</v>
      </c>
      <c r="E12649" s="357">
        <v>219.46</v>
      </c>
      <c r="F12649" s="357">
        <v>87.97</v>
      </c>
      <c r="G12649" s="357">
        <v>6.16</v>
      </c>
      <c r="H12649" s="358">
        <v>3066.32</v>
      </c>
      <c r="I12649" s="358">
        <v>2523.87</v>
      </c>
      <c r="J12649" s="358">
        <v>476.46</v>
      </c>
      <c r="K12649" s="358">
        <v>65.989999999999995</v>
      </c>
      <c r="L12649" s="43">
        <v>9.7781179246787211</v>
      </c>
      <c r="M12649" s="43">
        <v>11.500364531121843</v>
      </c>
      <c r="N12649" s="43">
        <v>5.4161646015687168</v>
      </c>
      <c r="O12649" s="43">
        <v>10.712662337662337</v>
      </c>
      <c r="P12649" s="359"/>
      <c r="Q12649" s="359"/>
      <c r="R12649" s="359">
        <v>6</v>
      </c>
    </row>
    <row r="12650" spans="1:18" ht="12.75" customHeight="1">
      <c r="A12650" s="628" t="s">
        <v>22991</v>
      </c>
      <c r="B12650" s="629"/>
      <c r="C12650" s="629"/>
      <c r="D12650" s="629"/>
      <c r="E12650" s="629"/>
      <c r="F12650" s="629"/>
      <c r="G12650" s="629"/>
      <c r="H12650" s="629"/>
      <c r="I12650" s="629"/>
      <c r="J12650" s="629"/>
      <c r="K12650" s="629"/>
      <c r="L12650" s="629"/>
      <c r="M12650" s="629"/>
      <c r="N12650" s="629"/>
      <c r="O12650" s="629"/>
      <c r="P12650" s="629"/>
      <c r="Q12650" s="629"/>
      <c r="R12650" s="629"/>
    </row>
    <row r="12651" spans="1:18" ht="12.75" customHeight="1">
      <c r="A12651" s="628" t="s">
        <v>22992</v>
      </c>
      <c r="B12651" s="629"/>
      <c r="C12651" s="629"/>
      <c r="D12651" s="629"/>
      <c r="E12651" s="629"/>
      <c r="F12651" s="629"/>
      <c r="G12651" s="629"/>
      <c r="H12651" s="629"/>
      <c r="I12651" s="629"/>
      <c r="J12651" s="629"/>
      <c r="K12651" s="629"/>
      <c r="L12651" s="629"/>
      <c r="M12651" s="629"/>
      <c r="N12651" s="629"/>
      <c r="O12651" s="629"/>
      <c r="P12651" s="629"/>
      <c r="Q12651" s="629"/>
      <c r="R12651" s="629"/>
    </row>
    <row r="12652" spans="1:18" ht="24">
      <c r="A12652" s="355">
        <v>205</v>
      </c>
      <c r="B12652" s="352" t="s">
        <v>22993</v>
      </c>
      <c r="C12652" s="356" t="s">
        <v>22994</v>
      </c>
      <c r="D12652" s="357">
        <v>8673.48</v>
      </c>
      <c r="E12652" s="357">
        <v>2034.44</v>
      </c>
      <c r="F12652" s="357">
        <v>5902.24</v>
      </c>
      <c r="G12652" s="357">
        <v>736.8</v>
      </c>
      <c r="H12652" s="358">
        <v>57950.47</v>
      </c>
      <c r="I12652" s="358">
        <v>23396.06</v>
      </c>
      <c r="J12652" s="358">
        <v>31758.63</v>
      </c>
      <c r="K12652" s="358">
        <v>2795.78</v>
      </c>
      <c r="L12652" s="43">
        <v>6.6813401310661931</v>
      </c>
      <c r="M12652" s="43">
        <v>11.5</v>
      </c>
      <c r="N12652" s="43">
        <v>5.3807757732657437</v>
      </c>
      <c r="O12652" s="43">
        <v>3.7944896851248648</v>
      </c>
      <c r="P12652" s="359"/>
      <c r="Q12652" s="359"/>
      <c r="R12652" s="359">
        <v>1</v>
      </c>
    </row>
    <row r="12653" spans="1:18" ht="24">
      <c r="A12653" s="355">
        <v>206</v>
      </c>
      <c r="B12653" s="352" t="s">
        <v>22995</v>
      </c>
      <c r="C12653" s="356" t="s">
        <v>22996</v>
      </c>
      <c r="D12653" s="357">
        <v>13353.49</v>
      </c>
      <c r="E12653" s="357">
        <v>3461.92</v>
      </c>
      <c r="F12653" s="357">
        <v>8561.7999999999993</v>
      </c>
      <c r="G12653" s="357">
        <v>1329.77</v>
      </c>
      <c r="H12653" s="358">
        <v>90374.8</v>
      </c>
      <c r="I12653" s="358">
        <v>39812.080000000002</v>
      </c>
      <c r="J12653" s="358">
        <v>46085.54</v>
      </c>
      <c r="K12653" s="358">
        <v>4477.18</v>
      </c>
      <c r="L12653" s="43">
        <v>6.7678786594365974</v>
      </c>
      <c r="M12653" s="43">
        <v>11.5</v>
      </c>
      <c r="N12653" s="43">
        <v>5.3826928916816561</v>
      </c>
      <c r="O12653" s="43">
        <v>3.3668829948036127</v>
      </c>
      <c r="P12653" s="359"/>
      <c r="Q12653" s="359"/>
      <c r="R12653" s="359">
        <v>1</v>
      </c>
    </row>
    <row r="12654" spans="1:18" ht="24">
      <c r="A12654" s="355">
        <v>207</v>
      </c>
      <c r="B12654" s="352" t="s">
        <v>22997</v>
      </c>
      <c r="C12654" s="356" t="s">
        <v>22998</v>
      </c>
      <c r="D12654" s="357">
        <v>5275.95</v>
      </c>
      <c r="E12654" s="357">
        <v>1317.76</v>
      </c>
      <c r="F12654" s="357">
        <v>3064.74</v>
      </c>
      <c r="G12654" s="357">
        <v>893.45</v>
      </c>
      <c r="H12654" s="358">
        <v>34769.54</v>
      </c>
      <c r="I12654" s="358">
        <v>15154.24</v>
      </c>
      <c r="J12654" s="358">
        <v>16512.580000000002</v>
      </c>
      <c r="K12654" s="358">
        <v>3102.72</v>
      </c>
      <c r="L12654" s="43">
        <v>6.5901951307347497</v>
      </c>
      <c r="M12654" s="43">
        <v>11.5</v>
      </c>
      <c r="N12654" s="43">
        <v>5.3879219770682028</v>
      </c>
      <c r="O12654" s="43">
        <v>3.4727405003077951</v>
      </c>
      <c r="P12654" s="359"/>
      <c r="Q12654" s="359"/>
      <c r="R12654" s="359">
        <v>1</v>
      </c>
    </row>
    <row r="12655" spans="1:18" ht="24">
      <c r="A12655" s="355">
        <v>208</v>
      </c>
      <c r="B12655" s="352" t="s">
        <v>22999</v>
      </c>
      <c r="C12655" s="356" t="s">
        <v>23000</v>
      </c>
      <c r="D12655" s="357">
        <v>82917.289999999994</v>
      </c>
      <c r="E12655" s="357">
        <v>21220.48</v>
      </c>
      <c r="F12655" s="357">
        <v>44465.83</v>
      </c>
      <c r="G12655" s="357">
        <v>17230.98</v>
      </c>
      <c r="H12655" s="358">
        <v>534855.81999999995</v>
      </c>
      <c r="I12655" s="358">
        <v>244035.52</v>
      </c>
      <c r="J12655" s="358">
        <v>239159.69</v>
      </c>
      <c r="K12655" s="358">
        <v>51660.61</v>
      </c>
      <c r="L12655" s="43">
        <v>6.4504739602560575</v>
      </c>
      <c r="M12655" s="43">
        <v>11.5</v>
      </c>
      <c r="N12655" s="43">
        <v>5.3785050228456317</v>
      </c>
      <c r="O12655" s="43">
        <v>2.9981237283079665</v>
      </c>
      <c r="P12655" s="359"/>
      <c r="Q12655" s="359"/>
      <c r="R12655" s="359">
        <v>1</v>
      </c>
    </row>
    <row r="12656" spans="1:18" ht="12.75" customHeight="1">
      <c r="A12656" s="628" t="s">
        <v>23001</v>
      </c>
      <c r="B12656" s="629"/>
      <c r="C12656" s="629"/>
      <c r="D12656" s="629"/>
      <c r="E12656" s="629"/>
      <c r="F12656" s="629"/>
      <c r="G12656" s="629"/>
      <c r="H12656" s="629"/>
      <c r="I12656" s="629"/>
      <c r="J12656" s="629"/>
      <c r="K12656" s="629"/>
      <c r="L12656" s="629"/>
      <c r="M12656" s="629"/>
      <c r="N12656" s="629"/>
      <c r="O12656" s="629"/>
      <c r="P12656" s="629"/>
      <c r="Q12656" s="629"/>
      <c r="R12656" s="629"/>
    </row>
    <row r="12657" spans="1:18" ht="12.75" customHeight="1">
      <c r="A12657" s="628" t="s">
        <v>23002</v>
      </c>
      <c r="B12657" s="629"/>
      <c r="C12657" s="629"/>
      <c r="D12657" s="629"/>
      <c r="E12657" s="629"/>
      <c r="F12657" s="629"/>
      <c r="G12657" s="629"/>
      <c r="H12657" s="629"/>
      <c r="I12657" s="629"/>
      <c r="J12657" s="629"/>
      <c r="K12657" s="629"/>
      <c r="L12657" s="629"/>
      <c r="M12657" s="629"/>
      <c r="N12657" s="629"/>
      <c r="O12657" s="629"/>
      <c r="P12657" s="629"/>
      <c r="Q12657" s="629"/>
      <c r="R12657" s="629"/>
    </row>
    <row r="12658" spans="1:18" ht="24">
      <c r="A12658" s="355">
        <v>209</v>
      </c>
      <c r="B12658" s="352" t="s">
        <v>23003</v>
      </c>
      <c r="C12658" s="356" t="s">
        <v>23004</v>
      </c>
      <c r="D12658" s="357">
        <v>359.46</v>
      </c>
      <c r="E12658" s="357">
        <v>243.1</v>
      </c>
      <c r="F12658" s="357">
        <v>103.34</v>
      </c>
      <c r="G12658" s="357">
        <v>13.02</v>
      </c>
      <c r="H12658" s="358">
        <v>3483.35</v>
      </c>
      <c r="I12658" s="358">
        <v>2795.7</v>
      </c>
      <c r="J12658" s="358">
        <v>560.24</v>
      </c>
      <c r="K12658" s="358">
        <v>127.41</v>
      </c>
      <c r="L12658" s="43">
        <v>9.6905079841985202</v>
      </c>
      <c r="M12658" s="43">
        <v>11.500205676676265</v>
      </c>
      <c r="N12658" s="43">
        <v>5.4213276562802397</v>
      </c>
      <c r="O12658" s="43">
        <v>9.7857142857142865</v>
      </c>
      <c r="P12658" s="359"/>
      <c r="Q12658" s="359"/>
      <c r="R12658" s="359">
        <v>1</v>
      </c>
    </row>
    <row r="12659" spans="1:18" ht="12.75" customHeight="1">
      <c r="A12659" s="628" t="s">
        <v>19144</v>
      </c>
      <c r="B12659" s="629"/>
      <c r="C12659" s="629"/>
      <c r="D12659" s="629"/>
      <c r="E12659" s="629"/>
      <c r="F12659" s="629"/>
      <c r="G12659" s="629"/>
      <c r="H12659" s="629"/>
      <c r="I12659" s="629"/>
      <c r="J12659" s="629"/>
      <c r="K12659" s="629"/>
      <c r="L12659" s="629"/>
      <c r="M12659" s="629"/>
      <c r="N12659" s="629"/>
      <c r="O12659" s="629"/>
      <c r="P12659" s="629"/>
      <c r="Q12659" s="629"/>
      <c r="R12659" s="629"/>
    </row>
    <row r="12660" spans="1:18" ht="24">
      <c r="A12660" s="355">
        <v>210</v>
      </c>
      <c r="B12660" s="352" t="s">
        <v>23005</v>
      </c>
      <c r="C12660" s="356" t="s">
        <v>23006</v>
      </c>
      <c r="D12660" s="357">
        <v>404.17</v>
      </c>
      <c r="E12660" s="357">
        <v>255.6</v>
      </c>
      <c r="F12660" s="357">
        <v>140.74</v>
      </c>
      <c r="G12660" s="357">
        <v>7.83</v>
      </c>
      <c r="H12660" s="358">
        <v>3784.7</v>
      </c>
      <c r="I12660" s="358">
        <v>2939.4</v>
      </c>
      <c r="J12660" s="358">
        <v>762.69</v>
      </c>
      <c r="K12660" s="358">
        <v>82.61</v>
      </c>
      <c r="L12660" s="43">
        <v>9.3641289556374776</v>
      </c>
      <c r="M12660" s="43">
        <v>11.5</v>
      </c>
      <c r="N12660" s="43">
        <v>5.4191416796930509</v>
      </c>
      <c r="O12660" s="43">
        <v>10.55044699872286</v>
      </c>
      <c r="P12660" s="359"/>
      <c r="Q12660" s="359"/>
      <c r="R12660" s="359">
        <v>2</v>
      </c>
    </row>
    <row r="12661" spans="1:18" ht="24">
      <c r="A12661" s="355">
        <v>211</v>
      </c>
      <c r="B12661" s="352" t="s">
        <v>23007</v>
      </c>
      <c r="C12661" s="356" t="s">
        <v>23008</v>
      </c>
      <c r="D12661" s="357">
        <v>250.02</v>
      </c>
      <c r="E12661" s="357">
        <v>204.48</v>
      </c>
      <c r="F12661" s="357">
        <v>41.3</v>
      </c>
      <c r="G12661" s="357">
        <v>4.24</v>
      </c>
      <c r="H12661" s="358">
        <v>2623.14</v>
      </c>
      <c r="I12661" s="358">
        <v>2351.52</v>
      </c>
      <c r="J12661" s="358">
        <v>223.93</v>
      </c>
      <c r="K12661" s="358">
        <v>47.69</v>
      </c>
      <c r="L12661" s="43">
        <v>10.491720662347012</v>
      </c>
      <c r="M12661" s="43">
        <v>11.5</v>
      </c>
      <c r="N12661" s="43">
        <v>5.4220338983050853</v>
      </c>
      <c r="O12661" s="43">
        <v>11.247641509433961</v>
      </c>
      <c r="P12661" s="359"/>
      <c r="Q12661" s="359"/>
      <c r="R12661" s="359">
        <v>2</v>
      </c>
    </row>
    <row r="12662" spans="1:18" ht="24">
      <c r="A12662" s="355">
        <v>212</v>
      </c>
      <c r="B12662" s="352" t="s">
        <v>23009</v>
      </c>
      <c r="C12662" s="356" t="s">
        <v>23010</v>
      </c>
      <c r="D12662" s="357">
        <v>890.28</v>
      </c>
      <c r="E12662" s="357">
        <v>561.17999999999995</v>
      </c>
      <c r="F12662" s="357">
        <v>313.26</v>
      </c>
      <c r="G12662" s="357">
        <v>15.84</v>
      </c>
      <c r="H12662" s="358">
        <v>8316.84</v>
      </c>
      <c r="I12662" s="358">
        <v>6453.62</v>
      </c>
      <c r="J12662" s="358">
        <v>1693.66</v>
      </c>
      <c r="K12662" s="358">
        <v>169.56</v>
      </c>
      <c r="L12662" s="43">
        <v>9.341825043806443</v>
      </c>
      <c r="M12662" s="43">
        <v>11.500089097972131</v>
      </c>
      <c r="N12662" s="43">
        <v>5.4065632382046864</v>
      </c>
      <c r="O12662" s="43">
        <v>10.704545454545455</v>
      </c>
      <c r="P12662" s="359"/>
      <c r="Q12662" s="359"/>
      <c r="R12662" s="359">
        <v>2</v>
      </c>
    </row>
    <row r="12663" spans="1:18" ht="24">
      <c r="A12663" s="355">
        <v>213</v>
      </c>
      <c r="B12663" s="352" t="s">
        <v>23011</v>
      </c>
      <c r="C12663" s="356" t="s">
        <v>23012</v>
      </c>
      <c r="D12663" s="357">
        <v>571.6</v>
      </c>
      <c r="E12663" s="357">
        <v>382.83</v>
      </c>
      <c r="F12663" s="357">
        <v>168.92</v>
      </c>
      <c r="G12663" s="357">
        <v>19.850000000000001</v>
      </c>
      <c r="H12663" s="358">
        <v>5469.78</v>
      </c>
      <c r="I12663" s="358">
        <v>4402.57</v>
      </c>
      <c r="J12663" s="358">
        <v>914.11</v>
      </c>
      <c r="K12663" s="358">
        <v>153.1</v>
      </c>
      <c r="L12663" s="43">
        <v>9.5692442267319802</v>
      </c>
      <c r="M12663" s="43">
        <v>11.500065303137163</v>
      </c>
      <c r="N12663" s="43">
        <v>5.4114965664219756</v>
      </c>
      <c r="O12663" s="43">
        <v>7.7128463476070523</v>
      </c>
      <c r="P12663" s="359"/>
      <c r="Q12663" s="359"/>
      <c r="R12663" s="359">
        <v>2</v>
      </c>
    </row>
    <row r="12664" spans="1:18" ht="24">
      <c r="A12664" s="355">
        <v>214</v>
      </c>
      <c r="B12664" s="352" t="s">
        <v>23013</v>
      </c>
      <c r="C12664" s="356" t="s">
        <v>23014</v>
      </c>
      <c r="D12664" s="357">
        <v>2335.14</v>
      </c>
      <c r="E12664" s="357">
        <v>1088.29</v>
      </c>
      <c r="F12664" s="357">
        <v>1196.6300000000001</v>
      </c>
      <c r="G12664" s="357">
        <v>50.22</v>
      </c>
      <c r="H12664" s="358">
        <v>19497.97</v>
      </c>
      <c r="I12664" s="358">
        <v>12515.31</v>
      </c>
      <c r="J12664" s="358">
        <v>6551.41</v>
      </c>
      <c r="K12664" s="358">
        <v>431.25</v>
      </c>
      <c r="L12664" s="43">
        <v>8.3498077203079912</v>
      </c>
      <c r="M12664" s="43">
        <v>11.499977028181826</v>
      </c>
      <c r="N12664" s="43">
        <v>5.4748836315318847</v>
      </c>
      <c r="O12664" s="43">
        <v>8.5872162485065715</v>
      </c>
      <c r="P12664" s="359"/>
      <c r="Q12664" s="359"/>
      <c r="R12664" s="359">
        <v>2</v>
      </c>
    </row>
    <row r="12665" spans="1:18" ht="24">
      <c r="A12665" s="355">
        <v>215</v>
      </c>
      <c r="B12665" s="352" t="s">
        <v>23015</v>
      </c>
      <c r="C12665" s="356" t="s">
        <v>23016</v>
      </c>
      <c r="D12665" s="357">
        <v>452.39</v>
      </c>
      <c r="E12665" s="357">
        <v>266.95999999999998</v>
      </c>
      <c r="F12665" s="357">
        <v>173.29</v>
      </c>
      <c r="G12665" s="357">
        <v>12.14</v>
      </c>
      <c r="H12665" s="358">
        <v>4130.1099999999997</v>
      </c>
      <c r="I12665" s="358">
        <v>3070.04</v>
      </c>
      <c r="J12665" s="358">
        <v>939.06</v>
      </c>
      <c r="K12665" s="358">
        <v>121.01</v>
      </c>
      <c r="L12665" s="43">
        <v>9.1295342514202336</v>
      </c>
      <c r="M12665" s="43">
        <v>11.5</v>
      </c>
      <c r="N12665" s="43">
        <v>5.4190085983034217</v>
      </c>
      <c r="O12665" s="43">
        <v>9.9678747940691927</v>
      </c>
      <c r="P12665" s="359"/>
      <c r="Q12665" s="359"/>
      <c r="R12665" s="359">
        <v>2</v>
      </c>
    </row>
    <row r="12666" spans="1:18" ht="24">
      <c r="A12666" s="355">
        <v>216</v>
      </c>
      <c r="B12666" s="352" t="s">
        <v>23017</v>
      </c>
      <c r="C12666" s="356" t="s">
        <v>23018</v>
      </c>
      <c r="D12666" s="357">
        <v>474.18</v>
      </c>
      <c r="E12666" s="357">
        <v>266.95999999999998</v>
      </c>
      <c r="F12666" s="357">
        <v>189.73</v>
      </c>
      <c r="G12666" s="357">
        <v>17.489999999999998</v>
      </c>
      <c r="H12666" s="358">
        <v>4251.07</v>
      </c>
      <c r="I12666" s="358">
        <v>3070.04</v>
      </c>
      <c r="J12666" s="358">
        <v>1026.82</v>
      </c>
      <c r="K12666" s="358">
        <v>154.21</v>
      </c>
      <c r="L12666" s="43">
        <v>8.9650976422455599</v>
      </c>
      <c r="M12666" s="43">
        <v>11.5</v>
      </c>
      <c r="N12666" s="43">
        <v>5.4120065356032256</v>
      </c>
      <c r="O12666" s="43">
        <v>8.8170383076043457</v>
      </c>
      <c r="P12666" s="359"/>
      <c r="Q12666" s="359"/>
      <c r="R12666" s="359">
        <v>2</v>
      </c>
    </row>
    <row r="12667" spans="1:18" ht="24">
      <c r="A12667" s="355">
        <v>217</v>
      </c>
      <c r="B12667" s="352" t="s">
        <v>23019</v>
      </c>
      <c r="C12667" s="356" t="s">
        <v>23020</v>
      </c>
      <c r="D12667" s="357">
        <v>813.81</v>
      </c>
      <c r="E12667" s="357">
        <v>395.33</v>
      </c>
      <c r="F12667" s="357">
        <v>394.25</v>
      </c>
      <c r="G12667" s="357">
        <v>24.23</v>
      </c>
      <c r="H12667" s="358">
        <v>6911.35</v>
      </c>
      <c r="I12667" s="358">
        <v>4546.2700000000004</v>
      </c>
      <c r="J12667" s="358">
        <v>2131.0700000000002</v>
      </c>
      <c r="K12667" s="358">
        <v>234.01</v>
      </c>
      <c r="L12667" s="43">
        <v>8.4925842641402802</v>
      </c>
      <c r="M12667" s="43">
        <v>11.499936761692764</v>
      </c>
      <c r="N12667" s="43">
        <v>5.4053772986683581</v>
      </c>
      <c r="O12667" s="43">
        <v>9.6578621543541061</v>
      </c>
      <c r="P12667" s="359"/>
      <c r="Q12667" s="359"/>
      <c r="R12667" s="359">
        <v>2</v>
      </c>
    </row>
    <row r="12668" spans="1:18" ht="24">
      <c r="A12668" s="355">
        <v>218</v>
      </c>
      <c r="B12668" s="352" t="s">
        <v>23021</v>
      </c>
      <c r="C12668" s="356" t="s">
        <v>23022</v>
      </c>
      <c r="D12668" s="357">
        <v>821.25</v>
      </c>
      <c r="E12668" s="357">
        <v>421.46</v>
      </c>
      <c r="F12668" s="357">
        <v>347.24</v>
      </c>
      <c r="G12668" s="357">
        <v>52.55</v>
      </c>
      <c r="H12668" s="358">
        <v>7198.26</v>
      </c>
      <c r="I12668" s="358">
        <v>4846.74</v>
      </c>
      <c r="J12668" s="358">
        <v>1879.24</v>
      </c>
      <c r="K12668" s="358">
        <v>472.28</v>
      </c>
      <c r="L12668" s="43">
        <v>8.7650045662100453</v>
      </c>
      <c r="M12668" s="43">
        <v>11.499881364779576</v>
      </c>
      <c r="N12668" s="43">
        <v>5.4119341089736208</v>
      </c>
      <c r="O12668" s="43">
        <v>8.9872502378686967</v>
      </c>
      <c r="P12668" s="359"/>
      <c r="Q12668" s="359"/>
      <c r="R12668" s="359">
        <v>2</v>
      </c>
    </row>
    <row r="12669" spans="1:18" ht="24">
      <c r="A12669" s="355">
        <v>219</v>
      </c>
      <c r="B12669" s="352" t="s">
        <v>23023</v>
      </c>
      <c r="C12669" s="356" t="s">
        <v>23024</v>
      </c>
      <c r="D12669" s="357">
        <v>369.92</v>
      </c>
      <c r="E12669" s="357">
        <v>280.58999999999997</v>
      </c>
      <c r="F12669" s="357">
        <v>81.58</v>
      </c>
      <c r="G12669" s="357">
        <v>7.75</v>
      </c>
      <c r="H12669" s="358">
        <v>3737.92</v>
      </c>
      <c r="I12669" s="358">
        <v>3226.81</v>
      </c>
      <c r="J12669" s="358">
        <v>435.64</v>
      </c>
      <c r="K12669" s="358">
        <v>75.47</v>
      </c>
      <c r="L12669" s="43">
        <v>10.104671280276817</v>
      </c>
      <c r="M12669" s="43">
        <v>11.500089097972131</v>
      </c>
      <c r="N12669" s="43">
        <v>5.3400343221377788</v>
      </c>
      <c r="O12669" s="43">
        <v>9.7380645161290325</v>
      </c>
      <c r="P12669" s="359"/>
      <c r="Q12669" s="359"/>
      <c r="R12669" s="359">
        <v>2</v>
      </c>
    </row>
    <row r="12670" spans="1:18" ht="24">
      <c r="A12670" s="355">
        <v>220</v>
      </c>
      <c r="B12670" s="352" t="s">
        <v>23025</v>
      </c>
      <c r="C12670" s="356" t="s">
        <v>23026</v>
      </c>
      <c r="D12670" s="357">
        <v>42346.53</v>
      </c>
      <c r="E12670" s="357">
        <v>24393.27</v>
      </c>
      <c r="F12670" s="357">
        <v>15873.94</v>
      </c>
      <c r="G12670" s="357">
        <v>2079.3200000000002</v>
      </c>
      <c r="H12670" s="358">
        <v>380890.02</v>
      </c>
      <c r="I12670" s="358">
        <v>280533.21999999997</v>
      </c>
      <c r="J12670" s="358">
        <v>85473.99</v>
      </c>
      <c r="K12670" s="358">
        <v>14882.81</v>
      </c>
      <c r="L12670" s="43">
        <v>8.9945981406268718</v>
      </c>
      <c r="M12670" s="43">
        <v>11.500435161009571</v>
      </c>
      <c r="N12670" s="43">
        <v>5.384547881622332</v>
      </c>
      <c r="O12670" s="43">
        <v>7.1575370794298125</v>
      </c>
      <c r="P12670" s="359"/>
      <c r="Q12670" s="359"/>
      <c r="R12670" s="359">
        <v>2</v>
      </c>
    </row>
    <row r="12671" spans="1:18" ht="12.75" customHeight="1">
      <c r="A12671" s="628" t="s">
        <v>23027</v>
      </c>
      <c r="B12671" s="629"/>
      <c r="C12671" s="629"/>
      <c r="D12671" s="629"/>
      <c r="E12671" s="629"/>
      <c r="F12671" s="629"/>
      <c r="G12671" s="629"/>
      <c r="H12671" s="629"/>
      <c r="I12671" s="629"/>
      <c r="J12671" s="629"/>
      <c r="K12671" s="629"/>
      <c r="L12671" s="629"/>
      <c r="M12671" s="629"/>
      <c r="N12671" s="629"/>
      <c r="O12671" s="629"/>
      <c r="P12671" s="629"/>
      <c r="Q12671" s="629"/>
      <c r="R12671" s="629"/>
    </row>
    <row r="12672" spans="1:18" ht="12.75" customHeight="1">
      <c r="A12672" s="628" t="s">
        <v>23028</v>
      </c>
      <c r="B12672" s="629"/>
      <c r="C12672" s="629"/>
      <c r="D12672" s="629"/>
      <c r="E12672" s="629"/>
      <c r="F12672" s="629"/>
      <c r="G12672" s="629"/>
      <c r="H12672" s="629"/>
      <c r="I12672" s="629"/>
      <c r="J12672" s="629"/>
      <c r="K12672" s="629"/>
      <c r="L12672" s="629"/>
      <c r="M12672" s="629"/>
      <c r="N12672" s="629"/>
      <c r="O12672" s="629"/>
      <c r="P12672" s="629"/>
      <c r="Q12672" s="629"/>
      <c r="R12672" s="629"/>
    </row>
    <row r="12673" spans="1:18" ht="36">
      <c r="A12673" s="355">
        <v>221</v>
      </c>
      <c r="B12673" s="352" t="s">
        <v>23029</v>
      </c>
      <c r="C12673" s="356" t="s">
        <v>23030</v>
      </c>
      <c r="D12673" s="357">
        <v>9991.64</v>
      </c>
      <c r="E12673" s="357">
        <v>3930.56</v>
      </c>
      <c r="F12673" s="357">
        <v>5867.97</v>
      </c>
      <c r="G12673" s="357">
        <v>193.11</v>
      </c>
      <c r="H12673" s="358">
        <v>78174.080000000002</v>
      </c>
      <c r="I12673" s="358">
        <v>45201.440000000002</v>
      </c>
      <c r="J12673" s="358">
        <v>31143.040000000001</v>
      </c>
      <c r="K12673" s="358">
        <v>1829.6</v>
      </c>
      <c r="L12673" s="43">
        <v>7.8239488212145361</v>
      </c>
      <c r="M12673" s="43">
        <v>11.5</v>
      </c>
      <c r="N12673" s="43">
        <v>5.3072936637372035</v>
      </c>
      <c r="O12673" s="43">
        <v>9.4743928331003051</v>
      </c>
      <c r="P12673" s="359"/>
      <c r="Q12673" s="359"/>
      <c r="R12673" s="359">
        <v>1</v>
      </c>
    </row>
    <row r="12674" spans="1:18" ht="24">
      <c r="A12674" s="355">
        <v>222</v>
      </c>
      <c r="B12674" s="352" t="s">
        <v>23031</v>
      </c>
      <c r="C12674" s="356" t="s">
        <v>23032</v>
      </c>
      <c r="D12674" s="357">
        <v>553.72</v>
      </c>
      <c r="E12674" s="357">
        <v>257.39999999999998</v>
      </c>
      <c r="F12674" s="357">
        <v>260.01</v>
      </c>
      <c r="G12674" s="357">
        <v>36.31</v>
      </c>
      <c r="H12674" s="358">
        <v>4655.29</v>
      </c>
      <c r="I12674" s="358">
        <v>2960.05</v>
      </c>
      <c r="J12674" s="358">
        <v>1415.95</v>
      </c>
      <c r="K12674" s="358">
        <v>279.29000000000002</v>
      </c>
      <c r="L12674" s="43">
        <v>8.4072997182691616</v>
      </c>
      <c r="M12674" s="43">
        <v>11.499805749805752</v>
      </c>
      <c r="N12674" s="43">
        <v>5.4457520864582136</v>
      </c>
      <c r="O12674" s="43">
        <v>7.6918204351418344</v>
      </c>
      <c r="P12674" s="359"/>
      <c r="Q12674" s="359"/>
      <c r="R12674" s="359">
        <v>1</v>
      </c>
    </row>
    <row r="12675" spans="1:18" ht="36">
      <c r="A12675" s="355">
        <v>223</v>
      </c>
      <c r="B12675" s="352" t="s">
        <v>23033</v>
      </c>
      <c r="C12675" s="356" t="s">
        <v>23034</v>
      </c>
      <c r="D12675" s="357">
        <v>8991.4699999999993</v>
      </c>
      <c r="E12675" s="357">
        <v>3283.04</v>
      </c>
      <c r="F12675" s="357">
        <v>5570.67</v>
      </c>
      <c r="G12675" s="357">
        <v>137.76</v>
      </c>
      <c r="H12675" s="358">
        <v>68531.8</v>
      </c>
      <c r="I12675" s="358">
        <v>37754.959999999999</v>
      </c>
      <c r="J12675" s="358">
        <v>29518.86</v>
      </c>
      <c r="K12675" s="358">
        <v>1257.98</v>
      </c>
      <c r="L12675" s="43">
        <v>7.6218682818271102</v>
      </c>
      <c r="M12675" s="43">
        <v>11.5</v>
      </c>
      <c r="N12675" s="43">
        <v>5.2989783993666828</v>
      </c>
      <c r="O12675" s="43">
        <v>9.1316782810685257</v>
      </c>
      <c r="P12675" s="359"/>
      <c r="Q12675" s="359"/>
      <c r="R12675" s="359">
        <v>1</v>
      </c>
    </row>
    <row r="12676" spans="1:18" ht="24">
      <c r="A12676" s="355">
        <v>224</v>
      </c>
      <c r="B12676" s="352" t="s">
        <v>23035</v>
      </c>
      <c r="C12676" s="356" t="s">
        <v>23036</v>
      </c>
      <c r="D12676" s="357">
        <v>11078.98</v>
      </c>
      <c r="E12676" s="357">
        <v>4271.3599999999997</v>
      </c>
      <c r="F12676" s="357">
        <v>6631.14</v>
      </c>
      <c r="G12676" s="357">
        <v>176.48</v>
      </c>
      <c r="H12676" s="358">
        <v>85886.720000000001</v>
      </c>
      <c r="I12676" s="358">
        <v>49120.639999999999</v>
      </c>
      <c r="J12676" s="358">
        <v>35148.050000000003</v>
      </c>
      <c r="K12676" s="358">
        <v>1618.03</v>
      </c>
      <c r="L12676" s="43">
        <v>7.7522226775389074</v>
      </c>
      <c r="M12676" s="43">
        <v>11.5</v>
      </c>
      <c r="N12676" s="43">
        <v>5.3004536173267347</v>
      </c>
      <c r="O12676" s="43">
        <v>9.1683476881233013</v>
      </c>
      <c r="P12676" s="359"/>
      <c r="Q12676" s="359"/>
      <c r="R12676" s="359">
        <v>1</v>
      </c>
    </row>
    <row r="12677" spans="1:18" ht="48">
      <c r="A12677" s="355">
        <v>225</v>
      </c>
      <c r="B12677" s="352" t="s">
        <v>23037</v>
      </c>
      <c r="C12677" s="356" t="s">
        <v>23038</v>
      </c>
      <c r="D12677" s="357">
        <v>14757.46</v>
      </c>
      <c r="E12677" s="357">
        <v>5418.72</v>
      </c>
      <c r="F12677" s="357">
        <v>9116.24</v>
      </c>
      <c r="G12677" s="357">
        <v>222.5</v>
      </c>
      <c r="H12677" s="358">
        <v>112787.38</v>
      </c>
      <c r="I12677" s="358">
        <v>62315.28</v>
      </c>
      <c r="J12677" s="358">
        <v>48427.59</v>
      </c>
      <c r="K12677" s="358">
        <v>2044.51</v>
      </c>
      <c r="L12677" s="43">
        <v>7.642736622697945</v>
      </c>
      <c r="M12677" s="43">
        <v>11.5</v>
      </c>
      <c r="N12677" s="43">
        <v>5.312232894263424</v>
      </c>
      <c r="O12677" s="43">
        <v>9.1888089887640447</v>
      </c>
      <c r="P12677" s="359"/>
      <c r="Q12677" s="359"/>
      <c r="R12677" s="359">
        <v>1</v>
      </c>
    </row>
    <row r="12678" spans="1:18" ht="24">
      <c r="A12678" s="355">
        <v>226</v>
      </c>
      <c r="B12678" s="352" t="s">
        <v>23039</v>
      </c>
      <c r="C12678" s="356" t="s">
        <v>23040</v>
      </c>
      <c r="D12678" s="357">
        <v>2693.94</v>
      </c>
      <c r="E12678" s="357">
        <v>1026.94</v>
      </c>
      <c r="F12678" s="357">
        <v>1646.46</v>
      </c>
      <c r="G12678" s="357">
        <v>20.54</v>
      </c>
      <c r="H12678" s="358">
        <v>20949.59</v>
      </c>
      <c r="I12678" s="358">
        <v>11809.86</v>
      </c>
      <c r="J12678" s="358">
        <v>8903.52</v>
      </c>
      <c r="K12678" s="358">
        <v>236.21</v>
      </c>
      <c r="L12678" s="43">
        <v>7.7765614675902208</v>
      </c>
      <c r="M12678" s="43">
        <v>11.500048688336221</v>
      </c>
      <c r="N12678" s="43">
        <v>5.4076746474253854</v>
      </c>
      <c r="O12678" s="43">
        <v>11.5</v>
      </c>
      <c r="P12678" s="359"/>
      <c r="Q12678" s="359"/>
      <c r="R12678" s="359">
        <v>1</v>
      </c>
    </row>
    <row r="12679" spans="1:18" ht="24">
      <c r="A12679" s="355">
        <v>227</v>
      </c>
      <c r="B12679" s="352" t="s">
        <v>23041</v>
      </c>
      <c r="C12679" s="356" t="s">
        <v>23042</v>
      </c>
      <c r="D12679" s="357">
        <v>12464.16</v>
      </c>
      <c r="E12679" s="357">
        <v>3896.48</v>
      </c>
      <c r="F12679" s="357">
        <v>8131.19</v>
      </c>
      <c r="G12679" s="357">
        <v>436.49</v>
      </c>
      <c r="H12679" s="358">
        <v>91873.93</v>
      </c>
      <c r="I12679" s="358">
        <v>44809.52</v>
      </c>
      <c r="J12679" s="358">
        <v>43493.41</v>
      </c>
      <c r="K12679" s="358">
        <v>3571</v>
      </c>
      <c r="L12679" s="43">
        <v>7.3710486707487703</v>
      </c>
      <c r="M12679" s="43">
        <v>11.5</v>
      </c>
      <c r="N12679" s="43">
        <v>5.3489599923258471</v>
      </c>
      <c r="O12679" s="43">
        <v>8.1811725354532747</v>
      </c>
      <c r="P12679" s="359"/>
      <c r="Q12679" s="359"/>
      <c r="R12679" s="359">
        <v>1</v>
      </c>
    </row>
    <row r="12680" spans="1:18" ht="24">
      <c r="A12680" s="355">
        <v>228</v>
      </c>
      <c r="B12680" s="352" t="s">
        <v>23043</v>
      </c>
      <c r="C12680" s="356" t="s">
        <v>23044</v>
      </c>
      <c r="D12680" s="357">
        <v>1338.31</v>
      </c>
      <c r="E12680" s="357">
        <v>457.81</v>
      </c>
      <c r="F12680" s="357">
        <v>867.26</v>
      </c>
      <c r="G12680" s="357">
        <v>13.24</v>
      </c>
      <c r="H12680" s="358">
        <v>9879.36</v>
      </c>
      <c r="I12680" s="358">
        <v>5264.79</v>
      </c>
      <c r="J12680" s="358">
        <v>4473.47</v>
      </c>
      <c r="K12680" s="358">
        <v>141.1</v>
      </c>
      <c r="L12680" s="43">
        <v>7.3819668088858341</v>
      </c>
      <c r="M12680" s="43">
        <v>11.499945392193268</v>
      </c>
      <c r="N12680" s="43">
        <v>5.1581647948712037</v>
      </c>
      <c r="O12680" s="43">
        <v>10.657099697885196</v>
      </c>
      <c r="P12680" s="359"/>
      <c r="Q12680" s="359"/>
      <c r="R12680" s="359">
        <v>1</v>
      </c>
    </row>
    <row r="12681" spans="1:18" ht="36">
      <c r="A12681" s="355">
        <v>229</v>
      </c>
      <c r="B12681" s="352" t="s">
        <v>23045</v>
      </c>
      <c r="C12681" s="356" t="s">
        <v>23046</v>
      </c>
      <c r="D12681" s="357">
        <v>112063.53</v>
      </c>
      <c r="E12681" s="357">
        <v>31057.47</v>
      </c>
      <c r="F12681" s="357">
        <v>79914.149999999994</v>
      </c>
      <c r="G12681" s="357">
        <v>1091.9100000000001</v>
      </c>
      <c r="H12681" s="358">
        <v>768113.13</v>
      </c>
      <c r="I12681" s="358">
        <v>357174.42</v>
      </c>
      <c r="J12681" s="358">
        <v>400464.76</v>
      </c>
      <c r="K12681" s="358">
        <v>10473.950000000001</v>
      </c>
      <c r="L12681" s="43">
        <v>6.8542649870122778</v>
      </c>
      <c r="M12681" s="43">
        <v>11.500435161009573</v>
      </c>
      <c r="N12681" s="43">
        <v>5.0111871301890849</v>
      </c>
      <c r="O12681" s="43">
        <v>9.5923198798435774</v>
      </c>
      <c r="P12681" s="359"/>
      <c r="Q12681" s="359"/>
      <c r="R12681" s="359">
        <v>1</v>
      </c>
    </row>
    <row r="12682" spans="1:18" ht="36">
      <c r="A12682" s="355">
        <v>230</v>
      </c>
      <c r="B12682" s="352" t="s">
        <v>23047</v>
      </c>
      <c r="C12682" s="356" t="s">
        <v>23048</v>
      </c>
      <c r="D12682" s="357">
        <v>132753.32</v>
      </c>
      <c r="E12682" s="357">
        <v>36136.050000000003</v>
      </c>
      <c r="F12682" s="357">
        <v>95318.399999999994</v>
      </c>
      <c r="G12682" s="357">
        <v>1298.8699999999999</v>
      </c>
      <c r="H12682" s="358">
        <v>905972.11</v>
      </c>
      <c r="I12682" s="358">
        <v>415580.3</v>
      </c>
      <c r="J12682" s="358">
        <v>478005.48</v>
      </c>
      <c r="K12682" s="358">
        <v>12386.33</v>
      </c>
      <c r="L12682" s="43">
        <v>6.8244779866898995</v>
      </c>
      <c r="M12682" s="43">
        <v>11.500435161009571</v>
      </c>
      <c r="N12682" s="43">
        <v>5.0148290361567129</v>
      </c>
      <c r="O12682" s="43">
        <v>9.5362353430289417</v>
      </c>
      <c r="P12682" s="359"/>
      <c r="Q12682" s="359"/>
      <c r="R12682" s="359">
        <v>1</v>
      </c>
    </row>
    <row r="12683" spans="1:18" ht="36">
      <c r="A12683" s="355">
        <v>231</v>
      </c>
      <c r="B12683" s="352" t="s">
        <v>23049</v>
      </c>
      <c r="C12683" s="356" t="s">
        <v>23050</v>
      </c>
      <c r="D12683" s="357">
        <v>24421.81</v>
      </c>
      <c r="E12683" s="357">
        <v>8766.8700000000008</v>
      </c>
      <c r="F12683" s="357">
        <v>15408.15</v>
      </c>
      <c r="G12683" s="357">
        <v>246.79</v>
      </c>
      <c r="H12683" s="358">
        <v>184686.44</v>
      </c>
      <c r="I12683" s="358">
        <v>100822.82</v>
      </c>
      <c r="J12683" s="358">
        <v>81337.94</v>
      </c>
      <c r="K12683" s="358">
        <v>2525.6799999999998</v>
      </c>
      <c r="L12683" s="43">
        <v>7.5623567622547219</v>
      </c>
      <c r="M12683" s="43">
        <v>11.500435161009573</v>
      </c>
      <c r="N12683" s="43">
        <v>5.2788907169257833</v>
      </c>
      <c r="O12683" s="43">
        <v>10.234126180153167</v>
      </c>
      <c r="P12683" s="359"/>
      <c r="Q12683" s="359"/>
      <c r="R12683" s="359">
        <v>1</v>
      </c>
    </row>
    <row r="12684" spans="1:18" ht="36">
      <c r="A12684" s="355">
        <v>232</v>
      </c>
      <c r="B12684" s="352" t="s">
        <v>23051</v>
      </c>
      <c r="C12684" s="356" t="s">
        <v>23052</v>
      </c>
      <c r="D12684" s="357">
        <v>31806.69</v>
      </c>
      <c r="E12684" s="357">
        <v>11421.06</v>
      </c>
      <c r="F12684" s="357">
        <v>20062.849999999999</v>
      </c>
      <c r="G12684" s="357">
        <v>322.77999999999997</v>
      </c>
      <c r="H12684" s="358">
        <v>240514.53</v>
      </c>
      <c r="I12684" s="358">
        <v>131347.16</v>
      </c>
      <c r="J12684" s="358">
        <v>105869.46</v>
      </c>
      <c r="K12684" s="358">
        <v>3297.91</v>
      </c>
      <c r="L12684" s="43">
        <v>7.5617591770787849</v>
      </c>
      <c r="M12684" s="43">
        <v>11.500435161009575</v>
      </c>
      <c r="N12684" s="43">
        <v>5.2768903720059717</v>
      </c>
      <c r="O12684" s="43">
        <v>10.217206766218478</v>
      </c>
      <c r="P12684" s="359"/>
      <c r="Q12684" s="359"/>
      <c r="R12684" s="359">
        <v>1</v>
      </c>
    </row>
    <row r="12685" spans="1:18" ht="36">
      <c r="A12685" s="355">
        <v>233</v>
      </c>
      <c r="B12685" s="352" t="s">
        <v>23053</v>
      </c>
      <c r="C12685" s="356" t="s">
        <v>23054</v>
      </c>
      <c r="D12685" s="357">
        <v>39743.43</v>
      </c>
      <c r="E12685" s="357">
        <v>14040.78</v>
      </c>
      <c r="F12685" s="357">
        <v>25290.81</v>
      </c>
      <c r="G12685" s="357">
        <v>411.84</v>
      </c>
      <c r="H12685" s="358">
        <v>298962.96999999997</v>
      </c>
      <c r="I12685" s="358">
        <v>161475.07999999999</v>
      </c>
      <c r="J12685" s="358">
        <v>133328.48000000001</v>
      </c>
      <c r="K12685" s="358">
        <v>4159.41</v>
      </c>
      <c r="L12685" s="43">
        <v>7.5223243187616156</v>
      </c>
      <c r="M12685" s="43">
        <v>11.500435161009571</v>
      </c>
      <c r="N12685" s="43">
        <v>5.2718153352937289</v>
      </c>
      <c r="O12685" s="43">
        <v>10.099577505827506</v>
      </c>
      <c r="P12685" s="359"/>
      <c r="Q12685" s="359"/>
      <c r="R12685" s="359">
        <v>1</v>
      </c>
    </row>
    <row r="12686" spans="1:18" ht="36">
      <c r="A12686" s="355">
        <v>234</v>
      </c>
      <c r="B12686" s="352" t="s">
        <v>23055</v>
      </c>
      <c r="C12686" s="356" t="s">
        <v>23056</v>
      </c>
      <c r="D12686" s="357">
        <v>44876.12</v>
      </c>
      <c r="E12686" s="357">
        <v>15833.22</v>
      </c>
      <c r="F12686" s="357">
        <v>28576.9</v>
      </c>
      <c r="G12686" s="357">
        <v>466</v>
      </c>
      <c r="H12686" s="358">
        <v>337437.01</v>
      </c>
      <c r="I12686" s="358">
        <v>182088.92</v>
      </c>
      <c r="J12686" s="358">
        <v>150647.07999999999</v>
      </c>
      <c r="K12686" s="358">
        <v>4701.01</v>
      </c>
      <c r="L12686" s="43">
        <v>7.5193000196986723</v>
      </c>
      <c r="M12686" s="43">
        <v>11.500435161009575</v>
      </c>
      <c r="N12686" s="43">
        <v>5.2716382812691363</v>
      </c>
      <c r="O12686" s="43">
        <v>10.088004291845493</v>
      </c>
      <c r="P12686" s="359"/>
      <c r="Q12686" s="359"/>
      <c r="R12686" s="359">
        <v>1</v>
      </c>
    </row>
    <row r="12687" spans="1:18" ht="36">
      <c r="A12687" s="355">
        <v>235</v>
      </c>
      <c r="B12687" s="352" t="s">
        <v>23057</v>
      </c>
      <c r="C12687" s="356" t="s">
        <v>23058</v>
      </c>
      <c r="D12687" s="357">
        <v>70397.009999999995</v>
      </c>
      <c r="E12687" s="357">
        <v>19475.55</v>
      </c>
      <c r="F12687" s="357">
        <v>50355.11</v>
      </c>
      <c r="G12687" s="357">
        <v>566.35</v>
      </c>
      <c r="H12687" s="358">
        <v>481704.91</v>
      </c>
      <c r="I12687" s="358">
        <v>223977.3</v>
      </c>
      <c r="J12687" s="358">
        <v>251994.64</v>
      </c>
      <c r="K12687" s="358">
        <v>5732.97</v>
      </c>
      <c r="L12687" s="43">
        <v>6.8426899096992901</v>
      </c>
      <c r="M12687" s="43">
        <v>11.500435161009573</v>
      </c>
      <c r="N12687" s="43">
        <v>5.0043508990448045</v>
      </c>
      <c r="O12687" s="43">
        <v>10.122662664430123</v>
      </c>
      <c r="P12687" s="359"/>
      <c r="Q12687" s="359"/>
      <c r="R12687" s="359">
        <v>1</v>
      </c>
    </row>
    <row r="12688" spans="1:18" ht="12.75" customHeight="1">
      <c r="A12688" s="628" t="s">
        <v>23059</v>
      </c>
      <c r="B12688" s="629"/>
      <c r="C12688" s="629"/>
      <c r="D12688" s="629"/>
      <c r="E12688" s="629"/>
      <c r="F12688" s="629"/>
      <c r="G12688" s="629"/>
      <c r="H12688" s="629"/>
      <c r="I12688" s="629"/>
      <c r="J12688" s="629"/>
      <c r="K12688" s="629"/>
      <c r="L12688" s="629"/>
      <c r="M12688" s="629"/>
      <c r="N12688" s="629"/>
      <c r="O12688" s="629"/>
      <c r="P12688" s="629"/>
      <c r="Q12688" s="629"/>
      <c r="R12688" s="629"/>
    </row>
    <row r="12689" spans="1:18" ht="24">
      <c r="A12689" s="355">
        <v>236</v>
      </c>
      <c r="B12689" s="352" t="s">
        <v>23060</v>
      </c>
      <c r="C12689" s="356" t="s">
        <v>23061</v>
      </c>
      <c r="D12689" s="357">
        <v>2037.36</v>
      </c>
      <c r="E12689" s="357">
        <v>687.89</v>
      </c>
      <c r="F12689" s="357">
        <v>1096.69</v>
      </c>
      <c r="G12689" s="357">
        <v>252.78</v>
      </c>
      <c r="H12689" s="358">
        <v>16020.39</v>
      </c>
      <c r="I12689" s="358">
        <v>7910.71</v>
      </c>
      <c r="J12689" s="358">
        <v>5874.45</v>
      </c>
      <c r="K12689" s="358">
        <v>2235.23</v>
      </c>
      <c r="L12689" s="43">
        <v>7.8633083991047235</v>
      </c>
      <c r="M12689" s="43">
        <v>11.499963656980041</v>
      </c>
      <c r="N12689" s="43">
        <v>5.3565273687185986</v>
      </c>
      <c r="O12689" s="43">
        <v>8.8425903948097169</v>
      </c>
      <c r="P12689" s="359"/>
      <c r="Q12689" s="359"/>
      <c r="R12689" s="359">
        <v>2</v>
      </c>
    </row>
    <row r="12690" spans="1:18" ht="24">
      <c r="A12690" s="355">
        <v>237</v>
      </c>
      <c r="B12690" s="352" t="s">
        <v>23062</v>
      </c>
      <c r="C12690" s="356" t="s">
        <v>23063</v>
      </c>
      <c r="D12690" s="357">
        <v>2461.6799999999998</v>
      </c>
      <c r="E12690" s="357">
        <v>804.78</v>
      </c>
      <c r="F12690" s="357">
        <v>1273.19</v>
      </c>
      <c r="G12690" s="357">
        <v>383.71</v>
      </c>
      <c r="H12690" s="358">
        <v>19450.34</v>
      </c>
      <c r="I12690" s="358">
        <v>9255.02</v>
      </c>
      <c r="J12690" s="358">
        <v>6817.79</v>
      </c>
      <c r="K12690" s="358">
        <v>3377.53</v>
      </c>
      <c r="L12690" s="43">
        <v>7.9012463033375591</v>
      </c>
      <c r="M12690" s="43">
        <v>11.500062128780538</v>
      </c>
      <c r="N12690" s="43">
        <v>5.3548881156779427</v>
      </c>
      <c r="O12690" s="43">
        <v>8.80229861093013</v>
      </c>
      <c r="P12690" s="359"/>
      <c r="Q12690" s="359"/>
      <c r="R12690" s="359">
        <v>2</v>
      </c>
    </row>
    <row r="12691" spans="1:18" ht="24">
      <c r="A12691" s="355">
        <v>238</v>
      </c>
      <c r="B12691" s="352" t="s">
        <v>23064</v>
      </c>
      <c r="C12691" s="356" t="s">
        <v>23065</v>
      </c>
      <c r="D12691" s="357">
        <v>2754.43</v>
      </c>
      <c r="E12691" s="357">
        <v>950.9</v>
      </c>
      <c r="F12691" s="357">
        <v>1352.49</v>
      </c>
      <c r="G12691" s="357">
        <v>451.04</v>
      </c>
      <c r="H12691" s="358">
        <v>22156.87</v>
      </c>
      <c r="I12691" s="358">
        <v>10935.4</v>
      </c>
      <c r="J12691" s="358">
        <v>7251.31</v>
      </c>
      <c r="K12691" s="358">
        <v>3970.16</v>
      </c>
      <c r="L12691" s="43">
        <v>8.0440853461514727</v>
      </c>
      <c r="M12691" s="43">
        <v>11.500052581764644</v>
      </c>
      <c r="N12691" s="43">
        <v>5.3614518406790443</v>
      </c>
      <c r="O12691" s="43">
        <v>8.802234835047889</v>
      </c>
      <c r="P12691" s="359"/>
      <c r="Q12691" s="359"/>
      <c r="R12691" s="359">
        <v>2</v>
      </c>
    </row>
    <row r="12692" spans="1:18" ht="24">
      <c r="A12692" s="355">
        <v>239</v>
      </c>
      <c r="B12692" s="352" t="s">
        <v>23066</v>
      </c>
      <c r="C12692" s="356" t="s">
        <v>23067</v>
      </c>
      <c r="D12692" s="357">
        <v>3204.7</v>
      </c>
      <c r="E12692" s="357">
        <v>1102.6400000000001</v>
      </c>
      <c r="F12692" s="357">
        <v>1602.34</v>
      </c>
      <c r="G12692" s="357">
        <v>499.72</v>
      </c>
      <c r="H12692" s="358">
        <v>25787.06</v>
      </c>
      <c r="I12692" s="358">
        <v>12680.41</v>
      </c>
      <c r="J12692" s="358">
        <v>8715.59</v>
      </c>
      <c r="K12692" s="358">
        <v>4391.0600000000004</v>
      </c>
      <c r="L12692" s="43">
        <v>8.0466377508035087</v>
      </c>
      <c r="M12692" s="43">
        <v>11.500045345715735</v>
      </c>
      <c r="N12692" s="43">
        <v>5.4392887901444142</v>
      </c>
      <c r="O12692" s="43">
        <v>8.7870407428159769</v>
      </c>
      <c r="P12692" s="359"/>
      <c r="Q12692" s="359"/>
      <c r="R12692" s="359">
        <v>2</v>
      </c>
    </row>
    <row r="12693" spans="1:18" ht="24">
      <c r="A12693" s="355">
        <v>240</v>
      </c>
      <c r="B12693" s="352" t="s">
        <v>23068</v>
      </c>
      <c r="C12693" s="356" t="s">
        <v>23069</v>
      </c>
      <c r="D12693" s="357">
        <v>4854.6400000000003</v>
      </c>
      <c r="E12693" s="357">
        <v>1326.32</v>
      </c>
      <c r="F12693" s="357">
        <v>2977.57</v>
      </c>
      <c r="G12693" s="357">
        <v>550.75</v>
      </c>
      <c r="H12693" s="358">
        <v>35934.21</v>
      </c>
      <c r="I12693" s="358">
        <v>15252.68</v>
      </c>
      <c r="J12693" s="358">
        <v>15844.21</v>
      </c>
      <c r="K12693" s="358">
        <v>4837.32</v>
      </c>
      <c r="L12693" s="43">
        <v>7.4020339304253246</v>
      </c>
      <c r="M12693" s="43">
        <v>11.5</v>
      </c>
      <c r="N12693" s="43">
        <v>5.3211880828998135</v>
      </c>
      <c r="O12693" s="43">
        <v>8.7831502496595544</v>
      </c>
      <c r="P12693" s="359"/>
      <c r="Q12693" s="359"/>
      <c r="R12693" s="359">
        <v>2</v>
      </c>
    </row>
    <row r="12694" spans="1:18" ht="12.75" customHeight="1">
      <c r="A12694" s="628" t="s">
        <v>23070</v>
      </c>
      <c r="B12694" s="629"/>
      <c r="C12694" s="629"/>
      <c r="D12694" s="629"/>
      <c r="E12694" s="629"/>
      <c r="F12694" s="629"/>
      <c r="G12694" s="629"/>
      <c r="H12694" s="629"/>
      <c r="I12694" s="629"/>
      <c r="J12694" s="629"/>
      <c r="K12694" s="629"/>
      <c r="L12694" s="629"/>
      <c r="M12694" s="629"/>
      <c r="N12694" s="629"/>
      <c r="O12694" s="629"/>
      <c r="P12694" s="629"/>
      <c r="Q12694" s="629"/>
      <c r="R12694" s="629"/>
    </row>
    <row r="12695" spans="1:18" ht="24">
      <c r="A12695" s="355">
        <v>241</v>
      </c>
      <c r="B12695" s="352" t="s">
        <v>23071</v>
      </c>
      <c r="C12695" s="356" t="s">
        <v>23072</v>
      </c>
      <c r="D12695" s="357">
        <v>694.51</v>
      </c>
      <c r="E12695" s="357">
        <v>266.39999999999998</v>
      </c>
      <c r="F12695" s="357">
        <v>422.78</v>
      </c>
      <c r="G12695" s="357">
        <v>5.33</v>
      </c>
      <c r="H12695" s="358">
        <v>5431.57</v>
      </c>
      <c r="I12695" s="358">
        <v>3063.6</v>
      </c>
      <c r="J12695" s="358">
        <v>2306.67</v>
      </c>
      <c r="K12695" s="358">
        <v>61.3</v>
      </c>
      <c r="L12695" s="43">
        <v>7.8207225237937532</v>
      </c>
      <c r="M12695" s="43">
        <v>11.5</v>
      </c>
      <c r="N12695" s="43">
        <v>5.4559581815601499</v>
      </c>
      <c r="O12695" s="43">
        <v>11.50093808630394</v>
      </c>
      <c r="P12695" s="359"/>
      <c r="Q12695" s="359"/>
      <c r="R12695" s="359">
        <v>3</v>
      </c>
    </row>
    <row r="12696" spans="1:18" ht="24">
      <c r="A12696" s="355">
        <v>242</v>
      </c>
      <c r="B12696" s="352" t="s">
        <v>23073</v>
      </c>
      <c r="C12696" s="356" t="s">
        <v>23074</v>
      </c>
      <c r="D12696" s="357">
        <v>660</v>
      </c>
      <c r="E12696" s="357">
        <v>257.39999999999998</v>
      </c>
      <c r="F12696" s="357">
        <v>373.65</v>
      </c>
      <c r="G12696" s="357">
        <v>28.95</v>
      </c>
      <c r="H12696" s="358">
        <v>5266.25</v>
      </c>
      <c r="I12696" s="358">
        <v>2960.05</v>
      </c>
      <c r="J12696" s="358">
        <v>2038.37</v>
      </c>
      <c r="K12696" s="358">
        <v>267.83</v>
      </c>
      <c r="L12696" s="43">
        <v>7.979166666666667</v>
      </c>
      <c r="M12696" s="43">
        <v>11.499805749805752</v>
      </c>
      <c r="N12696" s="43">
        <v>5.4552923859226548</v>
      </c>
      <c r="O12696" s="43">
        <v>9.2514680483592393</v>
      </c>
      <c r="P12696" s="359"/>
      <c r="Q12696" s="359"/>
      <c r="R12696" s="359">
        <v>3</v>
      </c>
    </row>
    <row r="12697" spans="1:18" ht="24">
      <c r="A12697" s="355">
        <v>243</v>
      </c>
      <c r="B12697" s="352" t="s">
        <v>23075</v>
      </c>
      <c r="C12697" s="356" t="s">
        <v>23076</v>
      </c>
      <c r="D12697" s="357">
        <v>930.3</v>
      </c>
      <c r="E12697" s="357">
        <v>379.91</v>
      </c>
      <c r="F12697" s="357">
        <v>518.99</v>
      </c>
      <c r="G12697" s="357">
        <v>31.4</v>
      </c>
      <c r="H12697" s="358">
        <v>7494.27</v>
      </c>
      <c r="I12697" s="358">
        <v>4368.99</v>
      </c>
      <c r="J12697" s="358">
        <v>2829.28</v>
      </c>
      <c r="K12697" s="358">
        <v>296</v>
      </c>
      <c r="L12697" s="43">
        <v>8.0557562076749445</v>
      </c>
      <c r="M12697" s="43">
        <v>11.500065805059092</v>
      </c>
      <c r="N12697" s="43">
        <v>5.4515115898186863</v>
      </c>
      <c r="O12697" s="43">
        <v>9.4267515923566876</v>
      </c>
      <c r="P12697" s="359"/>
      <c r="Q12697" s="359"/>
      <c r="R12697" s="359">
        <v>3</v>
      </c>
    </row>
    <row r="12698" spans="1:18" ht="24">
      <c r="A12698" s="355">
        <v>244</v>
      </c>
      <c r="B12698" s="352" t="s">
        <v>23077</v>
      </c>
      <c r="C12698" s="356" t="s">
        <v>23078</v>
      </c>
      <c r="D12698" s="357">
        <v>1103.54</v>
      </c>
      <c r="E12698" s="357">
        <v>411.38</v>
      </c>
      <c r="F12698" s="357">
        <v>660.13</v>
      </c>
      <c r="G12698" s="357">
        <v>32.03</v>
      </c>
      <c r="H12698" s="358">
        <v>8633.35</v>
      </c>
      <c r="I12698" s="358">
        <v>4730.92</v>
      </c>
      <c r="J12698" s="358">
        <v>3599.18</v>
      </c>
      <c r="K12698" s="358">
        <v>303.25</v>
      </c>
      <c r="L12698" s="43">
        <v>7.8233231237653378</v>
      </c>
      <c r="M12698" s="43">
        <v>11.500121542126502</v>
      </c>
      <c r="N12698" s="43">
        <v>5.4522291063881356</v>
      </c>
      <c r="O12698" s="43">
        <v>9.4676865438651259</v>
      </c>
      <c r="P12698" s="359"/>
      <c r="Q12698" s="359"/>
      <c r="R12698" s="359">
        <v>3</v>
      </c>
    </row>
    <row r="12699" spans="1:18" ht="24">
      <c r="A12699" s="355">
        <v>245</v>
      </c>
      <c r="B12699" s="352" t="s">
        <v>23079</v>
      </c>
      <c r="C12699" s="356" t="s">
        <v>23080</v>
      </c>
      <c r="D12699" s="357">
        <v>1323.42</v>
      </c>
      <c r="E12699" s="357">
        <v>501.3</v>
      </c>
      <c r="F12699" s="357">
        <v>788.29</v>
      </c>
      <c r="G12699" s="357">
        <v>33.83</v>
      </c>
      <c r="H12699" s="358">
        <v>10386.49</v>
      </c>
      <c r="I12699" s="358">
        <v>5765</v>
      </c>
      <c r="J12699" s="358">
        <v>4297.54</v>
      </c>
      <c r="K12699" s="358">
        <v>323.95</v>
      </c>
      <c r="L12699" s="43">
        <v>7.8482190083269101</v>
      </c>
      <c r="M12699" s="43">
        <v>11.500099740674246</v>
      </c>
      <c r="N12699" s="43">
        <v>5.4517246191122561</v>
      </c>
      <c r="O12699" s="43">
        <v>9.5758202778598882</v>
      </c>
      <c r="P12699" s="359"/>
      <c r="Q12699" s="359"/>
      <c r="R12699" s="359">
        <v>3</v>
      </c>
    </row>
    <row r="12700" spans="1:18" ht="24">
      <c r="A12700" s="355">
        <v>246</v>
      </c>
      <c r="B12700" s="352" t="s">
        <v>23081</v>
      </c>
      <c r="C12700" s="356" t="s">
        <v>23082</v>
      </c>
      <c r="D12700" s="357">
        <v>445.82</v>
      </c>
      <c r="E12700" s="357">
        <v>167.48</v>
      </c>
      <c r="F12700" s="357">
        <v>264.79000000000002</v>
      </c>
      <c r="G12700" s="357">
        <v>13.55</v>
      </c>
      <c r="H12700" s="358">
        <v>3501.08</v>
      </c>
      <c r="I12700" s="358">
        <v>1925.97</v>
      </c>
      <c r="J12700" s="358">
        <v>1447.18</v>
      </c>
      <c r="K12700" s="358">
        <v>127.93</v>
      </c>
      <c r="L12700" s="43">
        <v>7.853124579426674</v>
      </c>
      <c r="M12700" s="43">
        <v>11.499701456890376</v>
      </c>
      <c r="N12700" s="43">
        <v>5.465387665697345</v>
      </c>
      <c r="O12700" s="43">
        <v>9.4413284132841326</v>
      </c>
      <c r="P12700" s="359"/>
      <c r="Q12700" s="359"/>
      <c r="R12700" s="359">
        <v>3</v>
      </c>
    </row>
    <row r="12701" spans="1:18" ht="24">
      <c r="A12701" s="355">
        <v>247</v>
      </c>
      <c r="B12701" s="352" t="s">
        <v>23083</v>
      </c>
      <c r="C12701" s="356" t="s">
        <v>23084</v>
      </c>
      <c r="D12701" s="357">
        <v>232.02</v>
      </c>
      <c r="E12701" s="357">
        <v>89.81</v>
      </c>
      <c r="F12701" s="357">
        <v>140.41</v>
      </c>
      <c r="G12701" s="357">
        <v>1.8</v>
      </c>
      <c r="H12701" s="358">
        <v>1820.25</v>
      </c>
      <c r="I12701" s="358">
        <v>1032.79</v>
      </c>
      <c r="J12701" s="358">
        <v>766.76</v>
      </c>
      <c r="K12701" s="358">
        <v>20.7</v>
      </c>
      <c r="L12701" s="43">
        <v>7.84522885958107</v>
      </c>
      <c r="M12701" s="43">
        <v>11.499721634561853</v>
      </c>
      <c r="N12701" s="43">
        <v>5.4608646107827079</v>
      </c>
      <c r="O12701" s="43">
        <v>11.5</v>
      </c>
      <c r="P12701" s="359"/>
      <c r="Q12701" s="359"/>
      <c r="R12701" s="359">
        <v>3</v>
      </c>
    </row>
    <row r="12702" spans="1:18" ht="36">
      <c r="A12702" s="355">
        <v>248</v>
      </c>
      <c r="B12702" s="352" t="s">
        <v>23085</v>
      </c>
      <c r="C12702" s="356" t="s">
        <v>23086</v>
      </c>
      <c r="D12702" s="357">
        <v>224.32</v>
      </c>
      <c r="E12702" s="357">
        <v>89.81</v>
      </c>
      <c r="F12702" s="357">
        <v>132.71</v>
      </c>
      <c r="G12702" s="357">
        <v>1.8</v>
      </c>
      <c r="H12702" s="358">
        <v>1778.44</v>
      </c>
      <c r="I12702" s="358">
        <v>1032.79</v>
      </c>
      <c r="J12702" s="358">
        <v>724.95</v>
      </c>
      <c r="K12702" s="358">
        <v>20.7</v>
      </c>
      <c r="L12702" s="43">
        <v>7.9281383737517839</v>
      </c>
      <c r="M12702" s="43">
        <v>11.499721634561853</v>
      </c>
      <c r="N12702" s="43">
        <v>5.4626629492879211</v>
      </c>
      <c r="O12702" s="43">
        <v>11.5</v>
      </c>
      <c r="P12702" s="359"/>
      <c r="Q12702" s="359"/>
      <c r="R12702" s="359">
        <v>3</v>
      </c>
    </row>
    <row r="12703" spans="1:18" ht="24">
      <c r="A12703" s="355">
        <v>249</v>
      </c>
      <c r="B12703" s="352" t="s">
        <v>23087</v>
      </c>
      <c r="C12703" s="356" t="s">
        <v>23088</v>
      </c>
      <c r="D12703" s="357">
        <v>479.74</v>
      </c>
      <c r="E12703" s="357">
        <v>177.59</v>
      </c>
      <c r="F12703" s="357">
        <v>298.60000000000002</v>
      </c>
      <c r="G12703" s="357">
        <v>3.55</v>
      </c>
      <c r="H12703" s="358">
        <v>3711.2</v>
      </c>
      <c r="I12703" s="358">
        <v>2042.31</v>
      </c>
      <c r="J12703" s="358">
        <v>1628.06</v>
      </c>
      <c r="K12703" s="358">
        <v>40.83</v>
      </c>
      <c r="L12703" s="43">
        <v>7.7358569224996865</v>
      </c>
      <c r="M12703" s="43">
        <v>11.500140773692213</v>
      </c>
      <c r="N12703" s="43">
        <v>5.4523107836570661</v>
      </c>
      <c r="O12703" s="43">
        <v>11.501408450704226</v>
      </c>
      <c r="P12703" s="359"/>
      <c r="Q12703" s="359"/>
      <c r="R12703" s="359">
        <v>3</v>
      </c>
    </row>
    <row r="12704" spans="1:18" ht="24">
      <c r="A12704" s="355">
        <v>250</v>
      </c>
      <c r="B12704" s="352" t="s">
        <v>23089</v>
      </c>
      <c r="C12704" s="356" t="s">
        <v>23090</v>
      </c>
      <c r="D12704" s="357">
        <v>3097.52</v>
      </c>
      <c r="E12704" s="357">
        <v>1005.98</v>
      </c>
      <c r="F12704" s="357">
        <v>2004.1</v>
      </c>
      <c r="G12704" s="357">
        <v>87.44</v>
      </c>
      <c r="H12704" s="358">
        <v>23281.03</v>
      </c>
      <c r="I12704" s="358">
        <v>11568.77</v>
      </c>
      <c r="J12704" s="358">
        <v>10890.84</v>
      </c>
      <c r="K12704" s="358">
        <v>821.42</v>
      </c>
      <c r="L12704" s="43">
        <v>7.5160224954156867</v>
      </c>
      <c r="M12704" s="43">
        <v>11.5</v>
      </c>
      <c r="N12704" s="43">
        <v>5.4342797265605514</v>
      </c>
      <c r="O12704" s="43">
        <v>9.3940988106129915</v>
      </c>
      <c r="P12704" s="359"/>
      <c r="Q12704" s="359"/>
      <c r="R12704" s="359">
        <v>3</v>
      </c>
    </row>
    <row r="12705" spans="1:18" ht="24">
      <c r="A12705" s="355">
        <v>251</v>
      </c>
      <c r="B12705" s="352" t="s">
        <v>23091</v>
      </c>
      <c r="C12705" s="356" t="s">
        <v>23092</v>
      </c>
      <c r="D12705" s="357">
        <v>489.04</v>
      </c>
      <c r="E12705" s="357">
        <v>177.59</v>
      </c>
      <c r="F12705" s="357">
        <v>290.89999999999998</v>
      </c>
      <c r="G12705" s="357">
        <v>20.55</v>
      </c>
      <c r="H12705" s="358">
        <v>3818.4</v>
      </c>
      <c r="I12705" s="358">
        <v>2042.31</v>
      </c>
      <c r="J12705" s="358">
        <v>1586.26</v>
      </c>
      <c r="K12705" s="358">
        <v>189.83</v>
      </c>
      <c r="L12705" s="43">
        <v>7.8079502699165708</v>
      </c>
      <c r="M12705" s="43">
        <v>11.500140773692213</v>
      </c>
      <c r="N12705" s="43">
        <v>5.4529391543485737</v>
      </c>
      <c r="O12705" s="43">
        <v>9.2374695863746954</v>
      </c>
      <c r="P12705" s="359"/>
      <c r="Q12705" s="359"/>
      <c r="R12705" s="359">
        <v>3</v>
      </c>
    </row>
    <row r="12706" spans="1:18" ht="24">
      <c r="A12706" s="355">
        <v>252</v>
      </c>
      <c r="B12706" s="352" t="s">
        <v>23093</v>
      </c>
      <c r="C12706" s="356" t="s">
        <v>23094</v>
      </c>
      <c r="D12706" s="357">
        <v>344.49</v>
      </c>
      <c r="E12706" s="357">
        <v>127.01</v>
      </c>
      <c r="F12706" s="357">
        <v>197.94</v>
      </c>
      <c r="G12706" s="357">
        <v>19.54</v>
      </c>
      <c r="H12706" s="358">
        <v>2716.24</v>
      </c>
      <c r="I12706" s="358">
        <v>1460.64</v>
      </c>
      <c r="J12706" s="358">
        <v>1077.3900000000001</v>
      </c>
      <c r="K12706" s="358">
        <v>178.21</v>
      </c>
      <c r="L12706" s="43">
        <v>7.884815234114197</v>
      </c>
      <c r="M12706" s="43">
        <v>11.50019683489489</v>
      </c>
      <c r="N12706" s="43">
        <v>5.4430130342528047</v>
      </c>
      <c r="O12706" s="43">
        <v>9.1202661207778917</v>
      </c>
      <c r="P12706" s="359"/>
      <c r="Q12706" s="359"/>
      <c r="R12706" s="359">
        <v>3</v>
      </c>
    </row>
    <row r="12707" spans="1:18" ht="24">
      <c r="A12707" s="355">
        <v>253</v>
      </c>
      <c r="B12707" s="352" t="s">
        <v>23095</v>
      </c>
      <c r="C12707" s="356" t="s">
        <v>23096</v>
      </c>
      <c r="D12707" s="357">
        <v>769.06</v>
      </c>
      <c r="E12707" s="357">
        <v>269.76</v>
      </c>
      <c r="F12707" s="357">
        <v>476.9</v>
      </c>
      <c r="G12707" s="357">
        <v>22.4</v>
      </c>
      <c r="H12707" s="358">
        <v>5912.7</v>
      </c>
      <c r="I12707" s="358">
        <v>3102.24</v>
      </c>
      <c r="J12707" s="358">
        <v>2599.36</v>
      </c>
      <c r="K12707" s="358">
        <v>211.1</v>
      </c>
      <c r="L12707" s="43">
        <v>7.6882167841260767</v>
      </c>
      <c r="M12707" s="43">
        <v>11.5</v>
      </c>
      <c r="N12707" s="43">
        <v>5.450534703292095</v>
      </c>
      <c r="O12707" s="43">
        <v>9.4241071428571423</v>
      </c>
      <c r="P12707" s="359"/>
      <c r="Q12707" s="359"/>
      <c r="R12707" s="359">
        <v>3</v>
      </c>
    </row>
    <row r="12708" spans="1:18" ht="36">
      <c r="A12708" s="355">
        <v>254</v>
      </c>
      <c r="B12708" s="352" t="s">
        <v>23097</v>
      </c>
      <c r="C12708" s="356" t="s">
        <v>23098</v>
      </c>
      <c r="D12708" s="357">
        <v>396.16</v>
      </c>
      <c r="E12708" s="357">
        <v>177.59</v>
      </c>
      <c r="F12708" s="357">
        <v>215.02</v>
      </c>
      <c r="G12708" s="357">
        <v>3.55</v>
      </c>
      <c r="H12708" s="358">
        <v>3250.67</v>
      </c>
      <c r="I12708" s="358">
        <v>2042.31</v>
      </c>
      <c r="J12708" s="358">
        <v>1167.53</v>
      </c>
      <c r="K12708" s="358">
        <v>40.83</v>
      </c>
      <c r="L12708" s="43">
        <v>8.2054472940226173</v>
      </c>
      <c r="M12708" s="43">
        <v>11.500140773692213</v>
      </c>
      <c r="N12708" s="43">
        <v>5.4298669891172908</v>
      </c>
      <c r="O12708" s="43">
        <v>11.501408450704226</v>
      </c>
      <c r="P12708" s="359"/>
      <c r="Q12708" s="359"/>
      <c r="R12708" s="359">
        <v>3</v>
      </c>
    </row>
    <row r="12709" spans="1:18" ht="36">
      <c r="A12709" s="355">
        <v>255</v>
      </c>
      <c r="B12709" s="352" t="s">
        <v>23099</v>
      </c>
      <c r="C12709" s="356" t="s">
        <v>23100</v>
      </c>
      <c r="D12709" s="357">
        <v>271.95</v>
      </c>
      <c r="E12709" s="357">
        <v>153.18</v>
      </c>
      <c r="F12709" s="357">
        <v>115.71</v>
      </c>
      <c r="G12709" s="357">
        <v>3.06</v>
      </c>
      <c r="H12709" s="358">
        <v>2429.77</v>
      </c>
      <c r="I12709" s="358">
        <v>1761.57</v>
      </c>
      <c r="J12709" s="358">
        <v>633.01</v>
      </c>
      <c r="K12709" s="358">
        <v>35.19</v>
      </c>
      <c r="L12709" s="43">
        <v>8.9346203346203357</v>
      </c>
      <c r="M12709" s="43">
        <v>11.499999999999998</v>
      </c>
      <c r="N12709" s="43">
        <v>5.4706594071385366</v>
      </c>
      <c r="O12709" s="43">
        <v>11.499999999999998</v>
      </c>
      <c r="P12709" s="359"/>
      <c r="Q12709" s="359"/>
      <c r="R12709" s="359">
        <v>3</v>
      </c>
    </row>
    <row r="12710" spans="1:18" ht="36">
      <c r="A12710" s="355">
        <v>256</v>
      </c>
      <c r="B12710" s="352" t="s">
        <v>23101</v>
      </c>
      <c r="C12710" s="356" t="s">
        <v>23102</v>
      </c>
      <c r="D12710" s="357">
        <v>284.89</v>
      </c>
      <c r="E12710" s="357">
        <v>138.75</v>
      </c>
      <c r="F12710" s="357">
        <v>143.36000000000001</v>
      </c>
      <c r="G12710" s="357">
        <v>2.78</v>
      </c>
      <c r="H12710" s="358">
        <v>2410.33</v>
      </c>
      <c r="I12710" s="358">
        <v>1595.63</v>
      </c>
      <c r="J12710" s="358">
        <v>782.73</v>
      </c>
      <c r="K12710" s="358">
        <v>31.97</v>
      </c>
      <c r="L12710" s="43">
        <v>8.4605637263505216</v>
      </c>
      <c r="M12710" s="43">
        <v>11.500036036036036</v>
      </c>
      <c r="N12710" s="43">
        <v>5.4598911830357135</v>
      </c>
      <c r="O12710" s="43">
        <v>11.5</v>
      </c>
      <c r="P12710" s="359"/>
      <c r="Q12710" s="359"/>
      <c r="R12710" s="359">
        <v>3</v>
      </c>
    </row>
    <row r="12711" spans="1:18" ht="36">
      <c r="A12711" s="355">
        <v>257</v>
      </c>
      <c r="B12711" s="352" t="s">
        <v>23103</v>
      </c>
      <c r="C12711" s="356" t="s">
        <v>23104</v>
      </c>
      <c r="D12711" s="357">
        <v>117.78</v>
      </c>
      <c r="E12711" s="357">
        <v>76.13</v>
      </c>
      <c r="F12711" s="357">
        <v>40.130000000000003</v>
      </c>
      <c r="G12711" s="357">
        <v>1.52</v>
      </c>
      <c r="H12711" s="358">
        <v>1113.4000000000001</v>
      </c>
      <c r="I12711" s="358">
        <v>875.55</v>
      </c>
      <c r="J12711" s="358">
        <v>220.37</v>
      </c>
      <c r="K12711" s="358">
        <v>17.48</v>
      </c>
      <c r="L12711" s="43">
        <v>9.4532178638138902</v>
      </c>
      <c r="M12711" s="43">
        <v>11.500722448443453</v>
      </c>
      <c r="N12711" s="43">
        <v>5.4914029404435585</v>
      </c>
      <c r="O12711" s="43">
        <v>11.5</v>
      </c>
      <c r="P12711" s="359"/>
      <c r="Q12711" s="359"/>
      <c r="R12711" s="359">
        <v>3</v>
      </c>
    </row>
    <row r="12712" spans="1:18" ht="12.75" customHeight="1">
      <c r="A12712" s="628" t="s">
        <v>23105</v>
      </c>
      <c r="B12712" s="629"/>
      <c r="C12712" s="629"/>
      <c r="D12712" s="629"/>
      <c r="E12712" s="629"/>
      <c r="F12712" s="629"/>
      <c r="G12712" s="629"/>
      <c r="H12712" s="629"/>
      <c r="I12712" s="629"/>
      <c r="J12712" s="629"/>
      <c r="K12712" s="629"/>
      <c r="L12712" s="629"/>
      <c r="M12712" s="629"/>
      <c r="N12712" s="629"/>
      <c r="O12712" s="629"/>
      <c r="P12712" s="629"/>
      <c r="Q12712" s="629"/>
      <c r="R12712" s="629"/>
    </row>
    <row r="12713" spans="1:18" ht="24">
      <c r="A12713" s="355">
        <v>258</v>
      </c>
      <c r="B12713" s="352" t="s">
        <v>23106</v>
      </c>
      <c r="C12713" s="356" t="s">
        <v>23107</v>
      </c>
      <c r="D12713" s="357">
        <v>1638.8</v>
      </c>
      <c r="E12713" s="357">
        <v>408.01</v>
      </c>
      <c r="F12713" s="357">
        <v>1073.03</v>
      </c>
      <c r="G12713" s="357">
        <v>157.76</v>
      </c>
      <c r="H12713" s="358">
        <v>11896.81</v>
      </c>
      <c r="I12713" s="358">
        <v>4692.1400000000003</v>
      </c>
      <c r="J12713" s="358">
        <v>5799.63</v>
      </c>
      <c r="K12713" s="358">
        <v>1405.04</v>
      </c>
      <c r="L12713" s="43">
        <v>7.2594642421283861</v>
      </c>
      <c r="M12713" s="43">
        <v>11.500061273008015</v>
      </c>
      <c r="N12713" s="43">
        <v>5.4049094619908109</v>
      </c>
      <c r="O12713" s="43">
        <v>8.9061866125760645</v>
      </c>
      <c r="P12713" s="359"/>
      <c r="Q12713" s="359"/>
      <c r="R12713" s="359">
        <v>4</v>
      </c>
    </row>
    <row r="12714" spans="1:18" ht="24">
      <c r="A12714" s="355">
        <v>259</v>
      </c>
      <c r="B12714" s="352" t="s">
        <v>23108</v>
      </c>
      <c r="C12714" s="356" t="s">
        <v>23109</v>
      </c>
      <c r="D12714" s="357">
        <v>1463.12</v>
      </c>
      <c r="E12714" s="357">
        <v>483.32</v>
      </c>
      <c r="F12714" s="357">
        <v>929.33</v>
      </c>
      <c r="G12714" s="357">
        <v>50.47</v>
      </c>
      <c r="H12714" s="358">
        <v>11051.96</v>
      </c>
      <c r="I12714" s="358">
        <v>5558.18</v>
      </c>
      <c r="J12714" s="358">
        <v>5024.97</v>
      </c>
      <c r="K12714" s="358">
        <v>468.81</v>
      </c>
      <c r="L12714" s="43">
        <v>7.5536934769533604</v>
      </c>
      <c r="M12714" s="43">
        <v>11.5</v>
      </c>
      <c r="N12714" s="43">
        <v>5.4070889780809832</v>
      </c>
      <c r="O12714" s="43">
        <v>9.2888844858331687</v>
      </c>
      <c r="P12714" s="359"/>
      <c r="Q12714" s="359"/>
      <c r="R12714" s="359">
        <v>4</v>
      </c>
    </row>
    <row r="12715" spans="1:18" ht="24">
      <c r="A12715" s="355">
        <v>260</v>
      </c>
      <c r="B12715" s="352" t="s">
        <v>23110</v>
      </c>
      <c r="C12715" s="356" t="s">
        <v>23111</v>
      </c>
      <c r="D12715" s="357">
        <v>1554.93</v>
      </c>
      <c r="E12715" s="357">
        <v>521.54</v>
      </c>
      <c r="F12715" s="357">
        <v>982.16</v>
      </c>
      <c r="G12715" s="357">
        <v>51.23</v>
      </c>
      <c r="H12715" s="358">
        <v>11780.09</v>
      </c>
      <c r="I12715" s="358">
        <v>5997.66</v>
      </c>
      <c r="J12715" s="358">
        <v>5304.88</v>
      </c>
      <c r="K12715" s="358">
        <v>477.55</v>
      </c>
      <c r="L12715" s="43">
        <v>7.575961618851009</v>
      </c>
      <c r="M12715" s="43">
        <v>11.499904130076313</v>
      </c>
      <c r="N12715" s="43">
        <v>5.4012380874806549</v>
      </c>
      <c r="O12715" s="43">
        <v>9.3216865118094869</v>
      </c>
      <c r="P12715" s="359"/>
      <c r="Q12715" s="359"/>
      <c r="R12715" s="359">
        <v>4</v>
      </c>
    </row>
    <row r="12716" spans="1:18" ht="24">
      <c r="A12716" s="355">
        <v>261</v>
      </c>
      <c r="B12716" s="352" t="s">
        <v>23112</v>
      </c>
      <c r="C12716" s="356" t="s">
        <v>23113</v>
      </c>
      <c r="D12716" s="357">
        <v>1585.37</v>
      </c>
      <c r="E12716" s="357">
        <v>535.02</v>
      </c>
      <c r="F12716" s="357">
        <v>998.85</v>
      </c>
      <c r="G12716" s="357">
        <v>51.5</v>
      </c>
      <c r="H12716" s="358">
        <v>12028.04</v>
      </c>
      <c r="I12716" s="358">
        <v>6152.78</v>
      </c>
      <c r="J12716" s="358">
        <v>5394.61</v>
      </c>
      <c r="K12716" s="358">
        <v>480.65</v>
      </c>
      <c r="L12716" s="43">
        <v>7.5868976958060275</v>
      </c>
      <c r="M12716" s="43">
        <v>11.500093454450301</v>
      </c>
      <c r="N12716" s="43">
        <v>5.400820944085698</v>
      </c>
      <c r="O12716" s="43">
        <v>9.3330097087378636</v>
      </c>
      <c r="P12716" s="359"/>
      <c r="Q12716" s="359"/>
      <c r="R12716" s="359">
        <v>4</v>
      </c>
    </row>
    <row r="12717" spans="1:18" ht="24">
      <c r="A12717" s="355">
        <v>262</v>
      </c>
      <c r="B12717" s="352" t="s">
        <v>23114</v>
      </c>
      <c r="C12717" s="356" t="s">
        <v>23115</v>
      </c>
      <c r="D12717" s="357">
        <v>2292.88</v>
      </c>
      <c r="E12717" s="357">
        <v>1136</v>
      </c>
      <c r="F12717" s="357">
        <v>1121.02</v>
      </c>
      <c r="G12717" s="357">
        <v>35.86</v>
      </c>
      <c r="H12717" s="358">
        <v>19750.05</v>
      </c>
      <c r="I12717" s="358">
        <v>13064</v>
      </c>
      <c r="J12717" s="358">
        <v>6318.25</v>
      </c>
      <c r="K12717" s="358">
        <v>367.8</v>
      </c>
      <c r="L12717" s="43">
        <v>8.6136431038693679</v>
      </c>
      <c r="M12717" s="43">
        <v>11.5</v>
      </c>
      <c r="N12717" s="43">
        <v>5.6361617098713674</v>
      </c>
      <c r="O12717" s="43">
        <v>10.256553262688232</v>
      </c>
      <c r="P12717" s="359"/>
      <c r="Q12717" s="359"/>
      <c r="R12717" s="359">
        <v>4</v>
      </c>
    </row>
    <row r="12718" spans="1:18" ht="24">
      <c r="A12718" s="355">
        <v>263</v>
      </c>
      <c r="B12718" s="352" t="s">
        <v>23116</v>
      </c>
      <c r="C12718" s="356" t="s">
        <v>23117</v>
      </c>
      <c r="D12718" s="357">
        <v>5144.9799999999996</v>
      </c>
      <c r="E12718" s="357">
        <v>2374.2399999999998</v>
      </c>
      <c r="F12718" s="357">
        <v>2675.17</v>
      </c>
      <c r="G12718" s="357">
        <v>95.57</v>
      </c>
      <c r="H12718" s="358">
        <v>43411.27</v>
      </c>
      <c r="I12718" s="358">
        <v>27303.759999999998</v>
      </c>
      <c r="J12718" s="358">
        <v>15157.52</v>
      </c>
      <c r="K12718" s="358">
        <v>949.99</v>
      </c>
      <c r="L12718" s="43">
        <v>8.4375974250628776</v>
      </c>
      <c r="M12718" s="43">
        <v>11.5</v>
      </c>
      <c r="N12718" s="43">
        <v>5.6660025344183733</v>
      </c>
      <c r="O12718" s="43">
        <v>9.9402532175368847</v>
      </c>
      <c r="P12718" s="359"/>
      <c r="Q12718" s="359"/>
      <c r="R12718" s="359">
        <v>4</v>
      </c>
    </row>
    <row r="12719" spans="1:18" ht="24">
      <c r="A12719" s="355">
        <v>264</v>
      </c>
      <c r="B12719" s="352" t="s">
        <v>23118</v>
      </c>
      <c r="C12719" s="356" t="s">
        <v>23119</v>
      </c>
      <c r="D12719" s="357">
        <v>283.94</v>
      </c>
      <c r="E12719" s="357">
        <v>115.77</v>
      </c>
      <c r="F12719" s="357">
        <v>153.47999999999999</v>
      </c>
      <c r="G12719" s="357">
        <v>14.69</v>
      </c>
      <c r="H12719" s="358">
        <v>2299.83</v>
      </c>
      <c r="I12719" s="358">
        <v>1331.38</v>
      </c>
      <c r="J12719" s="358">
        <v>836.45</v>
      </c>
      <c r="K12719" s="358">
        <v>132</v>
      </c>
      <c r="L12719" s="43">
        <v>8.0997041628513067</v>
      </c>
      <c r="M12719" s="43">
        <v>11.500215945409002</v>
      </c>
      <c r="N12719" s="43">
        <v>5.4498957518894979</v>
      </c>
      <c r="O12719" s="43">
        <v>8.9857045609258002</v>
      </c>
      <c r="P12719" s="359"/>
      <c r="Q12719" s="359"/>
      <c r="R12719" s="359">
        <v>4</v>
      </c>
    </row>
    <row r="12720" spans="1:18" ht="12.75" customHeight="1">
      <c r="A12720" s="628" t="s">
        <v>23120</v>
      </c>
      <c r="B12720" s="629"/>
      <c r="C12720" s="629"/>
      <c r="D12720" s="629"/>
      <c r="E12720" s="629"/>
      <c r="F12720" s="629"/>
      <c r="G12720" s="629"/>
      <c r="H12720" s="629"/>
      <c r="I12720" s="629"/>
      <c r="J12720" s="629"/>
      <c r="K12720" s="629"/>
      <c r="L12720" s="629"/>
      <c r="M12720" s="629"/>
      <c r="N12720" s="629"/>
      <c r="O12720" s="629"/>
      <c r="P12720" s="629"/>
      <c r="Q12720" s="629"/>
      <c r="R12720" s="629"/>
    </row>
    <row r="12721" spans="1:18" ht="24">
      <c r="A12721" s="355">
        <v>265</v>
      </c>
      <c r="B12721" s="352" t="s">
        <v>23121</v>
      </c>
      <c r="C12721" s="356" t="s">
        <v>23122</v>
      </c>
      <c r="D12721" s="357">
        <v>8356.36</v>
      </c>
      <c r="E12721" s="357">
        <v>2987.68</v>
      </c>
      <c r="F12721" s="357">
        <v>5218.05</v>
      </c>
      <c r="G12721" s="357">
        <v>150.63</v>
      </c>
      <c r="H12721" s="358">
        <v>63475.55</v>
      </c>
      <c r="I12721" s="358">
        <v>34358.32</v>
      </c>
      <c r="J12721" s="358">
        <v>27743.51</v>
      </c>
      <c r="K12721" s="358">
        <v>1373.72</v>
      </c>
      <c r="L12721" s="43">
        <v>7.5960765213561885</v>
      </c>
      <c r="M12721" s="43">
        <v>11.5</v>
      </c>
      <c r="N12721" s="43">
        <v>5.3168348329356743</v>
      </c>
      <c r="O12721" s="43">
        <v>9.1198300471353644</v>
      </c>
      <c r="P12721" s="359"/>
      <c r="Q12721" s="359"/>
      <c r="R12721" s="359">
        <v>5</v>
      </c>
    </row>
    <row r="12722" spans="1:18" ht="24">
      <c r="A12722" s="355">
        <v>266</v>
      </c>
      <c r="B12722" s="352" t="s">
        <v>23123</v>
      </c>
      <c r="C12722" s="356" t="s">
        <v>23124</v>
      </c>
      <c r="D12722" s="357">
        <v>12996.6</v>
      </c>
      <c r="E12722" s="357">
        <v>4441.76</v>
      </c>
      <c r="F12722" s="357">
        <v>8255.74</v>
      </c>
      <c r="G12722" s="357">
        <v>299.10000000000002</v>
      </c>
      <c r="H12722" s="358">
        <v>97625.74</v>
      </c>
      <c r="I12722" s="358">
        <v>51080.24</v>
      </c>
      <c r="J12722" s="358">
        <v>43994.55</v>
      </c>
      <c r="K12722" s="358">
        <v>2550.9499999999998</v>
      </c>
      <c r="L12722" s="43">
        <v>7.5116368896480621</v>
      </c>
      <c r="M12722" s="43">
        <v>11.499999999999998</v>
      </c>
      <c r="N12722" s="43">
        <v>5.3289650594616598</v>
      </c>
      <c r="O12722" s="43">
        <v>8.5287529254429941</v>
      </c>
      <c r="P12722" s="359"/>
      <c r="Q12722" s="359"/>
      <c r="R12722" s="359">
        <v>5</v>
      </c>
    </row>
    <row r="12723" spans="1:18" ht="24">
      <c r="A12723" s="355">
        <v>267</v>
      </c>
      <c r="B12723" s="352" t="s">
        <v>23125</v>
      </c>
      <c r="C12723" s="356" t="s">
        <v>23126</v>
      </c>
      <c r="D12723" s="357">
        <v>2622.33</v>
      </c>
      <c r="E12723" s="357">
        <v>965.6</v>
      </c>
      <c r="F12723" s="357">
        <v>1506.45</v>
      </c>
      <c r="G12723" s="357">
        <v>150.28</v>
      </c>
      <c r="H12723" s="358">
        <v>20558.82</v>
      </c>
      <c r="I12723" s="358">
        <v>11104.4</v>
      </c>
      <c r="J12723" s="358">
        <v>8244.8799999999992</v>
      </c>
      <c r="K12723" s="358">
        <v>1209.54</v>
      </c>
      <c r="L12723" s="43">
        <v>7.8399057326881056</v>
      </c>
      <c r="M12723" s="43">
        <v>11.5</v>
      </c>
      <c r="N12723" s="43">
        <v>5.4730525407414774</v>
      </c>
      <c r="O12723" s="43">
        <v>8.048575991482565</v>
      </c>
      <c r="P12723" s="359"/>
      <c r="Q12723" s="359"/>
      <c r="R12723" s="359">
        <v>5</v>
      </c>
    </row>
    <row r="12724" spans="1:18" ht="24">
      <c r="A12724" s="355">
        <v>268</v>
      </c>
      <c r="B12724" s="352" t="s">
        <v>23127</v>
      </c>
      <c r="C12724" s="356" t="s">
        <v>23128</v>
      </c>
      <c r="D12724" s="357">
        <v>3053.11</v>
      </c>
      <c r="E12724" s="357">
        <v>1806.24</v>
      </c>
      <c r="F12724" s="357">
        <v>1143.79</v>
      </c>
      <c r="G12724" s="357">
        <v>103.08</v>
      </c>
      <c r="H12724" s="358">
        <v>28041.97</v>
      </c>
      <c r="I12724" s="358">
        <v>20771.759999999998</v>
      </c>
      <c r="J12724" s="358">
        <v>6283.51</v>
      </c>
      <c r="K12724" s="358">
        <v>986.7</v>
      </c>
      <c r="L12724" s="43">
        <v>9.1847231183940305</v>
      </c>
      <c r="M12724" s="43">
        <v>11.499999999999998</v>
      </c>
      <c r="N12724" s="43">
        <v>5.4935871095218536</v>
      </c>
      <c r="O12724" s="43">
        <v>9.5721769499417935</v>
      </c>
      <c r="P12724" s="359"/>
      <c r="Q12724" s="359"/>
      <c r="R12724" s="359">
        <v>5</v>
      </c>
    </row>
    <row r="12725" spans="1:18" ht="24">
      <c r="A12725" s="355">
        <v>269</v>
      </c>
      <c r="B12725" s="352" t="s">
        <v>23129</v>
      </c>
      <c r="C12725" s="356" t="s">
        <v>23130</v>
      </c>
      <c r="D12725" s="357">
        <v>14640.16</v>
      </c>
      <c r="E12725" s="357">
        <v>7656.64</v>
      </c>
      <c r="F12725" s="357">
        <v>6330.64</v>
      </c>
      <c r="G12725" s="357">
        <v>652.88</v>
      </c>
      <c r="H12725" s="358">
        <v>129309.38</v>
      </c>
      <c r="I12725" s="358">
        <v>88051.36</v>
      </c>
      <c r="J12725" s="358">
        <v>35454.089999999997</v>
      </c>
      <c r="K12725" s="358">
        <v>5803.93</v>
      </c>
      <c r="L12725" s="43">
        <v>8.8325113933181054</v>
      </c>
      <c r="M12725" s="43">
        <v>11.5</v>
      </c>
      <c r="N12725" s="43">
        <v>5.6003958525520314</v>
      </c>
      <c r="O12725" s="43">
        <v>8.8897347138831027</v>
      </c>
      <c r="P12725" s="359"/>
      <c r="Q12725" s="359"/>
      <c r="R12725" s="359">
        <v>5</v>
      </c>
    </row>
    <row r="12726" spans="1:18" ht="36">
      <c r="A12726" s="355">
        <v>270</v>
      </c>
      <c r="B12726" s="352" t="s">
        <v>23131</v>
      </c>
      <c r="C12726" s="356" t="s">
        <v>23132</v>
      </c>
      <c r="D12726" s="357">
        <v>13790.07</v>
      </c>
      <c r="E12726" s="357">
        <v>7361.28</v>
      </c>
      <c r="F12726" s="357">
        <v>5916.79</v>
      </c>
      <c r="G12726" s="357">
        <v>512</v>
      </c>
      <c r="H12726" s="358">
        <v>122571.68</v>
      </c>
      <c r="I12726" s="358">
        <v>84654.720000000001</v>
      </c>
      <c r="J12726" s="358">
        <v>33304.9</v>
      </c>
      <c r="K12726" s="358">
        <v>4612.0600000000004</v>
      </c>
      <c r="L12726" s="43">
        <v>8.8884015817178597</v>
      </c>
      <c r="M12726" s="43">
        <v>11.5</v>
      </c>
      <c r="N12726" s="43">
        <v>5.6288798487017457</v>
      </c>
      <c r="O12726" s="43">
        <v>9.0079296875000008</v>
      </c>
      <c r="P12726" s="359"/>
      <c r="Q12726" s="359"/>
      <c r="R12726" s="359">
        <v>5</v>
      </c>
    </row>
    <row r="12727" spans="1:18" ht="36">
      <c r="A12727" s="355">
        <v>271</v>
      </c>
      <c r="B12727" s="352" t="s">
        <v>23133</v>
      </c>
      <c r="C12727" s="356" t="s">
        <v>23134</v>
      </c>
      <c r="D12727" s="357">
        <v>19560.68</v>
      </c>
      <c r="E12727" s="357">
        <v>10144.48</v>
      </c>
      <c r="F12727" s="357">
        <v>8636.4</v>
      </c>
      <c r="G12727" s="357">
        <v>779.8</v>
      </c>
      <c r="H12727" s="358">
        <v>172070.92</v>
      </c>
      <c r="I12727" s="358">
        <v>116661.52</v>
      </c>
      <c r="J12727" s="358">
        <v>48426.81</v>
      </c>
      <c r="K12727" s="358">
        <v>6982.59</v>
      </c>
      <c r="L12727" s="43">
        <v>8.7967759812031083</v>
      </c>
      <c r="M12727" s="43">
        <v>11.500000000000002</v>
      </c>
      <c r="N12727" s="43">
        <v>5.6072912324579685</v>
      </c>
      <c r="O12727" s="43">
        <v>8.9543344447294189</v>
      </c>
      <c r="P12727" s="359"/>
      <c r="Q12727" s="359"/>
      <c r="R12727" s="359">
        <v>5</v>
      </c>
    </row>
    <row r="12728" spans="1:18" ht="24">
      <c r="A12728" s="355">
        <v>272</v>
      </c>
      <c r="B12728" s="352" t="s">
        <v>23135</v>
      </c>
      <c r="C12728" s="356" t="s">
        <v>23136</v>
      </c>
      <c r="D12728" s="357">
        <v>6611.97</v>
      </c>
      <c r="E12728" s="357">
        <v>2771.84</v>
      </c>
      <c r="F12728" s="357">
        <v>3742.87</v>
      </c>
      <c r="G12728" s="357">
        <v>97.26</v>
      </c>
      <c r="H12728" s="358">
        <v>53701.56</v>
      </c>
      <c r="I12728" s="358">
        <v>31876.16</v>
      </c>
      <c r="J12728" s="358">
        <v>20893.560000000001</v>
      </c>
      <c r="K12728" s="358">
        <v>931.84</v>
      </c>
      <c r="L12728" s="43">
        <v>8.1218698814422918</v>
      </c>
      <c r="M12728" s="43">
        <v>11.5</v>
      </c>
      <c r="N12728" s="43">
        <v>5.5822296793636976</v>
      </c>
      <c r="O12728" s="43">
        <v>9.5809171293440265</v>
      </c>
      <c r="P12728" s="359"/>
      <c r="Q12728" s="359"/>
      <c r="R12728" s="359">
        <v>5</v>
      </c>
    </row>
    <row r="12729" spans="1:18" ht="24">
      <c r="A12729" s="355">
        <v>273</v>
      </c>
      <c r="B12729" s="352" t="s">
        <v>23137</v>
      </c>
      <c r="C12729" s="356" t="s">
        <v>23138</v>
      </c>
      <c r="D12729" s="357">
        <v>8480.24</v>
      </c>
      <c r="E12729" s="357">
        <v>3214.88</v>
      </c>
      <c r="F12729" s="357">
        <v>5062.8900000000003</v>
      </c>
      <c r="G12729" s="357">
        <v>202.47</v>
      </c>
      <c r="H12729" s="358">
        <v>65654.67</v>
      </c>
      <c r="I12729" s="358">
        <v>36971.120000000003</v>
      </c>
      <c r="J12729" s="358">
        <v>26969.57</v>
      </c>
      <c r="K12729" s="358">
        <v>1713.98</v>
      </c>
      <c r="L12729" s="43">
        <v>7.7420768751827778</v>
      </c>
      <c r="M12729" s="43">
        <v>11.5</v>
      </c>
      <c r="N12729" s="43">
        <v>5.326912099611091</v>
      </c>
      <c r="O12729" s="43">
        <v>8.4653528917864378</v>
      </c>
      <c r="P12729" s="359"/>
      <c r="Q12729" s="359"/>
      <c r="R12729" s="359">
        <v>5</v>
      </c>
    </row>
    <row r="12730" spans="1:18" ht="24">
      <c r="A12730" s="355">
        <v>274</v>
      </c>
      <c r="B12730" s="352" t="s">
        <v>23139</v>
      </c>
      <c r="C12730" s="356" t="s">
        <v>23140</v>
      </c>
      <c r="D12730" s="357">
        <v>4202.2700000000004</v>
      </c>
      <c r="E12730" s="357">
        <v>1919.84</v>
      </c>
      <c r="F12730" s="357">
        <v>2174.84</v>
      </c>
      <c r="G12730" s="357">
        <v>107.59</v>
      </c>
      <c r="H12730" s="358">
        <v>35124.120000000003</v>
      </c>
      <c r="I12730" s="358">
        <v>22078.16</v>
      </c>
      <c r="J12730" s="358">
        <v>12116.56</v>
      </c>
      <c r="K12730" s="358">
        <v>929.4</v>
      </c>
      <c r="L12730" s="43">
        <v>8.3583682152741261</v>
      </c>
      <c r="M12730" s="43">
        <v>11.5</v>
      </c>
      <c r="N12730" s="43">
        <v>5.5712420224016475</v>
      </c>
      <c r="O12730" s="43">
        <v>8.6383492889673761</v>
      </c>
      <c r="P12730" s="359"/>
      <c r="Q12730" s="359"/>
      <c r="R12730" s="359">
        <v>5</v>
      </c>
    </row>
    <row r="12731" spans="1:18" ht="12.75" customHeight="1">
      <c r="A12731" s="628" t="s">
        <v>23141</v>
      </c>
      <c r="B12731" s="629"/>
      <c r="C12731" s="629"/>
      <c r="D12731" s="629"/>
      <c r="E12731" s="629"/>
      <c r="F12731" s="629"/>
      <c r="G12731" s="629"/>
      <c r="H12731" s="629"/>
      <c r="I12731" s="629"/>
      <c r="J12731" s="629"/>
      <c r="K12731" s="629"/>
      <c r="L12731" s="629"/>
      <c r="M12731" s="629"/>
      <c r="N12731" s="629"/>
      <c r="O12731" s="629"/>
      <c r="P12731" s="629"/>
      <c r="Q12731" s="629"/>
      <c r="R12731" s="629"/>
    </row>
    <row r="12732" spans="1:18" ht="24">
      <c r="A12732" s="355">
        <v>275</v>
      </c>
      <c r="B12732" s="352" t="s">
        <v>23142</v>
      </c>
      <c r="C12732" s="356" t="s">
        <v>23143</v>
      </c>
      <c r="D12732" s="357">
        <v>2259.59</v>
      </c>
      <c r="E12732" s="357">
        <v>897.05</v>
      </c>
      <c r="F12732" s="357">
        <v>1324.2</v>
      </c>
      <c r="G12732" s="357">
        <v>38.340000000000003</v>
      </c>
      <c r="H12732" s="358">
        <v>17970.88</v>
      </c>
      <c r="I12732" s="358">
        <v>10316.4</v>
      </c>
      <c r="J12732" s="358">
        <v>7269.37</v>
      </c>
      <c r="K12732" s="358">
        <v>385.11</v>
      </c>
      <c r="L12732" s="43">
        <v>7.9531596440062131</v>
      </c>
      <c r="M12732" s="43">
        <v>11.500362298645561</v>
      </c>
      <c r="N12732" s="43">
        <v>5.4896314756079141</v>
      </c>
      <c r="O12732" s="43">
        <v>10.044600938967136</v>
      </c>
      <c r="P12732" s="359"/>
      <c r="Q12732" s="359"/>
      <c r="R12732" s="359">
        <v>6</v>
      </c>
    </row>
    <row r="12733" spans="1:18" ht="24">
      <c r="A12733" s="355">
        <v>276</v>
      </c>
      <c r="B12733" s="352" t="s">
        <v>23144</v>
      </c>
      <c r="C12733" s="356" t="s">
        <v>23145</v>
      </c>
      <c r="D12733" s="357">
        <v>8281.69</v>
      </c>
      <c r="E12733" s="357">
        <v>2608.23</v>
      </c>
      <c r="F12733" s="357">
        <v>5457.22</v>
      </c>
      <c r="G12733" s="357">
        <v>216.24</v>
      </c>
      <c r="H12733" s="358">
        <v>61025.7</v>
      </c>
      <c r="I12733" s="358">
        <v>29995.78</v>
      </c>
      <c r="J12733" s="358">
        <v>29117.89</v>
      </c>
      <c r="K12733" s="358">
        <v>1912.03</v>
      </c>
      <c r="L12733" s="43">
        <v>7.3687496151147887</v>
      </c>
      <c r="M12733" s="43">
        <v>11.500435161009573</v>
      </c>
      <c r="N12733" s="43">
        <v>5.3356635796247902</v>
      </c>
      <c r="O12733" s="43">
        <v>8.8421661117277086</v>
      </c>
      <c r="P12733" s="359"/>
      <c r="Q12733" s="359"/>
      <c r="R12733" s="359">
        <v>6</v>
      </c>
    </row>
    <row r="12734" spans="1:18" ht="24">
      <c r="A12734" s="355">
        <v>277</v>
      </c>
      <c r="B12734" s="352" t="s">
        <v>23146</v>
      </c>
      <c r="C12734" s="356" t="s">
        <v>23147</v>
      </c>
      <c r="D12734" s="357">
        <v>2945.73</v>
      </c>
      <c r="E12734" s="357">
        <v>848.62</v>
      </c>
      <c r="F12734" s="357">
        <v>2049.54</v>
      </c>
      <c r="G12734" s="357">
        <v>47.57</v>
      </c>
      <c r="H12734" s="358">
        <v>21282.58</v>
      </c>
      <c r="I12734" s="358">
        <v>9759.1299999999992</v>
      </c>
      <c r="J12734" s="358">
        <v>11060.09</v>
      </c>
      <c r="K12734" s="358">
        <v>463.36</v>
      </c>
      <c r="L12734" s="43">
        <v>7.2248916227895981</v>
      </c>
      <c r="M12734" s="43">
        <v>11.499999999999998</v>
      </c>
      <c r="N12734" s="43">
        <v>5.396376747953199</v>
      </c>
      <c r="O12734" s="43">
        <v>9.7405928105949133</v>
      </c>
      <c r="P12734" s="359"/>
      <c r="Q12734" s="359"/>
      <c r="R12734" s="359">
        <v>6</v>
      </c>
    </row>
    <row r="12735" spans="1:18" ht="12.75" customHeight="1">
      <c r="A12735" s="628" t="s">
        <v>23148</v>
      </c>
      <c r="B12735" s="629"/>
      <c r="C12735" s="629"/>
      <c r="D12735" s="629"/>
      <c r="E12735" s="629"/>
      <c r="F12735" s="629"/>
      <c r="G12735" s="629"/>
      <c r="H12735" s="629"/>
      <c r="I12735" s="629"/>
      <c r="J12735" s="629"/>
      <c r="K12735" s="629"/>
      <c r="L12735" s="629"/>
      <c r="M12735" s="629"/>
      <c r="N12735" s="629"/>
      <c r="O12735" s="629"/>
      <c r="P12735" s="629"/>
      <c r="Q12735" s="629"/>
      <c r="R12735" s="629"/>
    </row>
    <row r="12736" spans="1:18" ht="24">
      <c r="A12736" s="355">
        <v>278</v>
      </c>
      <c r="B12736" s="352" t="s">
        <v>23149</v>
      </c>
      <c r="C12736" s="356" t="s">
        <v>23150</v>
      </c>
      <c r="D12736" s="357">
        <v>2527.89</v>
      </c>
      <c r="E12736" s="357">
        <v>720.48</v>
      </c>
      <c r="F12736" s="357">
        <v>1596.69</v>
      </c>
      <c r="G12736" s="357">
        <v>210.72</v>
      </c>
      <c r="H12736" s="358">
        <v>18771.650000000001</v>
      </c>
      <c r="I12736" s="358">
        <v>8285.57</v>
      </c>
      <c r="J12736" s="358">
        <v>8638.75</v>
      </c>
      <c r="K12736" s="358">
        <v>1847.33</v>
      </c>
      <c r="L12736" s="43">
        <v>7.425817579087699</v>
      </c>
      <c r="M12736" s="43">
        <v>11.500069398178992</v>
      </c>
      <c r="N12736" s="43">
        <v>5.4104115388710392</v>
      </c>
      <c r="O12736" s="43">
        <v>8.7667520880789667</v>
      </c>
      <c r="P12736" s="359"/>
      <c r="Q12736" s="359"/>
      <c r="R12736" s="359">
        <v>7</v>
      </c>
    </row>
    <row r="12737" spans="1:18" ht="24">
      <c r="A12737" s="355">
        <v>279</v>
      </c>
      <c r="B12737" s="352" t="s">
        <v>23151</v>
      </c>
      <c r="C12737" s="356" t="s">
        <v>23152</v>
      </c>
      <c r="D12737" s="357">
        <v>1262.93</v>
      </c>
      <c r="E12737" s="357">
        <v>302.36</v>
      </c>
      <c r="F12737" s="357">
        <v>818.34</v>
      </c>
      <c r="G12737" s="357">
        <v>142.22999999999999</v>
      </c>
      <c r="H12737" s="358">
        <v>9009.25</v>
      </c>
      <c r="I12737" s="358">
        <v>3477.09</v>
      </c>
      <c r="J12737" s="358">
        <v>4424.96</v>
      </c>
      <c r="K12737" s="358">
        <v>1107.2</v>
      </c>
      <c r="L12737" s="43">
        <v>7.133609938793124</v>
      </c>
      <c r="M12737" s="43">
        <v>11.499834634210874</v>
      </c>
      <c r="N12737" s="43">
        <v>5.4072390448957641</v>
      </c>
      <c r="O12737" s="43">
        <v>7.7845742810940033</v>
      </c>
      <c r="P12737" s="359"/>
      <c r="Q12737" s="359"/>
      <c r="R12737" s="359">
        <v>7</v>
      </c>
    </row>
    <row r="12738" spans="1:18" ht="24">
      <c r="A12738" s="355">
        <v>280</v>
      </c>
      <c r="B12738" s="352" t="s">
        <v>23153</v>
      </c>
      <c r="C12738" s="356" t="s">
        <v>23154</v>
      </c>
      <c r="D12738" s="357">
        <v>1091.75</v>
      </c>
      <c r="E12738" s="357">
        <v>283.25</v>
      </c>
      <c r="F12738" s="357">
        <v>758.3</v>
      </c>
      <c r="G12738" s="357">
        <v>50.2</v>
      </c>
      <c r="H12738" s="358">
        <v>7807.72</v>
      </c>
      <c r="I12738" s="358">
        <v>3257.35</v>
      </c>
      <c r="J12738" s="358">
        <v>4094.9</v>
      </c>
      <c r="K12738" s="358">
        <v>455.47</v>
      </c>
      <c r="L12738" s="43">
        <v>7.1515640027478824</v>
      </c>
      <c r="M12738" s="43">
        <v>11.49991173874669</v>
      </c>
      <c r="N12738" s="43">
        <v>5.4001054991428203</v>
      </c>
      <c r="O12738" s="43">
        <v>9.073107569721115</v>
      </c>
      <c r="P12738" s="359"/>
      <c r="Q12738" s="359"/>
      <c r="R12738" s="359">
        <v>7</v>
      </c>
    </row>
    <row r="12739" spans="1:18" ht="24">
      <c r="A12739" s="355">
        <v>281</v>
      </c>
      <c r="B12739" s="352" t="s">
        <v>23155</v>
      </c>
      <c r="C12739" s="356" t="s">
        <v>23156</v>
      </c>
      <c r="D12739" s="357">
        <v>217.19</v>
      </c>
      <c r="E12739" s="357">
        <v>114.33</v>
      </c>
      <c r="F12739" s="357">
        <v>98.53</v>
      </c>
      <c r="G12739" s="357">
        <v>4.33</v>
      </c>
      <c r="H12739" s="358">
        <v>1897.15</v>
      </c>
      <c r="I12739" s="358">
        <v>1314.8</v>
      </c>
      <c r="J12739" s="358">
        <v>538.13</v>
      </c>
      <c r="K12739" s="358">
        <v>44.22</v>
      </c>
      <c r="L12739" s="43">
        <v>8.734978590174503</v>
      </c>
      <c r="M12739" s="43">
        <v>11.500043733053442</v>
      </c>
      <c r="N12739" s="43">
        <v>5.4615853039683344</v>
      </c>
      <c r="O12739" s="43">
        <v>10.212471131639722</v>
      </c>
      <c r="P12739" s="359"/>
      <c r="Q12739" s="359"/>
      <c r="R12739" s="359">
        <v>7</v>
      </c>
    </row>
    <row r="12740" spans="1:18" ht="24">
      <c r="A12740" s="355">
        <v>282</v>
      </c>
      <c r="B12740" s="352" t="s">
        <v>23157</v>
      </c>
      <c r="C12740" s="356" t="s">
        <v>23158</v>
      </c>
      <c r="D12740" s="357">
        <v>152.12</v>
      </c>
      <c r="E12740" s="357">
        <v>76.37</v>
      </c>
      <c r="F12740" s="357">
        <v>72.86</v>
      </c>
      <c r="G12740" s="357">
        <v>2.89</v>
      </c>
      <c r="H12740" s="358">
        <v>1306.55</v>
      </c>
      <c r="I12740" s="358">
        <v>878.23</v>
      </c>
      <c r="J12740" s="358">
        <v>398.8</v>
      </c>
      <c r="K12740" s="358">
        <v>29.52</v>
      </c>
      <c r="L12740" s="43">
        <v>8.5889429397843795</v>
      </c>
      <c r="M12740" s="43">
        <v>11.499672646327092</v>
      </c>
      <c r="N12740" s="43">
        <v>5.4735108427120505</v>
      </c>
      <c r="O12740" s="43">
        <v>10.214532871972319</v>
      </c>
      <c r="P12740" s="359"/>
      <c r="Q12740" s="359"/>
      <c r="R12740" s="359">
        <v>7</v>
      </c>
    </row>
    <row r="12741" spans="1:18" ht="24">
      <c r="A12741" s="355">
        <v>283</v>
      </c>
      <c r="B12741" s="352" t="s">
        <v>23159</v>
      </c>
      <c r="C12741" s="356" t="s">
        <v>23160</v>
      </c>
      <c r="D12741" s="357">
        <v>234.99</v>
      </c>
      <c r="E12741" s="357">
        <v>88.69</v>
      </c>
      <c r="F12741" s="357">
        <v>142.49</v>
      </c>
      <c r="G12741" s="357">
        <v>3.81</v>
      </c>
      <c r="H12741" s="358">
        <v>1836.03</v>
      </c>
      <c r="I12741" s="358">
        <v>1019.92</v>
      </c>
      <c r="J12741" s="358">
        <v>777.87</v>
      </c>
      <c r="K12741" s="358">
        <v>38.24</v>
      </c>
      <c r="L12741" s="43">
        <v>7.813226094727435</v>
      </c>
      <c r="M12741" s="43">
        <v>11.499830871575149</v>
      </c>
      <c r="N12741" s="43">
        <v>5.4591199382412796</v>
      </c>
      <c r="O12741" s="43">
        <v>10.036745406824148</v>
      </c>
      <c r="P12741" s="359"/>
      <c r="Q12741" s="359"/>
      <c r="R12741" s="359">
        <v>7</v>
      </c>
    </row>
    <row r="12742" spans="1:18" ht="24">
      <c r="A12742" s="355">
        <v>284</v>
      </c>
      <c r="B12742" s="352" t="s">
        <v>23161</v>
      </c>
      <c r="C12742" s="356" t="s">
        <v>23162</v>
      </c>
      <c r="D12742" s="357">
        <v>1512.55</v>
      </c>
      <c r="E12742" s="357">
        <v>394.52</v>
      </c>
      <c r="F12742" s="357">
        <v>1069.3399999999999</v>
      </c>
      <c r="G12742" s="357">
        <v>48.69</v>
      </c>
      <c r="H12742" s="358">
        <v>10797.81</v>
      </c>
      <c r="I12742" s="358">
        <v>4537.03</v>
      </c>
      <c r="J12742" s="358">
        <v>5812.44</v>
      </c>
      <c r="K12742" s="358">
        <v>448.34</v>
      </c>
      <c r="L12742" s="43">
        <v>7.1388119401011538</v>
      </c>
      <c r="M12742" s="43">
        <v>11.500126736287134</v>
      </c>
      <c r="N12742" s="43">
        <v>5.4355396786803079</v>
      </c>
      <c r="O12742" s="43">
        <v>9.2080509344834667</v>
      </c>
      <c r="P12742" s="359"/>
      <c r="Q12742" s="359"/>
      <c r="R12742" s="359">
        <v>7</v>
      </c>
    </row>
    <row r="12743" spans="1:18" ht="12.75" customHeight="1">
      <c r="A12743" s="628" t="s">
        <v>23163</v>
      </c>
      <c r="B12743" s="629"/>
      <c r="C12743" s="629"/>
      <c r="D12743" s="629"/>
      <c r="E12743" s="629"/>
      <c r="F12743" s="629"/>
      <c r="G12743" s="629"/>
      <c r="H12743" s="629"/>
      <c r="I12743" s="629"/>
      <c r="J12743" s="629"/>
      <c r="K12743" s="629"/>
      <c r="L12743" s="629"/>
      <c r="M12743" s="629"/>
      <c r="N12743" s="629"/>
      <c r="O12743" s="629"/>
      <c r="P12743" s="629"/>
      <c r="Q12743" s="629"/>
      <c r="R12743" s="629"/>
    </row>
    <row r="12744" spans="1:18" ht="24">
      <c r="A12744" s="355">
        <v>285</v>
      </c>
      <c r="B12744" s="352" t="s">
        <v>23164</v>
      </c>
      <c r="C12744" s="356" t="s">
        <v>23165</v>
      </c>
      <c r="D12744" s="357">
        <v>478.7</v>
      </c>
      <c r="E12744" s="357">
        <v>348.54</v>
      </c>
      <c r="F12744" s="357">
        <v>123.19</v>
      </c>
      <c r="G12744" s="357">
        <v>6.97</v>
      </c>
      <c r="H12744" s="358">
        <v>4733.59</v>
      </c>
      <c r="I12744" s="358">
        <v>4008.21</v>
      </c>
      <c r="J12744" s="358">
        <v>645.22</v>
      </c>
      <c r="K12744" s="358">
        <v>80.16</v>
      </c>
      <c r="L12744" s="43">
        <v>9.8884269897639445</v>
      </c>
      <c r="M12744" s="43">
        <v>11.5</v>
      </c>
      <c r="N12744" s="43">
        <v>5.2376004545823527</v>
      </c>
      <c r="O12744" s="43">
        <v>11.500717360114777</v>
      </c>
      <c r="P12744" s="359"/>
      <c r="Q12744" s="359"/>
      <c r="R12744" s="359">
        <v>8</v>
      </c>
    </row>
    <row r="12745" spans="1:18" ht="24">
      <c r="A12745" s="355">
        <v>286</v>
      </c>
      <c r="B12745" s="352" t="s">
        <v>23166</v>
      </c>
      <c r="C12745" s="356" t="s">
        <v>23167</v>
      </c>
      <c r="D12745" s="357">
        <v>558.26</v>
      </c>
      <c r="E12745" s="357">
        <v>424.02</v>
      </c>
      <c r="F12745" s="357">
        <v>125.76</v>
      </c>
      <c r="G12745" s="357">
        <v>8.48</v>
      </c>
      <c r="H12745" s="358">
        <v>5632.91</v>
      </c>
      <c r="I12745" s="358">
        <v>4876.2299999999996</v>
      </c>
      <c r="J12745" s="358">
        <v>659.16</v>
      </c>
      <c r="K12745" s="358">
        <v>97.52</v>
      </c>
      <c r="L12745" s="43">
        <v>10.090119299251246</v>
      </c>
      <c r="M12745" s="43">
        <v>11.5</v>
      </c>
      <c r="N12745" s="43">
        <v>5.2414122137404577</v>
      </c>
      <c r="O12745" s="43">
        <v>11.499999999999998</v>
      </c>
      <c r="P12745" s="359"/>
      <c r="Q12745" s="359"/>
      <c r="R12745" s="359">
        <v>8</v>
      </c>
    </row>
    <row r="12746" spans="1:18" ht="12.75" customHeight="1">
      <c r="A12746" s="628" t="s">
        <v>23168</v>
      </c>
      <c r="B12746" s="629"/>
      <c r="C12746" s="629"/>
      <c r="D12746" s="629"/>
      <c r="E12746" s="629"/>
      <c r="F12746" s="629"/>
      <c r="G12746" s="629"/>
      <c r="H12746" s="629"/>
      <c r="I12746" s="629"/>
      <c r="J12746" s="629"/>
      <c r="K12746" s="629"/>
      <c r="L12746" s="629"/>
      <c r="M12746" s="629"/>
      <c r="N12746" s="629"/>
      <c r="O12746" s="629"/>
      <c r="P12746" s="629"/>
      <c r="Q12746" s="629"/>
      <c r="R12746" s="629"/>
    </row>
    <row r="12747" spans="1:18" ht="24">
      <c r="A12747" s="355">
        <v>287</v>
      </c>
      <c r="B12747" s="352" t="s">
        <v>23169</v>
      </c>
      <c r="C12747" s="356" t="s">
        <v>23170</v>
      </c>
      <c r="D12747" s="357">
        <v>897.02</v>
      </c>
      <c r="E12747" s="357">
        <v>479.39</v>
      </c>
      <c r="F12747" s="357">
        <v>408.04</v>
      </c>
      <c r="G12747" s="357">
        <v>9.59</v>
      </c>
      <c r="H12747" s="358">
        <v>7939.24</v>
      </c>
      <c r="I12747" s="358">
        <v>5513.01</v>
      </c>
      <c r="J12747" s="358">
        <v>2315.94</v>
      </c>
      <c r="K12747" s="358">
        <v>110.29</v>
      </c>
      <c r="L12747" s="43">
        <v>8.8506833738378177</v>
      </c>
      <c r="M12747" s="43">
        <v>11.500052149606793</v>
      </c>
      <c r="N12747" s="43">
        <v>5.6757670816586607</v>
      </c>
      <c r="O12747" s="43">
        <v>11.500521376433786</v>
      </c>
      <c r="P12747" s="359"/>
      <c r="Q12747" s="359"/>
      <c r="R12747" s="359">
        <v>9</v>
      </c>
    </row>
    <row r="12748" spans="1:18" ht="24">
      <c r="A12748" s="355">
        <v>288</v>
      </c>
      <c r="B12748" s="352" t="s">
        <v>23171</v>
      </c>
      <c r="C12748" s="356" t="s">
        <v>23172</v>
      </c>
      <c r="D12748" s="357">
        <v>1088.79</v>
      </c>
      <c r="E12748" s="357">
        <v>515.74</v>
      </c>
      <c r="F12748" s="357">
        <v>562.74</v>
      </c>
      <c r="G12748" s="357">
        <v>10.31</v>
      </c>
      <c r="H12748" s="358">
        <v>9204.31</v>
      </c>
      <c r="I12748" s="358">
        <v>5931.06</v>
      </c>
      <c r="J12748" s="358">
        <v>3154.68</v>
      </c>
      <c r="K12748" s="358">
        <v>118.57</v>
      </c>
      <c r="L12748" s="43">
        <v>8.4537054895801766</v>
      </c>
      <c r="M12748" s="43">
        <v>11.500096948074612</v>
      </c>
      <c r="N12748" s="43">
        <v>5.6059281373280729</v>
      </c>
      <c r="O12748" s="43">
        <v>11.500484966052374</v>
      </c>
      <c r="P12748" s="359"/>
      <c r="Q12748" s="359"/>
      <c r="R12748" s="359">
        <v>9</v>
      </c>
    </row>
    <row r="12749" spans="1:18" ht="24">
      <c r="A12749" s="355">
        <v>289</v>
      </c>
      <c r="B12749" s="352" t="s">
        <v>23173</v>
      </c>
      <c r="C12749" s="356" t="s">
        <v>23174</v>
      </c>
      <c r="D12749" s="357">
        <v>785.19</v>
      </c>
      <c r="E12749" s="357">
        <v>455.54</v>
      </c>
      <c r="F12749" s="357">
        <v>320.54000000000002</v>
      </c>
      <c r="G12749" s="357">
        <v>9.11</v>
      </c>
      <c r="H12749" s="358">
        <v>7185.28</v>
      </c>
      <c r="I12749" s="358">
        <v>5238.66</v>
      </c>
      <c r="J12749" s="358">
        <v>1841.85</v>
      </c>
      <c r="K12749" s="358">
        <v>104.77</v>
      </c>
      <c r="L12749" s="43">
        <v>9.1510080362714739</v>
      </c>
      <c r="M12749" s="43">
        <v>11.49989024015454</v>
      </c>
      <c r="N12749" s="43">
        <v>5.7460847320147241</v>
      </c>
      <c r="O12749" s="43">
        <v>11.500548847420417</v>
      </c>
      <c r="P12749" s="359"/>
      <c r="Q12749" s="359"/>
      <c r="R12749" s="359">
        <v>9</v>
      </c>
    </row>
    <row r="12750" spans="1:18" ht="24">
      <c r="A12750" s="355">
        <v>290</v>
      </c>
      <c r="B12750" s="352" t="s">
        <v>23175</v>
      </c>
      <c r="C12750" s="356" t="s">
        <v>23176</v>
      </c>
      <c r="D12750" s="357">
        <v>940.09</v>
      </c>
      <c r="E12750" s="357">
        <v>493.02</v>
      </c>
      <c r="F12750" s="357">
        <v>437.21</v>
      </c>
      <c r="G12750" s="357">
        <v>9.86</v>
      </c>
      <c r="H12750" s="358">
        <v>8257.14</v>
      </c>
      <c r="I12750" s="358">
        <v>5669.78</v>
      </c>
      <c r="J12750" s="358">
        <v>2473.9699999999998</v>
      </c>
      <c r="K12750" s="358">
        <v>113.39</v>
      </c>
      <c r="L12750" s="43">
        <v>8.7833505302683772</v>
      </c>
      <c r="M12750" s="43">
        <v>11.500101415764066</v>
      </c>
      <c r="N12750" s="43">
        <v>5.6585393746712107</v>
      </c>
      <c r="O12750" s="43">
        <v>11.5</v>
      </c>
      <c r="P12750" s="359"/>
      <c r="Q12750" s="359"/>
      <c r="R12750" s="359">
        <v>9</v>
      </c>
    </row>
    <row r="12751" spans="1:18" ht="24">
      <c r="A12751" s="355">
        <v>291</v>
      </c>
      <c r="B12751" s="352" t="s">
        <v>23177</v>
      </c>
      <c r="C12751" s="356" t="s">
        <v>23178</v>
      </c>
      <c r="D12751" s="357">
        <v>1199.1099999999999</v>
      </c>
      <c r="E12751" s="357">
        <v>543.01</v>
      </c>
      <c r="F12751" s="357">
        <v>645.24</v>
      </c>
      <c r="G12751" s="357">
        <v>10.86</v>
      </c>
      <c r="H12751" s="358">
        <v>9969.7099999999991</v>
      </c>
      <c r="I12751" s="358">
        <v>6244.59</v>
      </c>
      <c r="J12751" s="358">
        <v>3600.23</v>
      </c>
      <c r="K12751" s="358">
        <v>124.89</v>
      </c>
      <c r="L12751" s="43">
        <v>8.3142580747387651</v>
      </c>
      <c r="M12751" s="43">
        <v>11.499953960332222</v>
      </c>
      <c r="N12751" s="43">
        <v>5.5796757795548944</v>
      </c>
      <c r="O12751" s="43">
        <v>11.5</v>
      </c>
      <c r="P12751" s="359"/>
      <c r="Q12751" s="359"/>
      <c r="R12751" s="359">
        <v>9</v>
      </c>
    </row>
    <row r="12752" spans="1:18" ht="24">
      <c r="A12752" s="355">
        <v>292</v>
      </c>
      <c r="B12752" s="352" t="s">
        <v>23179</v>
      </c>
      <c r="C12752" s="356" t="s">
        <v>23180</v>
      </c>
      <c r="D12752" s="357">
        <v>990.86</v>
      </c>
      <c r="E12752" s="357">
        <v>506.66</v>
      </c>
      <c r="F12752" s="357">
        <v>474.07</v>
      </c>
      <c r="G12752" s="357">
        <v>10.130000000000001</v>
      </c>
      <c r="H12752" s="358">
        <v>8616.84</v>
      </c>
      <c r="I12752" s="358">
        <v>5826.54</v>
      </c>
      <c r="J12752" s="358">
        <v>2673.8</v>
      </c>
      <c r="K12752" s="358">
        <v>116.5</v>
      </c>
      <c r="L12752" s="43">
        <v>8.6963244050622688</v>
      </c>
      <c r="M12752" s="43">
        <v>11.49990131449098</v>
      </c>
      <c r="N12752" s="43">
        <v>5.6400953445693682</v>
      </c>
      <c r="O12752" s="43">
        <v>11.500493583415595</v>
      </c>
      <c r="P12752" s="359"/>
      <c r="Q12752" s="359"/>
      <c r="R12752" s="359">
        <v>9</v>
      </c>
    </row>
    <row r="12753" spans="1:18" ht="12.75" customHeight="1">
      <c r="A12753" s="628" t="s">
        <v>23181</v>
      </c>
      <c r="B12753" s="629"/>
      <c r="C12753" s="629"/>
      <c r="D12753" s="629"/>
      <c r="E12753" s="629"/>
      <c r="F12753" s="629"/>
      <c r="G12753" s="629"/>
      <c r="H12753" s="629"/>
      <c r="I12753" s="629"/>
      <c r="J12753" s="629"/>
      <c r="K12753" s="629"/>
      <c r="L12753" s="629"/>
      <c r="M12753" s="629"/>
      <c r="N12753" s="629"/>
      <c r="O12753" s="629"/>
      <c r="P12753" s="629"/>
      <c r="Q12753" s="629"/>
      <c r="R12753" s="629"/>
    </row>
    <row r="12754" spans="1:18" ht="24">
      <c r="A12754" s="355">
        <v>293</v>
      </c>
      <c r="B12754" s="352" t="s">
        <v>23182</v>
      </c>
      <c r="C12754" s="356" t="s">
        <v>23183</v>
      </c>
      <c r="D12754" s="357">
        <v>1818.74</v>
      </c>
      <c r="E12754" s="357">
        <v>1292.5999999999999</v>
      </c>
      <c r="F12754" s="357">
        <v>500.29</v>
      </c>
      <c r="G12754" s="357">
        <v>25.85</v>
      </c>
      <c r="H12754" s="358">
        <v>17996.46</v>
      </c>
      <c r="I12754" s="358">
        <v>14864.9</v>
      </c>
      <c r="J12754" s="358">
        <v>2834.28</v>
      </c>
      <c r="K12754" s="358">
        <v>297.27999999999997</v>
      </c>
      <c r="L12754" s="43">
        <v>9.8950152303242902</v>
      </c>
      <c r="M12754" s="43">
        <v>11.5</v>
      </c>
      <c r="N12754" s="43">
        <v>5.6652741409982212</v>
      </c>
      <c r="O12754" s="43">
        <v>11.500193423597677</v>
      </c>
      <c r="P12754" s="359"/>
      <c r="Q12754" s="359"/>
      <c r="R12754" s="359">
        <v>10</v>
      </c>
    </row>
    <row r="12755" spans="1:18" ht="24">
      <c r="A12755" s="355">
        <v>294</v>
      </c>
      <c r="B12755" s="352" t="s">
        <v>23184</v>
      </c>
      <c r="C12755" s="356" t="s">
        <v>23185</v>
      </c>
      <c r="D12755" s="357">
        <v>2064.41</v>
      </c>
      <c r="E12755" s="357">
        <v>1001.48</v>
      </c>
      <c r="F12755" s="357">
        <v>1042.9000000000001</v>
      </c>
      <c r="G12755" s="357">
        <v>20.03</v>
      </c>
      <c r="H12755" s="358">
        <v>17624.66</v>
      </c>
      <c r="I12755" s="358">
        <v>11517.07</v>
      </c>
      <c r="J12755" s="358">
        <v>5877.24</v>
      </c>
      <c r="K12755" s="358">
        <v>230.35</v>
      </c>
      <c r="L12755" s="43">
        <v>8.5373835623737531</v>
      </c>
      <c r="M12755" s="43">
        <v>11.500049926109357</v>
      </c>
      <c r="N12755" s="43">
        <v>5.6354779940550381</v>
      </c>
      <c r="O12755" s="43">
        <v>11.500249625561656</v>
      </c>
      <c r="P12755" s="359"/>
      <c r="Q12755" s="359"/>
      <c r="R12755" s="359">
        <v>10</v>
      </c>
    </row>
    <row r="12756" spans="1:18" ht="12.75" customHeight="1">
      <c r="A12756" s="628" t="s">
        <v>2739</v>
      </c>
      <c r="B12756" s="629"/>
      <c r="C12756" s="629"/>
      <c r="D12756" s="629"/>
      <c r="E12756" s="629"/>
      <c r="F12756" s="629"/>
      <c r="G12756" s="629"/>
      <c r="H12756" s="629"/>
      <c r="I12756" s="629"/>
      <c r="J12756" s="629"/>
      <c r="K12756" s="629"/>
      <c r="L12756" s="629"/>
      <c r="M12756" s="629"/>
      <c r="N12756" s="629"/>
      <c r="O12756" s="629"/>
      <c r="P12756" s="629"/>
      <c r="Q12756" s="629"/>
      <c r="R12756" s="629"/>
    </row>
    <row r="12757" spans="1:18" ht="24">
      <c r="A12757" s="355">
        <v>295</v>
      </c>
      <c r="B12757" s="352" t="s">
        <v>23186</v>
      </c>
      <c r="C12757" s="356" t="s">
        <v>23187</v>
      </c>
      <c r="D12757" s="357">
        <v>209.97</v>
      </c>
      <c r="E12757" s="357">
        <v>125.89</v>
      </c>
      <c r="F12757" s="357">
        <v>44.9</v>
      </c>
      <c r="G12757" s="357">
        <v>39.18</v>
      </c>
      <c r="H12757" s="358">
        <v>1976.83</v>
      </c>
      <c r="I12757" s="358">
        <v>1447.71</v>
      </c>
      <c r="J12757" s="358">
        <v>241.24</v>
      </c>
      <c r="K12757" s="358">
        <v>287.88</v>
      </c>
      <c r="L12757" s="43">
        <v>9.4148211649283233</v>
      </c>
      <c r="M12757" s="43">
        <v>11.499801413932799</v>
      </c>
      <c r="N12757" s="43">
        <v>5.3728285077951004</v>
      </c>
      <c r="O12757" s="43">
        <v>7.3476263399693718</v>
      </c>
      <c r="P12757" s="359"/>
      <c r="Q12757" s="359"/>
      <c r="R12757" s="359">
        <v>11</v>
      </c>
    </row>
    <row r="12758" spans="1:18" ht="36">
      <c r="A12758" s="355">
        <v>296</v>
      </c>
      <c r="B12758" s="352" t="s">
        <v>23188</v>
      </c>
      <c r="C12758" s="356" t="s">
        <v>23189</v>
      </c>
      <c r="D12758" s="357">
        <v>803.26</v>
      </c>
      <c r="E12758" s="357">
        <v>342.82</v>
      </c>
      <c r="F12758" s="357">
        <v>372.02</v>
      </c>
      <c r="G12758" s="357">
        <v>88.42</v>
      </c>
      <c r="H12758" s="358">
        <v>6645.39</v>
      </c>
      <c r="I12758" s="358">
        <v>3942.43</v>
      </c>
      <c r="J12758" s="358">
        <v>2048.0300000000002</v>
      </c>
      <c r="K12758" s="358">
        <v>654.92999999999995</v>
      </c>
      <c r="L12758" s="43">
        <v>8.2730249234369939</v>
      </c>
      <c r="M12758" s="43">
        <v>11.5</v>
      </c>
      <c r="N12758" s="43">
        <v>5.505161012848772</v>
      </c>
      <c r="O12758" s="43">
        <v>7.4070346075548512</v>
      </c>
      <c r="P12758" s="359"/>
      <c r="Q12758" s="359"/>
      <c r="R12758" s="359">
        <v>11</v>
      </c>
    </row>
    <row r="12759" spans="1:18" ht="36">
      <c r="A12759" s="355">
        <v>297</v>
      </c>
      <c r="B12759" s="352" t="s">
        <v>23190</v>
      </c>
      <c r="C12759" s="356" t="s">
        <v>23191</v>
      </c>
      <c r="D12759" s="357">
        <v>1083.9100000000001</v>
      </c>
      <c r="E12759" s="357">
        <v>492.31</v>
      </c>
      <c r="F12759" s="357">
        <v>485.53</v>
      </c>
      <c r="G12759" s="357">
        <v>106.07</v>
      </c>
      <c r="H12759" s="358">
        <v>9147.41</v>
      </c>
      <c r="I12759" s="358">
        <v>5661.59</v>
      </c>
      <c r="J12759" s="358">
        <v>2692.94</v>
      </c>
      <c r="K12759" s="358">
        <v>792.88</v>
      </c>
      <c r="L12759" s="43">
        <v>8.4392707881650679</v>
      </c>
      <c r="M12759" s="43">
        <v>11.500050781011964</v>
      </c>
      <c r="N12759" s="43">
        <v>5.5463926018989564</v>
      </c>
      <c r="O12759" s="43">
        <v>7.4750636372207033</v>
      </c>
      <c r="P12759" s="359"/>
      <c r="Q12759" s="359"/>
      <c r="R12759" s="359">
        <v>11</v>
      </c>
    </row>
    <row r="12760" spans="1:18" ht="24">
      <c r="A12760" s="355">
        <v>298</v>
      </c>
      <c r="B12760" s="352" t="s">
        <v>23192</v>
      </c>
      <c r="C12760" s="356" t="s">
        <v>23193</v>
      </c>
      <c r="D12760" s="357">
        <v>2645.18</v>
      </c>
      <c r="E12760" s="357">
        <v>1292.5999999999999</v>
      </c>
      <c r="F12760" s="357">
        <v>1298.97</v>
      </c>
      <c r="G12760" s="357">
        <v>53.61</v>
      </c>
      <c r="H12760" s="358">
        <v>22655.43</v>
      </c>
      <c r="I12760" s="358">
        <v>14864.9</v>
      </c>
      <c r="J12760" s="358">
        <v>7289.44</v>
      </c>
      <c r="K12760" s="358">
        <v>501.09</v>
      </c>
      <c r="L12760" s="43">
        <v>8.5647971026546408</v>
      </c>
      <c r="M12760" s="43">
        <v>11.5</v>
      </c>
      <c r="N12760" s="43">
        <v>5.611707737669076</v>
      </c>
      <c r="O12760" s="43">
        <v>9.346950195858982</v>
      </c>
      <c r="P12760" s="359"/>
      <c r="Q12760" s="359"/>
      <c r="R12760" s="359">
        <v>11</v>
      </c>
    </row>
    <row r="12761" spans="1:18" ht="24">
      <c r="A12761" s="355">
        <v>299</v>
      </c>
      <c r="B12761" s="352" t="s">
        <v>23194</v>
      </c>
      <c r="C12761" s="356" t="s">
        <v>23195</v>
      </c>
      <c r="D12761" s="357">
        <v>1113.07</v>
      </c>
      <c r="E12761" s="357">
        <v>550.76</v>
      </c>
      <c r="F12761" s="357">
        <v>458.85</v>
      </c>
      <c r="G12761" s="357">
        <v>103.46</v>
      </c>
      <c r="H12761" s="358">
        <v>9694.8700000000008</v>
      </c>
      <c r="I12761" s="358">
        <v>6333.74</v>
      </c>
      <c r="J12761" s="358">
        <v>2563</v>
      </c>
      <c r="K12761" s="358">
        <v>798.13</v>
      </c>
      <c r="L12761" s="43">
        <v>8.7100272220076018</v>
      </c>
      <c r="M12761" s="43">
        <v>11.5</v>
      </c>
      <c r="N12761" s="43">
        <v>5.5857033889070502</v>
      </c>
      <c r="O12761" s="43">
        <v>7.7143823699980674</v>
      </c>
      <c r="P12761" s="359"/>
      <c r="Q12761" s="359"/>
      <c r="R12761" s="359">
        <v>11</v>
      </c>
    </row>
    <row r="12762" spans="1:18" ht="24">
      <c r="A12762" s="355">
        <v>300</v>
      </c>
      <c r="B12762" s="352" t="s">
        <v>23196</v>
      </c>
      <c r="C12762" s="356" t="s">
        <v>23197</v>
      </c>
      <c r="D12762" s="357">
        <v>631.99</v>
      </c>
      <c r="E12762" s="357">
        <v>229.3</v>
      </c>
      <c r="F12762" s="357">
        <v>348.8</v>
      </c>
      <c r="G12762" s="357">
        <v>53.89</v>
      </c>
      <c r="H12762" s="358">
        <v>5018.37</v>
      </c>
      <c r="I12762" s="358">
        <v>2636.9</v>
      </c>
      <c r="J12762" s="358">
        <v>1896.58</v>
      </c>
      <c r="K12762" s="358">
        <v>484.89</v>
      </c>
      <c r="L12762" s="43">
        <v>7.94058450291935</v>
      </c>
      <c r="M12762" s="43">
        <v>11.499781945050152</v>
      </c>
      <c r="N12762" s="43">
        <v>5.4374426605504587</v>
      </c>
      <c r="O12762" s="43">
        <v>8.9977732417888294</v>
      </c>
      <c r="P12762" s="359"/>
      <c r="Q12762" s="359"/>
      <c r="R12762" s="359">
        <v>11</v>
      </c>
    </row>
    <row r="12763" spans="1:18" ht="12.75" customHeight="1">
      <c r="A12763" s="628" t="s">
        <v>23198</v>
      </c>
      <c r="B12763" s="629"/>
      <c r="C12763" s="629"/>
      <c r="D12763" s="629"/>
      <c r="E12763" s="629"/>
      <c r="F12763" s="629"/>
      <c r="G12763" s="629"/>
      <c r="H12763" s="629"/>
      <c r="I12763" s="629"/>
      <c r="J12763" s="629"/>
      <c r="K12763" s="629"/>
      <c r="L12763" s="629"/>
      <c r="M12763" s="629"/>
      <c r="N12763" s="629"/>
      <c r="O12763" s="629"/>
      <c r="P12763" s="629"/>
      <c r="Q12763" s="629"/>
      <c r="R12763" s="629"/>
    </row>
    <row r="12764" spans="1:18" ht="12.75" customHeight="1">
      <c r="A12764" s="628" t="s">
        <v>23199</v>
      </c>
      <c r="B12764" s="629"/>
      <c r="C12764" s="629"/>
      <c r="D12764" s="629"/>
      <c r="E12764" s="629"/>
      <c r="F12764" s="629"/>
      <c r="G12764" s="629"/>
      <c r="H12764" s="629"/>
      <c r="I12764" s="629"/>
      <c r="J12764" s="629"/>
      <c r="K12764" s="629"/>
      <c r="L12764" s="629"/>
      <c r="M12764" s="629"/>
      <c r="N12764" s="629"/>
      <c r="O12764" s="629"/>
      <c r="P12764" s="629"/>
      <c r="Q12764" s="629"/>
      <c r="R12764" s="629"/>
    </row>
    <row r="12765" spans="1:18" ht="24">
      <c r="A12765" s="355">
        <v>301</v>
      </c>
      <c r="B12765" s="352" t="s">
        <v>23200</v>
      </c>
      <c r="C12765" s="356" t="s">
        <v>23201</v>
      </c>
      <c r="D12765" s="357">
        <v>2912.09</v>
      </c>
      <c r="E12765" s="357">
        <v>1344.33</v>
      </c>
      <c r="F12765" s="357">
        <v>1306.3</v>
      </c>
      <c r="G12765" s="357">
        <v>261.45999999999998</v>
      </c>
      <c r="H12765" s="358">
        <v>24099.54</v>
      </c>
      <c r="I12765" s="358">
        <v>15460.38</v>
      </c>
      <c r="J12765" s="358">
        <v>7038.37</v>
      </c>
      <c r="K12765" s="358">
        <v>1600.79</v>
      </c>
      <c r="L12765" s="43">
        <v>8.2756851608295072</v>
      </c>
      <c r="M12765" s="43">
        <v>11.500435161009573</v>
      </c>
      <c r="N12765" s="43">
        <v>5.3880195973359877</v>
      </c>
      <c r="O12765" s="43">
        <v>6.1225043983783376</v>
      </c>
      <c r="P12765" s="359"/>
      <c r="Q12765" s="359"/>
      <c r="R12765" s="359">
        <v>1</v>
      </c>
    </row>
    <row r="12766" spans="1:18" ht="24">
      <c r="A12766" s="355">
        <v>302</v>
      </c>
      <c r="B12766" s="352" t="s">
        <v>23202</v>
      </c>
      <c r="C12766" s="356" t="s">
        <v>23203</v>
      </c>
      <c r="D12766" s="357">
        <v>6262.3</v>
      </c>
      <c r="E12766" s="357">
        <v>2998.89</v>
      </c>
      <c r="F12766" s="357">
        <v>2929.59</v>
      </c>
      <c r="G12766" s="357">
        <v>333.82</v>
      </c>
      <c r="H12766" s="358">
        <v>52289.59</v>
      </c>
      <c r="I12766" s="358">
        <v>34488.54</v>
      </c>
      <c r="J12766" s="358">
        <v>15603.37</v>
      </c>
      <c r="K12766" s="358">
        <v>2197.6799999999998</v>
      </c>
      <c r="L12766" s="43">
        <v>8.3499017932708419</v>
      </c>
      <c r="M12766" s="43">
        <v>11.500435161009575</v>
      </c>
      <c r="N12766" s="43">
        <v>5.3261275468580926</v>
      </c>
      <c r="O12766" s="43">
        <v>6.5834281948355393</v>
      </c>
      <c r="P12766" s="359"/>
      <c r="Q12766" s="359"/>
      <c r="R12766" s="359">
        <v>1</v>
      </c>
    </row>
    <row r="12767" spans="1:18" ht="24">
      <c r="A12767" s="355">
        <v>303</v>
      </c>
      <c r="B12767" s="352" t="s">
        <v>23204</v>
      </c>
      <c r="C12767" s="356" t="s">
        <v>23205</v>
      </c>
      <c r="D12767" s="357">
        <v>713.27</v>
      </c>
      <c r="E12767" s="357">
        <v>266.95999999999998</v>
      </c>
      <c r="F12767" s="357">
        <v>427.56</v>
      </c>
      <c r="G12767" s="357">
        <v>18.75</v>
      </c>
      <c r="H12767" s="358">
        <v>5506</v>
      </c>
      <c r="I12767" s="358">
        <v>3070.04</v>
      </c>
      <c r="J12767" s="358">
        <v>2310.23</v>
      </c>
      <c r="K12767" s="358">
        <v>125.73</v>
      </c>
      <c r="L12767" s="43">
        <v>7.719376954028629</v>
      </c>
      <c r="M12767" s="43">
        <v>11.5</v>
      </c>
      <c r="N12767" s="43">
        <v>5.4032884273552249</v>
      </c>
      <c r="O12767" s="43">
        <v>6.7056000000000004</v>
      </c>
      <c r="P12767" s="359"/>
      <c r="Q12767" s="359"/>
      <c r="R12767" s="359">
        <v>1</v>
      </c>
    </row>
    <row r="12768" spans="1:18" ht="24">
      <c r="A12768" s="355">
        <v>304</v>
      </c>
      <c r="B12768" s="352" t="s">
        <v>23206</v>
      </c>
      <c r="C12768" s="356" t="s">
        <v>23207</v>
      </c>
      <c r="D12768" s="357">
        <v>2435.71</v>
      </c>
      <c r="E12768" s="357">
        <v>1252.4100000000001</v>
      </c>
      <c r="F12768" s="357">
        <v>1052.3900000000001</v>
      </c>
      <c r="G12768" s="357">
        <v>130.91</v>
      </c>
      <c r="H12768" s="358">
        <v>20969.8</v>
      </c>
      <c r="I12768" s="358">
        <v>14403.26</v>
      </c>
      <c r="J12768" s="358">
        <v>5679.06</v>
      </c>
      <c r="K12768" s="358">
        <v>887.48</v>
      </c>
      <c r="L12768" s="43">
        <v>8.6093172011446342</v>
      </c>
      <c r="M12768" s="43">
        <v>11.500435161009573</v>
      </c>
      <c r="N12768" s="43">
        <v>5.3963454612833646</v>
      </c>
      <c r="O12768" s="43">
        <v>6.7793140325414409</v>
      </c>
      <c r="P12768" s="359"/>
      <c r="Q12768" s="359"/>
      <c r="R12768" s="359">
        <v>1</v>
      </c>
    </row>
    <row r="12769" spans="1:18" ht="12.75" customHeight="1">
      <c r="A12769" s="628" t="s">
        <v>23208</v>
      </c>
      <c r="B12769" s="629"/>
      <c r="C12769" s="629"/>
      <c r="D12769" s="629"/>
      <c r="E12769" s="629"/>
      <c r="F12769" s="629"/>
      <c r="G12769" s="629"/>
      <c r="H12769" s="629"/>
      <c r="I12769" s="629"/>
      <c r="J12769" s="629"/>
      <c r="K12769" s="629"/>
      <c r="L12769" s="629"/>
      <c r="M12769" s="629"/>
      <c r="N12769" s="629"/>
      <c r="O12769" s="629"/>
      <c r="P12769" s="629"/>
      <c r="Q12769" s="629"/>
      <c r="R12769" s="629"/>
    </row>
    <row r="12770" spans="1:18" ht="12.75" customHeight="1">
      <c r="A12770" s="628" t="s">
        <v>23209</v>
      </c>
      <c r="B12770" s="629"/>
      <c r="C12770" s="629"/>
      <c r="D12770" s="629"/>
      <c r="E12770" s="629"/>
      <c r="F12770" s="629"/>
      <c r="G12770" s="629"/>
      <c r="H12770" s="629"/>
      <c r="I12770" s="629"/>
      <c r="J12770" s="629"/>
      <c r="K12770" s="629"/>
      <c r="L12770" s="629"/>
      <c r="M12770" s="629"/>
      <c r="N12770" s="629"/>
      <c r="O12770" s="629"/>
      <c r="P12770" s="629"/>
      <c r="Q12770" s="629"/>
      <c r="R12770" s="629"/>
    </row>
    <row r="12771" spans="1:18" ht="24">
      <c r="A12771" s="355">
        <v>305</v>
      </c>
      <c r="B12771" s="352" t="s">
        <v>23210</v>
      </c>
      <c r="C12771" s="356" t="s">
        <v>23211</v>
      </c>
      <c r="D12771" s="357">
        <v>4206.6400000000003</v>
      </c>
      <c r="E12771" s="357">
        <v>1849.89</v>
      </c>
      <c r="F12771" s="357">
        <v>1328.77</v>
      </c>
      <c r="G12771" s="357">
        <v>1027.98</v>
      </c>
      <c r="H12771" s="358">
        <v>32825.040000000001</v>
      </c>
      <c r="I12771" s="358">
        <v>21274.54</v>
      </c>
      <c r="J12771" s="358">
        <v>7071.3</v>
      </c>
      <c r="K12771" s="358">
        <v>4479.2</v>
      </c>
      <c r="L12771" s="43">
        <v>7.8031493068101856</v>
      </c>
      <c r="M12771" s="43">
        <v>11.500435161009573</v>
      </c>
      <c r="N12771" s="43">
        <v>5.3216884788187571</v>
      </c>
      <c r="O12771" s="43">
        <v>4.3572832156267634</v>
      </c>
      <c r="P12771" s="359"/>
      <c r="Q12771" s="359"/>
      <c r="R12771" s="359">
        <v>1</v>
      </c>
    </row>
    <row r="12772" spans="1:18" ht="24">
      <c r="A12772" s="355">
        <v>306</v>
      </c>
      <c r="B12772" s="352" t="s">
        <v>23212</v>
      </c>
      <c r="C12772" s="356" t="s">
        <v>23213</v>
      </c>
      <c r="D12772" s="357">
        <v>4583.08</v>
      </c>
      <c r="E12772" s="357">
        <v>1976.28</v>
      </c>
      <c r="F12772" s="357">
        <v>1496.82</v>
      </c>
      <c r="G12772" s="357">
        <v>1109.98</v>
      </c>
      <c r="H12772" s="358">
        <v>35431.33</v>
      </c>
      <c r="I12772" s="358">
        <v>22728.080000000002</v>
      </c>
      <c r="J12772" s="358">
        <v>7971.68</v>
      </c>
      <c r="K12772" s="358">
        <v>4731.57</v>
      </c>
      <c r="L12772" s="43">
        <v>7.7308993078890182</v>
      </c>
      <c r="M12772" s="43">
        <v>11.500435161009575</v>
      </c>
      <c r="N12772" s="43">
        <v>5.3257439104234319</v>
      </c>
      <c r="O12772" s="43">
        <v>4.2627524820267029</v>
      </c>
      <c r="P12772" s="359"/>
      <c r="Q12772" s="359"/>
      <c r="R12772" s="359">
        <v>1</v>
      </c>
    </row>
    <row r="12773" spans="1:18" ht="24">
      <c r="A12773" s="355">
        <v>307</v>
      </c>
      <c r="B12773" s="352" t="s">
        <v>23214</v>
      </c>
      <c r="C12773" s="356" t="s">
        <v>23215</v>
      </c>
      <c r="D12773" s="357">
        <v>6120.5</v>
      </c>
      <c r="E12773" s="357">
        <v>2378.4299999999998</v>
      </c>
      <c r="F12773" s="357">
        <v>2324.84</v>
      </c>
      <c r="G12773" s="357">
        <v>1417.23</v>
      </c>
      <c r="H12773" s="358">
        <v>45260.92</v>
      </c>
      <c r="I12773" s="358">
        <v>27352.98</v>
      </c>
      <c r="J12773" s="358">
        <v>12258.36</v>
      </c>
      <c r="K12773" s="358">
        <v>5649.58</v>
      </c>
      <c r="L12773" s="43">
        <v>7.3949709991013801</v>
      </c>
      <c r="M12773" s="43">
        <v>11.500435161009575</v>
      </c>
      <c r="N12773" s="43">
        <v>5.2727757609125785</v>
      </c>
      <c r="O12773" s="43">
        <v>3.9863536617203983</v>
      </c>
      <c r="P12773" s="359"/>
      <c r="Q12773" s="359"/>
      <c r="R12773" s="359">
        <v>1</v>
      </c>
    </row>
    <row r="12774" spans="1:18" ht="36">
      <c r="A12774" s="355">
        <v>308</v>
      </c>
      <c r="B12774" s="352" t="s">
        <v>23216</v>
      </c>
      <c r="C12774" s="356" t="s">
        <v>23217</v>
      </c>
      <c r="D12774" s="357">
        <v>6619.09</v>
      </c>
      <c r="E12774" s="357">
        <v>2596.7399999999998</v>
      </c>
      <c r="F12774" s="357">
        <v>2486.59</v>
      </c>
      <c r="G12774" s="357">
        <v>1535.76</v>
      </c>
      <c r="H12774" s="358">
        <v>49019.44</v>
      </c>
      <c r="I12774" s="358">
        <v>29863.64</v>
      </c>
      <c r="J12774" s="358">
        <v>13114.25</v>
      </c>
      <c r="K12774" s="358">
        <v>6041.55</v>
      </c>
      <c r="L12774" s="43">
        <v>7.4057672580369811</v>
      </c>
      <c r="M12774" s="43">
        <v>11.500435161009575</v>
      </c>
      <c r="N12774" s="43">
        <v>5.2739896806469906</v>
      </c>
      <c r="O12774" s="43">
        <v>3.9339154555399283</v>
      </c>
      <c r="P12774" s="359"/>
      <c r="Q12774" s="359"/>
      <c r="R12774" s="359">
        <v>1</v>
      </c>
    </row>
    <row r="12775" spans="1:18" ht="12.75" customHeight="1">
      <c r="A12775" s="628" t="s">
        <v>23218</v>
      </c>
      <c r="B12775" s="629"/>
      <c r="C12775" s="629"/>
      <c r="D12775" s="629"/>
      <c r="E12775" s="629"/>
      <c r="F12775" s="629"/>
      <c r="G12775" s="629"/>
      <c r="H12775" s="629"/>
      <c r="I12775" s="629"/>
      <c r="J12775" s="629"/>
      <c r="K12775" s="629"/>
      <c r="L12775" s="629"/>
      <c r="M12775" s="629"/>
      <c r="N12775" s="629"/>
      <c r="O12775" s="629"/>
      <c r="P12775" s="629"/>
      <c r="Q12775" s="629"/>
      <c r="R12775" s="629"/>
    </row>
    <row r="12776" spans="1:18" ht="36">
      <c r="A12776" s="355">
        <v>309</v>
      </c>
      <c r="B12776" s="352" t="s">
        <v>23219</v>
      </c>
      <c r="C12776" s="356" t="s">
        <v>23220</v>
      </c>
      <c r="D12776" s="357">
        <v>3314.5</v>
      </c>
      <c r="E12776" s="357">
        <v>1098.1500000000001</v>
      </c>
      <c r="F12776" s="357">
        <v>1481.67</v>
      </c>
      <c r="G12776" s="357">
        <v>734.68</v>
      </c>
      <c r="H12776" s="358">
        <v>22949.82</v>
      </c>
      <c r="I12776" s="358">
        <v>12628.7</v>
      </c>
      <c r="J12776" s="358">
        <v>8010.33</v>
      </c>
      <c r="K12776" s="358">
        <v>2310.79</v>
      </c>
      <c r="L12776" s="43">
        <v>6.9240669784281188</v>
      </c>
      <c r="M12776" s="43">
        <v>11.49997723443974</v>
      </c>
      <c r="N12776" s="43">
        <v>5.4062848002591668</v>
      </c>
      <c r="O12776" s="43">
        <v>3.1453013556922742</v>
      </c>
      <c r="P12776" s="359"/>
      <c r="Q12776" s="359"/>
      <c r="R12776" s="359">
        <v>2</v>
      </c>
    </row>
    <row r="12777" spans="1:18" ht="36">
      <c r="A12777" s="355">
        <v>310</v>
      </c>
      <c r="B12777" s="352" t="s">
        <v>23221</v>
      </c>
      <c r="C12777" s="356" t="s">
        <v>23222</v>
      </c>
      <c r="D12777" s="357">
        <v>4285.33</v>
      </c>
      <c r="E12777" s="357">
        <v>1438.72</v>
      </c>
      <c r="F12777" s="357">
        <v>2018.75</v>
      </c>
      <c r="G12777" s="357">
        <v>827.86</v>
      </c>
      <c r="H12777" s="358">
        <v>30093.200000000001</v>
      </c>
      <c r="I12777" s="358">
        <v>16545.28</v>
      </c>
      <c r="J12777" s="358">
        <v>10905.23</v>
      </c>
      <c r="K12777" s="358">
        <v>2642.69</v>
      </c>
      <c r="L12777" s="43">
        <v>7.0223763397451311</v>
      </c>
      <c r="M12777" s="43">
        <v>11.499999999999998</v>
      </c>
      <c r="N12777" s="43">
        <v>5.4019715170278637</v>
      </c>
      <c r="O12777" s="43">
        <v>3.1921943323750392</v>
      </c>
      <c r="P12777" s="359"/>
      <c r="Q12777" s="359"/>
      <c r="R12777" s="359">
        <v>2</v>
      </c>
    </row>
    <row r="12778" spans="1:18" ht="36">
      <c r="A12778" s="355">
        <v>311</v>
      </c>
      <c r="B12778" s="352" t="s">
        <v>23223</v>
      </c>
      <c r="C12778" s="356" t="s">
        <v>23224</v>
      </c>
      <c r="D12778" s="357">
        <v>5273.42</v>
      </c>
      <c r="E12778" s="357">
        <v>1783.52</v>
      </c>
      <c r="F12778" s="357">
        <v>2441.0300000000002</v>
      </c>
      <c r="G12778" s="357">
        <v>1048.8699999999999</v>
      </c>
      <c r="H12778" s="358">
        <v>37016.83</v>
      </c>
      <c r="I12778" s="358">
        <v>20510.48</v>
      </c>
      <c r="J12778" s="358">
        <v>13171.14</v>
      </c>
      <c r="K12778" s="358">
        <v>3335.21</v>
      </c>
      <c r="L12778" s="43">
        <v>7.0195110573403978</v>
      </c>
      <c r="M12778" s="43">
        <v>11.5</v>
      </c>
      <c r="N12778" s="43">
        <v>5.3957304908174004</v>
      </c>
      <c r="O12778" s="43">
        <v>3.1798125601838172</v>
      </c>
      <c r="P12778" s="359"/>
      <c r="Q12778" s="359"/>
      <c r="R12778" s="359">
        <v>2</v>
      </c>
    </row>
    <row r="12779" spans="1:18" ht="36">
      <c r="A12779" s="355">
        <v>312</v>
      </c>
      <c r="B12779" s="352" t="s">
        <v>23225</v>
      </c>
      <c r="C12779" s="356" t="s">
        <v>23226</v>
      </c>
      <c r="D12779" s="357">
        <v>12355.77</v>
      </c>
      <c r="E12779" s="357">
        <v>3192.16</v>
      </c>
      <c r="F12779" s="357">
        <v>6127.1</v>
      </c>
      <c r="G12779" s="357">
        <v>3036.51</v>
      </c>
      <c r="H12779" s="358">
        <v>78833.02</v>
      </c>
      <c r="I12779" s="358">
        <v>36709.839999999997</v>
      </c>
      <c r="J12779" s="358">
        <v>33003.99</v>
      </c>
      <c r="K12779" s="358">
        <v>9119.19</v>
      </c>
      <c r="L12779" s="43">
        <v>6.3802595872211931</v>
      </c>
      <c r="M12779" s="43">
        <v>11.5</v>
      </c>
      <c r="N12779" s="43">
        <v>5.3865597101401965</v>
      </c>
      <c r="O12779" s="43">
        <v>3.0031812837764407</v>
      </c>
      <c r="P12779" s="359"/>
      <c r="Q12779" s="359"/>
      <c r="R12779" s="359">
        <v>2</v>
      </c>
    </row>
    <row r="12780" spans="1:18" ht="12.75" customHeight="1">
      <c r="A12780" s="628" t="s">
        <v>23227</v>
      </c>
      <c r="B12780" s="629"/>
      <c r="C12780" s="629"/>
      <c r="D12780" s="629"/>
      <c r="E12780" s="629"/>
      <c r="F12780" s="629"/>
      <c r="G12780" s="629"/>
      <c r="H12780" s="629"/>
      <c r="I12780" s="629"/>
      <c r="J12780" s="629"/>
      <c r="K12780" s="629"/>
      <c r="L12780" s="629"/>
      <c r="M12780" s="629"/>
      <c r="N12780" s="629"/>
      <c r="O12780" s="629"/>
      <c r="P12780" s="629"/>
      <c r="Q12780" s="629"/>
      <c r="R12780" s="629"/>
    </row>
    <row r="12781" spans="1:18" ht="36">
      <c r="A12781" s="355">
        <v>313</v>
      </c>
      <c r="B12781" s="352" t="s">
        <v>23228</v>
      </c>
      <c r="C12781" s="356" t="s">
        <v>23229</v>
      </c>
      <c r="D12781" s="357">
        <v>3519.73</v>
      </c>
      <c r="E12781" s="357">
        <v>885.71</v>
      </c>
      <c r="F12781" s="357">
        <v>1048.4000000000001</v>
      </c>
      <c r="G12781" s="357">
        <v>1585.62</v>
      </c>
      <c r="H12781" s="358">
        <v>22214.81</v>
      </c>
      <c r="I12781" s="358">
        <v>10185.69</v>
      </c>
      <c r="J12781" s="358">
        <v>5660.81</v>
      </c>
      <c r="K12781" s="358">
        <v>6368.31</v>
      </c>
      <c r="L12781" s="43">
        <v>6.311509689663696</v>
      </c>
      <c r="M12781" s="43">
        <v>11.500028225943028</v>
      </c>
      <c r="N12781" s="43">
        <v>5.3994753910721096</v>
      </c>
      <c r="O12781" s="43">
        <v>4.0162901577931667</v>
      </c>
      <c r="P12781" s="359"/>
      <c r="Q12781" s="359"/>
      <c r="R12781" s="359">
        <v>3</v>
      </c>
    </row>
    <row r="12782" spans="1:18" ht="36">
      <c r="A12782" s="355">
        <v>314</v>
      </c>
      <c r="B12782" s="352" t="s">
        <v>23230</v>
      </c>
      <c r="C12782" s="356" t="s">
        <v>23231</v>
      </c>
      <c r="D12782" s="357">
        <v>5576.59</v>
      </c>
      <c r="E12782" s="357">
        <v>1075.67</v>
      </c>
      <c r="F12782" s="357">
        <v>1616.95</v>
      </c>
      <c r="G12782" s="357">
        <v>2883.97</v>
      </c>
      <c r="H12782" s="358">
        <v>32605.3</v>
      </c>
      <c r="I12782" s="358">
        <v>12370.18</v>
      </c>
      <c r="J12782" s="358">
        <v>8742.93</v>
      </c>
      <c r="K12782" s="358">
        <v>11492.19</v>
      </c>
      <c r="L12782" s="43">
        <v>5.8468167822988599</v>
      </c>
      <c r="M12782" s="43">
        <v>11.499976758671339</v>
      </c>
      <c r="N12782" s="43">
        <v>5.407050310770277</v>
      </c>
      <c r="O12782" s="43">
        <v>3.984850743939778</v>
      </c>
      <c r="P12782" s="359"/>
      <c r="Q12782" s="359"/>
      <c r="R12782" s="359">
        <v>3</v>
      </c>
    </row>
    <row r="12783" spans="1:18" ht="36">
      <c r="A12783" s="355">
        <v>315</v>
      </c>
      <c r="B12783" s="352" t="s">
        <v>23232</v>
      </c>
      <c r="C12783" s="356" t="s">
        <v>23233</v>
      </c>
      <c r="D12783" s="357">
        <v>3586.01</v>
      </c>
      <c r="E12783" s="357">
        <v>885.71</v>
      </c>
      <c r="F12783" s="357">
        <v>1076.24</v>
      </c>
      <c r="G12783" s="357">
        <v>1624.06</v>
      </c>
      <c r="H12783" s="358">
        <v>22513.26</v>
      </c>
      <c r="I12783" s="358">
        <v>10185.69</v>
      </c>
      <c r="J12783" s="358">
        <v>5812.18</v>
      </c>
      <c r="K12783" s="358">
        <v>6515.39</v>
      </c>
      <c r="L12783" s="43">
        <v>6.2780806523127364</v>
      </c>
      <c r="M12783" s="43">
        <v>11.500028225943028</v>
      </c>
      <c r="N12783" s="43">
        <v>5.400449713818479</v>
      </c>
      <c r="O12783" s="43">
        <v>4.0117914362769849</v>
      </c>
      <c r="P12783" s="359"/>
      <c r="Q12783" s="359"/>
      <c r="R12783" s="359">
        <v>3</v>
      </c>
    </row>
    <row r="12784" spans="1:18" ht="12.75" customHeight="1">
      <c r="A12784" s="628" t="s">
        <v>23234</v>
      </c>
      <c r="B12784" s="629"/>
      <c r="C12784" s="629"/>
      <c r="D12784" s="629"/>
      <c r="E12784" s="629"/>
      <c r="F12784" s="629"/>
      <c r="G12784" s="629"/>
      <c r="H12784" s="629"/>
      <c r="I12784" s="629"/>
      <c r="J12784" s="629"/>
      <c r="K12784" s="629"/>
      <c r="L12784" s="629"/>
      <c r="M12784" s="629"/>
      <c r="N12784" s="629"/>
      <c r="O12784" s="629"/>
      <c r="P12784" s="629"/>
      <c r="Q12784" s="629"/>
      <c r="R12784" s="629"/>
    </row>
    <row r="12785" spans="1:18" ht="24">
      <c r="A12785" s="355">
        <v>316</v>
      </c>
      <c r="B12785" s="352" t="s">
        <v>23235</v>
      </c>
      <c r="C12785" s="356" t="s">
        <v>23236</v>
      </c>
      <c r="D12785" s="357">
        <v>534.28</v>
      </c>
      <c r="E12785" s="357">
        <v>220.3</v>
      </c>
      <c r="F12785" s="357">
        <v>280.13</v>
      </c>
      <c r="G12785" s="357">
        <v>33.85</v>
      </c>
      <c r="H12785" s="358">
        <v>4235.17</v>
      </c>
      <c r="I12785" s="358">
        <v>2533.5</v>
      </c>
      <c r="J12785" s="358">
        <v>1508.45</v>
      </c>
      <c r="K12785" s="358">
        <v>193.22</v>
      </c>
      <c r="L12785" s="43">
        <v>7.9268735494497271</v>
      </c>
      <c r="M12785" s="43">
        <v>11.500226963231956</v>
      </c>
      <c r="N12785" s="43">
        <v>5.3848213329525576</v>
      </c>
      <c r="O12785" s="43">
        <v>5.7081240768094528</v>
      </c>
      <c r="P12785" s="359"/>
      <c r="Q12785" s="359"/>
      <c r="R12785" s="359">
        <v>4</v>
      </c>
    </row>
    <row r="12786" spans="1:18" ht="24">
      <c r="A12786" s="355">
        <v>317</v>
      </c>
      <c r="B12786" s="352" t="s">
        <v>23237</v>
      </c>
      <c r="C12786" s="356" t="s">
        <v>23238</v>
      </c>
      <c r="D12786" s="357">
        <v>414.22</v>
      </c>
      <c r="E12786" s="357">
        <v>180.96</v>
      </c>
      <c r="F12786" s="357">
        <v>214.41</v>
      </c>
      <c r="G12786" s="357">
        <v>18.850000000000001</v>
      </c>
      <c r="H12786" s="358">
        <v>3353.76</v>
      </c>
      <c r="I12786" s="358">
        <v>2081.09</v>
      </c>
      <c r="J12786" s="358">
        <v>1155.32</v>
      </c>
      <c r="K12786" s="358">
        <v>117.35</v>
      </c>
      <c r="L12786" s="43">
        <v>8.0965670416686777</v>
      </c>
      <c r="M12786" s="43">
        <v>11.500276304155614</v>
      </c>
      <c r="N12786" s="43">
        <v>5.3883680798470222</v>
      </c>
      <c r="O12786" s="43">
        <v>6.2254641909814312</v>
      </c>
      <c r="P12786" s="359"/>
      <c r="Q12786" s="359"/>
      <c r="R12786" s="359">
        <v>4</v>
      </c>
    </row>
    <row r="12787" spans="1:18" ht="24">
      <c r="A12787" s="355">
        <v>318</v>
      </c>
      <c r="B12787" s="352" t="s">
        <v>23239</v>
      </c>
      <c r="C12787" s="356" t="s">
        <v>23240</v>
      </c>
      <c r="D12787" s="357">
        <v>575.34</v>
      </c>
      <c r="E12787" s="357">
        <v>233.79</v>
      </c>
      <c r="F12787" s="357">
        <v>307.08999999999997</v>
      </c>
      <c r="G12787" s="357">
        <v>34.46</v>
      </c>
      <c r="H12787" s="358">
        <v>4541.83</v>
      </c>
      <c r="I12787" s="358">
        <v>2688.61</v>
      </c>
      <c r="J12787" s="358">
        <v>1653.92</v>
      </c>
      <c r="K12787" s="358">
        <v>199.3</v>
      </c>
      <c r="L12787" s="43">
        <v>7.8941669273820692</v>
      </c>
      <c r="M12787" s="43">
        <v>11.500106933572866</v>
      </c>
      <c r="N12787" s="43">
        <v>5.3857826695756952</v>
      </c>
      <c r="O12787" s="43">
        <v>5.7835171213000578</v>
      </c>
      <c r="P12787" s="359"/>
      <c r="Q12787" s="359"/>
      <c r="R12787" s="359">
        <v>4</v>
      </c>
    </row>
    <row r="12788" spans="1:18" ht="24">
      <c r="A12788" s="355">
        <v>319</v>
      </c>
      <c r="B12788" s="352" t="s">
        <v>23241</v>
      </c>
      <c r="C12788" s="356" t="s">
        <v>23242</v>
      </c>
      <c r="D12788" s="357">
        <v>605.98</v>
      </c>
      <c r="E12788" s="357">
        <v>243.91</v>
      </c>
      <c r="F12788" s="357">
        <v>327.41000000000003</v>
      </c>
      <c r="G12788" s="357">
        <v>34.659999999999997</v>
      </c>
      <c r="H12788" s="358">
        <v>4771</v>
      </c>
      <c r="I12788" s="358">
        <v>2804.94</v>
      </c>
      <c r="J12788" s="358">
        <v>1764.46</v>
      </c>
      <c r="K12788" s="358">
        <v>201.6</v>
      </c>
      <c r="L12788" s="43">
        <v>7.8731971352189838</v>
      </c>
      <c r="M12788" s="43">
        <v>11.499897503177403</v>
      </c>
      <c r="N12788" s="43">
        <v>5.3891451085794566</v>
      </c>
      <c r="O12788" s="43">
        <v>5.8165031736872477</v>
      </c>
      <c r="P12788" s="359"/>
      <c r="Q12788" s="359"/>
      <c r="R12788" s="359">
        <v>4</v>
      </c>
    </row>
    <row r="12789" spans="1:18" ht="24">
      <c r="A12789" s="355">
        <v>320</v>
      </c>
      <c r="B12789" s="352" t="s">
        <v>23243</v>
      </c>
      <c r="C12789" s="356" t="s">
        <v>23244</v>
      </c>
      <c r="D12789" s="357">
        <v>672.58</v>
      </c>
      <c r="E12789" s="357">
        <v>265.26</v>
      </c>
      <c r="F12789" s="357">
        <v>372.23</v>
      </c>
      <c r="G12789" s="357">
        <v>35.090000000000003</v>
      </c>
      <c r="H12789" s="358">
        <v>5264.63</v>
      </c>
      <c r="I12789" s="358">
        <v>3050.54</v>
      </c>
      <c r="J12789" s="358">
        <v>2007.54</v>
      </c>
      <c r="K12789" s="358">
        <v>206.55</v>
      </c>
      <c r="L12789" s="43">
        <v>7.8275149424603763</v>
      </c>
      <c r="M12789" s="43">
        <v>11.500188494307473</v>
      </c>
      <c r="N12789" s="43">
        <v>5.3932783494076242</v>
      </c>
      <c r="O12789" s="43">
        <v>5.8862923909945852</v>
      </c>
      <c r="P12789" s="359"/>
      <c r="Q12789" s="359"/>
      <c r="R12789" s="359">
        <v>4</v>
      </c>
    </row>
    <row r="12790" spans="1:18" ht="24">
      <c r="A12790" s="355">
        <v>321</v>
      </c>
      <c r="B12790" s="352" t="s">
        <v>23245</v>
      </c>
      <c r="C12790" s="356" t="s">
        <v>23246</v>
      </c>
      <c r="D12790" s="357">
        <v>736.65</v>
      </c>
      <c r="E12790" s="357">
        <v>291.12</v>
      </c>
      <c r="F12790" s="357">
        <v>409.93</v>
      </c>
      <c r="G12790" s="357">
        <v>35.6</v>
      </c>
      <c r="H12790" s="358">
        <v>5772.46</v>
      </c>
      <c r="I12790" s="358">
        <v>3347.83</v>
      </c>
      <c r="J12790" s="358">
        <v>2212.2199999999998</v>
      </c>
      <c r="K12790" s="358">
        <v>212.41</v>
      </c>
      <c r="L12790" s="43">
        <v>7.8360958392723816</v>
      </c>
      <c r="M12790" s="43">
        <v>11.499828249519098</v>
      </c>
      <c r="N12790" s="43">
        <v>5.3965799038860292</v>
      </c>
      <c r="O12790" s="43">
        <v>5.9665730337078644</v>
      </c>
      <c r="P12790" s="359"/>
      <c r="Q12790" s="359"/>
      <c r="R12790" s="359">
        <v>4</v>
      </c>
    </row>
    <row r="12791" spans="1:18" ht="24">
      <c r="A12791" s="355">
        <v>322</v>
      </c>
      <c r="B12791" s="352" t="s">
        <v>23247</v>
      </c>
      <c r="C12791" s="356" t="s">
        <v>23248</v>
      </c>
      <c r="D12791" s="357">
        <v>318.49</v>
      </c>
      <c r="E12791" s="357">
        <v>125.89</v>
      </c>
      <c r="F12791" s="357">
        <v>175.19</v>
      </c>
      <c r="G12791" s="357">
        <v>17.41</v>
      </c>
      <c r="H12791" s="358">
        <v>2491.91</v>
      </c>
      <c r="I12791" s="358">
        <v>1447.71</v>
      </c>
      <c r="J12791" s="358">
        <v>942.48</v>
      </c>
      <c r="K12791" s="358">
        <v>101.72</v>
      </c>
      <c r="L12791" s="43">
        <v>7.8241389054601393</v>
      </c>
      <c r="M12791" s="43">
        <v>11.499801413932799</v>
      </c>
      <c r="N12791" s="43">
        <v>5.3797591186711573</v>
      </c>
      <c r="O12791" s="43">
        <v>5.8426191843767947</v>
      </c>
      <c r="P12791" s="359"/>
      <c r="Q12791" s="359"/>
      <c r="R12791" s="359">
        <v>4</v>
      </c>
    </row>
    <row r="12792" spans="1:18" ht="24">
      <c r="A12792" s="355">
        <v>323</v>
      </c>
      <c r="B12792" s="352" t="s">
        <v>23249</v>
      </c>
      <c r="C12792" s="356" t="s">
        <v>23250</v>
      </c>
      <c r="D12792" s="357">
        <v>419.89</v>
      </c>
      <c r="E12792" s="357">
        <v>151.74</v>
      </c>
      <c r="F12792" s="357">
        <v>241.6</v>
      </c>
      <c r="G12792" s="357">
        <v>26.55</v>
      </c>
      <c r="H12792" s="358">
        <v>3193.59</v>
      </c>
      <c r="I12792" s="358">
        <v>1745.01</v>
      </c>
      <c r="J12792" s="358">
        <v>1300.03</v>
      </c>
      <c r="K12792" s="358">
        <v>148.55000000000001</v>
      </c>
      <c r="L12792" s="43">
        <v>7.6057777036842991</v>
      </c>
      <c r="M12792" s="43">
        <v>11.5</v>
      </c>
      <c r="N12792" s="43">
        <v>5.3809188741721856</v>
      </c>
      <c r="O12792" s="43">
        <v>5.5951035781544256</v>
      </c>
      <c r="P12792" s="359"/>
      <c r="Q12792" s="359"/>
      <c r="R12792" s="359">
        <v>4</v>
      </c>
    </row>
    <row r="12793" spans="1:18" ht="24">
      <c r="A12793" s="355">
        <v>324</v>
      </c>
      <c r="B12793" s="352" t="s">
        <v>23251</v>
      </c>
      <c r="C12793" s="356" t="s">
        <v>23252</v>
      </c>
      <c r="D12793" s="357">
        <v>468.32</v>
      </c>
      <c r="E12793" s="357">
        <v>176.47</v>
      </c>
      <c r="F12793" s="357">
        <v>258.88</v>
      </c>
      <c r="G12793" s="357">
        <v>32.97</v>
      </c>
      <c r="H12793" s="358">
        <v>3605.63</v>
      </c>
      <c r="I12793" s="358">
        <v>2029.38</v>
      </c>
      <c r="J12793" s="358">
        <v>1393.15</v>
      </c>
      <c r="K12793" s="358">
        <v>183.1</v>
      </c>
      <c r="L12793" s="43">
        <v>7.6990732832251458</v>
      </c>
      <c r="M12793" s="43">
        <v>11.499858332861111</v>
      </c>
      <c r="N12793" s="43">
        <v>5.3814508652657604</v>
      </c>
      <c r="O12793" s="43">
        <v>5.5535335153169552</v>
      </c>
      <c r="P12793" s="359"/>
      <c r="Q12793" s="359"/>
      <c r="R12793" s="359">
        <v>4</v>
      </c>
    </row>
    <row r="12794" spans="1:18" ht="24">
      <c r="A12794" s="355">
        <v>325</v>
      </c>
      <c r="B12794" s="352" t="s">
        <v>23253</v>
      </c>
      <c r="C12794" s="356" t="s">
        <v>23254</v>
      </c>
      <c r="D12794" s="357">
        <v>488.15</v>
      </c>
      <c r="E12794" s="357">
        <v>176.47</v>
      </c>
      <c r="F12794" s="357">
        <v>278.70999999999998</v>
      </c>
      <c r="G12794" s="357">
        <v>32.97</v>
      </c>
      <c r="H12794" s="358">
        <v>3712.69</v>
      </c>
      <c r="I12794" s="358">
        <v>2029.38</v>
      </c>
      <c r="J12794" s="358">
        <v>1500.21</v>
      </c>
      <c r="K12794" s="358">
        <v>183.1</v>
      </c>
      <c r="L12794" s="43">
        <v>7.6056335142886411</v>
      </c>
      <c r="M12794" s="43">
        <v>11.499858332861111</v>
      </c>
      <c r="N12794" s="43">
        <v>5.3826916866994372</v>
      </c>
      <c r="O12794" s="43">
        <v>5.5535335153169552</v>
      </c>
      <c r="P12794" s="359"/>
      <c r="Q12794" s="359"/>
      <c r="R12794" s="359">
        <v>4</v>
      </c>
    </row>
    <row r="12795" spans="1:18" ht="12.75" customHeight="1">
      <c r="A12795" s="628" t="s">
        <v>23255</v>
      </c>
      <c r="B12795" s="629"/>
      <c r="C12795" s="629"/>
      <c r="D12795" s="629"/>
      <c r="E12795" s="629"/>
      <c r="F12795" s="629"/>
      <c r="G12795" s="629"/>
      <c r="H12795" s="629"/>
      <c r="I12795" s="629"/>
      <c r="J12795" s="629"/>
      <c r="K12795" s="629"/>
      <c r="L12795" s="629"/>
      <c r="M12795" s="629"/>
      <c r="N12795" s="629"/>
      <c r="O12795" s="629"/>
      <c r="P12795" s="629"/>
      <c r="Q12795" s="629"/>
      <c r="R12795" s="629"/>
    </row>
    <row r="12796" spans="1:18" ht="12.75" customHeight="1">
      <c r="A12796" s="628" t="s">
        <v>23256</v>
      </c>
      <c r="B12796" s="629"/>
      <c r="C12796" s="629"/>
      <c r="D12796" s="629"/>
      <c r="E12796" s="629"/>
      <c r="F12796" s="629"/>
      <c r="G12796" s="629"/>
      <c r="H12796" s="629"/>
      <c r="I12796" s="629"/>
      <c r="J12796" s="629"/>
      <c r="K12796" s="629"/>
      <c r="L12796" s="629"/>
      <c r="M12796" s="629"/>
      <c r="N12796" s="629"/>
      <c r="O12796" s="629"/>
      <c r="P12796" s="629"/>
      <c r="Q12796" s="629"/>
      <c r="R12796" s="629"/>
    </row>
    <row r="12797" spans="1:18" ht="24">
      <c r="A12797" s="355">
        <v>326</v>
      </c>
      <c r="B12797" s="352" t="s">
        <v>23257</v>
      </c>
      <c r="C12797" s="356" t="s">
        <v>23258</v>
      </c>
      <c r="D12797" s="357">
        <v>39505.03</v>
      </c>
      <c r="E12797" s="357">
        <v>20198.080000000002</v>
      </c>
      <c r="F12797" s="357">
        <v>14797.94</v>
      </c>
      <c r="G12797" s="357">
        <v>4509.01</v>
      </c>
      <c r="H12797" s="358">
        <v>336496.23</v>
      </c>
      <c r="I12797" s="358">
        <v>232277.92</v>
      </c>
      <c r="J12797" s="358">
        <v>79613.11</v>
      </c>
      <c r="K12797" s="358">
        <v>24605.200000000001</v>
      </c>
      <c r="L12797" s="43">
        <v>8.5178072260671609</v>
      </c>
      <c r="M12797" s="43">
        <v>11.5</v>
      </c>
      <c r="N12797" s="43">
        <v>5.3800130288405006</v>
      </c>
      <c r="O12797" s="43">
        <v>5.4568963031796338</v>
      </c>
      <c r="P12797" s="359"/>
      <c r="Q12797" s="359"/>
      <c r="R12797" s="359">
        <v>1</v>
      </c>
    </row>
    <row r="12798" spans="1:18" ht="24">
      <c r="A12798" s="355">
        <v>327</v>
      </c>
      <c r="B12798" s="352" t="s">
        <v>23259</v>
      </c>
      <c r="C12798" s="356" t="s">
        <v>23260</v>
      </c>
      <c r="D12798" s="357">
        <v>1904.55</v>
      </c>
      <c r="E12798" s="357">
        <v>969.01</v>
      </c>
      <c r="F12798" s="357">
        <v>372.28</v>
      </c>
      <c r="G12798" s="357">
        <v>563.26</v>
      </c>
      <c r="H12798" s="358">
        <v>15400.91</v>
      </c>
      <c r="I12798" s="358">
        <v>11143.59</v>
      </c>
      <c r="J12798" s="358">
        <v>2008.49</v>
      </c>
      <c r="K12798" s="358">
        <v>2248.83</v>
      </c>
      <c r="L12798" s="43">
        <v>8.0863773594812418</v>
      </c>
      <c r="M12798" s="43">
        <v>11.499974200472648</v>
      </c>
      <c r="N12798" s="43">
        <v>5.3951058343182554</v>
      </c>
      <c r="O12798" s="43">
        <v>3.9925256542271774</v>
      </c>
      <c r="P12798" s="359"/>
      <c r="Q12798" s="359"/>
      <c r="R12798" s="359">
        <v>1</v>
      </c>
    </row>
    <row r="12799" spans="1:18" ht="24">
      <c r="A12799" s="355">
        <v>328</v>
      </c>
      <c r="B12799" s="352" t="s">
        <v>23261</v>
      </c>
      <c r="C12799" s="356" t="s">
        <v>23262</v>
      </c>
      <c r="D12799" s="357">
        <v>2111.14</v>
      </c>
      <c r="E12799" s="357">
        <v>1070.1099999999999</v>
      </c>
      <c r="F12799" s="357">
        <v>477.92</v>
      </c>
      <c r="G12799" s="357">
        <v>563.11</v>
      </c>
      <c r="H12799" s="358">
        <v>17187.87</v>
      </c>
      <c r="I12799" s="358">
        <v>12306.29</v>
      </c>
      <c r="J12799" s="358">
        <v>2628.59</v>
      </c>
      <c r="K12799" s="358">
        <v>2252.9899999999998</v>
      </c>
      <c r="L12799" s="43">
        <v>8.1415112214253913</v>
      </c>
      <c r="M12799" s="43">
        <v>11.500023362084274</v>
      </c>
      <c r="N12799" s="43">
        <v>5.5000627720120523</v>
      </c>
      <c r="O12799" s="43">
        <v>4.0009767185807386</v>
      </c>
      <c r="P12799" s="359"/>
      <c r="Q12799" s="359"/>
      <c r="R12799" s="359">
        <v>1</v>
      </c>
    </row>
    <row r="12800" spans="1:18" ht="24">
      <c r="A12800" s="355">
        <v>329</v>
      </c>
      <c r="B12800" s="352" t="s">
        <v>23263</v>
      </c>
      <c r="C12800" s="356" t="s">
        <v>23264</v>
      </c>
      <c r="D12800" s="357">
        <v>2870.05</v>
      </c>
      <c r="E12800" s="357">
        <v>1613.12</v>
      </c>
      <c r="F12800" s="357">
        <v>680.79</v>
      </c>
      <c r="G12800" s="357">
        <v>576.14</v>
      </c>
      <c r="H12800" s="358">
        <v>24614.15</v>
      </c>
      <c r="I12800" s="358">
        <v>18550.88</v>
      </c>
      <c r="J12800" s="358">
        <v>3666.32</v>
      </c>
      <c r="K12800" s="358">
        <v>2396.9499999999998</v>
      </c>
      <c r="L12800" s="43">
        <v>8.5762094737025478</v>
      </c>
      <c r="M12800" s="43">
        <v>11.500000000000002</v>
      </c>
      <c r="N12800" s="43">
        <v>5.3853905022106678</v>
      </c>
      <c r="O12800" s="43">
        <v>4.1603603290866804</v>
      </c>
      <c r="P12800" s="359"/>
      <c r="Q12800" s="359"/>
      <c r="R12800" s="359">
        <v>1</v>
      </c>
    </row>
    <row r="12801" spans="1:18" ht="24">
      <c r="A12801" s="355">
        <v>330</v>
      </c>
      <c r="B12801" s="352" t="s">
        <v>23265</v>
      </c>
      <c r="C12801" s="356" t="s">
        <v>23266</v>
      </c>
      <c r="D12801" s="357">
        <v>17357.63</v>
      </c>
      <c r="E12801" s="357">
        <v>8917.6</v>
      </c>
      <c r="F12801" s="357">
        <v>6389.02</v>
      </c>
      <c r="G12801" s="357">
        <v>2051.0100000000002</v>
      </c>
      <c r="H12801" s="358">
        <v>147525.46</v>
      </c>
      <c r="I12801" s="358">
        <v>102552.4</v>
      </c>
      <c r="J12801" s="358">
        <v>34392.199999999997</v>
      </c>
      <c r="K12801" s="358">
        <v>10580.86</v>
      </c>
      <c r="L12801" s="43">
        <v>8.4991706817117301</v>
      </c>
      <c r="M12801" s="43">
        <v>11.499999999999998</v>
      </c>
      <c r="N12801" s="43">
        <v>5.383016487661644</v>
      </c>
      <c r="O12801" s="43">
        <v>5.1588534429378692</v>
      </c>
      <c r="P12801" s="359"/>
      <c r="Q12801" s="359"/>
      <c r="R12801" s="359">
        <v>1</v>
      </c>
    </row>
    <row r="12802" spans="1:18" ht="24">
      <c r="A12802" s="355">
        <v>331</v>
      </c>
      <c r="B12802" s="352" t="s">
        <v>23267</v>
      </c>
      <c r="C12802" s="356" t="s">
        <v>23268</v>
      </c>
      <c r="D12802" s="357">
        <v>3746.62</v>
      </c>
      <c r="E12802" s="357">
        <v>1730.1</v>
      </c>
      <c r="F12802" s="357">
        <v>1095.18</v>
      </c>
      <c r="G12802" s="357">
        <v>921.34</v>
      </c>
      <c r="H12802" s="358">
        <v>31226.59</v>
      </c>
      <c r="I12802" s="358">
        <v>19896.88</v>
      </c>
      <c r="J12802" s="358">
        <v>5900.82</v>
      </c>
      <c r="K12802" s="358">
        <v>5428.89</v>
      </c>
      <c r="L12802" s="43">
        <v>8.3346029221004532</v>
      </c>
      <c r="M12802" s="43">
        <v>11.500421940928272</v>
      </c>
      <c r="N12802" s="43">
        <v>5.3879910151755874</v>
      </c>
      <c r="O12802" s="43">
        <v>5.8923850044500403</v>
      </c>
      <c r="P12802" s="359"/>
      <c r="Q12802" s="359"/>
      <c r="R12802" s="359">
        <v>1</v>
      </c>
    </row>
    <row r="12803" spans="1:18" ht="24">
      <c r="A12803" s="355">
        <v>332</v>
      </c>
      <c r="B12803" s="352" t="s">
        <v>23269</v>
      </c>
      <c r="C12803" s="356" t="s">
        <v>23270</v>
      </c>
      <c r="D12803" s="357">
        <v>4364.9399999999996</v>
      </c>
      <c r="E12803" s="357">
        <v>1907.85</v>
      </c>
      <c r="F12803" s="357">
        <v>1323.43</v>
      </c>
      <c r="G12803" s="357">
        <v>1133.6600000000001</v>
      </c>
      <c r="H12803" s="358">
        <v>36374.46</v>
      </c>
      <c r="I12803" s="358">
        <v>21941.08</v>
      </c>
      <c r="J12803" s="358">
        <v>7133.83</v>
      </c>
      <c r="K12803" s="358">
        <v>7299.55</v>
      </c>
      <c r="L12803" s="43">
        <v>8.3333241694043902</v>
      </c>
      <c r="M12803" s="43">
        <v>11.500421940928272</v>
      </c>
      <c r="N12803" s="43">
        <v>5.3904097685559487</v>
      </c>
      <c r="O12803" s="43">
        <v>6.4389234867596983</v>
      </c>
      <c r="P12803" s="359"/>
      <c r="Q12803" s="359"/>
      <c r="R12803" s="359">
        <v>1</v>
      </c>
    </row>
    <row r="12804" spans="1:18" ht="24">
      <c r="A12804" s="355">
        <v>333</v>
      </c>
      <c r="B12804" s="352" t="s">
        <v>23271</v>
      </c>
      <c r="C12804" s="356" t="s">
        <v>23272</v>
      </c>
      <c r="D12804" s="357">
        <v>2088.16</v>
      </c>
      <c r="E12804" s="357">
        <v>1248.69</v>
      </c>
      <c r="F12804" s="357">
        <v>187.76</v>
      </c>
      <c r="G12804" s="357">
        <v>651.71</v>
      </c>
      <c r="H12804" s="358">
        <v>18494.580000000002</v>
      </c>
      <c r="I12804" s="358">
        <v>14360.47</v>
      </c>
      <c r="J12804" s="358">
        <v>1009.74</v>
      </c>
      <c r="K12804" s="358">
        <v>3124.37</v>
      </c>
      <c r="L12804" s="43">
        <v>8.8568787832350022</v>
      </c>
      <c r="M12804" s="43">
        <v>11.500428449014565</v>
      </c>
      <c r="N12804" s="43">
        <v>5.3778227524499362</v>
      </c>
      <c r="O12804" s="43">
        <v>4.7941108775375545</v>
      </c>
      <c r="P12804" s="359"/>
      <c r="Q12804" s="359"/>
      <c r="R12804" s="359">
        <v>1</v>
      </c>
    </row>
    <row r="12805" spans="1:18" ht="24">
      <c r="A12805" s="355">
        <v>334</v>
      </c>
      <c r="B12805" s="352" t="s">
        <v>23273</v>
      </c>
      <c r="C12805" s="356" t="s">
        <v>23274</v>
      </c>
      <c r="D12805" s="357">
        <v>2978.61</v>
      </c>
      <c r="E12805" s="357">
        <v>1413.27</v>
      </c>
      <c r="F12805" s="357">
        <v>462.21</v>
      </c>
      <c r="G12805" s="357">
        <v>1103.1300000000001</v>
      </c>
      <c r="H12805" s="358">
        <v>24250.06</v>
      </c>
      <c r="I12805" s="358">
        <v>16253.22</v>
      </c>
      <c r="J12805" s="358">
        <v>2482.62</v>
      </c>
      <c r="K12805" s="358">
        <v>5514.22</v>
      </c>
      <c r="L12805" s="43">
        <v>8.1414015262152475</v>
      </c>
      <c r="M12805" s="43">
        <v>11.500435161009573</v>
      </c>
      <c r="N12805" s="43">
        <v>5.371194911403907</v>
      </c>
      <c r="O12805" s="43">
        <v>4.998703688595179</v>
      </c>
      <c r="P12805" s="359"/>
      <c r="Q12805" s="359"/>
      <c r="R12805" s="359">
        <v>1</v>
      </c>
    </row>
    <row r="12806" spans="1:18" ht="24">
      <c r="A12806" s="355">
        <v>335</v>
      </c>
      <c r="B12806" s="352" t="s">
        <v>23275</v>
      </c>
      <c r="C12806" s="356" t="s">
        <v>23276</v>
      </c>
      <c r="D12806" s="357">
        <v>1282.72</v>
      </c>
      <c r="E12806" s="357">
        <v>807.03</v>
      </c>
      <c r="F12806" s="357">
        <v>94.36</v>
      </c>
      <c r="G12806" s="357">
        <v>381.33</v>
      </c>
      <c r="H12806" s="358">
        <v>11419.76</v>
      </c>
      <c r="I12806" s="358">
        <v>9280.8700000000008</v>
      </c>
      <c r="J12806" s="358">
        <v>507.09</v>
      </c>
      <c r="K12806" s="358">
        <v>1631.8</v>
      </c>
      <c r="L12806" s="43">
        <v>8.9027691156292885</v>
      </c>
      <c r="M12806" s="43">
        <v>11.500030977782735</v>
      </c>
      <c r="N12806" s="43">
        <v>5.3739932174650269</v>
      </c>
      <c r="O12806" s="43">
        <v>4.2792332100805082</v>
      </c>
      <c r="P12806" s="359"/>
      <c r="Q12806" s="359"/>
      <c r="R12806" s="359">
        <v>1</v>
      </c>
    </row>
    <row r="12807" spans="1:18" ht="24">
      <c r="A12807" s="355">
        <v>336</v>
      </c>
      <c r="B12807" s="352" t="s">
        <v>23277</v>
      </c>
      <c r="C12807" s="356" t="s">
        <v>23278</v>
      </c>
      <c r="D12807" s="357">
        <v>1116.78</v>
      </c>
      <c r="E12807" s="357">
        <v>618.20000000000005</v>
      </c>
      <c r="F12807" s="357">
        <v>197.04</v>
      </c>
      <c r="G12807" s="357">
        <v>301.54000000000002</v>
      </c>
      <c r="H12807" s="358">
        <v>9435.2000000000007</v>
      </c>
      <c r="I12807" s="358">
        <v>7109.3</v>
      </c>
      <c r="J12807" s="358">
        <v>1103.3</v>
      </c>
      <c r="K12807" s="358">
        <v>1222.5999999999999</v>
      </c>
      <c r="L12807" s="43">
        <v>8.4485753684700668</v>
      </c>
      <c r="M12807" s="43">
        <v>11.5</v>
      </c>
      <c r="N12807" s="43">
        <v>5.5993706861550958</v>
      </c>
      <c r="O12807" s="43">
        <v>4.0545201299993359</v>
      </c>
      <c r="P12807" s="359"/>
      <c r="Q12807" s="359"/>
      <c r="R12807" s="359">
        <v>1</v>
      </c>
    </row>
    <row r="12808" spans="1:18" ht="24">
      <c r="A12808" s="355">
        <v>337</v>
      </c>
      <c r="B12808" s="352" t="s">
        <v>23279</v>
      </c>
      <c r="C12808" s="356" t="s">
        <v>23280</v>
      </c>
      <c r="D12808" s="357">
        <v>1068.17</v>
      </c>
      <c r="E12808" s="357">
        <v>582.23</v>
      </c>
      <c r="F12808" s="357">
        <v>180.97</v>
      </c>
      <c r="G12808" s="357">
        <v>304.97000000000003</v>
      </c>
      <c r="H12808" s="358">
        <v>8960.2900000000009</v>
      </c>
      <c r="I12808" s="358">
        <v>6695.67</v>
      </c>
      <c r="J12808" s="358">
        <v>1013.94</v>
      </c>
      <c r="K12808" s="358">
        <v>1250.68</v>
      </c>
      <c r="L12808" s="43">
        <v>8.3884494041210669</v>
      </c>
      <c r="M12808" s="43">
        <v>11.500042938357694</v>
      </c>
      <c r="N12808" s="43">
        <v>5.6028070950986351</v>
      </c>
      <c r="O12808" s="43">
        <v>4.1009935403482309</v>
      </c>
      <c r="P12808" s="359"/>
      <c r="Q12808" s="359"/>
      <c r="R12808" s="359">
        <v>1</v>
      </c>
    </row>
    <row r="12809" spans="1:18" ht="24">
      <c r="A12809" s="355">
        <v>338</v>
      </c>
      <c r="B12809" s="352" t="s">
        <v>23281</v>
      </c>
      <c r="C12809" s="356" t="s">
        <v>23282</v>
      </c>
      <c r="D12809" s="357">
        <v>1411.27</v>
      </c>
      <c r="E12809" s="357">
        <v>931.8</v>
      </c>
      <c r="F12809" s="357">
        <v>87.28</v>
      </c>
      <c r="G12809" s="357">
        <v>392.19</v>
      </c>
      <c r="H12809" s="358">
        <v>12914.15</v>
      </c>
      <c r="I12809" s="358">
        <v>10715.65</v>
      </c>
      <c r="J12809" s="358">
        <v>464.64</v>
      </c>
      <c r="K12809" s="358">
        <v>1733.86</v>
      </c>
      <c r="L12809" s="43">
        <v>9.1507294847902951</v>
      </c>
      <c r="M12809" s="43">
        <v>11.499946340416399</v>
      </c>
      <c r="N12809" s="43">
        <v>5.3235563703024749</v>
      </c>
      <c r="O12809" s="43">
        <v>4.4209694280833265</v>
      </c>
      <c r="P12809" s="359"/>
      <c r="Q12809" s="359"/>
      <c r="R12809" s="359">
        <v>1</v>
      </c>
    </row>
    <row r="12810" spans="1:18" ht="24">
      <c r="A12810" s="355">
        <v>339</v>
      </c>
      <c r="B12810" s="352" t="s">
        <v>23283</v>
      </c>
      <c r="C12810" s="356" t="s">
        <v>23284</v>
      </c>
      <c r="D12810" s="357">
        <v>3741.88</v>
      </c>
      <c r="E12810" s="357">
        <v>1794.88</v>
      </c>
      <c r="F12810" s="357">
        <v>1220.9100000000001</v>
      </c>
      <c r="G12810" s="357">
        <v>726.09</v>
      </c>
      <c r="H12810" s="358">
        <v>30753.29</v>
      </c>
      <c r="I12810" s="358">
        <v>20641.12</v>
      </c>
      <c r="J12810" s="358">
        <v>6991.96</v>
      </c>
      <c r="K12810" s="358">
        <v>3120.21</v>
      </c>
      <c r="L12810" s="43">
        <v>8.2186735010208771</v>
      </c>
      <c r="M12810" s="43">
        <v>11.499999999999998</v>
      </c>
      <c r="N12810" s="43">
        <v>5.7268430924474361</v>
      </c>
      <c r="O12810" s="43">
        <v>4.297277197041689</v>
      </c>
      <c r="P12810" s="359"/>
      <c r="Q12810" s="359"/>
      <c r="R12810" s="359">
        <v>1</v>
      </c>
    </row>
    <row r="12811" spans="1:18" ht="24">
      <c r="A12811" s="355">
        <v>340</v>
      </c>
      <c r="B12811" s="352" t="s">
        <v>23285</v>
      </c>
      <c r="C12811" s="356" t="s">
        <v>23286</v>
      </c>
      <c r="D12811" s="357">
        <v>2582.0300000000002</v>
      </c>
      <c r="E12811" s="357">
        <v>1181.44</v>
      </c>
      <c r="F12811" s="357">
        <v>457.98</v>
      </c>
      <c r="G12811" s="357">
        <v>942.61</v>
      </c>
      <c r="H12811" s="358">
        <v>20158.25</v>
      </c>
      <c r="I12811" s="358">
        <v>13586.56</v>
      </c>
      <c r="J12811" s="358">
        <v>2465.48</v>
      </c>
      <c r="K12811" s="358">
        <v>4106.21</v>
      </c>
      <c r="L12811" s="43">
        <v>7.8071323725905577</v>
      </c>
      <c r="M12811" s="43">
        <v>11.499999999999998</v>
      </c>
      <c r="N12811" s="43">
        <v>5.3833791868640546</v>
      </c>
      <c r="O12811" s="43">
        <v>4.3562130679708471</v>
      </c>
      <c r="P12811" s="359"/>
      <c r="Q12811" s="359"/>
      <c r="R12811" s="359">
        <v>1</v>
      </c>
    </row>
    <row r="12812" spans="1:18" ht="24">
      <c r="A12812" s="355">
        <v>341</v>
      </c>
      <c r="B12812" s="352" t="s">
        <v>23287</v>
      </c>
      <c r="C12812" s="356" t="s">
        <v>23288</v>
      </c>
      <c r="D12812" s="357">
        <v>3989.38</v>
      </c>
      <c r="E12812" s="357">
        <v>2067.52</v>
      </c>
      <c r="F12812" s="357">
        <v>1190.32</v>
      </c>
      <c r="G12812" s="357">
        <v>731.54</v>
      </c>
      <c r="H12812" s="358">
        <v>33586.51</v>
      </c>
      <c r="I12812" s="358">
        <v>23776.48</v>
      </c>
      <c r="J12812" s="358">
        <v>6627.14</v>
      </c>
      <c r="K12812" s="358">
        <v>3182.89</v>
      </c>
      <c r="L12812" s="43">
        <v>8.4189798916122314</v>
      </c>
      <c r="M12812" s="43">
        <v>11.5</v>
      </c>
      <c r="N12812" s="43">
        <v>5.5675280596814307</v>
      </c>
      <c r="O12812" s="43">
        <v>4.350944582661235</v>
      </c>
      <c r="P12812" s="359"/>
      <c r="Q12812" s="359"/>
      <c r="R12812" s="359">
        <v>1</v>
      </c>
    </row>
    <row r="12813" spans="1:18" ht="12.75" customHeight="1">
      <c r="A12813" s="628" t="s">
        <v>23289</v>
      </c>
      <c r="B12813" s="629"/>
      <c r="C12813" s="629"/>
      <c r="D12813" s="629"/>
      <c r="E12813" s="629"/>
      <c r="F12813" s="629"/>
      <c r="G12813" s="629"/>
      <c r="H12813" s="629"/>
      <c r="I12813" s="629"/>
      <c r="J12813" s="629"/>
      <c r="K12813" s="629"/>
      <c r="L12813" s="629"/>
      <c r="M12813" s="629"/>
      <c r="N12813" s="629"/>
      <c r="O12813" s="629"/>
      <c r="P12813" s="629"/>
      <c r="Q12813" s="629"/>
      <c r="R12813" s="629"/>
    </row>
    <row r="12814" spans="1:18" ht="24">
      <c r="A12814" s="355">
        <v>342</v>
      </c>
      <c r="B12814" s="352" t="s">
        <v>23290</v>
      </c>
      <c r="C12814" s="356" t="s">
        <v>23291</v>
      </c>
      <c r="D12814" s="357">
        <v>3043.83</v>
      </c>
      <c r="E12814" s="357">
        <v>1058.75</v>
      </c>
      <c r="F12814" s="357">
        <v>1415.67</v>
      </c>
      <c r="G12814" s="357">
        <v>569.41</v>
      </c>
      <c r="H12814" s="358">
        <v>22110.02</v>
      </c>
      <c r="I12814" s="358">
        <v>12175.65</v>
      </c>
      <c r="J12814" s="358">
        <v>7626.7</v>
      </c>
      <c r="K12814" s="358">
        <v>2307.67</v>
      </c>
      <c r="L12814" s="43">
        <v>7.263881359997109</v>
      </c>
      <c r="M12814" s="43">
        <v>11.500023612750885</v>
      </c>
      <c r="N12814" s="43">
        <v>5.3873430954954191</v>
      </c>
      <c r="O12814" s="43">
        <v>4.0527387998103306</v>
      </c>
      <c r="P12814" s="359"/>
      <c r="Q12814" s="359"/>
      <c r="R12814" s="359">
        <v>2</v>
      </c>
    </row>
    <row r="12815" spans="1:18" ht="24">
      <c r="A12815" s="355">
        <v>343</v>
      </c>
      <c r="B12815" s="352" t="s">
        <v>23292</v>
      </c>
      <c r="C12815" s="356" t="s">
        <v>23293</v>
      </c>
      <c r="D12815" s="357">
        <v>4452.66</v>
      </c>
      <c r="E12815" s="357">
        <v>1806.24</v>
      </c>
      <c r="F12815" s="357">
        <v>1769.73</v>
      </c>
      <c r="G12815" s="357">
        <v>876.69</v>
      </c>
      <c r="H12815" s="358">
        <v>34149.06</v>
      </c>
      <c r="I12815" s="358">
        <v>20771.759999999998</v>
      </c>
      <c r="J12815" s="358">
        <v>9537.41</v>
      </c>
      <c r="K12815" s="358">
        <v>3839.89</v>
      </c>
      <c r="L12815" s="43">
        <v>7.6693616849254154</v>
      </c>
      <c r="M12815" s="43">
        <v>11.499999999999998</v>
      </c>
      <c r="N12815" s="43">
        <v>5.3891893113638805</v>
      </c>
      <c r="O12815" s="43">
        <v>4.3799860840205769</v>
      </c>
      <c r="P12815" s="359"/>
      <c r="Q12815" s="359"/>
      <c r="R12815" s="359">
        <v>2</v>
      </c>
    </row>
    <row r="12816" spans="1:18" ht="24">
      <c r="A12816" s="355">
        <v>344</v>
      </c>
      <c r="B12816" s="352" t="s">
        <v>23294</v>
      </c>
      <c r="C12816" s="356" t="s">
        <v>23295</v>
      </c>
      <c r="D12816" s="357">
        <v>5493.34</v>
      </c>
      <c r="E12816" s="357">
        <v>2203.84</v>
      </c>
      <c r="F12816" s="357">
        <v>2228.9</v>
      </c>
      <c r="G12816" s="357">
        <v>1060.5999999999999</v>
      </c>
      <c r="H12816" s="358">
        <v>42224.14</v>
      </c>
      <c r="I12816" s="358">
        <v>25344.16</v>
      </c>
      <c r="J12816" s="358">
        <v>12007.29</v>
      </c>
      <c r="K12816" s="358">
        <v>4872.6899999999996</v>
      </c>
      <c r="L12816" s="43">
        <v>7.6864239242428098</v>
      </c>
      <c r="M12816" s="43">
        <v>11.5</v>
      </c>
      <c r="N12816" s="43">
        <v>5.3870922876755349</v>
      </c>
      <c r="O12816" s="43">
        <v>4.5942768244389969</v>
      </c>
      <c r="P12816" s="359"/>
      <c r="Q12816" s="359"/>
      <c r="R12816" s="359">
        <v>2</v>
      </c>
    </row>
    <row r="12817" spans="1:18" ht="24">
      <c r="A12817" s="355">
        <v>345</v>
      </c>
      <c r="B12817" s="352" t="s">
        <v>23296</v>
      </c>
      <c r="C12817" s="356" t="s">
        <v>23297</v>
      </c>
      <c r="D12817" s="357">
        <v>1586.18</v>
      </c>
      <c r="E12817" s="357">
        <v>807.03</v>
      </c>
      <c r="F12817" s="357">
        <v>325.83</v>
      </c>
      <c r="G12817" s="357">
        <v>453.32</v>
      </c>
      <c r="H12817" s="358">
        <v>13000.68</v>
      </c>
      <c r="I12817" s="358">
        <v>9280.8700000000008</v>
      </c>
      <c r="J12817" s="358">
        <v>1757.44</v>
      </c>
      <c r="K12817" s="358">
        <v>1962.37</v>
      </c>
      <c r="L12817" s="43">
        <v>8.1962198489452653</v>
      </c>
      <c r="M12817" s="43">
        <v>11.500030977782735</v>
      </c>
      <c r="N12817" s="43">
        <v>5.3937329282141002</v>
      </c>
      <c r="O12817" s="43">
        <v>4.3288846730786199</v>
      </c>
      <c r="P12817" s="359"/>
      <c r="Q12817" s="359"/>
      <c r="R12817" s="359">
        <v>2</v>
      </c>
    </row>
    <row r="12818" spans="1:18" ht="24">
      <c r="A12818" s="355">
        <v>346</v>
      </c>
      <c r="B12818" s="352" t="s">
        <v>23298</v>
      </c>
      <c r="C12818" s="356" t="s">
        <v>23299</v>
      </c>
      <c r="D12818" s="357">
        <v>1252.82</v>
      </c>
      <c r="E12818" s="357">
        <v>542.89</v>
      </c>
      <c r="F12818" s="357">
        <v>177.72</v>
      </c>
      <c r="G12818" s="357">
        <v>532.21</v>
      </c>
      <c r="H12818" s="358">
        <v>9541.92</v>
      </c>
      <c r="I12818" s="358">
        <v>6243.26</v>
      </c>
      <c r="J12818" s="358">
        <v>959.76</v>
      </c>
      <c r="K12818" s="358">
        <v>2338.9</v>
      </c>
      <c r="L12818" s="43">
        <v>7.6163535064893608</v>
      </c>
      <c r="M12818" s="43">
        <v>11.500046049844352</v>
      </c>
      <c r="N12818" s="43">
        <v>5.4004051316677923</v>
      </c>
      <c r="O12818" s="43">
        <v>4.3946938238665183</v>
      </c>
      <c r="P12818" s="359"/>
      <c r="Q12818" s="359"/>
      <c r="R12818" s="359">
        <v>2</v>
      </c>
    </row>
    <row r="12819" spans="1:18" ht="12.75" customHeight="1">
      <c r="A12819" s="628" t="s">
        <v>23300</v>
      </c>
      <c r="B12819" s="629"/>
      <c r="C12819" s="629"/>
      <c r="D12819" s="629"/>
      <c r="E12819" s="629"/>
      <c r="F12819" s="629"/>
      <c r="G12819" s="629"/>
      <c r="H12819" s="629"/>
      <c r="I12819" s="629"/>
      <c r="J12819" s="629"/>
      <c r="K12819" s="629"/>
      <c r="L12819" s="629"/>
      <c r="M12819" s="629"/>
      <c r="N12819" s="629"/>
      <c r="O12819" s="629"/>
      <c r="P12819" s="629"/>
      <c r="Q12819" s="629"/>
      <c r="R12819" s="629"/>
    </row>
    <row r="12820" spans="1:18" ht="12.75" customHeight="1">
      <c r="A12820" s="628" t="s">
        <v>23301</v>
      </c>
      <c r="B12820" s="629"/>
      <c r="C12820" s="629"/>
      <c r="D12820" s="629"/>
      <c r="E12820" s="629"/>
      <c r="F12820" s="629"/>
      <c r="G12820" s="629"/>
      <c r="H12820" s="629"/>
      <c r="I12820" s="629"/>
      <c r="J12820" s="629"/>
      <c r="K12820" s="629"/>
      <c r="L12820" s="629"/>
      <c r="M12820" s="629"/>
      <c r="N12820" s="629"/>
      <c r="O12820" s="629"/>
      <c r="P12820" s="629"/>
      <c r="Q12820" s="629"/>
      <c r="R12820" s="629"/>
    </row>
    <row r="12821" spans="1:18" ht="24">
      <c r="A12821" s="355">
        <v>347</v>
      </c>
      <c r="B12821" s="352" t="s">
        <v>23302</v>
      </c>
      <c r="C12821" s="356" t="s">
        <v>23303</v>
      </c>
      <c r="D12821" s="357">
        <v>4920.34</v>
      </c>
      <c r="E12821" s="357">
        <v>2033.44</v>
      </c>
      <c r="F12821" s="357">
        <v>1058.97</v>
      </c>
      <c r="G12821" s="357">
        <v>1827.93</v>
      </c>
      <c r="H12821" s="358">
        <v>36713.9</v>
      </c>
      <c r="I12821" s="358">
        <v>23384.560000000001</v>
      </c>
      <c r="J12821" s="358">
        <v>5703.41</v>
      </c>
      <c r="K12821" s="358">
        <v>7625.93</v>
      </c>
      <c r="L12821" s="43">
        <v>7.4616591536357246</v>
      </c>
      <c r="M12821" s="43">
        <v>11.5</v>
      </c>
      <c r="N12821" s="43">
        <v>5.3858088519976954</v>
      </c>
      <c r="O12821" s="43">
        <v>4.1718938909039185</v>
      </c>
      <c r="P12821" s="359"/>
      <c r="Q12821" s="359"/>
      <c r="R12821" s="359">
        <v>1</v>
      </c>
    </row>
    <row r="12822" spans="1:18" ht="24">
      <c r="A12822" s="355">
        <v>348</v>
      </c>
      <c r="B12822" s="352" t="s">
        <v>23304</v>
      </c>
      <c r="C12822" s="356" t="s">
        <v>23305</v>
      </c>
      <c r="D12822" s="357">
        <v>6624.21</v>
      </c>
      <c r="E12822" s="357">
        <v>2783.2</v>
      </c>
      <c r="F12822" s="357">
        <v>1945.49</v>
      </c>
      <c r="G12822" s="357">
        <v>1895.52</v>
      </c>
      <c r="H12822" s="358">
        <v>51109.94</v>
      </c>
      <c r="I12822" s="358">
        <v>32006.799999999999</v>
      </c>
      <c r="J12822" s="358">
        <v>10480.24</v>
      </c>
      <c r="K12822" s="358">
        <v>8622.9</v>
      </c>
      <c r="L12822" s="43">
        <v>7.7156279767700608</v>
      </c>
      <c r="M12822" s="43">
        <v>11.5</v>
      </c>
      <c r="N12822" s="43">
        <v>5.3869410791111747</v>
      </c>
      <c r="O12822" s="43">
        <v>4.549094707520891</v>
      </c>
      <c r="P12822" s="359"/>
      <c r="Q12822" s="359"/>
      <c r="R12822" s="359">
        <v>1</v>
      </c>
    </row>
    <row r="12823" spans="1:18" ht="24">
      <c r="A12823" s="355">
        <v>349</v>
      </c>
      <c r="B12823" s="352" t="s">
        <v>23306</v>
      </c>
      <c r="C12823" s="356" t="s">
        <v>23307</v>
      </c>
      <c r="D12823" s="357">
        <v>8981.51</v>
      </c>
      <c r="E12823" s="357">
        <v>3498.88</v>
      </c>
      <c r="F12823" s="357">
        <v>3584.38</v>
      </c>
      <c r="G12823" s="357">
        <v>1898.25</v>
      </c>
      <c r="H12823" s="358">
        <v>67742.36</v>
      </c>
      <c r="I12823" s="358">
        <v>40237.120000000003</v>
      </c>
      <c r="J12823" s="358">
        <v>19110.09</v>
      </c>
      <c r="K12823" s="358">
        <v>8395.15</v>
      </c>
      <c r="L12823" s="43">
        <v>7.5424243807555742</v>
      </c>
      <c r="M12823" s="43">
        <v>11.5</v>
      </c>
      <c r="N12823" s="43">
        <v>5.3314910807447866</v>
      </c>
      <c r="O12823" s="43">
        <v>4.4225734228895037</v>
      </c>
      <c r="P12823" s="359"/>
      <c r="Q12823" s="359"/>
      <c r="R12823" s="359">
        <v>1</v>
      </c>
    </row>
    <row r="12824" spans="1:18" ht="24">
      <c r="A12824" s="355">
        <v>350</v>
      </c>
      <c r="B12824" s="352" t="s">
        <v>23308</v>
      </c>
      <c r="C12824" s="356" t="s">
        <v>23309</v>
      </c>
      <c r="D12824" s="357">
        <v>7677.65</v>
      </c>
      <c r="E12824" s="357">
        <v>4350.88</v>
      </c>
      <c r="F12824" s="357">
        <v>1467.25</v>
      </c>
      <c r="G12824" s="357">
        <v>1859.52</v>
      </c>
      <c r="H12824" s="358">
        <v>65586.11</v>
      </c>
      <c r="I12824" s="358">
        <v>50035.12</v>
      </c>
      <c r="J12824" s="358">
        <v>7884.95</v>
      </c>
      <c r="K12824" s="358">
        <v>7666.04</v>
      </c>
      <c r="L12824" s="43">
        <v>8.5424719803585738</v>
      </c>
      <c r="M12824" s="43">
        <v>11.5</v>
      </c>
      <c r="N12824" s="43">
        <v>5.3739649003237346</v>
      </c>
      <c r="O12824" s="43">
        <v>4.1225907761142659</v>
      </c>
      <c r="P12824" s="359"/>
      <c r="Q12824" s="359"/>
      <c r="R12824" s="359">
        <v>1</v>
      </c>
    </row>
    <row r="12825" spans="1:18" ht="24">
      <c r="A12825" s="355">
        <v>351</v>
      </c>
      <c r="B12825" s="352" t="s">
        <v>23310</v>
      </c>
      <c r="C12825" s="356" t="s">
        <v>23311</v>
      </c>
      <c r="D12825" s="357">
        <v>15185.66</v>
      </c>
      <c r="E12825" s="357">
        <v>5895.84</v>
      </c>
      <c r="F12825" s="357">
        <v>5651.51</v>
      </c>
      <c r="G12825" s="357">
        <v>3638.31</v>
      </c>
      <c r="H12825" s="358">
        <v>113473.19</v>
      </c>
      <c r="I12825" s="358">
        <v>67802.16</v>
      </c>
      <c r="J12825" s="358">
        <v>30472.93</v>
      </c>
      <c r="K12825" s="358">
        <v>15198.1</v>
      </c>
      <c r="L12825" s="43">
        <v>7.4723910584064175</v>
      </c>
      <c r="M12825" s="43">
        <v>11.5</v>
      </c>
      <c r="N12825" s="43">
        <v>5.3919978908291766</v>
      </c>
      <c r="O12825" s="43">
        <v>4.1772416314167842</v>
      </c>
      <c r="P12825" s="359"/>
      <c r="Q12825" s="359"/>
      <c r="R12825" s="359">
        <v>1</v>
      </c>
    </row>
    <row r="12826" spans="1:18" ht="12.75" customHeight="1">
      <c r="A12826" s="628" t="s">
        <v>19187</v>
      </c>
      <c r="B12826" s="629"/>
      <c r="C12826" s="629"/>
      <c r="D12826" s="629"/>
      <c r="E12826" s="629"/>
      <c r="F12826" s="629"/>
      <c r="G12826" s="629"/>
      <c r="H12826" s="629"/>
      <c r="I12826" s="629"/>
      <c r="J12826" s="629"/>
      <c r="K12826" s="629"/>
      <c r="L12826" s="629"/>
      <c r="M12826" s="629"/>
      <c r="N12826" s="629"/>
      <c r="O12826" s="629"/>
      <c r="P12826" s="629"/>
      <c r="Q12826" s="629"/>
      <c r="R12826" s="629"/>
    </row>
    <row r="12827" spans="1:18" ht="24">
      <c r="A12827" s="355">
        <v>352</v>
      </c>
      <c r="B12827" s="352" t="s">
        <v>23312</v>
      </c>
      <c r="C12827" s="356" t="s">
        <v>23313</v>
      </c>
      <c r="D12827" s="357">
        <v>5801.35</v>
      </c>
      <c r="E12827" s="357">
        <v>3023.56</v>
      </c>
      <c r="F12827" s="357">
        <v>1116.24</v>
      </c>
      <c r="G12827" s="357">
        <v>1661.55</v>
      </c>
      <c r="H12827" s="358">
        <v>47600.24</v>
      </c>
      <c r="I12827" s="358">
        <v>34770.94</v>
      </c>
      <c r="J12827" s="358">
        <v>5953.13</v>
      </c>
      <c r="K12827" s="358">
        <v>6876.17</v>
      </c>
      <c r="L12827" s="43">
        <v>8.205028140001895</v>
      </c>
      <c r="M12827" s="43">
        <v>11.500000000000002</v>
      </c>
      <c r="N12827" s="43">
        <v>5.3331989536300437</v>
      </c>
      <c r="O12827" s="43">
        <v>4.1384069092112785</v>
      </c>
      <c r="P12827" s="359"/>
      <c r="Q12827" s="359"/>
      <c r="R12827" s="359">
        <v>2</v>
      </c>
    </row>
    <row r="12828" spans="1:18" ht="24">
      <c r="A12828" s="355">
        <v>353</v>
      </c>
      <c r="B12828" s="352" t="s">
        <v>23314</v>
      </c>
      <c r="C12828" s="356" t="s">
        <v>23315</v>
      </c>
      <c r="D12828" s="357">
        <v>7800.31</v>
      </c>
      <c r="E12828" s="357">
        <v>3922.76</v>
      </c>
      <c r="F12828" s="357">
        <v>2083.29</v>
      </c>
      <c r="G12828" s="357">
        <v>1794.26</v>
      </c>
      <c r="H12828" s="358">
        <v>63893.48</v>
      </c>
      <c r="I12828" s="358">
        <v>45111.74</v>
      </c>
      <c r="J12828" s="358">
        <v>11274.85</v>
      </c>
      <c r="K12828" s="358">
        <v>7506.89</v>
      </c>
      <c r="L12828" s="43">
        <v>8.1911462493157323</v>
      </c>
      <c r="M12828" s="43">
        <v>11.499999999999998</v>
      </c>
      <c r="N12828" s="43">
        <v>5.4120405704438657</v>
      </c>
      <c r="O12828" s="43">
        <v>4.1838362333218155</v>
      </c>
      <c r="P12828" s="359"/>
      <c r="Q12828" s="359"/>
      <c r="R12828" s="359">
        <v>2</v>
      </c>
    </row>
    <row r="12829" spans="1:18" ht="12.75" customHeight="1">
      <c r="A12829" s="628" t="s">
        <v>23316</v>
      </c>
      <c r="B12829" s="629"/>
      <c r="C12829" s="629"/>
      <c r="D12829" s="629"/>
      <c r="E12829" s="629"/>
      <c r="F12829" s="629"/>
      <c r="G12829" s="629"/>
      <c r="H12829" s="629"/>
      <c r="I12829" s="629"/>
      <c r="J12829" s="629"/>
      <c r="K12829" s="629"/>
      <c r="L12829" s="629"/>
      <c r="M12829" s="629"/>
      <c r="N12829" s="629"/>
      <c r="O12829" s="629"/>
      <c r="P12829" s="629"/>
      <c r="Q12829" s="629"/>
      <c r="R12829" s="629"/>
    </row>
    <row r="12830" spans="1:18" ht="24">
      <c r="A12830" s="355">
        <v>354</v>
      </c>
      <c r="B12830" s="352" t="s">
        <v>23317</v>
      </c>
      <c r="C12830" s="356" t="s">
        <v>23318</v>
      </c>
      <c r="D12830" s="357">
        <v>5266.95</v>
      </c>
      <c r="E12830" s="357">
        <v>2562.7199999999998</v>
      </c>
      <c r="F12830" s="357">
        <v>1126.5899999999999</v>
      </c>
      <c r="G12830" s="357">
        <v>1577.64</v>
      </c>
      <c r="H12830" s="358">
        <v>41755.379999999997</v>
      </c>
      <c r="I12830" s="358">
        <v>29471.279999999999</v>
      </c>
      <c r="J12830" s="358">
        <v>6023.17</v>
      </c>
      <c r="K12830" s="358">
        <v>6260.93</v>
      </c>
      <c r="L12830" s="43">
        <v>7.9278102127417194</v>
      </c>
      <c r="M12830" s="43">
        <v>11.5</v>
      </c>
      <c r="N12830" s="43">
        <v>5.3463726821647635</v>
      </c>
      <c r="O12830" s="43">
        <v>3.9685416191273042</v>
      </c>
      <c r="P12830" s="359"/>
      <c r="Q12830" s="359"/>
      <c r="R12830" s="359">
        <v>3</v>
      </c>
    </row>
    <row r="12831" spans="1:18" ht="12.75" customHeight="1">
      <c r="A12831" s="628" t="s">
        <v>23319</v>
      </c>
      <c r="B12831" s="629"/>
      <c r="C12831" s="629"/>
      <c r="D12831" s="629"/>
      <c r="E12831" s="629"/>
      <c r="F12831" s="629"/>
      <c r="G12831" s="629"/>
      <c r="H12831" s="629"/>
      <c r="I12831" s="629"/>
      <c r="J12831" s="629"/>
      <c r="K12831" s="629"/>
      <c r="L12831" s="629"/>
      <c r="M12831" s="629"/>
      <c r="N12831" s="629"/>
      <c r="O12831" s="629"/>
      <c r="P12831" s="629"/>
      <c r="Q12831" s="629"/>
      <c r="R12831" s="629"/>
    </row>
    <row r="12832" spans="1:18" ht="24">
      <c r="A12832" s="355">
        <v>355</v>
      </c>
      <c r="B12832" s="352" t="s">
        <v>23320</v>
      </c>
      <c r="C12832" s="356" t="s">
        <v>23321</v>
      </c>
      <c r="D12832" s="357">
        <v>2536.84</v>
      </c>
      <c r="E12832" s="357">
        <v>807.03</v>
      </c>
      <c r="F12832" s="357">
        <v>416.72</v>
      </c>
      <c r="G12832" s="357">
        <v>1313.09</v>
      </c>
      <c r="H12832" s="358">
        <v>16535.349999999999</v>
      </c>
      <c r="I12832" s="358">
        <v>9280.8700000000008</v>
      </c>
      <c r="J12832" s="358">
        <v>2245</v>
      </c>
      <c r="K12832" s="358">
        <v>5009.4799999999996</v>
      </c>
      <c r="L12832" s="43">
        <v>6.5180894340991147</v>
      </c>
      <c r="M12832" s="43">
        <v>11.500030977782735</v>
      </c>
      <c r="N12832" s="43">
        <v>5.387310424265694</v>
      </c>
      <c r="O12832" s="43">
        <v>3.8150317190748537</v>
      </c>
      <c r="P12832" s="359"/>
      <c r="Q12832" s="359"/>
      <c r="R12832" s="359">
        <v>4</v>
      </c>
    </row>
    <row r="12833" spans="1:18" ht="24">
      <c r="A12833" s="355">
        <v>356</v>
      </c>
      <c r="B12833" s="352" t="s">
        <v>23322</v>
      </c>
      <c r="C12833" s="356" t="s">
        <v>23323</v>
      </c>
      <c r="D12833" s="357">
        <v>3634.23</v>
      </c>
      <c r="E12833" s="357">
        <v>1135.24</v>
      </c>
      <c r="F12833" s="357">
        <v>921.22</v>
      </c>
      <c r="G12833" s="357">
        <v>1577.77</v>
      </c>
      <c r="H12833" s="358">
        <v>24057.4</v>
      </c>
      <c r="I12833" s="358">
        <v>13055.26</v>
      </c>
      <c r="J12833" s="358">
        <v>4963.58</v>
      </c>
      <c r="K12833" s="358">
        <v>6038.56</v>
      </c>
      <c r="L12833" s="43">
        <v>6.6196690908390501</v>
      </c>
      <c r="M12833" s="43">
        <v>11.5</v>
      </c>
      <c r="N12833" s="43">
        <v>5.3880506285143612</v>
      </c>
      <c r="O12833" s="43">
        <v>3.827275204877771</v>
      </c>
      <c r="P12833" s="359"/>
      <c r="Q12833" s="359"/>
      <c r="R12833" s="359">
        <v>4</v>
      </c>
    </row>
    <row r="12834" spans="1:18" ht="12.75" customHeight="1">
      <c r="A12834" s="628" t="s">
        <v>23324</v>
      </c>
      <c r="B12834" s="629"/>
      <c r="C12834" s="629"/>
      <c r="D12834" s="629"/>
      <c r="E12834" s="629"/>
      <c r="F12834" s="629"/>
      <c r="G12834" s="629"/>
      <c r="H12834" s="629"/>
      <c r="I12834" s="629"/>
      <c r="J12834" s="629"/>
      <c r="K12834" s="629"/>
      <c r="L12834" s="629"/>
      <c r="M12834" s="629"/>
      <c r="N12834" s="629"/>
      <c r="O12834" s="629"/>
      <c r="P12834" s="629"/>
      <c r="Q12834" s="629"/>
      <c r="R12834" s="629"/>
    </row>
    <row r="12835" spans="1:18" ht="24">
      <c r="A12835" s="355">
        <v>357</v>
      </c>
      <c r="B12835" s="352" t="s">
        <v>23325</v>
      </c>
      <c r="C12835" s="356" t="s">
        <v>23326</v>
      </c>
      <c r="D12835" s="357">
        <v>1207.22</v>
      </c>
      <c r="E12835" s="357">
        <v>815.65</v>
      </c>
      <c r="F12835" s="357">
        <v>226.41</v>
      </c>
      <c r="G12835" s="357">
        <v>165.16</v>
      </c>
      <c r="H12835" s="358">
        <v>11347.59</v>
      </c>
      <c r="I12835" s="358">
        <v>9379.9500000000007</v>
      </c>
      <c r="J12835" s="358">
        <v>1219.03</v>
      </c>
      <c r="K12835" s="358">
        <v>748.61</v>
      </c>
      <c r="L12835" s="43">
        <v>9.3997697188582023</v>
      </c>
      <c r="M12835" s="43">
        <v>11.499969349598482</v>
      </c>
      <c r="N12835" s="43">
        <v>5.3841703104986527</v>
      </c>
      <c r="O12835" s="43">
        <v>4.5326350205860981</v>
      </c>
      <c r="P12835" s="359"/>
      <c r="Q12835" s="359"/>
      <c r="R12835" s="359">
        <v>5</v>
      </c>
    </row>
    <row r="12836" spans="1:18" ht="24">
      <c r="A12836" s="355">
        <v>358</v>
      </c>
      <c r="B12836" s="352" t="s">
        <v>23327</v>
      </c>
      <c r="C12836" s="356" t="s">
        <v>23328</v>
      </c>
      <c r="D12836" s="357">
        <v>605.66</v>
      </c>
      <c r="E12836" s="357">
        <v>331.71</v>
      </c>
      <c r="F12836" s="357">
        <v>201.29</v>
      </c>
      <c r="G12836" s="357">
        <v>72.66</v>
      </c>
      <c r="H12836" s="358">
        <v>5227.1899999999996</v>
      </c>
      <c r="I12836" s="358">
        <v>3814.69</v>
      </c>
      <c r="J12836" s="358">
        <v>1084.73</v>
      </c>
      <c r="K12836" s="358">
        <v>327.77</v>
      </c>
      <c r="L12836" s="43">
        <v>8.6305683056500353</v>
      </c>
      <c r="M12836" s="43">
        <v>11.500075367037473</v>
      </c>
      <c r="N12836" s="43">
        <v>5.3888916488648224</v>
      </c>
      <c r="O12836" s="43">
        <v>4.5110101844205888</v>
      </c>
      <c r="P12836" s="359"/>
      <c r="Q12836" s="359"/>
      <c r="R12836" s="359">
        <v>5</v>
      </c>
    </row>
    <row r="12837" spans="1:18" ht="12.75" customHeight="1">
      <c r="A12837" s="628" t="s">
        <v>23329</v>
      </c>
      <c r="B12837" s="629"/>
      <c r="C12837" s="629"/>
      <c r="D12837" s="629"/>
      <c r="E12837" s="629"/>
      <c r="F12837" s="629"/>
      <c r="G12837" s="629"/>
      <c r="H12837" s="629"/>
      <c r="I12837" s="629"/>
      <c r="J12837" s="629"/>
      <c r="K12837" s="629"/>
      <c r="L12837" s="629"/>
      <c r="M12837" s="629"/>
      <c r="N12837" s="629"/>
      <c r="O12837" s="629"/>
      <c r="P12837" s="629"/>
      <c r="Q12837" s="629"/>
      <c r="R12837" s="629"/>
    </row>
    <row r="12838" spans="1:18" ht="24">
      <c r="A12838" s="355">
        <v>359</v>
      </c>
      <c r="B12838" s="352" t="s">
        <v>23330</v>
      </c>
      <c r="C12838" s="356" t="s">
        <v>23331</v>
      </c>
      <c r="D12838" s="357">
        <v>3360.89</v>
      </c>
      <c r="E12838" s="357">
        <v>1295.04</v>
      </c>
      <c r="F12838" s="357">
        <v>534.28</v>
      </c>
      <c r="G12838" s="357">
        <v>1531.57</v>
      </c>
      <c r="H12838" s="358">
        <v>23997.97</v>
      </c>
      <c r="I12838" s="358">
        <v>14892.96</v>
      </c>
      <c r="J12838" s="358">
        <v>2880.98</v>
      </c>
      <c r="K12838" s="358">
        <v>6224.03</v>
      </c>
      <c r="L12838" s="43">
        <v>7.1403616304014719</v>
      </c>
      <c r="M12838" s="43">
        <v>11.5</v>
      </c>
      <c r="N12838" s="43">
        <v>5.3922662274462834</v>
      </c>
      <c r="O12838" s="43">
        <v>4.0638233969064421</v>
      </c>
      <c r="P12838" s="359"/>
      <c r="Q12838" s="359"/>
      <c r="R12838" s="359">
        <v>6</v>
      </c>
    </row>
    <row r="12839" spans="1:18" ht="24">
      <c r="A12839" s="355">
        <v>360</v>
      </c>
      <c r="B12839" s="352" t="s">
        <v>23332</v>
      </c>
      <c r="C12839" s="356" t="s">
        <v>23333</v>
      </c>
      <c r="D12839" s="357">
        <v>5275.95</v>
      </c>
      <c r="E12839" s="357">
        <v>1897.12</v>
      </c>
      <c r="F12839" s="357">
        <v>1290.3</v>
      </c>
      <c r="G12839" s="357">
        <v>2088.5300000000002</v>
      </c>
      <c r="H12839" s="358">
        <v>37144.550000000003</v>
      </c>
      <c r="I12839" s="358">
        <v>21816.880000000001</v>
      </c>
      <c r="J12839" s="358">
        <v>6951.94</v>
      </c>
      <c r="K12839" s="358">
        <v>8375.73</v>
      </c>
      <c r="L12839" s="43">
        <v>7.0403529222225387</v>
      </c>
      <c r="M12839" s="43">
        <v>11.500000000000002</v>
      </c>
      <c r="N12839" s="43">
        <v>5.3878477873362787</v>
      </c>
      <c r="O12839" s="43">
        <v>4.0103469904669788</v>
      </c>
      <c r="P12839" s="359"/>
      <c r="Q12839" s="359"/>
      <c r="R12839" s="359">
        <v>6</v>
      </c>
    </row>
    <row r="12840" spans="1:18" ht="24">
      <c r="A12840" s="355">
        <v>361</v>
      </c>
      <c r="B12840" s="352" t="s">
        <v>23334</v>
      </c>
      <c r="C12840" s="356" t="s">
        <v>23335</v>
      </c>
      <c r="D12840" s="357">
        <v>5929.5</v>
      </c>
      <c r="E12840" s="357">
        <v>2158.4</v>
      </c>
      <c r="F12840" s="357">
        <v>1859.39</v>
      </c>
      <c r="G12840" s="357">
        <v>1911.71</v>
      </c>
      <c r="H12840" s="358">
        <v>43310.19</v>
      </c>
      <c r="I12840" s="358">
        <v>24821.599999999999</v>
      </c>
      <c r="J12840" s="358">
        <v>9903.36</v>
      </c>
      <c r="K12840" s="358">
        <v>8585.23</v>
      </c>
      <c r="L12840" s="43">
        <v>7.3041892233746522</v>
      </c>
      <c r="M12840" s="43">
        <v>11.499999999999998</v>
      </c>
      <c r="N12840" s="43">
        <v>5.3261338395925542</v>
      </c>
      <c r="O12840" s="43">
        <v>4.490864200114034</v>
      </c>
      <c r="P12840" s="359"/>
      <c r="Q12840" s="359"/>
      <c r="R12840" s="359">
        <v>6</v>
      </c>
    </row>
    <row r="12841" spans="1:18" ht="12.75" customHeight="1">
      <c r="A12841" s="628" t="s">
        <v>23336</v>
      </c>
      <c r="B12841" s="629"/>
      <c r="C12841" s="629"/>
      <c r="D12841" s="629"/>
      <c r="E12841" s="629"/>
      <c r="F12841" s="629"/>
      <c r="G12841" s="629"/>
      <c r="H12841" s="629"/>
      <c r="I12841" s="629"/>
      <c r="J12841" s="629"/>
      <c r="K12841" s="629"/>
      <c r="L12841" s="629"/>
      <c r="M12841" s="629"/>
      <c r="N12841" s="629"/>
      <c r="O12841" s="629"/>
      <c r="P12841" s="629"/>
      <c r="Q12841" s="629"/>
      <c r="R12841" s="629"/>
    </row>
    <row r="12842" spans="1:18" ht="24">
      <c r="A12842" s="355">
        <v>362</v>
      </c>
      <c r="B12842" s="352" t="s">
        <v>23337</v>
      </c>
      <c r="C12842" s="356" t="s">
        <v>23338</v>
      </c>
      <c r="D12842" s="357">
        <v>614.82000000000005</v>
      </c>
      <c r="E12842" s="357">
        <v>218.06</v>
      </c>
      <c r="F12842" s="357">
        <v>325.33</v>
      </c>
      <c r="G12842" s="357">
        <v>71.430000000000007</v>
      </c>
      <c r="H12842" s="358">
        <v>4571.1899999999996</v>
      </c>
      <c r="I12842" s="358">
        <v>2507.64</v>
      </c>
      <c r="J12842" s="358">
        <v>1738.22</v>
      </c>
      <c r="K12842" s="358">
        <v>325.33</v>
      </c>
      <c r="L12842" s="43">
        <v>7.435005367424611</v>
      </c>
      <c r="M12842" s="43">
        <v>11.499770705310464</v>
      </c>
      <c r="N12842" s="43">
        <v>5.3429440875418805</v>
      </c>
      <c r="O12842" s="43">
        <v>4.5545289094218111</v>
      </c>
      <c r="P12842" s="359"/>
      <c r="Q12842" s="359"/>
      <c r="R12842" s="359">
        <v>7</v>
      </c>
    </row>
    <row r="12843" spans="1:18" ht="12.75" customHeight="1">
      <c r="A12843" s="628" t="s">
        <v>23339</v>
      </c>
      <c r="B12843" s="629"/>
      <c r="C12843" s="629"/>
      <c r="D12843" s="629"/>
      <c r="E12843" s="629"/>
      <c r="F12843" s="629"/>
      <c r="G12843" s="629"/>
      <c r="H12843" s="629"/>
      <c r="I12843" s="629"/>
      <c r="J12843" s="629"/>
      <c r="K12843" s="629"/>
      <c r="L12843" s="629"/>
      <c r="M12843" s="629"/>
      <c r="N12843" s="629"/>
      <c r="O12843" s="629"/>
      <c r="P12843" s="629"/>
      <c r="Q12843" s="629"/>
      <c r="R12843" s="629"/>
    </row>
    <row r="12844" spans="1:18" ht="12.75" customHeight="1">
      <c r="A12844" s="628" t="s">
        <v>23340</v>
      </c>
      <c r="B12844" s="629"/>
      <c r="C12844" s="629"/>
      <c r="D12844" s="629"/>
      <c r="E12844" s="629"/>
      <c r="F12844" s="629"/>
      <c r="G12844" s="629"/>
      <c r="H12844" s="629"/>
      <c r="I12844" s="629"/>
      <c r="J12844" s="629"/>
      <c r="K12844" s="629"/>
      <c r="L12844" s="629"/>
      <c r="M12844" s="629"/>
      <c r="N12844" s="629"/>
      <c r="O12844" s="629"/>
      <c r="P12844" s="629"/>
      <c r="Q12844" s="629"/>
      <c r="R12844" s="629"/>
    </row>
    <row r="12845" spans="1:18" ht="24">
      <c r="A12845" s="355">
        <v>363</v>
      </c>
      <c r="B12845" s="352" t="s">
        <v>23341</v>
      </c>
      <c r="C12845" s="356" t="s">
        <v>23342</v>
      </c>
      <c r="D12845" s="357">
        <v>1027.6099999999999</v>
      </c>
      <c r="E12845" s="357">
        <v>489.47</v>
      </c>
      <c r="F12845" s="357">
        <v>458.36</v>
      </c>
      <c r="G12845" s="357">
        <v>79.78</v>
      </c>
      <c r="H12845" s="358">
        <v>8770.85</v>
      </c>
      <c r="I12845" s="358">
        <v>5629.16</v>
      </c>
      <c r="J12845" s="358">
        <v>2484.4699999999998</v>
      </c>
      <c r="K12845" s="358">
        <v>657.22</v>
      </c>
      <c r="L12845" s="43">
        <v>8.5351933126380644</v>
      </c>
      <c r="M12845" s="43">
        <v>11.500520971663226</v>
      </c>
      <c r="N12845" s="43">
        <v>5.4203464525700316</v>
      </c>
      <c r="O12845" s="43">
        <v>8.23790423665079</v>
      </c>
      <c r="P12845" s="359"/>
      <c r="Q12845" s="359"/>
      <c r="R12845" s="359">
        <v>1</v>
      </c>
    </row>
    <row r="12846" spans="1:18" ht="24">
      <c r="A12846" s="355">
        <v>364</v>
      </c>
      <c r="B12846" s="352" t="s">
        <v>23343</v>
      </c>
      <c r="C12846" s="356" t="s">
        <v>23344</v>
      </c>
      <c r="D12846" s="357">
        <v>1904.09</v>
      </c>
      <c r="E12846" s="357">
        <v>696.29</v>
      </c>
      <c r="F12846" s="357">
        <v>1023.08</v>
      </c>
      <c r="G12846" s="357">
        <v>184.72</v>
      </c>
      <c r="H12846" s="358">
        <v>15141.46</v>
      </c>
      <c r="I12846" s="358">
        <v>8007.68</v>
      </c>
      <c r="J12846" s="358">
        <v>5548.56</v>
      </c>
      <c r="K12846" s="358">
        <v>1585.22</v>
      </c>
      <c r="L12846" s="43">
        <v>7.9520715932545203</v>
      </c>
      <c r="M12846" s="43">
        <v>11.500495483203839</v>
      </c>
      <c r="N12846" s="43">
        <v>5.4233882003362401</v>
      </c>
      <c r="O12846" s="43">
        <v>8.5817453443048937</v>
      </c>
      <c r="P12846" s="359"/>
      <c r="Q12846" s="359"/>
      <c r="R12846" s="359">
        <v>1</v>
      </c>
    </row>
    <row r="12847" spans="1:18" ht="24">
      <c r="A12847" s="355">
        <v>365</v>
      </c>
      <c r="B12847" s="352" t="s">
        <v>23345</v>
      </c>
      <c r="C12847" s="356" t="s">
        <v>23346</v>
      </c>
      <c r="D12847" s="357">
        <v>1785.63</v>
      </c>
      <c r="E12847" s="357">
        <v>1019.16</v>
      </c>
      <c r="F12847" s="357">
        <v>684.17</v>
      </c>
      <c r="G12847" s="357">
        <v>82.3</v>
      </c>
      <c r="H12847" s="358">
        <v>16011.74</v>
      </c>
      <c r="I12847" s="358">
        <v>11720.82</v>
      </c>
      <c r="J12847" s="358">
        <v>3704.6</v>
      </c>
      <c r="K12847" s="358">
        <v>586.32000000000005</v>
      </c>
      <c r="L12847" s="43">
        <v>8.9669976422887157</v>
      </c>
      <c r="M12847" s="43">
        <v>11.500470976097963</v>
      </c>
      <c r="N12847" s="43">
        <v>5.4147361035999824</v>
      </c>
      <c r="O12847" s="43">
        <v>7.1241798298906449</v>
      </c>
      <c r="P12847" s="359"/>
      <c r="Q12847" s="359"/>
      <c r="R12847" s="359">
        <v>1</v>
      </c>
    </row>
    <row r="12848" spans="1:18" ht="12.75">
      <c r="A12848" s="632" t="s">
        <v>18</v>
      </c>
      <c r="B12848" s="632"/>
      <c r="C12848" s="632"/>
      <c r="D12848" s="353">
        <v>17256015.629999999</v>
      </c>
      <c r="E12848" s="353">
        <v>3907351.57</v>
      </c>
      <c r="F12848" s="353">
        <v>8234073.2699999996</v>
      </c>
      <c r="G12848" s="353">
        <v>5114590.79</v>
      </c>
      <c r="H12848" s="354">
        <v>113328409.73999999</v>
      </c>
      <c r="I12848" s="354">
        <v>44935155.560000002</v>
      </c>
      <c r="J12848" s="354">
        <v>45005095.590000004</v>
      </c>
      <c r="K12848" s="354">
        <v>23388158.59</v>
      </c>
      <c r="L12848" s="612">
        <v>6.5674725944832728</v>
      </c>
      <c r="M12848" s="612">
        <v>11.500156757074205</v>
      </c>
      <c r="N12848" s="612">
        <v>5.4657147336751848</v>
      </c>
      <c r="O12848" s="612">
        <v>4.5728308578915655</v>
      </c>
      <c r="P12848" s="350"/>
      <c r="Q12848" s="350"/>
      <c r="R12848" s="350"/>
    </row>
    <row r="12849" spans="1:18" ht="18">
      <c r="A12849" s="616" t="s">
        <v>23347</v>
      </c>
      <c r="B12849" s="626"/>
      <c r="C12849" s="626"/>
      <c r="D12849" s="626"/>
      <c r="E12849" s="626"/>
      <c r="F12849" s="626"/>
      <c r="G12849" s="626"/>
      <c r="H12849" s="626"/>
      <c r="I12849" s="626"/>
      <c r="J12849" s="626"/>
      <c r="K12849" s="626"/>
      <c r="L12849" s="626"/>
      <c r="M12849" s="626"/>
      <c r="N12849" s="626"/>
      <c r="O12849" s="626"/>
      <c r="P12849" s="626"/>
      <c r="Q12849" s="626"/>
      <c r="R12849" s="627"/>
    </row>
    <row r="12850" spans="1:18" ht="12.75" customHeight="1">
      <c r="A12850" s="630" t="s">
        <v>23348</v>
      </c>
      <c r="B12850" s="631"/>
      <c r="C12850" s="631"/>
      <c r="D12850" s="631"/>
      <c r="E12850" s="631"/>
      <c r="F12850" s="631"/>
      <c r="G12850" s="631"/>
      <c r="H12850" s="631"/>
      <c r="I12850" s="631"/>
      <c r="J12850" s="631"/>
      <c r="K12850" s="631"/>
      <c r="L12850" s="631"/>
      <c r="M12850" s="631"/>
      <c r="N12850" s="631"/>
      <c r="O12850" s="631"/>
      <c r="P12850" s="631"/>
      <c r="Q12850" s="631"/>
      <c r="R12850" s="631"/>
    </row>
    <row r="12851" spans="1:18" ht="12.75" customHeight="1">
      <c r="A12851" s="628" t="s">
        <v>23349</v>
      </c>
      <c r="B12851" s="629"/>
      <c r="C12851" s="629"/>
      <c r="D12851" s="629"/>
      <c r="E12851" s="629"/>
      <c r="F12851" s="629"/>
      <c r="G12851" s="629"/>
      <c r="H12851" s="629"/>
      <c r="I12851" s="629"/>
      <c r="J12851" s="629"/>
      <c r="K12851" s="629"/>
      <c r="L12851" s="629"/>
      <c r="M12851" s="629"/>
      <c r="N12851" s="629"/>
      <c r="O12851" s="629"/>
      <c r="P12851" s="629"/>
      <c r="Q12851" s="629"/>
      <c r="R12851" s="629"/>
    </row>
    <row r="12852" spans="1:18" ht="12.75" customHeight="1">
      <c r="A12852" s="628" t="s">
        <v>23350</v>
      </c>
      <c r="B12852" s="629"/>
      <c r="C12852" s="629"/>
      <c r="D12852" s="629"/>
      <c r="E12852" s="629"/>
      <c r="F12852" s="629"/>
      <c r="G12852" s="629"/>
      <c r="H12852" s="629"/>
      <c r="I12852" s="629"/>
      <c r="J12852" s="629"/>
      <c r="K12852" s="629"/>
      <c r="L12852" s="629"/>
      <c r="M12852" s="629"/>
      <c r="N12852" s="629"/>
      <c r="O12852" s="629"/>
      <c r="P12852" s="629"/>
      <c r="Q12852" s="629"/>
      <c r="R12852" s="629"/>
    </row>
    <row r="12853" spans="1:18" ht="24">
      <c r="A12853" s="369">
        <v>1</v>
      </c>
      <c r="B12853" s="366" t="s">
        <v>23351</v>
      </c>
      <c r="C12853" s="370" t="s">
        <v>23352</v>
      </c>
      <c r="D12853" s="371">
        <v>5259.38</v>
      </c>
      <c r="E12853" s="371">
        <v>1077.28</v>
      </c>
      <c r="F12853" s="371">
        <v>4026.81</v>
      </c>
      <c r="G12853" s="371">
        <v>155.29</v>
      </c>
      <c r="H12853" s="372">
        <v>34880.1</v>
      </c>
      <c r="I12853" s="372">
        <v>12389.21</v>
      </c>
      <c r="J12853" s="372">
        <v>21644.84</v>
      </c>
      <c r="K12853" s="372">
        <v>846.05</v>
      </c>
      <c r="L12853" s="43">
        <v>6.6319794348383265</v>
      </c>
      <c r="M12853" s="43">
        <v>11.500454849249962</v>
      </c>
      <c r="N12853" s="43">
        <v>5.3751828370347745</v>
      </c>
      <c r="O12853" s="43">
        <v>5.4481937021057378</v>
      </c>
      <c r="P12853" s="373"/>
      <c r="Q12853" s="373"/>
      <c r="R12853" s="373">
        <v>1</v>
      </c>
    </row>
    <row r="12854" spans="1:18" ht="12.75" customHeight="1">
      <c r="A12854" s="628" t="s">
        <v>23353</v>
      </c>
      <c r="B12854" s="629"/>
      <c r="C12854" s="629"/>
      <c r="D12854" s="629"/>
      <c r="E12854" s="629"/>
      <c r="F12854" s="629"/>
      <c r="G12854" s="629"/>
      <c r="H12854" s="629"/>
      <c r="I12854" s="629"/>
      <c r="J12854" s="629"/>
      <c r="K12854" s="629"/>
      <c r="L12854" s="629"/>
      <c r="M12854" s="629"/>
      <c r="N12854" s="629"/>
      <c r="O12854" s="629"/>
      <c r="P12854" s="629"/>
      <c r="Q12854" s="629"/>
      <c r="R12854" s="629"/>
    </row>
    <row r="12855" spans="1:18" ht="24">
      <c r="A12855" s="369">
        <v>2</v>
      </c>
      <c r="B12855" s="366" t="s">
        <v>23354</v>
      </c>
      <c r="C12855" s="370" t="s">
        <v>23355</v>
      </c>
      <c r="D12855" s="371">
        <v>3611.62</v>
      </c>
      <c r="E12855" s="371">
        <v>1210.24</v>
      </c>
      <c r="F12855" s="371">
        <v>2259.4299999999998</v>
      </c>
      <c r="G12855" s="371">
        <v>141.94999999999999</v>
      </c>
      <c r="H12855" s="372">
        <v>26970.880000000001</v>
      </c>
      <c r="I12855" s="372">
        <v>13918.28</v>
      </c>
      <c r="J12855" s="372">
        <v>12147.36</v>
      </c>
      <c r="K12855" s="372">
        <v>905.24</v>
      </c>
      <c r="L12855" s="43">
        <v>7.467806690626368</v>
      </c>
      <c r="M12855" s="43">
        <v>11.50042966684294</v>
      </c>
      <c r="N12855" s="43">
        <v>5.3762940210584089</v>
      </c>
      <c r="O12855" s="43">
        <v>6.3771750616414238</v>
      </c>
      <c r="P12855" s="373"/>
      <c r="Q12855" s="373"/>
      <c r="R12855" s="373">
        <v>2</v>
      </c>
    </row>
    <row r="12856" spans="1:18" ht="12.75" customHeight="1">
      <c r="A12856" s="628" t="s">
        <v>23356</v>
      </c>
      <c r="B12856" s="629"/>
      <c r="C12856" s="629"/>
      <c r="D12856" s="629"/>
      <c r="E12856" s="629"/>
      <c r="F12856" s="629"/>
      <c r="G12856" s="629"/>
      <c r="H12856" s="629"/>
      <c r="I12856" s="629"/>
      <c r="J12856" s="629"/>
      <c r="K12856" s="629"/>
      <c r="L12856" s="629"/>
      <c r="M12856" s="629"/>
      <c r="N12856" s="629"/>
      <c r="O12856" s="629"/>
      <c r="P12856" s="629"/>
      <c r="Q12856" s="629"/>
      <c r="R12856" s="629"/>
    </row>
    <row r="12857" spans="1:18" ht="12.75" customHeight="1">
      <c r="A12857" s="628" t="s">
        <v>23357</v>
      </c>
      <c r="B12857" s="629"/>
      <c r="C12857" s="629"/>
      <c r="D12857" s="629"/>
      <c r="E12857" s="629"/>
      <c r="F12857" s="629"/>
      <c r="G12857" s="629"/>
      <c r="H12857" s="629"/>
      <c r="I12857" s="629"/>
      <c r="J12857" s="629"/>
      <c r="K12857" s="629"/>
      <c r="L12857" s="629"/>
      <c r="M12857" s="629"/>
      <c r="N12857" s="629"/>
      <c r="O12857" s="629"/>
      <c r="P12857" s="629"/>
      <c r="Q12857" s="629"/>
      <c r="R12857" s="629"/>
    </row>
    <row r="12858" spans="1:18" ht="24">
      <c r="A12858" s="369">
        <v>3</v>
      </c>
      <c r="B12858" s="366" t="s">
        <v>23358</v>
      </c>
      <c r="C12858" s="370" t="s">
        <v>23359</v>
      </c>
      <c r="D12858" s="371">
        <v>3273.48</v>
      </c>
      <c r="E12858" s="371">
        <v>708.82</v>
      </c>
      <c r="F12858" s="371">
        <v>2550.48</v>
      </c>
      <c r="G12858" s="371">
        <v>14.18</v>
      </c>
      <c r="H12858" s="372">
        <v>22035.19</v>
      </c>
      <c r="I12858" s="372">
        <v>8151.72</v>
      </c>
      <c r="J12858" s="372">
        <v>13720.4</v>
      </c>
      <c r="K12858" s="372">
        <v>163.07</v>
      </c>
      <c r="L12858" s="43">
        <v>6.7314264941285726</v>
      </c>
      <c r="M12858" s="43">
        <v>11.500409130667871</v>
      </c>
      <c r="N12858" s="43">
        <v>5.3795364009911859</v>
      </c>
      <c r="O12858" s="43">
        <v>11.5</v>
      </c>
      <c r="P12858" s="373"/>
      <c r="Q12858" s="373"/>
      <c r="R12858" s="373">
        <v>1</v>
      </c>
    </row>
    <row r="12859" spans="1:18" ht="24">
      <c r="A12859" s="369">
        <v>4</v>
      </c>
      <c r="B12859" s="366" t="s">
        <v>23360</v>
      </c>
      <c r="C12859" s="370" t="s">
        <v>23361</v>
      </c>
      <c r="D12859" s="371">
        <v>2159.37</v>
      </c>
      <c r="E12859" s="371">
        <v>539.70000000000005</v>
      </c>
      <c r="F12859" s="371">
        <v>1566.1</v>
      </c>
      <c r="G12859" s="371">
        <v>53.57</v>
      </c>
      <c r="H12859" s="372">
        <v>14993.94</v>
      </c>
      <c r="I12859" s="372">
        <v>6206.53</v>
      </c>
      <c r="J12859" s="372">
        <v>8435.16</v>
      </c>
      <c r="K12859" s="372">
        <v>352.25</v>
      </c>
      <c r="L12859" s="43">
        <v>6.9436641242584649</v>
      </c>
      <c r="M12859" s="43">
        <v>11.499962942375392</v>
      </c>
      <c r="N12859" s="43">
        <v>5.3860928420918208</v>
      </c>
      <c r="O12859" s="43">
        <v>6.5755086802314731</v>
      </c>
      <c r="P12859" s="373"/>
      <c r="Q12859" s="373"/>
      <c r="R12859" s="373">
        <v>1</v>
      </c>
    </row>
    <row r="12860" spans="1:18" ht="24">
      <c r="A12860" s="369">
        <v>5</v>
      </c>
      <c r="B12860" s="366" t="s">
        <v>23362</v>
      </c>
      <c r="C12860" s="370" t="s">
        <v>23363</v>
      </c>
      <c r="D12860" s="371">
        <v>2553.04</v>
      </c>
      <c r="E12860" s="371">
        <v>540.95000000000005</v>
      </c>
      <c r="F12860" s="371">
        <v>2001.27</v>
      </c>
      <c r="G12860" s="371">
        <v>10.82</v>
      </c>
      <c r="H12860" s="372">
        <v>17118.310000000001</v>
      </c>
      <c r="I12860" s="372">
        <v>6221.15</v>
      </c>
      <c r="J12860" s="372">
        <v>10772.73</v>
      </c>
      <c r="K12860" s="372">
        <v>124.43</v>
      </c>
      <c r="L12860" s="43">
        <v>6.7050692507755469</v>
      </c>
      <c r="M12860" s="43">
        <v>11.50041593492929</v>
      </c>
      <c r="N12860" s="43">
        <v>5.3829468287637345</v>
      </c>
      <c r="O12860" s="43">
        <v>11.5</v>
      </c>
      <c r="P12860" s="373"/>
      <c r="Q12860" s="373"/>
      <c r="R12860" s="373">
        <v>1</v>
      </c>
    </row>
    <row r="12861" spans="1:18" ht="12.75" customHeight="1">
      <c r="A12861" s="628" t="s">
        <v>23364</v>
      </c>
      <c r="B12861" s="629"/>
      <c r="C12861" s="629"/>
      <c r="D12861" s="629"/>
      <c r="E12861" s="629"/>
      <c r="F12861" s="629"/>
      <c r="G12861" s="629"/>
      <c r="H12861" s="629"/>
      <c r="I12861" s="629"/>
      <c r="J12861" s="629"/>
      <c r="K12861" s="629"/>
      <c r="L12861" s="629"/>
      <c r="M12861" s="629"/>
      <c r="N12861" s="629"/>
      <c r="O12861" s="629"/>
      <c r="P12861" s="629"/>
      <c r="Q12861" s="629"/>
      <c r="R12861" s="629"/>
    </row>
    <row r="12862" spans="1:18" ht="24">
      <c r="A12862" s="369">
        <v>6</v>
      </c>
      <c r="B12862" s="366" t="s">
        <v>23365</v>
      </c>
      <c r="C12862" s="370" t="s">
        <v>23366</v>
      </c>
      <c r="D12862" s="371">
        <v>3856.18</v>
      </c>
      <c r="E12862" s="371">
        <v>825.33</v>
      </c>
      <c r="F12862" s="371">
        <v>2868.06</v>
      </c>
      <c r="G12862" s="371">
        <v>162.79</v>
      </c>
      <c r="H12862" s="372">
        <v>25995.58</v>
      </c>
      <c r="I12862" s="372">
        <v>9491.6200000000008</v>
      </c>
      <c r="J12862" s="372">
        <v>15510.02</v>
      </c>
      <c r="K12862" s="372">
        <v>993.94</v>
      </c>
      <c r="L12862" s="43">
        <v>6.7412776374546839</v>
      </c>
      <c r="M12862" s="43">
        <v>11.500393781881188</v>
      </c>
      <c r="N12862" s="43">
        <v>5.4078436294917127</v>
      </c>
      <c r="O12862" s="43">
        <v>6.1056575956754111</v>
      </c>
      <c r="P12862" s="373"/>
      <c r="Q12862" s="373"/>
      <c r="R12862" s="373">
        <v>2</v>
      </c>
    </row>
    <row r="12863" spans="1:18" ht="12.75" customHeight="1">
      <c r="A12863" s="628" t="s">
        <v>23367</v>
      </c>
      <c r="B12863" s="629"/>
      <c r="C12863" s="629"/>
      <c r="D12863" s="629"/>
      <c r="E12863" s="629"/>
      <c r="F12863" s="629"/>
      <c r="G12863" s="629"/>
      <c r="H12863" s="629"/>
      <c r="I12863" s="629"/>
      <c r="J12863" s="629"/>
      <c r="K12863" s="629"/>
      <c r="L12863" s="629"/>
      <c r="M12863" s="629"/>
      <c r="N12863" s="629"/>
      <c r="O12863" s="629"/>
      <c r="P12863" s="629"/>
      <c r="Q12863" s="629"/>
      <c r="R12863" s="629"/>
    </row>
    <row r="12864" spans="1:18" ht="12.75" customHeight="1">
      <c r="A12864" s="628" t="s">
        <v>23368</v>
      </c>
      <c r="B12864" s="629"/>
      <c r="C12864" s="629"/>
      <c r="D12864" s="629"/>
      <c r="E12864" s="629"/>
      <c r="F12864" s="629"/>
      <c r="G12864" s="629"/>
      <c r="H12864" s="629"/>
      <c r="I12864" s="629"/>
      <c r="J12864" s="629"/>
      <c r="K12864" s="629"/>
      <c r="L12864" s="629"/>
      <c r="M12864" s="629"/>
      <c r="N12864" s="629"/>
      <c r="O12864" s="629"/>
      <c r="P12864" s="629"/>
      <c r="Q12864" s="629"/>
      <c r="R12864" s="629"/>
    </row>
    <row r="12865" spans="1:18" ht="24">
      <c r="A12865" s="369">
        <v>7</v>
      </c>
      <c r="B12865" s="366" t="s">
        <v>23369</v>
      </c>
      <c r="C12865" s="370" t="s">
        <v>23370</v>
      </c>
      <c r="D12865" s="371">
        <v>5095.13</v>
      </c>
      <c r="E12865" s="371">
        <v>904.95</v>
      </c>
      <c r="F12865" s="371">
        <v>3911.14</v>
      </c>
      <c r="G12865" s="371">
        <v>279.04000000000002</v>
      </c>
      <c r="H12865" s="372">
        <v>31712.06</v>
      </c>
      <c r="I12865" s="372">
        <v>10407.35</v>
      </c>
      <c r="J12865" s="372">
        <v>19709.36</v>
      </c>
      <c r="K12865" s="372">
        <v>1595.35</v>
      </c>
      <c r="L12865" s="43">
        <v>6.2239942847385645</v>
      </c>
      <c r="M12865" s="43">
        <v>11.500469639206585</v>
      </c>
      <c r="N12865" s="43">
        <v>5.0392877779880036</v>
      </c>
      <c r="O12865" s="43">
        <v>5.7172806766055038</v>
      </c>
      <c r="P12865" s="373"/>
      <c r="Q12865" s="373"/>
      <c r="R12865" s="373">
        <v>1</v>
      </c>
    </row>
    <row r="12866" spans="1:18" ht="12.75" customHeight="1">
      <c r="A12866" s="628" t="s">
        <v>23371</v>
      </c>
      <c r="B12866" s="629"/>
      <c r="C12866" s="629"/>
      <c r="D12866" s="629"/>
      <c r="E12866" s="629"/>
      <c r="F12866" s="629"/>
      <c r="G12866" s="629"/>
      <c r="H12866" s="629"/>
      <c r="I12866" s="629"/>
      <c r="J12866" s="629"/>
      <c r="K12866" s="629"/>
      <c r="L12866" s="629"/>
      <c r="M12866" s="629"/>
      <c r="N12866" s="629"/>
      <c r="O12866" s="629"/>
      <c r="P12866" s="629"/>
      <c r="Q12866" s="629"/>
      <c r="R12866" s="629"/>
    </row>
    <row r="12867" spans="1:18" ht="24">
      <c r="A12867" s="369">
        <v>8</v>
      </c>
      <c r="B12867" s="366" t="s">
        <v>23372</v>
      </c>
      <c r="C12867" s="370" t="s">
        <v>23373</v>
      </c>
      <c r="D12867" s="371">
        <v>1931.62</v>
      </c>
      <c r="E12867" s="371">
        <v>554.85</v>
      </c>
      <c r="F12867" s="371">
        <v>1334.65</v>
      </c>
      <c r="G12867" s="371">
        <v>42.12</v>
      </c>
      <c r="H12867" s="372">
        <v>13702.86</v>
      </c>
      <c r="I12867" s="372">
        <v>6381.04</v>
      </c>
      <c r="J12867" s="372">
        <v>7080.22</v>
      </c>
      <c r="K12867" s="372">
        <v>241.6</v>
      </c>
      <c r="L12867" s="43">
        <v>7.0939729346351772</v>
      </c>
      <c r="M12867" s="43">
        <v>11.500477606560331</v>
      </c>
      <c r="N12867" s="43">
        <v>5.3049263851946202</v>
      </c>
      <c r="O12867" s="43">
        <v>5.7359924026590692</v>
      </c>
      <c r="P12867" s="373"/>
      <c r="Q12867" s="373"/>
      <c r="R12867" s="373">
        <v>2</v>
      </c>
    </row>
    <row r="12868" spans="1:18" ht="24">
      <c r="A12868" s="369">
        <v>9</v>
      </c>
      <c r="B12868" s="366" t="s">
        <v>23374</v>
      </c>
      <c r="C12868" s="370" t="s">
        <v>23375</v>
      </c>
      <c r="D12868" s="371">
        <v>1650.92</v>
      </c>
      <c r="E12868" s="371">
        <v>412.03</v>
      </c>
      <c r="F12868" s="371">
        <v>1190.55</v>
      </c>
      <c r="G12868" s="371">
        <v>48.34</v>
      </c>
      <c r="H12868" s="372">
        <v>11326.96</v>
      </c>
      <c r="I12868" s="372">
        <v>4738.54</v>
      </c>
      <c r="J12868" s="372">
        <v>6346.32</v>
      </c>
      <c r="K12868" s="372">
        <v>242.1</v>
      </c>
      <c r="L12868" s="43">
        <v>6.8609987158675159</v>
      </c>
      <c r="M12868" s="43">
        <v>11.50047326650972</v>
      </c>
      <c r="N12868" s="43">
        <v>5.3305783041451429</v>
      </c>
      <c r="O12868" s="43">
        <v>5.008274720728175</v>
      </c>
      <c r="P12868" s="373"/>
      <c r="Q12868" s="373"/>
      <c r="R12868" s="373">
        <v>2</v>
      </c>
    </row>
    <row r="12869" spans="1:18" ht="12.75" customHeight="1">
      <c r="A12869" s="628" t="s">
        <v>23376</v>
      </c>
      <c r="B12869" s="629"/>
      <c r="C12869" s="629"/>
      <c r="D12869" s="629"/>
      <c r="E12869" s="629"/>
      <c r="F12869" s="629"/>
      <c r="G12869" s="629"/>
      <c r="H12869" s="629"/>
      <c r="I12869" s="629"/>
      <c r="J12869" s="629"/>
      <c r="K12869" s="629"/>
      <c r="L12869" s="629"/>
      <c r="M12869" s="629"/>
      <c r="N12869" s="629"/>
      <c r="O12869" s="629"/>
      <c r="P12869" s="629"/>
      <c r="Q12869" s="629"/>
      <c r="R12869" s="629"/>
    </row>
    <row r="12870" spans="1:18" ht="24">
      <c r="A12870" s="369">
        <v>10</v>
      </c>
      <c r="B12870" s="366" t="s">
        <v>23377</v>
      </c>
      <c r="C12870" s="370" t="s">
        <v>23378</v>
      </c>
      <c r="D12870" s="371">
        <v>3188.68</v>
      </c>
      <c r="E12870" s="371">
        <v>999.52</v>
      </c>
      <c r="F12870" s="371">
        <v>2036.2</v>
      </c>
      <c r="G12870" s="371">
        <v>152.96</v>
      </c>
      <c r="H12870" s="372">
        <v>22661.38</v>
      </c>
      <c r="I12870" s="372">
        <v>11494.86</v>
      </c>
      <c r="J12870" s="372">
        <v>10227.39</v>
      </c>
      <c r="K12870" s="372">
        <v>939.13</v>
      </c>
      <c r="L12870" s="43">
        <v>7.106821631521508</v>
      </c>
      <c r="M12870" s="43">
        <v>11.500380182487595</v>
      </c>
      <c r="N12870" s="43">
        <v>5.0227826343188289</v>
      </c>
      <c r="O12870" s="43">
        <v>6.1397097280334725</v>
      </c>
      <c r="P12870" s="373"/>
      <c r="Q12870" s="373"/>
      <c r="R12870" s="373">
        <v>3</v>
      </c>
    </row>
    <row r="12871" spans="1:18" ht="24">
      <c r="A12871" s="369">
        <v>11</v>
      </c>
      <c r="B12871" s="366" t="s">
        <v>23379</v>
      </c>
      <c r="C12871" s="370" t="s">
        <v>23380</v>
      </c>
      <c r="D12871" s="371">
        <v>3497.96</v>
      </c>
      <c r="E12871" s="371">
        <v>879.9</v>
      </c>
      <c r="F12871" s="371">
        <v>2413.35</v>
      </c>
      <c r="G12871" s="371">
        <v>204.71</v>
      </c>
      <c r="H12871" s="372">
        <v>23160.76</v>
      </c>
      <c r="I12871" s="372">
        <v>10119.280000000001</v>
      </c>
      <c r="J12871" s="372">
        <v>12066.36</v>
      </c>
      <c r="K12871" s="372">
        <v>975.12</v>
      </c>
      <c r="L12871" s="43">
        <v>6.6212192249196669</v>
      </c>
      <c r="M12871" s="43">
        <v>11.500488691896807</v>
      </c>
      <c r="N12871" s="43">
        <v>4.9998383989060855</v>
      </c>
      <c r="O12871" s="43">
        <v>4.7634214254310976</v>
      </c>
      <c r="P12871" s="373"/>
      <c r="Q12871" s="373"/>
      <c r="R12871" s="373">
        <v>3</v>
      </c>
    </row>
    <row r="12872" spans="1:18" ht="12.75" customHeight="1">
      <c r="A12872" s="628" t="s">
        <v>23381</v>
      </c>
      <c r="B12872" s="629"/>
      <c r="C12872" s="629"/>
      <c r="D12872" s="629"/>
      <c r="E12872" s="629"/>
      <c r="F12872" s="629"/>
      <c r="G12872" s="629"/>
      <c r="H12872" s="629"/>
      <c r="I12872" s="629"/>
      <c r="J12872" s="629"/>
      <c r="K12872" s="629"/>
      <c r="L12872" s="629"/>
      <c r="M12872" s="629"/>
      <c r="N12872" s="629"/>
      <c r="O12872" s="629"/>
      <c r="P12872" s="629"/>
      <c r="Q12872" s="629"/>
      <c r="R12872" s="629"/>
    </row>
    <row r="12873" spans="1:18" ht="24">
      <c r="A12873" s="369">
        <v>12</v>
      </c>
      <c r="B12873" s="366" t="s">
        <v>23382</v>
      </c>
      <c r="C12873" s="370" t="s">
        <v>23383</v>
      </c>
      <c r="D12873" s="371">
        <v>1809.4</v>
      </c>
      <c r="E12873" s="371">
        <v>460.02</v>
      </c>
      <c r="F12873" s="371">
        <v>1285.73</v>
      </c>
      <c r="G12873" s="371">
        <v>63.65</v>
      </c>
      <c r="H12873" s="372">
        <v>12043.13</v>
      </c>
      <c r="I12873" s="372">
        <v>5290.39</v>
      </c>
      <c r="J12873" s="372">
        <v>6446.61</v>
      </c>
      <c r="K12873" s="372">
        <v>306.13</v>
      </c>
      <c r="L12873" s="43">
        <v>6.6558693489554539</v>
      </c>
      <c r="M12873" s="43">
        <v>11.500347810964742</v>
      </c>
      <c r="N12873" s="43">
        <v>5.0139687181601111</v>
      </c>
      <c r="O12873" s="43">
        <v>4.8095836606441473</v>
      </c>
      <c r="P12873" s="373"/>
      <c r="Q12873" s="373"/>
      <c r="R12873" s="373">
        <v>4</v>
      </c>
    </row>
    <row r="12874" spans="1:18" ht="24">
      <c r="A12874" s="369">
        <v>13</v>
      </c>
      <c r="B12874" s="366" t="s">
        <v>23384</v>
      </c>
      <c r="C12874" s="370" t="s">
        <v>23385</v>
      </c>
      <c r="D12874" s="371">
        <v>1961.98</v>
      </c>
      <c r="E12874" s="371">
        <v>432.48</v>
      </c>
      <c r="F12874" s="371">
        <v>1183.56</v>
      </c>
      <c r="G12874" s="371">
        <v>345.94</v>
      </c>
      <c r="H12874" s="372">
        <v>12359.7</v>
      </c>
      <c r="I12874" s="372">
        <v>4973.75</v>
      </c>
      <c r="J12874" s="372">
        <v>5909.44</v>
      </c>
      <c r="K12874" s="372">
        <v>1476.51</v>
      </c>
      <c r="L12874" s="43">
        <v>6.2996055005657556</v>
      </c>
      <c r="M12874" s="43">
        <v>11.500531816500185</v>
      </c>
      <c r="N12874" s="43">
        <v>4.9929365642637462</v>
      </c>
      <c r="O12874" s="43">
        <v>4.2681100768919462</v>
      </c>
      <c r="P12874" s="373"/>
      <c r="Q12874" s="373"/>
      <c r="R12874" s="373">
        <v>4</v>
      </c>
    </row>
    <row r="12875" spans="1:18" ht="24">
      <c r="A12875" s="369">
        <v>14</v>
      </c>
      <c r="B12875" s="366" t="s">
        <v>23386</v>
      </c>
      <c r="C12875" s="370" t="s">
        <v>23387</v>
      </c>
      <c r="D12875" s="371">
        <v>2874.05</v>
      </c>
      <c r="E12875" s="371">
        <v>572.20000000000005</v>
      </c>
      <c r="F12875" s="371">
        <v>2245.0300000000002</v>
      </c>
      <c r="G12875" s="371">
        <v>56.82</v>
      </c>
      <c r="H12875" s="372">
        <v>18101.560000000001</v>
      </c>
      <c r="I12875" s="372">
        <v>6580.57</v>
      </c>
      <c r="J12875" s="372">
        <v>11222.48</v>
      </c>
      <c r="K12875" s="372">
        <v>298.51</v>
      </c>
      <c r="L12875" s="43">
        <v>6.2982759520537224</v>
      </c>
      <c r="M12875" s="43">
        <v>11.500471862984968</v>
      </c>
      <c r="N12875" s="43">
        <v>4.9988107063157274</v>
      </c>
      <c r="O12875" s="43">
        <v>5.2536078845476943</v>
      </c>
      <c r="P12875" s="373"/>
      <c r="Q12875" s="373"/>
      <c r="R12875" s="373">
        <v>4</v>
      </c>
    </row>
    <row r="12876" spans="1:18" ht="24">
      <c r="A12876" s="369">
        <v>15</v>
      </c>
      <c r="B12876" s="366" t="s">
        <v>23388</v>
      </c>
      <c r="C12876" s="370" t="s">
        <v>23389</v>
      </c>
      <c r="D12876" s="371">
        <v>2880.98</v>
      </c>
      <c r="E12876" s="371">
        <v>530.15</v>
      </c>
      <c r="F12876" s="371">
        <v>1750.82</v>
      </c>
      <c r="G12876" s="371">
        <v>600.01</v>
      </c>
      <c r="H12876" s="372">
        <v>19521.18</v>
      </c>
      <c r="I12876" s="372">
        <v>6096.94</v>
      </c>
      <c r="J12876" s="372">
        <v>9833.91</v>
      </c>
      <c r="K12876" s="372">
        <v>3590.33</v>
      </c>
      <c r="L12876" s="43">
        <v>6.7758818179924889</v>
      </c>
      <c r="M12876" s="43">
        <v>11.500405545600302</v>
      </c>
      <c r="N12876" s="43">
        <v>5.6167452964896452</v>
      </c>
      <c r="O12876" s="43">
        <v>5.9837836036066063</v>
      </c>
      <c r="P12876" s="373"/>
      <c r="Q12876" s="373"/>
      <c r="R12876" s="373">
        <v>4</v>
      </c>
    </row>
    <row r="12877" spans="1:18" ht="12.75" customHeight="1">
      <c r="A12877" s="628" t="s">
        <v>23390</v>
      </c>
      <c r="B12877" s="629"/>
      <c r="C12877" s="629"/>
      <c r="D12877" s="629"/>
      <c r="E12877" s="629"/>
      <c r="F12877" s="629"/>
      <c r="G12877" s="629"/>
      <c r="H12877" s="629"/>
      <c r="I12877" s="629"/>
      <c r="J12877" s="629"/>
      <c r="K12877" s="629"/>
      <c r="L12877" s="629"/>
      <c r="M12877" s="629"/>
      <c r="N12877" s="629"/>
      <c r="O12877" s="629"/>
      <c r="P12877" s="629"/>
      <c r="Q12877" s="629"/>
      <c r="R12877" s="629"/>
    </row>
    <row r="12878" spans="1:18" ht="24">
      <c r="A12878" s="369">
        <v>16</v>
      </c>
      <c r="B12878" s="366" t="s">
        <v>23391</v>
      </c>
      <c r="C12878" s="370" t="s">
        <v>23392</v>
      </c>
      <c r="D12878" s="371">
        <v>2148.7800000000002</v>
      </c>
      <c r="E12878" s="371">
        <v>725.53</v>
      </c>
      <c r="F12878" s="371">
        <v>1339.16</v>
      </c>
      <c r="G12878" s="371">
        <v>84.09</v>
      </c>
      <c r="H12878" s="372">
        <v>15473.92</v>
      </c>
      <c r="I12878" s="372">
        <v>8343.64</v>
      </c>
      <c r="J12878" s="372">
        <v>6707.43</v>
      </c>
      <c r="K12878" s="372">
        <v>422.85</v>
      </c>
      <c r="L12878" s="43">
        <v>7.2012583884809045</v>
      </c>
      <c r="M12878" s="43">
        <v>11.500062023624109</v>
      </c>
      <c r="N12878" s="43">
        <v>5.0086845485229547</v>
      </c>
      <c r="O12878" s="43">
        <v>5.0285408490902608</v>
      </c>
      <c r="P12878" s="373"/>
      <c r="Q12878" s="373"/>
      <c r="R12878" s="373">
        <v>5</v>
      </c>
    </row>
    <row r="12879" spans="1:18" ht="24">
      <c r="A12879" s="369">
        <v>17</v>
      </c>
      <c r="B12879" s="366" t="s">
        <v>23393</v>
      </c>
      <c r="C12879" s="370" t="s">
        <v>23394</v>
      </c>
      <c r="D12879" s="371">
        <v>2196.21</v>
      </c>
      <c r="E12879" s="371">
        <v>503.03</v>
      </c>
      <c r="F12879" s="371">
        <v>1469.93</v>
      </c>
      <c r="G12879" s="371">
        <v>223.25</v>
      </c>
      <c r="H12879" s="372">
        <v>14648.12</v>
      </c>
      <c r="I12879" s="372">
        <v>5785.09</v>
      </c>
      <c r="J12879" s="372">
        <v>7635.01</v>
      </c>
      <c r="K12879" s="372">
        <v>1228.02</v>
      </c>
      <c r="L12879" s="43">
        <v>6.669726483350864</v>
      </c>
      <c r="M12879" s="43">
        <v>11.500487048486175</v>
      </c>
      <c r="N12879" s="43">
        <v>5.1941316933459412</v>
      </c>
      <c r="O12879" s="43">
        <v>5.5006494960806274</v>
      </c>
      <c r="P12879" s="373"/>
      <c r="Q12879" s="373"/>
      <c r="R12879" s="373">
        <v>5</v>
      </c>
    </row>
    <row r="12880" spans="1:18" ht="12.75" customHeight="1">
      <c r="A12880" s="628" t="s">
        <v>23395</v>
      </c>
      <c r="B12880" s="629"/>
      <c r="C12880" s="629"/>
      <c r="D12880" s="629"/>
      <c r="E12880" s="629"/>
      <c r="F12880" s="629"/>
      <c r="G12880" s="629"/>
      <c r="H12880" s="629"/>
      <c r="I12880" s="629"/>
      <c r="J12880" s="629"/>
      <c r="K12880" s="629"/>
      <c r="L12880" s="629"/>
      <c r="M12880" s="629"/>
      <c r="N12880" s="629"/>
      <c r="O12880" s="629"/>
      <c r="P12880" s="629"/>
      <c r="Q12880" s="629"/>
      <c r="R12880" s="629"/>
    </row>
    <row r="12881" spans="1:18" ht="12.75" customHeight="1">
      <c r="A12881" s="628" t="s">
        <v>23396</v>
      </c>
      <c r="B12881" s="629"/>
      <c r="C12881" s="629"/>
      <c r="D12881" s="629"/>
      <c r="E12881" s="629"/>
      <c r="F12881" s="629"/>
      <c r="G12881" s="629"/>
      <c r="H12881" s="629"/>
      <c r="I12881" s="629"/>
      <c r="J12881" s="629"/>
      <c r="K12881" s="629"/>
      <c r="L12881" s="629"/>
      <c r="M12881" s="629"/>
      <c r="N12881" s="629"/>
      <c r="O12881" s="629"/>
      <c r="P12881" s="629"/>
      <c r="Q12881" s="629"/>
      <c r="R12881" s="629"/>
    </row>
    <row r="12882" spans="1:18" ht="24">
      <c r="A12882" s="369">
        <v>18</v>
      </c>
      <c r="B12882" s="366" t="s">
        <v>23397</v>
      </c>
      <c r="C12882" s="370" t="s">
        <v>23398</v>
      </c>
      <c r="D12882" s="371">
        <v>1423.24</v>
      </c>
      <c r="E12882" s="371">
        <v>813.86</v>
      </c>
      <c r="F12882" s="371">
        <v>494.05</v>
      </c>
      <c r="G12882" s="371">
        <v>115.33</v>
      </c>
      <c r="H12882" s="372">
        <v>12742.13</v>
      </c>
      <c r="I12882" s="372">
        <v>9359.7099999999991</v>
      </c>
      <c r="J12882" s="372">
        <v>2639.7</v>
      </c>
      <c r="K12882" s="372">
        <v>742.72</v>
      </c>
      <c r="L12882" s="43">
        <v>8.9529032348725437</v>
      </c>
      <c r="M12882" s="43">
        <v>11.500393188017593</v>
      </c>
      <c r="N12882" s="43">
        <v>5.3429814796073263</v>
      </c>
      <c r="O12882" s="43">
        <v>6.4399549119916761</v>
      </c>
      <c r="P12882" s="373"/>
      <c r="Q12882" s="373"/>
      <c r="R12882" s="373">
        <v>1</v>
      </c>
    </row>
    <row r="12883" spans="1:18" ht="12.75" customHeight="1">
      <c r="A12883" s="628" t="s">
        <v>23399</v>
      </c>
      <c r="B12883" s="629"/>
      <c r="C12883" s="629"/>
      <c r="D12883" s="629"/>
      <c r="E12883" s="629"/>
      <c r="F12883" s="629"/>
      <c r="G12883" s="629"/>
      <c r="H12883" s="629"/>
      <c r="I12883" s="629"/>
      <c r="J12883" s="629"/>
      <c r="K12883" s="629"/>
      <c r="L12883" s="629"/>
      <c r="M12883" s="629"/>
      <c r="N12883" s="629"/>
      <c r="O12883" s="629"/>
      <c r="P12883" s="629"/>
      <c r="Q12883" s="629"/>
      <c r="R12883" s="629"/>
    </row>
    <row r="12884" spans="1:18" ht="24">
      <c r="A12884" s="369">
        <v>19</v>
      </c>
      <c r="B12884" s="366" t="s">
        <v>23400</v>
      </c>
      <c r="C12884" s="370" t="s">
        <v>23401</v>
      </c>
      <c r="D12884" s="371">
        <v>1089.2</v>
      </c>
      <c r="E12884" s="371">
        <v>309.31</v>
      </c>
      <c r="F12884" s="371">
        <v>598.24</v>
      </c>
      <c r="G12884" s="371">
        <v>181.65</v>
      </c>
      <c r="H12884" s="372">
        <v>7149.08</v>
      </c>
      <c r="I12884" s="372">
        <v>3557.21</v>
      </c>
      <c r="J12884" s="372">
        <v>2875.16</v>
      </c>
      <c r="K12884" s="372">
        <v>716.71</v>
      </c>
      <c r="L12884" s="43">
        <v>6.5636063165626144</v>
      </c>
      <c r="M12884" s="43">
        <v>11.500468785360965</v>
      </c>
      <c r="N12884" s="43">
        <v>4.8060310243380577</v>
      </c>
      <c r="O12884" s="43">
        <v>3.9455546380401874</v>
      </c>
      <c r="P12884" s="373"/>
      <c r="Q12884" s="373"/>
      <c r="R12884" s="373">
        <v>2</v>
      </c>
    </row>
    <row r="12885" spans="1:18" ht="12.75" customHeight="1">
      <c r="A12885" s="628" t="s">
        <v>23402</v>
      </c>
      <c r="B12885" s="629"/>
      <c r="C12885" s="629"/>
      <c r="D12885" s="629"/>
      <c r="E12885" s="629"/>
      <c r="F12885" s="629"/>
      <c r="G12885" s="629"/>
      <c r="H12885" s="629"/>
      <c r="I12885" s="629"/>
      <c r="J12885" s="629"/>
      <c r="K12885" s="629"/>
      <c r="L12885" s="629"/>
      <c r="M12885" s="629"/>
      <c r="N12885" s="629"/>
      <c r="O12885" s="629"/>
      <c r="P12885" s="629"/>
      <c r="Q12885" s="629"/>
      <c r="R12885" s="629"/>
    </row>
    <row r="12886" spans="1:18" ht="12.75" customHeight="1">
      <c r="A12886" s="628" t="s">
        <v>23403</v>
      </c>
      <c r="B12886" s="629"/>
      <c r="C12886" s="629"/>
      <c r="D12886" s="629"/>
      <c r="E12886" s="629"/>
      <c r="F12886" s="629"/>
      <c r="G12886" s="629"/>
      <c r="H12886" s="629"/>
      <c r="I12886" s="629"/>
      <c r="J12886" s="629"/>
      <c r="K12886" s="629"/>
      <c r="L12886" s="629"/>
      <c r="M12886" s="629"/>
      <c r="N12886" s="629"/>
      <c r="O12886" s="629"/>
      <c r="P12886" s="629"/>
      <c r="Q12886" s="629"/>
      <c r="R12886" s="629"/>
    </row>
    <row r="12887" spans="1:18" ht="24">
      <c r="A12887" s="369">
        <v>20</v>
      </c>
      <c r="B12887" s="366" t="s">
        <v>23404</v>
      </c>
      <c r="C12887" s="370" t="s">
        <v>23405</v>
      </c>
      <c r="D12887" s="371">
        <v>2407.39</v>
      </c>
      <c r="E12887" s="371">
        <v>618.74</v>
      </c>
      <c r="F12887" s="371">
        <v>1736.39</v>
      </c>
      <c r="G12887" s="371">
        <v>52.26</v>
      </c>
      <c r="H12887" s="372">
        <v>16742.57</v>
      </c>
      <c r="I12887" s="372">
        <v>7115.74</v>
      </c>
      <c r="J12887" s="372">
        <v>9271.7999999999993</v>
      </c>
      <c r="K12887" s="372">
        <v>355.03</v>
      </c>
      <c r="L12887" s="43">
        <v>6.9546562875146947</v>
      </c>
      <c r="M12887" s="43">
        <v>11.500371723179365</v>
      </c>
      <c r="N12887" s="43">
        <v>5.3396990307476999</v>
      </c>
      <c r="O12887" s="43">
        <v>6.7935323383084576</v>
      </c>
      <c r="P12887" s="373"/>
      <c r="Q12887" s="373"/>
      <c r="R12887" s="373">
        <v>1</v>
      </c>
    </row>
    <row r="12888" spans="1:18" ht="12.75" customHeight="1">
      <c r="A12888" s="628" t="s">
        <v>23406</v>
      </c>
      <c r="B12888" s="629"/>
      <c r="C12888" s="629"/>
      <c r="D12888" s="629"/>
      <c r="E12888" s="629"/>
      <c r="F12888" s="629"/>
      <c r="G12888" s="629"/>
      <c r="H12888" s="629"/>
      <c r="I12888" s="629"/>
      <c r="J12888" s="629"/>
      <c r="K12888" s="629"/>
      <c r="L12888" s="629"/>
      <c r="M12888" s="629"/>
      <c r="N12888" s="629"/>
      <c r="O12888" s="629"/>
      <c r="P12888" s="629"/>
      <c r="Q12888" s="629"/>
      <c r="R12888" s="629"/>
    </row>
    <row r="12889" spans="1:18" ht="24">
      <c r="A12889" s="369">
        <v>21</v>
      </c>
      <c r="B12889" s="366" t="s">
        <v>23407</v>
      </c>
      <c r="C12889" s="370" t="s">
        <v>23408</v>
      </c>
      <c r="D12889" s="371">
        <v>2615.0100000000002</v>
      </c>
      <c r="E12889" s="371">
        <v>812.8</v>
      </c>
      <c r="F12889" s="371">
        <v>1724.68</v>
      </c>
      <c r="G12889" s="371">
        <v>77.53</v>
      </c>
      <c r="H12889" s="372">
        <v>17907.61</v>
      </c>
      <c r="I12889" s="372">
        <v>9347.58</v>
      </c>
      <c r="J12889" s="372">
        <v>8147.8</v>
      </c>
      <c r="K12889" s="372">
        <v>412.23</v>
      </c>
      <c r="L12889" s="43">
        <v>6.8480082294140363</v>
      </c>
      <c r="M12889" s="43">
        <v>11.50046751968504</v>
      </c>
      <c r="N12889" s="43">
        <v>4.7242386993529237</v>
      </c>
      <c r="O12889" s="43">
        <v>5.3170385657164969</v>
      </c>
      <c r="P12889" s="373"/>
      <c r="Q12889" s="373"/>
      <c r="R12889" s="373">
        <v>2</v>
      </c>
    </row>
    <row r="12890" spans="1:18" ht="24">
      <c r="A12890" s="369">
        <v>22</v>
      </c>
      <c r="B12890" s="366" t="s">
        <v>23409</v>
      </c>
      <c r="C12890" s="370" t="s">
        <v>23410</v>
      </c>
      <c r="D12890" s="371">
        <v>2421.2199999999998</v>
      </c>
      <c r="E12890" s="371">
        <v>683.77</v>
      </c>
      <c r="F12890" s="371">
        <v>1414.43</v>
      </c>
      <c r="G12890" s="371">
        <v>323.02</v>
      </c>
      <c r="H12890" s="372">
        <v>16744.84</v>
      </c>
      <c r="I12890" s="372">
        <v>7863.65</v>
      </c>
      <c r="J12890" s="372">
        <v>7127.54</v>
      </c>
      <c r="K12890" s="372">
        <v>1753.65</v>
      </c>
      <c r="L12890" s="43">
        <v>6.9158688595005833</v>
      </c>
      <c r="M12890" s="43">
        <v>11.500431431621744</v>
      </c>
      <c r="N12890" s="43">
        <v>5.0391606512870908</v>
      </c>
      <c r="O12890" s="43">
        <v>5.428920809856975</v>
      </c>
      <c r="P12890" s="373"/>
      <c r="Q12890" s="373"/>
      <c r="R12890" s="373">
        <v>2</v>
      </c>
    </row>
    <row r="12891" spans="1:18" ht="12.75" customHeight="1">
      <c r="A12891" s="628" t="s">
        <v>23411</v>
      </c>
      <c r="B12891" s="629"/>
      <c r="C12891" s="629"/>
      <c r="D12891" s="629"/>
      <c r="E12891" s="629"/>
      <c r="F12891" s="629"/>
      <c r="G12891" s="629"/>
      <c r="H12891" s="629"/>
      <c r="I12891" s="629"/>
      <c r="J12891" s="629"/>
      <c r="K12891" s="629"/>
      <c r="L12891" s="629"/>
      <c r="M12891" s="629"/>
      <c r="N12891" s="629"/>
      <c r="O12891" s="629"/>
      <c r="P12891" s="629"/>
      <c r="Q12891" s="629"/>
      <c r="R12891" s="629"/>
    </row>
    <row r="12892" spans="1:18" ht="24">
      <c r="A12892" s="369">
        <v>23</v>
      </c>
      <c r="B12892" s="366" t="s">
        <v>23412</v>
      </c>
      <c r="C12892" s="370" t="s">
        <v>23413</v>
      </c>
      <c r="D12892" s="371">
        <v>2641.02</v>
      </c>
      <c r="E12892" s="371">
        <v>425.82</v>
      </c>
      <c r="F12892" s="371">
        <v>2174.6</v>
      </c>
      <c r="G12892" s="371">
        <v>40.6</v>
      </c>
      <c r="H12892" s="372">
        <v>16865.2</v>
      </c>
      <c r="I12892" s="372">
        <v>4897.1099999999997</v>
      </c>
      <c r="J12892" s="372">
        <v>11698.99</v>
      </c>
      <c r="K12892" s="372">
        <v>269.10000000000002</v>
      </c>
      <c r="L12892" s="43">
        <v>6.3858660668983953</v>
      </c>
      <c r="M12892" s="43">
        <v>11.500422713822742</v>
      </c>
      <c r="N12892" s="43">
        <v>5.3798353720224412</v>
      </c>
      <c r="O12892" s="43">
        <v>6.6280788177339902</v>
      </c>
      <c r="P12892" s="373"/>
      <c r="Q12892" s="373"/>
      <c r="R12892" s="373">
        <v>3</v>
      </c>
    </row>
    <row r="12893" spans="1:18" ht="24">
      <c r="A12893" s="374">
        <v>24</v>
      </c>
      <c r="B12893" s="375" t="s">
        <v>23414</v>
      </c>
      <c r="C12893" s="376" t="s">
        <v>23415</v>
      </c>
      <c r="D12893" s="377">
        <v>2119.58</v>
      </c>
      <c r="E12893" s="377">
        <v>335.62</v>
      </c>
      <c r="F12893" s="377">
        <v>1734.47</v>
      </c>
      <c r="G12893" s="377">
        <v>49.49</v>
      </c>
      <c r="H12893" s="378">
        <v>13489.71</v>
      </c>
      <c r="I12893" s="378">
        <v>3859.81</v>
      </c>
      <c r="J12893" s="378">
        <v>9324.57</v>
      </c>
      <c r="K12893" s="378">
        <v>305.33</v>
      </c>
      <c r="L12893" s="611">
        <v>6.3643316128666996</v>
      </c>
      <c r="M12893" s="611">
        <v>11.500536320839045</v>
      </c>
      <c r="N12893" s="611">
        <v>5.3760341775873899</v>
      </c>
      <c r="O12893" s="611">
        <v>6.1695291978177407</v>
      </c>
      <c r="P12893" s="379"/>
      <c r="Q12893" s="379"/>
      <c r="R12893" s="379">
        <v>3</v>
      </c>
    </row>
    <row r="12894" spans="1:18" ht="12.75" customHeight="1">
      <c r="A12894" s="630" t="s">
        <v>23416</v>
      </c>
      <c r="B12894" s="631"/>
      <c r="C12894" s="631"/>
      <c r="D12894" s="631"/>
      <c r="E12894" s="631"/>
      <c r="F12894" s="631"/>
      <c r="G12894" s="631"/>
      <c r="H12894" s="631"/>
      <c r="I12894" s="631"/>
      <c r="J12894" s="631"/>
      <c r="K12894" s="631"/>
      <c r="L12894" s="631"/>
      <c r="M12894" s="631"/>
      <c r="N12894" s="631"/>
      <c r="O12894" s="631"/>
      <c r="P12894" s="631"/>
      <c r="Q12894" s="631"/>
      <c r="R12894" s="631"/>
    </row>
    <row r="12895" spans="1:18" ht="12.75" customHeight="1">
      <c r="A12895" s="628" t="s">
        <v>23417</v>
      </c>
      <c r="B12895" s="629"/>
      <c r="C12895" s="629"/>
      <c r="D12895" s="629"/>
      <c r="E12895" s="629"/>
      <c r="F12895" s="629"/>
      <c r="G12895" s="629"/>
      <c r="H12895" s="629"/>
      <c r="I12895" s="629"/>
      <c r="J12895" s="629"/>
      <c r="K12895" s="629"/>
      <c r="L12895" s="629"/>
      <c r="M12895" s="629"/>
      <c r="N12895" s="629"/>
      <c r="O12895" s="629"/>
      <c r="P12895" s="629"/>
      <c r="Q12895" s="629"/>
      <c r="R12895" s="629"/>
    </row>
    <row r="12896" spans="1:18" ht="12.75" customHeight="1">
      <c r="A12896" s="628" t="s">
        <v>23418</v>
      </c>
      <c r="B12896" s="629"/>
      <c r="C12896" s="629"/>
      <c r="D12896" s="629"/>
      <c r="E12896" s="629"/>
      <c r="F12896" s="629"/>
      <c r="G12896" s="629"/>
      <c r="H12896" s="629"/>
      <c r="I12896" s="629"/>
      <c r="J12896" s="629"/>
      <c r="K12896" s="629"/>
      <c r="L12896" s="629"/>
      <c r="M12896" s="629"/>
      <c r="N12896" s="629"/>
      <c r="O12896" s="629"/>
      <c r="P12896" s="629"/>
      <c r="Q12896" s="629"/>
      <c r="R12896" s="629"/>
    </row>
    <row r="12897" spans="1:18" ht="24">
      <c r="A12897" s="369">
        <v>25</v>
      </c>
      <c r="B12897" s="366" t="s">
        <v>23419</v>
      </c>
      <c r="C12897" s="370" t="s">
        <v>23420</v>
      </c>
      <c r="D12897" s="371">
        <v>4796.09</v>
      </c>
      <c r="E12897" s="371">
        <v>1093.25</v>
      </c>
      <c r="F12897" s="371">
        <v>2473.5</v>
      </c>
      <c r="G12897" s="371">
        <v>1229.3399999999999</v>
      </c>
      <c r="H12897" s="372">
        <v>33714.550000000003</v>
      </c>
      <c r="I12897" s="372">
        <v>12572.79</v>
      </c>
      <c r="J12897" s="372">
        <v>14728.97</v>
      </c>
      <c r="K12897" s="372">
        <v>6412.79</v>
      </c>
      <c r="L12897" s="43">
        <v>7.0295907708153935</v>
      </c>
      <c r="M12897" s="43">
        <v>11.50037960210382</v>
      </c>
      <c r="N12897" s="43">
        <v>5.9547079037800685</v>
      </c>
      <c r="O12897" s="43">
        <v>5.2164494769551144</v>
      </c>
      <c r="P12897" s="373"/>
      <c r="Q12897" s="373"/>
      <c r="R12897" s="373">
        <v>1</v>
      </c>
    </row>
    <row r="12898" spans="1:18" ht="24">
      <c r="A12898" s="369">
        <v>26</v>
      </c>
      <c r="B12898" s="366" t="s">
        <v>23421</v>
      </c>
      <c r="C12898" s="370" t="s">
        <v>23422</v>
      </c>
      <c r="D12898" s="371">
        <v>4575.45</v>
      </c>
      <c r="E12898" s="371">
        <v>946.9</v>
      </c>
      <c r="F12898" s="371">
        <v>2246.4499999999998</v>
      </c>
      <c r="G12898" s="371">
        <v>1382.1</v>
      </c>
      <c r="H12898" s="372">
        <v>31575.09</v>
      </c>
      <c r="I12898" s="372">
        <v>10889.8</v>
      </c>
      <c r="J12898" s="372">
        <v>13446.37</v>
      </c>
      <c r="K12898" s="372">
        <v>7238.92</v>
      </c>
      <c r="L12898" s="43">
        <v>6.9009802314526443</v>
      </c>
      <c r="M12898" s="43">
        <v>11.500475234977294</v>
      </c>
      <c r="N12898" s="43">
        <v>5.9856084043713427</v>
      </c>
      <c r="O12898" s="43">
        <v>5.237623905650822</v>
      </c>
      <c r="P12898" s="373"/>
      <c r="Q12898" s="373"/>
      <c r="R12898" s="373">
        <v>1</v>
      </c>
    </row>
    <row r="12899" spans="1:18" ht="12.75" customHeight="1">
      <c r="A12899" s="628" t="s">
        <v>23423</v>
      </c>
      <c r="B12899" s="629"/>
      <c r="C12899" s="629"/>
      <c r="D12899" s="629"/>
      <c r="E12899" s="629"/>
      <c r="F12899" s="629"/>
      <c r="G12899" s="629"/>
      <c r="H12899" s="629"/>
      <c r="I12899" s="629"/>
      <c r="J12899" s="629"/>
      <c r="K12899" s="629"/>
      <c r="L12899" s="629"/>
      <c r="M12899" s="629"/>
      <c r="N12899" s="629"/>
      <c r="O12899" s="629"/>
      <c r="P12899" s="629"/>
      <c r="Q12899" s="629"/>
      <c r="R12899" s="629"/>
    </row>
    <row r="12900" spans="1:18" ht="24">
      <c r="A12900" s="369">
        <v>27</v>
      </c>
      <c r="B12900" s="366" t="s">
        <v>23424</v>
      </c>
      <c r="C12900" s="370" t="s">
        <v>23425</v>
      </c>
      <c r="D12900" s="371">
        <v>1246.96</v>
      </c>
      <c r="E12900" s="371">
        <v>335.62</v>
      </c>
      <c r="F12900" s="371">
        <v>792.26</v>
      </c>
      <c r="G12900" s="371">
        <v>119.08</v>
      </c>
      <c r="H12900" s="372">
        <v>8567.11</v>
      </c>
      <c r="I12900" s="372">
        <v>3859.81</v>
      </c>
      <c r="J12900" s="372">
        <v>4217.5200000000004</v>
      </c>
      <c r="K12900" s="372">
        <v>489.78</v>
      </c>
      <c r="L12900" s="43">
        <v>6.8703968050298325</v>
      </c>
      <c r="M12900" s="43">
        <v>11.500536320839045</v>
      </c>
      <c r="N12900" s="43">
        <v>5.3234039330522815</v>
      </c>
      <c r="O12900" s="43">
        <v>4.1130332549546518</v>
      </c>
      <c r="P12900" s="373"/>
      <c r="Q12900" s="373"/>
      <c r="R12900" s="373">
        <v>2</v>
      </c>
    </row>
    <row r="12901" spans="1:18" ht="24">
      <c r="A12901" s="369">
        <v>28</v>
      </c>
      <c r="B12901" s="366" t="s">
        <v>23426</v>
      </c>
      <c r="C12901" s="370" t="s">
        <v>23427</v>
      </c>
      <c r="D12901" s="371">
        <v>866.82</v>
      </c>
      <c r="E12901" s="371">
        <v>273</v>
      </c>
      <c r="F12901" s="371">
        <v>375.08</v>
      </c>
      <c r="G12901" s="371">
        <v>218.74</v>
      </c>
      <c r="H12901" s="372">
        <v>6246.25</v>
      </c>
      <c r="I12901" s="372">
        <v>3139.65</v>
      </c>
      <c r="J12901" s="372">
        <v>2056.16</v>
      </c>
      <c r="K12901" s="372">
        <v>1050.44</v>
      </c>
      <c r="L12901" s="43">
        <v>7.2059366419787265</v>
      </c>
      <c r="M12901" s="43">
        <v>11.500549450549451</v>
      </c>
      <c r="N12901" s="43">
        <v>5.4819238562440011</v>
      </c>
      <c r="O12901" s="43">
        <v>4.8022309591295604</v>
      </c>
      <c r="P12901" s="373"/>
      <c r="Q12901" s="373"/>
      <c r="R12901" s="373">
        <v>2</v>
      </c>
    </row>
    <row r="12902" spans="1:18" ht="24">
      <c r="A12902" s="369">
        <v>29</v>
      </c>
      <c r="B12902" s="366" t="s">
        <v>23428</v>
      </c>
      <c r="C12902" s="370" t="s">
        <v>23429</v>
      </c>
      <c r="D12902" s="371">
        <v>1788.97</v>
      </c>
      <c r="E12902" s="371">
        <v>468.91</v>
      </c>
      <c r="F12902" s="371">
        <v>1067.1600000000001</v>
      </c>
      <c r="G12902" s="371">
        <v>252.9</v>
      </c>
      <c r="H12902" s="372">
        <v>11945.79</v>
      </c>
      <c r="I12902" s="372">
        <v>5392.63</v>
      </c>
      <c r="J12902" s="372">
        <v>5283.75</v>
      </c>
      <c r="K12902" s="372">
        <v>1269.4100000000001</v>
      </c>
      <c r="L12902" s="43">
        <v>6.6774680402689821</v>
      </c>
      <c r="M12902" s="43">
        <v>11.500351879891664</v>
      </c>
      <c r="N12902" s="43">
        <v>4.9512256831215558</v>
      </c>
      <c r="O12902" s="43">
        <v>5.0194147884539344</v>
      </c>
      <c r="P12902" s="373"/>
      <c r="Q12902" s="373"/>
      <c r="R12902" s="373">
        <v>2</v>
      </c>
    </row>
    <row r="12903" spans="1:18" ht="12.75" customHeight="1">
      <c r="A12903" s="628" t="s">
        <v>23430</v>
      </c>
      <c r="B12903" s="629"/>
      <c r="C12903" s="629"/>
      <c r="D12903" s="629"/>
      <c r="E12903" s="629"/>
      <c r="F12903" s="629"/>
      <c r="G12903" s="629"/>
      <c r="H12903" s="629"/>
      <c r="I12903" s="629"/>
      <c r="J12903" s="629"/>
      <c r="K12903" s="629"/>
      <c r="L12903" s="629"/>
      <c r="M12903" s="629"/>
      <c r="N12903" s="629"/>
      <c r="O12903" s="629"/>
      <c r="P12903" s="629"/>
      <c r="Q12903" s="629"/>
      <c r="R12903" s="629"/>
    </row>
    <row r="12904" spans="1:18" ht="12.75" customHeight="1">
      <c r="A12904" s="628" t="s">
        <v>23431</v>
      </c>
      <c r="B12904" s="629"/>
      <c r="C12904" s="629"/>
      <c r="D12904" s="629"/>
      <c r="E12904" s="629"/>
      <c r="F12904" s="629"/>
      <c r="G12904" s="629"/>
      <c r="H12904" s="629"/>
      <c r="I12904" s="629"/>
      <c r="J12904" s="629"/>
      <c r="K12904" s="629"/>
      <c r="L12904" s="629"/>
      <c r="M12904" s="629"/>
      <c r="N12904" s="629"/>
      <c r="O12904" s="629"/>
      <c r="P12904" s="629"/>
      <c r="Q12904" s="629"/>
      <c r="R12904" s="629"/>
    </row>
    <row r="12905" spans="1:18" ht="24">
      <c r="A12905" s="369">
        <v>30</v>
      </c>
      <c r="B12905" s="366" t="s">
        <v>23432</v>
      </c>
      <c r="C12905" s="370" t="s">
        <v>23433</v>
      </c>
      <c r="D12905" s="371">
        <v>1168.6600000000001</v>
      </c>
      <c r="E12905" s="371">
        <v>534.97</v>
      </c>
      <c r="F12905" s="371">
        <v>230.76</v>
      </c>
      <c r="G12905" s="371">
        <v>402.93</v>
      </c>
      <c r="H12905" s="372">
        <v>9445.4599999999991</v>
      </c>
      <c r="I12905" s="372">
        <v>6152.44</v>
      </c>
      <c r="J12905" s="372">
        <v>1203.0999999999999</v>
      </c>
      <c r="K12905" s="372">
        <v>2089.92</v>
      </c>
      <c r="L12905" s="43">
        <v>8.0822993856211376</v>
      </c>
      <c r="M12905" s="43">
        <v>11.500532740153652</v>
      </c>
      <c r="N12905" s="43">
        <v>5.2136418790084935</v>
      </c>
      <c r="O12905" s="43">
        <v>5.1868066413520957</v>
      </c>
      <c r="P12905" s="373"/>
      <c r="Q12905" s="373"/>
      <c r="R12905" s="373">
        <v>1</v>
      </c>
    </row>
    <row r="12906" spans="1:18" ht="24">
      <c r="A12906" s="369">
        <v>31</v>
      </c>
      <c r="B12906" s="366" t="s">
        <v>23434</v>
      </c>
      <c r="C12906" s="370" t="s">
        <v>23435</v>
      </c>
      <c r="D12906" s="371">
        <v>1262.1099999999999</v>
      </c>
      <c r="E12906" s="371">
        <v>525.44000000000005</v>
      </c>
      <c r="F12906" s="371">
        <v>465.35</v>
      </c>
      <c r="G12906" s="371">
        <v>271.32</v>
      </c>
      <c r="H12906" s="372">
        <v>9699.51</v>
      </c>
      <c r="I12906" s="372">
        <v>6042.76</v>
      </c>
      <c r="J12906" s="372">
        <v>2437.85</v>
      </c>
      <c r="K12906" s="372">
        <v>1218.9000000000001</v>
      </c>
      <c r="L12906" s="43">
        <v>7.6851542258598702</v>
      </c>
      <c r="M12906" s="43">
        <v>11.500380633373933</v>
      </c>
      <c r="N12906" s="43">
        <v>5.2387450306221117</v>
      </c>
      <c r="O12906" s="43">
        <v>4.492481203007519</v>
      </c>
      <c r="P12906" s="373"/>
      <c r="Q12906" s="373"/>
      <c r="R12906" s="373">
        <v>1</v>
      </c>
    </row>
    <row r="12907" spans="1:18" ht="12.75" customHeight="1">
      <c r="A12907" s="628" t="s">
        <v>23436</v>
      </c>
      <c r="B12907" s="629"/>
      <c r="C12907" s="629"/>
      <c r="D12907" s="629"/>
      <c r="E12907" s="629"/>
      <c r="F12907" s="629"/>
      <c r="G12907" s="629"/>
      <c r="H12907" s="629"/>
      <c r="I12907" s="629"/>
      <c r="J12907" s="629"/>
      <c r="K12907" s="629"/>
      <c r="L12907" s="629"/>
      <c r="M12907" s="629"/>
      <c r="N12907" s="629"/>
      <c r="O12907" s="629"/>
      <c r="P12907" s="629"/>
      <c r="Q12907" s="629"/>
      <c r="R12907" s="629"/>
    </row>
    <row r="12908" spans="1:18" ht="12.75" customHeight="1">
      <c r="A12908" s="628" t="s">
        <v>23437</v>
      </c>
      <c r="B12908" s="629"/>
      <c r="C12908" s="629"/>
      <c r="D12908" s="629"/>
      <c r="E12908" s="629"/>
      <c r="F12908" s="629"/>
      <c r="G12908" s="629"/>
      <c r="H12908" s="629"/>
      <c r="I12908" s="629"/>
      <c r="J12908" s="629"/>
      <c r="K12908" s="629"/>
      <c r="L12908" s="629"/>
      <c r="M12908" s="629"/>
      <c r="N12908" s="629"/>
      <c r="O12908" s="629"/>
      <c r="P12908" s="629"/>
      <c r="Q12908" s="629"/>
      <c r="R12908" s="629"/>
    </row>
    <row r="12909" spans="1:18" ht="24">
      <c r="A12909" s="369">
        <v>32</v>
      </c>
      <c r="B12909" s="366" t="s">
        <v>23438</v>
      </c>
      <c r="C12909" s="370" t="s">
        <v>23439</v>
      </c>
      <c r="D12909" s="371">
        <v>3540.92</v>
      </c>
      <c r="E12909" s="371">
        <v>773.97</v>
      </c>
      <c r="F12909" s="371">
        <v>2261.09</v>
      </c>
      <c r="G12909" s="371">
        <v>505.86</v>
      </c>
      <c r="H12909" s="372">
        <v>23215.42</v>
      </c>
      <c r="I12909" s="372">
        <v>8900.9500000000007</v>
      </c>
      <c r="J12909" s="372">
        <v>11476.42</v>
      </c>
      <c r="K12909" s="372">
        <v>2838.05</v>
      </c>
      <c r="L12909" s="43">
        <v>6.5563243450854571</v>
      </c>
      <c r="M12909" s="43">
        <v>11.500381151724227</v>
      </c>
      <c r="N12909" s="43">
        <v>5.075613973791401</v>
      </c>
      <c r="O12909" s="43">
        <v>5.6103467362511372</v>
      </c>
      <c r="P12909" s="373"/>
      <c r="Q12909" s="373"/>
      <c r="R12909" s="373">
        <v>1</v>
      </c>
    </row>
    <row r="12910" spans="1:18" ht="12.75" customHeight="1">
      <c r="A12910" s="628" t="s">
        <v>23440</v>
      </c>
      <c r="B12910" s="629"/>
      <c r="C12910" s="629"/>
      <c r="D12910" s="629"/>
      <c r="E12910" s="629"/>
      <c r="F12910" s="629"/>
      <c r="G12910" s="629"/>
      <c r="H12910" s="629"/>
      <c r="I12910" s="629"/>
      <c r="J12910" s="629"/>
      <c r="K12910" s="629"/>
      <c r="L12910" s="629"/>
      <c r="M12910" s="629"/>
      <c r="N12910" s="629"/>
      <c r="O12910" s="629"/>
      <c r="P12910" s="629"/>
      <c r="Q12910" s="629"/>
      <c r="R12910" s="629"/>
    </row>
    <row r="12911" spans="1:18" ht="24">
      <c r="A12911" s="369">
        <v>33</v>
      </c>
      <c r="B12911" s="366" t="s">
        <v>23441</v>
      </c>
      <c r="C12911" s="370" t="s">
        <v>23442</v>
      </c>
      <c r="D12911" s="371">
        <v>4326.5600000000004</v>
      </c>
      <c r="E12911" s="371">
        <v>662.74</v>
      </c>
      <c r="F12911" s="371">
        <v>3456.6</v>
      </c>
      <c r="G12911" s="371">
        <v>207.22</v>
      </c>
      <c r="H12911" s="372">
        <v>25275.26</v>
      </c>
      <c r="I12911" s="372">
        <v>7621.84</v>
      </c>
      <c r="J12911" s="372">
        <v>16485.98</v>
      </c>
      <c r="K12911" s="372">
        <v>1167.44</v>
      </c>
      <c r="L12911" s="43">
        <v>5.8418836211678551</v>
      </c>
      <c r="M12911" s="43">
        <v>11.500497932824336</v>
      </c>
      <c r="N12911" s="43">
        <v>4.7694208181449982</v>
      </c>
      <c r="O12911" s="43">
        <v>5.6338191294276614</v>
      </c>
      <c r="P12911" s="373"/>
      <c r="Q12911" s="373"/>
      <c r="R12911" s="373">
        <v>2</v>
      </c>
    </row>
    <row r="12912" spans="1:18" ht="12.75" customHeight="1">
      <c r="A12912" s="628" t="s">
        <v>23443</v>
      </c>
      <c r="B12912" s="629"/>
      <c r="C12912" s="629"/>
      <c r="D12912" s="629"/>
      <c r="E12912" s="629"/>
      <c r="F12912" s="629"/>
      <c r="G12912" s="629"/>
      <c r="H12912" s="629"/>
      <c r="I12912" s="629"/>
      <c r="J12912" s="629"/>
      <c r="K12912" s="629"/>
      <c r="L12912" s="629"/>
      <c r="M12912" s="629"/>
      <c r="N12912" s="629"/>
      <c r="O12912" s="629"/>
      <c r="P12912" s="629"/>
      <c r="Q12912" s="629"/>
      <c r="R12912" s="629"/>
    </row>
    <row r="12913" spans="1:18" ht="24">
      <c r="A12913" s="369">
        <v>34</v>
      </c>
      <c r="B12913" s="366" t="s">
        <v>23444</v>
      </c>
      <c r="C12913" s="370" t="s">
        <v>23445</v>
      </c>
      <c r="D12913" s="371">
        <v>4191.3</v>
      </c>
      <c r="E12913" s="371">
        <v>954.47</v>
      </c>
      <c r="F12913" s="371">
        <v>2766.87</v>
      </c>
      <c r="G12913" s="371">
        <v>469.96</v>
      </c>
      <c r="H12913" s="372">
        <v>27198.05</v>
      </c>
      <c r="I12913" s="372">
        <v>10976.87</v>
      </c>
      <c r="J12913" s="372">
        <v>13643.93</v>
      </c>
      <c r="K12913" s="372">
        <v>2577.25</v>
      </c>
      <c r="L12913" s="43">
        <v>6.4891680385560564</v>
      </c>
      <c r="M12913" s="43">
        <v>11.500487181367671</v>
      </c>
      <c r="N12913" s="43">
        <v>4.9311785519377498</v>
      </c>
      <c r="O12913" s="43">
        <v>5.4839773597753005</v>
      </c>
      <c r="P12913" s="373"/>
      <c r="Q12913" s="373"/>
      <c r="R12913" s="373">
        <v>3</v>
      </c>
    </row>
    <row r="12914" spans="1:18" ht="12.75" customHeight="1">
      <c r="A12914" s="628" t="s">
        <v>23446</v>
      </c>
      <c r="B12914" s="629"/>
      <c r="C12914" s="629"/>
      <c r="D12914" s="629"/>
      <c r="E12914" s="629"/>
      <c r="F12914" s="629"/>
      <c r="G12914" s="629"/>
      <c r="H12914" s="629"/>
      <c r="I12914" s="629"/>
      <c r="J12914" s="629"/>
      <c r="K12914" s="629"/>
      <c r="L12914" s="629"/>
      <c r="M12914" s="629"/>
      <c r="N12914" s="629"/>
      <c r="O12914" s="629"/>
      <c r="P12914" s="629"/>
      <c r="Q12914" s="629"/>
      <c r="R12914" s="629"/>
    </row>
    <row r="12915" spans="1:18" ht="12.75" customHeight="1">
      <c r="A12915" s="628" t="s">
        <v>23447</v>
      </c>
      <c r="B12915" s="629"/>
      <c r="C12915" s="629"/>
      <c r="D12915" s="629"/>
      <c r="E12915" s="629"/>
      <c r="F12915" s="629"/>
      <c r="G12915" s="629"/>
      <c r="H12915" s="629"/>
      <c r="I12915" s="629"/>
      <c r="J12915" s="629"/>
      <c r="K12915" s="629"/>
      <c r="L12915" s="629"/>
      <c r="M12915" s="629"/>
      <c r="N12915" s="629"/>
      <c r="O12915" s="629"/>
      <c r="P12915" s="629"/>
      <c r="Q12915" s="629"/>
      <c r="R12915" s="629"/>
    </row>
    <row r="12916" spans="1:18" ht="24">
      <c r="A12916" s="369">
        <v>35</v>
      </c>
      <c r="B12916" s="366" t="s">
        <v>23448</v>
      </c>
      <c r="C12916" s="370" t="s">
        <v>23449</v>
      </c>
      <c r="D12916" s="371">
        <v>2802.6</v>
      </c>
      <c r="E12916" s="371">
        <v>489.7</v>
      </c>
      <c r="F12916" s="371">
        <v>2303.11</v>
      </c>
      <c r="G12916" s="371">
        <v>9.7899999999999991</v>
      </c>
      <c r="H12916" s="372">
        <v>16696.63</v>
      </c>
      <c r="I12916" s="372">
        <v>5631.81</v>
      </c>
      <c r="J12916" s="372">
        <v>10952.23</v>
      </c>
      <c r="K12916" s="372">
        <v>112.59</v>
      </c>
      <c r="L12916" s="43">
        <v>5.9575501320202671</v>
      </c>
      <c r="M12916" s="43">
        <v>11.500530937308557</v>
      </c>
      <c r="N12916" s="43">
        <v>4.7554089904520405</v>
      </c>
      <c r="O12916" s="43">
        <v>11.500510725229828</v>
      </c>
      <c r="P12916" s="373"/>
      <c r="Q12916" s="373"/>
      <c r="R12916" s="373">
        <v>1</v>
      </c>
    </row>
    <row r="12917" spans="1:18" ht="24">
      <c r="A12917" s="369">
        <v>36</v>
      </c>
      <c r="B12917" s="366" t="s">
        <v>23450</v>
      </c>
      <c r="C12917" s="370" t="s">
        <v>23451</v>
      </c>
      <c r="D12917" s="371">
        <v>3622.72</v>
      </c>
      <c r="E12917" s="371">
        <v>696.29</v>
      </c>
      <c r="F12917" s="371">
        <v>2609.98</v>
      </c>
      <c r="G12917" s="371">
        <v>316.45</v>
      </c>
      <c r="H12917" s="372">
        <v>21624.89</v>
      </c>
      <c r="I12917" s="372">
        <v>8007.68</v>
      </c>
      <c r="J12917" s="372">
        <v>12344.04</v>
      </c>
      <c r="K12917" s="372">
        <v>1273.17</v>
      </c>
      <c r="L12917" s="43">
        <v>5.9692413435208902</v>
      </c>
      <c r="M12917" s="43">
        <v>11.500495483203839</v>
      </c>
      <c r="N12917" s="43">
        <v>4.7295534831684538</v>
      </c>
      <c r="O12917" s="43">
        <v>4.0232896192131467</v>
      </c>
      <c r="P12917" s="373"/>
      <c r="Q12917" s="373"/>
      <c r="R12917" s="373">
        <v>1</v>
      </c>
    </row>
    <row r="12918" spans="1:18" ht="24">
      <c r="A12918" s="369">
        <v>37</v>
      </c>
      <c r="B12918" s="366" t="s">
        <v>23452</v>
      </c>
      <c r="C12918" s="370" t="s">
        <v>23453</v>
      </c>
      <c r="D12918" s="371">
        <v>3301.99</v>
      </c>
      <c r="E12918" s="371">
        <v>794.65</v>
      </c>
      <c r="F12918" s="371">
        <v>2491.4499999999998</v>
      </c>
      <c r="G12918" s="371">
        <v>15.89</v>
      </c>
      <c r="H12918" s="372">
        <v>21798.33</v>
      </c>
      <c r="I12918" s="372">
        <v>9138.7999999999993</v>
      </c>
      <c r="J12918" s="372">
        <v>12476.79</v>
      </c>
      <c r="K12918" s="372">
        <v>182.74</v>
      </c>
      <c r="L12918" s="43">
        <v>6.601573596528155</v>
      </c>
      <c r="M12918" s="43">
        <v>11.500408985087773</v>
      </c>
      <c r="N12918" s="43">
        <v>5.0078428224527896</v>
      </c>
      <c r="O12918" s="43">
        <v>11.500314663310258</v>
      </c>
      <c r="P12918" s="373"/>
      <c r="Q12918" s="373"/>
      <c r="R12918" s="373">
        <v>1</v>
      </c>
    </row>
    <row r="12919" spans="1:18" ht="12.75" customHeight="1">
      <c r="A12919" s="628" t="s">
        <v>23454</v>
      </c>
      <c r="B12919" s="629"/>
      <c r="C12919" s="629"/>
      <c r="D12919" s="629"/>
      <c r="E12919" s="629"/>
      <c r="F12919" s="629"/>
      <c r="G12919" s="629"/>
      <c r="H12919" s="629"/>
      <c r="I12919" s="629"/>
      <c r="J12919" s="629"/>
      <c r="K12919" s="629"/>
      <c r="L12919" s="629"/>
      <c r="M12919" s="629"/>
      <c r="N12919" s="629"/>
      <c r="O12919" s="629"/>
      <c r="P12919" s="629"/>
      <c r="Q12919" s="629"/>
      <c r="R12919" s="629"/>
    </row>
    <row r="12920" spans="1:18" ht="24">
      <c r="A12920" s="369">
        <v>38</v>
      </c>
      <c r="B12920" s="366" t="s">
        <v>23455</v>
      </c>
      <c r="C12920" s="370" t="s">
        <v>23456</v>
      </c>
      <c r="D12920" s="371">
        <v>6423.38</v>
      </c>
      <c r="E12920" s="371">
        <v>516.02</v>
      </c>
      <c r="F12920" s="371">
        <v>3794.66</v>
      </c>
      <c r="G12920" s="371">
        <v>2112.6999999999998</v>
      </c>
      <c r="H12920" s="372">
        <v>32662</v>
      </c>
      <c r="I12920" s="372">
        <v>5934.41</v>
      </c>
      <c r="J12920" s="372">
        <v>18057.330000000002</v>
      </c>
      <c r="K12920" s="372">
        <v>8670.26</v>
      </c>
      <c r="L12920" s="43">
        <v>5.0848618640030638</v>
      </c>
      <c r="M12920" s="43">
        <v>11.500348823689004</v>
      </c>
      <c r="N12920" s="43">
        <v>4.7586160551933512</v>
      </c>
      <c r="O12920" s="43">
        <v>4.103876556065698</v>
      </c>
      <c r="P12920" s="373"/>
      <c r="Q12920" s="373"/>
      <c r="R12920" s="373">
        <v>2</v>
      </c>
    </row>
    <row r="12921" spans="1:18" ht="24">
      <c r="A12921" s="369">
        <v>39</v>
      </c>
      <c r="B12921" s="366" t="s">
        <v>23457</v>
      </c>
      <c r="C12921" s="370" t="s">
        <v>23458</v>
      </c>
      <c r="D12921" s="371">
        <v>4389.79</v>
      </c>
      <c r="E12921" s="371">
        <v>528.54</v>
      </c>
      <c r="F12921" s="371">
        <v>2644.46</v>
      </c>
      <c r="G12921" s="371">
        <v>1216.79</v>
      </c>
      <c r="H12921" s="372">
        <v>23714.51</v>
      </c>
      <c r="I12921" s="372">
        <v>6078.44</v>
      </c>
      <c r="J12921" s="372">
        <v>12600.28</v>
      </c>
      <c r="K12921" s="372">
        <v>5035.79</v>
      </c>
      <c r="L12921" s="43">
        <v>5.4021969160255958</v>
      </c>
      <c r="M12921" s="43">
        <v>11.500435161009573</v>
      </c>
      <c r="N12921" s="43">
        <v>4.7647837365662555</v>
      </c>
      <c r="O12921" s="43">
        <v>4.1385859515610743</v>
      </c>
      <c r="P12921" s="373"/>
      <c r="Q12921" s="373"/>
      <c r="R12921" s="373">
        <v>2</v>
      </c>
    </row>
    <row r="12922" spans="1:18" ht="12.75" customHeight="1">
      <c r="A12922" s="628" t="s">
        <v>23459</v>
      </c>
      <c r="B12922" s="629"/>
      <c r="C12922" s="629"/>
      <c r="D12922" s="629"/>
      <c r="E12922" s="629"/>
      <c r="F12922" s="629"/>
      <c r="G12922" s="629"/>
      <c r="H12922" s="629"/>
      <c r="I12922" s="629"/>
      <c r="J12922" s="629"/>
      <c r="K12922" s="629"/>
      <c r="L12922" s="629"/>
      <c r="M12922" s="629"/>
      <c r="N12922" s="629"/>
      <c r="O12922" s="629"/>
      <c r="P12922" s="629"/>
      <c r="Q12922" s="629"/>
      <c r="R12922" s="629"/>
    </row>
    <row r="12923" spans="1:18" ht="12.75" customHeight="1">
      <c r="A12923" s="628" t="s">
        <v>23460</v>
      </c>
      <c r="B12923" s="629"/>
      <c r="C12923" s="629"/>
      <c r="D12923" s="629"/>
      <c r="E12923" s="629"/>
      <c r="F12923" s="629"/>
      <c r="G12923" s="629"/>
      <c r="H12923" s="629"/>
      <c r="I12923" s="629"/>
      <c r="J12923" s="629"/>
      <c r="K12923" s="629"/>
      <c r="L12923" s="629"/>
      <c r="M12923" s="629"/>
      <c r="N12923" s="629"/>
      <c r="O12923" s="629"/>
      <c r="P12923" s="629"/>
      <c r="Q12923" s="629"/>
      <c r="R12923" s="629"/>
    </row>
    <row r="12924" spans="1:18" ht="24">
      <c r="A12924" s="369">
        <v>40</v>
      </c>
      <c r="B12924" s="366" t="s">
        <v>23461</v>
      </c>
      <c r="C12924" s="370" t="s">
        <v>23462</v>
      </c>
      <c r="D12924" s="371">
        <v>5601.08</v>
      </c>
      <c r="E12924" s="371">
        <v>637.01</v>
      </c>
      <c r="F12924" s="371">
        <v>3035.56</v>
      </c>
      <c r="G12924" s="371">
        <v>1928.51</v>
      </c>
      <c r="H12924" s="372">
        <v>35064.379999999997</v>
      </c>
      <c r="I12924" s="372">
        <v>7325.84</v>
      </c>
      <c r="J12924" s="372">
        <v>17785.68</v>
      </c>
      <c r="K12924" s="372">
        <v>9952.86</v>
      </c>
      <c r="L12924" s="43">
        <v>6.2602890871046295</v>
      </c>
      <c r="M12924" s="43">
        <v>11.500353212665422</v>
      </c>
      <c r="N12924" s="43">
        <v>5.8591100159443403</v>
      </c>
      <c r="O12924" s="43">
        <v>5.160906606654879</v>
      </c>
      <c r="P12924" s="373"/>
      <c r="Q12924" s="373"/>
      <c r="R12924" s="373">
        <v>1</v>
      </c>
    </row>
    <row r="12925" spans="1:18" ht="24">
      <c r="A12925" s="369">
        <v>41</v>
      </c>
      <c r="B12925" s="366" t="s">
        <v>23463</v>
      </c>
      <c r="C12925" s="370" t="s">
        <v>23464</v>
      </c>
      <c r="D12925" s="371">
        <v>5280.33</v>
      </c>
      <c r="E12925" s="371">
        <v>650.91</v>
      </c>
      <c r="F12925" s="371">
        <v>2795.07</v>
      </c>
      <c r="G12925" s="371">
        <v>1834.35</v>
      </c>
      <c r="H12925" s="372">
        <v>33428.300000000003</v>
      </c>
      <c r="I12925" s="372">
        <v>7485.73</v>
      </c>
      <c r="J12925" s="372">
        <v>16476.39</v>
      </c>
      <c r="K12925" s="372">
        <v>9466.18</v>
      </c>
      <c r="L12925" s="43">
        <v>6.3307217541327914</v>
      </c>
      <c r="M12925" s="43">
        <v>11.500407122336421</v>
      </c>
      <c r="N12925" s="43">
        <v>5.8948040657300167</v>
      </c>
      <c r="O12925" s="43">
        <v>5.1605091721863339</v>
      </c>
      <c r="P12925" s="373"/>
      <c r="Q12925" s="373"/>
      <c r="R12925" s="373">
        <v>1</v>
      </c>
    </row>
    <row r="12926" spans="1:18" ht="24">
      <c r="A12926" s="369">
        <v>42</v>
      </c>
      <c r="B12926" s="366" t="s">
        <v>23465</v>
      </c>
      <c r="C12926" s="370" t="s">
        <v>23466</v>
      </c>
      <c r="D12926" s="371">
        <v>4908.96</v>
      </c>
      <c r="E12926" s="371">
        <v>650.91</v>
      </c>
      <c r="F12926" s="371">
        <v>2801.65</v>
      </c>
      <c r="G12926" s="371">
        <v>1456.4</v>
      </c>
      <c r="H12926" s="372">
        <v>31160.22</v>
      </c>
      <c r="I12926" s="372">
        <v>7485.73</v>
      </c>
      <c r="J12926" s="372">
        <v>16159.81</v>
      </c>
      <c r="K12926" s="372">
        <v>7514.68</v>
      </c>
      <c r="L12926" s="43">
        <v>6.3476214921286793</v>
      </c>
      <c r="M12926" s="43">
        <v>11.500407122336421</v>
      </c>
      <c r="N12926" s="43">
        <v>5.7679617368336515</v>
      </c>
      <c r="O12926" s="43">
        <v>5.1597638011535292</v>
      </c>
      <c r="P12926" s="373"/>
      <c r="Q12926" s="373"/>
      <c r="R12926" s="373">
        <v>1</v>
      </c>
    </row>
    <row r="12927" spans="1:18" ht="24">
      <c r="A12927" s="369">
        <v>43</v>
      </c>
      <c r="B12927" s="366" t="s">
        <v>23467</v>
      </c>
      <c r="C12927" s="370" t="s">
        <v>23468</v>
      </c>
      <c r="D12927" s="371">
        <v>3993.98</v>
      </c>
      <c r="E12927" s="371">
        <v>637.01</v>
      </c>
      <c r="F12927" s="371">
        <v>2322.63</v>
      </c>
      <c r="G12927" s="371">
        <v>1034.3399999999999</v>
      </c>
      <c r="H12927" s="372">
        <v>25977.4</v>
      </c>
      <c r="I12927" s="372">
        <v>7325.84</v>
      </c>
      <c r="J12927" s="372">
        <v>13302.76</v>
      </c>
      <c r="K12927" s="372">
        <v>5348.8</v>
      </c>
      <c r="L12927" s="43">
        <v>6.5041387287868249</v>
      </c>
      <c r="M12927" s="43">
        <v>11.500353212665422</v>
      </c>
      <c r="N12927" s="43">
        <v>5.7274555137925542</v>
      </c>
      <c r="O12927" s="43">
        <v>5.1712202950673865</v>
      </c>
      <c r="P12927" s="373"/>
      <c r="Q12927" s="373"/>
      <c r="R12927" s="373">
        <v>1</v>
      </c>
    </row>
    <row r="12928" spans="1:18" ht="12.75" customHeight="1">
      <c r="A12928" s="628" t="s">
        <v>23469</v>
      </c>
      <c r="B12928" s="629"/>
      <c r="C12928" s="629"/>
      <c r="D12928" s="629"/>
      <c r="E12928" s="629"/>
      <c r="F12928" s="629"/>
      <c r="G12928" s="629"/>
      <c r="H12928" s="629"/>
      <c r="I12928" s="629"/>
      <c r="J12928" s="629"/>
      <c r="K12928" s="629"/>
      <c r="L12928" s="629"/>
      <c r="M12928" s="629"/>
      <c r="N12928" s="629"/>
      <c r="O12928" s="629"/>
      <c r="P12928" s="629"/>
      <c r="Q12928" s="629"/>
      <c r="R12928" s="629"/>
    </row>
    <row r="12929" spans="1:18" ht="24">
      <c r="A12929" s="369">
        <v>44</v>
      </c>
      <c r="B12929" s="366" t="s">
        <v>23470</v>
      </c>
      <c r="C12929" s="370" t="s">
        <v>23471</v>
      </c>
      <c r="D12929" s="371">
        <v>5076.12</v>
      </c>
      <c r="E12929" s="371">
        <v>1095.92</v>
      </c>
      <c r="F12929" s="371">
        <v>3583.94</v>
      </c>
      <c r="G12929" s="371">
        <v>396.26</v>
      </c>
      <c r="H12929" s="372">
        <v>31349.7</v>
      </c>
      <c r="I12929" s="372">
        <v>12603.51</v>
      </c>
      <c r="J12929" s="372">
        <v>16912.7</v>
      </c>
      <c r="K12929" s="372">
        <v>1833.49</v>
      </c>
      <c r="L12929" s="43">
        <v>6.1759178270017259</v>
      </c>
      <c r="M12929" s="43">
        <v>11.50039236440616</v>
      </c>
      <c r="N12929" s="43">
        <v>4.7190243140231143</v>
      </c>
      <c r="O12929" s="43">
        <v>4.6269873315499925</v>
      </c>
      <c r="P12929" s="373"/>
      <c r="Q12929" s="373"/>
      <c r="R12929" s="373">
        <v>2</v>
      </c>
    </row>
    <row r="12930" spans="1:18" ht="24">
      <c r="A12930" s="374">
        <v>45</v>
      </c>
      <c r="B12930" s="375" t="s">
        <v>23472</v>
      </c>
      <c r="C12930" s="376" t="s">
        <v>23473</v>
      </c>
      <c r="D12930" s="377">
        <v>5362.18</v>
      </c>
      <c r="E12930" s="377">
        <v>554.85</v>
      </c>
      <c r="F12930" s="377">
        <v>4796.2299999999996</v>
      </c>
      <c r="G12930" s="377">
        <v>11.1</v>
      </c>
      <c r="H12930" s="378">
        <v>29170.77</v>
      </c>
      <c r="I12930" s="378">
        <v>6381.04</v>
      </c>
      <c r="J12930" s="378">
        <v>22662.080000000002</v>
      </c>
      <c r="K12930" s="378">
        <v>127.65</v>
      </c>
      <c r="L12930" s="611">
        <v>5.4400952597637522</v>
      </c>
      <c r="M12930" s="611">
        <v>11.500477606560331</v>
      </c>
      <c r="N12930" s="611">
        <v>4.7249777429355984</v>
      </c>
      <c r="O12930" s="611">
        <v>11.5</v>
      </c>
      <c r="P12930" s="379"/>
      <c r="Q12930" s="379"/>
      <c r="R12930" s="379">
        <v>2</v>
      </c>
    </row>
    <row r="12931" spans="1:18" ht="12.75" customHeight="1">
      <c r="A12931" s="630" t="s">
        <v>23474</v>
      </c>
      <c r="B12931" s="631"/>
      <c r="C12931" s="631"/>
      <c r="D12931" s="631"/>
      <c r="E12931" s="631"/>
      <c r="F12931" s="631"/>
      <c r="G12931" s="631"/>
      <c r="H12931" s="631"/>
      <c r="I12931" s="631"/>
      <c r="J12931" s="631"/>
      <c r="K12931" s="631"/>
      <c r="L12931" s="631"/>
      <c r="M12931" s="631"/>
      <c r="N12931" s="631"/>
      <c r="O12931" s="631"/>
      <c r="P12931" s="631"/>
      <c r="Q12931" s="631"/>
      <c r="R12931" s="631"/>
    </row>
    <row r="12932" spans="1:18" ht="12.75" customHeight="1">
      <c r="A12932" s="628" t="s">
        <v>23475</v>
      </c>
      <c r="B12932" s="629"/>
      <c r="C12932" s="629"/>
      <c r="D12932" s="629"/>
      <c r="E12932" s="629"/>
      <c r="F12932" s="629"/>
      <c r="G12932" s="629"/>
      <c r="H12932" s="629"/>
      <c r="I12932" s="629"/>
      <c r="J12932" s="629"/>
      <c r="K12932" s="629"/>
      <c r="L12932" s="629"/>
      <c r="M12932" s="629"/>
      <c r="N12932" s="629"/>
      <c r="O12932" s="629"/>
      <c r="P12932" s="629"/>
      <c r="Q12932" s="629"/>
      <c r="R12932" s="629"/>
    </row>
    <row r="12933" spans="1:18" ht="12.75" customHeight="1">
      <c r="A12933" s="628" t="s">
        <v>23476</v>
      </c>
      <c r="B12933" s="629"/>
      <c r="C12933" s="629"/>
      <c r="D12933" s="629"/>
      <c r="E12933" s="629"/>
      <c r="F12933" s="629"/>
      <c r="G12933" s="629"/>
      <c r="H12933" s="629"/>
      <c r="I12933" s="629"/>
      <c r="J12933" s="629"/>
      <c r="K12933" s="629"/>
      <c r="L12933" s="629"/>
      <c r="M12933" s="629"/>
      <c r="N12933" s="629"/>
      <c r="O12933" s="629"/>
      <c r="P12933" s="629"/>
      <c r="Q12933" s="629"/>
      <c r="R12933" s="629"/>
    </row>
    <row r="12934" spans="1:18" ht="24">
      <c r="A12934" s="369">
        <v>46</v>
      </c>
      <c r="B12934" s="366" t="s">
        <v>23477</v>
      </c>
      <c r="C12934" s="370" t="s">
        <v>23478</v>
      </c>
      <c r="D12934" s="371">
        <v>2564.79</v>
      </c>
      <c r="E12934" s="371">
        <v>433.63</v>
      </c>
      <c r="F12934" s="371">
        <v>1902</v>
      </c>
      <c r="G12934" s="371">
        <v>229.16</v>
      </c>
      <c r="H12934" s="372">
        <v>15626.19</v>
      </c>
      <c r="I12934" s="372">
        <v>4986.96</v>
      </c>
      <c r="J12934" s="372">
        <v>9640.85</v>
      </c>
      <c r="K12934" s="372">
        <v>998.38</v>
      </c>
      <c r="L12934" s="43">
        <v>6.0925806791199282</v>
      </c>
      <c r="M12934" s="43">
        <v>11.500495814403985</v>
      </c>
      <c r="N12934" s="43">
        <v>5.0687960042060993</v>
      </c>
      <c r="O12934" s="43">
        <v>4.3566940129167397</v>
      </c>
      <c r="P12934" s="373"/>
      <c r="Q12934" s="373"/>
      <c r="R12934" s="373">
        <v>1</v>
      </c>
    </row>
    <row r="12935" spans="1:18" ht="12.75" customHeight="1">
      <c r="A12935" s="628" t="s">
        <v>23479</v>
      </c>
      <c r="B12935" s="629"/>
      <c r="C12935" s="629"/>
      <c r="D12935" s="629"/>
      <c r="E12935" s="629"/>
      <c r="F12935" s="629"/>
      <c r="G12935" s="629"/>
      <c r="H12935" s="629"/>
      <c r="I12935" s="629"/>
      <c r="J12935" s="629"/>
      <c r="K12935" s="629"/>
      <c r="L12935" s="629"/>
      <c r="M12935" s="629"/>
      <c r="N12935" s="629"/>
      <c r="O12935" s="629"/>
      <c r="P12935" s="629"/>
      <c r="Q12935" s="629"/>
      <c r="R12935" s="629"/>
    </row>
    <row r="12936" spans="1:18" ht="12.75" customHeight="1">
      <c r="A12936" s="628" t="s">
        <v>23480</v>
      </c>
      <c r="B12936" s="629"/>
      <c r="C12936" s="629"/>
      <c r="D12936" s="629"/>
      <c r="E12936" s="629"/>
      <c r="F12936" s="629"/>
      <c r="G12936" s="629"/>
      <c r="H12936" s="629"/>
      <c r="I12936" s="629"/>
      <c r="J12936" s="629"/>
      <c r="K12936" s="629"/>
      <c r="L12936" s="629"/>
      <c r="M12936" s="629"/>
      <c r="N12936" s="629"/>
      <c r="O12936" s="629"/>
      <c r="P12936" s="629"/>
      <c r="Q12936" s="629"/>
      <c r="R12936" s="629"/>
    </row>
    <row r="12937" spans="1:18" ht="24">
      <c r="A12937" s="369">
        <v>47</v>
      </c>
      <c r="B12937" s="366" t="s">
        <v>23481</v>
      </c>
      <c r="C12937" s="370" t="s">
        <v>23482</v>
      </c>
      <c r="D12937" s="371">
        <v>2293.5300000000002</v>
      </c>
      <c r="E12937" s="371">
        <v>702.61</v>
      </c>
      <c r="F12937" s="371">
        <v>1529.65</v>
      </c>
      <c r="G12937" s="371">
        <v>61.27</v>
      </c>
      <c r="H12937" s="372">
        <v>16007.11</v>
      </c>
      <c r="I12937" s="372">
        <v>8080.36</v>
      </c>
      <c r="J12937" s="372">
        <v>7572.6</v>
      </c>
      <c r="K12937" s="372">
        <v>354.15</v>
      </c>
      <c r="L12937" s="43">
        <v>6.979245965825605</v>
      </c>
      <c r="M12937" s="43">
        <v>11.500491026316164</v>
      </c>
      <c r="N12937" s="43">
        <v>4.9505442421468961</v>
      </c>
      <c r="O12937" s="43">
        <v>5.7801534192916595</v>
      </c>
      <c r="P12937" s="373"/>
      <c r="Q12937" s="373"/>
      <c r="R12937" s="373">
        <v>1</v>
      </c>
    </row>
    <row r="12938" spans="1:18" ht="24">
      <c r="A12938" s="369">
        <v>48</v>
      </c>
      <c r="B12938" s="366" t="s">
        <v>23483</v>
      </c>
      <c r="C12938" s="370" t="s">
        <v>23484</v>
      </c>
      <c r="D12938" s="371">
        <v>1499.36</v>
      </c>
      <c r="E12938" s="371">
        <v>489.47</v>
      </c>
      <c r="F12938" s="371">
        <v>1000.1</v>
      </c>
      <c r="G12938" s="371">
        <v>9.7899999999999991</v>
      </c>
      <c r="H12938" s="372">
        <v>10794.54</v>
      </c>
      <c r="I12938" s="372">
        <v>5629.16</v>
      </c>
      <c r="J12938" s="372">
        <v>5052.79</v>
      </c>
      <c r="K12938" s="372">
        <v>112.59</v>
      </c>
      <c r="L12938" s="43">
        <v>7.1994317575498892</v>
      </c>
      <c r="M12938" s="43">
        <v>11.500520971663226</v>
      </c>
      <c r="N12938" s="43">
        <v>5.0522847715228476</v>
      </c>
      <c r="O12938" s="43">
        <v>11.500510725229828</v>
      </c>
      <c r="P12938" s="373"/>
      <c r="Q12938" s="373"/>
      <c r="R12938" s="373">
        <v>1</v>
      </c>
    </row>
    <row r="12939" spans="1:18" ht="12.75" customHeight="1">
      <c r="A12939" s="628" t="s">
        <v>23485</v>
      </c>
      <c r="B12939" s="629"/>
      <c r="C12939" s="629"/>
      <c r="D12939" s="629"/>
      <c r="E12939" s="629"/>
      <c r="F12939" s="629"/>
      <c r="G12939" s="629"/>
      <c r="H12939" s="629"/>
      <c r="I12939" s="629"/>
      <c r="J12939" s="629"/>
      <c r="K12939" s="629"/>
      <c r="L12939" s="629"/>
      <c r="M12939" s="629"/>
      <c r="N12939" s="629"/>
      <c r="O12939" s="629"/>
      <c r="P12939" s="629"/>
      <c r="Q12939" s="629"/>
      <c r="R12939" s="629"/>
    </row>
    <row r="12940" spans="1:18" ht="24">
      <c r="A12940" s="374">
        <v>49</v>
      </c>
      <c r="B12940" s="375" t="s">
        <v>23486</v>
      </c>
      <c r="C12940" s="376" t="s">
        <v>23487</v>
      </c>
      <c r="D12940" s="377">
        <v>4942.74</v>
      </c>
      <c r="E12940" s="377">
        <v>1122.1099999999999</v>
      </c>
      <c r="F12940" s="377">
        <v>3595.87</v>
      </c>
      <c r="G12940" s="377">
        <v>224.76</v>
      </c>
      <c r="H12940" s="378">
        <v>32182.42</v>
      </c>
      <c r="I12940" s="378">
        <v>12904.79</v>
      </c>
      <c r="J12940" s="378">
        <v>18179.740000000002</v>
      </c>
      <c r="K12940" s="378">
        <v>1097.8900000000001</v>
      </c>
      <c r="L12940" s="611">
        <v>6.5110485277396748</v>
      </c>
      <c r="M12940" s="611">
        <v>11.500467868569038</v>
      </c>
      <c r="N12940" s="611">
        <v>5.0557278210836323</v>
      </c>
      <c r="O12940" s="611">
        <v>4.8847214806905148</v>
      </c>
      <c r="P12940" s="379"/>
      <c r="Q12940" s="379"/>
      <c r="R12940" s="379">
        <v>2</v>
      </c>
    </row>
    <row r="12941" spans="1:18" ht="12.75" customHeight="1">
      <c r="A12941" s="630" t="s">
        <v>23488</v>
      </c>
      <c r="B12941" s="631"/>
      <c r="C12941" s="631"/>
      <c r="D12941" s="631"/>
      <c r="E12941" s="631"/>
      <c r="F12941" s="631"/>
      <c r="G12941" s="631"/>
      <c r="H12941" s="631"/>
      <c r="I12941" s="631"/>
      <c r="J12941" s="631"/>
      <c r="K12941" s="631"/>
      <c r="L12941" s="631"/>
      <c r="M12941" s="631"/>
      <c r="N12941" s="631"/>
      <c r="O12941" s="631"/>
      <c r="P12941" s="631"/>
      <c r="Q12941" s="631"/>
      <c r="R12941" s="631"/>
    </row>
    <row r="12942" spans="1:18" ht="12.75" customHeight="1">
      <c r="A12942" s="628" t="s">
        <v>23489</v>
      </c>
      <c r="B12942" s="629"/>
      <c r="C12942" s="629"/>
      <c r="D12942" s="629"/>
      <c r="E12942" s="629"/>
      <c r="F12942" s="629"/>
      <c r="G12942" s="629"/>
      <c r="H12942" s="629"/>
      <c r="I12942" s="629"/>
      <c r="J12942" s="629"/>
      <c r="K12942" s="629"/>
      <c r="L12942" s="629"/>
      <c r="M12942" s="629"/>
      <c r="N12942" s="629"/>
      <c r="O12942" s="629"/>
      <c r="P12942" s="629"/>
      <c r="Q12942" s="629"/>
      <c r="R12942" s="629"/>
    </row>
    <row r="12943" spans="1:18" ht="12.75" customHeight="1">
      <c r="A12943" s="628" t="s">
        <v>23490</v>
      </c>
      <c r="B12943" s="629"/>
      <c r="C12943" s="629"/>
      <c r="D12943" s="629"/>
      <c r="E12943" s="629"/>
      <c r="F12943" s="629"/>
      <c r="G12943" s="629"/>
      <c r="H12943" s="629"/>
      <c r="I12943" s="629"/>
      <c r="J12943" s="629"/>
      <c r="K12943" s="629"/>
      <c r="L12943" s="629"/>
      <c r="M12943" s="629"/>
      <c r="N12943" s="629"/>
      <c r="O12943" s="629"/>
      <c r="P12943" s="629"/>
      <c r="Q12943" s="629"/>
      <c r="R12943" s="629"/>
    </row>
    <row r="12944" spans="1:18" ht="24">
      <c r="A12944" s="369">
        <v>50</v>
      </c>
      <c r="B12944" s="366" t="s">
        <v>23491</v>
      </c>
      <c r="C12944" s="370" t="s">
        <v>23492</v>
      </c>
      <c r="D12944" s="371">
        <v>4950.9399999999996</v>
      </c>
      <c r="E12944" s="371">
        <v>1042.5999999999999</v>
      </c>
      <c r="F12944" s="371">
        <v>3527.5</v>
      </c>
      <c r="G12944" s="371">
        <v>380.84</v>
      </c>
      <c r="H12944" s="372">
        <v>33951.9</v>
      </c>
      <c r="I12944" s="372">
        <v>11990.38</v>
      </c>
      <c r="J12944" s="372">
        <v>20252.95</v>
      </c>
      <c r="K12944" s="372">
        <v>1708.57</v>
      </c>
      <c r="L12944" s="43">
        <v>6.8576674328511364</v>
      </c>
      <c r="M12944" s="43">
        <v>11.500460387492806</v>
      </c>
      <c r="N12944" s="43">
        <v>5.7414457831325301</v>
      </c>
      <c r="O12944" s="43">
        <v>4.486319714315723</v>
      </c>
      <c r="P12944" s="373"/>
      <c r="Q12944" s="373"/>
      <c r="R12944" s="373">
        <v>1</v>
      </c>
    </row>
    <row r="12945" spans="1:18" ht="24">
      <c r="A12945" s="369">
        <v>51</v>
      </c>
      <c r="B12945" s="366" t="s">
        <v>23493</v>
      </c>
      <c r="C12945" s="370" t="s">
        <v>23494</v>
      </c>
      <c r="D12945" s="371">
        <v>4529.82</v>
      </c>
      <c r="E12945" s="371">
        <v>1012.5</v>
      </c>
      <c r="F12945" s="371">
        <v>3163.71</v>
      </c>
      <c r="G12945" s="371">
        <v>353.61</v>
      </c>
      <c r="H12945" s="372">
        <v>31595.42</v>
      </c>
      <c r="I12945" s="372">
        <v>11644.18</v>
      </c>
      <c r="J12945" s="372">
        <v>18001.07</v>
      </c>
      <c r="K12945" s="372">
        <v>1950.17</v>
      </c>
      <c r="L12945" s="43">
        <v>6.9749835534303788</v>
      </c>
      <c r="M12945" s="43">
        <v>11.500424691358026</v>
      </c>
      <c r="N12945" s="43">
        <v>5.6898609543858321</v>
      </c>
      <c r="O12945" s="43">
        <v>5.5150306835213936</v>
      </c>
      <c r="P12945" s="373"/>
      <c r="Q12945" s="373"/>
      <c r="R12945" s="373">
        <v>1</v>
      </c>
    </row>
    <row r="12946" spans="1:18" ht="24">
      <c r="A12946" s="369">
        <v>52</v>
      </c>
      <c r="B12946" s="366" t="s">
        <v>23495</v>
      </c>
      <c r="C12946" s="370" t="s">
        <v>23496</v>
      </c>
      <c r="D12946" s="371">
        <v>3655.63</v>
      </c>
      <c r="E12946" s="371">
        <v>924.95</v>
      </c>
      <c r="F12946" s="371">
        <v>2503.12</v>
      </c>
      <c r="G12946" s="371">
        <v>227.56</v>
      </c>
      <c r="H12946" s="372">
        <v>25599.13</v>
      </c>
      <c r="I12946" s="372">
        <v>10637.27</v>
      </c>
      <c r="J12946" s="372">
        <v>13892.43</v>
      </c>
      <c r="K12946" s="372">
        <v>1069.43</v>
      </c>
      <c r="L12946" s="43">
        <v>7.0026589124172851</v>
      </c>
      <c r="M12946" s="43">
        <v>11.500372993134764</v>
      </c>
      <c r="N12946" s="43">
        <v>5.5500455431621338</v>
      </c>
      <c r="O12946" s="43">
        <v>4.6995517665670592</v>
      </c>
      <c r="P12946" s="373"/>
      <c r="Q12946" s="373"/>
      <c r="R12946" s="373">
        <v>1</v>
      </c>
    </row>
    <row r="12947" spans="1:18" ht="12.75" customHeight="1">
      <c r="A12947" s="628" t="s">
        <v>23497</v>
      </c>
      <c r="B12947" s="629"/>
      <c r="C12947" s="629"/>
      <c r="D12947" s="629"/>
      <c r="E12947" s="629"/>
      <c r="F12947" s="629"/>
      <c r="G12947" s="629"/>
      <c r="H12947" s="629"/>
      <c r="I12947" s="629"/>
      <c r="J12947" s="629"/>
      <c r="K12947" s="629"/>
      <c r="L12947" s="629"/>
      <c r="M12947" s="629"/>
      <c r="N12947" s="629"/>
      <c r="O12947" s="629"/>
      <c r="P12947" s="629"/>
      <c r="Q12947" s="629"/>
      <c r="R12947" s="629"/>
    </row>
    <row r="12948" spans="1:18" ht="24">
      <c r="A12948" s="369">
        <v>53</v>
      </c>
      <c r="B12948" s="366" t="s">
        <v>23498</v>
      </c>
      <c r="C12948" s="370" t="s">
        <v>23499</v>
      </c>
      <c r="D12948" s="371">
        <v>3733.15</v>
      </c>
      <c r="E12948" s="371">
        <v>1216.56</v>
      </c>
      <c r="F12948" s="371">
        <v>2143.44</v>
      </c>
      <c r="G12948" s="371">
        <v>373.15</v>
      </c>
      <c r="H12948" s="372">
        <v>28011.33</v>
      </c>
      <c r="I12948" s="372">
        <v>13990.98</v>
      </c>
      <c r="J12948" s="372">
        <v>12315.09</v>
      </c>
      <c r="K12948" s="372">
        <v>1705.26</v>
      </c>
      <c r="L12948" s="43">
        <v>7.5034032921259533</v>
      </c>
      <c r="M12948" s="43">
        <v>11.500443874531467</v>
      </c>
      <c r="N12948" s="43">
        <v>5.7454792296495354</v>
      </c>
      <c r="O12948" s="43">
        <v>4.5699048639957125</v>
      </c>
      <c r="P12948" s="373"/>
      <c r="Q12948" s="373"/>
      <c r="R12948" s="373">
        <v>2</v>
      </c>
    </row>
    <row r="12949" spans="1:18" ht="24">
      <c r="A12949" s="369">
        <v>54</v>
      </c>
      <c r="B12949" s="366" t="s">
        <v>23500</v>
      </c>
      <c r="C12949" s="370" t="s">
        <v>23501</v>
      </c>
      <c r="D12949" s="371">
        <v>3177.05</v>
      </c>
      <c r="E12949" s="371">
        <v>1042.5999999999999</v>
      </c>
      <c r="F12949" s="371">
        <v>1797.99</v>
      </c>
      <c r="G12949" s="371">
        <v>336.46</v>
      </c>
      <c r="H12949" s="372">
        <v>23772.41</v>
      </c>
      <c r="I12949" s="372">
        <v>11990.38</v>
      </c>
      <c r="J12949" s="372">
        <v>10248.469999999999</v>
      </c>
      <c r="K12949" s="372">
        <v>1533.56</v>
      </c>
      <c r="L12949" s="43">
        <v>7.482541980768322</v>
      </c>
      <c r="M12949" s="43">
        <v>11.500460387492806</v>
      </c>
      <c r="N12949" s="43">
        <v>5.6999593991067803</v>
      </c>
      <c r="O12949" s="43">
        <v>4.5579266480413718</v>
      </c>
      <c r="P12949" s="373"/>
      <c r="Q12949" s="373"/>
      <c r="R12949" s="373">
        <v>2</v>
      </c>
    </row>
    <row r="12950" spans="1:18" ht="24">
      <c r="A12950" s="369">
        <v>55</v>
      </c>
      <c r="B12950" s="366" t="s">
        <v>23502</v>
      </c>
      <c r="C12950" s="370" t="s">
        <v>23503</v>
      </c>
      <c r="D12950" s="371">
        <v>2904.68</v>
      </c>
      <c r="E12950" s="371">
        <v>936.09</v>
      </c>
      <c r="F12950" s="371">
        <v>1655.6</v>
      </c>
      <c r="G12950" s="371">
        <v>312.99</v>
      </c>
      <c r="H12950" s="372">
        <v>21767.77</v>
      </c>
      <c r="I12950" s="372">
        <v>10765.45</v>
      </c>
      <c r="J12950" s="372">
        <v>9584.44</v>
      </c>
      <c r="K12950" s="372">
        <v>1417.88</v>
      </c>
      <c r="L12950" s="43">
        <v>7.4940337661979983</v>
      </c>
      <c r="M12950" s="43">
        <v>11.500443333440161</v>
      </c>
      <c r="N12950" s="43">
        <v>5.7891036482242093</v>
      </c>
      <c r="O12950" s="43">
        <v>4.530112783156012</v>
      </c>
      <c r="P12950" s="373"/>
      <c r="Q12950" s="373"/>
      <c r="R12950" s="373">
        <v>2</v>
      </c>
    </row>
    <row r="12951" spans="1:18" ht="12.75" customHeight="1">
      <c r="A12951" s="628" t="s">
        <v>23504</v>
      </c>
      <c r="B12951" s="629"/>
      <c r="C12951" s="629"/>
      <c r="D12951" s="629"/>
      <c r="E12951" s="629"/>
      <c r="F12951" s="629"/>
      <c r="G12951" s="629"/>
      <c r="H12951" s="629"/>
      <c r="I12951" s="629"/>
      <c r="J12951" s="629"/>
      <c r="K12951" s="629"/>
      <c r="L12951" s="629"/>
      <c r="M12951" s="629"/>
      <c r="N12951" s="629"/>
      <c r="O12951" s="629"/>
      <c r="P12951" s="629"/>
      <c r="Q12951" s="629"/>
      <c r="R12951" s="629"/>
    </row>
    <row r="12952" spans="1:18" ht="12.75" customHeight="1">
      <c r="A12952" s="628" t="s">
        <v>23505</v>
      </c>
      <c r="B12952" s="629"/>
      <c r="C12952" s="629"/>
      <c r="D12952" s="629"/>
      <c r="E12952" s="629"/>
      <c r="F12952" s="629"/>
      <c r="G12952" s="629"/>
      <c r="H12952" s="629"/>
      <c r="I12952" s="629"/>
      <c r="J12952" s="629"/>
      <c r="K12952" s="629"/>
      <c r="L12952" s="629"/>
      <c r="M12952" s="629"/>
      <c r="N12952" s="629"/>
      <c r="O12952" s="629"/>
      <c r="P12952" s="629"/>
      <c r="Q12952" s="629"/>
      <c r="R12952" s="629"/>
    </row>
    <row r="12953" spans="1:18" ht="24">
      <c r="A12953" s="374">
        <v>56</v>
      </c>
      <c r="B12953" s="375" t="s">
        <v>23506</v>
      </c>
      <c r="C12953" s="376" t="s">
        <v>23507</v>
      </c>
      <c r="D12953" s="377">
        <v>1094.52</v>
      </c>
      <c r="E12953" s="377">
        <v>348.15</v>
      </c>
      <c r="F12953" s="377">
        <v>601.01</v>
      </c>
      <c r="G12953" s="377">
        <v>145.36000000000001</v>
      </c>
      <c r="H12953" s="378">
        <v>7688.89</v>
      </c>
      <c r="I12953" s="378">
        <v>4003.84</v>
      </c>
      <c r="J12953" s="378">
        <v>3055.01</v>
      </c>
      <c r="K12953" s="378">
        <v>630.04</v>
      </c>
      <c r="L12953" s="611">
        <v>7.0248967583963751</v>
      </c>
      <c r="M12953" s="611">
        <v>11.50033031739193</v>
      </c>
      <c r="N12953" s="611">
        <v>5.0831267366599562</v>
      </c>
      <c r="O12953" s="611">
        <v>4.3343423225096309</v>
      </c>
      <c r="P12953" s="379"/>
      <c r="Q12953" s="379"/>
      <c r="R12953" s="379">
        <v>1</v>
      </c>
    </row>
    <row r="12954" spans="1:18" ht="12.75" customHeight="1">
      <c r="A12954" s="630" t="s">
        <v>23508</v>
      </c>
      <c r="B12954" s="631"/>
      <c r="C12954" s="631"/>
      <c r="D12954" s="631"/>
      <c r="E12954" s="631"/>
      <c r="F12954" s="631"/>
      <c r="G12954" s="631"/>
      <c r="H12954" s="631"/>
      <c r="I12954" s="631"/>
      <c r="J12954" s="631"/>
      <c r="K12954" s="631"/>
      <c r="L12954" s="631"/>
      <c r="M12954" s="631"/>
      <c r="N12954" s="631"/>
      <c r="O12954" s="631"/>
      <c r="P12954" s="631"/>
      <c r="Q12954" s="631"/>
      <c r="R12954" s="631"/>
    </row>
    <row r="12955" spans="1:18" ht="12.75" customHeight="1">
      <c r="A12955" s="628" t="s">
        <v>23509</v>
      </c>
      <c r="B12955" s="629"/>
      <c r="C12955" s="629"/>
      <c r="D12955" s="629"/>
      <c r="E12955" s="629"/>
      <c r="F12955" s="629"/>
      <c r="G12955" s="629"/>
      <c r="H12955" s="629"/>
      <c r="I12955" s="629"/>
      <c r="J12955" s="629"/>
      <c r="K12955" s="629"/>
      <c r="L12955" s="629"/>
      <c r="M12955" s="629"/>
      <c r="N12955" s="629"/>
      <c r="O12955" s="629"/>
      <c r="P12955" s="629"/>
      <c r="Q12955" s="629"/>
      <c r="R12955" s="629"/>
    </row>
    <row r="12956" spans="1:18" ht="12.75" customHeight="1">
      <c r="A12956" s="628" t="s">
        <v>23510</v>
      </c>
      <c r="B12956" s="629"/>
      <c r="C12956" s="629"/>
      <c r="D12956" s="629"/>
      <c r="E12956" s="629"/>
      <c r="F12956" s="629"/>
      <c r="G12956" s="629"/>
      <c r="H12956" s="629"/>
      <c r="I12956" s="629"/>
      <c r="J12956" s="629"/>
      <c r="K12956" s="629"/>
      <c r="L12956" s="629"/>
      <c r="M12956" s="629"/>
      <c r="N12956" s="629"/>
      <c r="O12956" s="629"/>
      <c r="P12956" s="629"/>
      <c r="Q12956" s="629"/>
      <c r="R12956" s="629"/>
    </row>
    <row r="12957" spans="1:18" ht="24">
      <c r="A12957" s="369">
        <v>57</v>
      </c>
      <c r="B12957" s="366" t="s">
        <v>23511</v>
      </c>
      <c r="C12957" s="370" t="s">
        <v>23512</v>
      </c>
      <c r="D12957" s="371">
        <v>2904.85</v>
      </c>
      <c r="E12957" s="371">
        <v>892.77</v>
      </c>
      <c r="F12957" s="371">
        <v>1860.17</v>
      </c>
      <c r="G12957" s="371">
        <v>151.91</v>
      </c>
      <c r="H12957" s="372">
        <v>20383.55</v>
      </c>
      <c r="I12957" s="372">
        <v>10267.280000000001</v>
      </c>
      <c r="J12957" s="372">
        <v>9272.2000000000007</v>
      </c>
      <c r="K12957" s="372">
        <v>844.07</v>
      </c>
      <c r="L12957" s="43">
        <v>7.0170748919909807</v>
      </c>
      <c r="M12957" s="43">
        <v>11.500476046462136</v>
      </c>
      <c r="N12957" s="43">
        <v>4.9845981818866019</v>
      </c>
      <c r="O12957" s="43">
        <v>5.556382068329933</v>
      </c>
      <c r="P12957" s="373"/>
      <c r="Q12957" s="373"/>
      <c r="R12957" s="373">
        <v>1</v>
      </c>
    </row>
    <row r="12958" spans="1:18" ht="24">
      <c r="A12958" s="369">
        <v>58</v>
      </c>
      <c r="B12958" s="366" t="s">
        <v>23513</v>
      </c>
      <c r="C12958" s="370" t="s">
        <v>23514</v>
      </c>
      <c r="D12958" s="371">
        <v>6717.81</v>
      </c>
      <c r="E12958" s="371">
        <v>1090.52</v>
      </c>
      <c r="F12958" s="371">
        <v>5489.32</v>
      </c>
      <c r="G12958" s="371">
        <v>137.97</v>
      </c>
      <c r="H12958" s="372">
        <v>39723.599999999999</v>
      </c>
      <c r="I12958" s="372">
        <v>12541.41</v>
      </c>
      <c r="J12958" s="372">
        <v>26423.9</v>
      </c>
      <c r="K12958" s="372">
        <v>758.29</v>
      </c>
      <c r="L12958" s="43">
        <v>5.9131770621675805</v>
      </c>
      <c r="M12958" s="43">
        <v>11.500394307302939</v>
      </c>
      <c r="N12958" s="43">
        <v>4.8136927706892658</v>
      </c>
      <c r="O12958" s="43">
        <v>5.4960498659128794</v>
      </c>
      <c r="P12958" s="373"/>
      <c r="Q12958" s="373"/>
      <c r="R12958" s="373">
        <v>1</v>
      </c>
    </row>
    <row r="12959" spans="1:18" ht="24">
      <c r="A12959" s="374">
        <v>59</v>
      </c>
      <c r="B12959" s="375" t="s">
        <v>23515</v>
      </c>
      <c r="C12959" s="376" t="s">
        <v>23516</v>
      </c>
      <c r="D12959" s="377">
        <v>2192.6</v>
      </c>
      <c r="E12959" s="377">
        <v>525.44000000000005</v>
      </c>
      <c r="F12959" s="377">
        <v>1510.3</v>
      </c>
      <c r="G12959" s="377">
        <v>156.86000000000001</v>
      </c>
      <c r="H12959" s="378">
        <v>15360.69</v>
      </c>
      <c r="I12959" s="378">
        <v>6042.76</v>
      </c>
      <c r="J12959" s="378">
        <v>8589.85</v>
      </c>
      <c r="K12959" s="378">
        <v>728.08</v>
      </c>
      <c r="L12959" s="611">
        <v>7.0056964334579952</v>
      </c>
      <c r="M12959" s="611">
        <v>11.500380633373933</v>
      </c>
      <c r="N12959" s="611">
        <v>5.6875124147520362</v>
      </c>
      <c r="O12959" s="611">
        <v>4.6415912278464875</v>
      </c>
      <c r="P12959" s="379"/>
      <c r="Q12959" s="379"/>
      <c r="R12959" s="379">
        <v>1</v>
      </c>
    </row>
    <row r="12960" spans="1:18" ht="12.75" customHeight="1">
      <c r="A12960" s="630" t="s">
        <v>23517</v>
      </c>
      <c r="B12960" s="631"/>
      <c r="C12960" s="631"/>
      <c r="D12960" s="631"/>
      <c r="E12960" s="631"/>
      <c r="F12960" s="631"/>
      <c r="G12960" s="631"/>
      <c r="H12960" s="631"/>
      <c r="I12960" s="631"/>
      <c r="J12960" s="631"/>
      <c r="K12960" s="631"/>
      <c r="L12960" s="631"/>
      <c r="M12960" s="631"/>
      <c r="N12960" s="631"/>
      <c r="O12960" s="631"/>
      <c r="P12960" s="631"/>
      <c r="Q12960" s="631"/>
      <c r="R12960" s="631"/>
    </row>
    <row r="12961" spans="1:18" ht="12.75" customHeight="1">
      <c r="A12961" s="628" t="s">
        <v>23518</v>
      </c>
      <c r="B12961" s="629"/>
      <c r="C12961" s="629"/>
      <c r="D12961" s="629"/>
      <c r="E12961" s="629"/>
      <c r="F12961" s="629"/>
      <c r="G12961" s="629"/>
      <c r="H12961" s="629"/>
      <c r="I12961" s="629"/>
      <c r="J12961" s="629"/>
      <c r="K12961" s="629"/>
      <c r="L12961" s="629"/>
      <c r="M12961" s="629"/>
      <c r="N12961" s="629"/>
      <c r="O12961" s="629"/>
      <c r="P12961" s="629"/>
      <c r="Q12961" s="629"/>
      <c r="R12961" s="629"/>
    </row>
    <row r="12962" spans="1:18" ht="12.75" customHeight="1">
      <c r="A12962" s="628" t="s">
        <v>23519</v>
      </c>
      <c r="B12962" s="629"/>
      <c r="C12962" s="629"/>
      <c r="D12962" s="629"/>
      <c r="E12962" s="629"/>
      <c r="F12962" s="629"/>
      <c r="G12962" s="629"/>
      <c r="H12962" s="629"/>
      <c r="I12962" s="629"/>
      <c r="J12962" s="629"/>
      <c r="K12962" s="629"/>
      <c r="L12962" s="629"/>
      <c r="M12962" s="629"/>
      <c r="N12962" s="629"/>
      <c r="O12962" s="629"/>
      <c r="P12962" s="629"/>
      <c r="Q12962" s="629"/>
      <c r="R12962" s="629"/>
    </row>
    <row r="12963" spans="1:18" ht="36">
      <c r="A12963" s="369">
        <v>60</v>
      </c>
      <c r="B12963" s="366" t="s">
        <v>23520</v>
      </c>
      <c r="C12963" s="370" t="s">
        <v>23521</v>
      </c>
      <c r="D12963" s="371">
        <v>1723.6</v>
      </c>
      <c r="E12963" s="371">
        <v>315.06</v>
      </c>
      <c r="F12963" s="371">
        <v>1214.6199999999999</v>
      </c>
      <c r="G12963" s="371">
        <v>193.92</v>
      </c>
      <c r="H12963" s="372">
        <v>11559.2</v>
      </c>
      <c r="I12963" s="372">
        <v>3623.28</v>
      </c>
      <c r="J12963" s="372">
        <v>6914.57</v>
      </c>
      <c r="K12963" s="372">
        <v>1021.35</v>
      </c>
      <c r="L12963" s="43">
        <v>6.7064284056625674</v>
      </c>
      <c r="M12963" s="43">
        <v>11.50028565987431</v>
      </c>
      <c r="N12963" s="43">
        <v>5.6927845745994636</v>
      </c>
      <c r="O12963" s="43">
        <v>5.2668626237623766</v>
      </c>
      <c r="P12963" s="373"/>
      <c r="Q12963" s="373"/>
      <c r="R12963" s="373">
        <v>1</v>
      </c>
    </row>
    <row r="12964" spans="1:18" ht="36">
      <c r="A12964" s="369">
        <v>61</v>
      </c>
      <c r="B12964" s="366" t="s">
        <v>23522</v>
      </c>
      <c r="C12964" s="370" t="s">
        <v>23523</v>
      </c>
      <c r="D12964" s="371">
        <v>1632.37</v>
      </c>
      <c r="E12964" s="371">
        <v>394.11</v>
      </c>
      <c r="F12964" s="371">
        <v>1070.51</v>
      </c>
      <c r="G12964" s="371">
        <v>167.75</v>
      </c>
      <c r="H12964" s="372">
        <v>11592.27</v>
      </c>
      <c r="I12964" s="372">
        <v>4532.3999999999996</v>
      </c>
      <c r="J12964" s="372">
        <v>6091.77</v>
      </c>
      <c r="K12964" s="372">
        <v>968.1</v>
      </c>
      <c r="L12964" s="43">
        <v>7.1014965969725008</v>
      </c>
      <c r="M12964" s="43">
        <v>11.500342543959807</v>
      </c>
      <c r="N12964" s="43">
        <v>5.6905306816377248</v>
      </c>
      <c r="O12964" s="43">
        <v>5.7710879284649774</v>
      </c>
      <c r="P12964" s="373"/>
      <c r="Q12964" s="373"/>
      <c r="R12964" s="373">
        <v>1</v>
      </c>
    </row>
    <row r="12965" spans="1:18" ht="36">
      <c r="A12965" s="369">
        <v>62</v>
      </c>
      <c r="B12965" s="366" t="s">
        <v>23524</v>
      </c>
      <c r="C12965" s="370" t="s">
        <v>23525</v>
      </c>
      <c r="D12965" s="371">
        <v>2463.5700000000002</v>
      </c>
      <c r="E12965" s="371">
        <v>748.69</v>
      </c>
      <c r="F12965" s="371">
        <v>1120.3399999999999</v>
      </c>
      <c r="G12965" s="371">
        <v>594.54</v>
      </c>
      <c r="H12965" s="372">
        <v>17797.939999999999</v>
      </c>
      <c r="I12965" s="372">
        <v>8610.24</v>
      </c>
      <c r="J12965" s="372">
        <v>6358.1</v>
      </c>
      <c r="K12965" s="372">
        <v>2829.6</v>
      </c>
      <c r="L12965" s="43">
        <v>7.2244506955353396</v>
      </c>
      <c r="M12965" s="43">
        <v>11.500407378220624</v>
      </c>
      <c r="N12965" s="43">
        <v>5.6751521859435536</v>
      </c>
      <c r="O12965" s="43">
        <v>4.7593097184377839</v>
      </c>
      <c r="P12965" s="373"/>
      <c r="Q12965" s="373"/>
      <c r="R12965" s="373">
        <v>1</v>
      </c>
    </row>
    <row r="12966" spans="1:18" ht="12.75" customHeight="1">
      <c r="A12966" s="628" t="s">
        <v>23526</v>
      </c>
      <c r="B12966" s="629"/>
      <c r="C12966" s="629"/>
      <c r="D12966" s="629"/>
      <c r="E12966" s="629"/>
      <c r="F12966" s="629"/>
      <c r="G12966" s="629"/>
      <c r="H12966" s="629"/>
      <c r="I12966" s="629"/>
      <c r="J12966" s="629"/>
      <c r="K12966" s="629"/>
      <c r="L12966" s="629"/>
      <c r="M12966" s="629"/>
      <c r="N12966" s="629"/>
      <c r="O12966" s="629"/>
      <c r="P12966" s="629"/>
      <c r="Q12966" s="629"/>
      <c r="R12966" s="629"/>
    </row>
    <row r="12967" spans="1:18" ht="12.75" customHeight="1">
      <c r="A12967" s="628" t="s">
        <v>23527</v>
      </c>
      <c r="B12967" s="629"/>
      <c r="C12967" s="629"/>
      <c r="D12967" s="629"/>
      <c r="E12967" s="629"/>
      <c r="F12967" s="629"/>
      <c r="G12967" s="629"/>
      <c r="H12967" s="629"/>
      <c r="I12967" s="629"/>
      <c r="J12967" s="629"/>
      <c r="K12967" s="629"/>
      <c r="L12967" s="629"/>
      <c r="M12967" s="629"/>
      <c r="N12967" s="629"/>
      <c r="O12967" s="629"/>
      <c r="P12967" s="629"/>
      <c r="Q12967" s="629"/>
      <c r="R12967" s="629"/>
    </row>
    <row r="12968" spans="1:18" ht="24">
      <c r="A12968" s="369">
        <v>63</v>
      </c>
      <c r="B12968" s="366" t="s">
        <v>23528</v>
      </c>
      <c r="C12968" s="370" t="s">
        <v>23529</v>
      </c>
      <c r="D12968" s="371">
        <v>4160.2</v>
      </c>
      <c r="E12968" s="371">
        <v>789.13</v>
      </c>
      <c r="F12968" s="371">
        <v>3033.79</v>
      </c>
      <c r="G12968" s="371">
        <v>337.28</v>
      </c>
      <c r="H12968" s="372">
        <v>25029.13</v>
      </c>
      <c r="I12968" s="372">
        <v>9075.3799999999992</v>
      </c>
      <c r="J12968" s="372">
        <v>14591.74</v>
      </c>
      <c r="K12968" s="372">
        <v>1362.01</v>
      </c>
      <c r="L12968" s="43">
        <v>6.0163285418970247</v>
      </c>
      <c r="M12968" s="43">
        <v>11.500487879056681</v>
      </c>
      <c r="N12968" s="43">
        <v>4.8097396326047619</v>
      </c>
      <c r="O12968" s="43">
        <v>4.0382175047438329</v>
      </c>
      <c r="P12968" s="373"/>
      <c r="Q12968" s="373"/>
      <c r="R12968" s="373">
        <v>1</v>
      </c>
    </row>
    <row r="12969" spans="1:18" ht="24">
      <c r="A12969" s="369">
        <v>64</v>
      </c>
      <c r="B12969" s="366" t="s">
        <v>23530</v>
      </c>
      <c r="C12969" s="370" t="s">
        <v>23531</v>
      </c>
      <c r="D12969" s="371">
        <v>7294.45</v>
      </c>
      <c r="E12969" s="371">
        <v>542.33000000000004</v>
      </c>
      <c r="F12969" s="371">
        <v>6322.46</v>
      </c>
      <c r="G12969" s="371">
        <v>429.66</v>
      </c>
      <c r="H12969" s="372">
        <v>38240.629999999997</v>
      </c>
      <c r="I12969" s="372">
        <v>6237.01</v>
      </c>
      <c r="J12969" s="372">
        <v>30175.58</v>
      </c>
      <c r="K12969" s="372">
        <v>1828.04</v>
      </c>
      <c r="L12969" s="43">
        <v>5.2424281474271535</v>
      </c>
      <c r="M12969" s="43">
        <v>11.500396437593347</v>
      </c>
      <c r="N12969" s="43">
        <v>4.7727593373465398</v>
      </c>
      <c r="O12969" s="43">
        <v>4.2546199320392866</v>
      </c>
      <c r="P12969" s="373"/>
      <c r="Q12969" s="373"/>
      <c r="R12969" s="373">
        <v>1</v>
      </c>
    </row>
    <row r="12970" spans="1:18" ht="12.75" customHeight="1">
      <c r="A12970" s="628" t="s">
        <v>23532</v>
      </c>
      <c r="B12970" s="629"/>
      <c r="C12970" s="629"/>
      <c r="D12970" s="629"/>
      <c r="E12970" s="629"/>
      <c r="F12970" s="629"/>
      <c r="G12970" s="629"/>
      <c r="H12970" s="629"/>
      <c r="I12970" s="629"/>
      <c r="J12970" s="629"/>
      <c r="K12970" s="629"/>
      <c r="L12970" s="629"/>
      <c r="M12970" s="629"/>
      <c r="N12970" s="629"/>
      <c r="O12970" s="629"/>
      <c r="P12970" s="629"/>
      <c r="Q12970" s="629"/>
      <c r="R12970" s="629"/>
    </row>
    <row r="12971" spans="1:18" ht="24">
      <c r="A12971" s="369">
        <v>65</v>
      </c>
      <c r="B12971" s="366" t="s">
        <v>23533</v>
      </c>
      <c r="C12971" s="370" t="s">
        <v>23534</v>
      </c>
      <c r="D12971" s="371">
        <v>3086.9</v>
      </c>
      <c r="E12971" s="371">
        <v>503.49</v>
      </c>
      <c r="F12971" s="371">
        <v>2425.11</v>
      </c>
      <c r="G12971" s="371">
        <v>158.30000000000001</v>
      </c>
      <c r="H12971" s="372">
        <v>18059.599999999999</v>
      </c>
      <c r="I12971" s="372">
        <v>5790.37</v>
      </c>
      <c r="J12971" s="372">
        <v>11608.06</v>
      </c>
      <c r="K12971" s="372">
        <v>661.17</v>
      </c>
      <c r="L12971" s="43">
        <v>5.8504000777479019</v>
      </c>
      <c r="M12971" s="43">
        <v>11.500466742139864</v>
      </c>
      <c r="N12971" s="43">
        <v>4.7866117413230738</v>
      </c>
      <c r="O12971" s="43">
        <v>4.1766898294377759</v>
      </c>
      <c r="P12971" s="373"/>
      <c r="Q12971" s="373"/>
      <c r="R12971" s="373">
        <v>2</v>
      </c>
    </row>
    <row r="12972" spans="1:18" ht="24">
      <c r="A12972" s="374">
        <v>66</v>
      </c>
      <c r="B12972" s="375" t="s">
        <v>23535</v>
      </c>
      <c r="C12972" s="376" t="s">
        <v>23536</v>
      </c>
      <c r="D12972" s="377">
        <v>3182.49</v>
      </c>
      <c r="E12972" s="377">
        <v>464.66</v>
      </c>
      <c r="F12972" s="377">
        <v>2584.5100000000002</v>
      </c>
      <c r="G12972" s="377">
        <v>133.32</v>
      </c>
      <c r="H12972" s="378">
        <v>18208.560000000001</v>
      </c>
      <c r="I12972" s="378">
        <v>5343.74</v>
      </c>
      <c r="J12972" s="378">
        <v>12301.66</v>
      </c>
      <c r="K12972" s="378">
        <v>563.16</v>
      </c>
      <c r="L12972" s="611">
        <v>5.7214822356079678</v>
      </c>
      <c r="M12972" s="611">
        <v>11.500322816683164</v>
      </c>
      <c r="N12972" s="611">
        <v>4.7597649070810322</v>
      </c>
      <c r="O12972" s="611">
        <v>4.2241224122412238</v>
      </c>
      <c r="P12972" s="379"/>
      <c r="Q12972" s="379"/>
      <c r="R12972" s="379">
        <v>2</v>
      </c>
    </row>
    <row r="12973" spans="1:18" ht="12.75" customHeight="1">
      <c r="A12973" s="630" t="s">
        <v>23537</v>
      </c>
      <c r="B12973" s="631"/>
      <c r="C12973" s="631"/>
      <c r="D12973" s="631"/>
      <c r="E12973" s="631"/>
      <c r="F12973" s="631"/>
      <c r="G12973" s="631"/>
      <c r="H12973" s="631"/>
      <c r="I12973" s="631"/>
      <c r="J12973" s="631"/>
      <c r="K12973" s="631"/>
      <c r="L12973" s="631"/>
      <c r="M12973" s="631"/>
      <c r="N12973" s="631"/>
      <c r="O12973" s="631"/>
      <c r="P12973" s="631"/>
      <c r="Q12973" s="631"/>
      <c r="R12973" s="631"/>
    </row>
    <row r="12974" spans="1:18" ht="12.75" customHeight="1">
      <c r="A12974" s="628" t="s">
        <v>23538</v>
      </c>
      <c r="B12974" s="629"/>
      <c r="C12974" s="629"/>
      <c r="D12974" s="629"/>
      <c r="E12974" s="629"/>
      <c r="F12974" s="629"/>
      <c r="G12974" s="629"/>
      <c r="H12974" s="629"/>
      <c r="I12974" s="629"/>
      <c r="J12974" s="629"/>
      <c r="K12974" s="629"/>
      <c r="L12974" s="629"/>
      <c r="M12974" s="629"/>
      <c r="N12974" s="629"/>
      <c r="O12974" s="629"/>
      <c r="P12974" s="629"/>
      <c r="Q12974" s="629"/>
      <c r="R12974" s="629"/>
    </row>
    <row r="12975" spans="1:18" ht="12.75" customHeight="1">
      <c r="A12975" s="628" t="s">
        <v>23539</v>
      </c>
      <c r="B12975" s="629"/>
      <c r="C12975" s="629"/>
      <c r="D12975" s="629"/>
      <c r="E12975" s="629"/>
      <c r="F12975" s="629"/>
      <c r="G12975" s="629"/>
      <c r="H12975" s="629"/>
      <c r="I12975" s="629"/>
      <c r="J12975" s="629"/>
      <c r="K12975" s="629"/>
      <c r="L12975" s="629"/>
      <c r="M12975" s="629"/>
      <c r="N12975" s="629"/>
      <c r="O12975" s="629"/>
      <c r="P12975" s="629"/>
      <c r="Q12975" s="629"/>
      <c r="R12975" s="629"/>
    </row>
    <row r="12976" spans="1:18" ht="36">
      <c r="A12976" s="369">
        <v>67</v>
      </c>
      <c r="B12976" s="366" t="s">
        <v>23540</v>
      </c>
      <c r="C12976" s="370" t="s">
        <v>23541</v>
      </c>
      <c r="D12976" s="371">
        <v>3628.91</v>
      </c>
      <c r="E12976" s="371">
        <v>816.59</v>
      </c>
      <c r="F12976" s="371">
        <v>2678.82</v>
      </c>
      <c r="G12976" s="371">
        <v>133.5</v>
      </c>
      <c r="H12976" s="372">
        <v>23534.33</v>
      </c>
      <c r="I12976" s="372">
        <v>9391.19</v>
      </c>
      <c r="J12976" s="372">
        <v>13524.78</v>
      </c>
      <c r="K12976" s="372">
        <v>618.36</v>
      </c>
      <c r="L12976" s="43">
        <v>6.4852338581006421</v>
      </c>
      <c r="M12976" s="43">
        <v>11.500495964927319</v>
      </c>
      <c r="N12976" s="43">
        <v>5.0487826729679481</v>
      </c>
      <c r="O12976" s="43">
        <v>4.6319101123595505</v>
      </c>
      <c r="P12976" s="373"/>
      <c r="Q12976" s="373"/>
      <c r="R12976" s="373">
        <v>1</v>
      </c>
    </row>
    <row r="12977" spans="1:18" ht="36">
      <c r="A12977" s="369">
        <v>68</v>
      </c>
      <c r="B12977" s="366" t="s">
        <v>23542</v>
      </c>
      <c r="C12977" s="370" t="s">
        <v>23543</v>
      </c>
      <c r="D12977" s="371">
        <v>4804.1499999999996</v>
      </c>
      <c r="E12977" s="371">
        <v>931.26</v>
      </c>
      <c r="F12977" s="371">
        <v>3643.78</v>
      </c>
      <c r="G12977" s="371">
        <v>229.11</v>
      </c>
      <c r="H12977" s="372">
        <v>30327.13</v>
      </c>
      <c r="I12977" s="372">
        <v>10709.95</v>
      </c>
      <c r="J12977" s="372">
        <v>18588.310000000001</v>
      </c>
      <c r="K12977" s="372">
        <v>1028.8699999999999</v>
      </c>
      <c r="L12977" s="43">
        <v>6.3126942331109568</v>
      </c>
      <c r="M12977" s="43">
        <v>11.500493954427336</v>
      </c>
      <c r="N12977" s="43">
        <v>5.1013809834841837</v>
      </c>
      <c r="O12977" s="43">
        <v>4.4907249792675996</v>
      </c>
      <c r="P12977" s="373"/>
      <c r="Q12977" s="373"/>
      <c r="R12977" s="373">
        <v>1</v>
      </c>
    </row>
    <row r="12978" spans="1:18" ht="36">
      <c r="A12978" s="374">
        <v>69</v>
      </c>
      <c r="B12978" s="375" t="s">
        <v>23544</v>
      </c>
      <c r="C12978" s="376" t="s">
        <v>23545</v>
      </c>
      <c r="D12978" s="377">
        <v>6082.13</v>
      </c>
      <c r="E12978" s="377">
        <v>626.32000000000005</v>
      </c>
      <c r="F12978" s="377">
        <v>5261.17</v>
      </c>
      <c r="G12978" s="377">
        <v>194.64</v>
      </c>
      <c r="H12978" s="378">
        <v>34561.78</v>
      </c>
      <c r="I12978" s="378">
        <v>7202.95</v>
      </c>
      <c r="J12978" s="378">
        <v>26518</v>
      </c>
      <c r="K12978" s="378">
        <v>840.83</v>
      </c>
      <c r="L12978" s="611">
        <v>5.6825125408368447</v>
      </c>
      <c r="M12978" s="611">
        <v>11.500431089538893</v>
      </c>
      <c r="N12978" s="611">
        <v>5.0403237302729238</v>
      </c>
      <c r="O12978" s="611">
        <v>4.3199239621866017</v>
      </c>
      <c r="P12978" s="379"/>
      <c r="Q12978" s="379"/>
      <c r="R12978" s="379">
        <v>1</v>
      </c>
    </row>
    <row r="12979" spans="1:18" ht="12.75" customHeight="1">
      <c r="A12979" s="630" t="s">
        <v>23546</v>
      </c>
      <c r="B12979" s="631"/>
      <c r="C12979" s="631"/>
      <c r="D12979" s="631"/>
      <c r="E12979" s="631"/>
      <c r="F12979" s="631"/>
      <c r="G12979" s="631"/>
      <c r="H12979" s="631"/>
      <c r="I12979" s="631"/>
      <c r="J12979" s="631"/>
      <c r="K12979" s="631"/>
      <c r="L12979" s="631"/>
      <c r="M12979" s="631"/>
      <c r="N12979" s="631"/>
      <c r="O12979" s="631"/>
      <c r="P12979" s="631"/>
      <c r="Q12979" s="631"/>
      <c r="R12979" s="631"/>
    </row>
    <row r="12980" spans="1:18" ht="12.75" customHeight="1">
      <c r="A12980" s="628" t="s">
        <v>23547</v>
      </c>
      <c r="B12980" s="629"/>
      <c r="C12980" s="629"/>
      <c r="D12980" s="629"/>
      <c r="E12980" s="629"/>
      <c r="F12980" s="629"/>
      <c r="G12980" s="629"/>
      <c r="H12980" s="629"/>
      <c r="I12980" s="629"/>
      <c r="J12980" s="629"/>
      <c r="K12980" s="629"/>
      <c r="L12980" s="629"/>
      <c r="M12980" s="629"/>
      <c r="N12980" s="629"/>
      <c r="O12980" s="629"/>
      <c r="P12980" s="629"/>
      <c r="Q12980" s="629"/>
      <c r="R12980" s="629"/>
    </row>
    <row r="12981" spans="1:18" ht="12.75" customHeight="1">
      <c r="A12981" s="628" t="s">
        <v>23548</v>
      </c>
      <c r="B12981" s="629"/>
      <c r="C12981" s="629"/>
      <c r="D12981" s="629"/>
      <c r="E12981" s="629"/>
      <c r="F12981" s="629"/>
      <c r="G12981" s="629"/>
      <c r="H12981" s="629"/>
      <c r="I12981" s="629"/>
      <c r="J12981" s="629"/>
      <c r="K12981" s="629"/>
      <c r="L12981" s="629"/>
      <c r="M12981" s="629"/>
      <c r="N12981" s="629"/>
      <c r="O12981" s="629"/>
      <c r="P12981" s="629"/>
      <c r="Q12981" s="629"/>
      <c r="R12981" s="629"/>
    </row>
    <row r="12982" spans="1:18" ht="24">
      <c r="A12982" s="369">
        <v>70</v>
      </c>
      <c r="B12982" s="366" t="s">
        <v>23549</v>
      </c>
      <c r="C12982" s="370" t="s">
        <v>23550</v>
      </c>
      <c r="D12982" s="371">
        <v>2752.78</v>
      </c>
      <c r="E12982" s="371">
        <v>1340.54</v>
      </c>
      <c r="F12982" s="371">
        <v>1222.79</v>
      </c>
      <c r="G12982" s="371">
        <v>189.45</v>
      </c>
      <c r="H12982" s="372">
        <v>22299.14</v>
      </c>
      <c r="I12982" s="372">
        <v>15416.72</v>
      </c>
      <c r="J12982" s="372">
        <v>5976.27</v>
      </c>
      <c r="K12982" s="372">
        <v>906.15</v>
      </c>
      <c r="L12982" s="43">
        <v>8.1005892225314042</v>
      </c>
      <c r="M12982" s="43">
        <v>11.500380443701792</v>
      </c>
      <c r="N12982" s="43">
        <v>4.8874050327529668</v>
      </c>
      <c r="O12982" s="43">
        <v>4.7830562153602534</v>
      </c>
      <c r="P12982" s="373"/>
      <c r="Q12982" s="373"/>
      <c r="R12982" s="373">
        <v>1</v>
      </c>
    </row>
    <row r="12983" spans="1:18" ht="24">
      <c r="A12983" s="369">
        <v>71</v>
      </c>
      <c r="B12983" s="366" t="s">
        <v>23551</v>
      </c>
      <c r="C12983" s="370" t="s">
        <v>23552</v>
      </c>
      <c r="D12983" s="371">
        <v>1505.79</v>
      </c>
      <c r="E12983" s="371">
        <v>698.66</v>
      </c>
      <c r="F12983" s="371">
        <v>688.19</v>
      </c>
      <c r="G12983" s="371">
        <v>118.94</v>
      </c>
      <c r="H12983" s="372">
        <v>11951.37</v>
      </c>
      <c r="I12983" s="372">
        <v>8034.84</v>
      </c>
      <c r="J12983" s="372">
        <v>3370.16</v>
      </c>
      <c r="K12983" s="372">
        <v>546.37</v>
      </c>
      <c r="L12983" s="43">
        <v>7.9369433984818611</v>
      </c>
      <c r="M12983" s="43">
        <v>11.500357827841869</v>
      </c>
      <c r="N12983" s="43">
        <v>4.8971359653584035</v>
      </c>
      <c r="O12983" s="43">
        <v>4.5936606692449979</v>
      </c>
      <c r="P12983" s="373"/>
      <c r="Q12983" s="373"/>
      <c r="R12983" s="373">
        <v>1</v>
      </c>
    </row>
    <row r="12984" spans="1:18" ht="12.75" customHeight="1">
      <c r="A12984" s="628" t="s">
        <v>23553</v>
      </c>
      <c r="B12984" s="629"/>
      <c r="C12984" s="629"/>
      <c r="D12984" s="629"/>
      <c r="E12984" s="629"/>
      <c r="F12984" s="629"/>
      <c r="G12984" s="629"/>
      <c r="H12984" s="629"/>
      <c r="I12984" s="629"/>
      <c r="J12984" s="629"/>
      <c r="K12984" s="629"/>
      <c r="L12984" s="629"/>
      <c r="M12984" s="629"/>
      <c r="N12984" s="629"/>
      <c r="O12984" s="629"/>
      <c r="P12984" s="629"/>
      <c r="Q12984" s="629"/>
      <c r="R12984" s="629"/>
    </row>
    <row r="12985" spans="1:18" ht="12.75" customHeight="1">
      <c r="A12985" s="628" t="s">
        <v>23554</v>
      </c>
      <c r="B12985" s="629"/>
      <c r="C12985" s="629"/>
      <c r="D12985" s="629"/>
      <c r="E12985" s="629"/>
      <c r="F12985" s="629"/>
      <c r="G12985" s="629"/>
      <c r="H12985" s="629"/>
      <c r="I12985" s="629"/>
      <c r="J12985" s="629"/>
      <c r="K12985" s="629"/>
      <c r="L12985" s="629"/>
      <c r="M12985" s="629"/>
      <c r="N12985" s="629"/>
      <c r="O12985" s="629"/>
      <c r="P12985" s="629"/>
      <c r="Q12985" s="629"/>
      <c r="R12985" s="629"/>
    </row>
    <row r="12986" spans="1:18" ht="24">
      <c r="A12986" s="369">
        <v>72</v>
      </c>
      <c r="B12986" s="366" t="s">
        <v>23555</v>
      </c>
      <c r="C12986" s="370" t="s">
        <v>23556</v>
      </c>
      <c r="D12986" s="371">
        <v>3402.6</v>
      </c>
      <c r="E12986" s="371">
        <v>2092.4699999999998</v>
      </c>
      <c r="F12986" s="371">
        <v>1063.02</v>
      </c>
      <c r="G12986" s="371">
        <v>247.11</v>
      </c>
      <c r="H12986" s="372">
        <v>30489.360000000001</v>
      </c>
      <c r="I12986" s="372">
        <v>24064.32</v>
      </c>
      <c r="J12986" s="372">
        <v>5105.43</v>
      </c>
      <c r="K12986" s="372">
        <v>1319.61</v>
      </c>
      <c r="L12986" s="43">
        <v>8.9606065949567988</v>
      </c>
      <c r="M12986" s="43">
        <v>11.500437282254945</v>
      </c>
      <c r="N12986" s="43">
        <v>4.802760060958402</v>
      </c>
      <c r="O12986" s="43">
        <v>5.3401723928614784</v>
      </c>
      <c r="P12986" s="373"/>
      <c r="Q12986" s="373"/>
      <c r="R12986" s="373">
        <v>1</v>
      </c>
    </row>
    <row r="12987" spans="1:18" ht="24">
      <c r="A12987" s="369">
        <v>73</v>
      </c>
      <c r="B12987" s="366" t="s">
        <v>23557</v>
      </c>
      <c r="C12987" s="370" t="s">
        <v>23558</v>
      </c>
      <c r="D12987" s="371">
        <v>3694.93</v>
      </c>
      <c r="E12987" s="371">
        <v>2673.72</v>
      </c>
      <c r="F12987" s="371">
        <v>780.69</v>
      </c>
      <c r="G12987" s="371">
        <v>240.52</v>
      </c>
      <c r="H12987" s="372">
        <v>35865.75</v>
      </c>
      <c r="I12987" s="372">
        <v>30748.86</v>
      </c>
      <c r="J12987" s="372">
        <v>3728.46</v>
      </c>
      <c r="K12987" s="372">
        <v>1388.43</v>
      </c>
      <c r="L12987" s="43">
        <v>9.7067468125241891</v>
      </c>
      <c r="M12987" s="43">
        <v>11.500403931600916</v>
      </c>
      <c r="N12987" s="43">
        <v>4.7758521308073627</v>
      </c>
      <c r="O12987" s="43">
        <v>5.7726176617329124</v>
      </c>
      <c r="P12987" s="373"/>
      <c r="Q12987" s="373"/>
      <c r="R12987" s="373">
        <v>1</v>
      </c>
    </row>
    <row r="12988" spans="1:18" ht="12.75" customHeight="1">
      <c r="A12988" s="628" t="s">
        <v>23559</v>
      </c>
      <c r="B12988" s="629"/>
      <c r="C12988" s="629"/>
      <c r="D12988" s="629"/>
      <c r="E12988" s="629"/>
      <c r="F12988" s="629"/>
      <c r="G12988" s="629"/>
      <c r="H12988" s="629"/>
      <c r="I12988" s="629"/>
      <c r="J12988" s="629"/>
      <c r="K12988" s="629"/>
      <c r="L12988" s="629"/>
      <c r="M12988" s="629"/>
      <c r="N12988" s="629"/>
      <c r="O12988" s="629"/>
      <c r="P12988" s="629"/>
      <c r="Q12988" s="629"/>
      <c r="R12988" s="629"/>
    </row>
    <row r="12989" spans="1:18" ht="12.75" customHeight="1">
      <c r="A12989" s="628" t="s">
        <v>23560</v>
      </c>
      <c r="B12989" s="629"/>
      <c r="C12989" s="629"/>
      <c r="D12989" s="629"/>
      <c r="E12989" s="629"/>
      <c r="F12989" s="629"/>
      <c r="G12989" s="629"/>
      <c r="H12989" s="629"/>
      <c r="I12989" s="629"/>
      <c r="J12989" s="629"/>
      <c r="K12989" s="629"/>
      <c r="L12989" s="629"/>
      <c r="M12989" s="629"/>
      <c r="N12989" s="629"/>
      <c r="O12989" s="629"/>
      <c r="P12989" s="629"/>
      <c r="Q12989" s="629"/>
      <c r="R12989" s="629"/>
    </row>
    <row r="12990" spans="1:18" ht="24">
      <c r="A12990" s="369">
        <v>74</v>
      </c>
      <c r="B12990" s="366" t="s">
        <v>23561</v>
      </c>
      <c r="C12990" s="370" t="s">
        <v>23562</v>
      </c>
      <c r="D12990" s="371">
        <v>2230.54</v>
      </c>
      <c r="E12990" s="371">
        <v>645.04999999999995</v>
      </c>
      <c r="F12990" s="371">
        <v>1291.6600000000001</v>
      </c>
      <c r="G12990" s="371">
        <v>293.83</v>
      </c>
      <c r="H12990" s="372">
        <v>14769.47</v>
      </c>
      <c r="I12990" s="372">
        <v>7418.34</v>
      </c>
      <c r="J12990" s="372">
        <v>6171.25</v>
      </c>
      <c r="K12990" s="372">
        <v>1179.8800000000001</v>
      </c>
      <c r="L12990" s="43">
        <v>6.6214773104270712</v>
      </c>
      <c r="M12990" s="43">
        <v>11.5004108208666</v>
      </c>
      <c r="N12990" s="43">
        <v>4.7777665949243602</v>
      </c>
      <c r="O12990" s="43">
        <v>4.0155191777558459</v>
      </c>
      <c r="P12990" s="373"/>
      <c r="Q12990" s="373"/>
      <c r="R12990" s="373">
        <v>1</v>
      </c>
    </row>
    <row r="12991" spans="1:18" ht="24">
      <c r="A12991" s="369">
        <v>75</v>
      </c>
      <c r="B12991" s="366" t="s">
        <v>23563</v>
      </c>
      <c r="C12991" s="370" t="s">
        <v>23564</v>
      </c>
      <c r="D12991" s="371">
        <v>2152.9</v>
      </c>
      <c r="E12991" s="371">
        <v>554.85</v>
      </c>
      <c r="F12991" s="371">
        <v>1118.74</v>
      </c>
      <c r="G12991" s="371">
        <v>479.31</v>
      </c>
      <c r="H12991" s="372">
        <v>13586.7</v>
      </c>
      <c r="I12991" s="372">
        <v>6381.04</v>
      </c>
      <c r="J12991" s="372">
        <v>5358.78</v>
      </c>
      <c r="K12991" s="372">
        <v>1846.88</v>
      </c>
      <c r="L12991" s="43">
        <v>6.3108829950299601</v>
      </c>
      <c r="M12991" s="43">
        <v>11.500477606560331</v>
      </c>
      <c r="N12991" s="43">
        <v>4.7900137654861714</v>
      </c>
      <c r="O12991" s="43">
        <v>3.8532056497882374</v>
      </c>
      <c r="P12991" s="373"/>
      <c r="Q12991" s="373"/>
      <c r="R12991" s="373">
        <v>1</v>
      </c>
    </row>
    <row r="12992" spans="1:18" ht="24">
      <c r="A12992" s="369">
        <v>76</v>
      </c>
      <c r="B12992" s="366" t="s">
        <v>23565</v>
      </c>
      <c r="C12992" s="370" t="s">
        <v>23566</v>
      </c>
      <c r="D12992" s="371">
        <v>2320.11</v>
      </c>
      <c r="E12992" s="371">
        <v>618.74</v>
      </c>
      <c r="F12992" s="371">
        <v>939.86</v>
      </c>
      <c r="G12992" s="371">
        <v>761.51</v>
      </c>
      <c r="H12992" s="372">
        <v>14511.08</v>
      </c>
      <c r="I12992" s="372">
        <v>7115.74</v>
      </c>
      <c r="J12992" s="372">
        <v>4502.32</v>
      </c>
      <c r="K12992" s="372">
        <v>2893.02</v>
      </c>
      <c r="L12992" s="43">
        <v>6.2544793134808261</v>
      </c>
      <c r="M12992" s="43">
        <v>11.500371723179365</v>
      </c>
      <c r="N12992" s="43">
        <v>4.7904155938118436</v>
      </c>
      <c r="O12992" s="43">
        <v>3.7990571364788379</v>
      </c>
      <c r="P12992" s="373"/>
      <c r="Q12992" s="373"/>
      <c r="R12992" s="373">
        <v>1</v>
      </c>
    </row>
    <row r="12993" spans="1:18" ht="36">
      <c r="A12993" s="369">
        <v>77</v>
      </c>
      <c r="B12993" s="366" t="s">
        <v>23567</v>
      </c>
      <c r="C12993" s="370" t="s">
        <v>23568</v>
      </c>
      <c r="D12993" s="371">
        <v>5702.76</v>
      </c>
      <c r="E12993" s="371">
        <v>603.45000000000005</v>
      </c>
      <c r="F12993" s="371">
        <v>3236.97</v>
      </c>
      <c r="G12993" s="371">
        <v>1862.34</v>
      </c>
      <c r="H12993" s="372">
        <v>35195.199999999997</v>
      </c>
      <c r="I12993" s="372">
        <v>6939.99</v>
      </c>
      <c r="J12993" s="372">
        <v>18395.34</v>
      </c>
      <c r="K12993" s="372">
        <v>9859.8700000000008</v>
      </c>
      <c r="L12993" s="43">
        <v>6.1716081336054813</v>
      </c>
      <c r="M12993" s="43">
        <v>11.500521998508574</v>
      </c>
      <c r="N12993" s="43">
        <v>5.6828886273274088</v>
      </c>
      <c r="O12993" s="43">
        <v>5.2943447490791158</v>
      </c>
      <c r="P12993" s="373"/>
      <c r="Q12993" s="373"/>
      <c r="R12993" s="373">
        <v>1</v>
      </c>
    </row>
    <row r="12994" spans="1:18" ht="36">
      <c r="A12994" s="369">
        <v>78</v>
      </c>
      <c r="B12994" s="366" t="s">
        <v>23569</v>
      </c>
      <c r="C12994" s="370" t="s">
        <v>23570</v>
      </c>
      <c r="D12994" s="371">
        <v>4014.18</v>
      </c>
      <c r="E12994" s="371">
        <v>656.88</v>
      </c>
      <c r="F12994" s="371">
        <v>2164.64</v>
      </c>
      <c r="G12994" s="371">
        <v>1192.6600000000001</v>
      </c>
      <c r="H12994" s="372">
        <v>25816.22</v>
      </c>
      <c r="I12994" s="372">
        <v>7554.44</v>
      </c>
      <c r="J12994" s="372">
        <v>12047.05</v>
      </c>
      <c r="K12994" s="372">
        <v>6214.73</v>
      </c>
      <c r="L12994" s="43">
        <v>6.4312561967824067</v>
      </c>
      <c r="M12994" s="43">
        <v>11.500487151382291</v>
      </c>
      <c r="N12994" s="43">
        <v>5.5653826964298911</v>
      </c>
      <c r="O12994" s="43">
        <v>5.2108144819143751</v>
      </c>
      <c r="P12994" s="373"/>
      <c r="Q12994" s="373"/>
      <c r="R12994" s="373">
        <v>1</v>
      </c>
    </row>
    <row r="12995" spans="1:18" ht="36">
      <c r="A12995" s="369">
        <v>79</v>
      </c>
      <c r="B12995" s="366" t="s">
        <v>23571</v>
      </c>
      <c r="C12995" s="370" t="s">
        <v>23572</v>
      </c>
      <c r="D12995" s="371">
        <v>5054.07</v>
      </c>
      <c r="E12995" s="371">
        <v>762.48</v>
      </c>
      <c r="F12995" s="371">
        <v>3057.28</v>
      </c>
      <c r="G12995" s="371">
        <v>1234.31</v>
      </c>
      <c r="H12995" s="372">
        <v>31687.94</v>
      </c>
      <c r="I12995" s="372">
        <v>8768.81</v>
      </c>
      <c r="J12995" s="372">
        <v>16466.77</v>
      </c>
      <c r="K12995" s="372">
        <v>6452.36</v>
      </c>
      <c r="L12995" s="43">
        <v>6.2697865284810064</v>
      </c>
      <c r="M12995" s="43">
        <v>11.500380337844927</v>
      </c>
      <c r="N12995" s="43">
        <v>5.3860850167469119</v>
      </c>
      <c r="O12995" s="43">
        <v>5.2275036255073681</v>
      </c>
      <c r="P12995" s="373"/>
      <c r="Q12995" s="373"/>
      <c r="R12995" s="373">
        <v>1</v>
      </c>
    </row>
    <row r="12996" spans="1:18" ht="36">
      <c r="A12996" s="374">
        <v>80</v>
      </c>
      <c r="B12996" s="375" t="s">
        <v>23573</v>
      </c>
      <c r="C12996" s="376" t="s">
        <v>23574</v>
      </c>
      <c r="D12996" s="377">
        <v>2669</v>
      </c>
      <c r="E12996" s="377">
        <v>590.47</v>
      </c>
      <c r="F12996" s="377">
        <v>1545.57</v>
      </c>
      <c r="G12996" s="377">
        <v>532.96</v>
      </c>
      <c r="H12996" s="378">
        <v>17636.21</v>
      </c>
      <c r="I12996" s="378">
        <v>6790.67</v>
      </c>
      <c r="J12996" s="378">
        <v>8107.91</v>
      </c>
      <c r="K12996" s="378">
        <v>2737.63</v>
      </c>
      <c r="L12996" s="611">
        <v>6.6077969276882724</v>
      </c>
      <c r="M12996" s="611">
        <v>11.500448795027689</v>
      </c>
      <c r="N12996" s="611">
        <v>5.2459028060844863</v>
      </c>
      <c r="O12996" s="611">
        <v>5.1366519063344338</v>
      </c>
      <c r="P12996" s="379"/>
      <c r="Q12996" s="379"/>
      <c r="R12996" s="379">
        <v>1</v>
      </c>
    </row>
    <row r="12997" spans="1:18" ht="12.75" customHeight="1">
      <c r="A12997" s="630" t="s">
        <v>23575</v>
      </c>
      <c r="B12997" s="631"/>
      <c r="C12997" s="631"/>
      <c r="D12997" s="631"/>
      <c r="E12997" s="631"/>
      <c r="F12997" s="631"/>
      <c r="G12997" s="631"/>
      <c r="H12997" s="631"/>
      <c r="I12997" s="631"/>
      <c r="J12997" s="631"/>
      <c r="K12997" s="631"/>
      <c r="L12997" s="631"/>
      <c r="M12997" s="631"/>
      <c r="N12997" s="631"/>
      <c r="O12997" s="631"/>
      <c r="P12997" s="631"/>
      <c r="Q12997" s="631"/>
      <c r="R12997" s="631"/>
    </row>
    <row r="12998" spans="1:18" ht="12.75" customHeight="1">
      <c r="A12998" s="628" t="s">
        <v>23576</v>
      </c>
      <c r="B12998" s="629"/>
      <c r="C12998" s="629"/>
      <c r="D12998" s="629"/>
      <c r="E12998" s="629"/>
      <c r="F12998" s="629"/>
      <c r="G12998" s="629"/>
      <c r="H12998" s="629"/>
      <c r="I12998" s="629"/>
      <c r="J12998" s="629"/>
      <c r="K12998" s="629"/>
      <c r="L12998" s="629"/>
      <c r="M12998" s="629"/>
      <c r="N12998" s="629"/>
      <c r="O12998" s="629"/>
      <c r="P12998" s="629"/>
      <c r="Q12998" s="629"/>
      <c r="R12998" s="629"/>
    </row>
    <row r="12999" spans="1:18" ht="12.75" customHeight="1">
      <c r="A12999" s="628" t="s">
        <v>23577</v>
      </c>
      <c r="B12999" s="629"/>
      <c r="C12999" s="629"/>
      <c r="D12999" s="629"/>
      <c r="E12999" s="629"/>
      <c r="F12999" s="629"/>
      <c r="G12999" s="629"/>
      <c r="H12999" s="629"/>
      <c r="I12999" s="629"/>
      <c r="J12999" s="629"/>
      <c r="K12999" s="629"/>
      <c r="L12999" s="629"/>
      <c r="M12999" s="629"/>
      <c r="N12999" s="629"/>
      <c r="O12999" s="629"/>
      <c r="P12999" s="629"/>
      <c r="Q12999" s="629"/>
      <c r="R12999" s="629"/>
    </row>
    <row r="13000" spans="1:18" ht="24">
      <c r="A13000" s="369">
        <v>81</v>
      </c>
      <c r="B13000" s="366" t="s">
        <v>23578</v>
      </c>
      <c r="C13000" s="370" t="s">
        <v>23579</v>
      </c>
      <c r="D13000" s="371">
        <v>2947.02</v>
      </c>
      <c r="E13000" s="371">
        <v>740.3</v>
      </c>
      <c r="F13000" s="371">
        <v>2058.59</v>
      </c>
      <c r="G13000" s="371">
        <v>148.13</v>
      </c>
      <c r="H13000" s="372">
        <v>19540.22</v>
      </c>
      <c r="I13000" s="372">
        <v>8513.7800000000007</v>
      </c>
      <c r="J13000" s="372">
        <v>10330.24</v>
      </c>
      <c r="K13000" s="372">
        <v>696.2</v>
      </c>
      <c r="L13000" s="43">
        <v>6.6305013199774692</v>
      </c>
      <c r="M13000" s="43">
        <v>11.500445765230314</v>
      </c>
      <c r="N13000" s="43">
        <v>5.0181143403980393</v>
      </c>
      <c r="O13000" s="43">
        <v>4.6999257409032609</v>
      </c>
      <c r="P13000" s="373"/>
      <c r="Q13000" s="373"/>
      <c r="R13000" s="373">
        <v>1</v>
      </c>
    </row>
    <row r="13001" spans="1:18" ht="12.75" customHeight="1">
      <c r="A13001" s="628" t="s">
        <v>23580</v>
      </c>
      <c r="B13001" s="629"/>
      <c r="C13001" s="629"/>
      <c r="D13001" s="629"/>
      <c r="E13001" s="629"/>
      <c r="F13001" s="629"/>
      <c r="G13001" s="629"/>
      <c r="H13001" s="629"/>
      <c r="I13001" s="629"/>
      <c r="J13001" s="629"/>
      <c r="K13001" s="629"/>
      <c r="L13001" s="629"/>
      <c r="M13001" s="629"/>
      <c r="N13001" s="629"/>
      <c r="O13001" s="629"/>
      <c r="P13001" s="629"/>
      <c r="Q13001" s="629"/>
      <c r="R13001" s="629"/>
    </row>
    <row r="13002" spans="1:18" ht="12.75" customHeight="1">
      <c r="A13002" s="628" t="s">
        <v>23581</v>
      </c>
      <c r="B13002" s="629"/>
      <c r="C13002" s="629"/>
      <c r="D13002" s="629"/>
      <c r="E13002" s="629"/>
      <c r="F13002" s="629"/>
      <c r="G13002" s="629"/>
      <c r="H13002" s="629"/>
      <c r="I13002" s="629"/>
      <c r="J13002" s="629"/>
      <c r="K13002" s="629"/>
      <c r="L13002" s="629"/>
      <c r="M13002" s="629"/>
      <c r="N13002" s="629"/>
      <c r="O13002" s="629"/>
      <c r="P13002" s="629"/>
      <c r="Q13002" s="629"/>
      <c r="R13002" s="629"/>
    </row>
    <row r="13003" spans="1:18" ht="24">
      <c r="A13003" s="369">
        <v>82</v>
      </c>
      <c r="B13003" s="366" t="s">
        <v>23582</v>
      </c>
      <c r="C13003" s="370" t="s">
        <v>23583</v>
      </c>
      <c r="D13003" s="371">
        <v>2300.4</v>
      </c>
      <c r="E13003" s="371">
        <v>740.3</v>
      </c>
      <c r="F13003" s="371">
        <v>1197.3699999999999</v>
      </c>
      <c r="G13003" s="371">
        <v>362.73</v>
      </c>
      <c r="H13003" s="372">
        <v>17560.04</v>
      </c>
      <c r="I13003" s="372">
        <v>8513.7800000000007</v>
      </c>
      <c r="J13003" s="372">
        <v>7139.63</v>
      </c>
      <c r="K13003" s="372">
        <v>1906.63</v>
      </c>
      <c r="L13003" s="43">
        <v>7.6334724395757263</v>
      </c>
      <c r="M13003" s="43">
        <v>11.500445765230314</v>
      </c>
      <c r="N13003" s="43">
        <v>5.9627600491076285</v>
      </c>
      <c r="O13003" s="43">
        <v>5.2563339122763493</v>
      </c>
      <c r="P13003" s="373"/>
      <c r="Q13003" s="373"/>
      <c r="R13003" s="373">
        <v>1</v>
      </c>
    </row>
    <row r="13004" spans="1:18" ht="12.75" customHeight="1">
      <c r="A13004" s="628" t="s">
        <v>23584</v>
      </c>
      <c r="B13004" s="629"/>
      <c r="C13004" s="629"/>
      <c r="D13004" s="629"/>
      <c r="E13004" s="629"/>
      <c r="F13004" s="629"/>
      <c r="G13004" s="629"/>
      <c r="H13004" s="629"/>
      <c r="I13004" s="629"/>
      <c r="J13004" s="629"/>
      <c r="K13004" s="629"/>
      <c r="L13004" s="629"/>
      <c r="M13004" s="629"/>
      <c r="N13004" s="629"/>
      <c r="O13004" s="629"/>
      <c r="P13004" s="629"/>
      <c r="Q13004" s="629"/>
      <c r="R13004" s="629"/>
    </row>
    <row r="13005" spans="1:18" ht="24">
      <c r="A13005" s="369">
        <v>83</v>
      </c>
      <c r="B13005" s="366" t="s">
        <v>23585</v>
      </c>
      <c r="C13005" s="370" t="s">
        <v>23586</v>
      </c>
      <c r="D13005" s="371">
        <v>3622.89</v>
      </c>
      <c r="E13005" s="371">
        <v>808.38</v>
      </c>
      <c r="F13005" s="371">
        <v>2446.3200000000002</v>
      </c>
      <c r="G13005" s="371">
        <v>368.19</v>
      </c>
      <c r="H13005" s="372">
        <v>23083.54</v>
      </c>
      <c r="I13005" s="372">
        <v>9296.73</v>
      </c>
      <c r="J13005" s="372">
        <v>12273.91</v>
      </c>
      <c r="K13005" s="372">
        <v>1512.9</v>
      </c>
      <c r="L13005" s="43">
        <v>6.3715818034773353</v>
      </c>
      <c r="M13005" s="43">
        <v>11.500445335114673</v>
      </c>
      <c r="N13005" s="43">
        <v>5.0172953661009183</v>
      </c>
      <c r="O13005" s="43">
        <v>4.1090197995600102</v>
      </c>
      <c r="P13005" s="373"/>
      <c r="Q13005" s="373"/>
      <c r="R13005" s="373">
        <v>2</v>
      </c>
    </row>
    <row r="13006" spans="1:18" ht="24">
      <c r="A13006" s="369">
        <v>84</v>
      </c>
      <c r="B13006" s="366" t="s">
        <v>23587</v>
      </c>
      <c r="C13006" s="370" t="s">
        <v>23588</v>
      </c>
      <c r="D13006" s="371">
        <v>4054.15</v>
      </c>
      <c r="E13006" s="371">
        <v>1432.14</v>
      </c>
      <c r="F13006" s="371">
        <v>1679.7</v>
      </c>
      <c r="G13006" s="371">
        <v>942.31</v>
      </c>
      <c r="H13006" s="372">
        <v>28695.73</v>
      </c>
      <c r="I13006" s="372">
        <v>16470.25</v>
      </c>
      <c r="J13006" s="372">
        <v>8474.58</v>
      </c>
      <c r="K13006" s="372">
        <v>3750.9</v>
      </c>
      <c r="L13006" s="43">
        <v>7.078112551336285</v>
      </c>
      <c r="M13006" s="43">
        <v>11.500446883684555</v>
      </c>
      <c r="N13006" s="43">
        <v>5.0452938024647258</v>
      </c>
      <c r="O13006" s="43">
        <v>3.9805371905211664</v>
      </c>
      <c r="P13006" s="373"/>
      <c r="Q13006" s="373"/>
      <c r="R13006" s="373">
        <v>2</v>
      </c>
    </row>
    <row r="13007" spans="1:18" ht="12.75" customHeight="1">
      <c r="A13007" s="628" t="s">
        <v>23589</v>
      </c>
      <c r="B13007" s="629"/>
      <c r="C13007" s="629"/>
      <c r="D13007" s="629"/>
      <c r="E13007" s="629"/>
      <c r="F13007" s="629"/>
      <c r="G13007" s="629"/>
      <c r="H13007" s="629"/>
      <c r="I13007" s="629"/>
      <c r="J13007" s="629"/>
      <c r="K13007" s="629"/>
      <c r="L13007" s="629"/>
      <c r="M13007" s="629"/>
      <c r="N13007" s="629"/>
      <c r="O13007" s="629"/>
      <c r="P13007" s="629"/>
      <c r="Q13007" s="629"/>
      <c r="R13007" s="629"/>
    </row>
    <row r="13008" spans="1:18" ht="12.75" customHeight="1">
      <c r="A13008" s="628" t="s">
        <v>23590</v>
      </c>
      <c r="B13008" s="629"/>
      <c r="C13008" s="629"/>
      <c r="D13008" s="629"/>
      <c r="E13008" s="629"/>
      <c r="F13008" s="629"/>
      <c r="G13008" s="629"/>
      <c r="H13008" s="629"/>
      <c r="I13008" s="629"/>
      <c r="J13008" s="629"/>
      <c r="K13008" s="629"/>
      <c r="L13008" s="629"/>
      <c r="M13008" s="629"/>
      <c r="N13008" s="629"/>
      <c r="O13008" s="629"/>
      <c r="P13008" s="629"/>
      <c r="Q13008" s="629"/>
      <c r="R13008" s="629"/>
    </row>
    <row r="13009" spans="1:18" ht="24">
      <c r="A13009" s="369">
        <v>85</v>
      </c>
      <c r="B13009" s="366" t="s">
        <v>23591</v>
      </c>
      <c r="C13009" s="370" t="s">
        <v>23592</v>
      </c>
      <c r="D13009" s="371">
        <v>2451.92</v>
      </c>
      <c r="E13009" s="371">
        <v>666.47</v>
      </c>
      <c r="F13009" s="371">
        <v>889.01</v>
      </c>
      <c r="G13009" s="371">
        <v>896.44</v>
      </c>
      <c r="H13009" s="372">
        <v>15698.62</v>
      </c>
      <c r="I13009" s="372">
        <v>7664.73</v>
      </c>
      <c r="J13009" s="372">
        <v>4521.92</v>
      </c>
      <c r="K13009" s="372">
        <v>3511.97</v>
      </c>
      <c r="L13009" s="43">
        <v>6.4025824659858399</v>
      </c>
      <c r="M13009" s="43">
        <v>11.500487643854935</v>
      </c>
      <c r="N13009" s="43">
        <v>5.0864669688754907</v>
      </c>
      <c r="O13009" s="43">
        <v>3.9176855115791347</v>
      </c>
      <c r="P13009" s="373"/>
      <c r="Q13009" s="373"/>
      <c r="R13009" s="373">
        <v>1</v>
      </c>
    </row>
    <row r="13010" spans="1:18" ht="12.75" customHeight="1">
      <c r="A13010" s="628" t="s">
        <v>23593</v>
      </c>
      <c r="B13010" s="629"/>
      <c r="C13010" s="629"/>
      <c r="D13010" s="629"/>
      <c r="E13010" s="629"/>
      <c r="F13010" s="629"/>
      <c r="G13010" s="629"/>
      <c r="H13010" s="629"/>
      <c r="I13010" s="629"/>
      <c r="J13010" s="629"/>
      <c r="K13010" s="629"/>
      <c r="L13010" s="629"/>
      <c r="M13010" s="629"/>
      <c r="N13010" s="629"/>
      <c r="O13010" s="629"/>
      <c r="P13010" s="629"/>
      <c r="Q13010" s="629"/>
      <c r="R13010" s="629"/>
    </row>
    <row r="13011" spans="1:18" ht="24">
      <c r="A13011" s="369">
        <v>86</v>
      </c>
      <c r="B13011" s="366" t="s">
        <v>23594</v>
      </c>
      <c r="C13011" s="370" t="s">
        <v>23595</v>
      </c>
      <c r="D13011" s="371">
        <v>2682.78</v>
      </c>
      <c r="E13011" s="371">
        <v>830.84</v>
      </c>
      <c r="F13011" s="371">
        <v>1242.3499999999999</v>
      </c>
      <c r="G13011" s="371">
        <v>609.59</v>
      </c>
      <c r="H13011" s="372">
        <v>18264.79</v>
      </c>
      <c r="I13011" s="372">
        <v>9555.0400000000009</v>
      </c>
      <c r="J13011" s="372">
        <v>6307.01</v>
      </c>
      <c r="K13011" s="372">
        <v>2402.7399999999998</v>
      </c>
      <c r="L13011" s="43">
        <v>6.8081579555535674</v>
      </c>
      <c r="M13011" s="43">
        <v>11.500457368446392</v>
      </c>
      <c r="N13011" s="43">
        <v>5.0766772648609493</v>
      </c>
      <c r="O13011" s="43">
        <v>3.9415672829278692</v>
      </c>
      <c r="P13011" s="373"/>
      <c r="Q13011" s="373"/>
      <c r="R13011" s="373">
        <v>2</v>
      </c>
    </row>
    <row r="13012" spans="1:18" ht="24">
      <c r="A13012" s="369">
        <v>87</v>
      </c>
      <c r="B13012" s="366" t="s">
        <v>23596</v>
      </c>
      <c r="C13012" s="370" t="s">
        <v>23597</v>
      </c>
      <c r="D13012" s="371">
        <v>4637.51</v>
      </c>
      <c r="E13012" s="371">
        <v>1068</v>
      </c>
      <c r="F13012" s="371">
        <v>2709.29</v>
      </c>
      <c r="G13012" s="371">
        <v>860.22</v>
      </c>
      <c r="H13012" s="372">
        <v>31849.16</v>
      </c>
      <c r="I13012" s="372">
        <v>12282.41</v>
      </c>
      <c r="J13012" s="372">
        <v>15004.45</v>
      </c>
      <c r="K13012" s="372">
        <v>4562.3</v>
      </c>
      <c r="L13012" s="43">
        <v>6.8677285871081679</v>
      </c>
      <c r="M13012" s="43">
        <v>11.500383895131087</v>
      </c>
      <c r="N13012" s="43">
        <v>5.5381483709754216</v>
      </c>
      <c r="O13012" s="43">
        <v>5.3036432540512894</v>
      </c>
      <c r="P13012" s="373"/>
      <c r="Q13012" s="373"/>
      <c r="R13012" s="373">
        <v>2</v>
      </c>
    </row>
    <row r="13013" spans="1:18" ht="24">
      <c r="A13013" s="369">
        <v>88</v>
      </c>
      <c r="B13013" s="366" t="s">
        <v>23598</v>
      </c>
      <c r="C13013" s="370" t="s">
        <v>23599</v>
      </c>
      <c r="D13013" s="371">
        <v>4962.05</v>
      </c>
      <c r="E13013" s="371">
        <v>689.74</v>
      </c>
      <c r="F13013" s="371">
        <v>2520.23</v>
      </c>
      <c r="G13013" s="371">
        <v>1752.08</v>
      </c>
      <c r="H13013" s="372">
        <v>32186.799999999999</v>
      </c>
      <c r="I13013" s="372">
        <v>7932.36</v>
      </c>
      <c r="J13013" s="372">
        <v>14962.36</v>
      </c>
      <c r="K13013" s="372">
        <v>9292.08</v>
      </c>
      <c r="L13013" s="43">
        <v>6.4865932427121855</v>
      </c>
      <c r="M13013" s="43">
        <v>11.500507437585176</v>
      </c>
      <c r="N13013" s="43">
        <v>5.9369025842879424</v>
      </c>
      <c r="O13013" s="43">
        <v>5.3034564631751975</v>
      </c>
      <c r="P13013" s="373"/>
      <c r="Q13013" s="373"/>
      <c r="R13013" s="373">
        <v>2</v>
      </c>
    </row>
    <row r="13014" spans="1:18" ht="12.75" customHeight="1">
      <c r="A13014" s="628" t="s">
        <v>23600</v>
      </c>
      <c r="B13014" s="629"/>
      <c r="C13014" s="629"/>
      <c r="D13014" s="629"/>
      <c r="E13014" s="629"/>
      <c r="F13014" s="629"/>
      <c r="G13014" s="629"/>
      <c r="H13014" s="629"/>
      <c r="I13014" s="629"/>
      <c r="J13014" s="629"/>
      <c r="K13014" s="629"/>
      <c r="L13014" s="629"/>
      <c r="M13014" s="629"/>
      <c r="N13014" s="629"/>
      <c r="O13014" s="629"/>
      <c r="P13014" s="629"/>
      <c r="Q13014" s="629"/>
      <c r="R13014" s="629"/>
    </row>
    <row r="13015" spans="1:18" ht="24">
      <c r="A13015" s="369">
        <v>89</v>
      </c>
      <c r="B13015" s="366" t="s">
        <v>23601</v>
      </c>
      <c r="C13015" s="370" t="s">
        <v>23602</v>
      </c>
      <c r="D13015" s="371">
        <v>4469.63</v>
      </c>
      <c r="E13015" s="371">
        <v>1243.33</v>
      </c>
      <c r="F13015" s="371">
        <v>1932.22</v>
      </c>
      <c r="G13015" s="371">
        <v>1294.08</v>
      </c>
      <c r="H13015" s="372">
        <v>29046.73</v>
      </c>
      <c r="I13015" s="372">
        <v>14298.87</v>
      </c>
      <c r="J13015" s="372">
        <v>9744.66</v>
      </c>
      <c r="K13015" s="372">
        <v>5003.2</v>
      </c>
      <c r="L13015" s="43">
        <v>6.4986878108478772</v>
      </c>
      <c r="M13015" s="43">
        <v>11.500462467727797</v>
      </c>
      <c r="N13015" s="43">
        <v>5.0432455931519184</v>
      </c>
      <c r="O13015" s="43">
        <v>3.8662215628091001</v>
      </c>
      <c r="P13015" s="373"/>
      <c r="Q13015" s="373"/>
      <c r="R13015" s="373">
        <v>3</v>
      </c>
    </row>
    <row r="13016" spans="1:18" ht="24">
      <c r="A13016" s="369">
        <v>90</v>
      </c>
      <c r="B13016" s="366" t="s">
        <v>23603</v>
      </c>
      <c r="C13016" s="370" t="s">
        <v>23604</v>
      </c>
      <c r="D13016" s="371">
        <v>5650.24</v>
      </c>
      <c r="E13016" s="371">
        <v>796.37</v>
      </c>
      <c r="F13016" s="371">
        <v>3129.72</v>
      </c>
      <c r="G13016" s="371">
        <v>1724.15</v>
      </c>
      <c r="H13016" s="372">
        <v>36270.28</v>
      </c>
      <c r="I13016" s="372">
        <v>9158.6200000000008</v>
      </c>
      <c r="J13016" s="372">
        <v>17954.88</v>
      </c>
      <c r="K13016" s="372">
        <v>9156.7800000000007</v>
      </c>
      <c r="L13016" s="43">
        <v>6.4192459081384152</v>
      </c>
      <c r="M13016" s="43">
        <v>11.500458329670883</v>
      </c>
      <c r="N13016" s="43">
        <v>5.7368965913883674</v>
      </c>
      <c r="O13016" s="43">
        <v>5.3108952237334339</v>
      </c>
      <c r="P13016" s="373"/>
      <c r="Q13016" s="373"/>
      <c r="R13016" s="373">
        <v>3</v>
      </c>
    </row>
    <row r="13017" spans="1:18" ht="24">
      <c r="A13017" s="369">
        <v>91</v>
      </c>
      <c r="B13017" s="366" t="s">
        <v>23605</v>
      </c>
      <c r="C13017" s="370" t="s">
        <v>23606</v>
      </c>
      <c r="D13017" s="371">
        <v>4371.33</v>
      </c>
      <c r="E13017" s="371">
        <v>1410.05</v>
      </c>
      <c r="F13017" s="371">
        <v>2247.2199999999998</v>
      </c>
      <c r="G13017" s="371">
        <v>714.06</v>
      </c>
      <c r="H13017" s="372">
        <v>30412.57</v>
      </c>
      <c r="I13017" s="372">
        <v>16216.22</v>
      </c>
      <c r="J13017" s="372">
        <v>11315.14</v>
      </c>
      <c r="K13017" s="372">
        <v>2881.21</v>
      </c>
      <c r="L13017" s="43">
        <v>6.9572807360688849</v>
      </c>
      <c r="M13017" s="43">
        <v>11.500457430587568</v>
      </c>
      <c r="N13017" s="43">
        <v>5.0351723462767328</v>
      </c>
      <c r="O13017" s="43">
        <v>4.0349690502198694</v>
      </c>
      <c r="P13017" s="373"/>
      <c r="Q13017" s="373"/>
      <c r="R13017" s="373">
        <v>3</v>
      </c>
    </row>
    <row r="13018" spans="1:18" ht="24">
      <c r="A13018" s="369">
        <v>92</v>
      </c>
      <c r="B13018" s="366" t="s">
        <v>23607</v>
      </c>
      <c r="C13018" s="370" t="s">
        <v>23608</v>
      </c>
      <c r="D13018" s="371">
        <v>2644.03</v>
      </c>
      <c r="E13018" s="371">
        <v>711.81</v>
      </c>
      <c r="F13018" s="371">
        <v>1655.12</v>
      </c>
      <c r="G13018" s="371">
        <v>277.10000000000002</v>
      </c>
      <c r="H13018" s="372">
        <v>17657.22</v>
      </c>
      <c r="I13018" s="372">
        <v>8186.07</v>
      </c>
      <c r="J13018" s="372">
        <v>8320.8799999999992</v>
      </c>
      <c r="K13018" s="372">
        <v>1150.27</v>
      </c>
      <c r="L13018" s="43">
        <v>6.6781466170958721</v>
      </c>
      <c r="M13018" s="43">
        <v>11.500358241665614</v>
      </c>
      <c r="N13018" s="43">
        <v>5.0273575329885443</v>
      </c>
      <c r="O13018" s="43">
        <v>4.1511006856730415</v>
      </c>
      <c r="P13018" s="373"/>
      <c r="Q13018" s="373"/>
      <c r="R13018" s="373">
        <v>3</v>
      </c>
    </row>
    <row r="13019" spans="1:18" ht="24">
      <c r="A13019" s="369">
        <v>93</v>
      </c>
      <c r="B13019" s="366" t="s">
        <v>23609</v>
      </c>
      <c r="C13019" s="370" t="s">
        <v>23610</v>
      </c>
      <c r="D13019" s="371">
        <v>2204.65</v>
      </c>
      <c r="E13019" s="371">
        <v>747.42</v>
      </c>
      <c r="F13019" s="371">
        <v>967.11</v>
      </c>
      <c r="G13019" s="371">
        <v>490.12</v>
      </c>
      <c r="H13019" s="372">
        <v>15472.66</v>
      </c>
      <c r="I13019" s="372">
        <v>8595.7099999999991</v>
      </c>
      <c r="J13019" s="372">
        <v>4921.4799999999996</v>
      </c>
      <c r="K13019" s="372">
        <v>1955.47</v>
      </c>
      <c r="L13019" s="43">
        <v>7.0181933640260352</v>
      </c>
      <c r="M13019" s="43">
        <v>11.500508415616386</v>
      </c>
      <c r="N13019" s="43">
        <v>5.0888523539204424</v>
      </c>
      <c r="O13019" s="43">
        <v>3.9897780135477028</v>
      </c>
      <c r="P13019" s="373"/>
      <c r="Q13019" s="373"/>
      <c r="R13019" s="373">
        <v>3</v>
      </c>
    </row>
    <row r="13020" spans="1:18" ht="12.75" customHeight="1">
      <c r="A13020" s="628" t="s">
        <v>23611</v>
      </c>
      <c r="B13020" s="629"/>
      <c r="C13020" s="629"/>
      <c r="D13020" s="629"/>
      <c r="E13020" s="629"/>
      <c r="F13020" s="629"/>
      <c r="G13020" s="629"/>
      <c r="H13020" s="629"/>
      <c r="I13020" s="629"/>
      <c r="J13020" s="629"/>
      <c r="K13020" s="629"/>
      <c r="L13020" s="629"/>
      <c r="M13020" s="629"/>
      <c r="N13020" s="629"/>
      <c r="O13020" s="629"/>
      <c r="P13020" s="629"/>
      <c r="Q13020" s="629"/>
      <c r="R13020" s="629"/>
    </row>
    <row r="13021" spans="1:18" ht="12.75" customHeight="1">
      <c r="A13021" s="628" t="s">
        <v>23612</v>
      </c>
      <c r="B13021" s="629"/>
      <c r="C13021" s="629"/>
      <c r="D13021" s="629"/>
      <c r="E13021" s="629"/>
      <c r="F13021" s="629"/>
      <c r="G13021" s="629"/>
      <c r="H13021" s="629"/>
      <c r="I13021" s="629"/>
      <c r="J13021" s="629"/>
      <c r="K13021" s="629"/>
      <c r="L13021" s="629"/>
      <c r="M13021" s="629"/>
      <c r="N13021" s="629"/>
      <c r="O13021" s="629"/>
      <c r="P13021" s="629"/>
      <c r="Q13021" s="629"/>
      <c r="R13021" s="629"/>
    </row>
    <row r="13022" spans="1:18" ht="24">
      <c r="A13022" s="374">
        <v>94</v>
      </c>
      <c r="B13022" s="375" t="s">
        <v>23613</v>
      </c>
      <c r="C13022" s="376" t="s">
        <v>23614</v>
      </c>
      <c r="D13022" s="377">
        <v>3908.94</v>
      </c>
      <c r="E13022" s="377">
        <v>872.1</v>
      </c>
      <c r="F13022" s="377">
        <v>2716.51</v>
      </c>
      <c r="G13022" s="377">
        <v>320.33</v>
      </c>
      <c r="H13022" s="378">
        <v>24964.69</v>
      </c>
      <c r="I13022" s="378">
        <v>10029.51</v>
      </c>
      <c r="J13022" s="378">
        <v>13609.69</v>
      </c>
      <c r="K13022" s="378">
        <v>1325.49</v>
      </c>
      <c r="L13022" s="611">
        <v>6.3865625975328344</v>
      </c>
      <c r="M13022" s="611">
        <v>11.500412796697626</v>
      </c>
      <c r="N13022" s="611">
        <v>5.0099907602033493</v>
      </c>
      <c r="O13022" s="611">
        <v>4.1378890519152129</v>
      </c>
      <c r="P13022" s="379"/>
      <c r="Q13022" s="379"/>
      <c r="R13022" s="379">
        <v>1</v>
      </c>
    </row>
    <row r="13023" spans="1:18" ht="12.75" customHeight="1">
      <c r="A13023" s="630" t="s">
        <v>23615</v>
      </c>
      <c r="B13023" s="631"/>
      <c r="C13023" s="631"/>
      <c r="D13023" s="631"/>
      <c r="E13023" s="631"/>
      <c r="F13023" s="631"/>
      <c r="G13023" s="631"/>
      <c r="H13023" s="631"/>
      <c r="I13023" s="631"/>
      <c r="J13023" s="631"/>
      <c r="K13023" s="631"/>
      <c r="L13023" s="631"/>
      <c r="M13023" s="631"/>
      <c r="N13023" s="631"/>
      <c r="O13023" s="631"/>
      <c r="P13023" s="631"/>
      <c r="Q13023" s="631"/>
      <c r="R13023" s="631"/>
    </row>
    <row r="13024" spans="1:18" ht="12.75" customHeight="1">
      <c r="A13024" s="628" t="s">
        <v>23616</v>
      </c>
      <c r="B13024" s="629"/>
      <c r="C13024" s="629"/>
      <c r="D13024" s="629"/>
      <c r="E13024" s="629"/>
      <c r="F13024" s="629"/>
      <c r="G13024" s="629"/>
      <c r="H13024" s="629"/>
      <c r="I13024" s="629"/>
      <c r="J13024" s="629"/>
      <c r="K13024" s="629"/>
      <c r="L13024" s="629"/>
      <c r="M13024" s="629"/>
      <c r="N13024" s="629"/>
      <c r="O13024" s="629"/>
      <c r="P13024" s="629"/>
      <c r="Q13024" s="629"/>
      <c r="R13024" s="629"/>
    </row>
    <row r="13025" spans="1:18" ht="12.75" customHeight="1">
      <c r="A13025" s="628" t="s">
        <v>23617</v>
      </c>
      <c r="B13025" s="629"/>
      <c r="C13025" s="629"/>
      <c r="D13025" s="629"/>
      <c r="E13025" s="629"/>
      <c r="F13025" s="629"/>
      <c r="G13025" s="629"/>
      <c r="H13025" s="629"/>
      <c r="I13025" s="629"/>
      <c r="J13025" s="629"/>
      <c r="K13025" s="629"/>
      <c r="L13025" s="629"/>
      <c r="M13025" s="629"/>
      <c r="N13025" s="629"/>
      <c r="O13025" s="629"/>
      <c r="P13025" s="629"/>
      <c r="Q13025" s="629"/>
      <c r="R13025" s="629"/>
    </row>
    <row r="13026" spans="1:18" ht="24">
      <c r="A13026" s="369">
        <v>95</v>
      </c>
      <c r="B13026" s="366" t="s">
        <v>23618</v>
      </c>
      <c r="C13026" s="370" t="s">
        <v>23619</v>
      </c>
      <c r="D13026" s="371">
        <v>3024.36</v>
      </c>
      <c r="E13026" s="371">
        <v>972.1</v>
      </c>
      <c r="F13026" s="371">
        <v>1667.22</v>
      </c>
      <c r="G13026" s="371">
        <v>385.04</v>
      </c>
      <c r="H13026" s="372">
        <v>21773.82</v>
      </c>
      <c r="I13026" s="372">
        <v>11179.1</v>
      </c>
      <c r="J13026" s="372">
        <v>8489.11</v>
      </c>
      <c r="K13026" s="372">
        <v>2105.61</v>
      </c>
      <c r="L13026" s="43">
        <v>7.199480220608657</v>
      </c>
      <c r="M13026" s="43">
        <v>11.499948564962452</v>
      </c>
      <c r="N13026" s="43">
        <v>5.0917755305238668</v>
      </c>
      <c r="O13026" s="43">
        <v>5.4685487222106799</v>
      </c>
      <c r="P13026" s="373"/>
      <c r="Q13026" s="373"/>
      <c r="R13026" s="373">
        <v>1</v>
      </c>
    </row>
    <row r="13027" spans="1:18" ht="12.75" customHeight="1">
      <c r="A13027" s="628" t="s">
        <v>23620</v>
      </c>
      <c r="B13027" s="629"/>
      <c r="C13027" s="629"/>
      <c r="D13027" s="629"/>
      <c r="E13027" s="629"/>
      <c r="F13027" s="629"/>
      <c r="G13027" s="629"/>
      <c r="H13027" s="629"/>
      <c r="I13027" s="629"/>
      <c r="J13027" s="629"/>
      <c r="K13027" s="629"/>
      <c r="L13027" s="629"/>
      <c r="M13027" s="629"/>
      <c r="N13027" s="629"/>
      <c r="O13027" s="629"/>
      <c r="P13027" s="629"/>
      <c r="Q13027" s="629"/>
      <c r="R13027" s="629"/>
    </row>
    <row r="13028" spans="1:18" ht="12.75" customHeight="1">
      <c r="A13028" s="628" t="s">
        <v>23621</v>
      </c>
      <c r="B13028" s="629"/>
      <c r="C13028" s="629"/>
      <c r="D13028" s="629"/>
      <c r="E13028" s="629"/>
      <c r="F13028" s="629"/>
      <c r="G13028" s="629"/>
      <c r="H13028" s="629"/>
      <c r="I13028" s="629"/>
      <c r="J13028" s="629"/>
      <c r="K13028" s="629"/>
      <c r="L13028" s="629"/>
      <c r="M13028" s="629"/>
      <c r="N13028" s="629"/>
      <c r="O13028" s="629"/>
      <c r="P13028" s="629"/>
      <c r="Q13028" s="629"/>
      <c r="R13028" s="629"/>
    </row>
    <row r="13029" spans="1:18" ht="24">
      <c r="A13029" s="369">
        <v>96</v>
      </c>
      <c r="B13029" s="366" t="s">
        <v>23622</v>
      </c>
      <c r="C13029" s="370" t="s">
        <v>23623</v>
      </c>
      <c r="D13029" s="371">
        <v>2974.38</v>
      </c>
      <c r="E13029" s="371">
        <v>1097.27</v>
      </c>
      <c r="F13029" s="371">
        <v>1634.1</v>
      </c>
      <c r="G13029" s="371">
        <v>243.01</v>
      </c>
      <c r="H13029" s="372">
        <v>22262.65</v>
      </c>
      <c r="I13029" s="372">
        <v>12618.58</v>
      </c>
      <c r="J13029" s="372">
        <v>8078.64</v>
      </c>
      <c r="K13029" s="372">
        <v>1565.43</v>
      </c>
      <c r="L13029" s="43">
        <v>7.4848035556990027</v>
      </c>
      <c r="M13029" s="43">
        <v>11.499977216181978</v>
      </c>
      <c r="N13029" s="43">
        <v>4.9437855700385542</v>
      </c>
      <c r="O13029" s="43">
        <v>6.4418336693963214</v>
      </c>
      <c r="P13029" s="373"/>
      <c r="Q13029" s="373"/>
      <c r="R13029" s="373">
        <v>1</v>
      </c>
    </row>
    <row r="13030" spans="1:18" ht="24">
      <c r="A13030" s="374">
        <v>97</v>
      </c>
      <c r="B13030" s="375" t="s">
        <v>23624</v>
      </c>
      <c r="C13030" s="376" t="s">
        <v>23625</v>
      </c>
      <c r="D13030" s="377">
        <v>2526.1</v>
      </c>
      <c r="E13030" s="377">
        <v>774.7</v>
      </c>
      <c r="F13030" s="377">
        <v>1335.08</v>
      </c>
      <c r="G13030" s="377">
        <v>416.32</v>
      </c>
      <c r="H13030" s="378">
        <v>18179.349999999999</v>
      </c>
      <c r="I13030" s="378">
        <v>8909.0499999999993</v>
      </c>
      <c r="J13030" s="378">
        <v>7011.92</v>
      </c>
      <c r="K13030" s="378">
        <v>2258.38</v>
      </c>
      <c r="L13030" s="611">
        <v>7.1966074185503341</v>
      </c>
      <c r="M13030" s="611">
        <v>11.499999999999998</v>
      </c>
      <c r="N13030" s="611">
        <v>5.2520598016598257</v>
      </c>
      <c r="O13030" s="611">
        <v>5.4246252882398158</v>
      </c>
      <c r="P13030" s="379"/>
      <c r="Q13030" s="379"/>
      <c r="R13030" s="379">
        <v>1</v>
      </c>
    </row>
    <row r="13031" spans="1:18" ht="12.75" customHeight="1">
      <c r="A13031" s="630" t="s">
        <v>23626</v>
      </c>
      <c r="B13031" s="631"/>
      <c r="C13031" s="631"/>
      <c r="D13031" s="631"/>
      <c r="E13031" s="631"/>
      <c r="F13031" s="631"/>
      <c r="G13031" s="631"/>
      <c r="H13031" s="631"/>
      <c r="I13031" s="631"/>
      <c r="J13031" s="631"/>
      <c r="K13031" s="631"/>
      <c r="L13031" s="631"/>
      <c r="M13031" s="631"/>
      <c r="N13031" s="631"/>
      <c r="O13031" s="631"/>
      <c r="P13031" s="631"/>
      <c r="Q13031" s="631"/>
      <c r="R13031" s="631"/>
    </row>
    <row r="13032" spans="1:18" ht="12.75" customHeight="1">
      <c r="A13032" s="628" t="s">
        <v>23627</v>
      </c>
      <c r="B13032" s="629"/>
      <c r="C13032" s="629"/>
      <c r="D13032" s="629"/>
      <c r="E13032" s="629"/>
      <c r="F13032" s="629"/>
      <c r="G13032" s="629"/>
      <c r="H13032" s="629"/>
      <c r="I13032" s="629"/>
      <c r="J13032" s="629"/>
      <c r="K13032" s="629"/>
      <c r="L13032" s="629"/>
      <c r="M13032" s="629"/>
      <c r="N13032" s="629"/>
      <c r="O13032" s="629"/>
      <c r="P13032" s="629"/>
      <c r="Q13032" s="629"/>
      <c r="R13032" s="629"/>
    </row>
    <row r="13033" spans="1:18" ht="12.75" customHeight="1">
      <c r="A13033" s="628" t="s">
        <v>23628</v>
      </c>
      <c r="B13033" s="629"/>
      <c r="C13033" s="629"/>
      <c r="D13033" s="629"/>
      <c r="E13033" s="629"/>
      <c r="F13033" s="629"/>
      <c r="G13033" s="629"/>
      <c r="H13033" s="629"/>
      <c r="I13033" s="629"/>
      <c r="J13033" s="629"/>
      <c r="K13033" s="629"/>
      <c r="L13033" s="629"/>
      <c r="M13033" s="629"/>
      <c r="N13033" s="629"/>
      <c r="O13033" s="629"/>
      <c r="P13033" s="629"/>
      <c r="Q13033" s="629"/>
      <c r="R13033" s="629"/>
    </row>
    <row r="13034" spans="1:18" ht="36">
      <c r="A13034" s="369">
        <v>98</v>
      </c>
      <c r="B13034" s="366" t="s">
        <v>23629</v>
      </c>
      <c r="C13034" s="370" t="s">
        <v>23630</v>
      </c>
      <c r="D13034" s="371">
        <v>4048.54</v>
      </c>
      <c r="E13034" s="371">
        <v>906.79</v>
      </c>
      <c r="F13034" s="371">
        <v>2199.0300000000002</v>
      </c>
      <c r="G13034" s="371">
        <v>942.72</v>
      </c>
      <c r="H13034" s="372">
        <v>27388.400000000001</v>
      </c>
      <c r="I13034" s="372">
        <v>10428.49</v>
      </c>
      <c r="J13034" s="372">
        <v>11933.4</v>
      </c>
      <c r="K13034" s="372">
        <v>5026.51</v>
      </c>
      <c r="L13034" s="43">
        <v>6.7650066443705636</v>
      </c>
      <c r="M13034" s="43">
        <v>11.500446630421598</v>
      </c>
      <c r="N13034" s="43">
        <v>5.4266653933779887</v>
      </c>
      <c r="O13034" s="43">
        <v>5.3319225220638158</v>
      </c>
      <c r="P13034" s="373"/>
      <c r="Q13034" s="373"/>
      <c r="R13034" s="373">
        <v>1</v>
      </c>
    </row>
    <row r="13035" spans="1:18" ht="12.75" customHeight="1">
      <c r="A13035" s="628" t="s">
        <v>23631</v>
      </c>
      <c r="B13035" s="629"/>
      <c r="C13035" s="629"/>
      <c r="D13035" s="629"/>
      <c r="E13035" s="629"/>
      <c r="F13035" s="629"/>
      <c r="G13035" s="629"/>
      <c r="H13035" s="629"/>
      <c r="I13035" s="629"/>
      <c r="J13035" s="629"/>
      <c r="K13035" s="629"/>
      <c r="L13035" s="629"/>
      <c r="M13035" s="629"/>
      <c r="N13035" s="629"/>
      <c r="O13035" s="629"/>
      <c r="P13035" s="629"/>
      <c r="Q13035" s="629"/>
      <c r="R13035" s="629"/>
    </row>
    <row r="13036" spans="1:18" ht="24">
      <c r="A13036" s="369">
        <v>99</v>
      </c>
      <c r="B13036" s="366" t="s">
        <v>23632</v>
      </c>
      <c r="C13036" s="370" t="s">
        <v>23633</v>
      </c>
      <c r="D13036" s="371">
        <v>3546.67</v>
      </c>
      <c r="E13036" s="371">
        <v>591.74</v>
      </c>
      <c r="F13036" s="371">
        <v>2070.7199999999998</v>
      </c>
      <c r="G13036" s="371">
        <v>884.21</v>
      </c>
      <c r="H13036" s="372">
        <v>22594.39</v>
      </c>
      <c r="I13036" s="372">
        <v>6805.21</v>
      </c>
      <c r="J13036" s="372">
        <v>11137.1</v>
      </c>
      <c r="K13036" s="372">
        <v>4652.08</v>
      </c>
      <c r="L13036" s="43">
        <v>6.3705926968113751</v>
      </c>
      <c r="M13036" s="43">
        <v>11.500337986277756</v>
      </c>
      <c r="N13036" s="43">
        <v>5.3783708082212955</v>
      </c>
      <c r="O13036" s="43">
        <v>5.2612840840976691</v>
      </c>
      <c r="P13036" s="373"/>
      <c r="Q13036" s="373"/>
      <c r="R13036" s="373">
        <v>2</v>
      </c>
    </row>
    <row r="13037" spans="1:18" ht="12.75" customHeight="1">
      <c r="A13037" s="628" t="s">
        <v>23634</v>
      </c>
      <c r="B13037" s="629"/>
      <c r="C13037" s="629"/>
      <c r="D13037" s="629"/>
      <c r="E13037" s="629"/>
      <c r="F13037" s="629"/>
      <c r="G13037" s="629"/>
      <c r="H13037" s="629"/>
      <c r="I13037" s="629"/>
      <c r="J13037" s="629"/>
      <c r="K13037" s="629"/>
      <c r="L13037" s="629"/>
      <c r="M13037" s="629"/>
      <c r="N13037" s="629"/>
      <c r="O13037" s="629"/>
      <c r="P13037" s="629"/>
      <c r="Q13037" s="629"/>
      <c r="R13037" s="629"/>
    </row>
    <row r="13038" spans="1:18" ht="36">
      <c r="A13038" s="369">
        <v>100</v>
      </c>
      <c r="B13038" s="366" t="s">
        <v>23635</v>
      </c>
      <c r="C13038" s="370" t="s">
        <v>23636</v>
      </c>
      <c r="D13038" s="371">
        <v>3784.15</v>
      </c>
      <c r="E13038" s="371">
        <v>722.49</v>
      </c>
      <c r="F13038" s="371">
        <v>2069.9299999999998</v>
      </c>
      <c r="G13038" s="371">
        <v>991.73</v>
      </c>
      <c r="H13038" s="372">
        <v>24926.33</v>
      </c>
      <c r="I13038" s="372">
        <v>8308.9599999999991</v>
      </c>
      <c r="J13038" s="372">
        <v>11364.9</v>
      </c>
      <c r="K13038" s="372">
        <v>5252.47</v>
      </c>
      <c r="L13038" s="43">
        <v>6.5870353976454421</v>
      </c>
      <c r="M13038" s="43">
        <v>11.500449833215683</v>
      </c>
      <c r="N13038" s="43">
        <v>5.4904755233268761</v>
      </c>
      <c r="O13038" s="43">
        <v>5.2962701541750272</v>
      </c>
      <c r="P13038" s="373"/>
      <c r="Q13038" s="373"/>
      <c r="R13038" s="373">
        <v>3</v>
      </c>
    </row>
    <row r="13039" spans="1:18" ht="36">
      <c r="A13039" s="369">
        <v>101</v>
      </c>
      <c r="B13039" s="366" t="s">
        <v>23637</v>
      </c>
      <c r="C13039" s="370" t="s">
        <v>23638</v>
      </c>
      <c r="D13039" s="371">
        <v>3494.41</v>
      </c>
      <c r="E13039" s="371">
        <v>841.99</v>
      </c>
      <c r="F13039" s="371">
        <v>1878.3</v>
      </c>
      <c r="G13039" s="371">
        <v>774.12</v>
      </c>
      <c r="H13039" s="372">
        <v>23935.18</v>
      </c>
      <c r="I13039" s="372">
        <v>9683.2199999999993</v>
      </c>
      <c r="J13039" s="372">
        <v>10116.129999999999</v>
      </c>
      <c r="K13039" s="372">
        <v>4135.83</v>
      </c>
      <c r="L13039" s="43">
        <v>6.8495625871034029</v>
      </c>
      <c r="M13039" s="43">
        <v>11.500397866958039</v>
      </c>
      <c r="N13039" s="43">
        <v>5.3857903423308304</v>
      </c>
      <c r="O13039" s="43">
        <v>5.3426212990234072</v>
      </c>
      <c r="P13039" s="373"/>
      <c r="Q13039" s="373"/>
      <c r="R13039" s="373">
        <v>3</v>
      </c>
    </row>
    <row r="13040" spans="1:18" ht="12.75" customHeight="1">
      <c r="A13040" s="628" t="s">
        <v>23639</v>
      </c>
      <c r="B13040" s="629"/>
      <c r="C13040" s="629"/>
      <c r="D13040" s="629"/>
      <c r="E13040" s="629"/>
      <c r="F13040" s="629"/>
      <c r="G13040" s="629"/>
      <c r="H13040" s="629"/>
      <c r="I13040" s="629"/>
      <c r="J13040" s="629"/>
      <c r="K13040" s="629"/>
      <c r="L13040" s="629"/>
      <c r="M13040" s="629"/>
      <c r="N13040" s="629"/>
      <c r="O13040" s="629"/>
      <c r="P13040" s="629"/>
      <c r="Q13040" s="629"/>
      <c r="R13040" s="629"/>
    </row>
    <row r="13041" spans="1:18" ht="36">
      <c r="A13041" s="369">
        <v>102</v>
      </c>
      <c r="B13041" s="366" t="s">
        <v>23640</v>
      </c>
      <c r="C13041" s="370" t="s">
        <v>23641</v>
      </c>
      <c r="D13041" s="371">
        <v>3421.15</v>
      </c>
      <c r="E13041" s="371">
        <v>715.48</v>
      </c>
      <c r="F13041" s="371">
        <v>1353.54</v>
      </c>
      <c r="G13041" s="371">
        <v>1352.13</v>
      </c>
      <c r="H13041" s="372">
        <v>22384.75</v>
      </c>
      <c r="I13041" s="372">
        <v>8228.36</v>
      </c>
      <c r="J13041" s="372">
        <v>7038.17</v>
      </c>
      <c r="K13041" s="372">
        <v>7118.22</v>
      </c>
      <c r="L13041" s="43">
        <v>6.5430483901612027</v>
      </c>
      <c r="M13041" s="43">
        <v>11.500475205456477</v>
      </c>
      <c r="N13041" s="43">
        <v>5.1998241647827177</v>
      </c>
      <c r="O13041" s="43">
        <v>5.2644494242417519</v>
      </c>
      <c r="P13041" s="373"/>
      <c r="Q13041" s="373"/>
      <c r="R13041" s="373">
        <v>4</v>
      </c>
    </row>
    <row r="13042" spans="1:18" ht="36">
      <c r="A13042" s="369">
        <v>103</v>
      </c>
      <c r="B13042" s="366" t="s">
        <v>23642</v>
      </c>
      <c r="C13042" s="370" t="s">
        <v>23643</v>
      </c>
      <c r="D13042" s="371">
        <v>3784.83</v>
      </c>
      <c r="E13042" s="371">
        <v>959.07</v>
      </c>
      <c r="F13042" s="371">
        <v>1775.7</v>
      </c>
      <c r="G13042" s="371">
        <v>1050.06</v>
      </c>
      <c r="H13042" s="372">
        <v>26694.63</v>
      </c>
      <c r="I13042" s="372">
        <v>11029.73</v>
      </c>
      <c r="J13042" s="372">
        <v>10078.09</v>
      </c>
      <c r="K13042" s="372">
        <v>5586.81</v>
      </c>
      <c r="L13042" s="43">
        <v>7.053059186277852</v>
      </c>
      <c r="M13042" s="43">
        <v>11.500443137622904</v>
      </c>
      <c r="N13042" s="43">
        <v>5.6755589345047026</v>
      </c>
      <c r="O13042" s="43">
        <v>5.3204674018627518</v>
      </c>
      <c r="P13042" s="373"/>
      <c r="Q13042" s="373"/>
      <c r="R13042" s="373">
        <v>4</v>
      </c>
    </row>
    <row r="13043" spans="1:18" ht="12.75" customHeight="1">
      <c r="A13043" s="628" t="s">
        <v>23644</v>
      </c>
      <c r="B13043" s="629"/>
      <c r="C13043" s="629"/>
      <c r="D13043" s="629"/>
      <c r="E13043" s="629"/>
      <c r="F13043" s="629"/>
      <c r="G13043" s="629"/>
      <c r="H13043" s="629"/>
      <c r="I13043" s="629"/>
      <c r="J13043" s="629"/>
      <c r="K13043" s="629"/>
      <c r="L13043" s="629"/>
      <c r="M13043" s="629"/>
      <c r="N13043" s="629"/>
      <c r="O13043" s="629"/>
      <c r="P13043" s="629"/>
      <c r="Q13043" s="629"/>
      <c r="R13043" s="629"/>
    </row>
    <row r="13044" spans="1:18" ht="24">
      <c r="A13044" s="369">
        <v>104</v>
      </c>
      <c r="B13044" s="366" t="s">
        <v>23645</v>
      </c>
      <c r="C13044" s="370" t="s">
        <v>23646</v>
      </c>
      <c r="D13044" s="371">
        <v>3331.61</v>
      </c>
      <c r="E13044" s="371">
        <v>503.49</v>
      </c>
      <c r="F13044" s="371">
        <v>2385.98</v>
      </c>
      <c r="G13044" s="371">
        <v>442.14</v>
      </c>
      <c r="H13044" s="372">
        <v>19313.93</v>
      </c>
      <c r="I13044" s="372">
        <v>5790.37</v>
      </c>
      <c r="J13044" s="372">
        <v>11716.71</v>
      </c>
      <c r="K13044" s="372">
        <v>1806.85</v>
      </c>
      <c r="L13044" s="43">
        <v>5.7971761400644128</v>
      </c>
      <c r="M13044" s="43">
        <v>11.500466742139864</v>
      </c>
      <c r="N13044" s="43">
        <v>4.910648873838003</v>
      </c>
      <c r="O13044" s="43">
        <v>4.0866015289274893</v>
      </c>
      <c r="P13044" s="373"/>
      <c r="Q13044" s="373"/>
      <c r="R13044" s="373">
        <v>5</v>
      </c>
    </row>
    <row r="13045" spans="1:18" ht="24">
      <c r="A13045" s="369">
        <v>105</v>
      </c>
      <c r="B13045" s="366" t="s">
        <v>23647</v>
      </c>
      <c r="C13045" s="370" t="s">
        <v>23648</v>
      </c>
      <c r="D13045" s="371">
        <v>3784.35</v>
      </c>
      <c r="E13045" s="371">
        <v>1289.98</v>
      </c>
      <c r="F13045" s="371">
        <v>2468.5700000000002</v>
      </c>
      <c r="G13045" s="371">
        <v>25.8</v>
      </c>
      <c r="H13045" s="372">
        <v>27927.01</v>
      </c>
      <c r="I13045" s="372">
        <v>14835.36</v>
      </c>
      <c r="J13045" s="372">
        <v>12794.95</v>
      </c>
      <c r="K13045" s="372">
        <v>296.7</v>
      </c>
      <c r="L13045" s="43">
        <v>7.3796054804656013</v>
      </c>
      <c r="M13045" s="43">
        <v>11.500457371432116</v>
      </c>
      <c r="N13045" s="43">
        <v>5.1831424670963351</v>
      </c>
      <c r="O13045" s="43">
        <v>11.5</v>
      </c>
      <c r="P13045" s="373"/>
      <c r="Q13045" s="373"/>
      <c r="R13045" s="373">
        <v>5</v>
      </c>
    </row>
    <row r="13046" spans="1:18" ht="12.75" customHeight="1">
      <c r="A13046" s="628" t="s">
        <v>23649</v>
      </c>
      <c r="B13046" s="629"/>
      <c r="C13046" s="629"/>
      <c r="D13046" s="629"/>
      <c r="E13046" s="629"/>
      <c r="F13046" s="629"/>
      <c r="G13046" s="629"/>
      <c r="H13046" s="629"/>
      <c r="I13046" s="629"/>
      <c r="J13046" s="629"/>
      <c r="K13046" s="629"/>
      <c r="L13046" s="629"/>
      <c r="M13046" s="629"/>
      <c r="N13046" s="629"/>
      <c r="O13046" s="629"/>
      <c r="P13046" s="629"/>
      <c r="Q13046" s="629"/>
      <c r="R13046" s="629"/>
    </row>
    <row r="13047" spans="1:18" ht="12.75" customHeight="1">
      <c r="A13047" s="628" t="s">
        <v>23650</v>
      </c>
      <c r="B13047" s="629"/>
      <c r="C13047" s="629"/>
      <c r="D13047" s="629"/>
      <c r="E13047" s="629"/>
      <c r="F13047" s="629"/>
      <c r="G13047" s="629"/>
      <c r="H13047" s="629"/>
      <c r="I13047" s="629"/>
      <c r="J13047" s="629"/>
      <c r="K13047" s="629"/>
      <c r="L13047" s="629"/>
      <c r="M13047" s="629"/>
      <c r="N13047" s="629"/>
      <c r="O13047" s="629"/>
      <c r="P13047" s="629"/>
      <c r="Q13047" s="629"/>
      <c r="R13047" s="629"/>
    </row>
    <row r="13048" spans="1:18" ht="24">
      <c r="A13048" s="369">
        <v>106</v>
      </c>
      <c r="B13048" s="366" t="s">
        <v>23651</v>
      </c>
      <c r="C13048" s="370" t="s">
        <v>23652</v>
      </c>
      <c r="D13048" s="371">
        <v>4372.07</v>
      </c>
      <c r="E13048" s="371">
        <v>1265.26</v>
      </c>
      <c r="F13048" s="371">
        <v>2636.88</v>
      </c>
      <c r="G13048" s="371">
        <v>469.93</v>
      </c>
      <c r="H13048" s="372">
        <v>30391.19</v>
      </c>
      <c r="I13048" s="372">
        <v>14551.05</v>
      </c>
      <c r="J13048" s="372">
        <v>13123.39</v>
      </c>
      <c r="K13048" s="372">
        <v>2716.75</v>
      </c>
      <c r="L13048" s="43">
        <v>6.9512130409622905</v>
      </c>
      <c r="M13048" s="43">
        <v>11.500442596778527</v>
      </c>
      <c r="N13048" s="43">
        <v>4.9768628075604502</v>
      </c>
      <c r="O13048" s="43">
        <v>5.7811801757708592</v>
      </c>
      <c r="P13048" s="373"/>
      <c r="Q13048" s="373"/>
      <c r="R13048" s="373">
        <v>1</v>
      </c>
    </row>
    <row r="13049" spans="1:18" ht="12.75" customHeight="1">
      <c r="A13049" s="628" t="s">
        <v>23653</v>
      </c>
      <c r="B13049" s="629"/>
      <c r="C13049" s="629"/>
      <c r="D13049" s="629"/>
      <c r="E13049" s="629"/>
      <c r="F13049" s="629"/>
      <c r="G13049" s="629"/>
      <c r="H13049" s="629"/>
      <c r="I13049" s="629"/>
      <c r="J13049" s="629"/>
      <c r="K13049" s="629"/>
      <c r="L13049" s="629"/>
      <c r="M13049" s="629"/>
      <c r="N13049" s="629"/>
      <c r="O13049" s="629"/>
      <c r="P13049" s="629"/>
      <c r="Q13049" s="629"/>
      <c r="R13049" s="629"/>
    </row>
    <row r="13050" spans="1:18" ht="12.75" customHeight="1">
      <c r="A13050" s="628" t="s">
        <v>23654</v>
      </c>
      <c r="B13050" s="629"/>
      <c r="C13050" s="629"/>
      <c r="D13050" s="629"/>
      <c r="E13050" s="629"/>
      <c r="F13050" s="629"/>
      <c r="G13050" s="629"/>
      <c r="H13050" s="629"/>
      <c r="I13050" s="629"/>
      <c r="J13050" s="629"/>
      <c r="K13050" s="629"/>
      <c r="L13050" s="629"/>
      <c r="M13050" s="629"/>
      <c r="N13050" s="629"/>
      <c r="O13050" s="629"/>
      <c r="P13050" s="629"/>
      <c r="Q13050" s="629"/>
      <c r="R13050" s="629"/>
    </row>
    <row r="13051" spans="1:18" ht="36">
      <c r="A13051" s="369">
        <v>107</v>
      </c>
      <c r="B13051" s="366" t="s">
        <v>23655</v>
      </c>
      <c r="C13051" s="370" t="s">
        <v>23656</v>
      </c>
      <c r="D13051" s="371">
        <v>3547.17</v>
      </c>
      <c r="E13051" s="371">
        <v>1140.1500000000001</v>
      </c>
      <c r="F13051" s="371">
        <v>1981.59</v>
      </c>
      <c r="G13051" s="371">
        <v>425.43</v>
      </c>
      <c r="H13051" s="372">
        <v>25750.22</v>
      </c>
      <c r="I13051" s="372">
        <v>13112.25</v>
      </c>
      <c r="J13051" s="372">
        <v>10001.65</v>
      </c>
      <c r="K13051" s="372">
        <v>2636.32</v>
      </c>
      <c r="L13051" s="43">
        <v>7.2593701457781838</v>
      </c>
      <c r="M13051" s="43">
        <v>11.500460465728192</v>
      </c>
      <c r="N13051" s="43">
        <v>5.0472852608259027</v>
      </c>
      <c r="O13051" s="43">
        <v>6.1968361422560703</v>
      </c>
      <c r="P13051" s="373"/>
      <c r="Q13051" s="373"/>
      <c r="R13051" s="373">
        <v>1</v>
      </c>
    </row>
    <row r="13052" spans="1:18" ht="36">
      <c r="A13052" s="369">
        <v>108</v>
      </c>
      <c r="B13052" s="366" t="s">
        <v>23657</v>
      </c>
      <c r="C13052" s="370" t="s">
        <v>23658</v>
      </c>
      <c r="D13052" s="371">
        <v>3282.04</v>
      </c>
      <c r="E13052" s="371">
        <v>839.11</v>
      </c>
      <c r="F13052" s="371">
        <v>2336.4699999999998</v>
      </c>
      <c r="G13052" s="371">
        <v>106.46</v>
      </c>
      <c r="H13052" s="372">
        <v>21519.11</v>
      </c>
      <c r="I13052" s="372">
        <v>9650.18</v>
      </c>
      <c r="J13052" s="372">
        <v>11099.64</v>
      </c>
      <c r="K13052" s="372">
        <v>769.29</v>
      </c>
      <c r="L13052" s="43">
        <v>6.5566263665281355</v>
      </c>
      <c r="M13052" s="43">
        <v>11.500494571629465</v>
      </c>
      <c r="N13052" s="43">
        <v>4.7506024044819748</v>
      </c>
      <c r="O13052" s="43">
        <v>7.2260943077212101</v>
      </c>
      <c r="P13052" s="373"/>
      <c r="Q13052" s="373"/>
      <c r="R13052" s="373">
        <v>1</v>
      </c>
    </row>
    <row r="13053" spans="1:18" ht="12.75" customHeight="1">
      <c r="A13053" s="628" t="s">
        <v>23659</v>
      </c>
      <c r="B13053" s="629"/>
      <c r="C13053" s="629"/>
      <c r="D13053" s="629"/>
      <c r="E13053" s="629"/>
      <c r="F13053" s="629"/>
      <c r="G13053" s="629"/>
      <c r="H13053" s="629"/>
      <c r="I13053" s="629"/>
      <c r="J13053" s="629"/>
      <c r="K13053" s="629"/>
      <c r="L13053" s="629"/>
      <c r="M13053" s="629"/>
      <c r="N13053" s="629"/>
      <c r="O13053" s="629"/>
      <c r="P13053" s="629"/>
      <c r="Q13053" s="629"/>
      <c r="R13053" s="629"/>
    </row>
    <row r="13054" spans="1:18" ht="12.75" customHeight="1">
      <c r="A13054" s="628" t="s">
        <v>23660</v>
      </c>
      <c r="B13054" s="629"/>
      <c r="C13054" s="629"/>
      <c r="D13054" s="629"/>
      <c r="E13054" s="629"/>
      <c r="F13054" s="629"/>
      <c r="G13054" s="629"/>
      <c r="H13054" s="629"/>
      <c r="I13054" s="629"/>
      <c r="J13054" s="629"/>
      <c r="K13054" s="629"/>
      <c r="L13054" s="629"/>
      <c r="M13054" s="629"/>
      <c r="N13054" s="629"/>
      <c r="O13054" s="629"/>
      <c r="P13054" s="629"/>
      <c r="Q13054" s="629"/>
      <c r="R13054" s="629"/>
    </row>
    <row r="13055" spans="1:18" ht="24">
      <c r="A13055" s="369">
        <v>109</v>
      </c>
      <c r="B13055" s="366" t="s">
        <v>23661</v>
      </c>
      <c r="C13055" s="370" t="s">
        <v>23662</v>
      </c>
      <c r="D13055" s="371">
        <v>1313.25</v>
      </c>
      <c r="E13055" s="371">
        <v>542.33000000000004</v>
      </c>
      <c r="F13055" s="371">
        <v>554.16</v>
      </c>
      <c r="G13055" s="371">
        <v>216.76</v>
      </c>
      <c r="H13055" s="372">
        <v>9928.73</v>
      </c>
      <c r="I13055" s="372">
        <v>6237.01</v>
      </c>
      <c r="J13055" s="372">
        <v>2721.19</v>
      </c>
      <c r="K13055" s="372">
        <v>970.53</v>
      </c>
      <c r="L13055" s="43">
        <v>7.5604264229963825</v>
      </c>
      <c r="M13055" s="43">
        <v>11.500396437593347</v>
      </c>
      <c r="N13055" s="43">
        <v>4.9104771185217269</v>
      </c>
      <c r="O13055" s="43">
        <v>4.4774404871747553</v>
      </c>
      <c r="P13055" s="373"/>
      <c r="Q13055" s="373"/>
      <c r="R13055" s="373">
        <v>1</v>
      </c>
    </row>
    <row r="13056" spans="1:18" ht="24">
      <c r="A13056" s="374">
        <v>110</v>
      </c>
      <c r="B13056" s="375" t="s">
        <v>23663</v>
      </c>
      <c r="C13056" s="376" t="s">
        <v>23664</v>
      </c>
      <c r="D13056" s="377">
        <v>1546.28</v>
      </c>
      <c r="E13056" s="377">
        <v>528.54</v>
      </c>
      <c r="F13056" s="377">
        <v>823.56</v>
      </c>
      <c r="G13056" s="377">
        <v>194.18</v>
      </c>
      <c r="H13056" s="378">
        <v>11558.72</v>
      </c>
      <c r="I13056" s="378">
        <v>6078.44</v>
      </c>
      <c r="J13056" s="378">
        <v>3958.88</v>
      </c>
      <c r="K13056" s="378">
        <v>1521.4</v>
      </c>
      <c r="L13056" s="611">
        <v>7.4751791396124894</v>
      </c>
      <c r="M13056" s="611">
        <v>11.500435161009573</v>
      </c>
      <c r="N13056" s="611">
        <v>4.8070328816358252</v>
      </c>
      <c r="O13056" s="611">
        <v>7.8349984550417142</v>
      </c>
      <c r="P13056" s="379"/>
      <c r="Q13056" s="379"/>
      <c r="R13056" s="379">
        <v>1</v>
      </c>
    </row>
    <row r="13057" spans="1:18" ht="12.75" customHeight="1">
      <c r="A13057" s="630" t="s">
        <v>23665</v>
      </c>
      <c r="B13057" s="631"/>
      <c r="C13057" s="631"/>
      <c r="D13057" s="631"/>
      <c r="E13057" s="631"/>
      <c r="F13057" s="631"/>
      <c r="G13057" s="631"/>
      <c r="H13057" s="631"/>
      <c r="I13057" s="631"/>
      <c r="J13057" s="631"/>
      <c r="K13057" s="631"/>
      <c r="L13057" s="631"/>
      <c r="M13057" s="631"/>
      <c r="N13057" s="631"/>
      <c r="O13057" s="631"/>
      <c r="P13057" s="631"/>
      <c r="Q13057" s="631"/>
      <c r="R13057" s="631"/>
    </row>
    <row r="13058" spans="1:18" ht="12.75" customHeight="1">
      <c r="A13058" s="628" t="s">
        <v>23666</v>
      </c>
      <c r="B13058" s="629"/>
      <c r="C13058" s="629"/>
      <c r="D13058" s="629"/>
      <c r="E13058" s="629"/>
      <c r="F13058" s="629"/>
      <c r="G13058" s="629"/>
      <c r="H13058" s="629"/>
      <c r="I13058" s="629"/>
      <c r="J13058" s="629"/>
      <c r="K13058" s="629"/>
      <c r="L13058" s="629"/>
      <c r="M13058" s="629"/>
      <c r="N13058" s="629"/>
      <c r="O13058" s="629"/>
      <c r="P13058" s="629"/>
      <c r="Q13058" s="629"/>
      <c r="R13058" s="629"/>
    </row>
    <row r="13059" spans="1:18" ht="12.75" customHeight="1">
      <c r="A13059" s="628" t="s">
        <v>3949</v>
      </c>
      <c r="B13059" s="629"/>
      <c r="C13059" s="629"/>
      <c r="D13059" s="629"/>
      <c r="E13059" s="629"/>
      <c r="F13059" s="629"/>
      <c r="G13059" s="629"/>
      <c r="H13059" s="629"/>
      <c r="I13059" s="629"/>
      <c r="J13059" s="629"/>
      <c r="K13059" s="629"/>
      <c r="L13059" s="629"/>
      <c r="M13059" s="629"/>
      <c r="N13059" s="629"/>
      <c r="O13059" s="629"/>
      <c r="P13059" s="629"/>
      <c r="Q13059" s="629"/>
      <c r="R13059" s="629"/>
    </row>
    <row r="13060" spans="1:18" ht="24">
      <c r="A13060" s="369">
        <v>111</v>
      </c>
      <c r="B13060" s="366" t="s">
        <v>23667</v>
      </c>
      <c r="C13060" s="370" t="s">
        <v>23668</v>
      </c>
      <c r="D13060" s="371">
        <v>3330.7</v>
      </c>
      <c r="E13060" s="371">
        <v>980.67</v>
      </c>
      <c r="F13060" s="371">
        <v>2180.41</v>
      </c>
      <c r="G13060" s="371">
        <v>169.62</v>
      </c>
      <c r="H13060" s="372">
        <v>22537.97</v>
      </c>
      <c r="I13060" s="372">
        <v>11278.15</v>
      </c>
      <c r="J13060" s="372">
        <v>10322.39</v>
      </c>
      <c r="K13060" s="372">
        <v>937.43</v>
      </c>
      <c r="L13060" s="43">
        <v>6.7667367220103891</v>
      </c>
      <c r="M13060" s="43">
        <v>11.500453771401185</v>
      </c>
      <c r="N13060" s="43">
        <v>4.7341509165707372</v>
      </c>
      <c r="O13060" s="43">
        <v>5.5266478009668667</v>
      </c>
      <c r="P13060" s="373"/>
      <c r="Q13060" s="373"/>
      <c r="R13060" s="373">
        <v>1</v>
      </c>
    </row>
    <row r="13061" spans="1:18" ht="12.75" customHeight="1">
      <c r="A13061" s="628" t="s">
        <v>23669</v>
      </c>
      <c r="B13061" s="629"/>
      <c r="C13061" s="629"/>
      <c r="D13061" s="629"/>
      <c r="E13061" s="629"/>
      <c r="F13061" s="629"/>
      <c r="G13061" s="629"/>
      <c r="H13061" s="629"/>
      <c r="I13061" s="629"/>
      <c r="J13061" s="629"/>
      <c r="K13061" s="629"/>
      <c r="L13061" s="629"/>
      <c r="M13061" s="629"/>
      <c r="N13061" s="629"/>
      <c r="O13061" s="629"/>
      <c r="P13061" s="629"/>
      <c r="Q13061" s="629"/>
      <c r="R13061" s="629"/>
    </row>
    <row r="13062" spans="1:18" ht="24">
      <c r="A13062" s="369">
        <v>112</v>
      </c>
      <c r="B13062" s="366" t="s">
        <v>23670</v>
      </c>
      <c r="C13062" s="370" t="s">
        <v>23671</v>
      </c>
      <c r="D13062" s="371">
        <v>1521.43</v>
      </c>
      <c r="E13062" s="371">
        <v>702.61</v>
      </c>
      <c r="F13062" s="371">
        <v>425.61</v>
      </c>
      <c r="G13062" s="371">
        <v>393.21</v>
      </c>
      <c r="H13062" s="372">
        <v>12277.3</v>
      </c>
      <c r="I13062" s="372">
        <v>8080.36</v>
      </c>
      <c r="J13062" s="372">
        <v>2396.35</v>
      </c>
      <c r="K13062" s="372">
        <v>1800.59</v>
      </c>
      <c r="L13062" s="43">
        <v>8.0695792773903499</v>
      </c>
      <c r="M13062" s="43">
        <v>11.500491026316164</v>
      </c>
      <c r="N13062" s="43">
        <v>5.6303893235591262</v>
      </c>
      <c r="O13062" s="43">
        <v>4.5792070394954347</v>
      </c>
      <c r="P13062" s="373"/>
      <c r="Q13062" s="373"/>
      <c r="R13062" s="373">
        <v>2</v>
      </c>
    </row>
    <row r="13063" spans="1:18" ht="24">
      <c r="A13063" s="369">
        <v>113</v>
      </c>
      <c r="B13063" s="366" t="s">
        <v>23672</v>
      </c>
      <c r="C13063" s="370" t="s">
        <v>23673</v>
      </c>
      <c r="D13063" s="371">
        <v>1309.93</v>
      </c>
      <c r="E13063" s="371">
        <v>675.61</v>
      </c>
      <c r="F13063" s="371">
        <v>321.87</v>
      </c>
      <c r="G13063" s="371">
        <v>312.45</v>
      </c>
      <c r="H13063" s="372">
        <v>11028.4</v>
      </c>
      <c r="I13063" s="372">
        <v>7769.83</v>
      </c>
      <c r="J13063" s="372">
        <v>1805.92</v>
      </c>
      <c r="K13063" s="372">
        <v>1452.65</v>
      </c>
      <c r="L13063" s="43">
        <v>8.4190758284793841</v>
      </c>
      <c r="M13063" s="43">
        <v>11.500466245319044</v>
      </c>
      <c r="N13063" s="43">
        <v>5.6107123994159132</v>
      </c>
      <c r="O13063" s="43">
        <v>4.6492238758201321</v>
      </c>
      <c r="P13063" s="373"/>
      <c r="Q13063" s="373"/>
      <c r="R13063" s="373">
        <v>2</v>
      </c>
    </row>
    <row r="13064" spans="1:18" ht="12.75" customHeight="1">
      <c r="A13064" s="628" t="s">
        <v>23674</v>
      </c>
      <c r="B13064" s="629"/>
      <c r="C13064" s="629"/>
      <c r="D13064" s="629"/>
      <c r="E13064" s="629"/>
      <c r="F13064" s="629"/>
      <c r="G13064" s="629"/>
      <c r="H13064" s="629"/>
      <c r="I13064" s="629"/>
      <c r="J13064" s="629"/>
      <c r="K13064" s="629"/>
      <c r="L13064" s="629"/>
      <c r="M13064" s="629"/>
      <c r="N13064" s="629"/>
      <c r="O13064" s="629"/>
      <c r="P13064" s="629"/>
      <c r="Q13064" s="629"/>
      <c r="R13064" s="629"/>
    </row>
    <row r="13065" spans="1:18" ht="24">
      <c r="A13065" s="374">
        <v>114</v>
      </c>
      <c r="B13065" s="375" t="s">
        <v>23675</v>
      </c>
      <c r="C13065" s="376" t="s">
        <v>23676</v>
      </c>
      <c r="D13065" s="377">
        <v>2806.23</v>
      </c>
      <c r="E13065" s="377">
        <v>644.13</v>
      </c>
      <c r="F13065" s="377">
        <v>1276.52</v>
      </c>
      <c r="G13065" s="377">
        <v>885.58</v>
      </c>
      <c r="H13065" s="378">
        <v>19259.509999999998</v>
      </c>
      <c r="I13065" s="378">
        <v>7407.77</v>
      </c>
      <c r="J13065" s="378">
        <v>7293.64</v>
      </c>
      <c r="K13065" s="378">
        <v>4558.1000000000004</v>
      </c>
      <c r="L13065" s="611">
        <v>6.8631259732808783</v>
      </c>
      <c r="M13065" s="611">
        <v>11.500426932451525</v>
      </c>
      <c r="N13065" s="611">
        <v>5.7136903456271746</v>
      </c>
      <c r="O13065" s="611">
        <v>5.1470222904762979</v>
      </c>
      <c r="P13065" s="379"/>
      <c r="Q13065" s="379"/>
      <c r="R13065" s="379">
        <v>3</v>
      </c>
    </row>
    <row r="13066" spans="1:18" ht="12.75" customHeight="1">
      <c r="A13066" s="630" t="s">
        <v>23677</v>
      </c>
      <c r="B13066" s="631"/>
      <c r="C13066" s="631"/>
      <c r="D13066" s="631"/>
      <c r="E13066" s="631"/>
      <c r="F13066" s="631"/>
      <c r="G13066" s="631"/>
      <c r="H13066" s="631"/>
      <c r="I13066" s="631"/>
      <c r="J13066" s="631"/>
      <c r="K13066" s="631"/>
      <c r="L13066" s="631"/>
      <c r="M13066" s="631"/>
      <c r="N13066" s="631"/>
      <c r="O13066" s="631"/>
      <c r="P13066" s="631"/>
      <c r="Q13066" s="631"/>
      <c r="R13066" s="631"/>
    </row>
    <row r="13067" spans="1:18" ht="12.75" customHeight="1">
      <c r="A13067" s="628" t="s">
        <v>23678</v>
      </c>
      <c r="B13067" s="629"/>
      <c r="C13067" s="629"/>
      <c r="D13067" s="629"/>
      <c r="E13067" s="629"/>
      <c r="F13067" s="629"/>
      <c r="G13067" s="629"/>
      <c r="H13067" s="629"/>
      <c r="I13067" s="629"/>
      <c r="J13067" s="629"/>
      <c r="K13067" s="629"/>
      <c r="L13067" s="629"/>
      <c r="M13067" s="629"/>
      <c r="N13067" s="629"/>
      <c r="O13067" s="629"/>
      <c r="P13067" s="629"/>
      <c r="Q13067" s="629"/>
      <c r="R13067" s="629"/>
    </row>
    <row r="13068" spans="1:18" ht="12.75" customHeight="1">
      <c r="A13068" s="628" t="s">
        <v>23679</v>
      </c>
      <c r="B13068" s="629"/>
      <c r="C13068" s="629"/>
      <c r="D13068" s="629"/>
      <c r="E13068" s="629"/>
      <c r="F13068" s="629"/>
      <c r="G13068" s="629"/>
      <c r="H13068" s="629"/>
      <c r="I13068" s="629"/>
      <c r="J13068" s="629"/>
      <c r="K13068" s="629"/>
      <c r="L13068" s="629"/>
      <c r="M13068" s="629"/>
      <c r="N13068" s="629"/>
      <c r="O13068" s="629"/>
      <c r="P13068" s="629"/>
      <c r="Q13068" s="629"/>
      <c r="R13068" s="629"/>
    </row>
    <row r="13069" spans="1:18" ht="24">
      <c r="A13069" s="369">
        <v>115</v>
      </c>
      <c r="B13069" s="366" t="s">
        <v>23680</v>
      </c>
      <c r="C13069" s="370" t="s">
        <v>23681</v>
      </c>
      <c r="D13069" s="371">
        <v>4251.24</v>
      </c>
      <c r="E13069" s="371">
        <v>1226.0999999999999</v>
      </c>
      <c r="F13069" s="371">
        <v>2858.44</v>
      </c>
      <c r="G13069" s="371">
        <v>166.7</v>
      </c>
      <c r="H13069" s="372">
        <v>28480.14</v>
      </c>
      <c r="I13069" s="372">
        <v>14100.66</v>
      </c>
      <c r="J13069" s="372">
        <v>13574.4</v>
      </c>
      <c r="K13069" s="372">
        <v>805.08</v>
      </c>
      <c r="L13069" s="43">
        <v>6.6992548056567029</v>
      </c>
      <c r="M13069" s="43">
        <v>11.500415953021777</v>
      </c>
      <c r="N13069" s="43">
        <v>4.7488840066609761</v>
      </c>
      <c r="O13069" s="43">
        <v>4.8295140971805646</v>
      </c>
      <c r="P13069" s="373"/>
      <c r="Q13069" s="373"/>
      <c r="R13069" s="373">
        <v>1</v>
      </c>
    </row>
    <row r="13070" spans="1:18" ht="24">
      <c r="A13070" s="369">
        <v>116</v>
      </c>
      <c r="B13070" s="366" t="s">
        <v>23682</v>
      </c>
      <c r="C13070" s="370" t="s">
        <v>23683</v>
      </c>
      <c r="D13070" s="371">
        <v>3244.65</v>
      </c>
      <c r="E13070" s="371">
        <v>1005.72</v>
      </c>
      <c r="F13070" s="371">
        <v>2131.09</v>
      </c>
      <c r="G13070" s="371">
        <v>107.84</v>
      </c>
      <c r="H13070" s="372">
        <v>22229.360000000001</v>
      </c>
      <c r="I13070" s="372">
        <v>11566.21</v>
      </c>
      <c r="J13070" s="372">
        <v>10109.120000000001</v>
      </c>
      <c r="K13070" s="372">
        <v>554.03</v>
      </c>
      <c r="L13070" s="43">
        <v>6.8510810102784587</v>
      </c>
      <c r="M13070" s="43">
        <v>11.500427554388894</v>
      </c>
      <c r="N13070" s="43">
        <v>4.7436382320784203</v>
      </c>
      <c r="O13070" s="43">
        <v>5.1375185459940651</v>
      </c>
      <c r="P13070" s="373"/>
      <c r="Q13070" s="373"/>
      <c r="R13070" s="373">
        <v>1</v>
      </c>
    </row>
    <row r="13071" spans="1:18" ht="12.75" customHeight="1">
      <c r="A13071" s="628" t="s">
        <v>23684</v>
      </c>
      <c r="B13071" s="629"/>
      <c r="C13071" s="629"/>
      <c r="D13071" s="629"/>
      <c r="E13071" s="629"/>
      <c r="F13071" s="629"/>
      <c r="G13071" s="629"/>
      <c r="H13071" s="629"/>
      <c r="I13071" s="629"/>
      <c r="J13071" s="629"/>
      <c r="K13071" s="629"/>
      <c r="L13071" s="629"/>
      <c r="M13071" s="629"/>
      <c r="N13071" s="629"/>
      <c r="O13071" s="629"/>
      <c r="P13071" s="629"/>
      <c r="Q13071" s="629"/>
      <c r="R13071" s="629"/>
    </row>
    <row r="13072" spans="1:18" ht="12.75" customHeight="1">
      <c r="A13072" s="628" t="s">
        <v>23685</v>
      </c>
      <c r="B13072" s="629"/>
      <c r="C13072" s="629"/>
      <c r="D13072" s="629"/>
      <c r="E13072" s="629"/>
      <c r="F13072" s="629"/>
      <c r="G13072" s="629"/>
      <c r="H13072" s="629"/>
      <c r="I13072" s="629"/>
      <c r="J13072" s="629"/>
      <c r="K13072" s="629"/>
      <c r="L13072" s="629"/>
      <c r="M13072" s="629"/>
      <c r="N13072" s="629"/>
      <c r="O13072" s="629"/>
      <c r="P13072" s="629"/>
      <c r="Q13072" s="629"/>
      <c r="R13072" s="629"/>
    </row>
    <row r="13073" spans="1:18" ht="24">
      <c r="A13073" s="369">
        <v>117</v>
      </c>
      <c r="B13073" s="366" t="s">
        <v>23686</v>
      </c>
      <c r="C13073" s="370" t="s">
        <v>23687</v>
      </c>
      <c r="D13073" s="371">
        <v>2603.2399999999998</v>
      </c>
      <c r="E13073" s="371">
        <v>846.81</v>
      </c>
      <c r="F13073" s="371">
        <v>1381.64</v>
      </c>
      <c r="G13073" s="371">
        <v>374.79</v>
      </c>
      <c r="H13073" s="372">
        <v>19350.439999999999</v>
      </c>
      <c r="I13073" s="372">
        <v>9738.7199999999993</v>
      </c>
      <c r="J13073" s="372">
        <v>7631.82</v>
      </c>
      <c r="K13073" s="372">
        <v>1979.9</v>
      </c>
      <c r="L13073" s="43">
        <v>7.4332139948679341</v>
      </c>
      <c r="M13073" s="43">
        <v>11.500478265490488</v>
      </c>
      <c r="N13073" s="43">
        <v>5.5237399033033201</v>
      </c>
      <c r="O13073" s="43">
        <v>5.2826916406520983</v>
      </c>
      <c r="P13073" s="373"/>
      <c r="Q13073" s="373"/>
      <c r="R13073" s="373">
        <v>1</v>
      </c>
    </row>
    <row r="13074" spans="1:18" ht="24">
      <c r="A13074" s="369">
        <v>118</v>
      </c>
      <c r="B13074" s="366" t="s">
        <v>23688</v>
      </c>
      <c r="C13074" s="370" t="s">
        <v>23689</v>
      </c>
      <c r="D13074" s="371">
        <v>1984.86</v>
      </c>
      <c r="E13074" s="371">
        <v>735.13</v>
      </c>
      <c r="F13074" s="371">
        <v>1064.45</v>
      </c>
      <c r="G13074" s="371">
        <v>185.28</v>
      </c>
      <c r="H13074" s="372">
        <v>15310.02</v>
      </c>
      <c r="I13074" s="372">
        <v>8454.32</v>
      </c>
      <c r="J13074" s="372">
        <v>5816.31</v>
      </c>
      <c r="K13074" s="372">
        <v>1039.3900000000001</v>
      </c>
      <c r="L13074" s="43">
        <v>7.7134004413409514</v>
      </c>
      <c r="M13074" s="43">
        <v>11.500442098676425</v>
      </c>
      <c r="N13074" s="43">
        <v>5.4641458029968533</v>
      </c>
      <c r="O13074" s="43">
        <v>5.6098337651122634</v>
      </c>
      <c r="P13074" s="373"/>
      <c r="Q13074" s="373"/>
      <c r="R13074" s="373">
        <v>1</v>
      </c>
    </row>
    <row r="13075" spans="1:18" ht="24">
      <c r="A13075" s="369">
        <v>119</v>
      </c>
      <c r="B13075" s="366" t="s">
        <v>23690</v>
      </c>
      <c r="C13075" s="370" t="s">
        <v>23691</v>
      </c>
      <c r="D13075" s="371">
        <v>1669.14</v>
      </c>
      <c r="E13075" s="371">
        <v>508.55</v>
      </c>
      <c r="F13075" s="371">
        <v>877.36</v>
      </c>
      <c r="G13075" s="371">
        <v>283.23</v>
      </c>
      <c r="H13075" s="372">
        <v>12347.96</v>
      </c>
      <c r="I13075" s="372">
        <v>5848.52</v>
      </c>
      <c r="J13075" s="372">
        <v>4945.46</v>
      </c>
      <c r="K13075" s="372">
        <v>1553.98</v>
      </c>
      <c r="L13075" s="43">
        <v>7.3977976682603011</v>
      </c>
      <c r="M13075" s="43">
        <v>11.500383443122605</v>
      </c>
      <c r="N13075" s="43">
        <v>5.6367511625786451</v>
      </c>
      <c r="O13075" s="43">
        <v>5.4866363026515552</v>
      </c>
      <c r="P13075" s="373"/>
      <c r="Q13075" s="373"/>
      <c r="R13075" s="373">
        <v>1</v>
      </c>
    </row>
    <row r="13076" spans="1:18" ht="24">
      <c r="A13076" s="369">
        <v>120</v>
      </c>
      <c r="B13076" s="366" t="s">
        <v>23692</v>
      </c>
      <c r="C13076" s="370" t="s">
        <v>23693</v>
      </c>
      <c r="D13076" s="371">
        <v>1758.22</v>
      </c>
      <c r="E13076" s="371">
        <v>781.09</v>
      </c>
      <c r="F13076" s="371">
        <v>817.05</v>
      </c>
      <c r="G13076" s="371">
        <v>160.08000000000001</v>
      </c>
      <c r="H13076" s="372">
        <v>14425.34</v>
      </c>
      <c r="I13076" s="372">
        <v>8982.8799999999992</v>
      </c>
      <c r="J13076" s="372">
        <v>4522.8900000000003</v>
      </c>
      <c r="K13076" s="372">
        <v>919.57</v>
      </c>
      <c r="L13076" s="43">
        <v>8.2045136558564913</v>
      </c>
      <c r="M13076" s="43">
        <v>11.500441690458205</v>
      </c>
      <c r="N13076" s="43">
        <v>5.5356342941068482</v>
      </c>
      <c r="O13076" s="43">
        <v>5.7444402798600702</v>
      </c>
      <c r="P13076" s="373"/>
      <c r="Q13076" s="373"/>
      <c r="R13076" s="373">
        <v>1</v>
      </c>
    </row>
    <row r="13077" spans="1:18" ht="12.75">
      <c r="A13077" s="632" t="s">
        <v>18</v>
      </c>
      <c r="B13077" s="632"/>
      <c r="C13077" s="632"/>
      <c r="D13077" s="367">
        <v>391080.85</v>
      </c>
      <c r="E13077" s="367">
        <v>93401.09</v>
      </c>
      <c r="F13077" s="367">
        <v>243263.32</v>
      </c>
      <c r="G13077" s="367">
        <v>54416.44</v>
      </c>
      <c r="H13077" s="368">
        <v>2607538.25</v>
      </c>
      <c r="I13077" s="368">
        <v>1074151.48</v>
      </c>
      <c r="J13077" s="368">
        <v>1263157.44</v>
      </c>
      <c r="K13077" s="368">
        <v>270229.33</v>
      </c>
      <c r="L13077" s="612">
        <v>6.6675170875792054</v>
      </c>
      <c r="M13077" s="612">
        <v>11.500416965155331</v>
      </c>
      <c r="N13077" s="612">
        <v>5.192552004963181</v>
      </c>
      <c r="O13077" s="612">
        <v>4.965950179761851</v>
      </c>
      <c r="P13077" s="351"/>
      <c r="Q13077" s="351"/>
      <c r="R13077" s="351"/>
    </row>
    <row r="13078" spans="1:18" ht="18">
      <c r="A13078" s="616" t="s">
        <v>23694</v>
      </c>
      <c r="B13078" s="626"/>
      <c r="C13078" s="626"/>
      <c r="D13078" s="626"/>
      <c r="E13078" s="626"/>
      <c r="F13078" s="626"/>
      <c r="G13078" s="626"/>
      <c r="H13078" s="626"/>
      <c r="I13078" s="626"/>
      <c r="J13078" s="626"/>
      <c r="K13078" s="626"/>
      <c r="L13078" s="626"/>
      <c r="M13078" s="626"/>
      <c r="N13078" s="626"/>
      <c r="O13078" s="626"/>
      <c r="P13078" s="626"/>
      <c r="Q13078" s="626"/>
      <c r="R13078" s="627"/>
    </row>
    <row r="13079" spans="1:18" ht="12.75" customHeight="1">
      <c r="A13079" s="630" t="s">
        <v>23695</v>
      </c>
      <c r="B13079" s="631"/>
      <c r="C13079" s="631"/>
      <c r="D13079" s="631"/>
      <c r="E13079" s="631"/>
      <c r="F13079" s="631"/>
      <c r="G13079" s="631"/>
      <c r="H13079" s="631"/>
      <c r="I13079" s="631"/>
      <c r="J13079" s="631"/>
      <c r="K13079" s="631"/>
      <c r="L13079" s="631"/>
      <c r="M13079" s="631"/>
      <c r="N13079" s="631"/>
      <c r="O13079" s="631"/>
      <c r="P13079" s="631"/>
      <c r="Q13079" s="631"/>
      <c r="R13079" s="631"/>
    </row>
    <row r="13080" spans="1:18" ht="12.75" customHeight="1">
      <c r="A13080" s="628" t="s">
        <v>23696</v>
      </c>
      <c r="B13080" s="629"/>
      <c r="C13080" s="629"/>
      <c r="D13080" s="629"/>
      <c r="E13080" s="629"/>
      <c r="F13080" s="629"/>
      <c r="G13080" s="629"/>
      <c r="H13080" s="629"/>
      <c r="I13080" s="629"/>
      <c r="J13080" s="629"/>
      <c r="K13080" s="629"/>
      <c r="L13080" s="629"/>
      <c r="M13080" s="629"/>
      <c r="N13080" s="629"/>
      <c r="O13080" s="629"/>
      <c r="P13080" s="629"/>
      <c r="Q13080" s="629"/>
      <c r="R13080" s="629"/>
    </row>
    <row r="13081" spans="1:18" ht="12.75" customHeight="1">
      <c r="A13081" s="628" t="s">
        <v>23697</v>
      </c>
      <c r="B13081" s="629"/>
      <c r="C13081" s="629"/>
      <c r="D13081" s="629"/>
      <c r="E13081" s="629"/>
      <c r="F13081" s="629"/>
      <c r="G13081" s="629"/>
      <c r="H13081" s="629"/>
      <c r="I13081" s="629"/>
      <c r="J13081" s="629"/>
      <c r="K13081" s="629"/>
      <c r="L13081" s="629"/>
      <c r="M13081" s="629"/>
      <c r="N13081" s="629"/>
      <c r="O13081" s="629"/>
      <c r="P13081" s="629"/>
      <c r="Q13081" s="629"/>
      <c r="R13081" s="629"/>
    </row>
    <row r="13082" spans="1:18" ht="24">
      <c r="A13082" s="384">
        <v>1</v>
      </c>
      <c r="B13082" s="381" t="s">
        <v>23698</v>
      </c>
      <c r="C13082" s="385" t="s">
        <v>23699</v>
      </c>
      <c r="D13082" s="386">
        <v>1169.27</v>
      </c>
      <c r="E13082" s="386">
        <v>292.06</v>
      </c>
      <c r="F13082" s="386">
        <v>853.77</v>
      </c>
      <c r="G13082" s="386">
        <v>23.44</v>
      </c>
      <c r="H13082" s="387">
        <v>8001.29</v>
      </c>
      <c r="I13082" s="387">
        <v>3358.64</v>
      </c>
      <c r="J13082" s="387">
        <v>4476.6000000000004</v>
      </c>
      <c r="K13082" s="387">
        <v>166.05</v>
      </c>
      <c r="L13082" s="43">
        <v>6.8429789526798777</v>
      </c>
      <c r="M13082" s="43">
        <v>11.499828802300897</v>
      </c>
      <c r="N13082" s="43">
        <v>5.2433325134403885</v>
      </c>
      <c r="O13082" s="43">
        <v>7.0840443686006829</v>
      </c>
      <c r="P13082" s="388"/>
      <c r="Q13082" s="388"/>
      <c r="R13082" s="388">
        <v>1</v>
      </c>
    </row>
    <row r="13083" spans="1:18" ht="24">
      <c r="A13083" s="384">
        <v>2</v>
      </c>
      <c r="B13083" s="381" t="s">
        <v>23700</v>
      </c>
      <c r="C13083" s="385" t="s">
        <v>23701</v>
      </c>
      <c r="D13083" s="386">
        <v>1407.97</v>
      </c>
      <c r="E13083" s="386">
        <v>314.76</v>
      </c>
      <c r="F13083" s="386">
        <v>1068.5999999999999</v>
      </c>
      <c r="G13083" s="386">
        <v>24.61</v>
      </c>
      <c r="H13083" s="387">
        <v>9411.32</v>
      </c>
      <c r="I13083" s="387">
        <v>3619.74</v>
      </c>
      <c r="J13083" s="387">
        <v>5646.37</v>
      </c>
      <c r="K13083" s="387">
        <v>145.21</v>
      </c>
      <c r="L13083" s="43">
        <v>6.6843185579238193</v>
      </c>
      <c r="M13083" s="43">
        <v>11.5</v>
      </c>
      <c r="N13083" s="43">
        <v>5.283894815646641</v>
      </c>
      <c r="O13083" s="43">
        <v>5.9004469727752946</v>
      </c>
      <c r="P13083" s="388"/>
      <c r="Q13083" s="388"/>
      <c r="R13083" s="388">
        <v>1</v>
      </c>
    </row>
    <row r="13084" spans="1:18" ht="24">
      <c r="A13084" s="384">
        <v>3</v>
      </c>
      <c r="B13084" s="381" t="s">
        <v>23702</v>
      </c>
      <c r="C13084" s="385" t="s">
        <v>23703</v>
      </c>
      <c r="D13084" s="386">
        <v>1196.08</v>
      </c>
      <c r="E13084" s="386">
        <v>259.02999999999997</v>
      </c>
      <c r="F13084" s="386">
        <v>914.3</v>
      </c>
      <c r="G13084" s="386">
        <v>22.75</v>
      </c>
      <c r="H13084" s="387">
        <v>7957.41</v>
      </c>
      <c r="I13084" s="387">
        <v>2978.87</v>
      </c>
      <c r="J13084" s="387">
        <v>4846.08</v>
      </c>
      <c r="K13084" s="387">
        <v>132.46</v>
      </c>
      <c r="L13084" s="43">
        <v>6.6529078322520236</v>
      </c>
      <c r="M13084" s="43">
        <v>11.500096513917308</v>
      </c>
      <c r="N13084" s="43">
        <v>5.3003171825440232</v>
      </c>
      <c r="O13084" s="43">
        <v>5.8224175824175823</v>
      </c>
      <c r="P13084" s="388"/>
      <c r="Q13084" s="388"/>
      <c r="R13084" s="388">
        <v>1</v>
      </c>
    </row>
    <row r="13085" spans="1:18" ht="12.75" customHeight="1">
      <c r="A13085" s="628" t="s">
        <v>23704</v>
      </c>
      <c r="B13085" s="629"/>
      <c r="C13085" s="629"/>
      <c r="D13085" s="629"/>
      <c r="E13085" s="629"/>
      <c r="F13085" s="629"/>
      <c r="G13085" s="629"/>
      <c r="H13085" s="629"/>
      <c r="I13085" s="629"/>
      <c r="J13085" s="629"/>
      <c r="K13085" s="629"/>
      <c r="L13085" s="629"/>
      <c r="M13085" s="629"/>
      <c r="N13085" s="629"/>
      <c r="O13085" s="629"/>
      <c r="P13085" s="629"/>
      <c r="Q13085" s="629"/>
      <c r="R13085" s="629"/>
    </row>
    <row r="13086" spans="1:18" ht="24">
      <c r="A13086" s="384">
        <v>4</v>
      </c>
      <c r="B13086" s="381" t="s">
        <v>23705</v>
      </c>
      <c r="C13086" s="385" t="s">
        <v>23706</v>
      </c>
      <c r="D13086" s="386">
        <v>1970.79</v>
      </c>
      <c r="E13086" s="386">
        <v>472.66</v>
      </c>
      <c r="F13086" s="386">
        <v>1446.73</v>
      </c>
      <c r="G13086" s="386">
        <v>51.4</v>
      </c>
      <c r="H13086" s="387">
        <v>13333.33</v>
      </c>
      <c r="I13086" s="387">
        <v>5435.54</v>
      </c>
      <c r="J13086" s="387">
        <v>7607.62</v>
      </c>
      <c r="K13086" s="387">
        <v>290.17</v>
      </c>
      <c r="L13086" s="43">
        <v>6.7654747588530491</v>
      </c>
      <c r="M13086" s="43">
        <v>11.499894215715313</v>
      </c>
      <c r="N13086" s="43">
        <v>5.2584932917683327</v>
      </c>
      <c r="O13086" s="43">
        <v>5.6453307392996113</v>
      </c>
      <c r="P13086" s="388"/>
      <c r="Q13086" s="388"/>
      <c r="R13086" s="388">
        <v>2</v>
      </c>
    </row>
    <row r="13087" spans="1:18" ht="24">
      <c r="A13087" s="384">
        <v>5</v>
      </c>
      <c r="B13087" s="381" t="s">
        <v>23707</v>
      </c>
      <c r="C13087" s="385" t="s">
        <v>23708</v>
      </c>
      <c r="D13087" s="386">
        <v>1207.02</v>
      </c>
      <c r="E13087" s="386">
        <v>314.76</v>
      </c>
      <c r="F13087" s="386">
        <v>865.28</v>
      </c>
      <c r="G13087" s="386">
        <v>26.98</v>
      </c>
      <c r="H13087" s="387">
        <v>8353.32</v>
      </c>
      <c r="I13087" s="387">
        <v>3619.74</v>
      </c>
      <c r="J13087" s="387">
        <v>4567.57</v>
      </c>
      <c r="K13087" s="387">
        <v>166.01</v>
      </c>
      <c r="L13087" s="43">
        <v>6.9206144057265</v>
      </c>
      <c r="M13087" s="43">
        <v>11.5</v>
      </c>
      <c r="N13087" s="43">
        <v>5.278719027366864</v>
      </c>
      <c r="O13087" s="43">
        <v>6.1530763528539651</v>
      </c>
      <c r="P13087" s="388"/>
      <c r="Q13087" s="388"/>
      <c r="R13087" s="388">
        <v>2</v>
      </c>
    </row>
    <row r="13088" spans="1:18" ht="24">
      <c r="A13088" s="384">
        <v>6</v>
      </c>
      <c r="B13088" s="381" t="s">
        <v>23709</v>
      </c>
      <c r="C13088" s="385" t="s">
        <v>23710</v>
      </c>
      <c r="D13088" s="386">
        <v>1186.8599999999999</v>
      </c>
      <c r="E13088" s="386">
        <v>360.17</v>
      </c>
      <c r="F13088" s="386">
        <v>783.91</v>
      </c>
      <c r="G13088" s="386">
        <v>42.78</v>
      </c>
      <c r="H13088" s="387">
        <v>8580.2900000000009</v>
      </c>
      <c r="I13088" s="387">
        <v>4141.93</v>
      </c>
      <c r="J13088" s="387">
        <v>4169.79</v>
      </c>
      <c r="K13088" s="387">
        <v>268.57</v>
      </c>
      <c r="L13088" s="43">
        <v>7.2294036364861922</v>
      </c>
      <c r="M13088" s="43">
        <v>11.499930588333287</v>
      </c>
      <c r="N13088" s="43">
        <v>5.3192203186590303</v>
      </c>
      <c r="O13088" s="43">
        <v>6.2779336138382416</v>
      </c>
      <c r="P13088" s="388"/>
      <c r="Q13088" s="388"/>
      <c r="R13088" s="388">
        <v>2</v>
      </c>
    </row>
    <row r="13089" spans="1:18" ht="24">
      <c r="A13089" s="384">
        <v>7</v>
      </c>
      <c r="B13089" s="381" t="s">
        <v>23711</v>
      </c>
      <c r="C13089" s="385" t="s">
        <v>23712</v>
      </c>
      <c r="D13089" s="386">
        <v>1120.8900000000001</v>
      </c>
      <c r="E13089" s="386">
        <v>281.74</v>
      </c>
      <c r="F13089" s="386">
        <v>814.21</v>
      </c>
      <c r="G13089" s="386">
        <v>24.94</v>
      </c>
      <c r="H13089" s="387">
        <v>7721.27</v>
      </c>
      <c r="I13089" s="387">
        <v>3239.96</v>
      </c>
      <c r="J13089" s="387">
        <v>4302.68</v>
      </c>
      <c r="K13089" s="387">
        <v>178.63</v>
      </c>
      <c r="L13089" s="43">
        <v>6.8885171604706974</v>
      </c>
      <c r="M13089" s="43">
        <v>11.49982253141194</v>
      </c>
      <c r="N13089" s="43">
        <v>5.2844843467901406</v>
      </c>
      <c r="O13089" s="43">
        <v>7.1623897353648749</v>
      </c>
      <c r="P13089" s="388"/>
      <c r="Q13089" s="388"/>
      <c r="R13089" s="388">
        <v>2</v>
      </c>
    </row>
    <row r="13090" spans="1:18" ht="24">
      <c r="A13090" s="384">
        <v>8</v>
      </c>
      <c r="B13090" s="381" t="s">
        <v>23713</v>
      </c>
      <c r="C13090" s="385" t="s">
        <v>23714</v>
      </c>
      <c r="D13090" s="386">
        <v>1111.79</v>
      </c>
      <c r="E13090" s="386">
        <v>236.33</v>
      </c>
      <c r="F13090" s="386">
        <v>851.28</v>
      </c>
      <c r="G13090" s="386">
        <v>24.18</v>
      </c>
      <c r="H13090" s="387">
        <v>7406.45</v>
      </c>
      <c r="I13090" s="387">
        <v>2717.77</v>
      </c>
      <c r="J13090" s="387">
        <v>4519.21</v>
      </c>
      <c r="K13090" s="387">
        <v>169.47</v>
      </c>
      <c r="L13090" s="43">
        <v>6.6617346801104524</v>
      </c>
      <c r="M13090" s="43">
        <v>11.499894215715313</v>
      </c>
      <c r="N13090" s="43">
        <v>5.3087233342730951</v>
      </c>
      <c r="O13090" s="43">
        <v>7.0086848635235732</v>
      </c>
      <c r="P13090" s="388"/>
      <c r="Q13090" s="388"/>
      <c r="R13090" s="388">
        <v>2</v>
      </c>
    </row>
    <row r="13091" spans="1:18" ht="12.75" customHeight="1">
      <c r="A13091" s="628" t="s">
        <v>23715</v>
      </c>
      <c r="B13091" s="629"/>
      <c r="C13091" s="629"/>
      <c r="D13091" s="629"/>
      <c r="E13091" s="629"/>
      <c r="F13091" s="629"/>
      <c r="G13091" s="629"/>
      <c r="H13091" s="629"/>
      <c r="I13091" s="629"/>
      <c r="J13091" s="629"/>
      <c r="K13091" s="629"/>
      <c r="L13091" s="629"/>
      <c r="M13091" s="629"/>
      <c r="N13091" s="629"/>
      <c r="O13091" s="629"/>
      <c r="P13091" s="629"/>
      <c r="Q13091" s="629"/>
      <c r="R13091" s="629"/>
    </row>
    <row r="13092" spans="1:18" ht="24">
      <c r="A13092" s="384">
        <v>9</v>
      </c>
      <c r="B13092" s="381" t="s">
        <v>23716</v>
      </c>
      <c r="C13092" s="385" t="s">
        <v>23717</v>
      </c>
      <c r="D13092" s="386">
        <v>931.04</v>
      </c>
      <c r="E13092" s="386">
        <v>224.98</v>
      </c>
      <c r="F13092" s="386">
        <v>664.71</v>
      </c>
      <c r="G13092" s="386">
        <v>41.35</v>
      </c>
      <c r="H13092" s="387">
        <v>6347.37</v>
      </c>
      <c r="I13092" s="387">
        <v>2587.2199999999998</v>
      </c>
      <c r="J13092" s="387">
        <v>3495.98</v>
      </c>
      <c r="K13092" s="387">
        <v>264.17</v>
      </c>
      <c r="L13092" s="43">
        <v>6.8175051555250041</v>
      </c>
      <c r="M13092" s="43">
        <v>11.499777758022935</v>
      </c>
      <c r="N13092" s="43">
        <v>5.2594063576597314</v>
      </c>
      <c r="O13092" s="43">
        <v>6.3886336154776302</v>
      </c>
      <c r="P13092" s="388"/>
      <c r="Q13092" s="388"/>
      <c r="R13092" s="388">
        <v>3</v>
      </c>
    </row>
    <row r="13093" spans="1:18" ht="24">
      <c r="A13093" s="384">
        <v>10</v>
      </c>
      <c r="B13093" s="381" t="s">
        <v>23718</v>
      </c>
      <c r="C13093" s="385" t="s">
        <v>23719</v>
      </c>
      <c r="D13093" s="386">
        <v>999.15</v>
      </c>
      <c r="E13093" s="386">
        <v>224.98</v>
      </c>
      <c r="F13093" s="386">
        <v>739.23</v>
      </c>
      <c r="G13093" s="386">
        <v>34.94</v>
      </c>
      <c r="H13093" s="387">
        <v>6675.81</v>
      </c>
      <c r="I13093" s="387">
        <v>2587.2199999999998</v>
      </c>
      <c r="J13093" s="387">
        <v>3913.81</v>
      </c>
      <c r="K13093" s="387">
        <v>174.78</v>
      </c>
      <c r="L13093" s="43">
        <v>6.681489265875995</v>
      </c>
      <c r="M13093" s="43">
        <v>11.499777758022935</v>
      </c>
      <c r="N13093" s="43">
        <v>5.2944415134667153</v>
      </c>
      <c r="O13093" s="43">
        <v>5.0022896393817975</v>
      </c>
      <c r="P13093" s="388"/>
      <c r="Q13093" s="388"/>
      <c r="R13093" s="388">
        <v>3</v>
      </c>
    </row>
    <row r="13094" spans="1:18" ht="24">
      <c r="A13094" s="384">
        <v>11</v>
      </c>
      <c r="B13094" s="381" t="s">
        <v>23720</v>
      </c>
      <c r="C13094" s="385" t="s">
        <v>23721</v>
      </c>
      <c r="D13094" s="386">
        <v>1169.82</v>
      </c>
      <c r="E13094" s="386">
        <v>427.25</v>
      </c>
      <c r="F13094" s="386">
        <v>674.16</v>
      </c>
      <c r="G13094" s="386">
        <v>68.41</v>
      </c>
      <c r="H13094" s="387">
        <v>8855.9599999999991</v>
      </c>
      <c r="I13094" s="387">
        <v>4913.3500000000004</v>
      </c>
      <c r="J13094" s="387">
        <v>3600.57</v>
      </c>
      <c r="K13094" s="387">
        <v>342.04</v>
      </c>
      <c r="L13094" s="43">
        <v>7.5703612521584516</v>
      </c>
      <c r="M13094" s="43">
        <v>11.49994148624927</v>
      </c>
      <c r="N13094" s="43">
        <v>5.3408241367034535</v>
      </c>
      <c r="O13094" s="43">
        <v>4.9998538225405644</v>
      </c>
      <c r="P13094" s="388"/>
      <c r="Q13094" s="388"/>
      <c r="R13094" s="388">
        <v>3</v>
      </c>
    </row>
    <row r="13095" spans="1:18" ht="12.75" customHeight="1">
      <c r="A13095" s="628" t="s">
        <v>23722</v>
      </c>
      <c r="B13095" s="629"/>
      <c r="C13095" s="629"/>
      <c r="D13095" s="629"/>
      <c r="E13095" s="629"/>
      <c r="F13095" s="629"/>
      <c r="G13095" s="629"/>
      <c r="H13095" s="629"/>
      <c r="I13095" s="629"/>
      <c r="J13095" s="629"/>
      <c r="K13095" s="629"/>
      <c r="L13095" s="629"/>
      <c r="M13095" s="629"/>
      <c r="N13095" s="629"/>
      <c r="O13095" s="629"/>
      <c r="P13095" s="629"/>
      <c r="Q13095" s="629"/>
      <c r="R13095" s="629"/>
    </row>
    <row r="13096" spans="1:18" ht="24">
      <c r="A13096" s="384">
        <v>12</v>
      </c>
      <c r="B13096" s="381" t="s">
        <v>23723</v>
      </c>
      <c r="C13096" s="385" t="s">
        <v>23724</v>
      </c>
      <c r="D13096" s="386">
        <v>1278.8800000000001</v>
      </c>
      <c r="E13096" s="386">
        <v>394.22</v>
      </c>
      <c r="F13096" s="386">
        <v>834.98</v>
      </c>
      <c r="G13096" s="386">
        <v>49.68</v>
      </c>
      <c r="H13096" s="387">
        <v>9239.0499999999993</v>
      </c>
      <c r="I13096" s="387">
        <v>4533.58</v>
      </c>
      <c r="J13096" s="387">
        <v>4434.67</v>
      </c>
      <c r="K13096" s="387">
        <v>270.8</v>
      </c>
      <c r="L13096" s="43">
        <v>7.2243291004629038</v>
      </c>
      <c r="M13096" s="43">
        <v>11.50012683273299</v>
      </c>
      <c r="N13096" s="43">
        <v>5.3111092481257032</v>
      </c>
      <c r="O13096" s="43">
        <v>5.4508856682769729</v>
      </c>
      <c r="P13096" s="388"/>
      <c r="Q13096" s="388"/>
      <c r="R13096" s="388">
        <v>4</v>
      </c>
    </row>
    <row r="13097" spans="1:18" ht="12.75" customHeight="1">
      <c r="A13097" s="628" t="s">
        <v>23725</v>
      </c>
      <c r="B13097" s="629"/>
      <c r="C13097" s="629"/>
      <c r="D13097" s="629"/>
      <c r="E13097" s="629"/>
      <c r="F13097" s="629"/>
      <c r="G13097" s="629"/>
      <c r="H13097" s="629"/>
      <c r="I13097" s="629"/>
      <c r="J13097" s="629"/>
      <c r="K13097" s="629"/>
      <c r="L13097" s="629"/>
      <c r="M13097" s="629"/>
      <c r="N13097" s="629"/>
      <c r="O13097" s="629"/>
      <c r="P13097" s="629"/>
      <c r="Q13097" s="629"/>
      <c r="R13097" s="629"/>
    </row>
    <row r="13098" spans="1:18" ht="24">
      <c r="A13098" s="384">
        <v>13</v>
      </c>
      <c r="B13098" s="381" t="s">
        <v>23726</v>
      </c>
      <c r="C13098" s="385" t="s">
        <v>23727</v>
      </c>
      <c r="D13098" s="386">
        <v>1318.87</v>
      </c>
      <c r="E13098" s="386">
        <v>528.38</v>
      </c>
      <c r="F13098" s="386">
        <v>740.59</v>
      </c>
      <c r="G13098" s="386">
        <v>49.9</v>
      </c>
      <c r="H13098" s="387">
        <v>10253.629999999999</v>
      </c>
      <c r="I13098" s="387">
        <v>6076.42</v>
      </c>
      <c r="J13098" s="387">
        <v>3897.2</v>
      </c>
      <c r="K13098" s="387">
        <v>280.01</v>
      </c>
      <c r="L13098" s="43">
        <v>7.7745570071348959</v>
      </c>
      <c r="M13098" s="43">
        <v>11.50009462886559</v>
      </c>
      <c r="N13098" s="43">
        <v>5.2622908761933047</v>
      </c>
      <c r="O13098" s="43">
        <v>5.6114228456913828</v>
      </c>
      <c r="P13098" s="388"/>
      <c r="Q13098" s="388"/>
      <c r="R13098" s="388">
        <v>5</v>
      </c>
    </row>
    <row r="13099" spans="1:18" ht="24">
      <c r="A13099" s="384">
        <v>14</v>
      </c>
      <c r="B13099" s="381" t="s">
        <v>23728</v>
      </c>
      <c r="C13099" s="385" t="s">
        <v>23729</v>
      </c>
      <c r="D13099" s="386">
        <v>1748.24</v>
      </c>
      <c r="E13099" s="386">
        <v>466.46</v>
      </c>
      <c r="F13099" s="386">
        <v>1227.6400000000001</v>
      </c>
      <c r="G13099" s="386">
        <v>54.14</v>
      </c>
      <c r="H13099" s="387">
        <v>12136.05</v>
      </c>
      <c r="I13099" s="387">
        <v>5364.34</v>
      </c>
      <c r="J13099" s="387">
        <v>6457.89</v>
      </c>
      <c r="K13099" s="387">
        <v>313.82</v>
      </c>
      <c r="L13099" s="43">
        <v>6.941867249347915</v>
      </c>
      <c r="M13099" s="43">
        <v>11.500107190327146</v>
      </c>
      <c r="N13099" s="43">
        <v>5.2604102179792118</v>
      </c>
      <c r="O13099" s="43">
        <v>5.7964536387144436</v>
      </c>
      <c r="P13099" s="388"/>
      <c r="Q13099" s="388"/>
      <c r="R13099" s="388">
        <v>5</v>
      </c>
    </row>
    <row r="13100" spans="1:18" ht="24">
      <c r="A13100" s="384">
        <v>15</v>
      </c>
      <c r="B13100" s="381" t="s">
        <v>23730</v>
      </c>
      <c r="C13100" s="385" t="s">
        <v>23731</v>
      </c>
      <c r="D13100" s="386">
        <v>2547.81</v>
      </c>
      <c r="E13100" s="386">
        <v>690.41</v>
      </c>
      <c r="F13100" s="386">
        <v>1799.83</v>
      </c>
      <c r="G13100" s="386">
        <v>57.57</v>
      </c>
      <c r="H13100" s="387">
        <v>17697.41</v>
      </c>
      <c r="I13100" s="387">
        <v>7939.69</v>
      </c>
      <c r="J13100" s="387">
        <v>9401.6200000000008</v>
      </c>
      <c r="K13100" s="387">
        <v>356.1</v>
      </c>
      <c r="L13100" s="43">
        <v>6.9461262810021154</v>
      </c>
      <c r="M13100" s="43">
        <v>11.499963789632247</v>
      </c>
      <c r="N13100" s="43">
        <v>5.2236155636921273</v>
      </c>
      <c r="O13100" s="43">
        <v>6.1855132881709229</v>
      </c>
      <c r="P13100" s="388"/>
      <c r="Q13100" s="388"/>
      <c r="R13100" s="388">
        <v>5</v>
      </c>
    </row>
    <row r="13101" spans="1:18" ht="12.75" customHeight="1">
      <c r="A13101" s="628" t="s">
        <v>23732</v>
      </c>
      <c r="B13101" s="629"/>
      <c r="C13101" s="629"/>
      <c r="D13101" s="629"/>
      <c r="E13101" s="629"/>
      <c r="F13101" s="629"/>
      <c r="G13101" s="629"/>
      <c r="H13101" s="629"/>
      <c r="I13101" s="629"/>
      <c r="J13101" s="629"/>
      <c r="K13101" s="629"/>
      <c r="L13101" s="629"/>
      <c r="M13101" s="629"/>
      <c r="N13101" s="629"/>
      <c r="O13101" s="629"/>
      <c r="P13101" s="629"/>
      <c r="Q13101" s="629"/>
      <c r="R13101" s="629"/>
    </row>
    <row r="13102" spans="1:18" ht="24">
      <c r="A13102" s="384">
        <v>16</v>
      </c>
      <c r="B13102" s="381" t="s">
        <v>23733</v>
      </c>
      <c r="C13102" s="385" t="s">
        <v>23734</v>
      </c>
      <c r="D13102" s="386">
        <v>1635.05</v>
      </c>
      <c r="E13102" s="386">
        <v>652.22</v>
      </c>
      <c r="F13102" s="386">
        <v>963.15</v>
      </c>
      <c r="G13102" s="386">
        <v>19.68</v>
      </c>
      <c r="H13102" s="387">
        <v>12751.08</v>
      </c>
      <c r="I13102" s="387">
        <v>7500.58</v>
      </c>
      <c r="J13102" s="387">
        <v>5062.05</v>
      </c>
      <c r="K13102" s="387">
        <v>188.45</v>
      </c>
      <c r="L13102" s="43">
        <v>7.798587199168221</v>
      </c>
      <c r="M13102" s="43">
        <v>11.50007666124927</v>
      </c>
      <c r="N13102" s="43">
        <v>5.2557234075689152</v>
      </c>
      <c r="O13102" s="43">
        <v>9.5757113821138216</v>
      </c>
      <c r="P13102" s="388"/>
      <c r="Q13102" s="388"/>
      <c r="R13102" s="388">
        <v>6</v>
      </c>
    </row>
    <row r="13103" spans="1:18" ht="24">
      <c r="A13103" s="384">
        <v>17</v>
      </c>
      <c r="B13103" s="381" t="s">
        <v>23735</v>
      </c>
      <c r="C13103" s="385" t="s">
        <v>23736</v>
      </c>
      <c r="D13103" s="386">
        <v>742.01</v>
      </c>
      <c r="E13103" s="386">
        <v>112.49</v>
      </c>
      <c r="F13103" s="386">
        <v>614.4</v>
      </c>
      <c r="G13103" s="386">
        <v>15.12</v>
      </c>
      <c r="H13103" s="387">
        <v>4690.67</v>
      </c>
      <c r="I13103" s="387">
        <v>1293.6099999999999</v>
      </c>
      <c r="J13103" s="387">
        <v>3290.6</v>
      </c>
      <c r="K13103" s="387">
        <v>106.46</v>
      </c>
      <c r="L13103" s="43">
        <v>6.3215724855460174</v>
      </c>
      <c r="M13103" s="43">
        <v>11.499777758022935</v>
      </c>
      <c r="N13103" s="43">
        <v>5.355794270833333</v>
      </c>
      <c r="O13103" s="43">
        <v>7.0410052910052912</v>
      </c>
      <c r="P13103" s="388"/>
      <c r="Q13103" s="388"/>
      <c r="R13103" s="388">
        <v>6</v>
      </c>
    </row>
    <row r="13104" spans="1:18" ht="12.75" customHeight="1">
      <c r="A13104" s="628" t="s">
        <v>23737</v>
      </c>
      <c r="B13104" s="629"/>
      <c r="C13104" s="629"/>
      <c r="D13104" s="629"/>
      <c r="E13104" s="629"/>
      <c r="F13104" s="629"/>
      <c r="G13104" s="629"/>
      <c r="H13104" s="629"/>
      <c r="I13104" s="629"/>
      <c r="J13104" s="629"/>
      <c r="K13104" s="629"/>
      <c r="L13104" s="629"/>
      <c r="M13104" s="629"/>
      <c r="N13104" s="629"/>
      <c r="O13104" s="629"/>
      <c r="P13104" s="629"/>
      <c r="Q13104" s="629"/>
      <c r="R13104" s="629"/>
    </row>
    <row r="13105" spans="1:18" ht="24">
      <c r="A13105" s="384">
        <v>18</v>
      </c>
      <c r="B13105" s="381" t="s">
        <v>23738</v>
      </c>
      <c r="C13105" s="385" t="s">
        <v>23739</v>
      </c>
      <c r="D13105" s="386">
        <v>2904.8</v>
      </c>
      <c r="E13105" s="386">
        <v>753.36</v>
      </c>
      <c r="F13105" s="386">
        <v>2110.65</v>
      </c>
      <c r="G13105" s="386">
        <v>40.79</v>
      </c>
      <c r="H13105" s="387">
        <v>19999.72</v>
      </c>
      <c r="I13105" s="387">
        <v>8663.64</v>
      </c>
      <c r="J13105" s="387">
        <v>11051.1</v>
      </c>
      <c r="K13105" s="387">
        <v>284.98</v>
      </c>
      <c r="L13105" s="43">
        <v>6.8850592123381986</v>
      </c>
      <c r="M13105" s="43">
        <v>11.499999999999998</v>
      </c>
      <c r="N13105" s="43">
        <v>5.2358752043209433</v>
      </c>
      <c r="O13105" s="43">
        <v>6.9865163030154456</v>
      </c>
      <c r="P13105" s="388"/>
      <c r="Q13105" s="388"/>
      <c r="R13105" s="388">
        <v>7</v>
      </c>
    </row>
    <row r="13106" spans="1:18" ht="24">
      <c r="A13106" s="384">
        <v>19</v>
      </c>
      <c r="B13106" s="381" t="s">
        <v>23740</v>
      </c>
      <c r="C13106" s="385" t="s">
        <v>23741</v>
      </c>
      <c r="D13106" s="386">
        <v>2434.5300000000002</v>
      </c>
      <c r="E13106" s="386">
        <v>629.52</v>
      </c>
      <c r="F13106" s="386">
        <v>1762.93</v>
      </c>
      <c r="G13106" s="386">
        <v>42.08</v>
      </c>
      <c r="H13106" s="387">
        <v>16776.66</v>
      </c>
      <c r="I13106" s="387">
        <v>7239.48</v>
      </c>
      <c r="J13106" s="387">
        <v>9247.64</v>
      </c>
      <c r="K13106" s="387">
        <v>289.54000000000002</v>
      </c>
      <c r="L13106" s="43">
        <v>6.8911288831930593</v>
      </c>
      <c r="M13106" s="43">
        <v>11.5</v>
      </c>
      <c r="N13106" s="43">
        <v>5.2456081636820517</v>
      </c>
      <c r="O13106" s="43">
        <v>6.8807034220532328</v>
      </c>
      <c r="P13106" s="388"/>
      <c r="Q13106" s="388"/>
      <c r="R13106" s="388">
        <v>7</v>
      </c>
    </row>
    <row r="13107" spans="1:18" ht="12.75" customHeight="1">
      <c r="A13107" s="628" t="s">
        <v>23742</v>
      </c>
      <c r="B13107" s="629"/>
      <c r="C13107" s="629"/>
      <c r="D13107" s="629"/>
      <c r="E13107" s="629"/>
      <c r="F13107" s="629"/>
      <c r="G13107" s="629"/>
      <c r="H13107" s="629"/>
      <c r="I13107" s="629"/>
      <c r="J13107" s="629"/>
      <c r="K13107" s="629"/>
      <c r="L13107" s="629"/>
      <c r="M13107" s="629"/>
      <c r="N13107" s="629"/>
      <c r="O13107" s="629"/>
      <c r="P13107" s="629"/>
      <c r="Q13107" s="629"/>
      <c r="R13107" s="629"/>
    </row>
    <row r="13108" spans="1:18" ht="24">
      <c r="A13108" s="384">
        <v>20</v>
      </c>
      <c r="B13108" s="381" t="s">
        <v>23743</v>
      </c>
      <c r="C13108" s="385" t="s">
        <v>23744</v>
      </c>
      <c r="D13108" s="386">
        <v>1032.3699999999999</v>
      </c>
      <c r="E13108" s="386">
        <v>247.68</v>
      </c>
      <c r="F13108" s="386">
        <v>747.2</v>
      </c>
      <c r="G13108" s="386">
        <v>37.49</v>
      </c>
      <c r="H13108" s="387">
        <v>6984.97</v>
      </c>
      <c r="I13108" s="387">
        <v>2848.32</v>
      </c>
      <c r="J13108" s="387">
        <v>3938.36</v>
      </c>
      <c r="K13108" s="387">
        <v>198.29</v>
      </c>
      <c r="L13108" s="43">
        <v>6.7659560041458011</v>
      </c>
      <c r="M13108" s="43">
        <v>11.5</v>
      </c>
      <c r="N13108" s="43">
        <v>5.2708244111349032</v>
      </c>
      <c r="O13108" s="43">
        <v>5.2891437716724452</v>
      </c>
      <c r="P13108" s="388"/>
      <c r="Q13108" s="388"/>
      <c r="R13108" s="388">
        <v>8</v>
      </c>
    </row>
    <row r="13109" spans="1:18" ht="24">
      <c r="A13109" s="384">
        <v>21</v>
      </c>
      <c r="B13109" s="381" t="s">
        <v>23745</v>
      </c>
      <c r="C13109" s="385" t="s">
        <v>23746</v>
      </c>
      <c r="D13109" s="386">
        <v>1950.21</v>
      </c>
      <c r="E13109" s="386">
        <v>303.41000000000003</v>
      </c>
      <c r="F13109" s="386">
        <v>1052.3</v>
      </c>
      <c r="G13109" s="386">
        <v>594.5</v>
      </c>
      <c r="H13109" s="387">
        <v>11147.75</v>
      </c>
      <c r="I13109" s="387">
        <v>3489.19</v>
      </c>
      <c r="J13109" s="387">
        <v>5561.83</v>
      </c>
      <c r="K13109" s="387">
        <v>2096.73</v>
      </c>
      <c r="L13109" s="43">
        <v>5.7161792832566745</v>
      </c>
      <c r="M13109" s="43">
        <v>11.499917603243135</v>
      </c>
      <c r="N13109" s="43">
        <v>5.2854034020716529</v>
      </c>
      <c r="O13109" s="43">
        <v>3.5268797308662743</v>
      </c>
      <c r="P13109" s="388"/>
      <c r="Q13109" s="388"/>
      <c r="R13109" s="388">
        <v>8</v>
      </c>
    </row>
    <row r="13110" spans="1:18" ht="12.75" customHeight="1">
      <c r="A13110" s="628" t="s">
        <v>23747</v>
      </c>
      <c r="B13110" s="629"/>
      <c r="C13110" s="629"/>
      <c r="D13110" s="629"/>
      <c r="E13110" s="629"/>
      <c r="F13110" s="629"/>
      <c r="G13110" s="629"/>
      <c r="H13110" s="629"/>
      <c r="I13110" s="629"/>
      <c r="J13110" s="629"/>
      <c r="K13110" s="629"/>
      <c r="L13110" s="629"/>
      <c r="M13110" s="629"/>
      <c r="N13110" s="629"/>
      <c r="O13110" s="629"/>
      <c r="P13110" s="629"/>
      <c r="Q13110" s="629"/>
      <c r="R13110" s="629"/>
    </row>
    <row r="13111" spans="1:18" ht="24">
      <c r="A13111" s="384">
        <v>22</v>
      </c>
      <c r="B13111" s="381" t="s">
        <v>23748</v>
      </c>
      <c r="C13111" s="385" t="s">
        <v>23749</v>
      </c>
      <c r="D13111" s="386">
        <v>1573.7</v>
      </c>
      <c r="E13111" s="386">
        <v>449.95</v>
      </c>
      <c r="F13111" s="386">
        <v>1082.5999999999999</v>
      </c>
      <c r="G13111" s="386">
        <v>41.15</v>
      </c>
      <c r="H13111" s="387">
        <v>11111.93</v>
      </c>
      <c r="I13111" s="387">
        <v>5174.45</v>
      </c>
      <c r="J13111" s="387">
        <v>5694.73</v>
      </c>
      <c r="K13111" s="387">
        <v>242.75</v>
      </c>
      <c r="L13111" s="43">
        <v>7.0610217957679353</v>
      </c>
      <c r="M13111" s="43">
        <v>11.500055561729081</v>
      </c>
      <c r="N13111" s="43">
        <v>5.2602346203583963</v>
      </c>
      <c r="O13111" s="43">
        <v>5.8991494532199269</v>
      </c>
      <c r="P13111" s="388"/>
      <c r="Q13111" s="388"/>
      <c r="R13111" s="388">
        <v>9</v>
      </c>
    </row>
    <row r="13112" spans="1:18" ht="24">
      <c r="A13112" s="384">
        <v>23</v>
      </c>
      <c r="B13112" s="381" t="s">
        <v>23750</v>
      </c>
      <c r="C13112" s="385" t="s">
        <v>23751</v>
      </c>
      <c r="D13112" s="386">
        <v>1145.4100000000001</v>
      </c>
      <c r="E13112" s="386">
        <v>337.46</v>
      </c>
      <c r="F13112" s="386">
        <v>764.5</v>
      </c>
      <c r="G13112" s="386">
        <v>43.45</v>
      </c>
      <c r="H13112" s="387">
        <v>8158.78</v>
      </c>
      <c r="I13112" s="387">
        <v>3880.84</v>
      </c>
      <c r="J13112" s="387">
        <v>4021.19</v>
      </c>
      <c r="K13112" s="387">
        <v>256.75</v>
      </c>
      <c r="L13112" s="43">
        <v>7.123021450834198</v>
      </c>
      <c r="M13112" s="43">
        <v>11.500148165708529</v>
      </c>
      <c r="N13112" s="43">
        <v>5.2598953564421187</v>
      </c>
      <c r="O13112" s="43">
        <v>5.9090909090909083</v>
      </c>
      <c r="P13112" s="388"/>
      <c r="Q13112" s="388"/>
      <c r="R13112" s="388">
        <v>9</v>
      </c>
    </row>
    <row r="13113" spans="1:18" ht="24">
      <c r="A13113" s="384">
        <v>24</v>
      </c>
      <c r="B13113" s="381" t="s">
        <v>23752</v>
      </c>
      <c r="C13113" s="385" t="s">
        <v>23753</v>
      </c>
      <c r="D13113" s="386">
        <v>1177.95</v>
      </c>
      <c r="E13113" s="386">
        <v>303.41000000000003</v>
      </c>
      <c r="F13113" s="386">
        <v>829.42</v>
      </c>
      <c r="G13113" s="386">
        <v>45.12</v>
      </c>
      <c r="H13113" s="387">
        <v>8140.35</v>
      </c>
      <c r="I13113" s="387">
        <v>3489.19</v>
      </c>
      <c r="J13113" s="387">
        <v>4381.58</v>
      </c>
      <c r="K13113" s="387">
        <v>269.58</v>
      </c>
      <c r="L13113" s="43">
        <v>6.9106074111804405</v>
      </c>
      <c r="M13113" s="43">
        <v>11.499917603243135</v>
      </c>
      <c r="N13113" s="43">
        <v>5.2827035759928629</v>
      </c>
      <c r="O13113" s="43">
        <v>5.9747340425531918</v>
      </c>
      <c r="P13113" s="388"/>
      <c r="Q13113" s="388"/>
      <c r="R13113" s="388">
        <v>9</v>
      </c>
    </row>
    <row r="13114" spans="1:18" ht="24">
      <c r="A13114" s="384">
        <v>25</v>
      </c>
      <c r="B13114" s="381" t="s">
        <v>23754</v>
      </c>
      <c r="C13114" s="385" t="s">
        <v>23755</v>
      </c>
      <c r="D13114" s="386">
        <v>1240.42</v>
      </c>
      <c r="E13114" s="386">
        <v>472.66</v>
      </c>
      <c r="F13114" s="386">
        <v>726.64</v>
      </c>
      <c r="G13114" s="386">
        <v>41.12</v>
      </c>
      <c r="H13114" s="387">
        <v>9496.5400000000009</v>
      </c>
      <c r="I13114" s="387">
        <v>5435.54</v>
      </c>
      <c r="J13114" s="387">
        <v>3817.22</v>
      </c>
      <c r="K13114" s="387">
        <v>243.78</v>
      </c>
      <c r="L13114" s="43">
        <v>7.6559068702536237</v>
      </c>
      <c r="M13114" s="43">
        <v>11.499894215715313</v>
      </c>
      <c r="N13114" s="43">
        <v>5.2532478256082786</v>
      </c>
      <c r="O13114" s="43">
        <v>5.9285019455252925</v>
      </c>
      <c r="P13114" s="388"/>
      <c r="Q13114" s="388"/>
      <c r="R13114" s="388">
        <v>9</v>
      </c>
    </row>
    <row r="13115" spans="1:18" ht="12.75" customHeight="1">
      <c r="A13115" s="628" t="s">
        <v>23756</v>
      </c>
      <c r="B13115" s="629"/>
      <c r="C13115" s="629"/>
      <c r="D13115" s="629"/>
      <c r="E13115" s="629"/>
      <c r="F13115" s="629"/>
      <c r="G13115" s="629"/>
      <c r="H13115" s="629"/>
      <c r="I13115" s="629"/>
      <c r="J13115" s="629"/>
      <c r="K13115" s="629"/>
      <c r="L13115" s="629"/>
      <c r="M13115" s="629"/>
      <c r="N13115" s="629"/>
      <c r="O13115" s="629"/>
      <c r="P13115" s="629"/>
      <c r="Q13115" s="629"/>
      <c r="R13115" s="629"/>
    </row>
    <row r="13116" spans="1:18" ht="24">
      <c r="A13116" s="384">
        <v>26</v>
      </c>
      <c r="B13116" s="381" t="s">
        <v>23757</v>
      </c>
      <c r="C13116" s="385" t="s">
        <v>23758</v>
      </c>
      <c r="D13116" s="386">
        <v>2044.26</v>
      </c>
      <c r="E13116" s="386">
        <v>640.87</v>
      </c>
      <c r="F13116" s="386">
        <v>1362.94</v>
      </c>
      <c r="G13116" s="386">
        <v>40.450000000000003</v>
      </c>
      <c r="H13116" s="387">
        <v>14770.07</v>
      </c>
      <c r="I13116" s="387">
        <v>7370.03</v>
      </c>
      <c r="J13116" s="387">
        <v>7148.76</v>
      </c>
      <c r="K13116" s="387">
        <v>251.28</v>
      </c>
      <c r="L13116" s="43">
        <v>7.2251425943862326</v>
      </c>
      <c r="M13116" s="43">
        <v>11.500039009471498</v>
      </c>
      <c r="N13116" s="43">
        <v>5.2451024990094943</v>
      </c>
      <c r="O13116" s="43">
        <v>6.2121137206427681</v>
      </c>
      <c r="P13116" s="388"/>
      <c r="Q13116" s="388"/>
      <c r="R13116" s="388">
        <v>10</v>
      </c>
    </row>
    <row r="13117" spans="1:18" ht="24">
      <c r="A13117" s="384">
        <v>27</v>
      </c>
      <c r="B13117" s="381" t="s">
        <v>23759</v>
      </c>
      <c r="C13117" s="385" t="s">
        <v>23760</v>
      </c>
      <c r="D13117" s="386">
        <v>2022.02</v>
      </c>
      <c r="E13117" s="386">
        <v>528.38</v>
      </c>
      <c r="F13117" s="386">
        <v>1469.26</v>
      </c>
      <c r="G13117" s="386">
        <v>24.38</v>
      </c>
      <c r="H13117" s="387">
        <v>13968.8</v>
      </c>
      <c r="I13117" s="387">
        <v>6076.42</v>
      </c>
      <c r="J13117" s="387">
        <v>7718.89</v>
      </c>
      <c r="K13117" s="387">
        <v>173.49</v>
      </c>
      <c r="L13117" s="43">
        <v>6.9083391855669083</v>
      </c>
      <c r="M13117" s="43">
        <v>11.50009462886559</v>
      </c>
      <c r="N13117" s="43">
        <v>5.2535902427072134</v>
      </c>
      <c r="O13117" s="43">
        <v>7.1160787530762928</v>
      </c>
      <c r="P13117" s="388"/>
      <c r="Q13117" s="388"/>
      <c r="R13117" s="388">
        <v>10</v>
      </c>
    </row>
    <row r="13118" spans="1:18" ht="24">
      <c r="A13118" s="384">
        <v>28</v>
      </c>
      <c r="B13118" s="381" t="s">
        <v>23761</v>
      </c>
      <c r="C13118" s="385" t="s">
        <v>23762</v>
      </c>
      <c r="D13118" s="386">
        <v>1356.87</v>
      </c>
      <c r="E13118" s="386">
        <v>371.52</v>
      </c>
      <c r="F13118" s="386">
        <v>950.29</v>
      </c>
      <c r="G13118" s="386">
        <v>35.06</v>
      </c>
      <c r="H13118" s="387">
        <v>9472.4599999999991</v>
      </c>
      <c r="I13118" s="387">
        <v>4272.4799999999996</v>
      </c>
      <c r="J13118" s="387">
        <v>5010.68</v>
      </c>
      <c r="K13118" s="387">
        <v>189.3</v>
      </c>
      <c r="L13118" s="43">
        <v>6.9811109391467125</v>
      </c>
      <c r="M13118" s="43">
        <v>11.5</v>
      </c>
      <c r="N13118" s="43">
        <v>5.2727904113481152</v>
      </c>
      <c r="O13118" s="43">
        <v>5.3993154592127777</v>
      </c>
      <c r="P13118" s="388"/>
      <c r="Q13118" s="388"/>
      <c r="R13118" s="388">
        <v>10</v>
      </c>
    </row>
    <row r="13119" spans="1:18" ht="24">
      <c r="A13119" s="384">
        <v>29</v>
      </c>
      <c r="B13119" s="381" t="s">
        <v>23763</v>
      </c>
      <c r="C13119" s="385" t="s">
        <v>23764</v>
      </c>
      <c r="D13119" s="386">
        <v>2173.91</v>
      </c>
      <c r="E13119" s="386">
        <v>585.14</v>
      </c>
      <c r="F13119" s="386">
        <v>1549.44</v>
      </c>
      <c r="G13119" s="386">
        <v>39.33</v>
      </c>
      <c r="H13119" s="387">
        <v>15071.17</v>
      </c>
      <c r="I13119" s="387">
        <v>6729.16</v>
      </c>
      <c r="J13119" s="387">
        <v>8103.61</v>
      </c>
      <c r="K13119" s="387">
        <v>238.4</v>
      </c>
      <c r="L13119" s="43">
        <v>6.9327479058470685</v>
      </c>
      <c r="M13119" s="43">
        <v>11.500085449635984</v>
      </c>
      <c r="N13119" s="43">
        <v>5.2300250413052458</v>
      </c>
      <c r="O13119" s="43">
        <v>6.0615306381896774</v>
      </c>
      <c r="P13119" s="388"/>
      <c r="Q13119" s="388"/>
      <c r="R13119" s="388">
        <v>10</v>
      </c>
    </row>
    <row r="13120" spans="1:18" ht="24">
      <c r="A13120" s="384">
        <v>30</v>
      </c>
      <c r="B13120" s="381" t="s">
        <v>23765</v>
      </c>
      <c r="C13120" s="385" t="s">
        <v>23766</v>
      </c>
      <c r="D13120" s="386">
        <v>1260.1400000000001</v>
      </c>
      <c r="E13120" s="386">
        <v>270.38</v>
      </c>
      <c r="F13120" s="386">
        <v>967.5</v>
      </c>
      <c r="G13120" s="386">
        <v>22.26</v>
      </c>
      <c r="H13120" s="387">
        <v>8320.58</v>
      </c>
      <c r="I13120" s="387">
        <v>3109.42</v>
      </c>
      <c r="J13120" s="387">
        <v>5086.99</v>
      </c>
      <c r="K13120" s="387">
        <v>124.17</v>
      </c>
      <c r="L13120" s="43">
        <v>6.6029012649388159</v>
      </c>
      <c r="M13120" s="43">
        <v>11.500184924920482</v>
      </c>
      <c r="N13120" s="43">
        <v>5.2578708010335919</v>
      </c>
      <c r="O13120" s="43">
        <v>5.5781671159029642</v>
      </c>
      <c r="P13120" s="388"/>
      <c r="Q13120" s="388"/>
      <c r="R13120" s="388">
        <v>10</v>
      </c>
    </row>
    <row r="13121" spans="1:18" ht="24">
      <c r="A13121" s="384">
        <v>31</v>
      </c>
      <c r="B13121" s="381" t="s">
        <v>23767</v>
      </c>
      <c r="C13121" s="385" t="s">
        <v>23768</v>
      </c>
      <c r="D13121" s="386">
        <v>1531.57</v>
      </c>
      <c r="E13121" s="386">
        <v>427.25</v>
      </c>
      <c r="F13121" s="386">
        <v>1078.74</v>
      </c>
      <c r="G13121" s="386">
        <v>25.58</v>
      </c>
      <c r="H13121" s="387">
        <v>10741.9</v>
      </c>
      <c r="I13121" s="387">
        <v>4913.3500000000004</v>
      </c>
      <c r="J13121" s="387">
        <v>5664.32</v>
      </c>
      <c r="K13121" s="387">
        <v>164.23</v>
      </c>
      <c r="L13121" s="43">
        <v>7.0136526570773778</v>
      </c>
      <c r="M13121" s="43">
        <v>11.49994148624927</v>
      </c>
      <c r="N13121" s="43">
        <v>5.2508667519513503</v>
      </c>
      <c r="O13121" s="43">
        <v>6.4202501954652069</v>
      </c>
      <c r="P13121" s="388"/>
      <c r="Q13121" s="388"/>
      <c r="R13121" s="388">
        <v>10</v>
      </c>
    </row>
    <row r="13122" spans="1:18" ht="24">
      <c r="A13122" s="384">
        <v>32</v>
      </c>
      <c r="B13122" s="381" t="s">
        <v>23769</v>
      </c>
      <c r="C13122" s="385" t="s">
        <v>23770</v>
      </c>
      <c r="D13122" s="386">
        <v>735.62</v>
      </c>
      <c r="E13122" s="386">
        <v>247.68</v>
      </c>
      <c r="F13122" s="386">
        <v>466.97</v>
      </c>
      <c r="G13122" s="386">
        <v>20.97</v>
      </c>
      <c r="H13122" s="387">
        <v>5465.2</v>
      </c>
      <c r="I13122" s="387">
        <v>2848.32</v>
      </c>
      <c r="J13122" s="387">
        <v>2488.6799999999998</v>
      </c>
      <c r="K13122" s="387">
        <v>128.19999999999999</v>
      </c>
      <c r="L13122" s="43">
        <v>7.4293792990946406</v>
      </c>
      <c r="M13122" s="43">
        <v>11.5</v>
      </c>
      <c r="N13122" s="43">
        <v>5.3294215902520499</v>
      </c>
      <c r="O13122" s="43">
        <v>6.1134954697186457</v>
      </c>
      <c r="P13122" s="388"/>
      <c r="Q13122" s="388"/>
      <c r="R13122" s="388">
        <v>10</v>
      </c>
    </row>
    <row r="13123" spans="1:18" ht="24">
      <c r="A13123" s="384">
        <v>33</v>
      </c>
      <c r="B13123" s="381" t="s">
        <v>23771</v>
      </c>
      <c r="C13123" s="385" t="s">
        <v>23772</v>
      </c>
      <c r="D13123" s="386">
        <v>1147.42</v>
      </c>
      <c r="E13123" s="386">
        <v>360.17</v>
      </c>
      <c r="F13123" s="386">
        <v>762.67</v>
      </c>
      <c r="G13123" s="386">
        <v>24.58</v>
      </c>
      <c r="H13123" s="387">
        <v>8331.85</v>
      </c>
      <c r="I13123" s="387">
        <v>4141.93</v>
      </c>
      <c r="J13123" s="387">
        <v>4023.9</v>
      </c>
      <c r="K13123" s="387">
        <v>166.02</v>
      </c>
      <c r="L13123" s="43">
        <v>7.2613776995346075</v>
      </c>
      <c r="M13123" s="43">
        <v>11.499930588333287</v>
      </c>
      <c r="N13123" s="43">
        <v>5.2760695975979131</v>
      </c>
      <c r="O13123" s="43">
        <v>6.7542717656631419</v>
      </c>
      <c r="P13123" s="388"/>
      <c r="Q13123" s="388"/>
      <c r="R13123" s="388">
        <v>10</v>
      </c>
    </row>
    <row r="13124" spans="1:18" ht="24">
      <c r="A13124" s="384">
        <v>34</v>
      </c>
      <c r="B13124" s="381" t="s">
        <v>23773</v>
      </c>
      <c r="C13124" s="385" t="s">
        <v>23774</v>
      </c>
      <c r="D13124" s="386">
        <v>1370.24</v>
      </c>
      <c r="E13124" s="386">
        <v>394.22</v>
      </c>
      <c r="F13124" s="386">
        <v>951.1</v>
      </c>
      <c r="G13124" s="386">
        <v>24.92</v>
      </c>
      <c r="H13124" s="387">
        <v>9706.2999999999993</v>
      </c>
      <c r="I13124" s="387">
        <v>4533.58</v>
      </c>
      <c r="J13124" s="387">
        <v>5001.8599999999997</v>
      </c>
      <c r="K13124" s="387">
        <v>170.86</v>
      </c>
      <c r="L13124" s="43">
        <v>7.0836495796356838</v>
      </c>
      <c r="M13124" s="43">
        <v>11.50012683273299</v>
      </c>
      <c r="N13124" s="43">
        <v>5.2590263904952153</v>
      </c>
      <c r="O13124" s="43">
        <v>6.8563402889245584</v>
      </c>
      <c r="P13124" s="388"/>
      <c r="Q13124" s="388"/>
      <c r="R13124" s="388">
        <v>10</v>
      </c>
    </row>
    <row r="13125" spans="1:18" ht="24">
      <c r="A13125" s="384">
        <v>35</v>
      </c>
      <c r="B13125" s="381" t="s">
        <v>23775</v>
      </c>
      <c r="C13125" s="385" t="s">
        <v>23776</v>
      </c>
      <c r="D13125" s="386">
        <v>1069.17</v>
      </c>
      <c r="E13125" s="386">
        <v>415.9</v>
      </c>
      <c r="F13125" s="386">
        <v>603.75</v>
      </c>
      <c r="G13125" s="386">
        <v>49.52</v>
      </c>
      <c r="H13125" s="387">
        <v>8269.11</v>
      </c>
      <c r="I13125" s="387">
        <v>4782.8</v>
      </c>
      <c r="J13125" s="387">
        <v>3212.11</v>
      </c>
      <c r="K13125" s="387">
        <v>274.2</v>
      </c>
      <c r="L13125" s="43">
        <v>7.7341395662055614</v>
      </c>
      <c r="M13125" s="43">
        <v>11.49987977879298</v>
      </c>
      <c r="N13125" s="43">
        <v>5.3202650103519673</v>
      </c>
      <c r="O13125" s="43">
        <v>5.5371567043618732</v>
      </c>
      <c r="P13125" s="388"/>
      <c r="Q13125" s="388"/>
      <c r="R13125" s="388">
        <v>10</v>
      </c>
    </row>
    <row r="13126" spans="1:18" ht="24">
      <c r="A13126" s="384">
        <v>36</v>
      </c>
      <c r="B13126" s="381" t="s">
        <v>23777</v>
      </c>
      <c r="C13126" s="385" t="s">
        <v>23778</v>
      </c>
      <c r="D13126" s="386">
        <v>1443.36</v>
      </c>
      <c r="E13126" s="386">
        <v>382.87</v>
      </c>
      <c r="F13126" s="386">
        <v>1012.72</v>
      </c>
      <c r="G13126" s="386">
        <v>47.77</v>
      </c>
      <c r="H13126" s="387">
        <v>10017.01</v>
      </c>
      <c r="I13126" s="387">
        <v>4403.03</v>
      </c>
      <c r="J13126" s="387">
        <v>5356.91</v>
      </c>
      <c r="K13126" s="387">
        <v>257.07</v>
      </c>
      <c r="L13126" s="43">
        <v>6.9400634630307065</v>
      </c>
      <c r="M13126" s="43">
        <v>11.500065296314675</v>
      </c>
      <c r="N13126" s="43">
        <v>5.2896259578165727</v>
      </c>
      <c r="O13126" s="43">
        <v>5.3814109273602675</v>
      </c>
      <c r="P13126" s="388"/>
      <c r="Q13126" s="388"/>
      <c r="R13126" s="388">
        <v>10</v>
      </c>
    </row>
    <row r="13127" spans="1:18" ht="24">
      <c r="A13127" s="384">
        <v>37</v>
      </c>
      <c r="B13127" s="381" t="s">
        <v>23779</v>
      </c>
      <c r="C13127" s="385" t="s">
        <v>23780</v>
      </c>
      <c r="D13127" s="386">
        <v>1102.68</v>
      </c>
      <c r="E13127" s="386">
        <v>259.02999999999997</v>
      </c>
      <c r="F13127" s="386">
        <v>819.76</v>
      </c>
      <c r="G13127" s="386">
        <v>23.89</v>
      </c>
      <c r="H13127" s="387">
        <v>7507.65</v>
      </c>
      <c r="I13127" s="387">
        <v>2978.87</v>
      </c>
      <c r="J13127" s="387">
        <v>4355.7700000000004</v>
      </c>
      <c r="K13127" s="387">
        <v>173.01</v>
      </c>
      <c r="L13127" s="43">
        <v>6.8085482642289685</v>
      </c>
      <c r="M13127" s="43">
        <v>11.500096513917308</v>
      </c>
      <c r="N13127" s="43">
        <v>5.3134697960378654</v>
      </c>
      <c r="O13127" s="43">
        <v>7.2419422352448715</v>
      </c>
      <c r="P13127" s="388"/>
      <c r="Q13127" s="388"/>
      <c r="R13127" s="388">
        <v>10</v>
      </c>
    </row>
    <row r="13128" spans="1:18" ht="12.75" customHeight="1">
      <c r="A13128" s="628" t="s">
        <v>23781</v>
      </c>
      <c r="B13128" s="629"/>
      <c r="C13128" s="629"/>
      <c r="D13128" s="629"/>
      <c r="E13128" s="629"/>
      <c r="F13128" s="629"/>
      <c r="G13128" s="629"/>
      <c r="H13128" s="629"/>
      <c r="I13128" s="629"/>
      <c r="J13128" s="629"/>
      <c r="K13128" s="629"/>
      <c r="L13128" s="629"/>
      <c r="M13128" s="629"/>
      <c r="N13128" s="629"/>
      <c r="O13128" s="629"/>
      <c r="P13128" s="629"/>
      <c r="Q13128" s="629"/>
      <c r="R13128" s="629"/>
    </row>
    <row r="13129" spans="1:18" ht="24">
      <c r="A13129" s="384">
        <v>38</v>
      </c>
      <c r="B13129" s="381" t="s">
        <v>23782</v>
      </c>
      <c r="C13129" s="385" t="s">
        <v>23783</v>
      </c>
      <c r="D13129" s="386">
        <v>1453.67</v>
      </c>
      <c r="E13129" s="386">
        <v>360.17</v>
      </c>
      <c r="F13129" s="386">
        <v>1047.95</v>
      </c>
      <c r="G13129" s="386">
        <v>45.55</v>
      </c>
      <c r="H13129" s="387">
        <v>9917.5</v>
      </c>
      <c r="I13129" s="387">
        <v>4141.93</v>
      </c>
      <c r="J13129" s="387">
        <v>5539.29</v>
      </c>
      <c r="K13129" s="387">
        <v>236.28</v>
      </c>
      <c r="L13129" s="43">
        <v>6.8223874744611912</v>
      </c>
      <c r="M13129" s="43">
        <v>11.499930588333287</v>
      </c>
      <c r="N13129" s="43">
        <v>5.2858342478171663</v>
      </c>
      <c r="O13129" s="43">
        <v>5.187266739846323</v>
      </c>
      <c r="P13129" s="388"/>
      <c r="Q13129" s="388"/>
      <c r="R13129" s="388">
        <v>11</v>
      </c>
    </row>
    <row r="13130" spans="1:18" ht="36">
      <c r="A13130" s="384">
        <v>39</v>
      </c>
      <c r="B13130" s="381" t="s">
        <v>23784</v>
      </c>
      <c r="C13130" s="385" t="s">
        <v>23785</v>
      </c>
      <c r="D13130" s="386">
        <v>1518.19</v>
      </c>
      <c r="E13130" s="386">
        <v>415.9</v>
      </c>
      <c r="F13130" s="386">
        <v>1054.3699999999999</v>
      </c>
      <c r="G13130" s="386">
        <v>47.92</v>
      </c>
      <c r="H13130" s="387">
        <v>10584.45</v>
      </c>
      <c r="I13130" s="387">
        <v>4782.8</v>
      </c>
      <c r="J13130" s="387">
        <v>5541.46</v>
      </c>
      <c r="K13130" s="387">
        <v>260.19</v>
      </c>
      <c r="L13130" s="43">
        <v>6.9717558408367859</v>
      </c>
      <c r="M13130" s="43">
        <v>11.49987977879298</v>
      </c>
      <c r="N13130" s="43">
        <v>5.2557071995599269</v>
      </c>
      <c r="O13130" s="43">
        <v>5.4296744574290479</v>
      </c>
      <c r="P13130" s="388"/>
      <c r="Q13130" s="388"/>
      <c r="R13130" s="388">
        <v>11</v>
      </c>
    </row>
    <row r="13131" spans="1:18" ht="24">
      <c r="A13131" s="384">
        <v>40</v>
      </c>
      <c r="B13131" s="381" t="s">
        <v>23786</v>
      </c>
      <c r="C13131" s="385" t="s">
        <v>23787</v>
      </c>
      <c r="D13131" s="386">
        <v>1328.57</v>
      </c>
      <c r="E13131" s="386">
        <v>326.11</v>
      </c>
      <c r="F13131" s="386">
        <v>979.73</v>
      </c>
      <c r="G13131" s="386">
        <v>22.73</v>
      </c>
      <c r="H13131" s="387">
        <v>9038.39</v>
      </c>
      <c r="I13131" s="387">
        <v>3750.29</v>
      </c>
      <c r="J13131" s="387">
        <v>5144.42</v>
      </c>
      <c r="K13131" s="387">
        <v>143.68</v>
      </c>
      <c r="L13131" s="43">
        <v>6.8030965624694222</v>
      </c>
      <c r="M13131" s="43">
        <v>11.50007666124927</v>
      </c>
      <c r="N13131" s="43">
        <v>5.2508548273503921</v>
      </c>
      <c r="O13131" s="43">
        <v>6.3211614606247251</v>
      </c>
      <c r="P13131" s="388"/>
      <c r="Q13131" s="388"/>
      <c r="R13131" s="388">
        <v>11</v>
      </c>
    </row>
    <row r="13132" spans="1:18" ht="24">
      <c r="A13132" s="384">
        <v>41</v>
      </c>
      <c r="B13132" s="381" t="s">
        <v>23788</v>
      </c>
      <c r="C13132" s="385" t="s">
        <v>23789</v>
      </c>
      <c r="D13132" s="386">
        <v>1142.08</v>
      </c>
      <c r="E13132" s="386">
        <v>348.82</v>
      </c>
      <c r="F13132" s="386">
        <v>768.69</v>
      </c>
      <c r="G13132" s="386">
        <v>24.57</v>
      </c>
      <c r="H13132" s="387">
        <v>8263.34</v>
      </c>
      <c r="I13132" s="387">
        <v>4011.38</v>
      </c>
      <c r="J13132" s="387">
        <v>4090.89</v>
      </c>
      <c r="K13132" s="387">
        <v>161.07</v>
      </c>
      <c r="L13132" s="43">
        <v>7.2353425329223882</v>
      </c>
      <c r="M13132" s="43">
        <v>11.499856659595208</v>
      </c>
      <c r="N13132" s="43">
        <v>5.3218982945010334</v>
      </c>
      <c r="O13132" s="43">
        <v>6.5555555555555554</v>
      </c>
      <c r="P13132" s="388"/>
      <c r="Q13132" s="388"/>
      <c r="R13132" s="388">
        <v>11</v>
      </c>
    </row>
    <row r="13133" spans="1:18" ht="24">
      <c r="A13133" s="384">
        <v>42</v>
      </c>
      <c r="B13133" s="381" t="s">
        <v>23790</v>
      </c>
      <c r="C13133" s="385" t="s">
        <v>23791</v>
      </c>
      <c r="D13133" s="386">
        <v>1684.23</v>
      </c>
      <c r="E13133" s="386">
        <v>404.54</v>
      </c>
      <c r="F13133" s="386">
        <v>1232.55</v>
      </c>
      <c r="G13133" s="386">
        <v>47.14</v>
      </c>
      <c r="H13133" s="387">
        <v>11366.4</v>
      </c>
      <c r="I13133" s="387">
        <v>4652.26</v>
      </c>
      <c r="J13133" s="387">
        <v>6472.47</v>
      </c>
      <c r="K13133" s="387">
        <v>241.67</v>
      </c>
      <c r="L13133" s="43">
        <v>6.7487219679022461</v>
      </c>
      <c r="M13133" s="43">
        <v>11.500123597172097</v>
      </c>
      <c r="N13133" s="43">
        <v>5.2512839235730802</v>
      </c>
      <c r="O13133" s="43">
        <v>5.1266440390326684</v>
      </c>
      <c r="P13133" s="388"/>
      <c r="Q13133" s="388"/>
      <c r="R13133" s="388">
        <v>11</v>
      </c>
    </row>
    <row r="13134" spans="1:18" ht="12.75" customHeight="1">
      <c r="A13134" s="628" t="s">
        <v>23792</v>
      </c>
      <c r="B13134" s="629"/>
      <c r="C13134" s="629"/>
      <c r="D13134" s="629"/>
      <c r="E13134" s="629"/>
      <c r="F13134" s="629"/>
      <c r="G13134" s="629"/>
      <c r="H13134" s="629"/>
      <c r="I13134" s="629"/>
      <c r="J13134" s="629"/>
      <c r="K13134" s="629"/>
      <c r="L13134" s="629"/>
      <c r="M13134" s="629"/>
      <c r="N13134" s="629"/>
      <c r="O13134" s="629"/>
      <c r="P13134" s="629"/>
      <c r="Q13134" s="629"/>
      <c r="R13134" s="629"/>
    </row>
    <row r="13135" spans="1:18" ht="24">
      <c r="A13135" s="384">
        <v>43</v>
      </c>
      <c r="B13135" s="381" t="s">
        <v>23793</v>
      </c>
      <c r="C13135" s="385" t="s">
        <v>23794</v>
      </c>
      <c r="D13135" s="386">
        <v>1263.5</v>
      </c>
      <c r="E13135" s="386">
        <v>449.95</v>
      </c>
      <c r="F13135" s="386">
        <v>768.64</v>
      </c>
      <c r="G13135" s="386">
        <v>44.91</v>
      </c>
      <c r="H13135" s="387">
        <v>9463.3700000000008</v>
      </c>
      <c r="I13135" s="387">
        <v>5174.45</v>
      </c>
      <c r="J13135" s="387">
        <v>4053.24</v>
      </c>
      <c r="K13135" s="387">
        <v>235.68</v>
      </c>
      <c r="L13135" s="43">
        <v>7.4898060941828257</v>
      </c>
      <c r="M13135" s="43">
        <v>11.500055561729081</v>
      </c>
      <c r="N13135" s="43">
        <v>5.2732618651124064</v>
      </c>
      <c r="O13135" s="43">
        <v>5.2478289913159655</v>
      </c>
      <c r="P13135" s="388"/>
      <c r="Q13135" s="388"/>
      <c r="R13135" s="388">
        <v>12</v>
      </c>
    </row>
    <row r="13136" spans="1:18" ht="12.75" customHeight="1">
      <c r="A13136" s="628" t="s">
        <v>23795</v>
      </c>
      <c r="B13136" s="629"/>
      <c r="C13136" s="629"/>
      <c r="D13136" s="629"/>
      <c r="E13136" s="629"/>
      <c r="F13136" s="629"/>
      <c r="G13136" s="629"/>
      <c r="H13136" s="629"/>
      <c r="I13136" s="629"/>
      <c r="J13136" s="629"/>
      <c r="K13136" s="629"/>
      <c r="L13136" s="629"/>
      <c r="M13136" s="629"/>
      <c r="N13136" s="629"/>
      <c r="O13136" s="629"/>
      <c r="P13136" s="629"/>
      <c r="Q13136" s="629"/>
      <c r="R13136" s="629"/>
    </row>
    <row r="13137" spans="1:18" ht="24">
      <c r="A13137" s="384">
        <v>44</v>
      </c>
      <c r="B13137" s="381" t="s">
        <v>23796</v>
      </c>
      <c r="C13137" s="385" t="s">
        <v>23797</v>
      </c>
      <c r="D13137" s="386">
        <v>10598.96</v>
      </c>
      <c r="E13137" s="386">
        <v>3632.64</v>
      </c>
      <c r="F13137" s="386">
        <v>6702.49</v>
      </c>
      <c r="G13137" s="386">
        <v>263.83</v>
      </c>
      <c r="H13137" s="387">
        <v>78939.460000000006</v>
      </c>
      <c r="I13137" s="387">
        <v>41775.360000000001</v>
      </c>
      <c r="J13137" s="387">
        <v>35379.480000000003</v>
      </c>
      <c r="K13137" s="387">
        <v>1784.62</v>
      </c>
      <c r="L13137" s="43">
        <v>7.4478496003381478</v>
      </c>
      <c r="M13137" s="43">
        <v>11.5</v>
      </c>
      <c r="N13137" s="43">
        <v>5.2785576703583299</v>
      </c>
      <c r="O13137" s="43">
        <v>6.7642800288064286</v>
      </c>
      <c r="P13137" s="388"/>
      <c r="Q13137" s="388"/>
      <c r="R13137" s="388">
        <v>13</v>
      </c>
    </row>
    <row r="13138" spans="1:18" ht="24">
      <c r="A13138" s="384">
        <v>45</v>
      </c>
      <c r="B13138" s="381" t="s">
        <v>23798</v>
      </c>
      <c r="C13138" s="385" t="s">
        <v>23799</v>
      </c>
      <c r="D13138" s="386">
        <v>8940.76</v>
      </c>
      <c r="E13138" s="386">
        <v>3302.4</v>
      </c>
      <c r="F13138" s="386">
        <v>5388.72</v>
      </c>
      <c r="G13138" s="386">
        <v>249.64</v>
      </c>
      <c r="H13138" s="387">
        <v>67902.320000000007</v>
      </c>
      <c r="I13138" s="387">
        <v>37977.599999999999</v>
      </c>
      <c r="J13138" s="387">
        <v>28340.52</v>
      </c>
      <c r="K13138" s="387">
        <v>1584.2</v>
      </c>
      <c r="L13138" s="43">
        <v>7.5946921738196762</v>
      </c>
      <c r="M13138" s="43">
        <v>11.5</v>
      </c>
      <c r="N13138" s="43">
        <v>5.2592303923751835</v>
      </c>
      <c r="O13138" s="43">
        <v>6.34593815093735</v>
      </c>
      <c r="P13138" s="388"/>
      <c r="Q13138" s="388"/>
      <c r="R13138" s="388">
        <v>13</v>
      </c>
    </row>
    <row r="13139" spans="1:18" ht="24">
      <c r="A13139" s="384">
        <v>46</v>
      </c>
      <c r="B13139" s="381" t="s">
        <v>23800</v>
      </c>
      <c r="C13139" s="385" t="s">
        <v>23801</v>
      </c>
      <c r="D13139" s="386">
        <v>4326.34</v>
      </c>
      <c r="E13139" s="386">
        <v>1145.52</v>
      </c>
      <c r="F13139" s="386">
        <v>3109.53</v>
      </c>
      <c r="G13139" s="386">
        <v>71.290000000000006</v>
      </c>
      <c r="H13139" s="387">
        <v>30248.7</v>
      </c>
      <c r="I13139" s="387">
        <v>13173.48</v>
      </c>
      <c r="J13139" s="387">
        <v>16601.689999999999</v>
      </c>
      <c r="K13139" s="387">
        <v>473.53</v>
      </c>
      <c r="L13139" s="43">
        <v>6.9917528442054948</v>
      </c>
      <c r="M13139" s="43">
        <v>11.5</v>
      </c>
      <c r="N13139" s="43">
        <v>5.3389708412525358</v>
      </c>
      <c r="O13139" s="43">
        <v>6.6423060737831383</v>
      </c>
      <c r="P13139" s="388"/>
      <c r="Q13139" s="388"/>
      <c r="R13139" s="388">
        <v>13</v>
      </c>
    </row>
    <row r="13140" spans="1:18" ht="24">
      <c r="A13140" s="384">
        <v>47</v>
      </c>
      <c r="B13140" s="381" t="s">
        <v>23802</v>
      </c>
      <c r="C13140" s="385" t="s">
        <v>23803</v>
      </c>
      <c r="D13140" s="386">
        <v>15379.24</v>
      </c>
      <c r="E13140" s="386">
        <v>5500.56</v>
      </c>
      <c r="F13140" s="386">
        <v>9594.1</v>
      </c>
      <c r="G13140" s="386">
        <v>284.58</v>
      </c>
      <c r="H13140" s="387">
        <v>115904.26</v>
      </c>
      <c r="I13140" s="387">
        <v>63256.44</v>
      </c>
      <c r="J13140" s="387">
        <v>50519.21</v>
      </c>
      <c r="K13140" s="387">
        <v>2128.61</v>
      </c>
      <c r="L13140" s="43">
        <v>7.5364101216965205</v>
      </c>
      <c r="M13140" s="43">
        <v>11.5</v>
      </c>
      <c r="N13140" s="43">
        <v>5.2656538914541224</v>
      </c>
      <c r="O13140" s="43">
        <v>7.4798299248014626</v>
      </c>
      <c r="P13140" s="388"/>
      <c r="Q13140" s="388"/>
      <c r="R13140" s="388">
        <v>13</v>
      </c>
    </row>
    <row r="13141" spans="1:18" ht="24">
      <c r="A13141" s="384">
        <v>48</v>
      </c>
      <c r="B13141" s="381" t="s">
        <v>23804</v>
      </c>
      <c r="C13141" s="385" t="s">
        <v>23805</v>
      </c>
      <c r="D13141" s="386">
        <v>14016.33</v>
      </c>
      <c r="E13141" s="386">
        <v>5283.84</v>
      </c>
      <c r="F13141" s="386">
        <v>8453.6299999999992</v>
      </c>
      <c r="G13141" s="386">
        <v>278.86</v>
      </c>
      <c r="H13141" s="387">
        <v>107666.48</v>
      </c>
      <c r="I13141" s="387">
        <v>60764.160000000003</v>
      </c>
      <c r="J13141" s="387">
        <v>44711.98</v>
      </c>
      <c r="K13141" s="387">
        <v>2190.34</v>
      </c>
      <c r="L13141" s="43">
        <v>7.6815029326507007</v>
      </c>
      <c r="M13141" s="43">
        <v>11.5</v>
      </c>
      <c r="N13141" s="43">
        <v>5.2890864634482471</v>
      </c>
      <c r="O13141" s="43">
        <v>7.8546223911640247</v>
      </c>
      <c r="P13141" s="388"/>
      <c r="Q13141" s="388"/>
      <c r="R13141" s="388">
        <v>13</v>
      </c>
    </row>
    <row r="13142" spans="1:18" ht="48">
      <c r="A13142" s="384">
        <v>49</v>
      </c>
      <c r="B13142" s="381" t="s">
        <v>23806</v>
      </c>
      <c r="C13142" s="385" t="s">
        <v>23807</v>
      </c>
      <c r="D13142" s="386">
        <v>733.99</v>
      </c>
      <c r="E13142" s="386">
        <v>146.54</v>
      </c>
      <c r="F13142" s="386">
        <v>580.04999999999995</v>
      </c>
      <c r="G13142" s="386">
        <v>7.4</v>
      </c>
      <c r="H13142" s="387">
        <v>4858.8</v>
      </c>
      <c r="I13142" s="387">
        <v>1685.26</v>
      </c>
      <c r="J13142" s="387">
        <v>3112.25</v>
      </c>
      <c r="K13142" s="387">
        <v>61.29</v>
      </c>
      <c r="L13142" s="43">
        <v>6.6197087153775938</v>
      </c>
      <c r="M13142" s="43">
        <v>11.50034120376689</v>
      </c>
      <c r="N13142" s="43">
        <v>5.3654857339884501</v>
      </c>
      <c r="O13142" s="43">
        <v>8.2824324324324312</v>
      </c>
      <c r="P13142" s="388"/>
      <c r="Q13142" s="388"/>
      <c r="R13142" s="388">
        <v>13</v>
      </c>
    </row>
    <row r="13143" spans="1:18" ht="12.75" customHeight="1">
      <c r="A13143" s="628" t="s">
        <v>23808</v>
      </c>
      <c r="B13143" s="629"/>
      <c r="C13143" s="629"/>
      <c r="D13143" s="629"/>
      <c r="E13143" s="629"/>
      <c r="F13143" s="629"/>
      <c r="G13143" s="629"/>
      <c r="H13143" s="629"/>
      <c r="I13143" s="629"/>
      <c r="J13143" s="629"/>
      <c r="K13143" s="629"/>
      <c r="L13143" s="629"/>
      <c r="M13143" s="629"/>
      <c r="N13143" s="629"/>
      <c r="O13143" s="629"/>
      <c r="P13143" s="629"/>
      <c r="Q13143" s="629"/>
      <c r="R13143" s="629"/>
    </row>
    <row r="13144" spans="1:18" ht="24">
      <c r="A13144" s="384">
        <v>50</v>
      </c>
      <c r="B13144" s="381" t="s">
        <v>23809</v>
      </c>
      <c r="C13144" s="385" t="s">
        <v>23810</v>
      </c>
      <c r="D13144" s="386">
        <v>4772.93</v>
      </c>
      <c r="E13144" s="386">
        <v>2022.72</v>
      </c>
      <c r="F13144" s="386">
        <v>2537.0700000000002</v>
      </c>
      <c r="G13144" s="386">
        <v>213.14</v>
      </c>
      <c r="H13144" s="387">
        <v>38372.33</v>
      </c>
      <c r="I13144" s="387">
        <v>23261.279999999999</v>
      </c>
      <c r="J13144" s="387">
        <v>13555.95</v>
      </c>
      <c r="K13144" s="387">
        <v>1555.1</v>
      </c>
      <c r="L13144" s="43">
        <v>8.0395752713741864</v>
      </c>
      <c r="M13144" s="43">
        <v>11.5</v>
      </c>
      <c r="N13144" s="43">
        <v>5.343151745911622</v>
      </c>
      <c r="O13144" s="43">
        <v>7.2961433799380693</v>
      </c>
      <c r="P13144" s="388"/>
      <c r="Q13144" s="388"/>
      <c r="R13144" s="388">
        <v>14</v>
      </c>
    </row>
    <row r="13145" spans="1:18" ht="36">
      <c r="A13145" s="384">
        <v>51</v>
      </c>
      <c r="B13145" s="381" t="s">
        <v>23811</v>
      </c>
      <c r="C13145" s="385" t="s">
        <v>23812</v>
      </c>
      <c r="D13145" s="386">
        <v>9714.42</v>
      </c>
      <c r="E13145" s="386">
        <v>4922.6400000000003</v>
      </c>
      <c r="F13145" s="386">
        <v>4321.8599999999997</v>
      </c>
      <c r="G13145" s="386">
        <v>469.92</v>
      </c>
      <c r="H13145" s="387">
        <v>82483.58</v>
      </c>
      <c r="I13145" s="387">
        <v>56610.36</v>
      </c>
      <c r="J13145" s="387">
        <v>22539.42</v>
      </c>
      <c r="K13145" s="387">
        <v>3333.8</v>
      </c>
      <c r="L13145" s="43">
        <v>8.4908393913378255</v>
      </c>
      <c r="M13145" s="43">
        <v>11.5</v>
      </c>
      <c r="N13145" s="43">
        <v>5.2152128944482241</v>
      </c>
      <c r="O13145" s="43">
        <v>7.0943990466462381</v>
      </c>
      <c r="P13145" s="388"/>
      <c r="Q13145" s="388"/>
      <c r="R13145" s="388">
        <v>14</v>
      </c>
    </row>
    <row r="13146" spans="1:18" ht="24">
      <c r="A13146" s="384">
        <v>52</v>
      </c>
      <c r="B13146" s="381" t="s">
        <v>23813</v>
      </c>
      <c r="C13146" s="385" t="s">
        <v>23814</v>
      </c>
      <c r="D13146" s="386">
        <v>11943.98</v>
      </c>
      <c r="E13146" s="386">
        <v>4922.6400000000003</v>
      </c>
      <c r="F13146" s="386">
        <v>6599.85</v>
      </c>
      <c r="G13146" s="386">
        <v>421.49</v>
      </c>
      <c r="H13146" s="387">
        <v>94223.31</v>
      </c>
      <c r="I13146" s="387">
        <v>56610.36</v>
      </c>
      <c r="J13146" s="387">
        <v>34847.18</v>
      </c>
      <c r="K13146" s="387">
        <v>2765.77</v>
      </c>
      <c r="L13146" s="43">
        <v>7.8887699075182649</v>
      </c>
      <c r="M13146" s="43">
        <v>11.5</v>
      </c>
      <c r="N13146" s="43">
        <v>5.2799957574793366</v>
      </c>
      <c r="O13146" s="43">
        <v>6.5618875892666493</v>
      </c>
      <c r="P13146" s="388"/>
      <c r="Q13146" s="388"/>
      <c r="R13146" s="388">
        <v>14</v>
      </c>
    </row>
    <row r="13147" spans="1:18" ht="24">
      <c r="A13147" s="384">
        <v>53</v>
      </c>
      <c r="B13147" s="381" t="s">
        <v>23815</v>
      </c>
      <c r="C13147" s="385" t="s">
        <v>23816</v>
      </c>
      <c r="D13147" s="386">
        <v>8307.27</v>
      </c>
      <c r="E13147" s="386">
        <v>3054.72</v>
      </c>
      <c r="F13147" s="386">
        <v>5001.29</v>
      </c>
      <c r="G13147" s="386">
        <v>251.26</v>
      </c>
      <c r="H13147" s="387">
        <v>63262.07</v>
      </c>
      <c r="I13147" s="387">
        <v>35129.279999999999</v>
      </c>
      <c r="J13147" s="387">
        <v>26392.01</v>
      </c>
      <c r="K13147" s="387">
        <v>1740.78</v>
      </c>
      <c r="L13147" s="43">
        <v>7.6152659056465</v>
      </c>
      <c r="M13147" s="43">
        <v>11.5</v>
      </c>
      <c r="N13147" s="43">
        <v>5.2770405235449251</v>
      </c>
      <c r="O13147" s="43">
        <v>6.9282018626124335</v>
      </c>
      <c r="P13147" s="388"/>
      <c r="Q13147" s="388"/>
      <c r="R13147" s="388">
        <v>14</v>
      </c>
    </row>
    <row r="13148" spans="1:18" ht="24">
      <c r="A13148" s="384">
        <v>54</v>
      </c>
      <c r="B13148" s="381" t="s">
        <v>23817</v>
      </c>
      <c r="C13148" s="385" t="s">
        <v>23818</v>
      </c>
      <c r="D13148" s="386">
        <v>9901.89</v>
      </c>
      <c r="E13148" s="386">
        <v>3529.44</v>
      </c>
      <c r="F13148" s="386">
        <v>6125.42</v>
      </c>
      <c r="G13148" s="386">
        <v>247.03</v>
      </c>
      <c r="H13148" s="387">
        <v>74513.58</v>
      </c>
      <c r="I13148" s="387">
        <v>40588.559999999998</v>
      </c>
      <c r="J13148" s="387">
        <v>32284.33</v>
      </c>
      <c r="K13148" s="387">
        <v>1640.69</v>
      </c>
      <c r="L13148" s="43">
        <v>7.5251876156976101</v>
      </c>
      <c r="M13148" s="43">
        <v>11.5</v>
      </c>
      <c r="N13148" s="43">
        <v>5.270549611291961</v>
      </c>
      <c r="O13148" s="43">
        <v>6.6416629559162859</v>
      </c>
      <c r="P13148" s="388"/>
      <c r="Q13148" s="388"/>
      <c r="R13148" s="388">
        <v>14</v>
      </c>
    </row>
    <row r="13149" spans="1:18" ht="24">
      <c r="A13149" s="384">
        <v>55</v>
      </c>
      <c r="B13149" s="381" t="s">
        <v>23819</v>
      </c>
      <c r="C13149" s="385" t="s">
        <v>23820</v>
      </c>
      <c r="D13149" s="386">
        <v>8771.85</v>
      </c>
      <c r="E13149" s="386">
        <v>3529.44</v>
      </c>
      <c r="F13149" s="386">
        <v>4910.96</v>
      </c>
      <c r="G13149" s="386">
        <v>331.45</v>
      </c>
      <c r="H13149" s="387">
        <v>68758.149999999994</v>
      </c>
      <c r="I13149" s="387">
        <v>40588.559999999998</v>
      </c>
      <c r="J13149" s="387">
        <v>26106.75</v>
      </c>
      <c r="K13149" s="387">
        <v>2062.84</v>
      </c>
      <c r="L13149" s="43">
        <v>7.838500430353915</v>
      </c>
      <c r="M13149" s="43">
        <v>11.5</v>
      </c>
      <c r="N13149" s="43">
        <v>5.3160176421717953</v>
      </c>
      <c r="O13149" s="43">
        <v>6.2236838135465389</v>
      </c>
      <c r="P13149" s="388"/>
      <c r="Q13149" s="388"/>
      <c r="R13149" s="388">
        <v>14</v>
      </c>
    </row>
    <row r="13150" spans="1:18" ht="24">
      <c r="A13150" s="384">
        <v>56</v>
      </c>
      <c r="B13150" s="381" t="s">
        <v>23821</v>
      </c>
      <c r="C13150" s="385" t="s">
        <v>23822</v>
      </c>
      <c r="D13150" s="386">
        <v>6179.04</v>
      </c>
      <c r="E13150" s="386">
        <v>2363.2800000000002</v>
      </c>
      <c r="F13150" s="386">
        <v>3556.52</v>
      </c>
      <c r="G13150" s="386">
        <v>259.24</v>
      </c>
      <c r="H13150" s="387">
        <v>47921.38</v>
      </c>
      <c r="I13150" s="387">
        <v>27177.72</v>
      </c>
      <c r="J13150" s="387">
        <v>18896.009999999998</v>
      </c>
      <c r="K13150" s="387">
        <v>1847.65</v>
      </c>
      <c r="L13150" s="43">
        <v>7.7554733421372894</v>
      </c>
      <c r="M13150" s="43">
        <v>11.5</v>
      </c>
      <c r="N13150" s="43">
        <v>5.3130616445289212</v>
      </c>
      <c r="O13150" s="43">
        <v>7.1271794476161086</v>
      </c>
      <c r="P13150" s="388"/>
      <c r="Q13150" s="388"/>
      <c r="R13150" s="388">
        <v>14</v>
      </c>
    </row>
    <row r="13151" spans="1:18" ht="24">
      <c r="A13151" s="384">
        <v>57</v>
      </c>
      <c r="B13151" s="381" t="s">
        <v>23823</v>
      </c>
      <c r="C13151" s="385" t="s">
        <v>23824</v>
      </c>
      <c r="D13151" s="386">
        <v>9817.2000000000007</v>
      </c>
      <c r="E13151" s="386">
        <v>3529.44</v>
      </c>
      <c r="F13151" s="386">
        <v>5909.37</v>
      </c>
      <c r="G13151" s="386">
        <v>378.39</v>
      </c>
      <c r="H13151" s="387">
        <v>74749.899999999994</v>
      </c>
      <c r="I13151" s="387">
        <v>40588.559999999998</v>
      </c>
      <c r="J13151" s="387">
        <v>31494.79</v>
      </c>
      <c r="K13151" s="387">
        <v>2666.55</v>
      </c>
      <c r="L13151" s="43">
        <v>7.6141771584565854</v>
      </c>
      <c r="M13151" s="43">
        <v>11.5</v>
      </c>
      <c r="N13151" s="43">
        <v>5.329635815662245</v>
      </c>
      <c r="O13151" s="43">
        <v>7.0470942678189177</v>
      </c>
      <c r="P13151" s="388"/>
      <c r="Q13151" s="388"/>
      <c r="R13151" s="388">
        <v>14</v>
      </c>
    </row>
    <row r="13152" spans="1:18" ht="36">
      <c r="A13152" s="384">
        <v>58</v>
      </c>
      <c r="B13152" s="381" t="s">
        <v>23825</v>
      </c>
      <c r="C13152" s="385" t="s">
        <v>23826</v>
      </c>
      <c r="D13152" s="386">
        <v>6744.04</v>
      </c>
      <c r="E13152" s="386">
        <v>3766.8</v>
      </c>
      <c r="F13152" s="386">
        <v>2636.11</v>
      </c>
      <c r="G13152" s="386">
        <v>341.13</v>
      </c>
      <c r="H13152" s="387">
        <v>59237.9</v>
      </c>
      <c r="I13152" s="387">
        <v>43318.2</v>
      </c>
      <c r="J13152" s="387">
        <v>13763.83</v>
      </c>
      <c r="K13152" s="387">
        <v>2155.87</v>
      </c>
      <c r="L13152" s="43">
        <v>8.7837409030788667</v>
      </c>
      <c r="M13152" s="43">
        <v>11.499999999999998</v>
      </c>
      <c r="N13152" s="43">
        <v>5.2212654251909063</v>
      </c>
      <c r="O13152" s="43">
        <v>6.3197901093424793</v>
      </c>
      <c r="P13152" s="388"/>
      <c r="Q13152" s="388"/>
      <c r="R13152" s="388">
        <v>14</v>
      </c>
    </row>
    <row r="13153" spans="1:18" ht="24">
      <c r="A13153" s="384">
        <v>59</v>
      </c>
      <c r="B13153" s="381" t="s">
        <v>23827</v>
      </c>
      <c r="C13153" s="385" t="s">
        <v>23828</v>
      </c>
      <c r="D13153" s="386">
        <v>5783.74</v>
      </c>
      <c r="E13153" s="386">
        <v>3292.08</v>
      </c>
      <c r="F13153" s="386">
        <v>2210.98</v>
      </c>
      <c r="G13153" s="386">
        <v>280.68</v>
      </c>
      <c r="H13153" s="387">
        <v>51369.06</v>
      </c>
      <c r="I13153" s="387">
        <v>37858.92</v>
      </c>
      <c r="J13153" s="387">
        <v>11557.36</v>
      </c>
      <c r="K13153" s="387">
        <v>1952.78</v>
      </c>
      <c r="L13153" s="43">
        <v>8.8816336833951741</v>
      </c>
      <c r="M13153" s="43">
        <v>11.5</v>
      </c>
      <c r="N13153" s="43">
        <v>5.2272566916028191</v>
      </c>
      <c r="O13153" s="43">
        <v>6.9573179421405156</v>
      </c>
      <c r="P13153" s="388"/>
      <c r="Q13153" s="388"/>
      <c r="R13153" s="388">
        <v>14</v>
      </c>
    </row>
    <row r="13154" spans="1:18" ht="72">
      <c r="A13154" s="384">
        <v>60</v>
      </c>
      <c r="B13154" s="381" t="s">
        <v>23829</v>
      </c>
      <c r="C13154" s="385" t="s">
        <v>23830</v>
      </c>
      <c r="D13154" s="386">
        <v>726.86</v>
      </c>
      <c r="E13154" s="386">
        <v>179.57</v>
      </c>
      <c r="F13154" s="386">
        <v>535.16</v>
      </c>
      <c r="G13154" s="386">
        <v>12.13</v>
      </c>
      <c r="H13154" s="387">
        <v>5032.47</v>
      </c>
      <c r="I13154" s="387">
        <v>2065.0300000000002</v>
      </c>
      <c r="J13154" s="387">
        <v>2879.49</v>
      </c>
      <c r="K13154" s="387">
        <v>87.95</v>
      </c>
      <c r="L13154" s="43">
        <v>6.9235753790275982</v>
      </c>
      <c r="M13154" s="43">
        <v>11.499860778526482</v>
      </c>
      <c r="N13154" s="43">
        <v>5.3806151431347633</v>
      </c>
      <c r="O13154" s="43">
        <v>7.2506183017312447</v>
      </c>
      <c r="P13154" s="388"/>
      <c r="Q13154" s="388"/>
      <c r="R13154" s="388">
        <v>14</v>
      </c>
    </row>
    <row r="13155" spans="1:18" ht="48">
      <c r="A13155" s="384">
        <v>61</v>
      </c>
      <c r="B13155" s="381" t="s">
        <v>23831</v>
      </c>
      <c r="C13155" s="385" t="s">
        <v>23832</v>
      </c>
      <c r="D13155" s="386">
        <v>925.78</v>
      </c>
      <c r="E13155" s="386">
        <v>247.68</v>
      </c>
      <c r="F13155" s="386">
        <v>664.19</v>
      </c>
      <c r="G13155" s="386">
        <v>13.91</v>
      </c>
      <c r="H13155" s="387">
        <v>6502.57</v>
      </c>
      <c r="I13155" s="387">
        <v>2848.32</v>
      </c>
      <c r="J13155" s="387">
        <v>3548.57</v>
      </c>
      <c r="K13155" s="387">
        <v>105.68</v>
      </c>
      <c r="L13155" s="43">
        <v>7.0238825638920694</v>
      </c>
      <c r="M13155" s="43">
        <v>11.5</v>
      </c>
      <c r="N13155" s="43">
        <v>5.342703142173173</v>
      </c>
      <c r="O13155" s="43">
        <v>7.5974119338605322</v>
      </c>
      <c r="P13155" s="388"/>
      <c r="Q13155" s="388"/>
      <c r="R13155" s="388">
        <v>14</v>
      </c>
    </row>
    <row r="13156" spans="1:18" ht="48">
      <c r="A13156" s="384">
        <v>62</v>
      </c>
      <c r="B13156" s="381" t="s">
        <v>23833</v>
      </c>
      <c r="C13156" s="385" t="s">
        <v>23834</v>
      </c>
      <c r="D13156" s="386">
        <v>1108.1199999999999</v>
      </c>
      <c r="E13156" s="386">
        <v>259.02999999999997</v>
      </c>
      <c r="F13156" s="386">
        <v>816.73</v>
      </c>
      <c r="G13156" s="386">
        <v>32.36</v>
      </c>
      <c r="H13156" s="387">
        <v>7564.83</v>
      </c>
      <c r="I13156" s="387">
        <v>2978.87</v>
      </c>
      <c r="J13156" s="387">
        <v>4339.58</v>
      </c>
      <c r="K13156" s="387">
        <v>246.38</v>
      </c>
      <c r="L13156" s="43">
        <v>6.8267245424683249</v>
      </c>
      <c r="M13156" s="43">
        <v>11.500096513917308</v>
      </c>
      <c r="N13156" s="43">
        <v>5.3133593721303241</v>
      </c>
      <c r="O13156" s="43">
        <v>7.6137206427688504</v>
      </c>
      <c r="P13156" s="388"/>
      <c r="Q13156" s="388"/>
      <c r="R13156" s="388">
        <v>14</v>
      </c>
    </row>
    <row r="13157" spans="1:18" ht="48">
      <c r="A13157" s="384">
        <v>63</v>
      </c>
      <c r="B13157" s="381" t="s">
        <v>23835</v>
      </c>
      <c r="C13157" s="385" t="s">
        <v>23836</v>
      </c>
      <c r="D13157" s="386">
        <v>969.48</v>
      </c>
      <c r="E13157" s="386">
        <v>303.41000000000003</v>
      </c>
      <c r="F13157" s="386">
        <v>648.48</v>
      </c>
      <c r="G13157" s="386">
        <v>17.59</v>
      </c>
      <c r="H13157" s="387">
        <v>7097.27</v>
      </c>
      <c r="I13157" s="387">
        <v>3489.19</v>
      </c>
      <c r="J13157" s="387">
        <v>3467.11</v>
      </c>
      <c r="K13157" s="387">
        <v>140.97</v>
      </c>
      <c r="L13157" s="43">
        <v>7.3206976936089454</v>
      </c>
      <c r="M13157" s="43">
        <v>11.499917603243135</v>
      </c>
      <c r="N13157" s="43">
        <v>5.3465180113496178</v>
      </c>
      <c r="O13157" s="43">
        <v>8.0142126208072764</v>
      </c>
      <c r="P13157" s="388"/>
      <c r="Q13157" s="388"/>
      <c r="R13157" s="388">
        <v>14</v>
      </c>
    </row>
    <row r="13158" spans="1:18" ht="48">
      <c r="A13158" s="384">
        <v>64</v>
      </c>
      <c r="B13158" s="381" t="s">
        <v>23837</v>
      </c>
      <c r="C13158" s="385" t="s">
        <v>23838</v>
      </c>
      <c r="D13158" s="386">
        <v>1326.02</v>
      </c>
      <c r="E13158" s="386">
        <v>472.66</v>
      </c>
      <c r="F13158" s="386">
        <v>816.73</v>
      </c>
      <c r="G13158" s="386">
        <v>36.630000000000003</v>
      </c>
      <c r="H13158" s="387">
        <v>10070.61</v>
      </c>
      <c r="I13158" s="387">
        <v>5435.54</v>
      </c>
      <c r="J13158" s="387">
        <v>4339.58</v>
      </c>
      <c r="K13158" s="387">
        <v>295.49</v>
      </c>
      <c r="L13158" s="43">
        <v>7.5946139575572014</v>
      </c>
      <c r="M13158" s="43">
        <v>11.499894215715313</v>
      </c>
      <c r="N13158" s="43">
        <v>5.3133593721303241</v>
      </c>
      <c r="O13158" s="43">
        <v>8.0668850668850673</v>
      </c>
      <c r="P13158" s="388"/>
      <c r="Q13158" s="388"/>
      <c r="R13158" s="388">
        <v>14</v>
      </c>
    </row>
    <row r="13159" spans="1:18" ht="48">
      <c r="A13159" s="384">
        <v>65</v>
      </c>
      <c r="B13159" s="381" t="s">
        <v>23839</v>
      </c>
      <c r="C13159" s="385" t="s">
        <v>23840</v>
      </c>
      <c r="D13159" s="386">
        <v>1351.1</v>
      </c>
      <c r="E13159" s="386">
        <v>596.5</v>
      </c>
      <c r="F13159" s="386">
        <v>725.87</v>
      </c>
      <c r="G13159" s="386">
        <v>28.73</v>
      </c>
      <c r="H13159" s="387">
        <v>10961.21</v>
      </c>
      <c r="I13159" s="387">
        <v>6859.7</v>
      </c>
      <c r="J13159" s="387">
        <v>3868.42</v>
      </c>
      <c r="K13159" s="387">
        <v>233.09</v>
      </c>
      <c r="L13159" s="43">
        <v>8.1128043816149802</v>
      </c>
      <c r="M13159" s="43">
        <v>11.499916177703268</v>
      </c>
      <c r="N13159" s="43">
        <v>5.3293564963423199</v>
      </c>
      <c r="O13159" s="43">
        <v>8.113122171945701</v>
      </c>
      <c r="P13159" s="388"/>
      <c r="Q13159" s="388"/>
      <c r="R13159" s="388">
        <v>14</v>
      </c>
    </row>
    <row r="13160" spans="1:18" ht="12.75" customHeight="1">
      <c r="A13160" s="628" t="s">
        <v>23841</v>
      </c>
      <c r="B13160" s="629"/>
      <c r="C13160" s="629"/>
      <c r="D13160" s="629"/>
      <c r="E13160" s="629"/>
      <c r="F13160" s="629"/>
      <c r="G13160" s="629"/>
      <c r="H13160" s="629"/>
      <c r="I13160" s="629"/>
      <c r="J13160" s="629"/>
      <c r="K13160" s="629"/>
      <c r="L13160" s="629"/>
      <c r="M13160" s="629"/>
      <c r="N13160" s="629"/>
      <c r="O13160" s="629"/>
      <c r="P13160" s="629"/>
      <c r="Q13160" s="629"/>
      <c r="R13160" s="629"/>
    </row>
    <row r="13161" spans="1:18" ht="24">
      <c r="A13161" s="384">
        <v>66</v>
      </c>
      <c r="B13161" s="381" t="s">
        <v>23842</v>
      </c>
      <c r="C13161" s="385" t="s">
        <v>23843</v>
      </c>
      <c r="D13161" s="386">
        <v>2929.17</v>
      </c>
      <c r="E13161" s="386">
        <v>832.82</v>
      </c>
      <c r="F13161" s="386">
        <v>2065.2399999999998</v>
      </c>
      <c r="G13161" s="386">
        <v>31.11</v>
      </c>
      <c r="H13161" s="387">
        <v>20603.900000000001</v>
      </c>
      <c r="I13161" s="387">
        <v>9577.48</v>
      </c>
      <c r="J13161" s="387">
        <v>10774.58</v>
      </c>
      <c r="K13161" s="387">
        <v>251.84</v>
      </c>
      <c r="L13161" s="43">
        <v>7.034040359555779</v>
      </c>
      <c r="M13161" s="43">
        <v>11.500060036982781</v>
      </c>
      <c r="N13161" s="43">
        <v>5.2171079390288781</v>
      </c>
      <c r="O13161" s="43">
        <v>8.0951462552234013</v>
      </c>
      <c r="P13161" s="388"/>
      <c r="Q13161" s="388"/>
      <c r="R13161" s="388">
        <v>15</v>
      </c>
    </row>
    <row r="13162" spans="1:18" ht="24">
      <c r="A13162" s="384">
        <v>67</v>
      </c>
      <c r="B13162" s="381" t="s">
        <v>23844</v>
      </c>
      <c r="C13162" s="385" t="s">
        <v>23845</v>
      </c>
      <c r="D13162" s="386">
        <v>1176.42</v>
      </c>
      <c r="E13162" s="386">
        <v>270.38</v>
      </c>
      <c r="F13162" s="386">
        <v>887.13</v>
      </c>
      <c r="G13162" s="386">
        <v>18.91</v>
      </c>
      <c r="H13162" s="387">
        <v>7928.83</v>
      </c>
      <c r="I13162" s="387">
        <v>3109.42</v>
      </c>
      <c r="J13162" s="387">
        <v>4705.1899999999996</v>
      </c>
      <c r="K13162" s="387">
        <v>114.22</v>
      </c>
      <c r="L13162" s="43">
        <v>6.7397953111983808</v>
      </c>
      <c r="M13162" s="43">
        <v>11.500184924920482</v>
      </c>
      <c r="N13162" s="43">
        <v>5.3038337109555531</v>
      </c>
      <c r="O13162" s="43">
        <v>6.0401903754627178</v>
      </c>
      <c r="P13162" s="388"/>
      <c r="Q13162" s="388"/>
      <c r="R13162" s="388">
        <v>15</v>
      </c>
    </row>
    <row r="13163" spans="1:18" ht="24">
      <c r="A13163" s="384">
        <v>68</v>
      </c>
      <c r="B13163" s="381" t="s">
        <v>23846</v>
      </c>
      <c r="C13163" s="385" t="s">
        <v>23847</v>
      </c>
      <c r="D13163" s="386">
        <v>1117.3699999999999</v>
      </c>
      <c r="E13163" s="386">
        <v>270.38</v>
      </c>
      <c r="F13163" s="386">
        <v>826.16</v>
      </c>
      <c r="G13163" s="386">
        <v>20.83</v>
      </c>
      <c r="H13163" s="387">
        <v>7605.15</v>
      </c>
      <c r="I13163" s="387">
        <v>3109.42</v>
      </c>
      <c r="J13163" s="387">
        <v>4364.68</v>
      </c>
      <c r="K13163" s="387">
        <v>131.05000000000001</v>
      </c>
      <c r="L13163" s="43">
        <v>6.806295139479313</v>
      </c>
      <c r="M13163" s="43">
        <v>11.500184924920482</v>
      </c>
      <c r="N13163" s="43">
        <v>5.2830928633678713</v>
      </c>
      <c r="O13163" s="43">
        <v>6.2914066250600102</v>
      </c>
      <c r="P13163" s="388"/>
      <c r="Q13163" s="388"/>
      <c r="R13163" s="388">
        <v>15</v>
      </c>
    </row>
    <row r="13164" spans="1:18" ht="12.75" customHeight="1">
      <c r="A13164" s="628" t="s">
        <v>23848</v>
      </c>
      <c r="B13164" s="629"/>
      <c r="C13164" s="629"/>
      <c r="D13164" s="629"/>
      <c r="E13164" s="629"/>
      <c r="F13164" s="629"/>
      <c r="G13164" s="629"/>
      <c r="H13164" s="629"/>
      <c r="I13164" s="629"/>
      <c r="J13164" s="629"/>
      <c r="K13164" s="629"/>
      <c r="L13164" s="629"/>
      <c r="M13164" s="629"/>
      <c r="N13164" s="629"/>
      <c r="O13164" s="629"/>
      <c r="P13164" s="629"/>
      <c r="Q13164" s="629"/>
      <c r="R13164" s="629"/>
    </row>
    <row r="13165" spans="1:18" ht="48">
      <c r="A13165" s="384">
        <v>69</v>
      </c>
      <c r="B13165" s="381" t="s">
        <v>23849</v>
      </c>
      <c r="C13165" s="385" t="s">
        <v>23850</v>
      </c>
      <c r="D13165" s="386">
        <v>992.47</v>
      </c>
      <c r="E13165" s="386">
        <v>270.38</v>
      </c>
      <c r="F13165" s="386">
        <v>689.37</v>
      </c>
      <c r="G13165" s="386">
        <v>32.72</v>
      </c>
      <c r="H13165" s="387">
        <v>6982.07</v>
      </c>
      <c r="I13165" s="387">
        <v>3109.42</v>
      </c>
      <c r="J13165" s="387">
        <v>3679.47</v>
      </c>
      <c r="K13165" s="387">
        <v>193.18</v>
      </c>
      <c r="L13165" s="43">
        <v>7.0350438804195585</v>
      </c>
      <c r="M13165" s="43">
        <v>11.500184924920482</v>
      </c>
      <c r="N13165" s="43">
        <v>5.3374385308324985</v>
      </c>
      <c r="O13165" s="43">
        <v>5.9040342298288513</v>
      </c>
      <c r="P13165" s="388"/>
      <c r="Q13165" s="388"/>
      <c r="R13165" s="388">
        <v>16</v>
      </c>
    </row>
    <row r="13166" spans="1:18" ht="12.75" customHeight="1">
      <c r="A13166" s="628" t="s">
        <v>23851</v>
      </c>
      <c r="B13166" s="629"/>
      <c r="C13166" s="629"/>
      <c r="D13166" s="629"/>
      <c r="E13166" s="629"/>
      <c r="F13166" s="629"/>
      <c r="G13166" s="629"/>
      <c r="H13166" s="629"/>
      <c r="I13166" s="629"/>
      <c r="J13166" s="629"/>
      <c r="K13166" s="629"/>
      <c r="L13166" s="629"/>
      <c r="M13166" s="629"/>
      <c r="N13166" s="629"/>
      <c r="O13166" s="629"/>
      <c r="P13166" s="629"/>
      <c r="Q13166" s="629"/>
      <c r="R13166" s="629"/>
    </row>
    <row r="13167" spans="1:18" ht="12.75" customHeight="1">
      <c r="A13167" s="628" t="s">
        <v>23852</v>
      </c>
      <c r="B13167" s="629"/>
      <c r="C13167" s="629"/>
      <c r="D13167" s="629"/>
      <c r="E13167" s="629"/>
      <c r="F13167" s="629"/>
      <c r="G13167" s="629"/>
      <c r="H13167" s="629"/>
      <c r="I13167" s="629"/>
      <c r="J13167" s="629"/>
      <c r="K13167" s="629"/>
      <c r="L13167" s="629"/>
      <c r="M13167" s="629"/>
      <c r="N13167" s="629"/>
      <c r="O13167" s="629"/>
      <c r="P13167" s="629"/>
      <c r="Q13167" s="629"/>
      <c r="R13167" s="629"/>
    </row>
    <row r="13168" spans="1:18" ht="24">
      <c r="A13168" s="384">
        <v>70</v>
      </c>
      <c r="B13168" s="381" t="s">
        <v>23853</v>
      </c>
      <c r="C13168" s="385" t="s">
        <v>23854</v>
      </c>
      <c r="D13168" s="386">
        <v>1307.74</v>
      </c>
      <c r="E13168" s="386">
        <v>449.95</v>
      </c>
      <c r="F13168" s="386">
        <v>835.06</v>
      </c>
      <c r="G13168" s="386">
        <v>22.73</v>
      </c>
      <c r="H13168" s="387">
        <v>9759.2800000000007</v>
      </c>
      <c r="I13168" s="387">
        <v>5174.45</v>
      </c>
      <c r="J13168" s="387">
        <v>4395.8900000000003</v>
      </c>
      <c r="K13168" s="387">
        <v>188.94</v>
      </c>
      <c r="L13168" s="43">
        <v>7.4627066542279055</v>
      </c>
      <c r="M13168" s="43">
        <v>11.500055561729081</v>
      </c>
      <c r="N13168" s="43">
        <v>5.2641606591143155</v>
      </c>
      <c r="O13168" s="43">
        <v>8.3123625164980197</v>
      </c>
      <c r="P13168" s="388"/>
      <c r="Q13168" s="388"/>
      <c r="R13168" s="388">
        <v>1</v>
      </c>
    </row>
    <row r="13169" spans="1:18" ht="24">
      <c r="A13169" s="384">
        <v>71</v>
      </c>
      <c r="B13169" s="381" t="s">
        <v>23855</v>
      </c>
      <c r="C13169" s="385" t="s">
        <v>23856</v>
      </c>
      <c r="D13169" s="386">
        <v>1307.48</v>
      </c>
      <c r="E13169" s="386">
        <v>472.66</v>
      </c>
      <c r="F13169" s="386">
        <v>811.64</v>
      </c>
      <c r="G13169" s="386">
        <v>23.18</v>
      </c>
      <c r="H13169" s="387">
        <v>9889.69</v>
      </c>
      <c r="I13169" s="387">
        <v>5435.54</v>
      </c>
      <c r="J13169" s="387">
        <v>4260.03</v>
      </c>
      <c r="K13169" s="387">
        <v>194.12</v>
      </c>
      <c r="L13169" s="43">
        <v>7.5639321442775422</v>
      </c>
      <c r="M13169" s="43">
        <v>11.499894215715313</v>
      </c>
      <c r="N13169" s="43">
        <v>5.2486693608003545</v>
      </c>
      <c r="O13169" s="43">
        <v>8.3744607420189823</v>
      </c>
      <c r="P13169" s="388"/>
      <c r="Q13169" s="388"/>
      <c r="R13169" s="388">
        <v>1</v>
      </c>
    </row>
    <row r="13170" spans="1:18" ht="24">
      <c r="A13170" s="384">
        <v>72</v>
      </c>
      <c r="B13170" s="381" t="s">
        <v>23857</v>
      </c>
      <c r="C13170" s="385" t="s">
        <v>23858</v>
      </c>
      <c r="D13170" s="386">
        <v>1066.43</v>
      </c>
      <c r="E13170" s="386">
        <v>236.33</v>
      </c>
      <c r="F13170" s="386">
        <v>811.64</v>
      </c>
      <c r="G13170" s="386">
        <v>18.46</v>
      </c>
      <c r="H13170" s="387">
        <v>7117.64</v>
      </c>
      <c r="I13170" s="387">
        <v>2717.77</v>
      </c>
      <c r="J13170" s="387">
        <v>4260.03</v>
      </c>
      <c r="K13170" s="387">
        <v>139.84</v>
      </c>
      <c r="L13170" s="43">
        <v>6.674268353290886</v>
      </c>
      <c r="M13170" s="43">
        <v>11.499894215715313</v>
      </c>
      <c r="N13170" s="43">
        <v>5.2486693608003545</v>
      </c>
      <c r="O13170" s="43">
        <v>7.5752979414951245</v>
      </c>
      <c r="P13170" s="388"/>
      <c r="Q13170" s="388"/>
      <c r="R13170" s="388">
        <v>1</v>
      </c>
    </row>
    <row r="13171" spans="1:18" ht="24">
      <c r="A13171" s="384">
        <v>73</v>
      </c>
      <c r="B13171" s="381" t="s">
        <v>23859</v>
      </c>
      <c r="C13171" s="385" t="s">
        <v>23860</v>
      </c>
      <c r="D13171" s="386">
        <v>1315.6</v>
      </c>
      <c r="E13171" s="386">
        <v>484.01</v>
      </c>
      <c r="F13171" s="386">
        <v>797.73</v>
      </c>
      <c r="G13171" s="386">
        <v>33.86</v>
      </c>
      <c r="H13171" s="387">
        <v>10014.89</v>
      </c>
      <c r="I13171" s="387">
        <v>5566.09</v>
      </c>
      <c r="J13171" s="387">
        <v>4205.8500000000004</v>
      </c>
      <c r="K13171" s="387">
        <v>242.95</v>
      </c>
      <c r="L13171" s="43">
        <v>7.6124125874125879</v>
      </c>
      <c r="M13171" s="43">
        <v>11.499948348174625</v>
      </c>
      <c r="N13171" s="43">
        <v>5.2722725734270997</v>
      </c>
      <c r="O13171" s="43">
        <v>7.1751329001772</v>
      </c>
      <c r="P13171" s="388"/>
      <c r="Q13171" s="388"/>
      <c r="R13171" s="388">
        <v>1</v>
      </c>
    </row>
    <row r="13172" spans="1:18" ht="24">
      <c r="A13172" s="384">
        <v>74</v>
      </c>
      <c r="B13172" s="381" t="s">
        <v>23861</v>
      </c>
      <c r="C13172" s="385" t="s">
        <v>23862</v>
      </c>
      <c r="D13172" s="386">
        <v>1342.68</v>
      </c>
      <c r="E13172" s="386">
        <v>472.66</v>
      </c>
      <c r="F13172" s="386">
        <v>804.06</v>
      </c>
      <c r="G13172" s="386">
        <v>65.959999999999994</v>
      </c>
      <c r="H13172" s="387">
        <v>10209.57</v>
      </c>
      <c r="I13172" s="387">
        <v>5435.54</v>
      </c>
      <c r="J13172" s="387">
        <v>4250.33</v>
      </c>
      <c r="K13172" s="387">
        <v>523.70000000000005</v>
      </c>
      <c r="L13172" s="43">
        <v>7.6038743408704974</v>
      </c>
      <c r="M13172" s="43">
        <v>11.499894215715313</v>
      </c>
      <c r="N13172" s="43">
        <v>5.2860856155013307</v>
      </c>
      <c r="O13172" s="43">
        <v>7.9396604002425724</v>
      </c>
      <c r="P13172" s="388"/>
      <c r="Q13172" s="388"/>
      <c r="R13172" s="388">
        <v>1</v>
      </c>
    </row>
    <row r="13173" spans="1:18" ht="12.75" customHeight="1">
      <c r="A13173" s="628" t="s">
        <v>23863</v>
      </c>
      <c r="B13173" s="629"/>
      <c r="C13173" s="629"/>
      <c r="D13173" s="629"/>
      <c r="E13173" s="629"/>
      <c r="F13173" s="629"/>
      <c r="G13173" s="629"/>
      <c r="H13173" s="629"/>
      <c r="I13173" s="629"/>
      <c r="J13173" s="629"/>
      <c r="K13173" s="629"/>
      <c r="L13173" s="629"/>
      <c r="M13173" s="629"/>
      <c r="N13173" s="629"/>
      <c r="O13173" s="629"/>
      <c r="P13173" s="629"/>
      <c r="Q13173" s="629"/>
      <c r="R13173" s="629"/>
    </row>
    <row r="13174" spans="1:18" ht="24">
      <c r="A13174" s="384">
        <v>75</v>
      </c>
      <c r="B13174" s="381" t="s">
        <v>23864</v>
      </c>
      <c r="C13174" s="385" t="s">
        <v>23865</v>
      </c>
      <c r="D13174" s="386">
        <v>859.73</v>
      </c>
      <c r="E13174" s="386">
        <v>259.02999999999997</v>
      </c>
      <c r="F13174" s="386">
        <v>573.34</v>
      </c>
      <c r="G13174" s="386">
        <v>27.36</v>
      </c>
      <c r="H13174" s="387">
        <v>6189.24</v>
      </c>
      <c r="I13174" s="387">
        <v>2978.87</v>
      </c>
      <c r="J13174" s="387">
        <v>3036.63</v>
      </c>
      <c r="K13174" s="387">
        <v>173.74</v>
      </c>
      <c r="L13174" s="43">
        <v>7.1990508648063924</v>
      </c>
      <c r="M13174" s="43">
        <v>11.500096513917308</v>
      </c>
      <c r="N13174" s="43">
        <v>5.2963860885338541</v>
      </c>
      <c r="O13174" s="43">
        <v>6.3501461988304095</v>
      </c>
      <c r="P13174" s="388"/>
      <c r="Q13174" s="388"/>
      <c r="R13174" s="388">
        <v>2</v>
      </c>
    </row>
    <row r="13175" spans="1:18" ht="12.75" customHeight="1">
      <c r="A13175" s="628" t="s">
        <v>23866</v>
      </c>
      <c r="B13175" s="629"/>
      <c r="C13175" s="629"/>
      <c r="D13175" s="629"/>
      <c r="E13175" s="629"/>
      <c r="F13175" s="629"/>
      <c r="G13175" s="629"/>
      <c r="H13175" s="629"/>
      <c r="I13175" s="629"/>
      <c r="J13175" s="629"/>
      <c r="K13175" s="629"/>
      <c r="L13175" s="629"/>
      <c r="M13175" s="629"/>
      <c r="N13175" s="629"/>
      <c r="O13175" s="629"/>
      <c r="P13175" s="629"/>
      <c r="Q13175" s="629"/>
      <c r="R13175" s="629"/>
    </row>
    <row r="13176" spans="1:18" ht="36">
      <c r="A13176" s="384">
        <v>76</v>
      </c>
      <c r="B13176" s="381" t="s">
        <v>23867</v>
      </c>
      <c r="C13176" s="385" t="s">
        <v>23868</v>
      </c>
      <c r="D13176" s="386">
        <v>10866.88</v>
      </c>
      <c r="E13176" s="386">
        <v>4716.24</v>
      </c>
      <c r="F13176" s="386">
        <v>5815.06</v>
      </c>
      <c r="G13176" s="386">
        <v>335.58</v>
      </c>
      <c r="H13176" s="387">
        <v>87665.69</v>
      </c>
      <c r="I13176" s="387">
        <v>54236.76</v>
      </c>
      <c r="J13176" s="387">
        <v>30922.44</v>
      </c>
      <c r="K13176" s="387">
        <v>2506.4899999999998</v>
      </c>
      <c r="L13176" s="43">
        <v>8.0672364100827476</v>
      </c>
      <c r="M13176" s="43">
        <v>11.500000000000002</v>
      </c>
      <c r="N13176" s="43">
        <v>5.3176476253039517</v>
      </c>
      <c r="O13176" s="43">
        <v>7.4691280767626198</v>
      </c>
      <c r="P13176" s="388"/>
      <c r="Q13176" s="388"/>
      <c r="R13176" s="388">
        <v>3</v>
      </c>
    </row>
    <row r="13177" spans="1:18" ht="48">
      <c r="A13177" s="384">
        <v>77</v>
      </c>
      <c r="B13177" s="381" t="s">
        <v>23869</v>
      </c>
      <c r="C13177" s="385" t="s">
        <v>23870</v>
      </c>
      <c r="D13177" s="386">
        <v>797.21</v>
      </c>
      <c r="E13177" s="386">
        <v>202.27</v>
      </c>
      <c r="F13177" s="386">
        <v>583.41</v>
      </c>
      <c r="G13177" s="386">
        <v>11.53</v>
      </c>
      <c r="H13177" s="387">
        <v>5547.15</v>
      </c>
      <c r="I13177" s="387">
        <v>2326.13</v>
      </c>
      <c r="J13177" s="387">
        <v>3129.67</v>
      </c>
      <c r="K13177" s="387">
        <v>91.35</v>
      </c>
      <c r="L13177" s="43">
        <v>6.9582042372775046</v>
      </c>
      <c r="M13177" s="43">
        <v>11.500123597172097</v>
      </c>
      <c r="N13177" s="43">
        <v>5.3644435302788782</v>
      </c>
      <c r="O13177" s="43">
        <v>7.9228100607111882</v>
      </c>
      <c r="P13177" s="388"/>
      <c r="Q13177" s="388"/>
      <c r="R13177" s="388">
        <v>3</v>
      </c>
    </row>
    <row r="13178" spans="1:18" ht="48">
      <c r="A13178" s="384">
        <v>78</v>
      </c>
      <c r="B13178" s="381" t="s">
        <v>23871</v>
      </c>
      <c r="C13178" s="385" t="s">
        <v>23872</v>
      </c>
      <c r="D13178" s="386">
        <v>1114.51</v>
      </c>
      <c r="E13178" s="386">
        <v>382.87</v>
      </c>
      <c r="F13178" s="386">
        <v>705.68</v>
      </c>
      <c r="G13178" s="386">
        <v>25.96</v>
      </c>
      <c r="H13178" s="387">
        <v>8369.18</v>
      </c>
      <c r="I13178" s="387">
        <v>4403.03</v>
      </c>
      <c r="J13178" s="387">
        <v>3763.74</v>
      </c>
      <c r="K13178" s="387">
        <v>202.41</v>
      </c>
      <c r="L13178" s="43">
        <v>7.509291078590592</v>
      </c>
      <c r="M13178" s="43">
        <v>11.500065296314675</v>
      </c>
      <c r="N13178" s="43">
        <v>5.333493934928013</v>
      </c>
      <c r="O13178" s="43">
        <v>7.7969953775038521</v>
      </c>
      <c r="P13178" s="388"/>
      <c r="Q13178" s="388"/>
      <c r="R13178" s="388">
        <v>3</v>
      </c>
    </row>
    <row r="13179" spans="1:18" ht="12.75" customHeight="1">
      <c r="A13179" s="628" t="s">
        <v>23873</v>
      </c>
      <c r="B13179" s="629"/>
      <c r="C13179" s="629"/>
      <c r="D13179" s="629"/>
      <c r="E13179" s="629"/>
      <c r="F13179" s="629"/>
      <c r="G13179" s="629"/>
      <c r="H13179" s="629"/>
      <c r="I13179" s="629"/>
      <c r="J13179" s="629"/>
      <c r="K13179" s="629"/>
      <c r="L13179" s="629"/>
      <c r="M13179" s="629"/>
      <c r="N13179" s="629"/>
      <c r="O13179" s="629"/>
      <c r="P13179" s="629"/>
      <c r="Q13179" s="629"/>
      <c r="R13179" s="629"/>
    </row>
    <row r="13180" spans="1:18" ht="12.75" customHeight="1">
      <c r="A13180" s="628" t="s">
        <v>23874</v>
      </c>
      <c r="B13180" s="629"/>
      <c r="C13180" s="629"/>
      <c r="D13180" s="629"/>
      <c r="E13180" s="629"/>
      <c r="F13180" s="629"/>
      <c r="G13180" s="629"/>
      <c r="H13180" s="629"/>
      <c r="I13180" s="629"/>
      <c r="J13180" s="629"/>
      <c r="K13180" s="629"/>
      <c r="L13180" s="629"/>
      <c r="M13180" s="629"/>
      <c r="N13180" s="629"/>
      <c r="O13180" s="629"/>
      <c r="P13180" s="629"/>
      <c r="Q13180" s="629"/>
      <c r="R13180" s="629"/>
    </row>
    <row r="13181" spans="1:18" ht="24">
      <c r="A13181" s="384">
        <v>79</v>
      </c>
      <c r="B13181" s="381" t="s">
        <v>23875</v>
      </c>
      <c r="C13181" s="385" t="s">
        <v>23876</v>
      </c>
      <c r="D13181" s="386">
        <v>1031.79</v>
      </c>
      <c r="E13181" s="386">
        <v>270.38</v>
      </c>
      <c r="F13181" s="386">
        <v>741.4</v>
      </c>
      <c r="G13181" s="386">
        <v>20.010000000000002</v>
      </c>
      <c r="H13181" s="387">
        <v>7148.32</v>
      </c>
      <c r="I13181" s="387">
        <v>3109.42</v>
      </c>
      <c r="J13181" s="387">
        <v>3909.73</v>
      </c>
      <c r="K13181" s="387">
        <v>129.16999999999999</v>
      </c>
      <c r="L13181" s="43">
        <v>6.928076449665145</v>
      </c>
      <c r="M13181" s="43">
        <v>11.500184924920482</v>
      </c>
      <c r="N13181" s="43">
        <v>5.2734421364985167</v>
      </c>
      <c r="O13181" s="43">
        <v>6.4552723638180902</v>
      </c>
      <c r="P13181" s="388"/>
      <c r="Q13181" s="388"/>
      <c r="R13181" s="388">
        <v>1</v>
      </c>
    </row>
    <row r="13182" spans="1:18" ht="24">
      <c r="A13182" s="384">
        <v>80</v>
      </c>
      <c r="B13182" s="381" t="s">
        <v>23877</v>
      </c>
      <c r="C13182" s="385" t="s">
        <v>23878</v>
      </c>
      <c r="D13182" s="386">
        <v>1161.83</v>
      </c>
      <c r="E13182" s="386">
        <v>247.68</v>
      </c>
      <c r="F13182" s="386">
        <v>878.49</v>
      </c>
      <c r="G13182" s="386">
        <v>35.659999999999997</v>
      </c>
      <c r="H13182" s="387">
        <v>7698.93</v>
      </c>
      <c r="I13182" s="387">
        <v>2848.32</v>
      </c>
      <c r="J13182" s="387">
        <v>4660.59</v>
      </c>
      <c r="K13182" s="387">
        <v>190.02</v>
      </c>
      <c r="L13182" s="43">
        <v>6.6265546594596465</v>
      </c>
      <c r="M13182" s="43">
        <v>11.5</v>
      </c>
      <c r="N13182" s="43">
        <v>5.3052282894512173</v>
      </c>
      <c r="O13182" s="43">
        <v>5.3286595625350541</v>
      </c>
      <c r="P13182" s="388"/>
      <c r="Q13182" s="388"/>
      <c r="R13182" s="388">
        <v>1</v>
      </c>
    </row>
    <row r="13183" spans="1:18" ht="24">
      <c r="A13183" s="384">
        <v>81</v>
      </c>
      <c r="B13183" s="381" t="s">
        <v>23879</v>
      </c>
      <c r="C13183" s="385" t="s">
        <v>23880</v>
      </c>
      <c r="D13183" s="386">
        <v>977.05</v>
      </c>
      <c r="E13183" s="386">
        <v>326.11</v>
      </c>
      <c r="F13183" s="386">
        <v>628.4</v>
      </c>
      <c r="G13183" s="386">
        <v>22.54</v>
      </c>
      <c r="H13183" s="387">
        <v>7243.66</v>
      </c>
      <c r="I13183" s="387">
        <v>3750.29</v>
      </c>
      <c r="J13183" s="387">
        <v>3338.96</v>
      </c>
      <c r="K13183" s="387">
        <v>154.41</v>
      </c>
      <c r="L13183" s="43">
        <v>7.4138068676116884</v>
      </c>
      <c r="M13183" s="43">
        <v>11.50007666124927</v>
      </c>
      <c r="N13183" s="43">
        <v>5.3134309357097393</v>
      </c>
      <c r="O13183" s="43">
        <v>6.8504880212954751</v>
      </c>
      <c r="P13183" s="388"/>
      <c r="Q13183" s="388"/>
      <c r="R13183" s="388">
        <v>1</v>
      </c>
    </row>
    <row r="13184" spans="1:18" ht="24">
      <c r="A13184" s="384">
        <v>82</v>
      </c>
      <c r="B13184" s="381" t="s">
        <v>23881</v>
      </c>
      <c r="C13184" s="385" t="s">
        <v>23882</v>
      </c>
      <c r="D13184" s="386">
        <v>1530.73</v>
      </c>
      <c r="E13184" s="386">
        <v>596.5</v>
      </c>
      <c r="F13184" s="386">
        <v>890.51</v>
      </c>
      <c r="G13184" s="386">
        <v>43.72</v>
      </c>
      <c r="H13184" s="387">
        <v>11878.78</v>
      </c>
      <c r="I13184" s="387">
        <v>6859.7</v>
      </c>
      <c r="J13184" s="387">
        <v>4700.41</v>
      </c>
      <c r="K13184" s="387">
        <v>318.67</v>
      </c>
      <c r="L13184" s="43">
        <v>7.7602059148249527</v>
      </c>
      <c r="M13184" s="43">
        <v>11.499916177703268</v>
      </c>
      <c r="N13184" s="43">
        <v>5.2783348867502893</v>
      </c>
      <c r="O13184" s="43">
        <v>7.2888838060384273</v>
      </c>
      <c r="P13184" s="388"/>
      <c r="Q13184" s="388"/>
      <c r="R13184" s="388">
        <v>1</v>
      </c>
    </row>
    <row r="13185" spans="1:18" ht="24">
      <c r="A13185" s="384">
        <v>83</v>
      </c>
      <c r="B13185" s="381" t="s">
        <v>23883</v>
      </c>
      <c r="C13185" s="385" t="s">
        <v>23884</v>
      </c>
      <c r="D13185" s="386">
        <v>999.25</v>
      </c>
      <c r="E13185" s="386">
        <v>270.38</v>
      </c>
      <c r="F13185" s="386">
        <v>708.93</v>
      </c>
      <c r="G13185" s="386">
        <v>19.940000000000001</v>
      </c>
      <c r="H13185" s="387">
        <v>7018.85</v>
      </c>
      <c r="I13185" s="387">
        <v>3109.42</v>
      </c>
      <c r="J13185" s="387">
        <v>3780.92</v>
      </c>
      <c r="K13185" s="387">
        <v>128.51</v>
      </c>
      <c r="L13185" s="43">
        <v>7.0241180885664249</v>
      </c>
      <c r="M13185" s="43">
        <v>11.500184924920482</v>
      </c>
      <c r="N13185" s="43">
        <v>5.3332769102732289</v>
      </c>
      <c r="O13185" s="43">
        <v>6.4448345035105303</v>
      </c>
      <c r="P13185" s="388"/>
      <c r="Q13185" s="388"/>
      <c r="R13185" s="388">
        <v>1</v>
      </c>
    </row>
    <row r="13186" spans="1:18" ht="24">
      <c r="A13186" s="384">
        <v>84</v>
      </c>
      <c r="B13186" s="381" t="s">
        <v>23885</v>
      </c>
      <c r="C13186" s="385" t="s">
        <v>23886</v>
      </c>
      <c r="D13186" s="386">
        <v>847.67</v>
      </c>
      <c r="E13186" s="386">
        <v>169.25</v>
      </c>
      <c r="F13186" s="386">
        <v>641.57000000000005</v>
      </c>
      <c r="G13186" s="386">
        <v>36.85</v>
      </c>
      <c r="H13186" s="387">
        <v>5574.14</v>
      </c>
      <c r="I13186" s="387">
        <v>1946.35</v>
      </c>
      <c r="J13186" s="387">
        <v>3431.69</v>
      </c>
      <c r="K13186" s="387">
        <v>196.1</v>
      </c>
      <c r="L13186" s="43">
        <v>6.5758372951738302</v>
      </c>
      <c r="M13186" s="43">
        <v>11.499852289512555</v>
      </c>
      <c r="N13186" s="43">
        <v>5.348894119114048</v>
      </c>
      <c r="O13186" s="43">
        <v>5.3215739484396201</v>
      </c>
      <c r="P13186" s="388"/>
      <c r="Q13186" s="388"/>
      <c r="R13186" s="388">
        <v>1</v>
      </c>
    </row>
    <row r="13187" spans="1:18" ht="24">
      <c r="A13187" s="384">
        <v>85</v>
      </c>
      <c r="B13187" s="381" t="s">
        <v>23887</v>
      </c>
      <c r="C13187" s="385" t="s">
        <v>23888</v>
      </c>
      <c r="D13187" s="386">
        <v>931.96</v>
      </c>
      <c r="E13187" s="386">
        <v>247.68</v>
      </c>
      <c r="F13187" s="386">
        <v>648.48</v>
      </c>
      <c r="G13187" s="386">
        <v>35.799999999999997</v>
      </c>
      <c r="H13187" s="387">
        <v>6506.64</v>
      </c>
      <c r="I13187" s="387">
        <v>2848.32</v>
      </c>
      <c r="J13187" s="387">
        <v>3467.11</v>
      </c>
      <c r="K13187" s="387">
        <v>191.21</v>
      </c>
      <c r="L13187" s="43">
        <v>6.9816730331773895</v>
      </c>
      <c r="M13187" s="43">
        <v>11.5</v>
      </c>
      <c r="N13187" s="43">
        <v>5.3465180113496178</v>
      </c>
      <c r="O13187" s="43">
        <v>5.3410614525139675</v>
      </c>
      <c r="P13187" s="388"/>
      <c r="Q13187" s="388"/>
      <c r="R13187" s="388">
        <v>1</v>
      </c>
    </row>
    <row r="13188" spans="1:18" ht="24">
      <c r="A13188" s="384">
        <v>86</v>
      </c>
      <c r="B13188" s="381" t="s">
        <v>23889</v>
      </c>
      <c r="C13188" s="385" t="s">
        <v>23890</v>
      </c>
      <c r="D13188" s="386">
        <v>983.86</v>
      </c>
      <c r="E13188" s="386">
        <v>224.98</v>
      </c>
      <c r="F13188" s="386">
        <v>683.26</v>
      </c>
      <c r="G13188" s="386">
        <v>75.62</v>
      </c>
      <c r="H13188" s="387">
        <v>6585.24</v>
      </c>
      <c r="I13188" s="387">
        <v>2587.2199999999998</v>
      </c>
      <c r="J13188" s="387">
        <v>3647.9</v>
      </c>
      <c r="K13188" s="387">
        <v>350.12</v>
      </c>
      <c r="L13188" s="43">
        <v>6.6932693675929498</v>
      </c>
      <c r="M13188" s="43">
        <v>11.499777758022935</v>
      </c>
      <c r="N13188" s="43">
        <v>5.3389632058074525</v>
      </c>
      <c r="O13188" s="43">
        <v>4.6299920655911135</v>
      </c>
      <c r="P13188" s="388"/>
      <c r="Q13188" s="388"/>
      <c r="R13188" s="388">
        <v>1</v>
      </c>
    </row>
    <row r="13189" spans="1:18" ht="24">
      <c r="A13189" s="384">
        <v>87</v>
      </c>
      <c r="B13189" s="381" t="s">
        <v>23891</v>
      </c>
      <c r="C13189" s="385" t="s">
        <v>23892</v>
      </c>
      <c r="D13189" s="386">
        <v>1368.73</v>
      </c>
      <c r="E13189" s="386">
        <v>326.11</v>
      </c>
      <c r="F13189" s="386">
        <v>1020.79</v>
      </c>
      <c r="G13189" s="386">
        <v>21.83</v>
      </c>
      <c r="H13189" s="387">
        <v>9288.7000000000007</v>
      </c>
      <c r="I13189" s="387">
        <v>3750.29</v>
      </c>
      <c r="J13189" s="387">
        <v>5398.39</v>
      </c>
      <c r="K13189" s="387">
        <v>140.02000000000001</v>
      </c>
      <c r="L13189" s="43">
        <v>6.7863640016657785</v>
      </c>
      <c r="M13189" s="43">
        <v>11.50007666124927</v>
      </c>
      <c r="N13189" s="43">
        <v>5.2884432645304136</v>
      </c>
      <c r="O13189" s="43">
        <v>6.4141090242785168</v>
      </c>
      <c r="P13189" s="388"/>
      <c r="Q13189" s="388"/>
      <c r="R13189" s="388">
        <v>1</v>
      </c>
    </row>
    <row r="13190" spans="1:18" ht="24">
      <c r="A13190" s="384">
        <v>88</v>
      </c>
      <c r="B13190" s="381" t="s">
        <v>23893</v>
      </c>
      <c r="C13190" s="385" t="s">
        <v>23894</v>
      </c>
      <c r="D13190" s="386">
        <v>1202.52</v>
      </c>
      <c r="E13190" s="386">
        <v>314.76</v>
      </c>
      <c r="F13190" s="386">
        <v>860.79</v>
      </c>
      <c r="G13190" s="386">
        <v>26.97</v>
      </c>
      <c r="H13190" s="387">
        <v>8330.9</v>
      </c>
      <c r="I13190" s="387">
        <v>3619.74</v>
      </c>
      <c r="J13190" s="387">
        <v>4529.43</v>
      </c>
      <c r="K13190" s="387">
        <v>181.73</v>
      </c>
      <c r="L13190" s="43">
        <v>6.9278681435651794</v>
      </c>
      <c r="M13190" s="43">
        <v>11.5</v>
      </c>
      <c r="N13190" s="43">
        <v>5.2619454222284183</v>
      </c>
      <c r="O13190" s="43">
        <v>6.7382276603633668</v>
      </c>
      <c r="P13190" s="388"/>
      <c r="Q13190" s="388"/>
      <c r="R13190" s="388">
        <v>1</v>
      </c>
    </row>
    <row r="13191" spans="1:18" ht="24">
      <c r="A13191" s="384">
        <v>89</v>
      </c>
      <c r="B13191" s="381" t="s">
        <v>23895</v>
      </c>
      <c r="C13191" s="385" t="s">
        <v>23896</v>
      </c>
      <c r="D13191" s="386">
        <v>1605.28</v>
      </c>
      <c r="E13191" s="386">
        <v>404.54</v>
      </c>
      <c r="F13191" s="386">
        <v>1178.3399999999999</v>
      </c>
      <c r="G13191" s="386">
        <v>22.4</v>
      </c>
      <c r="H13191" s="387">
        <v>11014.43</v>
      </c>
      <c r="I13191" s="387">
        <v>4652.26</v>
      </c>
      <c r="J13191" s="387">
        <v>6215.58</v>
      </c>
      <c r="K13191" s="387">
        <v>146.59</v>
      </c>
      <c r="L13191" s="43">
        <v>6.8613762085119108</v>
      </c>
      <c r="M13191" s="43">
        <v>11.500123597172097</v>
      </c>
      <c r="N13191" s="43">
        <v>5.2748612454809312</v>
      </c>
      <c r="O13191" s="43">
        <v>6.5441964285714294</v>
      </c>
      <c r="P13191" s="388"/>
      <c r="Q13191" s="388"/>
      <c r="R13191" s="388">
        <v>1</v>
      </c>
    </row>
    <row r="13192" spans="1:18" ht="24">
      <c r="A13192" s="384">
        <v>90</v>
      </c>
      <c r="B13192" s="381" t="s">
        <v>23897</v>
      </c>
      <c r="C13192" s="385" t="s">
        <v>23898</v>
      </c>
      <c r="D13192" s="386">
        <v>1209</v>
      </c>
      <c r="E13192" s="386">
        <v>292.06</v>
      </c>
      <c r="F13192" s="386">
        <v>896.79</v>
      </c>
      <c r="G13192" s="386">
        <v>20.149999999999999</v>
      </c>
      <c r="H13192" s="387">
        <v>8210.35</v>
      </c>
      <c r="I13192" s="387">
        <v>3358.64</v>
      </c>
      <c r="J13192" s="387">
        <v>4731</v>
      </c>
      <c r="K13192" s="387">
        <v>120.71</v>
      </c>
      <c r="L13192" s="43">
        <v>6.7910256410256418</v>
      </c>
      <c r="M13192" s="43">
        <v>11.499828802300897</v>
      </c>
      <c r="N13192" s="43">
        <v>5.2754825544441841</v>
      </c>
      <c r="O13192" s="43">
        <v>5.990570719602978</v>
      </c>
      <c r="P13192" s="388"/>
      <c r="Q13192" s="388"/>
      <c r="R13192" s="388">
        <v>1</v>
      </c>
    </row>
    <row r="13193" spans="1:18" ht="12.75" customHeight="1">
      <c r="A13193" s="628" t="s">
        <v>23899</v>
      </c>
      <c r="B13193" s="629"/>
      <c r="C13193" s="629"/>
      <c r="D13193" s="629"/>
      <c r="E13193" s="629"/>
      <c r="F13193" s="629"/>
      <c r="G13193" s="629"/>
      <c r="H13193" s="629"/>
      <c r="I13193" s="629"/>
      <c r="J13193" s="629"/>
      <c r="K13193" s="629"/>
      <c r="L13193" s="629"/>
      <c r="M13193" s="629"/>
      <c r="N13193" s="629"/>
      <c r="O13193" s="629"/>
      <c r="P13193" s="629"/>
      <c r="Q13193" s="629"/>
      <c r="R13193" s="629"/>
    </row>
    <row r="13194" spans="1:18" ht="24">
      <c r="A13194" s="384">
        <v>91</v>
      </c>
      <c r="B13194" s="381" t="s">
        <v>23900</v>
      </c>
      <c r="C13194" s="385" t="s">
        <v>23901</v>
      </c>
      <c r="D13194" s="386">
        <v>1224.94</v>
      </c>
      <c r="E13194" s="386">
        <v>360.17</v>
      </c>
      <c r="F13194" s="386">
        <v>848.1</v>
      </c>
      <c r="G13194" s="386">
        <v>16.670000000000002</v>
      </c>
      <c r="H13194" s="387">
        <v>8746.75</v>
      </c>
      <c r="I13194" s="387">
        <v>4141.93</v>
      </c>
      <c r="J13194" s="387">
        <v>4467.29</v>
      </c>
      <c r="K13194" s="387">
        <v>137.53</v>
      </c>
      <c r="L13194" s="43">
        <v>7.1405538230443941</v>
      </c>
      <c r="M13194" s="43">
        <v>11.499930588333287</v>
      </c>
      <c r="N13194" s="43">
        <v>5.2674095035962738</v>
      </c>
      <c r="O13194" s="43">
        <v>8.2501499700059977</v>
      </c>
      <c r="P13194" s="388"/>
      <c r="Q13194" s="388"/>
      <c r="R13194" s="388">
        <v>2</v>
      </c>
    </row>
    <row r="13195" spans="1:18" ht="24">
      <c r="A13195" s="384">
        <v>92</v>
      </c>
      <c r="B13195" s="381" t="s">
        <v>23902</v>
      </c>
      <c r="C13195" s="385" t="s">
        <v>23903</v>
      </c>
      <c r="D13195" s="386">
        <v>1260.25</v>
      </c>
      <c r="E13195" s="386">
        <v>394.22</v>
      </c>
      <c r="F13195" s="386">
        <v>848.1</v>
      </c>
      <c r="G13195" s="386">
        <v>17.93</v>
      </c>
      <c r="H13195" s="387">
        <v>9151.2900000000009</v>
      </c>
      <c r="I13195" s="387">
        <v>4533.58</v>
      </c>
      <c r="J13195" s="387">
        <v>4467.29</v>
      </c>
      <c r="K13195" s="387">
        <v>150.41999999999999</v>
      </c>
      <c r="L13195" s="43">
        <v>7.2614878000396752</v>
      </c>
      <c r="M13195" s="43">
        <v>11.50012683273299</v>
      </c>
      <c r="N13195" s="43">
        <v>5.2674095035962738</v>
      </c>
      <c r="O13195" s="43">
        <v>8.3892916899051855</v>
      </c>
      <c r="P13195" s="388"/>
      <c r="Q13195" s="388"/>
      <c r="R13195" s="388">
        <v>2</v>
      </c>
    </row>
    <row r="13196" spans="1:18" ht="12.75" customHeight="1">
      <c r="A13196" s="628" t="s">
        <v>23904</v>
      </c>
      <c r="B13196" s="629"/>
      <c r="C13196" s="629"/>
      <c r="D13196" s="629"/>
      <c r="E13196" s="629"/>
      <c r="F13196" s="629"/>
      <c r="G13196" s="629"/>
      <c r="H13196" s="629"/>
      <c r="I13196" s="629"/>
      <c r="J13196" s="629"/>
      <c r="K13196" s="629"/>
      <c r="L13196" s="629"/>
      <c r="M13196" s="629"/>
      <c r="N13196" s="629"/>
      <c r="O13196" s="629"/>
      <c r="P13196" s="629"/>
      <c r="Q13196" s="629"/>
      <c r="R13196" s="629"/>
    </row>
    <row r="13197" spans="1:18" ht="24">
      <c r="A13197" s="384">
        <v>93</v>
      </c>
      <c r="B13197" s="381" t="s">
        <v>23905</v>
      </c>
      <c r="C13197" s="385" t="s">
        <v>23906</v>
      </c>
      <c r="D13197" s="386">
        <v>879.05</v>
      </c>
      <c r="E13197" s="386">
        <v>213.62</v>
      </c>
      <c r="F13197" s="386">
        <v>652.52</v>
      </c>
      <c r="G13197" s="386">
        <v>12.91</v>
      </c>
      <c r="H13197" s="387">
        <v>6007.93</v>
      </c>
      <c r="I13197" s="387">
        <v>2456.6799999999998</v>
      </c>
      <c r="J13197" s="387">
        <v>3452.21</v>
      </c>
      <c r="K13197" s="387">
        <v>99.04</v>
      </c>
      <c r="L13197" s="43">
        <v>6.8345714123201189</v>
      </c>
      <c r="M13197" s="43">
        <v>11.500234060481228</v>
      </c>
      <c r="N13197" s="43">
        <v>5.2905811316128242</v>
      </c>
      <c r="O13197" s="43">
        <v>7.6715724244771497</v>
      </c>
      <c r="P13197" s="388"/>
      <c r="Q13197" s="388"/>
      <c r="R13197" s="388">
        <v>3</v>
      </c>
    </row>
    <row r="13198" spans="1:18" ht="12.75" customHeight="1">
      <c r="A13198" s="628" t="s">
        <v>23907</v>
      </c>
      <c r="B13198" s="629"/>
      <c r="C13198" s="629"/>
      <c r="D13198" s="629"/>
      <c r="E13198" s="629"/>
      <c r="F13198" s="629"/>
      <c r="G13198" s="629"/>
      <c r="H13198" s="629"/>
      <c r="I13198" s="629"/>
      <c r="J13198" s="629"/>
      <c r="K13198" s="629"/>
      <c r="L13198" s="629"/>
      <c r="M13198" s="629"/>
      <c r="N13198" s="629"/>
      <c r="O13198" s="629"/>
      <c r="P13198" s="629"/>
      <c r="Q13198" s="629"/>
      <c r="R13198" s="629"/>
    </row>
    <row r="13199" spans="1:18" ht="24">
      <c r="A13199" s="384">
        <v>94</v>
      </c>
      <c r="B13199" s="381" t="s">
        <v>23908</v>
      </c>
      <c r="C13199" s="385" t="s">
        <v>23909</v>
      </c>
      <c r="D13199" s="386">
        <v>2559.37</v>
      </c>
      <c r="E13199" s="386">
        <v>596.5</v>
      </c>
      <c r="F13199" s="386">
        <v>1936.79</v>
      </c>
      <c r="G13199" s="386">
        <v>26.08</v>
      </c>
      <c r="H13199" s="387">
        <v>17228.150000000001</v>
      </c>
      <c r="I13199" s="387">
        <v>6859.7</v>
      </c>
      <c r="J13199" s="387">
        <v>10149.370000000001</v>
      </c>
      <c r="K13199" s="387">
        <v>219.08</v>
      </c>
      <c r="L13199" s="43">
        <v>6.7314026498708674</v>
      </c>
      <c r="M13199" s="43">
        <v>11.499916177703268</v>
      </c>
      <c r="N13199" s="43">
        <v>5.2403048342876621</v>
      </c>
      <c r="O13199" s="43">
        <v>8.4003067484662584</v>
      </c>
      <c r="P13199" s="388"/>
      <c r="Q13199" s="388"/>
      <c r="R13199" s="388">
        <v>4</v>
      </c>
    </row>
    <row r="13200" spans="1:18" ht="12.75" customHeight="1">
      <c r="A13200" s="628" t="s">
        <v>23910</v>
      </c>
      <c r="B13200" s="629"/>
      <c r="C13200" s="629"/>
      <c r="D13200" s="629"/>
      <c r="E13200" s="629"/>
      <c r="F13200" s="629"/>
      <c r="G13200" s="629"/>
      <c r="H13200" s="629"/>
      <c r="I13200" s="629"/>
      <c r="J13200" s="629"/>
      <c r="K13200" s="629"/>
      <c r="L13200" s="629"/>
      <c r="M13200" s="629"/>
      <c r="N13200" s="629"/>
      <c r="O13200" s="629"/>
      <c r="P13200" s="629"/>
      <c r="Q13200" s="629"/>
      <c r="R13200" s="629"/>
    </row>
    <row r="13201" spans="1:18" ht="24">
      <c r="A13201" s="384">
        <v>95</v>
      </c>
      <c r="B13201" s="381" t="s">
        <v>23911</v>
      </c>
      <c r="C13201" s="385" t="s">
        <v>23912</v>
      </c>
      <c r="D13201" s="386">
        <v>1617.49</v>
      </c>
      <c r="E13201" s="386">
        <v>360.17</v>
      </c>
      <c r="F13201" s="386">
        <v>1231.29</v>
      </c>
      <c r="G13201" s="386">
        <v>26.03</v>
      </c>
      <c r="H13201" s="387">
        <v>10804.6</v>
      </c>
      <c r="I13201" s="387">
        <v>4141.93</v>
      </c>
      <c r="J13201" s="387">
        <v>6469.14</v>
      </c>
      <c r="K13201" s="387">
        <v>193.53</v>
      </c>
      <c r="L13201" s="43">
        <v>6.679855826002016</v>
      </c>
      <c r="M13201" s="43">
        <v>11.499930588333287</v>
      </c>
      <c r="N13201" s="43">
        <v>5.2539531710644933</v>
      </c>
      <c r="O13201" s="43">
        <v>7.4348828275067227</v>
      </c>
      <c r="P13201" s="388"/>
      <c r="Q13201" s="388"/>
      <c r="R13201" s="388">
        <v>5</v>
      </c>
    </row>
    <row r="13202" spans="1:18" ht="24">
      <c r="A13202" s="384">
        <v>96</v>
      </c>
      <c r="B13202" s="381" t="s">
        <v>23913</v>
      </c>
      <c r="C13202" s="385" t="s">
        <v>23914</v>
      </c>
      <c r="D13202" s="386">
        <v>1789.53</v>
      </c>
      <c r="E13202" s="386">
        <v>326.11</v>
      </c>
      <c r="F13202" s="386">
        <v>1439.29</v>
      </c>
      <c r="G13202" s="386">
        <v>24.13</v>
      </c>
      <c r="H13202" s="387">
        <v>11461.41</v>
      </c>
      <c r="I13202" s="387">
        <v>3750.29</v>
      </c>
      <c r="J13202" s="387">
        <v>7531.91</v>
      </c>
      <c r="K13202" s="387">
        <v>179.21</v>
      </c>
      <c r="L13202" s="43">
        <v>6.4047040284320467</v>
      </c>
      <c r="M13202" s="43">
        <v>11.50007666124927</v>
      </c>
      <c r="N13202" s="43">
        <v>5.2330732513947851</v>
      </c>
      <c r="O13202" s="43">
        <v>7.4268545379196027</v>
      </c>
      <c r="P13202" s="388"/>
      <c r="Q13202" s="388"/>
      <c r="R13202" s="388">
        <v>5</v>
      </c>
    </row>
    <row r="13203" spans="1:18" ht="24">
      <c r="A13203" s="384">
        <v>97</v>
      </c>
      <c r="B13203" s="381" t="s">
        <v>23915</v>
      </c>
      <c r="C13203" s="385" t="s">
        <v>23916</v>
      </c>
      <c r="D13203" s="386">
        <v>1763.34</v>
      </c>
      <c r="E13203" s="386">
        <v>247.68</v>
      </c>
      <c r="F13203" s="386">
        <v>1496.56</v>
      </c>
      <c r="G13203" s="386">
        <v>19.100000000000001</v>
      </c>
      <c r="H13203" s="387">
        <v>10860.32</v>
      </c>
      <c r="I13203" s="387">
        <v>2848.32</v>
      </c>
      <c r="J13203" s="387">
        <v>7864.78</v>
      </c>
      <c r="K13203" s="387">
        <v>147.22</v>
      </c>
      <c r="L13203" s="43">
        <v>6.1589483593634808</v>
      </c>
      <c r="M13203" s="43">
        <v>11.5</v>
      </c>
      <c r="N13203" s="43">
        <v>5.2552386807077562</v>
      </c>
      <c r="O13203" s="43">
        <v>7.7078534031413604</v>
      </c>
      <c r="P13203" s="388"/>
      <c r="Q13203" s="388"/>
      <c r="R13203" s="388">
        <v>5</v>
      </c>
    </row>
    <row r="13204" spans="1:18" ht="24">
      <c r="A13204" s="384">
        <v>98</v>
      </c>
      <c r="B13204" s="381" t="s">
        <v>23917</v>
      </c>
      <c r="C13204" s="385" t="s">
        <v>23918</v>
      </c>
      <c r="D13204" s="386">
        <v>2215.79</v>
      </c>
      <c r="E13204" s="386">
        <v>686.28</v>
      </c>
      <c r="F13204" s="386">
        <v>1501.42</v>
      </c>
      <c r="G13204" s="386">
        <v>28.09</v>
      </c>
      <c r="H13204" s="387">
        <v>16034.21</v>
      </c>
      <c r="I13204" s="387">
        <v>7892.22</v>
      </c>
      <c r="J13204" s="387">
        <v>7891.92</v>
      </c>
      <c r="K13204" s="387">
        <v>250.07</v>
      </c>
      <c r="L13204" s="43">
        <v>7.2363400863800269</v>
      </c>
      <c r="M13204" s="43">
        <v>11.5</v>
      </c>
      <c r="N13204" s="43">
        <v>5.2563040321828662</v>
      </c>
      <c r="O13204" s="43">
        <v>8.9024563901744393</v>
      </c>
      <c r="P13204" s="388"/>
      <c r="Q13204" s="388"/>
      <c r="R13204" s="388">
        <v>5</v>
      </c>
    </row>
    <row r="13205" spans="1:18" ht="12.75" customHeight="1">
      <c r="A13205" s="628" t="s">
        <v>23919</v>
      </c>
      <c r="B13205" s="629"/>
      <c r="C13205" s="629"/>
      <c r="D13205" s="629"/>
      <c r="E13205" s="629"/>
      <c r="F13205" s="629"/>
      <c r="G13205" s="629"/>
      <c r="H13205" s="629"/>
      <c r="I13205" s="629"/>
      <c r="J13205" s="629"/>
      <c r="K13205" s="629"/>
      <c r="L13205" s="629"/>
      <c r="M13205" s="629"/>
      <c r="N13205" s="629"/>
      <c r="O13205" s="629"/>
      <c r="P13205" s="629"/>
      <c r="Q13205" s="629"/>
      <c r="R13205" s="629"/>
    </row>
    <row r="13206" spans="1:18" ht="12.75" customHeight="1">
      <c r="A13206" s="628" t="s">
        <v>23920</v>
      </c>
      <c r="B13206" s="629"/>
      <c r="C13206" s="629"/>
      <c r="D13206" s="629"/>
      <c r="E13206" s="629"/>
      <c r="F13206" s="629"/>
      <c r="G13206" s="629"/>
      <c r="H13206" s="629"/>
      <c r="I13206" s="629"/>
      <c r="J13206" s="629"/>
      <c r="K13206" s="629"/>
      <c r="L13206" s="629"/>
      <c r="M13206" s="629"/>
      <c r="N13206" s="629"/>
      <c r="O13206" s="629"/>
      <c r="P13206" s="629"/>
      <c r="Q13206" s="629"/>
      <c r="R13206" s="629"/>
    </row>
    <row r="13207" spans="1:18" ht="24">
      <c r="A13207" s="384">
        <v>99</v>
      </c>
      <c r="B13207" s="381" t="s">
        <v>23921</v>
      </c>
      <c r="C13207" s="385" t="s">
        <v>23922</v>
      </c>
      <c r="D13207" s="386">
        <v>833.55</v>
      </c>
      <c r="E13207" s="386">
        <v>303.41000000000003</v>
      </c>
      <c r="F13207" s="386">
        <v>500.23</v>
      </c>
      <c r="G13207" s="386">
        <v>29.91</v>
      </c>
      <c r="H13207" s="387">
        <v>6346.68</v>
      </c>
      <c r="I13207" s="387">
        <v>3489.19</v>
      </c>
      <c r="J13207" s="387">
        <v>2678.23</v>
      </c>
      <c r="K13207" s="387">
        <v>179.26</v>
      </c>
      <c r="L13207" s="43">
        <v>7.614036350548858</v>
      </c>
      <c r="M13207" s="43">
        <v>11.499917603243135</v>
      </c>
      <c r="N13207" s="43">
        <v>5.3539971613057995</v>
      </c>
      <c r="O13207" s="43">
        <v>5.9933132731527916</v>
      </c>
      <c r="P13207" s="388"/>
      <c r="Q13207" s="388"/>
      <c r="R13207" s="388">
        <v>1</v>
      </c>
    </row>
    <row r="13208" spans="1:18" ht="24">
      <c r="A13208" s="384">
        <v>100</v>
      </c>
      <c r="B13208" s="381" t="s">
        <v>23923</v>
      </c>
      <c r="C13208" s="385" t="s">
        <v>23924</v>
      </c>
      <c r="D13208" s="386">
        <v>1148.72</v>
      </c>
      <c r="E13208" s="386">
        <v>394.22</v>
      </c>
      <c r="F13208" s="386">
        <v>712.22</v>
      </c>
      <c r="G13208" s="386">
        <v>42.28</v>
      </c>
      <c r="H13208" s="387">
        <v>8523.2199999999993</v>
      </c>
      <c r="I13208" s="387">
        <v>4533.58</v>
      </c>
      <c r="J13208" s="387">
        <v>3762.05</v>
      </c>
      <c r="K13208" s="387">
        <v>227.59</v>
      </c>
      <c r="L13208" s="43">
        <v>7.4197541611532829</v>
      </c>
      <c r="M13208" s="43">
        <v>11.50012683273299</v>
      </c>
      <c r="N13208" s="43">
        <v>5.2821459661340597</v>
      </c>
      <c r="O13208" s="43">
        <v>5.3829233680227055</v>
      </c>
      <c r="P13208" s="388"/>
      <c r="Q13208" s="388"/>
      <c r="R13208" s="388">
        <v>1</v>
      </c>
    </row>
    <row r="13209" spans="1:18" ht="24">
      <c r="A13209" s="384">
        <v>101</v>
      </c>
      <c r="B13209" s="381" t="s">
        <v>23925</v>
      </c>
      <c r="C13209" s="385" t="s">
        <v>23926</v>
      </c>
      <c r="D13209" s="386">
        <v>2251.52</v>
      </c>
      <c r="E13209" s="386">
        <v>461.3</v>
      </c>
      <c r="F13209" s="386">
        <v>1704.01</v>
      </c>
      <c r="G13209" s="386">
        <v>86.21</v>
      </c>
      <c r="H13209" s="387">
        <v>14785.2</v>
      </c>
      <c r="I13209" s="387">
        <v>5305</v>
      </c>
      <c r="J13209" s="387">
        <v>9069.1</v>
      </c>
      <c r="K13209" s="387">
        <v>411.1</v>
      </c>
      <c r="L13209" s="43">
        <v>6.5667637862421833</v>
      </c>
      <c r="M13209" s="43">
        <v>11.500108389334489</v>
      </c>
      <c r="N13209" s="43">
        <v>5.3222105504075685</v>
      </c>
      <c r="O13209" s="43">
        <v>4.7685883308200907</v>
      </c>
      <c r="P13209" s="388"/>
      <c r="Q13209" s="388"/>
      <c r="R13209" s="388">
        <v>1</v>
      </c>
    </row>
    <row r="13210" spans="1:18" ht="24">
      <c r="A13210" s="384">
        <v>102</v>
      </c>
      <c r="B13210" s="381" t="s">
        <v>23927</v>
      </c>
      <c r="C13210" s="385" t="s">
        <v>23928</v>
      </c>
      <c r="D13210" s="386">
        <v>1353.61</v>
      </c>
      <c r="E13210" s="386">
        <v>449.95</v>
      </c>
      <c r="F13210" s="386">
        <v>810.63</v>
      </c>
      <c r="G13210" s="386">
        <v>93.03</v>
      </c>
      <c r="H13210" s="387">
        <v>9905.6</v>
      </c>
      <c r="I13210" s="387">
        <v>5174.45</v>
      </c>
      <c r="J13210" s="387">
        <v>4272.83</v>
      </c>
      <c r="K13210" s="387">
        <v>458.32</v>
      </c>
      <c r="L13210" s="43">
        <v>7.3179128404784253</v>
      </c>
      <c r="M13210" s="43">
        <v>11.500055561729081</v>
      </c>
      <c r="N13210" s="43">
        <v>5.2709990994658478</v>
      </c>
      <c r="O13210" s="43">
        <v>4.9265828227453508</v>
      </c>
      <c r="P13210" s="388"/>
      <c r="Q13210" s="388"/>
      <c r="R13210" s="388">
        <v>1</v>
      </c>
    </row>
    <row r="13211" spans="1:18" ht="24">
      <c r="A13211" s="384">
        <v>103</v>
      </c>
      <c r="B13211" s="381" t="s">
        <v>23929</v>
      </c>
      <c r="C13211" s="385" t="s">
        <v>23930</v>
      </c>
      <c r="D13211" s="386">
        <v>2255.08</v>
      </c>
      <c r="E13211" s="386">
        <v>461.3</v>
      </c>
      <c r="F13211" s="386">
        <v>1704.01</v>
      </c>
      <c r="G13211" s="386">
        <v>89.77</v>
      </c>
      <c r="H13211" s="387">
        <v>14809.11</v>
      </c>
      <c r="I13211" s="387">
        <v>5305</v>
      </c>
      <c r="J13211" s="387">
        <v>9069.1</v>
      </c>
      <c r="K13211" s="387">
        <v>435.01</v>
      </c>
      <c r="L13211" s="43">
        <v>6.5669998403604311</v>
      </c>
      <c r="M13211" s="43">
        <v>11.500108389334489</v>
      </c>
      <c r="N13211" s="43">
        <v>5.3222105504075685</v>
      </c>
      <c r="O13211" s="43">
        <v>4.8458282276929934</v>
      </c>
      <c r="P13211" s="388"/>
      <c r="Q13211" s="388"/>
      <c r="R13211" s="388">
        <v>1</v>
      </c>
    </row>
    <row r="13212" spans="1:18" ht="24">
      <c r="A13212" s="384">
        <v>104</v>
      </c>
      <c r="B13212" s="381" t="s">
        <v>23931</v>
      </c>
      <c r="C13212" s="385" t="s">
        <v>23932</v>
      </c>
      <c r="D13212" s="386">
        <v>1097.6400000000001</v>
      </c>
      <c r="E13212" s="386">
        <v>371.52</v>
      </c>
      <c r="F13212" s="386">
        <v>677.17</v>
      </c>
      <c r="G13212" s="386">
        <v>48.95</v>
      </c>
      <c r="H13212" s="387">
        <v>8125.94</v>
      </c>
      <c r="I13212" s="387">
        <v>4272.4799999999996</v>
      </c>
      <c r="J13212" s="387">
        <v>3580.11</v>
      </c>
      <c r="K13212" s="387">
        <v>273.35000000000002</v>
      </c>
      <c r="L13212" s="43">
        <v>7.4031011989358975</v>
      </c>
      <c r="M13212" s="43">
        <v>11.5</v>
      </c>
      <c r="N13212" s="43">
        <v>5.2868703575173148</v>
      </c>
      <c r="O13212" s="43">
        <v>5.5842696629213489</v>
      </c>
      <c r="P13212" s="388"/>
      <c r="Q13212" s="388"/>
      <c r="R13212" s="388">
        <v>1</v>
      </c>
    </row>
    <row r="13213" spans="1:18" ht="24">
      <c r="A13213" s="384">
        <v>105</v>
      </c>
      <c r="B13213" s="381" t="s">
        <v>23933</v>
      </c>
      <c r="C13213" s="385" t="s">
        <v>23934</v>
      </c>
      <c r="D13213" s="386">
        <v>1295.68</v>
      </c>
      <c r="E13213" s="386">
        <v>404.54</v>
      </c>
      <c r="F13213" s="386">
        <v>837.35</v>
      </c>
      <c r="G13213" s="386">
        <v>53.79</v>
      </c>
      <c r="H13213" s="387">
        <v>9407.23</v>
      </c>
      <c r="I13213" s="387">
        <v>4652.26</v>
      </c>
      <c r="J13213" s="387">
        <v>4431.12</v>
      </c>
      <c r="K13213" s="387">
        <v>323.85000000000002</v>
      </c>
      <c r="L13213" s="43">
        <v>7.2604578290936024</v>
      </c>
      <c r="M13213" s="43">
        <v>11.500123597172097</v>
      </c>
      <c r="N13213" s="43">
        <v>5.2918373440019106</v>
      </c>
      <c r="O13213" s="43">
        <v>6.0206358059118799</v>
      </c>
      <c r="P13213" s="388"/>
      <c r="Q13213" s="388"/>
      <c r="R13213" s="388">
        <v>1</v>
      </c>
    </row>
    <row r="13214" spans="1:18" ht="24">
      <c r="A13214" s="384">
        <v>106</v>
      </c>
      <c r="B13214" s="381" t="s">
        <v>23935</v>
      </c>
      <c r="C13214" s="385" t="s">
        <v>23936</v>
      </c>
      <c r="D13214" s="386">
        <v>1562.08</v>
      </c>
      <c r="E13214" s="386">
        <v>472.66</v>
      </c>
      <c r="F13214" s="386">
        <v>1030.56</v>
      </c>
      <c r="G13214" s="386">
        <v>58.86</v>
      </c>
      <c r="H13214" s="387">
        <v>11206.96</v>
      </c>
      <c r="I13214" s="387">
        <v>5435.54</v>
      </c>
      <c r="J13214" s="387">
        <v>5410.56</v>
      </c>
      <c r="K13214" s="387">
        <v>360.86</v>
      </c>
      <c r="L13214" s="43">
        <v>7.1743828741165627</v>
      </c>
      <c r="M13214" s="43">
        <v>11.499894215715313</v>
      </c>
      <c r="N13214" s="43">
        <v>5.2501164415463446</v>
      </c>
      <c r="O13214" s="43">
        <v>6.1308188922867828</v>
      </c>
      <c r="P13214" s="388"/>
      <c r="Q13214" s="388"/>
      <c r="R13214" s="388">
        <v>1</v>
      </c>
    </row>
    <row r="13215" spans="1:18" ht="24">
      <c r="A13215" s="384">
        <v>107</v>
      </c>
      <c r="B13215" s="381" t="s">
        <v>23937</v>
      </c>
      <c r="C13215" s="385" t="s">
        <v>23938</v>
      </c>
      <c r="D13215" s="386">
        <v>1281.1400000000001</v>
      </c>
      <c r="E13215" s="386">
        <v>438.6</v>
      </c>
      <c r="F13215" s="386">
        <v>780.16</v>
      </c>
      <c r="G13215" s="386">
        <v>62.38</v>
      </c>
      <c r="H13215" s="387">
        <v>9493.34</v>
      </c>
      <c r="I13215" s="387">
        <v>5043.8999999999996</v>
      </c>
      <c r="J13215" s="387">
        <v>4114.67</v>
      </c>
      <c r="K13215" s="387">
        <v>334.77</v>
      </c>
      <c r="L13215" s="43">
        <v>7.4100722793761804</v>
      </c>
      <c r="M13215" s="43">
        <v>11.499999999999998</v>
      </c>
      <c r="N13215" s="43">
        <v>5.2741360746513539</v>
      </c>
      <c r="O13215" s="43">
        <v>5.3666239179224107</v>
      </c>
      <c r="P13215" s="388"/>
      <c r="Q13215" s="388"/>
      <c r="R13215" s="388">
        <v>1</v>
      </c>
    </row>
    <row r="13216" spans="1:18" ht="24">
      <c r="A13216" s="384">
        <v>108</v>
      </c>
      <c r="B13216" s="381" t="s">
        <v>23939</v>
      </c>
      <c r="C13216" s="385" t="s">
        <v>23940</v>
      </c>
      <c r="D13216" s="386">
        <v>1353.61</v>
      </c>
      <c r="E13216" s="386">
        <v>495.36</v>
      </c>
      <c r="F13216" s="386">
        <v>792.93</v>
      </c>
      <c r="G13216" s="386">
        <v>65.319999999999993</v>
      </c>
      <c r="H13216" s="387">
        <v>10237.549999999999</v>
      </c>
      <c r="I13216" s="387">
        <v>5696.64</v>
      </c>
      <c r="J13216" s="387">
        <v>4177.2299999999996</v>
      </c>
      <c r="K13216" s="387">
        <v>363.68</v>
      </c>
      <c r="L13216" s="43">
        <v>7.5631459578460563</v>
      </c>
      <c r="M13216" s="43">
        <v>11.5</v>
      </c>
      <c r="N13216" s="43">
        <v>5.2680942832280273</v>
      </c>
      <c r="O13216" s="43">
        <v>5.5676668707899575</v>
      </c>
      <c r="P13216" s="388"/>
      <c r="Q13216" s="388"/>
      <c r="R13216" s="388">
        <v>1</v>
      </c>
    </row>
    <row r="13217" spans="1:18" ht="24">
      <c r="A13217" s="384">
        <v>109</v>
      </c>
      <c r="B13217" s="381" t="s">
        <v>23941</v>
      </c>
      <c r="C13217" s="385" t="s">
        <v>23942</v>
      </c>
      <c r="D13217" s="386">
        <v>1220.8699999999999</v>
      </c>
      <c r="E13217" s="386">
        <v>415.9</v>
      </c>
      <c r="F13217" s="386">
        <v>746.27</v>
      </c>
      <c r="G13217" s="386">
        <v>58.7</v>
      </c>
      <c r="H13217" s="387">
        <v>9057.7099999999991</v>
      </c>
      <c r="I13217" s="387">
        <v>4782.8</v>
      </c>
      <c r="J13217" s="387">
        <v>3938.78</v>
      </c>
      <c r="K13217" s="387">
        <v>336.13</v>
      </c>
      <c r="L13217" s="43">
        <v>7.4190618165734268</v>
      </c>
      <c r="M13217" s="43">
        <v>11.49987977879298</v>
      </c>
      <c r="N13217" s="43">
        <v>5.2779556996797412</v>
      </c>
      <c r="O13217" s="43">
        <v>5.7262350936967632</v>
      </c>
      <c r="P13217" s="388"/>
      <c r="Q13217" s="388"/>
      <c r="R13217" s="388">
        <v>1</v>
      </c>
    </row>
    <row r="13218" spans="1:18" ht="24">
      <c r="A13218" s="384">
        <v>110</v>
      </c>
      <c r="B13218" s="381" t="s">
        <v>23943</v>
      </c>
      <c r="C13218" s="385" t="s">
        <v>23944</v>
      </c>
      <c r="D13218" s="386">
        <v>1199.5</v>
      </c>
      <c r="E13218" s="386">
        <v>427.25</v>
      </c>
      <c r="F13218" s="386">
        <v>718.05</v>
      </c>
      <c r="G13218" s="386">
        <v>54.2</v>
      </c>
      <c r="H13218" s="387">
        <v>9016.3700000000008</v>
      </c>
      <c r="I13218" s="387">
        <v>4913.3500000000004</v>
      </c>
      <c r="J13218" s="387">
        <v>3774.3</v>
      </c>
      <c r="K13218" s="387">
        <v>328.72</v>
      </c>
      <c r="L13218" s="43">
        <v>7.5167736556898719</v>
      </c>
      <c r="M13218" s="43">
        <v>11.49994148624927</v>
      </c>
      <c r="N13218" s="43">
        <v>5.2563191978274499</v>
      </c>
      <c r="O13218" s="43">
        <v>6.0649446494464945</v>
      </c>
      <c r="P13218" s="388"/>
      <c r="Q13218" s="388"/>
      <c r="R13218" s="388">
        <v>1</v>
      </c>
    </row>
    <row r="13219" spans="1:18" ht="24">
      <c r="A13219" s="384">
        <v>111</v>
      </c>
      <c r="B13219" s="381" t="s">
        <v>23945</v>
      </c>
      <c r="C13219" s="385" t="s">
        <v>23946</v>
      </c>
      <c r="D13219" s="386">
        <v>1135.67</v>
      </c>
      <c r="E13219" s="386">
        <v>371.52</v>
      </c>
      <c r="F13219" s="386">
        <v>712.91</v>
      </c>
      <c r="G13219" s="386">
        <v>51.24</v>
      </c>
      <c r="H13219" s="387">
        <v>8340.0400000000009</v>
      </c>
      <c r="I13219" s="387">
        <v>4272.4799999999996</v>
      </c>
      <c r="J13219" s="387">
        <v>3777.49</v>
      </c>
      <c r="K13219" s="387">
        <v>290.07</v>
      </c>
      <c r="L13219" s="43">
        <v>7.3437178053483851</v>
      </c>
      <c r="M13219" s="43">
        <v>11.5</v>
      </c>
      <c r="N13219" s="43">
        <v>5.2986912794041325</v>
      </c>
      <c r="O13219" s="43">
        <v>5.6610070257611236</v>
      </c>
      <c r="P13219" s="388"/>
      <c r="Q13219" s="388"/>
      <c r="R13219" s="388">
        <v>1</v>
      </c>
    </row>
    <row r="13220" spans="1:18" ht="24">
      <c r="A13220" s="384">
        <v>112</v>
      </c>
      <c r="B13220" s="381" t="s">
        <v>23947</v>
      </c>
      <c r="C13220" s="385" t="s">
        <v>23948</v>
      </c>
      <c r="D13220" s="386">
        <v>2409.4499999999998</v>
      </c>
      <c r="E13220" s="386">
        <v>438.6</v>
      </c>
      <c r="F13220" s="386">
        <v>1893.11</v>
      </c>
      <c r="G13220" s="386">
        <v>77.739999999999995</v>
      </c>
      <c r="H13220" s="387">
        <v>15543.3</v>
      </c>
      <c r="I13220" s="387">
        <v>5043.8999999999996</v>
      </c>
      <c r="J13220" s="387">
        <v>10098.540000000001</v>
      </c>
      <c r="K13220" s="387">
        <v>400.86</v>
      </c>
      <c r="L13220" s="43">
        <v>6.4509742887380943</v>
      </c>
      <c r="M13220" s="43">
        <v>11.499999999999998</v>
      </c>
      <c r="N13220" s="43">
        <v>5.3343651451843801</v>
      </c>
      <c r="O13220" s="43">
        <v>5.1564188320041167</v>
      </c>
      <c r="P13220" s="388"/>
      <c r="Q13220" s="388"/>
      <c r="R13220" s="388">
        <v>1</v>
      </c>
    </row>
    <row r="13221" spans="1:18" ht="24">
      <c r="A13221" s="384">
        <v>113</v>
      </c>
      <c r="B13221" s="381" t="s">
        <v>23949</v>
      </c>
      <c r="C13221" s="385" t="s">
        <v>23950</v>
      </c>
      <c r="D13221" s="386">
        <v>2255.5100000000002</v>
      </c>
      <c r="E13221" s="386">
        <v>461.3</v>
      </c>
      <c r="F13221" s="386">
        <v>1704.01</v>
      </c>
      <c r="G13221" s="386">
        <v>90.2</v>
      </c>
      <c r="H13221" s="387">
        <v>14885.45</v>
      </c>
      <c r="I13221" s="387">
        <v>5305</v>
      </c>
      <c r="J13221" s="387">
        <v>9069.1</v>
      </c>
      <c r="K13221" s="387">
        <v>511.35</v>
      </c>
      <c r="L13221" s="43">
        <v>6.5995938834232613</v>
      </c>
      <c r="M13221" s="43">
        <v>11.500108389334489</v>
      </c>
      <c r="N13221" s="43">
        <v>5.3222105504075685</v>
      </c>
      <c r="O13221" s="43">
        <v>5.6690687361419068</v>
      </c>
      <c r="P13221" s="388"/>
      <c r="Q13221" s="388"/>
      <c r="R13221" s="388">
        <v>1</v>
      </c>
    </row>
    <row r="13222" spans="1:18" ht="24">
      <c r="A13222" s="384">
        <v>114</v>
      </c>
      <c r="B13222" s="381" t="s">
        <v>23951</v>
      </c>
      <c r="C13222" s="385" t="s">
        <v>23952</v>
      </c>
      <c r="D13222" s="386">
        <v>1142.81</v>
      </c>
      <c r="E13222" s="386">
        <v>382.87</v>
      </c>
      <c r="F13222" s="386">
        <v>712.22</v>
      </c>
      <c r="G13222" s="386">
        <v>47.72</v>
      </c>
      <c r="H13222" s="387">
        <v>8430.83</v>
      </c>
      <c r="I13222" s="387">
        <v>4403.03</v>
      </c>
      <c r="J13222" s="387">
        <v>3762.05</v>
      </c>
      <c r="K13222" s="387">
        <v>265.75</v>
      </c>
      <c r="L13222" s="43">
        <v>7.3772805628232163</v>
      </c>
      <c r="M13222" s="43">
        <v>11.500065296314675</v>
      </c>
      <c r="N13222" s="43">
        <v>5.2821459661340597</v>
      </c>
      <c r="O13222" s="43">
        <v>5.5689438390611903</v>
      </c>
      <c r="P13222" s="388"/>
      <c r="Q13222" s="388"/>
      <c r="R13222" s="388">
        <v>1</v>
      </c>
    </row>
    <row r="13223" spans="1:18" ht="24">
      <c r="A13223" s="384">
        <v>115</v>
      </c>
      <c r="B13223" s="381" t="s">
        <v>23953</v>
      </c>
      <c r="C13223" s="385" t="s">
        <v>23954</v>
      </c>
      <c r="D13223" s="386">
        <v>2432.66</v>
      </c>
      <c r="E13223" s="386">
        <v>449.95</v>
      </c>
      <c r="F13223" s="386">
        <v>1893.11</v>
      </c>
      <c r="G13223" s="386">
        <v>89.6</v>
      </c>
      <c r="H13223" s="387">
        <v>15736.59</v>
      </c>
      <c r="I13223" s="387">
        <v>5174.45</v>
      </c>
      <c r="J13223" s="387">
        <v>10098.540000000001</v>
      </c>
      <c r="K13223" s="387">
        <v>463.6</v>
      </c>
      <c r="L13223" s="43">
        <v>6.4688818001693624</v>
      </c>
      <c r="M13223" s="43">
        <v>11.500055561729081</v>
      </c>
      <c r="N13223" s="43">
        <v>5.3343651451843801</v>
      </c>
      <c r="O13223" s="43">
        <v>5.1741071428571432</v>
      </c>
      <c r="P13223" s="388"/>
      <c r="Q13223" s="388"/>
      <c r="R13223" s="388">
        <v>1</v>
      </c>
    </row>
    <row r="13224" spans="1:18" ht="24">
      <c r="A13224" s="384">
        <v>116</v>
      </c>
      <c r="B13224" s="381" t="s">
        <v>23955</v>
      </c>
      <c r="C13224" s="385" t="s">
        <v>23956</v>
      </c>
      <c r="D13224" s="386">
        <v>2513.9899999999998</v>
      </c>
      <c r="E13224" s="386">
        <v>528.38</v>
      </c>
      <c r="F13224" s="386">
        <v>1880.63</v>
      </c>
      <c r="G13224" s="386">
        <v>104.98</v>
      </c>
      <c r="H13224" s="387">
        <v>16597.79</v>
      </c>
      <c r="I13224" s="387">
        <v>6076.42</v>
      </c>
      <c r="J13224" s="387">
        <v>10005.9</v>
      </c>
      <c r="K13224" s="387">
        <v>515.47</v>
      </c>
      <c r="L13224" s="43">
        <v>6.6021702552516128</v>
      </c>
      <c r="M13224" s="43">
        <v>11.50009462886559</v>
      </c>
      <c r="N13224" s="43">
        <v>5.3205042990912617</v>
      </c>
      <c r="O13224" s="43">
        <v>4.9101733663554965</v>
      </c>
      <c r="P13224" s="388"/>
      <c r="Q13224" s="388"/>
      <c r="R13224" s="388">
        <v>1</v>
      </c>
    </row>
    <row r="13225" spans="1:18" ht="24">
      <c r="A13225" s="384">
        <v>117</v>
      </c>
      <c r="B13225" s="381" t="s">
        <v>23957</v>
      </c>
      <c r="C13225" s="385" t="s">
        <v>23958</v>
      </c>
      <c r="D13225" s="386">
        <v>2549.36</v>
      </c>
      <c r="E13225" s="386">
        <v>528.38</v>
      </c>
      <c r="F13225" s="386">
        <v>1914.89</v>
      </c>
      <c r="G13225" s="386">
        <v>106.09</v>
      </c>
      <c r="H13225" s="387">
        <v>16813.87</v>
      </c>
      <c r="I13225" s="387">
        <v>6076.42</v>
      </c>
      <c r="J13225" s="387">
        <v>10187.799999999999</v>
      </c>
      <c r="K13225" s="387">
        <v>549.65</v>
      </c>
      <c r="L13225" s="43">
        <v>6.5953298082656033</v>
      </c>
      <c r="M13225" s="43">
        <v>11.50009462886559</v>
      </c>
      <c r="N13225" s="43">
        <v>5.3203056050216979</v>
      </c>
      <c r="O13225" s="43">
        <v>5.1809784145536808</v>
      </c>
      <c r="P13225" s="388"/>
      <c r="Q13225" s="388"/>
      <c r="R13225" s="388">
        <v>1</v>
      </c>
    </row>
    <row r="13226" spans="1:18" ht="24">
      <c r="A13226" s="384">
        <v>118</v>
      </c>
      <c r="B13226" s="381" t="s">
        <v>23959</v>
      </c>
      <c r="C13226" s="385" t="s">
        <v>23960</v>
      </c>
      <c r="D13226" s="386">
        <v>2114.33</v>
      </c>
      <c r="E13226" s="386">
        <v>438.6</v>
      </c>
      <c r="F13226" s="386">
        <v>1600.06</v>
      </c>
      <c r="G13226" s="386">
        <v>75.67</v>
      </c>
      <c r="H13226" s="387">
        <v>13965.93</v>
      </c>
      <c r="I13226" s="387">
        <v>5043.8999999999996</v>
      </c>
      <c r="J13226" s="387">
        <v>8517.91</v>
      </c>
      <c r="K13226" s="387">
        <v>404.12</v>
      </c>
      <c r="L13226" s="43">
        <v>6.6053690767287989</v>
      </c>
      <c r="M13226" s="43">
        <v>11.499999999999998</v>
      </c>
      <c r="N13226" s="43">
        <v>5.3234941189705385</v>
      </c>
      <c r="O13226" s="43">
        <v>5.3405576846834943</v>
      </c>
      <c r="P13226" s="388"/>
      <c r="Q13226" s="388"/>
      <c r="R13226" s="388">
        <v>1</v>
      </c>
    </row>
    <row r="13227" spans="1:18" ht="24">
      <c r="A13227" s="384">
        <v>119</v>
      </c>
      <c r="B13227" s="381" t="s">
        <v>23961</v>
      </c>
      <c r="C13227" s="385" t="s">
        <v>23962</v>
      </c>
      <c r="D13227" s="386">
        <v>2243.7199999999998</v>
      </c>
      <c r="E13227" s="386">
        <v>551.09</v>
      </c>
      <c r="F13227" s="386">
        <v>1600.06</v>
      </c>
      <c r="G13227" s="386">
        <v>92.57</v>
      </c>
      <c r="H13227" s="387">
        <v>15313.8</v>
      </c>
      <c r="I13227" s="387">
        <v>6337.51</v>
      </c>
      <c r="J13227" s="387">
        <v>8517.91</v>
      </c>
      <c r="K13227" s="387">
        <v>458.38</v>
      </c>
      <c r="L13227" s="43">
        <v>6.8251831779366414</v>
      </c>
      <c r="M13227" s="43">
        <v>11.499954635359016</v>
      </c>
      <c r="N13227" s="43">
        <v>5.3234941189705385</v>
      </c>
      <c r="O13227" s="43">
        <v>4.9517122177811386</v>
      </c>
      <c r="P13227" s="388"/>
      <c r="Q13227" s="388"/>
      <c r="R13227" s="388">
        <v>1</v>
      </c>
    </row>
    <row r="13228" spans="1:18" ht="12.75" customHeight="1">
      <c r="A13228" s="628" t="s">
        <v>23963</v>
      </c>
      <c r="B13228" s="629"/>
      <c r="C13228" s="629"/>
      <c r="D13228" s="629"/>
      <c r="E13228" s="629"/>
      <c r="F13228" s="629"/>
      <c r="G13228" s="629"/>
      <c r="H13228" s="629"/>
      <c r="I13228" s="629"/>
      <c r="J13228" s="629"/>
      <c r="K13228" s="629"/>
      <c r="L13228" s="629"/>
      <c r="M13228" s="629"/>
      <c r="N13228" s="629"/>
      <c r="O13228" s="629"/>
      <c r="P13228" s="629"/>
      <c r="Q13228" s="629"/>
      <c r="R13228" s="629"/>
    </row>
    <row r="13229" spans="1:18" ht="24">
      <c r="A13229" s="384">
        <v>120</v>
      </c>
      <c r="B13229" s="381" t="s">
        <v>23964</v>
      </c>
      <c r="C13229" s="385" t="s">
        <v>23965</v>
      </c>
      <c r="D13229" s="386">
        <v>1822.3</v>
      </c>
      <c r="E13229" s="386">
        <v>382.87</v>
      </c>
      <c r="F13229" s="386">
        <v>1389.26</v>
      </c>
      <c r="G13229" s="386">
        <v>50.17</v>
      </c>
      <c r="H13229" s="387">
        <v>12087.29</v>
      </c>
      <c r="I13229" s="387">
        <v>4403.03</v>
      </c>
      <c r="J13229" s="387">
        <v>7399.63</v>
      </c>
      <c r="K13229" s="387">
        <v>284.63</v>
      </c>
      <c r="L13229" s="43">
        <v>6.6329857871920108</v>
      </c>
      <c r="M13229" s="43">
        <v>11.500065296314675</v>
      </c>
      <c r="N13229" s="43">
        <v>5.3263104098584861</v>
      </c>
      <c r="O13229" s="43">
        <v>5.6733107434721939</v>
      </c>
      <c r="P13229" s="388"/>
      <c r="Q13229" s="388"/>
      <c r="R13229" s="388">
        <v>2</v>
      </c>
    </row>
    <row r="13230" spans="1:18" ht="24">
      <c r="A13230" s="384">
        <v>121</v>
      </c>
      <c r="B13230" s="381" t="s">
        <v>23966</v>
      </c>
      <c r="C13230" s="385" t="s">
        <v>23967</v>
      </c>
      <c r="D13230" s="386">
        <v>2531.37</v>
      </c>
      <c r="E13230" s="386">
        <v>528.38</v>
      </c>
      <c r="F13230" s="386">
        <v>1914.89</v>
      </c>
      <c r="G13230" s="386">
        <v>88.1</v>
      </c>
      <c r="H13230" s="387">
        <v>16698.04</v>
      </c>
      <c r="I13230" s="387">
        <v>6076.42</v>
      </c>
      <c r="J13230" s="387">
        <v>10187.799999999999</v>
      </c>
      <c r="K13230" s="387">
        <v>433.82</v>
      </c>
      <c r="L13230" s="43">
        <v>6.5964438229101248</v>
      </c>
      <c r="M13230" s="43">
        <v>11.50009462886559</v>
      </c>
      <c r="N13230" s="43">
        <v>5.3203056050216979</v>
      </c>
      <c r="O13230" s="43">
        <v>4.9241770715096482</v>
      </c>
      <c r="P13230" s="388"/>
      <c r="Q13230" s="388"/>
      <c r="R13230" s="388">
        <v>2</v>
      </c>
    </row>
    <row r="13231" spans="1:18" ht="24">
      <c r="A13231" s="384">
        <v>122</v>
      </c>
      <c r="B13231" s="381" t="s">
        <v>23968</v>
      </c>
      <c r="C13231" s="385" t="s">
        <v>23969</v>
      </c>
      <c r="D13231" s="386">
        <v>1387.84</v>
      </c>
      <c r="E13231" s="386">
        <v>438.6</v>
      </c>
      <c r="F13231" s="386">
        <v>888.8</v>
      </c>
      <c r="G13231" s="386">
        <v>60.44</v>
      </c>
      <c r="H13231" s="387">
        <v>10109.450000000001</v>
      </c>
      <c r="I13231" s="387">
        <v>5043.8999999999996</v>
      </c>
      <c r="J13231" s="387">
        <v>4698.1899999999996</v>
      </c>
      <c r="K13231" s="387">
        <v>367.36</v>
      </c>
      <c r="L13231" s="43">
        <v>7.2843051072169711</v>
      </c>
      <c r="M13231" s="43">
        <v>11.499999999999998</v>
      </c>
      <c r="N13231" s="43">
        <v>5.285992349234923</v>
      </c>
      <c r="O13231" s="43">
        <v>6.0780939774983462</v>
      </c>
      <c r="P13231" s="388"/>
      <c r="Q13231" s="388"/>
      <c r="R13231" s="388">
        <v>2</v>
      </c>
    </row>
    <row r="13232" spans="1:18" ht="24">
      <c r="A13232" s="384">
        <v>123</v>
      </c>
      <c r="B13232" s="381" t="s">
        <v>23970</v>
      </c>
      <c r="C13232" s="385" t="s">
        <v>23971</v>
      </c>
      <c r="D13232" s="386">
        <v>1825.78</v>
      </c>
      <c r="E13232" s="386">
        <v>360.17</v>
      </c>
      <c r="F13232" s="386">
        <v>1411.45</v>
      </c>
      <c r="G13232" s="386">
        <v>54.16</v>
      </c>
      <c r="H13232" s="387">
        <v>11935.93</v>
      </c>
      <c r="I13232" s="387">
        <v>4141.93</v>
      </c>
      <c r="J13232" s="387">
        <v>7530.4</v>
      </c>
      <c r="K13232" s="387">
        <v>263.60000000000002</v>
      </c>
      <c r="L13232" s="43">
        <v>6.5374415318384473</v>
      </c>
      <c r="M13232" s="43">
        <v>11.499930588333287</v>
      </c>
      <c r="N13232" s="43">
        <v>5.33522264338092</v>
      </c>
      <c r="O13232" s="43">
        <v>4.8670605612998532</v>
      </c>
      <c r="P13232" s="388"/>
      <c r="Q13232" s="388"/>
      <c r="R13232" s="388">
        <v>2</v>
      </c>
    </row>
    <row r="13233" spans="1:18" ht="24">
      <c r="A13233" s="384">
        <v>124</v>
      </c>
      <c r="B13233" s="381" t="s">
        <v>23972</v>
      </c>
      <c r="C13233" s="385" t="s">
        <v>23973</v>
      </c>
      <c r="D13233" s="386">
        <v>1416.47</v>
      </c>
      <c r="E13233" s="386">
        <v>427.25</v>
      </c>
      <c r="F13233" s="386">
        <v>935.71</v>
      </c>
      <c r="G13233" s="386">
        <v>53.51</v>
      </c>
      <c r="H13233" s="387">
        <v>10176.799999999999</v>
      </c>
      <c r="I13233" s="387">
        <v>4913.3500000000004</v>
      </c>
      <c r="J13233" s="387">
        <v>4957.45</v>
      </c>
      <c r="K13233" s="387">
        <v>306</v>
      </c>
      <c r="L13233" s="43">
        <v>7.1846209238458982</v>
      </c>
      <c r="M13233" s="43">
        <v>11.49994148624927</v>
      </c>
      <c r="N13233" s="43">
        <v>5.2980624338737421</v>
      </c>
      <c r="O13233" s="43">
        <v>5.718557279013269</v>
      </c>
      <c r="P13233" s="388"/>
      <c r="Q13233" s="388"/>
      <c r="R13233" s="388">
        <v>2</v>
      </c>
    </row>
    <row r="13234" spans="1:18" ht="24">
      <c r="A13234" s="384">
        <v>125</v>
      </c>
      <c r="B13234" s="381" t="s">
        <v>23974</v>
      </c>
      <c r="C13234" s="385" t="s">
        <v>23975</v>
      </c>
      <c r="D13234" s="386">
        <v>979.34</v>
      </c>
      <c r="E13234" s="386">
        <v>303.41000000000003</v>
      </c>
      <c r="F13234" s="386">
        <v>611.96</v>
      </c>
      <c r="G13234" s="386">
        <v>63.97</v>
      </c>
      <c r="H13234" s="387">
        <v>7131.84</v>
      </c>
      <c r="I13234" s="387">
        <v>3489.19</v>
      </c>
      <c r="J13234" s="387">
        <v>3253.84</v>
      </c>
      <c r="K13234" s="387">
        <v>388.81</v>
      </c>
      <c r="L13234" s="43">
        <v>7.2822921559417564</v>
      </c>
      <c r="M13234" s="43">
        <v>11.499917603243135</v>
      </c>
      <c r="N13234" s="43">
        <v>5.3170795476828552</v>
      </c>
      <c r="O13234" s="43">
        <v>6.078005314991402</v>
      </c>
      <c r="P13234" s="388"/>
      <c r="Q13234" s="388"/>
      <c r="R13234" s="388">
        <v>2</v>
      </c>
    </row>
    <row r="13235" spans="1:18" ht="12.75" customHeight="1">
      <c r="A13235" s="628" t="s">
        <v>23976</v>
      </c>
      <c r="B13235" s="629"/>
      <c r="C13235" s="629"/>
      <c r="D13235" s="629"/>
      <c r="E13235" s="629"/>
      <c r="F13235" s="629"/>
      <c r="G13235" s="629"/>
      <c r="H13235" s="629"/>
      <c r="I13235" s="629"/>
      <c r="J13235" s="629"/>
      <c r="K13235" s="629"/>
      <c r="L13235" s="629"/>
      <c r="M13235" s="629"/>
      <c r="N13235" s="629"/>
      <c r="O13235" s="629"/>
      <c r="P13235" s="629"/>
      <c r="Q13235" s="629"/>
      <c r="R13235" s="629"/>
    </row>
    <row r="13236" spans="1:18" ht="36">
      <c r="A13236" s="384">
        <v>126</v>
      </c>
      <c r="B13236" s="381" t="s">
        <v>23977</v>
      </c>
      <c r="C13236" s="385" t="s">
        <v>23978</v>
      </c>
      <c r="D13236" s="386">
        <v>1197</v>
      </c>
      <c r="E13236" s="386">
        <v>415.9</v>
      </c>
      <c r="F13236" s="386">
        <v>737.95</v>
      </c>
      <c r="G13236" s="386">
        <v>43.15</v>
      </c>
      <c r="H13236" s="387">
        <v>8919.93</v>
      </c>
      <c r="I13236" s="387">
        <v>4782.8</v>
      </c>
      <c r="J13236" s="387">
        <v>3895.59</v>
      </c>
      <c r="K13236" s="387">
        <v>241.54</v>
      </c>
      <c r="L13236" s="43">
        <v>7.4519047619047623</v>
      </c>
      <c r="M13236" s="43">
        <v>11.49987977879298</v>
      </c>
      <c r="N13236" s="43">
        <v>5.2789348871874786</v>
      </c>
      <c r="O13236" s="43">
        <v>5.5976825028968715</v>
      </c>
      <c r="P13236" s="388"/>
      <c r="Q13236" s="388"/>
      <c r="R13236" s="388">
        <v>3</v>
      </c>
    </row>
    <row r="13237" spans="1:18" ht="12.75" customHeight="1">
      <c r="A13237" s="628" t="s">
        <v>23979</v>
      </c>
      <c r="B13237" s="629"/>
      <c r="C13237" s="629"/>
      <c r="D13237" s="629"/>
      <c r="E13237" s="629"/>
      <c r="F13237" s="629"/>
      <c r="G13237" s="629"/>
      <c r="H13237" s="629"/>
      <c r="I13237" s="629"/>
      <c r="J13237" s="629"/>
      <c r="K13237" s="629"/>
      <c r="L13237" s="629"/>
      <c r="M13237" s="629"/>
      <c r="N13237" s="629"/>
      <c r="O13237" s="629"/>
      <c r="P13237" s="629"/>
      <c r="Q13237" s="629"/>
      <c r="R13237" s="629"/>
    </row>
    <row r="13238" spans="1:18" ht="24">
      <c r="A13238" s="384">
        <v>127</v>
      </c>
      <c r="B13238" s="381" t="s">
        <v>23980</v>
      </c>
      <c r="C13238" s="385" t="s">
        <v>23981</v>
      </c>
      <c r="D13238" s="386">
        <v>1117.8900000000001</v>
      </c>
      <c r="E13238" s="386">
        <v>360.17</v>
      </c>
      <c r="F13238" s="386">
        <v>711.41</v>
      </c>
      <c r="G13238" s="386">
        <v>46.31</v>
      </c>
      <c r="H13238" s="387">
        <v>8185.16</v>
      </c>
      <c r="I13238" s="387">
        <v>4141.93</v>
      </c>
      <c r="J13238" s="387">
        <v>3770.88</v>
      </c>
      <c r="K13238" s="387">
        <v>272.35000000000002</v>
      </c>
      <c r="L13238" s="43">
        <v>7.3219726448935036</v>
      </c>
      <c r="M13238" s="43">
        <v>11.499930588333287</v>
      </c>
      <c r="N13238" s="43">
        <v>5.3005721032878368</v>
      </c>
      <c r="O13238" s="43">
        <v>5.8810192183113799</v>
      </c>
      <c r="P13238" s="388"/>
      <c r="Q13238" s="388"/>
      <c r="R13238" s="388">
        <v>4</v>
      </c>
    </row>
    <row r="13239" spans="1:18" ht="24">
      <c r="A13239" s="384">
        <v>128</v>
      </c>
      <c r="B13239" s="381" t="s">
        <v>23982</v>
      </c>
      <c r="C13239" s="385" t="s">
        <v>23983</v>
      </c>
      <c r="D13239" s="386">
        <v>729.05</v>
      </c>
      <c r="E13239" s="386">
        <v>259.02999999999997</v>
      </c>
      <c r="F13239" s="386">
        <v>443.23</v>
      </c>
      <c r="G13239" s="386">
        <v>26.79</v>
      </c>
      <c r="H13239" s="387">
        <v>5504.13</v>
      </c>
      <c r="I13239" s="387">
        <v>2978.87</v>
      </c>
      <c r="J13239" s="387">
        <v>2378.9699999999998</v>
      </c>
      <c r="K13239" s="387">
        <v>146.29</v>
      </c>
      <c r="L13239" s="43">
        <v>7.5497290995130655</v>
      </c>
      <c r="M13239" s="43">
        <v>11.500096513917308</v>
      </c>
      <c r="N13239" s="43">
        <v>5.3673487805428328</v>
      </c>
      <c r="O13239" s="43">
        <v>5.4606196341918629</v>
      </c>
      <c r="P13239" s="388"/>
      <c r="Q13239" s="388"/>
      <c r="R13239" s="388">
        <v>4</v>
      </c>
    </row>
    <row r="13240" spans="1:18" ht="24">
      <c r="A13240" s="384">
        <v>129</v>
      </c>
      <c r="B13240" s="381" t="s">
        <v>23984</v>
      </c>
      <c r="C13240" s="385" t="s">
        <v>23985</v>
      </c>
      <c r="D13240" s="386">
        <v>1034.22</v>
      </c>
      <c r="E13240" s="386">
        <v>292.06</v>
      </c>
      <c r="F13240" s="386">
        <v>714.82</v>
      </c>
      <c r="G13240" s="386">
        <v>27.34</v>
      </c>
      <c r="H13240" s="387">
        <v>7323.14</v>
      </c>
      <c r="I13240" s="387">
        <v>3358.64</v>
      </c>
      <c r="J13240" s="387">
        <v>3811.61</v>
      </c>
      <c r="K13240" s="387">
        <v>152.88999999999999</v>
      </c>
      <c r="L13240" s="43">
        <v>7.0808338651350775</v>
      </c>
      <c r="M13240" s="43">
        <v>11.499828802300897</v>
      </c>
      <c r="N13240" s="43">
        <v>5.3322654654318571</v>
      </c>
      <c r="O13240" s="43">
        <v>5.592172640819312</v>
      </c>
      <c r="P13240" s="388"/>
      <c r="Q13240" s="388"/>
      <c r="R13240" s="388">
        <v>4</v>
      </c>
    </row>
    <row r="13241" spans="1:18" ht="24">
      <c r="A13241" s="384">
        <v>130</v>
      </c>
      <c r="B13241" s="381" t="s">
        <v>23986</v>
      </c>
      <c r="C13241" s="385" t="s">
        <v>23987</v>
      </c>
      <c r="D13241" s="386">
        <v>1936</v>
      </c>
      <c r="E13241" s="386">
        <v>472.66</v>
      </c>
      <c r="F13241" s="386">
        <v>1417.7</v>
      </c>
      <c r="G13241" s="386">
        <v>45.64</v>
      </c>
      <c r="H13241" s="387">
        <v>13271.41</v>
      </c>
      <c r="I13241" s="387">
        <v>5435.54</v>
      </c>
      <c r="J13241" s="387">
        <v>7540.89</v>
      </c>
      <c r="K13241" s="387">
        <v>294.98</v>
      </c>
      <c r="L13241" s="43">
        <v>6.8550671487603303</v>
      </c>
      <c r="M13241" s="43">
        <v>11.499894215715313</v>
      </c>
      <c r="N13241" s="43">
        <v>5.3191013613599489</v>
      </c>
      <c r="O13241" s="43">
        <v>6.46319018404908</v>
      </c>
      <c r="P13241" s="388"/>
      <c r="Q13241" s="388"/>
      <c r="R13241" s="388">
        <v>4</v>
      </c>
    </row>
    <row r="13242" spans="1:18" ht="24">
      <c r="A13242" s="384">
        <v>131</v>
      </c>
      <c r="B13242" s="381" t="s">
        <v>23988</v>
      </c>
      <c r="C13242" s="385" t="s">
        <v>23989</v>
      </c>
      <c r="D13242" s="386">
        <v>1210.82</v>
      </c>
      <c r="E13242" s="386">
        <v>382.87</v>
      </c>
      <c r="F13242" s="386">
        <v>713.63</v>
      </c>
      <c r="G13242" s="386">
        <v>114.32</v>
      </c>
      <c r="H13242" s="387">
        <v>8657.86</v>
      </c>
      <c r="I13242" s="387">
        <v>4403.03</v>
      </c>
      <c r="J13242" s="387">
        <v>3758.97</v>
      </c>
      <c r="K13242" s="387">
        <v>495.86</v>
      </c>
      <c r="L13242" s="43">
        <v>7.1504104656348595</v>
      </c>
      <c r="M13242" s="43">
        <v>11.500065296314675</v>
      </c>
      <c r="N13242" s="43">
        <v>5.2673934672028917</v>
      </c>
      <c r="O13242" s="43">
        <v>4.3374737578726386</v>
      </c>
      <c r="P13242" s="388"/>
      <c r="Q13242" s="388"/>
      <c r="R13242" s="388">
        <v>4</v>
      </c>
    </row>
    <row r="13243" spans="1:18" ht="12.75" customHeight="1">
      <c r="A13243" s="628" t="s">
        <v>23990</v>
      </c>
      <c r="B13243" s="629"/>
      <c r="C13243" s="629"/>
      <c r="D13243" s="629"/>
      <c r="E13243" s="629"/>
      <c r="F13243" s="629"/>
      <c r="G13243" s="629"/>
      <c r="H13243" s="629"/>
      <c r="I13243" s="629"/>
      <c r="J13243" s="629"/>
      <c r="K13243" s="629"/>
      <c r="L13243" s="629"/>
      <c r="M13243" s="629"/>
      <c r="N13243" s="629"/>
      <c r="O13243" s="629"/>
      <c r="P13243" s="629"/>
      <c r="Q13243" s="629"/>
      <c r="R13243" s="629"/>
    </row>
    <row r="13244" spans="1:18" ht="36">
      <c r="A13244" s="384">
        <v>132</v>
      </c>
      <c r="B13244" s="381" t="s">
        <v>23991</v>
      </c>
      <c r="C13244" s="385" t="s">
        <v>23992</v>
      </c>
      <c r="D13244" s="386">
        <v>1353.1</v>
      </c>
      <c r="E13244" s="386">
        <v>461.3</v>
      </c>
      <c r="F13244" s="386">
        <v>823.46</v>
      </c>
      <c r="G13244" s="386">
        <v>68.34</v>
      </c>
      <c r="H13244" s="387">
        <v>10137.870000000001</v>
      </c>
      <c r="I13244" s="387">
        <v>5305</v>
      </c>
      <c r="J13244" s="387">
        <v>4339.3900000000003</v>
      </c>
      <c r="K13244" s="387">
        <v>493.48</v>
      </c>
      <c r="L13244" s="43">
        <v>7.4923287266277452</v>
      </c>
      <c r="M13244" s="43">
        <v>11.500108389334489</v>
      </c>
      <c r="N13244" s="43">
        <v>5.2697034464333425</v>
      </c>
      <c r="O13244" s="43">
        <v>7.220954053263096</v>
      </c>
      <c r="P13244" s="388"/>
      <c r="Q13244" s="388"/>
      <c r="R13244" s="388">
        <v>5</v>
      </c>
    </row>
    <row r="13245" spans="1:18" ht="36">
      <c r="A13245" s="384">
        <v>133</v>
      </c>
      <c r="B13245" s="381" t="s">
        <v>23993</v>
      </c>
      <c r="C13245" s="385" t="s">
        <v>23994</v>
      </c>
      <c r="D13245" s="386">
        <v>2241.92</v>
      </c>
      <c r="E13245" s="386">
        <v>461.3</v>
      </c>
      <c r="F13245" s="386">
        <v>1704.01</v>
      </c>
      <c r="G13245" s="386">
        <v>76.61</v>
      </c>
      <c r="H13245" s="387">
        <v>14825.86</v>
      </c>
      <c r="I13245" s="387">
        <v>5305</v>
      </c>
      <c r="J13245" s="387">
        <v>9069.1</v>
      </c>
      <c r="K13245" s="387">
        <v>451.76</v>
      </c>
      <c r="L13245" s="43">
        <v>6.6130191978304307</v>
      </c>
      <c r="M13245" s="43">
        <v>11.500108389334489</v>
      </c>
      <c r="N13245" s="43">
        <v>5.3222105504075685</v>
      </c>
      <c r="O13245" s="43">
        <v>5.8968803028325283</v>
      </c>
      <c r="P13245" s="388"/>
      <c r="Q13245" s="388"/>
      <c r="R13245" s="388">
        <v>5</v>
      </c>
    </row>
    <row r="13246" spans="1:18" ht="36">
      <c r="A13246" s="384">
        <v>134</v>
      </c>
      <c r="B13246" s="381" t="s">
        <v>23995</v>
      </c>
      <c r="C13246" s="385" t="s">
        <v>23996</v>
      </c>
      <c r="D13246" s="386">
        <v>1317.59</v>
      </c>
      <c r="E13246" s="386">
        <v>449.95</v>
      </c>
      <c r="F13246" s="386">
        <v>804.8</v>
      </c>
      <c r="G13246" s="386">
        <v>62.84</v>
      </c>
      <c r="H13246" s="387">
        <v>9861.66</v>
      </c>
      <c r="I13246" s="387">
        <v>5174.45</v>
      </c>
      <c r="J13246" s="387">
        <v>4242.57</v>
      </c>
      <c r="K13246" s="387">
        <v>444.64</v>
      </c>
      <c r="L13246" s="43">
        <v>7.4846196464757631</v>
      </c>
      <c r="M13246" s="43">
        <v>11.500055561729081</v>
      </c>
      <c r="N13246" s="43">
        <v>5.2715830019880716</v>
      </c>
      <c r="O13246" s="43">
        <v>7.0757479312539777</v>
      </c>
      <c r="P13246" s="388"/>
      <c r="Q13246" s="388"/>
      <c r="R13246" s="388">
        <v>5</v>
      </c>
    </row>
    <row r="13247" spans="1:18" ht="36">
      <c r="A13247" s="384">
        <v>135</v>
      </c>
      <c r="B13247" s="381" t="s">
        <v>23997</v>
      </c>
      <c r="C13247" s="385" t="s">
        <v>23998</v>
      </c>
      <c r="D13247" s="386">
        <v>1055.98</v>
      </c>
      <c r="E13247" s="386">
        <v>382.87</v>
      </c>
      <c r="F13247" s="386">
        <v>644.27</v>
      </c>
      <c r="G13247" s="386">
        <v>28.84</v>
      </c>
      <c r="H13247" s="387">
        <v>8012.85</v>
      </c>
      <c r="I13247" s="387">
        <v>4403.03</v>
      </c>
      <c r="J13247" s="387">
        <v>3425.83</v>
      </c>
      <c r="K13247" s="387">
        <v>183.99</v>
      </c>
      <c r="L13247" s="43">
        <v>7.5880698498077619</v>
      </c>
      <c r="M13247" s="43">
        <v>11.500065296314675</v>
      </c>
      <c r="N13247" s="43">
        <v>5.3173824638738418</v>
      </c>
      <c r="O13247" s="43">
        <v>6.3796809986130381</v>
      </c>
      <c r="P13247" s="388"/>
      <c r="Q13247" s="388"/>
      <c r="R13247" s="388">
        <v>5</v>
      </c>
    </row>
    <row r="13248" spans="1:18" ht="12.75" customHeight="1">
      <c r="A13248" s="628" t="s">
        <v>23999</v>
      </c>
      <c r="B13248" s="629"/>
      <c r="C13248" s="629"/>
      <c r="D13248" s="629"/>
      <c r="E13248" s="629"/>
      <c r="F13248" s="629"/>
      <c r="G13248" s="629"/>
      <c r="H13248" s="629"/>
      <c r="I13248" s="629"/>
      <c r="J13248" s="629"/>
      <c r="K13248" s="629"/>
      <c r="L13248" s="629"/>
      <c r="M13248" s="629"/>
      <c r="N13248" s="629"/>
      <c r="O13248" s="629"/>
      <c r="P13248" s="629"/>
      <c r="Q13248" s="629"/>
      <c r="R13248" s="629"/>
    </row>
    <row r="13249" spans="1:18" ht="24">
      <c r="A13249" s="384">
        <v>136</v>
      </c>
      <c r="B13249" s="381" t="s">
        <v>24000</v>
      </c>
      <c r="C13249" s="385" t="s">
        <v>24001</v>
      </c>
      <c r="D13249" s="386">
        <v>1482.63</v>
      </c>
      <c r="E13249" s="386">
        <v>382.87</v>
      </c>
      <c r="F13249" s="386">
        <v>1050.81</v>
      </c>
      <c r="G13249" s="386">
        <v>48.95</v>
      </c>
      <c r="H13249" s="387">
        <v>10329.77</v>
      </c>
      <c r="I13249" s="387">
        <v>4403.03</v>
      </c>
      <c r="J13249" s="387">
        <v>5604.63</v>
      </c>
      <c r="K13249" s="387">
        <v>322.11</v>
      </c>
      <c r="L13249" s="43">
        <v>6.9671934332908414</v>
      </c>
      <c r="M13249" s="43">
        <v>11.500065296314675</v>
      </c>
      <c r="N13249" s="43">
        <v>5.3336283438490311</v>
      </c>
      <c r="O13249" s="43">
        <v>6.5803881511746676</v>
      </c>
      <c r="P13249" s="388"/>
      <c r="Q13249" s="388"/>
      <c r="R13249" s="388">
        <v>6</v>
      </c>
    </row>
    <row r="13250" spans="1:18" ht="24">
      <c r="A13250" s="384">
        <v>137</v>
      </c>
      <c r="B13250" s="381" t="s">
        <v>24002</v>
      </c>
      <c r="C13250" s="385" t="s">
        <v>24003</v>
      </c>
      <c r="D13250" s="386">
        <v>1967.06</v>
      </c>
      <c r="E13250" s="386">
        <v>394.22</v>
      </c>
      <c r="F13250" s="386">
        <v>1495.16</v>
      </c>
      <c r="G13250" s="386">
        <v>77.680000000000007</v>
      </c>
      <c r="H13250" s="387">
        <v>13073.17</v>
      </c>
      <c r="I13250" s="387">
        <v>4533.58</v>
      </c>
      <c r="J13250" s="387">
        <v>7961.38</v>
      </c>
      <c r="K13250" s="387">
        <v>578.21</v>
      </c>
      <c r="L13250" s="43">
        <v>6.6460453671977469</v>
      </c>
      <c r="M13250" s="43">
        <v>11.50012683273299</v>
      </c>
      <c r="N13250" s="43">
        <v>5.3247679178148157</v>
      </c>
      <c r="O13250" s="43">
        <v>7.4434860968074146</v>
      </c>
      <c r="P13250" s="388"/>
      <c r="Q13250" s="388"/>
      <c r="R13250" s="388">
        <v>6</v>
      </c>
    </row>
    <row r="13251" spans="1:18" ht="24">
      <c r="A13251" s="384">
        <v>138</v>
      </c>
      <c r="B13251" s="381" t="s">
        <v>24004</v>
      </c>
      <c r="C13251" s="385" t="s">
        <v>24005</v>
      </c>
      <c r="D13251" s="386">
        <v>1180.98</v>
      </c>
      <c r="E13251" s="386">
        <v>360.17</v>
      </c>
      <c r="F13251" s="386">
        <v>716.62</v>
      </c>
      <c r="G13251" s="386">
        <v>104.19</v>
      </c>
      <c r="H13251" s="387">
        <v>8795.48</v>
      </c>
      <c r="I13251" s="387">
        <v>4141.93</v>
      </c>
      <c r="J13251" s="387">
        <v>3820.98</v>
      </c>
      <c r="K13251" s="387">
        <v>832.57</v>
      </c>
      <c r="L13251" s="43">
        <v>7.4476113058646201</v>
      </c>
      <c r="M13251" s="43">
        <v>11.499930588333287</v>
      </c>
      <c r="N13251" s="43">
        <v>5.3319471965616367</v>
      </c>
      <c r="O13251" s="43">
        <v>7.9908820424224984</v>
      </c>
      <c r="P13251" s="388"/>
      <c r="Q13251" s="388"/>
      <c r="R13251" s="388">
        <v>6</v>
      </c>
    </row>
    <row r="13252" spans="1:18" ht="24">
      <c r="A13252" s="384">
        <v>139</v>
      </c>
      <c r="B13252" s="381" t="s">
        <v>24006</v>
      </c>
      <c r="C13252" s="385" t="s">
        <v>24007</v>
      </c>
      <c r="D13252" s="386">
        <v>1308.99</v>
      </c>
      <c r="E13252" s="386">
        <v>438.6</v>
      </c>
      <c r="F13252" s="386">
        <v>780.16</v>
      </c>
      <c r="G13252" s="386">
        <v>90.23</v>
      </c>
      <c r="H13252" s="387">
        <v>9787.7000000000007</v>
      </c>
      <c r="I13252" s="387">
        <v>5043.8999999999996</v>
      </c>
      <c r="J13252" s="387">
        <v>4114.67</v>
      </c>
      <c r="K13252" s="387">
        <v>629.13</v>
      </c>
      <c r="L13252" s="43">
        <v>7.4772916523426467</v>
      </c>
      <c r="M13252" s="43">
        <v>11.499999999999998</v>
      </c>
      <c r="N13252" s="43">
        <v>5.2741360746513539</v>
      </c>
      <c r="O13252" s="43">
        <v>6.9725146846946684</v>
      </c>
      <c r="P13252" s="388"/>
      <c r="Q13252" s="388"/>
      <c r="R13252" s="388">
        <v>6</v>
      </c>
    </row>
    <row r="13253" spans="1:18" ht="12.75" customHeight="1">
      <c r="A13253" s="628" t="s">
        <v>24008</v>
      </c>
      <c r="B13253" s="629"/>
      <c r="C13253" s="629"/>
      <c r="D13253" s="629"/>
      <c r="E13253" s="629"/>
      <c r="F13253" s="629"/>
      <c r="G13253" s="629"/>
      <c r="H13253" s="629"/>
      <c r="I13253" s="629"/>
      <c r="J13253" s="629"/>
      <c r="K13253" s="629"/>
      <c r="L13253" s="629"/>
      <c r="M13253" s="629"/>
      <c r="N13253" s="629"/>
      <c r="O13253" s="629"/>
      <c r="P13253" s="629"/>
      <c r="Q13253" s="629"/>
      <c r="R13253" s="629"/>
    </row>
    <row r="13254" spans="1:18" ht="24">
      <c r="A13254" s="384">
        <v>140</v>
      </c>
      <c r="B13254" s="381" t="s">
        <v>24009</v>
      </c>
      <c r="C13254" s="385" t="s">
        <v>24010</v>
      </c>
      <c r="D13254" s="386">
        <v>1215.1400000000001</v>
      </c>
      <c r="E13254" s="386">
        <v>415.9</v>
      </c>
      <c r="F13254" s="386">
        <v>744.29</v>
      </c>
      <c r="G13254" s="386">
        <v>54.95</v>
      </c>
      <c r="H13254" s="387">
        <v>9089.5499999999993</v>
      </c>
      <c r="I13254" s="387">
        <v>4782.8</v>
      </c>
      <c r="J13254" s="387">
        <v>3928.4</v>
      </c>
      <c r="K13254" s="387">
        <v>378.35</v>
      </c>
      <c r="L13254" s="43">
        <v>7.4802491893938132</v>
      </c>
      <c r="M13254" s="43">
        <v>11.49987977879298</v>
      </c>
      <c r="N13254" s="43">
        <v>5.2780502223595649</v>
      </c>
      <c r="O13254" s="43">
        <v>6.885350318471338</v>
      </c>
      <c r="P13254" s="388"/>
      <c r="Q13254" s="388"/>
      <c r="R13254" s="388">
        <v>7</v>
      </c>
    </row>
    <row r="13255" spans="1:18" ht="24">
      <c r="A13255" s="384">
        <v>141</v>
      </c>
      <c r="B13255" s="381" t="s">
        <v>24011</v>
      </c>
      <c r="C13255" s="385" t="s">
        <v>24012</v>
      </c>
      <c r="D13255" s="386">
        <v>903.58</v>
      </c>
      <c r="E13255" s="386">
        <v>292.06</v>
      </c>
      <c r="F13255" s="386">
        <v>562.57000000000005</v>
      </c>
      <c r="G13255" s="386">
        <v>48.95</v>
      </c>
      <c r="H13255" s="387">
        <v>6624.48</v>
      </c>
      <c r="I13255" s="387">
        <v>3358.64</v>
      </c>
      <c r="J13255" s="387">
        <v>3009.31</v>
      </c>
      <c r="K13255" s="387">
        <v>256.52999999999997</v>
      </c>
      <c r="L13255" s="43">
        <v>7.3313707696053472</v>
      </c>
      <c r="M13255" s="43">
        <v>11.499828802300897</v>
      </c>
      <c r="N13255" s="43">
        <v>5.3492187638871602</v>
      </c>
      <c r="O13255" s="43">
        <v>5.240653728294177</v>
      </c>
      <c r="P13255" s="388"/>
      <c r="Q13255" s="388"/>
      <c r="R13255" s="388">
        <v>7</v>
      </c>
    </row>
    <row r="13256" spans="1:18" ht="24">
      <c r="A13256" s="384">
        <v>142</v>
      </c>
      <c r="B13256" s="381" t="s">
        <v>24013</v>
      </c>
      <c r="C13256" s="385" t="s">
        <v>24014</v>
      </c>
      <c r="D13256" s="386">
        <v>1270.96</v>
      </c>
      <c r="E13256" s="386">
        <v>449.95</v>
      </c>
      <c r="F13256" s="386">
        <v>778.1</v>
      </c>
      <c r="G13256" s="386">
        <v>42.91</v>
      </c>
      <c r="H13256" s="387">
        <v>9551.18</v>
      </c>
      <c r="I13256" s="387">
        <v>5174.45</v>
      </c>
      <c r="J13256" s="387">
        <v>4103.88</v>
      </c>
      <c r="K13256" s="387">
        <v>272.85000000000002</v>
      </c>
      <c r="L13256" s="43">
        <v>7.5149335935041233</v>
      </c>
      <c r="M13256" s="43">
        <v>11.500055561729081</v>
      </c>
      <c r="N13256" s="43">
        <v>5.274232103842694</v>
      </c>
      <c r="O13256" s="43">
        <v>6.3586576555581455</v>
      </c>
      <c r="P13256" s="388"/>
      <c r="Q13256" s="388"/>
      <c r="R13256" s="388">
        <v>7</v>
      </c>
    </row>
    <row r="13257" spans="1:18" ht="12.75" customHeight="1">
      <c r="A13257" s="628" t="s">
        <v>24015</v>
      </c>
      <c r="B13257" s="629"/>
      <c r="C13257" s="629"/>
      <c r="D13257" s="629"/>
      <c r="E13257" s="629"/>
      <c r="F13257" s="629"/>
      <c r="G13257" s="629"/>
      <c r="H13257" s="629"/>
      <c r="I13257" s="629"/>
      <c r="J13257" s="629"/>
      <c r="K13257" s="629"/>
      <c r="L13257" s="629"/>
      <c r="M13257" s="629"/>
      <c r="N13257" s="629"/>
      <c r="O13257" s="629"/>
      <c r="P13257" s="629"/>
      <c r="Q13257" s="629"/>
      <c r="R13257" s="629"/>
    </row>
    <row r="13258" spans="1:18" ht="24">
      <c r="A13258" s="384">
        <v>143</v>
      </c>
      <c r="B13258" s="381" t="s">
        <v>24016</v>
      </c>
      <c r="C13258" s="385" t="s">
        <v>24017</v>
      </c>
      <c r="D13258" s="386">
        <v>1272.48</v>
      </c>
      <c r="E13258" s="386">
        <v>382.87</v>
      </c>
      <c r="F13258" s="386">
        <v>853.15</v>
      </c>
      <c r="G13258" s="386">
        <v>36.46</v>
      </c>
      <c r="H13258" s="387">
        <v>9122.06</v>
      </c>
      <c r="I13258" s="387">
        <v>4403.03</v>
      </c>
      <c r="J13258" s="387">
        <v>4506.43</v>
      </c>
      <c r="K13258" s="387">
        <v>212.6</v>
      </c>
      <c r="L13258" s="43">
        <v>7.1687256381239779</v>
      </c>
      <c r="M13258" s="43">
        <v>11.500065296314675</v>
      </c>
      <c r="N13258" s="43">
        <v>5.2821074840297726</v>
      </c>
      <c r="O13258" s="43">
        <v>5.8310477235326381</v>
      </c>
      <c r="P13258" s="388"/>
      <c r="Q13258" s="388"/>
      <c r="R13258" s="388">
        <v>8</v>
      </c>
    </row>
    <row r="13259" spans="1:18" ht="24">
      <c r="A13259" s="384">
        <v>144</v>
      </c>
      <c r="B13259" s="381" t="s">
        <v>24018</v>
      </c>
      <c r="C13259" s="385" t="s">
        <v>24019</v>
      </c>
      <c r="D13259" s="386">
        <v>1280.51</v>
      </c>
      <c r="E13259" s="386">
        <v>292.06</v>
      </c>
      <c r="F13259" s="386">
        <v>938.26</v>
      </c>
      <c r="G13259" s="386">
        <v>50.19</v>
      </c>
      <c r="H13259" s="387">
        <v>8574.14</v>
      </c>
      <c r="I13259" s="387">
        <v>3358.64</v>
      </c>
      <c r="J13259" s="387">
        <v>4948.1499999999996</v>
      </c>
      <c r="K13259" s="387">
        <v>267.35000000000002</v>
      </c>
      <c r="L13259" s="43">
        <v>6.6958789857166279</v>
      </c>
      <c r="M13259" s="43">
        <v>11.499828802300897</v>
      </c>
      <c r="N13259" s="43">
        <v>5.2737514121885187</v>
      </c>
      <c r="O13259" s="43">
        <v>5.3267583183901186</v>
      </c>
      <c r="P13259" s="388"/>
      <c r="Q13259" s="388"/>
      <c r="R13259" s="388">
        <v>8</v>
      </c>
    </row>
    <row r="13260" spans="1:18" ht="24">
      <c r="A13260" s="384">
        <v>145</v>
      </c>
      <c r="B13260" s="381" t="s">
        <v>24020</v>
      </c>
      <c r="C13260" s="385" t="s">
        <v>24021</v>
      </c>
      <c r="D13260" s="386">
        <v>1856.34</v>
      </c>
      <c r="E13260" s="386">
        <v>382.87</v>
      </c>
      <c r="F13260" s="386">
        <v>1422.79</v>
      </c>
      <c r="G13260" s="386">
        <v>50.68</v>
      </c>
      <c r="H13260" s="387">
        <v>12269.73</v>
      </c>
      <c r="I13260" s="387">
        <v>4403.03</v>
      </c>
      <c r="J13260" s="387">
        <v>7577.6</v>
      </c>
      <c r="K13260" s="387">
        <v>289.10000000000002</v>
      </c>
      <c r="L13260" s="43">
        <v>6.6096350883997541</v>
      </c>
      <c r="M13260" s="43">
        <v>11.500065296314675</v>
      </c>
      <c r="N13260" s="43">
        <v>5.3258738113143895</v>
      </c>
      <c r="O13260" s="43">
        <v>5.7044198895027627</v>
      </c>
      <c r="P13260" s="388"/>
      <c r="Q13260" s="388"/>
      <c r="R13260" s="388">
        <v>8</v>
      </c>
    </row>
    <row r="13261" spans="1:18" ht="12.75" customHeight="1">
      <c r="A13261" s="628" t="s">
        <v>24022</v>
      </c>
      <c r="B13261" s="629"/>
      <c r="C13261" s="629"/>
      <c r="D13261" s="629"/>
      <c r="E13261" s="629"/>
      <c r="F13261" s="629"/>
      <c r="G13261" s="629"/>
      <c r="H13261" s="629"/>
      <c r="I13261" s="629"/>
      <c r="J13261" s="629"/>
      <c r="K13261" s="629"/>
      <c r="L13261" s="629"/>
      <c r="M13261" s="629"/>
      <c r="N13261" s="629"/>
      <c r="O13261" s="629"/>
      <c r="P13261" s="629"/>
      <c r="Q13261" s="629"/>
      <c r="R13261" s="629"/>
    </row>
    <row r="13262" spans="1:18" ht="24">
      <c r="A13262" s="384">
        <v>146</v>
      </c>
      <c r="B13262" s="381" t="s">
        <v>24023</v>
      </c>
      <c r="C13262" s="385" t="s">
        <v>24024</v>
      </c>
      <c r="D13262" s="386">
        <v>2261.69</v>
      </c>
      <c r="E13262" s="386">
        <v>461.3</v>
      </c>
      <c r="F13262" s="386">
        <v>1701.79</v>
      </c>
      <c r="G13262" s="386">
        <v>98.6</v>
      </c>
      <c r="H13262" s="387">
        <v>14870.23</v>
      </c>
      <c r="I13262" s="387">
        <v>5305</v>
      </c>
      <c r="J13262" s="387">
        <v>9057.48</v>
      </c>
      <c r="K13262" s="387">
        <v>507.75</v>
      </c>
      <c r="L13262" s="43">
        <v>6.5748312102896502</v>
      </c>
      <c r="M13262" s="43">
        <v>11.500108389334489</v>
      </c>
      <c r="N13262" s="43">
        <v>5.3223253162846182</v>
      </c>
      <c r="O13262" s="43">
        <v>5.1495943204868153</v>
      </c>
      <c r="P13262" s="388"/>
      <c r="Q13262" s="388"/>
      <c r="R13262" s="388">
        <v>9</v>
      </c>
    </row>
    <row r="13263" spans="1:18" ht="24">
      <c r="A13263" s="384">
        <v>147</v>
      </c>
      <c r="B13263" s="381" t="s">
        <v>24025</v>
      </c>
      <c r="C13263" s="385" t="s">
        <v>24026</v>
      </c>
      <c r="D13263" s="386">
        <v>2222.3000000000002</v>
      </c>
      <c r="E13263" s="386">
        <v>449.95</v>
      </c>
      <c r="F13263" s="386">
        <v>1670.69</v>
      </c>
      <c r="G13263" s="386">
        <v>101.66</v>
      </c>
      <c r="H13263" s="387">
        <v>14601</v>
      </c>
      <c r="I13263" s="387">
        <v>5174.45</v>
      </c>
      <c r="J13263" s="387">
        <v>8892.5400000000009</v>
      </c>
      <c r="K13263" s="387">
        <v>534.01</v>
      </c>
      <c r="L13263" s="43">
        <v>6.5702200422985193</v>
      </c>
      <c r="M13263" s="43">
        <v>11.500055561729081</v>
      </c>
      <c r="N13263" s="43">
        <v>5.3226750623993686</v>
      </c>
      <c r="O13263" s="43">
        <v>5.2529018296281729</v>
      </c>
      <c r="P13263" s="388"/>
      <c r="Q13263" s="388"/>
      <c r="R13263" s="388">
        <v>9</v>
      </c>
    </row>
    <row r="13264" spans="1:18" ht="12.75" customHeight="1">
      <c r="A13264" s="628" t="s">
        <v>24027</v>
      </c>
      <c r="B13264" s="629"/>
      <c r="C13264" s="629"/>
      <c r="D13264" s="629"/>
      <c r="E13264" s="629"/>
      <c r="F13264" s="629"/>
      <c r="G13264" s="629"/>
      <c r="H13264" s="629"/>
      <c r="I13264" s="629"/>
      <c r="J13264" s="629"/>
      <c r="K13264" s="629"/>
      <c r="L13264" s="629"/>
      <c r="M13264" s="629"/>
      <c r="N13264" s="629"/>
      <c r="O13264" s="629"/>
      <c r="P13264" s="629"/>
      <c r="Q13264" s="629"/>
      <c r="R13264" s="629"/>
    </row>
    <row r="13265" spans="1:18" ht="24">
      <c r="A13265" s="384">
        <v>148</v>
      </c>
      <c r="B13265" s="381" t="s">
        <v>24028</v>
      </c>
      <c r="C13265" s="385" t="s">
        <v>24029</v>
      </c>
      <c r="D13265" s="386">
        <v>1334.12</v>
      </c>
      <c r="E13265" s="386">
        <v>314.76</v>
      </c>
      <c r="F13265" s="386">
        <v>979.15</v>
      </c>
      <c r="G13265" s="386">
        <v>40.21</v>
      </c>
      <c r="H13265" s="387">
        <v>8982</v>
      </c>
      <c r="I13265" s="387">
        <v>3619.74</v>
      </c>
      <c r="J13265" s="387">
        <v>5158.55</v>
      </c>
      <c r="K13265" s="387">
        <v>203.71</v>
      </c>
      <c r="L13265" s="43">
        <v>6.7325278085929305</v>
      </c>
      <c r="M13265" s="43">
        <v>11.5</v>
      </c>
      <c r="N13265" s="43">
        <v>5.2683960578052398</v>
      </c>
      <c r="O13265" s="43">
        <v>5.0661526983337479</v>
      </c>
      <c r="P13265" s="388"/>
      <c r="Q13265" s="388"/>
      <c r="R13265" s="388">
        <v>10</v>
      </c>
    </row>
    <row r="13266" spans="1:18" ht="24">
      <c r="A13266" s="384">
        <v>149</v>
      </c>
      <c r="B13266" s="381" t="s">
        <v>24030</v>
      </c>
      <c r="C13266" s="385" t="s">
        <v>24031</v>
      </c>
      <c r="D13266" s="386">
        <v>1786.54</v>
      </c>
      <c r="E13266" s="386">
        <v>629.52</v>
      </c>
      <c r="F13266" s="386">
        <v>1092.47</v>
      </c>
      <c r="G13266" s="386">
        <v>64.55</v>
      </c>
      <c r="H13266" s="387">
        <v>13368.69</v>
      </c>
      <c r="I13266" s="387">
        <v>7239.48</v>
      </c>
      <c r="J13266" s="387">
        <v>5770.61</v>
      </c>
      <c r="K13266" s="387">
        <v>358.6</v>
      </c>
      <c r="L13266" s="43">
        <v>7.4830062579063448</v>
      </c>
      <c r="M13266" s="43">
        <v>11.5</v>
      </c>
      <c r="N13266" s="43">
        <v>5.2821679313848433</v>
      </c>
      <c r="O13266" s="43">
        <v>5.5553834237025566</v>
      </c>
      <c r="P13266" s="388"/>
      <c r="Q13266" s="388"/>
      <c r="R13266" s="388">
        <v>10</v>
      </c>
    </row>
    <row r="13267" spans="1:18" ht="12.75" customHeight="1">
      <c r="A13267" s="628" t="s">
        <v>24032</v>
      </c>
      <c r="B13267" s="629"/>
      <c r="C13267" s="629"/>
      <c r="D13267" s="629"/>
      <c r="E13267" s="629"/>
      <c r="F13267" s="629"/>
      <c r="G13267" s="629"/>
      <c r="H13267" s="629"/>
      <c r="I13267" s="629"/>
      <c r="J13267" s="629"/>
      <c r="K13267" s="629"/>
      <c r="L13267" s="629"/>
      <c r="M13267" s="629"/>
      <c r="N13267" s="629"/>
      <c r="O13267" s="629"/>
      <c r="P13267" s="629"/>
      <c r="Q13267" s="629"/>
      <c r="R13267" s="629"/>
    </row>
    <row r="13268" spans="1:18" ht="36">
      <c r="A13268" s="384">
        <v>150</v>
      </c>
      <c r="B13268" s="381" t="s">
        <v>24033</v>
      </c>
      <c r="C13268" s="385" t="s">
        <v>24034</v>
      </c>
      <c r="D13268" s="386">
        <v>1348.7</v>
      </c>
      <c r="E13268" s="386">
        <v>326.11</v>
      </c>
      <c r="F13268" s="386">
        <v>1000.14</v>
      </c>
      <c r="G13268" s="386">
        <v>22.45</v>
      </c>
      <c r="H13268" s="387">
        <v>9197.77</v>
      </c>
      <c r="I13268" s="387">
        <v>3750.29</v>
      </c>
      <c r="J13268" s="387">
        <v>5291.31</v>
      </c>
      <c r="K13268" s="387">
        <v>156.16999999999999</v>
      </c>
      <c r="L13268" s="43">
        <v>6.8197301104767556</v>
      </c>
      <c r="M13268" s="43">
        <v>11.50007666124927</v>
      </c>
      <c r="N13268" s="43">
        <v>5.2905693202951589</v>
      </c>
      <c r="O13268" s="43">
        <v>6.9563474387527835</v>
      </c>
      <c r="P13268" s="388"/>
      <c r="Q13268" s="388"/>
      <c r="R13268" s="388">
        <v>11</v>
      </c>
    </row>
    <row r="13269" spans="1:18" ht="12.75" customHeight="1">
      <c r="A13269" s="628" t="s">
        <v>24035</v>
      </c>
      <c r="B13269" s="629"/>
      <c r="C13269" s="629"/>
      <c r="D13269" s="629"/>
      <c r="E13269" s="629"/>
      <c r="F13269" s="629"/>
      <c r="G13269" s="629"/>
      <c r="H13269" s="629"/>
      <c r="I13269" s="629"/>
      <c r="J13269" s="629"/>
      <c r="K13269" s="629"/>
      <c r="L13269" s="629"/>
      <c r="M13269" s="629"/>
      <c r="N13269" s="629"/>
      <c r="O13269" s="629"/>
      <c r="P13269" s="629"/>
      <c r="Q13269" s="629"/>
      <c r="R13269" s="629"/>
    </row>
    <row r="13270" spans="1:18" ht="12.75" customHeight="1">
      <c r="A13270" s="628" t="s">
        <v>24036</v>
      </c>
      <c r="B13270" s="629"/>
      <c r="C13270" s="629"/>
      <c r="D13270" s="629"/>
      <c r="E13270" s="629"/>
      <c r="F13270" s="629"/>
      <c r="G13270" s="629"/>
      <c r="H13270" s="629"/>
      <c r="I13270" s="629"/>
      <c r="J13270" s="629"/>
      <c r="K13270" s="629"/>
      <c r="L13270" s="629"/>
      <c r="M13270" s="629"/>
      <c r="N13270" s="629"/>
      <c r="O13270" s="629"/>
      <c r="P13270" s="629"/>
      <c r="Q13270" s="629"/>
      <c r="R13270" s="629"/>
    </row>
    <row r="13271" spans="1:18" ht="24">
      <c r="A13271" s="384">
        <v>151</v>
      </c>
      <c r="B13271" s="381" t="s">
        <v>24037</v>
      </c>
      <c r="C13271" s="385" t="s">
        <v>24038</v>
      </c>
      <c r="D13271" s="386">
        <v>1648</v>
      </c>
      <c r="E13271" s="386">
        <v>394.22</v>
      </c>
      <c r="F13271" s="386">
        <v>1152.46</v>
      </c>
      <c r="G13271" s="386">
        <v>101.32</v>
      </c>
      <c r="H13271" s="387">
        <v>11287.34</v>
      </c>
      <c r="I13271" s="387">
        <v>4533.58</v>
      </c>
      <c r="J13271" s="387">
        <v>6159.84</v>
      </c>
      <c r="K13271" s="387">
        <v>593.91999999999996</v>
      </c>
      <c r="L13271" s="43">
        <v>6.8491140776699027</v>
      </c>
      <c r="M13271" s="43">
        <v>11.50012683273299</v>
      </c>
      <c r="N13271" s="43">
        <v>5.3449490654773264</v>
      </c>
      <c r="O13271" s="43">
        <v>5.8618239242005528</v>
      </c>
      <c r="P13271" s="388"/>
      <c r="Q13271" s="388"/>
      <c r="R13271" s="388">
        <v>1</v>
      </c>
    </row>
    <row r="13272" spans="1:18" ht="24">
      <c r="A13272" s="384">
        <v>152</v>
      </c>
      <c r="B13272" s="381" t="s">
        <v>24039</v>
      </c>
      <c r="C13272" s="385" t="s">
        <v>24040</v>
      </c>
      <c r="D13272" s="386">
        <v>1680.52</v>
      </c>
      <c r="E13272" s="386">
        <v>382.87</v>
      </c>
      <c r="F13272" s="386">
        <v>1205.8699999999999</v>
      </c>
      <c r="G13272" s="386">
        <v>91.78</v>
      </c>
      <c r="H13272" s="387">
        <v>11261.28</v>
      </c>
      <c r="I13272" s="387">
        <v>4403.03</v>
      </c>
      <c r="J13272" s="387">
        <v>6431.85</v>
      </c>
      <c r="K13272" s="387">
        <v>426.4</v>
      </c>
      <c r="L13272" s="43">
        <v>6.7010687168257448</v>
      </c>
      <c r="M13272" s="43">
        <v>11.500065296314675</v>
      </c>
      <c r="N13272" s="43">
        <v>5.3337839070546584</v>
      </c>
      <c r="O13272" s="43">
        <v>4.6458923512747869</v>
      </c>
      <c r="P13272" s="388"/>
      <c r="Q13272" s="388"/>
      <c r="R13272" s="388">
        <v>1</v>
      </c>
    </row>
    <row r="13273" spans="1:18" ht="24">
      <c r="A13273" s="384">
        <v>153</v>
      </c>
      <c r="B13273" s="381" t="s">
        <v>24041</v>
      </c>
      <c r="C13273" s="385" t="s">
        <v>24042</v>
      </c>
      <c r="D13273" s="386">
        <v>1257.46</v>
      </c>
      <c r="E13273" s="386">
        <v>394.22</v>
      </c>
      <c r="F13273" s="386">
        <v>779.27</v>
      </c>
      <c r="G13273" s="386">
        <v>83.97</v>
      </c>
      <c r="H13273" s="387">
        <v>9087.9</v>
      </c>
      <c r="I13273" s="387">
        <v>4533.58</v>
      </c>
      <c r="J13273" s="387">
        <v>4123.08</v>
      </c>
      <c r="K13273" s="387">
        <v>431.24</v>
      </c>
      <c r="L13273" s="43">
        <v>7.2271881411734764</v>
      </c>
      <c r="M13273" s="43">
        <v>11.50012683273299</v>
      </c>
      <c r="N13273" s="43">
        <v>5.2909517882120447</v>
      </c>
      <c r="O13273" s="43">
        <v>5.1356436822674763</v>
      </c>
      <c r="P13273" s="388"/>
      <c r="Q13273" s="388"/>
      <c r="R13273" s="388">
        <v>1</v>
      </c>
    </row>
    <row r="13274" spans="1:18" ht="24">
      <c r="A13274" s="384">
        <v>154</v>
      </c>
      <c r="B13274" s="381" t="s">
        <v>24043</v>
      </c>
      <c r="C13274" s="385" t="s">
        <v>24044</v>
      </c>
      <c r="D13274" s="386">
        <v>1336.4</v>
      </c>
      <c r="E13274" s="386">
        <v>394.22</v>
      </c>
      <c r="F13274" s="386">
        <v>846.65</v>
      </c>
      <c r="G13274" s="386">
        <v>95.53</v>
      </c>
      <c r="H13274" s="387">
        <v>9561.6</v>
      </c>
      <c r="I13274" s="387">
        <v>4533.58</v>
      </c>
      <c r="J13274" s="387">
        <v>4495.46</v>
      </c>
      <c r="K13274" s="387">
        <v>532.55999999999995</v>
      </c>
      <c r="L13274" s="43">
        <v>7.1547440885962281</v>
      </c>
      <c r="M13274" s="43">
        <v>11.50012683273299</v>
      </c>
      <c r="N13274" s="43">
        <v>5.3097029469084038</v>
      </c>
      <c r="O13274" s="43">
        <v>5.5747932586621998</v>
      </c>
      <c r="P13274" s="388"/>
      <c r="Q13274" s="388"/>
      <c r="R13274" s="388">
        <v>1</v>
      </c>
    </row>
    <row r="13275" spans="1:18" ht="24">
      <c r="A13275" s="384">
        <v>155</v>
      </c>
      <c r="B13275" s="381" t="s">
        <v>24045</v>
      </c>
      <c r="C13275" s="385" t="s">
        <v>24046</v>
      </c>
      <c r="D13275" s="386">
        <v>1312.8</v>
      </c>
      <c r="E13275" s="386">
        <v>382.87</v>
      </c>
      <c r="F13275" s="386">
        <v>837.65</v>
      </c>
      <c r="G13275" s="386">
        <v>92.28</v>
      </c>
      <c r="H13275" s="387">
        <v>9355.34</v>
      </c>
      <c r="I13275" s="387">
        <v>4403.03</v>
      </c>
      <c r="J13275" s="387">
        <v>4448.8</v>
      </c>
      <c r="K13275" s="387">
        <v>503.51</v>
      </c>
      <c r="L13275" s="43">
        <v>7.1262492382693488</v>
      </c>
      <c r="M13275" s="43">
        <v>11.500065296314675</v>
      </c>
      <c r="N13275" s="43">
        <v>5.3110487673849462</v>
      </c>
      <c r="O13275" s="43">
        <v>5.4563285652362374</v>
      </c>
      <c r="P13275" s="388"/>
      <c r="Q13275" s="388"/>
      <c r="R13275" s="388">
        <v>1</v>
      </c>
    </row>
    <row r="13276" spans="1:18" ht="24">
      <c r="A13276" s="384">
        <v>156</v>
      </c>
      <c r="B13276" s="381" t="s">
        <v>24047</v>
      </c>
      <c r="C13276" s="385" t="s">
        <v>24048</v>
      </c>
      <c r="D13276" s="386">
        <v>1249.1600000000001</v>
      </c>
      <c r="E13276" s="386">
        <v>382.87</v>
      </c>
      <c r="F13276" s="386">
        <v>831.72</v>
      </c>
      <c r="G13276" s="386">
        <v>34.57</v>
      </c>
      <c r="H13276" s="387">
        <v>9017.3799999999992</v>
      </c>
      <c r="I13276" s="387">
        <v>4403.03</v>
      </c>
      <c r="J13276" s="387">
        <v>4417.76</v>
      </c>
      <c r="K13276" s="387">
        <v>196.59</v>
      </c>
      <c r="L13276" s="43">
        <v>7.2187550033622587</v>
      </c>
      <c r="M13276" s="43">
        <v>11.500065296314675</v>
      </c>
      <c r="N13276" s="43">
        <v>5.3115952484009039</v>
      </c>
      <c r="O13276" s="43">
        <v>5.6867225918426385</v>
      </c>
      <c r="P13276" s="388"/>
      <c r="Q13276" s="388"/>
      <c r="R13276" s="388">
        <v>1</v>
      </c>
    </row>
    <row r="13277" spans="1:18" ht="12.75" customHeight="1">
      <c r="A13277" s="628" t="s">
        <v>24049</v>
      </c>
      <c r="B13277" s="629"/>
      <c r="C13277" s="629"/>
      <c r="D13277" s="629"/>
      <c r="E13277" s="629"/>
      <c r="F13277" s="629"/>
      <c r="G13277" s="629"/>
      <c r="H13277" s="629"/>
      <c r="I13277" s="629"/>
      <c r="J13277" s="629"/>
      <c r="K13277" s="629"/>
      <c r="L13277" s="629"/>
      <c r="M13277" s="629"/>
      <c r="N13277" s="629"/>
      <c r="O13277" s="629"/>
      <c r="P13277" s="629"/>
      <c r="Q13277" s="629"/>
      <c r="R13277" s="629"/>
    </row>
    <row r="13278" spans="1:18" ht="24">
      <c r="A13278" s="384">
        <v>157</v>
      </c>
      <c r="B13278" s="381" t="s">
        <v>24050</v>
      </c>
      <c r="C13278" s="385" t="s">
        <v>24051</v>
      </c>
      <c r="D13278" s="386">
        <v>2440.8000000000002</v>
      </c>
      <c r="E13278" s="386">
        <v>360.17</v>
      </c>
      <c r="F13278" s="386">
        <v>1993.71</v>
      </c>
      <c r="G13278" s="386">
        <v>86.92</v>
      </c>
      <c r="H13278" s="387">
        <v>15170.15</v>
      </c>
      <c r="I13278" s="387">
        <v>4141.93</v>
      </c>
      <c r="J13278" s="387">
        <v>10651.22</v>
      </c>
      <c r="K13278" s="387">
        <v>377</v>
      </c>
      <c r="L13278" s="43">
        <v>6.2152368076040636</v>
      </c>
      <c r="M13278" s="43">
        <v>11.499930588333287</v>
      </c>
      <c r="N13278" s="43">
        <v>5.3424118853795184</v>
      </c>
      <c r="O13278" s="43">
        <v>4.3373216751035431</v>
      </c>
      <c r="P13278" s="388"/>
      <c r="Q13278" s="388"/>
      <c r="R13278" s="388">
        <v>2</v>
      </c>
    </row>
    <row r="13279" spans="1:18" ht="24">
      <c r="A13279" s="384">
        <v>158</v>
      </c>
      <c r="B13279" s="381" t="s">
        <v>24052</v>
      </c>
      <c r="C13279" s="385" t="s">
        <v>24053</v>
      </c>
      <c r="D13279" s="386">
        <v>1121.44</v>
      </c>
      <c r="E13279" s="386">
        <v>382.87</v>
      </c>
      <c r="F13279" s="386">
        <v>652.52</v>
      </c>
      <c r="G13279" s="386">
        <v>86.05</v>
      </c>
      <c r="H13279" s="387">
        <v>8225.91</v>
      </c>
      <c r="I13279" s="387">
        <v>4403.03</v>
      </c>
      <c r="J13279" s="387">
        <v>3452.21</v>
      </c>
      <c r="K13279" s="387">
        <v>370.67</v>
      </c>
      <c r="L13279" s="43">
        <v>7.3351316164930802</v>
      </c>
      <c r="M13279" s="43">
        <v>11.500065296314675</v>
      </c>
      <c r="N13279" s="43">
        <v>5.2905811316128242</v>
      </c>
      <c r="O13279" s="43">
        <v>4.307611853573504</v>
      </c>
      <c r="P13279" s="388"/>
      <c r="Q13279" s="388"/>
      <c r="R13279" s="388">
        <v>2</v>
      </c>
    </row>
    <row r="13280" spans="1:18" ht="24">
      <c r="A13280" s="384">
        <v>159</v>
      </c>
      <c r="B13280" s="381" t="s">
        <v>24054</v>
      </c>
      <c r="C13280" s="385" t="s">
        <v>24055</v>
      </c>
      <c r="D13280" s="386">
        <v>1315.02</v>
      </c>
      <c r="E13280" s="386">
        <v>438.6</v>
      </c>
      <c r="F13280" s="386">
        <v>804.8</v>
      </c>
      <c r="G13280" s="386">
        <v>71.62</v>
      </c>
      <c r="H13280" s="387">
        <v>9688.24</v>
      </c>
      <c r="I13280" s="387">
        <v>5043.8999999999996</v>
      </c>
      <c r="J13280" s="387">
        <v>4242.57</v>
      </c>
      <c r="K13280" s="387">
        <v>401.77</v>
      </c>
      <c r="L13280" s="43">
        <v>7.3673708384663348</v>
      </c>
      <c r="M13280" s="43">
        <v>11.499999999999998</v>
      </c>
      <c r="N13280" s="43">
        <v>5.2715830019880716</v>
      </c>
      <c r="O13280" s="43">
        <v>5.6097458810388154</v>
      </c>
      <c r="P13280" s="388"/>
      <c r="Q13280" s="388"/>
      <c r="R13280" s="388">
        <v>2</v>
      </c>
    </row>
    <row r="13281" spans="1:18" ht="24">
      <c r="A13281" s="384">
        <v>160</v>
      </c>
      <c r="B13281" s="381" t="s">
        <v>24056</v>
      </c>
      <c r="C13281" s="385" t="s">
        <v>24057</v>
      </c>
      <c r="D13281" s="386">
        <v>2606.71</v>
      </c>
      <c r="E13281" s="386">
        <v>539.74</v>
      </c>
      <c r="F13281" s="386">
        <v>1839.23</v>
      </c>
      <c r="G13281" s="386">
        <v>227.74</v>
      </c>
      <c r="H13281" s="387">
        <v>17017.34</v>
      </c>
      <c r="I13281" s="387">
        <v>6206.96</v>
      </c>
      <c r="J13281" s="387">
        <v>9789.17</v>
      </c>
      <c r="K13281" s="387">
        <v>1021.21</v>
      </c>
      <c r="L13281" s="43">
        <v>6.5282827779077843</v>
      </c>
      <c r="M13281" s="43">
        <v>11.499907362804313</v>
      </c>
      <c r="N13281" s="43">
        <v>5.3224284075401123</v>
      </c>
      <c r="O13281" s="43">
        <v>4.4841046807763236</v>
      </c>
      <c r="P13281" s="388"/>
      <c r="Q13281" s="388"/>
      <c r="R13281" s="388">
        <v>2</v>
      </c>
    </row>
    <row r="13282" spans="1:18" ht="12.75" customHeight="1">
      <c r="A13282" s="628" t="s">
        <v>24058</v>
      </c>
      <c r="B13282" s="629"/>
      <c r="C13282" s="629"/>
      <c r="D13282" s="629"/>
      <c r="E13282" s="629"/>
      <c r="F13282" s="629"/>
      <c r="G13282" s="629"/>
      <c r="H13282" s="629"/>
      <c r="I13282" s="629"/>
      <c r="J13282" s="629"/>
      <c r="K13282" s="629"/>
      <c r="L13282" s="629"/>
      <c r="M13282" s="629"/>
      <c r="N13282" s="629"/>
      <c r="O13282" s="629"/>
      <c r="P13282" s="629"/>
      <c r="Q13282" s="629"/>
      <c r="R13282" s="629"/>
    </row>
    <row r="13283" spans="1:18" ht="24">
      <c r="A13283" s="384">
        <v>161</v>
      </c>
      <c r="B13283" s="381" t="s">
        <v>24059</v>
      </c>
      <c r="C13283" s="385" t="s">
        <v>24060</v>
      </c>
      <c r="D13283" s="386">
        <v>1290.8699999999999</v>
      </c>
      <c r="E13283" s="386">
        <v>404.54</v>
      </c>
      <c r="F13283" s="386">
        <v>861.06</v>
      </c>
      <c r="G13283" s="386">
        <v>25.27</v>
      </c>
      <c r="H13283" s="387">
        <v>9386.89</v>
      </c>
      <c r="I13283" s="387">
        <v>4652.26</v>
      </c>
      <c r="J13283" s="387">
        <v>4569.93</v>
      </c>
      <c r="K13283" s="387">
        <v>164.7</v>
      </c>
      <c r="L13283" s="43">
        <v>7.2717547080651039</v>
      </c>
      <c r="M13283" s="43">
        <v>11.500123597172097</v>
      </c>
      <c r="N13283" s="43">
        <v>5.3073304996167519</v>
      </c>
      <c r="O13283" s="43">
        <v>6.517609814008706</v>
      </c>
      <c r="P13283" s="388"/>
      <c r="Q13283" s="388"/>
      <c r="R13283" s="388">
        <v>3</v>
      </c>
    </row>
    <row r="13284" spans="1:18" ht="12.75" customHeight="1">
      <c r="A13284" s="628" t="s">
        <v>24061</v>
      </c>
      <c r="B13284" s="629"/>
      <c r="C13284" s="629"/>
      <c r="D13284" s="629"/>
      <c r="E13284" s="629"/>
      <c r="F13284" s="629"/>
      <c r="G13284" s="629"/>
      <c r="H13284" s="629"/>
      <c r="I13284" s="629"/>
      <c r="J13284" s="629"/>
      <c r="K13284" s="629"/>
      <c r="L13284" s="629"/>
      <c r="M13284" s="629"/>
      <c r="N13284" s="629"/>
      <c r="O13284" s="629"/>
      <c r="P13284" s="629"/>
      <c r="Q13284" s="629"/>
      <c r="R13284" s="629"/>
    </row>
    <row r="13285" spans="1:18" ht="24">
      <c r="A13285" s="384">
        <v>162</v>
      </c>
      <c r="B13285" s="381" t="s">
        <v>24062</v>
      </c>
      <c r="C13285" s="385" t="s">
        <v>24063</v>
      </c>
      <c r="D13285" s="386">
        <v>1314.05</v>
      </c>
      <c r="E13285" s="386">
        <v>438.6</v>
      </c>
      <c r="F13285" s="386">
        <v>834.98</v>
      </c>
      <c r="G13285" s="386">
        <v>40.47</v>
      </c>
      <c r="H13285" s="387">
        <v>9712.9500000000007</v>
      </c>
      <c r="I13285" s="387">
        <v>5043.8999999999996</v>
      </c>
      <c r="J13285" s="387">
        <v>4434.67</v>
      </c>
      <c r="K13285" s="387">
        <v>234.38</v>
      </c>
      <c r="L13285" s="43">
        <v>7.3916137133290221</v>
      </c>
      <c r="M13285" s="43">
        <v>11.499999999999998</v>
      </c>
      <c r="N13285" s="43">
        <v>5.3111092481257032</v>
      </c>
      <c r="O13285" s="43">
        <v>5.7914504571287377</v>
      </c>
      <c r="P13285" s="388"/>
      <c r="Q13285" s="388"/>
      <c r="R13285" s="388">
        <v>4</v>
      </c>
    </row>
    <row r="13286" spans="1:18" ht="24">
      <c r="A13286" s="384">
        <v>163</v>
      </c>
      <c r="B13286" s="381" t="s">
        <v>24064</v>
      </c>
      <c r="C13286" s="385" t="s">
        <v>24065</v>
      </c>
      <c r="D13286" s="386">
        <v>1132.6099999999999</v>
      </c>
      <c r="E13286" s="386">
        <v>394.22</v>
      </c>
      <c r="F13286" s="386">
        <v>700.12</v>
      </c>
      <c r="G13286" s="386">
        <v>38.270000000000003</v>
      </c>
      <c r="H13286" s="387">
        <v>8457.17</v>
      </c>
      <c r="I13286" s="387">
        <v>4533.58</v>
      </c>
      <c r="J13286" s="387">
        <v>3710.92</v>
      </c>
      <c r="K13286" s="387">
        <v>212.67</v>
      </c>
      <c r="L13286" s="43">
        <v>7.4669745102021006</v>
      </c>
      <c r="M13286" s="43">
        <v>11.50012683273299</v>
      </c>
      <c r="N13286" s="43">
        <v>5.3004056447466148</v>
      </c>
      <c r="O13286" s="43">
        <v>5.5570943297622151</v>
      </c>
      <c r="P13286" s="388"/>
      <c r="Q13286" s="388"/>
      <c r="R13286" s="388">
        <v>4</v>
      </c>
    </row>
    <row r="13287" spans="1:18" ht="24">
      <c r="A13287" s="384">
        <v>164</v>
      </c>
      <c r="B13287" s="381" t="s">
        <v>24066</v>
      </c>
      <c r="C13287" s="385" t="s">
        <v>24067</v>
      </c>
      <c r="D13287" s="386">
        <v>835.16</v>
      </c>
      <c r="E13287" s="386">
        <v>247.68</v>
      </c>
      <c r="F13287" s="386">
        <v>574.07000000000005</v>
      </c>
      <c r="G13287" s="386">
        <v>13.41</v>
      </c>
      <c r="H13287" s="387">
        <v>6024.8</v>
      </c>
      <c r="I13287" s="387">
        <v>2848.32</v>
      </c>
      <c r="J13287" s="387">
        <v>3057.17</v>
      </c>
      <c r="K13287" s="387">
        <v>119.31</v>
      </c>
      <c r="L13287" s="43">
        <v>7.213947028114374</v>
      </c>
      <c r="M13287" s="43">
        <v>11.5</v>
      </c>
      <c r="N13287" s="43">
        <v>5.3254306966049434</v>
      </c>
      <c r="O13287" s="43">
        <v>8.8970917225950785</v>
      </c>
      <c r="P13287" s="388"/>
      <c r="Q13287" s="388"/>
      <c r="R13287" s="388">
        <v>4</v>
      </c>
    </row>
    <row r="13288" spans="1:18" ht="12.75" customHeight="1">
      <c r="A13288" s="628" t="s">
        <v>24068</v>
      </c>
      <c r="B13288" s="629"/>
      <c r="C13288" s="629"/>
      <c r="D13288" s="629"/>
      <c r="E13288" s="629"/>
      <c r="F13288" s="629"/>
      <c r="G13288" s="629"/>
      <c r="H13288" s="629"/>
      <c r="I13288" s="629"/>
      <c r="J13288" s="629"/>
      <c r="K13288" s="629"/>
      <c r="L13288" s="629"/>
      <c r="M13288" s="629"/>
      <c r="N13288" s="629"/>
      <c r="O13288" s="629"/>
      <c r="P13288" s="629"/>
      <c r="Q13288" s="629"/>
      <c r="R13288" s="629"/>
    </row>
    <row r="13289" spans="1:18" ht="12.75" customHeight="1">
      <c r="A13289" s="628" t="s">
        <v>24069</v>
      </c>
      <c r="B13289" s="629"/>
      <c r="C13289" s="629"/>
      <c r="D13289" s="629"/>
      <c r="E13289" s="629"/>
      <c r="F13289" s="629"/>
      <c r="G13289" s="629"/>
      <c r="H13289" s="629"/>
      <c r="I13289" s="629"/>
      <c r="J13289" s="629"/>
      <c r="K13289" s="629"/>
      <c r="L13289" s="629"/>
      <c r="M13289" s="629"/>
      <c r="N13289" s="629"/>
      <c r="O13289" s="629"/>
      <c r="P13289" s="629"/>
      <c r="Q13289" s="629"/>
      <c r="R13289" s="629"/>
    </row>
    <row r="13290" spans="1:18" ht="36">
      <c r="A13290" s="384">
        <v>165</v>
      </c>
      <c r="B13290" s="381" t="s">
        <v>24070</v>
      </c>
      <c r="C13290" s="385" t="s">
        <v>24071</v>
      </c>
      <c r="D13290" s="386">
        <v>1403.87</v>
      </c>
      <c r="E13290" s="386">
        <v>281.74</v>
      </c>
      <c r="F13290" s="386">
        <v>1097.99</v>
      </c>
      <c r="G13290" s="386">
        <v>24.14</v>
      </c>
      <c r="H13290" s="387">
        <v>9237.4</v>
      </c>
      <c r="I13290" s="387">
        <v>3239.96</v>
      </c>
      <c r="J13290" s="387">
        <v>5856.2</v>
      </c>
      <c r="K13290" s="387">
        <v>141.24</v>
      </c>
      <c r="L13290" s="43">
        <v>6.5799539843432795</v>
      </c>
      <c r="M13290" s="43">
        <v>11.49982253141194</v>
      </c>
      <c r="N13290" s="43">
        <v>5.3335640579604551</v>
      </c>
      <c r="O13290" s="43">
        <v>5.8508699254349628</v>
      </c>
      <c r="P13290" s="388"/>
      <c r="Q13290" s="388"/>
      <c r="R13290" s="388">
        <v>1</v>
      </c>
    </row>
    <row r="13291" spans="1:18" ht="24">
      <c r="A13291" s="384">
        <v>166</v>
      </c>
      <c r="B13291" s="381" t="s">
        <v>24072</v>
      </c>
      <c r="C13291" s="385" t="s">
        <v>24073</v>
      </c>
      <c r="D13291" s="386">
        <v>2586.62</v>
      </c>
      <c r="E13291" s="386">
        <v>438.6</v>
      </c>
      <c r="F13291" s="386">
        <v>2120.71</v>
      </c>
      <c r="G13291" s="386">
        <v>27.31</v>
      </c>
      <c r="H13291" s="387">
        <v>16501.61</v>
      </c>
      <c r="I13291" s="387">
        <v>5043.8999999999996</v>
      </c>
      <c r="J13291" s="387">
        <v>11282.7</v>
      </c>
      <c r="K13291" s="387">
        <v>175.01</v>
      </c>
      <c r="L13291" s="43">
        <v>6.379603498001253</v>
      </c>
      <c r="M13291" s="43">
        <v>11.499999999999998</v>
      </c>
      <c r="N13291" s="43">
        <v>5.3202465212122361</v>
      </c>
      <c r="O13291" s="43">
        <v>6.4082753570120836</v>
      </c>
      <c r="P13291" s="388"/>
      <c r="Q13291" s="388"/>
      <c r="R13291" s="388">
        <v>1</v>
      </c>
    </row>
    <row r="13292" spans="1:18" ht="24">
      <c r="A13292" s="384">
        <v>167</v>
      </c>
      <c r="B13292" s="381" t="s">
        <v>24074</v>
      </c>
      <c r="C13292" s="385" t="s">
        <v>24075</v>
      </c>
      <c r="D13292" s="386">
        <v>938.96</v>
      </c>
      <c r="E13292" s="386">
        <v>281.74</v>
      </c>
      <c r="F13292" s="386">
        <v>629.61</v>
      </c>
      <c r="G13292" s="386">
        <v>27.61</v>
      </c>
      <c r="H13292" s="387">
        <v>6785.37</v>
      </c>
      <c r="I13292" s="387">
        <v>3239.96</v>
      </c>
      <c r="J13292" s="387">
        <v>3369.5</v>
      </c>
      <c r="K13292" s="387">
        <v>175.91</v>
      </c>
      <c r="L13292" s="43">
        <v>7.2264739712021804</v>
      </c>
      <c r="M13292" s="43">
        <v>11.49982253141194</v>
      </c>
      <c r="N13292" s="43">
        <v>5.3517256714474035</v>
      </c>
      <c r="O13292" s="43">
        <v>6.3712423035132195</v>
      </c>
      <c r="P13292" s="388"/>
      <c r="Q13292" s="388"/>
      <c r="R13292" s="388">
        <v>1</v>
      </c>
    </row>
    <row r="13293" spans="1:18" ht="12.75">
      <c r="A13293" s="632" t="s">
        <v>18</v>
      </c>
      <c r="B13293" s="632"/>
      <c r="C13293" s="632"/>
      <c r="D13293" s="382">
        <v>364510.53</v>
      </c>
      <c r="E13293" s="382">
        <v>117276.43</v>
      </c>
      <c r="F13293" s="382">
        <v>234903.04000000001</v>
      </c>
      <c r="G13293" s="382">
        <v>12331.06</v>
      </c>
      <c r="H13293" s="383">
        <v>2667217.4300000002</v>
      </c>
      <c r="I13293" s="383">
        <v>1348679.57</v>
      </c>
      <c r="J13293" s="383">
        <v>1242631.27</v>
      </c>
      <c r="K13293" s="383">
        <v>75906.59</v>
      </c>
      <c r="L13293" s="612">
        <v>7.3172575563180571</v>
      </c>
      <c r="M13293" s="612">
        <v>11.500005329289101</v>
      </c>
      <c r="N13293" s="612">
        <v>5.2899752595794416</v>
      </c>
      <c r="O13293" s="612">
        <v>6.1557230278662178</v>
      </c>
      <c r="P13293" s="380"/>
      <c r="Q13293" s="380"/>
      <c r="R13293" s="380"/>
    </row>
    <row r="13294" spans="1:18" ht="18">
      <c r="A13294" s="616" t="s">
        <v>24076</v>
      </c>
      <c r="B13294" s="626"/>
      <c r="C13294" s="626"/>
      <c r="D13294" s="626"/>
      <c r="E13294" s="626"/>
      <c r="F13294" s="626"/>
      <c r="G13294" s="626"/>
      <c r="H13294" s="626"/>
      <c r="I13294" s="626"/>
      <c r="J13294" s="626"/>
      <c r="K13294" s="626"/>
      <c r="L13294" s="626"/>
      <c r="M13294" s="626"/>
      <c r="N13294" s="626"/>
      <c r="O13294" s="626"/>
      <c r="P13294" s="626"/>
      <c r="Q13294" s="626"/>
      <c r="R13294" s="627"/>
    </row>
    <row r="13295" spans="1:18" ht="12.75" customHeight="1">
      <c r="A13295" s="630" t="s">
        <v>24077</v>
      </c>
      <c r="B13295" s="631"/>
      <c r="C13295" s="631"/>
      <c r="D13295" s="631"/>
      <c r="E13295" s="631"/>
      <c r="F13295" s="631"/>
      <c r="G13295" s="631"/>
      <c r="H13295" s="631"/>
      <c r="I13295" s="631"/>
      <c r="J13295" s="631"/>
      <c r="K13295" s="631"/>
      <c r="L13295" s="631"/>
      <c r="M13295" s="631"/>
      <c r="N13295" s="631"/>
      <c r="O13295" s="631"/>
      <c r="P13295" s="631"/>
      <c r="Q13295" s="631"/>
      <c r="R13295" s="631"/>
    </row>
    <row r="13296" spans="1:18" ht="12.75" customHeight="1">
      <c r="A13296" s="628" t="s">
        <v>24078</v>
      </c>
      <c r="B13296" s="629"/>
      <c r="C13296" s="629"/>
      <c r="D13296" s="629"/>
      <c r="E13296" s="629"/>
      <c r="F13296" s="629"/>
      <c r="G13296" s="629"/>
      <c r="H13296" s="629"/>
      <c r="I13296" s="629"/>
      <c r="J13296" s="629"/>
      <c r="K13296" s="629"/>
      <c r="L13296" s="629"/>
      <c r="M13296" s="629"/>
      <c r="N13296" s="629"/>
      <c r="O13296" s="629"/>
      <c r="P13296" s="629"/>
      <c r="Q13296" s="629"/>
      <c r="R13296" s="629"/>
    </row>
    <row r="13297" spans="1:18" ht="12.75" customHeight="1">
      <c r="A13297" s="628" t="s">
        <v>24079</v>
      </c>
      <c r="B13297" s="629"/>
      <c r="C13297" s="629"/>
      <c r="D13297" s="629"/>
      <c r="E13297" s="629"/>
      <c r="F13297" s="629"/>
      <c r="G13297" s="629"/>
      <c r="H13297" s="629"/>
      <c r="I13297" s="629"/>
      <c r="J13297" s="629"/>
      <c r="K13297" s="629"/>
      <c r="L13297" s="629"/>
      <c r="M13297" s="629"/>
      <c r="N13297" s="629"/>
      <c r="O13297" s="629"/>
      <c r="P13297" s="629"/>
      <c r="Q13297" s="629"/>
      <c r="R13297" s="629"/>
    </row>
    <row r="13298" spans="1:18" ht="24">
      <c r="A13298" s="393">
        <v>1</v>
      </c>
      <c r="B13298" s="390" t="s">
        <v>24080</v>
      </c>
      <c r="C13298" s="394" t="s">
        <v>24081</v>
      </c>
      <c r="D13298" s="395">
        <v>790.19</v>
      </c>
      <c r="E13298" s="395">
        <v>721.57</v>
      </c>
      <c r="F13298" s="395">
        <v>3.96</v>
      </c>
      <c r="G13298" s="395">
        <v>64.66</v>
      </c>
      <c r="H13298" s="396">
        <v>8702.8700000000008</v>
      </c>
      <c r="I13298" s="396">
        <v>8298.39</v>
      </c>
      <c r="J13298" s="396">
        <v>16.97</v>
      </c>
      <c r="K13298" s="396">
        <v>387.51</v>
      </c>
      <c r="L13298" s="43">
        <v>11.01364228856351</v>
      </c>
      <c r="M13298" s="43">
        <v>11.500464265421233</v>
      </c>
      <c r="N13298" s="43">
        <v>4.2853535353535355</v>
      </c>
      <c r="O13298" s="43">
        <v>5.9930405196412</v>
      </c>
      <c r="P13298" s="397"/>
      <c r="Q13298" s="397"/>
      <c r="R13298" s="397">
        <v>1</v>
      </c>
    </row>
    <row r="13299" spans="1:18" ht="24">
      <c r="A13299" s="393">
        <v>2</v>
      </c>
      <c r="B13299" s="390" t="s">
        <v>24082</v>
      </c>
      <c r="C13299" s="394" t="s">
        <v>24083</v>
      </c>
      <c r="D13299" s="395">
        <v>580.94000000000005</v>
      </c>
      <c r="E13299" s="395">
        <v>533.14</v>
      </c>
      <c r="F13299" s="395">
        <v>1.45</v>
      </c>
      <c r="G13299" s="395">
        <v>46.35</v>
      </c>
      <c r="H13299" s="396">
        <v>6415.25</v>
      </c>
      <c r="I13299" s="396">
        <v>6131.3</v>
      </c>
      <c r="J13299" s="396">
        <v>6.14</v>
      </c>
      <c r="K13299" s="396">
        <v>277.81</v>
      </c>
      <c r="L13299" s="43">
        <v>11.04287878266258</v>
      </c>
      <c r="M13299" s="43">
        <v>11.500356379187457</v>
      </c>
      <c r="N13299" s="43">
        <v>4.2344827586206897</v>
      </c>
      <c r="O13299" s="43">
        <v>5.9937432578209275</v>
      </c>
      <c r="P13299" s="397"/>
      <c r="Q13299" s="397"/>
      <c r="R13299" s="397">
        <v>1</v>
      </c>
    </row>
    <row r="13300" spans="1:18" ht="12.75" customHeight="1">
      <c r="A13300" s="628" t="s">
        <v>24084</v>
      </c>
      <c r="B13300" s="629"/>
      <c r="C13300" s="629"/>
      <c r="D13300" s="629"/>
      <c r="E13300" s="629"/>
      <c r="F13300" s="629"/>
      <c r="G13300" s="629"/>
      <c r="H13300" s="629"/>
      <c r="I13300" s="629"/>
      <c r="J13300" s="629"/>
      <c r="K13300" s="629"/>
      <c r="L13300" s="629"/>
      <c r="M13300" s="629"/>
      <c r="N13300" s="629"/>
      <c r="O13300" s="629"/>
      <c r="P13300" s="629"/>
      <c r="Q13300" s="629"/>
      <c r="R13300" s="629"/>
    </row>
    <row r="13301" spans="1:18" ht="24">
      <c r="A13301" s="393">
        <v>3</v>
      </c>
      <c r="B13301" s="390" t="s">
        <v>24085</v>
      </c>
      <c r="C13301" s="394" t="s">
        <v>24086</v>
      </c>
      <c r="D13301" s="395">
        <v>591.33000000000004</v>
      </c>
      <c r="E13301" s="395">
        <v>544.63</v>
      </c>
      <c r="F13301" s="395">
        <v>1.57</v>
      </c>
      <c r="G13301" s="395">
        <v>45.13</v>
      </c>
      <c r="H13301" s="396">
        <v>6542.59</v>
      </c>
      <c r="I13301" s="396">
        <v>6263.44</v>
      </c>
      <c r="J13301" s="396">
        <v>6.64</v>
      </c>
      <c r="K13301" s="396">
        <v>272.51</v>
      </c>
      <c r="L13301" s="43">
        <v>11.064194273924882</v>
      </c>
      <c r="M13301" s="43">
        <v>11.500358041239005</v>
      </c>
      <c r="N13301" s="43">
        <v>4.2292993630573248</v>
      </c>
      <c r="O13301" s="43">
        <v>6.0383337026368267</v>
      </c>
      <c r="P13301" s="397"/>
      <c r="Q13301" s="397"/>
      <c r="R13301" s="397">
        <v>2</v>
      </c>
    </row>
    <row r="13302" spans="1:18" ht="12.75" customHeight="1">
      <c r="A13302" s="628" t="s">
        <v>24087</v>
      </c>
      <c r="B13302" s="629"/>
      <c r="C13302" s="629"/>
      <c r="D13302" s="629"/>
      <c r="E13302" s="629"/>
      <c r="F13302" s="629"/>
      <c r="G13302" s="629"/>
      <c r="H13302" s="629"/>
      <c r="I13302" s="629"/>
      <c r="J13302" s="629"/>
      <c r="K13302" s="629"/>
      <c r="L13302" s="629"/>
      <c r="M13302" s="629"/>
      <c r="N13302" s="629"/>
      <c r="O13302" s="629"/>
      <c r="P13302" s="629"/>
      <c r="Q13302" s="629"/>
      <c r="R13302" s="629"/>
    </row>
    <row r="13303" spans="1:18" ht="36">
      <c r="A13303" s="393">
        <v>4</v>
      </c>
      <c r="B13303" s="390" t="s">
        <v>24088</v>
      </c>
      <c r="C13303" s="394" t="s">
        <v>24089</v>
      </c>
      <c r="D13303" s="395">
        <v>2412.54</v>
      </c>
      <c r="E13303" s="395">
        <v>2240.64</v>
      </c>
      <c r="F13303" s="395">
        <v>26.8</v>
      </c>
      <c r="G13303" s="395">
        <v>145.1</v>
      </c>
      <c r="H13303" s="396">
        <v>26839.83</v>
      </c>
      <c r="I13303" s="396">
        <v>25768.32</v>
      </c>
      <c r="J13303" s="396">
        <v>113.03</v>
      </c>
      <c r="K13303" s="396">
        <v>958.48</v>
      </c>
      <c r="L13303" s="43">
        <v>11.125133676540079</v>
      </c>
      <c r="M13303" s="43">
        <v>11.500428449014567</v>
      </c>
      <c r="N13303" s="43">
        <v>4.2175373134328353</v>
      </c>
      <c r="O13303" s="43">
        <v>6.6056512749827707</v>
      </c>
      <c r="P13303" s="397"/>
      <c r="Q13303" s="397"/>
      <c r="R13303" s="397">
        <v>3</v>
      </c>
    </row>
    <row r="13304" spans="1:18" ht="36">
      <c r="A13304" s="393">
        <v>5</v>
      </c>
      <c r="B13304" s="390" t="s">
        <v>24090</v>
      </c>
      <c r="C13304" s="394" t="s">
        <v>24091</v>
      </c>
      <c r="D13304" s="395">
        <v>3579.48</v>
      </c>
      <c r="E13304" s="395">
        <v>3349.29</v>
      </c>
      <c r="F13304" s="395">
        <v>38.42</v>
      </c>
      <c r="G13304" s="395">
        <v>191.77</v>
      </c>
      <c r="H13304" s="396">
        <v>40001.24</v>
      </c>
      <c r="I13304" s="396">
        <v>38518.269999999997</v>
      </c>
      <c r="J13304" s="396">
        <v>162.08000000000001</v>
      </c>
      <c r="K13304" s="396">
        <v>1320.89</v>
      </c>
      <c r="L13304" s="43">
        <v>11.175153932973505</v>
      </c>
      <c r="M13304" s="43">
        <v>11.500428449014567</v>
      </c>
      <c r="N13304" s="43">
        <v>4.218636127017179</v>
      </c>
      <c r="O13304" s="43">
        <v>6.8878865307399488</v>
      </c>
      <c r="P13304" s="397"/>
      <c r="Q13304" s="397"/>
      <c r="R13304" s="397">
        <v>3</v>
      </c>
    </row>
    <row r="13305" spans="1:18" ht="36">
      <c r="A13305" s="393">
        <v>6</v>
      </c>
      <c r="B13305" s="390" t="s">
        <v>24092</v>
      </c>
      <c r="C13305" s="394" t="s">
        <v>24093</v>
      </c>
      <c r="D13305" s="395">
        <v>1993.53</v>
      </c>
      <c r="E13305" s="395">
        <v>1843.86</v>
      </c>
      <c r="F13305" s="395">
        <v>12.47</v>
      </c>
      <c r="G13305" s="395">
        <v>137.19999999999999</v>
      </c>
      <c r="H13305" s="396">
        <v>22125.37</v>
      </c>
      <c r="I13305" s="396">
        <v>21205.18</v>
      </c>
      <c r="J13305" s="396">
        <v>52.62</v>
      </c>
      <c r="K13305" s="396">
        <v>867.57</v>
      </c>
      <c r="L13305" s="43">
        <v>11.09858893520539</v>
      </c>
      <c r="M13305" s="43">
        <v>11.500428449014567</v>
      </c>
      <c r="N13305" s="43">
        <v>4.2197273456295106</v>
      </c>
      <c r="O13305" s="43">
        <v>6.3233965014577267</v>
      </c>
      <c r="P13305" s="397"/>
      <c r="Q13305" s="397"/>
      <c r="R13305" s="397">
        <v>3</v>
      </c>
    </row>
    <row r="13306" spans="1:18" ht="24">
      <c r="A13306" s="393">
        <v>7</v>
      </c>
      <c r="B13306" s="390" t="s">
        <v>24094</v>
      </c>
      <c r="C13306" s="394" t="s">
        <v>24095</v>
      </c>
      <c r="D13306" s="395">
        <v>408.61</v>
      </c>
      <c r="E13306" s="395">
        <v>361.77</v>
      </c>
      <c r="F13306" s="395">
        <v>4.3099999999999996</v>
      </c>
      <c r="G13306" s="395">
        <v>42.53</v>
      </c>
      <c r="H13306" s="396">
        <v>4414.3900000000003</v>
      </c>
      <c r="I13306" s="396">
        <v>4160.51</v>
      </c>
      <c r="J13306" s="396">
        <v>18.260000000000002</v>
      </c>
      <c r="K13306" s="396">
        <v>235.62</v>
      </c>
      <c r="L13306" s="43">
        <v>10.803431144612222</v>
      </c>
      <c r="M13306" s="43">
        <v>11.500428449014569</v>
      </c>
      <c r="N13306" s="43">
        <v>4.2366589327146178</v>
      </c>
      <c r="O13306" s="43">
        <v>5.5400893486950391</v>
      </c>
      <c r="P13306" s="397"/>
      <c r="Q13306" s="397"/>
      <c r="R13306" s="397">
        <v>3</v>
      </c>
    </row>
    <row r="13307" spans="1:18" ht="12.75" customHeight="1">
      <c r="A13307" s="628" t="s">
        <v>24096</v>
      </c>
      <c r="B13307" s="629"/>
      <c r="C13307" s="629"/>
      <c r="D13307" s="629"/>
      <c r="E13307" s="629"/>
      <c r="F13307" s="629"/>
      <c r="G13307" s="629"/>
      <c r="H13307" s="629"/>
      <c r="I13307" s="629"/>
      <c r="J13307" s="629"/>
      <c r="K13307" s="629"/>
      <c r="L13307" s="629"/>
      <c r="M13307" s="629"/>
      <c r="N13307" s="629"/>
      <c r="O13307" s="629"/>
      <c r="P13307" s="629"/>
      <c r="Q13307" s="629"/>
      <c r="R13307" s="629"/>
    </row>
    <row r="13308" spans="1:18" ht="24">
      <c r="A13308" s="393">
        <v>8</v>
      </c>
      <c r="B13308" s="390" t="s">
        <v>24097</v>
      </c>
      <c r="C13308" s="394" t="s">
        <v>24098</v>
      </c>
      <c r="D13308" s="395">
        <v>467.8</v>
      </c>
      <c r="E13308" s="395">
        <v>437.77</v>
      </c>
      <c r="F13308" s="395">
        <v>6.59</v>
      </c>
      <c r="G13308" s="395">
        <v>23.44</v>
      </c>
      <c r="H13308" s="396">
        <v>5234.42</v>
      </c>
      <c r="I13308" s="396">
        <v>5034.53</v>
      </c>
      <c r="J13308" s="396">
        <v>27.89</v>
      </c>
      <c r="K13308" s="396">
        <v>172</v>
      </c>
      <c r="L13308" s="43">
        <v>11.189439931594698</v>
      </c>
      <c r="M13308" s="43">
        <v>11.50039975329511</v>
      </c>
      <c r="N13308" s="43">
        <v>4.2321699544764799</v>
      </c>
      <c r="O13308" s="43">
        <v>7.3378839590443681</v>
      </c>
      <c r="P13308" s="397"/>
      <c r="Q13308" s="397"/>
      <c r="R13308" s="397">
        <v>4</v>
      </c>
    </row>
    <row r="13309" spans="1:18" ht="12.75" customHeight="1">
      <c r="A13309" s="628" t="s">
        <v>24099</v>
      </c>
      <c r="B13309" s="629"/>
      <c r="C13309" s="629"/>
      <c r="D13309" s="629"/>
      <c r="E13309" s="629"/>
      <c r="F13309" s="629"/>
      <c r="G13309" s="629"/>
      <c r="H13309" s="629"/>
      <c r="I13309" s="629"/>
      <c r="J13309" s="629"/>
      <c r="K13309" s="629"/>
      <c r="L13309" s="629"/>
      <c r="M13309" s="629"/>
      <c r="N13309" s="629"/>
      <c r="O13309" s="629"/>
      <c r="P13309" s="629"/>
      <c r="Q13309" s="629"/>
      <c r="R13309" s="629"/>
    </row>
    <row r="13310" spans="1:18" ht="24">
      <c r="A13310" s="393">
        <v>9</v>
      </c>
      <c r="B13310" s="390" t="s">
        <v>24100</v>
      </c>
      <c r="C13310" s="394" t="s">
        <v>24101</v>
      </c>
      <c r="D13310" s="395">
        <v>407.5</v>
      </c>
      <c r="E13310" s="395">
        <v>386.24</v>
      </c>
      <c r="F13310" s="395">
        <v>5.68</v>
      </c>
      <c r="G13310" s="395">
        <v>15.58</v>
      </c>
      <c r="H13310" s="396">
        <v>4592.78</v>
      </c>
      <c r="I13310" s="396">
        <v>4441.76</v>
      </c>
      <c r="J13310" s="396">
        <v>24.07</v>
      </c>
      <c r="K13310" s="396">
        <v>126.95</v>
      </c>
      <c r="L13310" s="43">
        <v>11.270625766871165</v>
      </c>
      <c r="M13310" s="43">
        <v>11.5</v>
      </c>
      <c r="N13310" s="43">
        <v>4.237676056338028</v>
      </c>
      <c r="O13310" s="43">
        <v>8.1482670089858793</v>
      </c>
      <c r="P13310" s="397"/>
      <c r="Q13310" s="397"/>
      <c r="R13310" s="397">
        <v>5</v>
      </c>
    </row>
    <row r="13311" spans="1:18" ht="12.75" customHeight="1">
      <c r="A13311" s="628" t="s">
        <v>24102</v>
      </c>
      <c r="B13311" s="629"/>
      <c r="C13311" s="629"/>
      <c r="D13311" s="629"/>
      <c r="E13311" s="629"/>
      <c r="F13311" s="629"/>
      <c r="G13311" s="629"/>
      <c r="H13311" s="629"/>
      <c r="I13311" s="629"/>
      <c r="J13311" s="629"/>
      <c r="K13311" s="629"/>
      <c r="L13311" s="629"/>
      <c r="M13311" s="629"/>
      <c r="N13311" s="629"/>
      <c r="O13311" s="629"/>
      <c r="P13311" s="629"/>
      <c r="Q13311" s="629"/>
      <c r="R13311" s="629"/>
    </row>
    <row r="13312" spans="1:18" ht="24">
      <c r="A13312" s="393">
        <v>10</v>
      </c>
      <c r="B13312" s="390" t="s">
        <v>24103</v>
      </c>
      <c r="C13312" s="394" t="s">
        <v>24104</v>
      </c>
      <c r="D13312" s="395">
        <v>609.61</v>
      </c>
      <c r="E13312" s="395">
        <v>553.16</v>
      </c>
      <c r="F13312" s="395">
        <v>3.74</v>
      </c>
      <c r="G13312" s="395">
        <v>52.71</v>
      </c>
      <c r="H13312" s="396">
        <v>6683.79</v>
      </c>
      <c r="I13312" s="396">
        <v>6361.55</v>
      </c>
      <c r="J13312" s="396">
        <v>16.010000000000002</v>
      </c>
      <c r="K13312" s="396">
        <v>306.23</v>
      </c>
      <c r="L13312" s="43">
        <v>10.96404258460327</v>
      </c>
      <c r="M13312" s="43">
        <v>11.500379636994722</v>
      </c>
      <c r="N13312" s="43">
        <v>4.2807486631016047</v>
      </c>
      <c r="O13312" s="43">
        <v>5.8097135268450009</v>
      </c>
      <c r="P13312" s="397"/>
      <c r="Q13312" s="397"/>
      <c r="R13312" s="397">
        <v>6</v>
      </c>
    </row>
    <row r="13313" spans="1:18" ht="12.75" customHeight="1">
      <c r="A13313" s="628" t="s">
        <v>22687</v>
      </c>
      <c r="B13313" s="629"/>
      <c r="C13313" s="629"/>
      <c r="D13313" s="629"/>
      <c r="E13313" s="629"/>
      <c r="F13313" s="629"/>
      <c r="G13313" s="629"/>
      <c r="H13313" s="629"/>
      <c r="I13313" s="629"/>
      <c r="J13313" s="629"/>
      <c r="K13313" s="629"/>
      <c r="L13313" s="629"/>
      <c r="M13313" s="629"/>
      <c r="N13313" s="629"/>
      <c r="O13313" s="629"/>
      <c r="P13313" s="629"/>
      <c r="Q13313" s="629"/>
      <c r="R13313" s="629"/>
    </row>
    <row r="13314" spans="1:18" ht="24">
      <c r="A13314" s="393">
        <v>11</v>
      </c>
      <c r="B13314" s="390" t="s">
        <v>24105</v>
      </c>
      <c r="C13314" s="394" t="s">
        <v>24106</v>
      </c>
      <c r="D13314" s="395">
        <v>289.87</v>
      </c>
      <c r="E13314" s="395">
        <v>277.63</v>
      </c>
      <c r="F13314" s="395">
        <v>2.08</v>
      </c>
      <c r="G13314" s="395">
        <v>10.16</v>
      </c>
      <c r="H13314" s="396">
        <v>3287.74</v>
      </c>
      <c r="I13314" s="396">
        <v>3192.72</v>
      </c>
      <c r="J13314" s="396">
        <v>8.8000000000000007</v>
      </c>
      <c r="K13314" s="396">
        <v>86.22</v>
      </c>
      <c r="L13314" s="43">
        <v>11.342118880877633</v>
      </c>
      <c r="M13314" s="43">
        <v>11.499909952094514</v>
      </c>
      <c r="N13314" s="43">
        <v>4.2307692307692308</v>
      </c>
      <c r="O13314" s="43">
        <v>8.4862204724409445</v>
      </c>
      <c r="P13314" s="397"/>
      <c r="Q13314" s="397"/>
      <c r="R13314" s="397">
        <v>7</v>
      </c>
    </row>
    <row r="13315" spans="1:18" ht="24">
      <c r="A13315" s="393">
        <v>12</v>
      </c>
      <c r="B13315" s="390" t="s">
        <v>24107</v>
      </c>
      <c r="C13315" s="394" t="s">
        <v>24108</v>
      </c>
      <c r="D13315" s="395">
        <v>258.01</v>
      </c>
      <c r="E13315" s="395">
        <v>242.78</v>
      </c>
      <c r="F13315" s="395">
        <v>2.72</v>
      </c>
      <c r="G13315" s="395">
        <v>12.51</v>
      </c>
      <c r="H13315" s="396">
        <v>2896.6</v>
      </c>
      <c r="I13315" s="396">
        <v>2792.02</v>
      </c>
      <c r="J13315" s="396">
        <v>11.54</v>
      </c>
      <c r="K13315" s="396">
        <v>93.04</v>
      </c>
      <c r="L13315" s="43">
        <v>11.226696639665128</v>
      </c>
      <c r="M13315" s="43">
        <v>11.500205947771645</v>
      </c>
      <c r="N13315" s="43">
        <v>4.242647058823529</v>
      </c>
      <c r="O13315" s="43">
        <v>7.4372501998401281</v>
      </c>
      <c r="P13315" s="397"/>
      <c r="Q13315" s="397"/>
      <c r="R13315" s="397">
        <v>7</v>
      </c>
    </row>
    <row r="13316" spans="1:18" ht="24">
      <c r="A13316" s="393">
        <v>13</v>
      </c>
      <c r="B13316" s="390" t="s">
        <v>24109</v>
      </c>
      <c r="C13316" s="394" t="s">
        <v>24110</v>
      </c>
      <c r="D13316" s="395">
        <v>336.77</v>
      </c>
      <c r="E13316" s="395">
        <v>301.23</v>
      </c>
      <c r="F13316" s="395">
        <v>8.23</v>
      </c>
      <c r="G13316" s="395">
        <v>27.31</v>
      </c>
      <c r="H13316" s="396">
        <v>3671.94</v>
      </c>
      <c r="I13316" s="396">
        <v>3464.17</v>
      </c>
      <c r="J13316" s="396">
        <v>35.22</v>
      </c>
      <c r="K13316" s="396">
        <v>172.55</v>
      </c>
      <c r="L13316" s="43">
        <v>10.903405885322327</v>
      </c>
      <c r="M13316" s="43">
        <v>11.500082993061779</v>
      </c>
      <c r="N13316" s="43">
        <v>4.279465370595382</v>
      </c>
      <c r="O13316" s="43">
        <v>6.3181984621017948</v>
      </c>
      <c r="P13316" s="397"/>
      <c r="Q13316" s="397"/>
      <c r="R13316" s="397">
        <v>7</v>
      </c>
    </row>
    <row r="13317" spans="1:18" ht="24">
      <c r="A13317" s="393">
        <v>14</v>
      </c>
      <c r="B13317" s="390" t="s">
        <v>24111</v>
      </c>
      <c r="C13317" s="394" t="s">
        <v>24112</v>
      </c>
      <c r="D13317" s="395">
        <v>367.09</v>
      </c>
      <c r="E13317" s="395">
        <v>323.70999999999998</v>
      </c>
      <c r="F13317" s="395">
        <v>9.5399999999999991</v>
      </c>
      <c r="G13317" s="395">
        <v>33.840000000000003</v>
      </c>
      <c r="H13317" s="396">
        <v>3970.77</v>
      </c>
      <c r="I13317" s="396">
        <v>3722.69</v>
      </c>
      <c r="J13317" s="396">
        <v>40.83</v>
      </c>
      <c r="K13317" s="396">
        <v>207.25</v>
      </c>
      <c r="L13317" s="43">
        <v>10.816884142853253</v>
      </c>
      <c r="M13317" s="43">
        <v>11.500077229619105</v>
      </c>
      <c r="N13317" s="43">
        <v>4.2798742138364778</v>
      </c>
      <c r="O13317" s="43">
        <v>6.1244089834515361</v>
      </c>
      <c r="P13317" s="397"/>
      <c r="Q13317" s="397"/>
      <c r="R13317" s="397">
        <v>7</v>
      </c>
    </row>
    <row r="13318" spans="1:18" ht="24">
      <c r="A13318" s="393">
        <v>15</v>
      </c>
      <c r="B13318" s="390" t="s">
        <v>24113</v>
      </c>
      <c r="C13318" s="394" t="s">
        <v>24114</v>
      </c>
      <c r="D13318" s="395">
        <v>258.85000000000002</v>
      </c>
      <c r="E13318" s="395">
        <v>242.78</v>
      </c>
      <c r="F13318" s="395">
        <v>2.72</v>
      </c>
      <c r="G13318" s="395">
        <v>13.35</v>
      </c>
      <c r="H13318" s="396">
        <v>2900.68</v>
      </c>
      <c r="I13318" s="396">
        <v>2792.02</v>
      </c>
      <c r="J13318" s="396">
        <v>11.54</v>
      </c>
      <c r="K13318" s="396">
        <v>97.12</v>
      </c>
      <c r="L13318" s="43">
        <v>11.206026656364688</v>
      </c>
      <c r="M13318" s="43">
        <v>11.500205947771645</v>
      </c>
      <c r="N13318" s="43">
        <v>4.242647058823529</v>
      </c>
      <c r="O13318" s="43">
        <v>7.2749063670411989</v>
      </c>
      <c r="P13318" s="397"/>
      <c r="Q13318" s="397"/>
      <c r="R13318" s="397">
        <v>7</v>
      </c>
    </row>
    <row r="13319" spans="1:18" ht="12.75" customHeight="1">
      <c r="A13319" s="628" t="s">
        <v>24115</v>
      </c>
      <c r="B13319" s="629"/>
      <c r="C13319" s="629"/>
      <c r="D13319" s="629"/>
      <c r="E13319" s="629"/>
      <c r="F13319" s="629"/>
      <c r="G13319" s="629"/>
      <c r="H13319" s="629"/>
      <c r="I13319" s="629"/>
      <c r="J13319" s="629"/>
      <c r="K13319" s="629"/>
      <c r="L13319" s="629"/>
      <c r="M13319" s="629"/>
      <c r="N13319" s="629"/>
      <c r="O13319" s="629"/>
      <c r="P13319" s="629"/>
      <c r="Q13319" s="629"/>
      <c r="R13319" s="629"/>
    </row>
    <row r="13320" spans="1:18" ht="12.75" customHeight="1">
      <c r="A13320" s="628" t="s">
        <v>24116</v>
      </c>
      <c r="B13320" s="629"/>
      <c r="C13320" s="629"/>
      <c r="D13320" s="629"/>
      <c r="E13320" s="629"/>
      <c r="F13320" s="629"/>
      <c r="G13320" s="629"/>
      <c r="H13320" s="629"/>
      <c r="I13320" s="629"/>
      <c r="J13320" s="629"/>
      <c r="K13320" s="629"/>
      <c r="L13320" s="629"/>
      <c r="M13320" s="629"/>
      <c r="N13320" s="629"/>
      <c r="O13320" s="629"/>
      <c r="P13320" s="629"/>
      <c r="Q13320" s="629"/>
      <c r="R13320" s="629"/>
    </row>
    <row r="13321" spans="1:18" ht="24">
      <c r="A13321" s="393">
        <v>16</v>
      </c>
      <c r="B13321" s="390" t="s">
        <v>24117</v>
      </c>
      <c r="C13321" s="394" t="s">
        <v>24118</v>
      </c>
      <c r="D13321" s="395">
        <v>839.1</v>
      </c>
      <c r="E13321" s="395">
        <v>781.89</v>
      </c>
      <c r="F13321" s="395">
        <v>23.64</v>
      </c>
      <c r="G13321" s="395">
        <v>33.57</v>
      </c>
      <c r="H13321" s="396">
        <v>9359.06</v>
      </c>
      <c r="I13321" s="396">
        <v>8992.07</v>
      </c>
      <c r="J13321" s="396">
        <v>100.1</v>
      </c>
      <c r="K13321" s="396">
        <v>266.89</v>
      </c>
      <c r="L13321" s="43">
        <v>11.153688475747824</v>
      </c>
      <c r="M13321" s="43">
        <v>11.500428449014567</v>
      </c>
      <c r="N13321" s="43">
        <v>4.2343485617597292</v>
      </c>
      <c r="O13321" s="43">
        <v>7.9502532022639256</v>
      </c>
      <c r="P13321" s="397"/>
      <c r="Q13321" s="397"/>
      <c r="R13321" s="397">
        <v>1</v>
      </c>
    </row>
    <row r="13322" spans="1:18" ht="24">
      <c r="A13322" s="393">
        <v>17</v>
      </c>
      <c r="B13322" s="390" t="s">
        <v>24119</v>
      </c>
      <c r="C13322" s="394" t="s">
        <v>24120</v>
      </c>
      <c r="D13322" s="395">
        <v>1878.18</v>
      </c>
      <c r="E13322" s="395">
        <v>1575.45</v>
      </c>
      <c r="F13322" s="395">
        <v>223.3</v>
      </c>
      <c r="G13322" s="395">
        <v>79.430000000000007</v>
      </c>
      <c r="H13322" s="396">
        <v>19655.240000000002</v>
      </c>
      <c r="I13322" s="396">
        <v>18118.349999999999</v>
      </c>
      <c r="J13322" s="396">
        <v>941.92</v>
      </c>
      <c r="K13322" s="396">
        <v>594.97</v>
      </c>
      <c r="L13322" s="43">
        <v>10.465045948737608</v>
      </c>
      <c r="M13322" s="43">
        <v>11.500428449014565</v>
      </c>
      <c r="N13322" s="43">
        <v>4.2181818181818178</v>
      </c>
      <c r="O13322" s="43">
        <v>7.4904947752738256</v>
      </c>
      <c r="P13322" s="397"/>
      <c r="Q13322" s="397"/>
      <c r="R13322" s="397">
        <v>1</v>
      </c>
    </row>
    <row r="13323" spans="1:18" ht="12.75" customHeight="1">
      <c r="A13323" s="628" t="s">
        <v>24121</v>
      </c>
      <c r="B13323" s="629"/>
      <c r="C13323" s="629"/>
      <c r="D13323" s="629"/>
      <c r="E13323" s="629"/>
      <c r="F13323" s="629"/>
      <c r="G13323" s="629"/>
      <c r="H13323" s="629"/>
      <c r="I13323" s="629"/>
      <c r="J13323" s="629"/>
      <c r="K13323" s="629"/>
      <c r="L13323" s="629"/>
      <c r="M13323" s="629"/>
      <c r="N13323" s="629"/>
      <c r="O13323" s="629"/>
      <c r="P13323" s="629"/>
      <c r="Q13323" s="629"/>
      <c r="R13323" s="629"/>
    </row>
    <row r="13324" spans="1:18" ht="24">
      <c r="A13324" s="393">
        <v>18</v>
      </c>
      <c r="B13324" s="390" t="s">
        <v>24122</v>
      </c>
      <c r="C13324" s="394" t="s">
        <v>24123</v>
      </c>
      <c r="D13324" s="395">
        <v>1013.57</v>
      </c>
      <c r="E13324" s="395">
        <v>937.1</v>
      </c>
      <c r="F13324" s="395">
        <v>12.16</v>
      </c>
      <c r="G13324" s="395">
        <v>64.31</v>
      </c>
      <c r="H13324" s="396">
        <v>11295.6</v>
      </c>
      <c r="I13324" s="396">
        <v>10777.06</v>
      </c>
      <c r="J13324" s="396">
        <v>52.03</v>
      </c>
      <c r="K13324" s="396">
        <v>466.51</v>
      </c>
      <c r="L13324" s="43">
        <v>11.144370887062561</v>
      </c>
      <c r="M13324" s="43">
        <v>11.500437520008536</v>
      </c>
      <c r="N13324" s="43">
        <v>4.2787828947368425</v>
      </c>
      <c r="O13324" s="43">
        <v>7.2540817913232774</v>
      </c>
      <c r="P13324" s="397"/>
      <c r="Q13324" s="397"/>
      <c r="R13324" s="397">
        <v>2</v>
      </c>
    </row>
    <row r="13325" spans="1:18" ht="12.75" customHeight="1">
      <c r="A13325" s="628" t="s">
        <v>24124</v>
      </c>
      <c r="B13325" s="629"/>
      <c r="C13325" s="629"/>
      <c r="D13325" s="629"/>
      <c r="E13325" s="629"/>
      <c r="F13325" s="629"/>
      <c r="G13325" s="629"/>
      <c r="H13325" s="629"/>
      <c r="I13325" s="629"/>
      <c r="J13325" s="629"/>
      <c r="K13325" s="629"/>
      <c r="L13325" s="629"/>
      <c r="M13325" s="629"/>
      <c r="N13325" s="629"/>
      <c r="O13325" s="629"/>
      <c r="P13325" s="629"/>
      <c r="Q13325" s="629"/>
      <c r="R13325" s="629"/>
    </row>
    <row r="13326" spans="1:18" ht="24">
      <c r="A13326" s="393">
        <v>19</v>
      </c>
      <c r="B13326" s="390" t="s">
        <v>24125</v>
      </c>
      <c r="C13326" s="394" t="s">
        <v>24126</v>
      </c>
      <c r="D13326" s="395">
        <v>2893.79</v>
      </c>
      <c r="E13326" s="395">
        <v>2614.08</v>
      </c>
      <c r="F13326" s="395">
        <v>106.2</v>
      </c>
      <c r="G13326" s="395">
        <v>173.51</v>
      </c>
      <c r="H13326" s="396">
        <v>31759.119999999999</v>
      </c>
      <c r="I13326" s="396">
        <v>30063.040000000001</v>
      </c>
      <c r="J13326" s="396">
        <v>450.56</v>
      </c>
      <c r="K13326" s="396">
        <v>1245.52</v>
      </c>
      <c r="L13326" s="43">
        <v>10.974922160903175</v>
      </c>
      <c r="M13326" s="43">
        <v>11.500428449014567</v>
      </c>
      <c r="N13326" s="43">
        <v>4.2425612052730699</v>
      </c>
      <c r="O13326" s="43">
        <v>7.1783758861160747</v>
      </c>
      <c r="P13326" s="397"/>
      <c r="Q13326" s="397"/>
      <c r="R13326" s="397">
        <v>3</v>
      </c>
    </row>
    <row r="13327" spans="1:18" ht="24">
      <c r="A13327" s="393">
        <v>20</v>
      </c>
      <c r="B13327" s="390" t="s">
        <v>24127</v>
      </c>
      <c r="C13327" s="394" t="s">
        <v>24128</v>
      </c>
      <c r="D13327" s="395">
        <v>2358.4699999999998</v>
      </c>
      <c r="E13327" s="395">
        <v>2205.63</v>
      </c>
      <c r="F13327" s="395">
        <v>38.42</v>
      </c>
      <c r="G13327" s="395">
        <v>114.42</v>
      </c>
      <c r="H13327" s="396">
        <v>26417.53</v>
      </c>
      <c r="I13327" s="396">
        <v>25365.69</v>
      </c>
      <c r="J13327" s="396">
        <v>162.08000000000001</v>
      </c>
      <c r="K13327" s="396">
        <v>889.76</v>
      </c>
      <c r="L13327" s="43">
        <v>11.201130393857035</v>
      </c>
      <c r="M13327" s="43">
        <v>11.500428449014565</v>
      </c>
      <c r="N13327" s="43">
        <v>4.218636127017179</v>
      </c>
      <c r="O13327" s="43">
        <v>7.7762628911029541</v>
      </c>
      <c r="P13327" s="397"/>
      <c r="Q13327" s="397"/>
      <c r="R13327" s="397">
        <v>3</v>
      </c>
    </row>
    <row r="13328" spans="1:18" ht="12.75" customHeight="1">
      <c r="A13328" s="628" t="s">
        <v>24129</v>
      </c>
      <c r="B13328" s="629"/>
      <c r="C13328" s="629"/>
      <c r="D13328" s="629"/>
      <c r="E13328" s="629"/>
      <c r="F13328" s="629"/>
      <c r="G13328" s="629"/>
      <c r="H13328" s="629"/>
      <c r="I13328" s="629"/>
      <c r="J13328" s="629"/>
      <c r="K13328" s="629"/>
      <c r="L13328" s="629"/>
      <c r="M13328" s="629"/>
      <c r="N13328" s="629"/>
      <c r="O13328" s="629"/>
      <c r="P13328" s="629"/>
      <c r="Q13328" s="629"/>
      <c r="R13328" s="629"/>
    </row>
    <row r="13329" spans="1:18" ht="24">
      <c r="A13329" s="393">
        <v>21</v>
      </c>
      <c r="B13329" s="390" t="s">
        <v>24130</v>
      </c>
      <c r="C13329" s="394" t="s">
        <v>24131</v>
      </c>
      <c r="D13329" s="395">
        <v>2246.66</v>
      </c>
      <c r="E13329" s="395">
        <v>2088.9299999999998</v>
      </c>
      <c r="F13329" s="395">
        <v>44.66</v>
      </c>
      <c r="G13329" s="395">
        <v>113.07</v>
      </c>
      <c r="H13329" s="396">
        <v>25083.57</v>
      </c>
      <c r="I13329" s="396">
        <v>24023.59</v>
      </c>
      <c r="J13329" s="396">
        <v>188.38</v>
      </c>
      <c r="K13329" s="396">
        <v>871.6</v>
      </c>
      <c r="L13329" s="43">
        <v>11.164826898596139</v>
      </c>
      <c r="M13329" s="43">
        <v>11.500428449014569</v>
      </c>
      <c r="N13329" s="43">
        <v>4.2180922525750111</v>
      </c>
      <c r="O13329" s="43">
        <v>7.7084991598125061</v>
      </c>
      <c r="P13329" s="397"/>
      <c r="Q13329" s="397"/>
      <c r="R13329" s="397">
        <v>4</v>
      </c>
    </row>
    <row r="13330" spans="1:18" ht="12.75" customHeight="1">
      <c r="A13330" s="628" t="s">
        <v>24132</v>
      </c>
      <c r="B13330" s="629"/>
      <c r="C13330" s="629"/>
      <c r="D13330" s="629"/>
      <c r="E13330" s="629"/>
      <c r="F13330" s="629"/>
      <c r="G13330" s="629"/>
      <c r="H13330" s="629"/>
      <c r="I13330" s="629"/>
      <c r="J13330" s="629"/>
      <c r="K13330" s="629"/>
      <c r="L13330" s="629"/>
      <c r="M13330" s="629"/>
      <c r="N13330" s="629"/>
      <c r="O13330" s="629"/>
      <c r="P13330" s="629"/>
      <c r="Q13330" s="629"/>
      <c r="R13330" s="629"/>
    </row>
    <row r="13331" spans="1:18" ht="24">
      <c r="A13331" s="393">
        <v>22</v>
      </c>
      <c r="B13331" s="390" t="s">
        <v>24133</v>
      </c>
      <c r="C13331" s="394" t="s">
        <v>24134</v>
      </c>
      <c r="D13331" s="395">
        <v>814.54</v>
      </c>
      <c r="E13331" s="395">
        <v>770.22</v>
      </c>
      <c r="F13331" s="395">
        <v>11.37</v>
      </c>
      <c r="G13331" s="395">
        <v>32.950000000000003</v>
      </c>
      <c r="H13331" s="396">
        <v>9182.3799999999992</v>
      </c>
      <c r="I13331" s="396">
        <v>8857.86</v>
      </c>
      <c r="J13331" s="396">
        <v>48.14</v>
      </c>
      <c r="K13331" s="396">
        <v>276.38</v>
      </c>
      <c r="L13331" s="43">
        <v>11.273086650133818</v>
      </c>
      <c r="M13331" s="43">
        <v>11.500428449014567</v>
      </c>
      <c r="N13331" s="43">
        <v>4.2339489885664028</v>
      </c>
      <c r="O13331" s="43">
        <v>8.3878603945371761</v>
      </c>
      <c r="P13331" s="397"/>
      <c r="Q13331" s="397"/>
      <c r="R13331" s="397">
        <v>5</v>
      </c>
    </row>
    <row r="13332" spans="1:18" ht="24">
      <c r="A13332" s="393">
        <v>23</v>
      </c>
      <c r="B13332" s="390" t="s">
        <v>24135</v>
      </c>
      <c r="C13332" s="394" t="s">
        <v>24136</v>
      </c>
      <c r="D13332" s="395">
        <v>746.57</v>
      </c>
      <c r="E13332" s="395">
        <v>696.7</v>
      </c>
      <c r="F13332" s="395">
        <v>7.27</v>
      </c>
      <c r="G13332" s="395">
        <v>42.6</v>
      </c>
      <c r="H13332" s="396">
        <v>8384.5300000000007</v>
      </c>
      <c r="I13332" s="396">
        <v>8012.34</v>
      </c>
      <c r="J13332" s="396">
        <v>30.79</v>
      </c>
      <c r="K13332" s="396">
        <v>341.4</v>
      </c>
      <c r="L13332" s="43">
        <v>11.230735229114483</v>
      </c>
      <c r="M13332" s="43">
        <v>11.50041624802641</v>
      </c>
      <c r="N13332" s="43">
        <v>4.2352132049518572</v>
      </c>
      <c r="O13332" s="43">
        <v>8.0140845070422522</v>
      </c>
      <c r="P13332" s="397"/>
      <c r="Q13332" s="397"/>
      <c r="R13332" s="397">
        <v>5</v>
      </c>
    </row>
    <row r="13333" spans="1:18" ht="12.75" customHeight="1">
      <c r="A13333" s="628" t="s">
        <v>24137</v>
      </c>
      <c r="B13333" s="629"/>
      <c r="C13333" s="629"/>
      <c r="D13333" s="629"/>
      <c r="E13333" s="629"/>
      <c r="F13333" s="629"/>
      <c r="G13333" s="629"/>
      <c r="H13333" s="629"/>
      <c r="I13333" s="629"/>
      <c r="J13333" s="629"/>
      <c r="K13333" s="629"/>
      <c r="L13333" s="629"/>
      <c r="M13333" s="629"/>
      <c r="N13333" s="629"/>
      <c r="O13333" s="629"/>
      <c r="P13333" s="629"/>
      <c r="Q13333" s="629"/>
      <c r="R13333" s="629"/>
    </row>
    <row r="13334" spans="1:18" ht="24">
      <c r="A13334" s="393">
        <v>24</v>
      </c>
      <c r="B13334" s="390" t="s">
        <v>24138</v>
      </c>
      <c r="C13334" s="394" t="s">
        <v>24139</v>
      </c>
      <c r="D13334" s="395">
        <v>511.8</v>
      </c>
      <c r="E13334" s="395">
        <v>484.88</v>
      </c>
      <c r="F13334" s="395">
        <v>6.59</v>
      </c>
      <c r="G13334" s="395">
        <v>20.329999999999998</v>
      </c>
      <c r="H13334" s="396">
        <v>5771.61</v>
      </c>
      <c r="I13334" s="396">
        <v>5576.31</v>
      </c>
      <c r="J13334" s="396">
        <v>27.89</v>
      </c>
      <c r="K13334" s="396">
        <v>167.41</v>
      </c>
      <c r="L13334" s="43">
        <v>11.277080890973036</v>
      </c>
      <c r="M13334" s="43">
        <v>11.500391849529782</v>
      </c>
      <c r="N13334" s="43">
        <v>4.2321699544764799</v>
      </c>
      <c r="O13334" s="43">
        <v>8.2346286276438772</v>
      </c>
      <c r="P13334" s="397"/>
      <c r="Q13334" s="397"/>
      <c r="R13334" s="397">
        <v>6</v>
      </c>
    </row>
    <row r="13335" spans="1:18" ht="24">
      <c r="A13335" s="393">
        <v>25</v>
      </c>
      <c r="B13335" s="390" t="s">
        <v>24140</v>
      </c>
      <c r="C13335" s="394" t="s">
        <v>24141</v>
      </c>
      <c r="D13335" s="395">
        <v>512.95000000000005</v>
      </c>
      <c r="E13335" s="395">
        <v>484.88</v>
      </c>
      <c r="F13335" s="395">
        <v>6.59</v>
      </c>
      <c r="G13335" s="395">
        <v>21.48</v>
      </c>
      <c r="H13335" s="396">
        <v>5777.2</v>
      </c>
      <c r="I13335" s="396">
        <v>5576.31</v>
      </c>
      <c r="J13335" s="396">
        <v>27.89</v>
      </c>
      <c r="K13335" s="396">
        <v>173</v>
      </c>
      <c r="L13335" s="43">
        <v>11.262696169217271</v>
      </c>
      <c r="M13335" s="43">
        <v>11.500391849529782</v>
      </c>
      <c r="N13335" s="43">
        <v>4.2321699544764799</v>
      </c>
      <c r="O13335" s="43">
        <v>8.0540037243947857</v>
      </c>
      <c r="P13335" s="397"/>
      <c r="Q13335" s="397"/>
      <c r="R13335" s="397">
        <v>6</v>
      </c>
    </row>
    <row r="13336" spans="1:18" ht="24">
      <c r="A13336" s="393">
        <v>26</v>
      </c>
      <c r="B13336" s="390" t="s">
        <v>24142</v>
      </c>
      <c r="C13336" s="394" t="s">
        <v>24143</v>
      </c>
      <c r="D13336" s="395">
        <v>650.35</v>
      </c>
      <c r="E13336" s="395">
        <v>603.23</v>
      </c>
      <c r="F13336" s="395">
        <v>15.18</v>
      </c>
      <c r="G13336" s="395">
        <v>31.94</v>
      </c>
      <c r="H13336" s="396">
        <v>7243.9</v>
      </c>
      <c r="I13336" s="396">
        <v>6937.35</v>
      </c>
      <c r="J13336" s="396">
        <v>65</v>
      </c>
      <c r="K13336" s="396">
        <v>241.55</v>
      </c>
      <c r="L13336" s="43">
        <v>11.138463904051664</v>
      </c>
      <c r="M13336" s="43">
        <v>11.500339837209689</v>
      </c>
      <c r="N13336" s="43">
        <v>4.2819499341238476</v>
      </c>
      <c r="O13336" s="43">
        <v>7.5626174076393236</v>
      </c>
      <c r="P13336" s="397"/>
      <c r="Q13336" s="397"/>
      <c r="R13336" s="397">
        <v>6</v>
      </c>
    </row>
    <row r="13337" spans="1:18" ht="12.75" customHeight="1">
      <c r="A13337" s="628" t="s">
        <v>24144</v>
      </c>
      <c r="B13337" s="629"/>
      <c r="C13337" s="629"/>
      <c r="D13337" s="629"/>
      <c r="E13337" s="629"/>
      <c r="F13337" s="629"/>
      <c r="G13337" s="629"/>
      <c r="H13337" s="629"/>
      <c r="I13337" s="629"/>
      <c r="J13337" s="629"/>
      <c r="K13337" s="629"/>
      <c r="L13337" s="629"/>
      <c r="M13337" s="629"/>
      <c r="N13337" s="629"/>
      <c r="O13337" s="629"/>
      <c r="P13337" s="629"/>
      <c r="Q13337" s="629"/>
      <c r="R13337" s="629"/>
    </row>
    <row r="13338" spans="1:18" ht="12.75" customHeight="1">
      <c r="A13338" s="628" t="s">
        <v>24145</v>
      </c>
      <c r="B13338" s="629"/>
      <c r="C13338" s="629"/>
      <c r="D13338" s="629"/>
      <c r="E13338" s="629"/>
      <c r="F13338" s="629"/>
      <c r="G13338" s="629"/>
      <c r="H13338" s="629"/>
      <c r="I13338" s="629"/>
      <c r="J13338" s="629"/>
      <c r="K13338" s="629"/>
      <c r="L13338" s="629"/>
      <c r="M13338" s="629"/>
      <c r="N13338" s="629"/>
      <c r="O13338" s="629"/>
      <c r="P13338" s="629"/>
      <c r="Q13338" s="629"/>
      <c r="R13338" s="629"/>
    </row>
    <row r="13339" spans="1:18" ht="24">
      <c r="A13339" s="393">
        <v>27</v>
      </c>
      <c r="B13339" s="390" t="s">
        <v>24146</v>
      </c>
      <c r="C13339" s="394" t="s">
        <v>24147</v>
      </c>
      <c r="D13339" s="395">
        <v>3051.15</v>
      </c>
      <c r="E13339" s="395">
        <v>2649.09</v>
      </c>
      <c r="F13339" s="395">
        <v>125.93</v>
      </c>
      <c r="G13339" s="395">
        <v>276.13</v>
      </c>
      <c r="H13339" s="396">
        <v>32610.84</v>
      </c>
      <c r="I13339" s="396">
        <v>30465.67</v>
      </c>
      <c r="J13339" s="396">
        <v>534.27</v>
      </c>
      <c r="K13339" s="396">
        <v>1610.9</v>
      </c>
      <c r="L13339" s="43">
        <v>10.688048768497124</v>
      </c>
      <c r="M13339" s="43">
        <v>11.500428449014565</v>
      </c>
      <c r="N13339" s="43">
        <v>4.2425950925117126</v>
      </c>
      <c r="O13339" s="43">
        <v>5.8338463767066244</v>
      </c>
      <c r="P13339" s="397"/>
      <c r="Q13339" s="397"/>
      <c r="R13339" s="397">
        <v>1</v>
      </c>
    </row>
    <row r="13340" spans="1:18" ht="12.75" customHeight="1">
      <c r="A13340" s="628" t="s">
        <v>24148</v>
      </c>
      <c r="B13340" s="629"/>
      <c r="C13340" s="629"/>
      <c r="D13340" s="629"/>
      <c r="E13340" s="629"/>
      <c r="F13340" s="629"/>
      <c r="G13340" s="629"/>
      <c r="H13340" s="629"/>
      <c r="I13340" s="629"/>
      <c r="J13340" s="629"/>
      <c r="K13340" s="629"/>
      <c r="L13340" s="629"/>
      <c r="M13340" s="629"/>
      <c r="N13340" s="629"/>
      <c r="O13340" s="629"/>
      <c r="P13340" s="629"/>
      <c r="Q13340" s="629"/>
      <c r="R13340" s="629"/>
    </row>
    <row r="13341" spans="1:18" ht="24">
      <c r="A13341" s="393">
        <v>28</v>
      </c>
      <c r="B13341" s="390" t="s">
        <v>24149</v>
      </c>
      <c r="C13341" s="394" t="s">
        <v>24150</v>
      </c>
      <c r="D13341" s="395">
        <v>342.57</v>
      </c>
      <c r="E13341" s="395">
        <v>319.42</v>
      </c>
      <c r="F13341" s="395">
        <v>3.65</v>
      </c>
      <c r="G13341" s="395">
        <v>19.5</v>
      </c>
      <c r="H13341" s="396">
        <v>3827.25</v>
      </c>
      <c r="I13341" s="396">
        <v>3673.49</v>
      </c>
      <c r="J13341" s="396">
        <v>15.44</v>
      </c>
      <c r="K13341" s="396">
        <v>138.32</v>
      </c>
      <c r="L13341" s="43">
        <v>11.172169191698048</v>
      </c>
      <c r="M13341" s="43">
        <v>11.50050090789556</v>
      </c>
      <c r="N13341" s="43">
        <v>4.2301369863013702</v>
      </c>
      <c r="O13341" s="43">
        <v>7.0933333333333328</v>
      </c>
      <c r="P13341" s="397"/>
      <c r="Q13341" s="397"/>
      <c r="R13341" s="397">
        <v>2</v>
      </c>
    </row>
    <row r="13342" spans="1:18" ht="24">
      <c r="A13342" s="393">
        <v>29</v>
      </c>
      <c r="B13342" s="390" t="s">
        <v>24151</v>
      </c>
      <c r="C13342" s="394" t="s">
        <v>24152</v>
      </c>
      <c r="D13342" s="395">
        <v>365.54</v>
      </c>
      <c r="E13342" s="395">
        <v>340.8</v>
      </c>
      <c r="F13342" s="395">
        <v>3.86</v>
      </c>
      <c r="G13342" s="395">
        <v>20.88</v>
      </c>
      <c r="H13342" s="396">
        <v>4085.94</v>
      </c>
      <c r="I13342" s="396">
        <v>3919.2</v>
      </c>
      <c r="J13342" s="396">
        <v>16.350000000000001</v>
      </c>
      <c r="K13342" s="396">
        <v>150.38999999999999</v>
      </c>
      <c r="L13342" s="43">
        <v>11.177819116922908</v>
      </c>
      <c r="M13342" s="43">
        <v>11.499999999999998</v>
      </c>
      <c r="N13342" s="43">
        <v>4.2357512953367884</v>
      </c>
      <c r="O13342" s="43">
        <v>7.2025862068965516</v>
      </c>
      <c r="P13342" s="397"/>
      <c r="Q13342" s="397"/>
      <c r="R13342" s="397">
        <v>2</v>
      </c>
    </row>
    <row r="13343" spans="1:18" ht="12.75" customHeight="1">
      <c r="A13343" s="628" t="s">
        <v>19513</v>
      </c>
      <c r="B13343" s="629"/>
      <c r="C13343" s="629"/>
      <c r="D13343" s="629"/>
      <c r="E13343" s="629"/>
      <c r="F13343" s="629"/>
      <c r="G13343" s="629"/>
      <c r="H13343" s="629"/>
      <c r="I13343" s="629"/>
      <c r="J13343" s="629"/>
      <c r="K13343" s="629"/>
      <c r="L13343" s="629"/>
      <c r="M13343" s="629"/>
      <c r="N13343" s="629"/>
      <c r="O13343" s="629"/>
      <c r="P13343" s="629"/>
      <c r="Q13343" s="629"/>
      <c r="R13343" s="629"/>
    </row>
    <row r="13344" spans="1:18" ht="24">
      <c r="A13344" s="393">
        <v>30</v>
      </c>
      <c r="B13344" s="390" t="s">
        <v>24153</v>
      </c>
      <c r="C13344" s="394" t="s">
        <v>24154</v>
      </c>
      <c r="D13344" s="395">
        <v>321.44</v>
      </c>
      <c r="E13344" s="395">
        <v>304.45</v>
      </c>
      <c r="F13344" s="395">
        <v>2.96</v>
      </c>
      <c r="G13344" s="395">
        <v>14.03</v>
      </c>
      <c r="H13344" s="396">
        <v>3623.37</v>
      </c>
      <c r="I13344" s="396">
        <v>3501.15</v>
      </c>
      <c r="J13344" s="396">
        <v>12.53</v>
      </c>
      <c r="K13344" s="396">
        <v>109.69</v>
      </c>
      <c r="L13344" s="43">
        <v>11.272305873568939</v>
      </c>
      <c r="M13344" s="43">
        <v>11.499917884710134</v>
      </c>
      <c r="N13344" s="43">
        <v>4.2331081081081079</v>
      </c>
      <c r="O13344" s="43">
        <v>7.8182466143977196</v>
      </c>
      <c r="P13344" s="397"/>
      <c r="Q13344" s="397"/>
      <c r="R13344" s="397">
        <v>3</v>
      </c>
    </row>
    <row r="13345" spans="1:18" ht="24">
      <c r="A13345" s="393">
        <v>31</v>
      </c>
      <c r="B13345" s="390" t="s">
        <v>24155</v>
      </c>
      <c r="C13345" s="394" t="s">
        <v>24156</v>
      </c>
      <c r="D13345" s="395">
        <v>362.46</v>
      </c>
      <c r="E13345" s="395">
        <v>340.8</v>
      </c>
      <c r="F13345" s="395">
        <v>3.86</v>
      </c>
      <c r="G13345" s="395">
        <v>17.8</v>
      </c>
      <c r="H13345" s="396">
        <v>4068.39</v>
      </c>
      <c r="I13345" s="396">
        <v>3919.2</v>
      </c>
      <c r="J13345" s="396">
        <v>16.350000000000001</v>
      </c>
      <c r="K13345" s="396">
        <v>132.84</v>
      </c>
      <c r="L13345" s="43">
        <v>11.224383380235061</v>
      </c>
      <c r="M13345" s="43">
        <v>11.499999999999998</v>
      </c>
      <c r="N13345" s="43">
        <v>4.2357512953367884</v>
      </c>
      <c r="O13345" s="43">
        <v>7.4629213483146071</v>
      </c>
      <c r="P13345" s="397"/>
      <c r="Q13345" s="397"/>
      <c r="R13345" s="397">
        <v>3</v>
      </c>
    </row>
    <row r="13346" spans="1:18" ht="12.75" customHeight="1">
      <c r="A13346" s="628" t="s">
        <v>24157</v>
      </c>
      <c r="B13346" s="629"/>
      <c r="C13346" s="629"/>
      <c r="D13346" s="629"/>
      <c r="E13346" s="629"/>
      <c r="F13346" s="629"/>
      <c r="G13346" s="629"/>
      <c r="H13346" s="629"/>
      <c r="I13346" s="629"/>
      <c r="J13346" s="629"/>
      <c r="K13346" s="629"/>
      <c r="L13346" s="629"/>
      <c r="M13346" s="629"/>
      <c r="N13346" s="629"/>
      <c r="O13346" s="629"/>
      <c r="P13346" s="629"/>
      <c r="Q13346" s="629"/>
      <c r="R13346" s="629"/>
    </row>
    <row r="13347" spans="1:18" ht="24">
      <c r="A13347" s="393">
        <v>32</v>
      </c>
      <c r="B13347" s="390" t="s">
        <v>24158</v>
      </c>
      <c r="C13347" s="394" t="s">
        <v>24159</v>
      </c>
      <c r="D13347" s="395">
        <v>608.65</v>
      </c>
      <c r="E13347" s="395">
        <v>580.25</v>
      </c>
      <c r="F13347" s="395">
        <v>6.21</v>
      </c>
      <c r="G13347" s="395">
        <v>22.19</v>
      </c>
      <c r="H13347" s="396">
        <v>6884.19</v>
      </c>
      <c r="I13347" s="396">
        <v>6673.07</v>
      </c>
      <c r="J13347" s="396">
        <v>26.31</v>
      </c>
      <c r="K13347" s="396">
        <v>184.81</v>
      </c>
      <c r="L13347" s="43">
        <v>11.310589008461349</v>
      </c>
      <c r="M13347" s="43">
        <v>11.500336062042223</v>
      </c>
      <c r="N13347" s="43">
        <v>4.2367149758454108</v>
      </c>
      <c r="O13347" s="43">
        <v>8.3285263632266791</v>
      </c>
      <c r="P13347" s="397"/>
      <c r="Q13347" s="397"/>
      <c r="R13347" s="397">
        <v>4</v>
      </c>
    </row>
    <row r="13348" spans="1:18" ht="24">
      <c r="A13348" s="393">
        <v>33</v>
      </c>
      <c r="B13348" s="390" t="s">
        <v>24160</v>
      </c>
      <c r="C13348" s="394" t="s">
        <v>24161</v>
      </c>
      <c r="D13348" s="395">
        <v>615.67999999999995</v>
      </c>
      <c r="E13348" s="395">
        <v>587.14</v>
      </c>
      <c r="F13348" s="395">
        <v>6.21</v>
      </c>
      <c r="G13348" s="395">
        <v>22.33</v>
      </c>
      <c r="H13348" s="396">
        <v>6965.08</v>
      </c>
      <c r="I13348" s="396">
        <v>6752.35</v>
      </c>
      <c r="J13348" s="396">
        <v>26.31</v>
      </c>
      <c r="K13348" s="396">
        <v>186.42</v>
      </c>
      <c r="L13348" s="43">
        <v>11.312824844074845</v>
      </c>
      <c r="M13348" s="43">
        <v>11.500408761113194</v>
      </c>
      <c r="N13348" s="43">
        <v>4.2367149758454108</v>
      </c>
      <c r="O13348" s="43">
        <v>8.3484102104791766</v>
      </c>
      <c r="P13348" s="397"/>
      <c r="Q13348" s="397"/>
      <c r="R13348" s="397">
        <v>4</v>
      </c>
    </row>
    <row r="13349" spans="1:18" ht="12.75" customHeight="1">
      <c r="A13349" s="628" t="s">
        <v>24162</v>
      </c>
      <c r="B13349" s="629"/>
      <c r="C13349" s="629"/>
      <c r="D13349" s="629"/>
      <c r="E13349" s="629"/>
      <c r="F13349" s="629"/>
      <c r="G13349" s="629"/>
      <c r="H13349" s="629"/>
      <c r="I13349" s="629"/>
      <c r="J13349" s="629"/>
      <c r="K13349" s="629"/>
      <c r="L13349" s="629"/>
      <c r="M13349" s="629"/>
      <c r="N13349" s="629"/>
      <c r="O13349" s="629"/>
      <c r="P13349" s="629"/>
      <c r="Q13349" s="629"/>
      <c r="R13349" s="629"/>
    </row>
    <row r="13350" spans="1:18" ht="24">
      <c r="A13350" s="393">
        <v>34</v>
      </c>
      <c r="B13350" s="390" t="s">
        <v>24163</v>
      </c>
      <c r="C13350" s="394" t="s">
        <v>24164</v>
      </c>
      <c r="D13350" s="395">
        <v>1122.99</v>
      </c>
      <c r="E13350" s="395">
        <v>999.63</v>
      </c>
      <c r="F13350" s="395">
        <v>41.12</v>
      </c>
      <c r="G13350" s="395">
        <v>82.24</v>
      </c>
      <c r="H13350" s="396">
        <v>12254.87</v>
      </c>
      <c r="I13350" s="396">
        <v>11496.18</v>
      </c>
      <c r="J13350" s="396">
        <v>173.44</v>
      </c>
      <c r="K13350" s="396">
        <v>585.25</v>
      </c>
      <c r="L13350" s="43">
        <v>10.912715162200911</v>
      </c>
      <c r="M13350" s="43">
        <v>11.500435161009573</v>
      </c>
      <c r="N13350" s="43">
        <v>4.217898832684825</v>
      </c>
      <c r="O13350" s="43">
        <v>7.1163667315175099</v>
      </c>
      <c r="P13350" s="397"/>
      <c r="Q13350" s="397"/>
      <c r="R13350" s="397">
        <v>5</v>
      </c>
    </row>
    <row r="13351" spans="1:18" ht="24">
      <c r="A13351" s="393">
        <v>35</v>
      </c>
      <c r="B13351" s="390" t="s">
        <v>24165</v>
      </c>
      <c r="C13351" s="394" t="s">
        <v>24166</v>
      </c>
      <c r="D13351" s="395">
        <v>1708.2</v>
      </c>
      <c r="E13351" s="395">
        <v>1516.68</v>
      </c>
      <c r="F13351" s="395">
        <v>74.819999999999993</v>
      </c>
      <c r="G13351" s="395">
        <v>116.7</v>
      </c>
      <c r="H13351" s="396">
        <v>18585.7</v>
      </c>
      <c r="I13351" s="396">
        <v>17442.48</v>
      </c>
      <c r="J13351" s="396">
        <v>316.69</v>
      </c>
      <c r="K13351" s="396">
        <v>826.53</v>
      </c>
      <c r="L13351" s="43">
        <v>10.880283339187448</v>
      </c>
      <c r="M13351" s="43">
        <v>11.500435161009573</v>
      </c>
      <c r="N13351" s="43">
        <v>4.2326917936380655</v>
      </c>
      <c r="O13351" s="43">
        <v>7.0825192802056547</v>
      </c>
      <c r="P13351" s="397"/>
      <c r="Q13351" s="397"/>
      <c r="R13351" s="397">
        <v>5</v>
      </c>
    </row>
    <row r="13352" spans="1:18" ht="24">
      <c r="A13352" s="393">
        <v>36</v>
      </c>
      <c r="B13352" s="390" t="s">
        <v>24167</v>
      </c>
      <c r="C13352" s="394" t="s">
        <v>24168</v>
      </c>
      <c r="D13352" s="395">
        <v>771.76</v>
      </c>
      <c r="E13352" s="395">
        <v>712.38</v>
      </c>
      <c r="F13352" s="395">
        <v>14.32</v>
      </c>
      <c r="G13352" s="395">
        <v>45.06</v>
      </c>
      <c r="H13352" s="396">
        <v>8604.64</v>
      </c>
      <c r="I13352" s="396">
        <v>8192.68</v>
      </c>
      <c r="J13352" s="396">
        <v>61.32</v>
      </c>
      <c r="K13352" s="396">
        <v>350.64</v>
      </c>
      <c r="L13352" s="43">
        <v>11.149372862029646</v>
      </c>
      <c r="M13352" s="43">
        <v>11.500435161009573</v>
      </c>
      <c r="N13352" s="43">
        <v>4.2821229050279328</v>
      </c>
      <c r="O13352" s="43">
        <v>7.781624500665778</v>
      </c>
      <c r="P13352" s="397"/>
      <c r="Q13352" s="397"/>
      <c r="R13352" s="397">
        <v>5</v>
      </c>
    </row>
    <row r="13353" spans="1:18" ht="24">
      <c r="A13353" s="393">
        <v>37</v>
      </c>
      <c r="B13353" s="390" t="s">
        <v>24169</v>
      </c>
      <c r="C13353" s="394" t="s">
        <v>24170</v>
      </c>
      <c r="D13353" s="395">
        <v>882.11</v>
      </c>
      <c r="E13353" s="395">
        <v>781.32</v>
      </c>
      <c r="F13353" s="395">
        <v>16.899999999999999</v>
      </c>
      <c r="G13353" s="395">
        <v>83.89</v>
      </c>
      <c r="H13353" s="396">
        <v>9744.5</v>
      </c>
      <c r="I13353" s="396">
        <v>8985.52</v>
      </c>
      <c r="J13353" s="396">
        <v>72.37</v>
      </c>
      <c r="K13353" s="396">
        <v>686.61</v>
      </c>
      <c r="L13353" s="43">
        <v>11.046808221196903</v>
      </c>
      <c r="M13353" s="43">
        <v>11.500435161009573</v>
      </c>
      <c r="N13353" s="43">
        <v>4.28224852071006</v>
      </c>
      <c r="O13353" s="43">
        <v>8.1846465609727019</v>
      </c>
      <c r="P13353" s="397"/>
      <c r="Q13353" s="397"/>
      <c r="R13353" s="397">
        <v>5</v>
      </c>
    </row>
    <row r="13354" spans="1:18" ht="24">
      <c r="A13354" s="393">
        <v>38</v>
      </c>
      <c r="B13354" s="390" t="s">
        <v>24171</v>
      </c>
      <c r="C13354" s="394" t="s">
        <v>24172</v>
      </c>
      <c r="D13354" s="395">
        <v>1314.85</v>
      </c>
      <c r="E13354" s="395">
        <v>1160.49</v>
      </c>
      <c r="F13354" s="395">
        <v>58.06</v>
      </c>
      <c r="G13354" s="395">
        <v>96.3</v>
      </c>
      <c r="H13354" s="396">
        <v>14284.56</v>
      </c>
      <c r="I13354" s="396">
        <v>13346.14</v>
      </c>
      <c r="J13354" s="396">
        <v>244.9</v>
      </c>
      <c r="K13354" s="396">
        <v>693.52</v>
      </c>
      <c r="L13354" s="43">
        <v>10.864022512073621</v>
      </c>
      <c r="M13354" s="43">
        <v>11.500435161009573</v>
      </c>
      <c r="N13354" s="43">
        <v>4.2180502928005508</v>
      </c>
      <c r="O13354" s="43">
        <v>7.2016614745586711</v>
      </c>
      <c r="P13354" s="397"/>
      <c r="Q13354" s="397"/>
      <c r="R13354" s="397">
        <v>5</v>
      </c>
    </row>
    <row r="13355" spans="1:18" ht="12.75" customHeight="1">
      <c r="A13355" s="628" t="s">
        <v>24173</v>
      </c>
      <c r="B13355" s="629"/>
      <c r="C13355" s="629"/>
      <c r="D13355" s="629"/>
      <c r="E13355" s="629"/>
      <c r="F13355" s="629"/>
      <c r="G13355" s="629"/>
      <c r="H13355" s="629"/>
      <c r="I13355" s="629"/>
      <c r="J13355" s="629"/>
      <c r="K13355" s="629"/>
      <c r="L13355" s="629"/>
      <c r="M13355" s="629"/>
      <c r="N13355" s="629"/>
      <c r="O13355" s="629"/>
      <c r="P13355" s="629"/>
      <c r="Q13355" s="629"/>
      <c r="R13355" s="629"/>
    </row>
    <row r="13356" spans="1:18" ht="24">
      <c r="A13356" s="393">
        <v>39</v>
      </c>
      <c r="B13356" s="390" t="s">
        <v>24174</v>
      </c>
      <c r="C13356" s="394" t="s">
        <v>24175</v>
      </c>
      <c r="D13356" s="395">
        <v>232.6</v>
      </c>
      <c r="E13356" s="395">
        <v>210.16</v>
      </c>
      <c r="F13356" s="395">
        <v>1.2</v>
      </c>
      <c r="G13356" s="395">
        <v>21.24</v>
      </c>
      <c r="H13356" s="396">
        <v>2574.85</v>
      </c>
      <c r="I13356" s="396">
        <v>2416.84</v>
      </c>
      <c r="J13356" s="396">
        <v>5.0599999999999996</v>
      </c>
      <c r="K13356" s="396">
        <v>152.94999999999999</v>
      </c>
      <c r="L13356" s="43">
        <v>11.069862424763542</v>
      </c>
      <c r="M13356" s="43">
        <v>11.5</v>
      </c>
      <c r="N13356" s="43">
        <v>4.2166666666666668</v>
      </c>
      <c r="O13356" s="43">
        <v>7.2010357815442561</v>
      </c>
      <c r="P13356" s="397"/>
      <c r="Q13356" s="397"/>
      <c r="R13356" s="397">
        <v>6</v>
      </c>
    </row>
    <row r="13357" spans="1:18" ht="24">
      <c r="A13357" s="393">
        <v>40</v>
      </c>
      <c r="B13357" s="390" t="s">
        <v>24176</v>
      </c>
      <c r="C13357" s="394" t="s">
        <v>24177</v>
      </c>
      <c r="D13357" s="395">
        <v>483.43</v>
      </c>
      <c r="E13357" s="395">
        <v>374.88</v>
      </c>
      <c r="F13357" s="395">
        <v>14.32</v>
      </c>
      <c r="G13357" s="395">
        <v>94.23</v>
      </c>
      <c r="H13357" s="396">
        <v>5027.7</v>
      </c>
      <c r="I13357" s="396">
        <v>4311.12</v>
      </c>
      <c r="J13357" s="396">
        <v>60.41</v>
      </c>
      <c r="K13357" s="396">
        <v>656.17</v>
      </c>
      <c r="L13357" s="43">
        <v>10.400057919450592</v>
      </c>
      <c r="M13357" s="43">
        <v>11.5</v>
      </c>
      <c r="N13357" s="43">
        <v>4.2185754189944129</v>
      </c>
      <c r="O13357" s="43">
        <v>6.9634935795394242</v>
      </c>
      <c r="P13357" s="397"/>
      <c r="Q13357" s="397"/>
      <c r="R13357" s="397">
        <v>6</v>
      </c>
    </row>
    <row r="13358" spans="1:18" ht="12.75" customHeight="1">
      <c r="A13358" s="628" t="s">
        <v>24178</v>
      </c>
      <c r="B13358" s="629"/>
      <c r="C13358" s="629"/>
      <c r="D13358" s="629"/>
      <c r="E13358" s="629"/>
      <c r="F13358" s="629"/>
      <c r="G13358" s="629"/>
      <c r="H13358" s="629"/>
      <c r="I13358" s="629"/>
      <c r="J13358" s="629"/>
      <c r="K13358" s="629"/>
      <c r="L13358" s="629"/>
      <c r="M13358" s="629"/>
      <c r="N13358" s="629"/>
      <c r="O13358" s="629"/>
      <c r="P13358" s="629"/>
      <c r="Q13358" s="629"/>
      <c r="R13358" s="629"/>
    </row>
    <row r="13359" spans="1:18" ht="24">
      <c r="A13359" s="393">
        <v>41</v>
      </c>
      <c r="B13359" s="390" t="s">
        <v>24179</v>
      </c>
      <c r="C13359" s="394" t="s">
        <v>24180</v>
      </c>
      <c r="D13359" s="395">
        <v>500.13</v>
      </c>
      <c r="E13359" s="395">
        <v>473.39</v>
      </c>
      <c r="F13359" s="395">
        <v>6.13</v>
      </c>
      <c r="G13359" s="395">
        <v>20.61</v>
      </c>
      <c r="H13359" s="396">
        <v>5636.13</v>
      </c>
      <c r="I13359" s="396">
        <v>5444.17</v>
      </c>
      <c r="J13359" s="396">
        <v>25.98</v>
      </c>
      <c r="K13359" s="396">
        <v>165.98</v>
      </c>
      <c r="L13359" s="43">
        <v>11.269329974206707</v>
      </c>
      <c r="M13359" s="43">
        <v>11.500390798284712</v>
      </c>
      <c r="N13359" s="43">
        <v>4.2381729200652529</v>
      </c>
      <c r="O13359" s="43">
        <v>8.0533721494420174</v>
      </c>
      <c r="P13359" s="397"/>
      <c r="Q13359" s="397"/>
      <c r="R13359" s="397">
        <v>7</v>
      </c>
    </row>
    <row r="13360" spans="1:18" ht="24">
      <c r="A13360" s="393">
        <v>42</v>
      </c>
      <c r="B13360" s="390" t="s">
        <v>24181</v>
      </c>
      <c r="C13360" s="394" t="s">
        <v>24182</v>
      </c>
      <c r="D13360" s="395">
        <v>504.02</v>
      </c>
      <c r="E13360" s="395">
        <v>473.39</v>
      </c>
      <c r="F13360" s="395">
        <v>6.37</v>
      </c>
      <c r="G13360" s="395">
        <v>24.26</v>
      </c>
      <c r="H13360" s="396">
        <v>5655.97</v>
      </c>
      <c r="I13360" s="396">
        <v>5444.17</v>
      </c>
      <c r="J13360" s="396">
        <v>26.98</v>
      </c>
      <c r="K13360" s="396">
        <v>184.82</v>
      </c>
      <c r="L13360" s="43">
        <v>11.221717392166978</v>
      </c>
      <c r="M13360" s="43">
        <v>11.500390798284712</v>
      </c>
      <c r="N13360" s="43">
        <v>4.2354788069073788</v>
      </c>
      <c r="O13360" s="43">
        <v>7.6183017312448467</v>
      </c>
      <c r="P13360" s="397"/>
      <c r="Q13360" s="397"/>
      <c r="R13360" s="397">
        <v>7</v>
      </c>
    </row>
    <row r="13361" spans="1:18" ht="24">
      <c r="A13361" s="393">
        <v>43</v>
      </c>
      <c r="B13361" s="390" t="s">
        <v>24183</v>
      </c>
      <c r="C13361" s="394" t="s">
        <v>24184</v>
      </c>
      <c r="D13361" s="395">
        <v>666.79</v>
      </c>
      <c r="E13361" s="395">
        <v>603.23</v>
      </c>
      <c r="F13361" s="395">
        <v>17.350000000000001</v>
      </c>
      <c r="G13361" s="395">
        <v>46.21</v>
      </c>
      <c r="H13361" s="396">
        <v>7330.71</v>
      </c>
      <c r="I13361" s="396">
        <v>6937.35</v>
      </c>
      <c r="J13361" s="396">
        <v>74.290000000000006</v>
      </c>
      <c r="K13361" s="396">
        <v>319.07</v>
      </c>
      <c r="L13361" s="43">
        <v>10.994031104245716</v>
      </c>
      <c r="M13361" s="43">
        <v>11.500339837209689</v>
      </c>
      <c r="N13361" s="43">
        <v>4.2818443804034585</v>
      </c>
      <c r="O13361" s="43">
        <v>6.9047825146072279</v>
      </c>
      <c r="P13361" s="397"/>
      <c r="Q13361" s="397"/>
      <c r="R13361" s="397">
        <v>7</v>
      </c>
    </row>
    <row r="13362" spans="1:18" ht="12.75" customHeight="1">
      <c r="A13362" s="628" t="s">
        <v>24185</v>
      </c>
      <c r="B13362" s="629"/>
      <c r="C13362" s="629"/>
      <c r="D13362" s="629"/>
      <c r="E13362" s="629"/>
      <c r="F13362" s="629"/>
      <c r="G13362" s="629"/>
      <c r="H13362" s="629"/>
      <c r="I13362" s="629"/>
      <c r="J13362" s="629"/>
      <c r="K13362" s="629"/>
      <c r="L13362" s="629"/>
      <c r="M13362" s="629"/>
      <c r="N13362" s="629"/>
      <c r="O13362" s="629"/>
      <c r="P13362" s="629"/>
      <c r="Q13362" s="629"/>
      <c r="R13362" s="629"/>
    </row>
    <row r="13363" spans="1:18" ht="12.75" customHeight="1">
      <c r="A13363" s="628" t="s">
        <v>24186</v>
      </c>
      <c r="B13363" s="629"/>
      <c r="C13363" s="629"/>
      <c r="D13363" s="629"/>
      <c r="E13363" s="629"/>
      <c r="F13363" s="629"/>
      <c r="G13363" s="629"/>
      <c r="H13363" s="629"/>
      <c r="I13363" s="629"/>
      <c r="J13363" s="629"/>
      <c r="K13363" s="629"/>
      <c r="L13363" s="629"/>
      <c r="M13363" s="629"/>
      <c r="N13363" s="629"/>
      <c r="O13363" s="629"/>
      <c r="P13363" s="629"/>
      <c r="Q13363" s="629"/>
      <c r="R13363" s="629"/>
    </row>
    <row r="13364" spans="1:18" ht="24">
      <c r="A13364" s="393">
        <v>44</v>
      </c>
      <c r="B13364" s="390" t="s">
        <v>24187</v>
      </c>
      <c r="C13364" s="394" t="s">
        <v>24188</v>
      </c>
      <c r="D13364" s="395">
        <v>1984.86</v>
      </c>
      <c r="E13364" s="395">
        <v>1551.15</v>
      </c>
      <c r="F13364" s="395">
        <v>59.06</v>
      </c>
      <c r="G13364" s="395">
        <v>374.65</v>
      </c>
      <c r="H13364" s="396">
        <v>19957.96</v>
      </c>
      <c r="I13364" s="396">
        <v>17838.900000000001</v>
      </c>
      <c r="J13364" s="396">
        <v>249.98</v>
      </c>
      <c r="K13364" s="396">
        <v>1869.08</v>
      </c>
      <c r="L13364" s="43">
        <v>10.055097084932942</v>
      </c>
      <c r="M13364" s="43">
        <v>11.500435161009573</v>
      </c>
      <c r="N13364" s="43">
        <v>4.2326447680325092</v>
      </c>
      <c r="O13364" s="43">
        <v>4.9888696116375284</v>
      </c>
      <c r="P13364" s="397"/>
      <c r="Q13364" s="397"/>
      <c r="R13364" s="397">
        <v>1</v>
      </c>
    </row>
    <row r="13365" spans="1:18" ht="24">
      <c r="A13365" s="393">
        <v>45</v>
      </c>
      <c r="B13365" s="390" t="s">
        <v>24189</v>
      </c>
      <c r="C13365" s="394" t="s">
        <v>24190</v>
      </c>
      <c r="D13365" s="395">
        <v>2784.22</v>
      </c>
      <c r="E13365" s="395">
        <v>2355.4499999999998</v>
      </c>
      <c r="F13365" s="395">
        <v>170.31</v>
      </c>
      <c r="G13365" s="395">
        <v>258.45999999999998</v>
      </c>
      <c r="H13365" s="396">
        <v>29451.22</v>
      </c>
      <c r="I13365" s="396">
        <v>27088.7</v>
      </c>
      <c r="J13365" s="396">
        <v>844.11</v>
      </c>
      <c r="K13365" s="396">
        <v>1518.41</v>
      </c>
      <c r="L13365" s="43">
        <v>10.577906918275138</v>
      </c>
      <c r="M13365" s="43">
        <v>11.500435161009575</v>
      </c>
      <c r="N13365" s="43">
        <v>4.9563149550819094</v>
      </c>
      <c r="O13365" s="43">
        <v>5.8748355644974088</v>
      </c>
      <c r="P13365" s="397"/>
      <c r="Q13365" s="397"/>
      <c r="R13365" s="397">
        <v>1</v>
      </c>
    </row>
    <row r="13366" spans="1:18" ht="12.75" customHeight="1">
      <c r="A13366" s="628" t="s">
        <v>24191</v>
      </c>
      <c r="B13366" s="629"/>
      <c r="C13366" s="629"/>
      <c r="D13366" s="629"/>
      <c r="E13366" s="629"/>
      <c r="F13366" s="629"/>
      <c r="G13366" s="629"/>
      <c r="H13366" s="629"/>
      <c r="I13366" s="629"/>
      <c r="J13366" s="629"/>
      <c r="K13366" s="629"/>
      <c r="L13366" s="629"/>
      <c r="M13366" s="629"/>
      <c r="N13366" s="629"/>
      <c r="O13366" s="629"/>
      <c r="P13366" s="629"/>
      <c r="Q13366" s="629"/>
      <c r="R13366" s="629"/>
    </row>
    <row r="13367" spans="1:18" ht="24">
      <c r="A13367" s="393">
        <v>46</v>
      </c>
      <c r="B13367" s="390" t="s">
        <v>24192</v>
      </c>
      <c r="C13367" s="394" t="s">
        <v>24193</v>
      </c>
      <c r="D13367" s="395">
        <v>596.84</v>
      </c>
      <c r="E13367" s="395">
        <v>533.14</v>
      </c>
      <c r="F13367" s="395">
        <v>14.74</v>
      </c>
      <c r="G13367" s="395">
        <v>48.96</v>
      </c>
      <c r="H13367" s="396">
        <v>6562.44</v>
      </c>
      <c r="I13367" s="396">
        <v>6131.3</v>
      </c>
      <c r="J13367" s="396">
        <v>63.08</v>
      </c>
      <c r="K13367" s="396">
        <v>368.06</v>
      </c>
      <c r="L13367" s="43">
        <v>10.995308625427249</v>
      </c>
      <c r="M13367" s="43">
        <v>11.500356379187457</v>
      </c>
      <c r="N13367" s="43">
        <v>4.2795115332428759</v>
      </c>
      <c r="O13367" s="43">
        <v>7.5175653594771239</v>
      </c>
      <c r="P13367" s="397"/>
      <c r="Q13367" s="397"/>
      <c r="R13367" s="397">
        <v>2</v>
      </c>
    </row>
    <row r="13368" spans="1:18" ht="12.75" customHeight="1">
      <c r="A13368" s="628" t="s">
        <v>24194</v>
      </c>
      <c r="B13368" s="629"/>
      <c r="C13368" s="629"/>
      <c r="D13368" s="629"/>
      <c r="E13368" s="629"/>
      <c r="F13368" s="629"/>
      <c r="G13368" s="629"/>
      <c r="H13368" s="629"/>
      <c r="I13368" s="629"/>
      <c r="J13368" s="629"/>
      <c r="K13368" s="629"/>
      <c r="L13368" s="629"/>
      <c r="M13368" s="629"/>
      <c r="N13368" s="629"/>
      <c r="O13368" s="629"/>
      <c r="P13368" s="629"/>
      <c r="Q13368" s="629"/>
      <c r="R13368" s="629"/>
    </row>
    <row r="13369" spans="1:18" ht="24">
      <c r="A13369" s="393">
        <v>47</v>
      </c>
      <c r="B13369" s="390" t="s">
        <v>24195</v>
      </c>
      <c r="C13369" s="394" t="s">
        <v>24196</v>
      </c>
      <c r="D13369" s="395">
        <v>9044.0400000000009</v>
      </c>
      <c r="E13369" s="395">
        <v>8017.29</v>
      </c>
      <c r="F13369" s="395">
        <v>490.79</v>
      </c>
      <c r="G13369" s="395">
        <v>535.96</v>
      </c>
      <c r="H13369" s="396">
        <v>98219.69</v>
      </c>
      <c r="I13369" s="396">
        <v>92202.27</v>
      </c>
      <c r="J13369" s="396">
        <v>2432.52</v>
      </c>
      <c r="K13369" s="396">
        <v>3584.9</v>
      </c>
      <c r="L13369" s="43">
        <v>10.860156522969822</v>
      </c>
      <c r="M13369" s="43">
        <v>11.500428449014567</v>
      </c>
      <c r="N13369" s="43">
        <v>4.9563357036614439</v>
      </c>
      <c r="O13369" s="43">
        <v>6.6887454287633403</v>
      </c>
      <c r="P13369" s="397"/>
      <c r="Q13369" s="397"/>
      <c r="R13369" s="397">
        <v>3</v>
      </c>
    </row>
    <row r="13370" spans="1:18" ht="12.75" customHeight="1">
      <c r="A13370" s="628" t="s">
        <v>24197</v>
      </c>
      <c r="B13370" s="629"/>
      <c r="C13370" s="629"/>
      <c r="D13370" s="629"/>
      <c r="E13370" s="629"/>
      <c r="F13370" s="629"/>
      <c r="G13370" s="629"/>
      <c r="H13370" s="629"/>
      <c r="I13370" s="629"/>
      <c r="J13370" s="629"/>
      <c r="K13370" s="629"/>
      <c r="L13370" s="629"/>
      <c r="M13370" s="629"/>
      <c r="N13370" s="629"/>
      <c r="O13370" s="629"/>
      <c r="P13370" s="629"/>
      <c r="Q13370" s="629"/>
      <c r="R13370" s="629"/>
    </row>
    <row r="13371" spans="1:18" ht="24">
      <c r="A13371" s="393">
        <v>48</v>
      </c>
      <c r="B13371" s="390" t="s">
        <v>24198</v>
      </c>
      <c r="C13371" s="394" t="s">
        <v>24199</v>
      </c>
      <c r="D13371" s="395">
        <v>1050.6500000000001</v>
      </c>
      <c r="E13371" s="395">
        <v>807.7</v>
      </c>
      <c r="F13371" s="395">
        <v>47.12</v>
      </c>
      <c r="G13371" s="395">
        <v>195.83</v>
      </c>
      <c r="H13371" s="396">
        <v>10541.08</v>
      </c>
      <c r="I13371" s="396">
        <v>9288.5</v>
      </c>
      <c r="J13371" s="396">
        <v>199.44</v>
      </c>
      <c r="K13371" s="396">
        <v>1053.1400000000001</v>
      </c>
      <c r="L13371" s="43">
        <v>10.032912958644648</v>
      </c>
      <c r="M13371" s="43">
        <v>11.499938095827659</v>
      </c>
      <c r="N13371" s="43">
        <v>4.2325976230899833</v>
      </c>
      <c r="O13371" s="43">
        <v>5.3778277077056629</v>
      </c>
      <c r="P13371" s="397"/>
      <c r="Q13371" s="397"/>
      <c r="R13371" s="397">
        <v>4</v>
      </c>
    </row>
    <row r="13372" spans="1:18" ht="24">
      <c r="A13372" s="393">
        <v>49</v>
      </c>
      <c r="B13372" s="390" t="s">
        <v>24200</v>
      </c>
      <c r="C13372" s="394" t="s">
        <v>24201</v>
      </c>
      <c r="D13372" s="395">
        <v>739.12</v>
      </c>
      <c r="E13372" s="395">
        <v>585.04</v>
      </c>
      <c r="F13372" s="395">
        <v>14.32</v>
      </c>
      <c r="G13372" s="395">
        <v>139.76</v>
      </c>
      <c r="H13372" s="396">
        <v>7555.78</v>
      </c>
      <c r="I13372" s="396">
        <v>6727.96</v>
      </c>
      <c r="J13372" s="396">
        <v>60.41</v>
      </c>
      <c r="K13372" s="396">
        <v>767.41</v>
      </c>
      <c r="L13372" s="43">
        <v>10.222670202402856</v>
      </c>
      <c r="M13372" s="43">
        <v>11.5</v>
      </c>
      <c r="N13372" s="43">
        <v>4.2185754189944129</v>
      </c>
      <c r="O13372" s="43">
        <v>5.4909129937034917</v>
      </c>
      <c r="P13372" s="397"/>
      <c r="Q13372" s="397"/>
      <c r="R13372" s="397">
        <v>4</v>
      </c>
    </row>
    <row r="13373" spans="1:18" ht="12.75" customHeight="1">
      <c r="A13373" s="628" t="s">
        <v>24202</v>
      </c>
      <c r="B13373" s="629"/>
      <c r="C13373" s="629"/>
      <c r="D13373" s="629"/>
      <c r="E13373" s="629"/>
      <c r="F13373" s="629"/>
      <c r="G13373" s="629"/>
      <c r="H13373" s="629"/>
      <c r="I13373" s="629"/>
      <c r="J13373" s="629"/>
      <c r="K13373" s="629"/>
      <c r="L13373" s="629"/>
      <c r="M13373" s="629"/>
      <c r="N13373" s="629"/>
      <c r="O13373" s="629"/>
      <c r="P13373" s="629"/>
      <c r="Q13373" s="629"/>
      <c r="R13373" s="629"/>
    </row>
    <row r="13374" spans="1:18" ht="24">
      <c r="A13374" s="393">
        <v>50</v>
      </c>
      <c r="B13374" s="390" t="s">
        <v>24203</v>
      </c>
      <c r="C13374" s="394" t="s">
        <v>24204</v>
      </c>
      <c r="D13374" s="395">
        <v>649.01</v>
      </c>
      <c r="E13374" s="395">
        <v>601.01</v>
      </c>
      <c r="F13374" s="395">
        <v>16.899999999999999</v>
      </c>
      <c r="G13374" s="395">
        <v>31.1</v>
      </c>
      <c r="H13374" s="396">
        <v>7215.82</v>
      </c>
      <c r="I13374" s="396">
        <v>6911.82</v>
      </c>
      <c r="J13374" s="396">
        <v>72.37</v>
      </c>
      <c r="K13374" s="396">
        <v>231.63</v>
      </c>
      <c r="L13374" s="43">
        <v>11.118195405309626</v>
      </c>
      <c r="M13374" s="43">
        <v>11.500341092494301</v>
      </c>
      <c r="N13374" s="43">
        <v>4.28224852071006</v>
      </c>
      <c r="O13374" s="43">
        <v>7.4479099678456588</v>
      </c>
      <c r="P13374" s="397"/>
      <c r="Q13374" s="397"/>
      <c r="R13374" s="397">
        <v>5</v>
      </c>
    </row>
    <row r="13375" spans="1:18" ht="24">
      <c r="A13375" s="393">
        <v>51</v>
      </c>
      <c r="B13375" s="390" t="s">
        <v>24205</v>
      </c>
      <c r="C13375" s="394" t="s">
        <v>24206</v>
      </c>
      <c r="D13375" s="395">
        <v>962.36</v>
      </c>
      <c r="E13375" s="395">
        <v>925.43</v>
      </c>
      <c r="F13375" s="395">
        <v>4.3099999999999996</v>
      </c>
      <c r="G13375" s="395">
        <v>32.619999999999997</v>
      </c>
      <c r="H13375" s="396">
        <v>10944.32</v>
      </c>
      <c r="I13375" s="396">
        <v>10642.85</v>
      </c>
      <c r="J13375" s="396">
        <v>18.260000000000002</v>
      </c>
      <c r="K13375" s="396">
        <v>283.20999999999998</v>
      </c>
      <c r="L13375" s="43">
        <v>11.372376241739058</v>
      </c>
      <c r="M13375" s="43">
        <v>11.500437634396985</v>
      </c>
      <c r="N13375" s="43">
        <v>4.2366589327146178</v>
      </c>
      <c r="O13375" s="43">
        <v>8.6820968730839976</v>
      </c>
      <c r="P13375" s="397"/>
      <c r="Q13375" s="397"/>
      <c r="R13375" s="397">
        <v>5</v>
      </c>
    </row>
    <row r="13376" spans="1:18" ht="12.75" customHeight="1">
      <c r="A13376" s="628" t="s">
        <v>24207</v>
      </c>
      <c r="B13376" s="629"/>
      <c r="C13376" s="629"/>
      <c r="D13376" s="629"/>
      <c r="E13376" s="629"/>
      <c r="F13376" s="629"/>
      <c r="G13376" s="629"/>
      <c r="H13376" s="629"/>
      <c r="I13376" s="629"/>
      <c r="J13376" s="629"/>
      <c r="K13376" s="629"/>
      <c r="L13376" s="629"/>
      <c r="M13376" s="629"/>
      <c r="N13376" s="629"/>
      <c r="O13376" s="629"/>
      <c r="P13376" s="629"/>
      <c r="Q13376" s="629"/>
      <c r="R13376" s="629"/>
    </row>
    <row r="13377" spans="1:18" ht="24">
      <c r="A13377" s="393">
        <v>52</v>
      </c>
      <c r="B13377" s="390" t="s">
        <v>24208</v>
      </c>
      <c r="C13377" s="394" t="s">
        <v>24209</v>
      </c>
      <c r="D13377" s="395">
        <v>3812.87</v>
      </c>
      <c r="E13377" s="395">
        <v>3337.62</v>
      </c>
      <c r="F13377" s="395">
        <v>193.8</v>
      </c>
      <c r="G13377" s="395">
        <v>281.45</v>
      </c>
      <c r="H13377" s="396">
        <v>40922.160000000003</v>
      </c>
      <c r="I13377" s="396">
        <v>38384.06</v>
      </c>
      <c r="J13377" s="396">
        <v>822.23</v>
      </c>
      <c r="K13377" s="396">
        <v>1715.87</v>
      </c>
      <c r="L13377" s="43">
        <v>10.732639717588064</v>
      </c>
      <c r="M13377" s="43">
        <v>11.500428449014567</v>
      </c>
      <c r="N13377" s="43">
        <v>4.2426728586171309</v>
      </c>
      <c r="O13377" s="43">
        <v>6.0965357967667435</v>
      </c>
      <c r="P13377" s="397"/>
      <c r="Q13377" s="397"/>
      <c r="R13377" s="397">
        <v>6</v>
      </c>
    </row>
    <row r="13378" spans="1:18" ht="12.75" customHeight="1">
      <c r="A13378" s="628" t="s">
        <v>24210</v>
      </c>
      <c r="B13378" s="629"/>
      <c r="C13378" s="629"/>
      <c r="D13378" s="629"/>
      <c r="E13378" s="629"/>
      <c r="F13378" s="629"/>
      <c r="G13378" s="629"/>
      <c r="H13378" s="629"/>
      <c r="I13378" s="629"/>
      <c r="J13378" s="629"/>
      <c r="K13378" s="629"/>
      <c r="L13378" s="629"/>
      <c r="M13378" s="629"/>
      <c r="N13378" s="629"/>
      <c r="O13378" s="629"/>
      <c r="P13378" s="629"/>
      <c r="Q13378" s="629"/>
      <c r="R13378" s="629"/>
    </row>
    <row r="13379" spans="1:18" ht="24">
      <c r="A13379" s="393">
        <v>53</v>
      </c>
      <c r="B13379" s="390" t="s">
        <v>24211</v>
      </c>
      <c r="C13379" s="394" t="s">
        <v>24212</v>
      </c>
      <c r="D13379" s="395">
        <v>381.67</v>
      </c>
      <c r="E13379" s="395">
        <v>329.43</v>
      </c>
      <c r="F13379" s="395">
        <v>8.23</v>
      </c>
      <c r="G13379" s="395">
        <v>44.01</v>
      </c>
      <c r="H13379" s="396">
        <v>4063.32</v>
      </c>
      <c r="I13379" s="396">
        <v>3788.58</v>
      </c>
      <c r="J13379" s="396">
        <v>35.22</v>
      </c>
      <c r="K13379" s="396">
        <v>239.52</v>
      </c>
      <c r="L13379" s="43">
        <v>10.64616029554327</v>
      </c>
      <c r="M13379" s="43">
        <v>11.500409798743283</v>
      </c>
      <c r="N13379" s="43">
        <v>4.279465370595382</v>
      </c>
      <c r="O13379" s="43">
        <v>5.4423994546693937</v>
      </c>
      <c r="P13379" s="397"/>
      <c r="Q13379" s="397"/>
      <c r="R13379" s="397">
        <v>7</v>
      </c>
    </row>
    <row r="13380" spans="1:18" ht="24">
      <c r="A13380" s="393">
        <v>54</v>
      </c>
      <c r="B13380" s="390" t="s">
        <v>24213</v>
      </c>
      <c r="C13380" s="394" t="s">
        <v>24214</v>
      </c>
      <c r="D13380" s="395">
        <v>352.17</v>
      </c>
      <c r="E13380" s="395">
        <v>315.81</v>
      </c>
      <c r="F13380" s="395">
        <v>3.41</v>
      </c>
      <c r="G13380" s="395">
        <v>32.950000000000003</v>
      </c>
      <c r="H13380" s="396">
        <v>3842.07</v>
      </c>
      <c r="I13380" s="396">
        <v>3631.79</v>
      </c>
      <c r="J13380" s="396">
        <v>14.44</v>
      </c>
      <c r="K13380" s="396">
        <v>195.84</v>
      </c>
      <c r="L13380" s="43">
        <v>10.909702700400375</v>
      </c>
      <c r="M13380" s="43">
        <v>11.499920838478833</v>
      </c>
      <c r="N13380" s="43">
        <v>4.2346041055718473</v>
      </c>
      <c r="O13380" s="43">
        <v>5.9435508345978754</v>
      </c>
      <c r="P13380" s="397"/>
      <c r="Q13380" s="397"/>
      <c r="R13380" s="397">
        <v>7</v>
      </c>
    </row>
    <row r="13381" spans="1:18" ht="24">
      <c r="A13381" s="393">
        <v>55</v>
      </c>
      <c r="B13381" s="390" t="s">
        <v>24215</v>
      </c>
      <c r="C13381" s="394" t="s">
        <v>24216</v>
      </c>
      <c r="D13381" s="395">
        <v>251.72</v>
      </c>
      <c r="E13381" s="395">
        <v>187.44</v>
      </c>
      <c r="F13381" s="395">
        <v>10.4</v>
      </c>
      <c r="G13381" s="395">
        <v>53.88</v>
      </c>
      <c r="H13381" s="396">
        <v>2464.63</v>
      </c>
      <c r="I13381" s="396">
        <v>2155.56</v>
      </c>
      <c r="J13381" s="396">
        <v>44.51</v>
      </c>
      <c r="K13381" s="396">
        <v>264.56</v>
      </c>
      <c r="L13381" s="43">
        <v>9.7911568409343719</v>
      </c>
      <c r="M13381" s="43">
        <v>11.5</v>
      </c>
      <c r="N13381" s="43">
        <v>4.279807692307692</v>
      </c>
      <c r="O13381" s="43">
        <v>4.9101707498144025</v>
      </c>
      <c r="P13381" s="397"/>
      <c r="Q13381" s="397"/>
      <c r="R13381" s="397">
        <v>7</v>
      </c>
    </row>
    <row r="13382" spans="1:18" ht="24">
      <c r="A13382" s="398">
        <v>56</v>
      </c>
      <c r="B13382" s="399" t="s">
        <v>24217</v>
      </c>
      <c r="C13382" s="400" t="s">
        <v>24218</v>
      </c>
      <c r="D13382" s="401">
        <v>433.71</v>
      </c>
      <c r="E13382" s="401">
        <v>367.68</v>
      </c>
      <c r="F13382" s="401">
        <v>9.1300000000000008</v>
      </c>
      <c r="G13382" s="401">
        <v>56.9</v>
      </c>
      <c r="H13382" s="402">
        <v>4568.4399999999996</v>
      </c>
      <c r="I13382" s="402">
        <v>4228.4799999999996</v>
      </c>
      <c r="J13382" s="402">
        <v>39.06</v>
      </c>
      <c r="K13382" s="402">
        <v>300.89999999999998</v>
      </c>
      <c r="L13382" s="611">
        <v>10.533397892601046</v>
      </c>
      <c r="M13382" s="611">
        <v>11.500435161009571</v>
      </c>
      <c r="N13382" s="611">
        <v>4.2782037239868567</v>
      </c>
      <c r="O13382" s="611">
        <v>5.288224956063269</v>
      </c>
      <c r="P13382" s="403"/>
      <c r="Q13382" s="403"/>
      <c r="R13382" s="403">
        <v>7</v>
      </c>
    </row>
    <row r="13383" spans="1:18" ht="12.75" customHeight="1">
      <c r="A13383" s="630" t="s">
        <v>24219</v>
      </c>
      <c r="B13383" s="631"/>
      <c r="C13383" s="631"/>
      <c r="D13383" s="631"/>
      <c r="E13383" s="631"/>
      <c r="F13383" s="631"/>
      <c r="G13383" s="631"/>
      <c r="H13383" s="631"/>
      <c r="I13383" s="631"/>
      <c r="J13383" s="631"/>
      <c r="K13383" s="631"/>
      <c r="L13383" s="631"/>
      <c r="M13383" s="631"/>
      <c r="N13383" s="631"/>
      <c r="O13383" s="631"/>
      <c r="P13383" s="631"/>
      <c r="Q13383" s="631"/>
      <c r="R13383" s="631"/>
    </row>
    <row r="13384" spans="1:18" ht="12.75" customHeight="1">
      <c r="A13384" s="628" t="s">
        <v>24220</v>
      </c>
      <c r="B13384" s="629"/>
      <c r="C13384" s="629"/>
      <c r="D13384" s="629"/>
      <c r="E13384" s="629"/>
      <c r="F13384" s="629"/>
      <c r="G13384" s="629"/>
      <c r="H13384" s="629"/>
      <c r="I13384" s="629"/>
      <c r="J13384" s="629"/>
      <c r="K13384" s="629"/>
      <c r="L13384" s="629"/>
      <c r="M13384" s="629"/>
      <c r="N13384" s="629"/>
      <c r="O13384" s="629"/>
      <c r="P13384" s="629"/>
      <c r="Q13384" s="629"/>
      <c r="R13384" s="629"/>
    </row>
    <row r="13385" spans="1:18" ht="12.75" customHeight="1">
      <c r="A13385" s="628" t="s">
        <v>24221</v>
      </c>
      <c r="B13385" s="629"/>
      <c r="C13385" s="629"/>
      <c r="D13385" s="629"/>
      <c r="E13385" s="629"/>
      <c r="F13385" s="629"/>
      <c r="G13385" s="629"/>
      <c r="H13385" s="629"/>
      <c r="I13385" s="629"/>
      <c r="J13385" s="629"/>
      <c r="K13385" s="629"/>
      <c r="L13385" s="629"/>
      <c r="M13385" s="629"/>
      <c r="N13385" s="629"/>
      <c r="O13385" s="629"/>
      <c r="P13385" s="629"/>
      <c r="Q13385" s="629"/>
      <c r="R13385" s="629"/>
    </row>
    <row r="13386" spans="1:18" ht="24">
      <c r="A13386" s="393">
        <v>57</v>
      </c>
      <c r="B13386" s="390" t="s">
        <v>24222</v>
      </c>
      <c r="C13386" s="394" t="s">
        <v>24223</v>
      </c>
      <c r="D13386" s="395">
        <v>1740.98</v>
      </c>
      <c r="E13386" s="395">
        <v>1470.72</v>
      </c>
      <c r="F13386" s="395">
        <v>77.53</v>
      </c>
      <c r="G13386" s="395">
        <v>192.73</v>
      </c>
      <c r="H13386" s="396">
        <v>18285.02</v>
      </c>
      <c r="I13386" s="396">
        <v>16913.919999999998</v>
      </c>
      <c r="J13386" s="396">
        <v>328.14</v>
      </c>
      <c r="K13386" s="396">
        <v>1042.96</v>
      </c>
      <c r="L13386" s="43">
        <v>10.502716860618731</v>
      </c>
      <c r="M13386" s="43">
        <v>11.500435161009571</v>
      </c>
      <c r="N13386" s="43">
        <v>4.2324261576164064</v>
      </c>
      <c r="O13386" s="43">
        <v>5.4115083277123439</v>
      </c>
      <c r="P13386" s="397"/>
      <c r="Q13386" s="397"/>
      <c r="R13386" s="397">
        <v>1</v>
      </c>
    </row>
    <row r="13387" spans="1:18" ht="24">
      <c r="A13387" s="393">
        <v>58</v>
      </c>
      <c r="B13387" s="390" t="s">
        <v>24224</v>
      </c>
      <c r="C13387" s="394" t="s">
        <v>24225</v>
      </c>
      <c r="D13387" s="395">
        <v>2154.08</v>
      </c>
      <c r="E13387" s="395">
        <v>1712.01</v>
      </c>
      <c r="F13387" s="395">
        <v>158.78</v>
      </c>
      <c r="G13387" s="395">
        <v>283.29000000000002</v>
      </c>
      <c r="H13387" s="396">
        <v>21849.83</v>
      </c>
      <c r="I13387" s="396">
        <v>19688.86</v>
      </c>
      <c r="J13387" s="396">
        <v>673.64</v>
      </c>
      <c r="K13387" s="396">
        <v>1487.33</v>
      </c>
      <c r="L13387" s="43">
        <v>10.143462638342124</v>
      </c>
      <c r="M13387" s="43">
        <v>11.500435161009573</v>
      </c>
      <c r="N13387" s="43">
        <v>4.2425998236553717</v>
      </c>
      <c r="O13387" s="43">
        <v>5.25020297221928</v>
      </c>
      <c r="P13387" s="397"/>
      <c r="Q13387" s="397"/>
      <c r="R13387" s="397">
        <v>1</v>
      </c>
    </row>
    <row r="13388" spans="1:18" ht="12.75" customHeight="1">
      <c r="A13388" s="628" t="s">
        <v>24226</v>
      </c>
      <c r="B13388" s="629"/>
      <c r="C13388" s="629"/>
      <c r="D13388" s="629"/>
      <c r="E13388" s="629"/>
      <c r="F13388" s="629"/>
      <c r="G13388" s="629"/>
      <c r="H13388" s="629"/>
      <c r="I13388" s="629"/>
      <c r="J13388" s="629"/>
      <c r="K13388" s="629"/>
      <c r="L13388" s="629"/>
      <c r="M13388" s="629"/>
      <c r="N13388" s="629"/>
      <c r="O13388" s="629"/>
      <c r="P13388" s="629"/>
      <c r="Q13388" s="629"/>
      <c r="R13388" s="629"/>
    </row>
    <row r="13389" spans="1:18" ht="24">
      <c r="A13389" s="393">
        <v>59</v>
      </c>
      <c r="B13389" s="390" t="s">
        <v>24227</v>
      </c>
      <c r="C13389" s="394" t="s">
        <v>24228</v>
      </c>
      <c r="D13389" s="395">
        <v>19776.5</v>
      </c>
      <c r="E13389" s="395">
        <v>15906.21</v>
      </c>
      <c r="F13389" s="395">
        <v>1853.04</v>
      </c>
      <c r="G13389" s="395">
        <v>2017.25</v>
      </c>
      <c r="H13389" s="396">
        <v>202855.9</v>
      </c>
      <c r="I13389" s="396">
        <v>182928.23</v>
      </c>
      <c r="J13389" s="396">
        <v>8874.41</v>
      </c>
      <c r="K13389" s="396">
        <v>11053.26</v>
      </c>
      <c r="L13389" s="43">
        <v>10.257421687356205</v>
      </c>
      <c r="M13389" s="43">
        <v>11.500428449014569</v>
      </c>
      <c r="N13389" s="43">
        <v>4.7891087078530417</v>
      </c>
      <c r="O13389" s="43">
        <v>5.4793704300408974</v>
      </c>
      <c r="P13389" s="397"/>
      <c r="Q13389" s="397"/>
      <c r="R13389" s="397">
        <v>2</v>
      </c>
    </row>
    <row r="13390" spans="1:18" ht="24">
      <c r="A13390" s="393">
        <v>60</v>
      </c>
      <c r="B13390" s="390" t="s">
        <v>24229</v>
      </c>
      <c r="C13390" s="394" t="s">
        <v>24230</v>
      </c>
      <c r="D13390" s="395">
        <v>34568.75</v>
      </c>
      <c r="E13390" s="395">
        <v>27086.07</v>
      </c>
      <c r="F13390" s="395">
        <v>3485.99</v>
      </c>
      <c r="G13390" s="395">
        <v>3996.69</v>
      </c>
      <c r="H13390" s="396">
        <v>349610.85</v>
      </c>
      <c r="I13390" s="396">
        <v>311501.40999999997</v>
      </c>
      <c r="J13390" s="396">
        <v>16851.189999999999</v>
      </c>
      <c r="K13390" s="396">
        <v>21258.25</v>
      </c>
      <c r="L13390" s="43">
        <v>10.113494124028204</v>
      </c>
      <c r="M13390" s="43">
        <v>11.500428449014567</v>
      </c>
      <c r="N13390" s="43">
        <v>4.8339754273534918</v>
      </c>
      <c r="O13390" s="43">
        <v>5.3189639426625535</v>
      </c>
      <c r="P13390" s="397"/>
      <c r="Q13390" s="397"/>
      <c r="R13390" s="397">
        <v>2</v>
      </c>
    </row>
    <row r="13391" spans="1:18" ht="12.75" customHeight="1">
      <c r="A13391" s="628" t="s">
        <v>24231</v>
      </c>
      <c r="B13391" s="629"/>
      <c r="C13391" s="629"/>
      <c r="D13391" s="629"/>
      <c r="E13391" s="629"/>
      <c r="F13391" s="629"/>
      <c r="G13391" s="629"/>
      <c r="H13391" s="629"/>
      <c r="I13391" s="629"/>
      <c r="J13391" s="629"/>
      <c r="K13391" s="629"/>
      <c r="L13391" s="629"/>
      <c r="M13391" s="629"/>
      <c r="N13391" s="629"/>
      <c r="O13391" s="629"/>
      <c r="P13391" s="629"/>
      <c r="Q13391" s="629"/>
      <c r="R13391" s="629"/>
    </row>
    <row r="13392" spans="1:18" ht="12.75" customHeight="1">
      <c r="A13392" s="628" t="s">
        <v>24232</v>
      </c>
      <c r="B13392" s="629"/>
      <c r="C13392" s="629"/>
      <c r="D13392" s="629"/>
      <c r="E13392" s="629"/>
      <c r="F13392" s="629"/>
      <c r="G13392" s="629"/>
      <c r="H13392" s="629"/>
      <c r="I13392" s="629"/>
      <c r="J13392" s="629"/>
      <c r="K13392" s="629"/>
      <c r="L13392" s="629"/>
      <c r="M13392" s="629"/>
      <c r="N13392" s="629"/>
      <c r="O13392" s="629"/>
      <c r="P13392" s="629"/>
      <c r="Q13392" s="629"/>
      <c r="R13392" s="629"/>
    </row>
    <row r="13393" spans="1:18" ht="24">
      <c r="A13393" s="393">
        <v>61</v>
      </c>
      <c r="B13393" s="390" t="s">
        <v>24233</v>
      </c>
      <c r="C13393" s="394" t="s">
        <v>24234</v>
      </c>
      <c r="D13393" s="395">
        <v>1333.71</v>
      </c>
      <c r="E13393" s="395">
        <v>1248.69</v>
      </c>
      <c r="F13393" s="395">
        <v>16.489999999999998</v>
      </c>
      <c r="G13393" s="395">
        <v>68.53</v>
      </c>
      <c r="H13393" s="396">
        <v>14909.2</v>
      </c>
      <c r="I13393" s="396">
        <v>14360.47</v>
      </c>
      <c r="J13393" s="396">
        <v>70.599999999999994</v>
      </c>
      <c r="K13393" s="396">
        <v>478.13</v>
      </c>
      <c r="L13393" s="43">
        <v>11.17874200538348</v>
      </c>
      <c r="M13393" s="43">
        <v>11.500428449014565</v>
      </c>
      <c r="N13393" s="43">
        <v>4.2813826561552455</v>
      </c>
      <c r="O13393" s="43">
        <v>6.9769444039106956</v>
      </c>
      <c r="P13393" s="397"/>
      <c r="Q13393" s="397"/>
      <c r="R13393" s="397">
        <v>1</v>
      </c>
    </row>
    <row r="13394" spans="1:18" ht="24">
      <c r="A13394" s="393">
        <v>62</v>
      </c>
      <c r="B13394" s="390" t="s">
        <v>24235</v>
      </c>
      <c r="C13394" s="394" t="s">
        <v>24236</v>
      </c>
      <c r="D13394" s="395">
        <v>3334.51</v>
      </c>
      <c r="E13394" s="395">
        <v>2800.8</v>
      </c>
      <c r="F13394" s="395">
        <v>116.11</v>
      </c>
      <c r="G13394" s="395">
        <v>417.6</v>
      </c>
      <c r="H13394" s="396">
        <v>34940.449999999997</v>
      </c>
      <c r="I13394" s="396">
        <v>32210.400000000001</v>
      </c>
      <c r="J13394" s="396">
        <v>492.62</v>
      </c>
      <c r="K13394" s="396">
        <v>2237.4299999999998</v>
      </c>
      <c r="L13394" s="43">
        <v>10.478436112052444</v>
      </c>
      <c r="M13394" s="43">
        <v>11.500428449014567</v>
      </c>
      <c r="N13394" s="43">
        <v>4.2427008870898284</v>
      </c>
      <c r="O13394" s="43">
        <v>5.3578304597701143</v>
      </c>
      <c r="P13394" s="397"/>
      <c r="Q13394" s="397"/>
      <c r="R13394" s="397">
        <v>1</v>
      </c>
    </row>
    <row r="13395" spans="1:18" ht="24">
      <c r="A13395" s="393">
        <v>63</v>
      </c>
      <c r="B13395" s="390" t="s">
        <v>24237</v>
      </c>
      <c r="C13395" s="394" t="s">
        <v>24238</v>
      </c>
      <c r="D13395" s="395">
        <v>1755.5</v>
      </c>
      <c r="E13395" s="395">
        <v>1517.1</v>
      </c>
      <c r="F13395" s="395">
        <v>87.55</v>
      </c>
      <c r="G13395" s="395">
        <v>150.85</v>
      </c>
      <c r="H13395" s="396">
        <v>18689.16</v>
      </c>
      <c r="I13395" s="396">
        <v>17447.3</v>
      </c>
      <c r="J13395" s="396">
        <v>369.3</v>
      </c>
      <c r="K13395" s="396">
        <v>872.56</v>
      </c>
      <c r="L13395" s="43">
        <v>10.646060951295928</v>
      </c>
      <c r="M13395" s="43">
        <v>11.500428449014567</v>
      </c>
      <c r="N13395" s="43">
        <v>4.2181610508280984</v>
      </c>
      <c r="O13395" s="43">
        <v>5.7842890288365929</v>
      </c>
      <c r="P13395" s="397"/>
      <c r="Q13395" s="397"/>
      <c r="R13395" s="397">
        <v>1</v>
      </c>
    </row>
    <row r="13396" spans="1:18" ht="24">
      <c r="A13396" s="393">
        <v>64</v>
      </c>
      <c r="B13396" s="390" t="s">
        <v>24239</v>
      </c>
      <c r="C13396" s="394" t="s">
        <v>24240</v>
      </c>
      <c r="D13396" s="395">
        <v>8410.81</v>
      </c>
      <c r="E13396" s="395">
        <v>5484.9</v>
      </c>
      <c r="F13396" s="395">
        <v>2304.33</v>
      </c>
      <c r="G13396" s="395">
        <v>621.58000000000004</v>
      </c>
      <c r="H13396" s="396">
        <v>78003.34</v>
      </c>
      <c r="I13396" s="396">
        <v>63078.7</v>
      </c>
      <c r="J13396" s="396">
        <v>11464.1</v>
      </c>
      <c r="K13396" s="396">
        <v>3460.54</v>
      </c>
      <c r="L13396" s="43">
        <v>9.2741769223178263</v>
      </c>
      <c r="M13396" s="43">
        <v>11.500428449014567</v>
      </c>
      <c r="N13396" s="43">
        <v>4.975025278497438</v>
      </c>
      <c r="O13396" s="43">
        <v>5.5673284211203704</v>
      </c>
      <c r="P13396" s="397"/>
      <c r="Q13396" s="397"/>
      <c r="R13396" s="397">
        <v>1</v>
      </c>
    </row>
    <row r="13397" spans="1:18" ht="12.75" customHeight="1">
      <c r="A13397" s="628" t="s">
        <v>24241</v>
      </c>
      <c r="B13397" s="629"/>
      <c r="C13397" s="629"/>
      <c r="D13397" s="629"/>
      <c r="E13397" s="629"/>
      <c r="F13397" s="629"/>
      <c r="G13397" s="629"/>
      <c r="H13397" s="629"/>
      <c r="I13397" s="629"/>
      <c r="J13397" s="629"/>
      <c r="K13397" s="629"/>
      <c r="L13397" s="629"/>
      <c r="M13397" s="629"/>
      <c r="N13397" s="629"/>
      <c r="O13397" s="629"/>
      <c r="P13397" s="629"/>
      <c r="Q13397" s="629"/>
      <c r="R13397" s="629"/>
    </row>
    <row r="13398" spans="1:18" ht="24">
      <c r="A13398" s="393">
        <v>65</v>
      </c>
      <c r="B13398" s="390" t="s">
        <v>24242</v>
      </c>
      <c r="C13398" s="394" t="s">
        <v>24243</v>
      </c>
      <c r="D13398" s="395">
        <v>12753.81</v>
      </c>
      <c r="E13398" s="395">
        <v>10538.01</v>
      </c>
      <c r="F13398" s="395">
        <v>643.9</v>
      </c>
      <c r="G13398" s="395">
        <v>1571.9</v>
      </c>
      <c r="H13398" s="396">
        <v>132233.71</v>
      </c>
      <c r="I13398" s="396">
        <v>121191.63</v>
      </c>
      <c r="J13398" s="396">
        <v>2731.81</v>
      </c>
      <c r="K13398" s="396">
        <v>8310.27</v>
      </c>
      <c r="L13398" s="43">
        <v>10.368173118464208</v>
      </c>
      <c r="M13398" s="43">
        <v>11.500428449014567</v>
      </c>
      <c r="N13398" s="43">
        <v>4.242599782574934</v>
      </c>
      <c r="O13398" s="43">
        <v>5.2867676060818116</v>
      </c>
      <c r="P13398" s="397"/>
      <c r="Q13398" s="397"/>
      <c r="R13398" s="397">
        <v>2</v>
      </c>
    </row>
    <row r="13399" spans="1:18" ht="24">
      <c r="A13399" s="393">
        <v>66</v>
      </c>
      <c r="B13399" s="390" t="s">
        <v>24244</v>
      </c>
      <c r="C13399" s="394" t="s">
        <v>24245</v>
      </c>
      <c r="D13399" s="395">
        <v>10840.63</v>
      </c>
      <c r="E13399" s="395">
        <v>9055.92</v>
      </c>
      <c r="F13399" s="395">
        <v>569.41999999999996</v>
      </c>
      <c r="G13399" s="395">
        <v>1215.29</v>
      </c>
      <c r="H13399" s="396">
        <v>113165.86</v>
      </c>
      <c r="I13399" s="396">
        <v>104146.96</v>
      </c>
      <c r="J13399" s="396">
        <v>2415.8200000000002</v>
      </c>
      <c r="K13399" s="396">
        <v>6603.08</v>
      </c>
      <c r="L13399" s="43">
        <v>10.439048284094191</v>
      </c>
      <c r="M13399" s="43">
        <v>11.500428449014567</v>
      </c>
      <c r="N13399" s="43">
        <v>4.242597731024552</v>
      </c>
      <c r="O13399" s="43">
        <v>5.433336899011759</v>
      </c>
      <c r="P13399" s="397"/>
      <c r="Q13399" s="397"/>
      <c r="R13399" s="397">
        <v>2</v>
      </c>
    </row>
    <row r="13400" spans="1:18" ht="24">
      <c r="A13400" s="393">
        <v>67</v>
      </c>
      <c r="B13400" s="390" t="s">
        <v>24246</v>
      </c>
      <c r="C13400" s="394" t="s">
        <v>24247</v>
      </c>
      <c r="D13400" s="395">
        <v>8173.27</v>
      </c>
      <c r="E13400" s="395">
        <v>6546.87</v>
      </c>
      <c r="F13400" s="395">
        <v>515.79999999999995</v>
      </c>
      <c r="G13400" s="395">
        <v>1110.5999999999999</v>
      </c>
      <c r="H13400" s="396">
        <v>83273.149999999994</v>
      </c>
      <c r="I13400" s="396">
        <v>75291.81</v>
      </c>
      <c r="J13400" s="396">
        <v>2188.33</v>
      </c>
      <c r="K13400" s="396">
        <v>5793.01</v>
      </c>
      <c r="L13400" s="43">
        <v>10.188474135811003</v>
      </c>
      <c r="M13400" s="43">
        <v>11.500428449014567</v>
      </c>
      <c r="N13400" s="43">
        <v>4.2425940286932926</v>
      </c>
      <c r="O13400" s="43">
        <v>5.2161084098685402</v>
      </c>
      <c r="P13400" s="397"/>
      <c r="Q13400" s="397"/>
      <c r="R13400" s="397">
        <v>2</v>
      </c>
    </row>
    <row r="13401" spans="1:18" ht="24">
      <c r="A13401" s="393">
        <v>68</v>
      </c>
      <c r="B13401" s="390" t="s">
        <v>24248</v>
      </c>
      <c r="C13401" s="394" t="s">
        <v>24249</v>
      </c>
      <c r="D13401" s="395">
        <v>16200.85</v>
      </c>
      <c r="E13401" s="395">
        <v>12942.03</v>
      </c>
      <c r="F13401" s="395">
        <v>952.68</v>
      </c>
      <c r="G13401" s="395">
        <v>2306.14</v>
      </c>
      <c r="H13401" s="396">
        <v>164717.48000000001</v>
      </c>
      <c r="I13401" s="396">
        <v>148838.89000000001</v>
      </c>
      <c r="J13401" s="396">
        <v>4041.85</v>
      </c>
      <c r="K13401" s="396">
        <v>11836.74</v>
      </c>
      <c r="L13401" s="43">
        <v>10.167212214173949</v>
      </c>
      <c r="M13401" s="43">
        <v>11.500428449014567</v>
      </c>
      <c r="N13401" s="43">
        <v>4.2426103203594074</v>
      </c>
      <c r="O13401" s="43">
        <v>5.1327066006400308</v>
      </c>
      <c r="P13401" s="397"/>
      <c r="Q13401" s="397"/>
      <c r="R13401" s="397">
        <v>2</v>
      </c>
    </row>
    <row r="13402" spans="1:18" ht="24">
      <c r="A13402" s="393">
        <v>69</v>
      </c>
      <c r="B13402" s="390" t="s">
        <v>24250</v>
      </c>
      <c r="C13402" s="394" t="s">
        <v>24251</v>
      </c>
      <c r="D13402" s="395">
        <v>17305.259999999998</v>
      </c>
      <c r="E13402" s="395">
        <v>13957.32</v>
      </c>
      <c r="F13402" s="395">
        <v>920.97</v>
      </c>
      <c r="G13402" s="395">
        <v>2426.9699999999998</v>
      </c>
      <c r="H13402" s="396">
        <v>176922.49</v>
      </c>
      <c r="I13402" s="396">
        <v>160515.16</v>
      </c>
      <c r="J13402" s="396">
        <v>3907.28</v>
      </c>
      <c r="K13402" s="396">
        <v>12500.05</v>
      </c>
      <c r="L13402" s="43">
        <v>10.22362507122112</v>
      </c>
      <c r="M13402" s="43">
        <v>11.500428449014567</v>
      </c>
      <c r="N13402" s="43">
        <v>4.2425703334527727</v>
      </c>
      <c r="O13402" s="43">
        <v>5.150475696032502</v>
      </c>
      <c r="P13402" s="397"/>
      <c r="Q13402" s="397"/>
      <c r="R13402" s="397">
        <v>2</v>
      </c>
    </row>
    <row r="13403" spans="1:18" ht="24">
      <c r="A13403" s="393">
        <v>70</v>
      </c>
      <c r="B13403" s="390" t="s">
        <v>24252</v>
      </c>
      <c r="C13403" s="394" t="s">
        <v>24253</v>
      </c>
      <c r="D13403" s="395">
        <v>20161.2</v>
      </c>
      <c r="E13403" s="395">
        <v>16793.13</v>
      </c>
      <c r="F13403" s="395">
        <v>1303.0999999999999</v>
      </c>
      <c r="G13403" s="395">
        <v>2064.9699999999998</v>
      </c>
      <c r="H13403" s="396">
        <v>210043.48</v>
      </c>
      <c r="I13403" s="396">
        <v>193128.19</v>
      </c>
      <c r="J13403" s="396">
        <v>5528.5</v>
      </c>
      <c r="K13403" s="396">
        <v>11386.79</v>
      </c>
      <c r="L13403" s="43">
        <v>10.418203281550701</v>
      </c>
      <c r="M13403" s="43">
        <v>11.500428449014567</v>
      </c>
      <c r="N13403" s="43">
        <v>4.2425753971299214</v>
      </c>
      <c r="O13403" s="43">
        <v>5.5142641297452268</v>
      </c>
      <c r="P13403" s="397"/>
      <c r="Q13403" s="397"/>
      <c r="R13403" s="397">
        <v>2</v>
      </c>
    </row>
    <row r="13404" spans="1:18" ht="24">
      <c r="A13404" s="393">
        <v>71</v>
      </c>
      <c r="B13404" s="390" t="s">
        <v>24254</v>
      </c>
      <c r="C13404" s="394" t="s">
        <v>24255</v>
      </c>
      <c r="D13404" s="395">
        <v>20412.939999999999</v>
      </c>
      <c r="E13404" s="395">
        <v>15287.7</v>
      </c>
      <c r="F13404" s="395">
        <v>1379.75</v>
      </c>
      <c r="G13404" s="395">
        <v>3745.49</v>
      </c>
      <c r="H13404" s="396">
        <v>200079.91</v>
      </c>
      <c r="I13404" s="396">
        <v>175815.1</v>
      </c>
      <c r="J13404" s="396">
        <v>5853.71</v>
      </c>
      <c r="K13404" s="396">
        <v>18411.099999999999</v>
      </c>
      <c r="L13404" s="43">
        <v>9.8016214224898537</v>
      </c>
      <c r="M13404" s="43">
        <v>11.500428449014567</v>
      </c>
      <c r="N13404" s="43">
        <v>4.2425874252581988</v>
      </c>
      <c r="O13404" s="43">
        <v>4.9155384208741708</v>
      </c>
      <c r="P13404" s="397"/>
      <c r="Q13404" s="397"/>
      <c r="R13404" s="397">
        <v>2</v>
      </c>
    </row>
    <row r="13405" spans="1:18" ht="24">
      <c r="A13405" s="393">
        <v>72</v>
      </c>
      <c r="B13405" s="390" t="s">
        <v>24256</v>
      </c>
      <c r="C13405" s="394" t="s">
        <v>24257</v>
      </c>
      <c r="D13405" s="395">
        <v>27569.73</v>
      </c>
      <c r="E13405" s="395">
        <v>22044.63</v>
      </c>
      <c r="F13405" s="395">
        <v>1467.35</v>
      </c>
      <c r="G13405" s="395">
        <v>4057.75</v>
      </c>
      <c r="H13405" s="396">
        <v>280561.40000000002</v>
      </c>
      <c r="I13405" s="396">
        <v>253522.69</v>
      </c>
      <c r="J13405" s="396">
        <v>6225.37</v>
      </c>
      <c r="K13405" s="396">
        <v>20813.34</v>
      </c>
      <c r="L13405" s="43">
        <v>10.176429003838631</v>
      </c>
      <c r="M13405" s="43">
        <v>11.500428449014567</v>
      </c>
      <c r="N13405" s="43">
        <v>4.2425937915289467</v>
      </c>
      <c r="O13405" s="43">
        <v>5.1292810054833344</v>
      </c>
      <c r="P13405" s="397"/>
      <c r="Q13405" s="397"/>
      <c r="R13405" s="397">
        <v>2</v>
      </c>
    </row>
    <row r="13406" spans="1:18" ht="24">
      <c r="A13406" s="393">
        <v>73</v>
      </c>
      <c r="B13406" s="390" t="s">
        <v>24258</v>
      </c>
      <c r="C13406" s="394" t="s">
        <v>24259</v>
      </c>
      <c r="D13406" s="395">
        <v>16582.54</v>
      </c>
      <c r="E13406" s="395">
        <v>12848.67</v>
      </c>
      <c r="F13406" s="395">
        <v>927.48</v>
      </c>
      <c r="G13406" s="395">
        <v>2806.39</v>
      </c>
      <c r="H13406" s="396">
        <v>165908.71</v>
      </c>
      <c r="I13406" s="396">
        <v>147765.21</v>
      </c>
      <c r="J13406" s="396">
        <v>3934.91</v>
      </c>
      <c r="K13406" s="396">
        <v>14208.59</v>
      </c>
      <c r="L13406" s="43">
        <v>10.005023958935119</v>
      </c>
      <c r="M13406" s="43">
        <v>11.500428449014567</v>
      </c>
      <c r="N13406" s="43">
        <v>4.2425820502867984</v>
      </c>
      <c r="O13406" s="43">
        <v>5.0629420714868569</v>
      </c>
      <c r="P13406" s="397"/>
      <c r="Q13406" s="397"/>
      <c r="R13406" s="397">
        <v>2</v>
      </c>
    </row>
    <row r="13407" spans="1:18" ht="12.75" customHeight="1">
      <c r="A13407" s="628" t="s">
        <v>24260</v>
      </c>
      <c r="B13407" s="629"/>
      <c r="C13407" s="629"/>
      <c r="D13407" s="629"/>
      <c r="E13407" s="629"/>
      <c r="F13407" s="629"/>
      <c r="G13407" s="629"/>
      <c r="H13407" s="629"/>
      <c r="I13407" s="629"/>
      <c r="J13407" s="629"/>
      <c r="K13407" s="629"/>
      <c r="L13407" s="629"/>
      <c r="M13407" s="629"/>
      <c r="N13407" s="629"/>
      <c r="O13407" s="629"/>
      <c r="P13407" s="629"/>
      <c r="Q13407" s="629"/>
      <c r="R13407" s="629"/>
    </row>
    <row r="13408" spans="1:18" ht="24">
      <c r="A13408" s="393">
        <v>74</v>
      </c>
      <c r="B13408" s="390" t="s">
        <v>24261</v>
      </c>
      <c r="C13408" s="394" t="s">
        <v>24262</v>
      </c>
      <c r="D13408" s="395">
        <v>2866.17</v>
      </c>
      <c r="E13408" s="395">
        <v>2378.4299999999998</v>
      </c>
      <c r="F13408" s="395">
        <v>74.48</v>
      </c>
      <c r="G13408" s="395">
        <v>413.26</v>
      </c>
      <c r="H13408" s="396">
        <v>29818.41</v>
      </c>
      <c r="I13408" s="396">
        <v>27352.98</v>
      </c>
      <c r="J13408" s="396">
        <v>315.99</v>
      </c>
      <c r="K13408" s="396">
        <v>2149.44</v>
      </c>
      <c r="L13408" s="43">
        <v>10.403573409811699</v>
      </c>
      <c r="M13408" s="43">
        <v>11.500435161009575</v>
      </c>
      <c r="N13408" s="43">
        <v>4.2426154672395269</v>
      </c>
      <c r="O13408" s="43">
        <v>5.201180854667764</v>
      </c>
      <c r="P13408" s="397"/>
      <c r="Q13408" s="397"/>
      <c r="R13408" s="397">
        <v>3</v>
      </c>
    </row>
    <row r="13409" spans="1:18" ht="24">
      <c r="A13409" s="393">
        <v>75</v>
      </c>
      <c r="B13409" s="390" t="s">
        <v>24263</v>
      </c>
      <c r="C13409" s="394" t="s">
        <v>24264</v>
      </c>
      <c r="D13409" s="395">
        <v>8334.5300000000007</v>
      </c>
      <c r="E13409" s="395">
        <v>6882.51</v>
      </c>
      <c r="F13409" s="395">
        <v>313.22000000000003</v>
      </c>
      <c r="G13409" s="395">
        <v>1138.8</v>
      </c>
      <c r="H13409" s="396">
        <v>86478.26</v>
      </c>
      <c r="I13409" s="396">
        <v>79151.86</v>
      </c>
      <c r="J13409" s="396">
        <v>1328.86</v>
      </c>
      <c r="K13409" s="396">
        <v>5997.54</v>
      </c>
      <c r="L13409" s="43">
        <v>10.375901220584723</v>
      </c>
      <c r="M13409" s="43">
        <v>11.500435161009573</v>
      </c>
      <c r="N13409" s="43">
        <v>4.2425771023561705</v>
      </c>
      <c r="O13409" s="43">
        <v>5.2665437302423603</v>
      </c>
      <c r="P13409" s="397"/>
      <c r="Q13409" s="397"/>
      <c r="R13409" s="397">
        <v>3</v>
      </c>
    </row>
    <row r="13410" spans="1:18" ht="24">
      <c r="A13410" s="393">
        <v>76</v>
      </c>
      <c r="B13410" s="390" t="s">
        <v>24265</v>
      </c>
      <c r="C13410" s="394" t="s">
        <v>24266</v>
      </c>
      <c r="D13410" s="395">
        <v>15573.82</v>
      </c>
      <c r="E13410" s="395">
        <v>12778.65</v>
      </c>
      <c r="F13410" s="395">
        <v>538.74</v>
      </c>
      <c r="G13410" s="395">
        <v>2256.4299999999998</v>
      </c>
      <c r="H13410" s="396">
        <v>161008.49</v>
      </c>
      <c r="I13410" s="396">
        <v>146959.95000000001</v>
      </c>
      <c r="J13410" s="396">
        <v>2285.65</v>
      </c>
      <c r="K13410" s="396">
        <v>11762.89</v>
      </c>
      <c r="L13410" s="43">
        <v>10.338407018958739</v>
      </c>
      <c r="M13410" s="43">
        <v>11.500428449014569</v>
      </c>
      <c r="N13410" s="43">
        <v>4.2425845491331629</v>
      </c>
      <c r="O13410" s="43">
        <v>5.2130533630558009</v>
      </c>
      <c r="P13410" s="397"/>
      <c r="Q13410" s="397"/>
      <c r="R13410" s="397">
        <v>3</v>
      </c>
    </row>
    <row r="13411" spans="1:18" ht="36">
      <c r="A13411" s="393">
        <v>77</v>
      </c>
      <c r="B13411" s="390" t="s">
        <v>24267</v>
      </c>
      <c r="C13411" s="394" t="s">
        <v>24268</v>
      </c>
      <c r="D13411" s="395">
        <v>17117.91</v>
      </c>
      <c r="E13411" s="395">
        <v>15559.05</v>
      </c>
      <c r="F13411" s="395">
        <v>428.2</v>
      </c>
      <c r="G13411" s="395">
        <v>1130.6600000000001</v>
      </c>
      <c r="H13411" s="396">
        <v>188017.59</v>
      </c>
      <c r="I13411" s="396">
        <v>178935.64</v>
      </c>
      <c r="J13411" s="396">
        <v>1816.67</v>
      </c>
      <c r="K13411" s="396">
        <v>7265.28</v>
      </c>
      <c r="L13411" s="43">
        <v>10.983676745584011</v>
      </c>
      <c r="M13411" s="43">
        <v>11.500421940928272</v>
      </c>
      <c r="N13411" s="43">
        <v>4.2425735637552551</v>
      </c>
      <c r="O13411" s="43">
        <v>6.4256982647303342</v>
      </c>
      <c r="P13411" s="397"/>
      <c r="Q13411" s="397"/>
      <c r="R13411" s="397">
        <v>3</v>
      </c>
    </row>
    <row r="13412" spans="1:18" ht="12.75" customHeight="1">
      <c r="A13412" s="628" t="s">
        <v>24269</v>
      </c>
      <c r="B13412" s="629"/>
      <c r="C13412" s="629"/>
      <c r="D13412" s="629"/>
      <c r="E13412" s="629"/>
      <c r="F13412" s="629"/>
      <c r="G13412" s="629"/>
      <c r="H13412" s="629"/>
      <c r="I13412" s="629"/>
      <c r="J13412" s="629"/>
      <c r="K13412" s="629"/>
      <c r="L13412" s="629"/>
      <c r="M13412" s="629"/>
      <c r="N13412" s="629"/>
      <c r="O13412" s="629"/>
      <c r="P13412" s="629"/>
      <c r="Q13412" s="629"/>
      <c r="R13412" s="629"/>
    </row>
    <row r="13413" spans="1:18" ht="36">
      <c r="A13413" s="393">
        <v>78</v>
      </c>
      <c r="B13413" s="390" t="s">
        <v>24270</v>
      </c>
      <c r="C13413" s="394" t="s">
        <v>24271</v>
      </c>
      <c r="D13413" s="395">
        <v>508685.95</v>
      </c>
      <c r="E13413" s="395">
        <v>400079.7</v>
      </c>
      <c r="F13413" s="395">
        <v>83838.67</v>
      </c>
      <c r="G13413" s="395">
        <v>24767.58</v>
      </c>
      <c r="H13413" s="396">
        <v>5184738.83</v>
      </c>
      <c r="I13413" s="396">
        <v>4601085.3600000003</v>
      </c>
      <c r="J13413" s="396">
        <v>419579.14</v>
      </c>
      <c r="K13413" s="396">
        <v>164074.32999999999</v>
      </c>
      <c r="L13413" s="43">
        <v>10.192416028003132</v>
      </c>
      <c r="M13413" s="43">
        <v>11.50042194092827</v>
      </c>
      <c r="N13413" s="43">
        <v>5.0046015758599225</v>
      </c>
      <c r="O13413" s="43">
        <v>6.6245604132499007</v>
      </c>
      <c r="P13413" s="397"/>
      <c r="Q13413" s="397"/>
      <c r="R13413" s="397">
        <v>4</v>
      </c>
    </row>
    <row r="13414" spans="1:18" ht="12.75" customHeight="1">
      <c r="A13414" s="628" t="s">
        <v>24272</v>
      </c>
      <c r="B13414" s="629"/>
      <c r="C13414" s="629"/>
      <c r="D13414" s="629"/>
      <c r="E13414" s="629"/>
      <c r="F13414" s="629"/>
      <c r="G13414" s="629"/>
      <c r="H13414" s="629"/>
      <c r="I13414" s="629"/>
      <c r="J13414" s="629"/>
      <c r="K13414" s="629"/>
      <c r="L13414" s="629"/>
      <c r="M13414" s="629"/>
      <c r="N13414" s="629"/>
      <c r="O13414" s="629"/>
      <c r="P13414" s="629"/>
      <c r="Q13414" s="629"/>
      <c r="R13414" s="629"/>
    </row>
    <row r="13415" spans="1:18" ht="12.75" customHeight="1">
      <c r="A13415" s="628" t="s">
        <v>24273</v>
      </c>
      <c r="B13415" s="629"/>
      <c r="C13415" s="629"/>
      <c r="D13415" s="629"/>
      <c r="E13415" s="629"/>
      <c r="F13415" s="629"/>
      <c r="G13415" s="629"/>
      <c r="H13415" s="629"/>
      <c r="I13415" s="629"/>
      <c r="J13415" s="629"/>
      <c r="K13415" s="629"/>
      <c r="L13415" s="629"/>
      <c r="M13415" s="629"/>
      <c r="N13415" s="629"/>
      <c r="O13415" s="629"/>
      <c r="P13415" s="629"/>
      <c r="Q13415" s="629"/>
      <c r="R13415" s="629"/>
    </row>
    <row r="13416" spans="1:18" ht="24">
      <c r="A13416" s="393">
        <v>79</v>
      </c>
      <c r="B13416" s="390" t="s">
        <v>24274</v>
      </c>
      <c r="C13416" s="394" t="s">
        <v>24275</v>
      </c>
      <c r="D13416" s="395">
        <v>1630.85</v>
      </c>
      <c r="E13416" s="395">
        <v>1270.1199999999999</v>
      </c>
      <c r="F13416" s="395">
        <v>71.180000000000007</v>
      </c>
      <c r="G13416" s="395">
        <v>289.55</v>
      </c>
      <c r="H13416" s="396">
        <v>16341.44</v>
      </c>
      <c r="I13416" s="396">
        <v>14606.38</v>
      </c>
      <c r="J13416" s="396">
        <v>301.98</v>
      </c>
      <c r="K13416" s="396">
        <v>1433.08</v>
      </c>
      <c r="L13416" s="43">
        <v>10.020198056228349</v>
      </c>
      <c r="M13416" s="43">
        <v>11.5</v>
      </c>
      <c r="N13416" s="43">
        <v>4.2424838437763412</v>
      </c>
      <c r="O13416" s="43">
        <v>4.9493351752719734</v>
      </c>
      <c r="P13416" s="397"/>
      <c r="Q13416" s="397"/>
      <c r="R13416" s="397">
        <v>1</v>
      </c>
    </row>
    <row r="13417" spans="1:18" ht="24">
      <c r="A13417" s="393">
        <v>80</v>
      </c>
      <c r="B13417" s="390" t="s">
        <v>24276</v>
      </c>
      <c r="C13417" s="394" t="s">
        <v>24277</v>
      </c>
      <c r="D13417" s="395">
        <v>2008.43</v>
      </c>
      <c r="E13417" s="395">
        <v>1454.08</v>
      </c>
      <c r="F13417" s="395">
        <v>98.55</v>
      </c>
      <c r="G13417" s="395">
        <v>455.8</v>
      </c>
      <c r="H13417" s="396">
        <v>19306.060000000001</v>
      </c>
      <c r="I13417" s="396">
        <v>16721.919999999998</v>
      </c>
      <c r="J13417" s="396">
        <v>418.12</v>
      </c>
      <c r="K13417" s="396">
        <v>2166.02</v>
      </c>
      <c r="L13417" s="43">
        <v>9.6125132566233322</v>
      </c>
      <c r="M13417" s="43">
        <v>11.5</v>
      </c>
      <c r="N13417" s="43">
        <v>4.2427194317605279</v>
      </c>
      <c r="O13417" s="43">
        <v>4.7521281263712156</v>
      </c>
      <c r="P13417" s="397"/>
      <c r="Q13417" s="397"/>
      <c r="R13417" s="397">
        <v>1</v>
      </c>
    </row>
    <row r="13418" spans="1:18" ht="12.75" customHeight="1">
      <c r="A13418" s="628" t="s">
        <v>24278</v>
      </c>
      <c r="B13418" s="629"/>
      <c r="C13418" s="629"/>
      <c r="D13418" s="629"/>
      <c r="E13418" s="629"/>
      <c r="F13418" s="629"/>
      <c r="G13418" s="629"/>
      <c r="H13418" s="629"/>
      <c r="I13418" s="629"/>
      <c r="J13418" s="629"/>
      <c r="K13418" s="629"/>
      <c r="L13418" s="629"/>
      <c r="M13418" s="629"/>
      <c r="N13418" s="629"/>
      <c r="O13418" s="629"/>
      <c r="P13418" s="629"/>
      <c r="Q13418" s="629"/>
      <c r="R13418" s="629"/>
    </row>
    <row r="13419" spans="1:18" ht="12.75" customHeight="1">
      <c r="A13419" s="628" t="s">
        <v>20674</v>
      </c>
      <c r="B13419" s="629"/>
      <c r="C13419" s="629"/>
      <c r="D13419" s="629"/>
      <c r="E13419" s="629"/>
      <c r="F13419" s="629"/>
      <c r="G13419" s="629"/>
      <c r="H13419" s="629"/>
      <c r="I13419" s="629"/>
      <c r="J13419" s="629"/>
      <c r="K13419" s="629"/>
      <c r="L13419" s="629"/>
      <c r="M13419" s="629"/>
      <c r="N13419" s="629"/>
      <c r="O13419" s="629"/>
      <c r="P13419" s="629"/>
      <c r="Q13419" s="629"/>
      <c r="R13419" s="629"/>
    </row>
    <row r="13420" spans="1:18" ht="24">
      <c r="A13420" s="393">
        <v>81</v>
      </c>
      <c r="B13420" s="390" t="s">
        <v>24279</v>
      </c>
      <c r="C13420" s="394" t="s">
        <v>24280</v>
      </c>
      <c r="D13420" s="395">
        <v>392.89</v>
      </c>
      <c r="E13420" s="395">
        <v>356.19</v>
      </c>
      <c r="F13420" s="395">
        <v>8.23</v>
      </c>
      <c r="G13420" s="395">
        <v>28.47</v>
      </c>
      <c r="H13420" s="396">
        <v>4322.66</v>
      </c>
      <c r="I13420" s="396">
        <v>4096.34</v>
      </c>
      <c r="J13420" s="396">
        <v>35.22</v>
      </c>
      <c r="K13420" s="396">
        <v>191.1</v>
      </c>
      <c r="L13420" s="43">
        <v>11.002214360253506</v>
      </c>
      <c r="M13420" s="43">
        <v>11.500435161009573</v>
      </c>
      <c r="N13420" s="43">
        <v>4.279465370595382</v>
      </c>
      <c r="O13420" s="43">
        <v>6.7123287671232879</v>
      </c>
      <c r="P13420" s="397"/>
      <c r="Q13420" s="397"/>
      <c r="R13420" s="397">
        <v>1</v>
      </c>
    </row>
    <row r="13421" spans="1:18" ht="12.75" customHeight="1">
      <c r="A13421" s="628" t="s">
        <v>24281</v>
      </c>
      <c r="B13421" s="629"/>
      <c r="C13421" s="629"/>
      <c r="D13421" s="629"/>
      <c r="E13421" s="629"/>
      <c r="F13421" s="629"/>
      <c r="G13421" s="629"/>
      <c r="H13421" s="629"/>
      <c r="I13421" s="629"/>
      <c r="J13421" s="629"/>
      <c r="K13421" s="629"/>
      <c r="L13421" s="629"/>
      <c r="M13421" s="629"/>
      <c r="N13421" s="629"/>
      <c r="O13421" s="629"/>
      <c r="P13421" s="629"/>
      <c r="Q13421" s="629"/>
      <c r="R13421" s="629"/>
    </row>
    <row r="13422" spans="1:18" ht="24">
      <c r="A13422" s="393">
        <v>82</v>
      </c>
      <c r="B13422" s="390" t="s">
        <v>24282</v>
      </c>
      <c r="C13422" s="394" t="s">
        <v>24283</v>
      </c>
      <c r="D13422" s="395">
        <v>1765.31</v>
      </c>
      <c r="E13422" s="395">
        <v>1551.15</v>
      </c>
      <c r="F13422" s="395">
        <v>65.680000000000007</v>
      </c>
      <c r="G13422" s="395">
        <v>148.47999999999999</v>
      </c>
      <c r="H13422" s="396">
        <v>18984.64</v>
      </c>
      <c r="I13422" s="396">
        <v>17838.900000000001</v>
      </c>
      <c r="J13422" s="396">
        <v>277.05</v>
      </c>
      <c r="K13422" s="396">
        <v>868.69</v>
      </c>
      <c r="L13422" s="43">
        <v>10.75428111776402</v>
      </c>
      <c r="M13422" s="43">
        <v>11.500435161009573</v>
      </c>
      <c r="N13422" s="43">
        <v>4.2181790499390983</v>
      </c>
      <c r="O13422" s="43">
        <v>5.8505522629310356</v>
      </c>
      <c r="P13422" s="397"/>
      <c r="Q13422" s="397"/>
      <c r="R13422" s="397">
        <v>2</v>
      </c>
    </row>
    <row r="13423" spans="1:18" ht="24">
      <c r="A13423" s="393">
        <v>83</v>
      </c>
      <c r="B13423" s="390" t="s">
        <v>24284</v>
      </c>
      <c r="C13423" s="394" t="s">
        <v>24285</v>
      </c>
      <c r="D13423" s="395">
        <v>1582.37</v>
      </c>
      <c r="E13423" s="395">
        <v>1447.74</v>
      </c>
      <c r="F13423" s="395">
        <v>22.14</v>
      </c>
      <c r="G13423" s="395">
        <v>112.49</v>
      </c>
      <c r="H13423" s="396">
        <v>17468.72</v>
      </c>
      <c r="I13423" s="396">
        <v>16649.64</v>
      </c>
      <c r="J13423" s="396">
        <v>94.78</v>
      </c>
      <c r="K13423" s="396">
        <v>724.3</v>
      </c>
      <c r="L13423" s="43">
        <v>11.039592509969225</v>
      </c>
      <c r="M13423" s="43">
        <v>11.500435161009573</v>
      </c>
      <c r="N13423" s="43">
        <v>4.2809394760614277</v>
      </c>
      <c r="O13423" s="43">
        <v>6.4387945595164018</v>
      </c>
      <c r="P13423" s="397"/>
      <c r="Q13423" s="397"/>
      <c r="R13423" s="397">
        <v>2</v>
      </c>
    </row>
    <row r="13424" spans="1:18" ht="24">
      <c r="A13424" s="393">
        <v>84</v>
      </c>
      <c r="B13424" s="390" t="s">
        <v>24286</v>
      </c>
      <c r="C13424" s="394" t="s">
        <v>24287</v>
      </c>
      <c r="D13424" s="395">
        <v>251.89</v>
      </c>
      <c r="E13424" s="395">
        <v>220.1</v>
      </c>
      <c r="F13424" s="395">
        <v>4.53</v>
      </c>
      <c r="G13424" s="395">
        <v>27.26</v>
      </c>
      <c r="H13424" s="396">
        <v>2712.22</v>
      </c>
      <c r="I13424" s="396">
        <v>2531.3000000000002</v>
      </c>
      <c r="J13424" s="396">
        <v>19.37</v>
      </c>
      <c r="K13424" s="396">
        <v>161.55000000000001</v>
      </c>
      <c r="L13424" s="43">
        <v>10.767477867323038</v>
      </c>
      <c r="M13424" s="43">
        <v>11.500681508405272</v>
      </c>
      <c r="N13424" s="43">
        <v>4.2759381898454745</v>
      </c>
      <c r="O13424" s="43">
        <v>5.926265590608951</v>
      </c>
      <c r="P13424" s="397"/>
      <c r="Q13424" s="397"/>
      <c r="R13424" s="397">
        <v>2</v>
      </c>
    </row>
    <row r="13425" spans="1:18" ht="12.75" customHeight="1">
      <c r="A13425" s="628" t="s">
        <v>24288</v>
      </c>
      <c r="B13425" s="629"/>
      <c r="C13425" s="629"/>
      <c r="D13425" s="629"/>
      <c r="E13425" s="629"/>
      <c r="F13425" s="629"/>
      <c r="G13425" s="629"/>
      <c r="H13425" s="629"/>
      <c r="I13425" s="629"/>
      <c r="J13425" s="629"/>
      <c r="K13425" s="629"/>
      <c r="L13425" s="629"/>
      <c r="M13425" s="629"/>
      <c r="N13425" s="629"/>
      <c r="O13425" s="629"/>
      <c r="P13425" s="629"/>
      <c r="Q13425" s="629"/>
      <c r="R13425" s="629"/>
    </row>
    <row r="13426" spans="1:18" ht="24">
      <c r="A13426" s="393">
        <v>85</v>
      </c>
      <c r="B13426" s="390" t="s">
        <v>24289</v>
      </c>
      <c r="C13426" s="394" t="s">
        <v>24290</v>
      </c>
      <c r="D13426" s="395">
        <v>892.9</v>
      </c>
      <c r="E13426" s="395">
        <v>853.08</v>
      </c>
      <c r="F13426" s="395">
        <v>4.3899999999999997</v>
      </c>
      <c r="G13426" s="395">
        <v>35.43</v>
      </c>
      <c r="H13426" s="396">
        <v>10131.19</v>
      </c>
      <c r="I13426" s="396">
        <v>9810.75</v>
      </c>
      <c r="J13426" s="396">
        <v>18.59</v>
      </c>
      <c r="K13426" s="396">
        <v>301.85000000000002</v>
      </c>
      <c r="L13426" s="43">
        <v>11.346388173367679</v>
      </c>
      <c r="M13426" s="43">
        <v>11.500386833591222</v>
      </c>
      <c r="N13426" s="43">
        <v>4.2346241457858769</v>
      </c>
      <c r="O13426" s="43">
        <v>8.5196161445103034</v>
      </c>
      <c r="P13426" s="397"/>
      <c r="Q13426" s="397"/>
      <c r="R13426" s="397">
        <v>3</v>
      </c>
    </row>
    <row r="13427" spans="1:18" ht="24">
      <c r="A13427" s="393">
        <v>86</v>
      </c>
      <c r="B13427" s="390" t="s">
        <v>24291</v>
      </c>
      <c r="C13427" s="394" t="s">
        <v>24292</v>
      </c>
      <c r="D13427" s="395">
        <v>1244.3399999999999</v>
      </c>
      <c r="E13427" s="395">
        <v>1167</v>
      </c>
      <c r="F13427" s="395">
        <v>20.420000000000002</v>
      </c>
      <c r="G13427" s="395">
        <v>56.92</v>
      </c>
      <c r="H13427" s="396">
        <v>13956.28</v>
      </c>
      <c r="I13427" s="396">
        <v>13421</v>
      </c>
      <c r="J13427" s="396">
        <v>87.41</v>
      </c>
      <c r="K13427" s="396">
        <v>447.87</v>
      </c>
      <c r="L13427" s="43">
        <v>11.215809183985085</v>
      </c>
      <c r="M13427" s="43">
        <v>11.500428449014567</v>
      </c>
      <c r="N13427" s="43">
        <v>4.2806072477962775</v>
      </c>
      <c r="O13427" s="43">
        <v>7.8684118060435697</v>
      </c>
      <c r="P13427" s="397"/>
      <c r="Q13427" s="397"/>
      <c r="R13427" s="397">
        <v>3</v>
      </c>
    </row>
    <row r="13428" spans="1:18" ht="24">
      <c r="A13428" s="393">
        <v>87</v>
      </c>
      <c r="B13428" s="390" t="s">
        <v>24293</v>
      </c>
      <c r="C13428" s="394" t="s">
        <v>24294</v>
      </c>
      <c r="D13428" s="395">
        <v>2800.75</v>
      </c>
      <c r="E13428" s="395">
        <v>2737.35</v>
      </c>
      <c r="F13428" s="395">
        <v>0.45</v>
      </c>
      <c r="G13428" s="395">
        <v>62.95</v>
      </c>
      <c r="H13428" s="396">
        <v>32168.51</v>
      </c>
      <c r="I13428" s="396">
        <v>31480.68</v>
      </c>
      <c r="J13428" s="396">
        <v>1.91</v>
      </c>
      <c r="K13428" s="396">
        <v>685.92</v>
      </c>
      <c r="L13428" s="43">
        <v>11.485677050789967</v>
      </c>
      <c r="M13428" s="43">
        <v>11.50042194092827</v>
      </c>
      <c r="N13428" s="43">
        <v>4.2444444444444445</v>
      </c>
      <c r="O13428" s="43">
        <v>10.896266878474979</v>
      </c>
      <c r="P13428" s="397"/>
      <c r="Q13428" s="397"/>
      <c r="R13428" s="397">
        <v>3</v>
      </c>
    </row>
    <row r="13429" spans="1:18" ht="12.75" customHeight="1">
      <c r="A13429" s="628" t="s">
        <v>24295</v>
      </c>
      <c r="B13429" s="629"/>
      <c r="C13429" s="629"/>
      <c r="D13429" s="629"/>
      <c r="E13429" s="629"/>
      <c r="F13429" s="629"/>
      <c r="G13429" s="629"/>
      <c r="H13429" s="629"/>
      <c r="I13429" s="629"/>
      <c r="J13429" s="629"/>
      <c r="K13429" s="629"/>
      <c r="L13429" s="629"/>
      <c r="M13429" s="629"/>
      <c r="N13429" s="629"/>
      <c r="O13429" s="629"/>
      <c r="P13429" s="629"/>
      <c r="Q13429" s="629"/>
      <c r="R13429" s="629"/>
    </row>
    <row r="13430" spans="1:18" ht="24">
      <c r="A13430" s="393">
        <v>88</v>
      </c>
      <c r="B13430" s="390" t="s">
        <v>24296</v>
      </c>
      <c r="C13430" s="394" t="s">
        <v>24297</v>
      </c>
      <c r="D13430" s="395">
        <v>402.27</v>
      </c>
      <c r="E13430" s="395">
        <v>379.17</v>
      </c>
      <c r="F13430" s="395">
        <v>0.94</v>
      </c>
      <c r="G13430" s="395">
        <v>22.16</v>
      </c>
      <c r="H13430" s="396">
        <v>4516.4799999999996</v>
      </c>
      <c r="I13430" s="396">
        <v>4360.62</v>
      </c>
      <c r="J13430" s="396">
        <v>3.98</v>
      </c>
      <c r="K13430" s="396">
        <v>151.88</v>
      </c>
      <c r="L13430" s="43">
        <v>11.227484028140303</v>
      </c>
      <c r="M13430" s="43">
        <v>11.500435161009573</v>
      </c>
      <c r="N13430" s="43">
        <v>4.2340425531914896</v>
      </c>
      <c r="O13430" s="43">
        <v>6.8537906137184113</v>
      </c>
      <c r="P13430" s="397"/>
      <c r="Q13430" s="397"/>
      <c r="R13430" s="397">
        <v>4</v>
      </c>
    </row>
    <row r="13431" spans="1:18" ht="24">
      <c r="A13431" s="393">
        <v>89</v>
      </c>
      <c r="B13431" s="390" t="s">
        <v>24298</v>
      </c>
      <c r="C13431" s="394" t="s">
        <v>24299</v>
      </c>
      <c r="D13431" s="395">
        <v>603.17999999999995</v>
      </c>
      <c r="E13431" s="395">
        <v>541.49</v>
      </c>
      <c r="F13431" s="395">
        <v>3.59</v>
      </c>
      <c r="G13431" s="395">
        <v>58.1</v>
      </c>
      <c r="H13431" s="396">
        <v>6572.31</v>
      </c>
      <c r="I13431" s="396">
        <v>6227.34</v>
      </c>
      <c r="J13431" s="396">
        <v>15.37</v>
      </c>
      <c r="K13431" s="396">
        <v>329.6</v>
      </c>
      <c r="L13431" s="43">
        <v>10.896100666467722</v>
      </c>
      <c r="M13431" s="43">
        <v>11.500378585015421</v>
      </c>
      <c r="N13431" s="43">
        <v>4.2813370473537606</v>
      </c>
      <c r="O13431" s="43">
        <v>5.6729776247848536</v>
      </c>
      <c r="P13431" s="397"/>
      <c r="Q13431" s="397"/>
      <c r="R13431" s="397">
        <v>4</v>
      </c>
    </row>
    <row r="13432" spans="1:18" ht="24">
      <c r="A13432" s="393">
        <v>90</v>
      </c>
      <c r="B13432" s="390" t="s">
        <v>24300</v>
      </c>
      <c r="C13432" s="394" t="s">
        <v>24301</v>
      </c>
      <c r="D13432" s="395">
        <v>397.6</v>
      </c>
      <c r="E13432" s="395">
        <v>373.44</v>
      </c>
      <c r="F13432" s="395">
        <v>0.86</v>
      </c>
      <c r="G13432" s="395">
        <v>23.3</v>
      </c>
      <c r="H13432" s="396">
        <v>4458.41</v>
      </c>
      <c r="I13432" s="396">
        <v>4294.72</v>
      </c>
      <c r="J13432" s="396">
        <v>3.65</v>
      </c>
      <c r="K13432" s="396">
        <v>160.04</v>
      </c>
      <c r="L13432" s="43">
        <v>11.213304828973842</v>
      </c>
      <c r="M13432" s="43">
        <v>11.500428449014567</v>
      </c>
      <c r="N13432" s="43">
        <v>4.2441860465116275</v>
      </c>
      <c r="O13432" s="43">
        <v>6.8686695278969951</v>
      </c>
      <c r="P13432" s="397"/>
      <c r="Q13432" s="397"/>
      <c r="R13432" s="397">
        <v>4</v>
      </c>
    </row>
    <row r="13433" spans="1:18" ht="24">
      <c r="A13433" s="398">
        <v>91</v>
      </c>
      <c r="B13433" s="399" t="s">
        <v>24302</v>
      </c>
      <c r="C13433" s="400" t="s">
        <v>24303</v>
      </c>
      <c r="D13433" s="401">
        <v>498.9</v>
      </c>
      <c r="E13433" s="401">
        <v>456.3</v>
      </c>
      <c r="F13433" s="401">
        <v>1.23</v>
      </c>
      <c r="G13433" s="401">
        <v>41.37</v>
      </c>
      <c r="H13433" s="402">
        <v>5499.79</v>
      </c>
      <c r="I13433" s="402">
        <v>5247.61</v>
      </c>
      <c r="J13433" s="402">
        <v>5.23</v>
      </c>
      <c r="K13433" s="402">
        <v>246.95</v>
      </c>
      <c r="L13433" s="611">
        <v>11.023832431348968</v>
      </c>
      <c r="M13433" s="611">
        <v>11.500350646504492</v>
      </c>
      <c r="N13433" s="611">
        <v>4.2520325203252041</v>
      </c>
      <c r="O13433" s="611">
        <v>5.9693014261542183</v>
      </c>
      <c r="P13433" s="403"/>
      <c r="Q13433" s="403"/>
      <c r="R13433" s="403">
        <v>4</v>
      </c>
    </row>
    <row r="13434" spans="1:18" ht="12.75" customHeight="1">
      <c r="A13434" s="630" t="s">
        <v>24304</v>
      </c>
      <c r="B13434" s="631"/>
      <c r="C13434" s="631"/>
      <c r="D13434" s="631"/>
      <c r="E13434" s="631"/>
      <c r="F13434" s="631"/>
      <c r="G13434" s="631"/>
      <c r="H13434" s="631"/>
      <c r="I13434" s="631"/>
      <c r="J13434" s="631"/>
      <c r="K13434" s="631"/>
      <c r="L13434" s="631"/>
      <c r="M13434" s="631"/>
      <c r="N13434" s="631"/>
      <c r="O13434" s="631"/>
      <c r="P13434" s="631"/>
      <c r="Q13434" s="631"/>
      <c r="R13434" s="631"/>
    </row>
    <row r="13435" spans="1:18" ht="12.75" customHeight="1">
      <c r="A13435" s="628" t="s">
        <v>24305</v>
      </c>
      <c r="B13435" s="629"/>
      <c r="C13435" s="629"/>
      <c r="D13435" s="629"/>
      <c r="E13435" s="629"/>
      <c r="F13435" s="629"/>
      <c r="G13435" s="629"/>
      <c r="H13435" s="629"/>
      <c r="I13435" s="629"/>
      <c r="J13435" s="629"/>
      <c r="K13435" s="629"/>
      <c r="L13435" s="629"/>
      <c r="M13435" s="629"/>
      <c r="N13435" s="629"/>
      <c r="O13435" s="629"/>
      <c r="P13435" s="629"/>
      <c r="Q13435" s="629"/>
      <c r="R13435" s="629"/>
    </row>
    <row r="13436" spans="1:18" ht="12.75" customHeight="1">
      <c r="A13436" s="628" t="s">
        <v>24306</v>
      </c>
      <c r="B13436" s="629"/>
      <c r="C13436" s="629"/>
      <c r="D13436" s="629"/>
      <c r="E13436" s="629"/>
      <c r="F13436" s="629"/>
      <c r="G13436" s="629"/>
      <c r="H13436" s="629"/>
      <c r="I13436" s="629"/>
      <c r="J13436" s="629"/>
      <c r="K13436" s="629"/>
      <c r="L13436" s="629"/>
      <c r="M13436" s="629"/>
      <c r="N13436" s="629"/>
      <c r="O13436" s="629"/>
      <c r="P13436" s="629"/>
      <c r="Q13436" s="629"/>
      <c r="R13436" s="629"/>
    </row>
    <row r="13437" spans="1:18" ht="24">
      <c r="A13437" s="393">
        <v>92</v>
      </c>
      <c r="B13437" s="390" t="s">
        <v>24307</v>
      </c>
      <c r="C13437" s="394" t="s">
        <v>24308</v>
      </c>
      <c r="D13437" s="395">
        <v>2149.23</v>
      </c>
      <c r="E13437" s="395">
        <v>1780.95</v>
      </c>
      <c r="F13437" s="395">
        <v>108.37</v>
      </c>
      <c r="G13437" s="395">
        <v>259.91000000000003</v>
      </c>
      <c r="H13437" s="396">
        <v>22337.9</v>
      </c>
      <c r="I13437" s="396">
        <v>20481.7</v>
      </c>
      <c r="J13437" s="396">
        <v>459.77</v>
      </c>
      <c r="K13437" s="396">
        <v>1396.43</v>
      </c>
      <c r="L13437" s="43">
        <v>10.393443233157923</v>
      </c>
      <c r="M13437" s="43">
        <v>11.500435161009573</v>
      </c>
      <c r="N13437" s="43">
        <v>4.2425948140629322</v>
      </c>
      <c r="O13437" s="43">
        <v>5.3727444115270666</v>
      </c>
      <c r="P13437" s="397"/>
      <c r="Q13437" s="397"/>
      <c r="R13437" s="397">
        <v>1</v>
      </c>
    </row>
    <row r="13438" spans="1:18" ht="24">
      <c r="A13438" s="393">
        <v>93</v>
      </c>
      <c r="B13438" s="390" t="s">
        <v>24309</v>
      </c>
      <c r="C13438" s="394" t="s">
        <v>24310</v>
      </c>
      <c r="D13438" s="395">
        <v>2684.97</v>
      </c>
      <c r="E13438" s="395">
        <v>2252.04</v>
      </c>
      <c r="F13438" s="395">
        <v>94.21</v>
      </c>
      <c r="G13438" s="395">
        <v>338.72</v>
      </c>
      <c r="H13438" s="396">
        <v>28113.65</v>
      </c>
      <c r="I13438" s="396">
        <v>25899.439999999999</v>
      </c>
      <c r="J13438" s="396">
        <v>399.7</v>
      </c>
      <c r="K13438" s="396">
        <v>1814.51</v>
      </c>
      <c r="L13438" s="43">
        <v>10.470750138735257</v>
      </c>
      <c r="M13438" s="43">
        <v>11.500435161009573</v>
      </c>
      <c r="N13438" s="43">
        <v>4.2426494002759796</v>
      </c>
      <c r="O13438" s="43">
        <v>5.3569615021256487</v>
      </c>
      <c r="P13438" s="397"/>
      <c r="Q13438" s="397"/>
      <c r="R13438" s="397">
        <v>1</v>
      </c>
    </row>
    <row r="13439" spans="1:18" ht="24">
      <c r="A13439" s="393">
        <v>94</v>
      </c>
      <c r="B13439" s="390" t="s">
        <v>24311</v>
      </c>
      <c r="C13439" s="394" t="s">
        <v>24312</v>
      </c>
      <c r="D13439" s="395">
        <v>3348.87</v>
      </c>
      <c r="E13439" s="395">
        <v>2895.48</v>
      </c>
      <c r="F13439" s="395">
        <v>89.77</v>
      </c>
      <c r="G13439" s="395">
        <v>363.62</v>
      </c>
      <c r="H13439" s="396">
        <v>35694.410000000003</v>
      </c>
      <c r="I13439" s="396">
        <v>33299.279999999999</v>
      </c>
      <c r="J13439" s="396">
        <v>380.88</v>
      </c>
      <c r="K13439" s="396">
        <v>2014.25</v>
      </c>
      <c r="L13439" s="43">
        <v>10.658643064675548</v>
      </c>
      <c r="M13439" s="43">
        <v>11.500435161009573</v>
      </c>
      <c r="N13439" s="43">
        <v>4.2428428205413837</v>
      </c>
      <c r="O13439" s="43">
        <v>5.5394367746548596</v>
      </c>
      <c r="P13439" s="397"/>
      <c r="Q13439" s="397"/>
      <c r="R13439" s="397">
        <v>1</v>
      </c>
    </row>
    <row r="13440" spans="1:18" ht="24">
      <c r="A13440" s="393">
        <v>95</v>
      </c>
      <c r="B13440" s="390" t="s">
        <v>24313</v>
      </c>
      <c r="C13440" s="394" t="s">
        <v>24314</v>
      </c>
      <c r="D13440" s="395">
        <v>439.45</v>
      </c>
      <c r="E13440" s="395">
        <v>390.66</v>
      </c>
      <c r="F13440" s="395">
        <v>9.99</v>
      </c>
      <c r="G13440" s="395">
        <v>38.799999999999997</v>
      </c>
      <c r="H13440" s="396">
        <v>4778.0600000000004</v>
      </c>
      <c r="I13440" s="396">
        <v>4492.76</v>
      </c>
      <c r="J13440" s="396">
        <v>42.75</v>
      </c>
      <c r="K13440" s="396">
        <v>242.55</v>
      </c>
      <c r="L13440" s="43">
        <v>10.872818295596771</v>
      </c>
      <c r="M13440" s="43">
        <v>11.500435161009573</v>
      </c>
      <c r="N13440" s="43">
        <v>4.2792792792792795</v>
      </c>
      <c r="O13440" s="43">
        <v>6.2512886597938149</v>
      </c>
      <c r="P13440" s="397"/>
      <c r="Q13440" s="397"/>
      <c r="R13440" s="397">
        <v>1</v>
      </c>
    </row>
    <row r="13441" spans="1:18" ht="12.75" customHeight="1">
      <c r="A13441" s="628" t="s">
        <v>24315</v>
      </c>
      <c r="B13441" s="629"/>
      <c r="C13441" s="629"/>
      <c r="D13441" s="629"/>
      <c r="E13441" s="629"/>
      <c r="F13441" s="629"/>
      <c r="G13441" s="629"/>
      <c r="H13441" s="629"/>
      <c r="I13441" s="629"/>
      <c r="J13441" s="629"/>
      <c r="K13441" s="629"/>
      <c r="L13441" s="629"/>
      <c r="M13441" s="629"/>
      <c r="N13441" s="629"/>
      <c r="O13441" s="629"/>
      <c r="P13441" s="629"/>
      <c r="Q13441" s="629"/>
      <c r="R13441" s="629"/>
    </row>
    <row r="13442" spans="1:18" ht="24">
      <c r="A13442" s="393">
        <v>96</v>
      </c>
      <c r="B13442" s="390" t="s">
        <v>24316</v>
      </c>
      <c r="C13442" s="394" t="s">
        <v>24317</v>
      </c>
      <c r="D13442" s="395">
        <v>1298.8499999999999</v>
      </c>
      <c r="E13442" s="395">
        <v>1137.51</v>
      </c>
      <c r="F13442" s="395">
        <v>44.66</v>
      </c>
      <c r="G13442" s="395">
        <v>116.68</v>
      </c>
      <c r="H13442" s="396">
        <v>13942.04</v>
      </c>
      <c r="I13442" s="396">
        <v>13081.86</v>
      </c>
      <c r="J13442" s="396">
        <v>188.38</v>
      </c>
      <c r="K13442" s="396">
        <v>671.8</v>
      </c>
      <c r="L13442" s="43">
        <v>10.734141740770683</v>
      </c>
      <c r="M13442" s="43">
        <v>11.500435161009575</v>
      </c>
      <c r="N13442" s="43">
        <v>4.2180922525750111</v>
      </c>
      <c r="O13442" s="43">
        <v>5.7576276996914633</v>
      </c>
      <c r="P13442" s="397"/>
      <c r="Q13442" s="397"/>
      <c r="R13442" s="397">
        <v>2</v>
      </c>
    </row>
    <row r="13443" spans="1:18" ht="24">
      <c r="A13443" s="393">
        <v>97</v>
      </c>
      <c r="B13443" s="390" t="s">
        <v>24318</v>
      </c>
      <c r="C13443" s="394" t="s">
        <v>24319</v>
      </c>
      <c r="D13443" s="395">
        <v>1952.48</v>
      </c>
      <c r="E13443" s="395">
        <v>1620.09</v>
      </c>
      <c r="F13443" s="395">
        <v>74.48</v>
      </c>
      <c r="G13443" s="395">
        <v>257.91000000000003</v>
      </c>
      <c r="H13443" s="396">
        <v>20317.86</v>
      </c>
      <c r="I13443" s="396">
        <v>18631.740000000002</v>
      </c>
      <c r="J13443" s="396">
        <v>315.99</v>
      </c>
      <c r="K13443" s="396">
        <v>1370.13</v>
      </c>
      <c r="L13443" s="43">
        <v>10.406180857166271</v>
      </c>
      <c r="M13443" s="43">
        <v>11.500435161009575</v>
      </c>
      <c r="N13443" s="43">
        <v>4.2426154672395269</v>
      </c>
      <c r="O13443" s="43">
        <v>5.3124345701989064</v>
      </c>
      <c r="P13443" s="397"/>
      <c r="Q13443" s="397"/>
      <c r="R13443" s="397">
        <v>2</v>
      </c>
    </row>
    <row r="13444" spans="1:18" ht="24">
      <c r="A13444" s="393">
        <v>98</v>
      </c>
      <c r="B13444" s="390" t="s">
        <v>24320</v>
      </c>
      <c r="C13444" s="394" t="s">
        <v>24321</v>
      </c>
      <c r="D13444" s="395">
        <v>2787.34</v>
      </c>
      <c r="E13444" s="395">
        <v>2343.96</v>
      </c>
      <c r="F13444" s="395">
        <v>118.28</v>
      </c>
      <c r="G13444" s="395">
        <v>325.10000000000002</v>
      </c>
      <c r="H13444" s="396">
        <v>29223.61</v>
      </c>
      <c r="I13444" s="396">
        <v>26956.560000000001</v>
      </c>
      <c r="J13444" s="396">
        <v>501.83</v>
      </c>
      <c r="K13444" s="396">
        <v>1765.22</v>
      </c>
      <c r="L13444" s="43">
        <v>10.484408073647277</v>
      </c>
      <c r="M13444" s="43">
        <v>11.500435161009573</v>
      </c>
      <c r="N13444" s="43">
        <v>4.2427291173486639</v>
      </c>
      <c r="O13444" s="43">
        <v>5.4297754537065517</v>
      </c>
      <c r="P13444" s="397"/>
      <c r="Q13444" s="397"/>
      <c r="R13444" s="397">
        <v>2</v>
      </c>
    </row>
    <row r="13445" spans="1:18" ht="12.75" customHeight="1">
      <c r="A13445" s="628" t="s">
        <v>24322</v>
      </c>
      <c r="B13445" s="629"/>
      <c r="C13445" s="629"/>
      <c r="D13445" s="629"/>
      <c r="E13445" s="629"/>
      <c r="F13445" s="629"/>
      <c r="G13445" s="629"/>
      <c r="H13445" s="629"/>
      <c r="I13445" s="629"/>
      <c r="J13445" s="629"/>
      <c r="K13445" s="629"/>
      <c r="L13445" s="629"/>
      <c r="M13445" s="629"/>
      <c r="N13445" s="629"/>
      <c r="O13445" s="629"/>
      <c r="P13445" s="629"/>
      <c r="Q13445" s="629"/>
      <c r="R13445" s="629"/>
    </row>
    <row r="13446" spans="1:18" ht="24">
      <c r="A13446" s="393">
        <v>99</v>
      </c>
      <c r="B13446" s="390" t="s">
        <v>24323</v>
      </c>
      <c r="C13446" s="394" t="s">
        <v>24324</v>
      </c>
      <c r="D13446" s="395">
        <v>2145.02</v>
      </c>
      <c r="E13446" s="395">
        <v>1803.93</v>
      </c>
      <c r="F13446" s="395">
        <v>68.760000000000005</v>
      </c>
      <c r="G13446" s="395">
        <v>272.33</v>
      </c>
      <c r="H13446" s="396">
        <v>22488.89</v>
      </c>
      <c r="I13446" s="396">
        <v>20745.98</v>
      </c>
      <c r="J13446" s="396">
        <v>290.05</v>
      </c>
      <c r="K13446" s="396">
        <v>1452.86</v>
      </c>
      <c r="L13446" s="43">
        <v>10.48423324724245</v>
      </c>
      <c r="M13446" s="43">
        <v>11.500435161009573</v>
      </c>
      <c r="N13446" s="43">
        <v>4.2182955206515418</v>
      </c>
      <c r="O13446" s="43">
        <v>5.33492454008005</v>
      </c>
      <c r="P13446" s="397"/>
      <c r="Q13446" s="397"/>
      <c r="R13446" s="397">
        <v>3</v>
      </c>
    </row>
    <row r="13447" spans="1:18" ht="24">
      <c r="A13447" s="393">
        <v>100</v>
      </c>
      <c r="B13447" s="390" t="s">
        <v>24325</v>
      </c>
      <c r="C13447" s="394" t="s">
        <v>24326</v>
      </c>
      <c r="D13447" s="395">
        <v>2658.15</v>
      </c>
      <c r="E13447" s="395">
        <v>2125.65</v>
      </c>
      <c r="F13447" s="395">
        <v>118.28</v>
      </c>
      <c r="G13447" s="395">
        <v>414.22</v>
      </c>
      <c r="H13447" s="396">
        <v>27057.63</v>
      </c>
      <c r="I13447" s="396">
        <v>24445.9</v>
      </c>
      <c r="J13447" s="396">
        <v>501.83</v>
      </c>
      <c r="K13447" s="396">
        <v>2109.9</v>
      </c>
      <c r="L13447" s="43">
        <v>10.179120817109643</v>
      </c>
      <c r="M13447" s="43">
        <v>11.500435161009573</v>
      </c>
      <c r="N13447" s="43">
        <v>4.2427291173486639</v>
      </c>
      <c r="O13447" s="43">
        <v>5.0936700304186182</v>
      </c>
      <c r="P13447" s="397"/>
      <c r="Q13447" s="397"/>
      <c r="R13447" s="397">
        <v>3</v>
      </c>
    </row>
    <row r="13448" spans="1:18" ht="12.75" customHeight="1">
      <c r="A13448" s="628" t="s">
        <v>24327</v>
      </c>
      <c r="B13448" s="629"/>
      <c r="C13448" s="629"/>
      <c r="D13448" s="629"/>
      <c r="E13448" s="629"/>
      <c r="F13448" s="629"/>
      <c r="G13448" s="629"/>
      <c r="H13448" s="629"/>
      <c r="I13448" s="629"/>
      <c r="J13448" s="629"/>
      <c r="K13448" s="629"/>
      <c r="L13448" s="629"/>
      <c r="M13448" s="629"/>
      <c r="N13448" s="629"/>
      <c r="O13448" s="629"/>
      <c r="P13448" s="629"/>
      <c r="Q13448" s="629"/>
      <c r="R13448" s="629"/>
    </row>
    <row r="13449" spans="1:18" ht="36">
      <c r="A13449" s="393">
        <v>101</v>
      </c>
      <c r="B13449" s="390" t="s">
        <v>24328</v>
      </c>
      <c r="C13449" s="394" t="s">
        <v>24329</v>
      </c>
      <c r="D13449" s="395">
        <v>1361.59</v>
      </c>
      <c r="E13449" s="395">
        <v>1040.99</v>
      </c>
      <c r="F13449" s="395">
        <v>81</v>
      </c>
      <c r="G13449" s="395">
        <v>239.6</v>
      </c>
      <c r="H13449" s="396">
        <v>13516.19</v>
      </c>
      <c r="I13449" s="396">
        <v>11971.88</v>
      </c>
      <c r="J13449" s="396">
        <v>343.63</v>
      </c>
      <c r="K13449" s="396">
        <v>1200.68</v>
      </c>
      <c r="L13449" s="43">
        <v>9.9267694386709664</v>
      </c>
      <c r="M13449" s="43">
        <v>11.500475508890574</v>
      </c>
      <c r="N13449" s="43">
        <v>4.2423456790123453</v>
      </c>
      <c r="O13449" s="43">
        <v>5.0111853088480807</v>
      </c>
      <c r="P13449" s="397"/>
      <c r="Q13449" s="397"/>
      <c r="R13449" s="397">
        <v>4</v>
      </c>
    </row>
    <row r="13450" spans="1:18" ht="36">
      <c r="A13450" s="393">
        <v>102</v>
      </c>
      <c r="B13450" s="390" t="s">
        <v>24330</v>
      </c>
      <c r="C13450" s="394" t="s">
        <v>24331</v>
      </c>
      <c r="D13450" s="395">
        <v>1121.82</v>
      </c>
      <c r="E13450" s="395">
        <v>864.05</v>
      </c>
      <c r="F13450" s="395">
        <v>41.55</v>
      </c>
      <c r="G13450" s="395">
        <v>216.22</v>
      </c>
      <c r="H13450" s="396">
        <v>11179.38</v>
      </c>
      <c r="I13450" s="396">
        <v>9936.93</v>
      </c>
      <c r="J13450" s="396">
        <v>175.86</v>
      </c>
      <c r="K13450" s="396">
        <v>1066.5899999999999</v>
      </c>
      <c r="L13450" s="43">
        <v>9.9653955179975391</v>
      </c>
      <c r="M13450" s="43">
        <v>11.50041085585325</v>
      </c>
      <c r="N13450" s="43">
        <v>4.2324909747292425</v>
      </c>
      <c r="O13450" s="43">
        <v>4.9328924243825734</v>
      </c>
      <c r="P13450" s="397"/>
      <c r="Q13450" s="397"/>
      <c r="R13450" s="397">
        <v>4</v>
      </c>
    </row>
    <row r="13451" spans="1:18" ht="36">
      <c r="A13451" s="393">
        <v>103</v>
      </c>
      <c r="B13451" s="390" t="s">
        <v>24332</v>
      </c>
      <c r="C13451" s="394" t="s">
        <v>24333</v>
      </c>
      <c r="D13451" s="395">
        <v>1713.35</v>
      </c>
      <c r="E13451" s="395">
        <v>1505.19</v>
      </c>
      <c r="F13451" s="395">
        <v>16.64</v>
      </c>
      <c r="G13451" s="395">
        <v>191.52</v>
      </c>
      <c r="H13451" s="396">
        <v>18430.13</v>
      </c>
      <c r="I13451" s="396">
        <v>17310.34</v>
      </c>
      <c r="J13451" s="396">
        <v>70.41</v>
      </c>
      <c r="K13451" s="396">
        <v>1049.3800000000001</v>
      </c>
      <c r="L13451" s="43">
        <v>10.756780576064436</v>
      </c>
      <c r="M13451" s="43">
        <v>11.500435161009573</v>
      </c>
      <c r="N13451" s="43">
        <v>4.2313701923076916</v>
      </c>
      <c r="O13451" s="43">
        <v>5.4792188805346704</v>
      </c>
      <c r="P13451" s="397"/>
      <c r="Q13451" s="397"/>
      <c r="R13451" s="397">
        <v>4</v>
      </c>
    </row>
    <row r="13452" spans="1:18" ht="12.75" customHeight="1">
      <c r="A13452" s="628" t="s">
        <v>24334</v>
      </c>
      <c r="B13452" s="629"/>
      <c r="C13452" s="629"/>
      <c r="D13452" s="629"/>
      <c r="E13452" s="629"/>
      <c r="F13452" s="629"/>
      <c r="G13452" s="629"/>
      <c r="H13452" s="629"/>
      <c r="I13452" s="629"/>
      <c r="J13452" s="629"/>
      <c r="K13452" s="629"/>
      <c r="L13452" s="629"/>
      <c r="M13452" s="629"/>
      <c r="N13452" s="629"/>
      <c r="O13452" s="629"/>
      <c r="P13452" s="629"/>
      <c r="Q13452" s="629"/>
      <c r="R13452" s="629"/>
    </row>
    <row r="13453" spans="1:18" ht="24">
      <c r="A13453" s="393">
        <v>104</v>
      </c>
      <c r="B13453" s="390" t="s">
        <v>24335</v>
      </c>
      <c r="C13453" s="394" t="s">
        <v>24336</v>
      </c>
      <c r="D13453" s="395">
        <v>1297.3599999999999</v>
      </c>
      <c r="E13453" s="395">
        <v>1171.98</v>
      </c>
      <c r="F13453" s="395">
        <v>14.81</v>
      </c>
      <c r="G13453" s="395">
        <v>110.57</v>
      </c>
      <c r="H13453" s="396">
        <v>14182.72</v>
      </c>
      <c r="I13453" s="396">
        <v>13478.28</v>
      </c>
      <c r="J13453" s="396">
        <v>62.66</v>
      </c>
      <c r="K13453" s="396">
        <v>641.78</v>
      </c>
      <c r="L13453" s="43">
        <v>10.931984954060555</v>
      </c>
      <c r="M13453" s="43">
        <v>11.500435161009573</v>
      </c>
      <c r="N13453" s="43">
        <v>4.2309250506414582</v>
      </c>
      <c r="O13453" s="43">
        <v>5.8042868770914353</v>
      </c>
      <c r="P13453" s="397"/>
      <c r="Q13453" s="397"/>
      <c r="R13453" s="397">
        <v>5</v>
      </c>
    </row>
    <row r="13454" spans="1:18" ht="24">
      <c r="A13454" s="393">
        <v>105</v>
      </c>
      <c r="B13454" s="390" t="s">
        <v>24337</v>
      </c>
      <c r="C13454" s="394" t="s">
        <v>24338</v>
      </c>
      <c r="D13454" s="395">
        <v>313.60000000000002</v>
      </c>
      <c r="E13454" s="395">
        <v>242.78</v>
      </c>
      <c r="F13454" s="395">
        <v>4.34</v>
      </c>
      <c r="G13454" s="395">
        <v>66.48</v>
      </c>
      <c r="H13454" s="396">
        <v>3134.21</v>
      </c>
      <c r="I13454" s="396">
        <v>2792.02</v>
      </c>
      <c r="J13454" s="396">
        <v>18.57</v>
      </c>
      <c r="K13454" s="396">
        <v>323.62</v>
      </c>
      <c r="L13454" s="43">
        <v>9.9942920918367335</v>
      </c>
      <c r="M13454" s="43">
        <v>11.500205947771645</v>
      </c>
      <c r="N13454" s="43">
        <v>4.2788018433179724</v>
      </c>
      <c r="O13454" s="43">
        <v>4.8679302045728035</v>
      </c>
      <c r="P13454" s="397"/>
      <c r="Q13454" s="397"/>
      <c r="R13454" s="397">
        <v>5</v>
      </c>
    </row>
    <row r="13455" spans="1:18" ht="24">
      <c r="A13455" s="393">
        <v>106</v>
      </c>
      <c r="B13455" s="390" t="s">
        <v>24339</v>
      </c>
      <c r="C13455" s="394" t="s">
        <v>24340</v>
      </c>
      <c r="D13455" s="395">
        <v>320.37</v>
      </c>
      <c r="E13455" s="395">
        <v>301.23</v>
      </c>
      <c r="F13455" s="395">
        <v>2.96</v>
      </c>
      <c r="G13455" s="395">
        <v>16.18</v>
      </c>
      <c r="H13455" s="396">
        <v>3587.39</v>
      </c>
      <c r="I13455" s="396">
        <v>3464.17</v>
      </c>
      <c r="J13455" s="396">
        <v>12.53</v>
      </c>
      <c r="K13455" s="396">
        <v>110.69</v>
      </c>
      <c r="L13455" s="43">
        <v>11.197646471267596</v>
      </c>
      <c r="M13455" s="43">
        <v>11.500082993061779</v>
      </c>
      <c r="N13455" s="43">
        <v>4.2331081081081079</v>
      </c>
      <c r="O13455" s="43">
        <v>6.8411619283065512</v>
      </c>
      <c r="P13455" s="397"/>
      <c r="Q13455" s="397"/>
      <c r="R13455" s="397">
        <v>5</v>
      </c>
    </row>
    <row r="13456" spans="1:18" ht="12.75" customHeight="1">
      <c r="A13456" s="628" t="s">
        <v>24341</v>
      </c>
      <c r="B13456" s="629"/>
      <c r="C13456" s="629"/>
      <c r="D13456" s="629"/>
      <c r="E13456" s="629"/>
      <c r="F13456" s="629"/>
      <c r="G13456" s="629"/>
      <c r="H13456" s="629"/>
      <c r="I13456" s="629"/>
      <c r="J13456" s="629"/>
      <c r="K13456" s="629"/>
      <c r="L13456" s="629"/>
      <c r="M13456" s="629"/>
      <c r="N13456" s="629"/>
      <c r="O13456" s="629"/>
      <c r="P13456" s="629"/>
      <c r="Q13456" s="629"/>
      <c r="R13456" s="629"/>
    </row>
    <row r="13457" spans="1:18" ht="12.75" customHeight="1">
      <c r="A13457" s="628" t="s">
        <v>24342</v>
      </c>
      <c r="B13457" s="629"/>
      <c r="C13457" s="629"/>
      <c r="D13457" s="629"/>
      <c r="E13457" s="629"/>
      <c r="F13457" s="629"/>
      <c r="G13457" s="629"/>
      <c r="H13457" s="629"/>
      <c r="I13457" s="629"/>
      <c r="J13457" s="629"/>
      <c r="K13457" s="629"/>
      <c r="L13457" s="629"/>
      <c r="M13457" s="629"/>
      <c r="N13457" s="629"/>
      <c r="O13457" s="629"/>
      <c r="P13457" s="629"/>
      <c r="Q13457" s="629"/>
      <c r="R13457" s="629"/>
    </row>
    <row r="13458" spans="1:18" ht="24">
      <c r="A13458" s="393">
        <v>107</v>
      </c>
      <c r="B13458" s="390" t="s">
        <v>24343</v>
      </c>
      <c r="C13458" s="394" t="s">
        <v>24344</v>
      </c>
      <c r="D13458" s="395">
        <v>512.04999999999995</v>
      </c>
      <c r="E13458" s="395">
        <v>480.8</v>
      </c>
      <c r="F13458" s="395">
        <v>6.37</v>
      </c>
      <c r="G13458" s="395">
        <v>24.88</v>
      </c>
      <c r="H13458" s="396">
        <v>5743.45</v>
      </c>
      <c r="I13458" s="396">
        <v>5529.45</v>
      </c>
      <c r="J13458" s="396">
        <v>26.98</v>
      </c>
      <c r="K13458" s="396">
        <v>187.02</v>
      </c>
      <c r="L13458" s="43">
        <v>11.216580412069135</v>
      </c>
      <c r="M13458" s="43">
        <v>11.500519966722129</v>
      </c>
      <c r="N13458" s="43">
        <v>4.2354788069073788</v>
      </c>
      <c r="O13458" s="43">
        <v>7.5168810289389079</v>
      </c>
      <c r="P13458" s="397"/>
      <c r="Q13458" s="397"/>
      <c r="R13458" s="397">
        <v>1</v>
      </c>
    </row>
    <row r="13459" spans="1:18" ht="24">
      <c r="A13459" s="393">
        <v>108</v>
      </c>
      <c r="B13459" s="390" t="s">
        <v>24345</v>
      </c>
      <c r="C13459" s="394" t="s">
        <v>24346</v>
      </c>
      <c r="D13459" s="395">
        <v>516.42999999999995</v>
      </c>
      <c r="E13459" s="395">
        <v>484.88</v>
      </c>
      <c r="F13459" s="395">
        <v>6.59</v>
      </c>
      <c r="G13459" s="395">
        <v>24.96</v>
      </c>
      <c r="H13459" s="396">
        <v>5792.14</v>
      </c>
      <c r="I13459" s="396">
        <v>5576.31</v>
      </c>
      <c r="J13459" s="396">
        <v>27.89</v>
      </c>
      <c r="K13459" s="396">
        <v>187.94</v>
      </c>
      <c r="L13459" s="43">
        <v>11.215731076815834</v>
      </c>
      <c r="M13459" s="43">
        <v>11.500391849529782</v>
      </c>
      <c r="N13459" s="43">
        <v>4.2321699544764799</v>
      </c>
      <c r="O13459" s="43">
        <v>7.5296474358974352</v>
      </c>
      <c r="P13459" s="397"/>
      <c r="Q13459" s="397"/>
      <c r="R13459" s="397">
        <v>1</v>
      </c>
    </row>
    <row r="13460" spans="1:18" ht="12.75" customHeight="1">
      <c r="A13460" s="628" t="s">
        <v>24347</v>
      </c>
      <c r="B13460" s="629"/>
      <c r="C13460" s="629"/>
      <c r="D13460" s="629"/>
      <c r="E13460" s="629"/>
      <c r="F13460" s="629"/>
      <c r="G13460" s="629"/>
      <c r="H13460" s="629"/>
      <c r="I13460" s="629"/>
      <c r="J13460" s="629"/>
      <c r="K13460" s="629"/>
      <c r="L13460" s="629"/>
      <c r="M13460" s="629"/>
      <c r="N13460" s="629"/>
      <c r="O13460" s="629"/>
      <c r="P13460" s="629"/>
      <c r="Q13460" s="629"/>
      <c r="R13460" s="629"/>
    </row>
    <row r="13461" spans="1:18" ht="36">
      <c r="A13461" s="393">
        <v>109</v>
      </c>
      <c r="B13461" s="390" t="s">
        <v>24348</v>
      </c>
      <c r="C13461" s="394" t="s">
        <v>24349</v>
      </c>
      <c r="D13461" s="395">
        <v>2183.54</v>
      </c>
      <c r="E13461" s="395">
        <v>1960.56</v>
      </c>
      <c r="F13461" s="395">
        <v>95.12</v>
      </c>
      <c r="G13461" s="395">
        <v>127.86</v>
      </c>
      <c r="H13461" s="396">
        <v>23849.69</v>
      </c>
      <c r="I13461" s="396">
        <v>22547.279999999999</v>
      </c>
      <c r="J13461" s="396">
        <v>402.6</v>
      </c>
      <c r="K13461" s="396">
        <v>899.81</v>
      </c>
      <c r="L13461" s="43">
        <v>10.922488253020324</v>
      </c>
      <c r="M13461" s="43">
        <v>11.500428449014567</v>
      </c>
      <c r="N13461" s="43">
        <v>4.2325483599663585</v>
      </c>
      <c r="O13461" s="43">
        <v>7.0374628499921785</v>
      </c>
      <c r="P13461" s="397"/>
      <c r="Q13461" s="397"/>
      <c r="R13461" s="397">
        <v>2</v>
      </c>
    </row>
    <row r="13462" spans="1:18" ht="24">
      <c r="A13462" s="393">
        <v>110</v>
      </c>
      <c r="B13462" s="390" t="s">
        <v>24350</v>
      </c>
      <c r="C13462" s="394" t="s">
        <v>24351</v>
      </c>
      <c r="D13462" s="395">
        <v>1837.65</v>
      </c>
      <c r="E13462" s="395">
        <v>1706.4</v>
      </c>
      <c r="F13462" s="395">
        <v>37.33</v>
      </c>
      <c r="G13462" s="395">
        <v>93.92</v>
      </c>
      <c r="H13462" s="396">
        <v>20479.21</v>
      </c>
      <c r="I13462" s="396">
        <v>19624.32</v>
      </c>
      <c r="J13462" s="396">
        <v>159.78</v>
      </c>
      <c r="K13462" s="396">
        <v>695.11</v>
      </c>
      <c r="L13462" s="43">
        <v>11.144238565559274</v>
      </c>
      <c r="M13462" s="43">
        <v>11.50042194092827</v>
      </c>
      <c r="N13462" s="43">
        <v>4.2802035896062147</v>
      </c>
      <c r="O13462" s="43">
        <v>7.4010860306643949</v>
      </c>
      <c r="P13462" s="397"/>
      <c r="Q13462" s="397"/>
      <c r="R13462" s="397">
        <v>2</v>
      </c>
    </row>
    <row r="13463" spans="1:18" ht="24">
      <c r="A13463" s="393">
        <v>111</v>
      </c>
      <c r="B13463" s="390" t="s">
        <v>24352</v>
      </c>
      <c r="C13463" s="394" t="s">
        <v>24353</v>
      </c>
      <c r="D13463" s="395">
        <v>1089.55</v>
      </c>
      <c r="E13463" s="395">
        <v>1026.96</v>
      </c>
      <c r="F13463" s="395">
        <v>12.5</v>
      </c>
      <c r="G13463" s="395">
        <v>50.09</v>
      </c>
      <c r="H13463" s="396">
        <v>12256.08</v>
      </c>
      <c r="I13463" s="396">
        <v>11810.48</v>
      </c>
      <c r="J13463" s="396">
        <v>52.95</v>
      </c>
      <c r="K13463" s="396">
        <v>392.65</v>
      </c>
      <c r="L13463" s="43">
        <v>11.248754072782342</v>
      </c>
      <c r="M13463" s="43">
        <v>11.500428449014567</v>
      </c>
      <c r="N13463" s="43">
        <v>4.2360000000000007</v>
      </c>
      <c r="O13463" s="43">
        <v>7.8388899980035927</v>
      </c>
      <c r="P13463" s="397"/>
      <c r="Q13463" s="397"/>
      <c r="R13463" s="397">
        <v>2</v>
      </c>
    </row>
    <row r="13464" spans="1:18" ht="24">
      <c r="A13464" s="393">
        <v>112</v>
      </c>
      <c r="B13464" s="390" t="s">
        <v>24354</v>
      </c>
      <c r="C13464" s="394" t="s">
        <v>24355</v>
      </c>
      <c r="D13464" s="395">
        <v>2351.34</v>
      </c>
      <c r="E13464" s="395">
        <v>2100.6</v>
      </c>
      <c r="F13464" s="395">
        <v>135.72</v>
      </c>
      <c r="G13464" s="395">
        <v>115.02</v>
      </c>
      <c r="H13464" s="396">
        <v>25584.63</v>
      </c>
      <c r="I13464" s="396">
        <v>24157.8</v>
      </c>
      <c r="J13464" s="396">
        <v>574.41</v>
      </c>
      <c r="K13464" s="396">
        <v>852.42</v>
      </c>
      <c r="L13464" s="43">
        <v>10.880872183520886</v>
      </c>
      <c r="M13464" s="43">
        <v>11.500428449014567</v>
      </c>
      <c r="N13464" s="43">
        <v>4.2323165340406721</v>
      </c>
      <c r="O13464" s="43">
        <v>7.4110589462702139</v>
      </c>
      <c r="P13464" s="397"/>
      <c r="Q13464" s="397"/>
      <c r="R13464" s="397">
        <v>2</v>
      </c>
    </row>
    <row r="13465" spans="1:18" ht="24">
      <c r="A13465" s="393">
        <v>113</v>
      </c>
      <c r="B13465" s="390" t="s">
        <v>24356</v>
      </c>
      <c r="C13465" s="394" t="s">
        <v>24357</v>
      </c>
      <c r="D13465" s="395">
        <v>2738.56</v>
      </c>
      <c r="E13465" s="395">
        <v>2474.04</v>
      </c>
      <c r="F13465" s="395">
        <v>128.32</v>
      </c>
      <c r="G13465" s="395">
        <v>136.19999999999999</v>
      </c>
      <c r="H13465" s="396">
        <v>30008.97</v>
      </c>
      <c r="I13465" s="396">
        <v>28452.52</v>
      </c>
      <c r="J13465" s="396">
        <v>543.08000000000004</v>
      </c>
      <c r="K13465" s="396">
        <v>1013.37</v>
      </c>
      <c r="L13465" s="43">
        <v>10.95793774830568</v>
      </c>
      <c r="M13465" s="43">
        <v>11.500428449014567</v>
      </c>
      <c r="N13465" s="43">
        <v>4.232231920199502</v>
      </c>
      <c r="O13465" s="43">
        <v>7.4403083700440531</v>
      </c>
      <c r="P13465" s="397"/>
      <c r="Q13465" s="397"/>
      <c r="R13465" s="397">
        <v>2</v>
      </c>
    </row>
    <row r="13466" spans="1:18" ht="12.75" customHeight="1">
      <c r="A13466" s="628" t="s">
        <v>24358</v>
      </c>
      <c r="B13466" s="629"/>
      <c r="C13466" s="629"/>
      <c r="D13466" s="629"/>
      <c r="E13466" s="629"/>
      <c r="F13466" s="629"/>
      <c r="G13466" s="629"/>
      <c r="H13466" s="629"/>
      <c r="I13466" s="629"/>
      <c r="J13466" s="629"/>
      <c r="K13466" s="629"/>
      <c r="L13466" s="629"/>
      <c r="M13466" s="629"/>
      <c r="N13466" s="629"/>
      <c r="O13466" s="629"/>
      <c r="P13466" s="629"/>
      <c r="Q13466" s="629"/>
      <c r="R13466" s="629"/>
    </row>
    <row r="13467" spans="1:18" ht="24">
      <c r="A13467" s="393">
        <v>114</v>
      </c>
      <c r="B13467" s="390" t="s">
        <v>24359</v>
      </c>
      <c r="C13467" s="394" t="s">
        <v>24360</v>
      </c>
      <c r="D13467" s="395">
        <v>5402.32</v>
      </c>
      <c r="E13467" s="395">
        <v>4749.6899999999996</v>
      </c>
      <c r="F13467" s="395">
        <v>132.06</v>
      </c>
      <c r="G13467" s="395">
        <v>520.57000000000005</v>
      </c>
      <c r="H13467" s="396">
        <v>58233.73</v>
      </c>
      <c r="I13467" s="396">
        <v>54623.47</v>
      </c>
      <c r="J13467" s="396">
        <v>558.91999999999996</v>
      </c>
      <c r="K13467" s="396">
        <v>3051.34</v>
      </c>
      <c r="L13467" s="43">
        <v>10.779392927483009</v>
      </c>
      <c r="M13467" s="43">
        <v>11.500428449014569</v>
      </c>
      <c r="N13467" s="43">
        <v>4.232318643041042</v>
      </c>
      <c r="O13467" s="43">
        <v>5.8615363928001996</v>
      </c>
      <c r="P13467" s="397"/>
      <c r="Q13467" s="397"/>
      <c r="R13467" s="397">
        <v>3</v>
      </c>
    </row>
    <row r="13468" spans="1:18" ht="12.75" customHeight="1">
      <c r="A13468" s="628" t="s">
        <v>24361</v>
      </c>
      <c r="B13468" s="629"/>
      <c r="C13468" s="629"/>
      <c r="D13468" s="629"/>
      <c r="E13468" s="629"/>
      <c r="F13468" s="629"/>
      <c r="G13468" s="629"/>
      <c r="H13468" s="629"/>
      <c r="I13468" s="629"/>
      <c r="J13468" s="629"/>
      <c r="K13468" s="629"/>
      <c r="L13468" s="629"/>
      <c r="M13468" s="629"/>
      <c r="N13468" s="629"/>
      <c r="O13468" s="629"/>
      <c r="P13468" s="629"/>
      <c r="Q13468" s="629"/>
      <c r="R13468" s="629"/>
    </row>
    <row r="13469" spans="1:18" ht="24">
      <c r="A13469" s="393">
        <v>115</v>
      </c>
      <c r="B13469" s="390" t="s">
        <v>24362</v>
      </c>
      <c r="C13469" s="394" t="s">
        <v>24363</v>
      </c>
      <c r="D13469" s="395">
        <v>2972.4</v>
      </c>
      <c r="E13469" s="395">
        <v>2596.7399999999998</v>
      </c>
      <c r="F13469" s="395">
        <v>155.13999999999999</v>
      </c>
      <c r="G13469" s="395">
        <v>220.52</v>
      </c>
      <c r="H13469" s="396">
        <v>31849.47</v>
      </c>
      <c r="I13469" s="396">
        <v>29863.64</v>
      </c>
      <c r="J13469" s="396">
        <v>656.62</v>
      </c>
      <c r="K13469" s="396">
        <v>1329.21</v>
      </c>
      <c r="L13469" s="43">
        <v>10.715068631408963</v>
      </c>
      <c r="M13469" s="43">
        <v>11.500435161009575</v>
      </c>
      <c r="N13469" s="43">
        <v>4.2324352198014701</v>
      </c>
      <c r="O13469" s="43">
        <v>6.0276165427172135</v>
      </c>
      <c r="P13469" s="397"/>
      <c r="Q13469" s="397"/>
      <c r="R13469" s="397">
        <v>4</v>
      </c>
    </row>
    <row r="13470" spans="1:18" ht="24">
      <c r="A13470" s="393">
        <v>116</v>
      </c>
      <c r="B13470" s="390" t="s">
        <v>24364</v>
      </c>
      <c r="C13470" s="394" t="s">
        <v>24365</v>
      </c>
      <c r="D13470" s="395">
        <v>3781.98</v>
      </c>
      <c r="E13470" s="395">
        <v>3267.6</v>
      </c>
      <c r="F13470" s="395">
        <v>238.74</v>
      </c>
      <c r="G13470" s="395">
        <v>275.64</v>
      </c>
      <c r="H13470" s="396">
        <v>40256.839999999997</v>
      </c>
      <c r="I13470" s="396">
        <v>37578.800000000003</v>
      </c>
      <c r="J13470" s="396">
        <v>1012.86</v>
      </c>
      <c r="K13470" s="396">
        <v>1665.18</v>
      </c>
      <c r="L13470" s="43">
        <v>10.64438204326834</v>
      </c>
      <c r="M13470" s="43">
        <v>11.500428449014569</v>
      </c>
      <c r="N13470" s="43">
        <v>4.2425232470469965</v>
      </c>
      <c r="O13470" s="43">
        <v>6.0411406181976499</v>
      </c>
      <c r="P13470" s="397"/>
      <c r="Q13470" s="397"/>
      <c r="R13470" s="397">
        <v>4</v>
      </c>
    </row>
    <row r="13471" spans="1:18" ht="24">
      <c r="A13471" s="393">
        <v>117</v>
      </c>
      <c r="B13471" s="390" t="s">
        <v>24366</v>
      </c>
      <c r="C13471" s="394" t="s">
        <v>24367</v>
      </c>
      <c r="D13471" s="395">
        <v>3912.98</v>
      </c>
      <c r="E13471" s="395">
        <v>3337.62</v>
      </c>
      <c r="F13471" s="395">
        <v>255.16</v>
      </c>
      <c r="G13471" s="395">
        <v>320.2</v>
      </c>
      <c r="H13471" s="396">
        <v>41335.11</v>
      </c>
      <c r="I13471" s="396">
        <v>38384.06</v>
      </c>
      <c r="J13471" s="396">
        <v>1082.55</v>
      </c>
      <c r="K13471" s="396">
        <v>1868.5</v>
      </c>
      <c r="L13471" s="43">
        <v>10.563588364877919</v>
      </c>
      <c r="M13471" s="43">
        <v>11.500428449014567</v>
      </c>
      <c r="N13471" s="43">
        <v>4.2426320739927883</v>
      </c>
      <c r="O13471" s="43">
        <v>5.835415365396627</v>
      </c>
      <c r="P13471" s="397"/>
      <c r="Q13471" s="397"/>
      <c r="R13471" s="397">
        <v>4</v>
      </c>
    </row>
    <row r="13472" spans="1:18" ht="24">
      <c r="A13472" s="393">
        <v>118</v>
      </c>
      <c r="B13472" s="390" t="s">
        <v>24368</v>
      </c>
      <c r="C13472" s="394" t="s">
        <v>24369</v>
      </c>
      <c r="D13472" s="395">
        <v>3776.47</v>
      </c>
      <c r="E13472" s="395">
        <v>3232.59</v>
      </c>
      <c r="F13472" s="395">
        <v>246.38</v>
      </c>
      <c r="G13472" s="395">
        <v>297.5</v>
      </c>
      <c r="H13472" s="396">
        <v>39973.1</v>
      </c>
      <c r="I13472" s="396">
        <v>37176.17</v>
      </c>
      <c r="J13472" s="396">
        <v>1045.31</v>
      </c>
      <c r="K13472" s="396">
        <v>1751.62</v>
      </c>
      <c r="L13472" s="43">
        <v>10.584778907286434</v>
      </c>
      <c r="M13472" s="43">
        <v>11.500428449014565</v>
      </c>
      <c r="N13472" s="43">
        <v>4.2426739183375268</v>
      </c>
      <c r="O13472" s="43">
        <v>5.8877983193277306</v>
      </c>
      <c r="P13472" s="397"/>
      <c r="Q13472" s="397"/>
      <c r="R13472" s="397">
        <v>4</v>
      </c>
    </row>
    <row r="13473" spans="1:18" ht="24">
      <c r="A13473" s="393">
        <v>119</v>
      </c>
      <c r="B13473" s="390" t="s">
        <v>24370</v>
      </c>
      <c r="C13473" s="394" t="s">
        <v>24371</v>
      </c>
      <c r="D13473" s="395">
        <v>4546.3999999999996</v>
      </c>
      <c r="E13473" s="395">
        <v>3886.11</v>
      </c>
      <c r="F13473" s="395">
        <v>305.48</v>
      </c>
      <c r="G13473" s="395">
        <v>354.81</v>
      </c>
      <c r="H13473" s="396">
        <v>48082.47</v>
      </c>
      <c r="I13473" s="396">
        <v>44691.93</v>
      </c>
      <c r="J13473" s="396">
        <v>1296.02</v>
      </c>
      <c r="K13473" s="396">
        <v>2094.52</v>
      </c>
      <c r="L13473" s="43">
        <v>10.575943603730424</v>
      </c>
      <c r="M13473" s="43">
        <v>11.500428449014567</v>
      </c>
      <c r="N13473" s="43">
        <v>4.2425690716249838</v>
      </c>
      <c r="O13473" s="43">
        <v>5.9032158056424562</v>
      </c>
      <c r="P13473" s="397"/>
      <c r="Q13473" s="397"/>
      <c r="R13473" s="397">
        <v>4</v>
      </c>
    </row>
    <row r="13474" spans="1:18" ht="24">
      <c r="A13474" s="393">
        <v>120</v>
      </c>
      <c r="B13474" s="390" t="s">
        <v>24372</v>
      </c>
      <c r="C13474" s="394" t="s">
        <v>24373</v>
      </c>
      <c r="D13474" s="395">
        <v>4419.99</v>
      </c>
      <c r="E13474" s="395">
        <v>3699.78</v>
      </c>
      <c r="F13474" s="395">
        <v>317.56</v>
      </c>
      <c r="G13474" s="395">
        <v>402.65</v>
      </c>
      <c r="H13474" s="396">
        <v>46170.69</v>
      </c>
      <c r="I13474" s="396">
        <v>42549.08</v>
      </c>
      <c r="J13474" s="396">
        <v>1347.28</v>
      </c>
      <c r="K13474" s="396">
        <v>2274.33</v>
      </c>
      <c r="L13474" s="43">
        <v>10.445881099278505</v>
      </c>
      <c r="M13474" s="43">
        <v>11.500435161009573</v>
      </c>
      <c r="N13474" s="43">
        <v>4.2425998236553717</v>
      </c>
      <c r="O13474" s="43">
        <v>5.6484043213709176</v>
      </c>
      <c r="P13474" s="397"/>
      <c r="Q13474" s="397"/>
      <c r="R13474" s="397">
        <v>4</v>
      </c>
    </row>
    <row r="13475" spans="1:18" ht="12.75" customHeight="1">
      <c r="A13475" s="628" t="s">
        <v>24374</v>
      </c>
      <c r="B13475" s="629"/>
      <c r="C13475" s="629"/>
      <c r="D13475" s="629"/>
      <c r="E13475" s="629"/>
      <c r="F13475" s="629"/>
      <c r="G13475" s="629"/>
      <c r="H13475" s="629"/>
      <c r="I13475" s="629"/>
      <c r="J13475" s="629"/>
      <c r="K13475" s="629"/>
      <c r="L13475" s="629"/>
      <c r="M13475" s="629"/>
      <c r="N13475" s="629"/>
      <c r="O13475" s="629"/>
      <c r="P13475" s="629"/>
      <c r="Q13475" s="629"/>
      <c r="R13475" s="629"/>
    </row>
    <row r="13476" spans="1:18" ht="24">
      <c r="A13476" s="393">
        <v>121</v>
      </c>
      <c r="B13476" s="390" t="s">
        <v>24375</v>
      </c>
      <c r="C13476" s="394" t="s">
        <v>24376</v>
      </c>
      <c r="D13476" s="395">
        <v>9094.32</v>
      </c>
      <c r="E13476" s="395">
        <v>8355.7199999999993</v>
      </c>
      <c r="F13476" s="395">
        <v>142.36000000000001</v>
      </c>
      <c r="G13476" s="395">
        <v>596.24</v>
      </c>
      <c r="H13476" s="396">
        <v>100480.07</v>
      </c>
      <c r="I13476" s="396">
        <v>96094.36</v>
      </c>
      <c r="J13476" s="396">
        <v>603.95000000000005</v>
      </c>
      <c r="K13476" s="396">
        <v>3781.76</v>
      </c>
      <c r="L13476" s="43">
        <v>11.048662241926831</v>
      </c>
      <c r="M13476" s="43">
        <v>11.500428449014569</v>
      </c>
      <c r="N13476" s="43">
        <v>4.2424135993256531</v>
      </c>
      <c r="O13476" s="43">
        <v>6.3426807996779822</v>
      </c>
      <c r="P13476" s="397"/>
      <c r="Q13476" s="397"/>
      <c r="R13476" s="397">
        <v>5</v>
      </c>
    </row>
    <row r="13477" spans="1:18" ht="12.75" customHeight="1">
      <c r="A13477" s="628" t="s">
        <v>24377</v>
      </c>
      <c r="B13477" s="629"/>
      <c r="C13477" s="629"/>
      <c r="D13477" s="629"/>
      <c r="E13477" s="629"/>
      <c r="F13477" s="629"/>
      <c r="G13477" s="629"/>
      <c r="H13477" s="629"/>
      <c r="I13477" s="629"/>
      <c r="J13477" s="629"/>
      <c r="K13477" s="629"/>
      <c r="L13477" s="629"/>
      <c r="M13477" s="629"/>
      <c r="N13477" s="629"/>
      <c r="O13477" s="629"/>
      <c r="P13477" s="629"/>
      <c r="Q13477" s="629"/>
      <c r="R13477" s="629"/>
    </row>
    <row r="13478" spans="1:18" ht="24">
      <c r="A13478" s="393">
        <v>122</v>
      </c>
      <c r="B13478" s="390" t="s">
        <v>24378</v>
      </c>
      <c r="C13478" s="394" t="s">
        <v>24379</v>
      </c>
      <c r="D13478" s="395">
        <v>331.55</v>
      </c>
      <c r="E13478" s="395">
        <v>283.8</v>
      </c>
      <c r="F13478" s="395">
        <v>16.899999999999999</v>
      </c>
      <c r="G13478" s="395">
        <v>30.85</v>
      </c>
      <c r="H13478" s="396">
        <v>3527.85</v>
      </c>
      <c r="I13478" s="396">
        <v>3263.86</v>
      </c>
      <c r="J13478" s="396">
        <v>72.37</v>
      </c>
      <c r="K13478" s="396">
        <v>191.62</v>
      </c>
      <c r="L13478" s="43">
        <v>10.640476549540038</v>
      </c>
      <c r="M13478" s="43">
        <v>11.500563777307963</v>
      </c>
      <c r="N13478" s="43">
        <v>4.28224852071006</v>
      </c>
      <c r="O13478" s="43">
        <v>6.2113452188006484</v>
      </c>
      <c r="P13478" s="397"/>
      <c r="Q13478" s="397"/>
      <c r="R13478" s="397">
        <v>6</v>
      </c>
    </row>
    <row r="13479" spans="1:18" ht="24">
      <c r="A13479" s="393">
        <v>123</v>
      </c>
      <c r="B13479" s="390" t="s">
        <v>24380</v>
      </c>
      <c r="C13479" s="394" t="s">
        <v>24381</v>
      </c>
      <c r="D13479" s="395">
        <v>2978.39</v>
      </c>
      <c r="E13479" s="395">
        <v>2820.3</v>
      </c>
      <c r="F13479" s="395">
        <v>58.98</v>
      </c>
      <c r="G13479" s="395">
        <v>99.11</v>
      </c>
      <c r="H13479" s="396">
        <v>33550.6</v>
      </c>
      <c r="I13479" s="396">
        <v>32434.639999999999</v>
      </c>
      <c r="J13479" s="396">
        <v>248.8</v>
      </c>
      <c r="K13479" s="396">
        <v>867.16</v>
      </c>
      <c r="L13479" s="43">
        <v>11.264676553439946</v>
      </c>
      <c r="M13479" s="43">
        <v>11.50042194092827</v>
      </c>
      <c r="N13479" s="43">
        <v>4.2183791115632419</v>
      </c>
      <c r="O13479" s="43">
        <v>8.7494702855413173</v>
      </c>
      <c r="P13479" s="397"/>
      <c r="Q13479" s="397"/>
      <c r="R13479" s="397">
        <v>6</v>
      </c>
    </row>
    <row r="13480" spans="1:18" ht="24">
      <c r="A13480" s="393">
        <v>124</v>
      </c>
      <c r="B13480" s="390" t="s">
        <v>24382</v>
      </c>
      <c r="C13480" s="394" t="s">
        <v>24383</v>
      </c>
      <c r="D13480" s="395">
        <v>1065.24</v>
      </c>
      <c r="E13480" s="395">
        <v>997.79</v>
      </c>
      <c r="F13480" s="395">
        <v>17.350000000000001</v>
      </c>
      <c r="G13480" s="395">
        <v>50.1</v>
      </c>
      <c r="H13480" s="396">
        <v>11928.15</v>
      </c>
      <c r="I13480" s="396">
        <v>11474.96</v>
      </c>
      <c r="J13480" s="396">
        <v>74.290000000000006</v>
      </c>
      <c r="K13480" s="396">
        <v>378.9</v>
      </c>
      <c r="L13480" s="43">
        <v>11.197617438323757</v>
      </c>
      <c r="M13480" s="43">
        <v>11.500375830585593</v>
      </c>
      <c r="N13480" s="43">
        <v>4.2818443804034585</v>
      </c>
      <c r="O13480" s="43">
        <v>7.5628742514970053</v>
      </c>
      <c r="P13480" s="397"/>
      <c r="Q13480" s="397"/>
      <c r="R13480" s="397">
        <v>6</v>
      </c>
    </row>
    <row r="13481" spans="1:18" ht="24">
      <c r="A13481" s="393">
        <v>125</v>
      </c>
      <c r="B13481" s="390" t="s">
        <v>24384</v>
      </c>
      <c r="C13481" s="394" t="s">
        <v>24385</v>
      </c>
      <c r="D13481" s="395">
        <v>1251.29</v>
      </c>
      <c r="E13481" s="395">
        <v>1131.99</v>
      </c>
      <c r="F13481" s="395">
        <v>58.06</v>
      </c>
      <c r="G13481" s="395">
        <v>61.24</v>
      </c>
      <c r="H13481" s="396">
        <v>13718.46</v>
      </c>
      <c r="I13481" s="396">
        <v>13018.37</v>
      </c>
      <c r="J13481" s="396">
        <v>244.9</v>
      </c>
      <c r="K13481" s="396">
        <v>455.19</v>
      </c>
      <c r="L13481" s="43">
        <v>10.963453715765329</v>
      </c>
      <c r="M13481" s="43">
        <v>11.500428449014567</v>
      </c>
      <c r="N13481" s="43">
        <v>4.2180502928005508</v>
      </c>
      <c r="O13481" s="43">
        <v>7.4328870019595037</v>
      </c>
      <c r="P13481" s="397"/>
      <c r="Q13481" s="397"/>
      <c r="R13481" s="397">
        <v>6</v>
      </c>
    </row>
    <row r="13482" spans="1:18" ht="12.75" customHeight="1">
      <c r="A13482" s="628" t="s">
        <v>24386</v>
      </c>
      <c r="B13482" s="629"/>
      <c r="C13482" s="629"/>
      <c r="D13482" s="629"/>
      <c r="E13482" s="629"/>
      <c r="F13482" s="629"/>
      <c r="G13482" s="629"/>
      <c r="H13482" s="629"/>
      <c r="I13482" s="629"/>
      <c r="J13482" s="629"/>
      <c r="K13482" s="629"/>
      <c r="L13482" s="629"/>
      <c r="M13482" s="629"/>
      <c r="N13482" s="629"/>
      <c r="O13482" s="629"/>
      <c r="P13482" s="629"/>
      <c r="Q13482" s="629"/>
      <c r="R13482" s="629"/>
    </row>
    <row r="13483" spans="1:18" ht="12.75" customHeight="1">
      <c r="A13483" s="628" t="s">
        <v>24387</v>
      </c>
      <c r="B13483" s="629"/>
      <c r="C13483" s="629"/>
      <c r="D13483" s="629"/>
      <c r="E13483" s="629"/>
      <c r="F13483" s="629"/>
      <c r="G13483" s="629"/>
      <c r="H13483" s="629"/>
      <c r="I13483" s="629"/>
      <c r="J13483" s="629"/>
      <c r="K13483" s="629"/>
      <c r="L13483" s="629"/>
      <c r="M13483" s="629"/>
      <c r="N13483" s="629"/>
      <c r="O13483" s="629"/>
      <c r="P13483" s="629"/>
      <c r="Q13483" s="629"/>
      <c r="R13483" s="629"/>
    </row>
    <row r="13484" spans="1:18" ht="24">
      <c r="A13484" s="393">
        <v>126</v>
      </c>
      <c r="B13484" s="390" t="s">
        <v>24388</v>
      </c>
      <c r="C13484" s="394" t="s">
        <v>24389</v>
      </c>
      <c r="D13484" s="395">
        <v>20869.52</v>
      </c>
      <c r="E13484" s="395">
        <v>18672</v>
      </c>
      <c r="F13484" s="395">
        <v>983.41</v>
      </c>
      <c r="G13484" s="395">
        <v>1214.1099999999999</v>
      </c>
      <c r="H13484" s="396">
        <v>227341.86</v>
      </c>
      <c r="I13484" s="396">
        <v>214736</v>
      </c>
      <c r="J13484" s="396">
        <v>4622.66</v>
      </c>
      <c r="K13484" s="396">
        <v>7983.2</v>
      </c>
      <c r="L13484" s="43">
        <v>10.893487727556742</v>
      </c>
      <c r="M13484" s="43">
        <v>11.500428449014567</v>
      </c>
      <c r="N13484" s="43">
        <v>4.7006436786284462</v>
      </c>
      <c r="O13484" s="43">
        <v>6.5753514920394363</v>
      </c>
      <c r="P13484" s="397"/>
      <c r="Q13484" s="397"/>
      <c r="R13484" s="397">
        <v>1</v>
      </c>
    </row>
    <row r="13485" spans="1:18" ht="24">
      <c r="A13485" s="393">
        <v>127</v>
      </c>
      <c r="B13485" s="390" t="s">
        <v>24390</v>
      </c>
      <c r="C13485" s="394" t="s">
        <v>24391</v>
      </c>
      <c r="D13485" s="395">
        <v>13814.25</v>
      </c>
      <c r="E13485" s="395">
        <v>12300.18</v>
      </c>
      <c r="F13485" s="395">
        <v>676.84</v>
      </c>
      <c r="G13485" s="395">
        <v>837.23</v>
      </c>
      <c r="H13485" s="396">
        <v>150019.01999999999</v>
      </c>
      <c r="I13485" s="396">
        <v>141457.34</v>
      </c>
      <c r="J13485" s="396">
        <v>3170.73</v>
      </c>
      <c r="K13485" s="396">
        <v>5390.95</v>
      </c>
      <c r="L13485" s="43">
        <v>10.859729627015581</v>
      </c>
      <c r="M13485" s="43">
        <v>11.500428449014567</v>
      </c>
      <c r="N13485" s="43">
        <v>4.6846078836948166</v>
      </c>
      <c r="O13485" s="43">
        <v>6.4390310906202597</v>
      </c>
      <c r="P13485" s="397"/>
      <c r="Q13485" s="397"/>
      <c r="R13485" s="397">
        <v>1</v>
      </c>
    </row>
    <row r="13486" spans="1:18" ht="12.75" customHeight="1">
      <c r="A13486" s="628" t="s">
        <v>24392</v>
      </c>
      <c r="B13486" s="629"/>
      <c r="C13486" s="629"/>
      <c r="D13486" s="629"/>
      <c r="E13486" s="629"/>
      <c r="F13486" s="629"/>
      <c r="G13486" s="629"/>
      <c r="H13486" s="629"/>
      <c r="I13486" s="629"/>
      <c r="J13486" s="629"/>
      <c r="K13486" s="629"/>
      <c r="L13486" s="629"/>
      <c r="M13486" s="629"/>
      <c r="N13486" s="629"/>
      <c r="O13486" s="629"/>
      <c r="P13486" s="629"/>
      <c r="Q13486" s="629"/>
      <c r="R13486" s="629"/>
    </row>
    <row r="13487" spans="1:18" ht="24">
      <c r="A13487" s="393">
        <v>128</v>
      </c>
      <c r="B13487" s="390" t="s">
        <v>24393</v>
      </c>
      <c r="C13487" s="394" t="s">
        <v>24394</v>
      </c>
      <c r="D13487" s="395">
        <v>4040.76</v>
      </c>
      <c r="E13487" s="395">
        <v>3676.05</v>
      </c>
      <c r="F13487" s="395">
        <v>104.36</v>
      </c>
      <c r="G13487" s="395">
        <v>260.35000000000002</v>
      </c>
      <c r="H13487" s="396">
        <v>44383.79</v>
      </c>
      <c r="I13487" s="396">
        <v>42276.15</v>
      </c>
      <c r="J13487" s="396">
        <v>441.68</v>
      </c>
      <c r="K13487" s="396">
        <v>1665.96</v>
      </c>
      <c r="L13487" s="43">
        <v>10.984020332808679</v>
      </c>
      <c r="M13487" s="43">
        <v>11.500428449014567</v>
      </c>
      <c r="N13487" s="43">
        <v>4.2322729014948255</v>
      </c>
      <c r="O13487" s="43">
        <v>6.3989245246783168</v>
      </c>
      <c r="P13487" s="397"/>
      <c r="Q13487" s="397"/>
      <c r="R13487" s="397">
        <v>2</v>
      </c>
    </row>
    <row r="13488" spans="1:18" ht="24">
      <c r="A13488" s="393">
        <v>129</v>
      </c>
      <c r="B13488" s="390" t="s">
        <v>24395</v>
      </c>
      <c r="C13488" s="394" t="s">
        <v>24396</v>
      </c>
      <c r="D13488" s="395">
        <v>1884.85</v>
      </c>
      <c r="E13488" s="395">
        <v>1620.09</v>
      </c>
      <c r="F13488" s="395">
        <v>101.79</v>
      </c>
      <c r="G13488" s="395">
        <v>162.97</v>
      </c>
      <c r="H13488" s="396">
        <v>20050.400000000001</v>
      </c>
      <c r="I13488" s="396">
        <v>18631.740000000002</v>
      </c>
      <c r="J13488" s="396">
        <v>429.39</v>
      </c>
      <c r="K13488" s="396">
        <v>989.27</v>
      </c>
      <c r="L13488" s="43">
        <v>10.637663474547047</v>
      </c>
      <c r="M13488" s="43">
        <v>11.500435161009575</v>
      </c>
      <c r="N13488" s="43">
        <v>4.2183908045977008</v>
      </c>
      <c r="O13488" s="43">
        <v>6.0702583297539423</v>
      </c>
      <c r="P13488" s="397"/>
      <c r="Q13488" s="397"/>
      <c r="R13488" s="397">
        <v>2</v>
      </c>
    </row>
    <row r="13489" spans="1:18" ht="24">
      <c r="A13489" s="393">
        <v>130</v>
      </c>
      <c r="B13489" s="390" t="s">
        <v>24397</v>
      </c>
      <c r="C13489" s="394" t="s">
        <v>24398</v>
      </c>
      <c r="D13489" s="395">
        <v>2737.64</v>
      </c>
      <c r="E13489" s="395">
        <v>2485.71</v>
      </c>
      <c r="F13489" s="395">
        <v>91.09</v>
      </c>
      <c r="G13489" s="395">
        <v>160.84</v>
      </c>
      <c r="H13489" s="396">
        <v>30027.1</v>
      </c>
      <c r="I13489" s="396">
        <v>28586.73</v>
      </c>
      <c r="J13489" s="396">
        <v>384.24</v>
      </c>
      <c r="K13489" s="396">
        <v>1056.1300000000001</v>
      </c>
      <c r="L13489" s="43">
        <v>10.968242720007014</v>
      </c>
      <c r="M13489" s="43">
        <v>11.500428449014567</v>
      </c>
      <c r="N13489" s="43">
        <v>4.2182456910747614</v>
      </c>
      <c r="O13489" s="43">
        <v>6.566339219099727</v>
      </c>
      <c r="P13489" s="397"/>
      <c r="Q13489" s="397"/>
      <c r="R13489" s="397">
        <v>2</v>
      </c>
    </row>
    <row r="13490" spans="1:18" ht="24">
      <c r="A13490" s="393">
        <v>131</v>
      </c>
      <c r="B13490" s="390" t="s">
        <v>24399</v>
      </c>
      <c r="C13490" s="394" t="s">
        <v>24400</v>
      </c>
      <c r="D13490" s="395">
        <v>2963.79</v>
      </c>
      <c r="E13490" s="395">
        <v>2660.76</v>
      </c>
      <c r="F13490" s="395">
        <v>43.8</v>
      </c>
      <c r="G13490" s="395">
        <v>259.23</v>
      </c>
      <c r="H13490" s="396">
        <v>32289.35</v>
      </c>
      <c r="I13490" s="396">
        <v>30599.88</v>
      </c>
      <c r="J13490" s="396">
        <v>185.83</v>
      </c>
      <c r="K13490" s="396">
        <v>1503.64</v>
      </c>
      <c r="L13490" s="43">
        <v>10.894614665681441</v>
      </c>
      <c r="M13490" s="43">
        <v>11.500428449014567</v>
      </c>
      <c r="N13490" s="43">
        <v>4.2426940639269413</v>
      </c>
      <c r="O13490" s="43">
        <v>5.8004089032905144</v>
      </c>
      <c r="P13490" s="397"/>
      <c r="Q13490" s="397"/>
      <c r="R13490" s="397">
        <v>2</v>
      </c>
    </row>
    <row r="13491" spans="1:18" ht="24">
      <c r="A13491" s="393">
        <v>132</v>
      </c>
      <c r="B13491" s="390" t="s">
        <v>24401</v>
      </c>
      <c r="C13491" s="394" t="s">
        <v>24402</v>
      </c>
      <c r="D13491" s="395">
        <v>2205.02</v>
      </c>
      <c r="E13491" s="395">
        <v>1861.38</v>
      </c>
      <c r="F13491" s="395">
        <v>108.97</v>
      </c>
      <c r="G13491" s="395">
        <v>234.67</v>
      </c>
      <c r="H13491" s="396">
        <v>23150.81</v>
      </c>
      <c r="I13491" s="396">
        <v>21406.68</v>
      </c>
      <c r="J13491" s="396">
        <v>461.22</v>
      </c>
      <c r="K13491" s="396">
        <v>1282.9100000000001</v>
      </c>
      <c r="L13491" s="43">
        <v>10.499138329811068</v>
      </c>
      <c r="M13491" s="43">
        <v>11.500435161009573</v>
      </c>
      <c r="N13491" s="43">
        <v>4.2325410663485368</v>
      </c>
      <c r="O13491" s="43">
        <v>5.4668683683470416</v>
      </c>
      <c r="P13491" s="397"/>
      <c r="Q13491" s="397"/>
      <c r="R13491" s="397">
        <v>2</v>
      </c>
    </row>
    <row r="13492" spans="1:18" ht="12.75" customHeight="1">
      <c r="A13492" s="628" t="s">
        <v>24403</v>
      </c>
      <c r="B13492" s="629"/>
      <c r="C13492" s="629"/>
      <c r="D13492" s="629"/>
      <c r="E13492" s="629"/>
      <c r="F13492" s="629"/>
      <c r="G13492" s="629"/>
      <c r="H13492" s="629"/>
      <c r="I13492" s="629"/>
      <c r="J13492" s="629"/>
      <c r="K13492" s="629"/>
      <c r="L13492" s="629"/>
      <c r="M13492" s="629"/>
      <c r="N13492" s="629"/>
      <c r="O13492" s="629"/>
      <c r="P13492" s="629"/>
      <c r="Q13492" s="629"/>
      <c r="R13492" s="629"/>
    </row>
    <row r="13493" spans="1:18" ht="24">
      <c r="A13493" s="393">
        <v>133</v>
      </c>
      <c r="B13493" s="390" t="s">
        <v>24404</v>
      </c>
      <c r="C13493" s="394" t="s">
        <v>24405</v>
      </c>
      <c r="D13493" s="395">
        <v>499.04</v>
      </c>
      <c r="E13493" s="395">
        <v>473.39</v>
      </c>
      <c r="F13493" s="395">
        <v>6.37</v>
      </c>
      <c r="G13493" s="395">
        <v>19.28</v>
      </c>
      <c r="H13493" s="396">
        <v>5629.92</v>
      </c>
      <c r="I13493" s="396">
        <v>5444.17</v>
      </c>
      <c r="J13493" s="396">
        <v>26.98</v>
      </c>
      <c r="K13493" s="396">
        <v>158.77000000000001</v>
      </c>
      <c r="L13493" s="43">
        <v>11.281500480923373</v>
      </c>
      <c r="M13493" s="43">
        <v>11.500390798284712</v>
      </c>
      <c r="N13493" s="43">
        <v>4.2354788069073788</v>
      </c>
      <c r="O13493" s="43">
        <v>8.234958506224066</v>
      </c>
      <c r="P13493" s="397"/>
      <c r="Q13493" s="397"/>
      <c r="R13493" s="397">
        <v>3</v>
      </c>
    </row>
    <row r="13494" spans="1:18" ht="24">
      <c r="A13494" s="393">
        <v>134</v>
      </c>
      <c r="B13494" s="390" t="s">
        <v>24406</v>
      </c>
      <c r="C13494" s="394" t="s">
        <v>24407</v>
      </c>
      <c r="D13494" s="395">
        <v>503.85</v>
      </c>
      <c r="E13494" s="395">
        <v>473.39</v>
      </c>
      <c r="F13494" s="395">
        <v>6.37</v>
      </c>
      <c r="G13494" s="395">
        <v>24.09</v>
      </c>
      <c r="H13494" s="396">
        <v>5654.09</v>
      </c>
      <c r="I13494" s="396">
        <v>5444.17</v>
      </c>
      <c r="J13494" s="396">
        <v>26.98</v>
      </c>
      <c r="K13494" s="396">
        <v>182.94</v>
      </c>
      <c r="L13494" s="43">
        <v>11.221772352882802</v>
      </c>
      <c r="M13494" s="43">
        <v>11.500390798284712</v>
      </c>
      <c r="N13494" s="43">
        <v>4.2354788069073788</v>
      </c>
      <c r="O13494" s="43">
        <v>7.5940224159402243</v>
      </c>
      <c r="P13494" s="397"/>
      <c r="Q13494" s="397"/>
      <c r="R13494" s="397">
        <v>3</v>
      </c>
    </row>
    <row r="13495" spans="1:18" ht="24">
      <c r="A13495" s="393">
        <v>135</v>
      </c>
      <c r="B13495" s="390" t="s">
        <v>24408</v>
      </c>
      <c r="C13495" s="394" t="s">
        <v>24409</v>
      </c>
      <c r="D13495" s="395">
        <v>462.71</v>
      </c>
      <c r="E13495" s="395">
        <v>437.77</v>
      </c>
      <c r="F13495" s="395">
        <v>5.45</v>
      </c>
      <c r="G13495" s="395">
        <v>19.489999999999998</v>
      </c>
      <c r="H13495" s="396">
        <v>5220.7700000000004</v>
      </c>
      <c r="I13495" s="396">
        <v>5034.53</v>
      </c>
      <c r="J13495" s="396">
        <v>23.07</v>
      </c>
      <c r="K13495" s="396">
        <v>163.16999999999999</v>
      </c>
      <c r="L13495" s="43">
        <v>11.283028246633963</v>
      </c>
      <c r="M13495" s="43">
        <v>11.50039975329511</v>
      </c>
      <c r="N13495" s="43">
        <v>4.2330275229357799</v>
      </c>
      <c r="O13495" s="43">
        <v>8.3719856336582872</v>
      </c>
      <c r="P13495" s="397"/>
      <c r="Q13495" s="397"/>
      <c r="R13495" s="397">
        <v>3</v>
      </c>
    </row>
    <row r="13496" spans="1:18" ht="36">
      <c r="A13496" s="393">
        <v>136</v>
      </c>
      <c r="B13496" s="390" t="s">
        <v>24410</v>
      </c>
      <c r="C13496" s="394" t="s">
        <v>24411</v>
      </c>
      <c r="D13496" s="395">
        <v>502.87</v>
      </c>
      <c r="E13496" s="395">
        <v>473.39</v>
      </c>
      <c r="F13496" s="395">
        <v>6.37</v>
      </c>
      <c r="G13496" s="395">
        <v>23.11</v>
      </c>
      <c r="H13496" s="396">
        <v>5654.53</v>
      </c>
      <c r="I13496" s="396">
        <v>5444.17</v>
      </c>
      <c r="J13496" s="396">
        <v>26.98</v>
      </c>
      <c r="K13496" s="396">
        <v>183.38</v>
      </c>
      <c r="L13496" s="43">
        <v>11.244516475431025</v>
      </c>
      <c r="M13496" s="43">
        <v>11.500390798284712</v>
      </c>
      <c r="N13496" s="43">
        <v>4.2354788069073788</v>
      </c>
      <c r="O13496" s="43">
        <v>7.9350930333189096</v>
      </c>
      <c r="P13496" s="397"/>
      <c r="Q13496" s="397"/>
      <c r="R13496" s="397">
        <v>3</v>
      </c>
    </row>
    <row r="13497" spans="1:18" ht="12.75" customHeight="1">
      <c r="A13497" s="628" t="s">
        <v>24412</v>
      </c>
      <c r="B13497" s="629"/>
      <c r="C13497" s="629"/>
      <c r="D13497" s="629"/>
      <c r="E13497" s="629"/>
      <c r="F13497" s="629"/>
      <c r="G13497" s="629"/>
      <c r="H13497" s="629"/>
      <c r="I13497" s="629"/>
      <c r="J13497" s="629"/>
      <c r="K13497" s="629"/>
      <c r="L13497" s="629"/>
      <c r="M13497" s="629"/>
      <c r="N13497" s="629"/>
      <c r="O13497" s="629"/>
      <c r="P13497" s="629"/>
      <c r="Q13497" s="629"/>
      <c r="R13497" s="629"/>
    </row>
    <row r="13498" spans="1:18" ht="24">
      <c r="A13498" s="393">
        <v>137</v>
      </c>
      <c r="B13498" s="390" t="s">
        <v>24413</v>
      </c>
      <c r="C13498" s="394" t="s">
        <v>24414</v>
      </c>
      <c r="D13498" s="395">
        <v>279.02</v>
      </c>
      <c r="E13498" s="395">
        <v>269.23</v>
      </c>
      <c r="F13498" s="395">
        <v>4.3099999999999996</v>
      </c>
      <c r="G13498" s="395">
        <v>5.48</v>
      </c>
      <c r="H13498" s="396">
        <v>3176.81</v>
      </c>
      <c r="I13498" s="396">
        <v>3096.17</v>
      </c>
      <c r="J13498" s="396">
        <v>18.260000000000002</v>
      </c>
      <c r="K13498" s="396">
        <v>62.38</v>
      </c>
      <c r="L13498" s="43">
        <v>11.385599598595084</v>
      </c>
      <c r="M13498" s="43">
        <v>11.500092857408163</v>
      </c>
      <c r="N13498" s="43">
        <v>4.2366589327146178</v>
      </c>
      <c r="O13498" s="43">
        <v>11.383211678832117</v>
      </c>
      <c r="P13498" s="397"/>
      <c r="Q13498" s="397"/>
      <c r="R13498" s="397">
        <v>4</v>
      </c>
    </row>
    <row r="13499" spans="1:18" ht="24">
      <c r="A13499" s="393">
        <v>138</v>
      </c>
      <c r="B13499" s="390" t="s">
        <v>24415</v>
      </c>
      <c r="C13499" s="394" t="s">
        <v>24416</v>
      </c>
      <c r="D13499" s="395">
        <v>302.45999999999998</v>
      </c>
      <c r="E13499" s="395">
        <v>293.08999999999997</v>
      </c>
      <c r="F13499" s="395">
        <v>3.41</v>
      </c>
      <c r="G13499" s="395">
        <v>5.96</v>
      </c>
      <c r="H13499" s="396">
        <v>3452.85</v>
      </c>
      <c r="I13499" s="396">
        <v>3370.51</v>
      </c>
      <c r="J13499" s="396">
        <v>14.44</v>
      </c>
      <c r="K13499" s="396">
        <v>67.900000000000006</v>
      </c>
      <c r="L13499" s="43">
        <v>11.415889704423726</v>
      </c>
      <c r="M13499" s="43">
        <v>11.499914701968681</v>
      </c>
      <c r="N13499" s="43">
        <v>4.2346041055718473</v>
      </c>
      <c r="O13499" s="43">
        <v>11.39261744966443</v>
      </c>
      <c r="P13499" s="397"/>
      <c r="Q13499" s="397"/>
      <c r="R13499" s="397">
        <v>4</v>
      </c>
    </row>
    <row r="13500" spans="1:18" ht="24">
      <c r="A13500" s="393">
        <v>139</v>
      </c>
      <c r="B13500" s="390" t="s">
        <v>24417</v>
      </c>
      <c r="C13500" s="394" t="s">
        <v>24418</v>
      </c>
      <c r="D13500" s="395">
        <v>216.64</v>
      </c>
      <c r="E13500" s="395">
        <v>210.16</v>
      </c>
      <c r="F13500" s="395">
        <v>2.1800000000000002</v>
      </c>
      <c r="G13500" s="395">
        <v>4.3</v>
      </c>
      <c r="H13500" s="396">
        <v>2474.86</v>
      </c>
      <c r="I13500" s="396">
        <v>2416.84</v>
      </c>
      <c r="J13500" s="396">
        <v>9.2100000000000009</v>
      </c>
      <c r="K13500" s="396">
        <v>48.81</v>
      </c>
      <c r="L13500" s="43">
        <v>11.423836779911374</v>
      </c>
      <c r="M13500" s="43">
        <v>11.5</v>
      </c>
      <c r="N13500" s="43">
        <v>4.2247706422018352</v>
      </c>
      <c r="O13500" s="43">
        <v>11.351162790697675</v>
      </c>
      <c r="P13500" s="397"/>
      <c r="Q13500" s="397"/>
      <c r="R13500" s="397">
        <v>4</v>
      </c>
    </row>
    <row r="13501" spans="1:18" ht="24">
      <c r="A13501" s="393">
        <v>140</v>
      </c>
      <c r="B13501" s="390" t="s">
        <v>24419</v>
      </c>
      <c r="C13501" s="394" t="s">
        <v>24420</v>
      </c>
      <c r="D13501" s="395">
        <v>387.93</v>
      </c>
      <c r="E13501" s="395">
        <v>374.88</v>
      </c>
      <c r="F13501" s="395">
        <v>5.45</v>
      </c>
      <c r="G13501" s="395">
        <v>7.6</v>
      </c>
      <c r="H13501" s="396">
        <v>4420.95</v>
      </c>
      <c r="I13501" s="396">
        <v>4311.12</v>
      </c>
      <c r="J13501" s="396">
        <v>23.07</v>
      </c>
      <c r="K13501" s="396">
        <v>86.76</v>
      </c>
      <c r="L13501" s="43">
        <v>11.396257056685483</v>
      </c>
      <c r="M13501" s="43">
        <v>11.5</v>
      </c>
      <c r="N13501" s="43">
        <v>4.2330275229357799</v>
      </c>
      <c r="O13501" s="43">
        <v>11.415789473684212</v>
      </c>
      <c r="P13501" s="397"/>
      <c r="Q13501" s="397"/>
      <c r="R13501" s="397">
        <v>4</v>
      </c>
    </row>
    <row r="13502" spans="1:18" ht="12.75" customHeight="1">
      <c r="A13502" s="628" t="s">
        <v>24421</v>
      </c>
      <c r="B13502" s="629"/>
      <c r="C13502" s="629"/>
      <c r="D13502" s="629"/>
      <c r="E13502" s="629"/>
      <c r="F13502" s="629"/>
      <c r="G13502" s="629"/>
      <c r="H13502" s="629"/>
      <c r="I13502" s="629"/>
      <c r="J13502" s="629"/>
      <c r="K13502" s="629"/>
      <c r="L13502" s="629"/>
      <c r="M13502" s="629"/>
      <c r="N13502" s="629"/>
      <c r="O13502" s="629"/>
      <c r="P13502" s="629"/>
      <c r="Q13502" s="629"/>
      <c r="R13502" s="629"/>
    </row>
    <row r="13503" spans="1:18" ht="12.75" customHeight="1">
      <c r="A13503" s="628" t="s">
        <v>24422</v>
      </c>
      <c r="B13503" s="629"/>
      <c r="C13503" s="629"/>
      <c r="D13503" s="629"/>
      <c r="E13503" s="629"/>
      <c r="F13503" s="629"/>
      <c r="G13503" s="629"/>
      <c r="H13503" s="629"/>
      <c r="I13503" s="629"/>
      <c r="J13503" s="629"/>
      <c r="K13503" s="629"/>
      <c r="L13503" s="629"/>
      <c r="M13503" s="629"/>
      <c r="N13503" s="629"/>
      <c r="O13503" s="629"/>
      <c r="P13503" s="629"/>
      <c r="Q13503" s="629"/>
      <c r="R13503" s="629"/>
    </row>
    <row r="13504" spans="1:18" ht="24">
      <c r="A13504" s="393">
        <v>141</v>
      </c>
      <c r="B13504" s="390" t="s">
        <v>24423</v>
      </c>
      <c r="C13504" s="394" t="s">
        <v>24424</v>
      </c>
      <c r="D13504" s="395">
        <v>3979.34</v>
      </c>
      <c r="E13504" s="395">
        <v>3465.99</v>
      </c>
      <c r="F13504" s="395">
        <v>187.29</v>
      </c>
      <c r="G13504" s="395">
        <v>326.06</v>
      </c>
      <c r="H13504" s="396">
        <v>42581.919999999998</v>
      </c>
      <c r="I13504" s="396">
        <v>39860.370000000003</v>
      </c>
      <c r="J13504" s="396">
        <v>794.59</v>
      </c>
      <c r="K13504" s="396">
        <v>1926.96</v>
      </c>
      <c r="L13504" s="43">
        <v>10.700749370498624</v>
      </c>
      <c r="M13504" s="43">
        <v>11.500428449014569</v>
      </c>
      <c r="N13504" s="43">
        <v>4.2425650061402109</v>
      </c>
      <c r="O13504" s="43">
        <v>5.9098325461571495</v>
      </c>
      <c r="P13504" s="397"/>
      <c r="Q13504" s="397"/>
      <c r="R13504" s="397">
        <v>1</v>
      </c>
    </row>
    <row r="13505" spans="1:18" ht="24">
      <c r="A13505" s="393">
        <v>142</v>
      </c>
      <c r="B13505" s="390" t="s">
        <v>24425</v>
      </c>
      <c r="C13505" s="394" t="s">
        <v>24426</v>
      </c>
      <c r="D13505" s="395">
        <v>2186.3000000000002</v>
      </c>
      <c r="E13505" s="395">
        <v>1930.32</v>
      </c>
      <c r="F13505" s="395">
        <v>72.91</v>
      </c>
      <c r="G13505" s="395">
        <v>183.07</v>
      </c>
      <c r="H13505" s="396">
        <v>23587.32</v>
      </c>
      <c r="I13505" s="396">
        <v>22199.52</v>
      </c>
      <c r="J13505" s="396">
        <v>308.60000000000002</v>
      </c>
      <c r="K13505" s="396">
        <v>1079.2</v>
      </c>
      <c r="L13505" s="43">
        <v>10.78869322599826</v>
      </c>
      <c r="M13505" s="43">
        <v>11.500435161009575</v>
      </c>
      <c r="N13505" s="43">
        <v>4.2326155534220273</v>
      </c>
      <c r="O13505" s="43">
        <v>5.8950128366198724</v>
      </c>
      <c r="P13505" s="397"/>
      <c r="Q13505" s="397"/>
      <c r="R13505" s="397">
        <v>1</v>
      </c>
    </row>
    <row r="13506" spans="1:18" ht="12.75" customHeight="1">
      <c r="A13506" s="628" t="s">
        <v>24427</v>
      </c>
      <c r="B13506" s="629"/>
      <c r="C13506" s="629"/>
      <c r="D13506" s="629"/>
      <c r="E13506" s="629"/>
      <c r="F13506" s="629"/>
      <c r="G13506" s="629"/>
      <c r="H13506" s="629"/>
      <c r="I13506" s="629"/>
      <c r="J13506" s="629"/>
      <c r="K13506" s="629"/>
      <c r="L13506" s="629"/>
      <c r="M13506" s="629"/>
      <c r="N13506" s="629"/>
      <c r="O13506" s="629"/>
      <c r="P13506" s="629"/>
      <c r="Q13506" s="629"/>
      <c r="R13506" s="629"/>
    </row>
    <row r="13507" spans="1:18" ht="24">
      <c r="A13507" s="393">
        <v>143</v>
      </c>
      <c r="B13507" s="390" t="s">
        <v>24428</v>
      </c>
      <c r="C13507" s="394" t="s">
        <v>24429</v>
      </c>
      <c r="D13507" s="395">
        <v>1117.48</v>
      </c>
      <c r="E13507" s="395">
        <v>970.91</v>
      </c>
      <c r="F13507" s="395">
        <v>47.36</v>
      </c>
      <c r="G13507" s="395">
        <v>99.21</v>
      </c>
      <c r="H13507" s="396">
        <v>11940.25</v>
      </c>
      <c r="I13507" s="396">
        <v>11165.83</v>
      </c>
      <c r="J13507" s="396">
        <v>199.75</v>
      </c>
      <c r="K13507" s="396">
        <v>574.66999999999996</v>
      </c>
      <c r="L13507" s="43">
        <v>10.684978702079679</v>
      </c>
      <c r="M13507" s="43">
        <v>11.500375935977589</v>
      </c>
      <c r="N13507" s="43">
        <v>4.217694256756757</v>
      </c>
      <c r="O13507" s="43">
        <v>5.7924604374559019</v>
      </c>
      <c r="P13507" s="397"/>
      <c r="Q13507" s="397"/>
      <c r="R13507" s="397">
        <v>2</v>
      </c>
    </row>
    <row r="13508" spans="1:18" ht="24">
      <c r="A13508" s="393">
        <v>144</v>
      </c>
      <c r="B13508" s="390" t="s">
        <v>24430</v>
      </c>
      <c r="C13508" s="394" t="s">
        <v>24431</v>
      </c>
      <c r="D13508" s="395">
        <v>1145.98</v>
      </c>
      <c r="E13508" s="395">
        <v>1029.5</v>
      </c>
      <c r="F13508" s="395">
        <v>23</v>
      </c>
      <c r="G13508" s="395">
        <v>93.48</v>
      </c>
      <c r="H13508" s="396">
        <v>12515.44</v>
      </c>
      <c r="I13508" s="396">
        <v>11839.74</v>
      </c>
      <c r="J13508" s="396">
        <v>98.46</v>
      </c>
      <c r="K13508" s="396">
        <v>577.24</v>
      </c>
      <c r="L13508" s="43">
        <v>10.921167908689506</v>
      </c>
      <c r="M13508" s="43">
        <v>11.500475959203497</v>
      </c>
      <c r="N13508" s="43">
        <v>4.2808695652173911</v>
      </c>
      <c r="O13508" s="43">
        <v>6.175010697475396</v>
      </c>
      <c r="P13508" s="397"/>
      <c r="Q13508" s="397"/>
      <c r="R13508" s="397">
        <v>2</v>
      </c>
    </row>
    <row r="13509" spans="1:18" ht="24">
      <c r="A13509" s="393">
        <v>145</v>
      </c>
      <c r="B13509" s="390" t="s">
        <v>24432</v>
      </c>
      <c r="C13509" s="394" t="s">
        <v>24433</v>
      </c>
      <c r="D13509" s="395">
        <v>1002.75</v>
      </c>
      <c r="E13509" s="395">
        <v>746.85</v>
      </c>
      <c r="F13509" s="395">
        <v>41.55</v>
      </c>
      <c r="G13509" s="395">
        <v>214.35</v>
      </c>
      <c r="H13509" s="396">
        <v>9808.81</v>
      </c>
      <c r="I13509" s="396">
        <v>8589.1</v>
      </c>
      <c r="J13509" s="396">
        <v>175.86</v>
      </c>
      <c r="K13509" s="396">
        <v>1043.8499999999999</v>
      </c>
      <c r="L13509" s="43">
        <v>9.7819097481924704</v>
      </c>
      <c r="M13509" s="43">
        <v>11.500435161009573</v>
      </c>
      <c r="N13509" s="43">
        <v>4.2324909747292425</v>
      </c>
      <c r="O13509" s="43">
        <v>4.8698390482855141</v>
      </c>
      <c r="P13509" s="397"/>
      <c r="Q13509" s="397"/>
      <c r="R13509" s="397">
        <v>2</v>
      </c>
    </row>
    <row r="13510" spans="1:18" ht="24">
      <c r="A13510" s="393">
        <v>146</v>
      </c>
      <c r="B13510" s="390" t="s">
        <v>24434</v>
      </c>
      <c r="C13510" s="394" t="s">
        <v>24435</v>
      </c>
      <c r="D13510" s="395">
        <v>686.8</v>
      </c>
      <c r="E13510" s="395">
        <v>484.88</v>
      </c>
      <c r="F13510" s="395">
        <v>17.510000000000002</v>
      </c>
      <c r="G13510" s="395">
        <v>184.41</v>
      </c>
      <c r="H13510" s="396">
        <v>6532.12</v>
      </c>
      <c r="I13510" s="396">
        <v>5576.31</v>
      </c>
      <c r="J13510" s="396">
        <v>74.12</v>
      </c>
      <c r="K13510" s="396">
        <v>881.69</v>
      </c>
      <c r="L13510" s="43">
        <v>9.51094933022714</v>
      </c>
      <c r="M13510" s="43">
        <v>11.500391849529782</v>
      </c>
      <c r="N13510" s="43">
        <v>4.233009708737864</v>
      </c>
      <c r="O13510" s="43">
        <v>4.7811398514180361</v>
      </c>
      <c r="P13510" s="397"/>
      <c r="Q13510" s="397"/>
      <c r="R13510" s="397">
        <v>2</v>
      </c>
    </row>
    <row r="13511" spans="1:18" ht="24">
      <c r="A13511" s="393">
        <v>147</v>
      </c>
      <c r="B13511" s="390" t="s">
        <v>24436</v>
      </c>
      <c r="C13511" s="394" t="s">
        <v>24437</v>
      </c>
      <c r="D13511" s="395">
        <v>678.01</v>
      </c>
      <c r="E13511" s="395">
        <v>591.74</v>
      </c>
      <c r="F13511" s="395">
        <v>17.350000000000001</v>
      </c>
      <c r="G13511" s="395">
        <v>68.92</v>
      </c>
      <c r="H13511" s="396">
        <v>7271.19</v>
      </c>
      <c r="I13511" s="396">
        <v>6805.21</v>
      </c>
      <c r="J13511" s="396">
        <v>74.290000000000006</v>
      </c>
      <c r="K13511" s="396">
        <v>391.69</v>
      </c>
      <c r="L13511" s="43">
        <v>10.724310850872406</v>
      </c>
      <c r="M13511" s="43">
        <v>11.500337986277756</v>
      </c>
      <c r="N13511" s="43">
        <v>4.2818443804034585</v>
      </c>
      <c r="O13511" s="43">
        <v>5.6832559489262913</v>
      </c>
      <c r="P13511" s="397"/>
      <c r="Q13511" s="397"/>
      <c r="R13511" s="397">
        <v>2</v>
      </c>
    </row>
    <row r="13512" spans="1:18" ht="12.75" customHeight="1">
      <c r="A13512" s="628" t="s">
        <v>24438</v>
      </c>
      <c r="B13512" s="629"/>
      <c r="C13512" s="629"/>
      <c r="D13512" s="629"/>
      <c r="E13512" s="629"/>
      <c r="F13512" s="629"/>
      <c r="G13512" s="629"/>
      <c r="H13512" s="629"/>
      <c r="I13512" s="629"/>
      <c r="J13512" s="629"/>
      <c r="K13512" s="629"/>
      <c r="L13512" s="629"/>
      <c r="M13512" s="629"/>
      <c r="N13512" s="629"/>
      <c r="O13512" s="629"/>
      <c r="P13512" s="629"/>
      <c r="Q13512" s="629"/>
      <c r="R13512" s="629"/>
    </row>
    <row r="13513" spans="1:18" ht="24">
      <c r="A13513" s="393">
        <v>148</v>
      </c>
      <c r="B13513" s="390" t="s">
        <v>24439</v>
      </c>
      <c r="C13513" s="394" t="s">
        <v>24440</v>
      </c>
      <c r="D13513" s="395">
        <v>273.62</v>
      </c>
      <c r="E13513" s="395">
        <v>260.82</v>
      </c>
      <c r="F13513" s="395">
        <v>2.08</v>
      </c>
      <c r="G13513" s="395">
        <v>10.72</v>
      </c>
      <c r="H13513" s="396">
        <v>3096.12</v>
      </c>
      <c r="I13513" s="396">
        <v>2999.58</v>
      </c>
      <c r="J13513" s="396">
        <v>8.8000000000000007</v>
      </c>
      <c r="K13513" s="396">
        <v>87.74</v>
      </c>
      <c r="L13513" s="43">
        <v>11.315400920985308</v>
      </c>
      <c r="M13513" s="43">
        <v>11.500575109270761</v>
      </c>
      <c r="N13513" s="43">
        <v>4.2307692307692308</v>
      </c>
      <c r="O13513" s="43">
        <v>8.1847014925373127</v>
      </c>
      <c r="P13513" s="397"/>
      <c r="Q13513" s="397"/>
      <c r="R13513" s="397">
        <v>3</v>
      </c>
    </row>
    <row r="13514" spans="1:18" ht="24">
      <c r="A13514" s="393">
        <v>149</v>
      </c>
      <c r="B13514" s="390" t="s">
        <v>24441</v>
      </c>
      <c r="C13514" s="394" t="s">
        <v>24442</v>
      </c>
      <c r="D13514" s="395">
        <v>374.4</v>
      </c>
      <c r="E13514" s="395">
        <v>355.04</v>
      </c>
      <c r="F13514" s="395">
        <v>2.8</v>
      </c>
      <c r="G13514" s="395">
        <v>16.559999999999999</v>
      </c>
      <c r="H13514" s="396">
        <v>4224.29</v>
      </c>
      <c r="I13514" s="396">
        <v>4083.13</v>
      </c>
      <c r="J13514" s="396">
        <v>11.87</v>
      </c>
      <c r="K13514" s="396">
        <v>129.29</v>
      </c>
      <c r="L13514" s="43">
        <v>11.282825854700855</v>
      </c>
      <c r="M13514" s="43">
        <v>11.500478819287967</v>
      </c>
      <c r="N13514" s="43">
        <v>4.2392857142857139</v>
      </c>
      <c r="O13514" s="43">
        <v>7.8073671497584538</v>
      </c>
      <c r="P13514" s="397"/>
      <c r="Q13514" s="397"/>
      <c r="R13514" s="397">
        <v>3</v>
      </c>
    </row>
    <row r="13515" spans="1:18" ht="12.75" customHeight="1">
      <c r="A13515" s="628" t="s">
        <v>24443</v>
      </c>
      <c r="B13515" s="629"/>
      <c r="C13515" s="629"/>
      <c r="D13515" s="629"/>
      <c r="E13515" s="629"/>
      <c r="F13515" s="629"/>
      <c r="G13515" s="629"/>
      <c r="H13515" s="629"/>
      <c r="I13515" s="629"/>
      <c r="J13515" s="629"/>
      <c r="K13515" s="629"/>
      <c r="L13515" s="629"/>
      <c r="M13515" s="629"/>
      <c r="N13515" s="629"/>
      <c r="O13515" s="629"/>
      <c r="P13515" s="629"/>
      <c r="Q13515" s="629"/>
      <c r="R13515" s="629"/>
    </row>
    <row r="13516" spans="1:18" ht="12.75" customHeight="1">
      <c r="A13516" s="628" t="s">
        <v>24444</v>
      </c>
      <c r="B13516" s="629"/>
      <c r="C13516" s="629"/>
      <c r="D13516" s="629"/>
      <c r="E13516" s="629"/>
      <c r="F13516" s="629"/>
      <c r="G13516" s="629"/>
      <c r="H13516" s="629"/>
      <c r="I13516" s="629"/>
      <c r="J13516" s="629"/>
      <c r="K13516" s="629"/>
      <c r="L13516" s="629"/>
      <c r="M13516" s="629"/>
      <c r="N13516" s="629"/>
      <c r="O13516" s="629"/>
      <c r="P13516" s="629"/>
      <c r="Q13516" s="629"/>
      <c r="R13516" s="629"/>
    </row>
    <row r="13517" spans="1:18" ht="24">
      <c r="A13517" s="393">
        <v>150</v>
      </c>
      <c r="B13517" s="390" t="s">
        <v>24445</v>
      </c>
      <c r="C13517" s="394" t="s">
        <v>24446</v>
      </c>
      <c r="D13517" s="395">
        <v>1702.36</v>
      </c>
      <c r="E13517" s="395">
        <v>1633.8</v>
      </c>
      <c r="F13517" s="395">
        <v>16.53</v>
      </c>
      <c r="G13517" s="395">
        <v>52.03</v>
      </c>
      <c r="H13517" s="396">
        <v>19344.849999999999</v>
      </c>
      <c r="I13517" s="396">
        <v>18789.400000000001</v>
      </c>
      <c r="J13517" s="396">
        <v>83.85</v>
      </c>
      <c r="K13517" s="396">
        <v>471.6</v>
      </c>
      <c r="L13517" s="43">
        <v>11.363548250663785</v>
      </c>
      <c r="M13517" s="43">
        <v>11.500428449014569</v>
      </c>
      <c r="N13517" s="43">
        <v>5.0725952813067146</v>
      </c>
      <c r="O13517" s="43">
        <v>9.0640015375744767</v>
      </c>
      <c r="P13517" s="397"/>
      <c r="Q13517" s="397"/>
      <c r="R13517" s="397">
        <v>1</v>
      </c>
    </row>
    <row r="13518" spans="1:18" ht="24">
      <c r="A13518" s="393">
        <v>151</v>
      </c>
      <c r="B13518" s="390" t="s">
        <v>24447</v>
      </c>
      <c r="C13518" s="394" t="s">
        <v>24448</v>
      </c>
      <c r="D13518" s="395">
        <v>3913.15</v>
      </c>
      <c r="E13518" s="395">
        <v>3407.64</v>
      </c>
      <c r="F13518" s="395">
        <v>307.43</v>
      </c>
      <c r="G13518" s="395">
        <v>198.08</v>
      </c>
      <c r="H13518" s="396">
        <v>42070.62</v>
      </c>
      <c r="I13518" s="396">
        <v>39189.32</v>
      </c>
      <c r="J13518" s="396">
        <v>1459.05</v>
      </c>
      <c r="K13518" s="396">
        <v>1422.25</v>
      </c>
      <c r="L13518" s="43">
        <v>10.751087998160051</v>
      </c>
      <c r="M13518" s="43">
        <v>11.500428449014567</v>
      </c>
      <c r="N13518" s="43">
        <v>4.7459584295612007</v>
      </c>
      <c r="O13518" s="43">
        <v>7.1801797253634891</v>
      </c>
      <c r="P13518" s="397"/>
      <c r="Q13518" s="397"/>
      <c r="R13518" s="397">
        <v>1</v>
      </c>
    </row>
    <row r="13519" spans="1:18" ht="24">
      <c r="A13519" s="393">
        <v>152</v>
      </c>
      <c r="B13519" s="390" t="s">
        <v>24449</v>
      </c>
      <c r="C13519" s="394" t="s">
        <v>24450</v>
      </c>
      <c r="D13519" s="395">
        <v>3425.18</v>
      </c>
      <c r="E13519" s="395">
        <v>3104.22</v>
      </c>
      <c r="F13519" s="395">
        <v>177.01</v>
      </c>
      <c r="G13519" s="395">
        <v>143.94999999999999</v>
      </c>
      <c r="H13519" s="396">
        <v>37672.18</v>
      </c>
      <c r="I13519" s="396">
        <v>35699.86</v>
      </c>
      <c r="J13519" s="396">
        <v>823.77</v>
      </c>
      <c r="K13519" s="396">
        <v>1148.55</v>
      </c>
      <c r="L13519" s="43">
        <v>10.99859861379548</v>
      </c>
      <c r="M13519" s="43">
        <v>11.500428449014569</v>
      </c>
      <c r="N13519" s="43">
        <v>4.6538048697813688</v>
      </c>
      <c r="O13519" s="43">
        <v>7.9788120875303932</v>
      </c>
      <c r="P13519" s="397"/>
      <c r="Q13519" s="397"/>
      <c r="R13519" s="397">
        <v>1</v>
      </c>
    </row>
    <row r="13520" spans="1:18" ht="24">
      <c r="A13520" s="393">
        <v>153</v>
      </c>
      <c r="B13520" s="390" t="s">
        <v>24451</v>
      </c>
      <c r="C13520" s="394" t="s">
        <v>24452</v>
      </c>
      <c r="D13520" s="395">
        <v>1205.0899999999999</v>
      </c>
      <c r="E13520" s="395">
        <v>1167</v>
      </c>
      <c r="F13520" s="395">
        <v>3.86</v>
      </c>
      <c r="G13520" s="395">
        <v>34.229999999999997</v>
      </c>
      <c r="H13520" s="396">
        <v>13760.24</v>
      </c>
      <c r="I13520" s="396">
        <v>13421</v>
      </c>
      <c r="J13520" s="396">
        <v>16.350000000000001</v>
      </c>
      <c r="K13520" s="396">
        <v>322.89</v>
      </c>
      <c r="L13520" s="43">
        <v>11.418433477997494</v>
      </c>
      <c r="M13520" s="43">
        <v>11.500428449014567</v>
      </c>
      <c r="N13520" s="43">
        <v>4.2357512953367884</v>
      </c>
      <c r="O13520" s="43">
        <v>9.4329535495179666</v>
      </c>
      <c r="P13520" s="397"/>
      <c r="Q13520" s="397"/>
      <c r="R13520" s="397">
        <v>1</v>
      </c>
    </row>
    <row r="13521" spans="1:18" ht="24">
      <c r="A13521" s="393">
        <v>154</v>
      </c>
      <c r="B13521" s="390" t="s">
        <v>24453</v>
      </c>
      <c r="C13521" s="394" t="s">
        <v>24454</v>
      </c>
      <c r="D13521" s="395">
        <v>4741.6400000000003</v>
      </c>
      <c r="E13521" s="395">
        <v>4212.87</v>
      </c>
      <c r="F13521" s="395">
        <v>301.8</v>
      </c>
      <c r="G13521" s="395">
        <v>226.97</v>
      </c>
      <c r="H13521" s="396">
        <v>51615.38</v>
      </c>
      <c r="I13521" s="396">
        <v>48449.81</v>
      </c>
      <c r="J13521" s="396">
        <v>1421.42</v>
      </c>
      <c r="K13521" s="396">
        <v>1744.15</v>
      </c>
      <c r="L13521" s="43">
        <v>10.885554365156358</v>
      </c>
      <c r="M13521" s="43">
        <v>11.500428449014567</v>
      </c>
      <c r="N13521" s="43">
        <v>4.7098078197481774</v>
      </c>
      <c r="O13521" s="43">
        <v>7.6844957483367846</v>
      </c>
      <c r="P13521" s="397"/>
      <c r="Q13521" s="397"/>
      <c r="R13521" s="397">
        <v>1</v>
      </c>
    </row>
    <row r="13522" spans="1:18" ht="24">
      <c r="A13522" s="393">
        <v>155</v>
      </c>
      <c r="B13522" s="390" t="s">
        <v>24455</v>
      </c>
      <c r="C13522" s="394" t="s">
        <v>24456</v>
      </c>
      <c r="D13522" s="395">
        <v>3191.83</v>
      </c>
      <c r="E13522" s="395">
        <v>2987.52</v>
      </c>
      <c r="F13522" s="395">
        <v>93.8</v>
      </c>
      <c r="G13522" s="395">
        <v>110.51</v>
      </c>
      <c r="H13522" s="396">
        <v>35735.99</v>
      </c>
      <c r="I13522" s="396">
        <v>34357.760000000002</v>
      </c>
      <c r="J13522" s="396">
        <v>430.78</v>
      </c>
      <c r="K13522" s="396">
        <v>947.45</v>
      </c>
      <c r="L13522" s="43">
        <v>11.196081871528245</v>
      </c>
      <c r="M13522" s="43">
        <v>11.500428449014567</v>
      </c>
      <c r="N13522" s="43">
        <v>4.5925373134328353</v>
      </c>
      <c r="O13522" s="43">
        <v>8.5734322685729794</v>
      </c>
      <c r="P13522" s="397"/>
      <c r="Q13522" s="397"/>
      <c r="R13522" s="397">
        <v>1</v>
      </c>
    </row>
    <row r="13523" spans="1:18" ht="24">
      <c r="A13523" s="393">
        <v>156</v>
      </c>
      <c r="B13523" s="390" t="s">
        <v>24457</v>
      </c>
      <c r="C13523" s="394" t="s">
        <v>24458</v>
      </c>
      <c r="D13523" s="395">
        <v>4023.5</v>
      </c>
      <c r="E13523" s="395">
        <v>3757.74</v>
      </c>
      <c r="F13523" s="395">
        <v>114.08</v>
      </c>
      <c r="G13523" s="395">
        <v>151.68</v>
      </c>
      <c r="H13523" s="396">
        <v>45007.12</v>
      </c>
      <c r="I13523" s="396">
        <v>43215.62</v>
      </c>
      <c r="J13523" s="396">
        <v>543.57000000000005</v>
      </c>
      <c r="K13523" s="396">
        <v>1247.93</v>
      </c>
      <c r="L13523" s="43">
        <v>11.186061886417299</v>
      </c>
      <c r="M13523" s="43">
        <v>11.500428449014569</v>
      </c>
      <c r="N13523" s="43">
        <v>4.7648141654978966</v>
      </c>
      <c r="O13523" s="43">
        <v>8.2273866033755283</v>
      </c>
      <c r="P13523" s="397"/>
      <c r="Q13523" s="397"/>
      <c r="R13523" s="397">
        <v>1</v>
      </c>
    </row>
    <row r="13524" spans="1:18" ht="24">
      <c r="A13524" s="393">
        <v>157</v>
      </c>
      <c r="B13524" s="390" t="s">
        <v>24459</v>
      </c>
      <c r="C13524" s="394" t="s">
        <v>24460</v>
      </c>
      <c r="D13524" s="395">
        <v>4925.0200000000004</v>
      </c>
      <c r="E13524" s="395">
        <v>4387.92</v>
      </c>
      <c r="F13524" s="395">
        <v>329.72</v>
      </c>
      <c r="G13524" s="395">
        <v>207.38</v>
      </c>
      <c r="H13524" s="396">
        <v>53623.02</v>
      </c>
      <c r="I13524" s="396">
        <v>50462.96</v>
      </c>
      <c r="J13524" s="396">
        <v>1532.97</v>
      </c>
      <c r="K13524" s="396">
        <v>1627.09</v>
      </c>
      <c r="L13524" s="43">
        <v>10.887878627904048</v>
      </c>
      <c r="M13524" s="43">
        <v>11.500428449014567</v>
      </c>
      <c r="N13524" s="43">
        <v>4.6493085041853695</v>
      </c>
      <c r="O13524" s="43">
        <v>7.8459349985533802</v>
      </c>
      <c r="P13524" s="397"/>
      <c r="Q13524" s="397"/>
      <c r="R13524" s="397">
        <v>1</v>
      </c>
    </row>
    <row r="13525" spans="1:18" ht="24">
      <c r="A13525" s="393">
        <v>158</v>
      </c>
      <c r="B13525" s="390" t="s">
        <v>24461</v>
      </c>
      <c r="C13525" s="394" t="s">
        <v>24462</v>
      </c>
      <c r="D13525" s="395">
        <v>1066.29</v>
      </c>
      <c r="E13525" s="395">
        <v>1038.6300000000001</v>
      </c>
      <c r="F13525" s="395">
        <v>0.37</v>
      </c>
      <c r="G13525" s="395">
        <v>27.29</v>
      </c>
      <c r="H13525" s="396">
        <v>12224.21</v>
      </c>
      <c r="I13525" s="396">
        <v>11944.69</v>
      </c>
      <c r="J13525" s="396">
        <v>1.58</v>
      </c>
      <c r="K13525" s="396">
        <v>277.94</v>
      </c>
      <c r="L13525" s="43">
        <v>11.464245186581511</v>
      </c>
      <c r="M13525" s="43">
        <v>11.500428449014567</v>
      </c>
      <c r="N13525" s="43">
        <v>4.2702702702702702</v>
      </c>
      <c r="O13525" s="43">
        <v>10.184683034078418</v>
      </c>
      <c r="P13525" s="397"/>
      <c r="Q13525" s="397"/>
      <c r="R13525" s="397">
        <v>1</v>
      </c>
    </row>
    <row r="13526" spans="1:18" ht="24">
      <c r="A13526" s="393">
        <v>159</v>
      </c>
      <c r="B13526" s="390" t="s">
        <v>24463</v>
      </c>
      <c r="C13526" s="394" t="s">
        <v>24464</v>
      </c>
      <c r="D13526" s="395">
        <v>1209.1300000000001</v>
      </c>
      <c r="E13526" s="395">
        <v>1178.67</v>
      </c>
      <c r="F13526" s="395">
        <v>0.37</v>
      </c>
      <c r="G13526" s="395">
        <v>30.09</v>
      </c>
      <c r="H13526" s="396">
        <v>13866.93</v>
      </c>
      <c r="I13526" s="396">
        <v>13555.21</v>
      </c>
      <c r="J13526" s="396">
        <v>1.58</v>
      </c>
      <c r="K13526" s="396">
        <v>310.14</v>
      </c>
      <c r="L13526" s="43">
        <v>11.468518686989817</v>
      </c>
      <c r="M13526" s="43">
        <v>11.500428449014565</v>
      </c>
      <c r="N13526" s="43">
        <v>4.2702702702702702</v>
      </c>
      <c r="O13526" s="43">
        <v>10.307078763708873</v>
      </c>
      <c r="P13526" s="397"/>
      <c r="Q13526" s="397"/>
      <c r="R13526" s="397">
        <v>1</v>
      </c>
    </row>
    <row r="13527" spans="1:18" ht="12.75" customHeight="1">
      <c r="A13527" s="628" t="s">
        <v>24465</v>
      </c>
      <c r="B13527" s="629"/>
      <c r="C13527" s="629"/>
      <c r="D13527" s="629"/>
      <c r="E13527" s="629"/>
      <c r="F13527" s="629"/>
      <c r="G13527" s="629"/>
      <c r="H13527" s="629"/>
      <c r="I13527" s="629"/>
      <c r="J13527" s="629"/>
      <c r="K13527" s="629"/>
      <c r="L13527" s="629"/>
      <c r="M13527" s="629"/>
      <c r="N13527" s="629"/>
      <c r="O13527" s="629"/>
      <c r="P13527" s="629"/>
      <c r="Q13527" s="629"/>
      <c r="R13527" s="629"/>
    </row>
    <row r="13528" spans="1:18" ht="24">
      <c r="A13528" s="393">
        <v>160</v>
      </c>
      <c r="B13528" s="390" t="s">
        <v>24466</v>
      </c>
      <c r="C13528" s="394" t="s">
        <v>24467</v>
      </c>
      <c r="D13528" s="395">
        <v>1260.81</v>
      </c>
      <c r="E13528" s="395">
        <v>1137.51</v>
      </c>
      <c r="F13528" s="395">
        <v>20.83</v>
      </c>
      <c r="G13528" s="395">
        <v>102.47</v>
      </c>
      <c r="H13528" s="396">
        <v>13794.77</v>
      </c>
      <c r="I13528" s="396">
        <v>13081.86</v>
      </c>
      <c r="J13528" s="396">
        <v>89.18</v>
      </c>
      <c r="K13528" s="396">
        <v>623.73</v>
      </c>
      <c r="L13528" s="43">
        <v>10.941196532387909</v>
      </c>
      <c r="M13528" s="43">
        <v>11.500435161009575</v>
      </c>
      <c r="N13528" s="43">
        <v>4.2813250120019211</v>
      </c>
      <c r="O13528" s="43">
        <v>6.0869522787157218</v>
      </c>
      <c r="P13528" s="397"/>
      <c r="Q13528" s="397"/>
      <c r="R13528" s="397">
        <v>2</v>
      </c>
    </row>
    <row r="13529" spans="1:18" ht="24">
      <c r="A13529" s="393">
        <v>161</v>
      </c>
      <c r="B13529" s="390" t="s">
        <v>24468</v>
      </c>
      <c r="C13529" s="394" t="s">
        <v>24469</v>
      </c>
      <c r="D13529" s="395">
        <v>689.83</v>
      </c>
      <c r="E13529" s="395">
        <v>648.85</v>
      </c>
      <c r="F13529" s="395">
        <v>6.59</v>
      </c>
      <c r="G13529" s="395">
        <v>34.39</v>
      </c>
      <c r="H13529" s="396">
        <v>7739.29</v>
      </c>
      <c r="I13529" s="396">
        <v>7462.08</v>
      </c>
      <c r="J13529" s="396">
        <v>27.89</v>
      </c>
      <c r="K13529" s="396">
        <v>249.32</v>
      </c>
      <c r="L13529" s="43">
        <v>11.219126451444557</v>
      </c>
      <c r="M13529" s="43">
        <v>11.500470062418124</v>
      </c>
      <c r="N13529" s="43">
        <v>4.2321699544764799</v>
      </c>
      <c r="O13529" s="43">
        <v>7.2497819133469026</v>
      </c>
      <c r="P13529" s="397"/>
      <c r="Q13529" s="397"/>
      <c r="R13529" s="397">
        <v>2</v>
      </c>
    </row>
    <row r="13530" spans="1:18" ht="12.75" customHeight="1">
      <c r="A13530" s="628" t="s">
        <v>24470</v>
      </c>
      <c r="B13530" s="629"/>
      <c r="C13530" s="629"/>
      <c r="D13530" s="629"/>
      <c r="E13530" s="629"/>
      <c r="F13530" s="629"/>
      <c r="G13530" s="629"/>
      <c r="H13530" s="629"/>
      <c r="I13530" s="629"/>
      <c r="J13530" s="629"/>
      <c r="K13530" s="629"/>
      <c r="L13530" s="629"/>
      <c r="M13530" s="629"/>
      <c r="N13530" s="629"/>
      <c r="O13530" s="629"/>
      <c r="P13530" s="629"/>
      <c r="Q13530" s="629"/>
      <c r="R13530" s="629"/>
    </row>
    <row r="13531" spans="1:18" ht="12.75" customHeight="1">
      <c r="A13531" s="628" t="s">
        <v>24471</v>
      </c>
      <c r="B13531" s="629"/>
      <c r="C13531" s="629"/>
      <c r="D13531" s="629"/>
      <c r="E13531" s="629"/>
      <c r="F13531" s="629"/>
      <c r="G13531" s="629"/>
      <c r="H13531" s="629"/>
      <c r="I13531" s="629"/>
      <c r="J13531" s="629"/>
      <c r="K13531" s="629"/>
      <c r="L13531" s="629"/>
      <c r="M13531" s="629"/>
      <c r="N13531" s="629"/>
      <c r="O13531" s="629"/>
      <c r="P13531" s="629"/>
      <c r="Q13531" s="629"/>
      <c r="R13531" s="629"/>
    </row>
    <row r="13532" spans="1:18" ht="24">
      <c r="A13532" s="393">
        <v>162</v>
      </c>
      <c r="B13532" s="390" t="s">
        <v>24472</v>
      </c>
      <c r="C13532" s="394" t="s">
        <v>24473</v>
      </c>
      <c r="D13532" s="395">
        <v>1065.1600000000001</v>
      </c>
      <c r="E13532" s="395">
        <v>997.79</v>
      </c>
      <c r="F13532" s="395">
        <v>22.55</v>
      </c>
      <c r="G13532" s="395">
        <v>44.82</v>
      </c>
      <c r="H13532" s="396">
        <v>11924.66</v>
      </c>
      <c r="I13532" s="396">
        <v>11474.96</v>
      </c>
      <c r="J13532" s="396">
        <v>96.54</v>
      </c>
      <c r="K13532" s="396">
        <v>353.16</v>
      </c>
      <c r="L13532" s="43">
        <v>11.1951819444966</v>
      </c>
      <c r="M13532" s="43">
        <v>11.500375830585593</v>
      </c>
      <c r="N13532" s="43">
        <v>4.2811529933481154</v>
      </c>
      <c r="O13532" s="43">
        <v>7.8795180722891569</v>
      </c>
      <c r="P13532" s="397"/>
      <c r="Q13532" s="397"/>
      <c r="R13532" s="397">
        <v>1</v>
      </c>
    </row>
    <row r="13533" spans="1:18" ht="24">
      <c r="A13533" s="398">
        <v>163</v>
      </c>
      <c r="B13533" s="399" t="s">
        <v>24474</v>
      </c>
      <c r="C13533" s="400" t="s">
        <v>24475</v>
      </c>
      <c r="D13533" s="401">
        <v>2949.27</v>
      </c>
      <c r="E13533" s="401">
        <v>2672.43</v>
      </c>
      <c r="F13533" s="401">
        <v>132.06</v>
      </c>
      <c r="G13533" s="401">
        <v>144.78</v>
      </c>
      <c r="H13533" s="402">
        <v>32355.53</v>
      </c>
      <c r="I13533" s="402">
        <v>30734.09</v>
      </c>
      <c r="J13533" s="402">
        <v>558.91999999999996</v>
      </c>
      <c r="K13533" s="402">
        <v>1062.52</v>
      </c>
      <c r="L13533" s="611">
        <v>10.97069105236211</v>
      </c>
      <c r="M13533" s="611">
        <v>11.500428449014567</v>
      </c>
      <c r="N13533" s="611">
        <v>4.232318643041042</v>
      </c>
      <c r="O13533" s="611">
        <v>7.3388589584196708</v>
      </c>
      <c r="P13533" s="403"/>
      <c r="Q13533" s="403"/>
      <c r="R13533" s="403">
        <v>1</v>
      </c>
    </row>
    <row r="13534" spans="1:18" ht="12.75" customHeight="1">
      <c r="A13534" s="630" t="s">
        <v>24476</v>
      </c>
      <c r="B13534" s="631"/>
      <c r="C13534" s="631"/>
      <c r="D13534" s="631"/>
      <c r="E13534" s="631"/>
      <c r="F13534" s="631"/>
      <c r="G13534" s="631"/>
      <c r="H13534" s="631"/>
      <c r="I13534" s="631"/>
      <c r="J13534" s="631"/>
      <c r="K13534" s="631"/>
      <c r="L13534" s="631"/>
      <c r="M13534" s="631"/>
      <c r="N13534" s="631"/>
      <c r="O13534" s="631"/>
      <c r="P13534" s="631"/>
      <c r="Q13534" s="631"/>
      <c r="R13534" s="631"/>
    </row>
    <row r="13535" spans="1:18" ht="12.75" customHeight="1">
      <c r="A13535" s="628" t="s">
        <v>24477</v>
      </c>
      <c r="B13535" s="629"/>
      <c r="C13535" s="629"/>
      <c r="D13535" s="629"/>
      <c r="E13535" s="629"/>
      <c r="F13535" s="629"/>
      <c r="G13535" s="629"/>
      <c r="H13535" s="629"/>
      <c r="I13535" s="629"/>
      <c r="J13535" s="629"/>
      <c r="K13535" s="629"/>
      <c r="L13535" s="629"/>
      <c r="M13535" s="629"/>
      <c r="N13535" s="629"/>
      <c r="O13535" s="629"/>
      <c r="P13535" s="629"/>
      <c r="Q13535" s="629"/>
      <c r="R13535" s="629"/>
    </row>
    <row r="13536" spans="1:18" ht="12.75" customHeight="1">
      <c r="A13536" s="628" t="s">
        <v>24478</v>
      </c>
      <c r="B13536" s="629"/>
      <c r="C13536" s="629"/>
      <c r="D13536" s="629"/>
      <c r="E13536" s="629"/>
      <c r="F13536" s="629"/>
      <c r="G13536" s="629"/>
      <c r="H13536" s="629"/>
      <c r="I13536" s="629"/>
      <c r="J13536" s="629"/>
      <c r="K13536" s="629"/>
      <c r="L13536" s="629"/>
      <c r="M13536" s="629"/>
      <c r="N13536" s="629"/>
      <c r="O13536" s="629"/>
      <c r="P13536" s="629"/>
      <c r="Q13536" s="629"/>
      <c r="R13536" s="629"/>
    </row>
    <row r="13537" spans="1:18" ht="24">
      <c r="A13537" s="393">
        <v>164</v>
      </c>
      <c r="B13537" s="390" t="s">
        <v>24479</v>
      </c>
      <c r="C13537" s="394" t="s">
        <v>24480</v>
      </c>
      <c r="D13537" s="395">
        <v>2270.42</v>
      </c>
      <c r="E13537" s="395">
        <v>2018.91</v>
      </c>
      <c r="F13537" s="395">
        <v>24.91</v>
      </c>
      <c r="G13537" s="395">
        <v>226.6</v>
      </c>
      <c r="H13537" s="396">
        <v>24616.92</v>
      </c>
      <c r="I13537" s="396">
        <v>23218.33</v>
      </c>
      <c r="J13537" s="396">
        <v>105.45</v>
      </c>
      <c r="K13537" s="396">
        <v>1293.1400000000001</v>
      </c>
      <c r="L13537" s="43">
        <v>10.842452057328599</v>
      </c>
      <c r="M13537" s="43">
        <v>11.500428449014567</v>
      </c>
      <c r="N13537" s="43">
        <v>4.2332396627860298</v>
      </c>
      <c r="O13537" s="43">
        <v>5.7067078552515449</v>
      </c>
      <c r="P13537" s="397"/>
      <c r="Q13537" s="397"/>
      <c r="R13537" s="397">
        <v>1</v>
      </c>
    </row>
    <row r="13538" spans="1:18" ht="24">
      <c r="A13538" s="393">
        <v>165</v>
      </c>
      <c r="B13538" s="390" t="s">
        <v>24481</v>
      </c>
      <c r="C13538" s="394" t="s">
        <v>24482</v>
      </c>
      <c r="D13538" s="395">
        <v>4305.6899999999996</v>
      </c>
      <c r="E13538" s="395">
        <v>3424.02</v>
      </c>
      <c r="F13538" s="395">
        <v>244.21</v>
      </c>
      <c r="G13538" s="395">
        <v>637.46</v>
      </c>
      <c r="H13538" s="396">
        <v>43736.61</v>
      </c>
      <c r="I13538" s="396">
        <v>39377.72</v>
      </c>
      <c r="J13538" s="396">
        <v>1036.0899999999999</v>
      </c>
      <c r="K13538" s="396">
        <v>3322.8</v>
      </c>
      <c r="L13538" s="43">
        <v>10.157863199626542</v>
      </c>
      <c r="M13538" s="43">
        <v>11.500435161009573</v>
      </c>
      <c r="N13538" s="43">
        <v>4.2426190573686577</v>
      </c>
      <c r="O13538" s="43">
        <v>5.2125623568537636</v>
      </c>
      <c r="P13538" s="397"/>
      <c r="Q13538" s="397"/>
      <c r="R13538" s="397">
        <v>1</v>
      </c>
    </row>
    <row r="13539" spans="1:18" ht="24">
      <c r="A13539" s="393">
        <v>166</v>
      </c>
      <c r="B13539" s="390" t="s">
        <v>24483</v>
      </c>
      <c r="C13539" s="394" t="s">
        <v>24484</v>
      </c>
      <c r="D13539" s="395">
        <v>3523.16</v>
      </c>
      <c r="E13539" s="395">
        <v>2929.17</v>
      </c>
      <c r="F13539" s="395">
        <v>164.26</v>
      </c>
      <c r="G13539" s="395">
        <v>429.73</v>
      </c>
      <c r="H13539" s="396">
        <v>36814.83</v>
      </c>
      <c r="I13539" s="396">
        <v>33686.71</v>
      </c>
      <c r="J13539" s="396">
        <v>696.87</v>
      </c>
      <c r="K13539" s="396">
        <v>2431.25</v>
      </c>
      <c r="L13539" s="43">
        <v>10.449377831265116</v>
      </c>
      <c r="M13539" s="43">
        <v>11.500428449014567</v>
      </c>
      <c r="N13539" s="43">
        <v>4.2424814318762936</v>
      </c>
      <c r="O13539" s="43">
        <v>5.6576222279105481</v>
      </c>
      <c r="P13539" s="397"/>
      <c r="Q13539" s="397"/>
      <c r="R13539" s="397">
        <v>1</v>
      </c>
    </row>
    <row r="13540" spans="1:18" ht="12.75" customHeight="1">
      <c r="A13540" s="628" t="s">
        <v>24485</v>
      </c>
      <c r="B13540" s="629"/>
      <c r="C13540" s="629"/>
      <c r="D13540" s="629"/>
      <c r="E13540" s="629"/>
      <c r="F13540" s="629"/>
      <c r="G13540" s="629"/>
      <c r="H13540" s="629"/>
      <c r="I13540" s="629"/>
      <c r="J13540" s="629"/>
      <c r="K13540" s="629"/>
      <c r="L13540" s="629"/>
      <c r="M13540" s="629"/>
      <c r="N13540" s="629"/>
      <c r="O13540" s="629"/>
      <c r="P13540" s="629"/>
      <c r="Q13540" s="629"/>
      <c r="R13540" s="629"/>
    </row>
    <row r="13541" spans="1:18" ht="12.75" customHeight="1">
      <c r="A13541" s="628" t="s">
        <v>24486</v>
      </c>
      <c r="B13541" s="629"/>
      <c r="C13541" s="629"/>
      <c r="D13541" s="629"/>
      <c r="E13541" s="629"/>
      <c r="F13541" s="629"/>
      <c r="G13541" s="629"/>
      <c r="H13541" s="629"/>
      <c r="I13541" s="629"/>
      <c r="J13541" s="629"/>
      <c r="K13541" s="629"/>
      <c r="L13541" s="629"/>
      <c r="M13541" s="629"/>
      <c r="N13541" s="629"/>
      <c r="O13541" s="629"/>
      <c r="P13541" s="629"/>
      <c r="Q13541" s="629"/>
      <c r="R13541" s="629"/>
    </row>
    <row r="13542" spans="1:18" ht="24">
      <c r="A13542" s="393">
        <v>167</v>
      </c>
      <c r="B13542" s="390" t="s">
        <v>24487</v>
      </c>
      <c r="C13542" s="394" t="s">
        <v>24488</v>
      </c>
      <c r="D13542" s="395">
        <v>659.04</v>
      </c>
      <c r="E13542" s="395">
        <v>591.74</v>
      </c>
      <c r="F13542" s="395">
        <v>17.579999999999998</v>
      </c>
      <c r="G13542" s="395">
        <v>49.72</v>
      </c>
      <c r="H13542" s="396">
        <v>7229.67</v>
      </c>
      <c r="I13542" s="396">
        <v>6805.21</v>
      </c>
      <c r="J13542" s="396">
        <v>75.25</v>
      </c>
      <c r="K13542" s="396">
        <v>349.21</v>
      </c>
      <c r="L13542" s="43">
        <v>10.9700018208303</v>
      </c>
      <c r="M13542" s="43">
        <v>11.500337986277756</v>
      </c>
      <c r="N13542" s="43">
        <v>4.2804323094425492</v>
      </c>
      <c r="O13542" s="43">
        <v>7.0235317779565563</v>
      </c>
      <c r="P13542" s="397"/>
      <c r="Q13542" s="397"/>
      <c r="R13542" s="397">
        <v>1</v>
      </c>
    </row>
    <row r="13543" spans="1:18" ht="24">
      <c r="A13543" s="393">
        <v>168</v>
      </c>
      <c r="B13543" s="390" t="s">
        <v>24489</v>
      </c>
      <c r="C13543" s="394" t="s">
        <v>24490</v>
      </c>
      <c r="D13543" s="395">
        <v>690.8</v>
      </c>
      <c r="E13543" s="395">
        <v>673.36</v>
      </c>
      <c r="F13543" s="395">
        <v>0.24</v>
      </c>
      <c r="G13543" s="395">
        <v>17.2</v>
      </c>
      <c r="H13543" s="396">
        <v>7919.78</v>
      </c>
      <c r="I13543" s="396">
        <v>7743.92</v>
      </c>
      <c r="J13543" s="396">
        <v>1</v>
      </c>
      <c r="K13543" s="396">
        <v>174.86</v>
      </c>
      <c r="L13543" s="43">
        <v>11.464649681528662</v>
      </c>
      <c r="M13543" s="43">
        <v>11.500415825115837</v>
      </c>
      <c r="N13543" s="43">
        <v>4.166666666666667</v>
      </c>
      <c r="O13543" s="43">
        <v>10.166279069767443</v>
      </c>
      <c r="P13543" s="397"/>
      <c r="Q13543" s="397"/>
      <c r="R13543" s="397">
        <v>1</v>
      </c>
    </row>
    <row r="13544" spans="1:18" ht="24">
      <c r="A13544" s="393">
        <v>169</v>
      </c>
      <c r="B13544" s="390" t="s">
        <v>24491</v>
      </c>
      <c r="C13544" s="394" t="s">
        <v>24492</v>
      </c>
      <c r="D13544" s="395">
        <v>391.3</v>
      </c>
      <c r="E13544" s="395">
        <v>373.44</v>
      </c>
      <c r="F13544" s="395">
        <v>4.0999999999999996</v>
      </c>
      <c r="G13544" s="395">
        <v>13.76</v>
      </c>
      <c r="H13544" s="396">
        <v>4434.2</v>
      </c>
      <c r="I13544" s="396">
        <v>4294.72</v>
      </c>
      <c r="J13544" s="396">
        <v>17.350000000000001</v>
      </c>
      <c r="K13544" s="396">
        <v>122.13</v>
      </c>
      <c r="L13544" s="43">
        <v>11.331970355226169</v>
      </c>
      <c r="M13544" s="43">
        <v>11.500428449014567</v>
      </c>
      <c r="N13544" s="43">
        <v>4.2317073170731714</v>
      </c>
      <c r="O13544" s="43">
        <v>8.8757267441860463</v>
      </c>
      <c r="P13544" s="397"/>
      <c r="Q13544" s="397"/>
      <c r="R13544" s="397">
        <v>1</v>
      </c>
    </row>
    <row r="13545" spans="1:18" ht="24">
      <c r="A13545" s="393">
        <v>170</v>
      </c>
      <c r="B13545" s="390" t="s">
        <v>24493</v>
      </c>
      <c r="C13545" s="394" t="s">
        <v>24494</v>
      </c>
      <c r="D13545" s="395">
        <v>119.2</v>
      </c>
      <c r="E13545" s="395">
        <v>115.77</v>
      </c>
      <c r="F13545" s="395">
        <v>0.06</v>
      </c>
      <c r="G13545" s="395">
        <v>3.37</v>
      </c>
      <c r="H13545" s="396">
        <v>1363.4</v>
      </c>
      <c r="I13545" s="396">
        <v>1331.38</v>
      </c>
      <c r="J13545" s="396">
        <v>0.25</v>
      </c>
      <c r="K13545" s="396">
        <v>31.77</v>
      </c>
      <c r="L13545" s="43">
        <v>11.437919463087249</v>
      </c>
      <c r="M13545" s="43">
        <v>11.500215945409002</v>
      </c>
      <c r="N13545" s="43">
        <v>4.166666666666667</v>
      </c>
      <c r="O13545" s="43">
        <v>9.4272997032640937</v>
      </c>
      <c r="P13545" s="397"/>
      <c r="Q13545" s="397"/>
      <c r="R13545" s="397">
        <v>1</v>
      </c>
    </row>
    <row r="13546" spans="1:18" ht="12.75">
      <c r="A13546" s="632" t="s">
        <v>18</v>
      </c>
      <c r="B13546" s="632"/>
      <c r="C13546" s="632"/>
      <c r="D13546" s="391">
        <v>1045638.64</v>
      </c>
      <c r="E13546" s="391">
        <v>854318.19</v>
      </c>
      <c r="F13546" s="391">
        <v>112145.82</v>
      </c>
      <c r="G13546" s="391">
        <v>79174.63</v>
      </c>
      <c r="H13546" s="392">
        <v>10840993.4</v>
      </c>
      <c r="I13546" s="392">
        <v>9825018.25</v>
      </c>
      <c r="J13546" s="392">
        <v>546238.79</v>
      </c>
      <c r="K13546" s="392">
        <v>469736.36</v>
      </c>
      <c r="L13546" s="612">
        <v>10.367820186905105</v>
      </c>
      <c r="M13546" s="612">
        <v>11.500420294223163</v>
      </c>
      <c r="N13546" s="612">
        <v>4.8707904583514567</v>
      </c>
      <c r="O13546" s="612">
        <v>5.9329151269794371</v>
      </c>
      <c r="P13546" s="389"/>
      <c r="Q13546" s="389"/>
      <c r="R13546" s="389"/>
    </row>
    <row r="13547" spans="1:18" ht="18">
      <c r="A13547" s="616" t="s">
        <v>25948</v>
      </c>
      <c r="B13547" s="626"/>
      <c r="C13547" s="626"/>
      <c r="D13547" s="626"/>
      <c r="E13547" s="626"/>
      <c r="F13547" s="626"/>
      <c r="G13547" s="626"/>
      <c r="H13547" s="626"/>
      <c r="I13547" s="626"/>
      <c r="J13547" s="626"/>
      <c r="K13547" s="626"/>
      <c r="L13547" s="626"/>
      <c r="M13547" s="626"/>
      <c r="N13547" s="626"/>
      <c r="O13547" s="626"/>
      <c r="P13547" s="626"/>
      <c r="Q13547" s="626"/>
      <c r="R13547" s="627"/>
    </row>
    <row r="13548" spans="1:18" ht="12.75" customHeight="1">
      <c r="A13548" s="630" t="s">
        <v>24496</v>
      </c>
      <c r="B13548" s="631"/>
      <c r="C13548" s="631"/>
      <c r="D13548" s="631"/>
      <c r="E13548" s="631"/>
      <c r="F13548" s="631"/>
      <c r="G13548" s="631"/>
      <c r="H13548" s="631"/>
      <c r="I13548" s="631"/>
      <c r="J13548" s="631"/>
      <c r="K13548" s="631"/>
      <c r="L13548" s="631"/>
      <c r="M13548" s="631"/>
      <c r="N13548" s="631"/>
      <c r="O13548" s="631"/>
      <c r="P13548" s="631"/>
      <c r="Q13548" s="631"/>
      <c r="R13548" s="631"/>
    </row>
    <row r="13549" spans="1:18" ht="12.75" customHeight="1">
      <c r="A13549" s="628" t="s">
        <v>24497</v>
      </c>
      <c r="B13549" s="629"/>
      <c r="C13549" s="629"/>
      <c r="D13549" s="629"/>
      <c r="E13549" s="629"/>
      <c r="F13549" s="629"/>
      <c r="G13549" s="629"/>
      <c r="H13549" s="629"/>
      <c r="I13549" s="629"/>
      <c r="J13549" s="629"/>
      <c r="K13549" s="629"/>
      <c r="L13549" s="629"/>
      <c r="M13549" s="629"/>
      <c r="N13549" s="629"/>
      <c r="O13549" s="629"/>
      <c r="P13549" s="629"/>
      <c r="Q13549" s="629"/>
      <c r="R13549" s="629"/>
    </row>
    <row r="13550" spans="1:18" ht="12.75" customHeight="1">
      <c r="A13550" s="628" t="s">
        <v>24498</v>
      </c>
      <c r="B13550" s="629"/>
      <c r="C13550" s="629"/>
      <c r="D13550" s="629"/>
      <c r="E13550" s="629"/>
      <c r="F13550" s="629"/>
      <c r="G13550" s="629"/>
      <c r="H13550" s="629"/>
      <c r="I13550" s="629"/>
      <c r="J13550" s="629"/>
      <c r="K13550" s="629"/>
      <c r="L13550" s="629"/>
      <c r="M13550" s="629"/>
      <c r="N13550" s="629"/>
      <c r="O13550" s="629"/>
      <c r="P13550" s="629"/>
      <c r="Q13550" s="629"/>
      <c r="R13550" s="629"/>
    </row>
    <row r="13551" spans="1:18" ht="24">
      <c r="A13551" s="408">
        <v>1</v>
      </c>
      <c r="B13551" s="405" t="s">
        <v>24499</v>
      </c>
      <c r="C13551" s="409" t="s">
        <v>24500</v>
      </c>
      <c r="D13551" s="410">
        <v>333.38</v>
      </c>
      <c r="E13551" s="410">
        <v>24.86</v>
      </c>
      <c r="F13551" s="410">
        <v>215.79</v>
      </c>
      <c r="G13551" s="410">
        <v>92.73</v>
      </c>
      <c r="H13551" s="411">
        <v>1821.34</v>
      </c>
      <c r="I13551" s="411">
        <v>285.92</v>
      </c>
      <c r="J13551" s="411">
        <v>1157.55</v>
      </c>
      <c r="K13551" s="411">
        <v>377.87</v>
      </c>
      <c r="L13551" s="43">
        <v>5.4632551442798007</v>
      </c>
      <c r="M13551" s="43">
        <v>11.501206757843926</v>
      </c>
      <c r="N13551" s="43">
        <v>5.3642430140414294</v>
      </c>
      <c r="O13551" s="43">
        <v>4.0749487760163916</v>
      </c>
      <c r="P13551" s="412"/>
      <c r="Q13551" s="412"/>
      <c r="R13551" s="412">
        <v>1</v>
      </c>
    </row>
    <row r="13552" spans="1:18" ht="24">
      <c r="A13552" s="408">
        <v>2</v>
      </c>
      <c r="B13552" s="405" t="s">
        <v>24501</v>
      </c>
      <c r="C13552" s="409" t="s">
        <v>24502</v>
      </c>
      <c r="D13552" s="410">
        <v>148.05000000000001</v>
      </c>
      <c r="E13552" s="410">
        <v>62.27</v>
      </c>
      <c r="F13552" s="410">
        <v>41.51</v>
      </c>
      <c r="G13552" s="410">
        <v>44.27</v>
      </c>
      <c r="H13552" s="411">
        <v>1109.4000000000001</v>
      </c>
      <c r="I13552" s="411">
        <v>716.12</v>
      </c>
      <c r="J13552" s="411">
        <v>219.96</v>
      </c>
      <c r="K13552" s="411">
        <v>173.32</v>
      </c>
      <c r="L13552" s="43">
        <v>7.4934143870314083</v>
      </c>
      <c r="M13552" s="43">
        <v>11.50024088646218</v>
      </c>
      <c r="N13552" s="43">
        <v>5.2989641050349316</v>
      </c>
      <c r="O13552" s="43">
        <v>3.9150666365484521</v>
      </c>
      <c r="P13552" s="412"/>
      <c r="Q13552" s="412"/>
      <c r="R13552" s="412">
        <v>1</v>
      </c>
    </row>
    <row r="13553" spans="1:18" ht="12.75" customHeight="1">
      <c r="A13553" s="628" t="s">
        <v>24503</v>
      </c>
      <c r="B13553" s="629"/>
      <c r="C13553" s="629"/>
      <c r="D13553" s="629"/>
      <c r="E13553" s="629"/>
      <c r="F13553" s="629"/>
      <c r="G13553" s="629"/>
      <c r="H13553" s="629"/>
      <c r="I13553" s="629"/>
      <c r="J13553" s="629"/>
      <c r="K13553" s="629"/>
      <c r="L13553" s="629"/>
      <c r="M13553" s="629"/>
      <c r="N13553" s="629"/>
      <c r="O13553" s="629"/>
      <c r="P13553" s="629"/>
      <c r="Q13553" s="629"/>
      <c r="R13553" s="629"/>
    </row>
    <row r="13554" spans="1:18" ht="24">
      <c r="A13554" s="408">
        <v>3</v>
      </c>
      <c r="B13554" s="405" t="s">
        <v>24504</v>
      </c>
      <c r="C13554" s="409" t="s">
        <v>24505</v>
      </c>
      <c r="D13554" s="410">
        <v>244</v>
      </c>
      <c r="E13554" s="410">
        <v>164.1</v>
      </c>
      <c r="F13554" s="410">
        <v>19.260000000000002</v>
      </c>
      <c r="G13554" s="410">
        <v>60.64</v>
      </c>
      <c r="H13554" s="411">
        <v>2237.9699999999998</v>
      </c>
      <c r="I13554" s="411">
        <v>1887.2</v>
      </c>
      <c r="J13554" s="411">
        <v>101.13</v>
      </c>
      <c r="K13554" s="411">
        <v>249.64</v>
      </c>
      <c r="L13554" s="43">
        <v>9.1720081967213112</v>
      </c>
      <c r="M13554" s="43">
        <v>11.500304692260817</v>
      </c>
      <c r="N13554" s="43">
        <v>5.250778816199376</v>
      </c>
      <c r="O13554" s="43">
        <v>4.116754617414248</v>
      </c>
      <c r="P13554" s="412"/>
      <c r="Q13554" s="412"/>
      <c r="R13554" s="412">
        <v>2</v>
      </c>
    </row>
    <row r="13555" spans="1:18" ht="12.75" customHeight="1">
      <c r="A13555" s="628" t="s">
        <v>24506</v>
      </c>
      <c r="B13555" s="629"/>
      <c r="C13555" s="629"/>
      <c r="D13555" s="629"/>
      <c r="E13555" s="629"/>
      <c r="F13555" s="629"/>
      <c r="G13555" s="629"/>
      <c r="H13555" s="629"/>
      <c r="I13555" s="629"/>
      <c r="J13555" s="629"/>
      <c r="K13555" s="629"/>
      <c r="L13555" s="629"/>
      <c r="M13555" s="629"/>
      <c r="N13555" s="629"/>
      <c r="O13555" s="629"/>
      <c r="P13555" s="629"/>
      <c r="Q13555" s="629"/>
      <c r="R13555" s="629"/>
    </row>
    <row r="13556" spans="1:18" ht="24">
      <c r="A13556" s="408">
        <v>4</v>
      </c>
      <c r="B13556" s="405" t="s">
        <v>24507</v>
      </c>
      <c r="C13556" s="409" t="s">
        <v>24508</v>
      </c>
      <c r="D13556" s="410">
        <v>286.11</v>
      </c>
      <c r="E13556" s="410">
        <v>184.3</v>
      </c>
      <c r="F13556" s="410">
        <v>55.1</v>
      </c>
      <c r="G13556" s="410">
        <v>46.71</v>
      </c>
      <c r="H13556" s="411">
        <v>2614.7199999999998</v>
      </c>
      <c r="I13556" s="411">
        <v>2119.4899999999998</v>
      </c>
      <c r="J13556" s="411">
        <v>293.85000000000002</v>
      </c>
      <c r="K13556" s="411">
        <v>201.38</v>
      </c>
      <c r="L13556" s="43">
        <v>9.1388626751948543</v>
      </c>
      <c r="M13556" s="43">
        <v>11.500217037438956</v>
      </c>
      <c r="N13556" s="43">
        <v>5.3330308529945558</v>
      </c>
      <c r="O13556" s="43">
        <v>4.3112823806465421</v>
      </c>
      <c r="P13556" s="412"/>
      <c r="Q13556" s="412"/>
      <c r="R13556" s="412">
        <v>3</v>
      </c>
    </row>
    <row r="13557" spans="1:18" ht="24">
      <c r="A13557" s="408">
        <v>5</v>
      </c>
      <c r="B13557" s="405" t="s">
        <v>24509</v>
      </c>
      <c r="C13557" s="409" t="s">
        <v>24510</v>
      </c>
      <c r="D13557" s="410">
        <v>273.31</v>
      </c>
      <c r="E13557" s="410">
        <v>174.27</v>
      </c>
      <c r="F13557" s="410">
        <v>52.53</v>
      </c>
      <c r="G13557" s="410">
        <v>46.51</v>
      </c>
      <c r="H13557" s="411">
        <v>2483.12</v>
      </c>
      <c r="I13557" s="411">
        <v>2004.11</v>
      </c>
      <c r="J13557" s="411">
        <v>279.93</v>
      </c>
      <c r="K13557" s="411">
        <v>199.08</v>
      </c>
      <c r="L13557" s="43">
        <v>9.0853609454465616</v>
      </c>
      <c r="M13557" s="43">
        <v>11.500028691111492</v>
      </c>
      <c r="N13557" s="43">
        <v>5.3289548829240436</v>
      </c>
      <c r="O13557" s="43">
        <v>4.2803698129434533</v>
      </c>
      <c r="P13557" s="412"/>
      <c r="Q13557" s="412"/>
      <c r="R13557" s="412">
        <v>3</v>
      </c>
    </row>
    <row r="13558" spans="1:18" ht="12.75" customHeight="1">
      <c r="A13558" s="628" t="s">
        <v>24511</v>
      </c>
      <c r="B13558" s="629"/>
      <c r="C13558" s="629"/>
      <c r="D13558" s="629"/>
      <c r="E13558" s="629"/>
      <c r="F13558" s="629"/>
      <c r="G13558" s="629"/>
      <c r="H13558" s="629"/>
      <c r="I13558" s="629"/>
      <c r="J13558" s="629"/>
      <c r="K13558" s="629"/>
      <c r="L13558" s="629"/>
      <c r="M13558" s="629"/>
      <c r="N13558" s="629"/>
      <c r="O13558" s="629"/>
      <c r="P13558" s="629"/>
      <c r="Q13558" s="629"/>
      <c r="R13558" s="629"/>
    </row>
    <row r="13559" spans="1:18" ht="24">
      <c r="A13559" s="408">
        <v>6</v>
      </c>
      <c r="B13559" s="405" t="s">
        <v>24512</v>
      </c>
      <c r="C13559" s="409" t="s">
        <v>24513</v>
      </c>
      <c r="D13559" s="410">
        <v>10251.25</v>
      </c>
      <c r="E13559" s="410">
        <v>5411.79</v>
      </c>
      <c r="F13559" s="410">
        <v>2248.1999999999998</v>
      </c>
      <c r="G13559" s="410">
        <v>2591.2600000000002</v>
      </c>
      <c r="H13559" s="411">
        <v>87743.97</v>
      </c>
      <c r="I13559" s="411">
        <v>62237.94</v>
      </c>
      <c r="J13559" s="411">
        <v>11615.11</v>
      </c>
      <c r="K13559" s="411">
        <v>13890.92</v>
      </c>
      <c r="L13559" s="43">
        <v>8.5593434946957689</v>
      </c>
      <c r="M13559" s="43">
        <v>11.500435161009573</v>
      </c>
      <c r="N13559" s="43">
        <v>5.1664042344987111</v>
      </c>
      <c r="O13559" s="43">
        <v>5.3606816760957985</v>
      </c>
      <c r="P13559" s="412"/>
      <c r="Q13559" s="412"/>
      <c r="R13559" s="412">
        <v>4</v>
      </c>
    </row>
    <row r="13560" spans="1:18" ht="24">
      <c r="A13560" s="408">
        <v>7</v>
      </c>
      <c r="B13560" s="405" t="s">
        <v>24514</v>
      </c>
      <c r="C13560" s="409" t="s">
        <v>24515</v>
      </c>
      <c r="D13560" s="410">
        <v>1494.14</v>
      </c>
      <c r="E13560" s="410">
        <v>529.85</v>
      </c>
      <c r="F13560" s="410">
        <v>309.23</v>
      </c>
      <c r="G13560" s="410">
        <v>655.05999999999995</v>
      </c>
      <c r="H13560" s="411">
        <v>11177.6</v>
      </c>
      <c r="I13560" s="411">
        <v>6093.53</v>
      </c>
      <c r="J13560" s="411">
        <v>1645.01</v>
      </c>
      <c r="K13560" s="411">
        <v>3439.06</v>
      </c>
      <c r="L13560" s="43">
        <v>7.4809589462834802</v>
      </c>
      <c r="M13560" s="43">
        <v>11.500481268283476</v>
      </c>
      <c r="N13560" s="43">
        <v>5.3196973126798817</v>
      </c>
      <c r="O13560" s="43">
        <v>5.2499923671114104</v>
      </c>
      <c r="P13560" s="412"/>
      <c r="Q13560" s="412"/>
      <c r="R13560" s="412">
        <v>4</v>
      </c>
    </row>
    <row r="13561" spans="1:18" ht="24">
      <c r="A13561" s="408">
        <v>8</v>
      </c>
      <c r="B13561" s="405" t="s">
        <v>24516</v>
      </c>
      <c r="C13561" s="409" t="s">
        <v>24517</v>
      </c>
      <c r="D13561" s="410">
        <v>8539.5</v>
      </c>
      <c r="E13561" s="410">
        <v>3247.12</v>
      </c>
      <c r="F13561" s="410">
        <v>1926.36</v>
      </c>
      <c r="G13561" s="410">
        <v>3366.02</v>
      </c>
      <c r="H13561" s="411">
        <v>64950.66</v>
      </c>
      <c r="I13561" s="411">
        <v>37343.360000000001</v>
      </c>
      <c r="J13561" s="411">
        <v>10112.65</v>
      </c>
      <c r="K13561" s="411">
        <v>17494.650000000001</v>
      </c>
      <c r="L13561" s="43">
        <v>7.6059090110662222</v>
      </c>
      <c r="M13561" s="43">
        <v>11.500455788514129</v>
      </c>
      <c r="N13561" s="43">
        <v>5.2496158558109594</v>
      </c>
      <c r="O13561" s="43">
        <v>5.197429011116987</v>
      </c>
      <c r="P13561" s="412"/>
      <c r="Q13561" s="412"/>
      <c r="R13561" s="412">
        <v>4</v>
      </c>
    </row>
    <row r="13562" spans="1:18" ht="24">
      <c r="A13562" s="408">
        <v>9</v>
      </c>
      <c r="B13562" s="405" t="s">
        <v>24518</v>
      </c>
      <c r="C13562" s="409" t="s">
        <v>24519</v>
      </c>
      <c r="D13562" s="410">
        <v>6542.52</v>
      </c>
      <c r="E13562" s="410">
        <v>2442</v>
      </c>
      <c r="F13562" s="410">
        <v>1381.99</v>
      </c>
      <c r="G13562" s="410">
        <v>2718.53</v>
      </c>
      <c r="H13562" s="411">
        <v>49603.9</v>
      </c>
      <c r="I13562" s="411">
        <v>28083</v>
      </c>
      <c r="J13562" s="411">
        <v>7224.54</v>
      </c>
      <c r="K13562" s="411">
        <v>14296.36</v>
      </c>
      <c r="L13562" s="43">
        <v>7.5817727725708135</v>
      </c>
      <c r="M13562" s="43">
        <v>11.5</v>
      </c>
      <c r="N13562" s="43">
        <v>5.2276355111107895</v>
      </c>
      <c r="O13562" s="43">
        <v>5.2588568086429062</v>
      </c>
      <c r="P13562" s="412"/>
      <c r="Q13562" s="412"/>
      <c r="R13562" s="412">
        <v>4</v>
      </c>
    </row>
    <row r="13563" spans="1:18" ht="12.75" customHeight="1">
      <c r="A13563" s="628" t="s">
        <v>24520</v>
      </c>
      <c r="B13563" s="629"/>
      <c r="C13563" s="629"/>
      <c r="D13563" s="629"/>
      <c r="E13563" s="629"/>
      <c r="F13563" s="629"/>
      <c r="G13563" s="629"/>
      <c r="H13563" s="629"/>
      <c r="I13563" s="629"/>
      <c r="J13563" s="629"/>
      <c r="K13563" s="629"/>
      <c r="L13563" s="629"/>
      <c r="M13563" s="629"/>
      <c r="N13563" s="629"/>
      <c r="O13563" s="629"/>
      <c r="P13563" s="629"/>
      <c r="Q13563" s="629"/>
      <c r="R13563" s="629"/>
    </row>
    <row r="13564" spans="1:18" ht="24">
      <c r="A13564" s="408">
        <v>10</v>
      </c>
      <c r="B13564" s="405" t="s">
        <v>24521</v>
      </c>
      <c r="C13564" s="409" t="s">
        <v>24522</v>
      </c>
      <c r="D13564" s="410">
        <v>127.07</v>
      </c>
      <c r="E13564" s="410">
        <v>82.14</v>
      </c>
      <c r="F13564" s="410">
        <v>14.61</v>
      </c>
      <c r="G13564" s="410">
        <v>30.32</v>
      </c>
      <c r="H13564" s="411">
        <v>1148.03</v>
      </c>
      <c r="I13564" s="411">
        <v>944.61</v>
      </c>
      <c r="J13564" s="411">
        <v>78.599999999999994</v>
      </c>
      <c r="K13564" s="411">
        <v>124.82</v>
      </c>
      <c r="L13564" s="43">
        <v>9.0346265837727238</v>
      </c>
      <c r="M13564" s="43">
        <v>11.5</v>
      </c>
      <c r="N13564" s="43">
        <v>5.3798767967145791</v>
      </c>
      <c r="O13564" s="43">
        <v>4.116754617414248</v>
      </c>
      <c r="P13564" s="412"/>
      <c r="Q13564" s="412"/>
      <c r="R13564" s="412">
        <v>5</v>
      </c>
    </row>
    <row r="13565" spans="1:18" ht="12.75" customHeight="1">
      <c r="A13565" s="628" t="s">
        <v>3781</v>
      </c>
      <c r="B13565" s="629"/>
      <c r="C13565" s="629"/>
      <c r="D13565" s="629"/>
      <c r="E13565" s="629"/>
      <c r="F13565" s="629"/>
      <c r="G13565" s="629"/>
      <c r="H13565" s="629"/>
      <c r="I13565" s="629"/>
      <c r="J13565" s="629"/>
      <c r="K13565" s="629"/>
      <c r="L13565" s="629"/>
      <c r="M13565" s="629"/>
      <c r="N13565" s="629"/>
      <c r="O13565" s="629"/>
      <c r="P13565" s="629"/>
      <c r="Q13565" s="629"/>
      <c r="R13565" s="629"/>
    </row>
    <row r="13566" spans="1:18" ht="24">
      <c r="A13566" s="408">
        <v>11</v>
      </c>
      <c r="B13566" s="405" t="s">
        <v>24523</v>
      </c>
      <c r="C13566" s="409" t="s">
        <v>24524</v>
      </c>
      <c r="D13566" s="410">
        <v>93.31</v>
      </c>
      <c r="E13566" s="410">
        <v>81.12</v>
      </c>
      <c r="F13566" s="410">
        <v>10.57</v>
      </c>
      <c r="G13566" s="410">
        <v>1.62</v>
      </c>
      <c r="H13566" s="411">
        <v>1006.88</v>
      </c>
      <c r="I13566" s="411">
        <v>932.82</v>
      </c>
      <c r="J13566" s="411">
        <v>55.43</v>
      </c>
      <c r="K13566" s="411">
        <v>18.63</v>
      </c>
      <c r="L13566" s="43">
        <v>10.790697674418604</v>
      </c>
      <c r="M13566" s="43">
        <v>11.499260355029586</v>
      </c>
      <c r="N13566" s="43">
        <v>5.2440870387890257</v>
      </c>
      <c r="O13566" s="43">
        <v>11.499999999999998</v>
      </c>
      <c r="P13566" s="412"/>
      <c r="Q13566" s="412"/>
      <c r="R13566" s="412">
        <v>6</v>
      </c>
    </row>
    <row r="13567" spans="1:18" ht="36">
      <c r="A13567" s="408">
        <v>12</v>
      </c>
      <c r="B13567" s="405" t="s">
        <v>24525</v>
      </c>
      <c r="C13567" s="409" t="s">
        <v>24526</v>
      </c>
      <c r="D13567" s="410">
        <v>179.36</v>
      </c>
      <c r="E13567" s="410">
        <v>113.52</v>
      </c>
      <c r="F13567" s="410">
        <v>34.549999999999997</v>
      </c>
      <c r="G13567" s="410">
        <v>31.29</v>
      </c>
      <c r="H13567" s="411">
        <v>1624.11</v>
      </c>
      <c r="I13567" s="411">
        <v>1305.53</v>
      </c>
      <c r="J13567" s="411">
        <v>183.53</v>
      </c>
      <c r="K13567" s="411">
        <v>135.05000000000001</v>
      </c>
      <c r="L13567" s="43">
        <v>9.0550289919714526</v>
      </c>
      <c r="M13567" s="43">
        <v>11.500440451021847</v>
      </c>
      <c r="N13567" s="43">
        <v>5.3120115774240233</v>
      </c>
      <c r="O13567" s="43">
        <v>4.3160754234579741</v>
      </c>
      <c r="P13567" s="412"/>
      <c r="Q13567" s="412"/>
      <c r="R13567" s="412">
        <v>6</v>
      </c>
    </row>
    <row r="13568" spans="1:18" ht="36">
      <c r="A13568" s="408">
        <v>13</v>
      </c>
      <c r="B13568" s="405" t="s">
        <v>24527</v>
      </c>
      <c r="C13568" s="409" t="s">
        <v>24528</v>
      </c>
      <c r="D13568" s="410">
        <v>212.98</v>
      </c>
      <c r="E13568" s="410">
        <v>125.89</v>
      </c>
      <c r="F13568" s="410">
        <v>40.799999999999997</v>
      </c>
      <c r="G13568" s="410">
        <v>46.29</v>
      </c>
      <c r="H13568" s="411">
        <v>1859.41</v>
      </c>
      <c r="I13568" s="411">
        <v>1447.71</v>
      </c>
      <c r="J13568" s="411">
        <v>217.22</v>
      </c>
      <c r="K13568" s="411">
        <v>194.48</v>
      </c>
      <c r="L13568" s="43">
        <v>8.7304441731617999</v>
      </c>
      <c r="M13568" s="43">
        <v>11.499801413932799</v>
      </c>
      <c r="N13568" s="43">
        <v>5.3240196078431374</v>
      </c>
      <c r="O13568" s="43">
        <v>4.2013393821559735</v>
      </c>
      <c r="P13568" s="412"/>
      <c r="Q13568" s="412"/>
      <c r="R13568" s="412">
        <v>6</v>
      </c>
    </row>
    <row r="13569" spans="1:18" ht="12.75" customHeight="1">
      <c r="A13569" s="628" t="s">
        <v>24529</v>
      </c>
      <c r="B13569" s="629"/>
      <c r="C13569" s="629"/>
      <c r="D13569" s="629"/>
      <c r="E13569" s="629"/>
      <c r="F13569" s="629"/>
      <c r="G13569" s="629"/>
      <c r="H13569" s="629"/>
      <c r="I13569" s="629"/>
      <c r="J13569" s="629"/>
      <c r="K13569" s="629"/>
      <c r="L13569" s="629"/>
      <c r="M13569" s="629"/>
      <c r="N13569" s="629"/>
      <c r="O13569" s="629"/>
      <c r="P13569" s="629"/>
      <c r="Q13569" s="629"/>
      <c r="R13569" s="629"/>
    </row>
    <row r="13570" spans="1:18" ht="36">
      <c r="A13570" s="408">
        <v>14</v>
      </c>
      <c r="B13570" s="405" t="s">
        <v>24530</v>
      </c>
      <c r="C13570" s="409" t="s">
        <v>24531</v>
      </c>
      <c r="D13570" s="410">
        <v>364.59</v>
      </c>
      <c r="E13570" s="410">
        <v>176.47</v>
      </c>
      <c r="F13570" s="410">
        <v>104.05</v>
      </c>
      <c r="G13570" s="410">
        <v>84.07</v>
      </c>
      <c r="H13570" s="411">
        <v>2971.3</v>
      </c>
      <c r="I13570" s="411">
        <v>2029.38</v>
      </c>
      <c r="J13570" s="411">
        <v>558.94000000000005</v>
      </c>
      <c r="K13570" s="411">
        <v>382.98</v>
      </c>
      <c r="L13570" s="43">
        <v>8.1497024054417295</v>
      </c>
      <c r="M13570" s="43">
        <v>11.499858332861111</v>
      </c>
      <c r="N13570" s="43">
        <v>5.3718404613166753</v>
      </c>
      <c r="O13570" s="43">
        <v>4.5554894730581665</v>
      </c>
      <c r="P13570" s="412"/>
      <c r="Q13570" s="412"/>
      <c r="R13570" s="412">
        <v>7</v>
      </c>
    </row>
    <row r="13571" spans="1:18" ht="24">
      <c r="A13571" s="408">
        <v>15</v>
      </c>
      <c r="B13571" s="405" t="s">
        <v>24532</v>
      </c>
      <c r="C13571" s="409" t="s">
        <v>24533</v>
      </c>
      <c r="D13571" s="410">
        <v>224</v>
      </c>
      <c r="E13571" s="410">
        <v>125.89</v>
      </c>
      <c r="F13571" s="410">
        <v>49.85</v>
      </c>
      <c r="G13571" s="410">
        <v>48.26</v>
      </c>
      <c r="H13571" s="411">
        <v>1925.5</v>
      </c>
      <c r="I13571" s="411">
        <v>1447.71</v>
      </c>
      <c r="J13571" s="411">
        <v>266.02999999999997</v>
      </c>
      <c r="K13571" s="411">
        <v>211.76</v>
      </c>
      <c r="L13571" s="43">
        <v>8.5959821428571423</v>
      </c>
      <c r="M13571" s="43">
        <v>11.499801413932799</v>
      </c>
      <c r="N13571" s="43">
        <v>5.3366098294884647</v>
      </c>
      <c r="O13571" s="43">
        <v>4.3878988810609201</v>
      </c>
      <c r="P13571" s="412"/>
      <c r="Q13571" s="412"/>
      <c r="R13571" s="412">
        <v>7</v>
      </c>
    </row>
    <row r="13572" spans="1:18" ht="24">
      <c r="A13572" s="408">
        <v>16</v>
      </c>
      <c r="B13572" s="405" t="s">
        <v>24534</v>
      </c>
      <c r="C13572" s="409" t="s">
        <v>24535</v>
      </c>
      <c r="D13572" s="410">
        <v>959.02</v>
      </c>
      <c r="E13572" s="410">
        <v>612.05999999999995</v>
      </c>
      <c r="F13572" s="410">
        <v>129.19999999999999</v>
      </c>
      <c r="G13572" s="410">
        <v>217.76</v>
      </c>
      <c r="H13572" s="411">
        <v>8626.4500000000007</v>
      </c>
      <c r="I13572" s="411">
        <v>7038.69</v>
      </c>
      <c r="J13572" s="411">
        <v>663.56</v>
      </c>
      <c r="K13572" s="411">
        <v>924.2</v>
      </c>
      <c r="L13572" s="43">
        <v>8.9950678817960004</v>
      </c>
      <c r="M13572" s="43">
        <v>11.5</v>
      </c>
      <c r="N13572" s="43">
        <v>5.1359133126934982</v>
      </c>
      <c r="O13572" s="43">
        <v>4.2441219691403385</v>
      </c>
      <c r="P13572" s="412"/>
      <c r="Q13572" s="412"/>
      <c r="R13572" s="412">
        <v>7</v>
      </c>
    </row>
    <row r="13573" spans="1:18" ht="12.75" customHeight="1">
      <c r="A13573" s="628" t="s">
        <v>24536</v>
      </c>
      <c r="B13573" s="629"/>
      <c r="C13573" s="629"/>
      <c r="D13573" s="629"/>
      <c r="E13573" s="629"/>
      <c r="F13573" s="629"/>
      <c r="G13573" s="629"/>
      <c r="H13573" s="629"/>
      <c r="I13573" s="629"/>
      <c r="J13573" s="629"/>
      <c r="K13573" s="629"/>
      <c r="L13573" s="629"/>
      <c r="M13573" s="629"/>
      <c r="N13573" s="629"/>
      <c r="O13573" s="629"/>
      <c r="P13573" s="629"/>
      <c r="Q13573" s="629"/>
      <c r="R13573" s="629"/>
    </row>
    <row r="13574" spans="1:18" ht="12.75" customHeight="1">
      <c r="A13574" s="628" t="s">
        <v>24537</v>
      </c>
      <c r="B13574" s="629"/>
      <c r="C13574" s="629"/>
      <c r="D13574" s="629"/>
      <c r="E13574" s="629"/>
      <c r="F13574" s="629"/>
      <c r="G13574" s="629"/>
      <c r="H13574" s="629"/>
      <c r="I13574" s="629"/>
      <c r="J13574" s="629"/>
      <c r="K13574" s="629"/>
      <c r="L13574" s="629"/>
      <c r="M13574" s="629"/>
      <c r="N13574" s="629"/>
      <c r="O13574" s="629"/>
      <c r="P13574" s="629"/>
      <c r="Q13574" s="629"/>
      <c r="R13574" s="629"/>
    </row>
    <row r="13575" spans="1:18" ht="24">
      <c r="A13575" s="408">
        <v>17</v>
      </c>
      <c r="B13575" s="405" t="s">
        <v>24538</v>
      </c>
      <c r="C13575" s="409" t="s">
        <v>24539</v>
      </c>
      <c r="D13575" s="410">
        <v>525.59</v>
      </c>
      <c r="E13575" s="410">
        <v>406.99</v>
      </c>
      <c r="F13575" s="410">
        <v>52.07</v>
      </c>
      <c r="G13575" s="410">
        <v>66.53</v>
      </c>
      <c r="H13575" s="411">
        <v>5271.89</v>
      </c>
      <c r="I13575" s="411">
        <v>4680.54</v>
      </c>
      <c r="J13575" s="411">
        <v>276.76</v>
      </c>
      <c r="K13575" s="411">
        <v>314.58999999999997</v>
      </c>
      <c r="L13575" s="43">
        <v>10.030422953252534</v>
      </c>
      <c r="M13575" s="43">
        <v>11.500380844738199</v>
      </c>
      <c r="N13575" s="43">
        <v>5.3151526790858457</v>
      </c>
      <c r="O13575" s="43">
        <v>4.7285435142041177</v>
      </c>
      <c r="P13575" s="412"/>
      <c r="Q13575" s="412"/>
      <c r="R13575" s="412">
        <v>1</v>
      </c>
    </row>
    <row r="13576" spans="1:18" ht="12.75" customHeight="1">
      <c r="A13576" s="628" t="s">
        <v>24540</v>
      </c>
      <c r="B13576" s="629"/>
      <c r="C13576" s="629"/>
      <c r="D13576" s="629"/>
      <c r="E13576" s="629"/>
      <c r="F13576" s="629"/>
      <c r="G13576" s="629"/>
      <c r="H13576" s="629"/>
      <c r="I13576" s="629"/>
      <c r="J13576" s="629"/>
      <c r="K13576" s="629"/>
      <c r="L13576" s="629"/>
      <c r="M13576" s="629"/>
      <c r="N13576" s="629"/>
      <c r="O13576" s="629"/>
      <c r="P13576" s="629"/>
      <c r="Q13576" s="629"/>
      <c r="R13576" s="629"/>
    </row>
    <row r="13577" spans="1:18" ht="24">
      <c r="A13577" s="408">
        <v>18</v>
      </c>
      <c r="B13577" s="405" t="s">
        <v>24541</v>
      </c>
      <c r="C13577" s="409" t="s">
        <v>24542</v>
      </c>
      <c r="D13577" s="410">
        <v>667.37</v>
      </c>
      <c r="E13577" s="410">
        <v>402.16</v>
      </c>
      <c r="F13577" s="410">
        <v>127.06</v>
      </c>
      <c r="G13577" s="410">
        <v>138.15</v>
      </c>
      <c r="H13577" s="411">
        <v>5859.31</v>
      </c>
      <c r="I13577" s="411">
        <v>4624.8900000000003</v>
      </c>
      <c r="J13577" s="411">
        <v>655.9</v>
      </c>
      <c r="K13577" s="411">
        <v>578.52</v>
      </c>
      <c r="L13577" s="43">
        <v>8.7797024139532791</v>
      </c>
      <c r="M13577" s="43">
        <v>11.500124328625423</v>
      </c>
      <c r="N13577" s="43">
        <v>5.1621281284432552</v>
      </c>
      <c r="O13577" s="43">
        <v>4.1876221498371331</v>
      </c>
      <c r="P13577" s="412"/>
      <c r="Q13577" s="412"/>
      <c r="R13577" s="412">
        <v>2</v>
      </c>
    </row>
    <row r="13578" spans="1:18" ht="36">
      <c r="A13578" s="408">
        <v>19</v>
      </c>
      <c r="B13578" s="405" t="s">
        <v>24543</v>
      </c>
      <c r="C13578" s="409" t="s">
        <v>24544</v>
      </c>
      <c r="D13578" s="410">
        <v>188.83</v>
      </c>
      <c r="E13578" s="410">
        <v>106.86</v>
      </c>
      <c r="F13578" s="410">
        <v>36.44</v>
      </c>
      <c r="G13578" s="410">
        <v>45.53</v>
      </c>
      <c r="H13578" s="411">
        <v>1609.04</v>
      </c>
      <c r="I13578" s="411">
        <v>1228.8699999999999</v>
      </c>
      <c r="J13578" s="411">
        <v>193.34</v>
      </c>
      <c r="K13578" s="411">
        <v>186.83</v>
      </c>
      <c r="L13578" s="43">
        <v>8.5211036381930825</v>
      </c>
      <c r="M13578" s="43">
        <v>11.499812839228897</v>
      </c>
      <c r="N13578" s="43">
        <v>5.3057080131723389</v>
      </c>
      <c r="O13578" s="43">
        <v>4.1034482758620694</v>
      </c>
      <c r="P13578" s="412"/>
      <c r="Q13578" s="412"/>
      <c r="R13578" s="412">
        <v>2</v>
      </c>
    </row>
    <row r="13579" spans="1:18" ht="24">
      <c r="A13579" s="408">
        <v>20</v>
      </c>
      <c r="B13579" s="405" t="s">
        <v>24545</v>
      </c>
      <c r="C13579" s="409" t="s">
        <v>24546</v>
      </c>
      <c r="D13579" s="410">
        <v>338.9</v>
      </c>
      <c r="E13579" s="410">
        <v>212.01</v>
      </c>
      <c r="F13579" s="410">
        <v>50.58</v>
      </c>
      <c r="G13579" s="410">
        <v>76.31</v>
      </c>
      <c r="H13579" s="411">
        <v>3025.51</v>
      </c>
      <c r="I13579" s="411">
        <v>2438.12</v>
      </c>
      <c r="J13579" s="411">
        <v>270.45</v>
      </c>
      <c r="K13579" s="411">
        <v>316.94</v>
      </c>
      <c r="L13579" s="43">
        <v>8.9274417232221914</v>
      </c>
      <c r="M13579" s="43">
        <v>11.500023583793217</v>
      </c>
      <c r="N13579" s="43">
        <v>5.3469750889679712</v>
      </c>
      <c r="O13579" s="43">
        <v>4.1533219761499147</v>
      </c>
      <c r="P13579" s="412"/>
      <c r="Q13579" s="412"/>
      <c r="R13579" s="412">
        <v>2</v>
      </c>
    </row>
    <row r="13580" spans="1:18" ht="12.75" customHeight="1">
      <c r="A13580" s="628" t="s">
        <v>24547</v>
      </c>
      <c r="B13580" s="629"/>
      <c r="C13580" s="629"/>
      <c r="D13580" s="629"/>
      <c r="E13580" s="629"/>
      <c r="F13580" s="629"/>
      <c r="G13580" s="629"/>
      <c r="H13580" s="629"/>
      <c r="I13580" s="629"/>
      <c r="J13580" s="629"/>
      <c r="K13580" s="629"/>
      <c r="L13580" s="629"/>
      <c r="M13580" s="629"/>
      <c r="N13580" s="629"/>
      <c r="O13580" s="629"/>
      <c r="P13580" s="629"/>
      <c r="Q13580" s="629"/>
      <c r="R13580" s="629"/>
    </row>
    <row r="13581" spans="1:18" ht="24">
      <c r="A13581" s="408">
        <v>21</v>
      </c>
      <c r="B13581" s="405" t="s">
        <v>24548</v>
      </c>
      <c r="C13581" s="409" t="s">
        <v>24549</v>
      </c>
      <c r="D13581" s="410">
        <v>348.14</v>
      </c>
      <c r="E13581" s="410">
        <v>257.23</v>
      </c>
      <c r="F13581" s="410">
        <v>38.979999999999997</v>
      </c>
      <c r="G13581" s="410">
        <v>51.93</v>
      </c>
      <c r="H13581" s="411">
        <v>3408.58</v>
      </c>
      <c r="I13581" s="411">
        <v>2958.12</v>
      </c>
      <c r="J13581" s="411">
        <v>208.32</v>
      </c>
      <c r="K13581" s="411">
        <v>242.14</v>
      </c>
      <c r="L13581" s="43">
        <v>9.7908312747745168</v>
      </c>
      <c r="M13581" s="43">
        <v>11.499902810714145</v>
      </c>
      <c r="N13581" s="43">
        <v>5.3442791174961517</v>
      </c>
      <c r="O13581" s="43">
        <v>4.6628153283265936</v>
      </c>
      <c r="P13581" s="412"/>
      <c r="Q13581" s="412"/>
      <c r="R13581" s="412">
        <v>3</v>
      </c>
    </row>
    <row r="13582" spans="1:18" ht="24">
      <c r="A13582" s="408">
        <v>22</v>
      </c>
      <c r="B13582" s="405" t="s">
        <v>24550</v>
      </c>
      <c r="C13582" s="409" t="s">
        <v>24551</v>
      </c>
      <c r="D13582" s="410">
        <v>184.24</v>
      </c>
      <c r="E13582" s="410">
        <v>98.51</v>
      </c>
      <c r="F13582" s="410">
        <v>38.24</v>
      </c>
      <c r="G13582" s="410">
        <v>47.49</v>
      </c>
      <c r="H13582" s="411">
        <v>1530.75</v>
      </c>
      <c r="I13582" s="411">
        <v>1132.92</v>
      </c>
      <c r="J13582" s="411">
        <v>203.29</v>
      </c>
      <c r="K13582" s="411">
        <v>194.54</v>
      </c>
      <c r="L13582" s="43">
        <v>8.3084563612679112</v>
      </c>
      <c r="M13582" s="43">
        <v>11.500558318952391</v>
      </c>
      <c r="N13582" s="43">
        <v>5.3161610878661083</v>
      </c>
      <c r="O13582" s="43">
        <v>4.0964413560749628</v>
      </c>
      <c r="P13582" s="412"/>
      <c r="Q13582" s="412"/>
      <c r="R13582" s="412">
        <v>3</v>
      </c>
    </row>
    <row r="13583" spans="1:18" ht="24">
      <c r="A13583" s="408">
        <v>23</v>
      </c>
      <c r="B13583" s="405" t="s">
        <v>24552</v>
      </c>
      <c r="C13583" s="409" t="s">
        <v>24553</v>
      </c>
      <c r="D13583" s="410">
        <v>202.16</v>
      </c>
      <c r="E13583" s="410">
        <v>149.85</v>
      </c>
      <c r="F13583" s="410">
        <v>15.64</v>
      </c>
      <c r="G13583" s="410">
        <v>36.67</v>
      </c>
      <c r="H13583" s="411">
        <v>1972.22</v>
      </c>
      <c r="I13583" s="411">
        <v>1723.28</v>
      </c>
      <c r="J13583" s="411">
        <v>82.61</v>
      </c>
      <c r="K13583" s="411">
        <v>166.33</v>
      </c>
      <c r="L13583" s="43">
        <v>9.7557380292837355</v>
      </c>
      <c r="M13583" s="43">
        <v>11.500033366700034</v>
      </c>
      <c r="N13583" s="43">
        <v>5.281969309462915</v>
      </c>
      <c r="O13583" s="43">
        <v>4.535860376329425</v>
      </c>
      <c r="P13583" s="412"/>
      <c r="Q13583" s="412"/>
      <c r="R13583" s="412">
        <v>3</v>
      </c>
    </row>
    <row r="13584" spans="1:18" ht="24">
      <c r="A13584" s="408">
        <v>24</v>
      </c>
      <c r="B13584" s="405" t="s">
        <v>24554</v>
      </c>
      <c r="C13584" s="409" t="s">
        <v>24555</v>
      </c>
      <c r="D13584" s="410">
        <v>308.01</v>
      </c>
      <c r="E13584" s="410">
        <v>204.56</v>
      </c>
      <c r="F13584" s="410">
        <v>45.11</v>
      </c>
      <c r="G13584" s="410">
        <v>58.34</v>
      </c>
      <c r="H13584" s="411">
        <v>2857.84</v>
      </c>
      <c r="I13584" s="411">
        <v>2352.5500000000002</v>
      </c>
      <c r="J13584" s="411">
        <v>241.1</v>
      </c>
      <c r="K13584" s="411">
        <v>264.19</v>
      </c>
      <c r="L13584" s="43">
        <v>9.2784000519463667</v>
      </c>
      <c r="M13584" s="43">
        <v>11.500537739538522</v>
      </c>
      <c r="N13584" s="43">
        <v>5.3447129239636446</v>
      </c>
      <c r="O13584" s="43">
        <v>4.5284538909838874</v>
      </c>
      <c r="P13584" s="412"/>
      <c r="Q13584" s="412"/>
      <c r="R13584" s="412">
        <v>3</v>
      </c>
    </row>
    <row r="13585" spans="1:18" ht="24">
      <c r="A13585" s="408">
        <v>25</v>
      </c>
      <c r="B13585" s="405" t="s">
        <v>24556</v>
      </c>
      <c r="C13585" s="409" t="s">
        <v>24557</v>
      </c>
      <c r="D13585" s="410">
        <v>299.70999999999998</v>
      </c>
      <c r="E13585" s="410">
        <v>204.48</v>
      </c>
      <c r="F13585" s="410">
        <v>44.37</v>
      </c>
      <c r="G13585" s="410">
        <v>50.86</v>
      </c>
      <c r="H13585" s="411">
        <v>2818.74</v>
      </c>
      <c r="I13585" s="411">
        <v>2351.52</v>
      </c>
      <c r="J13585" s="411">
        <v>237.27</v>
      </c>
      <c r="K13585" s="411">
        <v>229.95</v>
      </c>
      <c r="L13585" s="43">
        <v>9.4048913950151807</v>
      </c>
      <c r="M13585" s="43">
        <v>11.5</v>
      </c>
      <c r="N13585" s="43">
        <v>5.3475321162947944</v>
      </c>
      <c r="O13585" s="43">
        <v>4.5212347620920168</v>
      </c>
      <c r="P13585" s="412"/>
      <c r="Q13585" s="412"/>
      <c r="R13585" s="412">
        <v>3</v>
      </c>
    </row>
    <row r="13586" spans="1:18" ht="36">
      <c r="A13586" s="408">
        <v>26</v>
      </c>
      <c r="B13586" s="405" t="s">
        <v>24558</v>
      </c>
      <c r="C13586" s="409" t="s">
        <v>24559</v>
      </c>
      <c r="D13586" s="410">
        <v>192.85</v>
      </c>
      <c r="E13586" s="410">
        <v>121.41</v>
      </c>
      <c r="F13586" s="410">
        <v>38.65</v>
      </c>
      <c r="G13586" s="410">
        <v>32.79</v>
      </c>
      <c r="H13586" s="411">
        <v>1749.83</v>
      </c>
      <c r="I13586" s="411">
        <v>1396.19</v>
      </c>
      <c r="J13586" s="411">
        <v>205.01</v>
      </c>
      <c r="K13586" s="411">
        <v>148.63</v>
      </c>
      <c r="L13586" s="43">
        <v>9.07352864920923</v>
      </c>
      <c r="M13586" s="43">
        <v>11.499794086154354</v>
      </c>
      <c r="N13586" s="43">
        <v>5.3042690815006468</v>
      </c>
      <c r="O13586" s="43">
        <v>4.5327843854833789</v>
      </c>
      <c r="P13586" s="412"/>
      <c r="Q13586" s="412"/>
      <c r="R13586" s="412">
        <v>3</v>
      </c>
    </row>
    <row r="13587" spans="1:18" ht="12.75" customHeight="1">
      <c r="A13587" s="628" t="s">
        <v>24560</v>
      </c>
      <c r="B13587" s="629"/>
      <c r="C13587" s="629"/>
      <c r="D13587" s="629"/>
      <c r="E13587" s="629"/>
      <c r="F13587" s="629"/>
      <c r="G13587" s="629"/>
      <c r="H13587" s="629"/>
      <c r="I13587" s="629"/>
      <c r="J13587" s="629"/>
      <c r="K13587" s="629"/>
      <c r="L13587" s="629"/>
      <c r="M13587" s="629"/>
      <c r="N13587" s="629"/>
      <c r="O13587" s="629"/>
      <c r="P13587" s="629"/>
      <c r="Q13587" s="629"/>
      <c r="R13587" s="629"/>
    </row>
    <row r="13588" spans="1:18" ht="36">
      <c r="A13588" s="408">
        <v>27</v>
      </c>
      <c r="B13588" s="405" t="s">
        <v>24561</v>
      </c>
      <c r="C13588" s="409" t="s">
        <v>24562</v>
      </c>
      <c r="D13588" s="410">
        <v>504.04</v>
      </c>
      <c r="E13588" s="410">
        <v>300.95</v>
      </c>
      <c r="F13588" s="410">
        <v>122.24</v>
      </c>
      <c r="G13588" s="410">
        <v>80.849999999999994</v>
      </c>
      <c r="H13588" s="411">
        <v>4474.68</v>
      </c>
      <c r="I13588" s="411">
        <v>3461.08</v>
      </c>
      <c r="J13588" s="411">
        <v>652.04999999999995</v>
      </c>
      <c r="K13588" s="411">
        <v>361.55</v>
      </c>
      <c r="L13588" s="43">
        <v>8.8776287596222527</v>
      </c>
      <c r="M13588" s="43">
        <v>11.50051503572022</v>
      </c>
      <c r="N13588" s="43">
        <v>5.334178664921466</v>
      </c>
      <c r="O13588" s="43">
        <v>4.4718614718614722</v>
      </c>
      <c r="P13588" s="412"/>
      <c r="Q13588" s="412"/>
      <c r="R13588" s="412">
        <v>4</v>
      </c>
    </row>
    <row r="13589" spans="1:18" ht="12.75" customHeight="1">
      <c r="A13589" s="628" t="s">
        <v>24563</v>
      </c>
      <c r="B13589" s="629"/>
      <c r="C13589" s="629"/>
      <c r="D13589" s="629"/>
      <c r="E13589" s="629"/>
      <c r="F13589" s="629"/>
      <c r="G13589" s="629"/>
      <c r="H13589" s="629"/>
      <c r="I13589" s="629"/>
      <c r="J13589" s="629"/>
      <c r="K13589" s="629"/>
      <c r="L13589" s="629"/>
      <c r="M13589" s="629"/>
      <c r="N13589" s="629"/>
      <c r="O13589" s="629"/>
      <c r="P13589" s="629"/>
      <c r="Q13589" s="629"/>
      <c r="R13589" s="629"/>
    </row>
    <row r="13590" spans="1:18" ht="24">
      <c r="A13590" s="408">
        <v>28</v>
      </c>
      <c r="B13590" s="405" t="s">
        <v>24564</v>
      </c>
      <c r="C13590" s="409" t="s">
        <v>24565</v>
      </c>
      <c r="D13590" s="410">
        <v>348.85</v>
      </c>
      <c r="E13590" s="410">
        <v>193.03</v>
      </c>
      <c r="F13590" s="410">
        <v>92.56</v>
      </c>
      <c r="G13590" s="410">
        <v>63.26</v>
      </c>
      <c r="H13590" s="411">
        <v>2990.6</v>
      </c>
      <c r="I13590" s="411">
        <v>2219.9499999999998</v>
      </c>
      <c r="J13590" s="411">
        <v>496.46</v>
      </c>
      <c r="K13590" s="411">
        <v>274.19</v>
      </c>
      <c r="L13590" s="43">
        <v>8.5727389995700154</v>
      </c>
      <c r="M13590" s="43">
        <v>11.500543956897891</v>
      </c>
      <c r="N13590" s="43">
        <v>5.3636560069144332</v>
      </c>
      <c r="O13590" s="43">
        <v>4.3343344925703446</v>
      </c>
      <c r="P13590" s="412"/>
      <c r="Q13590" s="412"/>
      <c r="R13590" s="412">
        <v>5</v>
      </c>
    </row>
    <row r="13591" spans="1:18" ht="12.75" customHeight="1">
      <c r="A13591" s="628" t="s">
        <v>24566</v>
      </c>
      <c r="B13591" s="629"/>
      <c r="C13591" s="629"/>
      <c r="D13591" s="629"/>
      <c r="E13591" s="629"/>
      <c r="F13591" s="629"/>
      <c r="G13591" s="629"/>
      <c r="H13591" s="629"/>
      <c r="I13591" s="629"/>
      <c r="J13591" s="629"/>
      <c r="K13591" s="629"/>
      <c r="L13591" s="629"/>
      <c r="M13591" s="629"/>
      <c r="N13591" s="629"/>
      <c r="O13591" s="629"/>
      <c r="P13591" s="629"/>
      <c r="Q13591" s="629"/>
      <c r="R13591" s="629"/>
    </row>
    <row r="13592" spans="1:18" ht="24">
      <c r="A13592" s="408">
        <v>29</v>
      </c>
      <c r="B13592" s="405" t="s">
        <v>24567</v>
      </c>
      <c r="C13592" s="409" t="s">
        <v>24568</v>
      </c>
      <c r="D13592" s="410">
        <v>2023.49</v>
      </c>
      <c r="E13592" s="410">
        <v>809.88</v>
      </c>
      <c r="F13592" s="410">
        <v>895.52</v>
      </c>
      <c r="G13592" s="410">
        <v>318.08999999999997</v>
      </c>
      <c r="H13592" s="411">
        <v>15366.21</v>
      </c>
      <c r="I13592" s="411">
        <v>9313.9500000000007</v>
      </c>
      <c r="J13592" s="411">
        <v>4746.82</v>
      </c>
      <c r="K13592" s="411">
        <v>1305.44</v>
      </c>
      <c r="L13592" s="43">
        <v>7.5939144744970317</v>
      </c>
      <c r="M13592" s="43">
        <v>11.500407467773003</v>
      </c>
      <c r="N13592" s="43">
        <v>5.3006298016794711</v>
      </c>
      <c r="O13592" s="43">
        <v>4.1039957244804937</v>
      </c>
      <c r="P13592" s="412"/>
      <c r="Q13592" s="412"/>
      <c r="R13592" s="412">
        <v>6</v>
      </c>
    </row>
    <row r="13593" spans="1:18" ht="12.75" customHeight="1">
      <c r="A13593" s="628" t="s">
        <v>24569</v>
      </c>
      <c r="B13593" s="629"/>
      <c r="C13593" s="629"/>
      <c r="D13593" s="629"/>
      <c r="E13593" s="629"/>
      <c r="F13593" s="629"/>
      <c r="G13593" s="629"/>
      <c r="H13593" s="629"/>
      <c r="I13593" s="629"/>
      <c r="J13593" s="629"/>
      <c r="K13593" s="629"/>
      <c r="L13593" s="629"/>
      <c r="M13593" s="629"/>
      <c r="N13593" s="629"/>
      <c r="O13593" s="629"/>
      <c r="P13593" s="629"/>
      <c r="Q13593" s="629"/>
      <c r="R13593" s="629"/>
    </row>
    <row r="13594" spans="1:18" ht="12.75" customHeight="1">
      <c r="A13594" s="628" t="s">
        <v>24570</v>
      </c>
      <c r="B13594" s="629"/>
      <c r="C13594" s="629"/>
      <c r="D13594" s="629"/>
      <c r="E13594" s="629"/>
      <c r="F13594" s="629"/>
      <c r="G13594" s="629"/>
      <c r="H13594" s="629"/>
      <c r="I13594" s="629"/>
      <c r="J13594" s="629"/>
      <c r="K13594" s="629"/>
      <c r="L13594" s="629"/>
      <c r="M13594" s="629"/>
      <c r="N13594" s="629"/>
      <c r="O13594" s="629"/>
      <c r="P13594" s="629"/>
      <c r="Q13594" s="629"/>
      <c r="R13594" s="629"/>
    </row>
    <row r="13595" spans="1:18" ht="24">
      <c r="A13595" s="408">
        <v>30</v>
      </c>
      <c r="B13595" s="405" t="s">
        <v>24571</v>
      </c>
      <c r="C13595" s="409" t="s">
        <v>24572</v>
      </c>
      <c r="D13595" s="410">
        <v>128.97999999999999</v>
      </c>
      <c r="E13595" s="410">
        <v>81.12</v>
      </c>
      <c r="F13595" s="410">
        <v>41.25</v>
      </c>
      <c r="G13595" s="410">
        <v>6.61</v>
      </c>
      <c r="H13595" s="411">
        <v>1196.45</v>
      </c>
      <c r="I13595" s="411">
        <v>932.82</v>
      </c>
      <c r="J13595" s="411">
        <v>219.13</v>
      </c>
      <c r="K13595" s="411">
        <v>44.5</v>
      </c>
      <c r="L13595" s="43">
        <v>9.2762443789734856</v>
      </c>
      <c r="M13595" s="43">
        <v>11.499260355029586</v>
      </c>
      <c r="N13595" s="43">
        <v>5.3122424242424238</v>
      </c>
      <c r="O13595" s="43">
        <v>6.7322239031770046</v>
      </c>
      <c r="P13595" s="412"/>
      <c r="Q13595" s="412"/>
      <c r="R13595" s="412">
        <v>1</v>
      </c>
    </row>
    <row r="13596" spans="1:18" ht="12.75" customHeight="1">
      <c r="A13596" s="628" t="s">
        <v>24573</v>
      </c>
      <c r="B13596" s="629"/>
      <c r="C13596" s="629"/>
      <c r="D13596" s="629"/>
      <c r="E13596" s="629"/>
      <c r="F13596" s="629"/>
      <c r="G13596" s="629"/>
      <c r="H13596" s="629"/>
      <c r="I13596" s="629"/>
      <c r="J13596" s="629"/>
      <c r="K13596" s="629"/>
      <c r="L13596" s="629"/>
      <c r="M13596" s="629"/>
      <c r="N13596" s="629"/>
      <c r="O13596" s="629"/>
      <c r="P13596" s="629"/>
      <c r="Q13596" s="629"/>
      <c r="R13596" s="629"/>
    </row>
    <row r="13597" spans="1:18" ht="12.75" customHeight="1">
      <c r="A13597" s="628" t="s">
        <v>24574</v>
      </c>
      <c r="B13597" s="629"/>
      <c r="C13597" s="629"/>
      <c r="D13597" s="629"/>
      <c r="E13597" s="629"/>
      <c r="F13597" s="629"/>
      <c r="G13597" s="629"/>
      <c r="H13597" s="629"/>
      <c r="I13597" s="629"/>
      <c r="J13597" s="629"/>
      <c r="K13597" s="629"/>
      <c r="L13597" s="629"/>
      <c r="M13597" s="629"/>
      <c r="N13597" s="629"/>
      <c r="O13597" s="629"/>
      <c r="P13597" s="629"/>
      <c r="Q13597" s="629"/>
      <c r="R13597" s="629"/>
    </row>
    <row r="13598" spans="1:18" ht="24">
      <c r="A13598" s="408">
        <v>31</v>
      </c>
      <c r="B13598" s="405" t="s">
        <v>24575</v>
      </c>
      <c r="C13598" s="409" t="s">
        <v>24576</v>
      </c>
      <c r="D13598" s="410">
        <v>456</v>
      </c>
      <c r="E13598" s="410">
        <v>340.57</v>
      </c>
      <c r="F13598" s="410">
        <v>48.25</v>
      </c>
      <c r="G13598" s="410">
        <v>67.180000000000007</v>
      </c>
      <c r="H13598" s="411">
        <v>4490.7299999999996</v>
      </c>
      <c r="I13598" s="411">
        <v>3916.58</v>
      </c>
      <c r="J13598" s="411">
        <v>257.51</v>
      </c>
      <c r="K13598" s="411">
        <v>316.64</v>
      </c>
      <c r="L13598" s="43">
        <v>9.8480921052631576</v>
      </c>
      <c r="M13598" s="43">
        <v>11.50007340634818</v>
      </c>
      <c r="N13598" s="43">
        <v>5.3369948186528493</v>
      </c>
      <c r="O13598" s="43">
        <v>4.7133075320035722</v>
      </c>
      <c r="P13598" s="412"/>
      <c r="Q13598" s="412"/>
      <c r="R13598" s="412">
        <v>1</v>
      </c>
    </row>
    <row r="13599" spans="1:18" ht="24">
      <c r="A13599" s="408">
        <v>32</v>
      </c>
      <c r="B13599" s="405" t="s">
        <v>24577</v>
      </c>
      <c r="C13599" s="409" t="s">
        <v>24578</v>
      </c>
      <c r="D13599" s="410">
        <v>577.58000000000004</v>
      </c>
      <c r="E13599" s="410">
        <v>365.31</v>
      </c>
      <c r="F13599" s="410">
        <v>115.76</v>
      </c>
      <c r="G13599" s="410">
        <v>96.51</v>
      </c>
      <c r="H13599" s="411">
        <v>5248.07</v>
      </c>
      <c r="I13599" s="411">
        <v>4201.04</v>
      </c>
      <c r="J13599" s="411">
        <v>617.37</v>
      </c>
      <c r="K13599" s="411">
        <v>429.66</v>
      </c>
      <c r="L13599" s="43">
        <v>9.086308390179715</v>
      </c>
      <c r="M13599" s="43">
        <v>11.499931564972215</v>
      </c>
      <c r="N13599" s="43">
        <v>5.333189357290947</v>
      </c>
      <c r="O13599" s="43">
        <v>4.4519738887161955</v>
      </c>
      <c r="P13599" s="412"/>
      <c r="Q13599" s="412"/>
      <c r="R13599" s="412">
        <v>1</v>
      </c>
    </row>
    <row r="13600" spans="1:18" ht="24">
      <c r="A13600" s="408">
        <v>33</v>
      </c>
      <c r="B13600" s="405" t="s">
        <v>24579</v>
      </c>
      <c r="C13600" s="409" t="s">
        <v>24580</v>
      </c>
      <c r="D13600" s="410">
        <v>739.88</v>
      </c>
      <c r="E13600" s="410">
        <v>424.02</v>
      </c>
      <c r="F13600" s="410">
        <v>170.4</v>
      </c>
      <c r="G13600" s="410">
        <v>145.46</v>
      </c>
      <c r="H13600" s="411">
        <v>6431.2</v>
      </c>
      <c r="I13600" s="411">
        <v>4876.2299999999996</v>
      </c>
      <c r="J13600" s="411">
        <v>911.2</v>
      </c>
      <c r="K13600" s="411">
        <v>643.77</v>
      </c>
      <c r="L13600" s="43">
        <v>8.6922203600583874</v>
      </c>
      <c r="M13600" s="43">
        <v>11.5</v>
      </c>
      <c r="N13600" s="43">
        <v>5.347417840375587</v>
      </c>
      <c r="O13600" s="43">
        <v>4.425752784270589</v>
      </c>
      <c r="P13600" s="412"/>
      <c r="Q13600" s="412"/>
      <c r="R13600" s="412">
        <v>1</v>
      </c>
    </row>
    <row r="13601" spans="1:18" ht="24">
      <c r="A13601" s="408">
        <v>34</v>
      </c>
      <c r="B13601" s="405" t="s">
        <v>24581</v>
      </c>
      <c r="C13601" s="409" t="s">
        <v>24582</v>
      </c>
      <c r="D13601" s="410">
        <v>1246.46</v>
      </c>
      <c r="E13601" s="410">
        <v>633.05999999999995</v>
      </c>
      <c r="F13601" s="410">
        <v>367.31</v>
      </c>
      <c r="G13601" s="410">
        <v>246.09</v>
      </c>
      <c r="H13601" s="411">
        <v>10410.33</v>
      </c>
      <c r="I13601" s="411">
        <v>7280.14</v>
      </c>
      <c r="J13601" s="411">
        <v>1956.5</v>
      </c>
      <c r="K13601" s="411">
        <v>1173.69</v>
      </c>
      <c r="L13601" s="43">
        <v>8.3519166278901853</v>
      </c>
      <c r="M13601" s="43">
        <v>11.499921018544848</v>
      </c>
      <c r="N13601" s="43">
        <v>5.3265633933189944</v>
      </c>
      <c r="O13601" s="43">
        <v>4.7693526758502989</v>
      </c>
      <c r="P13601" s="412"/>
      <c r="Q13601" s="412"/>
      <c r="R13601" s="412">
        <v>1</v>
      </c>
    </row>
    <row r="13602" spans="1:18" ht="12.75" customHeight="1">
      <c r="A13602" s="628" t="s">
        <v>24583</v>
      </c>
      <c r="B13602" s="629"/>
      <c r="C13602" s="629"/>
      <c r="D13602" s="629"/>
      <c r="E13602" s="629"/>
      <c r="F13602" s="629"/>
      <c r="G13602" s="629"/>
      <c r="H13602" s="629"/>
      <c r="I13602" s="629"/>
      <c r="J13602" s="629"/>
      <c r="K13602" s="629"/>
      <c r="L13602" s="629"/>
      <c r="M13602" s="629"/>
      <c r="N13602" s="629"/>
      <c r="O13602" s="629"/>
      <c r="P13602" s="629"/>
      <c r="Q13602" s="629"/>
      <c r="R13602" s="629"/>
    </row>
    <row r="13603" spans="1:18" ht="24">
      <c r="A13603" s="408">
        <v>35</v>
      </c>
      <c r="B13603" s="405" t="s">
        <v>24584</v>
      </c>
      <c r="C13603" s="409" t="s">
        <v>24585</v>
      </c>
      <c r="D13603" s="410">
        <v>75.44</v>
      </c>
      <c r="E13603" s="410">
        <v>46.34</v>
      </c>
      <c r="F13603" s="410">
        <v>28.17</v>
      </c>
      <c r="G13603" s="410">
        <v>0.93</v>
      </c>
      <c r="H13603" s="411">
        <v>695.58</v>
      </c>
      <c r="I13603" s="411">
        <v>532.87</v>
      </c>
      <c r="J13603" s="411">
        <v>152.01</v>
      </c>
      <c r="K13603" s="411">
        <v>10.7</v>
      </c>
      <c r="L13603" s="43">
        <v>9.2203075291622483</v>
      </c>
      <c r="M13603" s="43">
        <v>11.499136814846784</v>
      </c>
      <c r="N13603" s="43">
        <v>5.3961661341853029</v>
      </c>
      <c r="O13603" s="43">
        <v>11.500158277936057</v>
      </c>
      <c r="P13603" s="412"/>
      <c r="Q13603" s="412"/>
      <c r="R13603" s="412">
        <v>2</v>
      </c>
    </row>
    <row r="13604" spans="1:18" ht="12.75" customHeight="1">
      <c r="A13604" s="628" t="s">
        <v>24586</v>
      </c>
      <c r="B13604" s="629"/>
      <c r="C13604" s="629"/>
      <c r="D13604" s="629"/>
      <c r="E13604" s="629"/>
      <c r="F13604" s="629"/>
      <c r="G13604" s="629"/>
      <c r="H13604" s="629"/>
      <c r="I13604" s="629"/>
      <c r="J13604" s="629"/>
      <c r="K13604" s="629"/>
      <c r="L13604" s="629"/>
      <c r="M13604" s="629"/>
      <c r="N13604" s="629"/>
      <c r="O13604" s="629"/>
      <c r="P13604" s="629"/>
      <c r="Q13604" s="629"/>
      <c r="R13604" s="629"/>
    </row>
    <row r="13605" spans="1:18" ht="24">
      <c r="A13605" s="408">
        <v>36</v>
      </c>
      <c r="B13605" s="405" t="s">
        <v>24587</v>
      </c>
      <c r="C13605" s="409" t="s">
        <v>24588</v>
      </c>
      <c r="D13605" s="410">
        <v>4360.3500000000004</v>
      </c>
      <c r="E13605" s="410">
        <v>2291.94</v>
      </c>
      <c r="F13605" s="410">
        <v>1452.7</v>
      </c>
      <c r="G13605" s="410">
        <v>615.71</v>
      </c>
      <c r="H13605" s="411">
        <v>36731.71</v>
      </c>
      <c r="I13605" s="411">
        <v>26358.38</v>
      </c>
      <c r="J13605" s="411">
        <v>7686.97</v>
      </c>
      <c r="K13605" s="411">
        <v>2686.36</v>
      </c>
      <c r="L13605" s="43">
        <v>8.4240278876695669</v>
      </c>
      <c r="M13605" s="43">
        <v>11.50046685340803</v>
      </c>
      <c r="N13605" s="43">
        <v>5.2915054725683213</v>
      </c>
      <c r="O13605" s="43">
        <v>4.3630280489191335</v>
      </c>
      <c r="P13605" s="412"/>
      <c r="Q13605" s="412"/>
      <c r="R13605" s="412">
        <v>3</v>
      </c>
    </row>
    <row r="13606" spans="1:18" ht="48">
      <c r="A13606" s="408">
        <v>37</v>
      </c>
      <c r="B13606" s="405" t="s">
        <v>24589</v>
      </c>
      <c r="C13606" s="409" t="s">
        <v>24590</v>
      </c>
      <c r="D13606" s="410">
        <v>704.66</v>
      </c>
      <c r="E13606" s="410">
        <v>419.05</v>
      </c>
      <c r="F13606" s="410">
        <v>185.41</v>
      </c>
      <c r="G13606" s="410">
        <v>100.2</v>
      </c>
      <c r="H13606" s="411">
        <v>6221.63</v>
      </c>
      <c r="I13606" s="411">
        <v>4819.3100000000004</v>
      </c>
      <c r="J13606" s="411">
        <v>937.41</v>
      </c>
      <c r="K13606" s="411">
        <v>464.91</v>
      </c>
      <c r="L13606" s="43">
        <v>8.8292651775324273</v>
      </c>
      <c r="M13606" s="43">
        <v>11.500560792268226</v>
      </c>
      <c r="N13606" s="43">
        <v>5.0558761663340706</v>
      </c>
      <c r="O13606" s="43">
        <v>4.6398203592814369</v>
      </c>
      <c r="P13606" s="412"/>
      <c r="Q13606" s="412"/>
      <c r="R13606" s="412">
        <v>3</v>
      </c>
    </row>
    <row r="13607" spans="1:18" ht="48">
      <c r="A13607" s="408">
        <v>38</v>
      </c>
      <c r="B13607" s="405" t="s">
        <v>24591</v>
      </c>
      <c r="C13607" s="409" t="s">
        <v>24592</v>
      </c>
      <c r="D13607" s="410">
        <v>258.52</v>
      </c>
      <c r="E13607" s="410">
        <v>138.25</v>
      </c>
      <c r="F13607" s="410">
        <v>59.12</v>
      </c>
      <c r="G13607" s="410">
        <v>61.15</v>
      </c>
      <c r="H13607" s="411">
        <v>2161.5500000000002</v>
      </c>
      <c r="I13607" s="411">
        <v>1589.9</v>
      </c>
      <c r="J13607" s="411">
        <v>318.93</v>
      </c>
      <c r="K13607" s="411">
        <v>252.72</v>
      </c>
      <c r="L13607" s="43">
        <v>8.3612486461395648</v>
      </c>
      <c r="M13607" s="43">
        <v>11.500180831826402</v>
      </c>
      <c r="N13607" s="43">
        <v>5.394621109607578</v>
      </c>
      <c r="O13607" s="43">
        <v>4.1327882256745712</v>
      </c>
      <c r="P13607" s="412"/>
      <c r="Q13607" s="412"/>
      <c r="R13607" s="412">
        <v>3</v>
      </c>
    </row>
    <row r="13608" spans="1:18" ht="36">
      <c r="A13608" s="408">
        <v>39</v>
      </c>
      <c r="B13608" s="405" t="s">
        <v>24593</v>
      </c>
      <c r="C13608" s="409" t="s">
        <v>24594</v>
      </c>
      <c r="D13608" s="410">
        <v>259.02</v>
      </c>
      <c r="E13608" s="410">
        <v>97.57</v>
      </c>
      <c r="F13608" s="410">
        <v>159.5</v>
      </c>
      <c r="G13608" s="410">
        <v>1.95</v>
      </c>
      <c r="H13608" s="411">
        <v>2006.5</v>
      </c>
      <c r="I13608" s="411">
        <v>1122.01</v>
      </c>
      <c r="J13608" s="411">
        <v>862.06</v>
      </c>
      <c r="K13608" s="411">
        <v>22.43</v>
      </c>
      <c r="L13608" s="43">
        <v>7.7465060613080077</v>
      </c>
      <c r="M13608" s="43">
        <v>11.49953879266168</v>
      </c>
      <c r="N13608" s="43">
        <v>5.4047648902821317</v>
      </c>
      <c r="O13608" s="43">
        <v>11.502564102564103</v>
      </c>
      <c r="P13608" s="412"/>
      <c r="Q13608" s="412"/>
      <c r="R13608" s="412">
        <v>3</v>
      </c>
    </row>
    <row r="13609" spans="1:18" ht="36">
      <c r="A13609" s="408">
        <v>40</v>
      </c>
      <c r="B13609" s="405" t="s">
        <v>24595</v>
      </c>
      <c r="C13609" s="409" t="s">
        <v>24596</v>
      </c>
      <c r="D13609" s="410">
        <v>259.60000000000002</v>
      </c>
      <c r="E13609" s="410">
        <v>138.25</v>
      </c>
      <c r="F13609" s="410">
        <v>60.2</v>
      </c>
      <c r="G13609" s="410">
        <v>61.15</v>
      </c>
      <c r="H13609" s="411">
        <v>2167.19</v>
      </c>
      <c r="I13609" s="411">
        <v>1589.9</v>
      </c>
      <c r="J13609" s="411">
        <v>324.57</v>
      </c>
      <c r="K13609" s="411">
        <v>252.72</v>
      </c>
      <c r="L13609" s="43">
        <v>8.3481895223420644</v>
      </c>
      <c r="M13609" s="43">
        <v>11.500180831826402</v>
      </c>
      <c r="N13609" s="43">
        <v>5.3915282392026578</v>
      </c>
      <c r="O13609" s="43">
        <v>4.1327882256745712</v>
      </c>
      <c r="P13609" s="412"/>
      <c r="Q13609" s="412"/>
      <c r="R13609" s="412">
        <v>3</v>
      </c>
    </row>
    <row r="13610" spans="1:18" ht="48">
      <c r="A13610" s="408">
        <v>41</v>
      </c>
      <c r="B13610" s="405" t="s">
        <v>24597</v>
      </c>
      <c r="C13610" s="409" t="s">
        <v>24598</v>
      </c>
      <c r="D13610" s="410">
        <v>350.23</v>
      </c>
      <c r="E13610" s="410">
        <v>193.03</v>
      </c>
      <c r="F13610" s="410">
        <v>93.94</v>
      </c>
      <c r="G13610" s="410">
        <v>63.26</v>
      </c>
      <c r="H13610" s="411">
        <v>2996.44</v>
      </c>
      <c r="I13610" s="411">
        <v>2219.9499999999998</v>
      </c>
      <c r="J13610" s="411">
        <v>502.3</v>
      </c>
      <c r="K13610" s="411">
        <v>274.19</v>
      </c>
      <c r="L13610" s="43">
        <v>8.555634868514975</v>
      </c>
      <c r="M13610" s="43">
        <v>11.500543956897891</v>
      </c>
      <c r="N13610" s="43">
        <v>5.347030019161167</v>
      </c>
      <c r="O13610" s="43">
        <v>4.3343344925703446</v>
      </c>
      <c r="P13610" s="412"/>
      <c r="Q13610" s="412"/>
      <c r="R13610" s="412">
        <v>3</v>
      </c>
    </row>
    <row r="13611" spans="1:18" ht="36">
      <c r="A13611" s="408">
        <v>42</v>
      </c>
      <c r="B13611" s="405" t="s">
        <v>24599</v>
      </c>
      <c r="C13611" s="409" t="s">
        <v>24600</v>
      </c>
      <c r="D13611" s="410">
        <v>2023.49</v>
      </c>
      <c r="E13611" s="410">
        <v>809.88</v>
      </c>
      <c r="F13611" s="410">
        <v>895.52</v>
      </c>
      <c r="G13611" s="410">
        <v>318.08999999999997</v>
      </c>
      <c r="H13611" s="411">
        <v>15366.21</v>
      </c>
      <c r="I13611" s="411">
        <v>9313.9500000000007</v>
      </c>
      <c r="J13611" s="411">
        <v>4746.82</v>
      </c>
      <c r="K13611" s="411">
        <v>1305.44</v>
      </c>
      <c r="L13611" s="43">
        <v>7.5939144744970317</v>
      </c>
      <c r="M13611" s="43">
        <v>11.500407467773003</v>
      </c>
      <c r="N13611" s="43">
        <v>5.3006298016794711</v>
      </c>
      <c r="O13611" s="43">
        <v>4.1039957244804937</v>
      </c>
      <c r="P13611" s="412"/>
      <c r="Q13611" s="412"/>
      <c r="R13611" s="412">
        <v>3</v>
      </c>
    </row>
    <row r="13612" spans="1:18" ht="12.75" customHeight="1">
      <c r="A13612" s="628" t="s">
        <v>24601</v>
      </c>
      <c r="B13612" s="629"/>
      <c r="C13612" s="629"/>
      <c r="D13612" s="629"/>
      <c r="E13612" s="629"/>
      <c r="F13612" s="629"/>
      <c r="G13612" s="629"/>
      <c r="H13612" s="629"/>
      <c r="I13612" s="629"/>
      <c r="J13612" s="629"/>
      <c r="K13612" s="629"/>
      <c r="L13612" s="629"/>
      <c r="M13612" s="629"/>
      <c r="N13612" s="629"/>
      <c r="O13612" s="629"/>
      <c r="P13612" s="629"/>
      <c r="Q13612" s="629"/>
      <c r="R13612" s="629"/>
    </row>
    <row r="13613" spans="1:18" ht="12.75" customHeight="1">
      <c r="A13613" s="628" t="s">
        <v>24602</v>
      </c>
      <c r="B13613" s="629"/>
      <c r="C13613" s="629"/>
      <c r="D13613" s="629"/>
      <c r="E13613" s="629"/>
      <c r="F13613" s="629"/>
      <c r="G13613" s="629"/>
      <c r="H13613" s="629"/>
      <c r="I13613" s="629"/>
      <c r="J13613" s="629"/>
      <c r="K13613" s="629"/>
      <c r="L13613" s="629"/>
      <c r="M13613" s="629"/>
      <c r="N13613" s="629"/>
      <c r="O13613" s="629"/>
      <c r="P13613" s="629"/>
      <c r="Q13613" s="629"/>
      <c r="R13613" s="629"/>
    </row>
    <row r="13614" spans="1:18" ht="24">
      <c r="A13614" s="408">
        <v>43</v>
      </c>
      <c r="B13614" s="405" t="s">
        <v>24603</v>
      </c>
      <c r="C13614" s="409" t="s">
        <v>24604</v>
      </c>
      <c r="D13614" s="410">
        <v>507.48</v>
      </c>
      <c r="E13614" s="410">
        <v>237.54</v>
      </c>
      <c r="F13614" s="410">
        <v>177.11</v>
      </c>
      <c r="G13614" s="410">
        <v>92.83</v>
      </c>
      <c r="H13614" s="411">
        <v>4069.81</v>
      </c>
      <c r="I13614" s="411">
        <v>2731.71</v>
      </c>
      <c r="J13614" s="411">
        <v>947.71</v>
      </c>
      <c r="K13614" s="411">
        <v>390.39</v>
      </c>
      <c r="L13614" s="43">
        <v>8.0196460944273653</v>
      </c>
      <c r="M13614" s="43">
        <v>11.5</v>
      </c>
      <c r="N13614" s="43">
        <v>5.3509683247699167</v>
      </c>
      <c r="O13614" s="43">
        <v>4.2054292793278032</v>
      </c>
      <c r="P13614" s="412"/>
      <c r="Q13614" s="412"/>
      <c r="R13614" s="412">
        <v>1</v>
      </c>
    </row>
    <row r="13615" spans="1:18" ht="12.75" customHeight="1">
      <c r="A13615" s="628" t="s">
        <v>24605</v>
      </c>
      <c r="B13615" s="629"/>
      <c r="C13615" s="629"/>
      <c r="D13615" s="629"/>
      <c r="E13615" s="629"/>
      <c r="F13615" s="629"/>
      <c r="G13615" s="629"/>
      <c r="H13615" s="629"/>
      <c r="I13615" s="629"/>
      <c r="J13615" s="629"/>
      <c r="K13615" s="629"/>
      <c r="L13615" s="629"/>
      <c r="M13615" s="629"/>
      <c r="N13615" s="629"/>
      <c r="O13615" s="629"/>
      <c r="P13615" s="629"/>
      <c r="Q13615" s="629"/>
      <c r="R13615" s="629"/>
    </row>
    <row r="13616" spans="1:18" ht="12.75" customHeight="1">
      <c r="A13616" s="628" t="s">
        <v>24606</v>
      </c>
      <c r="B13616" s="629"/>
      <c r="C13616" s="629"/>
      <c r="D13616" s="629"/>
      <c r="E13616" s="629"/>
      <c r="F13616" s="629"/>
      <c r="G13616" s="629"/>
      <c r="H13616" s="629"/>
      <c r="I13616" s="629"/>
      <c r="J13616" s="629"/>
      <c r="K13616" s="629"/>
      <c r="L13616" s="629"/>
      <c r="M13616" s="629"/>
      <c r="N13616" s="629"/>
      <c r="O13616" s="629"/>
      <c r="P13616" s="629"/>
      <c r="Q13616" s="629"/>
      <c r="R13616" s="629"/>
    </row>
    <row r="13617" spans="1:18" ht="24">
      <c r="A13617" s="408">
        <v>44</v>
      </c>
      <c r="B13617" s="405" t="s">
        <v>24607</v>
      </c>
      <c r="C13617" s="409" t="s">
        <v>24608</v>
      </c>
      <c r="D13617" s="410">
        <v>1187.18</v>
      </c>
      <c r="E13617" s="410">
        <v>730.62</v>
      </c>
      <c r="F13617" s="410">
        <v>207.34</v>
      </c>
      <c r="G13617" s="410">
        <v>249.22</v>
      </c>
      <c r="H13617" s="411">
        <v>10561.45</v>
      </c>
      <c r="I13617" s="411">
        <v>8402.08</v>
      </c>
      <c r="J13617" s="411">
        <v>1098.3699999999999</v>
      </c>
      <c r="K13617" s="411">
        <v>1061</v>
      </c>
      <c r="L13617" s="43">
        <v>8.8962499368250807</v>
      </c>
      <c r="M13617" s="43">
        <v>11.499931564972215</v>
      </c>
      <c r="N13617" s="43">
        <v>5.297434166103983</v>
      </c>
      <c r="O13617" s="43">
        <v>4.2572827220929303</v>
      </c>
      <c r="P13617" s="412"/>
      <c r="Q13617" s="412"/>
      <c r="R13617" s="412">
        <v>1</v>
      </c>
    </row>
    <row r="13618" spans="1:18" ht="24">
      <c r="A13618" s="408">
        <v>45</v>
      </c>
      <c r="B13618" s="405" t="s">
        <v>24609</v>
      </c>
      <c r="C13618" s="409" t="s">
        <v>24610</v>
      </c>
      <c r="D13618" s="410">
        <v>683.51</v>
      </c>
      <c r="E13618" s="410">
        <v>431.12</v>
      </c>
      <c r="F13618" s="410">
        <v>95.13</v>
      </c>
      <c r="G13618" s="410">
        <v>157.26</v>
      </c>
      <c r="H13618" s="411">
        <v>6142.13</v>
      </c>
      <c r="I13618" s="411">
        <v>4958.09</v>
      </c>
      <c r="J13618" s="411">
        <v>509.22</v>
      </c>
      <c r="K13618" s="411">
        <v>674.82</v>
      </c>
      <c r="L13618" s="43">
        <v>8.9861596757911375</v>
      </c>
      <c r="M13618" s="43">
        <v>11.500487103358694</v>
      </c>
      <c r="N13618" s="43">
        <v>5.3528855250709562</v>
      </c>
      <c r="O13618" s="43">
        <v>4.2911102632582994</v>
      </c>
      <c r="P13618" s="412"/>
      <c r="Q13618" s="412"/>
      <c r="R13618" s="412">
        <v>1</v>
      </c>
    </row>
    <row r="13619" spans="1:18" ht="24">
      <c r="A13619" s="408">
        <v>46</v>
      </c>
      <c r="B13619" s="405" t="s">
        <v>24611</v>
      </c>
      <c r="C13619" s="409" t="s">
        <v>24612</v>
      </c>
      <c r="D13619" s="410">
        <v>854.04</v>
      </c>
      <c r="E13619" s="410">
        <v>517.78</v>
      </c>
      <c r="F13619" s="410">
        <v>149.30000000000001</v>
      </c>
      <c r="G13619" s="410">
        <v>186.96</v>
      </c>
      <c r="H13619" s="411">
        <v>7544.64</v>
      </c>
      <c r="I13619" s="411">
        <v>5954.75</v>
      </c>
      <c r="J13619" s="411">
        <v>795.36</v>
      </c>
      <c r="K13619" s="411">
        <v>794.53</v>
      </c>
      <c r="L13619" s="43">
        <v>8.8340592946466217</v>
      </c>
      <c r="M13619" s="43">
        <v>11.500540770211288</v>
      </c>
      <c r="N13619" s="43">
        <v>5.3272605492297389</v>
      </c>
      <c r="O13619" s="43">
        <v>4.2497325631151046</v>
      </c>
      <c r="P13619" s="412"/>
      <c r="Q13619" s="412"/>
      <c r="R13619" s="412">
        <v>1</v>
      </c>
    </row>
    <row r="13620" spans="1:18" ht="24">
      <c r="A13620" s="408">
        <v>47</v>
      </c>
      <c r="B13620" s="405" t="s">
        <v>24613</v>
      </c>
      <c r="C13620" s="409" t="s">
        <v>24614</v>
      </c>
      <c r="D13620" s="410">
        <v>476.16</v>
      </c>
      <c r="E13620" s="410">
        <v>324.12</v>
      </c>
      <c r="F13620" s="410">
        <v>58.4</v>
      </c>
      <c r="G13620" s="410">
        <v>93.64</v>
      </c>
      <c r="H13620" s="411">
        <v>4442.3599999999997</v>
      </c>
      <c r="I13620" s="411">
        <v>3727.38</v>
      </c>
      <c r="J13620" s="411">
        <v>312.75</v>
      </c>
      <c r="K13620" s="411">
        <v>402.23</v>
      </c>
      <c r="L13620" s="43">
        <v>9.3295530913978482</v>
      </c>
      <c r="M13620" s="43">
        <v>11.5</v>
      </c>
      <c r="N13620" s="43">
        <v>5.3553082191780828</v>
      </c>
      <c r="O13620" s="43">
        <v>4.2954933788979073</v>
      </c>
      <c r="P13620" s="412"/>
      <c r="Q13620" s="412"/>
      <c r="R13620" s="412">
        <v>1</v>
      </c>
    </row>
    <row r="13621" spans="1:18" ht="24">
      <c r="A13621" s="408">
        <v>48</v>
      </c>
      <c r="B13621" s="405" t="s">
        <v>24615</v>
      </c>
      <c r="C13621" s="409" t="s">
        <v>24616</v>
      </c>
      <c r="D13621" s="410">
        <v>209.97</v>
      </c>
      <c r="E13621" s="410">
        <v>109.48</v>
      </c>
      <c r="F13621" s="410">
        <v>25.31</v>
      </c>
      <c r="G13621" s="410">
        <v>75.180000000000007</v>
      </c>
      <c r="H13621" s="411">
        <v>1694.26</v>
      </c>
      <c r="I13621" s="411">
        <v>1259.07</v>
      </c>
      <c r="J13621" s="411">
        <v>133.78</v>
      </c>
      <c r="K13621" s="411">
        <v>301.41000000000003</v>
      </c>
      <c r="L13621" s="43">
        <v>8.0690574844025331</v>
      </c>
      <c r="M13621" s="43">
        <v>11.500456704420898</v>
      </c>
      <c r="N13621" s="43">
        <v>5.2856578427499015</v>
      </c>
      <c r="O13621" s="43">
        <v>4.0091779728651238</v>
      </c>
      <c r="P13621" s="412"/>
      <c r="Q13621" s="412"/>
      <c r="R13621" s="412">
        <v>1</v>
      </c>
    </row>
    <row r="13622" spans="1:18" ht="24">
      <c r="A13622" s="408">
        <v>49</v>
      </c>
      <c r="B13622" s="405" t="s">
        <v>24617</v>
      </c>
      <c r="C13622" s="409" t="s">
        <v>24618</v>
      </c>
      <c r="D13622" s="410">
        <v>502.88</v>
      </c>
      <c r="E13622" s="410">
        <v>224.22</v>
      </c>
      <c r="F13622" s="410">
        <v>182.7</v>
      </c>
      <c r="G13622" s="410">
        <v>95.96</v>
      </c>
      <c r="H13622" s="411">
        <v>3969.36</v>
      </c>
      <c r="I13622" s="411">
        <v>2578.5300000000002</v>
      </c>
      <c r="J13622" s="411">
        <v>973.75</v>
      </c>
      <c r="K13622" s="411">
        <v>417.08</v>
      </c>
      <c r="L13622" s="43">
        <v>7.8932548520521797</v>
      </c>
      <c r="M13622" s="43">
        <v>11.500000000000002</v>
      </c>
      <c r="N13622" s="43">
        <v>5.3297755883962781</v>
      </c>
      <c r="O13622" s="43">
        <v>4.3463943309712381</v>
      </c>
      <c r="P13622" s="412"/>
      <c r="Q13622" s="412"/>
      <c r="R13622" s="412">
        <v>1</v>
      </c>
    </row>
    <row r="13623" spans="1:18" ht="36">
      <c r="A13623" s="408">
        <v>50</v>
      </c>
      <c r="B13623" s="405" t="s">
        <v>24619</v>
      </c>
      <c r="C13623" s="409" t="s">
        <v>24620</v>
      </c>
      <c r="D13623" s="410">
        <v>1152.8399999999999</v>
      </c>
      <c r="E13623" s="410">
        <v>768.98</v>
      </c>
      <c r="F13623" s="410">
        <v>232.65</v>
      </c>
      <c r="G13623" s="410">
        <v>151.21</v>
      </c>
      <c r="H13623" s="411">
        <v>10777.26</v>
      </c>
      <c r="I13623" s="411">
        <v>8843.61</v>
      </c>
      <c r="J13623" s="411">
        <v>1220.6600000000001</v>
      </c>
      <c r="K13623" s="411">
        <v>712.99</v>
      </c>
      <c r="L13623" s="43">
        <v>9.3484438430311236</v>
      </c>
      <c r="M13623" s="43">
        <v>11.50044214413899</v>
      </c>
      <c r="N13623" s="43">
        <v>5.2467655276165921</v>
      </c>
      <c r="O13623" s="43">
        <v>4.7152304741749882</v>
      </c>
      <c r="P13623" s="412"/>
      <c r="Q13623" s="412"/>
      <c r="R13623" s="412">
        <v>1</v>
      </c>
    </row>
    <row r="13624" spans="1:18" ht="12.75" customHeight="1">
      <c r="A13624" s="628" t="s">
        <v>24621</v>
      </c>
      <c r="B13624" s="629"/>
      <c r="C13624" s="629"/>
      <c r="D13624" s="629"/>
      <c r="E13624" s="629"/>
      <c r="F13624" s="629"/>
      <c r="G13624" s="629"/>
      <c r="H13624" s="629"/>
      <c r="I13624" s="629"/>
      <c r="J13624" s="629"/>
      <c r="K13624" s="629"/>
      <c r="L13624" s="629"/>
      <c r="M13624" s="629"/>
      <c r="N13624" s="629"/>
      <c r="O13624" s="629"/>
      <c r="P13624" s="629"/>
      <c r="Q13624" s="629"/>
      <c r="R13624" s="629"/>
    </row>
    <row r="13625" spans="1:18" ht="24">
      <c r="A13625" s="408">
        <v>51</v>
      </c>
      <c r="B13625" s="405" t="s">
        <v>24622</v>
      </c>
      <c r="C13625" s="409" t="s">
        <v>24623</v>
      </c>
      <c r="D13625" s="410">
        <v>357.36</v>
      </c>
      <c r="E13625" s="410">
        <v>214.68</v>
      </c>
      <c r="F13625" s="410">
        <v>66.3</v>
      </c>
      <c r="G13625" s="410">
        <v>76.38</v>
      </c>
      <c r="H13625" s="411">
        <v>3142.98</v>
      </c>
      <c r="I13625" s="411">
        <v>2468.87</v>
      </c>
      <c r="J13625" s="411">
        <v>356.44</v>
      </c>
      <c r="K13625" s="411">
        <v>317.67</v>
      </c>
      <c r="L13625" s="43">
        <v>8.7949966420416388</v>
      </c>
      <c r="M13625" s="43">
        <v>11.500232904788522</v>
      </c>
      <c r="N13625" s="43">
        <v>5.376168929110106</v>
      </c>
      <c r="O13625" s="43">
        <v>4.1590730557737636</v>
      </c>
      <c r="P13625" s="412"/>
      <c r="Q13625" s="412"/>
      <c r="R13625" s="412">
        <v>2</v>
      </c>
    </row>
    <row r="13626" spans="1:18" ht="12.75" customHeight="1">
      <c r="A13626" s="628" t="s">
        <v>24624</v>
      </c>
      <c r="B13626" s="629"/>
      <c r="C13626" s="629"/>
      <c r="D13626" s="629"/>
      <c r="E13626" s="629"/>
      <c r="F13626" s="629"/>
      <c r="G13626" s="629"/>
      <c r="H13626" s="629"/>
      <c r="I13626" s="629"/>
      <c r="J13626" s="629"/>
      <c r="K13626" s="629"/>
      <c r="L13626" s="629"/>
      <c r="M13626" s="629"/>
      <c r="N13626" s="629"/>
      <c r="O13626" s="629"/>
      <c r="P13626" s="629"/>
      <c r="Q13626" s="629"/>
      <c r="R13626" s="629"/>
    </row>
    <row r="13627" spans="1:18" ht="24">
      <c r="A13627" s="408">
        <v>52</v>
      </c>
      <c r="B13627" s="405" t="s">
        <v>24625</v>
      </c>
      <c r="C13627" s="409" t="s">
        <v>24626</v>
      </c>
      <c r="D13627" s="410">
        <v>1500.86</v>
      </c>
      <c r="E13627" s="410">
        <v>852.02</v>
      </c>
      <c r="F13627" s="410">
        <v>441.3</v>
      </c>
      <c r="G13627" s="410">
        <v>207.54</v>
      </c>
      <c r="H13627" s="411">
        <v>13071.25</v>
      </c>
      <c r="I13627" s="411">
        <v>9798.2800000000007</v>
      </c>
      <c r="J13627" s="411">
        <v>2352.5100000000002</v>
      </c>
      <c r="K13627" s="411">
        <v>920.46</v>
      </c>
      <c r="L13627" s="43">
        <v>8.7091734072465119</v>
      </c>
      <c r="M13627" s="43">
        <v>11.500058684068451</v>
      </c>
      <c r="N13627" s="43">
        <v>5.3308633582596876</v>
      </c>
      <c r="O13627" s="43">
        <v>4.4350968488002316</v>
      </c>
      <c r="P13627" s="412"/>
      <c r="Q13627" s="412"/>
      <c r="R13627" s="412">
        <v>3</v>
      </c>
    </row>
    <row r="13628" spans="1:18" ht="24">
      <c r="A13628" s="408">
        <v>53</v>
      </c>
      <c r="B13628" s="405" t="s">
        <v>24627</v>
      </c>
      <c r="C13628" s="409" t="s">
        <v>24628</v>
      </c>
      <c r="D13628" s="410">
        <v>365.82</v>
      </c>
      <c r="E13628" s="410">
        <v>235.13</v>
      </c>
      <c r="F13628" s="410">
        <v>96.56</v>
      </c>
      <c r="G13628" s="410">
        <v>34.130000000000003</v>
      </c>
      <c r="H13628" s="411">
        <v>3392.96</v>
      </c>
      <c r="I13628" s="411">
        <v>2704.05</v>
      </c>
      <c r="J13628" s="411">
        <v>522.34</v>
      </c>
      <c r="K13628" s="411">
        <v>166.57</v>
      </c>
      <c r="L13628" s="43">
        <v>9.2749439615111253</v>
      </c>
      <c r="M13628" s="43">
        <v>11.500233913154426</v>
      </c>
      <c r="N13628" s="43">
        <v>5.4094863297431655</v>
      </c>
      <c r="O13628" s="43">
        <v>4.8804570758863166</v>
      </c>
      <c r="P13628" s="412"/>
      <c r="Q13628" s="412"/>
      <c r="R13628" s="412">
        <v>3</v>
      </c>
    </row>
    <row r="13629" spans="1:18" ht="24">
      <c r="A13629" s="408">
        <v>54</v>
      </c>
      <c r="B13629" s="405" t="s">
        <v>24629</v>
      </c>
      <c r="C13629" s="409" t="s">
        <v>24630</v>
      </c>
      <c r="D13629" s="410">
        <v>406.3</v>
      </c>
      <c r="E13629" s="410">
        <v>279.67</v>
      </c>
      <c r="F13629" s="410">
        <v>90.32</v>
      </c>
      <c r="G13629" s="410">
        <v>36.31</v>
      </c>
      <c r="H13629" s="411">
        <v>3891.22</v>
      </c>
      <c r="I13629" s="411">
        <v>3216.23</v>
      </c>
      <c r="J13629" s="411">
        <v>486.86</v>
      </c>
      <c r="K13629" s="411">
        <v>188.13</v>
      </c>
      <c r="L13629" s="43">
        <v>9.5772089588973657</v>
      </c>
      <c r="M13629" s="43">
        <v>11.500089391068045</v>
      </c>
      <c r="N13629" s="43">
        <v>5.3903897254207269</v>
      </c>
      <c r="O13629" s="43">
        <v>5.1812172955108782</v>
      </c>
      <c r="P13629" s="412"/>
      <c r="Q13629" s="412"/>
      <c r="R13629" s="412">
        <v>3</v>
      </c>
    </row>
    <row r="13630" spans="1:18" ht="24">
      <c r="A13630" s="408">
        <v>55</v>
      </c>
      <c r="B13630" s="405" t="s">
        <v>24631</v>
      </c>
      <c r="C13630" s="409" t="s">
        <v>24632</v>
      </c>
      <c r="D13630" s="410">
        <v>212.23</v>
      </c>
      <c r="E13630" s="410">
        <v>153.36000000000001</v>
      </c>
      <c r="F13630" s="410">
        <v>55.09</v>
      </c>
      <c r="G13630" s="410">
        <v>3.78</v>
      </c>
      <c r="H13630" s="411">
        <v>2099</v>
      </c>
      <c r="I13630" s="411">
        <v>1763.64</v>
      </c>
      <c r="J13630" s="411">
        <v>293.79000000000002</v>
      </c>
      <c r="K13630" s="411">
        <v>41.57</v>
      </c>
      <c r="L13630" s="43">
        <v>9.890213447674693</v>
      </c>
      <c r="M13630" s="43">
        <v>11.5</v>
      </c>
      <c r="N13630" s="43">
        <v>5.3329097839898347</v>
      </c>
      <c r="O13630" s="43">
        <v>10.997354497354499</v>
      </c>
      <c r="P13630" s="412"/>
      <c r="Q13630" s="412"/>
      <c r="R13630" s="412">
        <v>3</v>
      </c>
    </row>
    <row r="13631" spans="1:18" ht="12.75" customHeight="1">
      <c r="A13631" s="628" t="s">
        <v>24633</v>
      </c>
      <c r="B13631" s="629"/>
      <c r="C13631" s="629"/>
      <c r="D13631" s="629"/>
      <c r="E13631" s="629"/>
      <c r="F13631" s="629"/>
      <c r="G13631" s="629"/>
      <c r="H13631" s="629"/>
      <c r="I13631" s="629"/>
      <c r="J13631" s="629"/>
      <c r="K13631" s="629"/>
      <c r="L13631" s="629"/>
      <c r="M13631" s="629"/>
      <c r="N13631" s="629"/>
      <c r="O13631" s="629"/>
      <c r="P13631" s="629"/>
      <c r="Q13631" s="629"/>
      <c r="R13631" s="629"/>
    </row>
    <row r="13632" spans="1:18" ht="12.75" customHeight="1">
      <c r="A13632" s="628" t="s">
        <v>24634</v>
      </c>
      <c r="B13632" s="629"/>
      <c r="C13632" s="629"/>
      <c r="D13632" s="629"/>
      <c r="E13632" s="629"/>
      <c r="F13632" s="629"/>
      <c r="G13632" s="629"/>
      <c r="H13632" s="629"/>
      <c r="I13632" s="629"/>
      <c r="J13632" s="629"/>
      <c r="K13632" s="629"/>
      <c r="L13632" s="629"/>
      <c r="M13632" s="629"/>
      <c r="N13632" s="629"/>
      <c r="O13632" s="629"/>
      <c r="P13632" s="629"/>
      <c r="Q13632" s="629"/>
      <c r="R13632" s="629"/>
    </row>
    <row r="13633" spans="1:18" ht="24">
      <c r="A13633" s="408">
        <v>56</v>
      </c>
      <c r="B13633" s="405" t="s">
        <v>24635</v>
      </c>
      <c r="C13633" s="409" t="s">
        <v>24636</v>
      </c>
      <c r="D13633" s="410">
        <v>4837.3999999999996</v>
      </c>
      <c r="E13633" s="410">
        <v>2564.1</v>
      </c>
      <c r="F13633" s="410">
        <v>1311.99</v>
      </c>
      <c r="G13633" s="410">
        <v>961.31</v>
      </c>
      <c r="H13633" s="411">
        <v>41312.68</v>
      </c>
      <c r="I13633" s="411">
        <v>29487.15</v>
      </c>
      <c r="J13633" s="411">
        <v>6857.88</v>
      </c>
      <c r="K13633" s="411">
        <v>4967.6499999999996</v>
      </c>
      <c r="L13633" s="43">
        <v>8.5402654318435527</v>
      </c>
      <c r="M13633" s="43">
        <v>11.500000000000002</v>
      </c>
      <c r="N13633" s="43">
        <v>5.2270825234948441</v>
      </c>
      <c r="O13633" s="43">
        <v>5.167583817915137</v>
      </c>
      <c r="P13633" s="412"/>
      <c r="Q13633" s="412"/>
      <c r="R13633" s="412">
        <v>1</v>
      </c>
    </row>
    <row r="13634" spans="1:18" ht="24">
      <c r="A13634" s="408">
        <v>57</v>
      </c>
      <c r="B13634" s="405" t="s">
        <v>24637</v>
      </c>
      <c r="C13634" s="409" t="s">
        <v>24638</v>
      </c>
      <c r="D13634" s="410">
        <v>12020.42</v>
      </c>
      <c r="E13634" s="410">
        <v>5237.84</v>
      </c>
      <c r="F13634" s="410">
        <v>4199.75</v>
      </c>
      <c r="G13634" s="410">
        <v>2582.83</v>
      </c>
      <c r="H13634" s="411">
        <v>95667.83</v>
      </c>
      <c r="I13634" s="411">
        <v>60235.16</v>
      </c>
      <c r="J13634" s="411">
        <v>22347.63</v>
      </c>
      <c r="K13634" s="411">
        <v>13085.04</v>
      </c>
      <c r="L13634" s="43">
        <v>7.9587759828691507</v>
      </c>
      <c r="M13634" s="43">
        <v>11.5</v>
      </c>
      <c r="N13634" s="43">
        <v>5.3211810226799221</v>
      </c>
      <c r="O13634" s="43">
        <v>5.066163859022855</v>
      </c>
      <c r="P13634" s="412"/>
      <c r="Q13634" s="412"/>
      <c r="R13634" s="412">
        <v>1</v>
      </c>
    </row>
    <row r="13635" spans="1:18" ht="24">
      <c r="A13635" s="408">
        <v>58</v>
      </c>
      <c r="B13635" s="405" t="s">
        <v>24639</v>
      </c>
      <c r="C13635" s="409" t="s">
        <v>24640</v>
      </c>
      <c r="D13635" s="410">
        <v>14661.51</v>
      </c>
      <c r="E13635" s="410">
        <v>6575.4</v>
      </c>
      <c r="F13635" s="410">
        <v>5131.55</v>
      </c>
      <c r="G13635" s="410">
        <v>2954.56</v>
      </c>
      <c r="H13635" s="411">
        <v>117939.1</v>
      </c>
      <c r="I13635" s="411">
        <v>75617.100000000006</v>
      </c>
      <c r="J13635" s="411">
        <v>27320.67</v>
      </c>
      <c r="K13635" s="411">
        <v>15001.33</v>
      </c>
      <c r="L13635" s="43">
        <v>8.0441305158882006</v>
      </c>
      <c r="M13635" s="43">
        <v>11.500000000000002</v>
      </c>
      <c r="N13635" s="43">
        <v>5.3240580331478791</v>
      </c>
      <c r="O13635" s="43">
        <v>5.0773482345933063</v>
      </c>
      <c r="P13635" s="412"/>
      <c r="Q13635" s="412"/>
      <c r="R13635" s="412">
        <v>1</v>
      </c>
    </row>
    <row r="13636" spans="1:18" ht="12.75" customHeight="1">
      <c r="A13636" s="628" t="s">
        <v>24641</v>
      </c>
      <c r="B13636" s="629"/>
      <c r="C13636" s="629"/>
      <c r="D13636" s="629"/>
      <c r="E13636" s="629"/>
      <c r="F13636" s="629"/>
      <c r="G13636" s="629"/>
      <c r="H13636" s="629"/>
      <c r="I13636" s="629"/>
      <c r="J13636" s="629"/>
      <c r="K13636" s="629"/>
      <c r="L13636" s="629"/>
      <c r="M13636" s="629"/>
      <c r="N13636" s="629"/>
      <c r="O13636" s="629"/>
      <c r="P13636" s="629"/>
      <c r="Q13636" s="629"/>
      <c r="R13636" s="629"/>
    </row>
    <row r="13637" spans="1:18" ht="12.75" customHeight="1">
      <c r="A13637" s="628" t="s">
        <v>24642</v>
      </c>
      <c r="B13637" s="629"/>
      <c r="C13637" s="629"/>
      <c r="D13637" s="629"/>
      <c r="E13637" s="629"/>
      <c r="F13637" s="629"/>
      <c r="G13637" s="629"/>
      <c r="H13637" s="629"/>
      <c r="I13637" s="629"/>
      <c r="J13637" s="629"/>
      <c r="K13637" s="629"/>
      <c r="L13637" s="629"/>
      <c r="M13637" s="629"/>
      <c r="N13637" s="629"/>
      <c r="O13637" s="629"/>
      <c r="P13637" s="629"/>
      <c r="Q13637" s="629"/>
      <c r="R13637" s="629"/>
    </row>
    <row r="13638" spans="1:18" ht="24">
      <c r="A13638" s="408">
        <v>59</v>
      </c>
      <c r="B13638" s="405" t="s">
        <v>24643</v>
      </c>
      <c r="C13638" s="409" t="s">
        <v>24644</v>
      </c>
      <c r="D13638" s="410">
        <v>727.21</v>
      </c>
      <c r="E13638" s="410">
        <v>504.74</v>
      </c>
      <c r="F13638" s="410">
        <v>123.04</v>
      </c>
      <c r="G13638" s="410">
        <v>99.43</v>
      </c>
      <c r="H13638" s="411">
        <v>6924.99</v>
      </c>
      <c r="I13638" s="411">
        <v>5804.69</v>
      </c>
      <c r="J13638" s="411">
        <v>657.41</v>
      </c>
      <c r="K13638" s="411">
        <v>462.89</v>
      </c>
      <c r="L13638" s="43">
        <v>9.5226825813726421</v>
      </c>
      <c r="M13638" s="43">
        <v>11.500356619249514</v>
      </c>
      <c r="N13638" s="43">
        <v>5.343059167750325</v>
      </c>
      <c r="O13638" s="43">
        <v>4.6554359851151563</v>
      </c>
      <c r="P13638" s="412"/>
      <c r="Q13638" s="412"/>
      <c r="R13638" s="412">
        <v>1</v>
      </c>
    </row>
    <row r="13639" spans="1:18" ht="12.75" customHeight="1">
      <c r="A13639" s="628" t="s">
        <v>24645</v>
      </c>
      <c r="B13639" s="629"/>
      <c r="C13639" s="629"/>
      <c r="D13639" s="629"/>
      <c r="E13639" s="629"/>
      <c r="F13639" s="629"/>
      <c r="G13639" s="629"/>
      <c r="H13639" s="629"/>
      <c r="I13639" s="629"/>
      <c r="J13639" s="629"/>
      <c r="K13639" s="629"/>
      <c r="L13639" s="629"/>
      <c r="M13639" s="629"/>
      <c r="N13639" s="629"/>
      <c r="O13639" s="629"/>
      <c r="P13639" s="629"/>
      <c r="Q13639" s="629"/>
      <c r="R13639" s="629"/>
    </row>
    <row r="13640" spans="1:18" ht="24">
      <c r="A13640" s="408">
        <v>60</v>
      </c>
      <c r="B13640" s="405" t="s">
        <v>24646</v>
      </c>
      <c r="C13640" s="409" t="s">
        <v>24647</v>
      </c>
      <c r="D13640" s="410">
        <v>1447.14</v>
      </c>
      <c r="E13640" s="410">
        <v>701.45</v>
      </c>
      <c r="F13640" s="410">
        <v>428.48</v>
      </c>
      <c r="G13640" s="410">
        <v>317.20999999999998</v>
      </c>
      <c r="H13640" s="411">
        <v>11633.18</v>
      </c>
      <c r="I13640" s="411">
        <v>8066.72</v>
      </c>
      <c r="J13640" s="411">
        <v>2274.65</v>
      </c>
      <c r="K13640" s="411">
        <v>1291.81</v>
      </c>
      <c r="L13640" s="43">
        <v>8.0387384772724122</v>
      </c>
      <c r="M13640" s="43">
        <v>11.500064152826289</v>
      </c>
      <c r="N13640" s="43">
        <v>5.3086491784914118</v>
      </c>
      <c r="O13640" s="43">
        <v>4.0724125973329972</v>
      </c>
      <c r="P13640" s="412"/>
      <c r="Q13640" s="412"/>
      <c r="R13640" s="412">
        <v>2</v>
      </c>
    </row>
    <row r="13641" spans="1:18" ht="12.75" customHeight="1">
      <c r="A13641" s="628" t="s">
        <v>24648</v>
      </c>
      <c r="B13641" s="629"/>
      <c r="C13641" s="629"/>
      <c r="D13641" s="629"/>
      <c r="E13641" s="629"/>
      <c r="F13641" s="629"/>
      <c r="G13641" s="629"/>
      <c r="H13641" s="629"/>
      <c r="I13641" s="629"/>
      <c r="J13641" s="629"/>
      <c r="K13641" s="629"/>
      <c r="L13641" s="629"/>
      <c r="M13641" s="629"/>
      <c r="N13641" s="629"/>
      <c r="O13641" s="629"/>
      <c r="P13641" s="629"/>
      <c r="Q13641" s="629"/>
      <c r="R13641" s="629"/>
    </row>
    <row r="13642" spans="1:18" ht="12.75" customHeight="1">
      <c r="A13642" s="628" t="s">
        <v>19144</v>
      </c>
      <c r="B13642" s="629"/>
      <c r="C13642" s="629"/>
      <c r="D13642" s="629"/>
      <c r="E13642" s="629"/>
      <c r="F13642" s="629"/>
      <c r="G13642" s="629"/>
      <c r="H13642" s="629"/>
      <c r="I13642" s="629"/>
      <c r="J13642" s="629"/>
      <c r="K13642" s="629"/>
      <c r="L13642" s="629"/>
      <c r="M13642" s="629"/>
      <c r="N13642" s="629"/>
      <c r="O13642" s="629"/>
      <c r="P13642" s="629"/>
      <c r="Q13642" s="629"/>
      <c r="R13642" s="629"/>
    </row>
    <row r="13643" spans="1:18" ht="24">
      <c r="A13643" s="408">
        <v>61</v>
      </c>
      <c r="B13643" s="405" t="s">
        <v>24649</v>
      </c>
      <c r="C13643" s="409" t="s">
        <v>24650</v>
      </c>
      <c r="D13643" s="410">
        <v>174.54</v>
      </c>
      <c r="E13643" s="410">
        <v>100.94</v>
      </c>
      <c r="F13643" s="410">
        <v>71.58</v>
      </c>
      <c r="G13643" s="410">
        <v>2.02</v>
      </c>
      <c r="H13643" s="411">
        <v>1567.06</v>
      </c>
      <c r="I13643" s="411">
        <v>1160.75</v>
      </c>
      <c r="J13643" s="411">
        <v>383.08</v>
      </c>
      <c r="K13643" s="411">
        <v>23.23</v>
      </c>
      <c r="L13643" s="43">
        <v>8.9782284863068647</v>
      </c>
      <c r="M13643" s="43">
        <v>11.49940558747771</v>
      </c>
      <c r="N13643" s="43">
        <v>5.351774238614138</v>
      </c>
      <c r="O13643" s="43">
        <v>11.5</v>
      </c>
      <c r="P13643" s="412"/>
      <c r="Q13643" s="412"/>
      <c r="R13643" s="412">
        <v>1</v>
      </c>
    </row>
    <row r="13644" spans="1:18" ht="24">
      <c r="A13644" s="408">
        <v>62</v>
      </c>
      <c r="B13644" s="405" t="s">
        <v>24651</v>
      </c>
      <c r="C13644" s="409" t="s">
        <v>24652</v>
      </c>
      <c r="D13644" s="410">
        <v>410.05</v>
      </c>
      <c r="E13644" s="410">
        <v>209.53</v>
      </c>
      <c r="F13644" s="410">
        <v>124.63</v>
      </c>
      <c r="G13644" s="410">
        <v>75.89</v>
      </c>
      <c r="H13644" s="411">
        <v>3392.76</v>
      </c>
      <c r="I13644" s="411">
        <v>2409.66</v>
      </c>
      <c r="J13644" s="411">
        <v>670.01</v>
      </c>
      <c r="K13644" s="411">
        <v>313.08999999999997</v>
      </c>
      <c r="L13644" s="43">
        <v>8.274015363980002</v>
      </c>
      <c r="M13644" s="43">
        <v>11.500310218107192</v>
      </c>
      <c r="N13644" s="43">
        <v>5.375992939099735</v>
      </c>
      <c r="O13644" s="43">
        <v>4.1255764922914739</v>
      </c>
      <c r="P13644" s="412"/>
      <c r="Q13644" s="412"/>
      <c r="R13644" s="412">
        <v>1</v>
      </c>
    </row>
    <row r="13645" spans="1:18" ht="24">
      <c r="A13645" s="408">
        <v>63</v>
      </c>
      <c r="B13645" s="405" t="s">
        <v>24653</v>
      </c>
      <c r="C13645" s="409" t="s">
        <v>24654</v>
      </c>
      <c r="D13645" s="410">
        <v>707.16</v>
      </c>
      <c r="E13645" s="410">
        <v>204.48</v>
      </c>
      <c r="F13645" s="410">
        <v>411.05</v>
      </c>
      <c r="G13645" s="410">
        <v>91.63</v>
      </c>
      <c r="H13645" s="411">
        <v>4934.47</v>
      </c>
      <c r="I13645" s="411">
        <v>2351.52</v>
      </c>
      <c r="J13645" s="411">
        <v>2204.92</v>
      </c>
      <c r="K13645" s="411">
        <v>378.03</v>
      </c>
      <c r="L13645" s="43">
        <v>6.9778692233723634</v>
      </c>
      <c r="M13645" s="43">
        <v>11.5</v>
      </c>
      <c r="N13645" s="43">
        <v>5.364116287556258</v>
      </c>
      <c r="O13645" s="43">
        <v>4.1256138819164025</v>
      </c>
      <c r="P13645" s="412"/>
      <c r="Q13645" s="412"/>
      <c r="R13645" s="412">
        <v>1</v>
      </c>
    </row>
    <row r="13646" spans="1:18" ht="24">
      <c r="A13646" s="408">
        <v>64</v>
      </c>
      <c r="B13646" s="405" t="s">
        <v>24655</v>
      </c>
      <c r="C13646" s="409" t="s">
        <v>24656</v>
      </c>
      <c r="D13646" s="410">
        <v>1332.91</v>
      </c>
      <c r="E13646" s="410">
        <v>772.34</v>
      </c>
      <c r="F13646" s="410">
        <v>540.9</v>
      </c>
      <c r="G13646" s="410">
        <v>19.670000000000002</v>
      </c>
      <c r="H13646" s="411">
        <v>12009.79</v>
      </c>
      <c r="I13646" s="411">
        <v>8881.91</v>
      </c>
      <c r="J13646" s="411">
        <v>2913.25</v>
      </c>
      <c r="K13646" s="411">
        <v>214.63</v>
      </c>
      <c r="L13646" s="43">
        <v>9.0102032395285505</v>
      </c>
      <c r="M13646" s="43">
        <v>11.5</v>
      </c>
      <c r="N13646" s="43">
        <v>5.3859308559807726</v>
      </c>
      <c r="O13646" s="43">
        <v>10.911540416878495</v>
      </c>
      <c r="P13646" s="412"/>
      <c r="Q13646" s="412"/>
      <c r="R13646" s="412">
        <v>1</v>
      </c>
    </row>
    <row r="13647" spans="1:18" ht="36">
      <c r="A13647" s="408">
        <v>65</v>
      </c>
      <c r="B13647" s="405" t="s">
        <v>24657</v>
      </c>
      <c r="C13647" s="409" t="s">
        <v>24658</v>
      </c>
      <c r="D13647" s="410">
        <v>383.2</v>
      </c>
      <c r="E13647" s="410">
        <v>149.85</v>
      </c>
      <c r="F13647" s="410">
        <v>140.09</v>
      </c>
      <c r="G13647" s="410">
        <v>93.26</v>
      </c>
      <c r="H13647" s="411">
        <v>2866.58</v>
      </c>
      <c r="I13647" s="411">
        <v>1723.28</v>
      </c>
      <c r="J13647" s="411">
        <v>753.97</v>
      </c>
      <c r="K13647" s="411">
        <v>389.33</v>
      </c>
      <c r="L13647" s="43">
        <v>7.4806367432150314</v>
      </c>
      <c r="M13647" s="43">
        <v>11.500033366700034</v>
      </c>
      <c r="N13647" s="43">
        <v>5.3820401170675991</v>
      </c>
      <c r="O13647" s="43">
        <v>4.1746729573236108</v>
      </c>
      <c r="P13647" s="412"/>
      <c r="Q13647" s="412"/>
      <c r="R13647" s="412">
        <v>1</v>
      </c>
    </row>
    <row r="13648" spans="1:18" ht="24">
      <c r="A13648" s="413">
        <v>66</v>
      </c>
      <c r="B13648" s="414" t="s">
        <v>24659</v>
      </c>
      <c r="C13648" s="415" t="s">
        <v>24660</v>
      </c>
      <c r="D13648" s="416">
        <v>340.96</v>
      </c>
      <c r="E13648" s="416">
        <v>131.72999999999999</v>
      </c>
      <c r="F13648" s="416">
        <v>129.72999999999999</v>
      </c>
      <c r="G13648" s="416">
        <v>79.5</v>
      </c>
      <c r="H13648" s="417">
        <v>2551.3200000000002</v>
      </c>
      <c r="I13648" s="417">
        <v>1514.99</v>
      </c>
      <c r="J13648" s="417">
        <v>695.88</v>
      </c>
      <c r="K13648" s="417">
        <v>340.45</v>
      </c>
      <c r="L13648" s="611">
        <v>7.4827545753167533</v>
      </c>
      <c r="M13648" s="611">
        <v>11.500721172094437</v>
      </c>
      <c r="N13648" s="611">
        <v>5.3640638248670323</v>
      </c>
      <c r="O13648" s="611">
        <v>4.2823899371069185</v>
      </c>
      <c r="P13648" s="418"/>
      <c r="Q13648" s="418"/>
      <c r="R13648" s="418">
        <v>1</v>
      </c>
    </row>
    <row r="13649" spans="1:18" ht="12.75" customHeight="1">
      <c r="A13649" s="630" t="s">
        <v>24661</v>
      </c>
      <c r="B13649" s="631"/>
      <c r="C13649" s="631"/>
      <c r="D13649" s="631"/>
      <c r="E13649" s="631"/>
      <c r="F13649" s="631"/>
      <c r="G13649" s="631"/>
      <c r="H13649" s="631"/>
      <c r="I13649" s="631"/>
      <c r="J13649" s="631"/>
      <c r="K13649" s="631"/>
      <c r="L13649" s="631"/>
      <c r="M13649" s="631"/>
      <c r="N13649" s="631"/>
      <c r="O13649" s="631"/>
      <c r="P13649" s="631"/>
      <c r="Q13649" s="631"/>
      <c r="R13649" s="631"/>
    </row>
    <row r="13650" spans="1:18" ht="12.75" customHeight="1">
      <c r="A13650" s="628" t="s">
        <v>24662</v>
      </c>
      <c r="B13650" s="629"/>
      <c r="C13650" s="629"/>
      <c r="D13650" s="629"/>
      <c r="E13650" s="629"/>
      <c r="F13650" s="629"/>
      <c r="G13650" s="629"/>
      <c r="H13650" s="629"/>
      <c r="I13650" s="629"/>
      <c r="J13650" s="629"/>
      <c r="K13650" s="629"/>
      <c r="L13650" s="629"/>
      <c r="M13650" s="629"/>
      <c r="N13650" s="629"/>
      <c r="O13650" s="629"/>
      <c r="P13650" s="629"/>
      <c r="Q13650" s="629"/>
      <c r="R13650" s="629"/>
    </row>
    <row r="13651" spans="1:18" ht="12.75" customHeight="1">
      <c r="A13651" s="628" t="s">
        <v>24663</v>
      </c>
      <c r="B13651" s="629"/>
      <c r="C13651" s="629"/>
      <c r="D13651" s="629"/>
      <c r="E13651" s="629"/>
      <c r="F13651" s="629"/>
      <c r="G13651" s="629"/>
      <c r="H13651" s="629"/>
      <c r="I13651" s="629"/>
      <c r="J13651" s="629"/>
      <c r="K13651" s="629"/>
      <c r="L13651" s="629"/>
      <c r="M13651" s="629"/>
      <c r="N13651" s="629"/>
      <c r="O13651" s="629"/>
      <c r="P13651" s="629"/>
      <c r="Q13651" s="629"/>
      <c r="R13651" s="629"/>
    </row>
    <row r="13652" spans="1:18" ht="24">
      <c r="A13652" s="408">
        <v>67</v>
      </c>
      <c r="B13652" s="405" t="s">
        <v>24664</v>
      </c>
      <c r="C13652" s="409" t="s">
        <v>24665</v>
      </c>
      <c r="D13652" s="410">
        <v>932.5</v>
      </c>
      <c r="E13652" s="410">
        <v>450.71</v>
      </c>
      <c r="F13652" s="410">
        <v>312.49</v>
      </c>
      <c r="G13652" s="410">
        <v>169.3</v>
      </c>
      <c r="H13652" s="411">
        <v>7565.02</v>
      </c>
      <c r="I13652" s="411">
        <v>5183.1400000000003</v>
      </c>
      <c r="J13652" s="411">
        <v>1673.13</v>
      </c>
      <c r="K13652" s="411">
        <v>708.75</v>
      </c>
      <c r="L13652" s="43">
        <v>8.1126219839142095</v>
      </c>
      <c r="M13652" s="43">
        <v>11.499944531960686</v>
      </c>
      <c r="N13652" s="43">
        <v>5.3541873339946884</v>
      </c>
      <c r="O13652" s="43">
        <v>4.1863555818074421</v>
      </c>
      <c r="P13652" s="412"/>
      <c r="Q13652" s="412"/>
      <c r="R13652" s="412">
        <v>1</v>
      </c>
    </row>
    <row r="13653" spans="1:18" ht="24">
      <c r="A13653" s="408">
        <v>68</v>
      </c>
      <c r="B13653" s="405" t="s">
        <v>24666</v>
      </c>
      <c r="C13653" s="409" t="s">
        <v>24667</v>
      </c>
      <c r="D13653" s="410">
        <v>1182.46</v>
      </c>
      <c r="E13653" s="410">
        <v>710.07</v>
      </c>
      <c r="F13653" s="410">
        <v>294.60000000000002</v>
      </c>
      <c r="G13653" s="410">
        <v>177.79</v>
      </c>
      <c r="H13653" s="411">
        <v>10548.36</v>
      </c>
      <c r="I13653" s="411">
        <v>8166.17</v>
      </c>
      <c r="J13653" s="411">
        <v>1584.85</v>
      </c>
      <c r="K13653" s="411">
        <v>797.34</v>
      </c>
      <c r="L13653" s="43">
        <v>8.9206907633239183</v>
      </c>
      <c r="M13653" s="43">
        <v>11.500514033827651</v>
      </c>
      <c r="N13653" s="43">
        <v>5.3796673455532922</v>
      </c>
      <c r="O13653" s="43">
        <v>4.4847291748692282</v>
      </c>
      <c r="P13653" s="412"/>
      <c r="Q13653" s="412"/>
      <c r="R13653" s="412">
        <v>1</v>
      </c>
    </row>
    <row r="13654" spans="1:18" ht="24">
      <c r="A13654" s="408">
        <v>69</v>
      </c>
      <c r="B13654" s="405" t="s">
        <v>24668</v>
      </c>
      <c r="C13654" s="409" t="s">
        <v>24669</v>
      </c>
      <c r="D13654" s="410">
        <v>1249.98</v>
      </c>
      <c r="E13654" s="410">
        <v>757.2</v>
      </c>
      <c r="F13654" s="410">
        <v>313.98</v>
      </c>
      <c r="G13654" s="410">
        <v>178.8</v>
      </c>
      <c r="H13654" s="411">
        <v>11206.01</v>
      </c>
      <c r="I13654" s="411">
        <v>8708.1200000000008</v>
      </c>
      <c r="J13654" s="411">
        <v>1689.15</v>
      </c>
      <c r="K13654" s="411">
        <v>808.74</v>
      </c>
      <c r="L13654" s="43">
        <v>8.964951439223027</v>
      </c>
      <c r="M13654" s="43">
        <v>11.500422609614368</v>
      </c>
      <c r="N13654" s="43">
        <v>5.37980126122683</v>
      </c>
      <c r="O13654" s="43">
        <v>4.5231543624161068</v>
      </c>
      <c r="P13654" s="412"/>
      <c r="Q13654" s="412"/>
      <c r="R13654" s="412">
        <v>1</v>
      </c>
    </row>
    <row r="13655" spans="1:18" ht="24">
      <c r="A13655" s="408">
        <v>70</v>
      </c>
      <c r="B13655" s="405" t="s">
        <v>24670</v>
      </c>
      <c r="C13655" s="409" t="s">
        <v>24671</v>
      </c>
      <c r="D13655" s="410">
        <v>3290.68</v>
      </c>
      <c r="E13655" s="410">
        <v>1970.64</v>
      </c>
      <c r="F13655" s="410">
        <v>959.87</v>
      </c>
      <c r="G13655" s="410">
        <v>360.17</v>
      </c>
      <c r="H13655" s="411">
        <v>29542.55</v>
      </c>
      <c r="I13655" s="411">
        <v>22663.279999999999</v>
      </c>
      <c r="J13655" s="411">
        <v>5141.5200000000004</v>
      </c>
      <c r="K13655" s="411">
        <v>1737.75</v>
      </c>
      <c r="L13655" s="43">
        <v>8.9776429187888223</v>
      </c>
      <c r="M13655" s="43">
        <v>11.500466853408028</v>
      </c>
      <c r="N13655" s="43">
        <v>5.3564753560377971</v>
      </c>
      <c r="O13655" s="43">
        <v>4.8248049532165362</v>
      </c>
      <c r="P13655" s="412"/>
      <c r="Q13655" s="412"/>
      <c r="R13655" s="412">
        <v>1</v>
      </c>
    </row>
    <row r="13656" spans="1:18" ht="12.75" customHeight="1">
      <c r="A13656" s="628" t="s">
        <v>24672</v>
      </c>
      <c r="B13656" s="629"/>
      <c r="C13656" s="629"/>
      <c r="D13656" s="629"/>
      <c r="E13656" s="629"/>
      <c r="F13656" s="629"/>
      <c r="G13656" s="629"/>
      <c r="H13656" s="629"/>
      <c r="I13656" s="629"/>
      <c r="J13656" s="629"/>
      <c r="K13656" s="629"/>
      <c r="L13656" s="629"/>
      <c r="M13656" s="629"/>
      <c r="N13656" s="629"/>
      <c r="O13656" s="629"/>
      <c r="P13656" s="629"/>
      <c r="Q13656" s="629"/>
      <c r="R13656" s="629"/>
    </row>
    <row r="13657" spans="1:18" ht="12.75" customHeight="1">
      <c r="A13657" s="628" t="s">
        <v>24673</v>
      </c>
      <c r="B13657" s="629"/>
      <c r="C13657" s="629"/>
      <c r="D13657" s="629"/>
      <c r="E13657" s="629"/>
      <c r="F13657" s="629"/>
      <c r="G13657" s="629"/>
      <c r="H13657" s="629"/>
      <c r="I13657" s="629"/>
      <c r="J13657" s="629"/>
      <c r="K13657" s="629"/>
      <c r="L13657" s="629"/>
      <c r="M13657" s="629"/>
      <c r="N13657" s="629"/>
      <c r="O13657" s="629"/>
      <c r="P13657" s="629"/>
      <c r="Q13657" s="629"/>
      <c r="R13657" s="629"/>
    </row>
    <row r="13658" spans="1:18" ht="24">
      <c r="A13658" s="408">
        <v>71</v>
      </c>
      <c r="B13658" s="405" t="s">
        <v>24674</v>
      </c>
      <c r="C13658" s="409" t="s">
        <v>24675</v>
      </c>
      <c r="D13658" s="410">
        <v>6420.52</v>
      </c>
      <c r="E13658" s="410">
        <v>1493.7</v>
      </c>
      <c r="F13658" s="410">
        <v>4186.91</v>
      </c>
      <c r="G13658" s="410">
        <v>739.91</v>
      </c>
      <c r="H13658" s="411">
        <v>43683.1</v>
      </c>
      <c r="I13658" s="411">
        <v>17178.2</v>
      </c>
      <c r="J13658" s="411">
        <v>22555.51</v>
      </c>
      <c r="K13658" s="411">
        <v>3949.39</v>
      </c>
      <c r="L13658" s="43">
        <v>6.8036701077171315</v>
      </c>
      <c r="M13658" s="43">
        <v>11.500435161009573</v>
      </c>
      <c r="N13658" s="43">
        <v>5.3871494730003748</v>
      </c>
      <c r="O13658" s="43">
        <v>5.3376626887053833</v>
      </c>
      <c r="P13658" s="412"/>
      <c r="Q13658" s="412"/>
      <c r="R13658" s="412">
        <v>1</v>
      </c>
    </row>
    <row r="13659" spans="1:18" ht="24">
      <c r="A13659" s="408">
        <v>72</v>
      </c>
      <c r="B13659" s="405" t="s">
        <v>24676</v>
      </c>
      <c r="C13659" s="409" t="s">
        <v>24677</v>
      </c>
      <c r="D13659" s="410">
        <v>8438.39</v>
      </c>
      <c r="E13659" s="410">
        <v>1861.38</v>
      </c>
      <c r="F13659" s="410">
        <v>5426.88</v>
      </c>
      <c r="G13659" s="410">
        <v>1150.1300000000001</v>
      </c>
      <c r="H13659" s="411">
        <v>56612.82</v>
      </c>
      <c r="I13659" s="411">
        <v>21406.68</v>
      </c>
      <c r="J13659" s="411">
        <v>29240.69</v>
      </c>
      <c r="K13659" s="411">
        <v>5965.45</v>
      </c>
      <c r="L13659" s="43">
        <v>6.7089598845277365</v>
      </c>
      <c r="M13659" s="43">
        <v>11.500435161009573</v>
      </c>
      <c r="N13659" s="43">
        <v>5.3881217200306617</v>
      </c>
      <c r="O13659" s="43">
        <v>5.1867614965264792</v>
      </c>
      <c r="P13659" s="412"/>
      <c r="Q13659" s="412"/>
      <c r="R13659" s="412">
        <v>1</v>
      </c>
    </row>
    <row r="13660" spans="1:18" ht="12.75" customHeight="1">
      <c r="A13660" s="628" t="s">
        <v>24678</v>
      </c>
      <c r="B13660" s="629"/>
      <c r="C13660" s="629"/>
      <c r="D13660" s="629"/>
      <c r="E13660" s="629"/>
      <c r="F13660" s="629"/>
      <c r="G13660" s="629"/>
      <c r="H13660" s="629"/>
      <c r="I13660" s="629"/>
      <c r="J13660" s="629"/>
      <c r="K13660" s="629"/>
      <c r="L13660" s="629"/>
      <c r="M13660" s="629"/>
      <c r="N13660" s="629"/>
      <c r="O13660" s="629"/>
      <c r="P13660" s="629"/>
      <c r="Q13660" s="629"/>
      <c r="R13660" s="629"/>
    </row>
    <row r="13661" spans="1:18" ht="12.75" customHeight="1">
      <c r="A13661" s="628" t="s">
        <v>24679</v>
      </c>
      <c r="B13661" s="629"/>
      <c r="C13661" s="629"/>
      <c r="D13661" s="629"/>
      <c r="E13661" s="629"/>
      <c r="F13661" s="629"/>
      <c r="G13661" s="629"/>
      <c r="H13661" s="629"/>
      <c r="I13661" s="629"/>
      <c r="J13661" s="629"/>
      <c r="K13661" s="629"/>
      <c r="L13661" s="629"/>
      <c r="M13661" s="629"/>
      <c r="N13661" s="629"/>
      <c r="O13661" s="629"/>
      <c r="P13661" s="629"/>
      <c r="Q13661" s="629"/>
      <c r="R13661" s="629"/>
    </row>
    <row r="13662" spans="1:18" ht="24">
      <c r="A13662" s="408">
        <v>73</v>
      </c>
      <c r="B13662" s="405" t="s">
        <v>24680</v>
      </c>
      <c r="C13662" s="409" t="s">
        <v>24681</v>
      </c>
      <c r="D13662" s="410">
        <v>42704.49</v>
      </c>
      <c r="E13662" s="410">
        <v>14006.31</v>
      </c>
      <c r="F13662" s="410">
        <v>26763.05</v>
      </c>
      <c r="G13662" s="410">
        <v>1935.13</v>
      </c>
      <c r="H13662" s="411">
        <v>330887.78000000003</v>
      </c>
      <c r="I13662" s="411">
        <v>161078.66</v>
      </c>
      <c r="J13662" s="411">
        <v>159352.62</v>
      </c>
      <c r="K13662" s="411">
        <v>10456.5</v>
      </c>
      <c r="L13662" s="43">
        <v>7.7483135848244542</v>
      </c>
      <c r="M13662" s="43">
        <v>11.500435161009575</v>
      </c>
      <c r="N13662" s="43">
        <v>5.9542025292334024</v>
      </c>
      <c r="O13662" s="43">
        <v>5.4035129422829469</v>
      </c>
      <c r="P13662" s="412"/>
      <c r="Q13662" s="412"/>
      <c r="R13662" s="412">
        <v>1</v>
      </c>
    </row>
    <row r="13663" spans="1:18" ht="24">
      <c r="A13663" s="408">
        <v>74</v>
      </c>
      <c r="B13663" s="405" t="s">
        <v>24682</v>
      </c>
      <c r="C13663" s="409" t="s">
        <v>24683</v>
      </c>
      <c r="D13663" s="410">
        <v>39032.519999999997</v>
      </c>
      <c r="E13663" s="410">
        <v>12615.27</v>
      </c>
      <c r="F13663" s="410">
        <v>24956.46</v>
      </c>
      <c r="G13663" s="410">
        <v>1460.79</v>
      </c>
      <c r="H13663" s="411">
        <v>302122.37</v>
      </c>
      <c r="I13663" s="411">
        <v>145081.01</v>
      </c>
      <c r="J13663" s="411">
        <v>148637.23000000001</v>
      </c>
      <c r="K13663" s="411">
        <v>8404.1299999999992</v>
      </c>
      <c r="L13663" s="43">
        <v>7.7402732388275215</v>
      </c>
      <c r="M13663" s="43">
        <v>11.500428449014567</v>
      </c>
      <c r="N13663" s="43">
        <v>5.9558619291357839</v>
      </c>
      <c r="O13663" s="43">
        <v>5.7531404240171407</v>
      </c>
      <c r="P13663" s="412"/>
      <c r="Q13663" s="412"/>
      <c r="R13663" s="412">
        <v>1</v>
      </c>
    </row>
    <row r="13664" spans="1:18" ht="24">
      <c r="A13664" s="408">
        <v>75</v>
      </c>
      <c r="B13664" s="405" t="s">
        <v>24684</v>
      </c>
      <c r="C13664" s="409" t="s">
        <v>24685</v>
      </c>
      <c r="D13664" s="410">
        <v>1549.18</v>
      </c>
      <c r="E13664" s="410">
        <v>669.71</v>
      </c>
      <c r="F13664" s="410">
        <v>735.27</v>
      </c>
      <c r="G13664" s="410">
        <v>144.19999999999999</v>
      </c>
      <c r="H13664" s="411">
        <v>12724.79</v>
      </c>
      <c r="I13664" s="411">
        <v>7701.71</v>
      </c>
      <c r="J13664" s="411">
        <v>4376.8900000000003</v>
      </c>
      <c r="K13664" s="411">
        <v>646.19000000000005</v>
      </c>
      <c r="L13664" s="43">
        <v>8.2138873468544649</v>
      </c>
      <c r="M13664" s="43">
        <v>11.500067193262755</v>
      </c>
      <c r="N13664" s="43">
        <v>5.952765650713344</v>
      </c>
      <c r="O13664" s="43">
        <v>4.48120665742025</v>
      </c>
      <c r="P13664" s="412"/>
      <c r="Q13664" s="412"/>
      <c r="R13664" s="412">
        <v>1</v>
      </c>
    </row>
    <row r="13665" spans="1:18" ht="24">
      <c r="A13665" s="408">
        <v>76</v>
      </c>
      <c r="B13665" s="405" t="s">
        <v>24686</v>
      </c>
      <c r="C13665" s="409" t="s">
        <v>24687</v>
      </c>
      <c r="D13665" s="410">
        <v>2256.23</v>
      </c>
      <c r="E13665" s="410">
        <v>793.61</v>
      </c>
      <c r="F13665" s="410">
        <v>1131.06</v>
      </c>
      <c r="G13665" s="410">
        <v>331.56</v>
      </c>
      <c r="H13665" s="411">
        <v>17237.060000000001</v>
      </c>
      <c r="I13665" s="411">
        <v>9126.9</v>
      </c>
      <c r="J13665" s="411">
        <v>6687.53</v>
      </c>
      <c r="K13665" s="411">
        <v>1422.63</v>
      </c>
      <c r="L13665" s="43">
        <v>7.639761903706626</v>
      </c>
      <c r="M13665" s="43">
        <v>11.500485124935421</v>
      </c>
      <c r="N13665" s="43">
        <v>5.9126217884108714</v>
      </c>
      <c r="O13665" s="43">
        <v>4.2907166123778504</v>
      </c>
      <c r="P13665" s="412"/>
      <c r="Q13665" s="412"/>
      <c r="R13665" s="412">
        <v>1</v>
      </c>
    </row>
    <row r="13666" spans="1:18" ht="24">
      <c r="A13666" s="408">
        <v>77</v>
      </c>
      <c r="B13666" s="405" t="s">
        <v>24688</v>
      </c>
      <c r="C13666" s="409" t="s">
        <v>24689</v>
      </c>
      <c r="D13666" s="410">
        <v>50111.27</v>
      </c>
      <c r="E13666" s="410">
        <v>16302.99</v>
      </c>
      <c r="F13666" s="410">
        <v>32221.56</v>
      </c>
      <c r="G13666" s="410">
        <v>1586.72</v>
      </c>
      <c r="H13666" s="411">
        <v>390616.37</v>
      </c>
      <c r="I13666" s="411">
        <v>187491.37</v>
      </c>
      <c r="J13666" s="411">
        <v>191961.29</v>
      </c>
      <c r="K13666" s="411">
        <v>11163.71</v>
      </c>
      <c r="L13666" s="43">
        <v>7.7949804505054452</v>
      </c>
      <c r="M13666" s="43">
        <v>11.500428449014567</v>
      </c>
      <c r="N13666" s="43">
        <v>5.9575417825828421</v>
      </c>
      <c r="O13666" s="43">
        <v>7.0357151860441656</v>
      </c>
      <c r="P13666" s="412"/>
      <c r="Q13666" s="412"/>
      <c r="R13666" s="412">
        <v>1</v>
      </c>
    </row>
    <row r="13667" spans="1:18" ht="24">
      <c r="A13667" s="408">
        <v>78</v>
      </c>
      <c r="B13667" s="405" t="s">
        <v>24690</v>
      </c>
      <c r="C13667" s="409" t="s">
        <v>24691</v>
      </c>
      <c r="D13667" s="410">
        <v>1133.26</v>
      </c>
      <c r="E13667" s="410">
        <v>694.84</v>
      </c>
      <c r="F13667" s="410">
        <v>66.819999999999993</v>
      </c>
      <c r="G13667" s="410">
        <v>371.6</v>
      </c>
      <c r="H13667" s="411">
        <v>11216.55</v>
      </c>
      <c r="I13667" s="411">
        <v>7990.71</v>
      </c>
      <c r="J13667" s="411">
        <v>367.09</v>
      </c>
      <c r="K13667" s="411">
        <v>2858.75</v>
      </c>
      <c r="L13667" s="43">
        <v>9.8975963150556794</v>
      </c>
      <c r="M13667" s="43">
        <v>11.500071959012146</v>
      </c>
      <c r="N13667" s="43">
        <v>5.4937144567494762</v>
      </c>
      <c r="O13667" s="43">
        <v>7.6930839612486537</v>
      </c>
      <c r="P13667" s="412"/>
      <c r="Q13667" s="412"/>
      <c r="R13667" s="412">
        <v>1</v>
      </c>
    </row>
    <row r="13668" spans="1:18" ht="12.75" customHeight="1">
      <c r="A13668" s="628" t="s">
        <v>24692</v>
      </c>
      <c r="B13668" s="629"/>
      <c r="C13668" s="629"/>
      <c r="D13668" s="629"/>
      <c r="E13668" s="629"/>
      <c r="F13668" s="629"/>
      <c r="G13668" s="629"/>
      <c r="H13668" s="629"/>
      <c r="I13668" s="629"/>
      <c r="J13668" s="629"/>
      <c r="K13668" s="629"/>
      <c r="L13668" s="629"/>
      <c r="M13668" s="629"/>
      <c r="N13668" s="629"/>
      <c r="O13668" s="629"/>
      <c r="P13668" s="629"/>
      <c r="Q13668" s="629"/>
      <c r="R13668" s="629"/>
    </row>
    <row r="13669" spans="1:18" ht="12.75" customHeight="1">
      <c r="A13669" s="628" t="s">
        <v>24693</v>
      </c>
      <c r="B13669" s="629"/>
      <c r="C13669" s="629"/>
      <c r="D13669" s="629"/>
      <c r="E13669" s="629"/>
      <c r="F13669" s="629"/>
      <c r="G13669" s="629"/>
      <c r="H13669" s="629"/>
      <c r="I13669" s="629"/>
      <c r="J13669" s="629"/>
      <c r="K13669" s="629"/>
      <c r="L13669" s="629"/>
      <c r="M13669" s="629"/>
      <c r="N13669" s="629"/>
      <c r="O13669" s="629"/>
      <c r="P13669" s="629"/>
      <c r="Q13669" s="629"/>
      <c r="R13669" s="629"/>
    </row>
    <row r="13670" spans="1:18" ht="24">
      <c r="A13670" s="408">
        <v>79</v>
      </c>
      <c r="B13670" s="405" t="s">
        <v>24694</v>
      </c>
      <c r="C13670" s="409" t="s">
        <v>24695</v>
      </c>
      <c r="D13670" s="410">
        <v>1319.99</v>
      </c>
      <c r="E13670" s="410">
        <v>589.04999999999995</v>
      </c>
      <c r="F13670" s="410">
        <v>484.55</v>
      </c>
      <c r="G13670" s="410">
        <v>246.39</v>
      </c>
      <c r="H13670" s="411">
        <v>10330.56</v>
      </c>
      <c r="I13670" s="411">
        <v>6774.35</v>
      </c>
      <c r="J13670" s="411">
        <v>2527.7600000000002</v>
      </c>
      <c r="K13670" s="411">
        <v>1028.45</v>
      </c>
      <c r="L13670" s="43">
        <v>7.8262411078871805</v>
      </c>
      <c r="M13670" s="43">
        <v>11.500466853408032</v>
      </c>
      <c r="N13670" s="43">
        <v>5.2167165411206273</v>
      </c>
      <c r="O13670" s="43">
        <v>4.1740736231178222</v>
      </c>
      <c r="P13670" s="412"/>
      <c r="Q13670" s="412"/>
      <c r="R13670" s="412">
        <v>1</v>
      </c>
    </row>
    <row r="13671" spans="1:18" ht="24">
      <c r="A13671" s="408">
        <v>80</v>
      </c>
      <c r="B13671" s="405" t="s">
        <v>24696</v>
      </c>
      <c r="C13671" s="409" t="s">
        <v>24697</v>
      </c>
      <c r="D13671" s="410">
        <v>2537.15</v>
      </c>
      <c r="E13671" s="410">
        <v>779.69</v>
      </c>
      <c r="F13671" s="410">
        <v>1216.02</v>
      </c>
      <c r="G13671" s="410">
        <v>541.44000000000005</v>
      </c>
      <c r="H13671" s="411">
        <v>17537.830000000002</v>
      </c>
      <c r="I13671" s="411">
        <v>8966.7800000000007</v>
      </c>
      <c r="J13671" s="411">
        <v>6400.29</v>
      </c>
      <c r="K13671" s="411">
        <v>2170.7600000000002</v>
      </c>
      <c r="L13671" s="43">
        <v>6.9124135348718054</v>
      </c>
      <c r="M13671" s="43">
        <v>11.500442483551154</v>
      </c>
      <c r="N13671" s="43">
        <v>5.263309813983323</v>
      </c>
      <c r="O13671" s="43">
        <v>4.00923463356974</v>
      </c>
      <c r="P13671" s="412"/>
      <c r="Q13671" s="412"/>
      <c r="R13671" s="412">
        <v>1</v>
      </c>
    </row>
    <row r="13672" spans="1:18" ht="12.75" customHeight="1">
      <c r="A13672" s="628" t="s">
        <v>24698</v>
      </c>
      <c r="B13672" s="629"/>
      <c r="C13672" s="629"/>
      <c r="D13672" s="629"/>
      <c r="E13672" s="629"/>
      <c r="F13672" s="629"/>
      <c r="G13672" s="629"/>
      <c r="H13672" s="629"/>
      <c r="I13672" s="629"/>
      <c r="J13672" s="629"/>
      <c r="K13672" s="629"/>
      <c r="L13672" s="629"/>
      <c r="M13672" s="629"/>
      <c r="N13672" s="629"/>
      <c r="O13672" s="629"/>
      <c r="P13672" s="629"/>
      <c r="Q13672" s="629"/>
      <c r="R13672" s="629"/>
    </row>
    <row r="13673" spans="1:18" ht="24">
      <c r="A13673" s="408">
        <v>81</v>
      </c>
      <c r="B13673" s="405" t="s">
        <v>24699</v>
      </c>
      <c r="C13673" s="409" t="s">
        <v>24700</v>
      </c>
      <c r="D13673" s="410">
        <v>2148.94</v>
      </c>
      <c r="E13673" s="410">
        <v>463.4</v>
      </c>
      <c r="F13673" s="410">
        <v>1367.11</v>
      </c>
      <c r="G13673" s="410">
        <v>318.43</v>
      </c>
      <c r="H13673" s="411">
        <v>13984.34</v>
      </c>
      <c r="I13673" s="411">
        <v>5329.15</v>
      </c>
      <c r="J13673" s="411">
        <v>7365.67</v>
      </c>
      <c r="K13673" s="411">
        <v>1289.52</v>
      </c>
      <c r="L13673" s="43">
        <v>6.5075525607974161</v>
      </c>
      <c r="M13673" s="43">
        <v>11.500107898144151</v>
      </c>
      <c r="N13673" s="43">
        <v>5.3877668951291415</v>
      </c>
      <c r="O13673" s="43">
        <v>4.0496184404735729</v>
      </c>
      <c r="P13673" s="412"/>
      <c r="Q13673" s="412"/>
      <c r="R13673" s="412">
        <v>2</v>
      </c>
    </row>
    <row r="13674" spans="1:18" ht="24">
      <c r="A13674" s="408">
        <v>82</v>
      </c>
      <c r="B13674" s="405" t="s">
        <v>24701</v>
      </c>
      <c r="C13674" s="409" t="s">
        <v>24702</v>
      </c>
      <c r="D13674" s="410">
        <v>1634.76</v>
      </c>
      <c r="E13674" s="410">
        <v>511.01</v>
      </c>
      <c r="F13674" s="410">
        <v>804.47</v>
      </c>
      <c r="G13674" s="410">
        <v>319.27999999999997</v>
      </c>
      <c r="H13674" s="411">
        <v>11520.3</v>
      </c>
      <c r="I13674" s="411">
        <v>5876.66</v>
      </c>
      <c r="J13674" s="411">
        <v>4344.1000000000004</v>
      </c>
      <c r="K13674" s="411">
        <v>1299.54</v>
      </c>
      <c r="L13674" s="43">
        <v>7.0470894810247371</v>
      </c>
      <c r="M13674" s="43">
        <v>11.500088060899003</v>
      </c>
      <c r="N13674" s="43">
        <v>5.399952763931533</v>
      </c>
      <c r="O13674" s="43">
        <v>4.0702204961162618</v>
      </c>
      <c r="P13674" s="412"/>
      <c r="Q13674" s="412"/>
      <c r="R13674" s="412">
        <v>2</v>
      </c>
    </row>
    <row r="13675" spans="1:18" ht="12.75" customHeight="1">
      <c r="A13675" s="628" t="s">
        <v>24703</v>
      </c>
      <c r="B13675" s="629"/>
      <c r="C13675" s="629"/>
      <c r="D13675" s="629"/>
      <c r="E13675" s="629"/>
      <c r="F13675" s="629"/>
      <c r="G13675" s="629"/>
      <c r="H13675" s="629"/>
      <c r="I13675" s="629"/>
      <c r="J13675" s="629"/>
      <c r="K13675" s="629"/>
      <c r="L13675" s="629"/>
      <c r="M13675" s="629"/>
      <c r="N13675" s="629"/>
      <c r="O13675" s="629"/>
      <c r="P13675" s="629"/>
      <c r="Q13675" s="629"/>
      <c r="R13675" s="629"/>
    </row>
    <row r="13676" spans="1:18" ht="24">
      <c r="A13676" s="408">
        <v>83</v>
      </c>
      <c r="B13676" s="405" t="s">
        <v>24704</v>
      </c>
      <c r="C13676" s="409" t="s">
        <v>24705</v>
      </c>
      <c r="D13676" s="410">
        <v>20574.43</v>
      </c>
      <c r="E13676" s="410">
        <v>4230.45</v>
      </c>
      <c r="F13676" s="410">
        <v>13093.27</v>
      </c>
      <c r="G13676" s="410">
        <v>3250.71</v>
      </c>
      <c r="H13676" s="411">
        <v>129090.04</v>
      </c>
      <c r="I13676" s="411">
        <v>48652.15</v>
      </c>
      <c r="J13676" s="411">
        <v>66983.17</v>
      </c>
      <c r="K13676" s="411">
        <v>13454.72</v>
      </c>
      <c r="L13676" s="43">
        <v>6.2742948407319181</v>
      </c>
      <c r="M13676" s="43">
        <v>11.50046685340803</v>
      </c>
      <c r="N13676" s="43">
        <v>5.1158473017053794</v>
      </c>
      <c r="O13676" s="43">
        <v>4.1390096317419882</v>
      </c>
      <c r="P13676" s="412"/>
      <c r="Q13676" s="412"/>
      <c r="R13676" s="412">
        <v>3</v>
      </c>
    </row>
    <row r="13677" spans="1:18" ht="36">
      <c r="A13677" s="408">
        <v>84</v>
      </c>
      <c r="B13677" s="405" t="s">
        <v>24706</v>
      </c>
      <c r="C13677" s="409" t="s">
        <v>24707</v>
      </c>
      <c r="D13677" s="410">
        <v>12825.3</v>
      </c>
      <c r="E13677" s="410">
        <v>2863.39</v>
      </c>
      <c r="F13677" s="410">
        <v>8782.18</v>
      </c>
      <c r="G13677" s="410">
        <v>1179.73</v>
      </c>
      <c r="H13677" s="411">
        <v>83238.59</v>
      </c>
      <c r="I13677" s="411">
        <v>32930.39</v>
      </c>
      <c r="J13677" s="411">
        <v>44900.97</v>
      </c>
      <c r="K13677" s="411">
        <v>5407.23</v>
      </c>
      <c r="L13677" s="43">
        <v>6.4901865843294111</v>
      </c>
      <c r="M13677" s="43">
        <v>11.500490677134446</v>
      </c>
      <c r="N13677" s="43">
        <v>5.1127362454424752</v>
      </c>
      <c r="O13677" s="43">
        <v>4.5834470599204895</v>
      </c>
      <c r="P13677" s="412"/>
      <c r="Q13677" s="412"/>
      <c r="R13677" s="412">
        <v>3</v>
      </c>
    </row>
    <row r="13678" spans="1:18" ht="36">
      <c r="A13678" s="408">
        <v>85</v>
      </c>
      <c r="B13678" s="405" t="s">
        <v>24708</v>
      </c>
      <c r="C13678" s="409" t="s">
        <v>24709</v>
      </c>
      <c r="D13678" s="410">
        <v>7555.12</v>
      </c>
      <c r="E13678" s="410">
        <v>1235.76</v>
      </c>
      <c r="F13678" s="410">
        <v>4251</v>
      </c>
      <c r="G13678" s="410">
        <v>2068.36</v>
      </c>
      <c r="H13678" s="411">
        <v>44391.68</v>
      </c>
      <c r="I13678" s="411">
        <v>14211.24</v>
      </c>
      <c r="J13678" s="411">
        <v>22163.08</v>
      </c>
      <c r="K13678" s="411">
        <v>8017.36</v>
      </c>
      <c r="L13678" s="43">
        <v>5.8757081290568518</v>
      </c>
      <c r="M13678" s="43">
        <v>11.5</v>
      </c>
      <c r="N13678" s="43">
        <v>5.2136156198541528</v>
      </c>
      <c r="O13678" s="43">
        <v>3.87619176545669</v>
      </c>
      <c r="P13678" s="412"/>
      <c r="Q13678" s="412"/>
      <c r="R13678" s="412">
        <v>3</v>
      </c>
    </row>
    <row r="13679" spans="1:18" ht="24">
      <c r="A13679" s="408">
        <v>86</v>
      </c>
      <c r="B13679" s="405" t="s">
        <v>24710</v>
      </c>
      <c r="C13679" s="409" t="s">
        <v>24711</v>
      </c>
      <c r="D13679" s="410">
        <v>24154.25</v>
      </c>
      <c r="E13679" s="410">
        <v>5517.56</v>
      </c>
      <c r="F13679" s="410">
        <v>17129.5</v>
      </c>
      <c r="G13679" s="410">
        <v>1507.19</v>
      </c>
      <c r="H13679" s="411">
        <v>159454.29</v>
      </c>
      <c r="I13679" s="411">
        <v>63451.94</v>
      </c>
      <c r="J13679" s="411">
        <v>87579.839999999997</v>
      </c>
      <c r="K13679" s="411">
        <v>8422.51</v>
      </c>
      <c r="L13679" s="43">
        <v>6.6015003570800177</v>
      </c>
      <c r="M13679" s="43">
        <v>11.5</v>
      </c>
      <c r="N13679" s="43">
        <v>5.1128077293557892</v>
      </c>
      <c r="O13679" s="43">
        <v>5.5882204632461736</v>
      </c>
      <c r="P13679" s="412"/>
      <c r="Q13679" s="412"/>
      <c r="R13679" s="412">
        <v>3</v>
      </c>
    </row>
    <row r="13680" spans="1:18" ht="36">
      <c r="A13680" s="408">
        <v>87</v>
      </c>
      <c r="B13680" s="405" t="s">
        <v>24712</v>
      </c>
      <c r="C13680" s="409" t="s">
        <v>24713</v>
      </c>
      <c r="D13680" s="410">
        <v>18183.39</v>
      </c>
      <c r="E13680" s="410">
        <v>4195.08</v>
      </c>
      <c r="F13680" s="410">
        <v>12568.43</v>
      </c>
      <c r="G13680" s="410">
        <v>1419.88</v>
      </c>
      <c r="H13680" s="411">
        <v>120035.3</v>
      </c>
      <c r="I13680" s="411">
        <v>48243.42</v>
      </c>
      <c r="J13680" s="411">
        <v>64206.97</v>
      </c>
      <c r="K13680" s="411">
        <v>7584.91</v>
      </c>
      <c r="L13680" s="43">
        <v>6.6013708114933465</v>
      </c>
      <c r="M13680" s="43">
        <v>11.5</v>
      </c>
      <c r="N13680" s="43">
        <v>5.1085911287249086</v>
      </c>
      <c r="O13680" s="43">
        <v>5.3419373468180407</v>
      </c>
      <c r="P13680" s="412"/>
      <c r="Q13680" s="412"/>
      <c r="R13680" s="412">
        <v>3</v>
      </c>
    </row>
    <row r="13681" spans="1:18" ht="36">
      <c r="A13681" s="408">
        <v>88</v>
      </c>
      <c r="B13681" s="405" t="s">
        <v>24714</v>
      </c>
      <c r="C13681" s="409" t="s">
        <v>24715</v>
      </c>
      <c r="D13681" s="410">
        <v>6627.28</v>
      </c>
      <c r="E13681" s="410">
        <v>1295.9100000000001</v>
      </c>
      <c r="F13681" s="410">
        <v>4240.45</v>
      </c>
      <c r="G13681" s="410">
        <v>1090.92</v>
      </c>
      <c r="H13681" s="411">
        <v>41267.03</v>
      </c>
      <c r="I13681" s="411">
        <v>14903.57</v>
      </c>
      <c r="J13681" s="411">
        <v>21820.38</v>
      </c>
      <c r="K13681" s="411">
        <v>4543.08</v>
      </c>
      <c r="L13681" s="43">
        <v>6.2268426865923878</v>
      </c>
      <c r="M13681" s="43">
        <v>11.500466853408028</v>
      </c>
      <c r="N13681" s="43">
        <v>5.1457699064957731</v>
      </c>
      <c r="O13681" s="43">
        <v>4.1644483555164449</v>
      </c>
      <c r="P13681" s="412"/>
      <c r="Q13681" s="412"/>
      <c r="R13681" s="412">
        <v>3</v>
      </c>
    </row>
    <row r="13682" spans="1:18" ht="24">
      <c r="A13682" s="408">
        <v>89</v>
      </c>
      <c r="B13682" s="405" t="s">
        <v>24716</v>
      </c>
      <c r="C13682" s="409" t="s">
        <v>24717</v>
      </c>
      <c r="D13682" s="410">
        <v>12378.69</v>
      </c>
      <c r="E13682" s="410">
        <v>2861.76</v>
      </c>
      <c r="F13682" s="410">
        <v>8359.33</v>
      </c>
      <c r="G13682" s="410">
        <v>1157.5999999999999</v>
      </c>
      <c r="H13682" s="411">
        <v>81577.88</v>
      </c>
      <c r="I13682" s="411">
        <v>32910.239999999998</v>
      </c>
      <c r="J13682" s="411">
        <v>43454.46</v>
      </c>
      <c r="K13682" s="411">
        <v>5213.18</v>
      </c>
      <c r="L13682" s="43">
        <v>6.5901868452962313</v>
      </c>
      <c r="M13682" s="43">
        <v>11.499999999999998</v>
      </c>
      <c r="N13682" s="43">
        <v>5.198318525527764</v>
      </c>
      <c r="O13682" s="43">
        <v>4.503438147892191</v>
      </c>
      <c r="P13682" s="412"/>
      <c r="Q13682" s="412"/>
      <c r="R13682" s="412">
        <v>3</v>
      </c>
    </row>
    <row r="13683" spans="1:18" ht="24">
      <c r="A13683" s="408">
        <v>90</v>
      </c>
      <c r="B13683" s="405" t="s">
        <v>24718</v>
      </c>
      <c r="C13683" s="409" t="s">
        <v>24719</v>
      </c>
      <c r="D13683" s="410">
        <v>20866.3</v>
      </c>
      <c r="E13683" s="410">
        <v>4939.5</v>
      </c>
      <c r="F13683" s="410">
        <v>14523.65</v>
      </c>
      <c r="G13683" s="410">
        <v>1403.15</v>
      </c>
      <c r="H13683" s="411">
        <v>139147.82999999999</v>
      </c>
      <c r="I13683" s="411">
        <v>56804.25</v>
      </c>
      <c r="J13683" s="411">
        <v>74864.570000000007</v>
      </c>
      <c r="K13683" s="411">
        <v>7479.01</v>
      </c>
      <c r="L13683" s="43">
        <v>6.6685435367075137</v>
      </c>
      <c r="M13683" s="43">
        <v>11.5</v>
      </c>
      <c r="N13683" s="43">
        <v>5.1546663545320914</v>
      </c>
      <c r="O13683" s="43">
        <v>5.3301571464205537</v>
      </c>
      <c r="P13683" s="412"/>
      <c r="Q13683" s="412"/>
      <c r="R13683" s="412">
        <v>3</v>
      </c>
    </row>
    <row r="13684" spans="1:18" ht="12.75" customHeight="1">
      <c r="A13684" s="628" t="s">
        <v>24720</v>
      </c>
      <c r="B13684" s="629"/>
      <c r="C13684" s="629"/>
      <c r="D13684" s="629"/>
      <c r="E13684" s="629"/>
      <c r="F13684" s="629"/>
      <c r="G13684" s="629"/>
      <c r="H13684" s="629"/>
      <c r="I13684" s="629"/>
      <c r="J13684" s="629"/>
      <c r="K13684" s="629"/>
      <c r="L13684" s="629"/>
      <c r="M13684" s="629"/>
      <c r="N13684" s="629"/>
      <c r="O13684" s="629"/>
      <c r="P13684" s="629"/>
      <c r="Q13684" s="629"/>
      <c r="R13684" s="629"/>
    </row>
    <row r="13685" spans="1:18" ht="12.75" customHeight="1">
      <c r="A13685" s="628" t="s">
        <v>22535</v>
      </c>
      <c r="B13685" s="629"/>
      <c r="C13685" s="629"/>
      <c r="D13685" s="629"/>
      <c r="E13685" s="629"/>
      <c r="F13685" s="629"/>
      <c r="G13685" s="629"/>
      <c r="H13685" s="629"/>
      <c r="I13685" s="629"/>
      <c r="J13685" s="629"/>
      <c r="K13685" s="629"/>
      <c r="L13685" s="629"/>
      <c r="M13685" s="629"/>
      <c r="N13685" s="629"/>
      <c r="O13685" s="629"/>
      <c r="P13685" s="629"/>
      <c r="Q13685" s="629"/>
      <c r="R13685" s="629"/>
    </row>
    <row r="13686" spans="1:18" ht="24">
      <c r="A13686" s="408">
        <v>91</v>
      </c>
      <c r="B13686" s="405" t="s">
        <v>24721</v>
      </c>
      <c r="C13686" s="409" t="s">
        <v>24722</v>
      </c>
      <c r="D13686" s="410">
        <v>4089.95</v>
      </c>
      <c r="E13686" s="410">
        <v>817.17</v>
      </c>
      <c r="F13686" s="410">
        <v>2705.71</v>
      </c>
      <c r="G13686" s="410">
        <v>567.07000000000005</v>
      </c>
      <c r="H13686" s="411">
        <v>26297.46</v>
      </c>
      <c r="I13686" s="411">
        <v>9397.8700000000008</v>
      </c>
      <c r="J13686" s="411">
        <v>14581.06</v>
      </c>
      <c r="K13686" s="411">
        <v>2318.5300000000002</v>
      </c>
      <c r="L13686" s="43">
        <v>6.4297754251274464</v>
      </c>
      <c r="M13686" s="43">
        <v>11.500507850263716</v>
      </c>
      <c r="N13686" s="43">
        <v>5.3889958643017914</v>
      </c>
      <c r="O13686" s="43">
        <v>4.0886133986985733</v>
      </c>
      <c r="P13686" s="412"/>
      <c r="Q13686" s="412"/>
      <c r="R13686" s="412">
        <v>1</v>
      </c>
    </row>
    <row r="13687" spans="1:18" ht="24">
      <c r="A13687" s="408">
        <v>92</v>
      </c>
      <c r="B13687" s="405" t="s">
        <v>24723</v>
      </c>
      <c r="C13687" s="409" t="s">
        <v>24724</v>
      </c>
      <c r="D13687" s="410">
        <v>5783.52</v>
      </c>
      <c r="E13687" s="410">
        <v>1009.95</v>
      </c>
      <c r="F13687" s="410">
        <v>3617.83</v>
      </c>
      <c r="G13687" s="410">
        <v>1155.74</v>
      </c>
      <c r="H13687" s="411">
        <v>35776.129999999997</v>
      </c>
      <c r="I13687" s="411">
        <v>11614.93</v>
      </c>
      <c r="J13687" s="411">
        <v>19512.71</v>
      </c>
      <c r="K13687" s="411">
        <v>4648.49</v>
      </c>
      <c r="L13687" s="43">
        <v>6.1858746922289534</v>
      </c>
      <c r="M13687" s="43">
        <v>11.5005000247537</v>
      </c>
      <c r="N13687" s="43">
        <v>5.393484492085034</v>
      </c>
      <c r="O13687" s="43">
        <v>4.0220897433678857</v>
      </c>
      <c r="P13687" s="412"/>
      <c r="Q13687" s="412"/>
      <c r="R13687" s="412">
        <v>1</v>
      </c>
    </row>
    <row r="13688" spans="1:18" ht="24">
      <c r="A13688" s="408">
        <v>93</v>
      </c>
      <c r="B13688" s="405" t="s">
        <v>24725</v>
      </c>
      <c r="C13688" s="409" t="s">
        <v>24726</v>
      </c>
      <c r="D13688" s="410">
        <v>8990.64</v>
      </c>
      <c r="E13688" s="410">
        <v>1574.37</v>
      </c>
      <c r="F13688" s="410">
        <v>6191.71</v>
      </c>
      <c r="G13688" s="410">
        <v>1224.56</v>
      </c>
      <c r="H13688" s="411">
        <v>56606.69</v>
      </c>
      <c r="I13688" s="411">
        <v>18105.990000000002</v>
      </c>
      <c r="J13688" s="411">
        <v>33389.5</v>
      </c>
      <c r="K13688" s="411">
        <v>5111.2</v>
      </c>
      <c r="L13688" s="43">
        <v>6.2961802496818917</v>
      </c>
      <c r="M13688" s="43">
        <v>11.500466853408032</v>
      </c>
      <c r="N13688" s="43">
        <v>5.392613672151958</v>
      </c>
      <c r="O13688" s="43">
        <v>4.1739073626445418</v>
      </c>
      <c r="P13688" s="412"/>
      <c r="Q13688" s="412"/>
      <c r="R13688" s="412">
        <v>1</v>
      </c>
    </row>
    <row r="13689" spans="1:18" ht="24">
      <c r="A13689" s="408">
        <v>94</v>
      </c>
      <c r="B13689" s="405" t="s">
        <v>24727</v>
      </c>
      <c r="C13689" s="409" t="s">
        <v>24728</v>
      </c>
      <c r="D13689" s="410">
        <v>4695.67</v>
      </c>
      <c r="E13689" s="410">
        <v>924.65</v>
      </c>
      <c r="F13689" s="410">
        <v>3104.69</v>
      </c>
      <c r="G13689" s="410">
        <v>666.33</v>
      </c>
      <c r="H13689" s="411">
        <v>30194.59</v>
      </c>
      <c r="I13689" s="411">
        <v>10633.5</v>
      </c>
      <c r="J13689" s="411">
        <v>16734.77</v>
      </c>
      <c r="K13689" s="411">
        <v>2826.32</v>
      </c>
      <c r="L13689" s="43">
        <v>6.4303049405090222</v>
      </c>
      <c r="M13689" s="43">
        <v>11.500027037257341</v>
      </c>
      <c r="N13689" s="43">
        <v>5.3901581156250709</v>
      </c>
      <c r="O13689" s="43">
        <v>4.2416220191196556</v>
      </c>
      <c r="P13689" s="412"/>
      <c r="Q13689" s="412"/>
      <c r="R13689" s="412">
        <v>1</v>
      </c>
    </row>
    <row r="13690" spans="1:18" ht="24">
      <c r="A13690" s="408">
        <v>95</v>
      </c>
      <c r="B13690" s="405" t="s">
        <v>24729</v>
      </c>
      <c r="C13690" s="409" t="s">
        <v>24730</v>
      </c>
      <c r="D13690" s="410">
        <v>10272.48</v>
      </c>
      <c r="E13690" s="410">
        <v>1756.08</v>
      </c>
      <c r="F13690" s="410">
        <v>7211.37</v>
      </c>
      <c r="G13690" s="410">
        <v>1305.03</v>
      </c>
      <c r="H13690" s="411">
        <v>64619.42</v>
      </c>
      <c r="I13690" s="411">
        <v>20194.919999999998</v>
      </c>
      <c r="J13690" s="411">
        <v>38858.800000000003</v>
      </c>
      <c r="K13690" s="411">
        <v>5565.7</v>
      </c>
      <c r="L13690" s="43">
        <v>6.2905374359453612</v>
      </c>
      <c r="M13690" s="43">
        <v>11.5</v>
      </c>
      <c r="N13690" s="43">
        <v>5.3885461431045698</v>
      </c>
      <c r="O13690" s="43">
        <v>4.2648061730381679</v>
      </c>
      <c r="P13690" s="412"/>
      <c r="Q13690" s="412"/>
      <c r="R13690" s="412">
        <v>1</v>
      </c>
    </row>
    <row r="13691" spans="1:18" ht="24">
      <c r="A13691" s="408">
        <v>96</v>
      </c>
      <c r="B13691" s="405" t="s">
        <v>24731</v>
      </c>
      <c r="C13691" s="409" t="s">
        <v>24732</v>
      </c>
      <c r="D13691" s="410">
        <v>17433.400000000001</v>
      </c>
      <c r="E13691" s="410">
        <v>3405.78</v>
      </c>
      <c r="F13691" s="410">
        <v>12269.48</v>
      </c>
      <c r="G13691" s="410">
        <v>1758.14</v>
      </c>
      <c r="H13691" s="411">
        <v>113480.25</v>
      </c>
      <c r="I13691" s="411">
        <v>39168.06</v>
      </c>
      <c r="J13691" s="411">
        <v>66040.87</v>
      </c>
      <c r="K13691" s="411">
        <v>8271.32</v>
      </c>
      <c r="L13691" s="43">
        <v>6.5093584728165474</v>
      </c>
      <c r="M13691" s="43">
        <v>11.500466853408028</v>
      </c>
      <c r="N13691" s="43">
        <v>5.3825321040500489</v>
      </c>
      <c r="O13691" s="43">
        <v>4.704585527887426</v>
      </c>
      <c r="P13691" s="412"/>
      <c r="Q13691" s="412"/>
      <c r="R13691" s="412">
        <v>1</v>
      </c>
    </row>
    <row r="13692" spans="1:18" ht="12.75" customHeight="1">
      <c r="A13692" s="628" t="s">
        <v>24733</v>
      </c>
      <c r="B13692" s="629"/>
      <c r="C13692" s="629"/>
      <c r="D13692" s="629"/>
      <c r="E13692" s="629"/>
      <c r="F13692" s="629"/>
      <c r="G13692" s="629"/>
      <c r="H13692" s="629"/>
      <c r="I13692" s="629"/>
      <c r="J13692" s="629"/>
      <c r="K13692" s="629"/>
      <c r="L13692" s="629"/>
      <c r="M13692" s="629"/>
      <c r="N13692" s="629"/>
      <c r="O13692" s="629"/>
      <c r="P13692" s="629"/>
      <c r="Q13692" s="629"/>
      <c r="R13692" s="629"/>
    </row>
    <row r="13693" spans="1:18" ht="24">
      <c r="A13693" s="408">
        <v>97</v>
      </c>
      <c r="B13693" s="405" t="s">
        <v>24734</v>
      </c>
      <c r="C13693" s="409" t="s">
        <v>24735</v>
      </c>
      <c r="D13693" s="410">
        <v>2332.19</v>
      </c>
      <c r="E13693" s="410">
        <v>486.72</v>
      </c>
      <c r="F13693" s="410">
        <v>1522.21</v>
      </c>
      <c r="G13693" s="410">
        <v>323.26</v>
      </c>
      <c r="H13693" s="411">
        <v>15117.8</v>
      </c>
      <c r="I13693" s="411">
        <v>5597.23</v>
      </c>
      <c r="J13693" s="411">
        <v>8202.41</v>
      </c>
      <c r="K13693" s="411">
        <v>1318.16</v>
      </c>
      <c r="L13693" s="43">
        <v>6.4822334372413906</v>
      </c>
      <c r="M13693" s="43">
        <v>11.499897271531886</v>
      </c>
      <c r="N13693" s="43">
        <v>5.3884877907778819</v>
      </c>
      <c r="O13693" s="43">
        <v>4.0777083462228552</v>
      </c>
      <c r="P13693" s="412"/>
      <c r="Q13693" s="412"/>
      <c r="R13693" s="412">
        <v>2</v>
      </c>
    </row>
    <row r="13694" spans="1:18" ht="24">
      <c r="A13694" s="408">
        <v>98</v>
      </c>
      <c r="B13694" s="405" t="s">
        <v>24736</v>
      </c>
      <c r="C13694" s="409" t="s">
        <v>24737</v>
      </c>
      <c r="D13694" s="410">
        <v>2704.8</v>
      </c>
      <c r="E13694" s="410">
        <v>572.35</v>
      </c>
      <c r="F13694" s="410">
        <v>1803.11</v>
      </c>
      <c r="G13694" s="410">
        <v>329.34</v>
      </c>
      <c r="H13694" s="411">
        <v>17660.189999999999</v>
      </c>
      <c r="I13694" s="411">
        <v>6582.05</v>
      </c>
      <c r="J13694" s="411">
        <v>9716.86</v>
      </c>
      <c r="K13694" s="411">
        <v>1361.28</v>
      </c>
      <c r="L13694" s="43">
        <v>6.5292036379769289</v>
      </c>
      <c r="M13694" s="43">
        <v>11.500043679566698</v>
      </c>
      <c r="N13694" s="43">
        <v>5.3889446567319803</v>
      </c>
      <c r="O13694" s="43">
        <v>4.1333576243395882</v>
      </c>
      <c r="P13694" s="412"/>
      <c r="Q13694" s="412"/>
      <c r="R13694" s="412">
        <v>2</v>
      </c>
    </row>
    <row r="13695" spans="1:18" ht="12.75" customHeight="1">
      <c r="A13695" s="628" t="s">
        <v>19513</v>
      </c>
      <c r="B13695" s="629"/>
      <c r="C13695" s="629"/>
      <c r="D13695" s="629"/>
      <c r="E13695" s="629"/>
      <c r="F13695" s="629"/>
      <c r="G13695" s="629"/>
      <c r="H13695" s="629"/>
      <c r="I13695" s="629"/>
      <c r="J13695" s="629"/>
      <c r="K13695" s="629"/>
      <c r="L13695" s="629"/>
      <c r="M13695" s="629"/>
      <c r="N13695" s="629"/>
      <c r="O13695" s="629"/>
      <c r="P13695" s="629"/>
      <c r="Q13695" s="629"/>
      <c r="R13695" s="629"/>
    </row>
    <row r="13696" spans="1:18" ht="24">
      <c r="A13696" s="408">
        <v>99</v>
      </c>
      <c r="B13696" s="405" t="s">
        <v>24738</v>
      </c>
      <c r="C13696" s="409" t="s">
        <v>24739</v>
      </c>
      <c r="D13696" s="410">
        <v>5735.05</v>
      </c>
      <c r="E13696" s="410">
        <v>1799.08</v>
      </c>
      <c r="F13696" s="410">
        <v>3686.69</v>
      </c>
      <c r="G13696" s="410">
        <v>249.28</v>
      </c>
      <c r="H13696" s="411">
        <v>43177.71</v>
      </c>
      <c r="I13696" s="411">
        <v>20690.240000000002</v>
      </c>
      <c r="J13696" s="411">
        <v>20349.599999999999</v>
      </c>
      <c r="K13696" s="411">
        <v>2137.87</v>
      </c>
      <c r="L13696" s="43">
        <v>7.5287416849024851</v>
      </c>
      <c r="M13696" s="43">
        <v>11.500455788514131</v>
      </c>
      <c r="N13696" s="43">
        <v>5.519748066693972</v>
      </c>
      <c r="O13696" s="43">
        <v>8.576179396662388</v>
      </c>
      <c r="P13696" s="412"/>
      <c r="Q13696" s="412"/>
      <c r="R13696" s="412">
        <v>3</v>
      </c>
    </row>
    <row r="13697" spans="1:18" ht="24">
      <c r="A13697" s="408">
        <v>100</v>
      </c>
      <c r="B13697" s="405" t="s">
        <v>24740</v>
      </c>
      <c r="C13697" s="409" t="s">
        <v>24741</v>
      </c>
      <c r="D13697" s="410">
        <v>7346.29</v>
      </c>
      <c r="E13697" s="410">
        <v>2150.12</v>
      </c>
      <c r="F13697" s="410">
        <v>4607.63</v>
      </c>
      <c r="G13697" s="410">
        <v>588.54</v>
      </c>
      <c r="H13697" s="411">
        <v>55218.76</v>
      </c>
      <c r="I13697" s="411">
        <v>24727.360000000001</v>
      </c>
      <c r="J13697" s="411">
        <v>25433.52</v>
      </c>
      <c r="K13697" s="411">
        <v>5057.88</v>
      </c>
      <c r="L13697" s="43">
        <v>7.5165505309482752</v>
      </c>
      <c r="M13697" s="43">
        <v>11.500455788514131</v>
      </c>
      <c r="N13697" s="43">
        <v>5.5198703020858879</v>
      </c>
      <c r="O13697" s="43">
        <v>8.5939443368335215</v>
      </c>
      <c r="P13697" s="412"/>
      <c r="Q13697" s="412"/>
      <c r="R13697" s="412">
        <v>3</v>
      </c>
    </row>
    <row r="13698" spans="1:18" ht="24">
      <c r="A13698" s="408">
        <v>101</v>
      </c>
      <c r="B13698" s="405" t="s">
        <v>24742</v>
      </c>
      <c r="C13698" s="409" t="s">
        <v>24743</v>
      </c>
      <c r="D13698" s="410">
        <v>4929.8900000000003</v>
      </c>
      <c r="E13698" s="410">
        <v>1568.71</v>
      </c>
      <c r="F13698" s="410">
        <v>3125.91</v>
      </c>
      <c r="G13698" s="410">
        <v>235.27</v>
      </c>
      <c r="H13698" s="411">
        <v>37152.57</v>
      </c>
      <c r="I13698" s="411">
        <v>18040.88</v>
      </c>
      <c r="J13698" s="411">
        <v>17254.63</v>
      </c>
      <c r="K13698" s="411">
        <v>1857.06</v>
      </c>
      <c r="L13698" s="43">
        <v>7.5361864057818728</v>
      </c>
      <c r="M13698" s="43">
        <v>11.500455788514129</v>
      </c>
      <c r="N13698" s="43">
        <v>5.5198742126292828</v>
      </c>
      <c r="O13698" s="43">
        <v>7.89331406469163</v>
      </c>
      <c r="P13698" s="412"/>
      <c r="Q13698" s="412"/>
      <c r="R13698" s="412">
        <v>3</v>
      </c>
    </row>
    <row r="13699" spans="1:18" ht="24">
      <c r="A13699" s="408">
        <v>102</v>
      </c>
      <c r="B13699" s="405" t="s">
        <v>24744</v>
      </c>
      <c r="C13699" s="409" t="s">
        <v>24745</v>
      </c>
      <c r="D13699" s="410">
        <v>6243.1</v>
      </c>
      <c r="E13699" s="410">
        <v>1952.66</v>
      </c>
      <c r="F13699" s="410">
        <v>3988.95</v>
      </c>
      <c r="G13699" s="410">
        <v>301.49</v>
      </c>
      <c r="H13699" s="411">
        <v>46860.27</v>
      </c>
      <c r="I13699" s="411">
        <v>22456.48</v>
      </c>
      <c r="J13699" s="411">
        <v>22018.03</v>
      </c>
      <c r="K13699" s="411">
        <v>2385.7600000000002</v>
      </c>
      <c r="L13699" s="43">
        <v>7.5059297464400689</v>
      </c>
      <c r="M13699" s="43">
        <v>11.500455788514129</v>
      </c>
      <c r="N13699" s="43">
        <v>5.5197558254678549</v>
      </c>
      <c r="O13699" s="43">
        <v>7.9132309529337626</v>
      </c>
      <c r="P13699" s="412"/>
      <c r="Q13699" s="412"/>
      <c r="R13699" s="412">
        <v>3</v>
      </c>
    </row>
    <row r="13700" spans="1:18" ht="12.75" customHeight="1">
      <c r="A13700" s="628" t="s">
        <v>24746</v>
      </c>
      <c r="B13700" s="629"/>
      <c r="C13700" s="629"/>
      <c r="D13700" s="629"/>
      <c r="E13700" s="629"/>
      <c r="F13700" s="629"/>
      <c r="G13700" s="629"/>
      <c r="H13700" s="629"/>
      <c r="I13700" s="629"/>
      <c r="J13700" s="629"/>
      <c r="K13700" s="629"/>
      <c r="L13700" s="629"/>
      <c r="M13700" s="629"/>
      <c r="N13700" s="629"/>
      <c r="O13700" s="629"/>
      <c r="P13700" s="629"/>
      <c r="Q13700" s="629"/>
      <c r="R13700" s="629"/>
    </row>
    <row r="13701" spans="1:18" ht="12.75" customHeight="1">
      <c r="A13701" s="628" t="s">
        <v>24747</v>
      </c>
      <c r="B13701" s="629"/>
      <c r="C13701" s="629"/>
      <c r="D13701" s="629"/>
      <c r="E13701" s="629"/>
      <c r="F13701" s="629"/>
      <c r="G13701" s="629"/>
      <c r="H13701" s="629"/>
      <c r="I13701" s="629"/>
      <c r="J13701" s="629"/>
      <c r="K13701" s="629"/>
      <c r="L13701" s="629"/>
      <c r="M13701" s="629"/>
      <c r="N13701" s="629"/>
      <c r="O13701" s="629"/>
      <c r="P13701" s="629"/>
      <c r="Q13701" s="629"/>
      <c r="R13701" s="629"/>
    </row>
    <row r="13702" spans="1:18" ht="24">
      <c r="A13702" s="408">
        <v>103</v>
      </c>
      <c r="B13702" s="405" t="s">
        <v>24748</v>
      </c>
      <c r="C13702" s="409" t="s">
        <v>24749</v>
      </c>
      <c r="D13702" s="410">
        <v>1143.6400000000001</v>
      </c>
      <c r="E13702" s="410">
        <v>387.7</v>
      </c>
      <c r="F13702" s="410">
        <v>438.73</v>
      </c>
      <c r="G13702" s="410">
        <v>317.20999999999998</v>
      </c>
      <c r="H13702" s="411">
        <v>8077.71</v>
      </c>
      <c r="I13702" s="411">
        <v>4458.68</v>
      </c>
      <c r="J13702" s="411">
        <v>2374.1999999999998</v>
      </c>
      <c r="K13702" s="411">
        <v>1244.83</v>
      </c>
      <c r="L13702" s="43">
        <v>7.0631579867790562</v>
      </c>
      <c r="M13702" s="43">
        <v>11.500335310807326</v>
      </c>
      <c r="N13702" s="43">
        <v>5.4115287306543882</v>
      </c>
      <c r="O13702" s="43">
        <v>3.9243088175026006</v>
      </c>
      <c r="P13702" s="412"/>
      <c r="Q13702" s="412"/>
      <c r="R13702" s="412">
        <v>1</v>
      </c>
    </row>
    <row r="13703" spans="1:18" ht="24">
      <c r="A13703" s="408">
        <v>104</v>
      </c>
      <c r="B13703" s="405" t="s">
        <v>24750</v>
      </c>
      <c r="C13703" s="409" t="s">
        <v>24751</v>
      </c>
      <c r="D13703" s="410">
        <v>1478.67</v>
      </c>
      <c r="E13703" s="410">
        <v>469.21</v>
      </c>
      <c r="F13703" s="410">
        <v>628.27</v>
      </c>
      <c r="G13703" s="410">
        <v>381.19</v>
      </c>
      <c r="H13703" s="411">
        <v>10299.030000000001</v>
      </c>
      <c r="I13703" s="411">
        <v>5396.08</v>
      </c>
      <c r="J13703" s="411">
        <v>3401.59</v>
      </c>
      <c r="K13703" s="411">
        <v>1501.36</v>
      </c>
      <c r="L13703" s="43">
        <v>6.9650631986853053</v>
      </c>
      <c r="M13703" s="43">
        <v>11.500351654909316</v>
      </c>
      <c r="N13703" s="43">
        <v>5.4142168176102636</v>
      </c>
      <c r="O13703" s="43">
        <v>3.938613289960387</v>
      </c>
      <c r="P13703" s="412"/>
      <c r="Q13703" s="412"/>
      <c r="R13703" s="412">
        <v>1</v>
      </c>
    </row>
    <row r="13704" spans="1:18" ht="24">
      <c r="A13704" s="408">
        <v>105</v>
      </c>
      <c r="B13704" s="405" t="s">
        <v>24752</v>
      </c>
      <c r="C13704" s="409" t="s">
        <v>24753</v>
      </c>
      <c r="D13704" s="410">
        <v>2004.11</v>
      </c>
      <c r="E13704" s="410">
        <v>637.78</v>
      </c>
      <c r="F13704" s="410">
        <v>832.6</v>
      </c>
      <c r="G13704" s="410">
        <v>533.73</v>
      </c>
      <c r="H13704" s="411">
        <v>13938.64</v>
      </c>
      <c r="I13704" s="411">
        <v>7334.42</v>
      </c>
      <c r="J13704" s="411">
        <v>4508.78</v>
      </c>
      <c r="K13704" s="411">
        <v>2095.44</v>
      </c>
      <c r="L13704" s="43">
        <v>6.955027418654665</v>
      </c>
      <c r="M13704" s="43">
        <v>11.499921603060617</v>
      </c>
      <c r="N13704" s="43">
        <v>5.4153014652894544</v>
      </c>
      <c r="O13704" s="43">
        <v>3.9260300151762126</v>
      </c>
      <c r="P13704" s="412"/>
      <c r="Q13704" s="412"/>
      <c r="R13704" s="412">
        <v>1</v>
      </c>
    </row>
    <row r="13705" spans="1:18" ht="24">
      <c r="A13705" s="408">
        <v>106</v>
      </c>
      <c r="B13705" s="405" t="s">
        <v>24754</v>
      </c>
      <c r="C13705" s="409" t="s">
        <v>24755</v>
      </c>
      <c r="D13705" s="410">
        <v>2450.15</v>
      </c>
      <c r="E13705" s="410">
        <v>705.89</v>
      </c>
      <c r="F13705" s="410">
        <v>895.02</v>
      </c>
      <c r="G13705" s="410">
        <v>849.24</v>
      </c>
      <c r="H13705" s="411">
        <v>16229.01</v>
      </c>
      <c r="I13705" s="411">
        <v>8117.71</v>
      </c>
      <c r="J13705" s="411">
        <v>4846.28</v>
      </c>
      <c r="K13705" s="411">
        <v>3265.02</v>
      </c>
      <c r="L13705" s="43">
        <v>6.6236801828459484</v>
      </c>
      <c r="M13705" s="43">
        <v>11.499964583717009</v>
      </c>
      <c r="N13705" s="43">
        <v>5.4147169895644787</v>
      </c>
      <c r="O13705" s="43">
        <v>3.8446375582874097</v>
      </c>
      <c r="P13705" s="412"/>
      <c r="Q13705" s="412"/>
      <c r="R13705" s="412">
        <v>1</v>
      </c>
    </row>
    <row r="13706" spans="1:18" ht="12.75" customHeight="1">
      <c r="A13706" s="628" t="s">
        <v>24756</v>
      </c>
      <c r="B13706" s="629"/>
      <c r="C13706" s="629"/>
      <c r="D13706" s="629"/>
      <c r="E13706" s="629"/>
      <c r="F13706" s="629"/>
      <c r="G13706" s="629"/>
      <c r="H13706" s="629"/>
      <c r="I13706" s="629"/>
      <c r="J13706" s="629"/>
      <c r="K13706" s="629"/>
      <c r="L13706" s="629"/>
      <c r="M13706" s="629"/>
      <c r="N13706" s="629"/>
      <c r="O13706" s="629"/>
      <c r="P13706" s="629"/>
      <c r="Q13706" s="629"/>
      <c r="R13706" s="629"/>
    </row>
    <row r="13707" spans="1:18" ht="12.75" customHeight="1">
      <c r="A13707" s="628" t="s">
        <v>24757</v>
      </c>
      <c r="B13707" s="629"/>
      <c r="C13707" s="629"/>
      <c r="D13707" s="629"/>
      <c r="E13707" s="629"/>
      <c r="F13707" s="629"/>
      <c r="G13707" s="629"/>
      <c r="H13707" s="629"/>
      <c r="I13707" s="629"/>
      <c r="J13707" s="629"/>
      <c r="K13707" s="629"/>
      <c r="L13707" s="629"/>
      <c r="M13707" s="629"/>
      <c r="N13707" s="629"/>
      <c r="O13707" s="629"/>
      <c r="P13707" s="629"/>
      <c r="Q13707" s="629"/>
      <c r="R13707" s="629"/>
    </row>
    <row r="13708" spans="1:18" ht="24">
      <c r="A13708" s="408">
        <v>107</v>
      </c>
      <c r="B13708" s="405" t="s">
        <v>24758</v>
      </c>
      <c r="C13708" s="409" t="s">
        <v>24759</v>
      </c>
      <c r="D13708" s="410">
        <v>2263.7600000000002</v>
      </c>
      <c r="E13708" s="410">
        <v>489.06</v>
      </c>
      <c r="F13708" s="410">
        <v>1244.8399999999999</v>
      </c>
      <c r="G13708" s="410">
        <v>529.86</v>
      </c>
      <c r="H13708" s="411">
        <v>14547.73</v>
      </c>
      <c r="I13708" s="411">
        <v>5624.42</v>
      </c>
      <c r="J13708" s="411">
        <v>6869.89</v>
      </c>
      <c r="K13708" s="411">
        <v>2053.42</v>
      </c>
      <c r="L13708" s="43">
        <v>6.4263570343145906</v>
      </c>
      <c r="M13708" s="43">
        <v>11.500470289943975</v>
      </c>
      <c r="N13708" s="43">
        <v>5.5186931653867166</v>
      </c>
      <c r="O13708" s="43">
        <v>3.8754010493337865</v>
      </c>
      <c r="P13708" s="412"/>
      <c r="Q13708" s="412"/>
      <c r="R13708" s="412">
        <v>1</v>
      </c>
    </row>
    <row r="13709" spans="1:18" ht="24">
      <c r="A13709" s="408">
        <v>108</v>
      </c>
      <c r="B13709" s="405" t="s">
        <v>24760</v>
      </c>
      <c r="C13709" s="409" t="s">
        <v>24761</v>
      </c>
      <c r="D13709" s="410">
        <v>2942.49</v>
      </c>
      <c r="E13709" s="410">
        <v>561.16999999999996</v>
      </c>
      <c r="F13709" s="410">
        <v>1533.86</v>
      </c>
      <c r="G13709" s="410">
        <v>847.46</v>
      </c>
      <c r="H13709" s="411">
        <v>18159.599999999999</v>
      </c>
      <c r="I13709" s="411">
        <v>6453.67</v>
      </c>
      <c r="J13709" s="411">
        <v>8464.43</v>
      </c>
      <c r="K13709" s="411">
        <v>3241.5</v>
      </c>
      <c r="L13709" s="43">
        <v>6.1715078046144596</v>
      </c>
      <c r="M13709" s="43">
        <v>11.500383128107348</v>
      </c>
      <c r="N13709" s="43">
        <v>5.5183849895036055</v>
      </c>
      <c r="O13709" s="43">
        <v>3.8249592901139877</v>
      </c>
      <c r="P13709" s="412"/>
      <c r="Q13709" s="412"/>
      <c r="R13709" s="412">
        <v>1</v>
      </c>
    </row>
    <row r="13710" spans="1:18" ht="12.75" customHeight="1">
      <c r="A13710" s="628" t="s">
        <v>24762</v>
      </c>
      <c r="B13710" s="629"/>
      <c r="C13710" s="629"/>
      <c r="D13710" s="629"/>
      <c r="E13710" s="629"/>
      <c r="F13710" s="629"/>
      <c r="G13710" s="629"/>
      <c r="H13710" s="629"/>
      <c r="I13710" s="629"/>
      <c r="J13710" s="629"/>
      <c r="K13710" s="629"/>
      <c r="L13710" s="629"/>
      <c r="M13710" s="629"/>
      <c r="N13710" s="629"/>
      <c r="O13710" s="629"/>
      <c r="P13710" s="629"/>
      <c r="Q13710" s="629"/>
      <c r="R13710" s="629"/>
    </row>
    <row r="13711" spans="1:18" ht="24">
      <c r="A13711" s="408">
        <v>109</v>
      </c>
      <c r="B13711" s="405" t="s">
        <v>24763</v>
      </c>
      <c r="C13711" s="409" t="s">
        <v>24764</v>
      </c>
      <c r="D13711" s="410">
        <v>1605.86</v>
      </c>
      <c r="E13711" s="410">
        <v>668.8</v>
      </c>
      <c r="F13711" s="410">
        <v>551.32000000000005</v>
      </c>
      <c r="G13711" s="410">
        <v>385.74</v>
      </c>
      <c r="H13711" s="411">
        <v>12352.39</v>
      </c>
      <c r="I13711" s="411">
        <v>7691.52</v>
      </c>
      <c r="J13711" s="411">
        <v>2857.29</v>
      </c>
      <c r="K13711" s="411">
        <v>1803.58</v>
      </c>
      <c r="L13711" s="43">
        <v>7.6920715379921036</v>
      </c>
      <c r="M13711" s="43">
        <v>11.500478468899523</v>
      </c>
      <c r="N13711" s="43">
        <v>5.1826344047014432</v>
      </c>
      <c r="O13711" s="43">
        <v>4.6756364390522114</v>
      </c>
      <c r="P13711" s="412"/>
      <c r="Q13711" s="412"/>
      <c r="R13711" s="412">
        <v>2</v>
      </c>
    </row>
    <row r="13712" spans="1:18" ht="24">
      <c r="A13712" s="408">
        <v>110</v>
      </c>
      <c r="B13712" s="405" t="s">
        <v>24765</v>
      </c>
      <c r="C13712" s="409" t="s">
        <v>24766</v>
      </c>
      <c r="D13712" s="410">
        <v>1947.78</v>
      </c>
      <c r="E13712" s="410">
        <v>774.35</v>
      </c>
      <c r="F13712" s="410">
        <v>678.15</v>
      </c>
      <c r="G13712" s="410">
        <v>495.28</v>
      </c>
      <c r="H13712" s="411">
        <v>14750.24</v>
      </c>
      <c r="I13712" s="411">
        <v>8905.34</v>
      </c>
      <c r="J13712" s="411">
        <v>3518.92</v>
      </c>
      <c r="K13712" s="411">
        <v>2325.98</v>
      </c>
      <c r="L13712" s="43">
        <v>7.5728470361129077</v>
      </c>
      <c r="M13712" s="43">
        <v>11.500406792793957</v>
      </c>
      <c r="N13712" s="43">
        <v>5.1889994838899955</v>
      </c>
      <c r="O13712" s="43">
        <v>4.6962930059764174</v>
      </c>
      <c r="P13712" s="412"/>
      <c r="Q13712" s="412"/>
      <c r="R13712" s="412">
        <v>2</v>
      </c>
    </row>
    <row r="13713" spans="1:18" ht="24">
      <c r="A13713" s="408">
        <v>111</v>
      </c>
      <c r="B13713" s="405" t="s">
        <v>24767</v>
      </c>
      <c r="C13713" s="409" t="s">
        <v>24768</v>
      </c>
      <c r="D13713" s="410">
        <v>1734.09</v>
      </c>
      <c r="E13713" s="410">
        <v>880.94</v>
      </c>
      <c r="F13713" s="410">
        <v>520</v>
      </c>
      <c r="G13713" s="410">
        <v>333.15</v>
      </c>
      <c r="H13713" s="411">
        <v>14282.02</v>
      </c>
      <c r="I13713" s="411">
        <v>10131.17</v>
      </c>
      <c r="J13713" s="411">
        <v>2644.01</v>
      </c>
      <c r="K13713" s="411">
        <v>1506.84</v>
      </c>
      <c r="L13713" s="43">
        <v>8.2360315785224536</v>
      </c>
      <c r="M13713" s="43">
        <v>11.500408654391899</v>
      </c>
      <c r="N13713" s="43">
        <v>5.0846346153846156</v>
      </c>
      <c r="O13713" s="43">
        <v>4.5230076542098159</v>
      </c>
      <c r="P13713" s="412"/>
      <c r="Q13713" s="412"/>
      <c r="R13713" s="412">
        <v>2</v>
      </c>
    </row>
    <row r="13714" spans="1:18" ht="24">
      <c r="A13714" s="408">
        <v>112</v>
      </c>
      <c r="B13714" s="405" t="s">
        <v>24769</v>
      </c>
      <c r="C13714" s="409" t="s">
        <v>24770</v>
      </c>
      <c r="D13714" s="410">
        <v>2050.9</v>
      </c>
      <c r="E13714" s="410">
        <v>973.94</v>
      </c>
      <c r="F13714" s="410">
        <v>636.87</v>
      </c>
      <c r="G13714" s="410">
        <v>440.09</v>
      </c>
      <c r="H13714" s="411">
        <v>16394.509999999998</v>
      </c>
      <c r="I13714" s="411">
        <v>11200.78</v>
      </c>
      <c r="J13714" s="411">
        <v>3227.23</v>
      </c>
      <c r="K13714" s="411">
        <v>1966.5</v>
      </c>
      <c r="L13714" s="43">
        <v>7.9938124725730155</v>
      </c>
      <c r="M13714" s="43">
        <v>11.500482575928702</v>
      </c>
      <c r="N13714" s="43">
        <v>5.0673292822711069</v>
      </c>
      <c r="O13714" s="43">
        <v>4.468404190052035</v>
      </c>
      <c r="P13714" s="412"/>
      <c r="Q13714" s="412"/>
      <c r="R13714" s="412">
        <v>2</v>
      </c>
    </row>
    <row r="13715" spans="1:18" ht="12.75" customHeight="1">
      <c r="A13715" s="628" t="s">
        <v>24771</v>
      </c>
      <c r="B13715" s="629"/>
      <c r="C13715" s="629"/>
      <c r="D13715" s="629"/>
      <c r="E13715" s="629"/>
      <c r="F13715" s="629"/>
      <c r="G13715" s="629"/>
      <c r="H13715" s="629"/>
      <c r="I13715" s="629"/>
      <c r="J13715" s="629"/>
      <c r="K13715" s="629"/>
      <c r="L13715" s="629"/>
      <c r="M13715" s="629"/>
      <c r="N13715" s="629"/>
      <c r="O13715" s="629"/>
      <c r="P13715" s="629"/>
      <c r="Q13715" s="629"/>
      <c r="R13715" s="629"/>
    </row>
    <row r="13716" spans="1:18" ht="24">
      <c r="A13716" s="408">
        <v>113</v>
      </c>
      <c r="B13716" s="405" t="s">
        <v>24772</v>
      </c>
      <c r="C13716" s="409" t="s">
        <v>24773</v>
      </c>
      <c r="D13716" s="410">
        <v>1162.47</v>
      </c>
      <c r="E13716" s="410">
        <v>574.75</v>
      </c>
      <c r="F13716" s="410">
        <v>332.24</v>
      </c>
      <c r="G13716" s="410">
        <v>255.48</v>
      </c>
      <c r="H13716" s="411">
        <v>9372.36</v>
      </c>
      <c r="I13716" s="411">
        <v>6609.9</v>
      </c>
      <c r="J13716" s="411">
        <v>1702.81</v>
      </c>
      <c r="K13716" s="411">
        <v>1059.6500000000001</v>
      </c>
      <c r="L13716" s="43">
        <v>8.062453224599345</v>
      </c>
      <c r="M13716" s="43">
        <v>11.500478468899521</v>
      </c>
      <c r="N13716" s="43">
        <v>5.1252407897905128</v>
      </c>
      <c r="O13716" s="43">
        <v>4.1476827931736349</v>
      </c>
      <c r="P13716" s="412"/>
      <c r="Q13716" s="412"/>
      <c r="R13716" s="412">
        <v>3</v>
      </c>
    </row>
    <row r="13717" spans="1:18" ht="12.75" customHeight="1">
      <c r="A13717" s="628" t="s">
        <v>24774</v>
      </c>
      <c r="B13717" s="629"/>
      <c r="C13717" s="629"/>
      <c r="D13717" s="629"/>
      <c r="E13717" s="629"/>
      <c r="F13717" s="629"/>
      <c r="G13717" s="629"/>
      <c r="H13717" s="629"/>
      <c r="I13717" s="629"/>
      <c r="J13717" s="629"/>
      <c r="K13717" s="629"/>
      <c r="L13717" s="629"/>
      <c r="M13717" s="629"/>
      <c r="N13717" s="629"/>
      <c r="O13717" s="629"/>
      <c r="P13717" s="629"/>
      <c r="Q13717" s="629"/>
      <c r="R13717" s="629"/>
    </row>
    <row r="13718" spans="1:18" ht="24">
      <c r="A13718" s="408">
        <v>114</v>
      </c>
      <c r="B13718" s="405" t="s">
        <v>24775</v>
      </c>
      <c r="C13718" s="409" t="s">
        <v>24776</v>
      </c>
      <c r="D13718" s="410">
        <v>1803.28</v>
      </c>
      <c r="E13718" s="410">
        <v>474.79</v>
      </c>
      <c r="F13718" s="410">
        <v>1014.08</v>
      </c>
      <c r="G13718" s="410">
        <v>314.41000000000003</v>
      </c>
      <c r="H13718" s="411">
        <v>12312.17</v>
      </c>
      <c r="I13718" s="411">
        <v>5460.11</v>
      </c>
      <c r="J13718" s="411">
        <v>5597.15</v>
      </c>
      <c r="K13718" s="411">
        <v>1254.9100000000001</v>
      </c>
      <c r="L13718" s="43">
        <v>6.8276529435251323</v>
      </c>
      <c r="M13718" s="43">
        <v>11.500052654857935</v>
      </c>
      <c r="N13718" s="43">
        <v>5.5194363363837171</v>
      </c>
      <c r="O13718" s="43">
        <v>3.9913170700677458</v>
      </c>
      <c r="P13718" s="412"/>
      <c r="Q13718" s="412"/>
      <c r="R13718" s="412">
        <v>4</v>
      </c>
    </row>
    <row r="13719" spans="1:18" ht="24">
      <c r="A13719" s="408">
        <v>115</v>
      </c>
      <c r="B13719" s="405" t="s">
        <v>24777</v>
      </c>
      <c r="C13719" s="409" t="s">
        <v>24778</v>
      </c>
      <c r="D13719" s="410">
        <v>4078.12</v>
      </c>
      <c r="E13719" s="410">
        <v>975.99</v>
      </c>
      <c r="F13719" s="410">
        <v>2246.44</v>
      </c>
      <c r="G13719" s="410">
        <v>855.69</v>
      </c>
      <c r="H13719" s="411">
        <v>26958.83</v>
      </c>
      <c r="I13719" s="411">
        <v>11224.31</v>
      </c>
      <c r="J13719" s="411">
        <v>12398.16</v>
      </c>
      <c r="K13719" s="411">
        <v>3336.36</v>
      </c>
      <c r="L13719" s="43">
        <v>6.6106024344550924</v>
      </c>
      <c r="M13719" s="43">
        <v>11.500435455281304</v>
      </c>
      <c r="N13719" s="43">
        <v>5.5190256583750283</v>
      </c>
      <c r="O13719" s="43">
        <v>3.8990288539073727</v>
      </c>
      <c r="P13719" s="412"/>
      <c r="Q13719" s="412"/>
      <c r="R13719" s="412">
        <v>4</v>
      </c>
    </row>
    <row r="13720" spans="1:18" ht="12.75" customHeight="1">
      <c r="A13720" s="628" t="s">
        <v>24779</v>
      </c>
      <c r="B13720" s="629"/>
      <c r="C13720" s="629"/>
      <c r="D13720" s="629"/>
      <c r="E13720" s="629"/>
      <c r="F13720" s="629"/>
      <c r="G13720" s="629"/>
      <c r="H13720" s="629"/>
      <c r="I13720" s="629"/>
      <c r="J13720" s="629"/>
      <c r="K13720" s="629"/>
      <c r="L13720" s="629"/>
      <c r="M13720" s="629"/>
      <c r="N13720" s="629"/>
      <c r="O13720" s="629"/>
      <c r="P13720" s="629"/>
      <c r="Q13720" s="629"/>
      <c r="R13720" s="629"/>
    </row>
    <row r="13721" spans="1:18" ht="24">
      <c r="A13721" s="408">
        <v>116</v>
      </c>
      <c r="B13721" s="405" t="s">
        <v>24780</v>
      </c>
      <c r="C13721" s="409" t="s">
        <v>24781</v>
      </c>
      <c r="D13721" s="410">
        <v>3364.25</v>
      </c>
      <c r="E13721" s="410">
        <v>805.42</v>
      </c>
      <c r="F13721" s="410">
        <v>1330.92</v>
      </c>
      <c r="G13721" s="410">
        <v>1227.9100000000001</v>
      </c>
      <c r="H13721" s="411">
        <v>21553.98</v>
      </c>
      <c r="I13721" s="411">
        <v>9262.3799999999992</v>
      </c>
      <c r="J13721" s="411">
        <v>7319.73</v>
      </c>
      <c r="K13721" s="411">
        <v>4971.87</v>
      </c>
      <c r="L13721" s="43">
        <v>6.4067711971464663</v>
      </c>
      <c r="M13721" s="43">
        <v>11.500062079411983</v>
      </c>
      <c r="N13721" s="43">
        <v>5.4997520512126945</v>
      </c>
      <c r="O13721" s="43">
        <v>4.0490508262006166</v>
      </c>
      <c r="P13721" s="412"/>
      <c r="Q13721" s="412"/>
      <c r="R13721" s="412">
        <v>5</v>
      </c>
    </row>
    <row r="13722" spans="1:18" ht="24">
      <c r="A13722" s="408">
        <v>117</v>
      </c>
      <c r="B13722" s="405" t="s">
        <v>24782</v>
      </c>
      <c r="C13722" s="409" t="s">
        <v>24783</v>
      </c>
      <c r="D13722" s="410">
        <v>1962.72</v>
      </c>
      <c r="E13722" s="410">
        <v>507.31</v>
      </c>
      <c r="F13722" s="410">
        <v>825.02</v>
      </c>
      <c r="G13722" s="410">
        <v>630.39</v>
      </c>
      <c r="H13722" s="411">
        <v>12915.41</v>
      </c>
      <c r="I13722" s="411">
        <v>5834.09</v>
      </c>
      <c r="J13722" s="411">
        <v>4518.3100000000004</v>
      </c>
      <c r="K13722" s="411">
        <v>2563.0100000000002</v>
      </c>
      <c r="L13722" s="43">
        <v>6.5803629656802807</v>
      </c>
      <c r="M13722" s="43">
        <v>11.500049279533224</v>
      </c>
      <c r="N13722" s="43">
        <v>5.4766066277181169</v>
      </c>
      <c r="O13722" s="43">
        <v>4.0657529465886197</v>
      </c>
      <c r="P13722" s="412"/>
      <c r="Q13722" s="412"/>
      <c r="R13722" s="412">
        <v>5</v>
      </c>
    </row>
    <row r="13723" spans="1:18" ht="24">
      <c r="A13723" s="408">
        <v>118</v>
      </c>
      <c r="B13723" s="405" t="s">
        <v>24784</v>
      </c>
      <c r="C13723" s="409" t="s">
        <v>24785</v>
      </c>
      <c r="D13723" s="410">
        <v>452.13</v>
      </c>
      <c r="E13723" s="410">
        <v>132.25</v>
      </c>
      <c r="F13723" s="410">
        <v>151.16999999999999</v>
      </c>
      <c r="G13723" s="410">
        <v>168.71</v>
      </c>
      <c r="H13723" s="411">
        <v>3011.4</v>
      </c>
      <c r="I13723" s="411">
        <v>1520.88</v>
      </c>
      <c r="J13723" s="411">
        <v>834.14</v>
      </c>
      <c r="K13723" s="411">
        <v>656.38</v>
      </c>
      <c r="L13723" s="43">
        <v>6.6604737575476083</v>
      </c>
      <c r="M13723" s="43">
        <v>11.500037807183366</v>
      </c>
      <c r="N13723" s="43">
        <v>5.5178937619898134</v>
      </c>
      <c r="O13723" s="43">
        <v>3.8905814711635349</v>
      </c>
      <c r="P13723" s="412"/>
      <c r="Q13723" s="412"/>
      <c r="R13723" s="412">
        <v>5</v>
      </c>
    </row>
    <row r="13724" spans="1:18" ht="24">
      <c r="A13724" s="408">
        <v>119</v>
      </c>
      <c r="B13724" s="405" t="s">
        <v>24786</v>
      </c>
      <c r="C13724" s="409" t="s">
        <v>24787</v>
      </c>
      <c r="D13724" s="410">
        <v>538.37</v>
      </c>
      <c r="E13724" s="410">
        <v>157.63999999999999</v>
      </c>
      <c r="F13724" s="410">
        <v>203.2</v>
      </c>
      <c r="G13724" s="410">
        <v>177.53</v>
      </c>
      <c r="H13724" s="411">
        <v>3639.29</v>
      </c>
      <c r="I13724" s="411">
        <v>1812.88</v>
      </c>
      <c r="J13724" s="411">
        <v>1121.1600000000001</v>
      </c>
      <c r="K13724" s="411">
        <v>705.25</v>
      </c>
      <c r="L13724" s="43">
        <v>6.7598305997733901</v>
      </c>
      <c r="M13724" s="43">
        <v>11.50012687135245</v>
      </c>
      <c r="N13724" s="43">
        <v>5.5175196850393711</v>
      </c>
      <c r="O13724" s="43">
        <v>3.9725680166732382</v>
      </c>
      <c r="P13724" s="412"/>
      <c r="Q13724" s="412"/>
      <c r="R13724" s="412">
        <v>5</v>
      </c>
    </row>
    <row r="13725" spans="1:18" ht="12.75" customHeight="1">
      <c r="A13725" s="628" t="s">
        <v>24788</v>
      </c>
      <c r="B13725" s="629"/>
      <c r="C13725" s="629"/>
      <c r="D13725" s="629"/>
      <c r="E13725" s="629"/>
      <c r="F13725" s="629"/>
      <c r="G13725" s="629"/>
      <c r="H13725" s="629"/>
      <c r="I13725" s="629"/>
      <c r="J13725" s="629"/>
      <c r="K13725" s="629"/>
      <c r="L13725" s="629"/>
      <c r="M13725" s="629"/>
      <c r="N13725" s="629"/>
      <c r="O13725" s="629"/>
      <c r="P13725" s="629"/>
      <c r="Q13725" s="629"/>
      <c r="R13725" s="629"/>
    </row>
    <row r="13726" spans="1:18" ht="12.75" customHeight="1">
      <c r="A13726" s="628" t="s">
        <v>24698</v>
      </c>
      <c r="B13726" s="629"/>
      <c r="C13726" s="629"/>
      <c r="D13726" s="629"/>
      <c r="E13726" s="629"/>
      <c r="F13726" s="629"/>
      <c r="G13726" s="629"/>
      <c r="H13726" s="629"/>
      <c r="I13726" s="629"/>
      <c r="J13726" s="629"/>
      <c r="K13726" s="629"/>
      <c r="L13726" s="629"/>
      <c r="M13726" s="629"/>
      <c r="N13726" s="629"/>
      <c r="O13726" s="629"/>
      <c r="P13726" s="629"/>
      <c r="Q13726" s="629"/>
      <c r="R13726" s="629"/>
    </row>
    <row r="13727" spans="1:18" ht="36">
      <c r="A13727" s="408">
        <v>120</v>
      </c>
      <c r="B13727" s="405" t="s">
        <v>24789</v>
      </c>
      <c r="C13727" s="409" t="s">
        <v>24790</v>
      </c>
      <c r="D13727" s="410">
        <v>622.04</v>
      </c>
      <c r="E13727" s="410">
        <v>486.68</v>
      </c>
      <c r="F13727" s="410">
        <v>66.61</v>
      </c>
      <c r="G13727" s="410">
        <v>68.75</v>
      </c>
      <c r="H13727" s="411">
        <v>6273.83</v>
      </c>
      <c r="I13727" s="411">
        <v>5596.82</v>
      </c>
      <c r="J13727" s="411">
        <v>344.57</v>
      </c>
      <c r="K13727" s="411">
        <v>332.44</v>
      </c>
      <c r="L13727" s="43">
        <v>10.085894797762203</v>
      </c>
      <c r="M13727" s="43">
        <v>11.5</v>
      </c>
      <c r="N13727" s="43">
        <v>5.172947004954211</v>
      </c>
      <c r="O13727" s="43">
        <v>4.8354909090909093</v>
      </c>
      <c r="P13727" s="412"/>
      <c r="Q13727" s="412"/>
      <c r="R13727" s="412">
        <v>1</v>
      </c>
    </row>
    <row r="13728" spans="1:18" ht="36">
      <c r="A13728" s="408">
        <v>121</v>
      </c>
      <c r="B13728" s="405" t="s">
        <v>24791</v>
      </c>
      <c r="C13728" s="409" t="s">
        <v>24792</v>
      </c>
      <c r="D13728" s="410">
        <v>479.42</v>
      </c>
      <c r="E13728" s="410">
        <v>328.13</v>
      </c>
      <c r="F13728" s="410">
        <v>85.71</v>
      </c>
      <c r="G13728" s="410">
        <v>65.58</v>
      </c>
      <c r="H13728" s="411">
        <v>4516.9399999999996</v>
      </c>
      <c r="I13728" s="411">
        <v>3773.65</v>
      </c>
      <c r="J13728" s="411">
        <v>447.31</v>
      </c>
      <c r="K13728" s="411">
        <v>295.98</v>
      </c>
      <c r="L13728" s="43">
        <v>9.4216761920654104</v>
      </c>
      <c r="M13728" s="43">
        <v>11.500472373754306</v>
      </c>
      <c r="N13728" s="43">
        <v>5.2188776105471941</v>
      </c>
      <c r="O13728" s="43">
        <v>4.5132662397072281</v>
      </c>
      <c r="P13728" s="412"/>
      <c r="Q13728" s="412"/>
      <c r="R13728" s="412">
        <v>1</v>
      </c>
    </row>
    <row r="13729" spans="1:18" ht="36">
      <c r="A13729" s="408">
        <v>122</v>
      </c>
      <c r="B13729" s="405" t="s">
        <v>24793</v>
      </c>
      <c r="C13729" s="409" t="s">
        <v>24794</v>
      </c>
      <c r="D13729" s="410">
        <v>599.34</v>
      </c>
      <c r="E13729" s="410">
        <v>258.12</v>
      </c>
      <c r="F13729" s="410">
        <v>203.67</v>
      </c>
      <c r="G13729" s="410">
        <v>137.55000000000001</v>
      </c>
      <c r="H13729" s="411">
        <v>4602.4799999999996</v>
      </c>
      <c r="I13729" s="411">
        <v>2968.45</v>
      </c>
      <c r="J13729" s="411">
        <v>1080.6199999999999</v>
      </c>
      <c r="K13729" s="411">
        <v>553.41</v>
      </c>
      <c r="L13729" s="43">
        <v>7.6792471718890765</v>
      </c>
      <c r="M13729" s="43">
        <v>11.500271191693784</v>
      </c>
      <c r="N13729" s="43">
        <v>5.305739676928364</v>
      </c>
      <c r="O13729" s="43">
        <v>4.0233369683751361</v>
      </c>
      <c r="P13729" s="412"/>
      <c r="Q13729" s="412"/>
      <c r="R13729" s="412">
        <v>1</v>
      </c>
    </row>
    <row r="13730" spans="1:18" ht="36">
      <c r="A13730" s="408">
        <v>123</v>
      </c>
      <c r="B13730" s="405" t="s">
        <v>24795</v>
      </c>
      <c r="C13730" s="409" t="s">
        <v>24796</v>
      </c>
      <c r="D13730" s="410">
        <v>801.73</v>
      </c>
      <c r="E13730" s="410">
        <v>293.64999999999998</v>
      </c>
      <c r="F13730" s="410">
        <v>340.31</v>
      </c>
      <c r="G13730" s="410">
        <v>167.77</v>
      </c>
      <c r="H13730" s="411">
        <v>5837.62</v>
      </c>
      <c r="I13730" s="411">
        <v>3377.06</v>
      </c>
      <c r="J13730" s="411">
        <v>1788.71</v>
      </c>
      <c r="K13730" s="411">
        <v>671.85</v>
      </c>
      <c r="L13730" s="43">
        <v>7.2812792336572159</v>
      </c>
      <c r="M13730" s="43">
        <v>11.500289460241785</v>
      </c>
      <c r="N13730" s="43">
        <v>5.2561194205283419</v>
      </c>
      <c r="O13730" s="43">
        <v>4.0045896167371993</v>
      </c>
      <c r="P13730" s="412"/>
      <c r="Q13730" s="412"/>
      <c r="R13730" s="412">
        <v>1</v>
      </c>
    </row>
    <row r="13731" spans="1:18" ht="12.75" customHeight="1">
      <c r="A13731" s="628" t="s">
        <v>24797</v>
      </c>
      <c r="B13731" s="629"/>
      <c r="C13731" s="629"/>
      <c r="D13731" s="629"/>
      <c r="E13731" s="629"/>
      <c r="F13731" s="629"/>
      <c r="G13731" s="629"/>
      <c r="H13731" s="629"/>
      <c r="I13731" s="629"/>
      <c r="J13731" s="629"/>
      <c r="K13731" s="629"/>
      <c r="L13731" s="629"/>
      <c r="M13731" s="629"/>
      <c r="N13731" s="629"/>
      <c r="O13731" s="629"/>
      <c r="P13731" s="629"/>
      <c r="Q13731" s="629"/>
      <c r="R13731" s="629"/>
    </row>
    <row r="13732" spans="1:18" ht="24">
      <c r="A13732" s="408">
        <v>124</v>
      </c>
      <c r="B13732" s="405" t="s">
        <v>24798</v>
      </c>
      <c r="C13732" s="409" t="s">
        <v>24799</v>
      </c>
      <c r="D13732" s="410">
        <v>318.88</v>
      </c>
      <c r="E13732" s="410">
        <v>234.76</v>
      </c>
      <c r="F13732" s="410">
        <v>35.15</v>
      </c>
      <c r="G13732" s="410">
        <v>48.97</v>
      </c>
      <c r="H13732" s="411">
        <v>3107.06</v>
      </c>
      <c r="I13732" s="411">
        <v>2699.82</v>
      </c>
      <c r="J13732" s="411">
        <v>187.78</v>
      </c>
      <c r="K13732" s="411">
        <v>219.46</v>
      </c>
      <c r="L13732" s="43">
        <v>9.7436653286502768</v>
      </c>
      <c r="M13732" s="43">
        <v>11.500340773555973</v>
      </c>
      <c r="N13732" s="43">
        <v>5.3422475106685638</v>
      </c>
      <c r="O13732" s="43">
        <v>4.4815192975290996</v>
      </c>
      <c r="P13732" s="412"/>
      <c r="Q13732" s="412"/>
      <c r="R13732" s="412">
        <v>2</v>
      </c>
    </row>
    <row r="13733" spans="1:18" ht="24">
      <c r="A13733" s="408">
        <v>125</v>
      </c>
      <c r="B13733" s="405" t="s">
        <v>24800</v>
      </c>
      <c r="C13733" s="409" t="s">
        <v>24801</v>
      </c>
      <c r="D13733" s="410">
        <v>375.94</v>
      </c>
      <c r="E13733" s="410">
        <v>257.8</v>
      </c>
      <c r="F13733" s="410">
        <v>52.71</v>
      </c>
      <c r="G13733" s="410">
        <v>65.430000000000007</v>
      </c>
      <c r="H13733" s="411">
        <v>3533.78</v>
      </c>
      <c r="I13733" s="411">
        <v>2964.76</v>
      </c>
      <c r="J13733" s="411">
        <v>282.67</v>
      </c>
      <c r="K13733" s="411">
        <v>286.35000000000002</v>
      </c>
      <c r="L13733" s="43">
        <v>9.3998510400595841</v>
      </c>
      <c r="M13733" s="43">
        <v>11.50023273855702</v>
      </c>
      <c r="N13733" s="43">
        <v>5.362739518118004</v>
      </c>
      <c r="O13733" s="43">
        <v>4.3764328289775332</v>
      </c>
      <c r="P13733" s="412"/>
      <c r="Q13733" s="412"/>
      <c r="R13733" s="412">
        <v>2</v>
      </c>
    </row>
    <row r="13734" spans="1:18" ht="12.75" customHeight="1">
      <c r="A13734" s="628" t="s">
        <v>24802</v>
      </c>
      <c r="B13734" s="629"/>
      <c r="C13734" s="629"/>
      <c r="D13734" s="629"/>
      <c r="E13734" s="629"/>
      <c r="F13734" s="629"/>
      <c r="G13734" s="629"/>
      <c r="H13734" s="629"/>
      <c r="I13734" s="629"/>
      <c r="J13734" s="629"/>
      <c r="K13734" s="629"/>
      <c r="L13734" s="629"/>
      <c r="M13734" s="629"/>
      <c r="N13734" s="629"/>
      <c r="O13734" s="629"/>
      <c r="P13734" s="629"/>
      <c r="Q13734" s="629"/>
      <c r="R13734" s="629"/>
    </row>
    <row r="13735" spans="1:18" ht="12.75" customHeight="1">
      <c r="A13735" s="628" t="s">
        <v>24803</v>
      </c>
      <c r="B13735" s="629"/>
      <c r="C13735" s="629"/>
      <c r="D13735" s="629"/>
      <c r="E13735" s="629"/>
      <c r="F13735" s="629"/>
      <c r="G13735" s="629"/>
      <c r="H13735" s="629"/>
      <c r="I13735" s="629"/>
      <c r="J13735" s="629"/>
      <c r="K13735" s="629"/>
      <c r="L13735" s="629"/>
      <c r="M13735" s="629"/>
      <c r="N13735" s="629"/>
      <c r="O13735" s="629"/>
      <c r="P13735" s="629"/>
      <c r="Q13735" s="629"/>
      <c r="R13735" s="629"/>
    </row>
    <row r="13736" spans="1:18" ht="24">
      <c r="A13736" s="408">
        <v>126</v>
      </c>
      <c r="B13736" s="405" t="s">
        <v>24804</v>
      </c>
      <c r="C13736" s="409" t="s">
        <v>24805</v>
      </c>
      <c r="D13736" s="410">
        <v>1990.82</v>
      </c>
      <c r="E13736" s="410">
        <v>420.53</v>
      </c>
      <c r="F13736" s="410">
        <v>947.72</v>
      </c>
      <c r="G13736" s="410">
        <v>622.57000000000005</v>
      </c>
      <c r="H13736" s="411">
        <v>12892.45</v>
      </c>
      <c r="I13736" s="411">
        <v>4836.32</v>
      </c>
      <c r="J13736" s="411">
        <v>5193.8900000000003</v>
      </c>
      <c r="K13736" s="411">
        <v>2862.24</v>
      </c>
      <c r="L13736" s="43">
        <v>6.4759496087039521</v>
      </c>
      <c r="M13736" s="43">
        <v>11.500535039117304</v>
      </c>
      <c r="N13736" s="43">
        <v>5.4804056050310219</v>
      </c>
      <c r="O13736" s="43">
        <v>4.5974589202820555</v>
      </c>
      <c r="P13736" s="412"/>
      <c r="Q13736" s="412"/>
      <c r="R13736" s="412">
        <v>1</v>
      </c>
    </row>
    <row r="13737" spans="1:18" ht="24">
      <c r="A13737" s="408">
        <v>127</v>
      </c>
      <c r="B13737" s="405" t="s">
        <v>24806</v>
      </c>
      <c r="C13737" s="409" t="s">
        <v>24807</v>
      </c>
      <c r="D13737" s="410">
        <v>4754.07</v>
      </c>
      <c r="E13737" s="410">
        <v>1037.55</v>
      </c>
      <c r="F13737" s="410">
        <v>2575.69</v>
      </c>
      <c r="G13737" s="410">
        <v>1140.83</v>
      </c>
      <c r="H13737" s="411">
        <v>31055.31</v>
      </c>
      <c r="I13737" s="411">
        <v>11932.24</v>
      </c>
      <c r="J13737" s="411">
        <v>14156.68</v>
      </c>
      <c r="K13737" s="411">
        <v>4966.3900000000003</v>
      </c>
      <c r="L13737" s="43">
        <v>6.5323627965090969</v>
      </c>
      <c r="M13737" s="43">
        <v>11.50039998072382</v>
      </c>
      <c r="N13737" s="43">
        <v>5.4962670197112233</v>
      </c>
      <c r="O13737" s="43">
        <v>4.3533129388252414</v>
      </c>
      <c r="P13737" s="412"/>
      <c r="Q13737" s="412"/>
      <c r="R13737" s="412">
        <v>1</v>
      </c>
    </row>
    <row r="13738" spans="1:18" ht="12.75" customHeight="1">
      <c r="A13738" s="628" t="s">
        <v>24808</v>
      </c>
      <c r="B13738" s="629"/>
      <c r="C13738" s="629"/>
      <c r="D13738" s="629"/>
      <c r="E13738" s="629"/>
      <c r="F13738" s="629"/>
      <c r="G13738" s="629"/>
      <c r="H13738" s="629"/>
      <c r="I13738" s="629"/>
      <c r="J13738" s="629"/>
      <c r="K13738" s="629"/>
      <c r="L13738" s="629"/>
      <c r="M13738" s="629"/>
      <c r="N13738" s="629"/>
      <c r="O13738" s="629"/>
      <c r="P13738" s="629"/>
      <c r="Q13738" s="629"/>
      <c r="R13738" s="629"/>
    </row>
    <row r="13739" spans="1:18" ht="12.75" customHeight="1">
      <c r="A13739" s="628" t="s">
        <v>24809</v>
      </c>
      <c r="B13739" s="629"/>
      <c r="C13739" s="629"/>
      <c r="D13739" s="629"/>
      <c r="E13739" s="629"/>
      <c r="F13739" s="629"/>
      <c r="G13739" s="629"/>
      <c r="H13739" s="629"/>
      <c r="I13739" s="629"/>
      <c r="J13739" s="629"/>
      <c r="K13739" s="629"/>
      <c r="L13739" s="629"/>
      <c r="M13739" s="629"/>
      <c r="N13739" s="629"/>
      <c r="O13739" s="629"/>
      <c r="P13739" s="629"/>
      <c r="Q13739" s="629"/>
      <c r="R13739" s="629"/>
    </row>
    <row r="13740" spans="1:18" ht="24">
      <c r="A13740" s="408">
        <v>128</v>
      </c>
      <c r="B13740" s="405" t="s">
        <v>24810</v>
      </c>
      <c r="C13740" s="409" t="s">
        <v>24811</v>
      </c>
      <c r="D13740" s="410">
        <v>13502.43</v>
      </c>
      <c r="E13740" s="410">
        <v>4871.76</v>
      </c>
      <c r="F13740" s="410">
        <v>5933.72</v>
      </c>
      <c r="G13740" s="410">
        <v>2696.95</v>
      </c>
      <c r="H13740" s="411">
        <v>101474.11</v>
      </c>
      <c r="I13740" s="411">
        <v>56027.360000000001</v>
      </c>
      <c r="J13740" s="411">
        <v>32234.49</v>
      </c>
      <c r="K13740" s="411">
        <v>13212.26</v>
      </c>
      <c r="L13740" s="43">
        <v>7.5152479961014427</v>
      </c>
      <c r="M13740" s="43">
        <v>11.500435161009573</v>
      </c>
      <c r="N13740" s="43">
        <v>5.432425190268499</v>
      </c>
      <c r="O13740" s="43">
        <v>4.8989636441165025</v>
      </c>
      <c r="P13740" s="412"/>
      <c r="Q13740" s="412"/>
      <c r="R13740" s="412">
        <v>1</v>
      </c>
    </row>
    <row r="13741" spans="1:18" ht="24">
      <c r="A13741" s="408">
        <v>129</v>
      </c>
      <c r="B13741" s="405" t="s">
        <v>24812</v>
      </c>
      <c r="C13741" s="409" t="s">
        <v>24813</v>
      </c>
      <c r="D13741" s="410">
        <v>164880.45000000001</v>
      </c>
      <c r="E13741" s="410">
        <v>63941.85</v>
      </c>
      <c r="F13741" s="410">
        <v>73231.850000000006</v>
      </c>
      <c r="G13741" s="410">
        <v>27706.75</v>
      </c>
      <c r="H13741" s="411">
        <v>1285638.1399999999</v>
      </c>
      <c r="I13741" s="411">
        <v>735359.1</v>
      </c>
      <c r="J13741" s="411">
        <v>373863.23</v>
      </c>
      <c r="K13741" s="411">
        <v>176415.81</v>
      </c>
      <c r="L13741" s="43">
        <v>7.7973958707657562</v>
      </c>
      <c r="M13741" s="43">
        <v>11.500435161009573</v>
      </c>
      <c r="N13741" s="43">
        <v>5.105199854981131</v>
      </c>
      <c r="O13741" s="43">
        <v>6.3672502188094962</v>
      </c>
      <c r="P13741" s="412"/>
      <c r="Q13741" s="412"/>
      <c r="R13741" s="412">
        <v>1</v>
      </c>
    </row>
    <row r="13742" spans="1:18" ht="24">
      <c r="A13742" s="408">
        <v>130</v>
      </c>
      <c r="B13742" s="405" t="s">
        <v>24814</v>
      </c>
      <c r="C13742" s="409" t="s">
        <v>24815</v>
      </c>
      <c r="D13742" s="410">
        <v>183199.09</v>
      </c>
      <c r="E13742" s="410">
        <v>69284.7</v>
      </c>
      <c r="F13742" s="410">
        <v>79739.02</v>
      </c>
      <c r="G13742" s="410">
        <v>34175.370000000003</v>
      </c>
      <c r="H13742" s="411">
        <v>1420394.07</v>
      </c>
      <c r="I13742" s="411">
        <v>796804.2</v>
      </c>
      <c r="J13742" s="411">
        <v>407930.16</v>
      </c>
      <c r="K13742" s="411">
        <v>215659.71</v>
      </c>
      <c r="L13742" s="43">
        <v>7.7532812526525108</v>
      </c>
      <c r="M13742" s="43">
        <v>11.500435161009573</v>
      </c>
      <c r="N13742" s="43">
        <v>5.1158160709775462</v>
      </c>
      <c r="O13742" s="43">
        <v>6.3103840572903813</v>
      </c>
      <c r="P13742" s="412"/>
      <c r="Q13742" s="412"/>
      <c r="R13742" s="412">
        <v>1</v>
      </c>
    </row>
    <row r="13743" spans="1:18" ht="24">
      <c r="A13743" s="408">
        <v>131</v>
      </c>
      <c r="B13743" s="405" t="s">
        <v>24816</v>
      </c>
      <c r="C13743" s="409" t="s">
        <v>24817</v>
      </c>
      <c r="D13743" s="410">
        <v>229637.39</v>
      </c>
      <c r="E13743" s="410">
        <v>86037.119999999995</v>
      </c>
      <c r="F13743" s="410">
        <v>94803.07</v>
      </c>
      <c r="G13743" s="410">
        <v>48797.2</v>
      </c>
      <c r="H13743" s="411">
        <v>1778838.84</v>
      </c>
      <c r="I13743" s="411">
        <v>989464.32</v>
      </c>
      <c r="J13743" s="411">
        <v>484929.41</v>
      </c>
      <c r="K13743" s="411">
        <v>304445.11</v>
      </c>
      <c r="L13743" s="43">
        <v>7.7462944514392884</v>
      </c>
      <c r="M13743" s="43">
        <v>11.500435161009573</v>
      </c>
      <c r="N13743" s="43">
        <v>5.1151234870347544</v>
      </c>
      <c r="O13743" s="43">
        <v>6.2389872779585716</v>
      </c>
      <c r="P13743" s="412"/>
      <c r="Q13743" s="412"/>
      <c r="R13743" s="412">
        <v>1</v>
      </c>
    </row>
    <row r="13744" spans="1:18" ht="24">
      <c r="A13744" s="408">
        <v>132</v>
      </c>
      <c r="B13744" s="405" t="s">
        <v>24818</v>
      </c>
      <c r="C13744" s="409" t="s">
        <v>24819</v>
      </c>
      <c r="D13744" s="410">
        <v>226168.26</v>
      </c>
      <c r="E13744" s="410">
        <v>85255.8</v>
      </c>
      <c r="F13744" s="410">
        <v>79679</v>
      </c>
      <c r="G13744" s="410">
        <v>61233.46</v>
      </c>
      <c r="H13744" s="411">
        <v>1761469.81</v>
      </c>
      <c r="I13744" s="411">
        <v>980478.8</v>
      </c>
      <c r="J13744" s="411">
        <v>408449.48</v>
      </c>
      <c r="K13744" s="411">
        <v>372541.53</v>
      </c>
      <c r="L13744" s="43">
        <v>7.788315699117109</v>
      </c>
      <c r="M13744" s="43">
        <v>11.500435161009573</v>
      </c>
      <c r="N13744" s="43">
        <v>5.1261873266481759</v>
      </c>
      <c r="O13744" s="43">
        <v>6.0839536096768017</v>
      </c>
      <c r="P13744" s="412"/>
      <c r="Q13744" s="412"/>
      <c r="R13744" s="412">
        <v>1</v>
      </c>
    </row>
    <row r="13745" spans="1:18" ht="24">
      <c r="A13745" s="408">
        <v>133</v>
      </c>
      <c r="B13745" s="405" t="s">
        <v>24820</v>
      </c>
      <c r="C13745" s="409" t="s">
        <v>24821</v>
      </c>
      <c r="D13745" s="410">
        <v>332736.06</v>
      </c>
      <c r="E13745" s="410">
        <v>124114.98</v>
      </c>
      <c r="F13745" s="410">
        <v>113168.06</v>
      </c>
      <c r="G13745" s="410">
        <v>95453.02</v>
      </c>
      <c r="H13745" s="411">
        <v>2588733.17</v>
      </c>
      <c r="I13745" s="411">
        <v>1427376.28</v>
      </c>
      <c r="J13745" s="411">
        <v>580348.18999999994</v>
      </c>
      <c r="K13745" s="411">
        <v>581008.69999999995</v>
      </c>
      <c r="L13745" s="43">
        <v>7.780140120671021</v>
      </c>
      <c r="M13745" s="43">
        <v>11.500435161009575</v>
      </c>
      <c r="N13745" s="43">
        <v>5.1281977441338125</v>
      </c>
      <c r="O13745" s="43">
        <v>6.0868550832650445</v>
      </c>
      <c r="P13745" s="412"/>
      <c r="Q13745" s="412"/>
      <c r="R13745" s="412">
        <v>1</v>
      </c>
    </row>
    <row r="13746" spans="1:18" ht="12.75" customHeight="1">
      <c r="A13746" s="628" t="s">
        <v>24822</v>
      </c>
      <c r="B13746" s="629"/>
      <c r="C13746" s="629"/>
      <c r="D13746" s="629"/>
      <c r="E13746" s="629"/>
      <c r="F13746" s="629"/>
      <c r="G13746" s="629"/>
      <c r="H13746" s="629"/>
      <c r="I13746" s="629"/>
      <c r="J13746" s="629"/>
      <c r="K13746" s="629"/>
      <c r="L13746" s="629"/>
      <c r="M13746" s="629"/>
      <c r="N13746" s="629"/>
      <c r="O13746" s="629"/>
      <c r="P13746" s="629"/>
      <c r="Q13746" s="629"/>
      <c r="R13746" s="629"/>
    </row>
    <row r="13747" spans="1:18" ht="12.75" customHeight="1">
      <c r="A13747" s="628" t="s">
        <v>19156</v>
      </c>
      <c r="B13747" s="629"/>
      <c r="C13747" s="629"/>
      <c r="D13747" s="629"/>
      <c r="E13747" s="629"/>
      <c r="F13747" s="629"/>
      <c r="G13747" s="629"/>
      <c r="H13747" s="629"/>
      <c r="I13747" s="629"/>
      <c r="J13747" s="629"/>
      <c r="K13747" s="629"/>
      <c r="L13747" s="629"/>
      <c r="M13747" s="629"/>
      <c r="N13747" s="629"/>
      <c r="O13747" s="629"/>
      <c r="P13747" s="629"/>
      <c r="Q13747" s="629"/>
      <c r="R13747" s="629"/>
    </row>
    <row r="13748" spans="1:18" ht="24">
      <c r="A13748" s="408">
        <v>134</v>
      </c>
      <c r="B13748" s="405" t="s">
        <v>24823</v>
      </c>
      <c r="C13748" s="409" t="s">
        <v>24824</v>
      </c>
      <c r="D13748" s="410">
        <v>3782.35</v>
      </c>
      <c r="E13748" s="410">
        <v>721.85</v>
      </c>
      <c r="F13748" s="410">
        <v>2525.33</v>
      </c>
      <c r="G13748" s="410">
        <v>535.16999999999996</v>
      </c>
      <c r="H13748" s="411">
        <v>24030.09</v>
      </c>
      <c r="I13748" s="411">
        <v>8301.66</v>
      </c>
      <c r="J13748" s="411">
        <v>13615.75</v>
      </c>
      <c r="K13748" s="411">
        <v>2112.6799999999998</v>
      </c>
      <c r="L13748" s="43">
        <v>6.3532169154097327</v>
      </c>
      <c r="M13748" s="43">
        <v>11.500533351804391</v>
      </c>
      <c r="N13748" s="43">
        <v>5.3916715835158175</v>
      </c>
      <c r="O13748" s="43">
        <v>3.9476801763925482</v>
      </c>
      <c r="P13748" s="412"/>
      <c r="Q13748" s="412"/>
      <c r="R13748" s="412">
        <v>1</v>
      </c>
    </row>
    <row r="13749" spans="1:18" ht="24">
      <c r="A13749" s="408">
        <v>135</v>
      </c>
      <c r="B13749" s="405" t="s">
        <v>24825</v>
      </c>
      <c r="C13749" s="409" t="s">
        <v>24826</v>
      </c>
      <c r="D13749" s="410">
        <v>3324.48</v>
      </c>
      <c r="E13749" s="410">
        <v>793.61</v>
      </c>
      <c r="F13749" s="410">
        <v>2212.02</v>
      </c>
      <c r="G13749" s="410">
        <v>318.85000000000002</v>
      </c>
      <c r="H13749" s="411">
        <v>22350.25</v>
      </c>
      <c r="I13749" s="411">
        <v>9126.9</v>
      </c>
      <c r="J13749" s="411">
        <v>11912.17</v>
      </c>
      <c r="K13749" s="411">
        <v>1311.18</v>
      </c>
      <c r="L13749" s="43">
        <v>6.7229311050149194</v>
      </c>
      <c r="M13749" s="43">
        <v>11.500485124935421</v>
      </c>
      <c r="N13749" s="43">
        <v>5.3851999529841503</v>
      </c>
      <c r="O13749" s="43">
        <v>4.1122157754429978</v>
      </c>
      <c r="P13749" s="412"/>
      <c r="Q13749" s="412"/>
      <c r="R13749" s="412">
        <v>1</v>
      </c>
    </row>
    <row r="13750" spans="1:18" ht="12.75" customHeight="1">
      <c r="A13750" s="628" t="s">
        <v>24827</v>
      </c>
      <c r="B13750" s="629"/>
      <c r="C13750" s="629"/>
      <c r="D13750" s="629"/>
      <c r="E13750" s="629"/>
      <c r="F13750" s="629"/>
      <c r="G13750" s="629"/>
      <c r="H13750" s="629"/>
      <c r="I13750" s="629"/>
      <c r="J13750" s="629"/>
      <c r="K13750" s="629"/>
      <c r="L13750" s="629"/>
      <c r="M13750" s="629"/>
      <c r="N13750" s="629"/>
      <c r="O13750" s="629"/>
      <c r="P13750" s="629"/>
      <c r="Q13750" s="629"/>
      <c r="R13750" s="629"/>
    </row>
    <row r="13751" spans="1:18" ht="12.75" customHeight="1">
      <c r="A13751" s="628" t="s">
        <v>24828</v>
      </c>
      <c r="B13751" s="629"/>
      <c r="C13751" s="629"/>
      <c r="D13751" s="629"/>
      <c r="E13751" s="629"/>
      <c r="F13751" s="629"/>
      <c r="G13751" s="629"/>
      <c r="H13751" s="629"/>
      <c r="I13751" s="629"/>
      <c r="J13751" s="629"/>
      <c r="K13751" s="629"/>
      <c r="L13751" s="629"/>
      <c r="M13751" s="629"/>
      <c r="N13751" s="629"/>
      <c r="O13751" s="629"/>
      <c r="P13751" s="629"/>
      <c r="Q13751" s="629"/>
      <c r="R13751" s="629"/>
    </row>
    <row r="13752" spans="1:18" ht="24">
      <c r="A13752" s="408">
        <v>136</v>
      </c>
      <c r="B13752" s="405" t="s">
        <v>24829</v>
      </c>
      <c r="C13752" s="409" t="s">
        <v>24830</v>
      </c>
      <c r="D13752" s="410">
        <v>204.47</v>
      </c>
      <c r="E13752" s="410">
        <v>124.32</v>
      </c>
      <c r="F13752" s="410">
        <v>34.64</v>
      </c>
      <c r="G13752" s="410">
        <v>45.51</v>
      </c>
      <c r="H13752" s="411">
        <v>1804.6</v>
      </c>
      <c r="I13752" s="411">
        <v>1429.68</v>
      </c>
      <c r="J13752" s="411">
        <v>187.34</v>
      </c>
      <c r="K13752" s="411">
        <v>187.58</v>
      </c>
      <c r="L13752" s="43">
        <v>8.8257446080109556</v>
      </c>
      <c r="M13752" s="43">
        <v>11.500000000000002</v>
      </c>
      <c r="N13752" s="43">
        <v>5.4081986143187066</v>
      </c>
      <c r="O13752" s="43">
        <v>4.121731487585147</v>
      </c>
      <c r="P13752" s="412"/>
      <c r="Q13752" s="412"/>
      <c r="R13752" s="412">
        <v>1</v>
      </c>
    </row>
    <row r="13753" spans="1:18" ht="24">
      <c r="A13753" s="408">
        <v>137</v>
      </c>
      <c r="B13753" s="405" t="s">
        <v>24831</v>
      </c>
      <c r="C13753" s="409" t="s">
        <v>24832</v>
      </c>
      <c r="D13753" s="410">
        <v>278.57</v>
      </c>
      <c r="E13753" s="410">
        <v>194.18</v>
      </c>
      <c r="F13753" s="410">
        <v>37.49</v>
      </c>
      <c r="G13753" s="410">
        <v>46.9</v>
      </c>
      <c r="H13753" s="411">
        <v>2639.47</v>
      </c>
      <c r="I13753" s="411">
        <v>2233.17</v>
      </c>
      <c r="J13753" s="411">
        <v>202.74</v>
      </c>
      <c r="K13753" s="411">
        <v>203.56</v>
      </c>
      <c r="L13753" s="43">
        <v>9.4750691029184768</v>
      </c>
      <c r="M13753" s="43">
        <v>11.500514986095375</v>
      </c>
      <c r="N13753" s="43">
        <v>5.4078420912243264</v>
      </c>
      <c r="O13753" s="43">
        <v>4.3402985074626868</v>
      </c>
      <c r="P13753" s="412"/>
      <c r="Q13753" s="412"/>
      <c r="R13753" s="412">
        <v>1</v>
      </c>
    </row>
    <row r="13754" spans="1:18" ht="24">
      <c r="A13754" s="408">
        <v>138</v>
      </c>
      <c r="B13754" s="405" t="s">
        <v>24833</v>
      </c>
      <c r="C13754" s="409" t="s">
        <v>24834</v>
      </c>
      <c r="D13754" s="410">
        <v>381.5</v>
      </c>
      <c r="E13754" s="410">
        <v>257.23</v>
      </c>
      <c r="F13754" s="410">
        <v>61.77</v>
      </c>
      <c r="G13754" s="410">
        <v>62.5</v>
      </c>
      <c r="H13754" s="411">
        <v>3563.35</v>
      </c>
      <c r="I13754" s="411">
        <v>2958.12</v>
      </c>
      <c r="J13754" s="411">
        <v>334.2</v>
      </c>
      <c r="K13754" s="411">
        <v>271.02999999999997</v>
      </c>
      <c r="L13754" s="43">
        <v>9.3403669724770637</v>
      </c>
      <c r="M13754" s="43">
        <v>11.499902810714145</v>
      </c>
      <c r="N13754" s="43">
        <v>5.4103933948518694</v>
      </c>
      <c r="O13754" s="43">
        <v>4.3364799999999999</v>
      </c>
      <c r="P13754" s="412"/>
      <c r="Q13754" s="412"/>
      <c r="R13754" s="412">
        <v>1</v>
      </c>
    </row>
    <row r="13755" spans="1:18" ht="24">
      <c r="A13755" s="408">
        <v>139</v>
      </c>
      <c r="B13755" s="405" t="s">
        <v>24835</v>
      </c>
      <c r="C13755" s="409" t="s">
        <v>24836</v>
      </c>
      <c r="D13755" s="410">
        <v>18635.72</v>
      </c>
      <c r="E13755" s="410">
        <v>5929.2</v>
      </c>
      <c r="F13755" s="410">
        <v>6547.02</v>
      </c>
      <c r="G13755" s="410">
        <v>6159.5</v>
      </c>
      <c r="H13755" s="411">
        <v>139203.97</v>
      </c>
      <c r="I13755" s="411">
        <v>68185.8</v>
      </c>
      <c r="J13755" s="411">
        <v>35559.760000000002</v>
      </c>
      <c r="K13755" s="411">
        <v>35458.410000000003</v>
      </c>
      <c r="L13755" s="43">
        <v>7.4697392963620395</v>
      </c>
      <c r="M13755" s="43">
        <v>11.5</v>
      </c>
      <c r="N13755" s="43">
        <v>5.4314420912109629</v>
      </c>
      <c r="O13755" s="43">
        <v>5.7567026544362374</v>
      </c>
      <c r="P13755" s="412"/>
      <c r="Q13755" s="412"/>
      <c r="R13755" s="412">
        <v>1</v>
      </c>
    </row>
    <row r="13756" spans="1:18" ht="24">
      <c r="A13756" s="408">
        <v>140</v>
      </c>
      <c r="B13756" s="405" t="s">
        <v>24837</v>
      </c>
      <c r="C13756" s="409" t="s">
        <v>24838</v>
      </c>
      <c r="D13756" s="410">
        <v>23644.59</v>
      </c>
      <c r="E13756" s="410">
        <v>6856.4</v>
      </c>
      <c r="F13756" s="410">
        <v>9317.75</v>
      </c>
      <c r="G13756" s="410">
        <v>7470.44</v>
      </c>
      <c r="H13756" s="411">
        <v>171803.83</v>
      </c>
      <c r="I13756" s="411">
        <v>78848.600000000006</v>
      </c>
      <c r="J13756" s="411">
        <v>49757.97</v>
      </c>
      <c r="K13756" s="411">
        <v>43197.26</v>
      </c>
      <c r="L13756" s="43">
        <v>7.2660946965035125</v>
      </c>
      <c r="M13756" s="43">
        <v>11.500000000000002</v>
      </c>
      <c r="N13756" s="43">
        <v>5.3401271766252583</v>
      </c>
      <c r="O13756" s="43">
        <v>5.7824251315852884</v>
      </c>
      <c r="P13756" s="412"/>
      <c r="Q13756" s="412"/>
      <c r="R13756" s="412">
        <v>1</v>
      </c>
    </row>
    <row r="13757" spans="1:18" ht="24">
      <c r="A13757" s="408">
        <v>141</v>
      </c>
      <c r="B13757" s="405" t="s">
        <v>24839</v>
      </c>
      <c r="C13757" s="409" t="s">
        <v>24840</v>
      </c>
      <c r="D13757" s="410">
        <v>27392.560000000001</v>
      </c>
      <c r="E13757" s="410">
        <v>7747</v>
      </c>
      <c r="F13757" s="410">
        <v>10369.790000000001</v>
      </c>
      <c r="G13757" s="410">
        <v>9275.77</v>
      </c>
      <c r="H13757" s="411">
        <v>198353.62</v>
      </c>
      <c r="I13757" s="411">
        <v>89090.5</v>
      </c>
      <c r="J13757" s="411">
        <v>55364.47</v>
      </c>
      <c r="K13757" s="411">
        <v>53898.65</v>
      </c>
      <c r="L13757" s="43">
        <v>7.241149421594768</v>
      </c>
      <c r="M13757" s="43">
        <v>11.5</v>
      </c>
      <c r="N13757" s="43">
        <v>5.3390155441913478</v>
      </c>
      <c r="O13757" s="43">
        <v>5.8106928050178039</v>
      </c>
      <c r="P13757" s="412"/>
      <c r="Q13757" s="412"/>
      <c r="R13757" s="412">
        <v>1</v>
      </c>
    </row>
    <row r="13758" spans="1:18" ht="24">
      <c r="A13758" s="408">
        <v>142</v>
      </c>
      <c r="B13758" s="405" t="s">
        <v>24841</v>
      </c>
      <c r="C13758" s="409" t="s">
        <v>24842</v>
      </c>
      <c r="D13758" s="410">
        <v>24785.19</v>
      </c>
      <c r="E13758" s="410">
        <v>6941.8</v>
      </c>
      <c r="F13758" s="410">
        <v>13694.95</v>
      </c>
      <c r="G13758" s="410">
        <v>4148.4399999999996</v>
      </c>
      <c r="H13758" s="411">
        <v>177594.66</v>
      </c>
      <c r="I13758" s="411">
        <v>79830.7</v>
      </c>
      <c r="J13758" s="411">
        <v>73223.259999999995</v>
      </c>
      <c r="K13758" s="411">
        <v>24540.7</v>
      </c>
      <c r="L13758" s="43">
        <v>7.1653539876030816</v>
      </c>
      <c r="M13758" s="43">
        <v>11.5</v>
      </c>
      <c r="N13758" s="43">
        <v>5.3467343801912381</v>
      </c>
      <c r="O13758" s="43">
        <v>5.9156453992344114</v>
      </c>
      <c r="P13758" s="412"/>
      <c r="Q13758" s="412"/>
      <c r="R13758" s="412">
        <v>1</v>
      </c>
    </row>
    <row r="13759" spans="1:18" ht="24">
      <c r="A13759" s="408">
        <v>143</v>
      </c>
      <c r="B13759" s="405" t="s">
        <v>24843</v>
      </c>
      <c r="C13759" s="409" t="s">
        <v>24844</v>
      </c>
      <c r="D13759" s="410">
        <v>18819.98</v>
      </c>
      <c r="E13759" s="410">
        <v>5416.8</v>
      </c>
      <c r="F13759" s="410">
        <v>6418.01</v>
      </c>
      <c r="G13759" s="410">
        <v>6985.17</v>
      </c>
      <c r="H13759" s="411">
        <v>137279.76</v>
      </c>
      <c r="I13759" s="411">
        <v>62293.2</v>
      </c>
      <c r="J13759" s="411">
        <v>34220.31</v>
      </c>
      <c r="K13759" s="411">
        <v>40766.25</v>
      </c>
      <c r="L13759" s="43">
        <v>7.2943626932653496</v>
      </c>
      <c r="M13759" s="43">
        <v>11.499999999999998</v>
      </c>
      <c r="N13759" s="43">
        <v>5.3319190839528137</v>
      </c>
      <c r="O13759" s="43">
        <v>5.8361142248506477</v>
      </c>
      <c r="P13759" s="412"/>
      <c r="Q13759" s="412"/>
      <c r="R13759" s="412">
        <v>1</v>
      </c>
    </row>
    <row r="13760" spans="1:18" ht="12.75" customHeight="1">
      <c r="A13760" s="628" t="s">
        <v>24845</v>
      </c>
      <c r="B13760" s="629"/>
      <c r="C13760" s="629"/>
      <c r="D13760" s="629"/>
      <c r="E13760" s="629"/>
      <c r="F13760" s="629"/>
      <c r="G13760" s="629"/>
      <c r="H13760" s="629"/>
      <c r="I13760" s="629"/>
      <c r="J13760" s="629"/>
      <c r="K13760" s="629"/>
      <c r="L13760" s="629"/>
      <c r="M13760" s="629"/>
      <c r="N13760" s="629"/>
      <c r="O13760" s="629"/>
      <c r="P13760" s="629"/>
      <c r="Q13760" s="629"/>
      <c r="R13760" s="629"/>
    </row>
    <row r="13761" spans="1:18" ht="12.75" customHeight="1">
      <c r="A13761" s="628" t="s">
        <v>24846</v>
      </c>
      <c r="B13761" s="629"/>
      <c r="C13761" s="629"/>
      <c r="D13761" s="629"/>
      <c r="E13761" s="629"/>
      <c r="F13761" s="629"/>
      <c r="G13761" s="629"/>
      <c r="H13761" s="629"/>
      <c r="I13761" s="629"/>
      <c r="J13761" s="629"/>
      <c r="K13761" s="629"/>
      <c r="L13761" s="629"/>
      <c r="M13761" s="629"/>
      <c r="N13761" s="629"/>
      <c r="O13761" s="629"/>
      <c r="P13761" s="629"/>
      <c r="Q13761" s="629"/>
      <c r="R13761" s="629"/>
    </row>
    <row r="13762" spans="1:18" ht="24">
      <c r="A13762" s="408">
        <v>144</v>
      </c>
      <c r="B13762" s="405" t="s">
        <v>24847</v>
      </c>
      <c r="C13762" s="409" t="s">
        <v>24848</v>
      </c>
      <c r="D13762" s="410">
        <v>764.31</v>
      </c>
      <c r="E13762" s="410">
        <v>181</v>
      </c>
      <c r="F13762" s="410">
        <v>506.77</v>
      </c>
      <c r="G13762" s="410">
        <v>76.540000000000006</v>
      </c>
      <c r="H13762" s="411">
        <v>5126.6499999999996</v>
      </c>
      <c r="I13762" s="411">
        <v>2081.5700000000002</v>
      </c>
      <c r="J13762" s="411">
        <v>2727.82</v>
      </c>
      <c r="K13762" s="411">
        <v>317.26</v>
      </c>
      <c r="L13762" s="43">
        <v>6.7075532179351312</v>
      </c>
      <c r="M13762" s="43">
        <v>11.500386740331493</v>
      </c>
      <c r="N13762" s="43">
        <v>5.382757463938276</v>
      </c>
      <c r="O13762" s="43">
        <v>4.1450222106088317</v>
      </c>
      <c r="P13762" s="412"/>
      <c r="Q13762" s="412"/>
      <c r="R13762" s="412">
        <v>1</v>
      </c>
    </row>
    <row r="13763" spans="1:18" ht="12.75" customHeight="1">
      <c r="A13763" s="628" t="s">
        <v>24849</v>
      </c>
      <c r="B13763" s="629"/>
      <c r="C13763" s="629"/>
      <c r="D13763" s="629"/>
      <c r="E13763" s="629"/>
      <c r="F13763" s="629"/>
      <c r="G13763" s="629"/>
      <c r="H13763" s="629"/>
      <c r="I13763" s="629"/>
      <c r="J13763" s="629"/>
      <c r="K13763" s="629"/>
      <c r="L13763" s="629"/>
      <c r="M13763" s="629"/>
      <c r="N13763" s="629"/>
      <c r="O13763" s="629"/>
      <c r="P13763" s="629"/>
      <c r="Q13763" s="629"/>
      <c r="R13763" s="629"/>
    </row>
    <row r="13764" spans="1:18" ht="12.75" customHeight="1">
      <c r="A13764" s="628" t="s">
        <v>24850</v>
      </c>
      <c r="B13764" s="629"/>
      <c r="C13764" s="629"/>
      <c r="D13764" s="629"/>
      <c r="E13764" s="629"/>
      <c r="F13764" s="629"/>
      <c r="G13764" s="629"/>
      <c r="H13764" s="629"/>
      <c r="I13764" s="629"/>
      <c r="J13764" s="629"/>
      <c r="K13764" s="629"/>
      <c r="L13764" s="629"/>
      <c r="M13764" s="629"/>
      <c r="N13764" s="629"/>
      <c r="O13764" s="629"/>
      <c r="P13764" s="629"/>
      <c r="Q13764" s="629"/>
      <c r="R13764" s="629"/>
    </row>
    <row r="13765" spans="1:18" ht="24">
      <c r="A13765" s="408">
        <v>145</v>
      </c>
      <c r="B13765" s="405" t="s">
        <v>24851</v>
      </c>
      <c r="C13765" s="409" t="s">
        <v>24852</v>
      </c>
      <c r="D13765" s="410">
        <v>4721.72</v>
      </c>
      <c r="E13765" s="410">
        <v>962.59</v>
      </c>
      <c r="F13765" s="410">
        <v>3177.88</v>
      </c>
      <c r="G13765" s="410">
        <v>581.25</v>
      </c>
      <c r="H13765" s="411">
        <v>30977.39</v>
      </c>
      <c r="I13765" s="411">
        <v>11069.81</v>
      </c>
      <c r="J13765" s="411">
        <v>17541.759999999998</v>
      </c>
      <c r="K13765" s="411">
        <v>2365.8200000000002</v>
      </c>
      <c r="L13765" s="43">
        <v>6.5606156231203876</v>
      </c>
      <c r="M13765" s="43">
        <v>11.500025971597459</v>
      </c>
      <c r="N13765" s="43">
        <v>5.5199567006935437</v>
      </c>
      <c r="O13765" s="43">
        <v>4.0702279569892479</v>
      </c>
      <c r="P13765" s="412"/>
      <c r="Q13765" s="412"/>
      <c r="R13765" s="412">
        <v>1</v>
      </c>
    </row>
    <row r="13766" spans="1:18" ht="24">
      <c r="A13766" s="408">
        <v>146</v>
      </c>
      <c r="B13766" s="405" t="s">
        <v>24853</v>
      </c>
      <c r="C13766" s="409" t="s">
        <v>24854</v>
      </c>
      <c r="D13766" s="410">
        <v>19336.189999999999</v>
      </c>
      <c r="E13766" s="410">
        <v>4420.91</v>
      </c>
      <c r="F13766" s="410">
        <v>12195.9</v>
      </c>
      <c r="G13766" s="410">
        <v>2719.38</v>
      </c>
      <c r="H13766" s="411">
        <v>131144.98000000001</v>
      </c>
      <c r="I13766" s="411">
        <v>50842.48</v>
      </c>
      <c r="J13766" s="411">
        <v>65658.5</v>
      </c>
      <c r="K13766" s="411">
        <v>14644</v>
      </c>
      <c r="L13766" s="43">
        <v>6.7823588824892607</v>
      </c>
      <c r="M13766" s="43">
        <v>11.500455788514131</v>
      </c>
      <c r="N13766" s="43">
        <v>5.3836535229052389</v>
      </c>
      <c r="O13766" s="43">
        <v>5.3850510042730324</v>
      </c>
      <c r="P13766" s="412"/>
      <c r="Q13766" s="412"/>
      <c r="R13766" s="412">
        <v>1</v>
      </c>
    </row>
    <row r="13767" spans="1:18" ht="24">
      <c r="A13767" s="408">
        <v>147</v>
      </c>
      <c r="B13767" s="405" t="s">
        <v>24855</v>
      </c>
      <c r="C13767" s="409" t="s">
        <v>24856</v>
      </c>
      <c r="D13767" s="410">
        <v>23807.47</v>
      </c>
      <c r="E13767" s="410">
        <v>5867.28</v>
      </c>
      <c r="F13767" s="410">
        <v>14502.34</v>
      </c>
      <c r="G13767" s="410">
        <v>3437.85</v>
      </c>
      <c r="H13767" s="411">
        <v>165229.34</v>
      </c>
      <c r="I13767" s="411">
        <v>67473.72</v>
      </c>
      <c r="J13767" s="411">
        <v>78080.91</v>
      </c>
      <c r="K13767" s="411">
        <v>19674.71</v>
      </c>
      <c r="L13767" s="43">
        <v>6.9402309443212564</v>
      </c>
      <c r="M13767" s="43">
        <v>11.5</v>
      </c>
      <c r="N13767" s="43">
        <v>5.3840214751550439</v>
      </c>
      <c r="O13767" s="43">
        <v>5.7229692976715096</v>
      </c>
      <c r="P13767" s="412"/>
      <c r="Q13767" s="412"/>
      <c r="R13767" s="412">
        <v>1</v>
      </c>
    </row>
    <row r="13768" spans="1:18" ht="24">
      <c r="A13768" s="408">
        <v>148</v>
      </c>
      <c r="B13768" s="405" t="s">
        <v>24857</v>
      </c>
      <c r="C13768" s="409" t="s">
        <v>24858</v>
      </c>
      <c r="D13768" s="410">
        <v>69836.69</v>
      </c>
      <c r="E13768" s="410">
        <v>10053.75</v>
      </c>
      <c r="F13768" s="410">
        <v>47683.13</v>
      </c>
      <c r="G13768" s="410">
        <v>12099.81</v>
      </c>
      <c r="H13768" s="411">
        <v>438185.23</v>
      </c>
      <c r="I13768" s="411">
        <v>115622.5</v>
      </c>
      <c r="J13768" s="411">
        <v>255020.27</v>
      </c>
      <c r="K13768" s="411">
        <v>67542.460000000006</v>
      </c>
      <c r="L13768" s="43">
        <v>6.2744272387479985</v>
      </c>
      <c r="M13768" s="43">
        <v>11.500435161009573</v>
      </c>
      <c r="N13768" s="43">
        <v>5.3482283985971559</v>
      </c>
      <c r="O13768" s="43">
        <v>5.5821091405567529</v>
      </c>
      <c r="P13768" s="412"/>
      <c r="Q13768" s="412"/>
      <c r="R13768" s="412">
        <v>1</v>
      </c>
    </row>
    <row r="13769" spans="1:18" ht="24">
      <c r="A13769" s="408">
        <v>149</v>
      </c>
      <c r="B13769" s="405" t="s">
        <v>24859</v>
      </c>
      <c r="C13769" s="409" t="s">
        <v>24860</v>
      </c>
      <c r="D13769" s="410">
        <v>1330.03</v>
      </c>
      <c r="E13769" s="410">
        <v>495.39</v>
      </c>
      <c r="F13769" s="410">
        <v>547.4</v>
      </c>
      <c r="G13769" s="410">
        <v>287.24</v>
      </c>
      <c r="H13769" s="411">
        <v>9938.14</v>
      </c>
      <c r="I13769" s="411">
        <v>5696.96</v>
      </c>
      <c r="J13769" s="411">
        <v>3020.69</v>
      </c>
      <c r="K13769" s="411">
        <v>1220.49</v>
      </c>
      <c r="L13769" s="43">
        <v>7.4721171702893914</v>
      </c>
      <c r="M13769" s="43">
        <v>11.499949534710026</v>
      </c>
      <c r="N13769" s="43">
        <v>5.5182499086591159</v>
      </c>
      <c r="O13769" s="43">
        <v>4.2490252054031474</v>
      </c>
      <c r="P13769" s="412"/>
      <c r="Q13769" s="412"/>
      <c r="R13769" s="412">
        <v>1</v>
      </c>
    </row>
    <row r="13770" spans="1:18" ht="24">
      <c r="A13770" s="408">
        <v>150</v>
      </c>
      <c r="B13770" s="405" t="s">
        <v>24861</v>
      </c>
      <c r="C13770" s="409" t="s">
        <v>24862</v>
      </c>
      <c r="D13770" s="410">
        <v>1822.86</v>
      </c>
      <c r="E13770" s="410">
        <v>594.03</v>
      </c>
      <c r="F13770" s="410">
        <v>759.98</v>
      </c>
      <c r="G13770" s="410">
        <v>468.85</v>
      </c>
      <c r="H13770" s="411">
        <v>12993.97</v>
      </c>
      <c r="I13770" s="411">
        <v>6831.37</v>
      </c>
      <c r="J13770" s="411">
        <v>4169.21</v>
      </c>
      <c r="K13770" s="411">
        <v>1993.39</v>
      </c>
      <c r="L13770" s="43">
        <v>7.1283422753255872</v>
      </c>
      <c r="M13770" s="43">
        <v>11.500042085416561</v>
      </c>
      <c r="N13770" s="43">
        <v>5.4859469986052263</v>
      </c>
      <c r="O13770" s="43">
        <v>4.251658312893249</v>
      </c>
      <c r="P13770" s="412"/>
      <c r="Q13770" s="412"/>
      <c r="R13770" s="412">
        <v>1</v>
      </c>
    </row>
    <row r="13771" spans="1:18" ht="24">
      <c r="A13771" s="408">
        <v>151</v>
      </c>
      <c r="B13771" s="405" t="s">
        <v>24863</v>
      </c>
      <c r="C13771" s="409" t="s">
        <v>24864</v>
      </c>
      <c r="D13771" s="410">
        <v>22914.2</v>
      </c>
      <c r="E13771" s="410">
        <v>7181.25</v>
      </c>
      <c r="F13771" s="410">
        <v>8910.69</v>
      </c>
      <c r="G13771" s="410">
        <v>6822.26</v>
      </c>
      <c r="H13771" s="411">
        <v>170511.6</v>
      </c>
      <c r="I13771" s="411">
        <v>82587.5</v>
      </c>
      <c r="J13771" s="411">
        <v>47858.75</v>
      </c>
      <c r="K13771" s="411">
        <v>40065.35</v>
      </c>
      <c r="L13771" s="43">
        <v>7.4413071370591162</v>
      </c>
      <c r="M13771" s="43">
        <v>11.500435161009573</v>
      </c>
      <c r="N13771" s="43">
        <v>5.3709364819110528</v>
      </c>
      <c r="O13771" s="43">
        <v>5.8727386525872651</v>
      </c>
      <c r="P13771" s="412"/>
      <c r="Q13771" s="412"/>
      <c r="R13771" s="412">
        <v>1</v>
      </c>
    </row>
    <row r="13772" spans="1:18" ht="24">
      <c r="A13772" s="408">
        <v>152</v>
      </c>
      <c r="B13772" s="405" t="s">
        <v>24865</v>
      </c>
      <c r="C13772" s="409" t="s">
        <v>24866</v>
      </c>
      <c r="D13772" s="410">
        <v>28707.34</v>
      </c>
      <c r="E13772" s="410">
        <v>8600.7900000000009</v>
      </c>
      <c r="F13772" s="410">
        <v>10604.92</v>
      </c>
      <c r="G13772" s="410">
        <v>9501.6299999999992</v>
      </c>
      <c r="H13772" s="411">
        <v>211599.67</v>
      </c>
      <c r="I13772" s="411">
        <v>98912.77</v>
      </c>
      <c r="J13772" s="411">
        <v>56994.97</v>
      </c>
      <c r="K13772" s="411">
        <v>55691.93</v>
      </c>
      <c r="L13772" s="43">
        <v>7.3709256935682657</v>
      </c>
      <c r="M13772" s="43">
        <v>11.500428449014567</v>
      </c>
      <c r="N13772" s="43">
        <v>5.3743894343380241</v>
      </c>
      <c r="O13772" s="43">
        <v>5.8613027448974551</v>
      </c>
      <c r="P13772" s="412"/>
      <c r="Q13772" s="412"/>
      <c r="R13772" s="412">
        <v>1</v>
      </c>
    </row>
    <row r="13773" spans="1:18" ht="24">
      <c r="A13773" s="408">
        <v>153</v>
      </c>
      <c r="B13773" s="405" t="s">
        <v>24867</v>
      </c>
      <c r="C13773" s="409" t="s">
        <v>24868</v>
      </c>
      <c r="D13773" s="410">
        <v>5232.3599999999997</v>
      </c>
      <c r="E13773" s="410">
        <v>1472.03</v>
      </c>
      <c r="F13773" s="410">
        <v>2338.0100000000002</v>
      </c>
      <c r="G13773" s="410">
        <v>1422.32</v>
      </c>
      <c r="H13773" s="411">
        <v>37495.94</v>
      </c>
      <c r="I13773" s="411">
        <v>16928.939999999999</v>
      </c>
      <c r="J13773" s="411">
        <v>12551.13</v>
      </c>
      <c r="K13773" s="411">
        <v>8015.87</v>
      </c>
      <c r="L13773" s="43">
        <v>7.1661621142276148</v>
      </c>
      <c r="M13773" s="43">
        <v>11.500404203718674</v>
      </c>
      <c r="N13773" s="43">
        <v>5.3682961150722184</v>
      </c>
      <c r="O13773" s="43">
        <v>5.6357711344845045</v>
      </c>
      <c r="P13773" s="412"/>
      <c r="Q13773" s="412"/>
      <c r="R13773" s="412">
        <v>1</v>
      </c>
    </row>
    <row r="13774" spans="1:18" ht="24">
      <c r="A13774" s="408">
        <v>154</v>
      </c>
      <c r="B13774" s="405" t="s">
        <v>24869</v>
      </c>
      <c r="C13774" s="409" t="s">
        <v>24870</v>
      </c>
      <c r="D13774" s="410">
        <v>6134.43</v>
      </c>
      <c r="E13774" s="410">
        <v>1667.82</v>
      </c>
      <c r="F13774" s="410">
        <v>2666.78</v>
      </c>
      <c r="G13774" s="410">
        <v>1799.83</v>
      </c>
      <c r="H13774" s="411">
        <v>43382.1</v>
      </c>
      <c r="I13774" s="411">
        <v>19179.93</v>
      </c>
      <c r="J13774" s="411">
        <v>14319.22</v>
      </c>
      <c r="K13774" s="411">
        <v>9882.9500000000007</v>
      </c>
      <c r="L13774" s="43">
        <v>7.0719039910798553</v>
      </c>
      <c r="M13774" s="43">
        <v>11.5</v>
      </c>
      <c r="N13774" s="43">
        <v>5.369479297129871</v>
      </c>
      <c r="O13774" s="43">
        <v>5.4910463766022355</v>
      </c>
      <c r="P13774" s="412"/>
      <c r="Q13774" s="412"/>
      <c r="R13774" s="412">
        <v>1</v>
      </c>
    </row>
    <row r="13775" spans="1:18" ht="36">
      <c r="A13775" s="408">
        <v>155</v>
      </c>
      <c r="B13775" s="405" t="s">
        <v>24871</v>
      </c>
      <c r="C13775" s="409" t="s">
        <v>24872</v>
      </c>
      <c r="D13775" s="410">
        <v>2016.38</v>
      </c>
      <c r="E13775" s="410">
        <v>506.58</v>
      </c>
      <c r="F13775" s="410">
        <v>1133.75</v>
      </c>
      <c r="G13775" s="410">
        <v>376.05</v>
      </c>
      <c r="H13775" s="411">
        <v>13694.61</v>
      </c>
      <c r="I13775" s="411">
        <v>5825.94</v>
      </c>
      <c r="J13775" s="411">
        <v>6258.04</v>
      </c>
      <c r="K13775" s="411">
        <v>1610.63</v>
      </c>
      <c r="L13775" s="43">
        <v>6.791681131532747</v>
      </c>
      <c r="M13775" s="43">
        <v>11.500532985905483</v>
      </c>
      <c r="N13775" s="43">
        <v>5.5197706725468576</v>
      </c>
      <c r="O13775" s="43">
        <v>4.2830208748836593</v>
      </c>
      <c r="P13775" s="412"/>
      <c r="Q13775" s="412"/>
      <c r="R13775" s="412">
        <v>1</v>
      </c>
    </row>
    <row r="13776" spans="1:18" ht="36">
      <c r="A13776" s="408">
        <v>156</v>
      </c>
      <c r="B13776" s="405" t="s">
        <v>24873</v>
      </c>
      <c r="C13776" s="409" t="s">
        <v>24874</v>
      </c>
      <c r="D13776" s="410">
        <v>2254.94</v>
      </c>
      <c r="E13776" s="410">
        <v>543</v>
      </c>
      <c r="F13776" s="410">
        <v>1248.44</v>
      </c>
      <c r="G13776" s="410">
        <v>463.5</v>
      </c>
      <c r="H13776" s="411">
        <v>15119.54</v>
      </c>
      <c r="I13776" s="411">
        <v>6244.72</v>
      </c>
      <c r="J13776" s="411">
        <v>6890.88</v>
      </c>
      <c r="K13776" s="411">
        <v>1983.94</v>
      </c>
      <c r="L13776" s="43">
        <v>6.7050741926614457</v>
      </c>
      <c r="M13776" s="43">
        <v>11.500405156537754</v>
      </c>
      <c r="N13776" s="43">
        <v>5.5195924513793209</v>
      </c>
      <c r="O13776" s="43">
        <v>4.2803451995685009</v>
      </c>
      <c r="P13776" s="412"/>
      <c r="Q13776" s="412"/>
      <c r="R13776" s="412">
        <v>1</v>
      </c>
    </row>
    <row r="13777" spans="1:18" ht="36">
      <c r="A13777" s="408">
        <v>157</v>
      </c>
      <c r="B13777" s="405" t="s">
        <v>24875</v>
      </c>
      <c r="C13777" s="409" t="s">
        <v>24876</v>
      </c>
      <c r="D13777" s="410">
        <v>2805.2</v>
      </c>
      <c r="E13777" s="410">
        <v>629.75</v>
      </c>
      <c r="F13777" s="410">
        <v>1515.06</v>
      </c>
      <c r="G13777" s="410">
        <v>660.39</v>
      </c>
      <c r="H13777" s="411">
        <v>18373.240000000002</v>
      </c>
      <c r="I13777" s="411">
        <v>7242.4</v>
      </c>
      <c r="J13777" s="411">
        <v>8333.9599999999991</v>
      </c>
      <c r="K13777" s="411">
        <v>2796.88</v>
      </c>
      <c r="L13777" s="43">
        <v>6.5497076857265091</v>
      </c>
      <c r="M13777" s="43">
        <v>11.500436681222707</v>
      </c>
      <c r="N13777" s="43">
        <v>5.5007458450490407</v>
      </c>
      <c r="O13777" s="43">
        <v>4.2351943548509219</v>
      </c>
      <c r="P13777" s="412"/>
      <c r="Q13777" s="412"/>
      <c r="R13777" s="412">
        <v>1</v>
      </c>
    </row>
    <row r="13778" spans="1:18" ht="36">
      <c r="A13778" s="408">
        <v>158</v>
      </c>
      <c r="B13778" s="405" t="s">
        <v>24877</v>
      </c>
      <c r="C13778" s="409" t="s">
        <v>24878</v>
      </c>
      <c r="D13778" s="410">
        <v>12175.84</v>
      </c>
      <c r="E13778" s="410">
        <v>2915.96</v>
      </c>
      <c r="F13778" s="410">
        <v>7912.25</v>
      </c>
      <c r="G13778" s="410">
        <v>1347.63</v>
      </c>
      <c r="H13778" s="411">
        <v>83291.679999999993</v>
      </c>
      <c r="I13778" s="411">
        <v>33533.54</v>
      </c>
      <c r="J13778" s="411">
        <v>43594.67</v>
      </c>
      <c r="K13778" s="411">
        <v>6163.47</v>
      </c>
      <c r="L13778" s="43">
        <v>6.8407337809958078</v>
      </c>
      <c r="M13778" s="43">
        <v>11.5</v>
      </c>
      <c r="N13778" s="43">
        <v>5.5097690290372521</v>
      </c>
      <c r="O13778" s="43">
        <v>4.573562476347365</v>
      </c>
      <c r="P13778" s="412"/>
      <c r="Q13778" s="412"/>
      <c r="R13778" s="412">
        <v>1</v>
      </c>
    </row>
    <row r="13779" spans="1:18" ht="36">
      <c r="A13779" s="408">
        <v>159</v>
      </c>
      <c r="B13779" s="405" t="s">
        <v>24879</v>
      </c>
      <c r="C13779" s="409" t="s">
        <v>24880</v>
      </c>
      <c r="D13779" s="410">
        <v>36235.019999999997</v>
      </c>
      <c r="E13779" s="410">
        <v>10037.32</v>
      </c>
      <c r="F13779" s="410">
        <v>18299.41</v>
      </c>
      <c r="G13779" s="410">
        <v>7898.29</v>
      </c>
      <c r="H13779" s="411">
        <v>262539.44</v>
      </c>
      <c r="I13779" s="411">
        <v>115429.18</v>
      </c>
      <c r="J13779" s="411">
        <v>97998.75</v>
      </c>
      <c r="K13779" s="411">
        <v>49111.51</v>
      </c>
      <c r="L13779" s="43">
        <v>7.2454614348218938</v>
      </c>
      <c r="M13779" s="43">
        <v>11.5</v>
      </c>
      <c r="N13779" s="43">
        <v>5.3552956078911835</v>
      </c>
      <c r="O13779" s="43">
        <v>6.2179927553938894</v>
      </c>
      <c r="P13779" s="412"/>
      <c r="Q13779" s="412"/>
      <c r="R13779" s="412">
        <v>1</v>
      </c>
    </row>
    <row r="13780" spans="1:18" ht="36">
      <c r="A13780" s="408">
        <v>160</v>
      </c>
      <c r="B13780" s="405" t="s">
        <v>24881</v>
      </c>
      <c r="C13780" s="409" t="s">
        <v>24882</v>
      </c>
      <c r="D13780" s="410">
        <v>3739.79</v>
      </c>
      <c r="E13780" s="410">
        <v>1528.44</v>
      </c>
      <c r="F13780" s="410">
        <v>1606.3</v>
      </c>
      <c r="G13780" s="410">
        <v>605.04999999999995</v>
      </c>
      <c r="H13780" s="411">
        <v>28970</v>
      </c>
      <c r="I13780" s="411">
        <v>17577.060000000001</v>
      </c>
      <c r="J13780" s="411">
        <v>8832.26</v>
      </c>
      <c r="K13780" s="411">
        <v>2560.6799999999998</v>
      </c>
      <c r="L13780" s="43">
        <v>7.7464242644640473</v>
      </c>
      <c r="M13780" s="43">
        <v>11.5</v>
      </c>
      <c r="N13780" s="43">
        <v>5.4985121085724957</v>
      </c>
      <c r="O13780" s="43">
        <v>4.2321791587472113</v>
      </c>
      <c r="P13780" s="412"/>
      <c r="Q13780" s="412"/>
      <c r="R13780" s="412">
        <v>1</v>
      </c>
    </row>
    <row r="13781" spans="1:18" ht="36">
      <c r="A13781" s="408">
        <v>161</v>
      </c>
      <c r="B13781" s="405" t="s">
        <v>24883</v>
      </c>
      <c r="C13781" s="409" t="s">
        <v>24884</v>
      </c>
      <c r="D13781" s="410">
        <v>4451.6000000000004</v>
      </c>
      <c r="E13781" s="410">
        <v>1701.88</v>
      </c>
      <c r="F13781" s="410">
        <v>1798.26</v>
      </c>
      <c r="G13781" s="410">
        <v>951.46</v>
      </c>
      <c r="H13781" s="411">
        <v>33368.65</v>
      </c>
      <c r="I13781" s="411">
        <v>19571.62</v>
      </c>
      <c r="J13781" s="411">
        <v>9888.59</v>
      </c>
      <c r="K13781" s="411">
        <v>3908.44</v>
      </c>
      <c r="L13781" s="43">
        <v>7.4958778866025693</v>
      </c>
      <c r="M13781" s="43">
        <v>11.499999999999998</v>
      </c>
      <c r="N13781" s="43">
        <v>5.4989767886734953</v>
      </c>
      <c r="O13781" s="43">
        <v>4.1078342757446453</v>
      </c>
      <c r="P13781" s="412"/>
      <c r="Q13781" s="412"/>
      <c r="R13781" s="412">
        <v>1</v>
      </c>
    </row>
    <row r="13782" spans="1:18" ht="36">
      <c r="A13782" s="408">
        <v>162</v>
      </c>
      <c r="B13782" s="405" t="s">
        <v>24885</v>
      </c>
      <c r="C13782" s="409" t="s">
        <v>24886</v>
      </c>
      <c r="D13782" s="410">
        <v>8047.56</v>
      </c>
      <c r="E13782" s="410">
        <v>1938.51</v>
      </c>
      <c r="F13782" s="410">
        <v>5144.96</v>
      </c>
      <c r="G13782" s="410">
        <v>964.09</v>
      </c>
      <c r="H13782" s="411">
        <v>54785.63</v>
      </c>
      <c r="I13782" s="411">
        <v>22293.77</v>
      </c>
      <c r="J13782" s="411">
        <v>28488.06</v>
      </c>
      <c r="K13782" s="411">
        <v>4003.8</v>
      </c>
      <c r="L13782" s="43">
        <v>6.8077317845409038</v>
      </c>
      <c r="M13782" s="43">
        <v>11.50046685340803</v>
      </c>
      <c r="N13782" s="43">
        <v>5.5370809491230251</v>
      </c>
      <c r="O13782" s="43">
        <v>4.1529317802279868</v>
      </c>
      <c r="P13782" s="412"/>
      <c r="Q13782" s="412"/>
      <c r="R13782" s="412">
        <v>1</v>
      </c>
    </row>
    <row r="13783" spans="1:18" ht="36">
      <c r="A13783" s="408">
        <v>163</v>
      </c>
      <c r="B13783" s="405" t="s">
        <v>24887</v>
      </c>
      <c r="C13783" s="409" t="s">
        <v>24888</v>
      </c>
      <c r="D13783" s="410">
        <v>10868.56</v>
      </c>
      <c r="E13783" s="410">
        <v>3049.66</v>
      </c>
      <c r="F13783" s="410">
        <v>6541.95</v>
      </c>
      <c r="G13783" s="410">
        <v>1276.95</v>
      </c>
      <c r="H13783" s="411">
        <v>76931.45</v>
      </c>
      <c r="I13783" s="411">
        <v>35072.480000000003</v>
      </c>
      <c r="J13783" s="411">
        <v>36349.42</v>
      </c>
      <c r="K13783" s="411">
        <v>5509.55</v>
      </c>
      <c r="L13783" s="43">
        <v>7.0783480056235604</v>
      </c>
      <c r="M13783" s="43">
        <v>11.500455788514131</v>
      </c>
      <c r="N13783" s="43">
        <v>5.5563585780998022</v>
      </c>
      <c r="O13783" s="43">
        <v>4.314616860487881</v>
      </c>
      <c r="P13783" s="412"/>
      <c r="Q13783" s="412"/>
      <c r="R13783" s="412">
        <v>1</v>
      </c>
    </row>
    <row r="13784" spans="1:18" ht="36">
      <c r="A13784" s="408">
        <v>164</v>
      </c>
      <c r="B13784" s="405" t="s">
        <v>24889</v>
      </c>
      <c r="C13784" s="409" t="s">
        <v>24890</v>
      </c>
      <c r="D13784" s="410">
        <v>25610.080000000002</v>
      </c>
      <c r="E13784" s="410">
        <v>8808.4</v>
      </c>
      <c r="F13784" s="410">
        <v>10766.2</v>
      </c>
      <c r="G13784" s="410">
        <v>6035.48</v>
      </c>
      <c r="H13784" s="411">
        <v>196900.79</v>
      </c>
      <c r="I13784" s="411">
        <v>101296.6</v>
      </c>
      <c r="J13784" s="411">
        <v>58992.56</v>
      </c>
      <c r="K13784" s="411">
        <v>36611.629999999997</v>
      </c>
      <c r="L13784" s="43">
        <v>7.6884097980170303</v>
      </c>
      <c r="M13784" s="43">
        <v>11.500000000000002</v>
      </c>
      <c r="N13784" s="43">
        <v>5.4794226375137001</v>
      </c>
      <c r="O13784" s="43">
        <v>6.0660676532769555</v>
      </c>
      <c r="P13784" s="412"/>
      <c r="Q13784" s="412"/>
      <c r="R13784" s="412">
        <v>1</v>
      </c>
    </row>
    <row r="13785" spans="1:18" ht="24">
      <c r="A13785" s="408">
        <v>165</v>
      </c>
      <c r="B13785" s="405" t="s">
        <v>24891</v>
      </c>
      <c r="C13785" s="409" t="s">
        <v>24892</v>
      </c>
      <c r="D13785" s="410">
        <v>16674.21</v>
      </c>
      <c r="E13785" s="410">
        <v>5144.5600000000004</v>
      </c>
      <c r="F13785" s="410">
        <v>8160.27</v>
      </c>
      <c r="G13785" s="410">
        <v>3369.38</v>
      </c>
      <c r="H13785" s="411">
        <v>123173.56</v>
      </c>
      <c r="I13785" s="411">
        <v>59162.44</v>
      </c>
      <c r="J13785" s="411">
        <v>44921.57</v>
      </c>
      <c r="K13785" s="411">
        <v>19089.55</v>
      </c>
      <c r="L13785" s="43">
        <v>7.3870702120220395</v>
      </c>
      <c r="M13785" s="43">
        <v>11.5</v>
      </c>
      <c r="N13785" s="43">
        <v>5.5049122149144569</v>
      </c>
      <c r="O13785" s="43">
        <v>5.665597231538146</v>
      </c>
      <c r="P13785" s="412"/>
      <c r="Q13785" s="412"/>
      <c r="R13785" s="412">
        <v>1</v>
      </c>
    </row>
    <row r="13786" spans="1:18" ht="24">
      <c r="A13786" s="408">
        <v>166</v>
      </c>
      <c r="B13786" s="405" t="s">
        <v>24893</v>
      </c>
      <c r="C13786" s="409" t="s">
        <v>24894</v>
      </c>
      <c r="D13786" s="410">
        <v>23016.27</v>
      </c>
      <c r="E13786" s="410">
        <v>6734.4</v>
      </c>
      <c r="F13786" s="410">
        <v>11347.71</v>
      </c>
      <c r="G13786" s="410">
        <v>4934.16</v>
      </c>
      <c r="H13786" s="411">
        <v>167275.51999999999</v>
      </c>
      <c r="I13786" s="411">
        <v>77445.600000000006</v>
      </c>
      <c r="J13786" s="411">
        <v>61014.01</v>
      </c>
      <c r="K13786" s="411">
        <v>28815.91</v>
      </c>
      <c r="L13786" s="43">
        <v>7.267707582505766</v>
      </c>
      <c r="M13786" s="43">
        <v>11.500000000000002</v>
      </c>
      <c r="N13786" s="43">
        <v>5.3767685286282436</v>
      </c>
      <c r="O13786" s="43">
        <v>5.8400842291291735</v>
      </c>
      <c r="P13786" s="412"/>
      <c r="Q13786" s="412"/>
      <c r="R13786" s="412">
        <v>1</v>
      </c>
    </row>
    <row r="13787" spans="1:18" ht="24">
      <c r="A13787" s="408">
        <v>167</v>
      </c>
      <c r="B13787" s="405" t="s">
        <v>24895</v>
      </c>
      <c r="C13787" s="409" t="s">
        <v>24896</v>
      </c>
      <c r="D13787" s="410">
        <v>19818.82</v>
      </c>
      <c r="E13787" s="410">
        <v>6227.58</v>
      </c>
      <c r="F13787" s="410">
        <v>10523.22</v>
      </c>
      <c r="G13787" s="410">
        <v>3068.02</v>
      </c>
      <c r="H13787" s="411">
        <v>147013.21</v>
      </c>
      <c r="I13787" s="411">
        <v>71619.88</v>
      </c>
      <c r="J13787" s="411">
        <v>57167.7</v>
      </c>
      <c r="K13787" s="411">
        <v>18225.63</v>
      </c>
      <c r="L13787" s="43">
        <v>7.4178588836267743</v>
      </c>
      <c r="M13787" s="43">
        <v>11.500435161009575</v>
      </c>
      <c r="N13787" s="43">
        <v>5.4325292068397317</v>
      </c>
      <c r="O13787" s="43">
        <v>5.940518640686828</v>
      </c>
      <c r="P13787" s="412"/>
      <c r="Q13787" s="412"/>
      <c r="R13787" s="412">
        <v>1</v>
      </c>
    </row>
    <row r="13788" spans="1:18" ht="24">
      <c r="A13788" s="408">
        <v>168</v>
      </c>
      <c r="B13788" s="405" t="s">
        <v>24897</v>
      </c>
      <c r="C13788" s="409" t="s">
        <v>24898</v>
      </c>
      <c r="D13788" s="410">
        <v>31108.69</v>
      </c>
      <c r="E13788" s="410">
        <v>8111.94</v>
      </c>
      <c r="F13788" s="410">
        <v>18650.07</v>
      </c>
      <c r="G13788" s="410">
        <v>4346.68</v>
      </c>
      <c r="H13788" s="411">
        <v>220403.06</v>
      </c>
      <c r="I13788" s="411">
        <v>93290.84</v>
      </c>
      <c r="J13788" s="411">
        <v>101492.35</v>
      </c>
      <c r="K13788" s="411">
        <v>25619.87</v>
      </c>
      <c r="L13788" s="43">
        <v>7.0849354312251656</v>
      </c>
      <c r="M13788" s="43">
        <v>11.500435161009573</v>
      </c>
      <c r="N13788" s="43">
        <v>5.4419286361927872</v>
      </c>
      <c r="O13788" s="43">
        <v>5.8941237910313156</v>
      </c>
      <c r="P13788" s="412"/>
      <c r="Q13788" s="412"/>
      <c r="R13788" s="412">
        <v>1</v>
      </c>
    </row>
    <row r="13789" spans="1:18" ht="24">
      <c r="A13789" s="408">
        <v>169</v>
      </c>
      <c r="B13789" s="405" t="s">
        <v>24899</v>
      </c>
      <c r="C13789" s="409" t="s">
        <v>24900</v>
      </c>
      <c r="D13789" s="410">
        <v>5513.3</v>
      </c>
      <c r="E13789" s="410">
        <v>1396.56</v>
      </c>
      <c r="F13789" s="410">
        <v>3650.44</v>
      </c>
      <c r="G13789" s="410">
        <v>466.3</v>
      </c>
      <c r="H13789" s="411">
        <v>38334.519999999997</v>
      </c>
      <c r="I13789" s="411">
        <v>16060.44</v>
      </c>
      <c r="J13789" s="411">
        <v>20214.43</v>
      </c>
      <c r="K13789" s="411">
        <v>2059.65</v>
      </c>
      <c r="L13789" s="43">
        <v>6.9530988700052596</v>
      </c>
      <c r="M13789" s="43">
        <v>11.5</v>
      </c>
      <c r="N13789" s="43">
        <v>5.5375324618402164</v>
      </c>
      <c r="O13789" s="43">
        <v>4.4170062191722073</v>
      </c>
      <c r="P13789" s="412"/>
      <c r="Q13789" s="412"/>
      <c r="R13789" s="412">
        <v>1</v>
      </c>
    </row>
    <row r="13790" spans="1:18" ht="24">
      <c r="A13790" s="408">
        <v>170</v>
      </c>
      <c r="B13790" s="405" t="s">
        <v>24901</v>
      </c>
      <c r="C13790" s="409" t="s">
        <v>24902</v>
      </c>
      <c r="D13790" s="410">
        <v>6803.37</v>
      </c>
      <c r="E13790" s="410">
        <v>1691.04</v>
      </c>
      <c r="F13790" s="410">
        <v>4462.43</v>
      </c>
      <c r="G13790" s="410">
        <v>649.9</v>
      </c>
      <c r="H13790" s="411">
        <v>46823.02</v>
      </c>
      <c r="I13790" s="411">
        <v>19446.96</v>
      </c>
      <c r="J13790" s="411">
        <v>24562.41</v>
      </c>
      <c r="K13790" s="411">
        <v>2813.65</v>
      </c>
      <c r="L13790" s="43">
        <v>6.8823274347859957</v>
      </c>
      <c r="M13790" s="43">
        <v>11.5</v>
      </c>
      <c r="N13790" s="43">
        <v>5.5042678540615757</v>
      </c>
      <c r="O13790" s="43">
        <v>4.32935836282505</v>
      </c>
      <c r="P13790" s="412"/>
      <c r="Q13790" s="412"/>
      <c r="R13790" s="412">
        <v>1</v>
      </c>
    </row>
    <row r="13791" spans="1:18" ht="24">
      <c r="A13791" s="408">
        <v>171</v>
      </c>
      <c r="B13791" s="405" t="s">
        <v>24903</v>
      </c>
      <c r="C13791" s="409" t="s">
        <v>24904</v>
      </c>
      <c r="D13791" s="410">
        <v>9982.32</v>
      </c>
      <c r="E13791" s="410">
        <v>2519.6999999999998</v>
      </c>
      <c r="F13791" s="410">
        <v>6198.77</v>
      </c>
      <c r="G13791" s="410">
        <v>1263.8499999999999</v>
      </c>
      <c r="H13791" s="411">
        <v>67793.509999999995</v>
      </c>
      <c r="I13791" s="411">
        <v>28976.55</v>
      </c>
      <c r="J13791" s="411">
        <v>33442.25</v>
      </c>
      <c r="K13791" s="411">
        <v>5374.71</v>
      </c>
      <c r="L13791" s="43">
        <v>6.7913581211582077</v>
      </c>
      <c r="M13791" s="43">
        <v>11.5</v>
      </c>
      <c r="N13791" s="43">
        <v>5.3949815850563896</v>
      </c>
      <c r="O13791" s="43">
        <v>4.2526486529255845</v>
      </c>
      <c r="P13791" s="412"/>
      <c r="Q13791" s="412"/>
      <c r="R13791" s="412">
        <v>1</v>
      </c>
    </row>
    <row r="13792" spans="1:18" ht="24">
      <c r="A13792" s="408">
        <v>172</v>
      </c>
      <c r="B13792" s="405" t="s">
        <v>24905</v>
      </c>
      <c r="C13792" s="409" t="s">
        <v>24906</v>
      </c>
      <c r="D13792" s="410">
        <v>26367.34</v>
      </c>
      <c r="E13792" s="410">
        <v>9525.2099999999991</v>
      </c>
      <c r="F13792" s="410">
        <v>10678.76</v>
      </c>
      <c r="G13792" s="410">
        <v>6163.37</v>
      </c>
      <c r="H13792" s="411">
        <v>205307.12</v>
      </c>
      <c r="I13792" s="411">
        <v>109544.06</v>
      </c>
      <c r="J13792" s="411">
        <v>56898.59</v>
      </c>
      <c r="K13792" s="411">
        <v>38864.47</v>
      </c>
      <c r="L13792" s="43">
        <v>7.7864175908529258</v>
      </c>
      <c r="M13792" s="43">
        <v>11.500435161009575</v>
      </c>
      <c r="N13792" s="43">
        <v>5.3282019635238544</v>
      </c>
      <c r="O13792" s="43">
        <v>6.3057174889711316</v>
      </c>
      <c r="P13792" s="412"/>
      <c r="Q13792" s="412"/>
      <c r="R13792" s="412">
        <v>1</v>
      </c>
    </row>
    <row r="13793" spans="1:18" ht="36">
      <c r="A13793" s="408">
        <v>173</v>
      </c>
      <c r="B13793" s="405" t="s">
        <v>24907</v>
      </c>
      <c r="C13793" s="409" t="s">
        <v>24908</v>
      </c>
      <c r="D13793" s="410">
        <v>21476.45</v>
      </c>
      <c r="E13793" s="410">
        <v>7075.64</v>
      </c>
      <c r="F13793" s="410">
        <v>9959.32</v>
      </c>
      <c r="G13793" s="410">
        <v>4441.49</v>
      </c>
      <c r="H13793" s="411">
        <v>161466.71</v>
      </c>
      <c r="I13793" s="411">
        <v>81372.72</v>
      </c>
      <c r="J13793" s="411">
        <v>53117.74</v>
      </c>
      <c r="K13793" s="411">
        <v>26976.25</v>
      </c>
      <c r="L13793" s="43">
        <v>7.5183147121614597</v>
      </c>
      <c r="M13793" s="43">
        <v>11.500404203718674</v>
      </c>
      <c r="N13793" s="43">
        <v>5.333470558230883</v>
      </c>
      <c r="O13793" s="43">
        <v>6.0736937379122775</v>
      </c>
      <c r="P13793" s="412"/>
      <c r="Q13793" s="412"/>
      <c r="R13793" s="412">
        <v>1</v>
      </c>
    </row>
    <row r="13794" spans="1:18" ht="36">
      <c r="A13794" s="408">
        <v>174</v>
      </c>
      <c r="B13794" s="405" t="s">
        <v>24909</v>
      </c>
      <c r="C13794" s="409" t="s">
        <v>24910</v>
      </c>
      <c r="D13794" s="410">
        <v>27011.51</v>
      </c>
      <c r="E13794" s="410">
        <v>7892.06</v>
      </c>
      <c r="F13794" s="410">
        <v>13914.53</v>
      </c>
      <c r="G13794" s="410">
        <v>5204.92</v>
      </c>
      <c r="H13794" s="411">
        <v>196401.48</v>
      </c>
      <c r="I13794" s="411">
        <v>90761.88</v>
      </c>
      <c r="J13794" s="411">
        <v>74159.5</v>
      </c>
      <c r="K13794" s="411">
        <v>31480.1</v>
      </c>
      <c r="L13794" s="43">
        <v>7.2710292760382522</v>
      </c>
      <c r="M13794" s="43">
        <v>11.500404203718674</v>
      </c>
      <c r="N13794" s="43">
        <v>5.3296446232822809</v>
      </c>
      <c r="O13794" s="43">
        <v>6.048142910938112</v>
      </c>
      <c r="P13794" s="412"/>
      <c r="Q13794" s="412"/>
      <c r="R13794" s="412">
        <v>1</v>
      </c>
    </row>
    <row r="13795" spans="1:18" ht="24">
      <c r="A13795" s="408">
        <v>175</v>
      </c>
      <c r="B13795" s="405" t="s">
        <v>24911</v>
      </c>
      <c r="C13795" s="409" t="s">
        <v>24912</v>
      </c>
      <c r="D13795" s="410">
        <v>1763.6</v>
      </c>
      <c r="E13795" s="410">
        <v>409.12</v>
      </c>
      <c r="F13795" s="410">
        <v>1184.19</v>
      </c>
      <c r="G13795" s="410">
        <v>170.29</v>
      </c>
      <c r="H13795" s="411">
        <v>11778.24</v>
      </c>
      <c r="I13795" s="411">
        <v>4705.09</v>
      </c>
      <c r="J13795" s="411">
        <v>6373.66</v>
      </c>
      <c r="K13795" s="411">
        <v>699.49</v>
      </c>
      <c r="L13795" s="43">
        <v>6.6785212066228175</v>
      </c>
      <c r="M13795" s="43">
        <v>11.500513296832226</v>
      </c>
      <c r="N13795" s="43">
        <v>5.3822950708923392</v>
      </c>
      <c r="O13795" s="43">
        <v>4.107639908391568</v>
      </c>
      <c r="P13795" s="412"/>
      <c r="Q13795" s="412"/>
      <c r="R13795" s="412">
        <v>1</v>
      </c>
    </row>
    <row r="13796" spans="1:18" ht="24">
      <c r="A13796" s="408">
        <v>176</v>
      </c>
      <c r="B13796" s="405" t="s">
        <v>24913</v>
      </c>
      <c r="C13796" s="409" t="s">
        <v>24914</v>
      </c>
      <c r="D13796" s="410">
        <v>2535.02</v>
      </c>
      <c r="E13796" s="410">
        <v>589.04999999999995</v>
      </c>
      <c r="F13796" s="410">
        <v>1695.1</v>
      </c>
      <c r="G13796" s="410">
        <v>250.87</v>
      </c>
      <c r="H13796" s="411">
        <v>16937.14</v>
      </c>
      <c r="I13796" s="411">
        <v>6774.35</v>
      </c>
      <c r="J13796" s="411">
        <v>9129.6200000000008</v>
      </c>
      <c r="K13796" s="411">
        <v>1033.17</v>
      </c>
      <c r="L13796" s="43">
        <v>6.6812648420919754</v>
      </c>
      <c r="M13796" s="43">
        <v>11.500466853408032</v>
      </c>
      <c r="N13796" s="43">
        <v>5.3858887381275444</v>
      </c>
      <c r="O13796" s="43">
        <v>4.1183481484434168</v>
      </c>
      <c r="P13796" s="412"/>
      <c r="Q13796" s="412"/>
      <c r="R13796" s="412">
        <v>1</v>
      </c>
    </row>
    <row r="13797" spans="1:18" ht="24">
      <c r="A13797" s="408">
        <v>177</v>
      </c>
      <c r="B13797" s="405" t="s">
        <v>24915</v>
      </c>
      <c r="C13797" s="409" t="s">
        <v>24916</v>
      </c>
      <c r="D13797" s="410">
        <v>3844.87</v>
      </c>
      <c r="E13797" s="410">
        <v>878.22</v>
      </c>
      <c r="F13797" s="410">
        <v>2425.5100000000002</v>
      </c>
      <c r="G13797" s="410">
        <v>541.14</v>
      </c>
      <c r="H13797" s="411">
        <v>25316.49</v>
      </c>
      <c r="I13797" s="411">
        <v>10099.94</v>
      </c>
      <c r="J13797" s="411">
        <v>13042.96</v>
      </c>
      <c r="K13797" s="411">
        <v>2173.59</v>
      </c>
      <c r="L13797" s="43">
        <v>6.5844853011935394</v>
      </c>
      <c r="M13797" s="43">
        <v>11.50046685340803</v>
      </c>
      <c r="N13797" s="43">
        <v>5.3774092871189971</v>
      </c>
      <c r="O13797" s="43">
        <v>4.0166869941235177</v>
      </c>
      <c r="P13797" s="412"/>
      <c r="Q13797" s="412"/>
      <c r="R13797" s="412">
        <v>1</v>
      </c>
    </row>
    <row r="13798" spans="1:18" ht="24">
      <c r="A13798" s="413">
        <v>178</v>
      </c>
      <c r="B13798" s="414" t="s">
        <v>24917</v>
      </c>
      <c r="C13798" s="415" t="s">
        <v>24918</v>
      </c>
      <c r="D13798" s="416">
        <v>28350.95</v>
      </c>
      <c r="E13798" s="416">
        <v>2602.5300000000002</v>
      </c>
      <c r="F13798" s="416">
        <v>24671.93</v>
      </c>
      <c r="G13798" s="416">
        <v>1076.49</v>
      </c>
      <c r="H13798" s="417">
        <v>167674.47</v>
      </c>
      <c r="I13798" s="417">
        <v>29930.31</v>
      </c>
      <c r="J13798" s="417">
        <v>133256.09</v>
      </c>
      <c r="K13798" s="417">
        <v>4488.07</v>
      </c>
      <c r="L13798" s="611">
        <v>5.9142452016599094</v>
      </c>
      <c r="M13798" s="611">
        <v>11.50046685340803</v>
      </c>
      <c r="N13798" s="611">
        <v>5.4011214363853979</v>
      </c>
      <c r="O13798" s="611">
        <v>4.169170173434031</v>
      </c>
      <c r="P13798" s="418"/>
      <c r="Q13798" s="418"/>
      <c r="R13798" s="418">
        <v>1</v>
      </c>
    </row>
    <row r="13799" spans="1:18" ht="12.75" customHeight="1">
      <c r="A13799" s="630" t="s">
        <v>24919</v>
      </c>
      <c r="B13799" s="631"/>
      <c r="C13799" s="631"/>
      <c r="D13799" s="631"/>
      <c r="E13799" s="631"/>
      <c r="F13799" s="631"/>
      <c r="G13799" s="631"/>
      <c r="H13799" s="631"/>
      <c r="I13799" s="631"/>
      <c r="J13799" s="631"/>
      <c r="K13799" s="631"/>
      <c r="L13799" s="631"/>
      <c r="M13799" s="631"/>
      <c r="N13799" s="631"/>
      <c r="O13799" s="631"/>
      <c r="P13799" s="631"/>
      <c r="Q13799" s="631"/>
      <c r="R13799" s="631"/>
    </row>
    <row r="13800" spans="1:18" ht="12.75" customHeight="1">
      <c r="A13800" s="628" t="s">
        <v>24920</v>
      </c>
      <c r="B13800" s="629"/>
      <c r="C13800" s="629"/>
      <c r="D13800" s="629"/>
      <c r="E13800" s="629"/>
      <c r="F13800" s="629"/>
      <c r="G13800" s="629"/>
      <c r="H13800" s="629"/>
      <c r="I13800" s="629"/>
      <c r="J13800" s="629"/>
      <c r="K13800" s="629"/>
      <c r="L13800" s="629"/>
      <c r="M13800" s="629"/>
      <c r="N13800" s="629"/>
      <c r="O13800" s="629"/>
      <c r="P13800" s="629"/>
      <c r="Q13800" s="629"/>
      <c r="R13800" s="629"/>
    </row>
    <row r="13801" spans="1:18" ht="12.75" customHeight="1">
      <c r="A13801" s="628" t="s">
        <v>24921</v>
      </c>
      <c r="B13801" s="629"/>
      <c r="C13801" s="629"/>
      <c r="D13801" s="629"/>
      <c r="E13801" s="629"/>
      <c r="F13801" s="629"/>
      <c r="G13801" s="629"/>
      <c r="H13801" s="629"/>
      <c r="I13801" s="629"/>
      <c r="J13801" s="629"/>
      <c r="K13801" s="629"/>
      <c r="L13801" s="629"/>
      <c r="M13801" s="629"/>
      <c r="N13801" s="629"/>
      <c r="O13801" s="629"/>
      <c r="P13801" s="629"/>
      <c r="Q13801" s="629"/>
      <c r="R13801" s="629"/>
    </row>
    <row r="13802" spans="1:18" ht="36">
      <c r="A13802" s="408">
        <v>179</v>
      </c>
      <c r="B13802" s="405" t="s">
        <v>24922</v>
      </c>
      <c r="C13802" s="409" t="s">
        <v>24923</v>
      </c>
      <c r="D13802" s="410">
        <v>2579.8000000000002</v>
      </c>
      <c r="E13802" s="410">
        <v>1360.28</v>
      </c>
      <c r="F13802" s="410">
        <v>369.37</v>
      </c>
      <c r="G13802" s="410">
        <v>850.15</v>
      </c>
      <c r="H13802" s="411">
        <v>21262.95</v>
      </c>
      <c r="I13802" s="411">
        <v>15643.84</v>
      </c>
      <c r="J13802" s="411">
        <v>1974.88</v>
      </c>
      <c r="K13802" s="411">
        <v>3644.23</v>
      </c>
      <c r="L13802" s="43">
        <v>8.2420924102643607</v>
      </c>
      <c r="M13802" s="43">
        <v>11.500455788514129</v>
      </c>
      <c r="N13802" s="43">
        <v>5.3466172130925633</v>
      </c>
      <c r="O13802" s="43">
        <v>4.2865729577133447</v>
      </c>
      <c r="P13802" s="412"/>
      <c r="Q13802" s="412"/>
      <c r="R13802" s="412">
        <v>1</v>
      </c>
    </row>
    <row r="13803" spans="1:18" ht="24">
      <c r="A13803" s="408">
        <v>180</v>
      </c>
      <c r="B13803" s="405" t="s">
        <v>24924</v>
      </c>
      <c r="C13803" s="409" t="s">
        <v>24925</v>
      </c>
      <c r="D13803" s="410">
        <v>1660.64</v>
      </c>
      <c r="E13803" s="410">
        <v>878.22</v>
      </c>
      <c r="F13803" s="410">
        <v>333.2</v>
      </c>
      <c r="G13803" s="410">
        <v>449.22</v>
      </c>
      <c r="H13803" s="411">
        <v>13681.65</v>
      </c>
      <c r="I13803" s="411">
        <v>10099.94</v>
      </c>
      <c r="J13803" s="411">
        <v>1728.73</v>
      </c>
      <c r="K13803" s="411">
        <v>1852.98</v>
      </c>
      <c r="L13803" s="43">
        <v>8.2387814336641281</v>
      </c>
      <c r="M13803" s="43">
        <v>11.50046685340803</v>
      </c>
      <c r="N13803" s="43">
        <v>5.1882653061224495</v>
      </c>
      <c r="O13803" s="43">
        <v>4.1248831307599838</v>
      </c>
      <c r="P13803" s="412"/>
      <c r="Q13803" s="412"/>
      <c r="R13803" s="412">
        <v>1</v>
      </c>
    </row>
    <row r="13804" spans="1:18" ht="12.75" customHeight="1">
      <c r="A13804" s="628" t="s">
        <v>24926</v>
      </c>
      <c r="B13804" s="629"/>
      <c r="C13804" s="629"/>
      <c r="D13804" s="629"/>
      <c r="E13804" s="629"/>
      <c r="F13804" s="629"/>
      <c r="G13804" s="629"/>
      <c r="H13804" s="629"/>
      <c r="I13804" s="629"/>
      <c r="J13804" s="629"/>
      <c r="K13804" s="629"/>
      <c r="L13804" s="629"/>
      <c r="M13804" s="629"/>
      <c r="N13804" s="629"/>
      <c r="O13804" s="629"/>
      <c r="P13804" s="629"/>
      <c r="Q13804" s="629"/>
      <c r="R13804" s="629"/>
    </row>
    <row r="13805" spans="1:18" ht="12.75" customHeight="1">
      <c r="A13805" s="628" t="s">
        <v>24927</v>
      </c>
      <c r="B13805" s="629"/>
      <c r="C13805" s="629"/>
      <c r="D13805" s="629"/>
      <c r="E13805" s="629"/>
      <c r="F13805" s="629"/>
      <c r="G13805" s="629"/>
      <c r="H13805" s="629"/>
      <c r="I13805" s="629"/>
      <c r="J13805" s="629"/>
      <c r="K13805" s="629"/>
      <c r="L13805" s="629"/>
      <c r="M13805" s="629"/>
      <c r="N13805" s="629"/>
      <c r="O13805" s="629"/>
      <c r="P13805" s="629"/>
      <c r="Q13805" s="629"/>
      <c r="R13805" s="629"/>
    </row>
    <row r="13806" spans="1:18" ht="24">
      <c r="A13806" s="408">
        <v>181</v>
      </c>
      <c r="B13806" s="405" t="s">
        <v>24928</v>
      </c>
      <c r="C13806" s="409" t="s">
        <v>24929</v>
      </c>
      <c r="D13806" s="410">
        <v>512.16</v>
      </c>
      <c r="E13806" s="410">
        <v>415.79</v>
      </c>
      <c r="F13806" s="410">
        <v>22.07</v>
      </c>
      <c r="G13806" s="410">
        <v>74.3</v>
      </c>
      <c r="H13806" s="411">
        <v>5236.2299999999996</v>
      </c>
      <c r="I13806" s="411">
        <v>4781.63</v>
      </c>
      <c r="J13806" s="411">
        <v>98.65</v>
      </c>
      <c r="K13806" s="411">
        <v>355.95</v>
      </c>
      <c r="L13806" s="43">
        <v>10.223816776007498</v>
      </c>
      <c r="M13806" s="43">
        <v>11.500108227711104</v>
      </c>
      <c r="N13806" s="43">
        <v>4.469868599909379</v>
      </c>
      <c r="O13806" s="43">
        <v>4.7907133243607003</v>
      </c>
      <c r="P13806" s="412"/>
      <c r="Q13806" s="412"/>
      <c r="R13806" s="412">
        <v>1</v>
      </c>
    </row>
    <row r="13807" spans="1:18" ht="24">
      <c r="A13807" s="408">
        <v>182</v>
      </c>
      <c r="B13807" s="405" t="s">
        <v>24930</v>
      </c>
      <c r="C13807" s="409" t="s">
        <v>24931</v>
      </c>
      <c r="D13807" s="410">
        <v>590.51</v>
      </c>
      <c r="E13807" s="410">
        <v>486.68</v>
      </c>
      <c r="F13807" s="410">
        <v>28.12</v>
      </c>
      <c r="G13807" s="410">
        <v>75.709999999999994</v>
      </c>
      <c r="H13807" s="411">
        <v>6096.33</v>
      </c>
      <c r="I13807" s="411">
        <v>5596.82</v>
      </c>
      <c r="J13807" s="411">
        <v>127.34</v>
      </c>
      <c r="K13807" s="411">
        <v>372.17</v>
      </c>
      <c r="L13807" s="43">
        <v>10.32383871568644</v>
      </c>
      <c r="M13807" s="43">
        <v>11.5</v>
      </c>
      <c r="N13807" s="43">
        <v>4.5284495021337126</v>
      </c>
      <c r="O13807" s="43">
        <v>4.9157310791176867</v>
      </c>
      <c r="P13807" s="412"/>
      <c r="Q13807" s="412"/>
      <c r="R13807" s="412">
        <v>1</v>
      </c>
    </row>
    <row r="13808" spans="1:18" ht="24">
      <c r="A13808" s="408">
        <v>183</v>
      </c>
      <c r="B13808" s="405" t="s">
        <v>24932</v>
      </c>
      <c r="C13808" s="409" t="s">
        <v>24933</v>
      </c>
      <c r="D13808" s="410">
        <v>610.74</v>
      </c>
      <c r="E13808" s="410">
        <v>439.07</v>
      </c>
      <c r="F13808" s="410">
        <v>25.21</v>
      </c>
      <c r="G13808" s="410">
        <v>146.46</v>
      </c>
      <c r="H13808" s="411">
        <v>5789.43</v>
      </c>
      <c r="I13808" s="411">
        <v>5049.3100000000004</v>
      </c>
      <c r="J13808" s="411">
        <v>113.98</v>
      </c>
      <c r="K13808" s="411">
        <v>626.14</v>
      </c>
      <c r="L13808" s="43">
        <v>9.4793692897141177</v>
      </c>
      <c r="M13808" s="43">
        <v>11.500011387705834</v>
      </c>
      <c r="N13808" s="43">
        <v>4.5212217374057913</v>
      </c>
      <c r="O13808" s="43">
        <v>4.2751604533661061</v>
      </c>
      <c r="P13808" s="412"/>
      <c r="Q13808" s="412"/>
      <c r="R13808" s="412">
        <v>1</v>
      </c>
    </row>
    <row r="13809" spans="1:18" ht="12.75" customHeight="1">
      <c r="A13809" s="628" t="s">
        <v>24934</v>
      </c>
      <c r="B13809" s="629"/>
      <c r="C13809" s="629"/>
      <c r="D13809" s="629"/>
      <c r="E13809" s="629"/>
      <c r="F13809" s="629"/>
      <c r="G13809" s="629"/>
      <c r="H13809" s="629"/>
      <c r="I13809" s="629"/>
      <c r="J13809" s="629"/>
      <c r="K13809" s="629"/>
      <c r="L13809" s="629"/>
      <c r="M13809" s="629"/>
      <c r="N13809" s="629"/>
      <c r="O13809" s="629"/>
      <c r="P13809" s="629"/>
      <c r="Q13809" s="629"/>
      <c r="R13809" s="629"/>
    </row>
    <row r="13810" spans="1:18" ht="36">
      <c r="A13810" s="408">
        <v>184</v>
      </c>
      <c r="B13810" s="405" t="s">
        <v>24935</v>
      </c>
      <c r="C13810" s="409" t="s">
        <v>24936</v>
      </c>
      <c r="D13810" s="410">
        <v>2576.09</v>
      </c>
      <c r="E13810" s="410">
        <v>1626</v>
      </c>
      <c r="F13810" s="410">
        <v>519.29999999999995</v>
      </c>
      <c r="G13810" s="410">
        <v>430.79</v>
      </c>
      <c r="H13810" s="411">
        <v>23136.49</v>
      </c>
      <c r="I13810" s="411">
        <v>18699</v>
      </c>
      <c r="J13810" s="411">
        <v>2526.5</v>
      </c>
      <c r="K13810" s="411">
        <v>1910.99</v>
      </c>
      <c r="L13810" s="43">
        <v>8.98124289135861</v>
      </c>
      <c r="M13810" s="43">
        <v>11.5</v>
      </c>
      <c r="N13810" s="43">
        <v>4.8652031580974393</v>
      </c>
      <c r="O13810" s="43">
        <v>4.4360129065205784</v>
      </c>
      <c r="P13810" s="412"/>
      <c r="Q13810" s="412"/>
      <c r="R13810" s="412">
        <v>2</v>
      </c>
    </row>
    <row r="13811" spans="1:18" ht="36">
      <c r="A13811" s="408">
        <v>185</v>
      </c>
      <c r="B13811" s="405" t="s">
        <v>24937</v>
      </c>
      <c r="C13811" s="409" t="s">
        <v>24938</v>
      </c>
      <c r="D13811" s="410">
        <v>3321.97</v>
      </c>
      <c r="E13811" s="410">
        <v>2222.1999999999998</v>
      </c>
      <c r="F13811" s="410">
        <v>642.72</v>
      </c>
      <c r="G13811" s="410">
        <v>457.05</v>
      </c>
      <c r="H13811" s="411">
        <v>30751.33</v>
      </c>
      <c r="I13811" s="411">
        <v>25555.3</v>
      </c>
      <c r="J13811" s="411">
        <v>3094.98</v>
      </c>
      <c r="K13811" s="411">
        <v>2101.0500000000002</v>
      </c>
      <c r="L13811" s="43">
        <v>9.2569559628774503</v>
      </c>
      <c r="M13811" s="43">
        <v>11.5</v>
      </c>
      <c r="N13811" s="43">
        <v>4.8154406273338308</v>
      </c>
      <c r="O13811" s="43">
        <v>4.5969806366918284</v>
      </c>
      <c r="P13811" s="412"/>
      <c r="Q13811" s="412"/>
      <c r="R13811" s="412">
        <v>2</v>
      </c>
    </row>
    <row r="13812" spans="1:18" ht="36">
      <c r="A13812" s="408">
        <v>186</v>
      </c>
      <c r="B13812" s="405" t="s">
        <v>24939</v>
      </c>
      <c r="C13812" s="409" t="s">
        <v>24940</v>
      </c>
      <c r="D13812" s="410">
        <v>2888.61</v>
      </c>
      <c r="E13812" s="410">
        <v>1571.8</v>
      </c>
      <c r="F13812" s="410">
        <v>794.53</v>
      </c>
      <c r="G13812" s="410">
        <v>522.28</v>
      </c>
      <c r="H13812" s="411">
        <v>24124.11</v>
      </c>
      <c r="I13812" s="411">
        <v>18075.7</v>
      </c>
      <c r="J13812" s="411">
        <v>3801.97</v>
      </c>
      <c r="K13812" s="411">
        <v>2246.44</v>
      </c>
      <c r="L13812" s="43">
        <v>8.3514596986093661</v>
      </c>
      <c r="M13812" s="43">
        <v>11.5</v>
      </c>
      <c r="N13812" s="43">
        <v>4.7851811762929026</v>
      </c>
      <c r="O13812" s="43">
        <v>4.3012177376120091</v>
      </c>
      <c r="P13812" s="412"/>
      <c r="Q13812" s="412"/>
      <c r="R13812" s="412">
        <v>2</v>
      </c>
    </row>
    <row r="13813" spans="1:18" ht="48">
      <c r="A13813" s="408">
        <v>187</v>
      </c>
      <c r="B13813" s="405" t="s">
        <v>24941</v>
      </c>
      <c r="C13813" s="409" t="s">
        <v>24942</v>
      </c>
      <c r="D13813" s="410">
        <v>1763.18</v>
      </c>
      <c r="E13813" s="410">
        <v>1250.58</v>
      </c>
      <c r="F13813" s="410">
        <v>236.08</v>
      </c>
      <c r="G13813" s="410">
        <v>276.52</v>
      </c>
      <c r="H13813" s="411">
        <v>16777.349999999999</v>
      </c>
      <c r="I13813" s="411">
        <v>14382.24</v>
      </c>
      <c r="J13813" s="411">
        <v>1178.5999999999999</v>
      </c>
      <c r="K13813" s="411">
        <v>1216.51</v>
      </c>
      <c r="L13813" s="43">
        <v>9.5153926428385063</v>
      </c>
      <c r="M13813" s="43">
        <v>11.500455788514129</v>
      </c>
      <c r="N13813" s="43">
        <v>4.9923754659437476</v>
      </c>
      <c r="O13813" s="43">
        <v>4.3993562852596559</v>
      </c>
      <c r="P13813" s="412"/>
      <c r="Q13813" s="412"/>
      <c r="R13813" s="412">
        <v>2</v>
      </c>
    </row>
    <row r="13814" spans="1:18" ht="48">
      <c r="A13814" s="408">
        <v>188</v>
      </c>
      <c r="B13814" s="405" t="s">
        <v>24943</v>
      </c>
      <c r="C13814" s="409" t="s">
        <v>24944</v>
      </c>
      <c r="D13814" s="410">
        <v>2926.22</v>
      </c>
      <c r="E13814" s="410">
        <v>2095.27</v>
      </c>
      <c r="F13814" s="410">
        <v>523.19000000000005</v>
      </c>
      <c r="G13814" s="410">
        <v>307.76</v>
      </c>
      <c r="H13814" s="411">
        <v>28019.07</v>
      </c>
      <c r="I13814" s="411">
        <v>24096.560000000001</v>
      </c>
      <c r="J13814" s="411">
        <v>2458.67</v>
      </c>
      <c r="K13814" s="411">
        <v>1463.84</v>
      </c>
      <c r="L13814" s="43">
        <v>9.575175482362912</v>
      </c>
      <c r="M13814" s="43">
        <v>11.500455788514131</v>
      </c>
      <c r="N13814" s="43">
        <v>4.699382633460119</v>
      </c>
      <c r="O13814" s="43">
        <v>4.7564335846113854</v>
      </c>
      <c r="P13814" s="412"/>
      <c r="Q13814" s="412"/>
      <c r="R13814" s="412">
        <v>2</v>
      </c>
    </row>
    <row r="13815" spans="1:18" ht="48">
      <c r="A13815" s="408">
        <v>189</v>
      </c>
      <c r="B13815" s="405" t="s">
        <v>24945</v>
      </c>
      <c r="C13815" s="409" t="s">
        <v>24946</v>
      </c>
      <c r="D13815" s="410">
        <v>3523.08</v>
      </c>
      <c r="E13815" s="410">
        <v>2512.13</v>
      </c>
      <c r="F13815" s="410">
        <v>616.64</v>
      </c>
      <c r="G13815" s="410">
        <v>394.31</v>
      </c>
      <c r="H13815" s="411">
        <v>33632.19</v>
      </c>
      <c r="I13815" s="411">
        <v>28890.639999999999</v>
      </c>
      <c r="J13815" s="411">
        <v>2887.03</v>
      </c>
      <c r="K13815" s="411">
        <v>1854.52</v>
      </c>
      <c r="L13815" s="43">
        <v>9.5462464661602926</v>
      </c>
      <c r="M13815" s="43">
        <v>11.500455788514129</v>
      </c>
      <c r="N13815" s="43">
        <v>4.6818727296315519</v>
      </c>
      <c r="O13815" s="43">
        <v>4.7032030635794175</v>
      </c>
      <c r="P13815" s="412"/>
      <c r="Q13815" s="412"/>
      <c r="R13815" s="412">
        <v>2</v>
      </c>
    </row>
    <row r="13816" spans="1:18" ht="12.75" customHeight="1">
      <c r="A13816" s="628" t="s">
        <v>24947</v>
      </c>
      <c r="B13816" s="629"/>
      <c r="C13816" s="629"/>
      <c r="D13816" s="629"/>
      <c r="E13816" s="629"/>
      <c r="F13816" s="629"/>
      <c r="G13816" s="629"/>
      <c r="H13816" s="629"/>
      <c r="I13816" s="629"/>
      <c r="J13816" s="629"/>
      <c r="K13816" s="629"/>
      <c r="L13816" s="629"/>
      <c r="M13816" s="629"/>
      <c r="N13816" s="629"/>
      <c r="O13816" s="629"/>
      <c r="P13816" s="629"/>
      <c r="Q13816" s="629"/>
      <c r="R13816" s="629"/>
    </row>
    <row r="13817" spans="1:18" ht="24">
      <c r="A13817" s="408">
        <v>190</v>
      </c>
      <c r="B13817" s="405" t="s">
        <v>24948</v>
      </c>
      <c r="C13817" s="409" t="s">
        <v>24949</v>
      </c>
      <c r="D13817" s="410">
        <v>224.09</v>
      </c>
      <c r="E13817" s="410">
        <v>101.2</v>
      </c>
      <c r="F13817" s="410">
        <v>6.15</v>
      </c>
      <c r="G13817" s="410">
        <v>116.74</v>
      </c>
      <c r="H13817" s="411">
        <v>1641.07</v>
      </c>
      <c r="I13817" s="411">
        <v>1163.82</v>
      </c>
      <c r="J13817" s="411">
        <v>30.18</v>
      </c>
      <c r="K13817" s="411">
        <v>447.07</v>
      </c>
      <c r="L13817" s="43">
        <v>7.3232629746976654</v>
      </c>
      <c r="M13817" s="43">
        <v>11.500197628458498</v>
      </c>
      <c r="N13817" s="43">
        <v>4.9073170731707316</v>
      </c>
      <c r="O13817" s="43">
        <v>3.8296213808463251</v>
      </c>
      <c r="P13817" s="412"/>
      <c r="Q13817" s="412"/>
      <c r="R13817" s="412">
        <v>3</v>
      </c>
    </row>
    <row r="13818" spans="1:18" ht="24">
      <c r="A13818" s="408">
        <v>191</v>
      </c>
      <c r="B13818" s="405" t="s">
        <v>24950</v>
      </c>
      <c r="C13818" s="409" t="s">
        <v>24951</v>
      </c>
      <c r="D13818" s="410">
        <v>240.96</v>
      </c>
      <c r="E13818" s="410">
        <v>89.98</v>
      </c>
      <c r="F13818" s="410">
        <v>5.78</v>
      </c>
      <c r="G13818" s="410">
        <v>145.19999999999999</v>
      </c>
      <c r="H13818" s="411">
        <v>1613.87</v>
      </c>
      <c r="I13818" s="411">
        <v>1034.77</v>
      </c>
      <c r="J13818" s="411">
        <v>28.6</v>
      </c>
      <c r="K13818" s="411">
        <v>550.5</v>
      </c>
      <c r="L13818" s="43">
        <v>6.6976676626826022</v>
      </c>
      <c r="M13818" s="43">
        <v>11.5</v>
      </c>
      <c r="N13818" s="43">
        <v>4.9480968858131487</v>
      </c>
      <c r="O13818" s="43">
        <v>3.7913223140495869</v>
      </c>
      <c r="P13818" s="412"/>
      <c r="Q13818" s="412"/>
      <c r="R13818" s="412">
        <v>3</v>
      </c>
    </row>
    <row r="13819" spans="1:18" ht="12.75" customHeight="1">
      <c r="A13819" s="628" t="s">
        <v>24952</v>
      </c>
      <c r="B13819" s="629"/>
      <c r="C13819" s="629"/>
      <c r="D13819" s="629"/>
      <c r="E13819" s="629"/>
      <c r="F13819" s="629"/>
      <c r="G13819" s="629"/>
      <c r="H13819" s="629"/>
      <c r="I13819" s="629"/>
      <c r="J13819" s="629"/>
      <c r="K13819" s="629"/>
      <c r="L13819" s="629"/>
      <c r="M13819" s="629"/>
      <c r="N13819" s="629"/>
      <c r="O13819" s="629"/>
      <c r="P13819" s="629"/>
      <c r="Q13819" s="629"/>
      <c r="R13819" s="629"/>
    </row>
    <row r="13820" spans="1:18" ht="24">
      <c r="A13820" s="408">
        <v>192</v>
      </c>
      <c r="B13820" s="405" t="s">
        <v>24953</v>
      </c>
      <c r="C13820" s="409" t="s">
        <v>24954</v>
      </c>
      <c r="D13820" s="410">
        <v>2165.33</v>
      </c>
      <c r="E13820" s="410">
        <v>768.98</v>
      </c>
      <c r="F13820" s="410">
        <v>422.49</v>
      </c>
      <c r="G13820" s="410">
        <v>973.86</v>
      </c>
      <c r="H13820" s="411">
        <v>26064.44</v>
      </c>
      <c r="I13820" s="411">
        <v>8843.61</v>
      </c>
      <c r="J13820" s="411">
        <v>2148.88</v>
      </c>
      <c r="K13820" s="411">
        <v>15071.95</v>
      </c>
      <c r="L13820" s="43">
        <v>12.037167544900777</v>
      </c>
      <c r="M13820" s="43">
        <v>11.50044214413899</v>
      </c>
      <c r="N13820" s="43">
        <v>5.0862268929442118</v>
      </c>
      <c r="O13820" s="43">
        <v>15.476505863265768</v>
      </c>
      <c r="P13820" s="412"/>
      <c r="Q13820" s="412"/>
      <c r="R13820" s="412">
        <v>4</v>
      </c>
    </row>
    <row r="13821" spans="1:18" ht="24">
      <c r="A13821" s="408">
        <v>193</v>
      </c>
      <c r="B13821" s="405" t="s">
        <v>24955</v>
      </c>
      <c r="C13821" s="409" t="s">
        <v>24956</v>
      </c>
      <c r="D13821" s="410">
        <v>960.52</v>
      </c>
      <c r="E13821" s="410">
        <v>600.83000000000004</v>
      </c>
      <c r="F13821" s="410">
        <v>60.98</v>
      </c>
      <c r="G13821" s="410">
        <v>298.70999999999998</v>
      </c>
      <c r="H13821" s="411">
        <v>8421.4699999999993</v>
      </c>
      <c r="I13821" s="411">
        <v>6909.84</v>
      </c>
      <c r="J13821" s="411">
        <v>271.88</v>
      </c>
      <c r="K13821" s="411">
        <v>1239.75</v>
      </c>
      <c r="L13821" s="43">
        <v>8.7676154582934238</v>
      </c>
      <c r="M13821" s="43">
        <v>11.500490987467336</v>
      </c>
      <c r="N13821" s="43">
        <v>4.4585109872089213</v>
      </c>
      <c r="O13821" s="43">
        <v>4.1503464899065987</v>
      </c>
      <c r="P13821" s="412"/>
      <c r="Q13821" s="412"/>
      <c r="R13821" s="412">
        <v>4</v>
      </c>
    </row>
    <row r="13822" spans="1:18" ht="12.75" customHeight="1">
      <c r="A13822" s="628" t="s">
        <v>24957</v>
      </c>
      <c r="B13822" s="629"/>
      <c r="C13822" s="629"/>
      <c r="D13822" s="629"/>
      <c r="E13822" s="629"/>
      <c r="F13822" s="629"/>
      <c r="G13822" s="629"/>
      <c r="H13822" s="629"/>
      <c r="I13822" s="629"/>
      <c r="J13822" s="629"/>
      <c r="K13822" s="629"/>
      <c r="L13822" s="629"/>
      <c r="M13822" s="629"/>
      <c r="N13822" s="629"/>
      <c r="O13822" s="629"/>
      <c r="P13822" s="629"/>
      <c r="Q13822" s="629"/>
      <c r="R13822" s="629"/>
    </row>
    <row r="13823" spans="1:18" ht="36">
      <c r="A13823" s="408">
        <v>194</v>
      </c>
      <c r="B13823" s="405" t="s">
        <v>24958</v>
      </c>
      <c r="C13823" s="409" t="s">
        <v>24959</v>
      </c>
      <c r="D13823" s="410">
        <v>200.92</v>
      </c>
      <c r="E13823" s="410">
        <v>194.63</v>
      </c>
      <c r="F13823" s="410">
        <v>2.4</v>
      </c>
      <c r="G13823" s="410">
        <v>3.89</v>
      </c>
      <c r="H13823" s="411">
        <v>2294.27</v>
      </c>
      <c r="I13823" s="411">
        <v>2238.33</v>
      </c>
      <c r="J13823" s="411">
        <v>11.2</v>
      </c>
      <c r="K13823" s="411">
        <v>44.74</v>
      </c>
      <c r="L13823" s="43">
        <v>11.418823412303405</v>
      </c>
      <c r="M13823" s="43">
        <v>11.500436726095669</v>
      </c>
      <c r="N13823" s="43">
        <v>4.666666666666667</v>
      </c>
      <c r="O13823" s="43">
        <v>11.501285347043702</v>
      </c>
      <c r="P13823" s="412"/>
      <c r="Q13823" s="412"/>
      <c r="R13823" s="412">
        <v>5</v>
      </c>
    </row>
    <row r="13824" spans="1:18" ht="24">
      <c r="A13824" s="408">
        <v>195</v>
      </c>
      <c r="B13824" s="405" t="s">
        <v>24960</v>
      </c>
      <c r="C13824" s="409" t="s">
        <v>24961</v>
      </c>
      <c r="D13824" s="410">
        <v>1696.83</v>
      </c>
      <c r="E13824" s="410">
        <v>866.44</v>
      </c>
      <c r="F13824" s="410">
        <v>395.44</v>
      </c>
      <c r="G13824" s="410">
        <v>434.95</v>
      </c>
      <c r="H13824" s="411">
        <v>13743.22</v>
      </c>
      <c r="I13824" s="411">
        <v>9964.4500000000007</v>
      </c>
      <c r="J13824" s="411">
        <v>1994.38</v>
      </c>
      <c r="K13824" s="411">
        <v>1784.39</v>
      </c>
      <c r="L13824" s="43">
        <v>8.0993499643452793</v>
      </c>
      <c r="M13824" s="43">
        <v>11.500450117723098</v>
      </c>
      <c r="N13824" s="43">
        <v>5.0434452761480886</v>
      </c>
      <c r="O13824" s="43">
        <v>4.1025175307506609</v>
      </c>
      <c r="P13824" s="412"/>
      <c r="Q13824" s="412"/>
      <c r="R13824" s="412">
        <v>5</v>
      </c>
    </row>
    <row r="13825" spans="1:18" ht="24">
      <c r="A13825" s="408">
        <v>196</v>
      </c>
      <c r="B13825" s="405" t="s">
        <v>24962</v>
      </c>
      <c r="C13825" s="409" t="s">
        <v>24963</v>
      </c>
      <c r="D13825" s="410">
        <v>564.23</v>
      </c>
      <c r="E13825" s="410">
        <v>344.46</v>
      </c>
      <c r="F13825" s="410">
        <v>15.09</v>
      </c>
      <c r="G13825" s="410">
        <v>204.68</v>
      </c>
      <c r="H13825" s="411">
        <v>4903.54</v>
      </c>
      <c r="I13825" s="411">
        <v>3961.42</v>
      </c>
      <c r="J13825" s="411">
        <v>71.16</v>
      </c>
      <c r="K13825" s="411">
        <v>870.96</v>
      </c>
      <c r="L13825" s="43">
        <v>8.690675788242384</v>
      </c>
      <c r="M13825" s="43">
        <v>11.500377402310864</v>
      </c>
      <c r="N13825" s="43">
        <v>4.7157057654075549</v>
      </c>
      <c r="O13825" s="43">
        <v>4.2552276724643345</v>
      </c>
      <c r="P13825" s="412"/>
      <c r="Q13825" s="412"/>
      <c r="R13825" s="412">
        <v>5</v>
      </c>
    </row>
    <row r="13826" spans="1:18" ht="12.75" customHeight="1">
      <c r="A13826" s="628" t="s">
        <v>24964</v>
      </c>
      <c r="B13826" s="629"/>
      <c r="C13826" s="629"/>
      <c r="D13826" s="629"/>
      <c r="E13826" s="629"/>
      <c r="F13826" s="629"/>
      <c r="G13826" s="629"/>
      <c r="H13826" s="629"/>
      <c r="I13826" s="629"/>
      <c r="J13826" s="629"/>
      <c r="K13826" s="629"/>
      <c r="L13826" s="629"/>
      <c r="M13826" s="629"/>
      <c r="N13826" s="629"/>
      <c r="O13826" s="629"/>
      <c r="P13826" s="629"/>
      <c r="Q13826" s="629"/>
      <c r="R13826" s="629"/>
    </row>
    <row r="13827" spans="1:18" ht="12.75" customHeight="1">
      <c r="A13827" s="628" t="s">
        <v>24965</v>
      </c>
      <c r="B13827" s="629"/>
      <c r="C13827" s="629"/>
      <c r="D13827" s="629"/>
      <c r="E13827" s="629"/>
      <c r="F13827" s="629"/>
      <c r="G13827" s="629"/>
      <c r="H13827" s="629"/>
      <c r="I13827" s="629"/>
      <c r="J13827" s="629"/>
      <c r="K13827" s="629"/>
      <c r="L13827" s="629"/>
      <c r="M13827" s="629"/>
      <c r="N13827" s="629"/>
      <c r="O13827" s="629"/>
      <c r="P13827" s="629"/>
      <c r="Q13827" s="629"/>
      <c r="R13827" s="629"/>
    </row>
    <row r="13828" spans="1:18" ht="24">
      <c r="A13828" s="408">
        <v>197</v>
      </c>
      <c r="B13828" s="405" t="s">
        <v>24966</v>
      </c>
      <c r="C13828" s="409" t="s">
        <v>24967</v>
      </c>
      <c r="D13828" s="410">
        <v>3352.09</v>
      </c>
      <c r="E13828" s="410">
        <v>1674.76</v>
      </c>
      <c r="F13828" s="410">
        <v>713.19</v>
      </c>
      <c r="G13828" s="410">
        <v>964.14</v>
      </c>
      <c r="H13828" s="411">
        <v>26891.01</v>
      </c>
      <c r="I13828" s="411">
        <v>19259.740000000002</v>
      </c>
      <c r="J13828" s="411">
        <v>3613.5</v>
      </c>
      <c r="K13828" s="411">
        <v>4017.77</v>
      </c>
      <c r="L13828" s="43">
        <v>8.0221622927785337</v>
      </c>
      <c r="M13828" s="43">
        <v>11.500000000000002</v>
      </c>
      <c r="N13828" s="43">
        <v>5.066672275270264</v>
      </c>
      <c r="O13828" s="43">
        <v>4.1672060074263078</v>
      </c>
      <c r="P13828" s="412"/>
      <c r="Q13828" s="412"/>
      <c r="R13828" s="412">
        <v>1</v>
      </c>
    </row>
    <row r="13829" spans="1:18" ht="12.75" customHeight="1">
      <c r="A13829" s="628" t="s">
        <v>24968</v>
      </c>
      <c r="B13829" s="629"/>
      <c r="C13829" s="629"/>
      <c r="D13829" s="629"/>
      <c r="E13829" s="629"/>
      <c r="F13829" s="629"/>
      <c r="G13829" s="629"/>
      <c r="H13829" s="629"/>
      <c r="I13829" s="629"/>
      <c r="J13829" s="629"/>
      <c r="K13829" s="629"/>
      <c r="L13829" s="629"/>
      <c r="M13829" s="629"/>
      <c r="N13829" s="629"/>
      <c r="O13829" s="629"/>
      <c r="P13829" s="629"/>
      <c r="Q13829" s="629"/>
      <c r="R13829" s="629"/>
    </row>
    <row r="13830" spans="1:18" ht="12.75" customHeight="1">
      <c r="A13830" s="628" t="s">
        <v>24969</v>
      </c>
      <c r="B13830" s="629"/>
      <c r="C13830" s="629"/>
      <c r="D13830" s="629"/>
      <c r="E13830" s="629"/>
      <c r="F13830" s="629"/>
      <c r="G13830" s="629"/>
      <c r="H13830" s="629"/>
      <c r="I13830" s="629"/>
      <c r="J13830" s="629"/>
      <c r="K13830" s="629"/>
      <c r="L13830" s="629"/>
      <c r="M13830" s="629"/>
      <c r="N13830" s="629"/>
      <c r="O13830" s="629"/>
      <c r="P13830" s="629"/>
      <c r="Q13830" s="629"/>
      <c r="R13830" s="629"/>
    </row>
    <row r="13831" spans="1:18" ht="24">
      <c r="A13831" s="408">
        <v>198</v>
      </c>
      <c r="B13831" s="405" t="s">
        <v>24970</v>
      </c>
      <c r="C13831" s="409" t="s">
        <v>24971</v>
      </c>
      <c r="D13831" s="410">
        <v>4891.42</v>
      </c>
      <c r="E13831" s="410">
        <v>2687.32</v>
      </c>
      <c r="F13831" s="410">
        <v>1224.6400000000001</v>
      </c>
      <c r="G13831" s="410">
        <v>979.46</v>
      </c>
      <c r="H13831" s="411">
        <v>42178.02</v>
      </c>
      <c r="I13831" s="411">
        <v>30904.18</v>
      </c>
      <c r="J13831" s="411">
        <v>6939.94</v>
      </c>
      <c r="K13831" s="411">
        <v>4333.8999999999996</v>
      </c>
      <c r="L13831" s="43">
        <v>8.6228579839801114</v>
      </c>
      <c r="M13831" s="43">
        <v>11.5</v>
      </c>
      <c r="N13831" s="43">
        <v>5.666922524170368</v>
      </c>
      <c r="O13831" s="43">
        <v>4.4247850856594448</v>
      </c>
      <c r="P13831" s="412"/>
      <c r="Q13831" s="412"/>
      <c r="R13831" s="412">
        <v>1</v>
      </c>
    </row>
    <row r="13832" spans="1:18" ht="12.75" customHeight="1">
      <c r="A13832" s="628" t="s">
        <v>24972</v>
      </c>
      <c r="B13832" s="629"/>
      <c r="C13832" s="629"/>
      <c r="D13832" s="629"/>
      <c r="E13832" s="629"/>
      <c r="F13832" s="629"/>
      <c r="G13832" s="629"/>
      <c r="H13832" s="629"/>
      <c r="I13832" s="629"/>
      <c r="J13832" s="629"/>
      <c r="K13832" s="629"/>
      <c r="L13832" s="629"/>
      <c r="M13832" s="629"/>
      <c r="N13832" s="629"/>
      <c r="O13832" s="629"/>
      <c r="P13832" s="629"/>
      <c r="Q13832" s="629"/>
      <c r="R13832" s="629"/>
    </row>
    <row r="13833" spans="1:18" ht="12.75" customHeight="1">
      <c r="A13833" s="628" t="s">
        <v>24973</v>
      </c>
      <c r="B13833" s="629"/>
      <c r="C13833" s="629"/>
      <c r="D13833" s="629"/>
      <c r="E13833" s="629"/>
      <c r="F13833" s="629"/>
      <c r="G13833" s="629"/>
      <c r="H13833" s="629"/>
      <c r="I13833" s="629"/>
      <c r="J13833" s="629"/>
      <c r="K13833" s="629"/>
      <c r="L13833" s="629"/>
      <c r="M13833" s="629"/>
      <c r="N13833" s="629"/>
      <c r="O13833" s="629"/>
      <c r="P13833" s="629"/>
      <c r="Q13833" s="629"/>
      <c r="R13833" s="629"/>
    </row>
    <row r="13834" spans="1:18" ht="24">
      <c r="A13834" s="408">
        <v>199</v>
      </c>
      <c r="B13834" s="405" t="s">
        <v>24974</v>
      </c>
      <c r="C13834" s="409" t="s">
        <v>24975</v>
      </c>
      <c r="D13834" s="410">
        <v>2026.81</v>
      </c>
      <c r="E13834" s="410">
        <v>759.64</v>
      </c>
      <c r="F13834" s="410">
        <v>429.09</v>
      </c>
      <c r="G13834" s="410">
        <v>838.08</v>
      </c>
      <c r="H13834" s="411">
        <v>14417.37</v>
      </c>
      <c r="I13834" s="411">
        <v>8735.91</v>
      </c>
      <c r="J13834" s="411">
        <v>2192.23</v>
      </c>
      <c r="K13834" s="411">
        <v>3489.23</v>
      </c>
      <c r="L13834" s="43">
        <v>7.1133308006177201</v>
      </c>
      <c r="M13834" s="43">
        <v>11.500065820651887</v>
      </c>
      <c r="N13834" s="43">
        <v>5.1090214174182575</v>
      </c>
      <c r="O13834" s="43">
        <v>4.163361492936235</v>
      </c>
      <c r="P13834" s="412"/>
      <c r="Q13834" s="412"/>
      <c r="R13834" s="412">
        <v>1</v>
      </c>
    </row>
    <row r="13835" spans="1:18" ht="24">
      <c r="A13835" s="408">
        <v>200</v>
      </c>
      <c r="B13835" s="405" t="s">
        <v>24976</v>
      </c>
      <c r="C13835" s="409" t="s">
        <v>24977</v>
      </c>
      <c r="D13835" s="410">
        <v>2403.02</v>
      </c>
      <c r="E13835" s="410">
        <v>867.56</v>
      </c>
      <c r="F13835" s="410">
        <v>543.45000000000005</v>
      </c>
      <c r="G13835" s="410">
        <v>992.01</v>
      </c>
      <c r="H13835" s="411">
        <v>16917.310000000001</v>
      </c>
      <c r="I13835" s="411">
        <v>9976.94</v>
      </c>
      <c r="J13835" s="411">
        <v>2777.65</v>
      </c>
      <c r="K13835" s="411">
        <v>4162.72</v>
      </c>
      <c r="L13835" s="43">
        <v>7.0400204742365862</v>
      </c>
      <c r="M13835" s="43">
        <v>11.500000000000002</v>
      </c>
      <c r="N13835" s="43">
        <v>5.1111417793725273</v>
      </c>
      <c r="O13835" s="43">
        <v>4.1962480216933304</v>
      </c>
      <c r="P13835" s="412"/>
      <c r="Q13835" s="412"/>
      <c r="R13835" s="412">
        <v>1</v>
      </c>
    </row>
    <row r="13836" spans="1:18" ht="12.75" customHeight="1">
      <c r="A13836" s="628" t="s">
        <v>24978</v>
      </c>
      <c r="B13836" s="629"/>
      <c r="C13836" s="629"/>
      <c r="D13836" s="629"/>
      <c r="E13836" s="629"/>
      <c r="F13836" s="629"/>
      <c r="G13836" s="629"/>
      <c r="H13836" s="629"/>
      <c r="I13836" s="629"/>
      <c r="J13836" s="629"/>
      <c r="K13836" s="629"/>
      <c r="L13836" s="629"/>
      <c r="M13836" s="629"/>
      <c r="N13836" s="629"/>
      <c r="O13836" s="629"/>
      <c r="P13836" s="629"/>
      <c r="Q13836" s="629"/>
      <c r="R13836" s="629"/>
    </row>
    <row r="13837" spans="1:18" ht="36">
      <c r="A13837" s="413">
        <v>201</v>
      </c>
      <c r="B13837" s="414" t="s">
        <v>24979</v>
      </c>
      <c r="C13837" s="415" t="s">
        <v>24980</v>
      </c>
      <c r="D13837" s="416">
        <v>11385.8</v>
      </c>
      <c r="E13837" s="416">
        <v>3512.16</v>
      </c>
      <c r="F13837" s="416">
        <v>912.19</v>
      </c>
      <c r="G13837" s="416">
        <v>6961.45</v>
      </c>
      <c r="H13837" s="417">
        <v>70871.08</v>
      </c>
      <c r="I13837" s="417">
        <v>40389.839999999997</v>
      </c>
      <c r="J13837" s="417">
        <v>4503.54</v>
      </c>
      <c r="K13837" s="417">
        <v>25977.7</v>
      </c>
      <c r="L13837" s="611">
        <v>6.2245147464385466</v>
      </c>
      <c r="M13837" s="611">
        <v>11.5</v>
      </c>
      <c r="N13837" s="611">
        <v>4.9370635503568332</v>
      </c>
      <c r="O13837" s="611">
        <v>3.7316507336833564</v>
      </c>
      <c r="P13837" s="418"/>
      <c r="Q13837" s="418"/>
      <c r="R13837" s="418">
        <v>2</v>
      </c>
    </row>
    <row r="13838" spans="1:18" ht="12.75" customHeight="1">
      <c r="A13838" s="630" t="s">
        <v>24981</v>
      </c>
      <c r="B13838" s="631"/>
      <c r="C13838" s="631"/>
      <c r="D13838" s="631"/>
      <c r="E13838" s="631"/>
      <c r="F13838" s="631"/>
      <c r="G13838" s="631"/>
      <c r="H13838" s="631"/>
      <c r="I13838" s="631"/>
      <c r="J13838" s="631"/>
      <c r="K13838" s="631"/>
      <c r="L13838" s="631"/>
      <c r="M13838" s="631"/>
      <c r="N13838" s="631"/>
      <c r="O13838" s="631"/>
      <c r="P13838" s="631"/>
      <c r="Q13838" s="631"/>
      <c r="R13838" s="631"/>
    </row>
    <row r="13839" spans="1:18" ht="12.75" customHeight="1">
      <c r="A13839" s="628" t="s">
        <v>24982</v>
      </c>
      <c r="B13839" s="629"/>
      <c r="C13839" s="629"/>
      <c r="D13839" s="629"/>
      <c r="E13839" s="629"/>
      <c r="F13839" s="629"/>
      <c r="G13839" s="629"/>
      <c r="H13839" s="629"/>
      <c r="I13839" s="629"/>
      <c r="J13839" s="629"/>
      <c r="K13839" s="629"/>
      <c r="L13839" s="629"/>
      <c r="M13839" s="629"/>
      <c r="N13839" s="629"/>
      <c r="O13839" s="629"/>
      <c r="P13839" s="629"/>
      <c r="Q13839" s="629"/>
      <c r="R13839" s="629"/>
    </row>
    <row r="13840" spans="1:18" ht="12.75" customHeight="1">
      <c r="A13840" s="628" t="s">
        <v>24983</v>
      </c>
      <c r="B13840" s="629"/>
      <c r="C13840" s="629"/>
      <c r="D13840" s="629"/>
      <c r="E13840" s="629"/>
      <c r="F13840" s="629"/>
      <c r="G13840" s="629"/>
      <c r="H13840" s="629"/>
      <c r="I13840" s="629"/>
      <c r="J13840" s="629"/>
      <c r="K13840" s="629"/>
      <c r="L13840" s="629"/>
      <c r="M13840" s="629"/>
      <c r="N13840" s="629"/>
      <c r="O13840" s="629"/>
      <c r="P13840" s="629"/>
      <c r="Q13840" s="629"/>
      <c r="R13840" s="629"/>
    </row>
    <row r="13841" spans="1:18" ht="24">
      <c r="A13841" s="408">
        <v>202</v>
      </c>
      <c r="B13841" s="405" t="s">
        <v>24984</v>
      </c>
      <c r="C13841" s="409" t="s">
        <v>24985</v>
      </c>
      <c r="D13841" s="410">
        <v>677.62</v>
      </c>
      <c r="E13841" s="410">
        <v>332.39</v>
      </c>
      <c r="F13841" s="410">
        <v>204.76</v>
      </c>
      <c r="G13841" s="410">
        <v>140.47</v>
      </c>
      <c r="H13841" s="411">
        <v>5519.36</v>
      </c>
      <c r="I13841" s="411">
        <v>3822.65</v>
      </c>
      <c r="J13841" s="411">
        <v>1101.69</v>
      </c>
      <c r="K13841" s="411">
        <v>595.02</v>
      </c>
      <c r="L13841" s="43">
        <v>8.1452141318142903</v>
      </c>
      <c r="M13841" s="43">
        <v>11.500496404825657</v>
      </c>
      <c r="N13841" s="43">
        <v>5.3803965618284826</v>
      </c>
      <c r="O13841" s="43">
        <v>4.2359222609809919</v>
      </c>
      <c r="P13841" s="412"/>
      <c r="Q13841" s="412"/>
      <c r="R13841" s="412">
        <v>1</v>
      </c>
    </row>
    <row r="13842" spans="1:18" ht="24">
      <c r="A13842" s="408">
        <v>203</v>
      </c>
      <c r="B13842" s="405" t="s">
        <v>24986</v>
      </c>
      <c r="C13842" s="409" t="s">
        <v>24987</v>
      </c>
      <c r="D13842" s="410">
        <v>702.08</v>
      </c>
      <c r="E13842" s="410">
        <v>344.46</v>
      </c>
      <c r="F13842" s="410">
        <v>217.59</v>
      </c>
      <c r="G13842" s="410">
        <v>140.03</v>
      </c>
      <c r="H13842" s="411">
        <v>5724.6</v>
      </c>
      <c r="I13842" s="411">
        <v>3961.42</v>
      </c>
      <c r="J13842" s="411">
        <v>1171.3599999999999</v>
      </c>
      <c r="K13842" s="411">
        <v>591.82000000000005</v>
      </c>
      <c r="L13842" s="43">
        <v>8.1537716499544217</v>
      </c>
      <c r="M13842" s="43">
        <v>11.500377402310864</v>
      </c>
      <c r="N13842" s="43">
        <v>5.3833356312330523</v>
      </c>
      <c r="O13842" s="43">
        <v>4.2263800614154112</v>
      </c>
      <c r="P13842" s="412"/>
      <c r="Q13842" s="412"/>
      <c r="R13842" s="412">
        <v>1</v>
      </c>
    </row>
    <row r="13843" spans="1:18" ht="12.75" customHeight="1">
      <c r="A13843" s="628" t="s">
        <v>24988</v>
      </c>
      <c r="B13843" s="629"/>
      <c r="C13843" s="629"/>
      <c r="D13843" s="629"/>
      <c r="E13843" s="629"/>
      <c r="F13843" s="629"/>
      <c r="G13843" s="629"/>
      <c r="H13843" s="629"/>
      <c r="I13843" s="629"/>
      <c r="J13843" s="629"/>
      <c r="K13843" s="629"/>
      <c r="L13843" s="629"/>
      <c r="M13843" s="629"/>
      <c r="N13843" s="629"/>
      <c r="O13843" s="629"/>
      <c r="P13843" s="629"/>
      <c r="Q13843" s="629"/>
      <c r="R13843" s="629"/>
    </row>
    <row r="13844" spans="1:18" ht="12.75" customHeight="1">
      <c r="A13844" s="628" t="s">
        <v>24989</v>
      </c>
      <c r="B13844" s="629"/>
      <c r="C13844" s="629"/>
      <c r="D13844" s="629"/>
      <c r="E13844" s="629"/>
      <c r="F13844" s="629"/>
      <c r="G13844" s="629"/>
      <c r="H13844" s="629"/>
      <c r="I13844" s="629"/>
      <c r="J13844" s="629"/>
      <c r="K13844" s="629"/>
      <c r="L13844" s="629"/>
      <c r="M13844" s="629"/>
      <c r="N13844" s="629"/>
      <c r="O13844" s="629"/>
      <c r="P13844" s="629"/>
      <c r="Q13844" s="629"/>
      <c r="R13844" s="629"/>
    </row>
    <row r="13845" spans="1:18" ht="24">
      <c r="A13845" s="408">
        <v>204</v>
      </c>
      <c r="B13845" s="405" t="s">
        <v>24990</v>
      </c>
      <c r="C13845" s="409" t="s">
        <v>24991</v>
      </c>
      <c r="D13845" s="410">
        <v>1211.3399999999999</v>
      </c>
      <c r="E13845" s="410">
        <v>409.12</v>
      </c>
      <c r="F13845" s="410">
        <v>480.96</v>
      </c>
      <c r="G13845" s="410">
        <v>321.26</v>
      </c>
      <c r="H13845" s="411">
        <v>8977.85</v>
      </c>
      <c r="I13845" s="411">
        <v>4705.09</v>
      </c>
      <c r="J13845" s="411">
        <v>2597.9299999999998</v>
      </c>
      <c r="K13845" s="411">
        <v>1674.83</v>
      </c>
      <c r="L13845" s="43">
        <v>7.4115029636600793</v>
      </c>
      <c r="M13845" s="43">
        <v>11.500513296832226</v>
      </c>
      <c r="N13845" s="43">
        <v>5.4015510645375917</v>
      </c>
      <c r="O13845" s="43">
        <v>5.2133163170018051</v>
      </c>
      <c r="P13845" s="412"/>
      <c r="Q13845" s="412"/>
      <c r="R13845" s="412">
        <v>1</v>
      </c>
    </row>
    <row r="13846" spans="1:18" ht="12.75" customHeight="1">
      <c r="A13846" s="628" t="s">
        <v>24992</v>
      </c>
      <c r="B13846" s="629"/>
      <c r="C13846" s="629"/>
      <c r="D13846" s="629"/>
      <c r="E13846" s="629"/>
      <c r="F13846" s="629"/>
      <c r="G13846" s="629"/>
      <c r="H13846" s="629"/>
      <c r="I13846" s="629"/>
      <c r="J13846" s="629"/>
      <c r="K13846" s="629"/>
      <c r="L13846" s="629"/>
      <c r="M13846" s="629"/>
      <c r="N13846" s="629"/>
      <c r="O13846" s="629"/>
      <c r="P13846" s="629"/>
      <c r="Q13846" s="629"/>
      <c r="R13846" s="629"/>
    </row>
    <row r="13847" spans="1:18" ht="12.75" customHeight="1">
      <c r="A13847" s="628" t="s">
        <v>24993</v>
      </c>
      <c r="B13847" s="629"/>
      <c r="C13847" s="629"/>
      <c r="D13847" s="629"/>
      <c r="E13847" s="629"/>
      <c r="F13847" s="629"/>
      <c r="G13847" s="629"/>
      <c r="H13847" s="629"/>
      <c r="I13847" s="629"/>
      <c r="J13847" s="629"/>
      <c r="K13847" s="629"/>
      <c r="L13847" s="629"/>
      <c r="M13847" s="629"/>
      <c r="N13847" s="629"/>
      <c r="O13847" s="629"/>
      <c r="P13847" s="629"/>
      <c r="Q13847" s="629"/>
      <c r="R13847" s="629"/>
    </row>
    <row r="13848" spans="1:18" ht="24">
      <c r="A13848" s="408">
        <v>205</v>
      </c>
      <c r="B13848" s="405" t="s">
        <v>24994</v>
      </c>
      <c r="C13848" s="409" t="s">
        <v>24995</v>
      </c>
      <c r="D13848" s="410">
        <v>3423.59</v>
      </c>
      <c r="E13848" s="410">
        <v>1864.9</v>
      </c>
      <c r="F13848" s="410">
        <v>591.6</v>
      </c>
      <c r="G13848" s="410">
        <v>967.09</v>
      </c>
      <c r="H13848" s="411">
        <v>28638.37</v>
      </c>
      <c r="I13848" s="411">
        <v>21447.200000000001</v>
      </c>
      <c r="J13848" s="411">
        <v>3166.31</v>
      </c>
      <c r="K13848" s="411">
        <v>4024.86</v>
      </c>
      <c r="L13848" s="43">
        <v>8.3650115814101564</v>
      </c>
      <c r="M13848" s="43">
        <v>11.500455788514129</v>
      </c>
      <c r="N13848" s="43">
        <v>5.3521129141311699</v>
      </c>
      <c r="O13848" s="43">
        <v>4.1618256832352731</v>
      </c>
      <c r="P13848" s="412"/>
      <c r="Q13848" s="412"/>
      <c r="R13848" s="412">
        <v>1</v>
      </c>
    </row>
    <row r="13849" spans="1:18" ht="24">
      <c r="A13849" s="408">
        <v>206</v>
      </c>
      <c r="B13849" s="405" t="s">
        <v>24996</v>
      </c>
      <c r="C13849" s="409" t="s">
        <v>24997</v>
      </c>
      <c r="D13849" s="410">
        <v>7567.19</v>
      </c>
      <c r="E13849" s="410">
        <v>5188.8100000000004</v>
      </c>
      <c r="F13849" s="410">
        <v>1118.21</v>
      </c>
      <c r="G13849" s="410">
        <v>1260.17</v>
      </c>
      <c r="H13849" s="411">
        <v>71692.73</v>
      </c>
      <c r="I13849" s="411">
        <v>59673.68</v>
      </c>
      <c r="J13849" s="411">
        <v>6021.01</v>
      </c>
      <c r="K13849" s="411">
        <v>5998.04</v>
      </c>
      <c r="L13849" s="43">
        <v>9.4741548712269683</v>
      </c>
      <c r="M13849" s="43">
        <v>11.500455788514129</v>
      </c>
      <c r="N13849" s="43">
        <v>5.3845073823342666</v>
      </c>
      <c r="O13849" s="43">
        <v>4.7597070236555385</v>
      </c>
      <c r="P13849" s="412"/>
      <c r="Q13849" s="412"/>
      <c r="R13849" s="412">
        <v>1</v>
      </c>
    </row>
    <row r="13850" spans="1:18" ht="24">
      <c r="A13850" s="408">
        <v>207</v>
      </c>
      <c r="B13850" s="405" t="s">
        <v>24998</v>
      </c>
      <c r="C13850" s="409" t="s">
        <v>24999</v>
      </c>
      <c r="D13850" s="410">
        <v>9409.58</v>
      </c>
      <c r="E13850" s="410">
        <v>6274.84</v>
      </c>
      <c r="F13850" s="410">
        <v>1605.41</v>
      </c>
      <c r="G13850" s="410">
        <v>1529.33</v>
      </c>
      <c r="H13850" s="411">
        <v>88104.87</v>
      </c>
      <c r="I13850" s="411">
        <v>72163.520000000004</v>
      </c>
      <c r="J13850" s="411">
        <v>8655.86</v>
      </c>
      <c r="K13850" s="411">
        <v>7285.49</v>
      </c>
      <c r="L13850" s="43">
        <v>9.3633158972026376</v>
      </c>
      <c r="M13850" s="43">
        <v>11.500455788514129</v>
      </c>
      <c r="N13850" s="43">
        <v>5.3916818756579321</v>
      </c>
      <c r="O13850" s="43">
        <v>4.7638442978297686</v>
      </c>
      <c r="P13850" s="412"/>
      <c r="Q13850" s="412"/>
      <c r="R13850" s="412">
        <v>1</v>
      </c>
    </row>
    <row r="13851" spans="1:18" ht="24">
      <c r="A13851" s="408">
        <v>208</v>
      </c>
      <c r="B13851" s="405" t="s">
        <v>25000</v>
      </c>
      <c r="C13851" s="409" t="s">
        <v>25001</v>
      </c>
      <c r="D13851" s="410">
        <v>15523</v>
      </c>
      <c r="E13851" s="410">
        <v>11540.44</v>
      </c>
      <c r="F13851" s="410">
        <v>2320.2199999999998</v>
      </c>
      <c r="G13851" s="410">
        <v>1662.34</v>
      </c>
      <c r="H13851" s="411">
        <v>153760.01</v>
      </c>
      <c r="I13851" s="411">
        <v>132720.32000000001</v>
      </c>
      <c r="J13851" s="411">
        <v>12395.37</v>
      </c>
      <c r="K13851" s="411">
        <v>8644.32</v>
      </c>
      <c r="L13851" s="43">
        <v>9.9053024544224701</v>
      </c>
      <c r="M13851" s="43">
        <v>11.500455788514129</v>
      </c>
      <c r="N13851" s="43">
        <v>5.3423252967391033</v>
      </c>
      <c r="O13851" s="43">
        <v>5.200091437371416</v>
      </c>
      <c r="P13851" s="412"/>
      <c r="Q13851" s="412"/>
      <c r="R13851" s="412">
        <v>1</v>
      </c>
    </row>
    <row r="13852" spans="1:18" ht="12.75" customHeight="1">
      <c r="A13852" s="628" t="s">
        <v>25002</v>
      </c>
      <c r="B13852" s="629"/>
      <c r="C13852" s="629"/>
      <c r="D13852" s="629"/>
      <c r="E13852" s="629"/>
      <c r="F13852" s="629"/>
      <c r="G13852" s="629"/>
      <c r="H13852" s="629"/>
      <c r="I13852" s="629"/>
      <c r="J13852" s="629"/>
      <c r="K13852" s="629"/>
      <c r="L13852" s="629"/>
      <c r="M13852" s="629"/>
      <c r="N13852" s="629"/>
      <c r="O13852" s="629"/>
      <c r="P13852" s="629"/>
      <c r="Q13852" s="629"/>
      <c r="R13852" s="629"/>
    </row>
    <row r="13853" spans="1:18" ht="12.75" customHeight="1">
      <c r="A13853" s="628" t="s">
        <v>25003</v>
      </c>
      <c r="B13853" s="629"/>
      <c r="C13853" s="629"/>
      <c r="D13853" s="629"/>
      <c r="E13853" s="629"/>
      <c r="F13853" s="629"/>
      <c r="G13853" s="629"/>
      <c r="H13853" s="629"/>
      <c r="I13853" s="629"/>
      <c r="J13853" s="629"/>
      <c r="K13853" s="629"/>
      <c r="L13853" s="629"/>
      <c r="M13853" s="629"/>
      <c r="N13853" s="629"/>
      <c r="O13853" s="629"/>
      <c r="P13853" s="629"/>
      <c r="Q13853" s="629"/>
      <c r="R13853" s="629"/>
    </row>
    <row r="13854" spans="1:18" ht="24">
      <c r="A13854" s="408">
        <v>209</v>
      </c>
      <c r="B13854" s="405" t="s">
        <v>25004</v>
      </c>
      <c r="C13854" s="409" t="s">
        <v>25005</v>
      </c>
      <c r="D13854" s="410">
        <v>2516.91</v>
      </c>
      <c r="E13854" s="410">
        <v>986.06</v>
      </c>
      <c r="F13854" s="410">
        <v>679.41</v>
      </c>
      <c r="G13854" s="410">
        <v>851.44</v>
      </c>
      <c r="H13854" s="411">
        <v>18304.04</v>
      </c>
      <c r="I13854" s="411">
        <v>11339.64</v>
      </c>
      <c r="J13854" s="411">
        <v>3664.78</v>
      </c>
      <c r="K13854" s="411">
        <v>3299.62</v>
      </c>
      <c r="L13854" s="43">
        <v>7.2724253151682028</v>
      </c>
      <c r="M13854" s="43">
        <v>11.499949293146461</v>
      </c>
      <c r="N13854" s="43">
        <v>5.3940624954004219</v>
      </c>
      <c r="O13854" s="43">
        <v>3.8753405994550403</v>
      </c>
      <c r="P13854" s="412"/>
      <c r="Q13854" s="412"/>
      <c r="R13854" s="412">
        <v>1</v>
      </c>
    </row>
    <row r="13855" spans="1:18" ht="12.75" customHeight="1">
      <c r="A13855" s="628" t="s">
        <v>25006</v>
      </c>
      <c r="B13855" s="629"/>
      <c r="C13855" s="629"/>
      <c r="D13855" s="629"/>
      <c r="E13855" s="629"/>
      <c r="F13855" s="629"/>
      <c r="G13855" s="629"/>
      <c r="H13855" s="629"/>
      <c r="I13855" s="629"/>
      <c r="J13855" s="629"/>
      <c r="K13855" s="629"/>
      <c r="L13855" s="629"/>
      <c r="M13855" s="629"/>
      <c r="N13855" s="629"/>
      <c r="O13855" s="629"/>
      <c r="P13855" s="629"/>
      <c r="Q13855" s="629"/>
      <c r="R13855" s="629"/>
    </row>
    <row r="13856" spans="1:18" ht="12.75" customHeight="1">
      <c r="A13856" s="628" t="s">
        <v>25007</v>
      </c>
      <c r="B13856" s="629"/>
      <c r="C13856" s="629"/>
      <c r="D13856" s="629"/>
      <c r="E13856" s="629"/>
      <c r="F13856" s="629"/>
      <c r="G13856" s="629"/>
      <c r="H13856" s="629"/>
      <c r="I13856" s="629"/>
      <c r="J13856" s="629"/>
      <c r="K13856" s="629"/>
      <c r="L13856" s="629"/>
      <c r="M13856" s="629"/>
      <c r="N13856" s="629"/>
      <c r="O13856" s="629"/>
      <c r="P13856" s="629"/>
      <c r="Q13856" s="629"/>
      <c r="R13856" s="629"/>
    </row>
    <row r="13857" spans="1:18" ht="24">
      <c r="A13857" s="408">
        <v>210</v>
      </c>
      <c r="B13857" s="405" t="s">
        <v>25008</v>
      </c>
      <c r="C13857" s="409" t="s">
        <v>25009</v>
      </c>
      <c r="D13857" s="410">
        <v>1012.89</v>
      </c>
      <c r="E13857" s="410">
        <v>548.5</v>
      </c>
      <c r="F13857" s="410">
        <v>295.68</v>
      </c>
      <c r="G13857" s="410">
        <v>168.71</v>
      </c>
      <c r="H13857" s="411">
        <v>8612.0400000000009</v>
      </c>
      <c r="I13857" s="411">
        <v>6307.8</v>
      </c>
      <c r="J13857" s="411">
        <v>1595.3</v>
      </c>
      <c r="K13857" s="411">
        <v>708.94</v>
      </c>
      <c r="L13857" s="43">
        <v>8.502443503243196</v>
      </c>
      <c r="M13857" s="43">
        <v>11.500091157702826</v>
      </c>
      <c r="N13857" s="43">
        <v>5.3953598484848486</v>
      </c>
      <c r="O13857" s="43">
        <v>4.2021219844703932</v>
      </c>
      <c r="P13857" s="412"/>
      <c r="Q13857" s="412"/>
      <c r="R13857" s="412">
        <v>1</v>
      </c>
    </row>
    <row r="13858" spans="1:18" ht="24">
      <c r="A13858" s="408">
        <v>211</v>
      </c>
      <c r="B13858" s="405" t="s">
        <v>25010</v>
      </c>
      <c r="C13858" s="409" t="s">
        <v>25011</v>
      </c>
      <c r="D13858" s="410">
        <v>1487.62</v>
      </c>
      <c r="E13858" s="410">
        <v>755.55</v>
      </c>
      <c r="F13858" s="410">
        <v>415.82</v>
      </c>
      <c r="G13858" s="410">
        <v>316.25</v>
      </c>
      <c r="H13858" s="411">
        <v>12211.33</v>
      </c>
      <c r="I13858" s="411">
        <v>8688.7999999999993</v>
      </c>
      <c r="J13858" s="411">
        <v>2236.1799999999998</v>
      </c>
      <c r="K13858" s="411">
        <v>1286.3499999999999</v>
      </c>
      <c r="L13858" s="43">
        <v>8.2086352697597516</v>
      </c>
      <c r="M13858" s="43">
        <v>11.499966911521408</v>
      </c>
      <c r="N13858" s="43">
        <v>5.3777596075224849</v>
      </c>
      <c r="O13858" s="43">
        <v>4.0675098814229242</v>
      </c>
      <c r="P13858" s="412"/>
      <c r="Q13858" s="412"/>
      <c r="R13858" s="412">
        <v>1</v>
      </c>
    </row>
    <row r="13859" spans="1:18" ht="12.75" customHeight="1">
      <c r="A13859" s="628" t="s">
        <v>25012</v>
      </c>
      <c r="B13859" s="629"/>
      <c r="C13859" s="629"/>
      <c r="D13859" s="629"/>
      <c r="E13859" s="629"/>
      <c r="F13859" s="629"/>
      <c r="G13859" s="629"/>
      <c r="H13859" s="629"/>
      <c r="I13859" s="629"/>
      <c r="J13859" s="629"/>
      <c r="K13859" s="629"/>
      <c r="L13859" s="629"/>
      <c r="M13859" s="629"/>
      <c r="N13859" s="629"/>
      <c r="O13859" s="629"/>
      <c r="P13859" s="629"/>
      <c r="Q13859" s="629"/>
      <c r="R13859" s="629"/>
    </row>
    <row r="13860" spans="1:18" ht="12.75" customHeight="1">
      <c r="A13860" s="628" t="s">
        <v>25013</v>
      </c>
      <c r="B13860" s="629"/>
      <c r="C13860" s="629"/>
      <c r="D13860" s="629"/>
      <c r="E13860" s="629"/>
      <c r="F13860" s="629"/>
      <c r="G13860" s="629"/>
      <c r="H13860" s="629"/>
      <c r="I13860" s="629"/>
      <c r="J13860" s="629"/>
      <c r="K13860" s="629"/>
      <c r="L13860" s="629"/>
      <c r="M13860" s="629"/>
      <c r="N13860" s="629"/>
      <c r="O13860" s="629"/>
      <c r="P13860" s="629"/>
      <c r="Q13860" s="629"/>
      <c r="R13860" s="629"/>
    </row>
    <row r="13861" spans="1:18" ht="24">
      <c r="A13861" s="408">
        <v>212</v>
      </c>
      <c r="B13861" s="405" t="s">
        <v>25014</v>
      </c>
      <c r="C13861" s="409" t="s">
        <v>25015</v>
      </c>
      <c r="D13861" s="410">
        <v>1104.32</v>
      </c>
      <c r="E13861" s="410">
        <v>560.42999999999995</v>
      </c>
      <c r="F13861" s="410">
        <v>331.92</v>
      </c>
      <c r="G13861" s="410">
        <v>211.97</v>
      </c>
      <c r="H13861" s="411">
        <v>9101.25</v>
      </c>
      <c r="I13861" s="411">
        <v>6444.92</v>
      </c>
      <c r="J13861" s="411">
        <v>1785.69</v>
      </c>
      <c r="K13861" s="411">
        <v>870.64</v>
      </c>
      <c r="L13861" s="43">
        <v>8.2414970298464212</v>
      </c>
      <c r="M13861" s="43">
        <v>11.499955391395893</v>
      </c>
      <c r="N13861" s="43">
        <v>5.3798806941431669</v>
      </c>
      <c r="O13861" s="43">
        <v>4.1073736849554185</v>
      </c>
      <c r="P13861" s="412"/>
      <c r="Q13861" s="412"/>
      <c r="R13861" s="412">
        <v>1</v>
      </c>
    </row>
    <row r="13862" spans="1:18" ht="24">
      <c r="A13862" s="408">
        <v>213</v>
      </c>
      <c r="B13862" s="405" t="s">
        <v>25016</v>
      </c>
      <c r="C13862" s="409" t="s">
        <v>25017</v>
      </c>
      <c r="D13862" s="410">
        <v>1611.68</v>
      </c>
      <c r="E13862" s="410">
        <v>723.67</v>
      </c>
      <c r="F13862" s="410">
        <v>515.04</v>
      </c>
      <c r="G13862" s="410">
        <v>372.97</v>
      </c>
      <c r="H13862" s="411">
        <v>12585.99</v>
      </c>
      <c r="I13862" s="411">
        <v>8322.23</v>
      </c>
      <c r="J13862" s="411">
        <v>2772.85</v>
      </c>
      <c r="K13862" s="411">
        <v>1490.91</v>
      </c>
      <c r="L13862" s="43">
        <v>7.80923632482875</v>
      </c>
      <c r="M13862" s="43">
        <v>11.500034546132905</v>
      </c>
      <c r="N13862" s="43">
        <v>5.383756601429015</v>
      </c>
      <c r="O13862" s="43">
        <v>3.9973992546317398</v>
      </c>
      <c r="P13862" s="412"/>
      <c r="Q13862" s="412"/>
      <c r="R13862" s="412">
        <v>1</v>
      </c>
    </row>
    <row r="13863" spans="1:18" ht="12.75" customHeight="1">
      <c r="A13863" s="628" t="s">
        <v>25018</v>
      </c>
      <c r="B13863" s="629"/>
      <c r="C13863" s="629"/>
      <c r="D13863" s="629"/>
      <c r="E13863" s="629"/>
      <c r="F13863" s="629"/>
      <c r="G13863" s="629"/>
      <c r="H13863" s="629"/>
      <c r="I13863" s="629"/>
      <c r="J13863" s="629"/>
      <c r="K13863" s="629"/>
      <c r="L13863" s="629"/>
      <c r="M13863" s="629"/>
      <c r="N13863" s="629"/>
      <c r="O13863" s="629"/>
      <c r="P13863" s="629"/>
      <c r="Q13863" s="629"/>
      <c r="R13863" s="629"/>
    </row>
    <row r="13864" spans="1:18" ht="12.75" customHeight="1">
      <c r="A13864" s="628" t="s">
        <v>25019</v>
      </c>
      <c r="B13864" s="629"/>
      <c r="C13864" s="629"/>
      <c r="D13864" s="629"/>
      <c r="E13864" s="629"/>
      <c r="F13864" s="629"/>
      <c r="G13864" s="629"/>
      <c r="H13864" s="629"/>
      <c r="I13864" s="629"/>
      <c r="J13864" s="629"/>
      <c r="K13864" s="629"/>
      <c r="L13864" s="629"/>
      <c r="M13864" s="629"/>
      <c r="N13864" s="629"/>
      <c r="O13864" s="629"/>
      <c r="P13864" s="629"/>
      <c r="Q13864" s="629"/>
      <c r="R13864" s="629"/>
    </row>
    <row r="13865" spans="1:18" ht="24">
      <c r="A13865" s="408">
        <v>214</v>
      </c>
      <c r="B13865" s="405" t="s">
        <v>25020</v>
      </c>
      <c r="C13865" s="409" t="s">
        <v>25021</v>
      </c>
      <c r="D13865" s="410">
        <v>1456.09</v>
      </c>
      <c r="E13865" s="410">
        <v>620.04999999999995</v>
      </c>
      <c r="F13865" s="410">
        <v>522.5</v>
      </c>
      <c r="G13865" s="410">
        <v>313.54000000000002</v>
      </c>
      <c r="H13865" s="411">
        <v>11205.43</v>
      </c>
      <c r="I13865" s="411">
        <v>7130.55</v>
      </c>
      <c r="J13865" s="411">
        <v>2819.7</v>
      </c>
      <c r="K13865" s="411">
        <v>1255.18</v>
      </c>
      <c r="L13865" s="43">
        <v>7.6955614007375921</v>
      </c>
      <c r="M13865" s="43">
        <v>11.499959680670914</v>
      </c>
      <c r="N13865" s="43">
        <v>5.3965550239234448</v>
      </c>
      <c r="O13865" s="43">
        <v>4.0032531734387957</v>
      </c>
      <c r="P13865" s="412"/>
      <c r="Q13865" s="412"/>
      <c r="R13865" s="412">
        <v>1</v>
      </c>
    </row>
    <row r="13866" spans="1:18" ht="12.75" customHeight="1">
      <c r="A13866" s="628" t="s">
        <v>25022</v>
      </c>
      <c r="B13866" s="629"/>
      <c r="C13866" s="629"/>
      <c r="D13866" s="629"/>
      <c r="E13866" s="629"/>
      <c r="F13866" s="629"/>
      <c r="G13866" s="629"/>
      <c r="H13866" s="629"/>
      <c r="I13866" s="629"/>
      <c r="J13866" s="629"/>
      <c r="K13866" s="629"/>
      <c r="L13866" s="629"/>
      <c r="M13866" s="629"/>
      <c r="N13866" s="629"/>
      <c r="O13866" s="629"/>
      <c r="P13866" s="629"/>
      <c r="Q13866" s="629"/>
      <c r="R13866" s="629"/>
    </row>
    <row r="13867" spans="1:18" ht="24">
      <c r="A13867" s="413">
        <v>215</v>
      </c>
      <c r="B13867" s="414" t="s">
        <v>25023</v>
      </c>
      <c r="C13867" s="415" t="s">
        <v>25024</v>
      </c>
      <c r="D13867" s="416">
        <v>3379.41</v>
      </c>
      <c r="E13867" s="416">
        <v>1734.7</v>
      </c>
      <c r="F13867" s="416">
        <v>778.3</v>
      </c>
      <c r="G13867" s="416">
        <v>866.41</v>
      </c>
      <c r="H13867" s="417">
        <v>27683.27</v>
      </c>
      <c r="I13867" s="417">
        <v>19949.88</v>
      </c>
      <c r="J13867" s="417">
        <v>4261.6099999999997</v>
      </c>
      <c r="K13867" s="417">
        <v>3471.78</v>
      </c>
      <c r="L13867" s="611">
        <v>8.1917464882923348</v>
      </c>
      <c r="M13867" s="611">
        <v>11.500478468899521</v>
      </c>
      <c r="N13867" s="611">
        <v>5.4755364255428498</v>
      </c>
      <c r="O13867" s="611">
        <v>4.0070867141422655</v>
      </c>
      <c r="P13867" s="418"/>
      <c r="Q13867" s="418"/>
      <c r="R13867" s="418">
        <v>2</v>
      </c>
    </row>
    <row r="13868" spans="1:18" ht="12.75" customHeight="1">
      <c r="A13868" s="630" t="s">
        <v>25025</v>
      </c>
      <c r="B13868" s="631"/>
      <c r="C13868" s="631"/>
      <c r="D13868" s="631"/>
      <c r="E13868" s="631"/>
      <c r="F13868" s="631"/>
      <c r="G13868" s="631"/>
      <c r="H13868" s="631"/>
      <c r="I13868" s="631"/>
      <c r="J13868" s="631"/>
      <c r="K13868" s="631"/>
      <c r="L13868" s="631"/>
      <c r="M13868" s="631"/>
      <c r="N13868" s="631"/>
      <c r="O13868" s="631"/>
      <c r="P13868" s="631"/>
      <c r="Q13868" s="631"/>
      <c r="R13868" s="631"/>
    </row>
    <row r="13869" spans="1:18" ht="12.75" customHeight="1">
      <c r="A13869" s="628" t="s">
        <v>25026</v>
      </c>
      <c r="B13869" s="629"/>
      <c r="C13869" s="629"/>
      <c r="D13869" s="629"/>
      <c r="E13869" s="629"/>
      <c r="F13869" s="629"/>
      <c r="G13869" s="629"/>
      <c r="H13869" s="629"/>
      <c r="I13869" s="629"/>
      <c r="J13869" s="629"/>
      <c r="K13869" s="629"/>
      <c r="L13869" s="629"/>
      <c r="M13869" s="629"/>
      <c r="N13869" s="629"/>
      <c r="O13869" s="629"/>
      <c r="P13869" s="629"/>
      <c r="Q13869" s="629"/>
      <c r="R13869" s="629"/>
    </row>
    <row r="13870" spans="1:18" ht="12.75" customHeight="1">
      <c r="A13870" s="628" t="s">
        <v>25027</v>
      </c>
      <c r="B13870" s="629"/>
      <c r="C13870" s="629"/>
      <c r="D13870" s="629"/>
      <c r="E13870" s="629"/>
      <c r="F13870" s="629"/>
      <c r="G13870" s="629"/>
      <c r="H13870" s="629"/>
      <c r="I13870" s="629"/>
      <c r="J13870" s="629"/>
      <c r="K13870" s="629"/>
      <c r="L13870" s="629"/>
      <c r="M13870" s="629"/>
      <c r="N13870" s="629"/>
      <c r="O13870" s="629"/>
      <c r="P13870" s="629"/>
      <c r="Q13870" s="629"/>
      <c r="R13870" s="629"/>
    </row>
    <row r="13871" spans="1:18" ht="24">
      <c r="A13871" s="408">
        <v>216</v>
      </c>
      <c r="B13871" s="405" t="s">
        <v>25028</v>
      </c>
      <c r="C13871" s="409" t="s">
        <v>25029</v>
      </c>
      <c r="D13871" s="410">
        <v>19643.27</v>
      </c>
      <c r="E13871" s="410">
        <v>6803.32</v>
      </c>
      <c r="F13871" s="410">
        <v>12461.8</v>
      </c>
      <c r="G13871" s="410">
        <v>378.15</v>
      </c>
      <c r="H13871" s="411">
        <v>147582.79999999999</v>
      </c>
      <c r="I13871" s="411">
        <v>78238.179999999993</v>
      </c>
      <c r="J13871" s="411">
        <v>65658.05</v>
      </c>
      <c r="K13871" s="411">
        <v>3686.57</v>
      </c>
      <c r="L13871" s="43">
        <v>7.5131482691018343</v>
      </c>
      <c r="M13871" s="43">
        <v>11.5</v>
      </c>
      <c r="N13871" s="43">
        <v>5.2687452855927717</v>
      </c>
      <c r="O13871" s="43">
        <v>9.748962052095731</v>
      </c>
      <c r="P13871" s="412"/>
      <c r="Q13871" s="412"/>
      <c r="R13871" s="412">
        <v>1</v>
      </c>
    </row>
    <row r="13872" spans="1:18" ht="24">
      <c r="A13872" s="408">
        <v>217</v>
      </c>
      <c r="B13872" s="405" t="s">
        <v>25030</v>
      </c>
      <c r="C13872" s="409" t="s">
        <v>25031</v>
      </c>
      <c r="D13872" s="410">
        <v>9829.86</v>
      </c>
      <c r="E13872" s="410">
        <v>4160.2</v>
      </c>
      <c r="F13872" s="410">
        <v>5545.66</v>
      </c>
      <c r="G13872" s="410">
        <v>124</v>
      </c>
      <c r="H13872" s="411">
        <v>77891.45</v>
      </c>
      <c r="I13872" s="411">
        <v>47842.3</v>
      </c>
      <c r="J13872" s="411">
        <v>28734.75</v>
      </c>
      <c r="K13872" s="411">
        <v>1314.4</v>
      </c>
      <c r="L13872" s="43">
        <v>7.9239633117867392</v>
      </c>
      <c r="M13872" s="43">
        <v>11.500000000000002</v>
      </c>
      <c r="N13872" s="43">
        <v>5.1814842597634909</v>
      </c>
      <c r="O13872" s="43">
        <v>10.600000000000001</v>
      </c>
      <c r="P13872" s="412"/>
      <c r="Q13872" s="412"/>
      <c r="R13872" s="412">
        <v>1</v>
      </c>
    </row>
    <row r="13873" spans="1:18" ht="24">
      <c r="A13873" s="408">
        <v>218</v>
      </c>
      <c r="B13873" s="405" t="s">
        <v>25032</v>
      </c>
      <c r="C13873" s="409" t="s">
        <v>25033</v>
      </c>
      <c r="D13873" s="410">
        <v>2762.16</v>
      </c>
      <c r="E13873" s="410">
        <v>1533.6</v>
      </c>
      <c r="F13873" s="410">
        <v>810.83</v>
      </c>
      <c r="G13873" s="410">
        <v>417.73</v>
      </c>
      <c r="H13873" s="411">
        <v>23889.32</v>
      </c>
      <c r="I13873" s="411">
        <v>17636.400000000001</v>
      </c>
      <c r="J13873" s="411">
        <v>4325.3900000000003</v>
      </c>
      <c r="K13873" s="411">
        <v>1927.53</v>
      </c>
      <c r="L13873" s="43">
        <v>8.6487821125495987</v>
      </c>
      <c r="M13873" s="43">
        <v>11.500000000000002</v>
      </c>
      <c r="N13873" s="43">
        <v>5.3345214163264805</v>
      </c>
      <c r="O13873" s="43">
        <v>4.6142963158020729</v>
      </c>
      <c r="P13873" s="412"/>
      <c r="Q13873" s="412"/>
      <c r="R13873" s="412">
        <v>1</v>
      </c>
    </row>
    <row r="13874" spans="1:18" ht="12.75" customHeight="1">
      <c r="A13874" s="628" t="s">
        <v>25034</v>
      </c>
      <c r="B13874" s="629"/>
      <c r="C13874" s="629"/>
      <c r="D13874" s="629"/>
      <c r="E13874" s="629"/>
      <c r="F13874" s="629"/>
      <c r="G13874" s="629"/>
      <c r="H13874" s="629"/>
      <c r="I13874" s="629"/>
      <c r="J13874" s="629"/>
      <c r="K13874" s="629"/>
      <c r="L13874" s="629"/>
      <c r="M13874" s="629"/>
      <c r="N13874" s="629"/>
      <c r="O13874" s="629"/>
      <c r="P13874" s="629"/>
      <c r="Q13874" s="629"/>
      <c r="R13874" s="629"/>
    </row>
    <row r="13875" spans="1:18" ht="24">
      <c r="A13875" s="408">
        <v>219</v>
      </c>
      <c r="B13875" s="405" t="s">
        <v>25035</v>
      </c>
      <c r="C13875" s="409" t="s">
        <v>25036</v>
      </c>
      <c r="D13875" s="410">
        <v>2828.54</v>
      </c>
      <c r="E13875" s="410">
        <v>2098.4</v>
      </c>
      <c r="F13875" s="410">
        <v>685.72</v>
      </c>
      <c r="G13875" s="410">
        <v>44.42</v>
      </c>
      <c r="H13875" s="411">
        <v>28214.91</v>
      </c>
      <c r="I13875" s="411">
        <v>24131.599999999999</v>
      </c>
      <c r="J13875" s="411">
        <v>3579.19</v>
      </c>
      <c r="K13875" s="411">
        <v>504.12</v>
      </c>
      <c r="L13875" s="43">
        <v>9.9750790160294702</v>
      </c>
      <c r="M13875" s="43">
        <v>11.499999999999998</v>
      </c>
      <c r="N13875" s="43">
        <v>5.2196085865951112</v>
      </c>
      <c r="O13875" s="43">
        <v>11.34894191805493</v>
      </c>
      <c r="P13875" s="412"/>
      <c r="Q13875" s="412"/>
      <c r="R13875" s="412">
        <v>2</v>
      </c>
    </row>
    <row r="13876" spans="1:18" ht="12.75" customHeight="1">
      <c r="A13876" s="628" t="s">
        <v>25037</v>
      </c>
      <c r="B13876" s="629"/>
      <c r="C13876" s="629"/>
      <c r="D13876" s="629"/>
      <c r="E13876" s="629"/>
      <c r="F13876" s="629"/>
      <c r="G13876" s="629"/>
      <c r="H13876" s="629"/>
      <c r="I13876" s="629"/>
      <c r="J13876" s="629"/>
      <c r="K13876" s="629"/>
      <c r="L13876" s="629"/>
      <c r="M13876" s="629"/>
      <c r="N13876" s="629"/>
      <c r="O13876" s="629"/>
      <c r="P13876" s="629"/>
      <c r="Q13876" s="629"/>
      <c r="R13876" s="629"/>
    </row>
    <row r="13877" spans="1:18" ht="24">
      <c r="A13877" s="408">
        <v>220</v>
      </c>
      <c r="B13877" s="405" t="s">
        <v>25038</v>
      </c>
      <c r="C13877" s="409" t="s">
        <v>25039</v>
      </c>
      <c r="D13877" s="410">
        <v>531.29</v>
      </c>
      <c r="E13877" s="410">
        <v>328.13</v>
      </c>
      <c r="F13877" s="410">
        <v>105.46</v>
      </c>
      <c r="G13877" s="410">
        <v>97.7</v>
      </c>
      <c r="H13877" s="411">
        <v>4780.87</v>
      </c>
      <c r="I13877" s="411">
        <v>3773.65</v>
      </c>
      <c r="J13877" s="411">
        <v>569.20000000000005</v>
      </c>
      <c r="K13877" s="411">
        <v>438.02</v>
      </c>
      <c r="L13877" s="43">
        <v>8.99860716369591</v>
      </c>
      <c r="M13877" s="43">
        <v>11.500472373754306</v>
      </c>
      <c r="N13877" s="43">
        <v>5.3973070358429744</v>
      </c>
      <c r="O13877" s="43">
        <v>4.4833162743091091</v>
      </c>
      <c r="P13877" s="412"/>
      <c r="Q13877" s="412"/>
      <c r="R13877" s="412">
        <v>3</v>
      </c>
    </row>
    <row r="13878" spans="1:18" ht="12.75" customHeight="1">
      <c r="A13878" s="628" t="s">
        <v>25040</v>
      </c>
      <c r="B13878" s="629"/>
      <c r="C13878" s="629"/>
      <c r="D13878" s="629"/>
      <c r="E13878" s="629"/>
      <c r="F13878" s="629"/>
      <c r="G13878" s="629"/>
      <c r="H13878" s="629"/>
      <c r="I13878" s="629"/>
      <c r="J13878" s="629"/>
      <c r="K13878" s="629"/>
      <c r="L13878" s="629"/>
      <c r="M13878" s="629"/>
      <c r="N13878" s="629"/>
      <c r="O13878" s="629"/>
      <c r="P13878" s="629"/>
      <c r="Q13878" s="629"/>
      <c r="R13878" s="629"/>
    </row>
    <row r="13879" spans="1:18" ht="24">
      <c r="A13879" s="408">
        <v>221</v>
      </c>
      <c r="B13879" s="405" t="s">
        <v>25041</v>
      </c>
      <c r="C13879" s="409" t="s">
        <v>25042</v>
      </c>
      <c r="D13879" s="410">
        <v>9985.3799999999992</v>
      </c>
      <c r="E13879" s="410">
        <v>5324.86</v>
      </c>
      <c r="F13879" s="410">
        <v>4519.34</v>
      </c>
      <c r="G13879" s="410">
        <v>141.18</v>
      </c>
      <c r="H13879" s="411">
        <v>85961.24</v>
      </c>
      <c r="I13879" s="411">
        <v>61235.89</v>
      </c>
      <c r="J13879" s="411">
        <v>23196.639999999999</v>
      </c>
      <c r="K13879" s="411">
        <v>1528.71</v>
      </c>
      <c r="L13879" s="43">
        <v>8.6087099339233966</v>
      </c>
      <c r="M13879" s="43">
        <v>11.5</v>
      </c>
      <c r="N13879" s="43">
        <v>5.132749472268074</v>
      </c>
      <c r="O13879" s="43">
        <v>10.828091797705056</v>
      </c>
      <c r="P13879" s="412"/>
      <c r="Q13879" s="412"/>
      <c r="R13879" s="412">
        <v>4</v>
      </c>
    </row>
    <row r="13880" spans="1:18" ht="12.75" customHeight="1">
      <c r="A13880" s="628" t="s">
        <v>25043</v>
      </c>
      <c r="B13880" s="629"/>
      <c r="C13880" s="629"/>
      <c r="D13880" s="629"/>
      <c r="E13880" s="629"/>
      <c r="F13880" s="629"/>
      <c r="G13880" s="629"/>
      <c r="H13880" s="629"/>
      <c r="I13880" s="629"/>
      <c r="J13880" s="629"/>
      <c r="K13880" s="629"/>
      <c r="L13880" s="629"/>
      <c r="M13880" s="629"/>
      <c r="N13880" s="629"/>
      <c r="O13880" s="629"/>
      <c r="P13880" s="629"/>
      <c r="Q13880" s="629"/>
      <c r="R13880" s="629"/>
    </row>
    <row r="13881" spans="1:18" ht="36">
      <c r="A13881" s="408">
        <v>222</v>
      </c>
      <c r="B13881" s="405" t="s">
        <v>25044</v>
      </c>
      <c r="C13881" s="409" t="s">
        <v>25045</v>
      </c>
      <c r="D13881" s="410">
        <v>67799.72</v>
      </c>
      <c r="E13881" s="410">
        <v>28574.240000000002</v>
      </c>
      <c r="F13881" s="410">
        <v>35585</v>
      </c>
      <c r="G13881" s="410">
        <v>3640.48</v>
      </c>
      <c r="H13881" s="411">
        <v>532520.47</v>
      </c>
      <c r="I13881" s="411">
        <v>328603.76</v>
      </c>
      <c r="J13881" s="411">
        <v>180634.78</v>
      </c>
      <c r="K13881" s="411">
        <v>23281.93</v>
      </c>
      <c r="L13881" s="43">
        <v>7.854316654995035</v>
      </c>
      <c r="M13881" s="43">
        <v>11.5</v>
      </c>
      <c r="N13881" s="43">
        <v>5.0761495011943234</v>
      </c>
      <c r="O13881" s="43">
        <v>6.395291280270734</v>
      </c>
      <c r="P13881" s="412"/>
      <c r="Q13881" s="412"/>
      <c r="R13881" s="412">
        <v>5</v>
      </c>
    </row>
    <row r="13882" spans="1:18" ht="12.75" customHeight="1">
      <c r="A13882" s="628" t="s">
        <v>25046</v>
      </c>
      <c r="B13882" s="629"/>
      <c r="C13882" s="629"/>
      <c r="D13882" s="629"/>
      <c r="E13882" s="629"/>
      <c r="F13882" s="629"/>
      <c r="G13882" s="629"/>
      <c r="H13882" s="629"/>
      <c r="I13882" s="629"/>
      <c r="J13882" s="629"/>
      <c r="K13882" s="629"/>
      <c r="L13882" s="629"/>
      <c r="M13882" s="629"/>
      <c r="N13882" s="629"/>
      <c r="O13882" s="629"/>
      <c r="P13882" s="629"/>
      <c r="Q13882" s="629"/>
      <c r="R13882" s="629"/>
    </row>
    <row r="13883" spans="1:18" ht="12.75" customHeight="1">
      <c r="A13883" s="628" t="s">
        <v>25047</v>
      </c>
      <c r="B13883" s="629"/>
      <c r="C13883" s="629"/>
      <c r="D13883" s="629"/>
      <c r="E13883" s="629"/>
      <c r="F13883" s="629"/>
      <c r="G13883" s="629"/>
      <c r="H13883" s="629"/>
      <c r="I13883" s="629"/>
      <c r="J13883" s="629"/>
      <c r="K13883" s="629"/>
      <c r="L13883" s="629"/>
      <c r="M13883" s="629"/>
      <c r="N13883" s="629"/>
      <c r="O13883" s="629"/>
      <c r="P13883" s="629"/>
      <c r="Q13883" s="629"/>
      <c r="R13883" s="629"/>
    </row>
    <row r="13884" spans="1:18" ht="24">
      <c r="A13884" s="408">
        <v>223</v>
      </c>
      <c r="B13884" s="405" t="s">
        <v>25048</v>
      </c>
      <c r="C13884" s="409" t="s">
        <v>25049</v>
      </c>
      <c r="D13884" s="410">
        <v>238.29</v>
      </c>
      <c r="E13884" s="410">
        <v>154.47</v>
      </c>
      <c r="F13884" s="410">
        <v>37.71</v>
      </c>
      <c r="G13884" s="410">
        <v>46.11</v>
      </c>
      <c r="H13884" s="411">
        <v>2174.5300000000002</v>
      </c>
      <c r="I13884" s="411">
        <v>1776.38</v>
      </c>
      <c r="J13884" s="411">
        <v>203.67</v>
      </c>
      <c r="K13884" s="411">
        <v>194.48</v>
      </c>
      <c r="L13884" s="43">
        <v>9.1255612908640735</v>
      </c>
      <c r="M13884" s="43">
        <v>11.499838156276301</v>
      </c>
      <c r="N13884" s="43">
        <v>5.4009546539379469</v>
      </c>
      <c r="O13884" s="43">
        <v>4.2177401865105182</v>
      </c>
      <c r="P13884" s="412"/>
      <c r="Q13884" s="412"/>
      <c r="R13884" s="412">
        <v>1</v>
      </c>
    </row>
    <row r="13885" spans="1:18" ht="12.75" customHeight="1">
      <c r="A13885" s="628" t="s">
        <v>25050</v>
      </c>
      <c r="B13885" s="629"/>
      <c r="C13885" s="629"/>
      <c r="D13885" s="629"/>
      <c r="E13885" s="629"/>
      <c r="F13885" s="629"/>
      <c r="G13885" s="629"/>
      <c r="H13885" s="629"/>
      <c r="I13885" s="629"/>
      <c r="J13885" s="629"/>
      <c r="K13885" s="629"/>
      <c r="L13885" s="629"/>
      <c r="M13885" s="629"/>
      <c r="N13885" s="629"/>
      <c r="O13885" s="629"/>
      <c r="P13885" s="629"/>
      <c r="Q13885" s="629"/>
      <c r="R13885" s="629"/>
    </row>
    <row r="13886" spans="1:18" ht="12.75" customHeight="1">
      <c r="A13886" s="628" t="s">
        <v>25051</v>
      </c>
      <c r="B13886" s="629"/>
      <c r="C13886" s="629"/>
      <c r="D13886" s="629"/>
      <c r="E13886" s="629"/>
      <c r="F13886" s="629"/>
      <c r="G13886" s="629"/>
      <c r="H13886" s="629"/>
      <c r="I13886" s="629"/>
      <c r="J13886" s="629"/>
      <c r="K13886" s="629"/>
      <c r="L13886" s="629"/>
      <c r="M13886" s="629"/>
      <c r="N13886" s="629"/>
      <c r="O13886" s="629"/>
      <c r="P13886" s="629"/>
      <c r="Q13886" s="629"/>
      <c r="R13886" s="629"/>
    </row>
    <row r="13887" spans="1:18" ht="24">
      <c r="A13887" s="408">
        <v>224</v>
      </c>
      <c r="B13887" s="405" t="s">
        <v>25052</v>
      </c>
      <c r="C13887" s="409" t="s">
        <v>25053</v>
      </c>
      <c r="D13887" s="410">
        <v>3666.83</v>
      </c>
      <c r="E13887" s="410">
        <v>1839.2</v>
      </c>
      <c r="F13887" s="410">
        <v>1790.85</v>
      </c>
      <c r="G13887" s="410">
        <v>36.78</v>
      </c>
      <c r="H13887" s="411">
        <v>30740.11</v>
      </c>
      <c r="I13887" s="411">
        <v>21151.68</v>
      </c>
      <c r="J13887" s="411">
        <v>9165.4599999999991</v>
      </c>
      <c r="K13887" s="411">
        <v>422.97</v>
      </c>
      <c r="L13887" s="43">
        <v>8.383292926042385</v>
      </c>
      <c r="M13887" s="43">
        <v>11.500478468899521</v>
      </c>
      <c r="N13887" s="43">
        <v>5.1179384091353262</v>
      </c>
      <c r="O13887" s="43">
        <v>11.5</v>
      </c>
      <c r="P13887" s="412"/>
      <c r="Q13887" s="412"/>
      <c r="R13887" s="412">
        <v>1</v>
      </c>
    </row>
    <row r="13888" spans="1:18" ht="12.75" customHeight="1">
      <c r="A13888" s="628" t="s">
        <v>25054</v>
      </c>
      <c r="B13888" s="629"/>
      <c r="C13888" s="629"/>
      <c r="D13888" s="629"/>
      <c r="E13888" s="629"/>
      <c r="F13888" s="629"/>
      <c r="G13888" s="629"/>
      <c r="H13888" s="629"/>
      <c r="I13888" s="629"/>
      <c r="J13888" s="629"/>
      <c r="K13888" s="629"/>
      <c r="L13888" s="629"/>
      <c r="M13888" s="629"/>
      <c r="N13888" s="629"/>
      <c r="O13888" s="629"/>
      <c r="P13888" s="629"/>
      <c r="Q13888" s="629"/>
      <c r="R13888" s="629"/>
    </row>
    <row r="13889" spans="1:18" ht="24">
      <c r="A13889" s="408">
        <v>225</v>
      </c>
      <c r="B13889" s="405" t="s">
        <v>25055</v>
      </c>
      <c r="C13889" s="409" t="s">
        <v>25056</v>
      </c>
      <c r="D13889" s="410">
        <v>891.88</v>
      </c>
      <c r="E13889" s="410">
        <v>492.18</v>
      </c>
      <c r="F13889" s="410">
        <v>260.8</v>
      </c>
      <c r="G13889" s="410">
        <v>138.9</v>
      </c>
      <c r="H13889" s="411">
        <v>7649.75</v>
      </c>
      <c r="I13889" s="411">
        <v>5660.28</v>
      </c>
      <c r="J13889" s="411">
        <v>1399.49</v>
      </c>
      <c r="K13889" s="411">
        <v>589.98</v>
      </c>
      <c r="L13889" s="43">
        <v>8.5771067856662331</v>
      </c>
      <c r="M13889" s="43">
        <v>11.500426673168352</v>
      </c>
      <c r="N13889" s="43">
        <v>5.36614263803681</v>
      </c>
      <c r="O13889" s="43">
        <v>4.2475161987041039</v>
      </c>
      <c r="P13889" s="412"/>
      <c r="Q13889" s="412"/>
      <c r="R13889" s="412">
        <v>2</v>
      </c>
    </row>
    <row r="13890" spans="1:18" ht="12.75" customHeight="1">
      <c r="A13890" s="628" t="s">
        <v>25057</v>
      </c>
      <c r="B13890" s="629"/>
      <c r="C13890" s="629"/>
      <c r="D13890" s="629"/>
      <c r="E13890" s="629"/>
      <c r="F13890" s="629"/>
      <c r="G13890" s="629"/>
      <c r="H13890" s="629"/>
      <c r="I13890" s="629"/>
      <c r="J13890" s="629"/>
      <c r="K13890" s="629"/>
      <c r="L13890" s="629"/>
      <c r="M13890" s="629"/>
      <c r="N13890" s="629"/>
      <c r="O13890" s="629"/>
      <c r="P13890" s="629"/>
      <c r="Q13890" s="629"/>
      <c r="R13890" s="629"/>
    </row>
    <row r="13891" spans="1:18" ht="12.75" customHeight="1">
      <c r="A13891" s="628" t="s">
        <v>25058</v>
      </c>
      <c r="B13891" s="629"/>
      <c r="C13891" s="629"/>
      <c r="D13891" s="629"/>
      <c r="E13891" s="629"/>
      <c r="F13891" s="629"/>
      <c r="G13891" s="629"/>
      <c r="H13891" s="629"/>
      <c r="I13891" s="629"/>
      <c r="J13891" s="629"/>
      <c r="K13891" s="629"/>
      <c r="L13891" s="629"/>
      <c r="M13891" s="629"/>
      <c r="N13891" s="629"/>
      <c r="O13891" s="629"/>
      <c r="P13891" s="629"/>
      <c r="Q13891" s="629"/>
      <c r="R13891" s="629"/>
    </row>
    <row r="13892" spans="1:18" ht="24">
      <c r="A13892" s="408">
        <v>226</v>
      </c>
      <c r="B13892" s="405" t="s">
        <v>25059</v>
      </c>
      <c r="C13892" s="409" t="s">
        <v>25060</v>
      </c>
      <c r="D13892" s="410">
        <v>355.05</v>
      </c>
      <c r="E13892" s="410">
        <v>185.76</v>
      </c>
      <c r="F13892" s="410">
        <v>108.21</v>
      </c>
      <c r="G13892" s="410">
        <v>61.08</v>
      </c>
      <c r="H13892" s="411">
        <v>2974.08</v>
      </c>
      <c r="I13892" s="411">
        <v>2136.2399999999998</v>
      </c>
      <c r="J13892" s="411">
        <v>583.14</v>
      </c>
      <c r="K13892" s="411">
        <v>254.7</v>
      </c>
      <c r="L13892" s="43">
        <v>8.3765103506548364</v>
      </c>
      <c r="M13892" s="43">
        <v>11.5</v>
      </c>
      <c r="N13892" s="43">
        <v>5.3889658996395902</v>
      </c>
      <c r="O13892" s="43">
        <v>4.1699410609037324</v>
      </c>
      <c r="P13892" s="412"/>
      <c r="Q13892" s="412"/>
      <c r="R13892" s="412">
        <v>1</v>
      </c>
    </row>
    <row r="13893" spans="1:18" ht="24">
      <c r="A13893" s="408">
        <v>227</v>
      </c>
      <c r="B13893" s="405" t="s">
        <v>25061</v>
      </c>
      <c r="C13893" s="409" t="s">
        <v>25062</v>
      </c>
      <c r="D13893" s="410">
        <v>785.18</v>
      </c>
      <c r="E13893" s="410">
        <v>467.32</v>
      </c>
      <c r="F13893" s="410">
        <v>308.51</v>
      </c>
      <c r="G13893" s="410">
        <v>9.35</v>
      </c>
      <c r="H13893" s="411">
        <v>7131.89</v>
      </c>
      <c r="I13893" s="411">
        <v>5374.42</v>
      </c>
      <c r="J13893" s="411">
        <v>1649.94</v>
      </c>
      <c r="K13893" s="411">
        <v>107.53</v>
      </c>
      <c r="L13893" s="43">
        <v>9.0831274357472189</v>
      </c>
      <c r="M13893" s="43">
        <v>11.500513566720876</v>
      </c>
      <c r="N13893" s="43">
        <v>5.3480924443291951</v>
      </c>
      <c r="O13893" s="43">
        <v>11.50053475935829</v>
      </c>
      <c r="P13893" s="412"/>
      <c r="Q13893" s="412"/>
      <c r="R13893" s="412">
        <v>1</v>
      </c>
    </row>
    <row r="13894" spans="1:18" ht="12.75" customHeight="1">
      <c r="A13894" s="628" t="s">
        <v>25063</v>
      </c>
      <c r="B13894" s="629"/>
      <c r="C13894" s="629"/>
      <c r="D13894" s="629"/>
      <c r="E13894" s="629"/>
      <c r="F13894" s="629"/>
      <c r="G13894" s="629"/>
      <c r="H13894" s="629"/>
      <c r="I13894" s="629"/>
      <c r="J13894" s="629"/>
      <c r="K13894" s="629"/>
      <c r="L13894" s="629"/>
      <c r="M13894" s="629"/>
      <c r="N13894" s="629"/>
      <c r="O13894" s="629"/>
      <c r="P13894" s="629"/>
      <c r="Q13894" s="629"/>
      <c r="R13894" s="629"/>
    </row>
    <row r="13895" spans="1:18" ht="12.75" customHeight="1">
      <c r="A13895" s="628" t="s">
        <v>25043</v>
      </c>
      <c r="B13895" s="629"/>
      <c r="C13895" s="629"/>
      <c r="D13895" s="629"/>
      <c r="E13895" s="629"/>
      <c r="F13895" s="629"/>
      <c r="G13895" s="629"/>
      <c r="H13895" s="629"/>
      <c r="I13895" s="629"/>
      <c r="J13895" s="629"/>
      <c r="K13895" s="629"/>
      <c r="L13895" s="629"/>
      <c r="M13895" s="629"/>
      <c r="N13895" s="629"/>
      <c r="O13895" s="629"/>
      <c r="P13895" s="629"/>
      <c r="Q13895" s="629"/>
      <c r="R13895" s="629"/>
    </row>
    <row r="13896" spans="1:18" ht="24">
      <c r="A13896" s="408">
        <v>228</v>
      </c>
      <c r="B13896" s="405" t="s">
        <v>25064</v>
      </c>
      <c r="C13896" s="409" t="s">
        <v>25065</v>
      </c>
      <c r="D13896" s="410">
        <v>4545.8999999999996</v>
      </c>
      <c r="E13896" s="410">
        <v>2816.73</v>
      </c>
      <c r="F13896" s="410">
        <v>1661.69</v>
      </c>
      <c r="G13896" s="410">
        <v>67.48</v>
      </c>
      <c r="H13896" s="411">
        <v>41430.94</v>
      </c>
      <c r="I13896" s="411">
        <v>32393.71</v>
      </c>
      <c r="J13896" s="411">
        <v>8291.69</v>
      </c>
      <c r="K13896" s="411">
        <v>745.54</v>
      </c>
      <c r="L13896" s="43">
        <v>9.1139136364636286</v>
      </c>
      <c r="M13896" s="43">
        <v>11.50046685340803</v>
      </c>
      <c r="N13896" s="43">
        <v>4.9899138828542027</v>
      </c>
      <c r="O13896" s="43">
        <v>11.048310610551273</v>
      </c>
      <c r="P13896" s="412"/>
      <c r="Q13896" s="412"/>
      <c r="R13896" s="412">
        <v>1</v>
      </c>
    </row>
    <row r="13897" spans="1:18" ht="24">
      <c r="A13897" s="413">
        <v>229</v>
      </c>
      <c r="B13897" s="414" t="s">
        <v>25066</v>
      </c>
      <c r="C13897" s="415" t="s">
        <v>25067</v>
      </c>
      <c r="D13897" s="416">
        <v>3368.62</v>
      </c>
      <c r="E13897" s="416">
        <v>2016.24</v>
      </c>
      <c r="F13897" s="416">
        <v>1300.9100000000001</v>
      </c>
      <c r="G13897" s="416">
        <v>51.47</v>
      </c>
      <c r="H13897" s="417">
        <v>30635.63</v>
      </c>
      <c r="I13897" s="417">
        <v>23186.76</v>
      </c>
      <c r="J13897" s="417">
        <v>6887.45</v>
      </c>
      <c r="K13897" s="417">
        <v>561.41999999999996</v>
      </c>
      <c r="L13897" s="611">
        <v>9.0944155173335073</v>
      </c>
      <c r="M13897" s="611">
        <v>11.5</v>
      </c>
      <c r="N13897" s="611">
        <v>5.294332428838274</v>
      </c>
      <c r="O13897" s="611">
        <v>10.907713231008353</v>
      </c>
      <c r="P13897" s="418"/>
      <c r="Q13897" s="418"/>
      <c r="R13897" s="418">
        <v>1</v>
      </c>
    </row>
    <row r="13898" spans="1:18" ht="12.75" customHeight="1">
      <c r="A13898" s="630" t="s">
        <v>25068</v>
      </c>
      <c r="B13898" s="631"/>
      <c r="C13898" s="631"/>
      <c r="D13898" s="631"/>
      <c r="E13898" s="631"/>
      <c r="F13898" s="631"/>
      <c r="G13898" s="631"/>
      <c r="H13898" s="631"/>
      <c r="I13898" s="631"/>
      <c r="J13898" s="631"/>
      <c r="K13898" s="631"/>
      <c r="L13898" s="631"/>
      <c r="M13898" s="631"/>
      <c r="N13898" s="631"/>
      <c r="O13898" s="631"/>
      <c r="P13898" s="631"/>
      <c r="Q13898" s="631"/>
      <c r="R13898" s="631"/>
    </row>
    <row r="13899" spans="1:18" ht="12.75" customHeight="1">
      <c r="A13899" s="628" t="s">
        <v>25069</v>
      </c>
      <c r="B13899" s="629"/>
      <c r="C13899" s="629"/>
      <c r="D13899" s="629"/>
      <c r="E13899" s="629"/>
      <c r="F13899" s="629"/>
      <c r="G13899" s="629"/>
      <c r="H13899" s="629"/>
      <c r="I13899" s="629"/>
      <c r="J13899" s="629"/>
      <c r="K13899" s="629"/>
      <c r="L13899" s="629"/>
      <c r="M13899" s="629"/>
      <c r="N13899" s="629"/>
      <c r="O13899" s="629"/>
      <c r="P13899" s="629"/>
      <c r="Q13899" s="629"/>
      <c r="R13899" s="629"/>
    </row>
    <row r="13900" spans="1:18" ht="12.75" customHeight="1">
      <c r="A13900" s="628" t="s">
        <v>25070</v>
      </c>
      <c r="B13900" s="629"/>
      <c r="C13900" s="629"/>
      <c r="D13900" s="629"/>
      <c r="E13900" s="629"/>
      <c r="F13900" s="629"/>
      <c r="G13900" s="629"/>
      <c r="H13900" s="629"/>
      <c r="I13900" s="629"/>
      <c r="J13900" s="629"/>
      <c r="K13900" s="629"/>
      <c r="L13900" s="629"/>
      <c r="M13900" s="629"/>
      <c r="N13900" s="629"/>
      <c r="O13900" s="629"/>
      <c r="P13900" s="629"/>
      <c r="Q13900" s="629"/>
      <c r="R13900" s="629"/>
    </row>
    <row r="13901" spans="1:18" ht="24">
      <c r="A13901" s="408">
        <v>230</v>
      </c>
      <c r="B13901" s="405" t="s">
        <v>25071</v>
      </c>
      <c r="C13901" s="409" t="s">
        <v>25072</v>
      </c>
      <c r="D13901" s="410">
        <v>891.12</v>
      </c>
      <c r="E13901" s="410">
        <v>644.98</v>
      </c>
      <c r="F13901" s="410">
        <v>228.72</v>
      </c>
      <c r="G13901" s="410">
        <v>17.420000000000002</v>
      </c>
      <c r="H13901" s="411">
        <v>8805.39</v>
      </c>
      <c r="I13901" s="411">
        <v>7417.27</v>
      </c>
      <c r="J13901" s="411">
        <v>1200.1400000000001</v>
      </c>
      <c r="K13901" s="411">
        <v>187.98</v>
      </c>
      <c r="L13901" s="43">
        <v>9.8812617829248577</v>
      </c>
      <c r="M13901" s="43">
        <v>11.5</v>
      </c>
      <c r="N13901" s="43">
        <v>5.2472018188177687</v>
      </c>
      <c r="O13901" s="43">
        <v>10.791044776119401</v>
      </c>
      <c r="P13901" s="412"/>
      <c r="Q13901" s="412"/>
      <c r="R13901" s="412">
        <v>1</v>
      </c>
    </row>
    <row r="13902" spans="1:18" ht="12.75" customHeight="1">
      <c r="A13902" s="628" t="s">
        <v>25073</v>
      </c>
      <c r="B13902" s="629"/>
      <c r="C13902" s="629"/>
      <c r="D13902" s="629"/>
      <c r="E13902" s="629"/>
      <c r="F13902" s="629"/>
      <c r="G13902" s="629"/>
      <c r="H13902" s="629"/>
      <c r="I13902" s="629"/>
      <c r="J13902" s="629"/>
      <c r="K13902" s="629"/>
      <c r="L13902" s="629"/>
      <c r="M13902" s="629"/>
      <c r="N13902" s="629"/>
      <c r="O13902" s="629"/>
      <c r="P13902" s="629"/>
      <c r="Q13902" s="629"/>
      <c r="R13902" s="629"/>
    </row>
    <row r="13903" spans="1:18" ht="12.75" customHeight="1">
      <c r="A13903" s="628" t="s">
        <v>25074</v>
      </c>
      <c r="B13903" s="629"/>
      <c r="C13903" s="629"/>
      <c r="D13903" s="629"/>
      <c r="E13903" s="629"/>
      <c r="F13903" s="629"/>
      <c r="G13903" s="629"/>
      <c r="H13903" s="629"/>
      <c r="I13903" s="629"/>
      <c r="J13903" s="629"/>
      <c r="K13903" s="629"/>
      <c r="L13903" s="629"/>
      <c r="M13903" s="629"/>
      <c r="N13903" s="629"/>
      <c r="O13903" s="629"/>
      <c r="P13903" s="629"/>
      <c r="Q13903" s="629"/>
      <c r="R13903" s="629"/>
    </row>
    <row r="13904" spans="1:18" ht="24">
      <c r="A13904" s="408">
        <v>231</v>
      </c>
      <c r="B13904" s="405" t="s">
        <v>25075</v>
      </c>
      <c r="C13904" s="409" t="s">
        <v>25076</v>
      </c>
      <c r="D13904" s="410">
        <v>328.89</v>
      </c>
      <c r="E13904" s="410">
        <v>168.15</v>
      </c>
      <c r="F13904" s="410">
        <v>95.86</v>
      </c>
      <c r="G13904" s="410">
        <v>64.88</v>
      </c>
      <c r="H13904" s="411">
        <v>2709</v>
      </c>
      <c r="I13904" s="411">
        <v>1933.77</v>
      </c>
      <c r="J13904" s="411">
        <v>503.11</v>
      </c>
      <c r="K13904" s="411">
        <v>272.12</v>
      </c>
      <c r="L13904" s="43">
        <v>8.2367964973091308</v>
      </c>
      <c r="M13904" s="43">
        <v>11.500267618198038</v>
      </c>
      <c r="N13904" s="43">
        <v>5.2483830586271649</v>
      </c>
      <c r="O13904" s="43">
        <v>4.194204685573367</v>
      </c>
      <c r="P13904" s="412"/>
      <c r="Q13904" s="412"/>
      <c r="R13904" s="412">
        <v>1</v>
      </c>
    </row>
    <row r="13905" spans="1:18" ht="12.75" customHeight="1">
      <c r="A13905" s="628" t="s">
        <v>25077</v>
      </c>
      <c r="B13905" s="629"/>
      <c r="C13905" s="629"/>
      <c r="D13905" s="629"/>
      <c r="E13905" s="629"/>
      <c r="F13905" s="629"/>
      <c r="G13905" s="629"/>
      <c r="H13905" s="629"/>
      <c r="I13905" s="629"/>
      <c r="J13905" s="629"/>
      <c r="K13905" s="629"/>
      <c r="L13905" s="629"/>
      <c r="M13905" s="629"/>
      <c r="N13905" s="629"/>
      <c r="O13905" s="629"/>
      <c r="P13905" s="629"/>
      <c r="Q13905" s="629"/>
      <c r="R13905" s="629"/>
    </row>
    <row r="13906" spans="1:18" ht="24">
      <c r="A13906" s="408">
        <v>232</v>
      </c>
      <c r="B13906" s="405" t="s">
        <v>25078</v>
      </c>
      <c r="C13906" s="409" t="s">
        <v>25079</v>
      </c>
      <c r="D13906" s="410">
        <v>2643.03</v>
      </c>
      <c r="E13906" s="410">
        <v>1073.28</v>
      </c>
      <c r="F13906" s="410">
        <v>1111.29</v>
      </c>
      <c r="G13906" s="410">
        <v>458.46</v>
      </c>
      <c r="H13906" s="411">
        <v>20867.310000000001</v>
      </c>
      <c r="I13906" s="411">
        <v>12342.72</v>
      </c>
      <c r="J13906" s="411">
        <v>5694.3</v>
      </c>
      <c r="K13906" s="411">
        <v>2830.29</v>
      </c>
      <c r="L13906" s="43">
        <v>7.8952225286886639</v>
      </c>
      <c r="M13906" s="43">
        <v>11.5</v>
      </c>
      <c r="N13906" s="43">
        <v>5.1240450287503716</v>
      </c>
      <c r="O13906" s="43">
        <v>6.1734720586310692</v>
      </c>
      <c r="P13906" s="412"/>
      <c r="Q13906" s="412"/>
      <c r="R13906" s="412">
        <v>2</v>
      </c>
    </row>
    <row r="13907" spans="1:18" ht="24">
      <c r="A13907" s="408">
        <v>233</v>
      </c>
      <c r="B13907" s="405" t="s">
        <v>25080</v>
      </c>
      <c r="C13907" s="409" t="s">
        <v>25081</v>
      </c>
      <c r="D13907" s="410">
        <v>1817.49</v>
      </c>
      <c r="E13907" s="410">
        <v>724.19</v>
      </c>
      <c r="F13907" s="410">
        <v>778.47</v>
      </c>
      <c r="G13907" s="410">
        <v>314.83</v>
      </c>
      <c r="H13907" s="411">
        <v>14281.95</v>
      </c>
      <c r="I13907" s="411">
        <v>8328.4699999999993</v>
      </c>
      <c r="J13907" s="411">
        <v>3995.41</v>
      </c>
      <c r="K13907" s="411">
        <v>1958.07</v>
      </c>
      <c r="L13907" s="43">
        <v>7.8580624927785028</v>
      </c>
      <c r="M13907" s="43">
        <v>11.500393543130944</v>
      </c>
      <c r="N13907" s="43">
        <v>5.1323878890644465</v>
      </c>
      <c r="O13907" s="43">
        <v>6.2194517676206207</v>
      </c>
      <c r="P13907" s="412"/>
      <c r="Q13907" s="412"/>
      <c r="R13907" s="412">
        <v>2</v>
      </c>
    </row>
    <row r="13908" spans="1:18" ht="12.75" customHeight="1">
      <c r="A13908" s="628" t="s">
        <v>25082</v>
      </c>
      <c r="B13908" s="629"/>
      <c r="C13908" s="629"/>
      <c r="D13908" s="629"/>
      <c r="E13908" s="629"/>
      <c r="F13908" s="629"/>
      <c r="G13908" s="629"/>
      <c r="H13908" s="629"/>
      <c r="I13908" s="629"/>
      <c r="J13908" s="629"/>
      <c r="K13908" s="629"/>
      <c r="L13908" s="629"/>
      <c r="M13908" s="629"/>
      <c r="N13908" s="629"/>
      <c r="O13908" s="629"/>
      <c r="P13908" s="629"/>
      <c r="Q13908" s="629"/>
      <c r="R13908" s="629"/>
    </row>
    <row r="13909" spans="1:18" ht="12.75" customHeight="1">
      <c r="A13909" s="628" t="s">
        <v>25083</v>
      </c>
      <c r="B13909" s="629"/>
      <c r="C13909" s="629"/>
      <c r="D13909" s="629"/>
      <c r="E13909" s="629"/>
      <c r="F13909" s="629"/>
      <c r="G13909" s="629"/>
      <c r="H13909" s="629"/>
      <c r="I13909" s="629"/>
      <c r="J13909" s="629"/>
      <c r="K13909" s="629"/>
      <c r="L13909" s="629"/>
      <c r="M13909" s="629"/>
      <c r="N13909" s="629"/>
      <c r="O13909" s="629"/>
      <c r="P13909" s="629"/>
      <c r="Q13909" s="629"/>
      <c r="R13909" s="629"/>
    </row>
    <row r="13910" spans="1:18" ht="36">
      <c r="A13910" s="408">
        <v>234</v>
      </c>
      <c r="B13910" s="405" t="s">
        <v>25084</v>
      </c>
      <c r="C13910" s="409" t="s">
        <v>25085</v>
      </c>
      <c r="D13910" s="410">
        <v>2111.4</v>
      </c>
      <c r="E13910" s="410">
        <v>1285.2</v>
      </c>
      <c r="F13910" s="410">
        <v>532.37</v>
      </c>
      <c r="G13910" s="410">
        <v>293.83</v>
      </c>
      <c r="H13910" s="411">
        <v>18906.349999999999</v>
      </c>
      <c r="I13910" s="411">
        <v>14780.4</v>
      </c>
      <c r="J13910" s="411">
        <v>2647.2</v>
      </c>
      <c r="K13910" s="411">
        <v>1478.75</v>
      </c>
      <c r="L13910" s="43">
        <v>8.9544141328028779</v>
      </c>
      <c r="M13910" s="43">
        <v>11.50046685340803</v>
      </c>
      <c r="N13910" s="43">
        <v>4.972481544790277</v>
      </c>
      <c r="O13910" s="43">
        <v>5.0326719531702011</v>
      </c>
      <c r="P13910" s="412"/>
      <c r="Q13910" s="412"/>
      <c r="R13910" s="412">
        <v>1</v>
      </c>
    </row>
    <row r="13911" spans="1:18" ht="36">
      <c r="A13911" s="408">
        <v>235</v>
      </c>
      <c r="B13911" s="405" t="s">
        <v>25086</v>
      </c>
      <c r="C13911" s="409" t="s">
        <v>25087</v>
      </c>
      <c r="D13911" s="410">
        <v>2641.36</v>
      </c>
      <c r="E13911" s="410">
        <v>1510.11</v>
      </c>
      <c r="F13911" s="410">
        <v>702.23</v>
      </c>
      <c r="G13911" s="410">
        <v>429.02</v>
      </c>
      <c r="H13911" s="411">
        <v>22960.81</v>
      </c>
      <c r="I13911" s="411">
        <v>17366.97</v>
      </c>
      <c r="J13911" s="411">
        <v>3486.44</v>
      </c>
      <c r="K13911" s="411">
        <v>2107.4</v>
      </c>
      <c r="L13911" s="43">
        <v>8.6927984068813036</v>
      </c>
      <c r="M13911" s="43">
        <v>11.500466853408032</v>
      </c>
      <c r="N13911" s="43">
        <v>4.9648120986001736</v>
      </c>
      <c r="O13911" s="43">
        <v>4.9121253088434109</v>
      </c>
      <c r="P13911" s="412"/>
      <c r="Q13911" s="412"/>
      <c r="R13911" s="412">
        <v>1</v>
      </c>
    </row>
    <row r="13912" spans="1:18" ht="12.75" customHeight="1">
      <c r="A13912" s="628" t="s">
        <v>25088</v>
      </c>
      <c r="B13912" s="629"/>
      <c r="C13912" s="629"/>
      <c r="D13912" s="629"/>
      <c r="E13912" s="629"/>
      <c r="F13912" s="629"/>
      <c r="G13912" s="629"/>
      <c r="H13912" s="629"/>
      <c r="I13912" s="629"/>
      <c r="J13912" s="629"/>
      <c r="K13912" s="629"/>
      <c r="L13912" s="629"/>
      <c r="M13912" s="629"/>
      <c r="N13912" s="629"/>
      <c r="O13912" s="629"/>
      <c r="P13912" s="629"/>
      <c r="Q13912" s="629"/>
      <c r="R13912" s="629"/>
    </row>
    <row r="13913" spans="1:18" ht="24">
      <c r="A13913" s="408">
        <v>236</v>
      </c>
      <c r="B13913" s="405" t="s">
        <v>25089</v>
      </c>
      <c r="C13913" s="409" t="s">
        <v>25090</v>
      </c>
      <c r="D13913" s="410">
        <v>606.65</v>
      </c>
      <c r="E13913" s="410">
        <v>511.65</v>
      </c>
      <c r="F13913" s="410">
        <v>84.51</v>
      </c>
      <c r="G13913" s="410">
        <v>10.49</v>
      </c>
      <c r="H13913" s="411">
        <v>6434.39</v>
      </c>
      <c r="I13913" s="411">
        <v>5883.95</v>
      </c>
      <c r="J13913" s="411">
        <v>430.5</v>
      </c>
      <c r="K13913" s="411">
        <v>119.94</v>
      </c>
      <c r="L13913" s="43">
        <v>10.60642874804253</v>
      </c>
      <c r="M13913" s="43">
        <v>11.499951138473566</v>
      </c>
      <c r="N13913" s="43">
        <v>5.0940717074902375</v>
      </c>
      <c r="O13913" s="43">
        <v>11.433746425166825</v>
      </c>
      <c r="P13913" s="412"/>
      <c r="Q13913" s="412"/>
      <c r="R13913" s="412">
        <v>2</v>
      </c>
    </row>
    <row r="13914" spans="1:18" ht="24">
      <c r="A13914" s="408">
        <v>237</v>
      </c>
      <c r="B13914" s="405" t="s">
        <v>25091</v>
      </c>
      <c r="C13914" s="409" t="s">
        <v>25092</v>
      </c>
      <c r="D13914" s="410">
        <v>469.45</v>
      </c>
      <c r="E13914" s="410">
        <v>381.76</v>
      </c>
      <c r="F13914" s="410">
        <v>76.510000000000005</v>
      </c>
      <c r="G13914" s="410">
        <v>11.18</v>
      </c>
      <c r="H13914" s="411">
        <v>4908.91</v>
      </c>
      <c r="I13914" s="411">
        <v>4390.37</v>
      </c>
      <c r="J13914" s="411">
        <v>399.69</v>
      </c>
      <c r="K13914" s="411">
        <v>118.85</v>
      </c>
      <c r="L13914" s="43">
        <v>10.456725955905847</v>
      </c>
      <c r="M13914" s="43">
        <v>11.50034052808047</v>
      </c>
      <c r="N13914" s="43">
        <v>5.2240230035289503</v>
      </c>
      <c r="O13914" s="43">
        <v>10.630590339892665</v>
      </c>
      <c r="P13914" s="412"/>
      <c r="Q13914" s="412"/>
      <c r="R13914" s="412">
        <v>2</v>
      </c>
    </row>
    <row r="13915" spans="1:18" ht="24">
      <c r="A13915" s="408">
        <v>238</v>
      </c>
      <c r="B13915" s="405" t="s">
        <v>25093</v>
      </c>
      <c r="C13915" s="409" t="s">
        <v>25094</v>
      </c>
      <c r="D13915" s="410">
        <v>503.92</v>
      </c>
      <c r="E13915" s="410">
        <v>402.16</v>
      </c>
      <c r="F13915" s="410">
        <v>90.15</v>
      </c>
      <c r="G13915" s="410">
        <v>11.61</v>
      </c>
      <c r="H13915" s="411">
        <v>5220.3999999999996</v>
      </c>
      <c r="I13915" s="411">
        <v>4624.8900000000003</v>
      </c>
      <c r="J13915" s="411">
        <v>471.76</v>
      </c>
      <c r="K13915" s="411">
        <v>123.75</v>
      </c>
      <c r="L13915" s="43">
        <v>10.359580885854896</v>
      </c>
      <c r="M13915" s="43">
        <v>11.500124328625423</v>
      </c>
      <c r="N13915" s="43">
        <v>5.2330560177481971</v>
      </c>
      <c r="O13915" s="43">
        <v>10.658914728682172</v>
      </c>
      <c r="P13915" s="412"/>
      <c r="Q13915" s="412"/>
      <c r="R13915" s="412">
        <v>2</v>
      </c>
    </row>
    <row r="13916" spans="1:18" ht="12.75" customHeight="1">
      <c r="A13916" s="628" t="s">
        <v>25095</v>
      </c>
      <c r="B13916" s="629"/>
      <c r="C13916" s="629"/>
      <c r="D13916" s="629"/>
      <c r="E13916" s="629"/>
      <c r="F13916" s="629"/>
      <c r="G13916" s="629"/>
      <c r="H13916" s="629"/>
      <c r="I13916" s="629"/>
      <c r="J13916" s="629"/>
      <c r="K13916" s="629"/>
      <c r="L13916" s="629"/>
      <c r="M13916" s="629"/>
      <c r="N13916" s="629"/>
      <c r="O13916" s="629"/>
      <c r="P13916" s="629"/>
      <c r="Q13916" s="629"/>
      <c r="R13916" s="629"/>
    </row>
    <row r="13917" spans="1:18" ht="12.75" customHeight="1">
      <c r="A13917" s="628" t="s">
        <v>25096</v>
      </c>
      <c r="B13917" s="629"/>
      <c r="C13917" s="629"/>
      <c r="D13917" s="629"/>
      <c r="E13917" s="629"/>
      <c r="F13917" s="629"/>
      <c r="G13917" s="629"/>
      <c r="H13917" s="629"/>
      <c r="I13917" s="629"/>
      <c r="J13917" s="629"/>
      <c r="K13917" s="629"/>
      <c r="L13917" s="629"/>
      <c r="M13917" s="629"/>
      <c r="N13917" s="629"/>
      <c r="O13917" s="629"/>
      <c r="P13917" s="629"/>
      <c r="Q13917" s="629"/>
      <c r="R13917" s="629"/>
    </row>
    <row r="13918" spans="1:18" ht="24">
      <c r="A13918" s="408">
        <v>239</v>
      </c>
      <c r="B13918" s="405" t="s">
        <v>25097</v>
      </c>
      <c r="C13918" s="409" t="s">
        <v>25098</v>
      </c>
      <c r="D13918" s="410">
        <v>4295.62</v>
      </c>
      <c r="E13918" s="410">
        <v>2402.4299999999998</v>
      </c>
      <c r="F13918" s="410">
        <v>1247.1600000000001</v>
      </c>
      <c r="G13918" s="410">
        <v>646.03</v>
      </c>
      <c r="H13918" s="411">
        <v>37059.910000000003</v>
      </c>
      <c r="I13918" s="411">
        <v>27629.040000000001</v>
      </c>
      <c r="J13918" s="411">
        <v>6343.99</v>
      </c>
      <c r="K13918" s="411">
        <v>3086.88</v>
      </c>
      <c r="L13918" s="43">
        <v>8.6273716017711077</v>
      </c>
      <c r="M13918" s="43">
        <v>11.500455788514131</v>
      </c>
      <c r="N13918" s="43">
        <v>5.0867490939414344</v>
      </c>
      <c r="O13918" s="43">
        <v>4.7782301131526399</v>
      </c>
      <c r="P13918" s="412"/>
      <c r="Q13918" s="412"/>
      <c r="R13918" s="412">
        <v>1</v>
      </c>
    </row>
    <row r="13919" spans="1:18" ht="24">
      <c r="A13919" s="408">
        <v>240</v>
      </c>
      <c r="B13919" s="405" t="s">
        <v>25099</v>
      </c>
      <c r="C13919" s="409" t="s">
        <v>25100</v>
      </c>
      <c r="D13919" s="410">
        <v>8955.7000000000007</v>
      </c>
      <c r="E13919" s="410">
        <v>5046.2</v>
      </c>
      <c r="F13919" s="410">
        <v>2553.3000000000002</v>
      </c>
      <c r="G13919" s="410">
        <v>1356.2</v>
      </c>
      <c r="H13919" s="411">
        <v>77960.77</v>
      </c>
      <c r="I13919" s="411">
        <v>58033.599999999999</v>
      </c>
      <c r="J13919" s="411">
        <v>13211.47</v>
      </c>
      <c r="K13919" s="411">
        <v>6715.7</v>
      </c>
      <c r="L13919" s="43">
        <v>8.7051564925131473</v>
      </c>
      <c r="M13919" s="43">
        <v>11.500455788514129</v>
      </c>
      <c r="N13919" s="43">
        <v>5.1742725100849878</v>
      </c>
      <c r="O13919" s="43">
        <v>4.9518507594750032</v>
      </c>
      <c r="P13919" s="412"/>
      <c r="Q13919" s="412"/>
      <c r="R13919" s="412">
        <v>1</v>
      </c>
    </row>
    <row r="13920" spans="1:18" ht="12.75" customHeight="1">
      <c r="A13920" s="628" t="s">
        <v>25101</v>
      </c>
      <c r="B13920" s="629"/>
      <c r="C13920" s="629"/>
      <c r="D13920" s="629"/>
      <c r="E13920" s="629"/>
      <c r="F13920" s="629"/>
      <c r="G13920" s="629"/>
      <c r="H13920" s="629"/>
      <c r="I13920" s="629"/>
      <c r="J13920" s="629"/>
      <c r="K13920" s="629"/>
      <c r="L13920" s="629"/>
      <c r="M13920" s="629"/>
      <c r="N13920" s="629"/>
      <c r="O13920" s="629"/>
      <c r="P13920" s="629"/>
      <c r="Q13920" s="629"/>
      <c r="R13920" s="629"/>
    </row>
    <row r="13921" spans="1:18" ht="36">
      <c r="A13921" s="408">
        <v>241</v>
      </c>
      <c r="B13921" s="405" t="s">
        <v>25102</v>
      </c>
      <c r="C13921" s="409" t="s">
        <v>25103</v>
      </c>
      <c r="D13921" s="410">
        <v>586.09</v>
      </c>
      <c r="E13921" s="410">
        <v>399.19</v>
      </c>
      <c r="F13921" s="410">
        <v>177.42</v>
      </c>
      <c r="G13921" s="410">
        <v>9.48</v>
      </c>
      <c r="H13921" s="411">
        <v>5649.79</v>
      </c>
      <c r="I13921" s="411">
        <v>4590.88</v>
      </c>
      <c r="J13921" s="411">
        <v>954.03</v>
      </c>
      <c r="K13921" s="411">
        <v>104.88</v>
      </c>
      <c r="L13921" s="43">
        <v>9.6397993482229687</v>
      </c>
      <c r="M13921" s="43">
        <v>11.500488489190611</v>
      </c>
      <c r="N13921" s="43">
        <v>5.3772404463983774</v>
      </c>
      <c r="O13921" s="43">
        <v>11.063291139240505</v>
      </c>
      <c r="P13921" s="412"/>
      <c r="Q13921" s="412"/>
      <c r="R13921" s="412">
        <v>2</v>
      </c>
    </row>
    <row r="13922" spans="1:18" ht="12.75" customHeight="1">
      <c r="A13922" s="628" t="s">
        <v>25104</v>
      </c>
      <c r="B13922" s="629"/>
      <c r="C13922" s="629"/>
      <c r="D13922" s="629"/>
      <c r="E13922" s="629"/>
      <c r="F13922" s="629"/>
      <c r="G13922" s="629"/>
      <c r="H13922" s="629"/>
      <c r="I13922" s="629"/>
      <c r="J13922" s="629"/>
      <c r="K13922" s="629"/>
      <c r="L13922" s="629"/>
      <c r="M13922" s="629"/>
      <c r="N13922" s="629"/>
      <c r="O13922" s="629"/>
      <c r="P13922" s="629"/>
      <c r="Q13922" s="629"/>
      <c r="R13922" s="629"/>
    </row>
    <row r="13923" spans="1:18" ht="12.75" customHeight="1">
      <c r="A13923" s="628" t="s">
        <v>25105</v>
      </c>
      <c r="B13923" s="629"/>
      <c r="C13923" s="629"/>
      <c r="D13923" s="629"/>
      <c r="E13923" s="629"/>
      <c r="F13923" s="629"/>
      <c r="G13923" s="629"/>
      <c r="H13923" s="629"/>
      <c r="I13923" s="629"/>
      <c r="J13923" s="629"/>
      <c r="K13923" s="629"/>
      <c r="L13923" s="629"/>
      <c r="M13923" s="629"/>
      <c r="N13923" s="629"/>
      <c r="O13923" s="629"/>
      <c r="P13923" s="629"/>
      <c r="Q13923" s="629"/>
      <c r="R13923" s="629"/>
    </row>
    <row r="13924" spans="1:18" ht="24">
      <c r="A13924" s="408">
        <v>242</v>
      </c>
      <c r="B13924" s="405" t="s">
        <v>25106</v>
      </c>
      <c r="C13924" s="409" t="s">
        <v>25107</v>
      </c>
      <c r="D13924" s="410">
        <v>15534.54</v>
      </c>
      <c r="E13924" s="410">
        <v>10093.32</v>
      </c>
      <c r="F13924" s="410">
        <v>3929.82</v>
      </c>
      <c r="G13924" s="410">
        <v>1511.4</v>
      </c>
      <c r="H13924" s="411">
        <v>143943.64000000001</v>
      </c>
      <c r="I13924" s="411">
        <v>116073.18</v>
      </c>
      <c r="J13924" s="411">
        <v>19612.39</v>
      </c>
      <c r="K13924" s="411">
        <v>8258.07</v>
      </c>
      <c r="L13924" s="43">
        <v>9.2660381318017784</v>
      </c>
      <c r="M13924" s="43">
        <v>11.5</v>
      </c>
      <c r="N13924" s="43">
        <v>4.9906586052287381</v>
      </c>
      <c r="O13924" s="43">
        <v>5.4638547042477166</v>
      </c>
      <c r="P13924" s="412"/>
      <c r="Q13924" s="412"/>
      <c r="R13924" s="412">
        <v>1</v>
      </c>
    </row>
    <row r="13925" spans="1:18" ht="48">
      <c r="A13925" s="408">
        <v>243</v>
      </c>
      <c r="B13925" s="405" t="s">
        <v>25108</v>
      </c>
      <c r="C13925" s="409" t="s">
        <v>25109</v>
      </c>
      <c r="D13925" s="410">
        <v>945.72</v>
      </c>
      <c r="E13925" s="410">
        <v>640.09</v>
      </c>
      <c r="F13925" s="410">
        <v>290.5</v>
      </c>
      <c r="G13925" s="410">
        <v>15.13</v>
      </c>
      <c r="H13925" s="411">
        <v>9006.9599999999991</v>
      </c>
      <c r="I13925" s="411">
        <v>7361.04</v>
      </c>
      <c r="J13925" s="411">
        <v>1478.31</v>
      </c>
      <c r="K13925" s="411">
        <v>167.61</v>
      </c>
      <c r="L13925" s="43">
        <v>9.5239182844816632</v>
      </c>
      <c r="M13925" s="43">
        <v>11.50000781140152</v>
      </c>
      <c r="N13925" s="43">
        <v>5.0888468158347671</v>
      </c>
      <c r="O13925" s="43">
        <v>11.077990746860543</v>
      </c>
      <c r="P13925" s="412"/>
      <c r="Q13925" s="412"/>
      <c r="R13925" s="412">
        <v>1</v>
      </c>
    </row>
    <row r="13926" spans="1:18" ht="36">
      <c r="A13926" s="408">
        <v>244</v>
      </c>
      <c r="B13926" s="405" t="s">
        <v>25110</v>
      </c>
      <c r="C13926" s="409" t="s">
        <v>25111</v>
      </c>
      <c r="D13926" s="410">
        <v>958.31</v>
      </c>
      <c r="E13926" s="410">
        <v>641.15</v>
      </c>
      <c r="F13926" s="410">
        <v>301.95999999999998</v>
      </c>
      <c r="G13926" s="410">
        <v>15.2</v>
      </c>
      <c r="H13926" s="411">
        <v>9080.56</v>
      </c>
      <c r="I13926" s="411">
        <v>7373.2</v>
      </c>
      <c r="J13926" s="411">
        <v>1539.1</v>
      </c>
      <c r="K13926" s="411">
        <v>168.26</v>
      </c>
      <c r="L13926" s="43">
        <v>9.4755976667257986</v>
      </c>
      <c r="M13926" s="43">
        <v>11.499961007564533</v>
      </c>
      <c r="N13926" s="43">
        <v>5.0970327195655054</v>
      </c>
      <c r="O13926" s="43">
        <v>11.069736842105263</v>
      </c>
      <c r="P13926" s="412"/>
      <c r="Q13926" s="412"/>
      <c r="R13926" s="412">
        <v>1</v>
      </c>
    </row>
    <row r="13927" spans="1:18" ht="36">
      <c r="A13927" s="408">
        <v>245</v>
      </c>
      <c r="B13927" s="405" t="s">
        <v>25112</v>
      </c>
      <c r="C13927" s="409" t="s">
        <v>25113</v>
      </c>
      <c r="D13927" s="410">
        <v>54.53</v>
      </c>
      <c r="E13927" s="410">
        <v>11.53</v>
      </c>
      <c r="F13927" s="410">
        <v>42.77</v>
      </c>
      <c r="G13927" s="410">
        <v>0.23</v>
      </c>
      <c r="H13927" s="411">
        <v>357.73</v>
      </c>
      <c r="I13927" s="411">
        <v>132.62</v>
      </c>
      <c r="J13927" s="411">
        <v>222.46</v>
      </c>
      <c r="K13927" s="411">
        <v>2.65</v>
      </c>
      <c r="L13927" s="43">
        <v>6.5602420685860992</v>
      </c>
      <c r="M13927" s="43">
        <v>11.502168256721596</v>
      </c>
      <c r="N13927" s="43">
        <v>5.201309328968903</v>
      </c>
      <c r="O13927" s="43">
        <v>11.521739130434781</v>
      </c>
      <c r="P13927" s="412"/>
      <c r="Q13927" s="412"/>
      <c r="R13927" s="412">
        <v>1</v>
      </c>
    </row>
    <row r="13928" spans="1:18" ht="60">
      <c r="A13928" s="408">
        <v>246</v>
      </c>
      <c r="B13928" s="405" t="s">
        <v>25114</v>
      </c>
      <c r="C13928" s="409" t="s">
        <v>25115</v>
      </c>
      <c r="D13928" s="410">
        <v>784</v>
      </c>
      <c r="E13928" s="410">
        <v>475.04</v>
      </c>
      <c r="F13928" s="410">
        <v>199.12</v>
      </c>
      <c r="G13928" s="410">
        <v>109.84</v>
      </c>
      <c r="H13928" s="411">
        <v>7007.83</v>
      </c>
      <c r="I13928" s="411">
        <v>5462.98</v>
      </c>
      <c r="J13928" s="411">
        <v>1014.75</v>
      </c>
      <c r="K13928" s="411">
        <v>530.1</v>
      </c>
      <c r="L13928" s="43">
        <v>8.9385586734693874</v>
      </c>
      <c r="M13928" s="43">
        <v>11.500042101717749</v>
      </c>
      <c r="N13928" s="43">
        <v>5.0961731619124144</v>
      </c>
      <c r="O13928" s="43">
        <v>4.8261107064821562</v>
      </c>
      <c r="P13928" s="412"/>
      <c r="Q13928" s="412"/>
      <c r="R13928" s="412">
        <v>1</v>
      </c>
    </row>
    <row r="13929" spans="1:18" ht="48">
      <c r="A13929" s="408">
        <v>247</v>
      </c>
      <c r="B13929" s="405" t="s">
        <v>25116</v>
      </c>
      <c r="C13929" s="409" t="s">
        <v>25117</v>
      </c>
      <c r="D13929" s="410">
        <v>119.41</v>
      </c>
      <c r="E13929" s="410">
        <v>48.09</v>
      </c>
      <c r="F13929" s="410">
        <v>41.68</v>
      </c>
      <c r="G13929" s="410">
        <v>29.64</v>
      </c>
      <c r="H13929" s="411">
        <v>886.86</v>
      </c>
      <c r="I13929" s="411">
        <v>553.03</v>
      </c>
      <c r="J13929" s="411">
        <v>216.83</v>
      </c>
      <c r="K13929" s="411">
        <v>117</v>
      </c>
      <c r="L13929" s="43">
        <v>7.4270161628004354</v>
      </c>
      <c r="M13929" s="43">
        <v>11.499896028280306</v>
      </c>
      <c r="N13929" s="43">
        <v>5.2022552783109406</v>
      </c>
      <c r="O13929" s="43">
        <v>3.9473684210526314</v>
      </c>
      <c r="P13929" s="412"/>
      <c r="Q13929" s="412"/>
      <c r="R13929" s="412">
        <v>1</v>
      </c>
    </row>
    <row r="13930" spans="1:18" ht="48">
      <c r="A13930" s="408">
        <v>248</v>
      </c>
      <c r="B13930" s="405" t="s">
        <v>25118</v>
      </c>
      <c r="C13930" s="409" t="s">
        <v>25119</v>
      </c>
      <c r="D13930" s="410">
        <v>250.26</v>
      </c>
      <c r="E13930" s="410">
        <v>213.3</v>
      </c>
      <c r="F13930" s="410">
        <v>30.91</v>
      </c>
      <c r="G13930" s="410">
        <v>6.05</v>
      </c>
      <c r="H13930" s="411">
        <v>2658.87</v>
      </c>
      <c r="I13930" s="411">
        <v>2453.04</v>
      </c>
      <c r="J13930" s="411">
        <v>141.1</v>
      </c>
      <c r="K13930" s="411">
        <v>64.73</v>
      </c>
      <c r="L13930" s="43">
        <v>10.624430592184128</v>
      </c>
      <c r="M13930" s="43">
        <v>11.50042194092827</v>
      </c>
      <c r="N13930" s="43">
        <v>4.564865739242963</v>
      </c>
      <c r="O13930" s="43">
        <v>10.699173553719008</v>
      </c>
      <c r="P13930" s="412"/>
      <c r="Q13930" s="412"/>
      <c r="R13930" s="412">
        <v>1</v>
      </c>
    </row>
    <row r="13931" spans="1:18" ht="36">
      <c r="A13931" s="408">
        <v>249</v>
      </c>
      <c r="B13931" s="405" t="s">
        <v>25120</v>
      </c>
      <c r="C13931" s="409" t="s">
        <v>25121</v>
      </c>
      <c r="D13931" s="410">
        <v>270.42</v>
      </c>
      <c r="E13931" s="410">
        <v>224.22</v>
      </c>
      <c r="F13931" s="410">
        <v>39.79</v>
      </c>
      <c r="G13931" s="410">
        <v>6.41</v>
      </c>
      <c r="H13931" s="411">
        <v>2831.75</v>
      </c>
      <c r="I13931" s="411">
        <v>2578.5300000000002</v>
      </c>
      <c r="J13931" s="411">
        <v>184.8</v>
      </c>
      <c r="K13931" s="411">
        <v>68.42</v>
      </c>
      <c r="L13931" s="43">
        <v>10.471673692774203</v>
      </c>
      <c r="M13931" s="43">
        <v>11.500000000000002</v>
      </c>
      <c r="N13931" s="43">
        <v>4.6443830108067354</v>
      </c>
      <c r="O13931" s="43">
        <v>10.673946957878314</v>
      </c>
      <c r="P13931" s="412"/>
      <c r="Q13931" s="412"/>
      <c r="R13931" s="412">
        <v>1</v>
      </c>
    </row>
    <row r="13932" spans="1:18" ht="48">
      <c r="A13932" s="408">
        <v>250</v>
      </c>
      <c r="B13932" s="405" t="s">
        <v>25122</v>
      </c>
      <c r="C13932" s="409" t="s">
        <v>25123</v>
      </c>
      <c r="D13932" s="410">
        <v>231.28</v>
      </c>
      <c r="E13932" s="410">
        <v>202.32</v>
      </c>
      <c r="F13932" s="410">
        <v>8.7899999999999991</v>
      </c>
      <c r="G13932" s="410">
        <v>20.170000000000002</v>
      </c>
      <c r="H13932" s="411">
        <v>2561.9499999999998</v>
      </c>
      <c r="I13932" s="411">
        <v>2326.6799999999998</v>
      </c>
      <c r="J13932" s="411">
        <v>47.44</v>
      </c>
      <c r="K13932" s="411">
        <v>187.83</v>
      </c>
      <c r="L13932" s="43">
        <v>11.07726565202352</v>
      </c>
      <c r="M13932" s="43">
        <v>11.5</v>
      </c>
      <c r="N13932" s="43">
        <v>5.3970420932878271</v>
      </c>
      <c r="O13932" s="43">
        <v>9.3123450669310852</v>
      </c>
      <c r="P13932" s="412"/>
      <c r="Q13932" s="412"/>
      <c r="R13932" s="412">
        <v>1</v>
      </c>
    </row>
    <row r="13933" spans="1:18" ht="48">
      <c r="A13933" s="408">
        <v>251</v>
      </c>
      <c r="B13933" s="405" t="s">
        <v>25124</v>
      </c>
      <c r="C13933" s="409" t="s">
        <v>25125</v>
      </c>
      <c r="D13933" s="410">
        <v>746.67</v>
      </c>
      <c r="E13933" s="410">
        <v>427.43</v>
      </c>
      <c r="F13933" s="410">
        <v>213.57</v>
      </c>
      <c r="G13933" s="410">
        <v>105.67</v>
      </c>
      <c r="H13933" s="411">
        <v>6510.87</v>
      </c>
      <c r="I13933" s="411">
        <v>4915.47</v>
      </c>
      <c r="J13933" s="411">
        <v>1082.04</v>
      </c>
      <c r="K13933" s="411">
        <v>513.36</v>
      </c>
      <c r="L13933" s="43">
        <v>8.7198762505524527</v>
      </c>
      <c r="M13933" s="43">
        <v>11.500058489109328</v>
      </c>
      <c r="N13933" s="43">
        <v>5.0664419159994383</v>
      </c>
      <c r="O13933" s="43">
        <v>4.8581432762373424</v>
      </c>
      <c r="P13933" s="412"/>
      <c r="Q13933" s="412"/>
      <c r="R13933" s="412">
        <v>1</v>
      </c>
    </row>
    <row r="13934" spans="1:18" ht="48">
      <c r="A13934" s="408">
        <v>252</v>
      </c>
      <c r="B13934" s="405" t="s">
        <v>25126</v>
      </c>
      <c r="C13934" s="409" t="s">
        <v>25127</v>
      </c>
      <c r="D13934" s="410">
        <v>914.22</v>
      </c>
      <c r="E13934" s="410">
        <v>581.9</v>
      </c>
      <c r="F13934" s="410">
        <v>211.63</v>
      </c>
      <c r="G13934" s="410">
        <v>120.69</v>
      </c>
      <c r="H13934" s="411">
        <v>8325.7999999999993</v>
      </c>
      <c r="I13934" s="411">
        <v>6691.85</v>
      </c>
      <c r="J13934" s="411">
        <v>1055.04</v>
      </c>
      <c r="K13934" s="411">
        <v>578.91</v>
      </c>
      <c r="L13934" s="43">
        <v>9.106998315503926</v>
      </c>
      <c r="M13934" s="43">
        <v>11.500000000000002</v>
      </c>
      <c r="N13934" s="43">
        <v>4.9853045409441004</v>
      </c>
      <c r="O13934" s="43">
        <v>4.7966691523738501</v>
      </c>
      <c r="P13934" s="412"/>
      <c r="Q13934" s="412"/>
      <c r="R13934" s="412">
        <v>1</v>
      </c>
    </row>
    <row r="13935" spans="1:18" ht="36">
      <c r="A13935" s="408">
        <v>253</v>
      </c>
      <c r="B13935" s="405" t="s">
        <v>25128</v>
      </c>
      <c r="C13935" s="409" t="s">
        <v>25129</v>
      </c>
      <c r="D13935" s="410">
        <v>106.84</v>
      </c>
      <c r="E13935" s="410">
        <v>35.76</v>
      </c>
      <c r="F13935" s="410">
        <v>41.68</v>
      </c>
      <c r="G13935" s="410">
        <v>29.4</v>
      </c>
      <c r="H13935" s="411">
        <v>742.31</v>
      </c>
      <c r="I13935" s="411">
        <v>411.24</v>
      </c>
      <c r="J13935" s="411">
        <v>216.83</v>
      </c>
      <c r="K13935" s="411">
        <v>114.24</v>
      </c>
      <c r="L13935" s="43">
        <v>6.9478659678023202</v>
      </c>
      <c r="M13935" s="43">
        <v>11.500000000000002</v>
      </c>
      <c r="N13935" s="43">
        <v>5.2022552783109406</v>
      </c>
      <c r="O13935" s="43">
        <v>3.8857142857142857</v>
      </c>
      <c r="P13935" s="412"/>
      <c r="Q13935" s="412"/>
      <c r="R13935" s="412">
        <v>1</v>
      </c>
    </row>
    <row r="13936" spans="1:18" ht="36">
      <c r="A13936" s="408">
        <v>254</v>
      </c>
      <c r="B13936" s="405" t="s">
        <v>25130</v>
      </c>
      <c r="C13936" s="409" t="s">
        <v>25131</v>
      </c>
      <c r="D13936" s="410">
        <v>1854.16</v>
      </c>
      <c r="E13936" s="410">
        <v>1096.68</v>
      </c>
      <c r="F13936" s="410">
        <v>326.38</v>
      </c>
      <c r="G13936" s="410">
        <v>431.1</v>
      </c>
      <c r="H13936" s="411">
        <v>16343.89</v>
      </c>
      <c r="I13936" s="411">
        <v>12611.82</v>
      </c>
      <c r="J13936" s="411">
        <v>1504.96</v>
      </c>
      <c r="K13936" s="411">
        <v>2227.11</v>
      </c>
      <c r="L13936" s="43">
        <v>8.8147139405445039</v>
      </c>
      <c r="M13936" s="43">
        <v>11.499999999999998</v>
      </c>
      <c r="N13936" s="43">
        <v>4.611066854586678</v>
      </c>
      <c r="O13936" s="43">
        <v>5.166109951287404</v>
      </c>
      <c r="P13936" s="412"/>
      <c r="Q13936" s="412"/>
      <c r="R13936" s="412">
        <v>1</v>
      </c>
    </row>
    <row r="13937" spans="1:18" ht="48">
      <c r="A13937" s="408">
        <v>255</v>
      </c>
      <c r="B13937" s="405" t="s">
        <v>25132</v>
      </c>
      <c r="C13937" s="409" t="s">
        <v>25133</v>
      </c>
      <c r="D13937" s="410">
        <v>675.89</v>
      </c>
      <c r="E13937" s="410">
        <v>511.65</v>
      </c>
      <c r="F13937" s="410">
        <v>153.75</v>
      </c>
      <c r="G13937" s="410">
        <v>10.49</v>
      </c>
      <c r="H13937" s="411">
        <v>6727.39</v>
      </c>
      <c r="I13937" s="411">
        <v>5883.95</v>
      </c>
      <c r="J13937" s="411">
        <v>723.5</v>
      </c>
      <c r="K13937" s="411">
        <v>119.94</v>
      </c>
      <c r="L13937" s="43">
        <v>9.9533799878678497</v>
      </c>
      <c r="M13937" s="43">
        <v>11.499951138473566</v>
      </c>
      <c r="N13937" s="43">
        <v>4.7056910569105694</v>
      </c>
      <c r="O13937" s="43">
        <v>11.433746425166825</v>
      </c>
      <c r="P13937" s="412"/>
      <c r="Q13937" s="412"/>
      <c r="R13937" s="412">
        <v>1</v>
      </c>
    </row>
    <row r="13938" spans="1:18" ht="48">
      <c r="A13938" s="408">
        <v>256</v>
      </c>
      <c r="B13938" s="405" t="s">
        <v>25134</v>
      </c>
      <c r="C13938" s="409" t="s">
        <v>25135</v>
      </c>
      <c r="D13938" s="410">
        <v>1940.97</v>
      </c>
      <c r="E13938" s="410">
        <v>1159.8800000000001</v>
      </c>
      <c r="F13938" s="410">
        <v>505.91</v>
      </c>
      <c r="G13938" s="410">
        <v>275.18</v>
      </c>
      <c r="H13938" s="411">
        <v>17169.66</v>
      </c>
      <c r="I13938" s="411">
        <v>13338.62</v>
      </c>
      <c r="J13938" s="411">
        <v>2518.9899999999998</v>
      </c>
      <c r="K13938" s="411">
        <v>1312.05</v>
      </c>
      <c r="L13938" s="43">
        <v>8.8459172475617862</v>
      </c>
      <c r="M13938" s="43">
        <v>11.5</v>
      </c>
      <c r="N13938" s="43">
        <v>4.9791267221442546</v>
      </c>
      <c r="O13938" s="43">
        <v>4.7679700559633691</v>
      </c>
      <c r="P13938" s="412"/>
      <c r="Q13938" s="412"/>
      <c r="R13938" s="412">
        <v>1</v>
      </c>
    </row>
    <row r="13939" spans="1:18" ht="48">
      <c r="A13939" s="408">
        <v>257</v>
      </c>
      <c r="B13939" s="405" t="s">
        <v>25136</v>
      </c>
      <c r="C13939" s="409" t="s">
        <v>25137</v>
      </c>
      <c r="D13939" s="410">
        <v>687.71</v>
      </c>
      <c r="E13939" s="410">
        <v>409.12</v>
      </c>
      <c r="F13939" s="410">
        <v>166.94</v>
      </c>
      <c r="G13939" s="410">
        <v>111.65</v>
      </c>
      <c r="H13939" s="411">
        <v>6099.27</v>
      </c>
      <c r="I13939" s="411">
        <v>4705.09</v>
      </c>
      <c r="J13939" s="411">
        <v>859.25</v>
      </c>
      <c r="K13939" s="411">
        <v>534.92999999999995</v>
      </c>
      <c r="L13939" s="43">
        <v>8.8689563915022323</v>
      </c>
      <c r="M13939" s="43">
        <v>11.500513296832226</v>
      </c>
      <c r="N13939" s="43">
        <v>5.1470588235294121</v>
      </c>
      <c r="O13939" s="43">
        <v>4.7911330049261078</v>
      </c>
      <c r="P13939" s="412"/>
      <c r="Q13939" s="412"/>
      <c r="R13939" s="412">
        <v>1</v>
      </c>
    </row>
    <row r="13940" spans="1:18" ht="12.75" customHeight="1">
      <c r="A13940" s="628" t="s">
        <v>25138</v>
      </c>
      <c r="B13940" s="629"/>
      <c r="C13940" s="629"/>
      <c r="D13940" s="629"/>
      <c r="E13940" s="629"/>
      <c r="F13940" s="629"/>
      <c r="G13940" s="629"/>
      <c r="H13940" s="629"/>
      <c r="I13940" s="629"/>
      <c r="J13940" s="629"/>
      <c r="K13940" s="629"/>
      <c r="L13940" s="629"/>
      <c r="M13940" s="629"/>
      <c r="N13940" s="629"/>
      <c r="O13940" s="629"/>
      <c r="P13940" s="629"/>
      <c r="Q13940" s="629"/>
      <c r="R13940" s="629"/>
    </row>
    <row r="13941" spans="1:18" ht="24">
      <c r="A13941" s="408">
        <v>258</v>
      </c>
      <c r="B13941" s="405" t="s">
        <v>25139</v>
      </c>
      <c r="C13941" s="409" t="s">
        <v>25140</v>
      </c>
      <c r="D13941" s="410">
        <v>1940.97</v>
      </c>
      <c r="E13941" s="410">
        <v>1159.8800000000001</v>
      </c>
      <c r="F13941" s="410">
        <v>505.91</v>
      </c>
      <c r="G13941" s="410">
        <v>275.18</v>
      </c>
      <c r="H13941" s="411">
        <v>17169.66</v>
      </c>
      <c r="I13941" s="411">
        <v>13338.62</v>
      </c>
      <c r="J13941" s="411">
        <v>2518.9899999999998</v>
      </c>
      <c r="K13941" s="411">
        <v>1312.05</v>
      </c>
      <c r="L13941" s="43">
        <v>8.8459172475617862</v>
      </c>
      <c r="M13941" s="43">
        <v>11.5</v>
      </c>
      <c r="N13941" s="43">
        <v>4.9791267221442546</v>
      </c>
      <c r="O13941" s="43">
        <v>4.7679700559633691</v>
      </c>
      <c r="P13941" s="412"/>
      <c r="Q13941" s="412"/>
      <c r="R13941" s="412">
        <v>2</v>
      </c>
    </row>
    <row r="13942" spans="1:18" ht="12.75" customHeight="1">
      <c r="A13942" s="628" t="s">
        <v>25141</v>
      </c>
      <c r="B13942" s="629"/>
      <c r="C13942" s="629"/>
      <c r="D13942" s="629"/>
      <c r="E13942" s="629"/>
      <c r="F13942" s="629"/>
      <c r="G13942" s="629"/>
      <c r="H13942" s="629"/>
      <c r="I13942" s="629"/>
      <c r="J13942" s="629"/>
      <c r="K13942" s="629"/>
      <c r="L13942" s="629"/>
      <c r="M13942" s="629"/>
      <c r="N13942" s="629"/>
      <c r="O13942" s="629"/>
      <c r="P13942" s="629"/>
      <c r="Q13942" s="629"/>
      <c r="R13942" s="629"/>
    </row>
    <row r="13943" spans="1:18" ht="12.75" customHeight="1">
      <c r="A13943" s="628" t="s">
        <v>25142</v>
      </c>
      <c r="B13943" s="629"/>
      <c r="C13943" s="629"/>
      <c r="D13943" s="629"/>
      <c r="E13943" s="629"/>
      <c r="F13943" s="629"/>
      <c r="G13943" s="629"/>
      <c r="H13943" s="629"/>
      <c r="I13943" s="629"/>
      <c r="J13943" s="629"/>
      <c r="K13943" s="629"/>
      <c r="L13943" s="629"/>
      <c r="M13943" s="629"/>
      <c r="N13943" s="629"/>
      <c r="O13943" s="629"/>
      <c r="P13943" s="629"/>
      <c r="Q13943" s="629"/>
      <c r="R13943" s="629"/>
    </row>
    <row r="13944" spans="1:18" ht="24">
      <c r="A13944" s="408">
        <v>259</v>
      </c>
      <c r="B13944" s="405" t="s">
        <v>25143</v>
      </c>
      <c r="C13944" s="409" t="s">
        <v>25144</v>
      </c>
      <c r="D13944" s="410">
        <v>668.13</v>
      </c>
      <c r="E13944" s="410">
        <v>409.12</v>
      </c>
      <c r="F13944" s="410">
        <v>147.36000000000001</v>
      </c>
      <c r="G13944" s="410">
        <v>111.65</v>
      </c>
      <c r="H13944" s="411">
        <v>6017.24</v>
      </c>
      <c r="I13944" s="411">
        <v>4705.09</v>
      </c>
      <c r="J13944" s="411">
        <v>777.22</v>
      </c>
      <c r="K13944" s="411">
        <v>534.92999999999995</v>
      </c>
      <c r="L13944" s="43">
        <v>9.0060916288746196</v>
      </c>
      <c r="M13944" s="43">
        <v>11.500513296832226</v>
      </c>
      <c r="N13944" s="43">
        <v>5.27429424538545</v>
      </c>
      <c r="O13944" s="43">
        <v>4.7911330049261078</v>
      </c>
      <c r="P13944" s="412"/>
      <c r="Q13944" s="412"/>
      <c r="R13944" s="412">
        <v>1</v>
      </c>
    </row>
    <row r="13945" spans="1:18" ht="24">
      <c r="A13945" s="408">
        <v>260</v>
      </c>
      <c r="B13945" s="405" t="s">
        <v>25145</v>
      </c>
      <c r="C13945" s="409" t="s">
        <v>25146</v>
      </c>
      <c r="D13945" s="410">
        <v>2440.15</v>
      </c>
      <c r="E13945" s="410">
        <v>1627.92</v>
      </c>
      <c r="F13945" s="410">
        <v>560.25</v>
      </c>
      <c r="G13945" s="410">
        <v>251.98</v>
      </c>
      <c r="H13945" s="411">
        <v>22653.15</v>
      </c>
      <c r="I13945" s="411">
        <v>18721.84</v>
      </c>
      <c r="J13945" s="411">
        <v>2681.44</v>
      </c>
      <c r="K13945" s="411">
        <v>1249.8699999999999</v>
      </c>
      <c r="L13945" s="43">
        <v>9.2835071614449927</v>
      </c>
      <c r="M13945" s="43">
        <v>11.50046685340803</v>
      </c>
      <c r="N13945" s="43">
        <v>4.7861490406068716</v>
      </c>
      <c r="O13945" s="43">
        <v>4.9601952535915546</v>
      </c>
      <c r="P13945" s="412"/>
      <c r="Q13945" s="412"/>
      <c r="R13945" s="412">
        <v>1</v>
      </c>
    </row>
    <row r="13946" spans="1:18" ht="12.75" customHeight="1">
      <c r="A13946" s="628" t="s">
        <v>25147</v>
      </c>
      <c r="B13946" s="629"/>
      <c r="C13946" s="629"/>
      <c r="D13946" s="629"/>
      <c r="E13946" s="629"/>
      <c r="F13946" s="629"/>
      <c r="G13946" s="629"/>
      <c r="H13946" s="629"/>
      <c r="I13946" s="629"/>
      <c r="J13946" s="629"/>
      <c r="K13946" s="629"/>
      <c r="L13946" s="629"/>
      <c r="M13946" s="629"/>
      <c r="N13946" s="629"/>
      <c r="O13946" s="629"/>
      <c r="P13946" s="629"/>
      <c r="Q13946" s="629"/>
      <c r="R13946" s="629"/>
    </row>
    <row r="13947" spans="1:18" ht="24">
      <c r="A13947" s="408">
        <v>261</v>
      </c>
      <c r="B13947" s="405" t="s">
        <v>25148</v>
      </c>
      <c r="C13947" s="409" t="s">
        <v>25149</v>
      </c>
      <c r="D13947" s="410">
        <v>1391.23</v>
      </c>
      <c r="E13947" s="410">
        <v>866.44</v>
      </c>
      <c r="F13947" s="410">
        <v>374.15</v>
      </c>
      <c r="G13947" s="410">
        <v>150.63999999999999</v>
      </c>
      <c r="H13947" s="411">
        <v>12529.51</v>
      </c>
      <c r="I13947" s="411">
        <v>9964.4500000000007</v>
      </c>
      <c r="J13947" s="411">
        <v>1851.69</v>
      </c>
      <c r="K13947" s="411">
        <v>713.37</v>
      </c>
      <c r="L13947" s="43">
        <v>9.0060665741825581</v>
      </c>
      <c r="M13947" s="43">
        <v>11.500450117723098</v>
      </c>
      <c r="N13947" s="43">
        <v>4.9490578644928513</v>
      </c>
      <c r="O13947" s="43">
        <v>4.7355947955390336</v>
      </c>
      <c r="P13947" s="412"/>
      <c r="Q13947" s="412"/>
      <c r="R13947" s="412">
        <v>2</v>
      </c>
    </row>
    <row r="13948" spans="1:18" ht="24">
      <c r="A13948" s="408">
        <v>262</v>
      </c>
      <c r="B13948" s="405" t="s">
        <v>25150</v>
      </c>
      <c r="C13948" s="409" t="s">
        <v>25151</v>
      </c>
      <c r="D13948" s="410">
        <v>423.98</v>
      </c>
      <c r="E13948" s="410">
        <v>308.26</v>
      </c>
      <c r="F13948" s="410">
        <v>63.27</v>
      </c>
      <c r="G13948" s="410">
        <v>52.45</v>
      </c>
      <c r="H13948" s="411">
        <v>4144.1400000000003</v>
      </c>
      <c r="I13948" s="411">
        <v>3545.1</v>
      </c>
      <c r="J13948" s="411">
        <v>340.53</v>
      </c>
      <c r="K13948" s="411">
        <v>258.51</v>
      </c>
      <c r="L13948" s="43">
        <v>9.7743761498183872</v>
      </c>
      <c r="M13948" s="43">
        <v>11.500356841627198</v>
      </c>
      <c r="N13948" s="43">
        <v>5.3821716453295396</v>
      </c>
      <c r="O13948" s="43">
        <v>4.9286939942802661</v>
      </c>
      <c r="P13948" s="412"/>
      <c r="Q13948" s="412"/>
      <c r="R13948" s="412">
        <v>2</v>
      </c>
    </row>
    <row r="13949" spans="1:18" ht="24">
      <c r="A13949" s="408">
        <v>263</v>
      </c>
      <c r="B13949" s="405" t="s">
        <v>25152</v>
      </c>
      <c r="C13949" s="409" t="s">
        <v>25153</v>
      </c>
      <c r="D13949" s="410">
        <v>289.77</v>
      </c>
      <c r="E13949" s="410">
        <v>204.56</v>
      </c>
      <c r="F13949" s="410">
        <v>37.76</v>
      </c>
      <c r="G13949" s="410">
        <v>47.45</v>
      </c>
      <c r="H13949" s="411">
        <v>2764.36</v>
      </c>
      <c r="I13949" s="411">
        <v>2352.5500000000002</v>
      </c>
      <c r="J13949" s="411">
        <v>202.85</v>
      </c>
      <c r="K13949" s="411">
        <v>208.96</v>
      </c>
      <c r="L13949" s="43">
        <v>9.5398419436104511</v>
      </c>
      <c r="M13949" s="43">
        <v>11.500537739538522</v>
      </c>
      <c r="N13949" s="43">
        <v>5.3720868644067794</v>
      </c>
      <c r="O13949" s="43">
        <v>4.4037934668071657</v>
      </c>
      <c r="P13949" s="412"/>
      <c r="Q13949" s="412"/>
      <c r="R13949" s="412">
        <v>2</v>
      </c>
    </row>
    <row r="13950" spans="1:18" ht="12.75" customHeight="1">
      <c r="A13950" s="628" t="s">
        <v>25154</v>
      </c>
      <c r="B13950" s="629"/>
      <c r="C13950" s="629"/>
      <c r="D13950" s="629"/>
      <c r="E13950" s="629"/>
      <c r="F13950" s="629"/>
      <c r="G13950" s="629"/>
      <c r="H13950" s="629"/>
      <c r="I13950" s="629"/>
      <c r="J13950" s="629"/>
      <c r="K13950" s="629"/>
      <c r="L13950" s="629"/>
      <c r="M13950" s="629"/>
      <c r="N13950" s="629"/>
      <c r="O13950" s="629"/>
      <c r="P13950" s="629"/>
      <c r="Q13950" s="629"/>
      <c r="R13950" s="629"/>
    </row>
    <row r="13951" spans="1:18" ht="24">
      <c r="A13951" s="408">
        <v>264</v>
      </c>
      <c r="B13951" s="405" t="s">
        <v>25155</v>
      </c>
      <c r="C13951" s="409" t="s">
        <v>25156</v>
      </c>
      <c r="D13951" s="410">
        <v>26581.57</v>
      </c>
      <c r="E13951" s="410">
        <v>17365.509999999998</v>
      </c>
      <c r="F13951" s="410">
        <v>7070.28</v>
      </c>
      <c r="G13951" s="410">
        <v>2145.7800000000002</v>
      </c>
      <c r="H13951" s="411">
        <v>246313.52</v>
      </c>
      <c r="I13951" s="411">
        <v>199711.28</v>
      </c>
      <c r="J13951" s="411">
        <v>34547.93</v>
      </c>
      <c r="K13951" s="411">
        <v>12054.31</v>
      </c>
      <c r="L13951" s="43">
        <v>9.2663270077726789</v>
      </c>
      <c r="M13951" s="43">
        <v>11.500455788514131</v>
      </c>
      <c r="N13951" s="43">
        <v>4.8863595218294043</v>
      </c>
      <c r="O13951" s="43">
        <v>5.6176821482164989</v>
      </c>
      <c r="P13951" s="412"/>
      <c r="Q13951" s="412"/>
      <c r="R13951" s="412">
        <v>3</v>
      </c>
    </row>
    <row r="13952" spans="1:18" ht="48">
      <c r="A13952" s="408">
        <v>265</v>
      </c>
      <c r="B13952" s="405" t="s">
        <v>25157</v>
      </c>
      <c r="C13952" s="409" t="s">
        <v>25158</v>
      </c>
      <c r="D13952" s="410">
        <v>1240.45</v>
      </c>
      <c r="E13952" s="410">
        <v>656.9</v>
      </c>
      <c r="F13952" s="410">
        <v>365.46</v>
      </c>
      <c r="G13952" s="410">
        <v>218.09</v>
      </c>
      <c r="H13952" s="411">
        <v>10436.69</v>
      </c>
      <c r="I13952" s="411">
        <v>7554.4</v>
      </c>
      <c r="J13952" s="411">
        <v>1883.63</v>
      </c>
      <c r="K13952" s="411">
        <v>998.66</v>
      </c>
      <c r="L13952" s="43">
        <v>8.4136321496231208</v>
      </c>
      <c r="M13952" s="43">
        <v>11.50007611508601</v>
      </c>
      <c r="N13952" s="43">
        <v>5.1541345154052429</v>
      </c>
      <c r="O13952" s="43">
        <v>4.5791187124581594</v>
      </c>
      <c r="P13952" s="412"/>
      <c r="Q13952" s="412"/>
      <c r="R13952" s="412">
        <v>3</v>
      </c>
    </row>
    <row r="13953" spans="1:18" ht="36">
      <c r="A13953" s="408">
        <v>266</v>
      </c>
      <c r="B13953" s="405" t="s">
        <v>25159</v>
      </c>
      <c r="C13953" s="409" t="s">
        <v>25160</v>
      </c>
      <c r="D13953" s="410">
        <v>891.35</v>
      </c>
      <c r="E13953" s="410">
        <v>621.13</v>
      </c>
      <c r="F13953" s="410">
        <v>256.61</v>
      </c>
      <c r="G13953" s="410">
        <v>13.61</v>
      </c>
      <c r="H13953" s="411">
        <v>8569.69</v>
      </c>
      <c r="I13953" s="411">
        <v>7143.02</v>
      </c>
      <c r="J13953" s="411">
        <v>1273.4100000000001</v>
      </c>
      <c r="K13953" s="411">
        <v>153.26</v>
      </c>
      <c r="L13953" s="43">
        <v>9.6142817075222986</v>
      </c>
      <c r="M13953" s="43">
        <v>11.50004024922319</v>
      </c>
      <c r="N13953" s="43">
        <v>4.9624332644869646</v>
      </c>
      <c r="O13953" s="43">
        <v>11.260837619397501</v>
      </c>
      <c r="P13953" s="412"/>
      <c r="Q13953" s="412"/>
      <c r="R13953" s="412">
        <v>3</v>
      </c>
    </row>
    <row r="13954" spans="1:18" ht="36">
      <c r="A13954" s="408">
        <v>267</v>
      </c>
      <c r="B13954" s="405" t="s">
        <v>25161</v>
      </c>
      <c r="C13954" s="409" t="s">
        <v>25162</v>
      </c>
      <c r="D13954" s="410">
        <v>124.59</v>
      </c>
      <c r="E13954" s="410">
        <v>116.05</v>
      </c>
      <c r="F13954" s="410">
        <v>6.22</v>
      </c>
      <c r="G13954" s="410">
        <v>2.3199999999999998</v>
      </c>
      <c r="H13954" s="411">
        <v>1394.79</v>
      </c>
      <c r="I13954" s="411">
        <v>1334.61</v>
      </c>
      <c r="J13954" s="411">
        <v>33.5</v>
      </c>
      <c r="K13954" s="411">
        <v>26.68</v>
      </c>
      <c r="L13954" s="43">
        <v>11.195039730315434</v>
      </c>
      <c r="M13954" s="43">
        <v>11.500301594140456</v>
      </c>
      <c r="N13954" s="43">
        <v>5.3858520900321549</v>
      </c>
      <c r="O13954" s="43">
        <v>11.5</v>
      </c>
      <c r="P13954" s="412"/>
      <c r="Q13954" s="412"/>
      <c r="R13954" s="412">
        <v>3</v>
      </c>
    </row>
    <row r="13955" spans="1:18" ht="48">
      <c r="A13955" s="408">
        <v>268</v>
      </c>
      <c r="B13955" s="405" t="s">
        <v>25163</v>
      </c>
      <c r="C13955" s="409" t="s">
        <v>25164</v>
      </c>
      <c r="D13955" s="410">
        <v>81.3</v>
      </c>
      <c r="E13955" s="410">
        <v>38.840000000000003</v>
      </c>
      <c r="F13955" s="410">
        <v>41.68</v>
      </c>
      <c r="G13955" s="410">
        <v>0.78</v>
      </c>
      <c r="H13955" s="411">
        <v>672.43</v>
      </c>
      <c r="I13955" s="411">
        <v>446.63</v>
      </c>
      <c r="J13955" s="411">
        <v>216.83</v>
      </c>
      <c r="K13955" s="411">
        <v>8.9700000000000006</v>
      </c>
      <c r="L13955" s="43">
        <v>8.2709717097170969</v>
      </c>
      <c r="M13955" s="43">
        <v>11.499227600411945</v>
      </c>
      <c r="N13955" s="43">
        <v>5.2022552783109406</v>
      </c>
      <c r="O13955" s="43">
        <v>11.5</v>
      </c>
      <c r="P13955" s="412"/>
      <c r="Q13955" s="412"/>
      <c r="R13955" s="412">
        <v>3</v>
      </c>
    </row>
    <row r="13956" spans="1:18" ht="48">
      <c r="A13956" s="408">
        <v>269</v>
      </c>
      <c r="B13956" s="405" t="s">
        <v>25165</v>
      </c>
      <c r="C13956" s="409" t="s">
        <v>25166</v>
      </c>
      <c r="D13956" s="410">
        <v>2494.08</v>
      </c>
      <c r="E13956" s="410">
        <v>1627.92</v>
      </c>
      <c r="F13956" s="410">
        <v>597.32000000000005</v>
      </c>
      <c r="G13956" s="410">
        <v>268.83999999999997</v>
      </c>
      <c r="H13956" s="411">
        <v>23003.88</v>
      </c>
      <c r="I13956" s="411">
        <v>18721.84</v>
      </c>
      <c r="J13956" s="411">
        <v>2884.36</v>
      </c>
      <c r="K13956" s="411">
        <v>1397.68</v>
      </c>
      <c r="L13956" s="43">
        <v>9.2233929946112401</v>
      </c>
      <c r="M13956" s="43">
        <v>11.50046685340803</v>
      </c>
      <c r="N13956" s="43">
        <v>4.8288354650773453</v>
      </c>
      <c r="O13956" s="43">
        <v>5.1989287308436252</v>
      </c>
      <c r="P13956" s="412"/>
      <c r="Q13956" s="412"/>
      <c r="R13956" s="412">
        <v>3</v>
      </c>
    </row>
    <row r="13957" spans="1:18" ht="36">
      <c r="A13957" s="408">
        <v>270</v>
      </c>
      <c r="B13957" s="405" t="s">
        <v>25167</v>
      </c>
      <c r="C13957" s="409" t="s">
        <v>25168</v>
      </c>
      <c r="D13957" s="410">
        <v>86.5</v>
      </c>
      <c r="E13957" s="410">
        <v>35.32</v>
      </c>
      <c r="F13957" s="410">
        <v>50.47</v>
      </c>
      <c r="G13957" s="410">
        <v>0.71</v>
      </c>
      <c r="H13957" s="411">
        <v>678.64</v>
      </c>
      <c r="I13957" s="411">
        <v>406.21</v>
      </c>
      <c r="J13957" s="411">
        <v>264.26</v>
      </c>
      <c r="K13957" s="411">
        <v>8.17</v>
      </c>
      <c r="L13957" s="43">
        <v>7.8455491329479763</v>
      </c>
      <c r="M13957" s="43">
        <v>11.500849377123442</v>
      </c>
      <c r="N13957" s="43">
        <v>5.2359817713493166</v>
      </c>
      <c r="O13957" s="43">
        <v>11.500158277936057</v>
      </c>
      <c r="P13957" s="412"/>
      <c r="Q13957" s="412"/>
      <c r="R13957" s="412">
        <v>3</v>
      </c>
    </row>
    <row r="13958" spans="1:18" ht="48">
      <c r="A13958" s="408">
        <v>271</v>
      </c>
      <c r="B13958" s="405" t="s">
        <v>25169</v>
      </c>
      <c r="C13958" s="409" t="s">
        <v>25170</v>
      </c>
      <c r="D13958" s="410">
        <v>75.33</v>
      </c>
      <c r="E13958" s="410">
        <v>32.99</v>
      </c>
      <c r="F13958" s="410">
        <v>41.68</v>
      </c>
      <c r="G13958" s="410">
        <v>0.66</v>
      </c>
      <c r="H13958" s="411">
        <v>603.79</v>
      </c>
      <c r="I13958" s="411">
        <v>379.37</v>
      </c>
      <c r="J13958" s="411">
        <v>216.83</v>
      </c>
      <c r="K13958" s="411">
        <v>7.59</v>
      </c>
      <c r="L13958" s="43">
        <v>8.0152661622195662</v>
      </c>
      <c r="M13958" s="43">
        <v>11.499545316762655</v>
      </c>
      <c r="N13958" s="43">
        <v>5.2022552783109406</v>
      </c>
      <c r="O13958" s="43">
        <v>11.5</v>
      </c>
      <c r="P13958" s="412"/>
      <c r="Q13958" s="412"/>
      <c r="R13958" s="412">
        <v>3</v>
      </c>
    </row>
    <row r="13959" spans="1:18" ht="36">
      <c r="A13959" s="408">
        <v>272</v>
      </c>
      <c r="B13959" s="405" t="s">
        <v>25171</v>
      </c>
      <c r="C13959" s="409" t="s">
        <v>25172</v>
      </c>
      <c r="D13959" s="410">
        <v>75.91</v>
      </c>
      <c r="E13959" s="410">
        <v>33.56</v>
      </c>
      <c r="F13959" s="410">
        <v>41.68</v>
      </c>
      <c r="G13959" s="410">
        <v>0.67</v>
      </c>
      <c r="H13959" s="411">
        <v>610.54</v>
      </c>
      <c r="I13959" s="411">
        <v>386</v>
      </c>
      <c r="J13959" s="411">
        <v>216.83</v>
      </c>
      <c r="K13959" s="411">
        <v>7.71</v>
      </c>
      <c r="L13959" s="43">
        <v>8.0429455934659462</v>
      </c>
      <c r="M13959" s="43">
        <v>11.501787842669843</v>
      </c>
      <c r="N13959" s="43">
        <v>5.2022552783109406</v>
      </c>
      <c r="O13959" s="43">
        <v>11.500158277936057</v>
      </c>
      <c r="P13959" s="412"/>
      <c r="Q13959" s="412"/>
      <c r="R13959" s="412">
        <v>3</v>
      </c>
    </row>
    <row r="13960" spans="1:18" ht="36">
      <c r="A13960" s="408">
        <v>273</v>
      </c>
      <c r="B13960" s="405" t="s">
        <v>25173</v>
      </c>
      <c r="C13960" s="409" t="s">
        <v>25174</v>
      </c>
      <c r="D13960" s="410">
        <v>7626.58</v>
      </c>
      <c r="E13960" s="410">
        <v>5294.04</v>
      </c>
      <c r="F13960" s="410">
        <v>1783.28</v>
      </c>
      <c r="G13960" s="410">
        <v>549.26</v>
      </c>
      <c r="H13960" s="411">
        <v>71932.55</v>
      </c>
      <c r="I13960" s="411">
        <v>60881.46</v>
      </c>
      <c r="J13960" s="411">
        <v>8158.34</v>
      </c>
      <c r="K13960" s="411">
        <v>2892.75</v>
      </c>
      <c r="L13960" s="43">
        <v>9.431822651830835</v>
      </c>
      <c r="M13960" s="43">
        <v>11.5</v>
      </c>
      <c r="N13960" s="43">
        <v>4.574906913103943</v>
      </c>
      <c r="O13960" s="43">
        <v>5.2666314677930304</v>
      </c>
      <c r="P13960" s="412"/>
      <c r="Q13960" s="412"/>
      <c r="R13960" s="412">
        <v>3</v>
      </c>
    </row>
    <row r="13961" spans="1:18" ht="48">
      <c r="A13961" s="408">
        <v>274</v>
      </c>
      <c r="B13961" s="405" t="s">
        <v>25175</v>
      </c>
      <c r="C13961" s="409" t="s">
        <v>25176</v>
      </c>
      <c r="D13961" s="410">
        <v>932.01</v>
      </c>
      <c r="E13961" s="410">
        <v>644.98</v>
      </c>
      <c r="F13961" s="410">
        <v>269.61</v>
      </c>
      <c r="G13961" s="410">
        <v>17.420000000000002</v>
      </c>
      <c r="H13961" s="411">
        <v>8976.7099999999991</v>
      </c>
      <c r="I13961" s="411">
        <v>7417.27</v>
      </c>
      <c r="J13961" s="411">
        <v>1371.46</v>
      </c>
      <c r="K13961" s="411">
        <v>187.98</v>
      </c>
      <c r="L13961" s="43">
        <v>9.6315597472130126</v>
      </c>
      <c r="M13961" s="43">
        <v>11.5</v>
      </c>
      <c r="N13961" s="43">
        <v>5.0868291235488297</v>
      </c>
      <c r="O13961" s="43">
        <v>10.791044776119401</v>
      </c>
      <c r="P13961" s="412"/>
      <c r="Q13961" s="412"/>
      <c r="R13961" s="412">
        <v>3</v>
      </c>
    </row>
    <row r="13962" spans="1:18" ht="48">
      <c r="A13962" s="408">
        <v>275</v>
      </c>
      <c r="B13962" s="405" t="s">
        <v>25177</v>
      </c>
      <c r="C13962" s="409" t="s">
        <v>25178</v>
      </c>
      <c r="D13962" s="410">
        <v>431.83</v>
      </c>
      <c r="E13962" s="410">
        <v>183.2</v>
      </c>
      <c r="F13962" s="410">
        <v>116.34</v>
      </c>
      <c r="G13962" s="410">
        <v>132.29</v>
      </c>
      <c r="H13962" s="411">
        <v>3325.3</v>
      </c>
      <c r="I13962" s="411">
        <v>2106.75</v>
      </c>
      <c r="J13962" s="411">
        <v>565.16</v>
      </c>
      <c r="K13962" s="411">
        <v>653.39</v>
      </c>
      <c r="L13962" s="43">
        <v>7.7004839867540475</v>
      </c>
      <c r="M13962" s="43">
        <v>11.499727074235809</v>
      </c>
      <c r="N13962" s="43">
        <v>4.8578304968196662</v>
      </c>
      <c r="O13962" s="43">
        <v>4.9390732481669062</v>
      </c>
      <c r="P13962" s="412"/>
      <c r="Q13962" s="412"/>
      <c r="R13962" s="412">
        <v>3</v>
      </c>
    </row>
    <row r="13963" spans="1:18" ht="48">
      <c r="A13963" s="408">
        <v>276</v>
      </c>
      <c r="B13963" s="405" t="s">
        <v>25179</v>
      </c>
      <c r="C13963" s="409" t="s">
        <v>25180</v>
      </c>
      <c r="D13963" s="410">
        <v>506.35</v>
      </c>
      <c r="E13963" s="410">
        <v>381.76</v>
      </c>
      <c r="F13963" s="410">
        <v>113.41</v>
      </c>
      <c r="G13963" s="410">
        <v>11.18</v>
      </c>
      <c r="H13963" s="411">
        <v>5065.05</v>
      </c>
      <c r="I13963" s="411">
        <v>4390.37</v>
      </c>
      <c r="J13963" s="411">
        <v>555.83000000000004</v>
      </c>
      <c r="K13963" s="411">
        <v>118.85</v>
      </c>
      <c r="L13963" s="43">
        <v>10.003061123728646</v>
      </c>
      <c r="M13963" s="43">
        <v>11.50034052808047</v>
      </c>
      <c r="N13963" s="43">
        <v>4.9010669253152281</v>
      </c>
      <c r="O13963" s="43">
        <v>10.630590339892665</v>
      </c>
      <c r="P13963" s="412"/>
      <c r="Q13963" s="412"/>
      <c r="R13963" s="412">
        <v>3</v>
      </c>
    </row>
    <row r="13964" spans="1:18" ht="48">
      <c r="A13964" s="408">
        <v>277</v>
      </c>
      <c r="B13964" s="405" t="s">
        <v>25181</v>
      </c>
      <c r="C13964" s="409" t="s">
        <v>25182</v>
      </c>
      <c r="D13964" s="410">
        <v>428.18</v>
      </c>
      <c r="E13964" s="410">
        <v>308.26</v>
      </c>
      <c r="F13964" s="410">
        <v>67.47</v>
      </c>
      <c r="G13964" s="410">
        <v>52.45</v>
      </c>
      <c r="H13964" s="411">
        <v>4161.91</v>
      </c>
      <c r="I13964" s="411">
        <v>3545.1</v>
      </c>
      <c r="J13964" s="411">
        <v>358.3</v>
      </c>
      <c r="K13964" s="411">
        <v>258.51</v>
      </c>
      <c r="L13964" s="43">
        <v>9.7200009341865563</v>
      </c>
      <c r="M13964" s="43">
        <v>11.500356841627198</v>
      </c>
      <c r="N13964" s="43">
        <v>5.3105083740921897</v>
      </c>
      <c r="O13964" s="43">
        <v>4.9286939942802661</v>
      </c>
      <c r="P13964" s="412"/>
      <c r="Q13964" s="412"/>
      <c r="R13964" s="412">
        <v>3</v>
      </c>
    </row>
    <row r="13965" spans="1:18" ht="48">
      <c r="A13965" s="408">
        <v>278</v>
      </c>
      <c r="B13965" s="405" t="s">
        <v>25183</v>
      </c>
      <c r="C13965" s="409" t="s">
        <v>25184</v>
      </c>
      <c r="D13965" s="410">
        <v>1396.23</v>
      </c>
      <c r="E13965" s="410">
        <v>866.44</v>
      </c>
      <c r="F13965" s="410">
        <v>379.15</v>
      </c>
      <c r="G13965" s="410">
        <v>150.63999999999999</v>
      </c>
      <c r="H13965" s="411">
        <v>12552.82</v>
      </c>
      <c r="I13965" s="411">
        <v>9964.4500000000007</v>
      </c>
      <c r="J13965" s="411">
        <v>1875</v>
      </c>
      <c r="K13965" s="411">
        <v>713.37</v>
      </c>
      <c r="L13965" s="43">
        <v>8.9905101595009409</v>
      </c>
      <c r="M13965" s="43">
        <v>11.500450117723098</v>
      </c>
      <c r="N13965" s="43">
        <v>4.9452723196624033</v>
      </c>
      <c r="O13965" s="43">
        <v>4.7355947955390336</v>
      </c>
      <c r="P13965" s="412"/>
      <c r="Q13965" s="412"/>
      <c r="R13965" s="412">
        <v>3</v>
      </c>
    </row>
    <row r="13966" spans="1:18" ht="48">
      <c r="A13966" s="408">
        <v>279</v>
      </c>
      <c r="B13966" s="405" t="s">
        <v>25185</v>
      </c>
      <c r="C13966" s="409" t="s">
        <v>25186</v>
      </c>
      <c r="D13966" s="410">
        <v>293.25</v>
      </c>
      <c r="E13966" s="410">
        <v>204.56</v>
      </c>
      <c r="F13966" s="410">
        <v>41.24</v>
      </c>
      <c r="G13966" s="410">
        <v>47.45</v>
      </c>
      <c r="H13966" s="411">
        <v>2779.09</v>
      </c>
      <c r="I13966" s="411">
        <v>2352.5500000000002</v>
      </c>
      <c r="J13966" s="411">
        <v>217.58</v>
      </c>
      <c r="K13966" s="411">
        <v>208.96</v>
      </c>
      <c r="L13966" s="43">
        <v>9.4768627450980389</v>
      </c>
      <c r="M13966" s="43">
        <v>11.500537739538522</v>
      </c>
      <c r="N13966" s="43">
        <v>5.2759456838021341</v>
      </c>
      <c r="O13966" s="43">
        <v>4.4037934668071657</v>
      </c>
      <c r="P13966" s="412"/>
      <c r="Q13966" s="412"/>
      <c r="R13966" s="412">
        <v>3</v>
      </c>
    </row>
    <row r="13967" spans="1:18" ht="36">
      <c r="A13967" s="408">
        <v>280</v>
      </c>
      <c r="B13967" s="405" t="s">
        <v>25187</v>
      </c>
      <c r="C13967" s="409" t="s">
        <v>25188</v>
      </c>
      <c r="D13967" s="410">
        <v>1817.49</v>
      </c>
      <c r="E13967" s="410">
        <v>724.19</v>
      </c>
      <c r="F13967" s="410">
        <v>778.47</v>
      </c>
      <c r="G13967" s="410">
        <v>314.83</v>
      </c>
      <c r="H13967" s="411">
        <v>14281.95</v>
      </c>
      <c r="I13967" s="411">
        <v>8328.4699999999993</v>
      </c>
      <c r="J13967" s="411">
        <v>3995.41</v>
      </c>
      <c r="K13967" s="411">
        <v>1958.07</v>
      </c>
      <c r="L13967" s="43">
        <v>7.8580624927785028</v>
      </c>
      <c r="M13967" s="43">
        <v>11.500393543130944</v>
      </c>
      <c r="N13967" s="43">
        <v>5.1323878890644465</v>
      </c>
      <c r="O13967" s="43">
        <v>6.2194517676206207</v>
      </c>
      <c r="P13967" s="412"/>
      <c r="Q13967" s="412"/>
      <c r="R13967" s="412">
        <v>3</v>
      </c>
    </row>
    <row r="13968" spans="1:18" ht="12.75" customHeight="1">
      <c r="A13968" s="628" t="s">
        <v>25189</v>
      </c>
      <c r="B13968" s="629"/>
      <c r="C13968" s="629"/>
      <c r="D13968" s="629"/>
      <c r="E13968" s="629"/>
      <c r="F13968" s="629"/>
      <c r="G13968" s="629"/>
      <c r="H13968" s="629"/>
      <c r="I13968" s="629"/>
      <c r="J13968" s="629"/>
      <c r="K13968" s="629"/>
      <c r="L13968" s="629"/>
      <c r="M13968" s="629"/>
      <c r="N13968" s="629"/>
      <c r="O13968" s="629"/>
      <c r="P13968" s="629"/>
      <c r="Q13968" s="629"/>
      <c r="R13968" s="629"/>
    </row>
    <row r="13969" spans="1:18" ht="12.75" customHeight="1">
      <c r="A13969" s="628" t="s">
        <v>25138</v>
      </c>
      <c r="B13969" s="629"/>
      <c r="C13969" s="629"/>
      <c r="D13969" s="629"/>
      <c r="E13969" s="629"/>
      <c r="F13969" s="629"/>
      <c r="G13969" s="629"/>
      <c r="H13969" s="629"/>
      <c r="I13969" s="629"/>
      <c r="J13969" s="629"/>
      <c r="K13969" s="629"/>
      <c r="L13969" s="629"/>
      <c r="M13969" s="629"/>
      <c r="N13969" s="629"/>
      <c r="O13969" s="629"/>
      <c r="P13969" s="629"/>
      <c r="Q13969" s="629"/>
      <c r="R13969" s="629"/>
    </row>
    <row r="13970" spans="1:18" ht="24">
      <c r="A13970" s="408">
        <v>281</v>
      </c>
      <c r="B13970" s="405" t="s">
        <v>25190</v>
      </c>
      <c r="C13970" s="409" t="s">
        <v>25191</v>
      </c>
      <c r="D13970" s="410">
        <v>377.96</v>
      </c>
      <c r="E13970" s="410">
        <v>264.14</v>
      </c>
      <c r="F13970" s="410">
        <v>55.93</v>
      </c>
      <c r="G13970" s="410">
        <v>57.89</v>
      </c>
      <c r="H13970" s="411">
        <v>3634.42</v>
      </c>
      <c r="I13970" s="411">
        <v>3037.61</v>
      </c>
      <c r="J13970" s="411">
        <v>293.11</v>
      </c>
      <c r="K13970" s="411">
        <v>303.7</v>
      </c>
      <c r="L13970" s="43">
        <v>9.6158852788654894</v>
      </c>
      <c r="M13970" s="43">
        <v>11.500000000000002</v>
      </c>
      <c r="N13970" s="43">
        <v>5.240657965313785</v>
      </c>
      <c r="O13970" s="43">
        <v>5.2461565037139399</v>
      </c>
      <c r="P13970" s="412"/>
      <c r="Q13970" s="412"/>
      <c r="R13970" s="412">
        <v>1</v>
      </c>
    </row>
    <row r="13971" spans="1:18" ht="12.75" customHeight="1">
      <c r="A13971" s="628" t="s">
        <v>25192</v>
      </c>
      <c r="B13971" s="629"/>
      <c r="C13971" s="629"/>
      <c r="D13971" s="629"/>
      <c r="E13971" s="629"/>
      <c r="F13971" s="629"/>
      <c r="G13971" s="629"/>
      <c r="H13971" s="629"/>
      <c r="I13971" s="629"/>
      <c r="J13971" s="629"/>
      <c r="K13971" s="629"/>
      <c r="L13971" s="629"/>
      <c r="M13971" s="629"/>
      <c r="N13971" s="629"/>
      <c r="O13971" s="629"/>
      <c r="P13971" s="629"/>
      <c r="Q13971" s="629"/>
      <c r="R13971" s="629"/>
    </row>
    <row r="13972" spans="1:18" ht="12.75" customHeight="1">
      <c r="A13972" s="628" t="s">
        <v>25193</v>
      </c>
      <c r="B13972" s="629"/>
      <c r="C13972" s="629"/>
      <c r="D13972" s="629"/>
      <c r="E13972" s="629"/>
      <c r="F13972" s="629"/>
      <c r="G13972" s="629"/>
      <c r="H13972" s="629"/>
      <c r="I13972" s="629"/>
      <c r="J13972" s="629"/>
      <c r="K13972" s="629"/>
      <c r="L13972" s="629"/>
      <c r="M13972" s="629"/>
      <c r="N13972" s="629"/>
      <c r="O13972" s="629"/>
      <c r="P13972" s="629"/>
      <c r="Q13972" s="629"/>
      <c r="R13972" s="629"/>
    </row>
    <row r="13973" spans="1:18" ht="24">
      <c r="A13973" s="408">
        <v>282</v>
      </c>
      <c r="B13973" s="405" t="s">
        <v>25194</v>
      </c>
      <c r="C13973" s="409" t="s">
        <v>25195</v>
      </c>
      <c r="D13973" s="410">
        <v>3390.59</v>
      </c>
      <c r="E13973" s="410">
        <v>2126.58</v>
      </c>
      <c r="F13973" s="410">
        <v>914.63</v>
      </c>
      <c r="G13973" s="410">
        <v>349.38</v>
      </c>
      <c r="H13973" s="411">
        <v>30459.83</v>
      </c>
      <c r="I13973" s="411">
        <v>24455.67</v>
      </c>
      <c r="J13973" s="411">
        <v>4352.42</v>
      </c>
      <c r="K13973" s="411">
        <v>1651.74</v>
      </c>
      <c r="L13973" s="43">
        <v>8.9836370661153371</v>
      </c>
      <c r="M13973" s="43">
        <v>11.5</v>
      </c>
      <c r="N13973" s="43">
        <v>4.7586674392923918</v>
      </c>
      <c r="O13973" s="43">
        <v>4.7276318049115575</v>
      </c>
      <c r="P13973" s="412"/>
      <c r="Q13973" s="412"/>
      <c r="R13973" s="412">
        <v>1</v>
      </c>
    </row>
    <row r="13974" spans="1:18" ht="12.75" customHeight="1">
      <c r="A13974" s="628" t="s">
        <v>25196</v>
      </c>
      <c r="B13974" s="629"/>
      <c r="C13974" s="629"/>
      <c r="D13974" s="629"/>
      <c r="E13974" s="629"/>
      <c r="F13974" s="629"/>
      <c r="G13974" s="629"/>
      <c r="H13974" s="629"/>
      <c r="I13974" s="629"/>
      <c r="J13974" s="629"/>
      <c r="K13974" s="629"/>
      <c r="L13974" s="629"/>
      <c r="M13974" s="629"/>
      <c r="N13974" s="629"/>
      <c r="O13974" s="629"/>
      <c r="P13974" s="629"/>
      <c r="Q13974" s="629"/>
      <c r="R13974" s="629"/>
    </row>
    <row r="13975" spans="1:18" ht="24">
      <c r="A13975" s="408">
        <v>283</v>
      </c>
      <c r="B13975" s="405" t="s">
        <v>25197</v>
      </c>
      <c r="C13975" s="409" t="s">
        <v>25198</v>
      </c>
      <c r="D13975" s="410">
        <v>2559.36</v>
      </c>
      <c r="E13975" s="410">
        <v>1548</v>
      </c>
      <c r="F13975" s="410">
        <v>648.91</v>
      </c>
      <c r="G13975" s="410">
        <v>362.45</v>
      </c>
      <c r="H13975" s="411">
        <v>22734.97</v>
      </c>
      <c r="I13975" s="411">
        <v>17802</v>
      </c>
      <c r="J13975" s="411">
        <v>3228.13</v>
      </c>
      <c r="K13975" s="411">
        <v>1704.84</v>
      </c>
      <c r="L13975" s="43">
        <v>8.883068423355839</v>
      </c>
      <c r="M13975" s="43">
        <v>11.5</v>
      </c>
      <c r="N13975" s="43">
        <v>4.9746960287250932</v>
      </c>
      <c r="O13975" s="43">
        <v>4.7036556766450541</v>
      </c>
      <c r="P13975" s="412"/>
      <c r="Q13975" s="412"/>
      <c r="R13975" s="412">
        <v>2</v>
      </c>
    </row>
    <row r="13976" spans="1:18" ht="12.75" customHeight="1">
      <c r="A13976" s="628" t="s">
        <v>25199</v>
      </c>
      <c r="B13976" s="629"/>
      <c r="C13976" s="629"/>
      <c r="D13976" s="629"/>
      <c r="E13976" s="629"/>
      <c r="F13976" s="629"/>
      <c r="G13976" s="629"/>
      <c r="H13976" s="629"/>
      <c r="I13976" s="629"/>
      <c r="J13976" s="629"/>
      <c r="K13976" s="629"/>
      <c r="L13976" s="629"/>
      <c r="M13976" s="629"/>
      <c r="N13976" s="629"/>
      <c r="O13976" s="629"/>
      <c r="P13976" s="629"/>
      <c r="Q13976" s="629"/>
      <c r="R13976" s="629"/>
    </row>
    <row r="13977" spans="1:18" ht="12.75" customHeight="1">
      <c r="A13977" s="628" t="s">
        <v>25200</v>
      </c>
      <c r="B13977" s="629"/>
      <c r="C13977" s="629"/>
      <c r="D13977" s="629"/>
      <c r="E13977" s="629"/>
      <c r="F13977" s="629"/>
      <c r="G13977" s="629"/>
      <c r="H13977" s="629"/>
      <c r="I13977" s="629"/>
      <c r="J13977" s="629"/>
      <c r="K13977" s="629"/>
      <c r="L13977" s="629"/>
      <c r="M13977" s="629"/>
      <c r="N13977" s="629"/>
      <c r="O13977" s="629"/>
      <c r="P13977" s="629"/>
      <c r="Q13977" s="629"/>
      <c r="R13977" s="629"/>
    </row>
    <row r="13978" spans="1:18" ht="24">
      <c r="A13978" s="408">
        <v>284</v>
      </c>
      <c r="B13978" s="405" t="s">
        <v>25201</v>
      </c>
      <c r="C13978" s="409" t="s">
        <v>25202</v>
      </c>
      <c r="D13978" s="410">
        <v>3565.68</v>
      </c>
      <c r="E13978" s="410">
        <v>2100.4499999999998</v>
      </c>
      <c r="F13978" s="410">
        <v>889.98</v>
      </c>
      <c r="G13978" s="410">
        <v>575.25</v>
      </c>
      <c r="H13978" s="411">
        <v>31258.85</v>
      </c>
      <c r="I13978" s="411">
        <v>24156.18</v>
      </c>
      <c r="J13978" s="411">
        <v>4563.2700000000004</v>
      </c>
      <c r="K13978" s="411">
        <v>2539.4</v>
      </c>
      <c r="L13978" s="43">
        <v>8.7665887011734078</v>
      </c>
      <c r="M13978" s="43">
        <v>11.500478468899523</v>
      </c>
      <c r="N13978" s="43">
        <v>5.1273848850535968</v>
      </c>
      <c r="O13978" s="43">
        <v>4.4144285093437636</v>
      </c>
      <c r="P13978" s="412"/>
      <c r="Q13978" s="412"/>
      <c r="R13978" s="412">
        <v>1</v>
      </c>
    </row>
    <row r="13979" spans="1:18" ht="12.75" customHeight="1">
      <c r="A13979" s="628" t="s">
        <v>25203</v>
      </c>
      <c r="B13979" s="629"/>
      <c r="C13979" s="629"/>
      <c r="D13979" s="629"/>
      <c r="E13979" s="629"/>
      <c r="F13979" s="629"/>
      <c r="G13979" s="629"/>
      <c r="H13979" s="629"/>
      <c r="I13979" s="629"/>
      <c r="J13979" s="629"/>
      <c r="K13979" s="629"/>
      <c r="L13979" s="629"/>
      <c r="M13979" s="629"/>
      <c r="N13979" s="629"/>
      <c r="O13979" s="629"/>
      <c r="P13979" s="629"/>
      <c r="Q13979" s="629"/>
      <c r="R13979" s="629"/>
    </row>
    <row r="13980" spans="1:18" ht="24">
      <c r="A13980" s="408">
        <v>285</v>
      </c>
      <c r="B13980" s="405" t="s">
        <v>25204</v>
      </c>
      <c r="C13980" s="409" t="s">
        <v>25205</v>
      </c>
      <c r="D13980" s="410">
        <v>1824.24</v>
      </c>
      <c r="E13980" s="410">
        <v>1203.24</v>
      </c>
      <c r="F13980" s="410">
        <v>532</v>
      </c>
      <c r="G13980" s="410">
        <v>89</v>
      </c>
      <c r="H13980" s="411">
        <v>17390.88</v>
      </c>
      <c r="I13980" s="411">
        <v>13837.26</v>
      </c>
      <c r="J13980" s="411">
        <v>2707.75</v>
      </c>
      <c r="K13980" s="411">
        <v>845.87</v>
      </c>
      <c r="L13980" s="43">
        <v>9.5332193132482566</v>
      </c>
      <c r="M13980" s="43">
        <v>11.5</v>
      </c>
      <c r="N13980" s="43">
        <v>5.0897556390977448</v>
      </c>
      <c r="O13980" s="43">
        <v>9.5041573033707873</v>
      </c>
      <c r="P13980" s="412"/>
      <c r="Q13980" s="412"/>
      <c r="R13980" s="412">
        <v>2</v>
      </c>
    </row>
    <row r="13981" spans="1:18" ht="12.75" customHeight="1">
      <c r="A13981" s="628" t="s">
        <v>25206</v>
      </c>
      <c r="B13981" s="629"/>
      <c r="C13981" s="629"/>
      <c r="D13981" s="629"/>
      <c r="E13981" s="629"/>
      <c r="F13981" s="629"/>
      <c r="G13981" s="629"/>
      <c r="H13981" s="629"/>
      <c r="I13981" s="629"/>
      <c r="J13981" s="629"/>
      <c r="K13981" s="629"/>
      <c r="L13981" s="629"/>
      <c r="M13981" s="629"/>
      <c r="N13981" s="629"/>
      <c r="O13981" s="629"/>
      <c r="P13981" s="629"/>
      <c r="Q13981" s="629"/>
      <c r="R13981" s="629"/>
    </row>
    <row r="13982" spans="1:18" ht="36">
      <c r="A13982" s="408">
        <v>286</v>
      </c>
      <c r="B13982" s="405" t="s">
        <v>25207</v>
      </c>
      <c r="C13982" s="409" t="s">
        <v>25208</v>
      </c>
      <c r="D13982" s="410">
        <v>4025.25</v>
      </c>
      <c r="E13982" s="410">
        <v>2278.1</v>
      </c>
      <c r="F13982" s="410">
        <v>1094.3399999999999</v>
      </c>
      <c r="G13982" s="410">
        <v>652.80999999999995</v>
      </c>
      <c r="H13982" s="411">
        <v>34738.47</v>
      </c>
      <c r="I13982" s="411">
        <v>26199.24</v>
      </c>
      <c r="J13982" s="411">
        <v>5673.85</v>
      </c>
      <c r="K13982" s="411">
        <v>2865.38</v>
      </c>
      <c r="L13982" s="43">
        <v>8.6301397428731139</v>
      </c>
      <c r="M13982" s="43">
        <v>11.500478468899523</v>
      </c>
      <c r="N13982" s="43">
        <v>5.1847232121644105</v>
      </c>
      <c r="O13982" s="43">
        <v>4.3893016344725115</v>
      </c>
      <c r="P13982" s="412"/>
      <c r="Q13982" s="412"/>
      <c r="R13982" s="412">
        <v>3</v>
      </c>
    </row>
    <row r="13983" spans="1:18" ht="48">
      <c r="A13983" s="408">
        <v>287</v>
      </c>
      <c r="B13983" s="405" t="s">
        <v>25209</v>
      </c>
      <c r="C13983" s="409" t="s">
        <v>25210</v>
      </c>
      <c r="D13983" s="410">
        <v>448.42</v>
      </c>
      <c r="E13983" s="410">
        <v>185.39</v>
      </c>
      <c r="F13983" s="410">
        <v>185.31</v>
      </c>
      <c r="G13983" s="410">
        <v>77.72</v>
      </c>
      <c r="H13983" s="411">
        <v>3442.62</v>
      </c>
      <c r="I13983" s="411">
        <v>2132.1</v>
      </c>
      <c r="J13983" s="411">
        <v>982.69</v>
      </c>
      <c r="K13983" s="411">
        <v>327.83</v>
      </c>
      <c r="L13983" s="43">
        <v>7.6772222470005795</v>
      </c>
      <c r="M13983" s="43">
        <v>11.50062031393279</v>
      </c>
      <c r="N13983" s="43">
        <v>5.3029518104797368</v>
      </c>
      <c r="O13983" s="43">
        <v>4.2180905815748844</v>
      </c>
      <c r="P13983" s="412"/>
      <c r="Q13983" s="412"/>
      <c r="R13983" s="412">
        <v>3</v>
      </c>
    </row>
    <row r="13984" spans="1:18" ht="48">
      <c r="A13984" s="408">
        <v>288</v>
      </c>
      <c r="B13984" s="405" t="s">
        <v>25211</v>
      </c>
      <c r="C13984" s="409" t="s">
        <v>25212</v>
      </c>
      <c r="D13984" s="410">
        <v>3584.73</v>
      </c>
      <c r="E13984" s="410">
        <v>2100.4499999999998</v>
      </c>
      <c r="F13984" s="410">
        <v>909.03</v>
      </c>
      <c r="G13984" s="410">
        <v>575.25</v>
      </c>
      <c r="H13984" s="411">
        <v>31386.73</v>
      </c>
      <c r="I13984" s="411">
        <v>24156.18</v>
      </c>
      <c r="J13984" s="411">
        <v>4691.1499999999996</v>
      </c>
      <c r="K13984" s="411">
        <v>2539.4</v>
      </c>
      <c r="L13984" s="43">
        <v>8.7556747649055851</v>
      </c>
      <c r="M13984" s="43">
        <v>11.500478468899523</v>
      </c>
      <c r="N13984" s="43">
        <v>5.1606107609209815</v>
      </c>
      <c r="O13984" s="43">
        <v>4.4144285093437636</v>
      </c>
      <c r="P13984" s="412"/>
      <c r="Q13984" s="412"/>
      <c r="R13984" s="412">
        <v>3</v>
      </c>
    </row>
    <row r="13985" spans="1:18" ht="24">
      <c r="A13985" s="408">
        <v>289</v>
      </c>
      <c r="B13985" s="405" t="s">
        <v>25213</v>
      </c>
      <c r="C13985" s="409" t="s">
        <v>25214</v>
      </c>
      <c r="D13985" s="410">
        <v>5355.69</v>
      </c>
      <c r="E13985" s="410">
        <v>3205.74</v>
      </c>
      <c r="F13985" s="410">
        <v>1376.27</v>
      </c>
      <c r="G13985" s="410">
        <v>773.68</v>
      </c>
      <c r="H13985" s="411">
        <v>47383.46</v>
      </c>
      <c r="I13985" s="411">
        <v>36866.01</v>
      </c>
      <c r="J13985" s="411">
        <v>7050.89</v>
      </c>
      <c r="K13985" s="411">
        <v>3466.56</v>
      </c>
      <c r="L13985" s="43">
        <v>8.8473119243272116</v>
      </c>
      <c r="M13985" s="43">
        <v>11.500000000000002</v>
      </c>
      <c r="N13985" s="43">
        <v>5.123188037231067</v>
      </c>
      <c r="O13985" s="43">
        <v>4.4806121393857925</v>
      </c>
      <c r="P13985" s="412"/>
      <c r="Q13985" s="412"/>
      <c r="R13985" s="412">
        <v>3</v>
      </c>
    </row>
    <row r="13986" spans="1:18" ht="48">
      <c r="A13986" s="408">
        <v>290</v>
      </c>
      <c r="B13986" s="405" t="s">
        <v>25215</v>
      </c>
      <c r="C13986" s="409" t="s">
        <v>25216</v>
      </c>
      <c r="D13986" s="410">
        <v>1452.22</v>
      </c>
      <c r="E13986" s="410">
        <v>879.2</v>
      </c>
      <c r="F13986" s="410">
        <v>422.47</v>
      </c>
      <c r="G13986" s="410">
        <v>150.55000000000001</v>
      </c>
      <c r="H13986" s="411">
        <v>12947.41</v>
      </c>
      <c r="I13986" s="411">
        <v>10110.780000000001</v>
      </c>
      <c r="J13986" s="411">
        <v>2123.37</v>
      </c>
      <c r="K13986" s="411">
        <v>713.26</v>
      </c>
      <c r="L13986" s="43">
        <v>8.9155981876024288</v>
      </c>
      <c r="M13986" s="43">
        <v>11.499977252047316</v>
      </c>
      <c r="N13986" s="43">
        <v>5.0260846924041935</v>
      </c>
      <c r="O13986" s="43">
        <v>4.7376951179010289</v>
      </c>
      <c r="P13986" s="412"/>
      <c r="Q13986" s="412"/>
      <c r="R13986" s="412">
        <v>3</v>
      </c>
    </row>
    <row r="13987" spans="1:18" ht="48">
      <c r="A13987" s="408">
        <v>291</v>
      </c>
      <c r="B13987" s="405" t="s">
        <v>25217</v>
      </c>
      <c r="C13987" s="409" t="s">
        <v>25218</v>
      </c>
      <c r="D13987" s="410">
        <v>296.77999999999997</v>
      </c>
      <c r="E13987" s="410">
        <v>204.56</v>
      </c>
      <c r="F13987" s="410">
        <v>44.77</v>
      </c>
      <c r="G13987" s="410">
        <v>47.45</v>
      </c>
      <c r="H13987" s="411">
        <v>2797.88</v>
      </c>
      <c r="I13987" s="411">
        <v>2352.5500000000002</v>
      </c>
      <c r="J13987" s="411">
        <v>236.37</v>
      </c>
      <c r="K13987" s="411">
        <v>208.96</v>
      </c>
      <c r="L13987" s="43">
        <v>9.4274546802345185</v>
      </c>
      <c r="M13987" s="43">
        <v>11.500537739538522</v>
      </c>
      <c r="N13987" s="43">
        <v>5.2796515523788248</v>
      </c>
      <c r="O13987" s="43">
        <v>4.4037934668071657</v>
      </c>
      <c r="P13987" s="412"/>
      <c r="Q13987" s="412"/>
      <c r="R13987" s="412">
        <v>3</v>
      </c>
    </row>
    <row r="13988" spans="1:18" ht="12.75" customHeight="1">
      <c r="A13988" s="628" t="s">
        <v>25219</v>
      </c>
      <c r="B13988" s="629"/>
      <c r="C13988" s="629"/>
      <c r="D13988" s="629"/>
      <c r="E13988" s="629"/>
      <c r="F13988" s="629"/>
      <c r="G13988" s="629"/>
      <c r="H13988" s="629"/>
      <c r="I13988" s="629"/>
      <c r="J13988" s="629"/>
      <c r="K13988" s="629"/>
      <c r="L13988" s="629"/>
      <c r="M13988" s="629"/>
      <c r="N13988" s="629"/>
      <c r="O13988" s="629"/>
      <c r="P13988" s="629"/>
      <c r="Q13988" s="629"/>
      <c r="R13988" s="629"/>
    </row>
    <row r="13989" spans="1:18" ht="12.75" customHeight="1">
      <c r="A13989" s="628" t="s">
        <v>25220</v>
      </c>
      <c r="B13989" s="629"/>
      <c r="C13989" s="629"/>
      <c r="D13989" s="629"/>
      <c r="E13989" s="629"/>
      <c r="F13989" s="629"/>
      <c r="G13989" s="629"/>
      <c r="H13989" s="629"/>
      <c r="I13989" s="629"/>
      <c r="J13989" s="629"/>
      <c r="K13989" s="629"/>
      <c r="L13989" s="629"/>
      <c r="M13989" s="629"/>
      <c r="N13989" s="629"/>
      <c r="O13989" s="629"/>
      <c r="P13989" s="629"/>
      <c r="Q13989" s="629"/>
      <c r="R13989" s="629"/>
    </row>
    <row r="13990" spans="1:18" ht="24">
      <c r="A13990" s="408">
        <v>292</v>
      </c>
      <c r="B13990" s="405" t="s">
        <v>25221</v>
      </c>
      <c r="C13990" s="409" t="s">
        <v>25222</v>
      </c>
      <c r="D13990" s="410">
        <v>1170.21</v>
      </c>
      <c r="E13990" s="410">
        <v>606.30999999999995</v>
      </c>
      <c r="F13990" s="410">
        <v>329.45</v>
      </c>
      <c r="G13990" s="410">
        <v>234.45</v>
      </c>
      <c r="H13990" s="411">
        <v>9696.7199999999993</v>
      </c>
      <c r="I13990" s="411">
        <v>6972.81</v>
      </c>
      <c r="J13990" s="411">
        <v>1698.44</v>
      </c>
      <c r="K13990" s="411">
        <v>1025.47</v>
      </c>
      <c r="L13990" s="43">
        <v>8.28630758581793</v>
      </c>
      <c r="M13990" s="43">
        <v>11.500404083719552</v>
      </c>
      <c r="N13990" s="43">
        <v>5.1553801790863565</v>
      </c>
      <c r="O13990" s="43">
        <v>4.3739390061846883</v>
      </c>
      <c r="P13990" s="412"/>
      <c r="Q13990" s="412"/>
      <c r="R13990" s="412">
        <v>1</v>
      </c>
    </row>
    <row r="13991" spans="1:18" ht="24">
      <c r="A13991" s="408">
        <v>293</v>
      </c>
      <c r="B13991" s="405" t="s">
        <v>25223</v>
      </c>
      <c r="C13991" s="409" t="s">
        <v>25224</v>
      </c>
      <c r="D13991" s="410">
        <v>1445.88</v>
      </c>
      <c r="E13991" s="410">
        <v>902.85</v>
      </c>
      <c r="F13991" s="410">
        <v>341.63</v>
      </c>
      <c r="G13991" s="410">
        <v>201.4</v>
      </c>
      <c r="H13991" s="411">
        <v>13068.63</v>
      </c>
      <c r="I13991" s="411">
        <v>10383.23</v>
      </c>
      <c r="J13991" s="411">
        <v>1674.14</v>
      </c>
      <c r="K13991" s="411">
        <v>1011.26</v>
      </c>
      <c r="L13991" s="43">
        <v>9.0385301684787098</v>
      </c>
      <c r="M13991" s="43">
        <v>11.500503959683224</v>
      </c>
      <c r="N13991" s="43">
        <v>4.9004478529403155</v>
      </c>
      <c r="O13991" s="43">
        <v>5.0211519364448858</v>
      </c>
      <c r="P13991" s="412"/>
      <c r="Q13991" s="412"/>
      <c r="R13991" s="412">
        <v>1</v>
      </c>
    </row>
    <row r="13992" spans="1:18" ht="12.75" customHeight="1">
      <c r="A13992" s="628" t="s">
        <v>19234</v>
      </c>
      <c r="B13992" s="629"/>
      <c r="C13992" s="629"/>
      <c r="D13992" s="629"/>
      <c r="E13992" s="629"/>
      <c r="F13992" s="629"/>
      <c r="G13992" s="629"/>
      <c r="H13992" s="629"/>
      <c r="I13992" s="629"/>
      <c r="J13992" s="629"/>
      <c r="K13992" s="629"/>
      <c r="L13992" s="629"/>
      <c r="M13992" s="629"/>
      <c r="N13992" s="629"/>
      <c r="O13992" s="629"/>
      <c r="P13992" s="629"/>
      <c r="Q13992" s="629"/>
      <c r="R13992" s="629"/>
    </row>
    <row r="13993" spans="1:18" ht="12.75" customHeight="1">
      <c r="A13993" s="628" t="s">
        <v>19144</v>
      </c>
      <c r="B13993" s="629"/>
      <c r="C13993" s="629"/>
      <c r="D13993" s="629"/>
      <c r="E13993" s="629"/>
      <c r="F13993" s="629"/>
      <c r="G13993" s="629"/>
      <c r="H13993" s="629"/>
      <c r="I13993" s="629"/>
      <c r="J13993" s="629"/>
      <c r="K13993" s="629"/>
      <c r="L13993" s="629"/>
      <c r="M13993" s="629"/>
      <c r="N13993" s="629"/>
      <c r="O13993" s="629"/>
      <c r="P13993" s="629"/>
      <c r="Q13993" s="629"/>
      <c r="R13993" s="629"/>
    </row>
    <row r="13994" spans="1:18" ht="24">
      <c r="A13994" s="408">
        <v>294</v>
      </c>
      <c r="B13994" s="405" t="s">
        <v>25225</v>
      </c>
      <c r="C13994" s="409" t="s">
        <v>25226</v>
      </c>
      <c r="D13994" s="410">
        <v>386.31</v>
      </c>
      <c r="E13994" s="410">
        <v>178.8</v>
      </c>
      <c r="F13994" s="410">
        <v>75.3</v>
      </c>
      <c r="G13994" s="410">
        <v>132.21</v>
      </c>
      <c r="H13994" s="411">
        <v>3100.18</v>
      </c>
      <c r="I13994" s="411">
        <v>2056.2199999999998</v>
      </c>
      <c r="J13994" s="411">
        <v>391.49</v>
      </c>
      <c r="K13994" s="411">
        <v>652.47</v>
      </c>
      <c r="L13994" s="43">
        <v>8.0251093681240455</v>
      </c>
      <c r="M13994" s="43">
        <v>11.500111856823265</v>
      </c>
      <c r="N13994" s="43">
        <v>5.1990703851261619</v>
      </c>
      <c r="O13994" s="43">
        <v>4.9351032448377579</v>
      </c>
      <c r="P13994" s="412"/>
      <c r="Q13994" s="412"/>
      <c r="R13994" s="412">
        <v>1</v>
      </c>
    </row>
    <row r="13995" spans="1:18" ht="24">
      <c r="A13995" s="408">
        <v>295</v>
      </c>
      <c r="B13995" s="405" t="s">
        <v>25227</v>
      </c>
      <c r="C13995" s="409" t="s">
        <v>25228</v>
      </c>
      <c r="D13995" s="410">
        <v>1228.31</v>
      </c>
      <c r="E13995" s="410">
        <v>759.64</v>
      </c>
      <c r="F13995" s="410">
        <v>321.45999999999998</v>
      </c>
      <c r="G13995" s="410">
        <v>147.21</v>
      </c>
      <c r="H13995" s="411">
        <v>10993.07</v>
      </c>
      <c r="I13995" s="411">
        <v>8735.91</v>
      </c>
      <c r="J13995" s="411">
        <v>1579.72</v>
      </c>
      <c r="K13995" s="411">
        <v>677.44</v>
      </c>
      <c r="L13995" s="43">
        <v>8.9497520984116381</v>
      </c>
      <c r="M13995" s="43">
        <v>11.500065820651887</v>
      </c>
      <c r="N13995" s="43">
        <v>4.9142039445032042</v>
      </c>
      <c r="O13995" s="43">
        <v>4.6018612865973783</v>
      </c>
      <c r="P13995" s="412"/>
      <c r="Q13995" s="412"/>
      <c r="R13995" s="412">
        <v>1</v>
      </c>
    </row>
    <row r="13996" spans="1:18" ht="24">
      <c r="A13996" s="408">
        <v>296</v>
      </c>
      <c r="B13996" s="405" t="s">
        <v>25229</v>
      </c>
      <c r="C13996" s="409" t="s">
        <v>25230</v>
      </c>
      <c r="D13996" s="410">
        <v>2454.88</v>
      </c>
      <c r="E13996" s="410">
        <v>1587</v>
      </c>
      <c r="F13996" s="410">
        <v>601.16</v>
      </c>
      <c r="G13996" s="410">
        <v>266.72000000000003</v>
      </c>
      <c r="H13996" s="411">
        <v>22389.43</v>
      </c>
      <c r="I13996" s="411">
        <v>18250.5</v>
      </c>
      <c r="J13996" s="411">
        <v>2877.67</v>
      </c>
      <c r="K13996" s="411">
        <v>1261.26</v>
      </c>
      <c r="L13996" s="43">
        <v>9.1203765560842083</v>
      </c>
      <c r="M13996" s="43">
        <v>11.5</v>
      </c>
      <c r="N13996" s="43">
        <v>4.7868620666711026</v>
      </c>
      <c r="O13996" s="43">
        <v>4.7287792441511689</v>
      </c>
      <c r="P13996" s="412"/>
      <c r="Q13996" s="412"/>
      <c r="R13996" s="412">
        <v>1</v>
      </c>
    </row>
    <row r="13997" spans="1:18" ht="24">
      <c r="A13997" s="413">
        <v>297</v>
      </c>
      <c r="B13997" s="414" t="s">
        <v>25231</v>
      </c>
      <c r="C13997" s="415" t="s">
        <v>25232</v>
      </c>
      <c r="D13997" s="416">
        <v>1297.75</v>
      </c>
      <c r="E13997" s="416">
        <v>766.29</v>
      </c>
      <c r="F13997" s="416">
        <v>497.36</v>
      </c>
      <c r="G13997" s="416">
        <v>34.1</v>
      </c>
      <c r="H13997" s="417">
        <v>11795.99</v>
      </c>
      <c r="I13997" s="417">
        <v>8812.69</v>
      </c>
      <c r="J13997" s="417">
        <v>2642.5</v>
      </c>
      <c r="K13997" s="417">
        <v>340.8</v>
      </c>
      <c r="L13997" s="611">
        <v>9.0895704103255639</v>
      </c>
      <c r="M13997" s="611">
        <v>11.50046327108536</v>
      </c>
      <c r="N13997" s="611">
        <v>5.3130529194145089</v>
      </c>
      <c r="O13997" s="611">
        <v>9.9941348973607038</v>
      </c>
      <c r="P13997" s="418"/>
      <c r="Q13997" s="418"/>
      <c r="R13997" s="418">
        <v>1</v>
      </c>
    </row>
    <row r="13998" spans="1:18" ht="12.75" customHeight="1">
      <c r="A13998" s="630" t="s">
        <v>25233</v>
      </c>
      <c r="B13998" s="631"/>
      <c r="C13998" s="631"/>
      <c r="D13998" s="631"/>
      <c r="E13998" s="631"/>
      <c r="F13998" s="631"/>
      <c r="G13998" s="631"/>
      <c r="H13998" s="631"/>
      <c r="I13998" s="631"/>
      <c r="J13998" s="631"/>
      <c r="K13998" s="631"/>
      <c r="L13998" s="631"/>
      <c r="M13998" s="631"/>
      <c r="N13998" s="631"/>
      <c r="O13998" s="631"/>
      <c r="P13998" s="631"/>
      <c r="Q13998" s="631"/>
      <c r="R13998" s="631"/>
    </row>
    <row r="13999" spans="1:18" ht="12.75" customHeight="1">
      <c r="A13999" s="628" t="s">
        <v>25234</v>
      </c>
      <c r="B13999" s="629"/>
      <c r="C13999" s="629"/>
      <c r="D13999" s="629"/>
      <c r="E13999" s="629"/>
      <c r="F13999" s="629"/>
      <c r="G13999" s="629"/>
      <c r="H13999" s="629"/>
      <c r="I13999" s="629"/>
      <c r="J13999" s="629"/>
      <c r="K13999" s="629"/>
      <c r="L13999" s="629"/>
      <c r="M13999" s="629"/>
      <c r="N13999" s="629"/>
      <c r="O13999" s="629"/>
      <c r="P13999" s="629"/>
      <c r="Q13999" s="629"/>
      <c r="R13999" s="629"/>
    </row>
    <row r="14000" spans="1:18" ht="12.75" customHeight="1">
      <c r="A14000" s="628" t="s">
        <v>25235</v>
      </c>
      <c r="B14000" s="629"/>
      <c r="C14000" s="629"/>
      <c r="D14000" s="629"/>
      <c r="E14000" s="629"/>
      <c r="F14000" s="629"/>
      <c r="G14000" s="629"/>
      <c r="H14000" s="629"/>
      <c r="I14000" s="629"/>
      <c r="J14000" s="629"/>
      <c r="K14000" s="629"/>
      <c r="L14000" s="629"/>
      <c r="M14000" s="629"/>
      <c r="N14000" s="629"/>
      <c r="O14000" s="629"/>
      <c r="P14000" s="629"/>
      <c r="Q14000" s="629"/>
      <c r="R14000" s="629"/>
    </row>
    <row r="14001" spans="1:18" ht="24">
      <c r="A14001" s="408">
        <v>298</v>
      </c>
      <c r="B14001" s="405" t="s">
        <v>25236</v>
      </c>
      <c r="C14001" s="409" t="s">
        <v>25237</v>
      </c>
      <c r="D14001" s="410">
        <v>442.85</v>
      </c>
      <c r="E14001" s="410">
        <v>304.60000000000002</v>
      </c>
      <c r="F14001" s="410">
        <v>73.73</v>
      </c>
      <c r="G14001" s="410">
        <v>64.52</v>
      </c>
      <c r="H14001" s="411">
        <v>4190.3599999999997</v>
      </c>
      <c r="I14001" s="411">
        <v>3502.95</v>
      </c>
      <c r="J14001" s="411">
        <v>396.09</v>
      </c>
      <c r="K14001" s="411">
        <v>291.32</v>
      </c>
      <c r="L14001" s="43">
        <v>9.4622558428361732</v>
      </c>
      <c r="M14001" s="43">
        <v>11.500164149704529</v>
      </c>
      <c r="N14001" s="43">
        <v>5.3721687237216864</v>
      </c>
      <c r="O14001" s="43">
        <v>4.5151890886546813</v>
      </c>
      <c r="P14001" s="412"/>
      <c r="Q14001" s="412"/>
      <c r="R14001" s="412">
        <v>1</v>
      </c>
    </row>
    <row r="14002" spans="1:18" ht="24">
      <c r="A14002" s="408">
        <v>299</v>
      </c>
      <c r="B14002" s="405" t="s">
        <v>25238</v>
      </c>
      <c r="C14002" s="409" t="s">
        <v>25239</v>
      </c>
      <c r="D14002" s="410">
        <v>711.92</v>
      </c>
      <c r="E14002" s="410">
        <v>461.78</v>
      </c>
      <c r="F14002" s="410">
        <v>148.88</v>
      </c>
      <c r="G14002" s="410">
        <v>101.26</v>
      </c>
      <c r="H14002" s="411">
        <v>6583.6</v>
      </c>
      <c r="I14002" s="411">
        <v>5310.52</v>
      </c>
      <c r="J14002" s="411">
        <v>796.49</v>
      </c>
      <c r="K14002" s="411">
        <v>476.59</v>
      </c>
      <c r="L14002" s="43">
        <v>9.2476682773345331</v>
      </c>
      <c r="M14002" s="43">
        <v>11.500108276668545</v>
      </c>
      <c r="N14002" s="43">
        <v>5.3498790972595378</v>
      </c>
      <c r="O14002" s="43">
        <v>4.7065968793205606</v>
      </c>
      <c r="P14002" s="412"/>
      <c r="Q14002" s="412"/>
      <c r="R14002" s="412">
        <v>1</v>
      </c>
    </row>
    <row r="14003" spans="1:18" ht="24">
      <c r="A14003" s="408">
        <v>300</v>
      </c>
      <c r="B14003" s="405" t="s">
        <v>25240</v>
      </c>
      <c r="C14003" s="409" t="s">
        <v>25241</v>
      </c>
      <c r="D14003" s="410">
        <v>821.21</v>
      </c>
      <c r="E14003" s="410">
        <v>504.62</v>
      </c>
      <c r="F14003" s="410">
        <v>171.71</v>
      </c>
      <c r="G14003" s="410">
        <v>144.88</v>
      </c>
      <c r="H14003" s="411">
        <v>7367.15</v>
      </c>
      <c r="I14003" s="411">
        <v>5803.36</v>
      </c>
      <c r="J14003" s="411">
        <v>920.72</v>
      </c>
      <c r="K14003" s="411">
        <v>643.07000000000005</v>
      </c>
      <c r="L14003" s="43">
        <v>8.9710914382435671</v>
      </c>
      <c r="M14003" s="43">
        <v>11.500455788514129</v>
      </c>
      <c r="N14003" s="43">
        <v>5.3620639450235865</v>
      </c>
      <c r="O14003" s="43">
        <v>4.4386388735505253</v>
      </c>
      <c r="P14003" s="412"/>
      <c r="Q14003" s="412"/>
      <c r="R14003" s="412">
        <v>1</v>
      </c>
    </row>
    <row r="14004" spans="1:18" ht="24">
      <c r="A14004" s="408">
        <v>301</v>
      </c>
      <c r="B14004" s="405" t="s">
        <v>25242</v>
      </c>
      <c r="C14004" s="409" t="s">
        <v>25243</v>
      </c>
      <c r="D14004" s="410">
        <v>1132.43</v>
      </c>
      <c r="E14004" s="410">
        <v>652.79</v>
      </c>
      <c r="F14004" s="410">
        <v>305.56</v>
      </c>
      <c r="G14004" s="410">
        <v>174.08</v>
      </c>
      <c r="H14004" s="411">
        <v>9899.5</v>
      </c>
      <c r="I14004" s="411">
        <v>7507.04</v>
      </c>
      <c r="J14004" s="411">
        <v>1630.76</v>
      </c>
      <c r="K14004" s="411">
        <v>761.7</v>
      </c>
      <c r="L14004" s="43">
        <v>8.7418206864883476</v>
      </c>
      <c r="M14004" s="43">
        <v>11.499931065120483</v>
      </c>
      <c r="N14004" s="43">
        <v>5.3369550988349257</v>
      </c>
      <c r="O14004" s="43">
        <v>4.3755744485294121</v>
      </c>
      <c r="P14004" s="412"/>
      <c r="Q14004" s="412"/>
      <c r="R14004" s="412">
        <v>1</v>
      </c>
    </row>
    <row r="14005" spans="1:18" ht="12.75" customHeight="1">
      <c r="A14005" s="628" t="s">
        <v>25244</v>
      </c>
      <c r="B14005" s="629"/>
      <c r="C14005" s="629"/>
      <c r="D14005" s="629"/>
      <c r="E14005" s="629"/>
      <c r="F14005" s="629"/>
      <c r="G14005" s="629"/>
      <c r="H14005" s="629"/>
      <c r="I14005" s="629"/>
      <c r="J14005" s="629"/>
      <c r="K14005" s="629"/>
      <c r="L14005" s="629"/>
      <c r="M14005" s="629"/>
      <c r="N14005" s="629"/>
      <c r="O14005" s="629"/>
      <c r="P14005" s="629"/>
      <c r="Q14005" s="629"/>
      <c r="R14005" s="629"/>
    </row>
    <row r="14006" spans="1:18" ht="12.75" customHeight="1">
      <c r="A14006" s="628" t="s">
        <v>25245</v>
      </c>
      <c r="B14006" s="629"/>
      <c r="C14006" s="629"/>
      <c r="D14006" s="629"/>
      <c r="E14006" s="629"/>
      <c r="F14006" s="629"/>
      <c r="G14006" s="629"/>
      <c r="H14006" s="629"/>
      <c r="I14006" s="629"/>
      <c r="J14006" s="629"/>
      <c r="K14006" s="629"/>
      <c r="L14006" s="629"/>
      <c r="M14006" s="629"/>
      <c r="N14006" s="629"/>
      <c r="O14006" s="629"/>
      <c r="P14006" s="629"/>
      <c r="Q14006" s="629"/>
      <c r="R14006" s="629"/>
    </row>
    <row r="14007" spans="1:18" ht="24">
      <c r="A14007" s="408">
        <v>302</v>
      </c>
      <c r="B14007" s="405" t="s">
        <v>25246</v>
      </c>
      <c r="C14007" s="409" t="s">
        <v>25247</v>
      </c>
      <c r="D14007" s="410">
        <v>527.69000000000005</v>
      </c>
      <c r="E14007" s="410">
        <v>428.28</v>
      </c>
      <c r="F14007" s="410">
        <v>43.31</v>
      </c>
      <c r="G14007" s="410">
        <v>56.1</v>
      </c>
      <c r="H14007" s="411">
        <v>5426.74</v>
      </c>
      <c r="I14007" s="411">
        <v>4925.22</v>
      </c>
      <c r="J14007" s="411">
        <v>226.34</v>
      </c>
      <c r="K14007" s="411">
        <v>275.18</v>
      </c>
      <c r="L14007" s="43">
        <v>10.283954594553618</v>
      </c>
      <c r="M14007" s="43">
        <v>11.500000000000002</v>
      </c>
      <c r="N14007" s="43">
        <v>5.2260447933502654</v>
      </c>
      <c r="O14007" s="43">
        <v>4.9051693404634582</v>
      </c>
      <c r="P14007" s="412"/>
      <c r="Q14007" s="412"/>
      <c r="R14007" s="412">
        <v>1</v>
      </c>
    </row>
    <row r="14008" spans="1:18" ht="24">
      <c r="A14008" s="408">
        <v>303</v>
      </c>
      <c r="B14008" s="405" t="s">
        <v>25248</v>
      </c>
      <c r="C14008" s="409" t="s">
        <v>25249</v>
      </c>
      <c r="D14008" s="410">
        <v>551.73</v>
      </c>
      <c r="E14008" s="410">
        <v>312.7</v>
      </c>
      <c r="F14008" s="410">
        <v>145.86000000000001</v>
      </c>
      <c r="G14008" s="410">
        <v>93.17</v>
      </c>
      <c r="H14008" s="411">
        <v>4780.0200000000004</v>
      </c>
      <c r="I14008" s="411">
        <v>3596</v>
      </c>
      <c r="J14008" s="411">
        <v>786.51</v>
      </c>
      <c r="K14008" s="411">
        <v>397.51</v>
      </c>
      <c r="L14008" s="43">
        <v>8.6636941982491447</v>
      </c>
      <c r="M14008" s="43">
        <v>11.499840102334506</v>
      </c>
      <c r="N14008" s="43">
        <v>5.3922254216371854</v>
      </c>
      <c r="O14008" s="43">
        <v>4.2665020929483735</v>
      </c>
      <c r="P14008" s="412"/>
      <c r="Q14008" s="412"/>
      <c r="R14008" s="412">
        <v>1</v>
      </c>
    </row>
    <row r="14009" spans="1:18" ht="12.75" customHeight="1">
      <c r="A14009" s="628" t="s">
        <v>25250</v>
      </c>
      <c r="B14009" s="629"/>
      <c r="C14009" s="629"/>
      <c r="D14009" s="629"/>
      <c r="E14009" s="629"/>
      <c r="F14009" s="629"/>
      <c r="G14009" s="629"/>
      <c r="H14009" s="629"/>
      <c r="I14009" s="629"/>
      <c r="J14009" s="629"/>
      <c r="K14009" s="629"/>
      <c r="L14009" s="629"/>
      <c r="M14009" s="629"/>
      <c r="N14009" s="629"/>
      <c r="O14009" s="629"/>
      <c r="P14009" s="629"/>
      <c r="Q14009" s="629"/>
      <c r="R14009" s="629"/>
    </row>
    <row r="14010" spans="1:18" ht="24">
      <c r="A14010" s="408">
        <v>304</v>
      </c>
      <c r="B14010" s="405" t="s">
        <v>25251</v>
      </c>
      <c r="C14010" s="409" t="s">
        <v>25252</v>
      </c>
      <c r="D14010" s="410">
        <v>614.76</v>
      </c>
      <c r="E14010" s="410">
        <v>452.02</v>
      </c>
      <c r="F14010" s="410">
        <v>93.13</v>
      </c>
      <c r="G14010" s="410">
        <v>69.61</v>
      </c>
      <c r="H14010" s="411">
        <v>6039.86</v>
      </c>
      <c r="I14010" s="411">
        <v>5198.18</v>
      </c>
      <c r="J14010" s="411">
        <v>497.7</v>
      </c>
      <c r="K14010" s="411">
        <v>343.98</v>
      </c>
      <c r="L14010" s="43">
        <v>9.824744615785022</v>
      </c>
      <c r="M14010" s="43">
        <v>11.499889385425424</v>
      </c>
      <c r="N14010" s="43">
        <v>5.3441425963706646</v>
      </c>
      <c r="O14010" s="43">
        <v>4.9415313891682233</v>
      </c>
      <c r="P14010" s="412"/>
      <c r="Q14010" s="412"/>
      <c r="R14010" s="412">
        <v>2</v>
      </c>
    </row>
    <row r="14011" spans="1:18" ht="12.75" customHeight="1">
      <c r="A14011" s="628" t="s">
        <v>25253</v>
      </c>
      <c r="B14011" s="629"/>
      <c r="C14011" s="629"/>
      <c r="D14011" s="629"/>
      <c r="E14011" s="629"/>
      <c r="F14011" s="629"/>
      <c r="G14011" s="629"/>
      <c r="H14011" s="629"/>
      <c r="I14011" s="629"/>
      <c r="J14011" s="629"/>
      <c r="K14011" s="629"/>
      <c r="L14011" s="629"/>
      <c r="M14011" s="629"/>
      <c r="N14011" s="629"/>
      <c r="O14011" s="629"/>
      <c r="P14011" s="629"/>
      <c r="Q14011" s="629"/>
      <c r="R14011" s="629"/>
    </row>
    <row r="14012" spans="1:18" ht="24">
      <c r="A14012" s="408">
        <v>305</v>
      </c>
      <c r="B14012" s="405" t="s">
        <v>25254</v>
      </c>
      <c r="C14012" s="409" t="s">
        <v>25255</v>
      </c>
      <c r="D14012" s="410">
        <v>333.37</v>
      </c>
      <c r="E14012" s="410">
        <v>254.74</v>
      </c>
      <c r="F14012" s="410">
        <v>29.99</v>
      </c>
      <c r="G14012" s="410">
        <v>48.64</v>
      </c>
      <c r="H14012" s="411">
        <v>3311.37</v>
      </c>
      <c r="I14012" s="411">
        <v>2929.51</v>
      </c>
      <c r="J14012" s="411">
        <v>159.72999999999999</v>
      </c>
      <c r="K14012" s="411">
        <v>222.13</v>
      </c>
      <c r="L14012" s="43">
        <v>9.9330173680895104</v>
      </c>
      <c r="M14012" s="43">
        <v>11.5</v>
      </c>
      <c r="N14012" s="43">
        <v>5.3261087029009673</v>
      </c>
      <c r="O14012" s="43">
        <v>4.5668174342105265</v>
      </c>
      <c r="P14012" s="412"/>
      <c r="Q14012" s="412"/>
      <c r="R14012" s="412">
        <v>3</v>
      </c>
    </row>
    <row r="14013" spans="1:18" ht="24">
      <c r="A14013" s="408">
        <v>306</v>
      </c>
      <c r="B14013" s="405" t="s">
        <v>25256</v>
      </c>
      <c r="C14013" s="409" t="s">
        <v>25257</v>
      </c>
      <c r="D14013" s="410">
        <v>467.33</v>
      </c>
      <c r="E14013" s="410">
        <v>311.91000000000003</v>
      </c>
      <c r="F14013" s="410">
        <v>90.98</v>
      </c>
      <c r="G14013" s="410">
        <v>64.44</v>
      </c>
      <c r="H14013" s="411">
        <v>4366.55</v>
      </c>
      <c r="I14013" s="411">
        <v>3586.97</v>
      </c>
      <c r="J14013" s="411">
        <v>488.57</v>
      </c>
      <c r="K14013" s="411">
        <v>291.01</v>
      </c>
      <c r="L14013" s="43">
        <v>9.3436115806817455</v>
      </c>
      <c r="M14013" s="43">
        <v>11.500016030265138</v>
      </c>
      <c r="N14013" s="43">
        <v>5.3700813365574849</v>
      </c>
      <c r="O14013" s="43">
        <v>4.5159838609559282</v>
      </c>
      <c r="P14013" s="412"/>
      <c r="Q14013" s="412"/>
      <c r="R14013" s="412">
        <v>3</v>
      </c>
    </row>
    <row r="14014" spans="1:18" ht="24">
      <c r="A14014" s="408">
        <v>307</v>
      </c>
      <c r="B14014" s="405" t="s">
        <v>25258</v>
      </c>
      <c r="C14014" s="409" t="s">
        <v>25259</v>
      </c>
      <c r="D14014" s="410">
        <v>1992.97</v>
      </c>
      <c r="E14014" s="410">
        <v>526.82000000000005</v>
      </c>
      <c r="F14014" s="410">
        <v>623.89</v>
      </c>
      <c r="G14014" s="410">
        <v>842.26</v>
      </c>
      <c r="H14014" s="411">
        <v>12569.63</v>
      </c>
      <c r="I14014" s="411">
        <v>6058.72</v>
      </c>
      <c r="J14014" s="411">
        <v>3316.86</v>
      </c>
      <c r="K14014" s="411">
        <v>3194.05</v>
      </c>
      <c r="L14014" s="43">
        <v>6.3069840489319953</v>
      </c>
      <c r="M14014" s="43">
        <v>11.500550472647204</v>
      </c>
      <c r="N14014" s="43">
        <v>5.3164179582939299</v>
      </c>
      <c r="O14014" s="43">
        <v>3.7922375513499396</v>
      </c>
      <c r="P14014" s="412"/>
      <c r="Q14014" s="412"/>
      <c r="R14014" s="412">
        <v>3</v>
      </c>
    </row>
    <row r="14015" spans="1:18" ht="24">
      <c r="A14015" s="408">
        <v>308</v>
      </c>
      <c r="B14015" s="405" t="s">
        <v>25260</v>
      </c>
      <c r="C14015" s="409" t="s">
        <v>25261</v>
      </c>
      <c r="D14015" s="410">
        <v>451.43</v>
      </c>
      <c r="E14015" s="410">
        <v>312.73</v>
      </c>
      <c r="F14015" s="410">
        <v>71.73</v>
      </c>
      <c r="G14015" s="410">
        <v>66.97</v>
      </c>
      <c r="H14015" s="411">
        <v>4285.18</v>
      </c>
      <c r="I14015" s="411">
        <v>3596.56</v>
      </c>
      <c r="J14015" s="411">
        <v>375.38</v>
      </c>
      <c r="K14015" s="411">
        <v>313.24</v>
      </c>
      <c r="L14015" s="43">
        <v>9.49245730235031</v>
      </c>
      <c r="M14015" s="43">
        <v>11.500527611677803</v>
      </c>
      <c r="N14015" s="43">
        <v>5.2332357451554437</v>
      </c>
      <c r="O14015" s="43">
        <v>4.6773182021800812</v>
      </c>
      <c r="P14015" s="412"/>
      <c r="Q14015" s="412"/>
      <c r="R14015" s="412">
        <v>3</v>
      </c>
    </row>
    <row r="14016" spans="1:18" ht="24">
      <c r="A14016" s="408">
        <v>309</v>
      </c>
      <c r="B14016" s="405" t="s">
        <v>25262</v>
      </c>
      <c r="C14016" s="409" t="s">
        <v>25263</v>
      </c>
      <c r="D14016" s="410">
        <v>636.36</v>
      </c>
      <c r="E14016" s="410">
        <v>357.62</v>
      </c>
      <c r="F14016" s="410">
        <v>171.13</v>
      </c>
      <c r="G14016" s="410">
        <v>107.61</v>
      </c>
      <c r="H14016" s="411">
        <v>5560.47</v>
      </c>
      <c r="I14016" s="411">
        <v>4112.82</v>
      </c>
      <c r="J14016" s="411">
        <v>921.19</v>
      </c>
      <c r="K14016" s="411">
        <v>526.46</v>
      </c>
      <c r="L14016" s="43">
        <v>8.737931359607769</v>
      </c>
      <c r="M14016" s="43">
        <v>11.500531290196296</v>
      </c>
      <c r="N14016" s="43">
        <v>5.3829836966049207</v>
      </c>
      <c r="O14016" s="43">
        <v>4.8922962549948892</v>
      </c>
      <c r="P14016" s="412"/>
      <c r="Q14016" s="412"/>
      <c r="R14016" s="412">
        <v>3</v>
      </c>
    </row>
    <row r="14017" spans="1:18" ht="24">
      <c r="A14017" s="408">
        <v>310</v>
      </c>
      <c r="B14017" s="405" t="s">
        <v>25264</v>
      </c>
      <c r="C14017" s="409" t="s">
        <v>25265</v>
      </c>
      <c r="D14017" s="410">
        <v>1045.47</v>
      </c>
      <c r="E14017" s="410">
        <v>567.15</v>
      </c>
      <c r="F14017" s="410">
        <v>256.33</v>
      </c>
      <c r="G14017" s="410">
        <v>221.99</v>
      </c>
      <c r="H14017" s="411">
        <v>8864.0400000000009</v>
      </c>
      <c r="I14017" s="411">
        <v>6522.47</v>
      </c>
      <c r="J14017" s="411">
        <v>1382.72</v>
      </c>
      <c r="K14017" s="411">
        <v>958.85</v>
      </c>
      <c r="L14017" s="43">
        <v>8.478521621854286</v>
      </c>
      <c r="M14017" s="43">
        <v>11.500431984483823</v>
      </c>
      <c r="N14017" s="43">
        <v>5.3942964147778261</v>
      </c>
      <c r="O14017" s="43">
        <v>4.3193387089508537</v>
      </c>
      <c r="P14017" s="412"/>
      <c r="Q14017" s="412"/>
      <c r="R14017" s="412">
        <v>3</v>
      </c>
    </row>
    <row r="14018" spans="1:18" ht="24">
      <c r="A14018" s="408">
        <v>311</v>
      </c>
      <c r="B14018" s="405" t="s">
        <v>25266</v>
      </c>
      <c r="C14018" s="409" t="s">
        <v>25267</v>
      </c>
      <c r="D14018" s="410">
        <v>53.7</v>
      </c>
      <c r="E14018" s="410">
        <v>35.22</v>
      </c>
      <c r="F14018" s="410">
        <v>17.78</v>
      </c>
      <c r="G14018" s="410">
        <v>0.7</v>
      </c>
      <c r="H14018" s="411">
        <v>505.9</v>
      </c>
      <c r="I14018" s="411">
        <v>405.01</v>
      </c>
      <c r="J14018" s="411">
        <v>92.84</v>
      </c>
      <c r="K14018" s="411">
        <v>8.0500000000000007</v>
      </c>
      <c r="L14018" s="43">
        <v>9.4208566108007439</v>
      </c>
      <c r="M14018" s="43">
        <v>11.499432140829075</v>
      </c>
      <c r="N14018" s="43">
        <v>5.2215973003374581</v>
      </c>
      <c r="O14018" s="43">
        <v>11.500000000000002</v>
      </c>
      <c r="P14018" s="412"/>
      <c r="Q14018" s="412"/>
      <c r="R14018" s="412">
        <v>3</v>
      </c>
    </row>
    <row r="14019" spans="1:18" ht="24">
      <c r="A14019" s="408">
        <v>312</v>
      </c>
      <c r="B14019" s="405" t="s">
        <v>25268</v>
      </c>
      <c r="C14019" s="409" t="s">
        <v>25269</v>
      </c>
      <c r="D14019" s="410">
        <v>495.78</v>
      </c>
      <c r="E14019" s="410">
        <v>361.86</v>
      </c>
      <c r="F14019" s="410">
        <v>67.45</v>
      </c>
      <c r="G14019" s="410">
        <v>66.47</v>
      </c>
      <c r="H14019" s="411">
        <v>4830.3599999999997</v>
      </c>
      <c r="I14019" s="411">
        <v>4161.3900000000003</v>
      </c>
      <c r="J14019" s="411">
        <v>357.4</v>
      </c>
      <c r="K14019" s="411">
        <v>311.57</v>
      </c>
      <c r="L14019" s="43">
        <v>9.7429505022388962</v>
      </c>
      <c r="M14019" s="43">
        <v>11.5</v>
      </c>
      <c r="N14019" s="43">
        <v>5.2987398072646403</v>
      </c>
      <c r="O14019" s="43">
        <v>4.687377764404995</v>
      </c>
      <c r="P14019" s="412"/>
      <c r="Q14019" s="412"/>
      <c r="R14019" s="412">
        <v>3</v>
      </c>
    </row>
    <row r="14020" spans="1:18" ht="24">
      <c r="A14020" s="408">
        <v>313</v>
      </c>
      <c r="B14020" s="405" t="s">
        <v>25270</v>
      </c>
      <c r="C14020" s="409" t="s">
        <v>25271</v>
      </c>
      <c r="D14020" s="410">
        <v>887.55</v>
      </c>
      <c r="E14020" s="410">
        <v>529.85</v>
      </c>
      <c r="F14020" s="410">
        <v>215.61</v>
      </c>
      <c r="G14020" s="410">
        <v>142.09</v>
      </c>
      <c r="H14020" s="411">
        <v>7859.22</v>
      </c>
      <c r="I14020" s="411">
        <v>6093.53</v>
      </c>
      <c r="J14020" s="411">
        <v>1145.6600000000001</v>
      </c>
      <c r="K14020" s="411">
        <v>620.03</v>
      </c>
      <c r="L14020" s="43">
        <v>8.8549602839276673</v>
      </c>
      <c r="M14020" s="43">
        <v>11.500481268283476</v>
      </c>
      <c r="N14020" s="43">
        <v>5.3135754371318589</v>
      </c>
      <c r="O14020" s="43">
        <v>4.3636427616299525</v>
      </c>
      <c r="P14020" s="412"/>
      <c r="Q14020" s="412"/>
      <c r="R14020" s="412">
        <v>3</v>
      </c>
    </row>
    <row r="14021" spans="1:18" ht="24">
      <c r="A14021" s="408">
        <v>314</v>
      </c>
      <c r="B14021" s="405" t="s">
        <v>25272</v>
      </c>
      <c r="C14021" s="409" t="s">
        <v>25273</v>
      </c>
      <c r="D14021" s="410">
        <v>319.47000000000003</v>
      </c>
      <c r="E14021" s="410">
        <v>243.9</v>
      </c>
      <c r="F14021" s="410">
        <v>26.92</v>
      </c>
      <c r="G14021" s="410">
        <v>48.65</v>
      </c>
      <c r="H14021" s="411">
        <v>3170.11</v>
      </c>
      <c r="I14021" s="411">
        <v>2804.85</v>
      </c>
      <c r="J14021" s="411">
        <v>143.63999999999999</v>
      </c>
      <c r="K14021" s="411">
        <v>221.62</v>
      </c>
      <c r="L14021" s="43">
        <v>9.9230287663943404</v>
      </c>
      <c r="M14021" s="43">
        <v>11.5</v>
      </c>
      <c r="N14021" s="43">
        <v>5.3358098068350657</v>
      </c>
      <c r="O14021" s="43">
        <v>4.5553956834532379</v>
      </c>
      <c r="P14021" s="412"/>
      <c r="Q14021" s="412"/>
      <c r="R14021" s="412">
        <v>3</v>
      </c>
    </row>
    <row r="14022" spans="1:18" ht="12.75" customHeight="1">
      <c r="A14022" s="628" t="s">
        <v>25274</v>
      </c>
      <c r="B14022" s="629"/>
      <c r="C14022" s="629"/>
      <c r="D14022" s="629"/>
      <c r="E14022" s="629"/>
      <c r="F14022" s="629"/>
      <c r="G14022" s="629"/>
      <c r="H14022" s="629"/>
      <c r="I14022" s="629"/>
      <c r="J14022" s="629"/>
      <c r="K14022" s="629"/>
      <c r="L14022" s="629"/>
      <c r="M14022" s="629"/>
      <c r="N14022" s="629"/>
      <c r="O14022" s="629"/>
      <c r="P14022" s="629"/>
      <c r="Q14022" s="629"/>
      <c r="R14022" s="629"/>
    </row>
    <row r="14023" spans="1:18" ht="24">
      <c r="A14023" s="408">
        <v>315</v>
      </c>
      <c r="B14023" s="405" t="s">
        <v>25275</v>
      </c>
      <c r="C14023" s="409" t="s">
        <v>25276</v>
      </c>
      <c r="D14023" s="410">
        <v>187.14</v>
      </c>
      <c r="E14023" s="410">
        <v>113.52</v>
      </c>
      <c r="F14023" s="410">
        <v>28.16</v>
      </c>
      <c r="G14023" s="410">
        <v>45.46</v>
      </c>
      <c r="H14023" s="411">
        <v>1644.32</v>
      </c>
      <c r="I14023" s="411">
        <v>1305.53</v>
      </c>
      <c r="J14023" s="411">
        <v>152.25</v>
      </c>
      <c r="K14023" s="411">
        <v>186.54</v>
      </c>
      <c r="L14023" s="43">
        <v>8.7865768943037299</v>
      </c>
      <c r="M14023" s="43">
        <v>11.500440451021847</v>
      </c>
      <c r="N14023" s="43">
        <v>5.4066051136363633</v>
      </c>
      <c r="O14023" s="43">
        <v>4.1033875934887813</v>
      </c>
      <c r="P14023" s="412"/>
      <c r="Q14023" s="412"/>
      <c r="R14023" s="412">
        <v>4</v>
      </c>
    </row>
    <row r="14024" spans="1:18" ht="12.75" customHeight="1">
      <c r="A14024" s="628" t="s">
        <v>25277</v>
      </c>
      <c r="B14024" s="629"/>
      <c r="C14024" s="629"/>
      <c r="D14024" s="629"/>
      <c r="E14024" s="629"/>
      <c r="F14024" s="629"/>
      <c r="G14024" s="629"/>
      <c r="H14024" s="629"/>
      <c r="I14024" s="629"/>
      <c r="J14024" s="629"/>
      <c r="K14024" s="629"/>
      <c r="L14024" s="629"/>
      <c r="M14024" s="629"/>
      <c r="N14024" s="629"/>
      <c r="O14024" s="629"/>
      <c r="P14024" s="629"/>
      <c r="Q14024" s="629"/>
      <c r="R14024" s="629"/>
    </row>
    <row r="14025" spans="1:18" ht="24">
      <c r="A14025" s="408">
        <v>316</v>
      </c>
      <c r="B14025" s="405" t="s">
        <v>25278</v>
      </c>
      <c r="C14025" s="409" t="s">
        <v>25279</v>
      </c>
      <c r="D14025" s="410">
        <v>1374.84</v>
      </c>
      <c r="E14025" s="410">
        <v>817.17</v>
      </c>
      <c r="F14025" s="410">
        <v>337.94</v>
      </c>
      <c r="G14025" s="410">
        <v>219.73</v>
      </c>
      <c r="H14025" s="411">
        <v>12143.28</v>
      </c>
      <c r="I14025" s="411">
        <v>9397.8700000000008</v>
      </c>
      <c r="J14025" s="411">
        <v>1792.71</v>
      </c>
      <c r="K14025" s="411">
        <v>952.7</v>
      </c>
      <c r="L14025" s="43">
        <v>8.8325041459369835</v>
      </c>
      <c r="M14025" s="43">
        <v>11.500507850263716</v>
      </c>
      <c r="N14025" s="43">
        <v>5.3048174232112206</v>
      </c>
      <c r="O14025" s="43">
        <v>4.3357757247531064</v>
      </c>
      <c r="P14025" s="412"/>
      <c r="Q14025" s="412"/>
      <c r="R14025" s="412">
        <v>5</v>
      </c>
    </row>
    <row r="14026" spans="1:18" ht="12.75" customHeight="1">
      <c r="A14026" s="628" t="s">
        <v>25280</v>
      </c>
      <c r="B14026" s="629"/>
      <c r="C14026" s="629"/>
      <c r="D14026" s="629"/>
      <c r="E14026" s="629"/>
      <c r="F14026" s="629"/>
      <c r="G14026" s="629"/>
      <c r="H14026" s="629"/>
      <c r="I14026" s="629"/>
      <c r="J14026" s="629"/>
      <c r="K14026" s="629"/>
      <c r="L14026" s="629"/>
      <c r="M14026" s="629"/>
      <c r="N14026" s="629"/>
      <c r="O14026" s="629"/>
      <c r="P14026" s="629"/>
      <c r="Q14026" s="629"/>
      <c r="R14026" s="629"/>
    </row>
    <row r="14027" spans="1:18" ht="12.75" customHeight="1">
      <c r="A14027" s="628" t="s">
        <v>25281</v>
      </c>
      <c r="B14027" s="629"/>
      <c r="C14027" s="629"/>
      <c r="D14027" s="629"/>
      <c r="E14027" s="629"/>
      <c r="F14027" s="629"/>
      <c r="G14027" s="629"/>
      <c r="H14027" s="629"/>
      <c r="I14027" s="629"/>
      <c r="J14027" s="629"/>
      <c r="K14027" s="629"/>
      <c r="L14027" s="629"/>
      <c r="M14027" s="629"/>
      <c r="N14027" s="629"/>
      <c r="O14027" s="629"/>
      <c r="P14027" s="629"/>
      <c r="Q14027" s="629"/>
      <c r="R14027" s="629"/>
    </row>
    <row r="14028" spans="1:18" ht="24">
      <c r="A14028" s="408">
        <v>317</v>
      </c>
      <c r="B14028" s="405" t="s">
        <v>25282</v>
      </c>
      <c r="C14028" s="409" t="s">
        <v>25283</v>
      </c>
      <c r="D14028" s="410">
        <v>415.75</v>
      </c>
      <c r="E14028" s="410">
        <v>298.58999999999997</v>
      </c>
      <c r="F14028" s="410">
        <v>64.010000000000005</v>
      </c>
      <c r="G14028" s="410">
        <v>53.15</v>
      </c>
      <c r="H14028" s="411">
        <v>4041.55</v>
      </c>
      <c r="I14028" s="411">
        <v>3433.79</v>
      </c>
      <c r="J14028" s="411">
        <v>343.68</v>
      </c>
      <c r="K14028" s="411">
        <v>264.08</v>
      </c>
      <c r="L14028" s="43">
        <v>9.721106434155141</v>
      </c>
      <c r="M14028" s="43">
        <v>11.500016745369907</v>
      </c>
      <c r="N14028" s="43">
        <v>5.3691610685830335</v>
      </c>
      <c r="O14028" s="43">
        <v>4.9685794920037631</v>
      </c>
      <c r="P14028" s="412"/>
      <c r="Q14028" s="412"/>
      <c r="R14028" s="412">
        <v>1</v>
      </c>
    </row>
    <row r="14029" spans="1:18" ht="24">
      <c r="A14029" s="408">
        <v>318</v>
      </c>
      <c r="B14029" s="405" t="s">
        <v>25284</v>
      </c>
      <c r="C14029" s="409" t="s">
        <v>25285</v>
      </c>
      <c r="D14029" s="410">
        <v>426.32</v>
      </c>
      <c r="E14029" s="410">
        <v>298.58999999999997</v>
      </c>
      <c r="F14029" s="410">
        <v>61.44</v>
      </c>
      <c r="G14029" s="410">
        <v>66.290000000000006</v>
      </c>
      <c r="H14029" s="411">
        <v>4070.07</v>
      </c>
      <c r="I14029" s="411">
        <v>3433.79</v>
      </c>
      <c r="J14029" s="411">
        <v>329.74</v>
      </c>
      <c r="K14029" s="411">
        <v>306.54000000000002</v>
      </c>
      <c r="L14029" s="43">
        <v>9.5469834865828496</v>
      </c>
      <c r="M14029" s="43">
        <v>11.500016745369907</v>
      </c>
      <c r="N14029" s="43">
        <v>5.366861979166667</v>
      </c>
      <c r="O14029" s="43">
        <v>4.6242268818826364</v>
      </c>
      <c r="P14029" s="412"/>
      <c r="Q14029" s="412"/>
      <c r="R14029" s="412">
        <v>1</v>
      </c>
    </row>
    <row r="14030" spans="1:18" ht="24">
      <c r="A14030" s="408">
        <v>319</v>
      </c>
      <c r="B14030" s="405" t="s">
        <v>25286</v>
      </c>
      <c r="C14030" s="409" t="s">
        <v>25287</v>
      </c>
      <c r="D14030" s="410">
        <v>431.44</v>
      </c>
      <c r="E14030" s="410">
        <v>298.58999999999997</v>
      </c>
      <c r="F14030" s="410">
        <v>61.44</v>
      </c>
      <c r="G14030" s="410">
        <v>71.41</v>
      </c>
      <c r="H14030" s="411">
        <v>4114.91</v>
      </c>
      <c r="I14030" s="411">
        <v>3433.79</v>
      </c>
      <c r="J14030" s="411">
        <v>329.74</v>
      </c>
      <c r="K14030" s="411">
        <v>351.38</v>
      </c>
      <c r="L14030" s="43">
        <v>9.537618208789171</v>
      </c>
      <c r="M14030" s="43">
        <v>11.500016745369907</v>
      </c>
      <c r="N14030" s="43">
        <v>5.366861979166667</v>
      </c>
      <c r="O14030" s="43">
        <v>4.9205993558325165</v>
      </c>
      <c r="P14030" s="412"/>
      <c r="Q14030" s="412"/>
      <c r="R14030" s="412">
        <v>1</v>
      </c>
    </row>
    <row r="14031" spans="1:18" ht="24">
      <c r="A14031" s="408">
        <v>320</v>
      </c>
      <c r="B14031" s="405" t="s">
        <v>25288</v>
      </c>
      <c r="C14031" s="409" t="s">
        <v>25289</v>
      </c>
      <c r="D14031" s="410">
        <v>741.62</v>
      </c>
      <c r="E14031" s="410">
        <v>399.6</v>
      </c>
      <c r="F14031" s="410">
        <v>198.37</v>
      </c>
      <c r="G14031" s="410">
        <v>143.65</v>
      </c>
      <c r="H14031" s="411">
        <v>6289.18</v>
      </c>
      <c r="I14031" s="411">
        <v>4595.3999999999996</v>
      </c>
      <c r="J14031" s="411">
        <v>1067.26</v>
      </c>
      <c r="K14031" s="411">
        <v>626.52</v>
      </c>
      <c r="L14031" s="43">
        <v>8.4803268520266446</v>
      </c>
      <c r="M14031" s="43">
        <v>11.499999999999998</v>
      </c>
      <c r="N14031" s="43">
        <v>5.3801482078943383</v>
      </c>
      <c r="O14031" s="43">
        <v>4.3614340410720498</v>
      </c>
      <c r="P14031" s="412"/>
      <c r="Q14031" s="412"/>
      <c r="R14031" s="412">
        <v>1</v>
      </c>
    </row>
    <row r="14032" spans="1:18" ht="24">
      <c r="A14032" s="408">
        <v>321</v>
      </c>
      <c r="B14032" s="405" t="s">
        <v>25290</v>
      </c>
      <c r="C14032" s="409" t="s">
        <v>25291</v>
      </c>
      <c r="D14032" s="410">
        <v>2087.9499999999998</v>
      </c>
      <c r="E14032" s="410">
        <v>1253.3699999999999</v>
      </c>
      <c r="F14032" s="410">
        <v>556.85</v>
      </c>
      <c r="G14032" s="410">
        <v>277.73</v>
      </c>
      <c r="H14032" s="411">
        <v>18513.060000000001</v>
      </c>
      <c r="I14032" s="411">
        <v>14414.37</v>
      </c>
      <c r="J14032" s="411">
        <v>2759.17</v>
      </c>
      <c r="K14032" s="411">
        <v>1339.52</v>
      </c>
      <c r="L14032" s="43">
        <v>8.8666203692617174</v>
      </c>
      <c r="M14032" s="43">
        <v>11.500490677134447</v>
      </c>
      <c r="N14032" s="43">
        <v>4.9549609410074522</v>
      </c>
      <c r="O14032" s="43">
        <v>4.8231015734706366</v>
      </c>
      <c r="P14032" s="412"/>
      <c r="Q14032" s="412"/>
      <c r="R14032" s="412">
        <v>1</v>
      </c>
    </row>
    <row r="14033" spans="1:18" ht="12.75" customHeight="1">
      <c r="A14033" s="628" t="s">
        <v>25292</v>
      </c>
      <c r="B14033" s="629"/>
      <c r="C14033" s="629"/>
      <c r="D14033" s="629"/>
      <c r="E14033" s="629"/>
      <c r="F14033" s="629"/>
      <c r="G14033" s="629"/>
      <c r="H14033" s="629"/>
      <c r="I14033" s="629"/>
      <c r="J14033" s="629"/>
      <c r="K14033" s="629"/>
      <c r="L14033" s="629"/>
      <c r="M14033" s="629"/>
      <c r="N14033" s="629"/>
      <c r="O14033" s="629"/>
      <c r="P14033" s="629"/>
      <c r="Q14033" s="629"/>
      <c r="R14033" s="629"/>
    </row>
    <row r="14034" spans="1:18" ht="24">
      <c r="A14034" s="408">
        <v>322</v>
      </c>
      <c r="B14034" s="405" t="s">
        <v>25293</v>
      </c>
      <c r="C14034" s="409" t="s">
        <v>25294</v>
      </c>
      <c r="D14034" s="410">
        <v>450.45</v>
      </c>
      <c r="E14034" s="410">
        <v>246.83</v>
      </c>
      <c r="F14034" s="410">
        <v>126.03</v>
      </c>
      <c r="G14034" s="410">
        <v>77.59</v>
      </c>
      <c r="H14034" s="411">
        <v>3848.67</v>
      </c>
      <c r="I14034" s="411">
        <v>2838.6</v>
      </c>
      <c r="J14034" s="411">
        <v>680.02</v>
      </c>
      <c r="K14034" s="411">
        <v>330.05</v>
      </c>
      <c r="L14034" s="43">
        <v>8.5440559440559447</v>
      </c>
      <c r="M14034" s="43">
        <v>11.500222825426405</v>
      </c>
      <c r="N14034" s="43">
        <v>5.3956994366420687</v>
      </c>
      <c r="O14034" s="43">
        <v>4.2537698156978996</v>
      </c>
      <c r="P14034" s="412"/>
      <c r="Q14034" s="412"/>
      <c r="R14034" s="412">
        <v>2</v>
      </c>
    </row>
    <row r="14035" spans="1:18" ht="24">
      <c r="A14035" s="408">
        <v>323</v>
      </c>
      <c r="B14035" s="405" t="s">
        <v>25295</v>
      </c>
      <c r="C14035" s="409" t="s">
        <v>25296</v>
      </c>
      <c r="D14035" s="410">
        <v>470.67</v>
      </c>
      <c r="E14035" s="410">
        <v>298.58999999999997</v>
      </c>
      <c r="F14035" s="410">
        <v>90.37</v>
      </c>
      <c r="G14035" s="410">
        <v>81.709999999999994</v>
      </c>
      <c r="H14035" s="411">
        <v>4288.74</v>
      </c>
      <c r="I14035" s="411">
        <v>3433.79</v>
      </c>
      <c r="J14035" s="411">
        <v>485.99</v>
      </c>
      <c r="K14035" s="411">
        <v>368.96</v>
      </c>
      <c r="L14035" s="43">
        <v>9.1119892918605387</v>
      </c>
      <c r="M14035" s="43">
        <v>11.500016745369907</v>
      </c>
      <c r="N14035" s="43">
        <v>5.3777802368042487</v>
      </c>
      <c r="O14035" s="43">
        <v>4.5154815812018114</v>
      </c>
      <c r="P14035" s="412"/>
      <c r="Q14035" s="412"/>
      <c r="R14035" s="412">
        <v>2</v>
      </c>
    </row>
    <row r="14036" spans="1:18" ht="12.75" customHeight="1">
      <c r="A14036" s="628" t="s">
        <v>23329</v>
      </c>
      <c r="B14036" s="629"/>
      <c r="C14036" s="629"/>
      <c r="D14036" s="629"/>
      <c r="E14036" s="629"/>
      <c r="F14036" s="629"/>
      <c r="G14036" s="629"/>
      <c r="H14036" s="629"/>
      <c r="I14036" s="629"/>
      <c r="J14036" s="629"/>
      <c r="K14036" s="629"/>
      <c r="L14036" s="629"/>
      <c r="M14036" s="629"/>
      <c r="N14036" s="629"/>
      <c r="O14036" s="629"/>
      <c r="P14036" s="629"/>
      <c r="Q14036" s="629"/>
      <c r="R14036" s="629"/>
    </row>
    <row r="14037" spans="1:18" ht="24">
      <c r="A14037" s="408">
        <v>324</v>
      </c>
      <c r="B14037" s="405" t="s">
        <v>25297</v>
      </c>
      <c r="C14037" s="409" t="s">
        <v>25298</v>
      </c>
      <c r="D14037" s="410">
        <v>391.76</v>
      </c>
      <c r="E14037" s="410">
        <v>257.8</v>
      </c>
      <c r="F14037" s="410">
        <v>66.05</v>
      </c>
      <c r="G14037" s="410">
        <v>67.91</v>
      </c>
      <c r="H14037" s="411">
        <v>3638.58</v>
      </c>
      <c r="I14037" s="411">
        <v>2964.76</v>
      </c>
      <c r="J14037" s="411">
        <v>355.36</v>
      </c>
      <c r="K14037" s="411">
        <v>318.45999999999998</v>
      </c>
      <c r="L14037" s="43">
        <v>9.2877782315703499</v>
      </c>
      <c r="M14037" s="43">
        <v>11.50023273855702</v>
      </c>
      <c r="N14037" s="43">
        <v>5.380166540499622</v>
      </c>
      <c r="O14037" s="43">
        <v>4.6894419084081873</v>
      </c>
      <c r="P14037" s="412"/>
      <c r="Q14037" s="412"/>
      <c r="R14037" s="412">
        <v>3</v>
      </c>
    </row>
    <row r="14038" spans="1:18" ht="24">
      <c r="A14038" s="408">
        <v>325</v>
      </c>
      <c r="B14038" s="405" t="s">
        <v>25299</v>
      </c>
      <c r="C14038" s="409" t="s">
        <v>25300</v>
      </c>
      <c r="D14038" s="410">
        <v>478</v>
      </c>
      <c r="E14038" s="410">
        <v>305.58</v>
      </c>
      <c r="F14038" s="410">
        <v>90.64</v>
      </c>
      <c r="G14038" s="410">
        <v>81.78</v>
      </c>
      <c r="H14038" s="411">
        <v>4371.3599999999997</v>
      </c>
      <c r="I14038" s="411">
        <v>3514.22</v>
      </c>
      <c r="J14038" s="411">
        <v>487.16</v>
      </c>
      <c r="K14038" s="411">
        <v>369.98</v>
      </c>
      <c r="L14038" s="43">
        <v>9.1451046025104592</v>
      </c>
      <c r="M14038" s="43">
        <v>11.500163623273775</v>
      </c>
      <c r="N14038" s="43">
        <v>5.3746690203000886</v>
      </c>
      <c r="O14038" s="43">
        <v>4.5240890193201277</v>
      </c>
      <c r="P14038" s="412"/>
      <c r="Q14038" s="412"/>
      <c r="R14038" s="412">
        <v>3</v>
      </c>
    </row>
    <row r="14039" spans="1:18" ht="12.75" customHeight="1">
      <c r="A14039" s="628" t="s">
        <v>25301</v>
      </c>
      <c r="B14039" s="629"/>
      <c r="C14039" s="629"/>
      <c r="D14039" s="629"/>
      <c r="E14039" s="629"/>
      <c r="F14039" s="629"/>
      <c r="G14039" s="629"/>
      <c r="H14039" s="629"/>
      <c r="I14039" s="629"/>
      <c r="J14039" s="629"/>
      <c r="K14039" s="629"/>
      <c r="L14039" s="629"/>
      <c r="M14039" s="629"/>
      <c r="N14039" s="629"/>
      <c r="O14039" s="629"/>
      <c r="P14039" s="629"/>
      <c r="Q14039" s="629"/>
      <c r="R14039" s="629"/>
    </row>
    <row r="14040" spans="1:18" ht="24">
      <c r="A14040" s="408">
        <v>326</v>
      </c>
      <c r="B14040" s="405" t="s">
        <v>25302</v>
      </c>
      <c r="C14040" s="409" t="s">
        <v>25303</v>
      </c>
      <c r="D14040" s="410">
        <v>267.93</v>
      </c>
      <c r="E14040" s="410">
        <v>156.37</v>
      </c>
      <c r="F14040" s="410">
        <v>64.87</v>
      </c>
      <c r="G14040" s="410">
        <v>46.69</v>
      </c>
      <c r="H14040" s="411">
        <v>2348.37</v>
      </c>
      <c r="I14040" s="411">
        <v>1798.28</v>
      </c>
      <c r="J14040" s="411">
        <v>350.38</v>
      </c>
      <c r="K14040" s="411">
        <v>199.71</v>
      </c>
      <c r="L14040" s="43">
        <v>8.7648639570036941</v>
      </c>
      <c r="M14040" s="43">
        <v>11.500159877214299</v>
      </c>
      <c r="N14040" s="43">
        <v>5.4012640665947274</v>
      </c>
      <c r="O14040" s="43">
        <v>4.2773613193403301</v>
      </c>
      <c r="P14040" s="412"/>
      <c r="Q14040" s="412"/>
      <c r="R14040" s="412">
        <v>4</v>
      </c>
    </row>
    <row r="14041" spans="1:18" ht="12.75" customHeight="1">
      <c r="A14041" s="628" t="s">
        <v>25304</v>
      </c>
      <c r="B14041" s="629"/>
      <c r="C14041" s="629"/>
      <c r="D14041" s="629"/>
      <c r="E14041" s="629"/>
      <c r="F14041" s="629"/>
      <c r="G14041" s="629"/>
      <c r="H14041" s="629"/>
      <c r="I14041" s="629"/>
      <c r="J14041" s="629"/>
      <c r="K14041" s="629"/>
      <c r="L14041" s="629"/>
      <c r="M14041" s="629"/>
      <c r="N14041" s="629"/>
      <c r="O14041" s="629"/>
      <c r="P14041" s="629"/>
      <c r="Q14041" s="629"/>
      <c r="R14041" s="629"/>
    </row>
    <row r="14042" spans="1:18" ht="24">
      <c r="A14042" s="408">
        <v>327</v>
      </c>
      <c r="B14042" s="405" t="s">
        <v>25305</v>
      </c>
      <c r="C14042" s="409" t="s">
        <v>25306</v>
      </c>
      <c r="D14042" s="410">
        <v>486.96</v>
      </c>
      <c r="E14042" s="410">
        <v>340.57</v>
      </c>
      <c r="F14042" s="410">
        <v>79.86</v>
      </c>
      <c r="G14042" s="410">
        <v>66.53</v>
      </c>
      <c r="H14042" s="411">
        <v>4655.71</v>
      </c>
      <c r="I14042" s="411">
        <v>3916.58</v>
      </c>
      <c r="J14042" s="411">
        <v>428.18</v>
      </c>
      <c r="K14042" s="411">
        <v>310.95</v>
      </c>
      <c r="L14042" s="43">
        <v>9.5607647445375399</v>
      </c>
      <c r="M14042" s="43">
        <v>11.50007340634818</v>
      </c>
      <c r="N14042" s="43">
        <v>5.3616328575006262</v>
      </c>
      <c r="O14042" s="43">
        <v>4.6738313542762659</v>
      </c>
      <c r="P14042" s="412"/>
      <c r="Q14042" s="412"/>
      <c r="R14042" s="412">
        <v>5</v>
      </c>
    </row>
    <row r="14043" spans="1:18" ht="24">
      <c r="A14043" s="408">
        <v>328</v>
      </c>
      <c r="B14043" s="405" t="s">
        <v>25307</v>
      </c>
      <c r="C14043" s="409" t="s">
        <v>25308</v>
      </c>
      <c r="D14043" s="410">
        <v>489.41</v>
      </c>
      <c r="E14043" s="410">
        <v>314.72000000000003</v>
      </c>
      <c r="F14043" s="410">
        <v>90.64</v>
      </c>
      <c r="G14043" s="410">
        <v>84.05</v>
      </c>
      <c r="H14043" s="411">
        <v>4496.78</v>
      </c>
      <c r="I14043" s="411">
        <v>3619.28</v>
      </c>
      <c r="J14043" s="411">
        <v>487.16</v>
      </c>
      <c r="K14043" s="411">
        <v>390.34</v>
      </c>
      <c r="L14043" s="43">
        <v>9.1881653419423372</v>
      </c>
      <c r="M14043" s="43">
        <v>11.5</v>
      </c>
      <c r="N14043" s="43">
        <v>5.3746690203000886</v>
      </c>
      <c r="O14043" s="43">
        <v>4.6441403926234379</v>
      </c>
      <c r="P14043" s="412"/>
      <c r="Q14043" s="412"/>
      <c r="R14043" s="412">
        <v>5</v>
      </c>
    </row>
    <row r="14044" spans="1:18" ht="12.75" customHeight="1">
      <c r="A14044" s="628" t="s">
        <v>25309</v>
      </c>
      <c r="B14044" s="629"/>
      <c r="C14044" s="629"/>
      <c r="D14044" s="629"/>
      <c r="E14044" s="629"/>
      <c r="F14044" s="629"/>
      <c r="G14044" s="629"/>
      <c r="H14044" s="629"/>
      <c r="I14044" s="629"/>
      <c r="J14044" s="629"/>
      <c r="K14044" s="629"/>
      <c r="L14044" s="629"/>
      <c r="M14044" s="629"/>
      <c r="N14044" s="629"/>
      <c r="O14044" s="629"/>
      <c r="P14044" s="629"/>
      <c r="Q14044" s="629"/>
      <c r="R14044" s="629"/>
    </row>
    <row r="14045" spans="1:18" ht="12.75" customHeight="1">
      <c r="A14045" s="628" t="s">
        <v>25310</v>
      </c>
      <c r="B14045" s="629"/>
      <c r="C14045" s="629"/>
      <c r="D14045" s="629"/>
      <c r="E14045" s="629"/>
      <c r="F14045" s="629"/>
      <c r="G14045" s="629"/>
      <c r="H14045" s="629"/>
      <c r="I14045" s="629"/>
      <c r="J14045" s="629"/>
      <c r="K14045" s="629"/>
      <c r="L14045" s="629"/>
      <c r="M14045" s="629"/>
      <c r="N14045" s="629"/>
      <c r="O14045" s="629"/>
      <c r="P14045" s="629"/>
      <c r="Q14045" s="629"/>
      <c r="R14045" s="629"/>
    </row>
    <row r="14046" spans="1:18" ht="24">
      <c r="A14046" s="408">
        <v>329</v>
      </c>
      <c r="B14046" s="405" t="s">
        <v>25311</v>
      </c>
      <c r="C14046" s="409" t="s">
        <v>25312</v>
      </c>
      <c r="D14046" s="410">
        <v>822.92</v>
      </c>
      <c r="E14046" s="410">
        <v>548.22</v>
      </c>
      <c r="F14046" s="410">
        <v>172.41</v>
      </c>
      <c r="G14046" s="410">
        <v>102.29</v>
      </c>
      <c r="H14046" s="411">
        <v>7685.81</v>
      </c>
      <c r="I14046" s="411">
        <v>6304.82</v>
      </c>
      <c r="J14046" s="411">
        <v>885.04</v>
      </c>
      <c r="K14046" s="411">
        <v>495.95</v>
      </c>
      <c r="L14046" s="43">
        <v>9.3396806493948397</v>
      </c>
      <c r="M14046" s="43">
        <v>11.500528984714165</v>
      </c>
      <c r="N14046" s="43">
        <v>5.133344933588539</v>
      </c>
      <c r="O14046" s="43">
        <v>4.8484700361716682</v>
      </c>
      <c r="P14046" s="412"/>
      <c r="Q14046" s="412"/>
      <c r="R14046" s="412">
        <v>1</v>
      </c>
    </row>
    <row r="14047" spans="1:18" ht="24">
      <c r="A14047" s="408">
        <v>330</v>
      </c>
      <c r="B14047" s="405" t="s">
        <v>25313</v>
      </c>
      <c r="C14047" s="409" t="s">
        <v>25312</v>
      </c>
      <c r="D14047" s="410">
        <v>997.78</v>
      </c>
      <c r="E14047" s="410">
        <v>640.95000000000005</v>
      </c>
      <c r="F14047" s="410">
        <v>202.1</v>
      </c>
      <c r="G14047" s="410">
        <v>154.72999999999999</v>
      </c>
      <c r="H14047" s="411">
        <v>9172.75</v>
      </c>
      <c r="I14047" s="411">
        <v>7371.25</v>
      </c>
      <c r="J14047" s="411">
        <v>1040.24</v>
      </c>
      <c r="K14047" s="411">
        <v>761.26</v>
      </c>
      <c r="L14047" s="43">
        <v>9.1931588125638921</v>
      </c>
      <c r="M14047" s="43">
        <v>11.50050705983306</v>
      </c>
      <c r="N14047" s="43">
        <v>5.1471548738248396</v>
      </c>
      <c r="O14047" s="43">
        <v>4.9199250306986366</v>
      </c>
      <c r="P14047" s="412"/>
      <c r="Q14047" s="412"/>
      <c r="R14047" s="412">
        <v>1</v>
      </c>
    </row>
    <row r="14048" spans="1:18" ht="24">
      <c r="A14048" s="408">
        <v>331</v>
      </c>
      <c r="B14048" s="405" t="s">
        <v>25314</v>
      </c>
      <c r="C14048" s="409" t="s">
        <v>25315</v>
      </c>
      <c r="D14048" s="410">
        <v>1165</v>
      </c>
      <c r="E14048" s="410">
        <v>710.24</v>
      </c>
      <c r="F14048" s="410">
        <v>247.2</v>
      </c>
      <c r="G14048" s="410">
        <v>207.56</v>
      </c>
      <c r="H14048" s="411">
        <v>10426.75</v>
      </c>
      <c r="I14048" s="411">
        <v>8168.14</v>
      </c>
      <c r="J14048" s="411">
        <v>1278.4000000000001</v>
      </c>
      <c r="K14048" s="411">
        <v>980.21</v>
      </c>
      <c r="L14048" s="43">
        <v>8.9499999999999993</v>
      </c>
      <c r="M14048" s="43">
        <v>11.500535030412255</v>
      </c>
      <c r="N14048" s="43">
        <v>5.1715210355987065</v>
      </c>
      <c r="O14048" s="43">
        <v>4.7225380612834842</v>
      </c>
      <c r="P14048" s="412"/>
      <c r="Q14048" s="412"/>
      <c r="R14048" s="412">
        <v>1</v>
      </c>
    </row>
    <row r="14049" spans="1:18" ht="24">
      <c r="A14049" s="408">
        <v>332</v>
      </c>
      <c r="B14049" s="405" t="s">
        <v>25316</v>
      </c>
      <c r="C14049" s="409" t="s">
        <v>25317</v>
      </c>
      <c r="D14049" s="410">
        <v>1971.67</v>
      </c>
      <c r="E14049" s="410">
        <v>1202.42</v>
      </c>
      <c r="F14049" s="410">
        <v>501.41</v>
      </c>
      <c r="G14049" s="410">
        <v>267.83999999999997</v>
      </c>
      <c r="H14049" s="411">
        <v>17613.16</v>
      </c>
      <c r="I14049" s="411">
        <v>13828.42</v>
      </c>
      <c r="J14049" s="411">
        <v>2526.37</v>
      </c>
      <c r="K14049" s="411">
        <v>1258.3699999999999</v>
      </c>
      <c r="L14049" s="43">
        <v>8.9331176109592381</v>
      </c>
      <c r="M14049" s="43">
        <v>11.500490677134446</v>
      </c>
      <c r="N14049" s="43">
        <v>5.0385313416166406</v>
      </c>
      <c r="O14049" s="43">
        <v>4.6982153524492238</v>
      </c>
      <c r="P14049" s="412"/>
      <c r="Q14049" s="412"/>
      <c r="R14049" s="412">
        <v>1</v>
      </c>
    </row>
    <row r="14050" spans="1:18" ht="12.75" customHeight="1">
      <c r="A14050" s="628" t="s">
        <v>25318</v>
      </c>
      <c r="B14050" s="629"/>
      <c r="C14050" s="629"/>
      <c r="D14050" s="629"/>
      <c r="E14050" s="629"/>
      <c r="F14050" s="629"/>
      <c r="G14050" s="629"/>
      <c r="H14050" s="629"/>
      <c r="I14050" s="629"/>
      <c r="J14050" s="629"/>
      <c r="K14050" s="629"/>
      <c r="L14050" s="629"/>
      <c r="M14050" s="629"/>
      <c r="N14050" s="629"/>
      <c r="O14050" s="629"/>
      <c r="P14050" s="629"/>
      <c r="Q14050" s="629"/>
      <c r="R14050" s="629"/>
    </row>
    <row r="14051" spans="1:18" ht="24">
      <c r="A14051" s="408">
        <v>333</v>
      </c>
      <c r="B14051" s="405" t="s">
        <v>25319</v>
      </c>
      <c r="C14051" s="409" t="s">
        <v>25320</v>
      </c>
      <c r="D14051" s="410">
        <v>955.42</v>
      </c>
      <c r="E14051" s="410">
        <v>710.4</v>
      </c>
      <c r="F14051" s="410">
        <v>161.88999999999999</v>
      </c>
      <c r="G14051" s="410">
        <v>83.13</v>
      </c>
      <c r="H14051" s="411">
        <v>9479.09</v>
      </c>
      <c r="I14051" s="411">
        <v>8169.6</v>
      </c>
      <c r="J14051" s="411">
        <v>865.65</v>
      </c>
      <c r="K14051" s="411">
        <v>443.84</v>
      </c>
      <c r="L14051" s="43">
        <v>9.9213853593184158</v>
      </c>
      <c r="M14051" s="43">
        <v>11.5</v>
      </c>
      <c r="N14051" s="43">
        <v>5.3471492989066656</v>
      </c>
      <c r="O14051" s="43">
        <v>5.3391074221099482</v>
      </c>
      <c r="P14051" s="412"/>
      <c r="Q14051" s="412"/>
      <c r="R14051" s="412">
        <v>2</v>
      </c>
    </row>
    <row r="14052" spans="1:18" ht="24">
      <c r="A14052" s="408">
        <v>334</v>
      </c>
      <c r="B14052" s="405" t="s">
        <v>25321</v>
      </c>
      <c r="C14052" s="409" t="s">
        <v>25322</v>
      </c>
      <c r="D14052" s="410">
        <v>1349.23</v>
      </c>
      <c r="E14052" s="410">
        <v>959.04</v>
      </c>
      <c r="F14052" s="410">
        <v>262.93</v>
      </c>
      <c r="G14052" s="410">
        <v>127.26</v>
      </c>
      <c r="H14052" s="411">
        <v>13106.13</v>
      </c>
      <c r="I14052" s="411">
        <v>11028.96</v>
      </c>
      <c r="J14052" s="411">
        <v>1405.16</v>
      </c>
      <c r="K14052" s="411">
        <v>672.01</v>
      </c>
      <c r="L14052" s="43">
        <v>9.7137848995352893</v>
      </c>
      <c r="M14052" s="43">
        <v>11.5</v>
      </c>
      <c r="N14052" s="43">
        <v>5.3442361084699348</v>
      </c>
      <c r="O14052" s="43">
        <v>5.2806066320917804</v>
      </c>
      <c r="P14052" s="412"/>
      <c r="Q14052" s="412"/>
      <c r="R14052" s="412">
        <v>2</v>
      </c>
    </row>
    <row r="14053" spans="1:18" ht="24">
      <c r="A14053" s="408">
        <v>335</v>
      </c>
      <c r="B14053" s="405" t="s">
        <v>25323</v>
      </c>
      <c r="C14053" s="409" t="s">
        <v>25324</v>
      </c>
      <c r="D14053" s="410">
        <v>864.56</v>
      </c>
      <c r="E14053" s="410">
        <v>529.85</v>
      </c>
      <c r="F14053" s="410">
        <v>186.97</v>
      </c>
      <c r="G14053" s="410">
        <v>147.74</v>
      </c>
      <c r="H14053" s="411">
        <v>7744.84</v>
      </c>
      <c r="I14053" s="411">
        <v>6093.53</v>
      </c>
      <c r="J14053" s="411">
        <v>999.63</v>
      </c>
      <c r="K14053" s="411">
        <v>651.67999999999995</v>
      </c>
      <c r="L14053" s="43">
        <v>8.9581289904691417</v>
      </c>
      <c r="M14053" s="43">
        <v>11.500481268283476</v>
      </c>
      <c r="N14053" s="43">
        <v>5.3464726961544633</v>
      </c>
      <c r="O14053" s="43">
        <v>4.4109922837417077</v>
      </c>
      <c r="P14053" s="412"/>
      <c r="Q14053" s="412"/>
      <c r="R14053" s="412">
        <v>2</v>
      </c>
    </row>
    <row r="14054" spans="1:18" ht="24">
      <c r="A14054" s="408">
        <v>336</v>
      </c>
      <c r="B14054" s="405" t="s">
        <v>25325</v>
      </c>
      <c r="C14054" s="409" t="s">
        <v>25326</v>
      </c>
      <c r="D14054" s="410">
        <v>1354.2</v>
      </c>
      <c r="E14054" s="410">
        <v>935.74</v>
      </c>
      <c r="F14054" s="410">
        <v>291.74</v>
      </c>
      <c r="G14054" s="410">
        <v>126.72</v>
      </c>
      <c r="H14054" s="411">
        <v>12984.82</v>
      </c>
      <c r="I14054" s="411">
        <v>10761.45</v>
      </c>
      <c r="J14054" s="411">
        <v>1557.32</v>
      </c>
      <c r="K14054" s="411">
        <v>666.05</v>
      </c>
      <c r="L14054" s="43">
        <v>9.588554127898389</v>
      </c>
      <c r="M14054" s="43">
        <v>11.500470216085665</v>
      </c>
      <c r="N14054" s="43">
        <v>5.3380407211901</v>
      </c>
      <c r="O14054" s="43">
        <v>5.2560763888888884</v>
      </c>
      <c r="P14054" s="412"/>
      <c r="Q14054" s="412"/>
      <c r="R14054" s="412">
        <v>2</v>
      </c>
    </row>
    <row r="14055" spans="1:18" ht="24">
      <c r="A14055" s="408">
        <v>337</v>
      </c>
      <c r="B14055" s="405" t="s">
        <v>25327</v>
      </c>
      <c r="C14055" s="409" t="s">
        <v>25328</v>
      </c>
      <c r="D14055" s="410">
        <v>1900.89</v>
      </c>
      <c r="E14055" s="410">
        <v>1242.3599999999999</v>
      </c>
      <c r="F14055" s="410">
        <v>449.39</v>
      </c>
      <c r="G14055" s="410">
        <v>209.14</v>
      </c>
      <c r="H14055" s="411">
        <v>17585.8</v>
      </c>
      <c r="I14055" s="411">
        <v>14287.72</v>
      </c>
      <c r="J14055" s="411">
        <v>2271.36</v>
      </c>
      <c r="K14055" s="411">
        <v>1026.72</v>
      </c>
      <c r="L14055" s="43">
        <v>9.251350683101073</v>
      </c>
      <c r="M14055" s="43">
        <v>11.50046685340803</v>
      </c>
      <c r="N14055" s="43">
        <v>5.0543180756136099</v>
      </c>
      <c r="O14055" s="43">
        <v>4.9092473940900838</v>
      </c>
      <c r="P14055" s="412"/>
      <c r="Q14055" s="412"/>
      <c r="R14055" s="412">
        <v>2</v>
      </c>
    </row>
    <row r="14056" spans="1:18" ht="24">
      <c r="A14056" s="408">
        <v>338</v>
      </c>
      <c r="B14056" s="405" t="s">
        <v>25329</v>
      </c>
      <c r="C14056" s="409" t="s">
        <v>25330</v>
      </c>
      <c r="D14056" s="410">
        <v>1807.53</v>
      </c>
      <c r="E14056" s="410">
        <v>998.17</v>
      </c>
      <c r="F14056" s="410">
        <v>524.95000000000005</v>
      </c>
      <c r="G14056" s="410">
        <v>284.41000000000003</v>
      </c>
      <c r="H14056" s="411">
        <v>15450.88</v>
      </c>
      <c r="I14056" s="411">
        <v>11479.44</v>
      </c>
      <c r="J14056" s="411">
        <v>2661.86</v>
      </c>
      <c r="K14056" s="411">
        <v>1309.58</v>
      </c>
      <c r="L14056" s="43">
        <v>8.548062826066511</v>
      </c>
      <c r="M14056" s="43">
        <v>11.500485889177195</v>
      </c>
      <c r="N14056" s="43">
        <v>5.0706924468997041</v>
      </c>
      <c r="O14056" s="43">
        <v>4.6045497696986741</v>
      </c>
      <c r="P14056" s="412"/>
      <c r="Q14056" s="412"/>
      <c r="R14056" s="412">
        <v>2</v>
      </c>
    </row>
    <row r="14057" spans="1:18" ht="24">
      <c r="A14057" s="408">
        <v>339</v>
      </c>
      <c r="B14057" s="405" t="s">
        <v>25331</v>
      </c>
      <c r="C14057" s="409" t="s">
        <v>25332</v>
      </c>
      <c r="D14057" s="410">
        <v>1600.19</v>
      </c>
      <c r="E14057" s="410">
        <v>1069.93</v>
      </c>
      <c r="F14057" s="410">
        <v>432.13</v>
      </c>
      <c r="G14057" s="410">
        <v>98.13</v>
      </c>
      <c r="H14057" s="411">
        <v>15140.14</v>
      </c>
      <c r="I14057" s="411">
        <v>12304.68</v>
      </c>
      <c r="J14057" s="411">
        <v>2244.21</v>
      </c>
      <c r="K14057" s="411">
        <v>591.25</v>
      </c>
      <c r="L14057" s="43">
        <v>9.4614639511557996</v>
      </c>
      <c r="M14057" s="43">
        <v>11.500453300683223</v>
      </c>
      <c r="N14057" s="43">
        <v>5.1933677365607576</v>
      </c>
      <c r="O14057" s="43">
        <v>6.0251706919392642</v>
      </c>
      <c r="P14057" s="412"/>
      <c r="Q14057" s="412"/>
      <c r="R14057" s="412">
        <v>2</v>
      </c>
    </row>
    <row r="14058" spans="1:18" ht="24">
      <c r="A14058" s="408">
        <v>340</v>
      </c>
      <c r="B14058" s="405" t="s">
        <v>25333</v>
      </c>
      <c r="C14058" s="409" t="s">
        <v>25334</v>
      </c>
      <c r="D14058" s="410">
        <v>925.17</v>
      </c>
      <c r="E14058" s="410">
        <v>553.71</v>
      </c>
      <c r="F14058" s="410">
        <v>345.5</v>
      </c>
      <c r="G14058" s="410">
        <v>25.96</v>
      </c>
      <c r="H14058" s="411">
        <v>8438.17</v>
      </c>
      <c r="I14058" s="411">
        <v>6367.89</v>
      </c>
      <c r="J14058" s="411">
        <v>1812.45</v>
      </c>
      <c r="K14058" s="411">
        <v>257.83</v>
      </c>
      <c r="L14058" s="43">
        <v>9.1206697147551274</v>
      </c>
      <c r="M14058" s="43">
        <v>11.500406349894348</v>
      </c>
      <c r="N14058" s="43">
        <v>5.2458755426917509</v>
      </c>
      <c r="O14058" s="43">
        <v>9.9318181818181817</v>
      </c>
      <c r="P14058" s="412"/>
      <c r="Q14058" s="412"/>
      <c r="R14058" s="412">
        <v>2</v>
      </c>
    </row>
    <row r="14059" spans="1:18" ht="12.75" customHeight="1">
      <c r="A14059" s="628" t="s">
        <v>25335</v>
      </c>
      <c r="B14059" s="629"/>
      <c r="C14059" s="629"/>
      <c r="D14059" s="629"/>
      <c r="E14059" s="629"/>
      <c r="F14059" s="629"/>
      <c r="G14059" s="629"/>
      <c r="H14059" s="629"/>
      <c r="I14059" s="629"/>
      <c r="J14059" s="629"/>
      <c r="K14059" s="629"/>
      <c r="L14059" s="629"/>
      <c r="M14059" s="629"/>
      <c r="N14059" s="629"/>
      <c r="O14059" s="629"/>
      <c r="P14059" s="629"/>
      <c r="Q14059" s="629"/>
      <c r="R14059" s="629"/>
    </row>
    <row r="14060" spans="1:18" ht="24">
      <c r="A14060" s="408">
        <v>341</v>
      </c>
      <c r="B14060" s="405" t="s">
        <v>25336</v>
      </c>
      <c r="C14060" s="409" t="s">
        <v>25337</v>
      </c>
      <c r="D14060" s="410">
        <v>10298</v>
      </c>
      <c r="E14060" s="410">
        <v>4530.33</v>
      </c>
      <c r="F14060" s="410">
        <v>4643.9399999999996</v>
      </c>
      <c r="G14060" s="410">
        <v>1123.73</v>
      </c>
      <c r="H14060" s="411">
        <v>80616.990000000005</v>
      </c>
      <c r="I14060" s="411">
        <v>52100.91</v>
      </c>
      <c r="J14060" s="411">
        <v>23568.07</v>
      </c>
      <c r="K14060" s="411">
        <v>4948.01</v>
      </c>
      <c r="L14060" s="43">
        <v>7.8284123130704995</v>
      </c>
      <c r="M14060" s="43">
        <v>11.500466853408032</v>
      </c>
      <c r="N14060" s="43">
        <v>5.0750160424122628</v>
      </c>
      <c r="O14060" s="43">
        <v>4.4032018367401422</v>
      </c>
      <c r="P14060" s="412"/>
      <c r="Q14060" s="412"/>
      <c r="R14060" s="412">
        <v>3</v>
      </c>
    </row>
    <row r="14061" spans="1:18" ht="24">
      <c r="A14061" s="408">
        <v>342</v>
      </c>
      <c r="B14061" s="405" t="s">
        <v>25338</v>
      </c>
      <c r="C14061" s="409" t="s">
        <v>25339</v>
      </c>
      <c r="D14061" s="410">
        <v>597.83000000000004</v>
      </c>
      <c r="E14061" s="410">
        <v>385.56</v>
      </c>
      <c r="F14061" s="410">
        <v>124.54</v>
      </c>
      <c r="G14061" s="410">
        <v>87.73</v>
      </c>
      <c r="H14061" s="411">
        <v>5494.62</v>
      </c>
      <c r="I14061" s="411">
        <v>4434.12</v>
      </c>
      <c r="J14061" s="411">
        <v>663.81</v>
      </c>
      <c r="K14061" s="411">
        <v>396.69</v>
      </c>
      <c r="L14061" s="43">
        <v>9.1909405683890064</v>
      </c>
      <c r="M14061" s="43">
        <v>11.50046685340803</v>
      </c>
      <c r="N14061" s="43">
        <v>5.3300947486751236</v>
      </c>
      <c r="O14061" s="43">
        <v>4.5217143508491962</v>
      </c>
      <c r="P14061" s="412"/>
      <c r="Q14061" s="412"/>
      <c r="R14061" s="412">
        <v>3</v>
      </c>
    </row>
    <row r="14062" spans="1:18" ht="24">
      <c r="A14062" s="408">
        <v>343</v>
      </c>
      <c r="B14062" s="405" t="s">
        <v>25340</v>
      </c>
      <c r="C14062" s="409" t="s">
        <v>25341</v>
      </c>
      <c r="D14062" s="410">
        <v>1202.6199999999999</v>
      </c>
      <c r="E14062" s="410">
        <v>560.45000000000005</v>
      </c>
      <c r="F14062" s="410">
        <v>393.2</v>
      </c>
      <c r="G14062" s="410">
        <v>248.97</v>
      </c>
      <c r="H14062" s="411">
        <v>9466.6</v>
      </c>
      <c r="I14062" s="411">
        <v>6445.45</v>
      </c>
      <c r="J14062" s="411">
        <v>2001.43</v>
      </c>
      <c r="K14062" s="411">
        <v>1019.72</v>
      </c>
      <c r="L14062" s="43">
        <v>7.8716469042590358</v>
      </c>
      <c r="M14062" s="43">
        <v>11.500490677134444</v>
      </c>
      <c r="N14062" s="43">
        <v>5.0901068158697864</v>
      </c>
      <c r="O14062" s="43">
        <v>4.0957545085753306</v>
      </c>
      <c r="P14062" s="412"/>
      <c r="Q14062" s="412"/>
      <c r="R14062" s="412">
        <v>3</v>
      </c>
    </row>
    <row r="14063" spans="1:18" ht="24">
      <c r="A14063" s="408">
        <v>344</v>
      </c>
      <c r="B14063" s="405" t="s">
        <v>25342</v>
      </c>
      <c r="C14063" s="409" t="s">
        <v>25343</v>
      </c>
      <c r="D14063" s="410">
        <v>1680.31</v>
      </c>
      <c r="E14063" s="410">
        <v>800.93</v>
      </c>
      <c r="F14063" s="410">
        <v>553.9</v>
      </c>
      <c r="G14063" s="410">
        <v>325.48</v>
      </c>
      <c r="H14063" s="411">
        <v>13351.72</v>
      </c>
      <c r="I14063" s="411">
        <v>9211.1299999999992</v>
      </c>
      <c r="J14063" s="411">
        <v>2800.66</v>
      </c>
      <c r="K14063" s="411">
        <v>1339.93</v>
      </c>
      <c r="L14063" s="43">
        <v>7.9459861573162094</v>
      </c>
      <c r="M14063" s="43">
        <v>11.500543118624599</v>
      </c>
      <c r="N14063" s="43">
        <v>5.0562556418126015</v>
      </c>
      <c r="O14063" s="43">
        <v>4.1167813690549346</v>
      </c>
      <c r="P14063" s="412"/>
      <c r="Q14063" s="412"/>
      <c r="R14063" s="412">
        <v>3</v>
      </c>
    </row>
    <row r="14064" spans="1:18" ht="24">
      <c r="A14064" s="408">
        <v>345</v>
      </c>
      <c r="B14064" s="405" t="s">
        <v>25344</v>
      </c>
      <c r="C14064" s="409" t="s">
        <v>25345</v>
      </c>
      <c r="D14064" s="410">
        <v>741.8</v>
      </c>
      <c r="E14064" s="410">
        <v>590.19000000000005</v>
      </c>
      <c r="F14064" s="410">
        <v>90.42</v>
      </c>
      <c r="G14064" s="410">
        <v>61.19</v>
      </c>
      <c r="H14064" s="411">
        <v>7605.64</v>
      </c>
      <c r="I14064" s="411">
        <v>6787.41</v>
      </c>
      <c r="J14064" s="411">
        <v>482.66</v>
      </c>
      <c r="K14064" s="411">
        <v>335.57</v>
      </c>
      <c r="L14064" s="43">
        <v>10.252952278242114</v>
      </c>
      <c r="M14064" s="43">
        <v>11.500381233162202</v>
      </c>
      <c r="N14064" s="43">
        <v>5.3379783233797831</v>
      </c>
      <c r="O14064" s="43">
        <v>5.484066023860108</v>
      </c>
      <c r="P14064" s="412"/>
      <c r="Q14064" s="412"/>
      <c r="R14064" s="412">
        <v>3</v>
      </c>
    </row>
    <row r="14065" spans="1:18" ht="24">
      <c r="A14065" s="408">
        <v>346</v>
      </c>
      <c r="B14065" s="405" t="s">
        <v>25346</v>
      </c>
      <c r="C14065" s="409" t="s">
        <v>25347</v>
      </c>
      <c r="D14065" s="410">
        <v>1736.99</v>
      </c>
      <c r="E14065" s="410">
        <v>1014.24</v>
      </c>
      <c r="F14065" s="410">
        <v>444.86</v>
      </c>
      <c r="G14065" s="410">
        <v>277.89</v>
      </c>
      <c r="H14065" s="411">
        <v>15150.88</v>
      </c>
      <c r="I14065" s="411">
        <v>11664.2</v>
      </c>
      <c r="J14065" s="411">
        <v>2248.3200000000002</v>
      </c>
      <c r="K14065" s="411">
        <v>1238.3599999999999</v>
      </c>
      <c r="L14065" s="43">
        <v>8.7224912060518474</v>
      </c>
      <c r="M14065" s="43">
        <v>11.500433822369459</v>
      </c>
      <c r="N14065" s="43">
        <v>5.0539945151283554</v>
      </c>
      <c r="O14065" s="43">
        <v>4.4562956565547518</v>
      </c>
      <c r="P14065" s="412"/>
      <c r="Q14065" s="412"/>
      <c r="R14065" s="412">
        <v>3</v>
      </c>
    </row>
    <row r="14066" spans="1:18" ht="24">
      <c r="A14066" s="408">
        <v>347</v>
      </c>
      <c r="B14066" s="405" t="s">
        <v>25348</v>
      </c>
      <c r="C14066" s="409" t="s">
        <v>25349</v>
      </c>
      <c r="D14066" s="410">
        <v>1392.38</v>
      </c>
      <c r="E14066" s="410">
        <v>944.62</v>
      </c>
      <c r="F14066" s="410">
        <v>289.76</v>
      </c>
      <c r="G14066" s="410">
        <v>158</v>
      </c>
      <c r="H14066" s="411">
        <v>13068.54</v>
      </c>
      <c r="I14066" s="411">
        <v>10863.59</v>
      </c>
      <c r="J14066" s="411">
        <v>1452.6</v>
      </c>
      <c r="K14066" s="411">
        <v>752.35</v>
      </c>
      <c r="L14066" s="43">
        <v>9.3857567618035311</v>
      </c>
      <c r="M14066" s="43">
        <v>11.500486968304715</v>
      </c>
      <c r="N14066" s="43">
        <v>5.013114301490889</v>
      </c>
      <c r="O14066" s="43">
        <v>4.7617088607594935</v>
      </c>
      <c r="P14066" s="412"/>
      <c r="Q14066" s="412"/>
      <c r="R14066" s="412">
        <v>3</v>
      </c>
    </row>
    <row r="14067" spans="1:18" ht="12.75" customHeight="1">
      <c r="A14067" s="628" t="s">
        <v>335</v>
      </c>
      <c r="B14067" s="629"/>
      <c r="C14067" s="629"/>
      <c r="D14067" s="629"/>
      <c r="E14067" s="629"/>
      <c r="F14067" s="629"/>
      <c r="G14067" s="629"/>
      <c r="H14067" s="629"/>
      <c r="I14067" s="629"/>
      <c r="J14067" s="629"/>
      <c r="K14067" s="629"/>
      <c r="L14067" s="629"/>
      <c r="M14067" s="629"/>
      <c r="N14067" s="629"/>
      <c r="O14067" s="629"/>
      <c r="P14067" s="629"/>
      <c r="Q14067" s="629"/>
      <c r="R14067" s="629"/>
    </row>
    <row r="14068" spans="1:18" ht="24">
      <c r="A14068" s="408">
        <v>348</v>
      </c>
      <c r="B14068" s="405" t="s">
        <v>25350</v>
      </c>
      <c r="C14068" s="409" t="s">
        <v>25351</v>
      </c>
      <c r="D14068" s="410">
        <v>8721.7800000000007</v>
      </c>
      <c r="E14068" s="410">
        <v>6072.57</v>
      </c>
      <c r="F14068" s="410">
        <v>1962.76</v>
      </c>
      <c r="G14068" s="410">
        <v>686.45</v>
      </c>
      <c r="H14068" s="411">
        <v>82879.649999999994</v>
      </c>
      <c r="I14068" s="411">
        <v>69837.39</v>
      </c>
      <c r="J14068" s="411">
        <v>9310.9699999999993</v>
      </c>
      <c r="K14068" s="411">
        <v>3731.29</v>
      </c>
      <c r="L14068" s="43">
        <v>9.5026072659480043</v>
      </c>
      <c r="M14068" s="43">
        <v>11.50046685340803</v>
      </c>
      <c r="N14068" s="43">
        <v>4.7438148321750999</v>
      </c>
      <c r="O14068" s="43">
        <v>5.4356326025202124</v>
      </c>
      <c r="P14068" s="412"/>
      <c r="Q14068" s="412"/>
      <c r="R14068" s="412">
        <v>4</v>
      </c>
    </row>
    <row r="14069" spans="1:18" ht="24">
      <c r="A14069" s="408">
        <v>349</v>
      </c>
      <c r="B14069" s="405" t="s">
        <v>25352</v>
      </c>
      <c r="C14069" s="409" t="s">
        <v>25353</v>
      </c>
      <c r="D14069" s="410">
        <v>11617.11</v>
      </c>
      <c r="E14069" s="410">
        <v>7625.52</v>
      </c>
      <c r="F14069" s="410">
        <v>2889.79</v>
      </c>
      <c r="G14069" s="410">
        <v>1101.8</v>
      </c>
      <c r="H14069" s="411">
        <v>107376.09</v>
      </c>
      <c r="I14069" s="411">
        <v>87697.04</v>
      </c>
      <c r="J14069" s="411">
        <v>13821.86</v>
      </c>
      <c r="K14069" s="411">
        <v>5857.19</v>
      </c>
      <c r="L14069" s="43">
        <v>9.2429261666627927</v>
      </c>
      <c r="M14069" s="43">
        <v>11.500466853408028</v>
      </c>
      <c r="N14069" s="43">
        <v>4.7829980725243013</v>
      </c>
      <c r="O14069" s="43">
        <v>5.3160192412416043</v>
      </c>
      <c r="P14069" s="412"/>
      <c r="Q14069" s="412"/>
      <c r="R14069" s="412">
        <v>4</v>
      </c>
    </row>
    <row r="14070" spans="1:18" ht="24">
      <c r="A14070" s="408">
        <v>350</v>
      </c>
      <c r="B14070" s="405" t="s">
        <v>25354</v>
      </c>
      <c r="C14070" s="409" t="s">
        <v>25355</v>
      </c>
      <c r="D14070" s="410">
        <v>19141.830000000002</v>
      </c>
      <c r="E14070" s="410">
        <v>12905.55</v>
      </c>
      <c r="F14070" s="410">
        <v>4948.9799999999996</v>
      </c>
      <c r="G14070" s="410">
        <v>1287.3</v>
      </c>
      <c r="H14070" s="411">
        <v>179686.3</v>
      </c>
      <c r="I14070" s="411">
        <v>148419.85</v>
      </c>
      <c r="J14070" s="411">
        <v>23494.560000000001</v>
      </c>
      <c r="K14070" s="411">
        <v>7771.89</v>
      </c>
      <c r="L14070" s="43">
        <v>9.3871014422341013</v>
      </c>
      <c r="M14070" s="43">
        <v>11.500466853408032</v>
      </c>
      <c r="N14070" s="43">
        <v>4.7473540002182277</v>
      </c>
      <c r="O14070" s="43">
        <v>6.0373572593800979</v>
      </c>
      <c r="P14070" s="412"/>
      <c r="Q14070" s="412"/>
      <c r="R14070" s="412">
        <v>4</v>
      </c>
    </row>
    <row r="14071" spans="1:18" ht="12.75" customHeight="1">
      <c r="A14071" s="628" t="s">
        <v>25356</v>
      </c>
      <c r="B14071" s="629"/>
      <c r="C14071" s="629"/>
      <c r="D14071" s="629"/>
      <c r="E14071" s="629"/>
      <c r="F14071" s="629"/>
      <c r="G14071" s="629"/>
      <c r="H14071" s="629"/>
      <c r="I14071" s="629"/>
      <c r="J14071" s="629"/>
      <c r="K14071" s="629"/>
      <c r="L14071" s="629"/>
      <c r="M14071" s="629"/>
      <c r="N14071" s="629"/>
      <c r="O14071" s="629"/>
      <c r="P14071" s="629"/>
      <c r="Q14071" s="629"/>
      <c r="R14071" s="629"/>
    </row>
    <row r="14072" spans="1:18" ht="12.75" customHeight="1">
      <c r="A14072" s="628" t="s">
        <v>25357</v>
      </c>
      <c r="B14072" s="629"/>
      <c r="C14072" s="629"/>
      <c r="D14072" s="629"/>
      <c r="E14072" s="629"/>
      <c r="F14072" s="629"/>
      <c r="G14072" s="629"/>
      <c r="H14072" s="629"/>
      <c r="I14072" s="629"/>
      <c r="J14072" s="629"/>
      <c r="K14072" s="629"/>
      <c r="L14072" s="629"/>
      <c r="M14072" s="629"/>
      <c r="N14072" s="629"/>
      <c r="O14072" s="629"/>
      <c r="P14072" s="629"/>
      <c r="Q14072" s="629"/>
      <c r="R14072" s="629"/>
    </row>
    <row r="14073" spans="1:18" ht="24">
      <c r="A14073" s="408">
        <v>351</v>
      </c>
      <c r="B14073" s="405" t="s">
        <v>25358</v>
      </c>
      <c r="C14073" s="409" t="s">
        <v>25359</v>
      </c>
      <c r="D14073" s="410">
        <v>1459.15</v>
      </c>
      <c r="E14073" s="410">
        <v>1030.97</v>
      </c>
      <c r="F14073" s="410">
        <v>276.33</v>
      </c>
      <c r="G14073" s="410">
        <v>151.85</v>
      </c>
      <c r="H14073" s="411">
        <v>14053.04</v>
      </c>
      <c r="I14073" s="411">
        <v>11856.13</v>
      </c>
      <c r="J14073" s="411">
        <v>1463.95</v>
      </c>
      <c r="K14073" s="411">
        <v>732.96</v>
      </c>
      <c r="L14073" s="43">
        <v>9.6309769386286543</v>
      </c>
      <c r="M14073" s="43">
        <v>11.499975750991783</v>
      </c>
      <c r="N14073" s="43">
        <v>5.2978323019578042</v>
      </c>
      <c r="O14073" s="43">
        <v>4.8268686203490292</v>
      </c>
      <c r="P14073" s="412"/>
      <c r="Q14073" s="412"/>
      <c r="R14073" s="412">
        <v>1</v>
      </c>
    </row>
    <row r="14074" spans="1:18" ht="24">
      <c r="A14074" s="408">
        <v>352</v>
      </c>
      <c r="B14074" s="405" t="s">
        <v>25360</v>
      </c>
      <c r="C14074" s="409" t="s">
        <v>25361</v>
      </c>
      <c r="D14074" s="410">
        <v>806.6</v>
      </c>
      <c r="E14074" s="410">
        <v>455.26</v>
      </c>
      <c r="F14074" s="410">
        <v>211.89</v>
      </c>
      <c r="G14074" s="410">
        <v>139.44999999999999</v>
      </c>
      <c r="H14074" s="411">
        <v>6965.34</v>
      </c>
      <c r="I14074" s="411">
        <v>5235.6400000000003</v>
      </c>
      <c r="J14074" s="411">
        <v>1136.9100000000001</v>
      </c>
      <c r="K14074" s="411">
        <v>592.79</v>
      </c>
      <c r="L14074" s="43">
        <v>8.635432680386808</v>
      </c>
      <c r="M14074" s="43">
        <v>11.500329482054212</v>
      </c>
      <c r="N14074" s="43">
        <v>5.3655670395016291</v>
      </c>
      <c r="O14074" s="43">
        <v>4.2509143062029402</v>
      </c>
      <c r="P14074" s="412"/>
      <c r="Q14074" s="412"/>
      <c r="R14074" s="412">
        <v>1</v>
      </c>
    </row>
    <row r="14075" spans="1:18" ht="24">
      <c r="A14075" s="408">
        <v>353</v>
      </c>
      <c r="B14075" s="405" t="s">
        <v>25362</v>
      </c>
      <c r="C14075" s="409" t="s">
        <v>25363</v>
      </c>
      <c r="D14075" s="410">
        <v>822.95</v>
      </c>
      <c r="E14075" s="410">
        <v>456.25</v>
      </c>
      <c r="F14075" s="410">
        <v>227.28</v>
      </c>
      <c r="G14075" s="410">
        <v>139.41999999999999</v>
      </c>
      <c r="H14075" s="411">
        <v>7050.11</v>
      </c>
      <c r="I14075" s="411">
        <v>5247.04</v>
      </c>
      <c r="J14075" s="411">
        <v>1210.46</v>
      </c>
      <c r="K14075" s="411">
        <v>592.61</v>
      </c>
      <c r="L14075" s="43">
        <v>8.5668752658120173</v>
      </c>
      <c r="M14075" s="43">
        <v>11.500361643835616</v>
      </c>
      <c r="N14075" s="43">
        <v>5.3258535726856744</v>
      </c>
      <c r="O14075" s="43">
        <v>4.2505379429063268</v>
      </c>
      <c r="P14075" s="412"/>
      <c r="Q14075" s="412"/>
      <c r="R14075" s="412">
        <v>1</v>
      </c>
    </row>
    <row r="14076" spans="1:18" ht="24">
      <c r="A14076" s="408">
        <v>354</v>
      </c>
      <c r="B14076" s="405" t="s">
        <v>25364</v>
      </c>
      <c r="C14076" s="409" t="s">
        <v>25365</v>
      </c>
      <c r="D14076" s="410">
        <v>1325.67</v>
      </c>
      <c r="E14076" s="410">
        <v>746.49</v>
      </c>
      <c r="F14076" s="410">
        <v>357.2</v>
      </c>
      <c r="G14076" s="410">
        <v>221.98</v>
      </c>
      <c r="H14076" s="411">
        <v>11452.28</v>
      </c>
      <c r="I14076" s="411">
        <v>8584.9500000000007</v>
      </c>
      <c r="J14076" s="411">
        <v>1898.78</v>
      </c>
      <c r="K14076" s="411">
        <v>968.55</v>
      </c>
      <c r="L14076" s="43">
        <v>8.6388618585319126</v>
      </c>
      <c r="M14076" s="43">
        <v>11.500421974842263</v>
      </c>
      <c r="N14076" s="43">
        <v>5.3157334826427771</v>
      </c>
      <c r="O14076" s="43">
        <v>4.3632309217046581</v>
      </c>
      <c r="P14076" s="412"/>
      <c r="Q14076" s="412"/>
      <c r="R14076" s="412">
        <v>1</v>
      </c>
    </row>
    <row r="14077" spans="1:18" ht="24">
      <c r="A14077" s="408">
        <v>355</v>
      </c>
      <c r="B14077" s="405" t="s">
        <v>25366</v>
      </c>
      <c r="C14077" s="409" t="s">
        <v>25367</v>
      </c>
      <c r="D14077" s="410">
        <v>383.55</v>
      </c>
      <c r="E14077" s="410">
        <v>303.52</v>
      </c>
      <c r="F14077" s="410">
        <v>30.68</v>
      </c>
      <c r="G14077" s="410">
        <v>49.35</v>
      </c>
      <c r="H14077" s="411">
        <v>3884.13</v>
      </c>
      <c r="I14077" s="411">
        <v>3490.48</v>
      </c>
      <c r="J14077" s="411">
        <v>162.63999999999999</v>
      </c>
      <c r="K14077" s="411">
        <v>231.01</v>
      </c>
      <c r="L14077" s="43">
        <v>10.126789206100899</v>
      </c>
      <c r="M14077" s="43">
        <v>11.5</v>
      </c>
      <c r="N14077" s="43">
        <v>5.3011734028683177</v>
      </c>
      <c r="O14077" s="43">
        <v>4.6810536980749742</v>
      </c>
      <c r="P14077" s="412"/>
      <c r="Q14077" s="412"/>
      <c r="R14077" s="412">
        <v>1</v>
      </c>
    </row>
    <row r="14078" spans="1:18" ht="12.75" customHeight="1">
      <c r="A14078" s="628" t="s">
        <v>25368</v>
      </c>
      <c r="B14078" s="629"/>
      <c r="C14078" s="629"/>
      <c r="D14078" s="629"/>
      <c r="E14078" s="629"/>
      <c r="F14078" s="629"/>
      <c r="G14078" s="629"/>
      <c r="H14078" s="629"/>
      <c r="I14078" s="629"/>
      <c r="J14078" s="629"/>
      <c r="K14078" s="629"/>
      <c r="L14078" s="629"/>
      <c r="M14078" s="629"/>
      <c r="N14078" s="629"/>
      <c r="O14078" s="629"/>
      <c r="P14078" s="629"/>
      <c r="Q14078" s="629"/>
      <c r="R14078" s="629"/>
    </row>
    <row r="14079" spans="1:18" ht="12.75" customHeight="1">
      <c r="A14079" s="628" t="s">
        <v>25369</v>
      </c>
      <c r="B14079" s="629"/>
      <c r="C14079" s="629"/>
      <c r="D14079" s="629"/>
      <c r="E14079" s="629"/>
      <c r="F14079" s="629"/>
      <c r="G14079" s="629"/>
      <c r="H14079" s="629"/>
      <c r="I14079" s="629"/>
      <c r="J14079" s="629"/>
      <c r="K14079" s="629"/>
      <c r="L14079" s="629"/>
      <c r="M14079" s="629"/>
      <c r="N14079" s="629"/>
      <c r="O14079" s="629"/>
      <c r="P14079" s="629"/>
      <c r="Q14079" s="629"/>
      <c r="R14079" s="629"/>
    </row>
    <row r="14080" spans="1:18" ht="24">
      <c r="A14080" s="408">
        <v>356</v>
      </c>
      <c r="B14080" s="405" t="s">
        <v>25370</v>
      </c>
      <c r="C14080" s="409" t="s">
        <v>25371</v>
      </c>
      <c r="D14080" s="410">
        <v>527.67999999999995</v>
      </c>
      <c r="E14080" s="410">
        <v>328.45</v>
      </c>
      <c r="F14080" s="410">
        <v>132.94999999999999</v>
      </c>
      <c r="G14080" s="410">
        <v>66.28</v>
      </c>
      <c r="H14080" s="411">
        <v>4800.62</v>
      </c>
      <c r="I14080" s="411">
        <v>3777.2</v>
      </c>
      <c r="J14080" s="411">
        <v>715.38</v>
      </c>
      <c r="K14080" s="411">
        <v>308.04000000000002</v>
      </c>
      <c r="L14080" s="43">
        <v>9.0975970285021237</v>
      </c>
      <c r="M14080" s="43">
        <v>11.50007611508601</v>
      </c>
      <c r="N14080" s="43">
        <v>5.3808198570891319</v>
      </c>
      <c r="O14080" s="43">
        <v>4.6475558237779122</v>
      </c>
      <c r="P14080" s="412"/>
      <c r="Q14080" s="412"/>
      <c r="R14080" s="412">
        <v>1</v>
      </c>
    </row>
    <row r="14081" spans="1:18" ht="24">
      <c r="A14081" s="408">
        <v>357</v>
      </c>
      <c r="B14081" s="405" t="s">
        <v>25372</v>
      </c>
      <c r="C14081" s="409" t="s">
        <v>25373</v>
      </c>
      <c r="D14081" s="410">
        <v>1698.84</v>
      </c>
      <c r="E14081" s="410">
        <v>949.98</v>
      </c>
      <c r="F14081" s="410">
        <v>498.82</v>
      </c>
      <c r="G14081" s="410">
        <v>250.04</v>
      </c>
      <c r="H14081" s="411">
        <v>14531.24</v>
      </c>
      <c r="I14081" s="411">
        <v>10925.18</v>
      </c>
      <c r="J14081" s="411">
        <v>2525.84</v>
      </c>
      <c r="K14081" s="411">
        <v>1080.22</v>
      </c>
      <c r="L14081" s="43">
        <v>8.5536248263520989</v>
      </c>
      <c r="M14081" s="43">
        <v>11.500431588033432</v>
      </c>
      <c r="N14081" s="43">
        <v>5.0636301671945798</v>
      </c>
      <c r="O14081" s="43">
        <v>4.3201887697968324</v>
      </c>
      <c r="P14081" s="412"/>
      <c r="Q14081" s="412"/>
      <c r="R14081" s="412">
        <v>1</v>
      </c>
    </row>
    <row r="14082" spans="1:18" ht="24">
      <c r="A14082" s="408">
        <v>358</v>
      </c>
      <c r="B14082" s="405" t="s">
        <v>25374</v>
      </c>
      <c r="C14082" s="409" t="s">
        <v>25375</v>
      </c>
      <c r="D14082" s="410">
        <v>3418.65</v>
      </c>
      <c r="E14082" s="410">
        <v>2406.48</v>
      </c>
      <c r="F14082" s="410">
        <v>602.37</v>
      </c>
      <c r="G14082" s="410">
        <v>409.8</v>
      </c>
      <c r="H14082" s="411">
        <v>32659.65</v>
      </c>
      <c r="I14082" s="411">
        <v>27674.52</v>
      </c>
      <c r="J14082" s="411">
        <v>3079.39</v>
      </c>
      <c r="K14082" s="411">
        <v>1905.74</v>
      </c>
      <c r="L14082" s="43">
        <v>9.5533763327629337</v>
      </c>
      <c r="M14082" s="43">
        <v>11.5</v>
      </c>
      <c r="N14082" s="43">
        <v>5.1121237777445749</v>
      </c>
      <c r="O14082" s="43">
        <v>4.6504148365056128</v>
      </c>
      <c r="P14082" s="412"/>
      <c r="Q14082" s="412"/>
      <c r="R14082" s="412">
        <v>1</v>
      </c>
    </row>
    <row r="14083" spans="1:18" ht="12.75" customHeight="1">
      <c r="A14083" s="628" t="s">
        <v>25376</v>
      </c>
      <c r="B14083" s="629"/>
      <c r="C14083" s="629"/>
      <c r="D14083" s="629"/>
      <c r="E14083" s="629"/>
      <c r="F14083" s="629"/>
      <c r="G14083" s="629"/>
      <c r="H14083" s="629"/>
      <c r="I14083" s="629"/>
      <c r="J14083" s="629"/>
      <c r="K14083" s="629"/>
      <c r="L14083" s="629"/>
      <c r="M14083" s="629"/>
      <c r="N14083" s="629"/>
      <c r="O14083" s="629"/>
      <c r="P14083" s="629"/>
      <c r="Q14083" s="629"/>
      <c r="R14083" s="629"/>
    </row>
    <row r="14084" spans="1:18" ht="24">
      <c r="A14084" s="408">
        <v>359</v>
      </c>
      <c r="B14084" s="405" t="s">
        <v>25377</v>
      </c>
      <c r="C14084" s="409" t="s">
        <v>25378</v>
      </c>
      <c r="D14084" s="410">
        <v>1056.03</v>
      </c>
      <c r="E14084" s="410">
        <v>540.86</v>
      </c>
      <c r="F14084" s="410">
        <v>342.26</v>
      </c>
      <c r="G14084" s="410">
        <v>172.91</v>
      </c>
      <c r="H14084" s="411">
        <v>8794.4599999999991</v>
      </c>
      <c r="I14084" s="411">
        <v>6220.09</v>
      </c>
      <c r="J14084" s="411">
        <v>1829.08</v>
      </c>
      <c r="K14084" s="411">
        <v>745.29</v>
      </c>
      <c r="L14084" s="43">
        <v>8.3278505345492064</v>
      </c>
      <c r="M14084" s="43">
        <v>11.500369781459158</v>
      </c>
      <c r="N14084" s="43">
        <v>5.3441243499094258</v>
      </c>
      <c r="O14084" s="43">
        <v>4.3102770227285871</v>
      </c>
      <c r="P14084" s="412"/>
      <c r="Q14084" s="412"/>
      <c r="R14084" s="412">
        <v>2</v>
      </c>
    </row>
    <row r="14085" spans="1:18" ht="36">
      <c r="A14085" s="408">
        <v>360</v>
      </c>
      <c r="B14085" s="405" t="s">
        <v>25379</v>
      </c>
      <c r="C14085" s="409" t="s">
        <v>25380</v>
      </c>
      <c r="D14085" s="410">
        <v>1029.52</v>
      </c>
      <c r="E14085" s="410">
        <v>492.66</v>
      </c>
      <c r="F14085" s="410">
        <v>165.96</v>
      </c>
      <c r="G14085" s="410">
        <v>370.9</v>
      </c>
      <c r="H14085" s="411">
        <v>8013.88</v>
      </c>
      <c r="I14085" s="411">
        <v>5665.82</v>
      </c>
      <c r="J14085" s="411">
        <v>887.9</v>
      </c>
      <c r="K14085" s="411">
        <v>1460.16</v>
      </c>
      <c r="L14085" s="43">
        <v>7.7840935581630273</v>
      </c>
      <c r="M14085" s="43">
        <v>11.500466853408028</v>
      </c>
      <c r="N14085" s="43">
        <v>5.3500843576765478</v>
      </c>
      <c r="O14085" s="43">
        <v>3.9368023726071724</v>
      </c>
      <c r="P14085" s="412"/>
      <c r="Q14085" s="412"/>
      <c r="R14085" s="412">
        <v>2</v>
      </c>
    </row>
    <row r="14086" spans="1:18" ht="36">
      <c r="A14086" s="408">
        <v>361</v>
      </c>
      <c r="B14086" s="405" t="s">
        <v>25381</v>
      </c>
      <c r="C14086" s="409" t="s">
        <v>25382</v>
      </c>
      <c r="D14086" s="410">
        <v>160.24</v>
      </c>
      <c r="E14086" s="410">
        <v>146.34</v>
      </c>
      <c r="F14086" s="410">
        <v>10.56</v>
      </c>
      <c r="G14086" s="410">
        <v>3.34</v>
      </c>
      <c r="H14086" s="411">
        <v>1777.18</v>
      </c>
      <c r="I14086" s="411">
        <v>1682.91</v>
      </c>
      <c r="J14086" s="411">
        <v>56.99</v>
      </c>
      <c r="K14086" s="411">
        <v>37.28</v>
      </c>
      <c r="L14086" s="43">
        <v>11.090738891662506</v>
      </c>
      <c r="M14086" s="43">
        <v>11.5</v>
      </c>
      <c r="N14086" s="43">
        <v>5.3967803030303028</v>
      </c>
      <c r="O14086" s="43">
        <v>11.161676646706587</v>
      </c>
      <c r="P14086" s="412"/>
      <c r="Q14086" s="412"/>
      <c r="R14086" s="412">
        <v>2</v>
      </c>
    </row>
    <row r="14087" spans="1:18" ht="36">
      <c r="A14087" s="408">
        <v>362</v>
      </c>
      <c r="B14087" s="405" t="s">
        <v>25383</v>
      </c>
      <c r="C14087" s="409" t="s">
        <v>25384</v>
      </c>
      <c r="D14087" s="410">
        <v>185.54</v>
      </c>
      <c r="E14087" s="410">
        <v>158.26</v>
      </c>
      <c r="F14087" s="410">
        <v>23.43</v>
      </c>
      <c r="G14087" s="410">
        <v>3.85</v>
      </c>
      <c r="H14087" s="411">
        <v>1989.27</v>
      </c>
      <c r="I14087" s="411">
        <v>1820.04</v>
      </c>
      <c r="J14087" s="411">
        <v>126.81</v>
      </c>
      <c r="K14087" s="411">
        <v>42.42</v>
      </c>
      <c r="L14087" s="43">
        <v>10.721515576156085</v>
      </c>
      <c r="M14087" s="43">
        <v>11.500315935801845</v>
      </c>
      <c r="N14087" s="43">
        <v>5.4122919334186941</v>
      </c>
      <c r="O14087" s="43">
        <v>11.018181818181818</v>
      </c>
      <c r="P14087" s="412"/>
      <c r="Q14087" s="412"/>
      <c r="R14087" s="412">
        <v>2</v>
      </c>
    </row>
    <row r="14088" spans="1:18" ht="36">
      <c r="A14088" s="408">
        <v>363</v>
      </c>
      <c r="B14088" s="405" t="s">
        <v>25385</v>
      </c>
      <c r="C14088" s="409" t="s">
        <v>25380</v>
      </c>
      <c r="D14088" s="410">
        <v>368.04</v>
      </c>
      <c r="E14088" s="410">
        <v>231.98</v>
      </c>
      <c r="F14088" s="410">
        <v>45.12</v>
      </c>
      <c r="G14088" s="410">
        <v>90.94</v>
      </c>
      <c r="H14088" s="411">
        <v>3282.37</v>
      </c>
      <c r="I14088" s="411">
        <v>2667.72</v>
      </c>
      <c r="J14088" s="411">
        <v>241.17</v>
      </c>
      <c r="K14088" s="411">
        <v>373.48</v>
      </c>
      <c r="L14088" s="43">
        <v>8.9185142919247902</v>
      </c>
      <c r="M14088" s="43">
        <v>11.499784464177946</v>
      </c>
      <c r="N14088" s="43">
        <v>5.3450797872340425</v>
      </c>
      <c r="O14088" s="43">
        <v>4.1068836595557512</v>
      </c>
      <c r="P14088" s="412"/>
      <c r="Q14088" s="412"/>
      <c r="R14088" s="412">
        <v>2</v>
      </c>
    </row>
    <row r="14089" spans="1:18" ht="12.75" customHeight="1">
      <c r="A14089" s="628" t="s">
        <v>25386</v>
      </c>
      <c r="B14089" s="629"/>
      <c r="C14089" s="629"/>
      <c r="D14089" s="629"/>
      <c r="E14089" s="629"/>
      <c r="F14089" s="629"/>
      <c r="G14089" s="629"/>
      <c r="H14089" s="629"/>
      <c r="I14089" s="629"/>
      <c r="J14089" s="629"/>
      <c r="K14089" s="629"/>
      <c r="L14089" s="629"/>
      <c r="M14089" s="629"/>
      <c r="N14089" s="629"/>
      <c r="O14089" s="629"/>
      <c r="P14089" s="629"/>
      <c r="Q14089" s="629"/>
      <c r="R14089" s="629"/>
    </row>
    <row r="14090" spans="1:18" ht="12.75" customHeight="1">
      <c r="A14090" s="628" t="s">
        <v>25387</v>
      </c>
      <c r="B14090" s="629"/>
      <c r="C14090" s="629"/>
      <c r="D14090" s="629"/>
      <c r="E14090" s="629"/>
      <c r="F14090" s="629"/>
      <c r="G14090" s="629"/>
      <c r="H14090" s="629"/>
      <c r="I14090" s="629"/>
      <c r="J14090" s="629"/>
      <c r="K14090" s="629"/>
      <c r="L14090" s="629"/>
      <c r="M14090" s="629"/>
      <c r="N14090" s="629"/>
      <c r="O14090" s="629"/>
      <c r="P14090" s="629"/>
      <c r="Q14090" s="629"/>
      <c r="R14090" s="629"/>
    </row>
    <row r="14091" spans="1:18" ht="24">
      <c r="A14091" s="408">
        <v>364</v>
      </c>
      <c r="B14091" s="405" t="s">
        <v>25388</v>
      </c>
      <c r="C14091" s="409" t="s">
        <v>25389</v>
      </c>
      <c r="D14091" s="410">
        <v>1035.48</v>
      </c>
      <c r="E14091" s="410">
        <v>746.49</v>
      </c>
      <c r="F14091" s="410">
        <v>186.92</v>
      </c>
      <c r="G14091" s="410">
        <v>102.07</v>
      </c>
      <c r="H14091" s="411">
        <v>10024.83</v>
      </c>
      <c r="I14091" s="411">
        <v>8584.9500000000007</v>
      </c>
      <c r="J14091" s="411">
        <v>940.67</v>
      </c>
      <c r="K14091" s="411">
        <v>499.21</v>
      </c>
      <c r="L14091" s="43">
        <v>9.6813361919109973</v>
      </c>
      <c r="M14091" s="43">
        <v>11.500421974842263</v>
      </c>
      <c r="N14091" s="43">
        <v>5.0324737855767179</v>
      </c>
      <c r="O14091" s="43">
        <v>4.8908592142647205</v>
      </c>
      <c r="P14091" s="412"/>
      <c r="Q14091" s="412"/>
      <c r="R14091" s="412">
        <v>1</v>
      </c>
    </row>
    <row r="14092" spans="1:18" ht="12.75" customHeight="1">
      <c r="A14092" s="628" t="s">
        <v>25390</v>
      </c>
      <c r="B14092" s="629"/>
      <c r="C14092" s="629"/>
      <c r="D14092" s="629"/>
      <c r="E14092" s="629"/>
      <c r="F14092" s="629"/>
      <c r="G14092" s="629"/>
      <c r="H14092" s="629"/>
      <c r="I14092" s="629"/>
      <c r="J14092" s="629"/>
      <c r="K14092" s="629"/>
      <c r="L14092" s="629"/>
      <c r="M14092" s="629"/>
      <c r="N14092" s="629"/>
      <c r="O14092" s="629"/>
      <c r="P14092" s="629"/>
      <c r="Q14092" s="629"/>
      <c r="R14092" s="629"/>
    </row>
    <row r="14093" spans="1:18" ht="24">
      <c r="A14093" s="408">
        <v>365</v>
      </c>
      <c r="B14093" s="405" t="s">
        <v>25391</v>
      </c>
      <c r="C14093" s="409" t="s">
        <v>25392</v>
      </c>
      <c r="D14093" s="410">
        <v>372.84</v>
      </c>
      <c r="E14093" s="410">
        <v>270.95999999999998</v>
      </c>
      <c r="F14093" s="410">
        <v>67.03</v>
      </c>
      <c r="G14093" s="410">
        <v>34.85</v>
      </c>
      <c r="H14093" s="411">
        <v>3653.58</v>
      </c>
      <c r="I14093" s="411">
        <v>3116.15</v>
      </c>
      <c r="J14093" s="411">
        <v>362.58</v>
      </c>
      <c r="K14093" s="411">
        <v>174.85</v>
      </c>
      <c r="L14093" s="43">
        <v>9.7993241068554884</v>
      </c>
      <c r="M14093" s="43">
        <v>11.500405963979924</v>
      </c>
      <c r="N14093" s="43">
        <v>5.4092197523496939</v>
      </c>
      <c r="O14093" s="43">
        <v>5.0172166427546623</v>
      </c>
      <c r="P14093" s="412"/>
      <c r="Q14093" s="412"/>
      <c r="R14093" s="412">
        <v>2</v>
      </c>
    </row>
    <row r="14094" spans="1:18" ht="24">
      <c r="A14094" s="408">
        <v>366</v>
      </c>
      <c r="B14094" s="405" t="s">
        <v>25393</v>
      </c>
      <c r="C14094" s="409" t="s">
        <v>25394</v>
      </c>
      <c r="D14094" s="410">
        <v>1097.07</v>
      </c>
      <c r="E14094" s="410">
        <v>727.21</v>
      </c>
      <c r="F14094" s="410">
        <v>224.94</v>
      </c>
      <c r="G14094" s="410">
        <v>144.91999999999999</v>
      </c>
      <c r="H14094" s="411">
        <v>10173.299999999999</v>
      </c>
      <c r="I14094" s="411">
        <v>8363.24</v>
      </c>
      <c r="J14094" s="411">
        <v>1154.47</v>
      </c>
      <c r="K14094" s="411">
        <v>655.59</v>
      </c>
      <c r="L14094" s="43">
        <v>9.2731548579397849</v>
      </c>
      <c r="M14094" s="43">
        <v>11.500446913546293</v>
      </c>
      <c r="N14094" s="43">
        <v>5.1323464034853741</v>
      </c>
      <c r="O14094" s="43">
        <v>4.5238062379243731</v>
      </c>
      <c r="P14094" s="412"/>
      <c r="Q14094" s="412"/>
      <c r="R14094" s="412">
        <v>2</v>
      </c>
    </row>
    <row r="14095" spans="1:18" ht="12.75" customHeight="1">
      <c r="A14095" s="628" t="s">
        <v>25395</v>
      </c>
      <c r="B14095" s="629"/>
      <c r="C14095" s="629"/>
      <c r="D14095" s="629"/>
      <c r="E14095" s="629"/>
      <c r="F14095" s="629"/>
      <c r="G14095" s="629"/>
      <c r="H14095" s="629"/>
      <c r="I14095" s="629"/>
      <c r="J14095" s="629"/>
      <c r="K14095" s="629"/>
      <c r="L14095" s="629"/>
      <c r="M14095" s="629"/>
      <c r="N14095" s="629"/>
      <c r="O14095" s="629"/>
      <c r="P14095" s="629"/>
      <c r="Q14095" s="629"/>
      <c r="R14095" s="629"/>
    </row>
    <row r="14096" spans="1:18" ht="24">
      <c r="A14096" s="408">
        <v>367</v>
      </c>
      <c r="B14096" s="405" t="s">
        <v>25396</v>
      </c>
      <c r="C14096" s="409" t="s">
        <v>25397</v>
      </c>
      <c r="D14096" s="410">
        <v>445.2</v>
      </c>
      <c r="E14096" s="410">
        <v>238.05</v>
      </c>
      <c r="F14096" s="410">
        <v>130.01</v>
      </c>
      <c r="G14096" s="410">
        <v>77.14</v>
      </c>
      <c r="H14096" s="411">
        <v>3766.11</v>
      </c>
      <c r="I14096" s="411">
        <v>2737.58</v>
      </c>
      <c r="J14096" s="411">
        <v>702.93</v>
      </c>
      <c r="K14096" s="411">
        <v>325.60000000000002</v>
      </c>
      <c r="L14096" s="43">
        <v>8.4593665768194075</v>
      </c>
      <c r="M14096" s="43">
        <v>11.500021003990758</v>
      </c>
      <c r="N14096" s="43">
        <v>5.4067379432351359</v>
      </c>
      <c r="O14096" s="43">
        <v>4.220897070261862</v>
      </c>
      <c r="P14096" s="412"/>
      <c r="Q14096" s="412"/>
      <c r="R14096" s="412">
        <v>3</v>
      </c>
    </row>
    <row r="14097" spans="1:18" ht="24">
      <c r="A14097" s="408">
        <v>368</v>
      </c>
      <c r="B14097" s="405" t="s">
        <v>25398</v>
      </c>
      <c r="C14097" s="409" t="s">
        <v>25399</v>
      </c>
      <c r="D14097" s="410">
        <v>1148.83</v>
      </c>
      <c r="E14097" s="410">
        <v>511.01</v>
      </c>
      <c r="F14097" s="410">
        <v>393.4</v>
      </c>
      <c r="G14097" s="410">
        <v>244.42</v>
      </c>
      <c r="H14097" s="411">
        <v>8984.76</v>
      </c>
      <c r="I14097" s="411">
        <v>5876.66</v>
      </c>
      <c r="J14097" s="411">
        <v>2101.17</v>
      </c>
      <c r="K14097" s="411">
        <v>1006.93</v>
      </c>
      <c r="L14097" s="43">
        <v>7.8207915879634067</v>
      </c>
      <c r="M14097" s="43">
        <v>11.500088060899003</v>
      </c>
      <c r="N14097" s="43">
        <v>5.3410523640061012</v>
      </c>
      <c r="O14097" s="43">
        <v>4.1196710580148928</v>
      </c>
      <c r="P14097" s="412"/>
      <c r="Q14097" s="412"/>
      <c r="R14097" s="412">
        <v>3</v>
      </c>
    </row>
    <row r="14098" spans="1:18" ht="12.75" customHeight="1">
      <c r="A14098" s="628" t="s">
        <v>25400</v>
      </c>
      <c r="B14098" s="629"/>
      <c r="C14098" s="629"/>
      <c r="D14098" s="629"/>
      <c r="E14098" s="629"/>
      <c r="F14098" s="629"/>
      <c r="G14098" s="629"/>
      <c r="H14098" s="629"/>
      <c r="I14098" s="629"/>
      <c r="J14098" s="629"/>
      <c r="K14098" s="629"/>
      <c r="L14098" s="629"/>
      <c r="M14098" s="629"/>
      <c r="N14098" s="629"/>
      <c r="O14098" s="629"/>
      <c r="P14098" s="629"/>
      <c r="Q14098" s="629"/>
      <c r="R14098" s="629"/>
    </row>
    <row r="14099" spans="1:18" ht="24">
      <c r="A14099" s="408">
        <v>369</v>
      </c>
      <c r="B14099" s="405" t="s">
        <v>25401</v>
      </c>
      <c r="C14099" s="409" t="s">
        <v>25402</v>
      </c>
      <c r="D14099" s="410">
        <v>262.08999999999997</v>
      </c>
      <c r="E14099" s="410">
        <v>209.53</v>
      </c>
      <c r="F14099" s="410">
        <v>14.25</v>
      </c>
      <c r="G14099" s="410">
        <v>38.31</v>
      </c>
      <c r="H14099" s="411">
        <v>2688.21</v>
      </c>
      <c r="I14099" s="411">
        <v>2409.66</v>
      </c>
      <c r="J14099" s="411">
        <v>76.72</v>
      </c>
      <c r="K14099" s="411">
        <v>201.83</v>
      </c>
      <c r="L14099" s="43">
        <v>10.256820176275326</v>
      </c>
      <c r="M14099" s="43">
        <v>11.500310218107192</v>
      </c>
      <c r="N14099" s="43">
        <v>5.3838596491228072</v>
      </c>
      <c r="O14099" s="43">
        <v>5.2683372487601146</v>
      </c>
      <c r="P14099" s="412"/>
      <c r="Q14099" s="412"/>
      <c r="R14099" s="412">
        <v>4</v>
      </c>
    </row>
    <row r="14100" spans="1:18" ht="24">
      <c r="A14100" s="408">
        <v>370</v>
      </c>
      <c r="B14100" s="405" t="s">
        <v>25403</v>
      </c>
      <c r="C14100" s="409" t="s">
        <v>25404</v>
      </c>
      <c r="D14100" s="410">
        <v>472.03</v>
      </c>
      <c r="E14100" s="410">
        <v>328.21</v>
      </c>
      <c r="F14100" s="410">
        <v>74.28</v>
      </c>
      <c r="G14100" s="410">
        <v>69.540000000000006</v>
      </c>
      <c r="H14100" s="411">
        <v>4509.45</v>
      </c>
      <c r="I14100" s="411">
        <v>3774.39</v>
      </c>
      <c r="J14100" s="411">
        <v>398.41</v>
      </c>
      <c r="K14100" s="411">
        <v>336.65</v>
      </c>
      <c r="L14100" s="43">
        <v>9.5533122894731264</v>
      </c>
      <c r="M14100" s="43">
        <v>11.49992382925566</v>
      </c>
      <c r="N14100" s="43">
        <v>5.363624124932687</v>
      </c>
      <c r="O14100" s="43">
        <v>4.8410986482599938</v>
      </c>
      <c r="P14100" s="412"/>
      <c r="Q14100" s="412"/>
      <c r="R14100" s="412">
        <v>4</v>
      </c>
    </row>
    <row r="14101" spans="1:18" ht="12.75" customHeight="1">
      <c r="A14101" s="628" t="s">
        <v>25405</v>
      </c>
      <c r="B14101" s="629"/>
      <c r="C14101" s="629"/>
      <c r="D14101" s="629"/>
      <c r="E14101" s="629"/>
      <c r="F14101" s="629"/>
      <c r="G14101" s="629"/>
      <c r="H14101" s="629"/>
      <c r="I14101" s="629"/>
      <c r="J14101" s="629"/>
      <c r="K14101" s="629"/>
      <c r="L14101" s="629"/>
      <c r="M14101" s="629"/>
      <c r="N14101" s="629"/>
      <c r="O14101" s="629"/>
      <c r="P14101" s="629"/>
      <c r="Q14101" s="629"/>
      <c r="R14101" s="629"/>
    </row>
    <row r="14102" spans="1:18" ht="12.75" customHeight="1">
      <c r="A14102" s="628" t="s">
        <v>25406</v>
      </c>
      <c r="B14102" s="629"/>
      <c r="C14102" s="629"/>
      <c r="D14102" s="629"/>
      <c r="E14102" s="629"/>
      <c r="F14102" s="629"/>
      <c r="G14102" s="629"/>
      <c r="H14102" s="629"/>
      <c r="I14102" s="629"/>
      <c r="J14102" s="629"/>
      <c r="K14102" s="629"/>
      <c r="L14102" s="629"/>
      <c r="M14102" s="629"/>
      <c r="N14102" s="629"/>
      <c r="O14102" s="629"/>
      <c r="P14102" s="629"/>
      <c r="Q14102" s="629"/>
      <c r="R14102" s="629"/>
    </row>
    <row r="14103" spans="1:18" ht="24">
      <c r="A14103" s="408">
        <v>371</v>
      </c>
      <c r="B14103" s="405" t="s">
        <v>25407</v>
      </c>
      <c r="C14103" s="409" t="s">
        <v>25408</v>
      </c>
      <c r="D14103" s="410">
        <v>2714.48</v>
      </c>
      <c r="E14103" s="410">
        <v>1365.46</v>
      </c>
      <c r="F14103" s="410">
        <v>1069.33</v>
      </c>
      <c r="G14103" s="410">
        <v>279.69</v>
      </c>
      <c r="H14103" s="411">
        <v>22610.39</v>
      </c>
      <c r="I14103" s="411">
        <v>15703.46</v>
      </c>
      <c r="J14103" s="411">
        <v>5660.41</v>
      </c>
      <c r="K14103" s="411">
        <v>1246.52</v>
      </c>
      <c r="L14103" s="43">
        <v>8.3295474639710001</v>
      </c>
      <c r="M14103" s="43">
        <v>11.500490677134444</v>
      </c>
      <c r="N14103" s="43">
        <v>5.2934173734955534</v>
      </c>
      <c r="O14103" s="43">
        <v>4.4567914476742105</v>
      </c>
      <c r="P14103" s="412"/>
      <c r="Q14103" s="412"/>
      <c r="R14103" s="412">
        <v>1</v>
      </c>
    </row>
    <row r="14104" spans="1:18" ht="12.75" customHeight="1">
      <c r="A14104" s="628" t="s">
        <v>25409</v>
      </c>
      <c r="B14104" s="629"/>
      <c r="C14104" s="629"/>
      <c r="D14104" s="629"/>
      <c r="E14104" s="629"/>
      <c r="F14104" s="629"/>
      <c r="G14104" s="629"/>
      <c r="H14104" s="629"/>
      <c r="I14104" s="629"/>
      <c r="J14104" s="629"/>
      <c r="K14104" s="629"/>
      <c r="L14104" s="629"/>
      <c r="M14104" s="629"/>
      <c r="N14104" s="629"/>
      <c r="O14104" s="629"/>
      <c r="P14104" s="629"/>
      <c r="Q14104" s="629"/>
      <c r="R14104" s="629"/>
    </row>
    <row r="14105" spans="1:18" ht="36">
      <c r="A14105" s="408">
        <v>372</v>
      </c>
      <c r="B14105" s="405" t="s">
        <v>25410</v>
      </c>
      <c r="C14105" s="409" t="s">
        <v>25411</v>
      </c>
      <c r="D14105" s="410">
        <v>3504.59</v>
      </c>
      <c r="E14105" s="410">
        <v>1467.36</v>
      </c>
      <c r="F14105" s="410">
        <v>1634.42</v>
      </c>
      <c r="G14105" s="410">
        <v>402.81</v>
      </c>
      <c r="H14105" s="411">
        <v>27351.3</v>
      </c>
      <c r="I14105" s="411">
        <v>16875.36</v>
      </c>
      <c r="J14105" s="411">
        <v>8682.7900000000009</v>
      </c>
      <c r="K14105" s="411">
        <v>1793.15</v>
      </c>
      <c r="L14105" s="43">
        <v>7.8044222005997845</v>
      </c>
      <c r="M14105" s="43">
        <v>11.500490677134447</v>
      </c>
      <c r="N14105" s="43">
        <v>5.3124594657432</v>
      </c>
      <c r="O14105" s="43">
        <v>4.451602492490256</v>
      </c>
      <c r="P14105" s="412"/>
      <c r="Q14105" s="412"/>
      <c r="R14105" s="412">
        <v>2</v>
      </c>
    </row>
    <row r="14106" spans="1:18" ht="24">
      <c r="A14106" s="408">
        <v>373</v>
      </c>
      <c r="B14106" s="405" t="s">
        <v>25412</v>
      </c>
      <c r="C14106" s="409" t="s">
        <v>25413</v>
      </c>
      <c r="D14106" s="410">
        <v>663.7</v>
      </c>
      <c r="E14106" s="410">
        <v>300.95</v>
      </c>
      <c r="F14106" s="410">
        <v>198.77</v>
      </c>
      <c r="G14106" s="410">
        <v>163.98</v>
      </c>
      <c r="H14106" s="411">
        <v>5328.86</v>
      </c>
      <c r="I14106" s="411">
        <v>3461.08</v>
      </c>
      <c r="J14106" s="411">
        <v>1068.43</v>
      </c>
      <c r="K14106" s="411">
        <v>799.35</v>
      </c>
      <c r="L14106" s="43">
        <v>8.0290191351514224</v>
      </c>
      <c r="M14106" s="43">
        <v>11.50051503572022</v>
      </c>
      <c r="N14106" s="43">
        <v>5.3752075262866628</v>
      </c>
      <c r="O14106" s="43">
        <v>4.8746798390047568</v>
      </c>
      <c r="P14106" s="412"/>
      <c r="Q14106" s="412"/>
      <c r="R14106" s="412">
        <v>2</v>
      </c>
    </row>
    <row r="14107" spans="1:18" ht="12.75" customHeight="1">
      <c r="A14107" s="628" t="s">
        <v>25414</v>
      </c>
      <c r="B14107" s="629"/>
      <c r="C14107" s="629"/>
      <c r="D14107" s="629"/>
      <c r="E14107" s="629"/>
      <c r="F14107" s="629"/>
      <c r="G14107" s="629"/>
      <c r="H14107" s="629"/>
      <c r="I14107" s="629"/>
      <c r="J14107" s="629"/>
      <c r="K14107" s="629"/>
      <c r="L14107" s="629"/>
      <c r="M14107" s="629"/>
      <c r="N14107" s="629"/>
      <c r="O14107" s="629"/>
      <c r="P14107" s="629"/>
      <c r="Q14107" s="629"/>
      <c r="R14107" s="629"/>
    </row>
    <row r="14108" spans="1:18" ht="24">
      <c r="A14108" s="408">
        <v>374</v>
      </c>
      <c r="B14108" s="405" t="s">
        <v>25415</v>
      </c>
      <c r="C14108" s="409" t="s">
        <v>25416</v>
      </c>
      <c r="D14108" s="410">
        <v>1675.14</v>
      </c>
      <c r="E14108" s="410">
        <v>903</v>
      </c>
      <c r="F14108" s="410">
        <v>571.86</v>
      </c>
      <c r="G14108" s="410">
        <v>200.28</v>
      </c>
      <c r="H14108" s="411">
        <v>14355.27</v>
      </c>
      <c r="I14108" s="411">
        <v>10384.5</v>
      </c>
      <c r="J14108" s="411">
        <v>2965.74</v>
      </c>
      <c r="K14108" s="411">
        <v>1005.03</v>
      </c>
      <c r="L14108" s="43">
        <v>8.5695941831727502</v>
      </c>
      <c r="M14108" s="43">
        <v>11.5</v>
      </c>
      <c r="N14108" s="43">
        <v>5.1861294722484521</v>
      </c>
      <c r="O14108" s="43">
        <v>5.0181246255242655</v>
      </c>
      <c r="P14108" s="412"/>
      <c r="Q14108" s="412"/>
      <c r="R14108" s="412">
        <v>3</v>
      </c>
    </row>
    <row r="14109" spans="1:18" ht="12.75" customHeight="1">
      <c r="A14109" s="628" t="s">
        <v>25417</v>
      </c>
      <c r="B14109" s="629"/>
      <c r="C14109" s="629"/>
      <c r="D14109" s="629"/>
      <c r="E14109" s="629"/>
      <c r="F14109" s="629"/>
      <c r="G14109" s="629"/>
      <c r="H14109" s="629"/>
      <c r="I14109" s="629"/>
      <c r="J14109" s="629"/>
      <c r="K14109" s="629"/>
      <c r="L14109" s="629"/>
      <c r="M14109" s="629"/>
      <c r="N14109" s="629"/>
      <c r="O14109" s="629"/>
      <c r="P14109" s="629"/>
      <c r="Q14109" s="629"/>
      <c r="R14109" s="629"/>
    </row>
    <row r="14110" spans="1:18" ht="12.75" customHeight="1">
      <c r="A14110" s="628" t="s">
        <v>25418</v>
      </c>
      <c r="B14110" s="629"/>
      <c r="C14110" s="629"/>
      <c r="D14110" s="629"/>
      <c r="E14110" s="629"/>
      <c r="F14110" s="629"/>
      <c r="G14110" s="629"/>
      <c r="H14110" s="629"/>
      <c r="I14110" s="629"/>
      <c r="J14110" s="629"/>
      <c r="K14110" s="629"/>
      <c r="L14110" s="629"/>
      <c r="M14110" s="629"/>
      <c r="N14110" s="629"/>
      <c r="O14110" s="629"/>
      <c r="P14110" s="629"/>
      <c r="Q14110" s="629"/>
      <c r="R14110" s="629"/>
    </row>
    <row r="14111" spans="1:18" ht="24">
      <c r="A14111" s="408">
        <v>375</v>
      </c>
      <c r="B14111" s="405" t="s">
        <v>25419</v>
      </c>
      <c r="C14111" s="409" t="s">
        <v>25420</v>
      </c>
      <c r="D14111" s="410">
        <v>356.03</v>
      </c>
      <c r="E14111" s="410">
        <v>197.46</v>
      </c>
      <c r="F14111" s="410">
        <v>95.42</v>
      </c>
      <c r="G14111" s="410">
        <v>63.15</v>
      </c>
      <c r="H14111" s="411">
        <v>3057.84</v>
      </c>
      <c r="I14111" s="411">
        <v>2270.88</v>
      </c>
      <c r="J14111" s="411">
        <v>513.52</v>
      </c>
      <c r="K14111" s="411">
        <v>273.44</v>
      </c>
      <c r="L14111" s="43">
        <v>8.5887144341768966</v>
      </c>
      <c r="M14111" s="43">
        <v>11.500455788514129</v>
      </c>
      <c r="N14111" s="43">
        <v>5.3816809893104169</v>
      </c>
      <c r="O14111" s="43">
        <v>4.3300079176563742</v>
      </c>
      <c r="P14111" s="412"/>
      <c r="Q14111" s="412"/>
      <c r="R14111" s="412">
        <v>1</v>
      </c>
    </row>
    <row r="14112" spans="1:18" ht="24">
      <c r="A14112" s="408">
        <v>376</v>
      </c>
      <c r="B14112" s="405" t="s">
        <v>25421</v>
      </c>
      <c r="C14112" s="409" t="s">
        <v>25422</v>
      </c>
      <c r="D14112" s="410">
        <v>662.05</v>
      </c>
      <c r="E14112" s="410">
        <v>419.05</v>
      </c>
      <c r="F14112" s="410">
        <v>146.27000000000001</v>
      </c>
      <c r="G14112" s="410">
        <v>96.73</v>
      </c>
      <c r="H14112" s="411">
        <v>6037.06</v>
      </c>
      <c r="I14112" s="411">
        <v>4819.3100000000004</v>
      </c>
      <c r="J14112" s="411">
        <v>783.24</v>
      </c>
      <c r="K14112" s="411">
        <v>434.51</v>
      </c>
      <c r="L14112" s="43">
        <v>9.1187372554942989</v>
      </c>
      <c r="M14112" s="43">
        <v>11.500560792268226</v>
      </c>
      <c r="N14112" s="43">
        <v>5.3547549053120935</v>
      </c>
      <c r="O14112" s="43">
        <v>4.4919880078569214</v>
      </c>
      <c r="P14112" s="412"/>
      <c r="Q14112" s="412"/>
      <c r="R14112" s="412">
        <v>1</v>
      </c>
    </row>
    <row r="14113" spans="1:18" ht="24">
      <c r="A14113" s="408">
        <v>377</v>
      </c>
      <c r="B14113" s="405" t="s">
        <v>25423</v>
      </c>
      <c r="C14113" s="409" t="s">
        <v>25422</v>
      </c>
      <c r="D14113" s="410">
        <v>534.4</v>
      </c>
      <c r="E14113" s="410">
        <v>243.1</v>
      </c>
      <c r="F14113" s="410">
        <v>199.58</v>
      </c>
      <c r="G14113" s="410">
        <v>91.72</v>
      </c>
      <c r="H14113" s="411">
        <v>4254.01</v>
      </c>
      <c r="I14113" s="411">
        <v>2795.7</v>
      </c>
      <c r="J14113" s="411">
        <v>1077.3900000000001</v>
      </c>
      <c r="K14113" s="411">
        <v>380.92</v>
      </c>
      <c r="L14113" s="43">
        <v>7.9603480538922167</v>
      </c>
      <c r="M14113" s="43">
        <v>11.500205676676265</v>
      </c>
      <c r="N14113" s="43">
        <v>5.3982864014430305</v>
      </c>
      <c r="O14113" s="43">
        <v>4.1530745747928481</v>
      </c>
      <c r="P14113" s="412"/>
      <c r="Q14113" s="412"/>
      <c r="R14113" s="412">
        <v>1</v>
      </c>
    </row>
    <row r="14114" spans="1:18" ht="36">
      <c r="A14114" s="408">
        <v>378</v>
      </c>
      <c r="B14114" s="405" t="s">
        <v>25424</v>
      </c>
      <c r="C14114" s="409" t="s">
        <v>25425</v>
      </c>
      <c r="D14114" s="410">
        <v>4239.12</v>
      </c>
      <c r="E14114" s="410">
        <v>2158.3200000000002</v>
      </c>
      <c r="F14114" s="410">
        <v>1200.47</v>
      </c>
      <c r="G14114" s="410">
        <v>880.33</v>
      </c>
      <c r="H14114" s="411">
        <v>35060.589999999997</v>
      </c>
      <c r="I14114" s="411">
        <v>24820.68</v>
      </c>
      <c r="J14114" s="411">
        <v>6622.93</v>
      </c>
      <c r="K14114" s="411">
        <v>3616.98</v>
      </c>
      <c r="L14114" s="43">
        <v>8.2707236407556284</v>
      </c>
      <c r="M14114" s="43">
        <v>11.5</v>
      </c>
      <c r="N14114" s="43">
        <v>5.5169475288845202</v>
      </c>
      <c r="O14114" s="43">
        <v>4.1086637965308466</v>
      </c>
      <c r="P14114" s="412"/>
      <c r="Q14114" s="412"/>
      <c r="R14114" s="412">
        <v>1</v>
      </c>
    </row>
    <row r="14115" spans="1:18" ht="36">
      <c r="A14115" s="408">
        <v>379</v>
      </c>
      <c r="B14115" s="405" t="s">
        <v>25426</v>
      </c>
      <c r="C14115" s="409" t="s">
        <v>25427</v>
      </c>
      <c r="D14115" s="410">
        <v>857.46</v>
      </c>
      <c r="E14115" s="410">
        <v>380.88</v>
      </c>
      <c r="F14115" s="410">
        <v>305.10000000000002</v>
      </c>
      <c r="G14115" s="410">
        <v>171.48</v>
      </c>
      <c r="H14115" s="411">
        <v>6732.98</v>
      </c>
      <c r="I14115" s="411">
        <v>4380.12</v>
      </c>
      <c r="J14115" s="411">
        <v>1628.81</v>
      </c>
      <c r="K14115" s="411">
        <v>724.05</v>
      </c>
      <c r="L14115" s="43">
        <v>7.8522380052713823</v>
      </c>
      <c r="M14115" s="43">
        <v>11.5</v>
      </c>
      <c r="N14115" s="43">
        <v>5.3386102917076359</v>
      </c>
      <c r="O14115" s="43">
        <v>4.2223582925122463</v>
      </c>
      <c r="P14115" s="412"/>
      <c r="Q14115" s="412"/>
      <c r="R14115" s="412">
        <v>1</v>
      </c>
    </row>
    <row r="14116" spans="1:18" ht="12.75" customHeight="1">
      <c r="A14116" s="628" t="s">
        <v>25428</v>
      </c>
      <c r="B14116" s="629"/>
      <c r="C14116" s="629"/>
      <c r="D14116" s="629"/>
      <c r="E14116" s="629"/>
      <c r="F14116" s="629"/>
      <c r="G14116" s="629"/>
      <c r="H14116" s="629"/>
      <c r="I14116" s="629"/>
      <c r="J14116" s="629"/>
      <c r="K14116" s="629"/>
      <c r="L14116" s="629"/>
      <c r="M14116" s="629"/>
      <c r="N14116" s="629"/>
      <c r="O14116" s="629"/>
      <c r="P14116" s="629"/>
      <c r="Q14116" s="629"/>
      <c r="R14116" s="629"/>
    </row>
    <row r="14117" spans="1:18" ht="12.75" customHeight="1">
      <c r="A14117" s="628" t="s">
        <v>25096</v>
      </c>
      <c r="B14117" s="629"/>
      <c r="C14117" s="629"/>
      <c r="D14117" s="629"/>
      <c r="E14117" s="629"/>
      <c r="F14117" s="629"/>
      <c r="G14117" s="629"/>
      <c r="H14117" s="629"/>
      <c r="I14117" s="629"/>
      <c r="J14117" s="629"/>
      <c r="K14117" s="629"/>
      <c r="L14117" s="629"/>
      <c r="M14117" s="629"/>
      <c r="N14117" s="629"/>
      <c r="O14117" s="629"/>
      <c r="P14117" s="629"/>
      <c r="Q14117" s="629"/>
      <c r="R14117" s="629"/>
    </row>
    <row r="14118" spans="1:18" ht="24">
      <c r="A14118" s="408">
        <v>380</v>
      </c>
      <c r="B14118" s="405" t="s">
        <v>25429</v>
      </c>
      <c r="C14118" s="409" t="s">
        <v>25430</v>
      </c>
      <c r="D14118" s="410">
        <v>583.66</v>
      </c>
      <c r="E14118" s="410">
        <v>352.17</v>
      </c>
      <c r="F14118" s="410">
        <v>134.33000000000001</v>
      </c>
      <c r="G14118" s="410">
        <v>97.16</v>
      </c>
      <c r="H14118" s="411">
        <v>5210</v>
      </c>
      <c r="I14118" s="411">
        <v>4050.07</v>
      </c>
      <c r="J14118" s="411">
        <v>725.33</v>
      </c>
      <c r="K14118" s="411">
        <v>434.6</v>
      </c>
      <c r="L14118" s="43">
        <v>8.9264297707569487</v>
      </c>
      <c r="M14118" s="43">
        <v>11.500326546838174</v>
      </c>
      <c r="N14118" s="43">
        <v>5.3996128936201888</v>
      </c>
      <c r="O14118" s="43">
        <v>4.4730341704405108</v>
      </c>
      <c r="P14118" s="412"/>
      <c r="Q14118" s="412"/>
      <c r="R14118" s="412">
        <v>1</v>
      </c>
    </row>
    <row r="14119" spans="1:18" ht="24">
      <c r="A14119" s="408">
        <v>381</v>
      </c>
      <c r="B14119" s="405" t="s">
        <v>25431</v>
      </c>
      <c r="C14119" s="409" t="s">
        <v>25432</v>
      </c>
      <c r="D14119" s="410">
        <v>3910.7</v>
      </c>
      <c r="E14119" s="410">
        <v>2763.9</v>
      </c>
      <c r="F14119" s="410">
        <v>980.01</v>
      </c>
      <c r="G14119" s="410">
        <v>166.79</v>
      </c>
      <c r="H14119" s="411">
        <v>38355.25</v>
      </c>
      <c r="I14119" s="411">
        <v>31784.85</v>
      </c>
      <c r="J14119" s="411">
        <v>5393.6</v>
      </c>
      <c r="K14119" s="411">
        <v>1176.8</v>
      </c>
      <c r="L14119" s="43">
        <v>9.8077709872912777</v>
      </c>
      <c r="M14119" s="43">
        <v>11.499999999999998</v>
      </c>
      <c r="N14119" s="43">
        <v>5.5036173100274492</v>
      </c>
      <c r="O14119" s="43">
        <v>7.0555788716349905</v>
      </c>
      <c r="P14119" s="412"/>
      <c r="Q14119" s="412"/>
      <c r="R14119" s="412">
        <v>1</v>
      </c>
    </row>
    <row r="14120" spans="1:18" ht="24">
      <c r="A14120" s="408">
        <v>382</v>
      </c>
      <c r="B14120" s="405" t="s">
        <v>25433</v>
      </c>
      <c r="C14120" s="409" t="s">
        <v>25434</v>
      </c>
      <c r="D14120" s="410">
        <v>2637.3</v>
      </c>
      <c r="E14120" s="410">
        <v>1163.8</v>
      </c>
      <c r="F14120" s="410">
        <v>906.78</v>
      </c>
      <c r="G14120" s="410">
        <v>566.72</v>
      </c>
      <c r="H14120" s="411">
        <v>20653.71</v>
      </c>
      <c r="I14120" s="411">
        <v>13383.7</v>
      </c>
      <c r="J14120" s="411">
        <v>4856.6099999999997</v>
      </c>
      <c r="K14120" s="411">
        <v>2413.4</v>
      </c>
      <c r="L14120" s="43">
        <v>7.831384370378796</v>
      </c>
      <c r="M14120" s="43">
        <v>11.500000000000002</v>
      </c>
      <c r="N14120" s="43">
        <v>5.3558856613511541</v>
      </c>
      <c r="O14120" s="43">
        <v>4.2585403726708071</v>
      </c>
      <c r="P14120" s="412"/>
      <c r="Q14120" s="412"/>
      <c r="R14120" s="412">
        <v>1</v>
      </c>
    </row>
    <row r="14121" spans="1:18" ht="36">
      <c r="A14121" s="408">
        <v>383</v>
      </c>
      <c r="B14121" s="405" t="s">
        <v>25435</v>
      </c>
      <c r="C14121" s="409" t="s">
        <v>25436</v>
      </c>
      <c r="D14121" s="410">
        <v>749.55</v>
      </c>
      <c r="E14121" s="410">
        <v>324.51</v>
      </c>
      <c r="F14121" s="410">
        <v>278</v>
      </c>
      <c r="G14121" s="410">
        <v>147.04</v>
      </c>
      <c r="H14121" s="411">
        <v>5842.79</v>
      </c>
      <c r="I14121" s="411">
        <v>3732.05</v>
      </c>
      <c r="J14121" s="411">
        <v>1458.56</v>
      </c>
      <c r="K14121" s="411">
        <v>652.17999999999995</v>
      </c>
      <c r="L14121" s="43">
        <v>7.7950637048896008</v>
      </c>
      <c r="M14121" s="43">
        <v>11.500570090289976</v>
      </c>
      <c r="N14121" s="43">
        <v>5.2466187050359707</v>
      </c>
      <c r="O14121" s="43">
        <v>4.4353917301414576</v>
      </c>
      <c r="P14121" s="412"/>
      <c r="Q14121" s="412"/>
      <c r="R14121" s="412">
        <v>1</v>
      </c>
    </row>
    <row r="14122" spans="1:18" ht="12.75" customHeight="1">
      <c r="A14122" s="628" t="s">
        <v>25437</v>
      </c>
      <c r="B14122" s="629"/>
      <c r="C14122" s="629"/>
      <c r="D14122" s="629"/>
      <c r="E14122" s="629"/>
      <c r="F14122" s="629"/>
      <c r="G14122" s="629"/>
      <c r="H14122" s="629"/>
      <c r="I14122" s="629"/>
      <c r="J14122" s="629"/>
      <c r="K14122" s="629"/>
      <c r="L14122" s="629"/>
      <c r="M14122" s="629"/>
      <c r="N14122" s="629"/>
      <c r="O14122" s="629"/>
      <c r="P14122" s="629"/>
      <c r="Q14122" s="629"/>
      <c r="R14122" s="629"/>
    </row>
    <row r="14123" spans="1:18" ht="24">
      <c r="A14123" s="408">
        <v>384</v>
      </c>
      <c r="B14123" s="405" t="s">
        <v>25438</v>
      </c>
      <c r="C14123" s="409" t="s">
        <v>25439</v>
      </c>
      <c r="D14123" s="410">
        <v>472.89</v>
      </c>
      <c r="E14123" s="410">
        <v>226.41</v>
      </c>
      <c r="F14123" s="410">
        <v>155.16</v>
      </c>
      <c r="G14123" s="410">
        <v>91.32</v>
      </c>
      <c r="H14123" s="411">
        <v>3818.36</v>
      </c>
      <c r="I14123" s="411">
        <v>2603.7399999999998</v>
      </c>
      <c r="J14123" s="411">
        <v>838.08</v>
      </c>
      <c r="K14123" s="411">
        <v>376.54</v>
      </c>
      <c r="L14123" s="43">
        <v>8.0745205015965666</v>
      </c>
      <c r="M14123" s="43">
        <v>11.500110419151097</v>
      </c>
      <c r="N14123" s="43">
        <v>5.4013921113689101</v>
      </c>
      <c r="O14123" s="43">
        <v>4.1233026719229091</v>
      </c>
      <c r="P14123" s="412"/>
      <c r="Q14123" s="412"/>
      <c r="R14123" s="412">
        <v>2</v>
      </c>
    </row>
    <row r="14124" spans="1:18" ht="24">
      <c r="A14124" s="408">
        <v>385</v>
      </c>
      <c r="B14124" s="405" t="s">
        <v>25440</v>
      </c>
      <c r="C14124" s="409" t="s">
        <v>25441</v>
      </c>
      <c r="D14124" s="410">
        <v>798.75</v>
      </c>
      <c r="E14124" s="410">
        <v>404.54</v>
      </c>
      <c r="F14124" s="410">
        <v>251.89</v>
      </c>
      <c r="G14124" s="410">
        <v>142.32</v>
      </c>
      <c r="H14124" s="411">
        <v>6615.87</v>
      </c>
      <c r="I14124" s="411">
        <v>4652.26</v>
      </c>
      <c r="J14124" s="411">
        <v>1348.45</v>
      </c>
      <c r="K14124" s="411">
        <v>615.16</v>
      </c>
      <c r="L14124" s="43">
        <v>8.2827793427230052</v>
      </c>
      <c r="M14124" s="43">
        <v>11.500123597172097</v>
      </c>
      <c r="N14124" s="43">
        <v>5.3533288340148486</v>
      </c>
      <c r="O14124" s="43">
        <v>4.3223721191680715</v>
      </c>
      <c r="P14124" s="412"/>
      <c r="Q14124" s="412"/>
      <c r="R14124" s="412">
        <v>2</v>
      </c>
    </row>
    <row r="14125" spans="1:18" ht="36">
      <c r="A14125" s="408">
        <v>386</v>
      </c>
      <c r="B14125" s="405" t="s">
        <v>25442</v>
      </c>
      <c r="C14125" s="409" t="s">
        <v>25443</v>
      </c>
      <c r="D14125" s="410">
        <v>402.05</v>
      </c>
      <c r="E14125" s="410">
        <v>293.64999999999998</v>
      </c>
      <c r="F14125" s="410">
        <v>57.2</v>
      </c>
      <c r="G14125" s="410">
        <v>51.2</v>
      </c>
      <c r="H14125" s="411">
        <v>3931.45</v>
      </c>
      <c r="I14125" s="411">
        <v>3377.06</v>
      </c>
      <c r="J14125" s="411">
        <v>307.68</v>
      </c>
      <c r="K14125" s="411">
        <v>246.71</v>
      </c>
      <c r="L14125" s="43">
        <v>9.7785101355552779</v>
      </c>
      <c r="M14125" s="43">
        <v>11.500289460241785</v>
      </c>
      <c r="N14125" s="43">
        <v>5.3790209790209786</v>
      </c>
      <c r="O14125" s="43">
        <v>4.8185546874999998</v>
      </c>
      <c r="P14125" s="412"/>
      <c r="Q14125" s="412"/>
      <c r="R14125" s="412">
        <v>2</v>
      </c>
    </row>
    <row r="14126" spans="1:18" ht="24">
      <c r="A14126" s="408">
        <v>387</v>
      </c>
      <c r="B14126" s="405" t="s">
        <v>25444</v>
      </c>
      <c r="C14126" s="409" t="s">
        <v>25445</v>
      </c>
      <c r="D14126" s="410">
        <v>304.39999999999998</v>
      </c>
      <c r="E14126" s="410">
        <v>160.16</v>
      </c>
      <c r="F14126" s="410">
        <v>82.93</v>
      </c>
      <c r="G14126" s="410">
        <v>61.31</v>
      </c>
      <c r="H14126" s="411">
        <v>2541.67</v>
      </c>
      <c r="I14126" s="411">
        <v>1841.94</v>
      </c>
      <c r="J14126" s="411">
        <v>444.45</v>
      </c>
      <c r="K14126" s="411">
        <v>255.28</v>
      </c>
      <c r="L14126" s="43">
        <v>8.3497700394218146</v>
      </c>
      <c r="M14126" s="43">
        <v>11.500624375624376</v>
      </c>
      <c r="N14126" s="43">
        <v>5.3593392017364039</v>
      </c>
      <c r="O14126" s="43">
        <v>4.163757951394552</v>
      </c>
      <c r="P14126" s="412"/>
      <c r="Q14126" s="412"/>
      <c r="R14126" s="412">
        <v>2</v>
      </c>
    </row>
    <row r="14127" spans="1:18" ht="24">
      <c r="A14127" s="408">
        <v>388</v>
      </c>
      <c r="B14127" s="405" t="s">
        <v>25446</v>
      </c>
      <c r="C14127" s="409" t="s">
        <v>25447</v>
      </c>
      <c r="D14127" s="410">
        <v>879.73</v>
      </c>
      <c r="E14127" s="410">
        <v>567.15</v>
      </c>
      <c r="F14127" s="410">
        <v>178.82</v>
      </c>
      <c r="G14127" s="410">
        <v>133.76</v>
      </c>
      <c r="H14127" s="411">
        <v>8246.68</v>
      </c>
      <c r="I14127" s="411">
        <v>6522.47</v>
      </c>
      <c r="J14127" s="411">
        <v>957.06</v>
      </c>
      <c r="K14127" s="411">
        <v>767.15</v>
      </c>
      <c r="L14127" s="43">
        <v>9.3741034180941885</v>
      </c>
      <c r="M14127" s="43">
        <v>11.500431984483823</v>
      </c>
      <c r="N14127" s="43">
        <v>5.3520858964321665</v>
      </c>
      <c r="O14127" s="43">
        <v>5.7352721291866029</v>
      </c>
      <c r="P14127" s="412"/>
      <c r="Q14127" s="412"/>
      <c r="R14127" s="412">
        <v>2</v>
      </c>
    </row>
    <row r="14128" spans="1:18" ht="12.75" customHeight="1">
      <c r="A14128" s="628" t="s">
        <v>25448</v>
      </c>
      <c r="B14128" s="629"/>
      <c r="C14128" s="629"/>
      <c r="D14128" s="629"/>
      <c r="E14128" s="629"/>
      <c r="F14128" s="629"/>
      <c r="G14128" s="629"/>
      <c r="H14128" s="629"/>
      <c r="I14128" s="629"/>
      <c r="J14128" s="629"/>
      <c r="K14128" s="629"/>
      <c r="L14128" s="629"/>
      <c r="M14128" s="629"/>
      <c r="N14128" s="629"/>
      <c r="O14128" s="629"/>
      <c r="P14128" s="629"/>
      <c r="Q14128" s="629"/>
      <c r="R14128" s="629"/>
    </row>
    <row r="14129" spans="1:18" ht="24">
      <c r="A14129" s="408">
        <v>389</v>
      </c>
      <c r="B14129" s="405" t="s">
        <v>25449</v>
      </c>
      <c r="C14129" s="409" t="s">
        <v>25450</v>
      </c>
      <c r="D14129" s="410">
        <v>179.23</v>
      </c>
      <c r="E14129" s="410">
        <v>105.55</v>
      </c>
      <c r="F14129" s="410">
        <v>14.21</v>
      </c>
      <c r="G14129" s="410">
        <v>59.47</v>
      </c>
      <c r="H14129" s="411">
        <v>1526.57</v>
      </c>
      <c r="I14129" s="411">
        <v>1213.82</v>
      </c>
      <c r="J14129" s="411">
        <v>76.56</v>
      </c>
      <c r="K14129" s="411">
        <v>236.19</v>
      </c>
      <c r="L14129" s="43">
        <v>8.517379902918039</v>
      </c>
      <c r="M14129" s="43">
        <v>11.49995262908574</v>
      </c>
      <c r="N14129" s="43">
        <v>5.3877551020408161</v>
      </c>
      <c r="O14129" s="43">
        <v>3.9715823104086092</v>
      </c>
      <c r="P14129" s="412"/>
      <c r="Q14129" s="412"/>
      <c r="R14129" s="412">
        <v>3</v>
      </c>
    </row>
    <row r="14130" spans="1:18" ht="24">
      <c r="A14130" s="408">
        <v>390</v>
      </c>
      <c r="B14130" s="405" t="s">
        <v>25451</v>
      </c>
      <c r="C14130" s="409" t="s">
        <v>25452</v>
      </c>
      <c r="D14130" s="410">
        <v>263.41000000000003</v>
      </c>
      <c r="E14130" s="410">
        <v>128.54</v>
      </c>
      <c r="F14130" s="410">
        <v>74.94</v>
      </c>
      <c r="G14130" s="410">
        <v>59.93</v>
      </c>
      <c r="H14130" s="411">
        <v>2123.9699999999998</v>
      </c>
      <c r="I14130" s="411">
        <v>1478.21</v>
      </c>
      <c r="J14130" s="411">
        <v>404.28</v>
      </c>
      <c r="K14130" s="411">
        <v>241.48</v>
      </c>
      <c r="L14130" s="43">
        <v>8.0633612998747193</v>
      </c>
      <c r="M14130" s="43">
        <v>11.500000000000002</v>
      </c>
      <c r="N14130" s="43">
        <v>5.3947157726180945</v>
      </c>
      <c r="O14130" s="43">
        <v>4.0293675955281163</v>
      </c>
      <c r="P14130" s="412"/>
      <c r="Q14130" s="412"/>
      <c r="R14130" s="412">
        <v>3</v>
      </c>
    </row>
    <row r="14131" spans="1:18" ht="24">
      <c r="A14131" s="413">
        <v>391</v>
      </c>
      <c r="B14131" s="414" t="s">
        <v>25453</v>
      </c>
      <c r="C14131" s="415" t="s">
        <v>25454</v>
      </c>
      <c r="D14131" s="416">
        <v>525.35</v>
      </c>
      <c r="E14131" s="416">
        <v>344.91</v>
      </c>
      <c r="F14131" s="416">
        <v>98.98</v>
      </c>
      <c r="G14131" s="416">
        <v>81.459999999999994</v>
      </c>
      <c r="H14131" s="417">
        <v>4871.43</v>
      </c>
      <c r="I14131" s="417">
        <v>3966.44</v>
      </c>
      <c r="J14131" s="417">
        <v>535.71</v>
      </c>
      <c r="K14131" s="417">
        <v>369.28</v>
      </c>
      <c r="L14131" s="611">
        <v>9.2727324640715718</v>
      </c>
      <c r="M14131" s="611">
        <v>11.499927517323359</v>
      </c>
      <c r="N14131" s="611">
        <v>5.4123055162659126</v>
      </c>
      <c r="O14131" s="611">
        <v>4.53326786152713</v>
      </c>
      <c r="P14131" s="418"/>
      <c r="Q14131" s="418"/>
      <c r="R14131" s="418">
        <v>3</v>
      </c>
    </row>
    <row r="14132" spans="1:18" ht="12.75" customHeight="1">
      <c r="A14132" s="630" t="s">
        <v>25455</v>
      </c>
      <c r="B14132" s="631"/>
      <c r="C14132" s="631"/>
      <c r="D14132" s="631"/>
      <c r="E14132" s="631"/>
      <c r="F14132" s="631"/>
      <c r="G14132" s="631"/>
      <c r="H14132" s="631"/>
      <c r="I14132" s="631"/>
      <c r="J14132" s="631"/>
      <c r="K14132" s="631"/>
      <c r="L14132" s="631"/>
      <c r="M14132" s="631"/>
      <c r="N14132" s="631"/>
      <c r="O14132" s="631"/>
      <c r="P14132" s="631"/>
      <c r="Q14132" s="631"/>
      <c r="R14132" s="631"/>
    </row>
    <row r="14133" spans="1:18" ht="12.75" customHeight="1">
      <c r="A14133" s="628" t="s">
        <v>25456</v>
      </c>
      <c r="B14133" s="629"/>
      <c r="C14133" s="629"/>
      <c r="D14133" s="629"/>
      <c r="E14133" s="629"/>
      <c r="F14133" s="629"/>
      <c r="G14133" s="629"/>
      <c r="H14133" s="629"/>
      <c r="I14133" s="629"/>
      <c r="J14133" s="629"/>
      <c r="K14133" s="629"/>
      <c r="L14133" s="629"/>
      <c r="M14133" s="629"/>
      <c r="N14133" s="629"/>
      <c r="O14133" s="629"/>
      <c r="P14133" s="629"/>
      <c r="Q14133" s="629"/>
      <c r="R14133" s="629"/>
    </row>
    <row r="14134" spans="1:18" ht="36">
      <c r="A14134" s="408">
        <v>392</v>
      </c>
      <c r="B14134" s="405" t="s">
        <v>25457</v>
      </c>
      <c r="C14134" s="409" t="s">
        <v>25458</v>
      </c>
      <c r="D14134" s="410">
        <v>1669.82</v>
      </c>
      <c r="E14134" s="410">
        <v>1104.24</v>
      </c>
      <c r="F14134" s="410">
        <v>364.18</v>
      </c>
      <c r="G14134" s="410">
        <v>201.4</v>
      </c>
      <c r="H14134" s="411">
        <v>15561.02</v>
      </c>
      <c r="I14134" s="411">
        <v>12698.76</v>
      </c>
      <c r="J14134" s="411">
        <v>1909.11</v>
      </c>
      <c r="K14134" s="411">
        <v>953.15</v>
      </c>
      <c r="L14134" s="43">
        <v>9.3189804889149741</v>
      </c>
      <c r="M14134" s="43">
        <v>11.5</v>
      </c>
      <c r="N14134" s="43">
        <v>5.2422153879949471</v>
      </c>
      <c r="O14134" s="43">
        <v>4.7326216484607739</v>
      </c>
      <c r="P14134" s="412"/>
      <c r="Q14134" s="412"/>
      <c r="R14134" s="412">
        <v>1</v>
      </c>
    </row>
    <row r="14135" spans="1:18" ht="12.75" customHeight="1">
      <c r="A14135" s="628" t="s">
        <v>25459</v>
      </c>
      <c r="B14135" s="629"/>
      <c r="C14135" s="629"/>
      <c r="D14135" s="629"/>
      <c r="E14135" s="629"/>
      <c r="F14135" s="629"/>
      <c r="G14135" s="629"/>
      <c r="H14135" s="629"/>
      <c r="I14135" s="629"/>
      <c r="J14135" s="629"/>
      <c r="K14135" s="629"/>
      <c r="L14135" s="629"/>
      <c r="M14135" s="629"/>
      <c r="N14135" s="629"/>
      <c r="O14135" s="629"/>
      <c r="P14135" s="629"/>
      <c r="Q14135" s="629"/>
      <c r="R14135" s="629"/>
    </row>
    <row r="14136" spans="1:18" ht="24">
      <c r="A14136" s="408">
        <v>393</v>
      </c>
      <c r="B14136" s="405" t="s">
        <v>25460</v>
      </c>
      <c r="C14136" s="409" t="s">
        <v>25461</v>
      </c>
      <c r="D14136" s="410">
        <v>2339.48</v>
      </c>
      <c r="E14136" s="410">
        <v>1387.52</v>
      </c>
      <c r="F14136" s="410">
        <v>595.53</v>
      </c>
      <c r="G14136" s="410">
        <v>356.43</v>
      </c>
      <c r="H14136" s="411">
        <v>20606.849999999999</v>
      </c>
      <c r="I14136" s="411">
        <v>15956.48</v>
      </c>
      <c r="J14136" s="411">
        <v>2977.28</v>
      </c>
      <c r="K14136" s="411">
        <v>1673.09</v>
      </c>
      <c r="L14136" s="43">
        <v>8.8083035546360726</v>
      </c>
      <c r="M14136" s="43">
        <v>11.5</v>
      </c>
      <c r="N14136" s="43">
        <v>4.9993787046832239</v>
      </c>
      <c r="O14136" s="43">
        <v>4.6940212664478294</v>
      </c>
      <c r="P14136" s="412"/>
      <c r="Q14136" s="412"/>
      <c r="R14136" s="412">
        <v>2</v>
      </c>
    </row>
    <row r="14137" spans="1:18" ht="24">
      <c r="A14137" s="408">
        <v>394</v>
      </c>
      <c r="B14137" s="405" t="s">
        <v>25462</v>
      </c>
      <c r="C14137" s="409" t="s">
        <v>25463</v>
      </c>
      <c r="D14137" s="410">
        <v>508.74</v>
      </c>
      <c r="E14137" s="410">
        <v>361.86</v>
      </c>
      <c r="F14137" s="410">
        <v>127.09</v>
      </c>
      <c r="G14137" s="410">
        <v>19.79</v>
      </c>
      <c r="H14137" s="411">
        <v>5038.0600000000004</v>
      </c>
      <c r="I14137" s="411">
        <v>4161.3900000000003</v>
      </c>
      <c r="J14137" s="411">
        <v>683.45</v>
      </c>
      <c r="K14137" s="411">
        <v>193.22</v>
      </c>
      <c r="L14137" s="43">
        <v>9.9030152926838859</v>
      </c>
      <c r="M14137" s="43">
        <v>11.5</v>
      </c>
      <c r="N14137" s="43">
        <v>5.3776851050436703</v>
      </c>
      <c r="O14137" s="43">
        <v>9.7635169277412839</v>
      </c>
      <c r="P14137" s="412"/>
      <c r="Q14137" s="412"/>
      <c r="R14137" s="412">
        <v>2</v>
      </c>
    </row>
    <row r="14138" spans="1:18" ht="12.75" customHeight="1">
      <c r="A14138" s="628" t="s">
        <v>25464</v>
      </c>
      <c r="B14138" s="629"/>
      <c r="C14138" s="629"/>
      <c r="D14138" s="629"/>
      <c r="E14138" s="629"/>
      <c r="F14138" s="629"/>
      <c r="G14138" s="629"/>
      <c r="H14138" s="629"/>
      <c r="I14138" s="629"/>
      <c r="J14138" s="629"/>
      <c r="K14138" s="629"/>
      <c r="L14138" s="629"/>
      <c r="M14138" s="629"/>
      <c r="N14138" s="629"/>
      <c r="O14138" s="629"/>
      <c r="P14138" s="629"/>
      <c r="Q14138" s="629"/>
      <c r="R14138" s="629"/>
    </row>
    <row r="14139" spans="1:18" ht="36">
      <c r="A14139" s="408">
        <v>395</v>
      </c>
      <c r="B14139" s="405" t="s">
        <v>25465</v>
      </c>
      <c r="C14139" s="409" t="s">
        <v>25466</v>
      </c>
      <c r="D14139" s="410">
        <v>4710.0600000000004</v>
      </c>
      <c r="E14139" s="410">
        <v>4043.32</v>
      </c>
      <c r="F14139" s="410">
        <v>540.30999999999995</v>
      </c>
      <c r="G14139" s="410">
        <v>126.43</v>
      </c>
      <c r="H14139" s="411">
        <v>50701.46</v>
      </c>
      <c r="I14139" s="411">
        <v>46498.18</v>
      </c>
      <c r="J14139" s="411">
        <v>2873.95</v>
      </c>
      <c r="K14139" s="411">
        <v>1329.33</v>
      </c>
      <c r="L14139" s="43">
        <v>10.764504061519386</v>
      </c>
      <c r="M14139" s="43">
        <v>11.5</v>
      </c>
      <c r="N14139" s="43">
        <v>5.3190760859506581</v>
      </c>
      <c r="O14139" s="43">
        <v>11.500158277936057</v>
      </c>
      <c r="P14139" s="412"/>
      <c r="Q14139" s="412"/>
      <c r="R14139" s="412">
        <v>3</v>
      </c>
    </row>
    <row r="14140" spans="1:18" ht="12.75" customHeight="1">
      <c r="A14140" s="628" t="s">
        <v>25467</v>
      </c>
      <c r="B14140" s="629"/>
      <c r="C14140" s="629"/>
      <c r="D14140" s="629"/>
      <c r="E14140" s="629"/>
      <c r="F14140" s="629"/>
      <c r="G14140" s="629"/>
      <c r="H14140" s="629"/>
      <c r="I14140" s="629"/>
      <c r="J14140" s="629"/>
      <c r="K14140" s="629"/>
      <c r="L14140" s="629"/>
      <c r="M14140" s="629"/>
      <c r="N14140" s="629"/>
      <c r="O14140" s="629"/>
      <c r="P14140" s="629"/>
      <c r="Q14140" s="629"/>
      <c r="R14140" s="629"/>
    </row>
    <row r="14141" spans="1:18" ht="36">
      <c r="A14141" s="408">
        <v>396</v>
      </c>
      <c r="B14141" s="405" t="s">
        <v>25468</v>
      </c>
      <c r="C14141" s="409" t="s">
        <v>25469</v>
      </c>
      <c r="D14141" s="410">
        <v>305.70999999999998</v>
      </c>
      <c r="E14141" s="410">
        <v>286.38</v>
      </c>
      <c r="F14141" s="410">
        <v>13.02</v>
      </c>
      <c r="G14141" s="410">
        <v>6.31</v>
      </c>
      <c r="H14141" s="411">
        <v>3432.78</v>
      </c>
      <c r="I14141" s="411">
        <v>3293.37</v>
      </c>
      <c r="J14141" s="411">
        <v>68.44</v>
      </c>
      <c r="K14141" s="411">
        <v>70.97</v>
      </c>
      <c r="L14141" s="43">
        <v>11.228877040332343</v>
      </c>
      <c r="M14141" s="43">
        <v>11.5</v>
      </c>
      <c r="N14141" s="43">
        <v>5.2565284178187408</v>
      </c>
      <c r="O14141" s="43">
        <v>11.247226624405705</v>
      </c>
      <c r="P14141" s="412"/>
      <c r="Q14141" s="412"/>
      <c r="R14141" s="412">
        <v>4</v>
      </c>
    </row>
    <row r="14142" spans="1:18" ht="36">
      <c r="A14142" s="408">
        <v>397</v>
      </c>
      <c r="B14142" s="405" t="s">
        <v>25470</v>
      </c>
      <c r="C14142" s="409" t="s">
        <v>25471</v>
      </c>
      <c r="D14142" s="410">
        <v>331.46</v>
      </c>
      <c r="E14142" s="410">
        <v>277.63</v>
      </c>
      <c r="F14142" s="410">
        <v>47.53</v>
      </c>
      <c r="G14142" s="410">
        <v>6.3</v>
      </c>
      <c r="H14142" s="411">
        <v>3517.54</v>
      </c>
      <c r="I14142" s="411">
        <v>3192.72</v>
      </c>
      <c r="J14142" s="411">
        <v>254.43</v>
      </c>
      <c r="K14142" s="411">
        <v>70.39</v>
      </c>
      <c r="L14142" s="43">
        <v>10.61226090629337</v>
      </c>
      <c r="M14142" s="43">
        <v>11.499909952094514</v>
      </c>
      <c r="N14142" s="43">
        <v>5.3530401851462237</v>
      </c>
      <c r="O14142" s="43">
        <v>11.173015873015874</v>
      </c>
      <c r="P14142" s="412"/>
      <c r="Q14142" s="412"/>
      <c r="R14142" s="412">
        <v>4</v>
      </c>
    </row>
    <row r="14143" spans="1:18" ht="24">
      <c r="A14143" s="408">
        <v>398</v>
      </c>
      <c r="B14143" s="405" t="s">
        <v>25472</v>
      </c>
      <c r="C14143" s="409" t="s">
        <v>25473</v>
      </c>
      <c r="D14143" s="410">
        <v>405.38</v>
      </c>
      <c r="E14143" s="410">
        <v>295.08999999999997</v>
      </c>
      <c r="F14143" s="410">
        <v>103.64</v>
      </c>
      <c r="G14143" s="410">
        <v>6.65</v>
      </c>
      <c r="H14143" s="411">
        <v>4023.79</v>
      </c>
      <c r="I14143" s="411">
        <v>3393.7</v>
      </c>
      <c r="J14143" s="411">
        <v>555.67999999999995</v>
      </c>
      <c r="K14143" s="411">
        <v>74.41</v>
      </c>
      <c r="L14143" s="43">
        <v>9.9259706941635013</v>
      </c>
      <c r="M14143" s="43">
        <v>11.500559151445323</v>
      </c>
      <c r="N14143" s="43">
        <v>5.3616364338093394</v>
      </c>
      <c r="O14143" s="43">
        <v>11.189473684210526</v>
      </c>
      <c r="P14143" s="412"/>
      <c r="Q14143" s="412"/>
      <c r="R14143" s="412">
        <v>4</v>
      </c>
    </row>
    <row r="14144" spans="1:18" ht="12.75" customHeight="1">
      <c r="A14144" s="628" t="s">
        <v>25418</v>
      </c>
      <c r="B14144" s="629"/>
      <c r="C14144" s="629"/>
      <c r="D14144" s="629"/>
      <c r="E14144" s="629"/>
      <c r="F14144" s="629"/>
      <c r="G14144" s="629"/>
      <c r="H14144" s="629"/>
      <c r="I14144" s="629"/>
      <c r="J14144" s="629"/>
      <c r="K14144" s="629"/>
      <c r="L14144" s="629"/>
      <c r="M14144" s="629"/>
      <c r="N14144" s="629"/>
      <c r="O14144" s="629"/>
      <c r="P14144" s="629"/>
      <c r="Q14144" s="629"/>
      <c r="R14144" s="629"/>
    </row>
    <row r="14145" spans="1:18" ht="24">
      <c r="A14145" s="408">
        <v>399</v>
      </c>
      <c r="B14145" s="405" t="s">
        <v>25474</v>
      </c>
      <c r="C14145" s="409" t="s">
        <v>25475</v>
      </c>
      <c r="D14145" s="410">
        <v>1077.72</v>
      </c>
      <c r="E14145" s="410">
        <v>535.5</v>
      </c>
      <c r="F14145" s="410">
        <v>325.81</v>
      </c>
      <c r="G14145" s="410">
        <v>216.41</v>
      </c>
      <c r="H14145" s="411">
        <v>8829.26</v>
      </c>
      <c r="I14145" s="411">
        <v>6158.2</v>
      </c>
      <c r="J14145" s="411">
        <v>1762.9</v>
      </c>
      <c r="K14145" s="411">
        <v>908.16</v>
      </c>
      <c r="L14145" s="43">
        <v>8.1925360947184789</v>
      </c>
      <c r="M14145" s="43">
        <v>11.499906629318394</v>
      </c>
      <c r="N14145" s="43">
        <v>5.4108222583714438</v>
      </c>
      <c r="O14145" s="43">
        <v>4.1964789057806939</v>
      </c>
      <c r="P14145" s="412"/>
      <c r="Q14145" s="412"/>
      <c r="R14145" s="412">
        <v>5</v>
      </c>
    </row>
    <row r="14146" spans="1:18" ht="12.75" customHeight="1">
      <c r="A14146" s="628" t="s">
        <v>25476</v>
      </c>
      <c r="B14146" s="629"/>
      <c r="C14146" s="629"/>
      <c r="D14146" s="629"/>
      <c r="E14146" s="629"/>
      <c r="F14146" s="629"/>
      <c r="G14146" s="629"/>
      <c r="H14146" s="629"/>
      <c r="I14146" s="629"/>
      <c r="J14146" s="629"/>
      <c r="K14146" s="629"/>
      <c r="L14146" s="629"/>
      <c r="M14146" s="629"/>
      <c r="N14146" s="629"/>
      <c r="O14146" s="629"/>
      <c r="P14146" s="629"/>
      <c r="Q14146" s="629"/>
      <c r="R14146" s="629"/>
    </row>
    <row r="14147" spans="1:18" ht="36">
      <c r="A14147" s="408">
        <v>400</v>
      </c>
      <c r="B14147" s="405" t="s">
        <v>25477</v>
      </c>
      <c r="C14147" s="409" t="s">
        <v>25478</v>
      </c>
      <c r="D14147" s="410">
        <v>109171.87</v>
      </c>
      <c r="E14147" s="410">
        <v>28357.439999999999</v>
      </c>
      <c r="F14147" s="410">
        <v>78421.179999999993</v>
      </c>
      <c r="G14147" s="410">
        <v>2393.25</v>
      </c>
      <c r="H14147" s="411">
        <v>805650.8</v>
      </c>
      <c r="I14147" s="411">
        <v>326110.56</v>
      </c>
      <c r="J14147" s="411">
        <v>464792.31</v>
      </c>
      <c r="K14147" s="411">
        <v>14747.93</v>
      </c>
      <c r="L14147" s="43">
        <v>7.3796555834392148</v>
      </c>
      <c r="M14147" s="43">
        <v>11.5</v>
      </c>
      <c r="N14147" s="43">
        <v>5.9268721791740449</v>
      </c>
      <c r="O14147" s="43">
        <v>6.1623023085762041</v>
      </c>
      <c r="P14147" s="412"/>
      <c r="Q14147" s="412"/>
      <c r="R14147" s="412">
        <v>6</v>
      </c>
    </row>
    <row r="14148" spans="1:18" ht="60">
      <c r="A14148" s="408">
        <v>401</v>
      </c>
      <c r="B14148" s="405" t="s">
        <v>25479</v>
      </c>
      <c r="C14148" s="409" t="s">
        <v>25480</v>
      </c>
      <c r="D14148" s="410">
        <v>1833.8</v>
      </c>
      <c r="E14148" s="410">
        <v>546.99</v>
      </c>
      <c r="F14148" s="410">
        <v>1103</v>
      </c>
      <c r="G14148" s="410">
        <v>183.81</v>
      </c>
      <c r="H14148" s="411">
        <v>13497.07</v>
      </c>
      <c r="I14148" s="411">
        <v>6290.34</v>
      </c>
      <c r="J14148" s="411">
        <v>6365.53</v>
      </c>
      <c r="K14148" s="411">
        <v>841.2</v>
      </c>
      <c r="L14148" s="43">
        <v>7.3601646853528191</v>
      </c>
      <c r="M14148" s="43">
        <v>11.499917731585587</v>
      </c>
      <c r="N14148" s="43">
        <v>5.7711060743427014</v>
      </c>
      <c r="O14148" s="43">
        <v>4.5764648278113267</v>
      </c>
      <c r="P14148" s="412"/>
      <c r="Q14148" s="412"/>
      <c r="R14148" s="412">
        <v>6</v>
      </c>
    </row>
    <row r="14149" spans="1:18" ht="48">
      <c r="A14149" s="408">
        <v>402</v>
      </c>
      <c r="B14149" s="405" t="s">
        <v>25481</v>
      </c>
      <c r="C14149" s="409" t="s">
        <v>25482</v>
      </c>
      <c r="D14149" s="410">
        <v>5557.38</v>
      </c>
      <c r="E14149" s="410">
        <v>1787.1</v>
      </c>
      <c r="F14149" s="410">
        <v>3178.18</v>
      </c>
      <c r="G14149" s="410">
        <v>592.1</v>
      </c>
      <c r="H14149" s="411">
        <v>41831.199999999997</v>
      </c>
      <c r="I14149" s="411">
        <v>20551.650000000001</v>
      </c>
      <c r="J14149" s="411">
        <v>18609.62</v>
      </c>
      <c r="K14149" s="411">
        <v>2669.93</v>
      </c>
      <c r="L14149" s="43">
        <v>7.5271440858821954</v>
      </c>
      <c r="M14149" s="43">
        <v>11.500000000000002</v>
      </c>
      <c r="N14149" s="43">
        <v>5.8554329836573134</v>
      </c>
      <c r="O14149" s="43">
        <v>4.509255193379496</v>
      </c>
      <c r="P14149" s="412"/>
      <c r="Q14149" s="412"/>
      <c r="R14149" s="412">
        <v>6</v>
      </c>
    </row>
    <row r="14150" spans="1:18" ht="48">
      <c r="A14150" s="408">
        <v>403</v>
      </c>
      <c r="B14150" s="405" t="s">
        <v>25483</v>
      </c>
      <c r="C14150" s="409" t="s">
        <v>25484</v>
      </c>
      <c r="D14150" s="410">
        <v>3120</v>
      </c>
      <c r="E14150" s="410">
        <v>1032.46</v>
      </c>
      <c r="F14150" s="410">
        <v>1903.95</v>
      </c>
      <c r="G14150" s="410">
        <v>183.59</v>
      </c>
      <c r="H14150" s="411">
        <v>23917.41</v>
      </c>
      <c r="I14150" s="411">
        <v>11873.78</v>
      </c>
      <c r="J14150" s="411">
        <v>11177.78</v>
      </c>
      <c r="K14150" s="411">
        <v>865.85</v>
      </c>
      <c r="L14150" s="43">
        <v>7.6658365384615381</v>
      </c>
      <c r="M14150" s="43">
        <v>11.500474594657421</v>
      </c>
      <c r="N14150" s="43">
        <v>5.8708369442474853</v>
      </c>
      <c r="O14150" s="43">
        <v>4.7162154801459772</v>
      </c>
      <c r="P14150" s="412"/>
      <c r="Q14150" s="412"/>
      <c r="R14150" s="412">
        <v>6</v>
      </c>
    </row>
    <row r="14151" spans="1:18" ht="60">
      <c r="A14151" s="408">
        <v>404</v>
      </c>
      <c r="B14151" s="405" t="s">
        <v>25485</v>
      </c>
      <c r="C14151" s="409" t="s">
        <v>25486</v>
      </c>
      <c r="D14151" s="410">
        <v>20906.830000000002</v>
      </c>
      <c r="E14151" s="410">
        <v>6059.56</v>
      </c>
      <c r="F14151" s="410">
        <v>14065.68</v>
      </c>
      <c r="G14151" s="410">
        <v>781.59</v>
      </c>
      <c r="H14151" s="411">
        <v>157639.41</v>
      </c>
      <c r="I14151" s="411">
        <v>69684.94</v>
      </c>
      <c r="J14151" s="411">
        <v>83389.98</v>
      </c>
      <c r="K14151" s="411">
        <v>4564.49</v>
      </c>
      <c r="L14151" s="43">
        <v>7.5400914438009012</v>
      </c>
      <c r="M14151" s="43">
        <v>11.5</v>
      </c>
      <c r="N14151" s="43">
        <v>5.9286134762059133</v>
      </c>
      <c r="O14151" s="43">
        <v>5.8400056295500189</v>
      </c>
      <c r="P14151" s="412"/>
      <c r="Q14151" s="412"/>
      <c r="R14151" s="412">
        <v>6</v>
      </c>
    </row>
    <row r="14152" spans="1:18" ht="60">
      <c r="A14152" s="408">
        <v>405</v>
      </c>
      <c r="B14152" s="405" t="s">
        <v>25487</v>
      </c>
      <c r="C14152" s="409" t="s">
        <v>25488</v>
      </c>
      <c r="D14152" s="410">
        <v>76721.06</v>
      </c>
      <c r="E14152" s="410">
        <v>18688.16</v>
      </c>
      <c r="F14152" s="410">
        <v>57330.7</v>
      </c>
      <c r="G14152" s="410">
        <v>702.2</v>
      </c>
      <c r="H14152" s="411">
        <v>561206.23</v>
      </c>
      <c r="I14152" s="411">
        <v>214913.84</v>
      </c>
      <c r="J14152" s="411">
        <v>340351.47</v>
      </c>
      <c r="K14152" s="411">
        <v>5940.92</v>
      </c>
      <c r="L14152" s="43">
        <v>7.3148915043665976</v>
      </c>
      <c r="M14152" s="43">
        <v>11.5</v>
      </c>
      <c r="N14152" s="43">
        <v>5.9366355198872505</v>
      </c>
      <c r="O14152" s="43">
        <v>8.4604386214753635</v>
      </c>
      <c r="P14152" s="412"/>
      <c r="Q14152" s="412"/>
      <c r="R14152" s="412">
        <v>6</v>
      </c>
    </row>
    <row r="14153" spans="1:18" ht="48">
      <c r="A14153" s="408">
        <v>406</v>
      </c>
      <c r="B14153" s="405" t="s">
        <v>25489</v>
      </c>
      <c r="C14153" s="409" t="s">
        <v>25490</v>
      </c>
      <c r="D14153" s="410">
        <v>1388.23</v>
      </c>
      <c r="E14153" s="410">
        <v>450.87</v>
      </c>
      <c r="F14153" s="410">
        <v>839.68</v>
      </c>
      <c r="G14153" s="410">
        <v>97.68</v>
      </c>
      <c r="H14153" s="411">
        <v>10527.68</v>
      </c>
      <c r="I14153" s="411">
        <v>5185.18</v>
      </c>
      <c r="J14153" s="411">
        <v>4897.9399999999996</v>
      </c>
      <c r="K14153" s="411">
        <v>444.56</v>
      </c>
      <c r="L14153" s="43">
        <v>7.5835272253156898</v>
      </c>
      <c r="M14153" s="43">
        <v>11.500388138487812</v>
      </c>
      <c r="N14153" s="43">
        <v>5.8331030868902438</v>
      </c>
      <c r="O14153" s="43">
        <v>4.5511875511875513</v>
      </c>
      <c r="P14153" s="412"/>
      <c r="Q14153" s="412"/>
      <c r="R14153" s="412">
        <v>6</v>
      </c>
    </row>
    <row r="14154" spans="1:18" ht="24">
      <c r="A14154" s="408">
        <v>407</v>
      </c>
      <c r="B14154" s="405" t="s">
        <v>25491</v>
      </c>
      <c r="C14154" s="409" t="s">
        <v>25492</v>
      </c>
      <c r="D14154" s="410">
        <v>41735.5</v>
      </c>
      <c r="E14154" s="410">
        <v>12942.96</v>
      </c>
      <c r="F14154" s="410">
        <v>28172.32</v>
      </c>
      <c r="G14154" s="410">
        <v>620.22</v>
      </c>
      <c r="H14154" s="411">
        <v>320041.99</v>
      </c>
      <c r="I14154" s="411">
        <v>148844.04</v>
      </c>
      <c r="J14154" s="411">
        <v>166217.14000000001</v>
      </c>
      <c r="K14154" s="411">
        <v>4980.8100000000004</v>
      </c>
      <c r="L14154" s="43">
        <v>7.6683396628769271</v>
      </c>
      <c r="M14154" s="43">
        <v>11.500000000000002</v>
      </c>
      <c r="N14154" s="43">
        <v>5.9000160441170628</v>
      </c>
      <c r="O14154" s="43">
        <v>8.0307149076134277</v>
      </c>
      <c r="P14154" s="412"/>
      <c r="Q14154" s="412"/>
      <c r="R14154" s="412">
        <v>6</v>
      </c>
    </row>
    <row r="14155" spans="1:18" ht="36">
      <c r="A14155" s="408">
        <v>408</v>
      </c>
      <c r="B14155" s="405" t="s">
        <v>25493</v>
      </c>
      <c r="C14155" s="409" t="s">
        <v>25494</v>
      </c>
      <c r="D14155" s="410">
        <v>3295.05</v>
      </c>
      <c r="E14155" s="410">
        <v>998.36</v>
      </c>
      <c r="F14155" s="410">
        <v>2170.2800000000002</v>
      </c>
      <c r="G14155" s="410">
        <v>126.41</v>
      </c>
      <c r="H14155" s="411">
        <v>24973.32</v>
      </c>
      <c r="I14155" s="411">
        <v>11481.19</v>
      </c>
      <c r="J14155" s="411">
        <v>12765.79</v>
      </c>
      <c r="K14155" s="411">
        <v>726.34</v>
      </c>
      <c r="L14155" s="43">
        <v>7.5790412892065362</v>
      </c>
      <c r="M14155" s="43">
        <v>11.500050082134701</v>
      </c>
      <c r="N14155" s="43">
        <v>5.8820935547486961</v>
      </c>
      <c r="O14155" s="43">
        <v>5.7459061783086787</v>
      </c>
      <c r="P14155" s="412"/>
      <c r="Q14155" s="412"/>
      <c r="R14155" s="412">
        <v>6</v>
      </c>
    </row>
    <row r="14156" spans="1:18" ht="36">
      <c r="A14156" s="408">
        <v>409</v>
      </c>
      <c r="B14156" s="405" t="s">
        <v>25495</v>
      </c>
      <c r="C14156" s="409" t="s">
        <v>25496</v>
      </c>
      <c r="D14156" s="410">
        <v>4472.88</v>
      </c>
      <c r="E14156" s="410">
        <v>1494.92</v>
      </c>
      <c r="F14156" s="410">
        <v>2840.26</v>
      </c>
      <c r="G14156" s="410">
        <v>137.69999999999999</v>
      </c>
      <c r="H14156" s="411">
        <v>34633.58</v>
      </c>
      <c r="I14156" s="411">
        <v>17191.580000000002</v>
      </c>
      <c r="J14156" s="411">
        <v>16589.55</v>
      </c>
      <c r="K14156" s="411">
        <v>852.45</v>
      </c>
      <c r="L14156" s="43">
        <v>7.7430156856432548</v>
      </c>
      <c r="M14156" s="43">
        <v>11.5</v>
      </c>
      <c r="N14156" s="43">
        <v>5.8408561188060242</v>
      </c>
      <c r="O14156" s="43">
        <v>6.1906318082788676</v>
      </c>
      <c r="P14156" s="412"/>
      <c r="Q14156" s="412"/>
      <c r="R14156" s="412">
        <v>6</v>
      </c>
    </row>
    <row r="14157" spans="1:18" ht="36">
      <c r="A14157" s="408">
        <v>410</v>
      </c>
      <c r="B14157" s="405" t="s">
        <v>25497</v>
      </c>
      <c r="C14157" s="409" t="s">
        <v>25498</v>
      </c>
      <c r="D14157" s="410">
        <v>26257.65</v>
      </c>
      <c r="E14157" s="410">
        <v>7750.6</v>
      </c>
      <c r="F14157" s="410">
        <v>18168.64</v>
      </c>
      <c r="G14157" s="410">
        <v>338.41</v>
      </c>
      <c r="H14157" s="411">
        <v>199563.79</v>
      </c>
      <c r="I14157" s="411">
        <v>89131.9</v>
      </c>
      <c r="J14157" s="411">
        <v>107623.47</v>
      </c>
      <c r="K14157" s="411">
        <v>2808.42</v>
      </c>
      <c r="L14157" s="43">
        <v>7.6002151753869827</v>
      </c>
      <c r="M14157" s="43">
        <v>11.499999999999998</v>
      </c>
      <c r="N14157" s="43">
        <v>5.9235842638744565</v>
      </c>
      <c r="O14157" s="43">
        <v>8.2988682367542328</v>
      </c>
      <c r="P14157" s="412"/>
      <c r="Q14157" s="412"/>
      <c r="R14157" s="412">
        <v>6</v>
      </c>
    </row>
    <row r="14158" spans="1:18" ht="36">
      <c r="A14158" s="408">
        <v>411</v>
      </c>
      <c r="B14158" s="405" t="s">
        <v>25499</v>
      </c>
      <c r="C14158" s="409" t="s">
        <v>25500</v>
      </c>
      <c r="D14158" s="410">
        <v>2175.67</v>
      </c>
      <c r="E14158" s="410">
        <v>721.85</v>
      </c>
      <c r="F14158" s="410">
        <v>1436.42</v>
      </c>
      <c r="G14158" s="410">
        <v>17.399999999999999</v>
      </c>
      <c r="H14158" s="411">
        <v>16909.97</v>
      </c>
      <c r="I14158" s="411">
        <v>8301.66</v>
      </c>
      <c r="J14158" s="411">
        <v>8416.32</v>
      </c>
      <c r="K14158" s="411">
        <v>191.99</v>
      </c>
      <c r="L14158" s="43">
        <v>7.7723046234033655</v>
      </c>
      <c r="M14158" s="43">
        <v>11.500533351804391</v>
      </c>
      <c r="N14158" s="43">
        <v>5.8592333718550282</v>
      </c>
      <c r="O14158" s="43">
        <v>11.033908045977013</v>
      </c>
      <c r="P14158" s="412"/>
      <c r="Q14158" s="412"/>
      <c r="R14158" s="412">
        <v>6</v>
      </c>
    </row>
    <row r="14159" spans="1:18" ht="36">
      <c r="A14159" s="408">
        <v>412</v>
      </c>
      <c r="B14159" s="405" t="s">
        <v>25501</v>
      </c>
      <c r="C14159" s="409" t="s">
        <v>25502</v>
      </c>
      <c r="D14159" s="410">
        <v>1098.5999999999999</v>
      </c>
      <c r="E14159" s="410">
        <v>437.94</v>
      </c>
      <c r="F14159" s="410">
        <v>649.83000000000004</v>
      </c>
      <c r="G14159" s="410">
        <v>10.83</v>
      </c>
      <c r="H14159" s="411">
        <v>8980.27</v>
      </c>
      <c r="I14159" s="411">
        <v>5036.26</v>
      </c>
      <c r="J14159" s="411">
        <v>3825.09</v>
      </c>
      <c r="K14159" s="411">
        <v>118.92</v>
      </c>
      <c r="L14159" s="43">
        <v>8.1742854542144556</v>
      </c>
      <c r="M14159" s="43">
        <v>11.499885829109012</v>
      </c>
      <c r="N14159" s="43">
        <v>5.8862933382576976</v>
      </c>
      <c r="O14159" s="43">
        <v>10.980609418282549</v>
      </c>
      <c r="P14159" s="412"/>
      <c r="Q14159" s="412"/>
      <c r="R14159" s="412">
        <v>6</v>
      </c>
    </row>
    <row r="14160" spans="1:18" ht="24">
      <c r="A14160" s="408">
        <v>413</v>
      </c>
      <c r="B14160" s="405" t="s">
        <v>25503</v>
      </c>
      <c r="C14160" s="409" t="s">
        <v>25504</v>
      </c>
      <c r="D14160" s="410">
        <v>1669.68</v>
      </c>
      <c r="E14160" s="410">
        <v>589.04999999999995</v>
      </c>
      <c r="F14160" s="410">
        <v>1067.42</v>
      </c>
      <c r="G14160" s="410">
        <v>13.21</v>
      </c>
      <c r="H14160" s="411">
        <v>13217.04</v>
      </c>
      <c r="I14160" s="411">
        <v>6774.35</v>
      </c>
      <c r="J14160" s="411">
        <v>6294.7</v>
      </c>
      <c r="K14160" s="411">
        <v>147.99</v>
      </c>
      <c r="L14160" s="43">
        <v>7.9159120310478661</v>
      </c>
      <c r="M14160" s="43">
        <v>11.500466853408032</v>
      </c>
      <c r="N14160" s="43">
        <v>5.8971164115343537</v>
      </c>
      <c r="O14160" s="43">
        <v>11.202876608629825</v>
      </c>
      <c r="P14160" s="412"/>
      <c r="Q14160" s="412"/>
      <c r="R14160" s="412">
        <v>6</v>
      </c>
    </row>
    <row r="14161" spans="1:18" ht="48">
      <c r="A14161" s="408">
        <v>414</v>
      </c>
      <c r="B14161" s="405" t="s">
        <v>25505</v>
      </c>
      <c r="C14161" s="409" t="s">
        <v>25506</v>
      </c>
      <c r="D14161" s="410">
        <v>1600.52</v>
      </c>
      <c r="E14161" s="410">
        <v>541.92999999999995</v>
      </c>
      <c r="F14161" s="410">
        <v>1045.74</v>
      </c>
      <c r="G14161" s="410">
        <v>12.85</v>
      </c>
      <c r="H14161" s="411">
        <v>12461.54</v>
      </c>
      <c r="I14161" s="411">
        <v>6232.4</v>
      </c>
      <c r="J14161" s="411">
        <v>6086.9</v>
      </c>
      <c r="K14161" s="411">
        <v>142.24</v>
      </c>
      <c r="L14161" s="43">
        <v>7.7859320720765757</v>
      </c>
      <c r="M14161" s="43">
        <v>11.500378277637333</v>
      </c>
      <c r="N14161" s="43">
        <v>5.8206628798745381</v>
      </c>
      <c r="O14161" s="43">
        <v>11.069260700389107</v>
      </c>
      <c r="P14161" s="412"/>
      <c r="Q14161" s="412"/>
      <c r="R14161" s="412">
        <v>6</v>
      </c>
    </row>
    <row r="14162" spans="1:18" ht="36">
      <c r="A14162" s="413">
        <v>415</v>
      </c>
      <c r="B14162" s="414" t="s">
        <v>25507</v>
      </c>
      <c r="C14162" s="415" t="s">
        <v>25508</v>
      </c>
      <c r="D14162" s="416">
        <v>1277.3699999999999</v>
      </c>
      <c r="E14162" s="416">
        <v>461.78</v>
      </c>
      <c r="F14162" s="416">
        <v>793.74</v>
      </c>
      <c r="G14162" s="416">
        <v>21.85</v>
      </c>
      <c r="H14162" s="417">
        <v>10142.66</v>
      </c>
      <c r="I14162" s="417">
        <v>5310.52</v>
      </c>
      <c r="J14162" s="417">
        <v>4615.32</v>
      </c>
      <c r="K14162" s="417">
        <v>216.82</v>
      </c>
      <c r="L14162" s="611">
        <v>7.9402678941888416</v>
      </c>
      <c r="M14162" s="611">
        <v>11.500108276668545</v>
      </c>
      <c r="N14162" s="611">
        <v>5.8146496333812072</v>
      </c>
      <c r="O14162" s="611">
        <v>9.9231121281464514</v>
      </c>
      <c r="P14162" s="418"/>
      <c r="Q14162" s="418"/>
      <c r="R14162" s="418">
        <v>6</v>
      </c>
    </row>
    <row r="14163" spans="1:18" ht="12.75" customHeight="1">
      <c r="A14163" s="630" t="s">
        <v>25509</v>
      </c>
      <c r="B14163" s="631"/>
      <c r="C14163" s="631"/>
      <c r="D14163" s="631"/>
      <c r="E14163" s="631"/>
      <c r="F14163" s="631"/>
      <c r="G14163" s="631"/>
      <c r="H14163" s="631"/>
      <c r="I14163" s="631"/>
      <c r="J14163" s="631"/>
      <c r="K14163" s="631"/>
      <c r="L14163" s="631"/>
      <c r="M14163" s="631"/>
      <c r="N14163" s="631"/>
      <c r="O14163" s="631"/>
      <c r="P14163" s="631"/>
      <c r="Q14163" s="631"/>
      <c r="R14163" s="631"/>
    </row>
    <row r="14164" spans="1:18" ht="12.75" customHeight="1">
      <c r="A14164" s="628" t="s">
        <v>25510</v>
      </c>
      <c r="B14164" s="629"/>
      <c r="C14164" s="629"/>
      <c r="D14164" s="629"/>
      <c r="E14164" s="629"/>
      <c r="F14164" s="629"/>
      <c r="G14164" s="629"/>
      <c r="H14164" s="629"/>
      <c r="I14164" s="629"/>
      <c r="J14164" s="629"/>
      <c r="K14164" s="629"/>
      <c r="L14164" s="629"/>
      <c r="M14164" s="629"/>
      <c r="N14164" s="629"/>
      <c r="O14164" s="629"/>
      <c r="P14164" s="629"/>
      <c r="Q14164" s="629"/>
      <c r="R14164" s="629"/>
    </row>
    <row r="14165" spans="1:18" ht="12.75" customHeight="1">
      <c r="A14165" s="628" t="s">
        <v>25511</v>
      </c>
      <c r="B14165" s="629"/>
      <c r="C14165" s="629"/>
      <c r="D14165" s="629"/>
      <c r="E14165" s="629"/>
      <c r="F14165" s="629"/>
      <c r="G14165" s="629"/>
      <c r="H14165" s="629"/>
      <c r="I14165" s="629"/>
      <c r="J14165" s="629"/>
      <c r="K14165" s="629"/>
      <c r="L14165" s="629"/>
      <c r="M14165" s="629"/>
      <c r="N14165" s="629"/>
      <c r="O14165" s="629"/>
      <c r="P14165" s="629"/>
      <c r="Q14165" s="629"/>
      <c r="R14165" s="629"/>
    </row>
    <row r="14166" spans="1:18" ht="24">
      <c r="A14166" s="408">
        <v>416</v>
      </c>
      <c r="B14166" s="405" t="s">
        <v>25512</v>
      </c>
      <c r="C14166" s="409" t="s">
        <v>25513</v>
      </c>
      <c r="D14166" s="410">
        <v>1008.73</v>
      </c>
      <c r="E14166" s="410">
        <v>541.92999999999995</v>
      </c>
      <c r="F14166" s="410">
        <v>323.7</v>
      </c>
      <c r="G14166" s="410">
        <v>143.1</v>
      </c>
      <c r="H14166" s="411">
        <v>8517.4500000000007</v>
      </c>
      <c r="I14166" s="411">
        <v>6232.4</v>
      </c>
      <c r="J14166" s="411">
        <v>1655.56</v>
      </c>
      <c r="K14166" s="411">
        <v>629.49</v>
      </c>
      <c r="L14166" s="43">
        <v>8.4437361831213504</v>
      </c>
      <c r="M14166" s="43">
        <v>11.500378277637333</v>
      </c>
      <c r="N14166" s="43">
        <v>5.1144887241272787</v>
      </c>
      <c r="O14166" s="43">
        <v>4.3989517819706503</v>
      </c>
      <c r="P14166" s="412"/>
      <c r="Q14166" s="412"/>
      <c r="R14166" s="412">
        <v>1</v>
      </c>
    </row>
    <row r="14167" spans="1:18" ht="24">
      <c r="A14167" s="408">
        <v>417</v>
      </c>
      <c r="B14167" s="405" t="s">
        <v>25514</v>
      </c>
      <c r="C14167" s="409" t="s">
        <v>25515</v>
      </c>
      <c r="D14167" s="410">
        <v>1451.03</v>
      </c>
      <c r="E14167" s="410">
        <v>720.43</v>
      </c>
      <c r="F14167" s="410">
        <v>477.57</v>
      </c>
      <c r="G14167" s="410">
        <v>253.03</v>
      </c>
      <c r="H14167" s="411">
        <v>11878.11</v>
      </c>
      <c r="I14167" s="411">
        <v>8285.33</v>
      </c>
      <c r="J14167" s="411">
        <v>2498.92</v>
      </c>
      <c r="K14167" s="411">
        <v>1093.8599999999999</v>
      </c>
      <c r="L14167" s="43">
        <v>8.1859851278057665</v>
      </c>
      <c r="M14167" s="43">
        <v>11.500534403064837</v>
      </c>
      <c r="N14167" s="43">
        <v>5.2325732353372283</v>
      </c>
      <c r="O14167" s="43">
        <v>4.3230446982571236</v>
      </c>
      <c r="P14167" s="412"/>
      <c r="Q14167" s="412"/>
      <c r="R14167" s="412">
        <v>1</v>
      </c>
    </row>
    <row r="14168" spans="1:18" ht="24">
      <c r="A14168" s="408">
        <v>418</v>
      </c>
      <c r="B14168" s="405" t="s">
        <v>25516</v>
      </c>
      <c r="C14168" s="409" t="s">
        <v>25517</v>
      </c>
      <c r="D14168" s="410">
        <v>2811.44</v>
      </c>
      <c r="E14168" s="410">
        <v>1316.7</v>
      </c>
      <c r="F14168" s="410">
        <v>889.61</v>
      </c>
      <c r="G14168" s="410">
        <v>605.13</v>
      </c>
      <c r="H14168" s="411">
        <v>22451.72</v>
      </c>
      <c r="I14168" s="411">
        <v>15142.68</v>
      </c>
      <c r="J14168" s="411">
        <v>4550.6400000000003</v>
      </c>
      <c r="K14168" s="411">
        <v>2758.4</v>
      </c>
      <c r="L14168" s="43">
        <v>7.98584355348149</v>
      </c>
      <c r="M14168" s="43">
        <v>11.500478468899521</v>
      </c>
      <c r="N14168" s="43">
        <v>5.1153201964905977</v>
      </c>
      <c r="O14168" s="43">
        <v>4.558359360798506</v>
      </c>
      <c r="P14168" s="412"/>
      <c r="Q14168" s="412"/>
      <c r="R14168" s="412">
        <v>1</v>
      </c>
    </row>
    <row r="14169" spans="1:18" ht="24">
      <c r="A14169" s="408">
        <v>419</v>
      </c>
      <c r="B14169" s="405" t="s">
        <v>25518</v>
      </c>
      <c r="C14169" s="409" t="s">
        <v>25519</v>
      </c>
      <c r="D14169" s="410">
        <v>2993.57</v>
      </c>
      <c r="E14169" s="410">
        <v>1358.5</v>
      </c>
      <c r="F14169" s="410">
        <v>1064.0899999999999</v>
      </c>
      <c r="G14169" s="410">
        <v>570.98</v>
      </c>
      <c r="H14169" s="411">
        <v>23523.72</v>
      </c>
      <c r="I14169" s="411">
        <v>15623.4</v>
      </c>
      <c r="J14169" s="411">
        <v>5438.9</v>
      </c>
      <c r="K14169" s="411">
        <v>2461.42</v>
      </c>
      <c r="L14169" s="43">
        <v>7.8580824901371944</v>
      </c>
      <c r="M14169" s="43">
        <v>11.500478468899521</v>
      </c>
      <c r="N14169" s="43">
        <v>5.1113157721621292</v>
      </c>
      <c r="O14169" s="43">
        <v>4.3108690321902694</v>
      </c>
      <c r="P14169" s="412"/>
      <c r="Q14169" s="412"/>
      <c r="R14169" s="412">
        <v>1</v>
      </c>
    </row>
    <row r="14170" spans="1:18" ht="12.75" customHeight="1">
      <c r="A14170" s="628" t="s">
        <v>25459</v>
      </c>
      <c r="B14170" s="629"/>
      <c r="C14170" s="629"/>
      <c r="D14170" s="629"/>
      <c r="E14170" s="629"/>
      <c r="F14170" s="629"/>
      <c r="G14170" s="629"/>
      <c r="H14170" s="629"/>
      <c r="I14170" s="629"/>
      <c r="J14170" s="629"/>
      <c r="K14170" s="629"/>
      <c r="L14170" s="629"/>
      <c r="M14170" s="629"/>
      <c r="N14170" s="629"/>
      <c r="O14170" s="629"/>
      <c r="P14170" s="629"/>
      <c r="Q14170" s="629"/>
      <c r="R14170" s="629"/>
    </row>
    <row r="14171" spans="1:18" ht="24">
      <c r="A14171" s="408">
        <v>420</v>
      </c>
      <c r="B14171" s="405" t="s">
        <v>25520</v>
      </c>
      <c r="C14171" s="409" t="s">
        <v>25521</v>
      </c>
      <c r="D14171" s="410">
        <v>8148.9</v>
      </c>
      <c r="E14171" s="410">
        <v>3598.16</v>
      </c>
      <c r="F14171" s="410">
        <v>3935.31</v>
      </c>
      <c r="G14171" s="410">
        <v>615.42999999999995</v>
      </c>
      <c r="H14171" s="411">
        <v>65026.879999999997</v>
      </c>
      <c r="I14171" s="411">
        <v>41380.480000000003</v>
      </c>
      <c r="J14171" s="411">
        <v>20672.88</v>
      </c>
      <c r="K14171" s="411">
        <v>2973.52</v>
      </c>
      <c r="L14171" s="43">
        <v>7.979835315195916</v>
      </c>
      <c r="M14171" s="43">
        <v>11.500455788514131</v>
      </c>
      <c r="N14171" s="43">
        <v>5.2531770051152265</v>
      </c>
      <c r="O14171" s="43">
        <v>4.8316136684919488</v>
      </c>
      <c r="P14171" s="412"/>
      <c r="Q14171" s="412"/>
      <c r="R14171" s="412">
        <v>2</v>
      </c>
    </row>
    <row r="14172" spans="1:18" ht="24">
      <c r="A14172" s="408">
        <v>421</v>
      </c>
      <c r="B14172" s="405" t="s">
        <v>25522</v>
      </c>
      <c r="C14172" s="409" t="s">
        <v>25523</v>
      </c>
      <c r="D14172" s="410">
        <v>12979.18</v>
      </c>
      <c r="E14172" s="410">
        <v>4961.7</v>
      </c>
      <c r="F14172" s="410">
        <v>6855.97</v>
      </c>
      <c r="G14172" s="410">
        <v>1161.51</v>
      </c>
      <c r="H14172" s="411">
        <v>98510.24</v>
      </c>
      <c r="I14172" s="411">
        <v>57059.55</v>
      </c>
      <c r="J14172" s="411">
        <v>36088.379999999997</v>
      </c>
      <c r="K14172" s="411">
        <v>5362.31</v>
      </c>
      <c r="L14172" s="43">
        <v>7.5898662319191201</v>
      </c>
      <c r="M14172" s="43">
        <v>11.500000000000002</v>
      </c>
      <c r="N14172" s="43">
        <v>5.2637890772567548</v>
      </c>
      <c r="O14172" s="43">
        <v>4.6166714018820336</v>
      </c>
      <c r="P14172" s="412"/>
      <c r="Q14172" s="412"/>
      <c r="R14172" s="412">
        <v>2</v>
      </c>
    </row>
    <row r="14173" spans="1:18" ht="12.75" customHeight="1">
      <c r="A14173" s="628" t="s">
        <v>25524</v>
      </c>
      <c r="B14173" s="629"/>
      <c r="C14173" s="629"/>
      <c r="D14173" s="629"/>
      <c r="E14173" s="629"/>
      <c r="F14173" s="629"/>
      <c r="G14173" s="629"/>
      <c r="H14173" s="629"/>
      <c r="I14173" s="629"/>
      <c r="J14173" s="629"/>
      <c r="K14173" s="629"/>
      <c r="L14173" s="629"/>
      <c r="M14173" s="629"/>
      <c r="N14173" s="629"/>
      <c r="O14173" s="629"/>
      <c r="P14173" s="629"/>
      <c r="Q14173" s="629"/>
      <c r="R14173" s="629"/>
    </row>
    <row r="14174" spans="1:18" ht="12.75" customHeight="1">
      <c r="A14174" s="628" t="s">
        <v>25525</v>
      </c>
      <c r="B14174" s="629"/>
      <c r="C14174" s="629"/>
      <c r="D14174" s="629"/>
      <c r="E14174" s="629"/>
      <c r="F14174" s="629"/>
      <c r="G14174" s="629"/>
      <c r="H14174" s="629"/>
      <c r="I14174" s="629"/>
      <c r="J14174" s="629"/>
      <c r="K14174" s="629"/>
      <c r="L14174" s="629"/>
      <c r="M14174" s="629"/>
      <c r="N14174" s="629"/>
      <c r="O14174" s="629"/>
      <c r="P14174" s="629"/>
      <c r="Q14174" s="629"/>
      <c r="R14174" s="629"/>
    </row>
    <row r="14175" spans="1:18" ht="24">
      <c r="A14175" s="408">
        <v>422</v>
      </c>
      <c r="B14175" s="405" t="s">
        <v>25526</v>
      </c>
      <c r="C14175" s="409" t="s">
        <v>25527</v>
      </c>
      <c r="D14175" s="410">
        <v>1934.04</v>
      </c>
      <c r="E14175" s="410">
        <v>867.56</v>
      </c>
      <c r="F14175" s="410">
        <v>659.28</v>
      </c>
      <c r="G14175" s="410">
        <v>407.2</v>
      </c>
      <c r="H14175" s="411">
        <v>15175.75</v>
      </c>
      <c r="I14175" s="411">
        <v>9976.94</v>
      </c>
      <c r="J14175" s="411">
        <v>3400.02</v>
      </c>
      <c r="K14175" s="411">
        <v>1798.79</v>
      </c>
      <c r="L14175" s="43">
        <v>7.8466577733655978</v>
      </c>
      <c r="M14175" s="43">
        <v>11.500000000000002</v>
      </c>
      <c r="N14175" s="43">
        <v>5.1571714597742995</v>
      </c>
      <c r="O14175" s="43">
        <v>4.4174607072691554</v>
      </c>
      <c r="P14175" s="412"/>
      <c r="Q14175" s="412"/>
      <c r="R14175" s="412">
        <v>1</v>
      </c>
    </row>
    <row r="14176" spans="1:18" ht="24">
      <c r="A14176" s="408">
        <v>423</v>
      </c>
      <c r="B14176" s="405" t="s">
        <v>25528</v>
      </c>
      <c r="C14176" s="409" t="s">
        <v>25529</v>
      </c>
      <c r="D14176" s="410">
        <v>1067.46</v>
      </c>
      <c r="E14176" s="410">
        <v>546.99</v>
      </c>
      <c r="F14176" s="410">
        <v>366.46</v>
      </c>
      <c r="G14176" s="410">
        <v>154.01</v>
      </c>
      <c r="H14176" s="411">
        <v>8922.07</v>
      </c>
      <c r="I14176" s="411">
        <v>6290.34</v>
      </c>
      <c r="J14176" s="411">
        <v>1906.32</v>
      </c>
      <c r="K14176" s="411">
        <v>725.41</v>
      </c>
      <c r="L14176" s="43">
        <v>8.3582241957544063</v>
      </c>
      <c r="M14176" s="43">
        <v>11.499917731585587</v>
      </c>
      <c r="N14176" s="43">
        <v>5.2019865742509417</v>
      </c>
      <c r="O14176" s="43">
        <v>4.7101486916433997</v>
      </c>
      <c r="P14176" s="412"/>
      <c r="Q14176" s="412"/>
      <c r="R14176" s="412">
        <v>1</v>
      </c>
    </row>
    <row r="14177" spans="1:18" ht="12.75" customHeight="1">
      <c r="A14177" s="628" t="s">
        <v>25530</v>
      </c>
      <c r="B14177" s="629"/>
      <c r="C14177" s="629"/>
      <c r="D14177" s="629"/>
      <c r="E14177" s="629"/>
      <c r="F14177" s="629"/>
      <c r="G14177" s="629"/>
      <c r="H14177" s="629"/>
      <c r="I14177" s="629"/>
      <c r="J14177" s="629"/>
      <c r="K14177" s="629"/>
      <c r="L14177" s="629"/>
      <c r="M14177" s="629"/>
      <c r="N14177" s="629"/>
      <c r="O14177" s="629"/>
      <c r="P14177" s="629"/>
      <c r="Q14177" s="629"/>
      <c r="R14177" s="629"/>
    </row>
    <row r="14178" spans="1:18" ht="24">
      <c r="A14178" s="408">
        <v>424</v>
      </c>
      <c r="B14178" s="405" t="s">
        <v>25531</v>
      </c>
      <c r="C14178" s="409" t="s">
        <v>25532</v>
      </c>
      <c r="D14178" s="410">
        <v>2855.67</v>
      </c>
      <c r="E14178" s="410">
        <v>1233.0999999999999</v>
      </c>
      <c r="F14178" s="410">
        <v>711.79</v>
      </c>
      <c r="G14178" s="410">
        <v>910.78</v>
      </c>
      <c r="H14178" s="411">
        <v>21656.04</v>
      </c>
      <c r="I14178" s="411">
        <v>14181.24</v>
      </c>
      <c r="J14178" s="411">
        <v>3641.57</v>
      </c>
      <c r="K14178" s="411">
        <v>3833.23</v>
      </c>
      <c r="L14178" s="43">
        <v>7.5835233062643796</v>
      </c>
      <c r="M14178" s="43">
        <v>11.500478468899523</v>
      </c>
      <c r="N14178" s="43">
        <v>5.1160735610222119</v>
      </c>
      <c r="O14178" s="43">
        <v>4.2087331737631484</v>
      </c>
      <c r="P14178" s="412"/>
      <c r="Q14178" s="412"/>
      <c r="R14178" s="412">
        <v>2</v>
      </c>
    </row>
    <row r="14179" spans="1:18" ht="24">
      <c r="A14179" s="408">
        <v>425</v>
      </c>
      <c r="B14179" s="405" t="s">
        <v>25533</v>
      </c>
      <c r="C14179" s="409" t="s">
        <v>25534</v>
      </c>
      <c r="D14179" s="410">
        <v>3802.6</v>
      </c>
      <c r="E14179" s="410">
        <v>1557.05</v>
      </c>
      <c r="F14179" s="410">
        <v>1789.21</v>
      </c>
      <c r="G14179" s="410">
        <v>456.34</v>
      </c>
      <c r="H14179" s="411">
        <v>29839.14</v>
      </c>
      <c r="I14179" s="411">
        <v>17906.82</v>
      </c>
      <c r="J14179" s="411">
        <v>9737.81</v>
      </c>
      <c r="K14179" s="411">
        <v>2194.5100000000002</v>
      </c>
      <c r="L14179" s="43">
        <v>7.8470362383632253</v>
      </c>
      <c r="M14179" s="43">
        <v>11.500478468899521</v>
      </c>
      <c r="N14179" s="43">
        <v>5.4425193241710028</v>
      </c>
      <c r="O14179" s="43">
        <v>4.8089363194109662</v>
      </c>
      <c r="P14179" s="412"/>
      <c r="Q14179" s="412"/>
      <c r="R14179" s="412">
        <v>2</v>
      </c>
    </row>
    <row r="14180" spans="1:18" ht="12.75" customHeight="1">
      <c r="A14180" s="628" t="s">
        <v>25535</v>
      </c>
      <c r="B14180" s="629"/>
      <c r="C14180" s="629"/>
      <c r="D14180" s="629"/>
      <c r="E14180" s="629"/>
      <c r="F14180" s="629"/>
      <c r="G14180" s="629"/>
      <c r="H14180" s="629"/>
      <c r="I14180" s="629"/>
      <c r="J14180" s="629"/>
      <c r="K14180" s="629"/>
      <c r="L14180" s="629"/>
      <c r="M14180" s="629"/>
      <c r="N14180" s="629"/>
      <c r="O14180" s="629"/>
      <c r="P14180" s="629"/>
      <c r="Q14180" s="629"/>
      <c r="R14180" s="629"/>
    </row>
    <row r="14181" spans="1:18" ht="24">
      <c r="A14181" s="408">
        <v>426</v>
      </c>
      <c r="B14181" s="405" t="s">
        <v>25536</v>
      </c>
      <c r="C14181" s="409" t="s">
        <v>25537</v>
      </c>
      <c r="D14181" s="410">
        <v>687.66</v>
      </c>
      <c r="E14181" s="410">
        <v>419.05</v>
      </c>
      <c r="F14181" s="410">
        <v>164.47</v>
      </c>
      <c r="G14181" s="410">
        <v>104.14</v>
      </c>
      <c r="H14181" s="411">
        <v>6182.04</v>
      </c>
      <c r="I14181" s="411">
        <v>4819.3100000000004</v>
      </c>
      <c r="J14181" s="411">
        <v>863.25</v>
      </c>
      <c r="K14181" s="411">
        <v>499.48</v>
      </c>
      <c r="L14181" s="43">
        <v>8.9899659715557103</v>
      </c>
      <c r="M14181" s="43">
        <v>11.500560792268226</v>
      </c>
      <c r="N14181" s="43">
        <v>5.2486775703775761</v>
      </c>
      <c r="O14181" s="43">
        <v>4.7962358363741115</v>
      </c>
      <c r="P14181" s="412"/>
      <c r="Q14181" s="412"/>
      <c r="R14181" s="412">
        <v>3</v>
      </c>
    </row>
    <row r="14182" spans="1:18" ht="24">
      <c r="A14182" s="408">
        <v>427</v>
      </c>
      <c r="B14182" s="405" t="s">
        <v>25538</v>
      </c>
      <c r="C14182" s="409" t="s">
        <v>25539</v>
      </c>
      <c r="D14182" s="410">
        <v>3131.66</v>
      </c>
      <c r="E14182" s="410">
        <v>2129.71</v>
      </c>
      <c r="F14182" s="410">
        <v>707</v>
      </c>
      <c r="G14182" s="410">
        <v>294.95</v>
      </c>
      <c r="H14182" s="411">
        <v>29404.19</v>
      </c>
      <c r="I14182" s="411">
        <v>24492.71</v>
      </c>
      <c r="J14182" s="411">
        <v>3373.16</v>
      </c>
      <c r="K14182" s="411">
        <v>1538.32</v>
      </c>
      <c r="L14182" s="43">
        <v>9.3893302593512704</v>
      </c>
      <c r="M14182" s="43">
        <v>11.500490677134446</v>
      </c>
      <c r="N14182" s="43">
        <v>4.7710891089108909</v>
      </c>
      <c r="O14182" s="43">
        <v>5.2155280556026442</v>
      </c>
      <c r="P14182" s="412"/>
      <c r="Q14182" s="412"/>
      <c r="R14182" s="412">
        <v>3</v>
      </c>
    </row>
    <row r="14183" spans="1:18" ht="12.75" customHeight="1">
      <c r="A14183" s="628" t="s">
        <v>25540</v>
      </c>
      <c r="B14183" s="629"/>
      <c r="C14183" s="629"/>
      <c r="D14183" s="629"/>
      <c r="E14183" s="629"/>
      <c r="F14183" s="629"/>
      <c r="G14183" s="629"/>
      <c r="H14183" s="629"/>
      <c r="I14183" s="629"/>
      <c r="J14183" s="629"/>
      <c r="K14183" s="629"/>
      <c r="L14183" s="629"/>
      <c r="M14183" s="629"/>
      <c r="N14183" s="629"/>
      <c r="O14183" s="629"/>
      <c r="P14183" s="629"/>
      <c r="Q14183" s="629"/>
      <c r="R14183" s="629"/>
    </row>
    <row r="14184" spans="1:18" ht="12.75" customHeight="1">
      <c r="A14184" s="628" t="s">
        <v>25541</v>
      </c>
      <c r="B14184" s="629"/>
      <c r="C14184" s="629"/>
      <c r="D14184" s="629"/>
      <c r="E14184" s="629"/>
      <c r="F14184" s="629"/>
      <c r="G14184" s="629"/>
      <c r="H14184" s="629"/>
      <c r="I14184" s="629"/>
      <c r="J14184" s="629"/>
      <c r="K14184" s="629"/>
      <c r="L14184" s="629"/>
      <c r="M14184" s="629"/>
      <c r="N14184" s="629"/>
      <c r="O14184" s="629"/>
      <c r="P14184" s="629"/>
      <c r="Q14184" s="629"/>
      <c r="R14184" s="629"/>
    </row>
    <row r="14185" spans="1:18" ht="24">
      <c r="A14185" s="408">
        <v>428</v>
      </c>
      <c r="B14185" s="405" t="s">
        <v>25542</v>
      </c>
      <c r="C14185" s="409" t="s">
        <v>25543</v>
      </c>
      <c r="D14185" s="410">
        <v>1045.02</v>
      </c>
      <c r="E14185" s="410">
        <v>574.75</v>
      </c>
      <c r="F14185" s="410">
        <v>395.29</v>
      </c>
      <c r="G14185" s="410">
        <v>74.98</v>
      </c>
      <c r="H14185" s="411">
        <v>9113.82</v>
      </c>
      <c r="I14185" s="411">
        <v>6609.9</v>
      </c>
      <c r="J14185" s="411">
        <v>2106.11</v>
      </c>
      <c r="K14185" s="411">
        <v>397.81</v>
      </c>
      <c r="L14185" s="43">
        <v>8.7211919389102608</v>
      </c>
      <c r="M14185" s="43">
        <v>11.500478468899521</v>
      </c>
      <c r="N14185" s="43">
        <v>5.3280123453666928</v>
      </c>
      <c r="O14185" s="43">
        <v>5.3055481461723124</v>
      </c>
      <c r="P14185" s="412"/>
      <c r="Q14185" s="412"/>
      <c r="R14185" s="412">
        <v>1</v>
      </c>
    </row>
    <row r="14186" spans="1:18" ht="12.75" customHeight="1">
      <c r="A14186" s="628" t="s">
        <v>25544</v>
      </c>
      <c r="B14186" s="629"/>
      <c r="C14186" s="629"/>
      <c r="D14186" s="629"/>
      <c r="E14186" s="629"/>
      <c r="F14186" s="629"/>
      <c r="G14186" s="629"/>
      <c r="H14186" s="629"/>
      <c r="I14186" s="629"/>
      <c r="J14186" s="629"/>
      <c r="K14186" s="629"/>
      <c r="L14186" s="629"/>
      <c r="M14186" s="629"/>
      <c r="N14186" s="629"/>
      <c r="O14186" s="629"/>
      <c r="P14186" s="629"/>
      <c r="Q14186" s="629"/>
      <c r="R14186" s="629"/>
    </row>
    <row r="14187" spans="1:18" ht="24">
      <c r="A14187" s="408">
        <v>429</v>
      </c>
      <c r="B14187" s="405" t="s">
        <v>25545</v>
      </c>
      <c r="C14187" s="409" t="s">
        <v>25546</v>
      </c>
      <c r="D14187" s="410">
        <v>528.54999999999995</v>
      </c>
      <c r="E14187" s="410">
        <v>308.26</v>
      </c>
      <c r="F14187" s="410">
        <v>142.01</v>
      </c>
      <c r="G14187" s="410">
        <v>78.28</v>
      </c>
      <c r="H14187" s="411">
        <v>4642.3999999999996</v>
      </c>
      <c r="I14187" s="411">
        <v>3545.1</v>
      </c>
      <c r="J14187" s="411">
        <v>757.86</v>
      </c>
      <c r="K14187" s="411">
        <v>339.44</v>
      </c>
      <c r="L14187" s="43">
        <v>8.7832749976350399</v>
      </c>
      <c r="M14187" s="43">
        <v>11.500356841627198</v>
      </c>
      <c r="N14187" s="43">
        <v>5.3366664319414134</v>
      </c>
      <c r="O14187" s="43">
        <v>4.336228921819111</v>
      </c>
      <c r="P14187" s="412"/>
      <c r="Q14187" s="412"/>
      <c r="R14187" s="412">
        <v>2</v>
      </c>
    </row>
    <row r="14188" spans="1:18" ht="12.75" customHeight="1">
      <c r="A14188" s="628" t="s">
        <v>25547</v>
      </c>
      <c r="B14188" s="629"/>
      <c r="C14188" s="629"/>
      <c r="D14188" s="629"/>
      <c r="E14188" s="629"/>
      <c r="F14188" s="629"/>
      <c r="G14188" s="629"/>
      <c r="H14188" s="629"/>
      <c r="I14188" s="629"/>
      <c r="J14188" s="629"/>
      <c r="K14188" s="629"/>
      <c r="L14188" s="629"/>
      <c r="M14188" s="629"/>
      <c r="N14188" s="629"/>
      <c r="O14188" s="629"/>
      <c r="P14188" s="629"/>
      <c r="Q14188" s="629"/>
      <c r="R14188" s="629"/>
    </row>
    <row r="14189" spans="1:18" ht="24">
      <c r="A14189" s="408">
        <v>430</v>
      </c>
      <c r="B14189" s="405" t="s">
        <v>25548</v>
      </c>
      <c r="C14189" s="409" t="s">
        <v>25549</v>
      </c>
      <c r="D14189" s="410">
        <v>7280.02</v>
      </c>
      <c r="E14189" s="410">
        <v>2211.2199999999998</v>
      </c>
      <c r="F14189" s="410">
        <v>3996.3</v>
      </c>
      <c r="G14189" s="410">
        <v>1072.5</v>
      </c>
      <c r="H14189" s="411">
        <v>51557.04</v>
      </c>
      <c r="I14189" s="411">
        <v>25429.03</v>
      </c>
      <c r="J14189" s="411">
        <v>21696.32</v>
      </c>
      <c r="K14189" s="411">
        <v>4431.6899999999996</v>
      </c>
      <c r="L14189" s="43">
        <v>7.081991532990294</v>
      </c>
      <c r="M14189" s="43">
        <v>11.5</v>
      </c>
      <c r="N14189" s="43">
        <v>5.4291019192753289</v>
      </c>
      <c r="O14189" s="43">
        <v>4.1321118881118881</v>
      </c>
      <c r="P14189" s="412"/>
      <c r="Q14189" s="412"/>
      <c r="R14189" s="412">
        <v>3</v>
      </c>
    </row>
    <row r="14190" spans="1:18" ht="24">
      <c r="A14190" s="408">
        <v>431</v>
      </c>
      <c r="B14190" s="405" t="s">
        <v>25550</v>
      </c>
      <c r="C14190" s="409" t="s">
        <v>25551</v>
      </c>
      <c r="D14190" s="410">
        <v>9489.2999999999993</v>
      </c>
      <c r="E14190" s="410">
        <v>3068.2</v>
      </c>
      <c r="F14190" s="410">
        <v>5315.14</v>
      </c>
      <c r="G14190" s="410">
        <v>1105.96</v>
      </c>
      <c r="H14190" s="411">
        <v>68804.05</v>
      </c>
      <c r="I14190" s="411">
        <v>35284.300000000003</v>
      </c>
      <c r="J14190" s="411">
        <v>28747.91</v>
      </c>
      <c r="K14190" s="411">
        <v>4771.84</v>
      </c>
      <c r="L14190" s="43">
        <v>7.2506981547637874</v>
      </c>
      <c r="M14190" s="43">
        <v>11.500000000000002</v>
      </c>
      <c r="N14190" s="43">
        <v>5.4086834965777006</v>
      </c>
      <c r="O14190" s="43">
        <v>4.3146587580020981</v>
      </c>
      <c r="P14190" s="412"/>
      <c r="Q14190" s="412"/>
      <c r="R14190" s="412">
        <v>3</v>
      </c>
    </row>
    <row r="14191" spans="1:18" ht="24">
      <c r="A14191" s="408">
        <v>432</v>
      </c>
      <c r="B14191" s="405" t="s">
        <v>25552</v>
      </c>
      <c r="C14191" s="409" t="s">
        <v>25553</v>
      </c>
      <c r="D14191" s="410">
        <v>12072.69</v>
      </c>
      <c r="E14191" s="410">
        <v>3673.53</v>
      </c>
      <c r="F14191" s="410">
        <v>7262.73</v>
      </c>
      <c r="G14191" s="410">
        <v>1136.43</v>
      </c>
      <c r="H14191" s="411">
        <v>86664.04</v>
      </c>
      <c r="I14191" s="411">
        <v>42247.31</v>
      </c>
      <c r="J14191" s="411">
        <v>39344.699999999997</v>
      </c>
      <c r="K14191" s="411">
        <v>5072.03</v>
      </c>
      <c r="L14191" s="43">
        <v>7.1785194517543305</v>
      </c>
      <c r="M14191" s="43">
        <v>11.500466853408028</v>
      </c>
      <c r="N14191" s="43">
        <v>5.4173430652110159</v>
      </c>
      <c r="O14191" s="43">
        <v>4.4631257534559978</v>
      </c>
      <c r="P14191" s="412"/>
      <c r="Q14191" s="412"/>
      <c r="R14191" s="412">
        <v>3</v>
      </c>
    </row>
    <row r="14192" spans="1:18" ht="24">
      <c r="A14192" s="408">
        <v>433</v>
      </c>
      <c r="B14192" s="405" t="s">
        <v>25554</v>
      </c>
      <c r="C14192" s="409" t="s">
        <v>25555</v>
      </c>
      <c r="D14192" s="410">
        <v>4183.1099999999997</v>
      </c>
      <c r="E14192" s="410">
        <v>2013.48</v>
      </c>
      <c r="F14192" s="410">
        <v>1605.3</v>
      </c>
      <c r="G14192" s="410">
        <v>564.33000000000004</v>
      </c>
      <c r="H14192" s="411">
        <v>34307.75</v>
      </c>
      <c r="I14192" s="411">
        <v>23155.96</v>
      </c>
      <c r="J14192" s="411">
        <v>8712.86</v>
      </c>
      <c r="K14192" s="411">
        <v>2438.9299999999998</v>
      </c>
      <c r="L14192" s="43">
        <v>8.2014936255561057</v>
      </c>
      <c r="M14192" s="43">
        <v>11.50046685340803</v>
      </c>
      <c r="N14192" s="43">
        <v>5.4275587117672712</v>
      </c>
      <c r="O14192" s="43">
        <v>4.321815249942409</v>
      </c>
      <c r="P14192" s="412"/>
      <c r="Q14192" s="412"/>
      <c r="R14192" s="412">
        <v>3</v>
      </c>
    </row>
    <row r="14193" spans="1:18" ht="12.75" customHeight="1">
      <c r="A14193" s="628" t="s">
        <v>25304</v>
      </c>
      <c r="B14193" s="629"/>
      <c r="C14193" s="629"/>
      <c r="D14193" s="629"/>
      <c r="E14193" s="629"/>
      <c r="F14193" s="629"/>
      <c r="G14193" s="629"/>
      <c r="H14193" s="629"/>
      <c r="I14193" s="629"/>
      <c r="J14193" s="629"/>
      <c r="K14193" s="629"/>
      <c r="L14193" s="629"/>
      <c r="M14193" s="629"/>
      <c r="N14193" s="629"/>
      <c r="O14193" s="629"/>
      <c r="P14193" s="629"/>
      <c r="Q14193" s="629"/>
      <c r="R14193" s="629"/>
    </row>
    <row r="14194" spans="1:18" ht="24">
      <c r="A14194" s="408">
        <v>434</v>
      </c>
      <c r="B14194" s="405" t="s">
        <v>25556</v>
      </c>
      <c r="C14194" s="409" t="s">
        <v>25557</v>
      </c>
      <c r="D14194" s="410">
        <v>1064.68</v>
      </c>
      <c r="E14194" s="410">
        <v>469.1</v>
      </c>
      <c r="F14194" s="410">
        <v>512.23</v>
      </c>
      <c r="G14194" s="410">
        <v>83.35</v>
      </c>
      <c r="H14194" s="411">
        <v>8540.2000000000007</v>
      </c>
      <c r="I14194" s="411">
        <v>5394.85</v>
      </c>
      <c r="J14194" s="411">
        <v>2752.7</v>
      </c>
      <c r="K14194" s="411">
        <v>392.65</v>
      </c>
      <c r="L14194" s="43">
        <v>8.0213773152496533</v>
      </c>
      <c r="M14194" s="43">
        <v>11.500426348326583</v>
      </c>
      <c r="N14194" s="43">
        <v>5.3739531070027127</v>
      </c>
      <c r="O14194" s="43">
        <v>4.710857828434313</v>
      </c>
      <c r="P14194" s="412"/>
      <c r="Q14194" s="412"/>
      <c r="R14194" s="412">
        <v>4</v>
      </c>
    </row>
    <row r="14195" spans="1:18" ht="12.75" customHeight="1">
      <c r="A14195" s="628" t="s">
        <v>25558</v>
      </c>
      <c r="B14195" s="629"/>
      <c r="C14195" s="629"/>
      <c r="D14195" s="629"/>
      <c r="E14195" s="629"/>
      <c r="F14195" s="629"/>
      <c r="G14195" s="629"/>
      <c r="H14195" s="629"/>
      <c r="I14195" s="629"/>
      <c r="J14195" s="629"/>
      <c r="K14195" s="629"/>
      <c r="L14195" s="629"/>
      <c r="M14195" s="629"/>
      <c r="N14195" s="629"/>
      <c r="O14195" s="629"/>
      <c r="P14195" s="629"/>
      <c r="Q14195" s="629"/>
      <c r="R14195" s="629"/>
    </row>
    <row r="14196" spans="1:18" ht="12.75" customHeight="1">
      <c r="A14196" s="628" t="s">
        <v>25559</v>
      </c>
      <c r="B14196" s="629"/>
      <c r="C14196" s="629"/>
      <c r="D14196" s="629"/>
      <c r="E14196" s="629"/>
      <c r="F14196" s="629"/>
      <c r="G14196" s="629"/>
      <c r="H14196" s="629"/>
      <c r="I14196" s="629"/>
      <c r="J14196" s="629"/>
      <c r="K14196" s="629"/>
      <c r="L14196" s="629"/>
      <c r="M14196" s="629"/>
      <c r="N14196" s="629"/>
      <c r="O14196" s="629"/>
      <c r="P14196" s="629"/>
      <c r="Q14196" s="629"/>
      <c r="R14196" s="629"/>
    </row>
    <row r="14197" spans="1:18" ht="24">
      <c r="A14197" s="408">
        <v>435</v>
      </c>
      <c r="B14197" s="405" t="s">
        <v>25560</v>
      </c>
      <c r="C14197" s="409" t="s">
        <v>25561</v>
      </c>
      <c r="D14197" s="410">
        <v>1417.53</v>
      </c>
      <c r="E14197" s="410">
        <v>614.04</v>
      </c>
      <c r="F14197" s="410">
        <v>583.11</v>
      </c>
      <c r="G14197" s="410">
        <v>220.38</v>
      </c>
      <c r="H14197" s="411">
        <v>11129</v>
      </c>
      <c r="I14197" s="411">
        <v>7061.46</v>
      </c>
      <c r="J14197" s="411">
        <v>3120.23</v>
      </c>
      <c r="K14197" s="411">
        <v>947.31</v>
      </c>
      <c r="L14197" s="43">
        <v>7.850980226168053</v>
      </c>
      <c r="M14197" s="43">
        <v>11.5</v>
      </c>
      <c r="N14197" s="43">
        <v>5.3510143883658312</v>
      </c>
      <c r="O14197" s="43">
        <v>4.2985298121426627</v>
      </c>
      <c r="P14197" s="412"/>
      <c r="Q14197" s="412"/>
      <c r="R14197" s="412">
        <v>1</v>
      </c>
    </row>
    <row r="14198" spans="1:18" ht="12.75" customHeight="1">
      <c r="A14198" s="628" t="s">
        <v>25562</v>
      </c>
      <c r="B14198" s="629"/>
      <c r="C14198" s="629"/>
      <c r="D14198" s="629"/>
      <c r="E14198" s="629"/>
      <c r="F14198" s="629"/>
      <c r="G14198" s="629"/>
      <c r="H14198" s="629"/>
      <c r="I14198" s="629"/>
      <c r="J14198" s="629"/>
      <c r="K14198" s="629"/>
      <c r="L14198" s="629"/>
      <c r="M14198" s="629"/>
      <c r="N14198" s="629"/>
      <c r="O14198" s="629"/>
      <c r="P14198" s="629"/>
      <c r="Q14198" s="629"/>
      <c r="R14198" s="629"/>
    </row>
    <row r="14199" spans="1:18" ht="24">
      <c r="A14199" s="408">
        <v>436</v>
      </c>
      <c r="B14199" s="405" t="s">
        <v>25563</v>
      </c>
      <c r="C14199" s="409" t="s">
        <v>25564</v>
      </c>
      <c r="D14199" s="410">
        <v>6005.57</v>
      </c>
      <c r="E14199" s="410">
        <v>4037.82</v>
      </c>
      <c r="F14199" s="410">
        <v>1522.03</v>
      </c>
      <c r="G14199" s="410">
        <v>445.72</v>
      </c>
      <c r="H14199" s="411">
        <v>55876.86</v>
      </c>
      <c r="I14199" s="411">
        <v>46436.66</v>
      </c>
      <c r="J14199" s="411">
        <v>7130.34</v>
      </c>
      <c r="K14199" s="411">
        <v>2309.86</v>
      </c>
      <c r="L14199" s="43">
        <v>9.3041726264118143</v>
      </c>
      <c r="M14199" s="43">
        <v>11.500428449014567</v>
      </c>
      <c r="N14199" s="43">
        <v>4.6847565422494961</v>
      </c>
      <c r="O14199" s="43">
        <v>5.1823117652337789</v>
      </c>
      <c r="P14199" s="412"/>
      <c r="Q14199" s="412"/>
      <c r="R14199" s="412">
        <v>2</v>
      </c>
    </row>
    <row r="14200" spans="1:18" ht="12.75" customHeight="1">
      <c r="A14200" s="628" t="s">
        <v>25565</v>
      </c>
      <c r="B14200" s="629"/>
      <c r="C14200" s="629"/>
      <c r="D14200" s="629"/>
      <c r="E14200" s="629"/>
      <c r="F14200" s="629"/>
      <c r="G14200" s="629"/>
      <c r="H14200" s="629"/>
      <c r="I14200" s="629"/>
      <c r="J14200" s="629"/>
      <c r="K14200" s="629"/>
      <c r="L14200" s="629"/>
      <c r="M14200" s="629"/>
      <c r="N14200" s="629"/>
      <c r="O14200" s="629"/>
      <c r="P14200" s="629"/>
      <c r="Q14200" s="629"/>
      <c r="R14200" s="629"/>
    </row>
    <row r="14201" spans="1:18" ht="12.75" customHeight="1">
      <c r="A14201" s="628" t="s">
        <v>25566</v>
      </c>
      <c r="B14201" s="629"/>
      <c r="C14201" s="629"/>
      <c r="D14201" s="629"/>
      <c r="E14201" s="629"/>
      <c r="F14201" s="629"/>
      <c r="G14201" s="629"/>
      <c r="H14201" s="629"/>
      <c r="I14201" s="629"/>
      <c r="J14201" s="629"/>
      <c r="K14201" s="629"/>
      <c r="L14201" s="629"/>
      <c r="M14201" s="629"/>
      <c r="N14201" s="629"/>
      <c r="O14201" s="629"/>
      <c r="P14201" s="629"/>
      <c r="Q14201" s="629"/>
      <c r="R14201" s="629"/>
    </row>
    <row r="14202" spans="1:18" ht="24">
      <c r="A14202" s="408">
        <v>437</v>
      </c>
      <c r="B14202" s="405" t="s">
        <v>25567</v>
      </c>
      <c r="C14202" s="409" t="s">
        <v>25568</v>
      </c>
      <c r="D14202" s="410">
        <v>1580.74</v>
      </c>
      <c r="E14202" s="410">
        <v>879.2</v>
      </c>
      <c r="F14202" s="410">
        <v>462.9</v>
      </c>
      <c r="G14202" s="410">
        <v>238.64</v>
      </c>
      <c r="H14202" s="411">
        <v>13591.05</v>
      </c>
      <c r="I14202" s="411">
        <v>10110.780000000001</v>
      </c>
      <c r="J14202" s="411">
        <v>2358.4699999999998</v>
      </c>
      <c r="K14202" s="411">
        <v>1121.8</v>
      </c>
      <c r="L14202" s="43">
        <v>8.5979035135442885</v>
      </c>
      <c r="M14202" s="43">
        <v>11.499977252047316</v>
      </c>
      <c r="N14202" s="43">
        <v>5.0949881183840997</v>
      </c>
      <c r="O14202" s="43">
        <v>4.7008045591686223</v>
      </c>
      <c r="P14202" s="412"/>
      <c r="Q14202" s="412"/>
      <c r="R14202" s="412">
        <v>1</v>
      </c>
    </row>
    <row r="14203" spans="1:18" ht="24">
      <c r="A14203" s="408">
        <v>438</v>
      </c>
      <c r="B14203" s="405" t="s">
        <v>25569</v>
      </c>
      <c r="C14203" s="409" t="s">
        <v>25570</v>
      </c>
      <c r="D14203" s="410">
        <v>805.15</v>
      </c>
      <c r="E14203" s="410">
        <v>541.92999999999995</v>
      </c>
      <c r="F14203" s="410">
        <v>164.14</v>
      </c>
      <c r="G14203" s="410">
        <v>99.08</v>
      </c>
      <c r="H14203" s="411">
        <v>7553.12</v>
      </c>
      <c r="I14203" s="411">
        <v>6232.4</v>
      </c>
      <c r="J14203" s="411">
        <v>858.87</v>
      </c>
      <c r="K14203" s="411">
        <v>461.85</v>
      </c>
      <c r="L14203" s="43">
        <v>9.3810097497360747</v>
      </c>
      <c r="M14203" s="43">
        <v>11.500378277637333</v>
      </c>
      <c r="N14203" s="43">
        <v>5.2325453880833441</v>
      </c>
      <c r="O14203" s="43">
        <v>4.6613847396043608</v>
      </c>
      <c r="P14203" s="412"/>
      <c r="Q14203" s="412"/>
      <c r="R14203" s="412">
        <v>1</v>
      </c>
    </row>
    <row r="14204" spans="1:18" ht="24">
      <c r="A14204" s="408">
        <v>439</v>
      </c>
      <c r="B14204" s="405" t="s">
        <v>25571</v>
      </c>
      <c r="C14204" s="409" t="s">
        <v>25572</v>
      </c>
      <c r="D14204" s="410">
        <v>1120.01</v>
      </c>
      <c r="E14204" s="410">
        <v>759.64</v>
      </c>
      <c r="F14204" s="410">
        <v>257.89999999999998</v>
      </c>
      <c r="G14204" s="410">
        <v>102.47</v>
      </c>
      <c r="H14204" s="411">
        <v>10553.65</v>
      </c>
      <c r="I14204" s="411">
        <v>8735.91</v>
      </c>
      <c r="J14204" s="411">
        <v>1314.29</v>
      </c>
      <c r="K14204" s="411">
        <v>503.45</v>
      </c>
      <c r="L14204" s="43">
        <v>9.4228176534138086</v>
      </c>
      <c r="M14204" s="43">
        <v>11.500065820651887</v>
      </c>
      <c r="N14204" s="43">
        <v>5.0961225281116711</v>
      </c>
      <c r="O14204" s="43">
        <v>4.9131453108226797</v>
      </c>
      <c r="P14204" s="412"/>
      <c r="Q14204" s="412"/>
      <c r="R14204" s="412">
        <v>1</v>
      </c>
    </row>
    <row r="14205" spans="1:18" ht="12.75" customHeight="1">
      <c r="A14205" s="628" t="s">
        <v>25573</v>
      </c>
      <c r="B14205" s="629"/>
      <c r="C14205" s="629"/>
      <c r="D14205" s="629"/>
      <c r="E14205" s="629"/>
      <c r="F14205" s="629"/>
      <c r="G14205" s="629"/>
      <c r="H14205" s="629"/>
      <c r="I14205" s="629"/>
      <c r="J14205" s="629"/>
      <c r="K14205" s="629"/>
      <c r="L14205" s="629"/>
      <c r="M14205" s="629"/>
      <c r="N14205" s="629"/>
      <c r="O14205" s="629"/>
      <c r="P14205" s="629"/>
      <c r="Q14205" s="629"/>
      <c r="R14205" s="629"/>
    </row>
    <row r="14206" spans="1:18" ht="12.75" customHeight="1">
      <c r="A14206" s="628" t="s">
        <v>19156</v>
      </c>
      <c r="B14206" s="629"/>
      <c r="C14206" s="629"/>
      <c r="D14206" s="629"/>
      <c r="E14206" s="629"/>
      <c r="F14206" s="629"/>
      <c r="G14206" s="629"/>
      <c r="H14206" s="629"/>
      <c r="I14206" s="629"/>
      <c r="J14206" s="629"/>
      <c r="K14206" s="629"/>
      <c r="L14206" s="629"/>
      <c r="M14206" s="629"/>
      <c r="N14206" s="629"/>
      <c r="O14206" s="629"/>
      <c r="P14206" s="629"/>
      <c r="Q14206" s="629"/>
      <c r="R14206" s="629"/>
    </row>
    <row r="14207" spans="1:18" ht="24">
      <c r="A14207" s="408">
        <v>440</v>
      </c>
      <c r="B14207" s="405" t="s">
        <v>25574</v>
      </c>
      <c r="C14207" s="409" t="s">
        <v>25575</v>
      </c>
      <c r="D14207" s="410">
        <v>27542.65</v>
      </c>
      <c r="E14207" s="410">
        <v>22233.3</v>
      </c>
      <c r="F14207" s="410">
        <v>3547.73</v>
      </c>
      <c r="G14207" s="410">
        <v>1761.62</v>
      </c>
      <c r="H14207" s="411">
        <v>283134.42</v>
      </c>
      <c r="I14207" s="411">
        <v>255682.95</v>
      </c>
      <c r="J14207" s="411">
        <v>17338.61</v>
      </c>
      <c r="K14207" s="411">
        <v>10112.86</v>
      </c>
      <c r="L14207" s="43">
        <v>10.279853971930804</v>
      </c>
      <c r="M14207" s="43">
        <v>11.500000000000002</v>
      </c>
      <c r="N14207" s="43">
        <v>4.8872405735498479</v>
      </c>
      <c r="O14207" s="43">
        <v>5.7406591659949369</v>
      </c>
      <c r="P14207" s="412"/>
      <c r="Q14207" s="412"/>
      <c r="R14207" s="412">
        <v>1</v>
      </c>
    </row>
    <row r="14208" spans="1:18" ht="24">
      <c r="A14208" s="408">
        <v>441</v>
      </c>
      <c r="B14208" s="405" t="s">
        <v>25576</v>
      </c>
      <c r="C14208" s="409" t="s">
        <v>25577</v>
      </c>
      <c r="D14208" s="410">
        <v>13133.61</v>
      </c>
      <c r="E14208" s="410">
        <v>9375.84</v>
      </c>
      <c r="F14208" s="410">
        <v>2554.65</v>
      </c>
      <c r="G14208" s="410">
        <v>1203.1199999999999</v>
      </c>
      <c r="H14208" s="411">
        <v>126360.93</v>
      </c>
      <c r="I14208" s="411">
        <v>107826.24000000001</v>
      </c>
      <c r="J14208" s="411">
        <v>12566.2</v>
      </c>
      <c r="K14208" s="411">
        <v>5968.49</v>
      </c>
      <c r="L14208" s="43">
        <v>9.6211879292898139</v>
      </c>
      <c r="M14208" s="43">
        <v>11.500435161009573</v>
      </c>
      <c r="N14208" s="43">
        <v>4.9189517154991877</v>
      </c>
      <c r="O14208" s="43">
        <v>4.9608434736352152</v>
      </c>
      <c r="P14208" s="412"/>
      <c r="Q14208" s="412"/>
      <c r="R14208" s="412">
        <v>1</v>
      </c>
    </row>
    <row r="14209" spans="1:18" ht="12.75" customHeight="1">
      <c r="A14209" s="628" t="s">
        <v>335</v>
      </c>
      <c r="B14209" s="629"/>
      <c r="C14209" s="629"/>
      <c r="D14209" s="629"/>
      <c r="E14209" s="629"/>
      <c r="F14209" s="629"/>
      <c r="G14209" s="629"/>
      <c r="H14209" s="629"/>
      <c r="I14209" s="629"/>
      <c r="J14209" s="629"/>
      <c r="K14209" s="629"/>
      <c r="L14209" s="629"/>
      <c r="M14209" s="629"/>
      <c r="N14209" s="629"/>
      <c r="O14209" s="629"/>
      <c r="P14209" s="629"/>
      <c r="Q14209" s="629"/>
      <c r="R14209" s="629"/>
    </row>
    <row r="14210" spans="1:18" ht="24">
      <c r="A14210" s="408">
        <v>442</v>
      </c>
      <c r="B14210" s="405" t="s">
        <v>25578</v>
      </c>
      <c r="C14210" s="409" t="s">
        <v>25579</v>
      </c>
      <c r="D14210" s="410">
        <v>6801.24</v>
      </c>
      <c r="E14210" s="410">
        <v>4487.76</v>
      </c>
      <c r="F14210" s="410">
        <v>1533.38</v>
      </c>
      <c r="G14210" s="410">
        <v>780.1</v>
      </c>
      <c r="H14210" s="411">
        <v>64055.98</v>
      </c>
      <c r="I14210" s="411">
        <v>51609.24</v>
      </c>
      <c r="J14210" s="411">
        <v>7181.52</v>
      </c>
      <c r="K14210" s="411">
        <v>5265.22</v>
      </c>
      <c r="L14210" s="43">
        <v>9.4182796078362188</v>
      </c>
      <c r="M14210" s="43">
        <v>11.499999999999998</v>
      </c>
      <c r="N14210" s="43">
        <v>4.6834574599903478</v>
      </c>
      <c r="O14210" s="43">
        <v>6.7494167414434045</v>
      </c>
      <c r="P14210" s="412"/>
      <c r="Q14210" s="412"/>
      <c r="R14210" s="412">
        <v>2</v>
      </c>
    </row>
    <row r="14211" spans="1:18" ht="12.75" customHeight="1">
      <c r="A14211" s="628" t="s">
        <v>25580</v>
      </c>
      <c r="B14211" s="629"/>
      <c r="C14211" s="629"/>
      <c r="D14211" s="629"/>
      <c r="E14211" s="629"/>
      <c r="F14211" s="629"/>
      <c r="G14211" s="629"/>
      <c r="H14211" s="629"/>
      <c r="I14211" s="629"/>
      <c r="J14211" s="629"/>
      <c r="K14211" s="629"/>
      <c r="L14211" s="629"/>
      <c r="M14211" s="629"/>
      <c r="N14211" s="629"/>
      <c r="O14211" s="629"/>
      <c r="P14211" s="629"/>
      <c r="Q14211" s="629"/>
      <c r="R14211" s="629"/>
    </row>
    <row r="14212" spans="1:18" ht="12.75" customHeight="1">
      <c r="A14212" s="628" t="s">
        <v>25581</v>
      </c>
      <c r="B14212" s="629"/>
      <c r="C14212" s="629"/>
      <c r="D14212" s="629"/>
      <c r="E14212" s="629"/>
      <c r="F14212" s="629"/>
      <c r="G14212" s="629"/>
      <c r="H14212" s="629"/>
      <c r="I14212" s="629"/>
      <c r="J14212" s="629"/>
      <c r="K14212" s="629"/>
      <c r="L14212" s="629"/>
      <c r="M14212" s="629"/>
      <c r="N14212" s="629"/>
      <c r="O14212" s="629"/>
      <c r="P14212" s="629"/>
      <c r="Q14212" s="629"/>
      <c r="R14212" s="629"/>
    </row>
    <row r="14213" spans="1:18" ht="24">
      <c r="A14213" s="408">
        <v>443</v>
      </c>
      <c r="B14213" s="405" t="s">
        <v>25582</v>
      </c>
      <c r="C14213" s="409" t="s">
        <v>25583</v>
      </c>
      <c r="D14213" s="410">
        <v>760.71</v>
      </c>
      <c r="E14213" s="410">
        <v>469.21</v>
      </c>
      <c r="F14213" s="410">
        <v>147.88999999999999</v>
      </c>
      <c r="G14213" s="410">
        <v>143.61000000000001</v>
      </c>
      <c r="H14213" s="411">
        <v>6814.95</v>
      </c>
      <c r="I14213" s="411">
        <v>5396.08</v>
      </c>
      <c r="J14213" s="411">
        <v>788.88</v>
      </c>
      <c r="K14213" s="411">
        <v>629.99</v>
      </c>
      <c r="L14213" s="43">
        <v>8.9586701896912082</v>
      </c>
      <c r="M14213" s="43">
        <v>11.500351654909316</v>
      </c>
      <c r="N14213" s="43">
        <v>5.3342349043207795</v>
      </c>
      <c r="O14213" s="43">
        <v>4.3868115033772019</v>
      </c>
      <c r="P14213" s="412"/>
      <c r="Q14213" s="412"/>
      <c r="R14213" s="412">
        <v>1</v>
      </c>
    </row>
    <row r="14214" spans="1:18" ht="12.75" customHeight="1">
      <c r="A14214" s="628" t="s">
        <v>25584</v>
      </c>
      <c r="B14214" s="629"/>
      <c r="C14214" s="629"/>
      <c r="D14214" s="629"/>
      <c r="E14214" s="629"/>
      <c r="F14214" s="629"/>
      <c r="G14214" s="629"/>
      <c r="H14214" s="629"/>
      <c r="I14214" s="629"/>
      <c r="J14214" s="629"/>
      <c r="K14214" s="629"/>
      <c r="L14214" s="629"/>
      <c r="M14214" s="629"/>
      <c r="N14214" s="629"/>
      <c r="O14214" s="629"/>
      <c r="P14214" s="629"/>
      <c r="Q14214" s="629"/>
      <c r="R14214" s="629"/>
    </row>
    <row r="14215" spans="1:18" ht="24">
      <c r="A14215" s="408">
        <v>444</v>
      </c>
      <c r="B14215" s="405" t="s">
        <v>25585</v>
      </c>
      <c r="C14215" s="409" t="s">
        <v>25586</v>
      </c>
      <c r="D14215" s="410">
        <v>751.25</v>
      </c>
      <c r="E14215" s="410">
        <v>475.04</v>
      </c>
      <c r="F14215" s="410">
        <v>136.54</v>
      </c>
      <c r="G14215" s="410">
        <v>139.66999999999999</v>
      </c>
      <c r="H14215" s="411">
        <v>6786.26</v>
      </c>
      <c r="I14215" s="411">
        <v>5462.98</v>
      </c>
      <c r="J14215" s="411">
        <v>727.5</v>
      </c>
      <c r="K14215" s="411">
        <v>595.78</v>
      </c>
      <c r="L14215" s="43">
        <v>9.0332911813643921</v>
      </c>
      <c r="M14215" s="43">
        <v>11.500042101717749</v>
      </c>
      <c r="N14215" s="43">
        <v>5.3281089790537575</v>
      </c>
      <c r="O14215" s="43">
        <v>4.2656261187083846</v>
      </c>
      <c r="P14215" s="412"/>
      <c r="Q14215" s="412"/>
      <c r="R14215" s="412">
        <v>2</v>
      </c>
    </row>
    <row r="14216" spans="1:18" ht="12.75" customHeight="1">
      <c r="A14216" s="628" t="s">
        <v>25418</v>
      </c>
      <c r="B14216" s="629"/>
      <c r="C14216" s="629"/>
      <c r="D14216" s="629"/>
      <c r="E14216" s="629"/>
      <c r="F14216" s="629"/>
      <c r="G14216" s="629"/>
      <c r="H14216" s="629"/>
      <c r="I14216" s="629"/>
      <c r="J14216" s="629"/>
      <c r="K14216" s="629"/>
      <c r="L14216" s="629"/>
      <c r="M14216" s="629"/>
      <c r="N14216" s="629"/>
      <c r="O14216" s="629"/>
      <c r="P14216" s="629"/>
      <c r="Q14216" s="629"/>
      <c r="R14216" s="629"/>
    </row>
    <row r="14217" spans="1:18" ht="36">
      <c r="A14217" s="408">
        <v>445</v>
      </c>
      <c r="B14217" s="405" t="s">
        <v>25587</v>
      </c>
      <c r="C14217" s="409" t="s">
        <v>25588</v>
      </c>
      <c r="D14217" s="410">
        <v>901.87</v>
      </c>
      <c r="E14217" s="410">
        <v>475.04</v>
      </c>
      <c r="F14217" s="410">
        <v>257.52999999999997</v>
      </c>
      <c r="G14217" s="410">
        <v>169.3</v>
      </c>
      <c r="H14217" s="411">
        <v>7540.78</v>
      </c>
      <c r="I14217" s="411">
        <v>5462.98</v>
      </c>
      <c r="J14217" s="411">
        <v>1367.68</v>
      </c>
      <c r="K14217" s="411">
        <v>710.12</v>
      </c>
      <c r="L14217" s="43">
        <v>8.3612715801612207</v>
      </c>
      <c r="M14217" s="43">
        <v>11.500042101717749</v>
      </c>
      <c r="N14217" s="43">
        <v>5.3107599114666257</v>
      </c>
      <c r="O14217" s="43">
        <v>4.194447725930301</v>
      </c>
      <c r="P14217" s="412"/>
      <c r="Q14217" s="412"/>
      <c r="R14217" s="412">
        <v>3</v>
      </c>
    </row>
    <row r="14218" spans="1:18" ht="24">
      <c r="A14218" s="408">
        <v>446</v>
      </c>
      <c r="B14218" s="405" t="s">
        <v>25589</v>
      </c>
      <c r="C14218" s="409" t="s">
        <v>25590</v>
      </c>
      <c r="D14218" s="410">
        <v>2351.0100000000002</v>
      </c>
      <c r="E14218" s="410">
        <v>1030.97</v>
      </c>
      <c r="F14218" s="410">
        <v>777.47</v>
      </c>
      <c r="G14218" s="410">
        <v>542.57000000000005</v>
      </c>
      <c r="H14218" s="411">
        <v>18175.439999999999</v>
      </c>
      <c r="I14218" s="411">
        <v>11856.13</v>
      </c>
      <c r="J14218" s="411">
        <v>4124.84</v>
      </c>
      <c r="K14218" s="411">
        <v>2194.4699999999998</v>
      </c>
      <c r="L14218" s="43">
        <v>7.7309071420368252</v>
      </c>
      <c r="M14218" s="43">
        <v>11.499975750991783</v>
      </c>
      <c r="N14218" s="43">
        <v>5.3054651626429319</v>
      </c>
      <c r="O14218" s="43">
        <v>4.0445841089628978</v>
      </c>
      <c r="P14218" s="412"/>
      <c r="Q14218" s="412"/>
      <c r="R14218" s="412">
        <v>3</v>
      </c>
    </row>
    <row r="14219" spans="1:18" ht="12.75" customHeight="1">
      <c r="A14219" s="628" t="s">
        <v>25591</v>
      </c>
      <c r="B14219" s="629"/>
      <c r="C14219" s="629"/>
      <c r="D14219" s="629"/>
      <c r="E14219" s="629"/>
      <c r="F14219" s="629"/>
      <c r="G14219" s="629"/>
      <c r="H14219" s="629"/>
      <c r="I14219" s="629"/>
      <c r="J14219" s="629"/>
      <c r="K14219" s="629"/>
      <c r="L14219" s="629"/>
      <c r="M14219" s="629"/>
      <c r="N14219" s="629"/>
      <c r="O14219" s="629"/>
      <c r="P14219" s="629"/>
      <c r="Q14219" s="629"/>
      <c r="R14219" s="629"/>
    </row>
    <row r="14220" spans="1:18" ht="12.75" customHeight="1">
      <c r="A14220" s="628" t="s">
        <v>25592</v>
      </c>
      <c r="B14220" s="629"/>
      <c r="C14220" s="629"/>
      <c r="D14220" s="629"/>
      <c r="E14220" s="629"/>
      <c r="F14220" s="629"/>
      <c r="G14220" s="629"/>
      <c r="H14220" s="629"/>
      <c r="I14220" s="629"/>
      <c r="J14220" s="629"/>
      <c r="K14220" s="629"/>
      <c r="L14220" s="629"/>
      <c r="M14220" s="629"/>
      <c r="N14220" s="629"/>
      <c r="O14220" s="629"/>
      <c r="P14220" s="629"/>
      <c r="Q14220" s="629"/>
      <c r="R14220" s="629"/>
    </row>
    <row r="14221" spans="1:18" ht="24">
      <c r="A14221" s="408">
        <v>447</v>
      </c>
      <c r="B14221" s="405" t="s">
        <v>25593</v>
      </c>
      <c r="C14221" s="409" t="s">
        <v>25594</v>
      </c>
      <c r="D14221" s="410">
        <v>38431.410000000003</v>
      </c>
      <c r="E14221" s="410">
        <v>26613.22</v>
      </c>
      <c r="F14221" s="410">
        <v>8717.39</v>
      </c>
      <c r="G14221" s="410">
        <v>3100.8</v>
      </c>
      <c r="H14221" s="411">
        <v>366266.06</v>
      </c>
      <c r="I14221" s="411">
        <v>306064.15999999997</v>
      </c>
      <c r="J14221" s="411">
        <v>44146.53</v>
      </c>
      <c r="K14221" s="411">
        <v>16055.37</v>
      </c>
      <c r="L14221" s="43">
        <v>9.5303830902899467</v>
      </c>
      <c r="M14221" s="43">
        <v>11.500455788514127</v>
      </c>
      <c r="N14221" s="43">
        <v>5.0641912315498105</v>
      </c>
      <c r="O14221" s="43">
        <v>5.1778154024767797</v>
      </c>
      <c r="P14221" s="412"/>
      <c r="Q14221" s="412"/>
      <c r="R14221" s="412">
        <v>1</v>
      </c>
    </row>
    <row r="14222" spans="1:18" ht="36">
      <c r="A14222" s="408">
        <v>448</v>
      </c>
      <c r="B14222" s="405" t="s">
        <v>25595</v>
      </c>
      <c r="C14222" s="409" t="s">
        <v>25596</v>
      </c>
      <c r="D14222" s="410">
        <v>752.31</v>
      </c>
      <c r="E14222" s="410">
        <v>523.91999999999996</v>
      </c>
      <c r="F14222" s="410">
        <v>173.5</v>
      </c>
      <c r="G14222" s="410">
        <v>54.89</v>
      </c>
      <c r="H14222" s="411">
        <v>7095.53</v>
      </c>
      <c r="I14222" s="411">
        <v>6025.08</v>
      </c>
      <c r="J14222" s="411">
        <v>778.77</v>
      </c>
      <c r="K14222" s="411">
        <v>291.68</v>
      </c>
      <c r="L14222" s="43">
        <v>9.4316571626058412</v>
      </c>
      <c r="M14222" s="43">
        <v>11.5</v>
      </c>
      <c r="N14222" s="43">
        <v>4.4885878962536019</v>
      </c>
      <c r="O14222" s="43">
        <v>5.3139005283293859</v>
      </c>
      <c r="P14222" s="412"/>
      <c r="Q14222" s="412"/>
      <c r="R14222" s="412">
        <v>1</v>
      </c>
    </row>
    <row r="14223" spans="1:18" ht="48">
      <c r="A14223" s="408">
        <v>449</v>
      </c>
      <c r="B14223" s="405" t="s">
        <v>25597</v>
      </c>
      <c r="C14223" s="409" t="s">
        <v>25598</v>
      </c>
      <c r="D14223" s="410">
        <v>1056.8699999999999</v>
      </c>
      <c r="E14223" s="410">
        <v>486.68</v>
      </c>
      <c r="F14223" s="410">
        <v>398.3</v>
      </c>
      <c r="G14223" s="410">
        <v>171.89</v>
      </c>
      <c r="H14223" s="411">
        <v>8400.73</v>
      </c>
      <c r="I14223" s="411">
        <v>5596.82</v>
      </c>
      <c r="J14223" s="411">
        <v>2070.4899999999998</v>
      </c>
      <c r="K14223" s="411">
        <v>733.42</v>
      </c>
      <c r="L14223" s="43">
        <v>7.9486881073358129</v>
      </c>
      <c r="M14223" s="43">
        <v>11.5</v>
      </c>
      <c r="N14223" s="43">
        <v>5.1983178508661805</v>
      </c>
      <c r="O14223" s="43">
        <v>4.2667985339461287</v>
      </c>
      <c r="P14223" s="412"/>
      <c r="Q14223" s="412"/>
      <c r="R14223" s="412">
        <v>1</v>
      </c>
    </row>
    <row r="14224" spans="1:18" ht="48">
      <c r="A14224" s="408">
        <v>450</v>
      </c>
      <c r="B14224" s="405" t="s">
        <v>25599</v>
      </c>
      <c r="C14224" s="409" t="s">
        <v>25600</v>
      </c>
      <c r="D14224" s="410">
        <v>1341.94</v>
      </c>
      <c r="E14224" s="410">
        <v>629.51</v>
      </c>
      <c r="F14224" s="410">
        <v>475.65</v>
      </c>
      <c r="G14224" s="410">
        <v>236.78</v>
      </c>
      <c r="H14224" s="411">
        <v>10784.66</v>
      </c>
      <c r="I14224" s="411">
        <v>7239.37</v>
      </c>
      <c r="J14224" s="411">
        <v>2453.46</v>
      </c>
      <c r="K14224" s="411">
        <v>1091.83</v>
      </c>
      <c r="L14224" s="43">
        <v>8.0366186267642359</v>
      </c>
      <c r="M14224" s="43">
        <v>11.500007942685581</v>
      </c>
      <c r="N14224" s="43">
        <v>5.1581204667297387</v>
      </c>
      <c r="O14224" s="43">
        <v>4.6111580369963674</v>
      </c>
      <c r="P14224" s="412"/>
      <c r="Q14224" s="412"/>
      <c r="R14224" s="412">
        <v>1</v>
      </c>
    </row>
    <row r="14225" spans="1:18" ht="36">
      <c r="A14225" s="408">
        <v>451</v>
      </c>
      <c r="B14225" s="405" t="s">
        <v>25601</v>
      </c>
      <c r="C14225" s="409" t="s">
        <v>25602</v>
      </c>
      <c r="D14225" s="410">
        <v>669.41</v>
      </c>
      <c r="E14225" s="410">
        <v>381.76</v>
      </c>
      <c r="F14225" s="410">
        <v>192.78</v>
      </c>
      <c r="G14225" s="410">
        <v>94.87</v>
      </c>
      <c r="H14225" s="411">
        <v>5775.8</v>
      </c>
      <c r="I14225" s="411">
        <v>4390.37</v>
      </c>
      <c r="J14225" s="411">
        <v>969.26</v>
      </c>
      <c r="K14225" s="411">
        <v>416.17</v>
      </c>
      <c r="L14225" s="43">
        <v>8.6281949776669009</v>
      </c>
      <c r="M14225" s="43">
        <v>11.50034052808047</v>
      </c>
      <c r="N14225" s="43">
        <v>5.0278037140782237</v>
      </c>
      <c r="O14225" s="43">
        <v>4.3867397491303892</v>
      </c>
      <c r="P14225" s="412"/>
      <c r="Q14225" s="412"/>
      <c r="R14225" s="412">
        <v>1</v>
      </c>
    </row>
    <row r="14226" spans="1:18" ht="36">
      <c r="A14226" s="408">
        <v>452</v>
      </c>
      <c r="B14226" s="405" t="s">
        <v>25603</v>
      </c>
      <c r="C14226" s="409" t="s">
        <v>25604</v>
      </c>
      <c r="D14226" s="410">
        <v>811.33</v>
      </c>
      <c r="E14226" s="410">
        <v>437.94</v>
      </c>
      <c r="F14226" s="410">
        <v>218.91</v>
      </c>
      <c r="G14226" s="410">
        <v>154.47999999999999</v>
      </c>
      <c r="H14226" s="411">
        <v>6868.27</v>
      </c>
      <c r="I14226" s="411">
        <v>5036.26</v>
      </c>
      <c r="J14226" s="411">
        <v>1108.43</v>
      </c>
      <c r="K14226" s="411">
        <v>723.58</v>
      </c>
      <c r="L14226" s="43">
        <v>8.4654456263172815</v>
      </c>
      <c r="M14226" s="43">
        <v>11.499885829109012</v>
      </c>
      <c r="N14226" s="43">
        <v>5.0634050523046001</v>
      </c>
      <c r="O14226" s="43">
        <v>4.6839720352149152</v>
      </c>
      <c r="P14226" s="412"/>
      <c r="Q14226" s="412"/>
      <c r="R14226" s="412">
        <v>1</v>
      </c>
    </row>
    <row r="14227" spans="1:18" ht="48">
      <c r="A14227" s="408">
        <v>453</v>
      </c>
      <c r="B14227" s="405" t="s">
        <v>25605</v>
      </c>
      <c r="C14227" s="409" t="s">
        <v>25606</v>
      </c>
      <c r="D14227" s="410">
        <v>1924.47</v>
      </c>
      <c r="E14227" s="410">
        <v>997.98</v>
      </c>
      <c r="F14227" s="410">
        <v>591.92999999999995</v>
      </c>
      <c r="G14227" s="410">
        <v>334.56</v>
      </c>
      <c r="H14227" s="411">
        <v>16075.94</v>
      </c>
      <c r="I14227" s="411">
        <v>11477.19</v>
      </c>
      <c r="J14227" s="411">
        <v>3138.62</v>
      </c>
      <c r="K14227" s="411">
        <v>1460.13</v>
      </c>
      <c r="L14227" s="43">
        <v>8.3534375698244201</v>
      </c>
      <c r="M14227" s="43">
        <v>11.500420850117237</v>
      </c>
      <c r="N14227" s="43">
        <v>5.3023499400266925</v>
      </c>
      <c r="O14227" s="43">
        <v>4.3643292682926829</v>
      </c>
      <c r="P14227" s="412"/>
      <c r="Q14227" s="412"/>
      <c r="R14227" s="412">
        <v>1</v>
      </c>
    </row>
    <row r="14228" spans="1:18" ht="48">
      <c r="A14228" s="408">
        <v>454</v>
      </c>
      <c r="B14228" s="405" t="s">
        <v>25607</v>
      </c>
      <c r="C14228" s="409" t="s">
        <v>25608</v>
      </c>
      <c r="D14228" s="410">
        <v>895.2</v>
      </c>
      <c r="E14228" s="410">
        <v>569.20000000000005</v>
      </c>
      <c r="F14228" s="410">
        <v>184.06</v>
      </c>
      <c r="G14228" s="410">
        <v>141.94</v>
      </c>
      <c r="H14228" s="411">
        <v>8139.38</v>
      </c>
      <c r="I14228" s="411">
        <v>6545.85</v>
      </c>
      <c r="J14228" s="411">
        <v>972.73</v>
      </c>
      <c r="K14228" s="411">
        <v>620.79999999999995</v>
      </c>
      <c r="L14228" s="43">
        <v>9.0922475424486144</v>
      </c>
      <c r="M14228" s="43">
        <v>11.500087842586085</v>
      </c>
      <c r="N14228" s="43">
        <v>5.2848527654025865</v>
      </c>
      <c r="O14228" s="43">
        <v>4.373679019303931</v>
      </c>
      <c r="P14228" s="412"/>
      <c r="Q14228" s="412"/>
      <c r="R14228" s="412">
        <v>1</v>
      </c>
    </row>
    <row r="14229" spans="1:18" ht="36">
      <c r="A14229" s="408">
        <v>455</v>
      </c>
      <c r="B14229" s="405" t="s">
        <v>25609</v>
      </c>
      <c r="C14229" s="409" t="s">
        <v>25610</v>
      </c>
      <c r="D14229" s="410">
        <v>352.82</v>
      </c>
      <c r="E14229" s="410">
        <v>240.98</v>
      </c>
      <c r="F14229" s="410">
        <v>48.03</v>
      </c>
      <c r="G14229" s="410">
        <v>63.81</v>
      </c>
      <c r="H14229" s="411">
        <v>3306.55</v>
      </c>
      <c r="I14229" s="411">
        <v>2771.33</v>
      </c>
      <c r="J14229" s="411">
        <v>253.57</v>
      </c>
      <c r="K14229" s="411">
        <v>281.64999999999998</v>
      </c>
      <c r="L14229" s="43">
        <v>9.3717759764185704</v>
      </c>
      <c r="M14229" s="43">
        <v>11.500248983318118</v>
      </c>
      <c r="N14229" s="43">
        <v>5.279408702894024</v>
      </c>
      <c r="O14229" s="43">
        <v>4.4138849710076782</v>
      </c>
      <c r="P14229" s="412"/>
      <c r="Q14229" s="412"/>
      <c r="R14229" s="412">
        <v>1</v>
      </c>
    </row>
    <row r="14230" spans="1:18" ht="36">
      <c r="A14230" s="408">
        <v>456</v>
      </c>
      <c r="B14230" s="405" t="s">
        <v>25611</v>
      </c>
      <c r="C14230" s="409" t="s">
        <v>25612</v>
      </c>
      <c r="D14230" s="410">
        <v>371.97</v>
      </c>
      <c r="E14230" s="410">
        <v>264.54000000000002</v>
      </c>
      <c r="F14230" s="410">
        <v>58.3</v>
      </c>
      <c r="G14230" s="410">
        <v>49.13</v>
      </c>
      <c r="H14230" s="411">
        <v>3578.53</v>
      </c>
      <c r="I14230" s="411">
        <v>3042.3</v>
      </c>
      <c r="J14230" s="411">
        <v>309.3</v>
      </c>
      <c r="K14230" s="411">
        <v>226.93</v>
      </c>
      <c r="L14230" s="43">
        <v>9.6204801462483527</v>
      </c>
      <c r="M14230" s="43">
        <v>11.500340213200271</v>
      </c>
      <c r="N14230" s="43">
        <v>5.3053173241852489</v>
      </c>
      <c r="O14230" s="43">
        <v>4.6189700793812332</v>
      </c>
      <c r="P14230" s="412"/>
      <c r="Q14230" s="412"/>
      <c r="R14230" s="412">
        <v>1</v>
      </c>
    </row>
    <row r="14231" spans="1:18" ht="48">
      <c r="A14231" s="408">
        <v>457</v>
      </c>
      <c r="B14231" s="405" t="s">
        <v>25613</v>
      </c>
      <c r="C14231" s="409" t="s">
        <v>25614</v>
      </c>
      <c r="D14231" s="410">
        <v>566.44000000000005</v>
      </c>
      <c r="E14231" s="410">
        <v>444.47</v>
      </c>
      <c r="F14231" s="410">
        <v>62.24</v>
      </c>
      <c r="G14231" s="410">
        <v>59.73</v>
      </c>
      <c r="H14231" s="411">
        <v>5771.36</v>
      </c>
      <c r="I14231" s="411">
        <v>5111.5600000000004</v>
      </c>
      <c r="J14231" s="411">
        <v>330.08</v>
      </c>
      <c r="K14231" s="411">
        <v>329.72</v>
      </c>
      <c r="L14231" s="43">
        <v>10.188828472565495</v>
      </c>
      <c r="M14231" s="43">
        <v>11.500348729948028</v>
      </c>
      <c r="N14231" s="43">
        <v>5.3033419023136243</v>
      </c>
      <c r="O14231" s="43">
        <v>5.5201741168592005</v>
      </c>
      <c r="P14231" s="412"/>
      <c r="Q14231" s="412"/>
      <c r="R14231" s="412">
        <v>1</v>
      </c>
    </row>
    <row r="14232" spans="1:18" ht="48">
      <c r="A14232" s="408">
        <v>458</v>
      </c>
      <c r="B14232" s="405" t="s">
        <v>25615</v>
      </c>
      <c r="C14232" s="409" t="s">
        <v>25616</v>
      </c>
      <c r="D14232" s="410">
        <v>29810.9</v>
      </c>
      <c r="E14232" s="410">
        <v>21756</v>
      </c>
      <c r="F14232" s="410">
        <v>6313.68</v>
      </c>
      <c r="G14232" s="410">
        <v>1741.22</v>
      </c>
      <c r="H14232" s="411">
        <v>291863.81</v>
      </c>
      <c r="I14232" s="411">
        <v>250194</v>
      </c>
      <c r="J14232" s="411">
        <v>31761.84</v>
      </c>
      <c r="K14232" s="411">
        <v>9907.9699999999993</v>
      </c>
      <c r="L14232" s="43">
        <v>9.7905064925916356</v>
      </c>
      <c r="M14232" s="43">
        <v>11.5</v>
      </c>
      <c r="N14232" s="43">
        <v>5.0306382331698787</v>
      </c>
      <c r="O14232" s="43">
        <v>5.6902459195276869</v>
      </c>
      <c r="P14232" s="412"/>
      <c r="Q14232" s="412"/>
      <c r="R14232" s="412">
        <v>1</v>
      </c>
    </row>
    <row r="14233" spans="1:18" ht="24">
      <c r="A14233" s="408">
        <v>459</v>
      </c>
      <c r="B14233" s="405" t="s">
        <v>25617</v>
      </c>
      <c r="C14233" s="409" t="s">
        <v>25618</v>
      </c>
      <c r="D14233" s="410">
        <v>9442.7099999999991</v>
      </c>
      <c r="E14233" s="410">
        <v>5131.3</v>
      </c>
      <c r="F14233" s="410">
        <v>2629.39</v>
      </c>
      <c r="G14233" s="410">
        <v>1682.02</v>
      </c>
      <c r="H14233" s="411">
        <v>79737.070000000007</v>
      </c>
      <c r="I14233" s="411">
        <v>59009.95</v>
      </c>
      <c r="J14233" s="411">
        <v>13556.23</v>
      </c>
      <c r="K14233" s="411">
        <v>7170.89</v>
      </c>
      <c r="L14233" s="43">
        <v>8.4442993589763979</v>
      </c>
      <c r="M14233" s="43">
        <v>11.499999999999998</v>
      </c>
      <c r="N14233" s="43">
        <v>5.155655874556456</v>
      </c>
      <c r="O14233" s="43">
        <v>4.2632608411314967</v>
      </c>
      <c r="P14233" s="412"/>
      <c r="Q14233" s="412"/>
      <c r="R14233" s="412">
        <v>1</v>
      </c>
    </row>
    <row r="14234" spans="1:18" ht="36">
      <c r="A14234" s="408">
        <v>460</v>
      </c>
      <c r="B14234" s="405" t="s">
        <v>25619</v>
      </c>
      <c r="C14234" s="409" t="s">
        <v>25620</v>
      </c>
      <c r="D14234" s="410">
        <v>814.14</v>
      </c>
      <c r="E14234" s="410">
        <v>359.14</v>
      </c>
      <c r="F14234" s="410">
        <v>288.92</v>
      </c>
      <c r="G14234" s="410">
        <v>166.08</v>
      </c>
      <c r="H14234" s="411">
        <v>6335.85</v>
      </c>
      <c r="I14234" s="411">
        <v>4130.0600000000004</v>
      </c>
      <c r="J14234" s="411">
        <v>1530.31</v>
      </c>
      <c r="K14234" s="411">
        <v>675.48</v>
      </c>
      <c r="L14234" s="43">
        <v>7.7822610361854236</v>
      </c>
      <c r="M14234" s="43">
        <v>11.499860778526482</v>
      </c>
      <c r="N14234" s="43">
        <v>5.2966565139138861</v>
      </c>
      <c r="O14234" s="43">
        <v>4.0671965317919074</v>
      </c>
      <c r="P14234" s="412"/>
      <c r="Q14234" s="412"/>
      <c r="R14234" s="412">
        <v>1</v>
      </c>
    </row>
    <row r="14235" spans="1:18" ht="36">
      <c r="A14235" s="408">
        <v>461</v>
      </c>
      <c r="B14235" s="405" t="s">
        <v>25621</v>
      </c>
      <c r="C14235" s="409" t="s">
        <v>25622</v>
      </c>
      <c r="D14235" s="410">
        <v>177.32</v>
      </c>
      <c r="E14235" s="410">
        <v>115.58</v>
      </c>
      <c r="F14235" s="410">
        <v>30.75</v>
      </c>
      <c r="G14235" s="410">
        <v>30.99</v>
      </c>
      <c r="H14235" s="411">
        <v>1621.65</v>
      </c>
      <c r="I14235" s="411">
        <v>1329.22</v>
      </c>
      <c r="J14235" s="411">
        <v>159.9</v>
      </c>
      <c r="K14235" s="411">
        <v>132.53</v>
      </c>
      <c r="L14235" s="43">
        <v>9.1453304759756389</v>
      </c>
      <c r="M14235" s="43">
        <v>11.500432600795985</v>
      </c>
      <c r="N14235" s="43">
        <v>5.2</v>
      </c>
      <c r="O14235" s="43">
        <v>4.2765408196192318</v>
      </c>
      <c r="P14235" s="412"/>
      <c r="Q14235" s="412"/>
      <c r="R14235" s="412">
        <v>1</v>
      </c>
    </row>
    <row r="14236" spans="1:18" ht="36">
      <c r="A14236" s="408">
        <v>462</v>
      </c>
      <c r="B14236" s="405" t="s">
        <v>25623</v>
      </c>
      <c r="C14236" s="409" t="s">
        <v>25624</v>
      </c>
      <c r="D14236" s="410">
        <v>892.69</v>
      </c>
      <c r="E14236" s="410">
        <v>439.07</v>
      </c>
      <c r="F14236" s="410">
        <v>285.2</v>
      </c>
      <c r="G14236" s="410">
        <v>168.42</v>
      </c>
      <c r="H14236" s="411">
        <v>7260.88</v>
      </c>
      <c r="I14236" s="411">
        <v>5049.3100000000004</v>
      </c>
      <c r="J14236" s="411">
        <v>1511.13</v>
      </c>
      <c r="K14236" s="411">
        <v>700.44</v>
      </c>
      <c r="L14236" s="43">
        <v>8.1337082301806891</v>
      </c>
      <c r="M14236" s="43">
        <v>11.500011387705834</v>
      </c>
      <c r="N14236" s="43">
        <v>5.2984922861150077</v>
      </c>
      <c r="O14236" s="43">
        <v>4.1588884930530821</v>
      </c>
      <c r="P14236" s="412"/>
      <c r="Q14236" s="412"/>
      <c r="R14236" s="412">
        <v>1</v>
      </c>
    </row>
    <row r="14237" spans="1:18" ht="36">
      <c r="A14237" s="408">
        <v>463</v>
      </c>
      <c r="B14237" s="405" t="s">
        <v>25625</v>
      </c>
      <c r="C14237" s="409" t="s">
        <v>25626</v>
      </c>
      <c r="D14237" s="410">
        <v>265.85000000000002</v>
      </c>
      <c r="E14237" s="410">
        <v>178.8</v>
      </c>
      <c r="F14237" s="410">
        <v>40.270000000000003</v>
      </c>
      <c r="G14237" s="410">
        <v>46.78</v>
      </c>
      <c r="H14237" s="411">
        <v>2468.34</v>
      </c>
      <c r="I14237" s="411">
        <v>2056.2199999999998</v>
      </c>
      <c r="J14237" s="411">
        <v>210.4</v>
      </c>
      <c r="K14237" s="411">
        <v>201.72</v>
      </c>
      <c r="L14237" s="43">
        <v>9.284709422606733</v>
      </c>
      <c r="M14237" s="43">
        <v>11.500111856823265</v>
      </c>
      <c r="N14237" s="43">
        <v>5.2247330518996771</v>
      </c>
      <c r="O14237" s="43">
        <v>4.3120991876870454</v>
      </c>
      <c r="P14237" s="412"/>
      <c r="Q14237" s="412"/>
      <c r="R14237" s="412">
        <v>1</v>
      </c>
    </row>
    <row r="14238" spans="1:18" ht="36">
      <c r="A14238" s="408">
        <v>464</v>
      </c>
      <c r="B14238" s="405" t="s">
        <v>25627</v>
      </c>
      <c r="C14238" s="409" t="s">
        <v>25628</v>
      </c>
      <c r="D14238" s="410">
        <v>1040.05</v>
      </c>
      <c r="E14238" s="410">
        <v>394.22</v>
      </c>
      <c r="F14238" s="410">
        <v>403.95</v>
      </c>
      <c r="G14238" s="410">
        <v>241.88</v>
      </c>
      <c r="H14238" s="411">
        <v>7562.42</v>
      </c>
      <c r="I14238" s="411">
        <v>4533.58</v>
      </c>
      <c r="J14238" s="411">
        <v>2050.61</v>
      </c>
      <c r="K14238" s="411">
        <v>978.23</v>
      </c>
      <c r="L14238" s="43">
        <v>7.2712081149944714</v>
      </c>
      <c r="M14238" s="43">
        <v>11.50012683273299</v>
      </c>
      <c r="N14238" s="43">
        <v>5.0763955935140492</v>
      </c>
      <c r="O14238" s="43">
        <v>4.0442781544567552</v>
      </c>
      <c r="P14238" s="412"/>
      <c r="Q14238" s="412"/>
      <c r="R14238" s="412">
        <v>1</v>
      </c>
    </row>
    <row r="14239" spans="1:18" ht="48">
      <c r="A14239" s="408">
        <v>465</v>
      </c>
      <c r="B14239" s="405" t="s">
        <v>25629</v>
      </c>
      <c r="C14239" s="409" t="s">
        <v>25630</v>
      </c>
      <c r="D14239" s="410">
        <v>554.11</v>
      </c>
      <c r="E14239" s="410">
        <v>308.26</v>
      </c>
      <c r="F14239" s="410">
        <v>167.57</v>
      </c>
      <c r="G14239" s="410">
        <v>78.28</v>
      </c>
      <c r="H14239" s="411">
        <v>4750.5600000000004</v>
      </c>
      <c r="I14239" s="411">
        <v>3545.1</v>
      </c>
      <c r="J14239" s="411">
        <v>866.02</v>
      </c>
      <c r="K14239" s="411">
        <v>339.44</v>
      </c>
      <c r="L14239" s="43">
        <v>8.573315767627367</v>
      </c>
      <c r="M14239" s="43">
        <v>11.500356841627198</v>
      </c>
      <c r="N14239" s="43">
        <v>5.1681088500328221</v>
      </c>
      <c r="O14239" s="43">
        <v>4.336228921819111</v>
      </c>
      <c r="P14239" s="412"/>
      <c r="Q14239" s="412"/>
      <c r="R14239" s="412">
        <v>1</v>
      </c>
    </row>
    <row r="14240" spans="1:18" ht="48">
      <c r="A14240" s="408">
        <v>466</v>
      </c>
      <c r="B14240" s="405" t="s">
        <v>25631</v>
      </c>
      <c r="C14240" s="409" t="s">
        <v>25632</v>
      </c>
      <c r="D14240" s="410">
        <v>788.55</v>
      </c>
      <c r="E14240" s="410">
        <v>469.21</v>
      </c>
      <c r="F14240" s="410">
        <v>175.73</v>
      </c>
      <c r="G14240" s="410">
        <v>143.61000000000001</v>
      </c>
      <c r="H14240" s="411">
        <v>6932.76</v>
      </c>
      <c r="I14240" s="411">
        <v>5396.08</v>
      </c>
      <c r="J14240" s="411">
        <v>906.69</v>
      </c>
      <c r="K14240" s="411">
        <v>629.99</v>
      </c>
      <c r="L14240" s="43">
        <v>8.7917823853909081</v>
      </c>
      <c r="M14240" s="43">
        <v>11.500351654909316</v>
      </c>
      <c r="N14240" s="43">
        <v>5.1595629659136177</v>
      </c>
      <c r="O14240" s="43">
        <v>4.3868115033772019</v>
      </c>
      <c r="P14240" s="412"/>
      <c r="Q14240" s="412"/>
      <c r="R14240" s="412">
        <v>1</v>
      </c>
    </row>
    <row r="14241" spans="1:18" ht="24">
      <c r="A14241" s="408">
        <v>467</v>
      </c>
      <c r="B14241" s="405" t="s">
        <v>25633</v>
      </c>
      <c r="C14241" s="409" t="s">
        <v>25634</v>
      </c>
      <c r="D14241" s="410">
        <v>3509.72</v>
      </c>
      <c r="E14241" s="410">
        <v>2200.52</v>
      </c>
      <c r="F14241" s="410">
        <v>1084.79</v>
      </c>
      <c r="G14241" s="410">
        <v>224.41</v>
      </c>
      <c r="H14241" s="411">
        <v>32029.8</v>
      </c>
      <c r="I14241" s="411">
        <v>25305.98</v>
      </c>
      <c r="J14241" s="411">
        <v>5509.02</v>
      </c>
      <c r="K14241" s="411">
        <v>1214.8</v>
      </c>
      <c r="L14241" s="43">
        <v>9.1260271474647556</v>
      </c>
      <c r="M14241" s="43">
        <v>11.5</v>
      </c>
      <c r="N14241" s="43">
        <v>5.0784207081554964</v>
      </c>
      <c r="O14241" s="43">
        <v>5.4133060024063093</v>
      </c>
      <c r="P14241" s="412"/>
      <c r="Q14241" s="412"/>
      <c r="R14241" s="412">
        <v>1</v>
      </c>
    </row>
    <row r="14242" spans="1:18" ht="48">
      <c r="A14242" s="408">
        <v>468</v>
      </c>
      <c r="B14242" s="405" t="s">
        <v>25635</v>
      </c>
      <c r="C14242" s="409" t="s">
        <v>25636</v>
      </c>
      <c r="D14242" s="410">
        <v>936.53</v>
      </c>
      <c r="E14242" s="410">
        <v>499.38</v>
      </c>
      <c r="F14242" s="410">
        <v>295.55</v>
      </c>
      <c r="G14242" s="410">
        <v>141.6</v>
      </c>
      <c r="H14242" s="411">
        <v>7869.63</v>
      </c>
      <c r="I14242" s="411">
        <v>5742.82</v>
      </c>
      <c r="J14242" s="411">
        <v>1512.75</v>
      </c>
      <c r="K14242" s="411">
        <v>614.05999999999995</v>
      </c>
      <c r="L14242" s="43">
        <v>8.4029662690997622</v>
      </c>
      <c r="M14242" s="43">
        <v>11.499899875846049</v>
      </c>
      <c r="N14242" s="43">
        <v>5.118423278633057</v>
      </c>
      <c r="O14242" s="43">
        <v>4.3365819209039547</v>
      </c>
      <c r="P14242" s="412"/>
      <c r="Q14242" s="412"/>
      <c r="R14242" s="412">
        <v>1</v>
      </c>
    </row>
    <row r="14243" spans="1:18" ht="36">
      <c r="A14243" s="408">
        <v>469</v>
      </c>
      <c r="B14243" s="405" t="s">
        <v>25637</v>
      </c>
      <c r="C14243" s="409" t="s">
        <v>25638</v>
      </c>
      <c r="D14243" s="410">
        <v>1133</v>
      </c>
      <c r="E14243" s="410">
        <v>701.45</v>
      </c>
      <c r="F14243" s="410">
        <v>416.04</v>
      </c>
      <c r="G14243" s="410">
        <v>15.51</v>
      </c>
      <c r="H14243" s="411">
        <v>10368.459999999999</v>
      </c>
      <c r="I14243" s="411">
        <v>8066.72</v>
      </c>
      <c r="J14243" s="411">
        <v>2127.46</v>
      </c>
      <c r="K14243" s="411">
        <v>174.28</v>
      </c>
      <c r="L14243" s="43">
        <v>9.1513327449249768</v>
      </c>
      <c r="M14243" s="43">
        <v>11.500064152826289</v>
      </c>
      <c r="N14243" s="43">
        <v>5.1135948466493604</v>
      </c>
      <c r="O14243" s="43">
        <v>11.236621534493874</v>
      </c>
      <c r="P14243" s="412"/>
      <c r="Q14243" s="412"/>
      <c r="R14243" s="412">
        <v>1</v>
      </c>
    </row>
    <row r="14244" spans="1:18" ht="36">
      <c r="A14244" s="408">
        <v>470</v>
      </c>
      <c r="B14244" s="405" t="s">
        <v>25639</v>
      </c>
      <c r="C14244" s="409" t="s">
        <v>25640</v>
      </c>
      <c r="D14244" s="410">
        <v>431.59</v>
      </c>
      <c r="E14244" s="410">
        <v>286.38</v>
      </c>
      <c r="F14244" s="410">
        <v>94.18</v>
      </c>
      <c r="G14244" s="410">
        <v>51.03</v>
      </c>
      <c r="H14244" s="411">
        <v>4009.87</v>
      </c>
      <c r="I14244" s="411">
        <v>3293.37</v>
      </c>
      <c r="J14244" s="411">
        <v>471.69</v>
      </c>
      <c r="K14244" s="411">
        <v>244.81</v>
      </c>
      <c r="L14244" s="43">
        <v>9.2909242568178136</v>
      </c>
      <c r="M14244" s="43">
        <v>11.5</v>
      </c>
      <c r="N14244" s="43">
        <v>5.0083881928222551</v>
      </c>
      <c r="O14244" s="43">
        <v>4.7973740936703901</v>
      </c>
      <c r="P14244" s="412"/>
      <c r="Q14244" s="412"/>
      <c r="R14244" s="412">
        <v>1</v>
      </c>
    </row>
    <row r="14245" spans="1:18" ht="36">
      <c r="A14245" s="408">
        <v>471</v>
      </c>
      <c r="B14245" s="405" t="s">
        <v>25641</v>
      </c>
      <c r="C14245" s="409" t="s">
        <v>25642</v>
      </c>
      <c r="D14245" s="410">
        <v>306.01</v>
      </c>
      <c r="E14245" s="410">
        <v>254.74</v>
      </c>
      <c r="F14245" s="410">
        <v>45.67</v>
      </c>
      <c r="G14245" s="410">
        <v>5.6</v>
      </c>
      <c r="H14245" s="411">
        <v>3208.6</v>
      </c>
      <c r="I14245" s="411">
        <v>2929.51</v>
      </c>
      <c r="J14245" s="411">
        <v>216.11</v>
      </c>
      <c r="K14245" s="411">
        <v>62.98</v>
      </c>
      <c r="L14245" s="43">
        <v>10.485278258880429</v>
      </c>
      <c r="M14245" s="43">
        <v>11.5</v>
      </c>
      <c r="N14245" s="43">
        <v>4.7319903656667401</v>
      </c>
      <c r="O14245" s="43">
        <v>11.246428571428572</v>
      </c>
      <c r="P14245" s="412"/>
      <c r="Q14245" s="412"/>
      <c r="R14245" s="412">
        <v>1</v>
      </c>
    </row>
    <row r="14246" spans="1:18" ht="36">
      <c r="A14246" s="408">
        <v>472</v>
      </c>
      <c r="B14246" s="405" t="s">
        <v>25643</v>
      </c>
      <c r="C14246" s="409" t="s">
        <v>25644</v>
      </c>
      <c r="D14246" s="410">
        <v>681.56</v>
      </c>
      <c r="E14246" s="410">
        <v>437.94</v>
      </c>
      <c r="F14246" s="410">
        <v>233.35</v>
      </c>
      <c r="G14246" s="410">
        <v>10.27</v>
      </c>
      <c r="H14246" s="411">
        <v>6331.24</v>
      </c>
      <c r="I14246" s="411">
        <v>5036.26</v>
      </c>
      <c r="J14246" s="411">
        <v>1181.01</v>
      </c>
      <c r="K14246" s="411">
        <v>113.97</v>
      </c>
      <c r="L14246" s="43">
        <v>9.2893362286519174</v>
      </c>
      <c r="M14246" s="43">
        <v>11.499885829109012</v>
      </c>
      <c r="N14246" s="43">
        <v>5.0611099207199484</v>
      </c>
      <c r="O14246" s="43">
        <v>11.097370983446933</v>
      </c>
      <c r="P14246" s="412"/>
      <c r="Q14246" s="412"/>
      <c r="R14246" s="412">
        <v>1</v>
      </c>
    </row>
    <row r="14247" spans="1:18" ht="24">
      <c r="A14247" s="408">
        <v>473</v>
      </c>
      <c r="B14247" s="405" t="s">
        <v>25645</v>
      </c>
      <c r="C14247" s="409" t="s">
        <v>25646</v>
      </c>
      <c r="D14247" s="410">
        <v>7235.21</v>
      </c>
      <c r="E14247" s="410">
        <v>4894.74</v>
      </c>
      <c r="F14247" s="410">
        <v>1952.8</v>
      </c>
      <c r="G14247" s="410">
        <v>387.67</v>
      </c>
      <c r="H14247" s="411">
        <v>68354.039999999994</v>
      </c>
      <c r="I14247" s="411">
        <v>56291.64</v>
      </c>
      <c r="J14247" s="411">
        <v>9850.9599999999991</v>
      </c>
      <c r="K14247" s="411">
        <v>2211.44</v>
      </c>
      <c r="L14247" s="43">
        <v>9.4474161772775069</v>
      </c>
      <c r="M14247" s="43">
        <v>11.500435161009573</v>
      </c>
      <c r="N14247" s="43">
        <v>5.0445309299467427</v>
      </c>
      <c r="O14247" s="43">
        <v>5.7044393427399589</v>
      </c>
      <c r="P14247" s="412"/>
      <c r="Q14247" s="412"/>
      <c r="R14247" s="412">
        <v>1</v>
      </c>
    </row>
    <row r="14248" spans="1:18" ht="36">
      <c r="A14248" s="408">
        <v>474</v>
      </c>
      <c r="B14248" s="405" t="s">
        <v>25647</v>
      </c>
      <c r="C14248" s="409" t="s">
        <v>25648</v>
      </c>
      <c r="D14248" s="410">
        <v>5109.05</v>
      </c>
      <c r="E14248" s="410">
        <v>3697.2</v>
      </c>
      <c r="F14248" s="410">
        <v>1336.82</v>
      </c>
      <c r="G14248" s="410">
        <v>75.03</v>
      </c>
      <c r="H14248" s="411">
        <v>50145.55</v>
      </c>
      <c r="I14248" s="411">
        <v>42519.360000000001</v>
      </c>
      <c r="J14248" s="411">
        <v>6766.34</v>
      </c>
      <c r="K14248" s="411">
        <v>859.85</v>
      </c>
      <c r="L14248" s="43">
        <v>9.8150438927002082</v>
      </c>
      <c r="M14248" s="43">
        <v>11.500421940928272</v>
      </c>
      <c r="N14248" s="43">
        <v>5.0615191274816356</v>
      </c>
      <c r="O14248" s="43">
        <v>11.460082633613222</v>
      </c>
      <c r="P14248" s="412"/>
      <c r="Q14248" s="412"/>
      <c r="R14248" s="412">
        <v>1</v>
      </c>
    </row>
    <row r="14249" spans="1:18" ht="24">
      <c r="A14249" s="408">
        <v>475</v>
      </c>
      <c r="B14249" s="405" t="s">
        <v>25649</v>
      </c>
      <c r="C14249" s="409" t="s">
        <v>25650</v>
      </c>
      <c r="D14249" s="410">
        <v>1600.96</v>
      </c>
      <c r="E14249" s="410">
        <v>924.77</v>
      </c>
      <c r="F14249" s="410">
        <v>498.73</v>
      </c>
      <c r="G14249" s="410">
        <v>177.46</v>
      </c>
      <c r="H14249" s="411">
        <v>13927.35</v>
      </c>
      <c r="I14249" s="411">
        <v>10635.29</v>
      </c>
      <c r="J14249" s="411">
        <v>2485.8000000000002</v>
      </c>
      <c r="K14249" s="411">
        <v>806.26</v>
      </c>
      <c r="L14249" s="43">
        <v>8.6993741255246846</v>
      </c>
      <c r="M14249" s="43">
        <v>11.50047038723142</v>
      </c>
      <c r="N14249" s="43">
        <v>4.9842600204519485</v>
      </c>
      <c r="O14249" s="43">
        <v>4.5433337090048456</v>
      </c>
      <c r="P14249" s="412"/>
      <c r="Q14249" s="412"/>
      <c r="R14249" s="412">
        <v>1</v>
      </c>
    </row>
    <row r="14250" spans="1:18" ht="36">
      <c r="A14250" s="408">
        <v>476</v>
      </c>
      <c r="B14250" s="405" t="s">
        <v>25651</v>
      </c>
      <c r="C14250" s="409" t="s">
        <v>25652</v>
      </c>
      <c r="D14250" s="410">
        <v>561.72</v>
      </c>
      <c r="E14250" s="410">
        <v>308.94</v>
      </c>
      <c r="F14250" s="410">
        <v>116.87</v>
      </c>
      <c r="G14250" s="410">
        <v>135.91</v>
      </c>
      <c r="H14250" s="411">
        <v>4703.72</v>
      </c>
      <c r="I14250" s="411">
        <v>3552.76</v>
      </c>
      <c r="J14250" s="411">
        <v>597.23</v>
      </c>
      <c r="K14250" s="411">
        <v>553.73</v>
      </c>
      <c r="L14250" s="43">
        <v>8.3737805312255222</v>
      </c>
      <c r="M14250" s="43">
        <v>11.499838156276301</v>
      </c>
      <c r="N14250" s="43">
        <v>5.1102079233336184</v>
      </c>
      <c r="O14250" s="43">
        <v>4.0742403060849091</v>
      </c>
      <c r="P14250" s="412"/>
      <c r="Q14250" s="412"/>
      <c r="R14250" s="412">
        <v>1</v>
      </c>
    </row>
    <row r="14251" spans="1:18" ht="24">
      <c r="A14251" s="408">
        <v>477</v>
      </c>
      <c r="B14251" s="405" t="s">
        <v>25653</v>
      </c>
      <c r="C14251" s="409" t="s">
        <v>25654</v>
      </c>
      <c r="D14251" s="410">
        <v>3570.48</v>
      </c>
      <c r="E14251" s="410">
        <v>2135.48</v>
      </c>
      <c r="F14251" s="410">
        <v>883.19</v>
      </c>
      <c r="G14251" s="410">
        <v>551.80999999999995</v>
      </c>
      <c r="H14251" s="411">
        <v>31620.86</v>
      </c>
      <c r="I14251" s="411">
        <v>24558.02</v>
      </c>
      <c r="J14251" s="411">
        <v>4445.72</v>
      </c>
      <c r="K14251" s="411">
        <v>2617.12</v>
      </c>
      <c r="L14251" s="43">
        <v>8.8561930048620923</v>
      </c>
      <c r="M14251" s="43">
        <v>11.5</v>
      </c>
      <c r="N14251" s="43">
        <v>5.0337073562880015</v>
      </c>
      <c r="O14251" s="43">
        <v>4.7427919030100947</v>
      </c>
      <c r="P14251" s="412"/>
      <c r="Q14251" s="412"/>
      <c r="R14251" s="412">
        <v>1</v>
      </c>
    </row>
    <row r="14252" spans="1:18" ht="36">
      <c r="A14252" s="408">
        <v>478</v>
      </c>
      <c r="B14252" s="405" t="s">
        <v>25655</v>
      </c>
      <c r="C14252" s="409" t="s">
        <v>25656</v>
      </c>
      <c r="D14252" s="410">
        <v>735.56</v>
      </c>
      <c r="E14252" s="410">
        <v>528.54</v>
      </c>
      <c r="F14252" s="410">
        <v>152.04</v>
      </c>
      <c r="G14252" s="410">
        <v>54.98</v>
      </c>
      <c r="H14252" s="411">
        <v>7057.71</v>
      </c>
      <c r="I14252" s="411">
        <v>6078.44</v>
      </c>
      <c r="J14252" s="411">
        <v>686.55</v>
      </c>
      <c r="K14252" s="411">
        <v>292.72000000000003</v>
      </c>
      <c r="L14252" s="43">
        <v>9.5950160421991413</v>
      </c>
      <c r="M14252" s="43">
        <v>11.500435161009573</v>
      </c>
      <c r="N14252" s="43">
        <v>4.5155880031570641</v>
      </c>
      <c r="O14252" s="43">
        <v>5.3241178610403788</v>
      </c>
      <c r="P14252" s="412"/>
      <c r="Q14252" s="412"/>
      <c r="R14252" s="412">
        <v>1</v>
      </c>
    </row>
    <row r="14253" spans="1:18" ht="48">
      <c r="A14253" s="408">
        <v>479</v>
      </c>
      <c r="B14253" s="405" t="s">
        <v>25657</v>
      </c>
      <c r="C14253" s="409" t="s">
        <v>25658</v>
      </c>
      <c r="D14253" s="410">
        <v>1313.36</v>
      </c>
      <c r="E14253" s="410">
        <v>629.51</v>
      </c>
      <c r="F14253" s="410">
        <v>447.07</v>
      </c>
      <c r="G14253" s="410">
        <v>236.78</v>
      </c>
      <c r="H14253" s="411">
        <v>10662.6</v>
      </c>
      <c r="I14253" s="411">
        <v>7239.37</v>
      </c>
      <c r="J14253" s="411">
        <v>2331.4</v>
      </c>
      <c r="K14253" s="411">
        <v>1091.83</v>
      </c>
      <c r="L14253" s="43">
        <v>8.1185661204848643</v>
      </c>
      <c r="M14253" s="43">
        <v>11.500007942685581</v>
      </c>
      <c r="N14253" s="43">
        <v>5.2148433131276981</v>
      </c>
      <c r="O14253" s="43">
        <v>4.6111580369963674</v>
      </c>
      <c r="P14253" s="412"/>
      <c r="Q14253" s="412"/>
      <c r="R14253" s="412">
        <v>1</v>
      </c>
    </row>
    <row r="14254" spans="1:18" ht="36">
      <c r="A14254" s="408">
        <v>480</v>
      </c>
      <c r="B14254" s="405" t="s">
        <v>25659</v>
      </c>
      <c r="C14254" s="409" t="s">
        <v>25660</v>
      </c>
      <c r="D14254" s="410">
        <v>343.16</v>
      </c>
      <c r="E14254" s="410">
        <v>229.19</v>
      </c>
      <c r="F14254" s="410">
        <v>63.87</v>
      </c>
      <c r="G14254" s="410">
        <v>50.1</v>
      </c>
      <c r="H14254" s="411">
        <v>3176.81</v>
      </c>
      <c r="I14254" s="411">
        <v>2635.84</v>
      </c>
      <c r="J14254" s="411">
        <v>316.42</v>
      </c>
      <c r="K14254" s="411">
        <v>224.55</v>
      </c>
      <c r="L14254" s="43">
        <v>9.2575183587830736</v>
      </c>
      <c r="M14254" s="43">
        <v>11.500676294777259</v>
      </c>
      <c r="N14254" s="43">
        <v>4.9541255675591049</v>
      </c>
      <c r="O14254" s="43">
        <v>4.4820359281437128</v>
      </c>
      <c r="P14254" s="412"/>
      <c r="Q14254" s="412"/>
      <c r="R14254" s="412">
        <v>1</v>
      </c>
    </row>
    <row r="14255" spans="1:18" ht="36">
      <c r="A14255" s="408">
        <v>481</v>
      </c>
      <c r="B14255" s="405" t="s">
        <v>25661</v>
      </c>
      <c r="C14255" s="409" t="s">
        <v>25662</v>
      </c>
      <c r="D14255" s="410">
        <v>537.58000000000004</v>
      </c>
      <c r="E14255" s="410">
        <v>316.52999999999997</v>
      </c>
      <c r="F14255" s="410">
        <v>139.38</v>
      </c>
      <c r="G14255" s="410">
        <v>81.67</v>
      </c>
      <c r="H14255" s="411">
        <v>4725.62</v>
      </c>
      <c r="I14255" s="411">
        <v>3640.07</v>
      </c>
      <c r="J14255" s="411">
        <v>715.96</v>
      </c>
      <c r="K14255" s="411">
        <v>369.59</v>
      </c>
      <c r="L14255" s="43">
        <v>8.7905428029316557</v>
      </c>
      <c r="M14255" s="43">
        <v>11.499921018544848</v>
      </c>
      <c r="N14255" s="43">
        <v>5.1367484574544413</v>
      </c>
      <c r="O14255" s="43">
        <v>4.5254071262397453</v>
      </c>
      <c r="P14255" s="412"/>
      <c r="Q14255" s="412"/>
      <c r="R14255" s="412">
        <v>1</v>
      </c>
    </row>
    <row r="14256" spans="1:18" ht="36">
      <c r="A14256" s="408">
        <v>482</v>
      </c>
      <c r="B14256" s="405" t="s">
        <v>25663</v>
      </c>
      <c r="C14256" s="409" t="s">
        <v>25664</v>
      </c>
      <c r="D14256" s="410">
        <v>405.29</v>
      </c>
      <c r="E14256" s="410">
        <v>264.54000000000002</v>
      </c>
      <c r="F14256" s="410">
        <v>62.17</v>
      </c>
      <c r="G14256" s="410">
        <v>78.58</v>
      </c>
      <c r="H14256" s="411">
        <v>3750.09</v>
      </c>
      <c r="I14256" s="411">
        <v>3042.3</v>
      </c>
      <c r="J14256" s="411">
        <v>306.18</v>
      </c>
      <c r="K14256" s="411">
        <v>401.61</v>
      </c>
      <c r="L14256" s="43">
        <v>9.2528559796688796</v>
      </c>
      <c r="M14256" s="43">
        <v>11.500340213200271</v>
      </c>
      <c r="N14256" s="43">
        <v>4.9248833842689397</v>
      </c>
      <c r="O14256" s="43">
        <v>5.1108424535505224</v>
      </c>
      <c r="P14256" s="412"/>
      <c r="Q14256" s="412"/>
      <c r="R14256" s="412">
        <v>1</v>
      </c>
    </row>
    <row r="14257" spans="1:18" ht="36">
      <c r="A14257" s="408">
        <v>483</v>
      </c>
      <c r="B14257" s="405" t="s">
        <v>25665</v>
      </c>
      <c r="C14257" s="409" t="s">
        <v>25666</v>
      </c>
      <c r="D14257" s="410">
        <v>232.37</v>
      </c>
      <c r="E14257" s="410">
        <v>164.07</v>
      </c>
      <c r="F14257" s="410">
        <v>18.66</v>
      </c>
      <c r="G14257" s="410">
        <v>49.64</v>
      </c>
      <c r="H14257" s="411">
        <v>2212.1</v>
      </c>
      <c r="I14257" s="411">
        <v>1886.83</v>
      </c>
      <c r="J14257" s="411">
        <v>89.22</v>
      </c>
      <c r="K14257" s="411">
        <v>236.05</v>
      </c>
      <c r="L14257" s="43">
        <v>9.5197314627533665</v>
      </c>
      <c r="M14257" s="43">
        <v>11.500152373986714</v>
      </c>
      <c r="N14257" s="43">
        <v>4.7813504823151121</v>
      </c>
      <c r="O14257" s="43">
        <v>4.7552377115229651</v>
      </c>
      <c r="P14257" s="412"/>
      <c r="Q14257" s="412"/>
      <c r="R14257" s="412">
        <v>1</v>
      </c>
    </row>
    <row r="14258" spans="1:18" ht="24">
      <c r="A14258" s="413">
        <v>484</v>
      </c>
      <c r="B14258" s="414" t="s">
        <v>25667</v>
      </c>
      <c r="C14258" s="415" t="s">
        <v>25668</v>
      </c>
      <c r="D14258" s="416">
        <v>1115.77</v>
      </c>
      <c r="E14258" s="416">
        <v>571.66</v>
      </c>
      <c r="F14258" s="416">
        <v>326.68</v>
      </c>
      <c r="G14258" s="416">
        <v>217.43</v>
      </c>
      <c r="H14258" s="417">
        <v>9232.32</v>
      </c>
      <c r="I14258" s="417">
        <v>6574.36</v>
      </c>
      <c r="J14258" s="417">
        <v>1738.9</v>
      </c>
      <c r="K14258" s="417">
        <v>919.06</v>
      </c>
      <c r="L14258" s="611">
        <v>8.2743934681878883</v>
      </c>
      <c r="M14258" s="611">
        <v>11.50047230871497</v>
      </c>
      <c r="N14258" s="611">
        <v>5.3229460022039916</v>
      </c>
      <c r="O14258" s="611">
        <v>4.2269236075978469</v>
      </c>
      <c r="P14258" s="418"/>
      <c r="Q14258" s="418"/>
      <c r="R14258" s="418">
        <v>1</v>
      </c>
    </row>
    <row r="14259" spans="1:18" ht="12.75" customHeight="1">
      <c r="A14259" s="630" t="s">
        <v>25669</v>
      </c>
      <c r="B14259" s="631"/>
      <c r="C14259" s="631"/>
      <c r="D14259" s="631"/>
      <c r="E14259" s="631"/>
      <c r="F14259" s="631"/>
      <c r="G14259" s="631"/>
      <c r="H14259" s="631"/>
      <c r="I14259" s="631"/>
      <c r="J14259" s="631"/>
      <c r="K14259" s="631"/>
      <c r="L14259" s="631"/>
      <c r="M14259" s="631"/>
      <c r="N14259" s="631"/>
      <c r="O14259" s="631"/>
      <c r="P14259" s="631"/>
      <c r="Q14259" s="631"/>
      <c r="R14259" s="631"/>
    </row>
    <row r="14260" spans="1:18" ht="12.75" customHeight="1">
      <c r="A14260" s="628" t="s">
        <v>25670</v>
      </c>
      <c r="B14260" s="629"/>
      <c r="C14260" s="629"/>
      <c r="D14260" s="629"/>
      <c r="E14260" s="629"/>
      <c r="F14260" s="629"/>
      <c r="G14260" s="629"/>
      <c r="H14260" s="629"/>
      <c r="I14260" s="629"/>
      <c r="J14260" s="629"/>
      <c r="K14260" s="629"/>
      <c r="L14260" s="629"/>
      <c r="M14260" s="629"/>
      <c r="N14260" s="629"/>
      <c r="O14260" s="629"/>
      <c r="P14260" s="629"/>
      <c r="Q14260" s="629"/>
      <c r="R14260" s="629"/>
    </row>
    <row r="14261" spans="1:18" ht="12.75" customHeight="1">
      <c r="A14261" s="628" t="s">
        <v>25671</v>
      </c>
      <c r="B14261" s="629"/>
      <c r="C14261" s="629"/>
      <c r="D14261" s="629"/>
      <c r="E14261" s="629"/>
      <c r="F14261" s="629"/>
      <c r="G14261" s="629"/>
      <c r="H14261" s="629"/>
      <c r="I14261" s="629"/>
      <c r="J14261" s="629"/>
      <c r="K14261" s="629"/>
      <c r="L14261" s="629"/>
      <c r="M14261" s="629"/>
      <c r="N14261" s="629"/>
      <c r="O14261" s="629"/>
      <c r="P14261" s="629"/>
      <c r="Q14261" s="629"/>
      <c r="R14261" s="629"/>
    </row>
    <row r="14262" spans="1:18" ht="24">
      <c r="A14262" s="408">
        <v>485</v>
      </c>
      <c r="B14262" s="405" t="s">
        <v>25672</v>
      </c>
      <c r="C14262" s="409" t="s">
        <v>25673</v>
      </c>
      <c r="D14262" s="410">
        <v>828.91</v>
      </c>
      <c r="E14262" s="410">
        <v>473.71</v>
      </c>
      <c r="F14262" s="410">
        <v>196.14</v>
      </c>
      <c r="G14262" s="410">
        <v>159.06</v>
      </c>
      <c r="H14262" s="411">
        <v>7194.38</v>
      </c>
      <c r="I14262" s="411">
        <v>5447.64</v>
      </c>
      <c r="J14262" s="411">
        <v>1053.79</v>
      </c>
      <c r="K14262" s="411">
        <v>692.95</v>
      </c>
      <c r="L14262" s="43">
        <v>8.6793258616737656</v>
      </c>
      <c r="M14262" s="43">
        <v>11.499947225095523</v>
      </c>
      <c r="N14262" s="43">
        <v>5.3726419904150102</v>
      </c>
      <c r="O14262" s="43">
        <v>4.3565321262416701</v>
      </c>
      <c r="P14262" s="412"/>
      <c r="Q14262" s="412"/>
      <c r="R14262" s="412">
        <v>1</v>
      </c>
    </row>
    <row r="14263" spans="1:18" ht="48">
      <c r="A14263" s="408">
        <v>486</v>
      </c>
      <c r="B14263" s="405" t="s">
        <v>25674</v>
      </c>
      <c r="C14263" s="409" t="s">
        <v>25675</v>
      </c>
      <c r="D14263" s="410">
        <v>482.39</v>
      </c>
      <c r="E14263" s="410">
        <v>251.69</v>
      </c>
      <c r="F14263" s="410">
        <v>134.19</v>
      </c>
      <c r="G14263" s="410">
        <v>96.51</v>
      </c>
      <c r="H14263" s="411">
        <v>4039.73</v>
      </c>
      <c r="I14263" s="411">
        <v>2894.5</v>
      </c>
      <c r="J14263" s="411">
        <v>721.82</v>
      </c>
      <c r="K14263" s="411">
        <v>423.41</v>
      </c>
      <c r="L14263" s="43">
        <v>8.3744066004685003</v>
      </c>
      <c r="M14263" s="43">
        <v>11.500258254201597</v>
      </c>
      <c r="N14263" s="43">
        <v>5.3790893509203377</v>
      </c>
      <c r="O14263" s="43">
        <v>4.3872137602321004</v>
      </c>
      <c r="P14263" s="412"/>
      <c r="Q14263" s="412"/>
      <c r="R14263" s="412">
        <v>1</v>
      </c>
    </row>
    <row r="14264" spans="1:18" ht="48">
      <c r="A14264" s="408">
        <v>487</v>
      </c>
      <c r="B14264" s="405" t="s">
        <v>25676</v>
      </c>
      <c r="C14264" s="409" t="s">
        <v>25677</v>
      </c>
      <c r="D14264" s="410">
        <v>346.08</v>
      </c>
      <c r="E14264" s="410">
        <v>221.59</v>
      </c>
      <c r="F14264" s="410">
        <v>61.95</v>
      </c>
      <c r="G14264" s="410">
        <v>62.54</v>
      </c>
      <c r="H14264" s="411">
        <v>3149.85</v>
      </c>
      <c r="I14264" s="411">
        <v>2548.4299999999998</v>
      </c>
      <c r="J14264" s="411">
        <v>331.99</v>
      </c>
      <c r="K14264" s="411">
        <v>269.43</v>
      </c>
      <c r="L14264" s="43">
        <v>9.101508321775313</v>
      </c>
      <c r="M14264" s="43">
        <v>11.500654361658919</v>
      </c>
      <c r="N14264" s="43">
        <v>5.3589991928974978</v>
      </c>
      <c r="O14264" s="43">
        <v>4.3081228014070998</v>
      </c>
      <c r="P14264" s="412"/>
      <c r="Q14264" s="412"/>
      <c r="R14264" s="412">
        <v>1</v>
      </c>
    </row>
    <row r="14265" spans="1:18" ht="24">
      <c r="A14265" s="408">
        <v>488</v>
      </c>
      <c r="B14265" s="405" t="s">
        <v>25678</v>
      </c>
      <c r="C14265" s="409" t="s">
        <v>25679</v>
      </c>
      <c r="D14265" s="410">
        <v>989.68</v>
      </c>
      <c r="E14265" s="410">
        <v>505.51</v>
      </c>
      <c r="F14265" s="410">
        <v>311.89999999999998</v>
      </c>
      <c r="G14265" s="410">
        <v>172.27</v>
      </c>
      <c r="H14265" s="411">
        <v>8165.41</v>
      </c>
      <c r="I14265" s="411">
        <v>5813.62</v>
      </c>
      <c r="J14265" s="411">
        <v>1614</v>
      </c>
      <c r="K14265" s="411">
        <v>737.79</v>
      </c>
      <c r="L14265" s="43">
        <v>8.250555735187131</v>
      </c>
      <c r="M14265" s="43">
        <v>11.500504441059524</v>
      </c>
      <c r="N14265" s="43">
        <v>5.1747354921449187</v>
      </c>
      <c r="O14265" s="43">
        <v>4.2827538166831136</v>
      </c>
      <c r="P14265" s="412"/>
      <c r="Q14265" s="412"/>
      <c r="R14265" s="412">
        <v>1</v>
      </c>
    </row>
    <row r="14266" spans="1:18" ht="12.75" customHeight="1">
      <c r="A14266" s="628" t="s">
        <v>25680</v>
      </c>
      <c r="B14266" s="629"/>
      <c r="C14266" s="629"/>
      <c r="D14266" s="629"/>
      <c r="E14266" s="629"/>
      <c r="F14266" s="629"/>
      <c r="G14266" s="629"/>
      <c r="H14266" s="629"/>
      <c r="I14266" s="629"/>
      <c r="J14266" s="629"/>
      <c r="K14266" s="629"/>
      <c r="L14266" s="629"/>
      <c r="M14266" s="629"/>
      <c r="N14266" s="629"/>
      <c r="O14266" s="629"/>
      <c r="P14266" s="629"/>
      <c r="Q14266" s="629"/>
      <c r="R14266" s="629"/>
    </row>
    <row r="14267" spans="1:18" ht="12.75" customHeight="1">
      <c r="A14267" s="628" t="s">
        <v>25681</v>
      </c>
      <c r="B14267" s="629"/>
      <c r="C14267" s="629"/>
      <c r="D14267" s="629"/>
      <c r="E14267" s="629"/>
      <c r="F14267" s="629"/>
      <c r="G14267" s="629"/>
      <c r="H14267" s="629"/>
      <c r="I14267" s="629"/>
      <c r="J14267" s="629"/>
      <c r="K14267" s="629"/>
      <c r="L14267" s="629"/>
      <c r="M14267" s="629"/>
      <c r="N14267" s="629"/>
      <c r="O14267" s="629"/>
      <c r="P14267" s="629"/>
      <c r="Q14267" s="629"/>
      <c r="R14267" s="629"/>
    </row>
    <row r="14268" spans="1:18" ht="24">
      <c r="A14268" s="408">
        <v>489</v>
      </c>
      <c r="B14268" s="405" t="s">
        <v>25682</v>
      </c>
      <c r="C14268" s="409" t="s">
        <v>25683</v>
      </c>
      <c r="D14268" s="410">
        <v>1795.05</v>
      </c>
      <c r="E14268" s="410">
        <v>589.04999999999995</v>
      </c>
      <c r="F14268" s="410">
        <v>388.76</v>
      </c>
      <c r="G14268" s="410">
        <v>817.24</v>
      </c>
      <c r="H14268" s="411">
        <v>11958.74</v>
      </c>
      <c r="I14268" s="411">
        <v>6774.35</v>
      </c>
      <c r="J14268" s="411">
        <v>2026.23</v>
      </c>
      <c r="K14268" s="411">
        <v>3158.16</v>
      </c>
      <c r="L14268" s="43">
        <v>6.6620651235341635</v>
      </c>
      <c r="M14268" s="43">
        <v>11.500466853408032</v>
      </c>
      <c r="N14268" s="43">
        <v>5.2120331309805534</v>
      </c>
      <c r="O14268" s="43">
        <v>3.8644217121041553</v>
      </c>
      <c r="P14268" s="412"/>
      <c r="Q14268" s="412"/>
      <c r="R14268" s="412">
        <v>1</v>
      </c>
    </row>
    <row r="14269" spans="1:18" ht="12.75" customHeight="1">
      <c r="A14269" s="628" t="s">
        <v>25684</v>
      </c>
      <c r="B14269" s="629"/>
      <c r="C14269" s="629"/>
      <c r="D14269" s="629"/>
      <c r="E14269" s="629"/>
      <c r="F14269" s="629"/>
      <c r="G14269" s="629"/>
      <c r="H14269" s="629"/>
      <c r="I14269" s="629"/>
      <c r="J14269" s="629"/>
      <c r="K14269" s="629"/>
      <c r="L14269" s="629"/>
      <c r="M14269" s="629"/>
      <c r="N14269" s="629"/>
      <c r="O14269" s="629"/>
      <c r="P14269" s="629"/>
      <c r="Q14269" s="629"/>
      <c r="R14269" s="629"/>
    </row>
    <row r="14270" spans="1:18" ht="24">
      <c r="A14270" s="408">
        <v>490</v>
      </c>
      <c r="B14270" s="405" t="s">
        <v>25685</v>
      </c>
      <c r="C14270" s="409" t="s">
        <v>25686</v>
      </c>
      <c r="D14270" s="410">
        <v>352.79</v>
      </c>
      <c r="E14270" s="410">
        <v>251.69</v>
      </c>
      <c r="F14270" s="410">
        <v>50.19</v>
      </c>
      <c r="G14270" s="410">
        <v>50.91</v>
      </c>
      <c r="H14270" s="411">
        <v>3402.1</v>
      </c>
      <c r="I14270" s="411">
        <v>2894.5</v>
      </c>
      <c r="J14270" s="411">
        <v>265.72000000000003</v>
      </c>
      <c r="K14270" s="411">
        <v>241.88</v>
      </c>
      <c r="L14270" s="43">
        <v>9.6434139289662397</v>
      </c>
      <c r="M14270" s="43">
        <v>11.500258254201597</v>
      </c>
      <c r="N14270" s="43">
        <v>5.2942817294281737</v>
      </c>
      <c r="O14270" s="43">
        <v>4.7511294441170699</v>
      </c>
      <c r="P14270" s="412"/>
      <c r="Q14270" s="412"/>
      <c r="R14270" s="412">
        <v>2</v>
      </c>
    </row>
    <row r="14271" spans="1:18" ht="12.75" customHeight="1">
      <c r="A14271" s="628" t="s">
        <v>25687</v>
      </c>
      <c r="B14271" s="629"/>
      <c r="C14271" s="629"/>
      <c r="D14271" s="629"/>
      <c r="E14271" s="629"/>
      <c r="F14271" s="629"/>
      <c r="G14271" s="629"/>
      <c r="H14271" s="629"/>
      <c r="I14271" s="629"/>
      <c r="J14271" s="629"/>
      <c r="K14271" s="629"/>
      <c r="L14271" s="629"/>
      <c r="M14271" s="629"/>
      <c r="N14271" s="629"/>
      <c r="O14271" s="629"/>
      <c r="P14271" s="629"/>
      <c r="Q14271" s="629"/>
      <c r="R14271" s="629"/>
    </row>
    <row r="14272" spans="1:18" ht="24">
      <c r="A14272" s="408">
        <v>491</v>
      </c>
      <c r="B14272" s="405" t="s">
        <v>25688</v>
      </c>
      <c r="C14272" s="409" t="s">
        <v>25689</v>
      </c>
      <c r="D14272" s="410">
        <v>4113.6000000000004</v>
      </c>
      <c r="E14272" s="410">
        <v>3338.72</v>
      </c>
      <c r="F14272" s="410">
        <v>337.61</v>
      </c>
      <c r="G14272" s="410">
        <v>437.27</v>
      </c>
      <c r="H14272" s="411">
        <v>42699.55</v>
      </c>
      <c r="I14272" s="411">
        <v>38395.279999999999</v>
      </c>
      <c r="J14272" s="411">
        <v>1815.91</v>
      </c>
      <c r="K14272" s="411">
        <v>2488.36</v>
      </c>
      <c r="L14272" s="43">
        <v>10.380092862699339</v>
      </c>
      <c r="M14272" s="43">
        <v>11.5</v>
      </c>
      <c r="N14272" s="43">
        <v>5.3787210094487721</v>
      </c>
      <c r="O14272" s="43">
        <v>5.6906716673908573</v>
      </c>
      <c r="P14272" s="412"/>
      <c r="Q14272" s="412"/>
      <c r="R14272" s="412">
        <v>3</v>
      </c>
    </row>
    <row r="14273" spans="1:18" ht="24">
      <c r="A14273" s="413">
        <v>492</v>
      </c>
      <c r="B14273" s="414" t="s">
        <v>25690</v>
      </c>
      <c r="C14273" s="415" t="s">
        <v>25691</v>
      </c>
      <c r="D14273" s="416">
        <v>11057.07</v>
      </c>
      <c r="E14273" s="416">
        <v>7783.12</v>
      </c>
      <c r="F14273" s="416">
        <v>1604.49</v>
      </c>
      <c r="G14273" s="416">
        <v>1669.46</v>
      </c>
      <c r="H14273" s="417">
        <v>108274.29</v>
      </c>
      <c r="I14273" s="417">
        <v>89505.88</v>
      </c>
      <c r="J14273" s="417">
        <v>8799.7199999999993</v>
      </c>
      <c r="K14273" s="417">
        <v>9968.69</v>
      </c>
      <c r="L14273" s="611">
        <v>9.7923129726048579</v>
      </c>
      <c r="M14273" s="611">
        <v>11.5</v>
      </c>
      <c r="N14273" s="611">
        <v>5.4844343062281471</v>
      </c>
      <c r="O14273" s="611">
        <v>5.9712062583110708</v>
      </c>
      <c r="P14273" s="418"/>
      <c r="Q14273" s="418"/>
      <c r="R14273" s="418">
        <v>3</v>
      </c>
    </row>
    <row r="14274" spans="1:18" ht="12.75" customHeight="1">
      <c r="A14274" s="630" t="s">
        <v>25692</v>
      </c>
      <c r="B14274" s="631"/>
      <c r="C14274" s="631"/>
      <c r="D14274" s="631"/>
      <c r="E14274" s="631"/>
      <c r="F14274" s="631"/>
      <c r="G14274" s="631"/>
      <c r="H14274" s="631"/>
      <c r="I14274" s="631"/>
      <c r="J14274" s="631"/>
      <c r="K14274" s="631"/>
      <c r="L14274" s="631"/>
      <c r="M14274" s="631"/>
      <c r="N14274" s="631"/>
      <c r="O14274" s="631"/>
      <c r="P14274" s="631"/>
      <c r="Q14274" s="631"/>
      <c r="R14274" s="631"/>
    </row>
    <row r="14275" spans="1:18" ht="12.75" customHeight="1">
      <c r="A14275" s="628" t="s">
        <v>25693</v>
      </c>
      <c r="B14275" s="629"/>
      <c r="C14275" s="629"/>
      <c r="D14275" s="629"/>
      <c r="E14275" s="629"/>
      <c r="F14275" s="629"/>
      <c r="G14275" s="629"/>
      <c r="H14275" s="629"/>
      <c r="I14275" s="629"/>
      <c r="J14275" s="629"/>
      <c r="K14275" s="629"/>
      <c r="L14275" s="629"/>
      <c r="M14275" s="629"/>
      <c r="N14275" s="629"/>
      <c r="O14275" s="629"/>
      <c r="P14275" s="629"/>
      <c r="Q14275" s="629"/>
      <c r="R14275" s="629"/>
    </row>
    <row r="14276" spans="1:18" ht="12.75" customHeight="1">
      <c r="A14276" s="628" t="s">
        <v>25694</v>
      </c>
      <c r="B14276" s="629"/>
      <c r="C14276" s="629"/>
      <c r="D14276" s="629"/>
      <c r="E14276" s="629"/>
      <c r="F14276" s="629"/>
      <c r="G14276" s="629"/>
      <c r="H14276" s="629"/>
      <c r="I14276" s="629"/>
      <c r="J14276" s="629"/>
      <c r="K14276" s="629"/>
      <c r="L14276" s="629"/>
      <c r="M14276" s="629"/>
      <c r="N14276" s="629"/>
      <c r="O14276" s="629"/>
      <c r="P14276" s="629"/>
      <c r="Q14276" s="629"/>
      <c r="R14276" s="629"/>
    </row>
    <row r="14277" spans="1:18" ht="24">
      <c r="A14277" s="408">
        <v>493</v>
      </c>
      <c r="B14277" s="405" t="s">
        <v>25695</v>
      </c>
      <c r="C14277" s="409" t="s">
        <v>25696</v>
      </c>
      <c r="D14277" s="410">
        <v>1446.38</v>
      </c>
      <c r="E14277" s="410">
        <v>897.99</v>
      </c>
      <c r="F14277" s="410">
        <v>355.01</v>
      </c>
      <c r="G14277" s="410">
        <v>193.38</v>
      </c>
      <c r="H14277" s="411">
        <v>13123.21</v>
      </c>
      <c r="I14277" s="411">
        <v>10326.89</v>
      </c>
      <c r="J14277" s="411">
        <v>1852.04</v>
      </c>
      <c r="K14277" s="411">
        <v>944.28</v>
      </c>
      <c r="L14277" s="43">
        <v>9.0731412215323761</v>
      </c>
      <c r="M14277" s="43">
        <v>11.500005567990733</v>
      </c>
      <c r="N14277" s="43">
        <v>5.216867130503366</v>
      </c>
      <c r="O14277" s="43">
        <v>4.8830282345640708</v>
      </c>
      <c r="P14277" s="412"/>
      <c r="Q14277" s="412"/>
      <c r="R14277" s="412">
        <v>1</v>
      </c>
    </row>
    <row r="14278" spans="1:18" ht="24">
      <c r="A14278" s="408">
        <v>494</v>
      </c>
      <c r="B14278" s="405" t="s">
        <v>25697</v>
      </c>
      <c r="C14278" s="409" t="s">
        <v>25698</v>
      </c>
      <c r="D14278" s="410">
        <v>1469.54</v>
      </c>
      <c r="E14278" s="410">
        <v>759.64</v>
      </c>
      <c r="F14278" s="410">
        <v>473.79</v>
      </c>
      <c r="G14278" s="410">
        <v>236.11</v>
      </c>
      <c r="H14278" s="411">
        <v>12295.03</v>
      </c>
      <c r="I14278" s="411">
        <v>8735.91</v>
      </c>
      <c r="J14278" s="411">
        <v>2466</v>
      </c>
      <c r="K14278" s="411">
        <v>1093.1199999999999</v>
      </c>
      <c r="L14278" s="43">
        <v>8.3665841011472981</v>
      </c>
      <c r="M14278" s="43">
        <v>11.500065820651887</v>
      </c>
      <c r="N14278" s="43">
        <v>5.204837586272399</v>
      </c>
      <c r="O14278" s="43">
        <v>4.6297064927364353</v>
      </c>
      <c r="P14278" s="412"/>
      <c r="Q14278" s="412"/>
      <c r="R14278" s="412">
        <v>1</v>
      </c>
    </row>
    <row r="14279" spans="1:18" ht="24">
      <c r="A14279" s="408">
        <v>495</v>
      </c>
      <c r="B14279" s="405" t="s">
        <v>25699</v>
      </c>
      <c r="C14279" s="409" t="s">
        <v>25700</v>
      </c>
      <c r="D14279" s="410">
        <v>337.42</v>
      </c>
      <c r="E14279" s="410">
        <v>223.63</v>
      </c>
      <c r="F14279" s="410">
        <v>50.46</v>
      </c>
      <c r="G14279" s="410">
        <v>63.33</v>
      </c>
      <c r="H14279" s="411">
        <v>3121.22</v>
      </c>
      <c r="I14279" s="411">
        <v>2571.85</v>
      </c>
      <c r="J14279" s="411">
        <v>272.93</v>
      </c>
      <c r="K14279" s="411">
        <v>276.44</v>
      </c>
      <c r="L14279" s="43">
        <v>9.2502519115642219</v>
      </c>
      <c r="M14279" s="43">
        <v>11.500469525555605</v>
      </c>
      <c r="N14279" s="43">
        <v>5.4088386841062226</v>
      </c>
      <c r="O14279" s="43">
        <v>4.365071845886626</v>
      </c>
      <c r="P14279" s="412"/>
      <c r="Q14279" s="412"/>
      <c r="R14279" s="412">
        <v>1</v>
      </c>
    </row>
    <row r="14280" spans="1:18" ht="12.75" customHeight="1">
      <c r="A14280" s="628" t="s">
        <v>25701</v>
      </c>
      <c r="B14280" s="629"/>
      <c r="C14280" s="629"/>
      <c r="D14280" s="629"/>
      <c r="E14280" s="629"/>
      <c r="F14280" s="629"/>
      <c r="G14280" s="629"/>
      <c r="H14280" s="629"/>
      <c r="I14280" s="629"/>
      <c r="J14280" s="629"/>
      <c r="K14280" s="629"/>
      <c r="L14280" s="629"/>
      <c r="M14280" s="629"/>
      <c r="N14280" s="629"/>
      <c r="O14280" s="629"/>
      <c r="P14280" s="629"/>
      <c r="Q14280" s="629"/>
      <c r="R14280" s="629"/>
    </row>
    <row r="14281" spans="1:18" ht="24">
      <c r="A14281" s="408">
        <v>496</v>
      </c>
      <c r="B14281" s="405" t="s">
        <v>25702</v>
      </c>
      <c r="C14281" s="409" t="s">
        <v>25703</v>
      </c>
      <c r="D14281" s="410">
        <v>12633.94</v>
      </c>
      <c r="E14281" s="410">
        <v>6228.2</v>
      </c>
      <c r="F14281" s="410">
        <v>4641.12</v>
      </c>
      <c r="G14281" s="410">
        <v>1764.62</v>
      </c>
      <c r="H14281" s="411">
        <v>104083.37</v>
      </c>
      <c r="I14281" s="411">
        <v>71627.28</v>
      </c>
      <c r="J14281" s="411">
        <v>24937.439999999999</v>
      </c>
      <c r="K14281" s="411">
        <v>7518.65</v>
      </c>
      <c r="L14281" s="43">
        <v>8.2383935652694245</v>
      </c>
      <c r="M14281" s="43">
        <v>11.500478468899521</v>
      </c>
      <c r="N14281" s="43">
        <v>5.3731513083048918</v>
      </c>
      <c r="O14281" s="43">
        <v>4.2607756910836327</v>
      </c>
      <c r="P14281" s="412"/>
      <c r="Q14281" s="412"/>
      <c r="R14281" s="412">
        <v>2</v>
      </c>
    </row>
    <row r="14282" spans="1:18" ht="24">
      <c r="A14282" s="408">
        <v>497</v>
      </c>
      <c r="B14282" s="405" t="s">
        <v>25704</v>
      </c>
      <c r="C14282" s="409" t="s">
        <v>25705</v>
      </c>
      <c r="D14282" s="410">
        <v>9278.26</v>
      </c>
      <c r="E14282" s="410">
        <v>4483.05</v>
      </c>
      <c r="F14282" s="410">
        <v>3472.6</v>
      </c>
      <c r="G14282" s="410">
        <v>1322.61</v>
      </c>
      <c r="H14282" s="411">
        <v>75995.16</v>
      </c>
      <c r="I14282" s="411">
        <v>51557.22</v>
      </c>
      <c r="J14282" s="411">
        <v>18640.259999999998</v>
      </c>
      <c r="K14282" s="411">
        <v>5797.68</v>
      </c>
      <c r="L14282" s="43">
        <v>8.1906693711967549</v>
      </c>
      <c r="M14282" s="43">
        <v>11.500478468899521</v>
      </c>
      <c r="N14282" s="43">
        <v>5.367810862178195</v>
      </c>
      <c r="O14282" s="43">
        <v>4.3835144146800653</v>
      </c>
      <c r="P14282" s="412"/>
      <c r="Q14282" s="412"/>
      <c r="R14282" s="412">
        <v>2</v>
      </c>
    </row>
    <row r="14283" spans="1:18" ht="24">
      <c r="A14283" s="408">
        <v>498</v>
      </c>
      <c r="B14283" s="405" t="s">
        <v>25706</v>
      </c>
      <c r="C14283" s="409" t="s">
        <v>25707</v>
      </c>
      <c r="D14283" s="410">
        <v>4809.8599999999997</v>
      </c>
      <c r="E14283" s="410">
        <v>1943.7</v>
      </c>
      <c r="F14283" s="410">
        <v>2008.86</v>
      </c>
      <c r="G14283" s="410">
        <v>857.3</v>
      </c>
      <c r="H14283" s="411">
        <v>36842.910000000003</v>
      </c>
      <c r="I14283" s="411">
        <v>22353.48</v>
      </c>
      <c r="J14283" s="411">
        <v>10549.43</v>
      </c>
      <c r="K14283" s="411">
        <v>3940</v>
      </c>
      <c r="L14283" s="43">
        <v>7.6598715970943037</v>
      </c>
      <c r="M14283" s="43">
        <v>11.500478468899521</v>
      </c>
      <c r="N14283" s="43">
        <v>5.2514510717521388</v>
      </c>
      <c r="O14283" s="43">
        <v>4.5958240989151991</v>
      </c>
      <c r="P14283" s="412"/>
      <c r="Q14283" s="412"/>
      <c r="R14283" s="412">
        <v>2</v>
      </c>
    </row>
    <row r="14284" spans="1:18" ht="12.75" customHeight="1">
      <c r="A14284" s="628" t="s">
        <v>25708</v>
      </c>
      <c r="B14284" s="629"/>
      <c r="C14284" s="629"/>
      <c r="D14284" s="629"/>
      <c r="E14284" s="629"/>
      <c r="F14284" s="629"/>
      <c r="G14284" s="629"/>
      <c r="H14284" s="629"/>
      <c r="I14284" s="629"/>
      <c r="J14284" s="629"/>
      <c r="K14284" s="629"/>
      <c r="L14284" s="629"/>
      <c r="M14284" s="629"/>
      <c r="N14284" s="629"/>
      <c r="O14284" s="629"/>
      <c r="P14284" s="629"/>
      <c r="Q14284" s="629"/>
      <c r="R14284" s="629"/>
    </row>
    <row r="14285" spans="1:18" ht="12.75" customHeight="1">
      <c r="A14285" s="628" t="s">
        <v>25709</v>
      </c>
      <c r="B14285" s="629"/>
      <c r="C14285" s="629"/>
      <c r="D14285" s="629"/>
      <c r="E14285" s="629"/>
      <c r="F14285" s="629"/>
      <c r="G14285" s="629"/>
      <c r="H14285" s="629"/>
      <c r="I14285" s="629"/>
      <c r="J14285" s="629"/>
      <c r="K14285" s="629"/>
      <c r="L14285" s="629"/>
      <c r="M14285" s="629"/>
      <c r="N14285" s="629"/>
      <c r="O14285" s="629"/>
      <c r="P14285" s="629"/>
      <c r="Q14285" s="629"/>
      <c r="R14285" s="629"/>
    </row>
    <row r="14286" spans="1:18" ht="24">
      <c r="A14286" s="408">
        <v>499</v>
      </c>
      <c r="B14286" s="405" t="s">
        <v>25710</v>
      </c>
      <c r="C14286" s="409" t="s">
        <v>25711</v>
      </c>
      <c r="D14286" s="410">
        <v>2976.19</v>
      </c>
      <c r="E14286" s="410">
        <v>2167.1999999999998</v>
      </c>
      <c r="F14286" s="410">
        <v>445.74</v>
      </c>
      <c r="G14286" s="410">
        <v>363.25</v>
      </c>
      <c r="H14286" s="411">
        <v>29076.63</v>
      </c>
      <c r="I14286" s="411">
        <v>24922.799999999999</v>
      </c>
      <c r="J14286" s="411">
        <v>2378.34</v>
      </c>
      <c r="K14286" s="411">
        <v>1775.49</v>
      </c>
      <c r="L14286" s="43">
        <v>9.7697492431598789</v>
      </c>
      <c r="M14286" s="43">
        <v>11.5</v>
      </c>
      <c r="N14286" s="43">
        <v>5.3357114012653115</v>
      </c>
      <c r="O14286" s="43">
        <v>4.8877907777013077</v>
      </c>
      <c r="P14286" s="412"/>
      <c r="Q14286" s="412"/>
      <c r="R14286" s="412">
        <v>1</v>
      </c>
    </row>
    <row r="14287" spans="1:18" ht="12.75" customHeight="1">
      <c r="A14287" s="628" t="s">
        <v>25712</v>
      </c>
      <c r="B14287" s="629"/>
      <c r="C14287" s="629"/>
      <c r="D14287" s="629"/>
      <c r="E14287" s="629"/>
      <c r="F14287" s="629"/>
      <c r="G14287" s="629"/>
      <c r="H14287" s="629"/>
      <c r="I14287" s="629"/>
      <c r="J14287" s="629"/>
      <c r="K14287" s="629"/>
      <c r="L14287" s="629"/>
      <c r="M14287" s="629"/>
      <c r="N14287" s="629"/>
      <c r="O14287" s="629"/>
      <c r="P14287" s="629"/>
      <c r="Q14287" s="629"/>
      <c r="R14287" s="629"/>
    </row>
    <row r="14288" spans="1:18" ht="24">
      <c r="A14288" s="408">
        <v>500</v>
      </c>
      <c r="B14288" s="405" t="s">
        <v>25713</v>
      </c>
      <c r="C14288" s="409" t="s">
        <v>25714</v>
      </c>
      <c r="D14288" s="410">
        <v>3392.6</v>
      </c>
      <c r="E14288" s="410">
        <v>1831.96</v>
      </c>
      <c r="F14288" s="410">
        <v>1013.35</v>
      </c>
      <c r="G14288" s="410">
        <v>547.29</v>
      </c>
      <c r="H14288" s="411">
        <v>28972.99</v>
      </c>
      <c r="I14288" s="411">
        <v>21067.54</v>
      </c>
      <c r="J14288" s="411">
        <v>5126.99</v>
      </c>
      <c r="K14288" s="411">
        <v>2778.46</v>
      </c>
      <c r="L14288" s="43">
        <v>8.5400548252078057</v>
      </c>
      <c r="M14288" s="43">
        <v>11.5</v>
      </c>
      <c r="N14288" s="43">
        <v>5.0594463906843634</v>
      </c>
      <c r="O14288" s="43">
        <v>5.076760035812824</v>
      </c>
      <c r="P14288" s="412"/>
      <c r="Q14288" s="412"/>
      <c r="R14288" s="412">
        <v>2</v>
      </c>
    </row>
    <row r="14289" spans="1:18" ht="24">
      <c r="A14289" s="408">
        <v>501</v>
      </c>
      <c r="B14289" s="405" t="s">
        <v>25715</v>
      </c>
      <c r="C14289" s="409" t="s">
        <v>25716</v>
      </c>
      <c r="D14289" s="410">
        <v>4201.87</v>
      </c>
      <c r="E14289" s="410">
        <v>2330.6</v>
      </c>
      <c r="F14289" s="410">
        <v>1070.9000000000001</v>
      </c>
      <c r="G14289" s="410">
        <v>800.37</v>
      </c>
      <c r="H14289" s="411">
        <v>35887.949999999997</v>
      </c>
      <c r="I14289" s="411">
        <v>26801.9</v>
      </c>
      <c r="J14289" s="411">
        <v>5346.26</v>
      </c>
      <c r="K14289" s="411">
        <v>3739.79</v>
      </c>
      <c r="L14289" s="43">
        <v>8.5409472449171435</v>
      </c>
      <c r="M14289" s="43">
        <v>11.500000000000002</v>
      </c>
      <c r="N14289" s="43">
        <v>4.9923055373984493</v>
      </c>
      <c r="O14289" s="43">
        <v>4.672576433399553</v>
      </c>
      <c r="P14289" s="412"/>
      <c r="Q14289" s="412"/>
      <c r="R14289" s="412">
        <v>2</v>
      </c>
    </row>
    <row r="14290" spans="1:18" ht="24">
      <c r="A14290" s="408">
        <v>502</v>
      </c>
      <c r="B14290" s="405" t="s">
        <v>25717</v>
      </c>
      <c r="C14290" s="409" t="s">
        <v>25718</v>
      </c>
      <c r="D14290" s="410">
        <v>11842.39</v>
      </c>
      <c r="E14290" s="410">
        <v>5552.56</v>
      </c>
      <c r="F14290" s="410">
        <v>4012.06</v>
      </c>
      <c r="G14290" s="410">
        <v>2277.77</v>
      </c>
      <c r="H14290" s="411">
        <v>95809.94</v>
      </c>
      <c r="I14290" s="411">
        <v>63854.44</v>
      </c>
      <c r="J14290" s="411">
        <v>20720.990000000002</v>
      </c>
      <c r="K14290" s="411">
        <v>11234.51</v>
      </c>
      <c r="L14290" s="43">
        <v>8.0904226258381975</v>
      </c>
      <c r="M14290" s="43">
        <v>11.5</v>
      </c>
      <c r="N14290" s="43">
        <v>5.1646760018544091</v>
      </c>
      <c r="O14290" s="43">
        <v>4.9322407442366876</v>
      </c>
      <c r="P14290" s="412"/>
      <c r="Q14290" s="412"/>
      <c r="R14290" s="412">
        <v>2</v>
      </c>
    </row>
    <row r="14291" spans="1:18" ht="24">
      <c r="A14291" s="408">
        <v>503</v>
      </c>
      <c r="B14291" s="405" t="s">
        <v>25719</v>
      </c>
      <c r="C14291" s="409" t="s">
        <v>25720</v>
      </c>
      <c r="D14291" s="410">
        <v>2867.58</v>
      </c>
      <c r="E14291" s="410">
        <v>1349.31</v>
      </c>
      <c r="F14291" s="410">
        <v>1001.95</v>
      </c>
      <c r="G14291" s="410">
        <v>516.32000000000005</v>
      </c>
      <c r="H14291" s="411">
        <v>23234.15</v>
      </c>
      <c r="I14291" s="411">
        <v>15517.68</v>
      </c>
      <c r="J14291" s="411">
        <v>5277.84</v>
      </c>
      <c r="K14291" s="411">
        <v>2438.63</v>
      </c>
      <c r="L14291" s="43">
        <v>8.1023545986511287</v>
      </c>
      <c r="M14291" s="43">
        <v>11.500455788514131</v>
      </c>
      <c r="N14291" s="43">
        <v>5.2675682419282399</v>
      </c>
      <c r="O14291" s="43">
        <v>4.7230980787108772</v>
      </c>
      <c r="P14291" s="412"/>
      <c r="Q14291" s="412"/>
      <c r="R14291" s="412">
        <v>2</v>
      </c>
    </row>
    <row r="14292" spans="1:18" ht="24">
      <c r="A14292" s="408">
        <v>504</v>
      </c>
      <c r="B14292" s="405" t="s">
        <v>25721</v>
      </c>
      <c r="C14292" s="409" t="s">
        <v>25722</v>
      </c>
      <c r="D14292" s="410">
        <v>7691.73</v>
      </c>
      <c r="E14292" s="410">
        <v>3424.02</v>
      </c>
      <c r="F14292" s="410">
        <v>2679.44</v>
      </c>
      <c r="G14292" s="410">
        <v>1588.27</v>
      </c>
      <c r="H14292" s="411">
        <v>60201.53</v>
      </c>
      <c r="I14292" s="411">
        <v>39377.72</v>
      </c>
      <c r="J14292" s="411">
        <v>13746.79</v>
      </c>
      <c r="K14292" s="411">
        <v>7077.02</v>
      </c>
      <c r="L14292" s="43">
        <v>7.8267866916805451</v>
      </c>
      <c r="M14292" s="43">
        <v>11.500435161009573</v>
      </c>
      <c r="N14292" s="43">
        <v>5.1304712925088829</v>
      </c>
      <c r="O14292" s="43">
        <v>4.4558041139101041</v>
      </c>
      <c r="P14292" s="412"/>
      <c r="Q14292" s="412"/>
      <c r="R14292" s="412">
        <v>2</v>
      </c>
    </row>
    <row r="14293" spans="1:18" ht="24">
      <c r="A14293" s="408">
        <v>505</v>
      </c>
      <c r="B14293" s="405" t="s">
        <v>25723</v>
      </c>
      <c r="C14293" s="409" t="s">
        <v>25724</v>
      </c>
      <c r="D14293" s="410">
        <v>8382.33</v>
      </c>
      <c r="E14293" s="410">
        <v>3757.23</v>
      </c>
      <c r="F14293" s="410">
        <v>3090.68</v>
      </c>
      <c r="G14293" s="410">
        <v>1534.42</v>
      </c>
      <c r="H14293" s="411">
        <v>66167.8</v>
      </c>
      <c r="I14293" s="411">
        <v>43209.78</v>
      </c>
      <c r="J14293" s="411">
        <v>15917.64</v>
      </c>
      <c r="K14293" s="411">
        <v>7040.38</v>
      </c>
      <c r="L14293" s="43">
        <v>7.8937240600167264</v>
      </c>
      <c r="M14293" s="43">
        <v>11.500435161009573</v>
      </c>
      <c r="N14293" s="43">
        <v>5.1502064270645942</v>
      </c>
      <c r="O14293" s="43">
        <v>4.5883004653224022</v>
      </c>
      <c r="P14293" s="412"/>
      <c r="Q14293" s="412"/>
      <c r="R14293" s="412">
        <v>2</v>
      </c>
    </row>
    <row r="14294" spans="1:18" ht="24">
      <c r="A14294" s="408">
        <v>506</v>
      </c>
      <c r="B14294" s="405" t="s">
        <v>25725</v>
      </c>
      <c r="C14294" s="409" t="s">
        <v>25726</v>
      </c>
      <c r="D14294" s="410">
        <v>2159.15</v>
      </c>
      <c r="E14294" s="410">
        <v>1210.23</v>
      </c>
      <c r="F14294" s="410">
        <v>645.25</v>
      </c>
      <c r="G14294" s="410">
        <v>303.67</v>
      </c>
      <c r="H14294" s="411">
        <v>18714.72</v>
      </c>
      <c r="I14294" s="411">
        <v>13918.21</v>
      </c>
      <c r="J14294" s="411">
        <v>3381.03</v>
      </c>
      <c r="K14294" s="411">
        <v>1415.48</v>
      </c>
      <c r="L14294" s="43">
        <v>8.6676330963573633</v>
      </c>
      <c r="M14294" s="43">
        <v>11.500466853408028</v>
      </c>
      <c r="N14294" s="43">
        <v>5.2398760170476564</v>
      </c>
      <c r="O14294" s="43">
        <v>4.6612441136760294</v>
      </c>
      <c r="P14294" s="412"/>
      <c r="Q14294" s="412"/>
      <c r="R14294" s="412">
        <v>2</v>
      </c>
    </row>
    <row r="14295" spans="1:18" ht="12.75" customHeight="1">
      <c r="A14295" s="628" t="s">
        <v>25727</v>
      </c>
      <c r="B14295" s="629"/>
      <c r="C14295" s="629"/>
      <c r="D14295" s="629"/>
      <c r="E14295" s="629"/>
      <c r="F14295" s="629"/>
      <c r="G14295" s="629"/>
      <c r="H14295" s="629"/>
      <c r="I14295" s="629"/>
      <c r="J14295" s="629"/>
      <c r="K14295" s="629"/>
      <c r="L14295" s="629"/>
      <c r="M14295" s="629"/>
      <c r="N14295" s="629"/>
      <c r="O14295" s="629"/>
      <c r="P14295" s="629"/>
      <c r="Q14295" s="629"/>
      <c r="R14295" s="629"/>
    </row>
    <row r="14296" spans="1:18" ht="12.75" customHeight="1">
      <c r="A14296" s="628" t="s">
        <v>25728</v>
      </c>
      <c r="B14296" s="629"/>
      <c r="C14296" s="629"/>
      <c r="D14296" s="629"/>
      <c r="E14296" s="629"/>
      <c r="F14296" s="629"/>
      <c r="G14296" s="629"/>
      <c r="H14296" s="629"/>
      <c r="I14296" s="629"/>
      <c r="J14296" s="629"/>
      <c r="K14296" s="629"/>
      <c r="L14296" s="629"/>
      <c r="M14296" s="629"/>
      <c r="N14296" s="629"/>
      <c r="O14296" s="629"/>
      <c r="P14296" s="629"/>
      <c r="Q14296" s="629"/>
      <c r="R14296" s="629"/>
    </row>
    <row r="14297" spans="1:18" ht="36">
      <c r="A14297" s="408">
        <v>507</v>
      </c>
      <c r="B14297" s="405" t="s">
        <v>25729</v>
      </c>
      <c r="C14297" s="409" t="s">
        <v>25730</v>
      </c>
      <c r="D14297" s="410">
        <v>7949.18</v>
      </c>
      <c r="E14297" s="410">
        <v>4166.1899999999996</v>
      </c>
      <c r="F14297" s="410">
        <v>3285.08</v>
      </c>
      <c r="G14297" s="410">
        <v>497.91</v>
      </c>
      <c r="H14297" s="411">
        <v>68378.34</v>
      </c>
      <c r="I14297" s="411">
        <v>47913.13</v>
      </c>
      <c r="J14297" s="411">
        <v>17589.88</v>
      </c>
      <c r="K14297" s="411">
        <v>2875.33</v>
      </c>
      <c r="L14297" s="43">
        <v>8.6019363003479601</v>
      </c>
      <c r="M14297" s="43">
        <v>11.50046685340803</v>
      </c>
      <c r="N14297" s="43">
        <v>5.3544753856831493</v>
      </c>
      <c r="O14297" s="43">
        <v>5.7747986583920783</v>
      </c>
      <c r="P14297" s="412"/>
      <c r="Q14297" s="412"/>
      <c r="R14297" s="412">
        <v>1</v>
      </c>
    </row>
    <row r="14298" spans="1:18" ht="24">
      <c r="A14298" s="408">
        <v>508</v>
      </c>
      <c r="B14298" s="405" t="s">
        <v>25731</v>
      </c>
      <c r="C14298" s="409" t="s">
        <v>25732</v>
      </c>
      <c r="D14298" s="410">
        <v>2133.7800000000002</v>
      </c>
      <c r="E14298" s="410">
        <v>665.48</v>
      </c>
      <c r="F14298" s="410">
        <v>453.29</v>
      </c>
      <c r="G14298" s="410">
        <v>1015.01</v>
      </c>
      <c r="H14298" s="411">
        <v>14183.67</v>
      </c>
      <c r="I14298" s="411">
        <v>7653.04</v>
      </c>
      <c r="J14298" s="411">
        <v>2420.09</v>
      </c>
      <c r="K14298" s="411">
        <v>4110.54</v>
      </c>
      <c r="L14298" s="43">
        <v>6.6472035542558272</v>
      </c>
      <c r="M14298" s="43">
        <v>11.500030053495221</v>
      </c>
      <c r="N14298" s="43">
        <v>5.3389441637803614</v>
      </c>
      <c r="O14298" s="43">
        <v>4.0497532044019273</v>
      </c>
      <c r="P14298" s="412"/>
      <c r="Q14298" s="412"/>
      <c r="R14298" s="412">
        <v>1</v>
      </c>
    </row>
    <row r="14299" spans="1:18" ht="12.75" customHeight="1">
      <c r="A14299" s="628" t="s">
        <v>25733</v>
      </c>
      <c r="B14299" s="629"/>
      <c r="C14299" s="629"/>
      <c r="D14299" s="629"/>
      <c r="E14299" s="629"/>
      <c r="F14299" s="629"/>
      <c r="G14299" s="629"/>
      <c r="H14299" s="629"/>
      <c r="I14299" s="629"/>
      <c r="J14299" s="629"/>
      <c r="K14299" s="629"/>
      <c r="L14299" s="629"/>
      <c r="M14299" s="629"/>
      <c r="N14299" s="629"/>
      <c r="O14299" s="629"/>
      <c r="P14299" s="629"/>
      <c r="Q14299" s="629"/>
      <c r="R14299" s="629"/>
    </row>
    <row r="14300" spans="1:18" ht="24">
      <c r="A14300" s="408">
        <v>509</v>
      </c>
      <c r="B14300" s="405" t="s">
        <v>25734</v>
      </c>
      <c r="C14300" s="409" t="s">
        <v>25735</v>
      </c>
      <c r="D14300" s="410">
        <v>859.71</v>
      </c>
      <c r="E14300" s="410">
        <v>625.46</v>
      </c>
      <c r="F14300" s="410">
        <v>137.36000000000001</v>
      </c>
      <c r="G14300" s="410">
        <v>96.89</v>
      </c>
      <c r="H14300" s="411">
        <v>8418.19</v>
      </c>
      <c r="I14300" s="411">
        <v>7193.13</v>
      </c>
      <c r="J14300" s="411">
        <v>726.71</v>
      </c>
      <c r="K14300" s="411">
        <v>498.35</v>
      </c>
      <c r="L14300" s="43">
        <v>9.7918949413174214</v>
      </c>
      <c r="M14300" s="43">
        <v>11.500543599910465</v>
      </c>
      <c r="N14300" s="43">
        <v>5.2905503785672678</v>
      </c>
      <c r="O14300" s="43">
        <v>5.1434616575497989</v>
      </c>
      <c r="P14300" s="412"/>
      <c r="Q14300" s="412"/>
      <c r="R14300" s="412">
        <v>2</v>
      </c>
    </row>
    <row r="14301" spans="1:18" ht="24">
      <c r="A14301" s="408">
        <v>510</v>
      </c>
      <c r="B14301" s="405" t="s">
        <v>25736</v>
      </c>
      <c r="C14301" s="409" t="s">
        <v>25737</v>
      </c>
      <c r="D14301" s="410">
        <v>5000.01</v>
      </c>
      <c r="E14301" s="410">
        <v>2790.15</v>
      </c>
      <c r="F14301" s="410">
        <v>1582.62</v>
      </c>
      <c r="G14301" s="410">
        <v>627.24</v>
      </c>
      <c r="H14301" s="411">
        <v>43500.93</v>
      </c>
      <c r="I14301" s="411">
        <v>32088.06</v>
      </c>
      <c r="J14301" s="411">
        <v>8529.09</v>
      </c>
      <c r="K14301" s="411">
        <v>2883.78</v>
      </c>
      <c r="L14301" s="43">
        <v>8.7001685996628009</v>
      </c>
      <c r="M14301" s="43">
        <v>11.500478468899521</v>
      </c>
      <c r="N14301" s="43">
        <v>5.3892216703946625</v>
      </c>
      <c r="O14301" s="43">
        <v>4.5975703080160706</v>
      </c>
      <c r="P14301" s="412"/>
      <c r="Q14301" s="412"/>
      <c r="R14301" s="412">
        <v>2</v>
      </c>
    </row>
    <row r="14302" spans="1:18" ht="24">
      <c r="A14302" s="408">
        <v>511</v>
      </c>
      <c r="B14302" s="405" t="s">
        <v>25738</v>
      </c>
      <c r="C14302" s="409" t="s">
        <v>25739</v>
      </c>
      <c r="D14302" s="410">
        <v>4478.0200000000004</v>
      </c>
      <c r="E14302" s="410">
        <v>2253.54</v>
      </c>
      <c r="F14302" s="410">
        <v>1525.56</v>
      </c>
      <c r="G14302" s="410">
        <v>698.92</v>
      </c>
      <c r="H14302" s="411">
        <v>37201.040000000001</v>
      </c>
      <c r="I14302" s="411">
        <v>25915.71</v>
      </c>
      <c r="J14302" s="411">
        <v>8107.55</v>
      </c>
      <c r="K14302" s="411">
        <v>3177.78</v>
      </c>
      <c r="L14302" s="43">
        <v>8.3074751787620418</v>
      </c>
      <c r="M14302" s="43">
        <v>11.5</v>
      </c>
      <c r="N14302" s="43">
        <v>5.3144746847059441</v>
      </c>
      <c r="O14302" s="43">
        <v>4.5467006238196079</v>
      </c>
      <c r="P14302" s="412"/>
      <c r="Q14302" s="412"/>
      <c r="R14302" s="412">
        <v>2</v>
      </c>
    </row>
    <row r="14303" spans="1:18" ht="12.75" customHeight="1">
      <c r="A14303" s="628" t="s">
        <v>25740</v>
      </c>
      <c r="B14303" s="629"/>
      <c r="C14303" s="629"/>
      <c r="D14303" s="629"/>
      <c r="E14303" s="629"/>
      <c r="F14303" s="629"/>
      <c r="G14303" s="629"/>
      <c r="H14303" s="629"/>
      <c r="I14303" s="629"/>
      <c r="J14303" s="629"/>
      <c r="K14303" s="629"/>
      <c r="L14303" s="629"/>
      <c r="M14303" s="629"/>
      <c r="N14303" s="629"/>
      <c r="O14303" s="629"/>
      <c r="P14303" s="629"/>
      <c r="Q14303" s="629"/>
      <c r="R14303" s="629"/>
    </row>
    <row r="14304" spans="1:18" ht="12.75" customHeight="1">
      <c r="A14304" s="628" t="s">
        <v>22657</v>
      </c>
      <c r="B14304" s="629"/>
      <c r="C14304" s="629"/>
      <c r="D14304" s="629"/>
      <c r="E14304" s="629"/>
      <c r="F14304" s="629"/>
      <c r="G14304" s="629"/>
      <c r="H14304" s="629"/>
      <c r="I14304" s="629"/>
      <c r="J14304" s="629"/>
      <c r="K14304" s="629"/>
      <c r="L14304" s="629"/>
      <c r="M14304" s="629"/>
      <c r="N14304" s="629"/>
      <c r="O14304" s="629"/>
      <c r="P14304" s="629"/>
      <c r="Q14304" s="629"/>
      <c r="R14304" s="629"/>
    </row>
    <row r="14305" spans="1:18" ht="24">
      <c r="A14305" s="408">
        <v>512</v>
      </c>
      <c r="B14305" s="405" t="s">
        <v>25741</v>
      </c>
      <c r="C14305" s="409" t="s">
        <v>25742</v>
      </c>
      <c r="D14305" s="410">
        <v>472.22</v>
      </c>
      <c r="E14305" s="410">
        <v>328.45</v>
      </c>
      <c r="F14305" s="410">
        <v>128.05000000000001</v>
      </c>
      <c r="G14305" s="410">
        <v>15.72</v>
      </c>
      <c r="H14305" s="411">
        <v>4586.9799999999996</v>
      </c>
      <c r="I14305" s="411">
        <v>3777.2</v>
      </c>
      <c r="J14305" s="411">
        <v>686.06</v>
      </c>
      <c r="K14305" s="411">
        <v>123.72</v>
      </c>
      <c r="L14305" s="43">
        <v>9.7136504171784317</v>
      </c>
      <c r="M14305" s="43">
        <v>11.50007611508601</v>
      </c>
      <c r="N14305" s="43">
        <v>5.3577508785630608</v>
      </c>
      <c r="O14305" s="43">
        <v>7.8702290076335872</v>
      </c>
      <c r="P14305" s="412"/>
      <c r="Q14305" s="412"/>
      <c r="R14305" s="412">
        <v>1</v>
      </c>
    </row>
    <row r="14306" spans="1:18" ht="24">
      <c r="A14306" s="408">
        <v>513</v>
      </c>
      <c r="B14306" s="405" t="s">
        <v>25743</v>
      </c>
      <c r="C14306" s="409" t="s">
        <v>25744</v>
      </c>
      <c r="D14306" s="410">
        <v>585.26</v>
      </c>
      <c r="E14306" s="410">
        <v>353.38</v>
      </c>
      <c r="F14306" s="410">
        <v>143.96</v>
      </c>
      <c r="G14306" s="410">
        <v>87.92</v>
      </c>
      <c r="H14306" s="411">
        <v>5231.01</v>
      </c>
      <c r="I14306" s="411">
        <v>4063.92</v>
      </c>
      <c r="J14306" s="411">
        <v>772.72</v>
      </c>
      <c r="K14306" s="411">
        <v>394.37</v>
      </c>
      <c r="L14306" s="43">
        <v>8.9379250247753141</v>
      </c>
      <c r="M14306" s="43">
        <v>11.500141490746506</v>
      </c>
      <c r="N14306" s="43">
        <v>5.3676021116976935</v>
      </c>
      <c r="O14306" s="43">
        <v>4.4855550500454955</v>
      </c>
      <c r="P14306" s="412"/>
      <c r="Q14306" s="412"/>
      <c r="R14306" s="412">
        <v>1</v>
      </c>
    </row>
    <row r="14307" spans="1:18" ht="24">
      <c r="A14307" s="408">
        <v>514</v>
      </c>
      <c r="B14307" s="405" t="s">
        <v>25745</v>
      </c>
      <c r="C14307" s="409" t="s">
        <v>25746</v>
      </c>
      <c r="D14307" s="410">
        <v>1479.49</v>
      </c>
      <c r="E14307" s="410">
        <v>936.58</v>
      </c>
      <c r="F14307" s="410">
        <v>349.13</v>
      </c>
      <c r="G14307" s="410">
        <v>193.78</v>
      </c>
      <c r="H14307" s="411">
        <v>13545.99</v>
      </c>
      <c r="I14307" s="411">
        <v>10770.62</v>
      </c>
      <c r="J14307" s="411">
        <v>1857.51</v>
      </c>
      <c r="K14307" s="411">
        <v>917.86</v>
      </c>
      <c r="L14307" s="43">
        <v>9.1558510027103939</v>
      </c>
      <c r="M14307" s="43">
        <v>11.499946614277478</v>
      </c>
      <c r="N14307" s="43">
        <v>5.3203964139432305</v>
      </c>
      <c r="O14307" s="43">
        <v>4.7366085251315928</v>
      </c>
      <c r="P14307" s="412"/>
      <c r="Q14307" s="412"/>
      <c r="R14307" s="412">
        <v>1</v>
      </c>
    </row>
    <row r="14308" spans="1:18" ht="24">
      <c r="A14308" s="408">
        <v>515</v>
      </c>
      <c r="B14308" s="405" t="s">
        <v>25747</v>
      </c>
      <c r="C14308" s="409" t="s">
        <v>25748</v>
      </c>
      <c r="D14308" s="410">
        <v>3463.17</v>
      </c>
      <c r="E14308" s="410">
        <v>2016.24</v>
      </c>
      <c r="F14308" s="410">
        <v>941.53</v>
      </c>
      <c r="G14308" s="410">
        <v>505.4</v>
      </c>
      <c r="H14308" s="411">
        <v>30771.05</v>
      </c>
      <c r="I14308" s="411">
        <v>23186.76</v>
      </c>
      <c r="J14308" s="411">
        <v>4891.7700000000004</v>
      </c>
      <c r="K14308" s="411">
        <v>2692.52</v>
      </c>
      <c r="L14308" s="43">
        <v>8.8852265410014528</v>
      </c>
      <c r="M14308" s="43">
        <v>11.5</v>
      </c>
      <c r="N14308" s="43">
        <v>5.1955540450118427</v>
      </c>
      <c r="O14308" s="43">
        <v>5.3275029679461818</v>
      </c>
      <c r="P14308" s="412"/>
      <c r="Q14308" s="412"/>
      <c r="R14308" s="412">
        <v>1</v>
      </c>
    </row>
    <row r="14309" spans="1:18" ht="12.75" customHeight="1">
      <c r="A14309" s="628" t="s">
        <v>3888</v>
      </c>
      <c r="B14309" s="629"/>
      <c r="C14309" s="629"/>
      <c r="D14309" s="629"/>
      <c r="E14309" s="629"/>
      <c r="F14309" s="629"/>
      <c r="G14309" s="629"/>
      <c r="H14309" s="629"/>
      <c r="I14309" s="629"/>
      <c r="J14309" s="629"/>
      <c r="K14309" s="629"/>
      <c r="L14309" s="629"/>
      <c r="M14309" s="629"/>
      <c r="N14309" s="629"/>
      <c r="O14309" s="629"/>
      <c r="P14309" s="629"/>
      <c r="Q14309" s="629"/>
      <c r="R14309" s="629"/>
    </row>
    <row r="14310" spans="1:18" ht="24">
      <c r="A14310" s="408">
        <v>516</v>
      </c>
      <c r="B14310" s="405" t="s">
        <v>25749</v>
      </c>
      <c r="C14310" s="409" t="s">
        <v>25750</v>
      </c>
      <c r="D14310" s="410">
        <v>985.57</v>
      </c>
      <c r="E14310" s="410">
        <v>578.95000000000005</v>
      </c>
      <c r="F14310" s="410">
        <v>370.73</v>
      </c>
      <c r="G14310" s="410">
        <v>35.89</v>
      </c>
      <c r="H14310" s="411">
        <v>8884.98</v>
      </c>
      <c r="I14310" s="411">
        <v>6657.95</v>
      </c>
      <c r="J14310" s="411">
        <v>1880.79</v>
      </c>
      <c r="K14310" s="411">
        <v>346.24</v>
      </c>
      <c r="L14310" s="43">
        <v>9.0150674229126277</v>
      </c>
      <c r="M14310" s="43">
        <v>11.500043181621901</v>
      </c>
      <c r="N14310" s="43">
        <v>5.0732069160844819</v>
      </c>
      <c r="O14310" s="43">
        <v>9.6472555029256064</v>
      </c>
      <c r="P14310" s="412"/>
      <c r="Q14310" s="412"/>
      <c r="R14310" s="412">
        <v>2</v>
      </c>
    </row>
    <row r="14311" spans="1:18" ht="12.75" customHeight="1">
      <c r="A14311" s="628" t="s">
        <v>25751</v>
      </c>
      <c r="B14311" s="629"/>
      <c r="C14311" s="629"/>
      <c r="D14311" s="629"/>
      <c r="E14311" s="629"/>
      <c r="F14311" s="629"/>
      <c r="G14311" s="629"/>
      <c r="H14311" s="629"/>
      <c r="I14311" s="629"/>
      <c r="J14311" s="629"/>
      <c r="K14311" s="629"/>
      <c r="L14311" s="629"/>
      <c r="M14311" s="629"/>
      <c r="N14311" s="629"/>
      <c r="O14311" s="629"/>
      <c r="P14311" s="629"/>
      <c r="Q14311" s="629"/>
      <c r="R14311" s="629"/>
    </row>
    <row r="14312" spans="1:18" ht="24">
      <c r="A14312" s="408">
        <v>517</v>
      </c>
      <c r="B14312" s="405" t="s">
        <v>25752</v>
      </c>
      <c r="C14312" s="409" t="s">
        <v>25753</v>
      </c>
      <c r="D14312" s="410">
        <v>1261.48</v>
      </c>
      <c r="E14312" s="410">
        <v>526.82000000000005</v>
      </c>
      <c r="F14312" s="410">
        <v>483.18</v>
      </c>
      <c r="G14312" s="410">
        <v>251.48</v>
      </c>
      <c r="H14312" s="411">
        <v>9771.4</v>
      </c>
      <c r="I14312" s="411">
        <v>6058.72</v>
      </c>
      <c r="J14312" s="411">
        <v>2577.4899999999998</v>
      </c>
      <c r="K14312" s="411">
        <v>1135.19</v>
      </c>
      <c r="L14312" s="43">
        <v>7.7459809113105234</v>
      </c>
      <c r="M14312" s="43">
        <v>11.500550472647204</v>
      </c>
      <c r="N14312" s="43">
        <v>5.3344302330394466</v>
      </c>
      <c r="O14312" s="43">
        <v>4.514036901542867</v>
      </c>
      <c r="P14312" s="412"/>
      <c r="Q14312" s="412"/>
      <c r="R14312" s="412">
        <v>3</v>
      </c>
    </row>
    <row r="14313" spans="1:18" ht="24">
      <c r="A14313" s="408">
        <v>518</v>
      </c>
      <c r="B14313" s="405" t="s">
        <v>25754</v>
      </c>
      <c r="C14313" s="409" t="s">
        <v>25755</v>
      </c>
      <c r="D14313" s="410">
        <v>1389.76</v>
      </c>
      <c r="E14313" s="410">
        <v>617.51</v>
      </c>
      <c r="F14313" s="410">
        <v>445.6</v>
      </c>
      <c r="G14313" s="410">
        <v>326.64999999999998</v>
      </c>
      <c r="H14313" s="411">
        <v>10916</v>
      </c>
      <c r="I14313" s="411">
        <v>7101.71</v>
      </c>
      <c r="J14313" s="411">
        <v>2384.5100000000002</v>
      </c>
      <c r="K14313" s="411">
        <v>1429.78</v>
      </c>
      <c r="L14313" s="43">
        <v>7.8545935988947733</v>
      </c>
      <c r="M14313" s="43">
        <v>11.500558695405743</v>
      </c>
      <c r="N14313" s="43">
        <v>5.3512342908438066</v>
      </c>
      <c r="O14313" s="43">
        <v>4.3771008724934948</v>
      </c>
      <c r="P14313" s="412"/>
      <c r="Q14313" s="412"/>
      <c r="R14313" s="412">
        <v>3</v>
      </c>
    </row>
    <row r="14314" spans="1:18" ht="24">
      <c r="A14314" s="408">
        <v>519</v>
      </c>
      <c r="B14314" s="405" t="s">
        <v>25756</v>
      </c>
      <c r="C14314" s="409" t="s">
        <v>25757</v>
      </c>
      <c r="D14314" s="410">
        <v>1875.5</v>
      </c>
      <c r="E14314" s="410">
        <v>812.14</v>
      </c>
      <c r="F14314" s="410">
        <v>584.62</v>
      </c>
      <c r="G14314" s="410">
        <v>478.74</v>
      </c>
      <c r="H14314" s="411">
        <v>14504.2</v>
      </c>
      <c r="I14314" s="411">
        <v>9340.0400000000009</v>
      </c>
      <c r="J14314" s="411">
        <v>3113.9</v>
      </c>
      <c r="K14314" s="411">
        <v>2050.2600000000002</v>
      </c>
      <c r="L14314" s="43">
        <v>7.7335110637163424</v>
      </c>
      <c r="M14314" s="43">
        <v>11.500529465363115</v>
      </c>
      <c r="N14314" s="43">
        <v>5.3263658444801756</v>
      </c>
      <c r="O14314" s="43">
        <v>4.2826168692818651</v>
      </c>
      <c r="P14314" s="412"/>
      <c r="Q14314" s="412"/>
      <c r="R14314" s="412">
        <v>3</v>
      </c>
    </row>
    <row r="14315" spans="1:18" ht="24">
      <c r="A14315" s="408">
        <v>520</v>
      </c>
      <c r="B14315" s="405" t="s">
        <v>25758</v>
      </c>
      <c r="C14315" s="409" t="s">
        <v>25759</v>
      </c>
      <c r="D14315" s="410">
        <v>3130.59</v>
      </c>
      <c r="E14315" s="410">
        <v>1396.03</v>
      </c>
      <c r="F14315" s="410">
        <v>1024</v>
      </c>
      <c r="G14315" s="410">
        <v>710.56</v>
      </c>
      <c r="H14315" s="411">
        <v>24666.61</v>
      </c>
      <c r="I14315" s="411">
        <v>16055.03</v>
      </c>
      <c r="J14315" s="411">
        <v>5520.82</v>
      </c>
      <c r="K14315" s="411">
        <v>3090.76</v>
      </c>
      <c r="L14315" s="43">
        <v>7.8792208497439775</v>
      </c>
      <c r="M14315" s="43">
        <v>11.500490677134446</v>
      </c>
      <c r="N14315" s="43">
        <v>5.3914257812499997</v>
      </c>
      <c r="O14315" s="43">
        <v>4.349752308038731</v>
      </c>
      <c r="P14315" s="412"/>
      <c r="Q14315" s="412"/>
      <c r="R14315" s="412">
        <v>3</v>
      </c>
    </row>
    <row r="14316" spans="1:18" ht="24">
      <c r="A14316" s="408">
        <v>521</v>
      </c>
      <c r="B14316" s="405" t="s">
        <v>25760</v>
      </c>
      <c r="C14316" s="409" t="s">
        <v>25761</v>
      </c>
      <c r="D14316" s="410">
        <v>4097.2299999999996</v>
      </c>
      <c r="E14316" s="410">
        <v>1711.92</v>
      </c>
      <c r="F14316" s="410">
        <v>1311.35</v>
      </c>
      <c r="G14316" s="410">
        <v>1073.96</v>
      </c>
      <c r="H14316" s="411">
        <v>31328.65</v>
      </c>
      <c r="I14316" s="411">
        <v>19687.919999999998</v>
      </c>
      <c r="J14316" s="411">
        <v>7096.13</v>
      </c>
      <c r="K14316" s="411">
        <v>4544.6000000000004</v>
      </c>
      <c r="L14316" s="43">
        <v>7.6463000612609022</v>
      </c>
      <c r="M14316" s="43">
        <v>11.500490677134444</v>
      </c>
      <c r="N14316" s="43">
        <v>5.4113165821481681</v>
      </c>
      <c r="O14316" s="43">
        <v>4.2316287385005031</v>
      </c>
      <c r="P14316" s="412"/>
      <c r="Q14316" s="412"/>
      <c r="R14316" s="412">
        <v>3</v>
      </c>
    </row>
    <row r="14317" spans="1:18" ht="24">
      <c r="A14317" s="408">
        <v>522</v>
      </c>
      <c r="B14317" s="405" t="s">
        <v>25762</v>
      </c>
      <c r="C14317" s="409" t="s">
        <v>25763</v>
      </c>
      <c r="D14317" s="410">
        <v>978.52</v>
      </c>
      <c r="E14317" s="410">
        <v>457.53</v>
      </c>
      <c r="F14317" s="410">
        <v>294.58999999999997</v>
      </c>
      <c r="G14317" s="410">
        <v>226.4</v>
      </c>
      <c r="H14317" s="411">
        <v>7884.05</v>
      </c>
      <c r="I14317" s="411">
        <v>5261.83</v>
      </c>
      <c r="J14317" s="411">
        <v>1582.37</v>
      </c>
      <c r="K14317" s="411">
        <v>1039.8499999999999</v>
      </c>
      <c r="L14317" s="43">
        <v>8.057116870375669</v>
      </c>
      <c r="M14317" s="43">
        <v>11.500513627521693</v>
      </c>
      <c r="N14317" s="43">
        <v>5.3714314810414479</v>
      </c>
      <c r="O14317" s="43">
        <v>4.5929770318021195</v>
      </c>
      <c r="P14317" s="412"/>
      <c r="Q14317" s="412"/>
      <c r="R14317" s="412">
        <v>3</v>
      </c>
    </row>
    <row r="14318" spans="1:18" ht="24">
      <c r="A14318" s="408">
        <v>523</v>
      </c>
      <c r="B14318" s="405" t="s">
        <v>25764</v>
      </c>
      <c r="C14318" s="409" t="s">
        <v>25765</v>
      </c>
      <c r="D14318" s="410">
        <v>1721.35</v>
      </c>
      <c r="E14318" s="410">
        <v>800.93</v>
      </c>
      <c r="F14318" s="410">
        <v>490.65</v>
      </c>
      <c r="G14318" s="410">
        <v>429.77</v>
      </c>
      <c r="H14318" s="411">
        <v>13862.41</v>
      </c>
      <c r="I14318" s="411">
        <v>9211.1299999999992</v>
      </c>
      <c r="J14318" s="411">
        <v>2620.73</v>
      </c>
      <c r="K14318" s="411">
        <v>2030.55</v>
      </c>
      <c r="L14318" s="43">
        <v>8.0532198565079742</v>
      </c>
      <c r="M14318" s="43">
        <v>11.500543118624599</v>
      </c>
      <c r="N14318" s="43">
        <v>5.3413431162743299</v>
      </c>
      <c r="O14318" s="43">
        <v>4.7247364869581405</v>
      </c>
      <c r="P14318" s="412"/>
      <c r="Q14318" s="412"/>
      <c r="R14318" s="412">
        <v>3</v>
      </c>
    </row>
    <row r="14319" spans="1:18" ht="12.75" customHeight="1">
      <c r="A14319" s="628" t="s">
        <v>25766</v>
      </c>
      <c r="B14319" s="629"/>
      <c r="C14319" s="629"/>
      <c r="D14319" s="629"/>
      <c r="E14319" s="629"/>
      <c r="F14319" s="629"/>
      <c r="G14319" s="629"/>
      <c r="H14319" s="629"/>
      <c r="I14319" s="629"/>
      <c r="J14319" s="629"/>
      <c r="K14319" s="629"/>
      <c r="L14319" s="629"/>
      <c r="M14319" s="629"/>
      <c r="N14319" s="629"/>
      <c r="O14319" s="629"/>
      <c r="P14319" s="629"/>
      <c r="Q14319" s="629"/>
      <c r="R14319" s="629"/>
    </row>
    <row r="14320" spans="1:18" ht="24">
      <c r="A14320" s="408">
        <v>524</v>
      </c>
      <c r="B14320" s="405" t="s">
        <v>25767</v>
      </c>
      <c r="C14320" s="409" t="s">
        <v>25768</v>
      </c>
      <c r="D14320" s="410">
        <v>325.10000000000002</v>
      </c>
      <c r="E14320" s="410">
        <v>194.63</v>
      </c>
      <c r="F14320" s="410">
        <v>64.23</v>
      </c>
      <c r="G14320" s="410">
        <v>66.239999999999995</v>
      </c>
      <c r="H14320" s="411">
        <v>2867.61</v>
      </c>
      <c r="I14320" s="411">
        <v>2238.33</v>
      </c>
      <c r="J14320" s="411">
        <v>346.75</v>
      </c>
      <c r="K14320" s="411">
        <v>282.52999999999997</v>
      </c>
      <c r="L14320" s="43">
        <v>8.8207013226699473</v>
      </c>
      <c r="M14320" s="43">
        <v>11.500436726095669</v>
      </c>
      <c r="N14320" s="43">
        <v>5.3985676475167361</v>
      </c>
      <c r="O14320" s="43">
        <v>4.2652475845410631</v>
      </c>
      <c r="P14320" s="412"/>
      <c r="Q14320" s="412"/>
      <c r="R14320" s="412">
        <v>4</v>
      </c>
    </row>
    <row r="14321" spans="1:18" ht="24">
      <c r="A14321" s="408">
        <v>525</v>
      </c>
      <c r="B14321" s="405" t="s">
        <v>25769</v>
      </c>
      <c r="C14321" s="409" t="s">
        <v>25770</v>
      </c>
      <c r="D14321" s="410">
        <v>912.42</v>
      </c>
      <c r="E14321" s="410">
        <v>411.68</v>
      </c>
      <c r="F14321" s="410">
        <v>293.17</v>
      </c>
      <c r="G14321" s="410">
        <v>207.57</v>
      </c>
      <c r="H14321" s="411">
        <v>7195.04</v>
      </c>
      <c r="I14321" s="411">
        <v>4734.4799999999996</v>
      </c>
      <c r="J14321" s="411">
        <v>1567.53</v>
      </c>
      <c r="K14321" s="411">
        <v>893.03</v>
      </c>
      <c r="L14321" s="43">
        <v>7.8856666885863973</v>
      </c>
      <c r="M14321" s="43">
        <v>11.500388651379712</v>
      </c>
      <c r="N14321" s="43">
        <v>5.3468294845993789</v>
      </c>
      <c r="O14321" s="43">
        <v>4.302307655248832</v>
      </c>
      <c r="P14321" s="412"/>
      <c r="Q14321" s="412"/>
      <c r="R14321" s="412">
        <v>4</v>
      </c>
    </row>
    <row r="14322" spans="1:18" ht="12.75" customHeight="1">
      <c r="A14322" s="628" t="s">
        <v>25771</v>
      </c>
      <c r="B14322" s="629"/>
      <c r="C14322" s="629"/>
      <c r="D14322" s="629"/>
      <c r="E14322" s="629"/>
      <c r="F14322" s="629"/>
      <c r="G14322" s="629"/>
      <c r="H14322" s="629"/>
      <c r="I14322" s="629"/>
      <c r="J14322" s="629"/>
      <c r="K14322" s="629"/>
      <c r="L14322" s="629"/>
      <c r="M14322" s="629"/>
      <c r="N14322" s="629"/>
      <c r="O14322" s="629"/>
      <c r="P14322" s="629"/>
      <c r="Q14322" s="629"/>
      <c r="R14322" s="629"/>
    </row>
    <row r="14323" spans="1:18" ht="24">
      <c r="A14323" s="408">
        <v>526</v>
      </c>
      <c r="B14323" s="405" t="s">
        <v>25772</v>
      </c>
      <c r="C14323" s="409" t="s">
        <v>25773</v>
      </c>
      <c r="D14323" s="410">
        <v>1368.25</v>
      </c>
      <c r="E14323" s="410">
        <v>783.98</v>
      </c>
      <c r="F14323" s="410">
        <v>366.71</v>
      </c>
      <c r="G14323" s="410">
        <v>217.56</v>
      </c>
      <c r="H14323" s="411">
        <v>11803.67</v>
      </c>
      <c r="I14323" s="411">
        <v>9015.75</v>
      </c>
      <c r="J14323" s="411">
        <v>1856.11</v>
      </c>
      <c r="K14323" s="411">
        <v>931.81</v>
      </c>
      <c r="L14323" s="43">
        <v>8.626837200803946</v>
      </c>
      <c r="M14323" s="43">
        <v>11.499974489145131</v>
      </c>
      <c r="N14323" s="43">
        <v>5.0615200021815605</v>
      </c>
      <c r="O14323" s="43">
        <v>4.2830023901452474</v>
      </c>
      <c r="P14323" s="412"/>
      <c r="Q14323" s="412"/>
      <c r="R14323" s="412">
        <v>5</v>
      </c>
    </row>
    <row r="14324" spans="1:18" ht="24">
      <c r="A14324" s="408">
        <v>527</v>
      </c>
      <c r="B14324" s="405" t="s">
        <v>25774</v>
      </c>
      <c r="C14324" s="409" t="s">
        <v>25775</v>
      </c>
      <c r="D14324" s="410">
        <v>2742.27</v>
      </c>
      <c r="E14324" s="410">
        <v>1576.42</v>
      </c>
      <c r="F14324" s="410">
        <v>711.86</v>
      </c>
      <c r="G14324" s="410">
        <v>453.99</v>
      </c>
      <c r="H14324" s="411">
        <v>23708.76</v>
      </c>
      <c r="I14324" s="411">
        <v>18128.830000000002</v>
      </c>
      <c r="J14324" s="411">
        <v>3623.1</v>
      </c>
      <c r="K14324" s="411">
        <v>1956.83</v>
      </c>
      <c r="L14324" s="43">
        <v>8.645669463619555</v>
      </c>
      <c r="M14324" s="43">
        <v>11.5</v>
      </c>
      <c r="N14324" s="43">
        <v>5.0896243643413026</v>
      </c>
      <c r="O14324" s="43">
        <v>4.3102931782638381</v>
      </c>
      <c r="P14324" s="412"/>
      <c r="Q14324" s="412"/>
      <c r="R14324" s="412">
        <v>5</v>
      </c>
    </row>
    <row r="14325" spans="1:18" ht="24">
      <c r="A14325" s="408">
        <v>528</v>
      </c>
      <c r="B14325" s="405" t="s">
        <v>25776</v>
      </c>
      <c r="C14325" s="409" t="s">
        <v>25777</v>
      </c>
      <c r="D14325" s="410">
        <v>835.57</v>
      </c>
      <c r="E14325" s="410">
        <v>439.07</v>
      </c>
      <c r="F14325" s="410">
        <v>256.08</v>
      </c>
      <c r="G14325" s="410">
        <v>140.41999999999999</v>
      </c>
      <c r="H14325" s="411">
        <v>6981.68</v>
      </c>
      <c r="I14325" s="411">
        <v>5049.3100000000004</v>
      </c>
      <c r="J14325" s="411">
        <v>1331.93</v>
      </c>
      <c r="K14325" s="411">
        <v>600.44000000000005</v>
      </c>
      <c r="L14325" s="43">
        <v>8.3555895975202557</v>
      </c>
      <c r="M14325" s="43">
        <v>11.500011387705834</v>
      </c>
      <c r="N14325" s="43">
        <v>5.2012261793189634</v>
      </c>
      <c r="O14325" s="43">
        <v>4.2760290556900733</v>
      </c>
      <c r="P14325" s="412"/>
      <c r="Q14325" s="412"/>
      <c r="R14325" s="412">
        <v>5</v>
      </c>
    </row>
    <row r="14326" spans="1:18" ht="24">
      <c r="A14326" s="408">
        <v>529</v>
      </c>
      <c r="B14326" s="405" t="s">
        <v>25778</v>
      </c>
      <c r="C14326" s="409" t="s">
        <v>25779</v>
      </c>
      <c r="D14326" s="410">
        <v>625.51</v>
      </c>
      <c r="E14326" s="410">
        <v>356.55</v>
      </c>
      <c r="F14326" s="410">
        <v>174.25</v>
      </c>
      <c r="G14326" s="410">
        <v>94.71</v>
      </c>
      <c r="H14326" s="411">
        <v>5436.47</v>
      </c>
      <c r="I14326" s="411">
        <v>4100.28</v>
      </c>
      <c r="J14326" s="411">
        <v>922.78</v>
      </c>
      <c r="K14326" s="411">
        <v>413.41</v>
      </c>
      <c r="L14326" s="43">
        <v>8.6912599318955746</v>
      </c>
      <c r="M14326" s="43">
        <v>11.499873790492217</v>
      </c>
      <c r="N14326" s="43">
        <v>5.2957245337159256</v>
      </c>
      <c r="O14326" s="43">
        <v>4.3650089747650727</v>
      </c>
      <c r="P14326" s="412"/>
      <c r="Q14326" s="412"/>
      <c r="R14326" s="412">
        <v>5</v>
      </c>
    </row>
    <row r="14327" spans="1:18" ht="12.75" customHeight="1">
      <c r="A14327" s="628" t="s">
        <v>25780</v>
      </c>
      <c r="B14327" s="629"/>
      <c r="C14327" s="629"/>
      <c r="D14327" s="629"/>
      <c r="E14327" s="629"/>
      <c r="F14327" s="629"/>
      <c r="G14327" s="629"/>
      <c r="H14327" s="629"/>
      <c r="I14327" s="629"/>
      <c r="J14327" s="629"/>
      <c r="K14327" s="629"/>
      <c r="L14327" s="629"/>
      <c r="M14327" s="629"/>
      <c r="N14327" s="629"/>
      <c r="O14327" s="629"/>
      <c r="P14327" s="629"/>
      <c r="Q14327" s="629"/>
      <c r="R14327" s="629"/>
    </row>
    <row r="14328" spans="1:18" ht="24">
      <c r="A14328" s="408">
        <v>530</v>
      </c>
      <c r="B14328" s="405" t="s">
        <v>25781</v>
      </c>
      <c r="C14328" s="409" t="s">
        <v>25782</v>
      </c>
      <c r="D14328" s="410">
        <v>1303.68</v>
      </c>
      <c r="E14328" s="410">
        <v>797.34</v>
      </c>
      <c r="F14328" s="410">
        <v>318.98</v>
      </c>
      <c r="G14328" s="410">
        <v>187.36</v>
      </c>
      <c r="H14328" s="411">
        <v>11685.57</v>
      </c>
      <c r="I14328" s="411">
        <v>9169.73</v>
      </c>
      <c r="J14328" s="411">
        <v>1633.43</v>
      </c>
      <c r="K14328" s="411">
        <v>882.41</v>
      </c>
      <c r="L14328" s="43">
        <v>8.9635263254786448</v>
      </c>
      <c r="M14328" s="43">
        <v>11.500401334437003</v>
      </c>
      <c r="N14328" s="43">
        <v>5.1207912721800737</v>
      </c>
      <c r="O14328" s="43">
        <v>4.7097032450896661</v>
      </c>
      <c r="P14328" s="412"/>
      <c r="Q14328" s="412"/>
      <c r="R14328" s="412">
        <v>6</v>
      </c>
    </row>
    <row r="14329" spans="1:18" ht="24">
      <c r="A14329" s="408">
        <v>531</v>
      </c>
      <c r="B14329" s="405" t="s">
        <v>25783</v>
      </c>
      <c r="C14329" s="409" t="s">
        <v>25784</v>
      </c>
      <c r="D14329" s="410">
        <v>2633.44</v>
      </c>
      <c r="E14329" s="410">
        <v>1520.82</v>
      </c>
      <c r="F14329" s="410">
        <v>709.59</v>
      </c>
      <c r="G14329" s="410">
        <v>403.03</v>
      </c>
      <c r="H14329" s="411">
        <v>22883.3</v>
      </c>
      <c r="I14329" s="411">
        <v>17490.14</v>
      </c>
      <c r="J14329" s="411">
        <v>3595.16</v>
      </c>
      <c r="K14329" s="411">
        <v>1798</v>
      </c>
      <c r="L14329" s="43">
        <v>8.6895087793912147</v>
      </c>
      <c r="M14329" s="43">
        <v>11.50046685340803</v>
      </c>
      <c r="N14329" s="43">
        <v>5.0665313772741998</v>
      </c>
      <c r="O14329" s="43">
        <v>4.4612063618092952</v>
      </c>
      <c r="P14329" s="412"/>
      <c r="Q14329" s="412"/>
      <c r="R14329" s="412">
        <v>6</v>
      </c>
    </row>
    <row r="14330" spans="1:18" ht="24">
      <c r="A14330" s="408">
        <v>532</v>
      </c>
      <c r="B14330" s="405" t="s">
        <v>25785</v>
      </c>
      <c r="C14330" s="409" t="s">
        <v>25100</v>
      </c>
      <c r="D14330" s="410">
        <v>18354.580000000002</v>
      </c>
      <c r="E14330" s="410">
        <v>5560.92</v>
      </c>
      <c r="F14330" s="410">
        <v>5789.16</v>
      </c>
      <c r="G14330" s="410">
        <v>7004.5</v>
      </c>
      <c r="H14330" s="411">
        <v>121155.12</v>
      </c>
      <c r="I14330" s="411">
        <v>63950.58</v>
      </c>
      <c r="J14330" s="411">
        <v>30261.35</v>
      </c>
      <c r="K14330" s="411">
        <v>26943.19</v>
      </c>
      <c r="L14330" s="43">
        <v>6.6008113506274722</v>
      </c>
      <c r="M14330" s="43">
        <v>11.5</v>
      </c>
      <c r="N14330" s="43">
        <v>5.2272436761119057</v>
      </c>
      <c r="O14330" s="43">
        <v>3.8465543579127703</v>
      </c>
      <c r="P14330" s="412"/>
      <c r="Q14330" s="412"/>
      <c r="R14330" s="412">
        <v>6</v>
      </c>
    </row>
    <row r="14331" spans="1:18" ht="12.75" customHeight="1">
      <c r="A14331" s="628" t="s">
        <v>25786</v>
      </c>
      <c r="B14331" s="629"/>
      <c r="C14331" s="629"/>
      <c r="D14331" s="629"/>
      <c r="E14331" s="629"/>
      <c r="F14331" s="629"/>
      <c r="G14331" s="629"/>
      <c r="H14331" s="629"/>
      <c r="I14331" s="629"/>
      <c r="J14331" s="629"/>
      <c r="K14331" s="629"/>
      <c r="L14331" s="629"/>
      <c r="M14331" s="629"/>
      <c r="N14331" s="629"/>
      <c r="O14331" s="629"/>
      <c r="P14331" s="629"/>
      <c r="Q14331" s="629"/>
      <c r="R14331" s="629"/>
    </row>
    <row r="14332" spans="1:18" ht="24">
      <c r="A14332" s="408">
        <v>533</v>
      </c>
      <c r="B14332" s="405" t="s">
        <v>25787</v>
      </c>
      <c r="C14332" s="409" t="s">
        <v>25788</v>
      </c>
      <c r="D14332" s="410">
        <v>1420.69</v>
      </c>
      <c r="E14332" s="410">
        <v>768.98</v>
      </c>
      <c r="F14332" s="410">
        <v>432.2</v>
      </c>
      <c r="G14332" s="410">
        <v>219.51</v>
      </c>
      <c r="H14332" s="411">
        <v>12023.28</v>
      </c>
      <c r="I14332" s="411">
        <v>8843.61</v>
      </c>
      <c r="J14332" s="411">
        <v>2231.58</v>
      </c>
      <c r="K14332" s="411">
        <v>948.09</v>
      </c>
      <c r="L14332" s="43">
        <v>8.4629862953916764</v>
      </c>
      <c r="M14332" s="43">
        <v>11.50044214413899</v>
      </c>
      <c r="N14332" s="43">
        <v>5.1633040259139289</v>
      </c>
      <c r="O14332" s="43">
        <v>4.3191198578652452</v>
      </c>
      <c r="P14332" s="412"/>
      <c r="Q14332" s="412"/>
      <c r="R14332" s="412">
        <v>7</v>
      </c>
    </row>
    <row r="14333" spans="1:18" ht="24">
      <c r="A14333" s="408">
        <v>534</v>
      </c>
      <c r="B14333" s="405" t="s">
        <v>25789</v>
      </c>
      <c r="C14333" s="409" t="s">
        <v>25790</v>
      </c>
      <c r="D14333" s="410">
        <v>1663.46</v>
      </c>
      <c r="E14333" s="410">
        <v>937.13</v>
      </c>
      <c r="F14333" s="410">
        <v>502.21</v>
      </c>
      <c r="G14333" s="410">
        <v>224.12</v>
      </c>
      <c r="H14333" s="411">
        <v>14361.41</v>
      </c>
      <c r="I14333" s="411">
        <v>10777.38</v>
      </c>
      <c r="J14333" s="411">
        <v>2586.27</v>
      </c>
      <c r="K14333" s="411">
        <v>997.76</v>
      </c>
      <c r="L14333" s="43">
        <v>8.6334567708270704</v>
      </c>
      <c r="M14333" s="43">
        <v>11.500410828807102</v>
      </c>
      <c r="N14333" s="43">
        <v>5.1497779813225542</v>
      </c>
      <c r="O14333" s="43">
        <v>4.4519007674460109</v>
      </c>
      <c r="P14333" s="412"/>
      <c r="Q14333" s="412"/>
      <c r="R14333" s="412">
        <v>7</v>
      </c>
    </row>
    <row r="14334" spans="1:18" ht="12.75" customHeight="1">
      <c r="A14334" s="628" t="s">
        <v>25791</v>
      </c>
      <c r="B14334" s="629"/>
      <c r="C14334" s="629"/>
      <c r="D14334" s="629"/>
      <c r="E14334" s="629"/>
      <c r="F14334" s="629"/>
      <c r="G14334" s="629"/>
      <c r="H14334" s="629"/>
      <c r="I14334" s="629"/>
      <c r="J14334" s="629"/>
      <c r="K14334" s="629"/>
      <c r="L14334" s="629"/>
      <c r="M14334" s="629"/>
      <c r="N14334" s="629"/>
      <c r="O14334" s="629"/>
      <c r="P14334" s="629"/>
      <c r="Q14334" s="629"/>
      <c r="R14334" s="629"/>
    </row>
    <row r="14335" spans="1:18" ht="24">
      <c r="A14335" s="408">
        <v>535</v>
      </c>
      <c r="B14335" s="405" t="s">
        <v>25792</v>
      </c>
      <c r="C14335" s="409" t="s">
        <v>25793</v>
      </c>
      <c r="D14335" s="410">
        <v>2295.48</v>
      </c>
      <c r="E14335" s="410">
        <v>1481.2</v>
      </c>
      <c r="F14335" s="410">
        <v>547.16</v>
      </c>
      <c r="G14335" s="410">
        <v>267.12</v>
      </c>
      <c r="H14335" s="411">
        <v>21107.45</v>
      </c>
      <c r="I14335" s="411">
        <v>17033.8</v>
      </c>
      <c r="J14335" s="411">
        <v>2814.71</v>
      </c>
      <c r="K14335" s="411">
        <v>1258.94</v>
      </c>
      <c r="L14335" s="43">
        <v>9.1952227856483173</v>
      </c>
      <c r="M14335" s="43">
        <v>11.5</v>
      </c>
      <c r="N14335" s="43">
        <v>5.1442174135536227</v>
      </c>
      <c r="O14335" s="43">
        <v>4.713012878107218</v>
      </c>
      <c r="P14335" s="412"/>
      <c r="Q14335" s="412"/>
      <c r="R14335" s="412">
        <v>8</v>
      </c>
    </row>
    <row r="14336" spans="1:18" ht="24">
      <c r="A14336" s="408">
        <v>536</v>
      </c>
      <c r="B14336" s="405" t="s">
        <v>25794</v>
      </c>
      <c r="C14336" s="409" t="s">
        <v>25795</v>
      </c>
      <c r="D14336" s="410">
        <v>1268.26</v>
      </c>
      <c r="E14336" s="410">
        <v>954.82</v>
      </c>
      <c r="F14336" s="410">
        <v>207.35</v>
      </c>
      <c r="G14336" s="410">
        <v>106.09</v>
      </c>
      <c r="H14336" s="411">
        <v>12594.5</v>
      </c>
      <c r="I14336" s="411">
        <v>10980.83</v>
      </c>
      <c r="J14336" s="411">
        <v>1067.8</v>
      </c>
      <c r="K14336" s="411">
        <v>545.87</v>
      </c>
      <c r="L14336" s="43">
        <v>9.9305347483954396</v>
      </c>
      <c r="M14336" s="43">
        <v>11.500418927127626</v>
      </c>
      <c r="N14336" s="43">
        <v>5.1497468049192188</v>
      </c>
      <c r="O14336" s="43">
        <v>5.1453482891884246</v>
      </c>
      <c r="P14336" s="412"/>
      <c r="Q14336" s="412"/>
      <c r="R14336" s="412">
        <v>8</v>
      </c>
    </row>
    <row r="14337" spans="1:18" ht="24">
      <c r="A14337" s="408">
        <v>537</v>
      </c>
      <c r="B14337" s="405" t="s">
        <v>25796</v>
      </c>
      <c r="C14337" s="409" t="s">
        <v>25797</v>
      </c>
      <c r="D14337" s="410">
        <v>393.71</v>
      </c>
      <c r="E14337" s="410">
        <v>304.60000000000002</v>
      </c>
      <c r="F14337" s="410">
        <v>38.64</v>
      </c>
      <c r="G14337" s="410">
        <v>50.47</v>
      </c>
      <c r="H14337" s="411">
        <v>3950.34</v>
      </c>
      <c r="I14337" s="411">
        <v>3502.95</v>
      </c>
      <c r="J14337" s="411">
        <v>206.49</v>
      </c>
      <c r="K14337" s="411">
        <v>240.9</v>
      </c>
      <c r="L14337" s="43">
        <v>10.033628813085775</v>
      </c>
      <c r="M14337" s="43">
        <v>11.500164149704529</v>
      </c>
      <c r="N14337" s="43">
        <v>5.3439440993788825</v>
      </c>
      <c r="O14337" s="43">
        <v>4.7731325539924709</v>
      </c>
      <c r="P14337" s="412"/>
      <c r="Q14337" s="412"/>
      <c r="R14337" s="412">
        <v>8</v>
      </c>
    </row>
    <row r="14338" spans="1:18" ht="12.75" customHeight="1">
      <c r="A14338" s="628" t="s">
        <v>25798</v>
      </c>
      <c r="B14338" s="629"/>
      <c r="C14338" s="629"/>
      <c r="D14338" s="629"/>
      <c r="E14338" s="629"/>
      <c r="F14338" s="629"/>
      <c r="G14338" s="629"/>
      <c r="H14338" s="629"/>
      <c r="I14338" s="629"/>
      <c r="J14338" s="629"/>
      <c r="K14338" s="629"/>
      <c r="L14338" s="629"/>
      <c r="M14338" s="629"/>
      <c r="N14338" s="629"/>
      <c r="O14338" s="629"/>
      <c r="P14338" s="629"/>
      <c r="Q14338" s="629"/>
      <c r="R14338" s="629"/>
    </row>
    <row r="14339" spans="1:18" ht="24">
      <c r="A14339" s="408">
        <v>538</v>
      </c>
      <c r="B14339" s="405" t="s">
        <v>25799</v>
      </c>
      <c r="C14339" s="409" t="s">
        <v>25800</v>
      </c>
      <c r="D14339" s="410">
        <v>1419.46</v>
      </c>
      <c r="E14339" s="410">
        <v>888.88</v>
      </c>
      <c r="F14339" s="410">
        <v>366.72</v>
      </c>
      <c r="G14339" s="410">
        <v>163.86</v>
      </c>
      <c r="H14339" s="411">
        <v>12891.25</v>
      </c>
      <c r="I14339" s="411">
        <v>10222.120000000001</v>
      </c>
      <c r="J14339" s="411">
        <v>1893.44</v>
      </c>
      <c r="K14339" s="411">
        <v>775.69</v>
      </c>
      <c r="L14339" s="43">
        <v>9.0817987121863233</v>
      </c>
      <c r="M14339" s="43">
        <v>11.500000000000002</v>
      </c>
      <c r="N14339" s="43">
        <v>5.163176265270506</v>
      </c>
      <c r="O14339" s="43">
        <v>4.7338581716099108</v>
      </c>
      <c r="P14339" s="412"/>
      <c r="Q14339" s="412"/>
      <c r="R14339" s="412">
        <v>9</v>
      </c>
    </row>
    <row r="14340" spans="1:18" ht="24">
      <c r="A14340" s="408">
        <v>539</v>
      </c>
      <c r="B14340" s="405" t="s">
        <v>25801</v>
      </c>
      <c r="C14340" s="409" t="s">
        <v>25802</v>
      </c>
      <c r="D14340" s="410">
        <v>129.63999999999999</v>
      </c>
      <c r="E14340" s="410">
        <v>109.48</v>
      </c>
      <c r="F14340" s="410">
        <v>15.47</v>
      </c>
      <c r="G14340" s="410">
        <v>4.6900000000000004</v>
      </c>
      <c r="H14340" s="411">
        <v>1379.93</v>
      </c>
      <c r="I14340" s="411">
        <v>1259.07</v>
      </c>
      <c r="J14340" s="411">
        <v>82.73</v>
      </c>
      <c r="K14340" s="411">
        <v>38.130000000000003</v>
      </c>
      <c r="L14340" s="43">
        <v>10.644322739895095</v>
      </c>
      <c r="M14340" s="43">
        <v>11.500456704420898</v>
      </c>
      <c r="N14340" s="43">
        <v>5.3477698771816415</v>
      </c>
      <c r="O14340" s="43">
        <v>8.1300639658848617</v>
      </c>
      <c r="P14340" s="412"/>
      <c r="Q14340" s="412"/>
      <c r="R14340" s="412">
        <v>9</v>
      </c>
    </row>
    <row r="14341" spans="1:18" ht="12.75" customHeight="1">
      <c r="A14341" s="628" t="s">
        <v>25803</v>
      </c>
      <c r="B14341" s="629"/>
      <c r="C14341" s="629"/>
      <c r="D14341" s="629"/>
      <c r="E14341" s="629"/>
      <c r="F14341" s="629"/>
      <c r="G14341" s="629"/>
      <c r="H14341" s="629"/>
      <c r="I14341" s="629"/>
      <c r="J14341" s="629"/>
      <c r="K14341" s="629"/>
      <c r="L14341" s="629"/>
      <c r="M14341" s="629"/>
      <c r="N14341" s="629"/>
      <c r="O14341" s="629"/>
      <c r="P14341" s="629"/>
      <c r="Q14341" s="629"/>
      <c r="R14341" s="629"/>
    </row>
    <row r="14342" spans="1:18" ht="12.75" customHeight="1">
      <c r="A14342" s="628" t="s">
        <v>25804</v>
      </c>
      <c r="B14342" s="629"/>
      <c r="C14342" s="629"/>
      <c r="D14342" s="629"/>
      <c r="E14342" s="629"/>
      <c r="F14342" s="629"/>
      <c r="G14342" s="629"/>
      <c r="H14342" s="629"/>
      <c r="I14342" s="629"/>
      <c r="J14342" s="629"/>
      <c r="K14342" s="629"/>
      <c r="L14342" s="629"/>
      <c r="M14342" s="629"/>
      <c r="N14342" s="629"/>
      <c r="O14342" s="629"/>
      <c r="P14342" s="629"/>
      <c r="Q14342" s="629"/>
      <c r="R14342" s="629"/>
    </row>
    <row r="14343" spans="1:18" ht="24">
      <c r="A14343" s="408">
        <v>540</v>
      </c>
      <c r="B14343" s="405" t="s">
        <v>25805</v>
      </c>
      <c r="C14343" s="409" t="s">
        <v>25806</v>
      </c>
      <c r="D14343" s="410">
        <v>2251.87</v>
      </c>
      <c r="E14343" s="410">
        <v>1167.3900000000001</v>
      </c>
      <c r="F14343" s="410">
        <v>702.63</v>
      </c>
      <c r="G14343" s="410">
        <v>381.85</v>
      </c>
      <c r="H14343" s="411">
        <v>18687.75</v>
      </c>
      <c r="I14343" s="411">
        <v>13425.53</v>
      </c>
      <c r="J14343" s="411">
        <v>3669.19</v>
      </c>
      <c r="K14343" s="411">
        <v>1593.03</v>
      </c>
      <c r="L14343" s="43">
        <v>8.2987694671539654</v>
      </c>
      <c r="M14343" s="43">
        <v>11.50046685340803</v>
      </c>
      <c r="N14343" s="43">
        <v>5.222079899805018</v>
      </c>
      <c r="O14343" s="43">
        <v>4.1718737724237265</v>
      </c>
      <c r="P14343" s="412"/>
      <c r="Q14343" s="412"/>
      <c r="R14343" s="412">
        <v>1</v>
      </c>
    </row>
    <row r="14344" spans="1:18" ht="12.75" customHeight="1">
      <c r="A14344" s="628" t="s">
        <v>25807</v>
      </c>
      <c r="B14344" s="629"/>
      <c r="C14344" s="629"/>
      <c r="D14344" s="629"/>
      <c r="E14344" s="629"/>
      <c r="F14344" s="629"/>
      <c r="G14344" s="629"/>
      <c r="H14344" s="629"/>
      <c r="I14344" s="629"/>
      <c r="J14344" s="629"/>
      <c r="K14344" s="629"/>
      <c r="L14344" s="629"/>
      <c r="M14344" s="629"/>
      <c r="N14344" s="629"/>
      <c r="O14344" s="629"/>
      <c r="P14344" s="629"/>
      <c r="Q14344" s="629"/>
      <c r="R14344" s="629"/>
    </row>
    <row r="14345" spans="1:18" ht="24">
      <c r="A14345" s="408">
        <v>541</v>
      </c>
      <c r="B14345" s="405" t="s">
        <v>25808</v>
      </c>
      <c r="C14345" s="409" t="s">
        <v>25809</v>
      </c>
      <c r="D14345" s="410">
        <v>554.80999999999995</v>
      </c>
      <c r="E14345" s="410">
        <v>420.9</v>
      </c>
      <c r="F14345" s="410">
        <v>124.23</v>
      </c>
      <c r="G14345" s="410">
        <v>9.68</v>
      </c>
      <c r="H14345" s="411">
        <v>5575.53</v>
      </c>
      <c r="I14345" s="411">
        <v>4840.58</v>
      </c>
      <c r="J14345" s="411">
        <v>627.09</v>
      </c>
      <c r="K14345" s="411">
        <v>107.86</v>
      </c>
      <c r="L14345" s="43">
        <v>10.04944034894829</v>
      </c>
      <c r="M14345" s="43">
        <v>11.500546448087432</v>
      </c>
      <c r="N14345" s="43">
        <v>5.0478145375513161</v>
      </c>
      <c r="O14345" s="43">
        <v>11.142561983471074</v>
      </c>
      <c r="P14345" s="412"/>
      <c r="Q14345" s="412"/>
      <c r="R14345" s="412">
        <v>2</v>
      </c>
    </row>
    <row r="14346" spans="1:18" ht="24">
      <c r="A14346" s="408">
        <v>542</v>
      </c>
      <c r="B14346" s="405" t="s">
        <v>25810</v>
      </c>
      <c r="C14346" s="409" t="s">
        <v>25811</v>
      </c>
      <c r="D14346" s="410">
        <v>1088.83</v>
      </c>
      <c r="E14346" s="410">
        <v>693.76</v>
      </c>
      <c r="F14346" s="410">
        <v>378.52</v>
      </c>
      <c r="G14346" s="410">
        <v>16.55</v>
      </c>
      <c r="H14346" s="411">
        <v>10098.11</v>
      </c>
      <c r="I14346" s="411">
        <v>7978.24</v>
      </c>
      <c r="J14346" s="411">
        <v>1936.83</v>
      </c>
      <c r="K14346" s="411">
        <v>183.04</v>
      </c>
      <c r="L14346" s="43">
        <v>9.2742760577867998</v>
      </c>
      <c r="M14346" s="43">
        <v>11.5</v>
      </c>
      <c r="N14346" s="43">
        <v>5.1168498362041639</v>
      </c>
      <c r="O14346" s="43">
        <v>11.059818731117824</v>
      </c>
      <c r="P14346" s="412"/>
      <c r="Q14346" s="412"/>
      <c r="R14346" s="412">
        <v>2</v>
      </c>
    </row>
    <row r="14347" spans="1:18" ht="12.75" customHeight="1">
      <c r="A14347" s="628" t="s">
        <v>25812</v>
      </c>
      <c r="B14347" s="629"/>
      <c r="C14347" s="629"/>
      <c r="D14347" s="629"/>
      <c r="E14347" s="629"/>
      <c r="F14347" s="629"/>
      <c r="G14347" s="629"/>
      <c r="H14347" s="629"/>
      <c r="I14347" s="629"/>
      <c r="J14347" s="629"/>
      <c r="K14347" s="629"/>
      <c r="L14347" s="629"/>
      <c r="M14347" s="629"/>
      <c r="N14347" s="629"/>
      <c r="O14347" s="629"/>
      <c r="P14347" s="629"/>
      <c r="Q14347" s="629"/>
      <c r="R14347" s="629"/>
    </row>
    <row r="14348" spans="1:18" ht="24">
      <c r="A14348" s="408">
        <v>543</v>
      </c>
      <c r="B14348" s="405" t="s">
        <v>25813</v>
      </c>
      <c r="C14348" s="409" t="s">
        <v>25814</v>
      </c>
      <c r="D14348" s="410">
        <v>617.65</v>
      </c>
      <c r="E14348" s="410">
        <v>432.68</v>
      </c>
      <c r="F14348" s="410">
        <v>176.32</v>
      </c>
      <c r="G14348" s="410">
        <v>8.65</v>
      </c>
      <c r="H14348" s="411">
        <v>5998.31</v>
      </c>
      <c r="I14348" s="411">
        <v>4976.07</v>
      </c>
      <c r="J14348" s="411">
        <v>922.76</v>
      </c>
      <c r="K14348" s="411">
        <v>99.48</v>
      </c>
      <c r="L14348" s="43">
        <v>9.7115032785558171</v>
      </c>
      <c r="M14348" s="43">
        <v>11.500577794212813</v>
      </c>
      <c r="N14348" s="43">
        <v>5.2334392014519056</v>
      </c>
      <c r="O14348" s="43">
        <v>11.50057803468208</v>
      </c>
      <c r="P14348" s="412"/>
      <c r="Q14348" s="412"/>
      <c r="R14348" s="412">
        <v>3</v>
      </c>
    </row>
    <row r="14349" spans="1:18" ht="12.75" customHeight="1">
      <c r="A14349" s="628" t="s">
        <v>25815</v>
      </c>
      <c r="B14349" s="629"/>
      <c r="C14349" s="629"/>
      <c r="D14349" s="629"/>
      <c r="E14349" s="629"/>
      <c r="F14349" s="629"/>
      <c r="G14349" s="629"/>
      <c r="H14349" s="629"/>
      <c r="I14349" s="629"/>
      <c r="J14349" s="629"/>
      <c r="K14349" s="629"/>
      <c r="L14349" s="629"/>
      <c r="M14349" s="629"/>
      <c r="N14349" s="629"/>
      <c r="O14349" s="629"/>
      <c r="P14349" s="629"/>
      <c r="Q14349" s="629"/>
      <c r="R14349" s="629"/>
    </row>
    <row r="14350" spans="1:18" ht="12.75" customHeight="1">
      <c r="A14350" s="628" t="s">
        <v>25816</v>
      </c>
      <c r="B14350" s="629"/>
      <c r="C14350" s="629"/>
      <c r="D14350" s="629"/>
      <c r="E14350" s="629"/>
      <c r="F14350" s="629"/>
      <c r="G14350" s="629"/>
      <c r="H14350" s="629"/>
      <c r="I14350" s="629"/>
      <c r="J14350" s="629"/>
      <c r="K14350" s="629"/>
      <c r="L14350" s="629"/>
      <c r="M14350" s="629"/>
      <c r="N14350" s="629"/>
      <c r="O14350" s="629"/>
      <c r="P14350" s="629"/>
      <c r="Q14350" s="629"/>
      <c r="R14350" s="629"/>
    </row>
    <row r="14351" spans="1:18" ht="24">
      <c r="A14351" s="408">
        <v>544</v>
      </c>
      <c r="B14351" s="405" t="s">
        <v>25817</v>
      </c>
      <c r="C14351" s="409" t="s">
        <v>25818</v>
      </c>
      <c r="D14351" s="410">
        <v>7709.81</v>
      </c>
      <c r="E14351" s="410">
        <v>2474.0100000000002</v>
      </c>
      <c r="F14351" s="410">
        <v>4173.54</v>
      </c>
      <c r="G14351" s="410">
        <v>1062.26</v>
      </c>
      <c r="H14351" s="411">
        <v>55445.58</v>
      </c>
      <c r="I14351" s="411">
        <v>28452.27</v>
      </c>
      <c r="J14351" s="411">
        <v>22637.02</v>
      </c>
      <c r="K14351" s="411">
        <v>4356.29</v>
      </c>
      <c r="L14351" s="43">
        <v>7.1915624379848531</v>
      </c>
      <c r="M14351" s="43">
        <v>11.50046685340803</v>
      </c>
      <c r="N14351" s="43">
        <v>5.4239374727449601</v>
      </c>
      <c r="O14351" s="43">
        <v>4.100963982452507</v>
      </c>
      <c r="P14351" s="412"/>
      <c r="Q14351" s="412"/>
      <c r="R14351" s="412">
        <v>1</v>
      </c>
    </row>
    <row r="14352" spans="1:18" ht="24">
      <c r="A14352" s="408">
        <v>545</v>
      </c>
      <c r="B14352" s="405" t="s">
        <v>25819</v>
      </c>
      <c r="C14352" s="409" t="s">
        <v>25820</v>
      </c>
      <c r="D14352" s="410">
        <v>8654.39</v>
      </c>
      <c r="E14352" s="410">
        <v>2474.0100000000002</v>
      </c>
      <c r="F14352" s="410">
        <v>5118.9399999999996</v>
      </c>
      <c r="G14352" s="410">
        <v>1061.44</v>
      </c>
      <c r="H14352" s="411">
        <v>60567.82</v>
      </c>
      <c r="I14352" s="411">
        <v>28452.27</v>
      </c>
      <c r="J14352" s="411">
        <v>27766.41</v>
      </c>
      <c r="K14352" s="411">
        <v>4349.1400000000003</v>
      </c>
      <c r="L14352" s="43">
        <v>6.9985082715246252</v>
      </c>
      <c r="M14352" s="43">
        <v>11.50046685340803</v>
      </c>
      <c r="N14352" s="43">
        <v>5.4242499423708814</v>
      </c>
      <c r="O14352" s="43">
        <v>4.0973959903527284</v>
      </c>
      <c r="P14352" s="412"/>
      <c r="Q14352" s="412"/>
      <c r="R14352" s="412">
        <v>1</v>
      </c>
    </row>
    <row r="14353" spans="1:18" ht="24">
      <c r="A14353" s="408">
        <v>546</v>
      </c>
      <c r="B14353" s="405" t="s">
        <v>25821</v>
      </c>
      <c r="C14353" s="409" t="s">
        <v>25822</v>
      </c>
      <c r="D14353" s="410">
        <v>7523.2</v>
      </c>
      <c r="E14353" s="410">
        <v>2356.1999999999998</v>
      </c>
      <c r="F14353" s="410">
        <v>4110.1000000000004</v>
      </c>
      <c r="G14353" s="410">
        <v>1056.9000000000001</v>
      </c>
      <c r="H14353" s="411">
        <v>53681.22</v>
      </c>
      <c r="I14353" s="411">
        <v>27097.4</v>
      </c>
      <c r="J14353" s="411">
        <v>22280.89</v>
      </c>
      <c r="K14353" s="411">
        <v>4302.93</v>
      </c>
      <c r="L14353" s="43">
        <v>7.1354237558485751</v>
      </c>
      <c r="M14353" s="43">
        <v>11.500466853408032</v>
      </c>
      <c r="N14353" s="43">
        <v>5.4210092211868321</v>
      </c>
      <c r="O14353" s="43">
        <v>4.0712744819755891</v>
      </c>
      <c r="P14353" s="412"/>
      <c r="Q14353" s="412"/>
      <c r="R14353" s="412">
        <v>1</v>
      </c>
    </row>
    <row r="14354" spans="1:18" ht="24">
      <c r="A14354" s="408">
        <v>547</v>
      </c>
      <c r="B14354" s="405" t="s">
        <v>25823</v>
      </c>
      <c r="C14354" s="409" t="s">
        <v>25824</v>
      </c>
      <c r="D14354" s="410">
        <v>464.16</v>
      </c>
      <c r="E14354" s="410">
        <v>376.2</v>
      </c>
      <c r="F14354" s="410">
        <v>78.94</v>
      </c>
      <c r="G14354" s="410">
        <v>9.02</v>
      </c>
      <c r="H14354" s="411">
        <v>4850.3500000000004</v>
      </c>
      <c r="I14354" s="411">
        <v>4326.4799999999996</v>
      </c>
      <c r="J14354" s="411">
        <v>424.28</v>
      </c>
      <c r="K14354" s="411">
        <v>99.59</v>
      </c>
      <c r="L14354" s="43">
        <v>10.449737159600138</v>
      </c>
      <c r="M14354" s="43">
        <v>11.500478468899521</v>
      </c>
      <c r="N14354" s="43">
        <v>5.3747149733975172</v>
      </c>
      <c r="O14354" s="43">
        <v>11.041019955654104</v>
      </c>
      <c r="P14354" s="412"/>
      <c r="Q14354" s="412"/>
      <c r="R14354" s="412">
        <v>1</v>
      </c>
    </row>
    <row r="14355" spans="1:18" ht="24">
      <c r="A14355" s="408">
        <v>548</v>
      </c>
      <c r="B14355" s="405" t="s">
        <v>25825</v>
      </c>
      <c r="C14355" s="409" t="s">
        <v>25826</v>
      </c>
      <c r="D14355" s="410">
        <v>1128.0999999999999</v>
      </c>
      <c r="E14355" s="410">
        <v>516.23</v>
      </c>
      <c r="F14355" s="410">
        <v>390.59</v>
      </c>
      <c r="G14355" s="410">
        <v>221.28</v>
      </c>
      <c r="H14355" s="411">
        <v>8908.4</v>
      </c>
      <c r="I14355" s="411">
        <v>5936.89</v>
      </c>
      <c r="J14355" s="411">
        <v>2021.71</v>
      </c>
      <c r="K14355" s="411">
        <v>949.8</v>
      </c>
      <c r="L14355" s="43">
        <v>7.8968176580090423</v>
      </c>
      <c r="M14355" s="43">
        <v>11.500474594657421</v>
      </c>
      <c r="N14355" s="43">
        <v>5.1760413733070489</v>
      </c>
      <c r="O14355" s="43">
        <v>4.292299349240781</v>
      </c>
      <c r="P14355" s="412"/>
      <c r="Q14355" s="412"/>
      <c r="R14355" s="412">
        <v>1</v>
      </c>
    </row>
    <row r="14356" spans="1:18" ht="12.75" customHeight="1">
      <c r="A14356" s="628" t="s">
        <v>25827</v>
      </c>
      <c r="B14356" s="629"/>
      <c r="C14356" s="629"/>
      <c r="D14356" s="629"/>
      <c r="E14356" s="629"/>
      <c r="F14356" s="629"/>
      <c r="G14356" s="629"/>
      <c r="H14356" s="629"/>
      <c r="I14356" s="629"/>
      <c r="J14356" s="629"/>
      <c r="K14356" s="629"/>
      <c r="L14356" s="629"/>
      <c r="M14356" s="629"/>
      <c r="N14356" s="629"/>
      <c r="O14356" s="629"/>
      <c r="P14356" s="629"/>
      <c r="Q14356" s="629"/>
      <c r="R14356" s="629"/>
    </row>
    <row r="14357" spans="1:18" ht="24">
      <c r="A14357" s="408">
        <v>549</v>
      </c>
      <c r="B14357" s="405" t="s">
        <v>25828</v>
      </c>
      <c r="C14357" s="409" t="s">
        <v>25829</v>
      </c>
      <c r="D14357" s="410">
        <v>1161.02</v>
      </c>
      <c r="E14357" s="410">
        <v>652.16</v>
      </c>
      <c r="F14357" s="410">
        <v>288.94</v>
      </c>
      <c r="G14357" s="410">
        <v>219.92</v>
      </c>
      <c r="H14357" s="411">
        <v>9972.44</v>
      </c>
      <c r="I14357" s="411">
        <v>7500.16</v>
      </c>
      <c r="J14357" s="411">
        <v>1526.96</v>
      </c>
      <c r="K14357" s="411">
        <v>945.32</v>
      </c>
      <c r="L14357" s="43">
        <v>8.5893783052832866</v>
      </c>
      <c r="M14357" s="43">
        <v>11.500490677134446</v>
      </c>
      <c r="N14357" s="43">
        <v>5.2846957845919569</v>
      </c>
      <c r="O14357" s="43">
        <v>4.2984721716988004</v>
      </c>
      <c r="P14357" s="412"/>
      <c r="Q14357" s="412"/>
      <c r="R14357" s="412">
        <v>2</v>
      </c>
    </row>
    <row r="14358" spans="1:18" ht="12.75" customHeight="1">
      <c r="A14358" s="628" t="s">
        <v>25830</v>
      </c>
      <c r="B14358" s="629"/>
      <c r="C14358" s="629"/>
      <c r="D14358" s="629"/>
      <c r="E14358" s="629"/>
      <c r="F14358" s="629"/>
      <c r="G14358" s="629"/>
      <c r="H14358" s="629"/>
      <c r="I14358" s="629"/>
      <c r="J14358" s="629"/>
      <c r="K14358" s="629"/>
      <c r="L14358" s="629"/>
      <c r="M14358" s="629"/>
      <c r="N14358" s="629"/>
      <c r="O14358" s="629"/>
      <c r="P14358" s="629"/>
      <c r="Q14358" s="629"/>
      <c r="R14358" s="629"/>
    </row>
    <row r="14359" spans="1:18" ht="24">
      <c r="A14359" s="408">
        <v>550</v>
      </c>
      <c r="B14359" s="405" t="s">
        <v>25831</v>
      </c>
      <c r="C14359" s="409" t="s">
        <v>25832</v>
      </c>
      <c r="D14359" s="410">
        <v>5649.7</v>
      </c>
      <c r="E14359" s="410">
        <v>1788.02</v>
      </c>
      <c r="F14359" s="410">
        <v>2806.82</v>
      </c>
      <c r="G14359" s="410">
        <v>1054.8599999999999</v>
      </c>
      <c r="H14359" s="411">
        <v>40236.83</v>
      </c>
      <c r="I14359" s="411">
        <v>20562.23</v>
      </c>
      <c r="J14359" s="411">
        <v>15420.66</v>
      </c>
      <c r="K14359" s="411">
        <v>4253.9399999999996</v>
      </c>
      <c r="L14359" s="43">
        <v>7.1219409880170632</v>
      </c>
      <c r="M14359" s="43">
        <v>11.5</v>
      </c>
      <c r="N14359" s="43">
        <v>5.493996765022338</v>
      </c>
      <c r="O14359" s="43">
        <v>4.0327057619020534</v>
      </c>
      <c r="P14359" s="412"/>
      <c r="Q14359" s="412"/>
      <c r="R14359" s="412">
        <v>3</v>
      </c>
    </row>
    <row r="14360" spans="1:18" ht="24">
      <c r="A14360" s="408">
        <v>551</v>
      </c>
      <c r="B14360" s="405" t="s">
        <v>25833</v>
      </c>
      <c r="C14360" s="409" t="s">
        <v>25834</v>
      </c>
      <c r="D14360" s="410">
        <v>5028.3999999999996</v>
      </c>
      <c r="E14360" s="410">
        <v>2102.96</v>
      </c>
      <c r="F14360" s="410">
        <v>1878.83</v>
      </c>
      <c r="G14360" s="410">
        <v>1046.6099999999999</v>
      </c>
      <c r="H14360" s="411">
        <v>38663.74</v>
      </c>
      <c r="I14360" s="411">
        <v>24184.04</v>
      </c>
      <c r="J14360" s="411">
        <v>10280.85</v>
      </c>
      <c r="K14360" s="411">
        <v>4198.8500000000004</v>
      </c>
      <c r="L14360" s="43">
        <v>7.6890740593429321</v>
      </c>
      <c r="M14360" s="43">
        <v>11.5</v>
      </c>
      <c r="N14360" s="43">
        <v>5.4719426451568269</v>
      </c>
      <c r="O14360" s="43">
        <v>4.011857329855439</v>
      </c>
      <c r="P14360" s="412"/>
      <c r="Q14360" s="412"/>
      <c r="R14360" s="412">
        <v>3</v>
      </c>
    </row>
    <row r="14361" spans="1:18" ht="12.75" customHeight="1">
      <c r="A14361" s="628" t="s">
        <v>25835</v>
      </c>
      <c r="B14361" s="629"/>
      <c r="C14361" s="629"/>
      <c r="D14361" s="629"/>
      <c r="E14361" s="629"/>
      <c r="F14361" s="629"/>
      <c r="G14361" s="629"/>
      <c r="H14361" s="629"/>
      <c r="I14361" s="629"/>
      <c r="J14361" s="629"/>
      <c r="K14361" s="629"/>
      <c r="L14361" s="629"/>
      <c r="M14361" s="629"/>
      <c r="N14361" s="629"/>
      <c r="O14361" s="629"/>
      <c r="P14361" s="629"/>
      <c r="Q14361" s="629"/>
      <c r="R14361" s="629"/>
    </row>
    <row r="14362" spans="1:18" ht="24">
      <c r="A14362" s="408">
        <v>552</v>
      </c>
      <c r="B14362" s="405" t="s">
        <v>25836</v>
      </c>
      <c r="C14362" s="409" t="s">
        <v>25837</v>
      </c>
      <c r="D14362" s="410">
        <v>1755.97</v>
      </c>
      <c r="E14362" s="410">
        <v>821.37</v>
      </c>
      <c r="F14362" s="410">
        <v>551.85</v>
      </c>
      <c r="G14362" s="410">
        <v>382.75</v>
      </c>
      <c r="H14362" s="411">
        <v>13938.87</v>
      </c>
      <c r="I14362" s="411">
        <v>9446.15</v>
      </c>
      <c r="J14362" s="411">
        <v>2910.73</v>
      </c>
      <c r="K14362" s="411">
        <v>1581.99</v>
      </c>
      <c r="L14362" s="43">
        <v>7.9379886900117889</v>
      </c>
      <c r="M14362" s="43">
        <v>11.500480903855753</v>
      </c>
      <c r="N14362" s="43">
        <v>5.2744948808553049</v>
      </c>
      <c r="O14362" s="43">
        <v>4.1332201175702155</v>
      </c>
      <c r="P14362" s="412"/>
      <c r="Q14362" s="412"/>
      <c r="R14362" s="412">
        <v>4</v>
      </c>
    </row>
    <row r="14363" spans="1:18" ht="12.75" customHeight="1">
      <c r="A14363" s="628" t="s">
        <v>25838</v>
      </c>
      <c r="B14363" s="629"/>
      <c r="C14363" s="629"/>
      <c r="D14363" s="629"/>
      <c r="E14363" s="629"/>
      <c r="F14363" s="629"/>
      <c r="G14363" s="629"/>
      <c r="H14363" s="629"/>
      <c r="I14363" s="629"/>
      <c r="J14363" s="629"/>
      <c r="K14363" s="629"/>
      <c r="L14363" s="629"/>
      <c r="M14363" s="629"/>
      <c r="N14363" s="629"/>
      <c r="O14363" s="629"/>
      <c r="P14363" s="629"/>
      <c r="Q14363" s="629"/>
      <c r="R14363" s="629"/>
    </row>
    <row r="14364" spans="1:18" ht="24">
      <c r="A14364" s="408">
        <v>553</v>
      </c>
      <c r="B14364" s="405" t="s">
        <v>25839</v>
      </c>
      <c r="C14364" s="409" t="s">
        <v>25840</v>
      </c>
      <c r="D14364" s="410">
        <v>5047.21</v>
      </c>
      <c r="E14364" s="410">
        <v>1227.28</v>
      </c>
      <c r="F14364" s="410">
        <v>2767.78</v>
      </c>
      <c r="G14364" s="410">
        <v>1052.1500000000001</v>
      </c>
      <c r="H14364" s="411">
        <v>33256.300000000003</v>
      </c>
      <c r="I14364" s="411">
        <v>14113.72</v>
      </c>
      <c r="J14364" s="411">
        <v>14943.05</v>
      </c>
      <c r="K14364" s="411">
        <v>4199.53</v>
      </c>
      <c r="L14364" s="43">
        <v>6.5890462255384668</v>
      </c>
      <c r="M14364" s="43">
        <v>11.5</v>
      </c>
      <c r="N14364" s="43">
        <v>5.3989298282377929</v>
      </c>
      <c r="O14364" s="43">
        <v>3.9913795561469367</v>
      </c>
      <c r="P14364" s="412"/>
      <c r="Q14364" s="412"/>
      <c r="R14364" s="412">
        <v>5</v>
      </c>
    </row>
    <row r="14365" spans="1:18" ht="36">
      <c r="A14365" s="408">
        <v>554</v>
      </c>
      <c r="B14365" s="405" t="s">
        <v>25841</v>
      </c>
      <c r="C14365" s="409" t="s">
        <v>25842</v>
      </c>
      <c r="D14365" s="410">
        <v>780.89</v>
      </c>
      <c r="E14365" s="410">
        <v>349.15</v>
      </c>
      <c r="F14365" s="410">
        <v>264.23</v>
      </c>
      <c r="G14365" s="410">
        <v>167.51</v>
      </c>
      <c r="H14365" s="411">
        <v>6125.6</v>
      </c>
      <c r="I14365" s="411">
        <v>4015.34</v>
      </c>
      <c r="J14365" s="411">
        <v>1422.77</v>
      </c>
      <c r="K14365" s="411">
        <v>687.49</v>
      </c>
      <c r="L14365" s="43">
        <v>7.844382691544264</v>
      </c>
      <c r="M14365" s="43">
        <v>11.500329371330375</v>
      </c>
      <c r="N14365" s="43">
        <v>5.3845891836657449</v>
      </c>
      <c r="O14365" s="43">
        <v>4.1041728852008834</v>
      </c>
      <c r="P14365" s="412"/>
      <c r="Q14365" s="412"/>
      <c r="R14365" s="412">
        <v>5</v>
      </c>
    </row>
    <row r="14366" spans="1:18" ht="24">
      <c r="A14366" s="408">
        <v>555</v>
      </c>
      <c r="B14366" s="405" t="s">
        <v>25843</v>
      </c>
      <c r="C14366" s="409" t="s">
        <v>25844</v>
      </c>
      <c r="D14366" s="410">
        <v>686.43</v>
      </c>
      <c r="E14366" s="410">
        <v>328.13</v>
      </c>
      <c r="F14366" s="410">
        <v>221.32</v>
      </c>
      <c r="G14366" s="410">
        <v>136.97999999999999</v>
      </c>
      <c r="H14366" s="411">
        <v>5530.22</v>
      </c>
      <c r="I14366" s="411">
        <v>3773.65</v>
      </c>
      <c r="J14366" s="411">
        <v>1192.3900000000001</v>
      </c>
      <c r="K14366" s="411">
        <v>564.17999999999995</v>
      </c>
      <c r="L14366" s="43">
        <v>8.0564951998018746</v>
      </c>
      <c r="M14366" s="43">
        <v>11.500472373754306</v>
      </c>
      <c r="N14366" s="43">
        <v>5.3876287728176404</v>
      </c>
      <c r="O14366" s="43">
        <v>4.1187034603591766</v>
      </c>
      <c r="P14366" s="412"/>
      <c r="Q14366" s="412"/>
      <c r="R14366" s="412">
        <v>5</v>
      </c>
    </row>
    <row r="14367" spans="1:18" ht="24">
      <c r="A14367" s="408">
        <v>556</v>
      </c>
      <c r="B14367" s="405" t="s">
        <v>25845</v>
      </c>
      <c r="C14367" s="409" t="s">
        <v>25846</v>
      </c>
      <c r="D14367" s="410">
        <v>786.04</v>
      </c>
      <c r="E14367" s="410">
        <v>344.91</v>
      </c>
      <c r="F14367" s="410">
        <v>272.68</v>
      </c>
      <c r="G14367" s="410">
        <v>168.45</v>
      </c>
      <c r="H14367" s="411">
        <v>6131.02</v>
      </c>
      <c r="I14367" s="411">
        <v>3966.44</v>
      </c>
      <c r="J14367" s="411">
        <v>1469.07</v>
      </c>
      <c r="K14367" s="411">
        <v>695.51</v>
      </c>
      <c r="L14367" s="43">
        <v>7.7998829576103006</v>
      </c>
      <c r="M14367" s="43">
        <v>11.499927517323359</v>
      </c>
      <c r="N14367" s="43">
        <v>5.3875238374651602</v>
      </c>
      <c r="O14367" s="43">
        <v>4.1288809735826657</v>
      </c>
      <c r="P14367" s="412"/>
      <c r="Q14367" s="412"/>
      <c r="R14367" s="412">
        <v>5</v>
      </c>
    </row>
    <row r="14368" spans="1:18" ht="12.75" customHeight="1">
      <c r="A14368" s="628" t="s">
        <v>19144</v>
      </c>
      <c r="B14368" s="629"/>
      <c r="C14368" s="629"/>
      <c r="D14368" s="629"/>
      <c r="E14368" s="629"/>
      <c r="F14368" s="629"/>
      <c r="G14368" s="629"/>
      <c r="H14368" s="629"/>
      <c r="I14368" s="629"/>
      <c r="J14368" s="629"/>
      <c r="K14368" s="629"/>
      <c r="L14368" s="629"/>
      <c r="M14368" s="629"/>
      <c r="N14368" s="629"/>
      <c r="O14368" s="629"/>
      <c r="P14368" s="629"/>
      <c r="Q14368" s="629"/>
      <c r="R14368" s="629"/>
    </row>
    <row r="14369" spans="1:18" ht="24">
      <c r="A14369" s="408">
        <v>557</v>
      </c>
      <c r="B14369" s="405" t="s">
        <v>25847</v>
      </c>
      <c r="C14369" s="409" t="s">
        <v>25848</v>
      </c>
      <c r="D14369" s="410">
        <v>1069.6500000000001</v>
      </c>
      <c r="E14369" s="410">
        <v>36.200000000000003</v>
      </c>
      <c r="F14369" s="410">
        <v>28.93</v>
      </c>
      <c r="G14369" s="410">
        <v>1004.52</v>
      </c>
      <c r="H14369" s="411">
        <v>4289.42</v>
      </c>
      <c r="I14369" s="411">
        <v>416.31</v>
      </c>
      <c r="J14369" s="411">
        <v>156.22999999999999</v>
      </c>
      <c r="K14369" s="411">
        <v>3716.88</v>
      </c>
      <c r="L14369" s="43">
        <v>4.0101154583274896</v>
      </c>
      <c r="M14369" s="43">
        <v>11.500276243093921</v>
      </c>
      <c r="N14369" s="43">
        <v>5.4002765295540955</v>
      </c>
      <c r="O14369" s="43">
        <v>3.7001552980528016</v>
      </c>
      <c r="P14369" s="412"/>
      <c r="Q14369" s="412"/>
      <c r="R14369" s="412">
        <v>6</v>
      </c>
    </row>
    <row r="14370" spans="1:18" ht="24">
      <c r="A14370" s="413">
        <v>558</v>
      </c>
      <c r="B14370" s="414" t="s">
        <v>25849</v>
      </c>
      <c r="C14370" s="415" t="s">
        <v>25850</v>
      </c>
      <c r="D14370" s="416">
        <v>4157.5200000000004</v>
      </c>
      <c r="E14370" s="416">
        <v>1981.35</v>
      </c>
      <c r="F14370" s="416">
        <v>2131.1</v>
      </c>
      <c r="G14370" s="416">
        <v>45.07</v>
      </c>
      <c r="H14370" s="417">
        <v>34935.480000000003</v>
      </c>
      <c r="I14370" s="417">
        <v>22786.45</v>
      </c>
      <c r="J14370" s="417">
        <v>11645.6</v>
      </c>
      <c r="K14370" s="417">
        <v>503.43</v>
      </c>
      <c r="L14370" s="611">
        <v>8.4029613808231822</v>
      </c>
      <c r="M14370" s="611">
        <v>11.500466853408032</v>
      </c>
      <c r="N14370" s="611">
        <v>5.4645957486743937</v>
      </c>
      <c r="O14370" s="611">
        <v>11.169957843354782</v>
      </c>
      <c r="P14370" s="418"/>
      <c r="Q14370" s="418"/>
      <c r="R14370" s="418">
        <v>6</v>
      </c>
    </row>
    <row r="14371" spans="1:18" ht="12.75" customHeight="1">
      <c r="A14371" s="630" t="s">
        <v>25851</v>
      </c>
      <c r="B14371" s="631"/>
      <c r="C14371" s="631"/>
      <c r="D14371" s="631"/>
      <c r="E14371" s="631"/>
      <c r="F14371" s="631"/>
      <c r="G14371" s="631"/>
      <c r="H14371" s="631"/>
      <c r="I14371" s="631"/>
      <c r="J14371" s="631"/>
      <c r="K14371" s="631"/>
      <c r="L14371" s="631"/>
      <c r="M14371" s="631"/>
      <c r="N14371" s="631"/>
      <c r="O14371" s="631"/>
      <c r="P14371" s="631"/>
      <c r="Q14371" s="631"/>
      <c r="R14371" s="631"/>
    </row>
    <row r="14372" spans="1:18" ht="12.75" customHeight="1">
      <c r="A14372" s="628" t="s">
        <v>25852</v>
      </c>
      <c r="B14372" s="629"/>
      <c r="C14372" s="629"/>
      <c r="D14372" s="629"/>
      <c r="E14372" s="629"/>
      <c r="F14372" s="629"/>
      <c r="G14372" s="629"/>
      <c r="H14372" s="629"/>
      <c r="I14372" s="629"/>
      <c r="J14372" s="629"/>
      <c r="K14372" s="629"/>
      <c r="L14372" s="629"/>
      <c r="M14372" s="629"/>
      <c r="N14372" s="629"/>
      <c r="O14372" s="629"/>
      <c r="P14372" s="629"/>
      <c r="Q14372" s="629"/>
      <c r="R14372" s="629"/>
    </row>
    <row r="14373" spans="1:18" ht="12.75" customHeight="1">
      <c r="A14373" s="628" t="s">
        <v>25853</v>
      </c>
      <c r="B14373" s="629"/>
      <c r="C14373" s="629"/>
      <c r="D14373" s="629"/>
      <c r="E14373" s="629"/>
      <c r="F14373" s="629"/>
      <c r="G14373" s="629"/>
      <c r="H14373" s="629"/>
      <c r="I14373" s="629"/>
      <c r="J14373" s="629"/>
      <c r="K14373" s="629"/>
      <c r="L14373" s="629"/>
      <c r="M14373" s="629"/>
      <c r="N14373" s="629"/>
      <c r="O14373" s="629"/>
      <c r="P14373" s="629"/>
      <c r="Q14373" s="629"/>
      <c r="R14373" s="629"/>
    </row>
    <row r="14374" spans="1:18" ht="24">
      <c r="A14374" s="408">
        <v>559</v>
      </c>
      <c r="B14374" s="405" t="s">
        <v>25854</v>
      </c>
      <c r="C14374" s="409" t="s">
        <v>25855</v>
      </c>
      <c r="D14374" s="410">
        <v>1667.25</v>
      </c>
      <c r="E14374" s="410">
        <v>614.63</v>
      </c>
      <c r="F14374" s="410">
        <v>1038.83</v>
      </c>
      <c r="G14374" s="410">
        <v>13.79</v>
      </c>
      <c r="H14374" s="411">
        <v>12803.59</v>
      </c>
      <c r="I14374" s="411">
        <v>7068.22</v>
      </c>
      <c r="J14374" s="411">
        <v>5580.92</v>
      </c>
      <c r="K14374" s="411">
        <v>154.44999999999999</v>
      </c>
      <c r="L14374" s="43">
        <v>7.6794661868346079</v>
      </c>
      <c r="M14374" s="43">
        <v>11.499959325122433</v>
      </c>
      <c r="N14374" s="43">
        <v>5.372313082987592</v>
      </c>
      <c r="O14374" s="43">
        <v>11.200145032632342</v>
      </c>
      <c r="P14374" s="412"/>
      <c r="Q14374" s="412"/>
      <c r="R14374" s="412">
        <v>1</v>
      </c>
    </row>
    <row r="14375" spans="1:18" ht="36">
      <c r="A14375" s="408">
        <v>560</v>
      </c>
      <c r="B14375" s="405" t="s">
        <v>25856</v>
      </c>
      <c r="C14375" s="409" t="s">
        <v>25857</v>
      </c>
      <c r="D14375" s="410">
        <v>68.92</v>
      </c>
      <c r="E14375" s="410">
        <v>67.209999999999994</v>
      </c>
      <c r="F14375" s="410">
        <v>0.37</v>
      </c>
      <c r="G14375" s="410">
        <v>1.34</v>
      </c>
      <c r="H14375" s="411">
        <v>789.88</v>
      </c>
      <c r="I14375" s="411">
        <v>772.89</v>
      </c>
      <c r="J14375" s="411">
        <v>1.58</v>
      </c>
      <c r="K14375" s="411">
        <v>15.41</v>
      </c>
      <c r="L14375" s="43">
        <v>11.460824143934996</v>
      </c>
      <c r="M14375" s="43">
        <v>11.499628031542926</v>
      </c>
      <c r="N14375" s="43">
        <v>4.2702702702702702</v>
      </c>
      <c r="O14375" s="43">
        <v>11.5</v>
      </c>
      <c r="P14375" s="412"/>
      <c r="Q14375" s="412"/>
      <c r="R14375" s="412">
        <v>1</v>
      </c>
    </row>
    <row r="14376" spans="1:18" ht="24">
      <c r="A14376" s="408">
        <v>561</v>
      </c>
      <c r="B14376" s="405" t="s">
        <v>25858</v>
      </c>
      <c r="C14376" s="409" t="s">
        <v>25859</v>
      </c>
      <c r="D14376" s="410">
        <v>979.76</v>
      </c>
      <c r="E14376" s="410">
        <v>451.56</v>
      </c>
      <c r="F14376" s="410">
        <v>518.69000000000005</v>
      </c>
      <c r="G14376" s="410">
        <v>9.51</v>
      </c>
      <c r="H14376" s="411">
        <v>8087.98</v>
      </c>
      <c r="I14376" s="411">
        <v>5193.1000000000004</v>
      </c>
      <c r="J14376" s="411">
        <v>2786.86</v>
      </c>
      <c r="K14376" s="411">
        <v>108.02</v>
      </c>
      <c r="L14376" s="43">
        <v>8.2550624642769659</v>
      </c>
      <c r="M14376" s="43">
        <v>11.50035432722119</v>
      </c>
      <c r="N14376" s="43">
        <v>5.3728816827006494</v>
      </c>
      <c r="O14376" s="43">
        <v>11.358569926393271</v>
      </c>
      <c r="P14376" s="412"/>
      <c r="Q14376" s="412"/>
      <c r="R14376" s="412">
        <v>1</v>
      </c>
    </row>
    <row r="14377" spans="1:18" ht="36">
      <c r="A14377" s="408">
        <v>562</v>
      </c>
      <c r="B14377" s="405" t="s">
        <v>25860</v>
      </c>
      <c r="C14377" s="409" t="s">
        <v>25861</v>
      </c>
      <c r="D14377" s="410">
        <v>640.58000000000004</v>
      </c>
      <c r="E14377" s="410">
        <v>118.5</v>
      </c>
      <c r="F14377" s="410">
        <v>518.69000000000005</v>
      </c>
      <c r="G14377" s="410">
        <v>3.39</v>
      </c>
      <c r="H14377" s="411">
        <v>4185.76</v>
      </c>
      <c r="I14377" s="411">
        <v>1362.7</v>
      </c>
      <c r="J14377" s="411">
        <v>2786.86</v>
      </c>
      <c r="K14377" s="411">
        <v>36.200000000000003</v>
      </c>
      <c r="L14377" s="43">
        <v>6.5343282650098349</v>
      </c>
      <c r="M14377" s="43">
        <v>11.49957805907173</v>
      </c>
      <c r="N14377" s="43">
        <v>5.3728816827006494</v>
      </c>
      <c r="O14377" s="43">
        <v>10.678466076696166</v>
      </c>
      <c r="P14377" s="412"/>
      <c r="Q14377" s="412"/>
      <c r="R14377" s="412">
        <v>1</v>
      </c>
    </row>
    <row r="14378" spans="1:18" ht="12.75" customHeight="1">
      <c r="A14378" s="628" t="s">
        <v>25862</v>
      </c>
      <c r="B14378" s="629"/>
      <c r="C14378" s="629"/>
      <c r="D14378" s="629"/>
      <c r="E14378" s="629"/>
      <c r="F14378" s="629"/>
      <c r="G14378" s="629"/>
      <c r="H14378" s="629"/>
      <c r="I14378" s="629"/>
      <c r="J14378" s="629"/>
      <c r="K14378" s="629"/>
      <c r="L14378" s="629"/>
      <c r="M14378" s="629"/>
      <c r="N14378" s="629"/>
      <c r="O14378" s="629"/>
      <c r="P14378" s="629"/>
      <c r="Q14378" s="629"/>
      <c r="R14378" s="629"/>
    </row>
    <row r="14379" spans="1:18" ht="12.75" customHeight="1">
      <c r="A14379" s="628" t="s">
        <v>25863</v>
      </c>
      <c r="B14379" s="629"/>
      <c r="C14379" s="629"/>
      <c r="D14379" s="629"/>
      <c r="E14379" s="629"/>
      <c r="F14379" s="629"/>
      <c r="G14379" s="629"/>
      <c r="H14379" s="629"/>
      <c r="I14379" s="629"/>
      <c r="J14379" s="629"/>
      <c r="K14379" s="629"/>
      <c r="L14379" s="629"/>
      <c r="M14379" s="629"/>
      <c r="N14379" s="629"/>
      <c r="O14379" s="629"/>
      <c r="P14379" s="629"/>
      <c r="Q14379" s="629"/>
      <c r="R14379" s="629"/>
    </row>
    <row r="14380" spans="1:18" ht="24">
      <c r="A14380" s="408">
        <v>563</v>
      </c>
      <c r="B14380" s="405" t="s">
        <v>25864</v>
      </c>
      <c r="C14380" s="409" t="s">
        <v>25865</v>
      </c>
      <c r="D14380" s="410">
        <v>2674.93</v>
      </c>
      <c r="E14380" s="410">
        <v>2484.04</v>
      </c>
      <c r="F14380" s="410">
        <v>133.81</v>
      </c>
      <c r="G14380" s="410">
        <v>57.08</v>
      </c>
      <c r="H14380" s="411">
        <v>29898.27</v>
      </c>
      <c r="I14380" s="411">
        <v>28566.46</v>
      </c>
      <c r="J14380" s="411">
        <v>695.65</v>
      </c>
      <c r="K14380" s="411">
        <v>636.16</v>
      </c>
      <c r="L14380" s="43">
        <v>11.177215852377445</v>
      </c>
      <c r="M14380" s="43">
        <v>11.5</v>
      </c>
      <c r="N14380" s="43">
        <v>5.1987893281518565</v>
      </c>
      <c r="O14380" s="43">
        <v>11.145059565522073</v>
      </c>
      <c r="P14380" s="412"/>
      <c r="Q14380" s="412"/>
      <c r="R14380" s="412">
        <v>1</v>
      </c>
    </row>
    <row r="14381" spans="1:18" ht="36">
      <c r="A14381" s="408">
        <v>564</v>
      </c>
      <c r="B14381" s="405" t="s">
        <v>25866</v>
      </c>
      <c r="C14381" s="409" t="s">
        <v>25867</v>
      </c>
      <c r="D14381" s="410">
        <v>113.61</v>
      </c>
      <c r="E14381" s="410">
        <v>94.59</v>
      </c>
      <c r="F14381" s="410">
        <v>17.13</v>
      </c>
      <c r="G14381" s="410">
        <v>1.89</v>
      </c>
      <c r="H14381" s="411">
        <v>1199.04</v>
      </c>
      <c r="I14381" s="411">
        <v>1087.73</v>
      </c>
      <c r="J14381" s="411">
        <v>89.57</v>
      </c>
      <c r="K14381" s="411">
        <v>21.74</v>
      </c>
      <c r="L14381" s="43">
        <v>10.554000528122524</v>
      </c>
      <c r="M14381" s="43">
        <v>11.499418543186383</v>
      </c>
      <c r="N14381" s="43">
        <v>5.2288382953882078</v>
      </c>
      <c r="O14381" s="43">
        <v>11.502645502645503</v>
      </c>
      <c r="P14381" s="412"/>
      <c r="Q14381" s="412"/>
      <c r="R14381" s="412">
        <v>1</v>
      </c>
    </row>
    <row r="14382" spans="1:18" ht="36">
      <c r="A14382" s="408">
        <v>565</v>
      </c>
      <c r="B14382" s="405" t="s">
        <v>25868</v>
      </c>
      <c r="C14382" s="409" t="s">
        <v>25869</v>
      </c>
      <c r="D14382" s="410">
        <v>407.81</v>
      </c>
      <c r="E14382" s="410">
        <v>387.21</v>
      </c>
      <c r="F14382" s="410">
        <v>12.38</v>
      </c>
      <c r="G14382" s="410">
        <v>8.2200000000000006</v>
      </c>
      <c r="H14382" s="411">
        <v>4610.99</v>
      </c>
      <c r="I14382" s="411">
        <v>4453.12</v>
      </c>
      <c r="J14382" s="411">
        <v>64.69</v>
      </c>
      <c r="K14382" s="411">
        <v>93.18</v>
      </c>
      <c r="L14382" s="43">
        <v>11.306711458767563</v>
      </c>
      <c r="M14382" s="43">
        <v>11.500529428475504</v>
      </c>
      <c r="N14382" s="43">
        <v>5.225363489499192</v>
      </c>
      <c r="O14382" s="43">
        <v>11.335766423357665</v>
      </c>
      <c r="P14382" s="412"/>
      <c r="Q14382" s="412"/>
      <c r="R14382" s="412">
        <v>1</v>
      </c>
    </row>
    <row r="14383" spans="1:18" ht="36">
      <c r="A14383" s="408">
        <v>566</v>
      </c>
      <c r="B14383" s="405" t="s">
        <v>25870</v>
      </c>
      <c r="C14383" s="409" t="s">
        <v>25871</v>
      </c>
      <c r="D14383" s="410">
        <v>387.02</v>
      </c>
      <c r="E14383" s="410">
        <v>370.34</v>
      </c>
      <c r="F14383" s="410">
        <v>9</v>
      </c>
      <c r="G14383" s="410">
        <v>7.68</v>
      </c>
      <c r="H14383" s="411">
        <v>4392.93</v>
      </c>
      <c r="I14383" s="411">
        <v>4258.8599999999997</v>
      </c>
      <c r="J14383" s="411">
        <v>46.47</v>
      </c>
      <c r="K14383" s="411">
        <v>87.6</v>
      </c>
      <c r="L14383" s="43">
        <v>11.350653712986411</v>
      </c>
      <c r="M14383" s="43">
        <v>11.499864988929092</v>
      </c>
      <c r="N14383" s="43">
        <v>5.1633333333333331</v>
      </c>
      <c r="O14383" s="43">
        <v>11.40625</v>
      </c>
      <c r="P14383" s="412"/>
      <c r="Q14383" s="412"/>
      <c r="R14383" s="412">
        <v>1</v>
      </c>
    </row>
    <row r="14384" spans="1:18" ht="36">
      <c r="A14384" s="408">
        <v>567</v>
      </c>
      <c r="B14384" s="405" t="s">
        <v>25872</v>
      </c>
      <c r="C14384" s="409" t="s">
        <v>25873</v>
      </c>
      <c r="D14384" s="410">
        <v>137.29</v>
      </c>
      <c r="E14384" s="410">
        <v>119.95</v>
      </c>
      <c r="F14384" s="410">
        <v>13.44</v>
      </c>
      <c r="G14384" s="410">
        <v>3.9</v>
      </c>
      <c r="H14384" s="411">
        <v>1490.35</v>
      </c>
      <c r="I14384" s="411">
        <v>1379.5</v>
      </c>
      <c r="J14384" s="411">
        <v>70.14</v>
      </c>
      <c r="K14384" s="411">
        <v>40.71</v>
      </c>
      <c r="L14384" s="43">
        <v>10.855488382256537</v>
      </c>
      <c r="M14384" s="43">
        <v>11.500625260525219</v>
      </c>
      <c r="N14384" s="43">
        <v>5.21875</v>
      </c>
      <c r="O14384" s="43">
        <v>10.438461538461539</v>
      </c>
      <c r="P14384" s="412"/>
      <c r="Q14384" s="412"/>
      <c r="R14384" s="412">
        <v>1</v>
      </c>
    </row>
    <row r="14385" spans="1:18" ht="36">
      <c r="A14385" s="408">
        <v>568</v>
      </c>
      <c r="B14385" s="405" t="s">
        <v>25874</v>
      </c>
      <c r="C14385" s="409" t="s">
        <v>25875</v>
      </c>
      <c r="D14385" s="410">
        <v>165.83</v>
      </c>
      <c r="E14385" s="410">
        <v>141.33000000000001</v>
      </c>
      <c r="F14385" s="410">
        <v>20.170000000000002</v>
      </c>
      <c r="G14385" s="410">
        <v>4.33</v>
      </c>
      <c r="H14385" s="411">
        <v>1776.86</v>
      </c>
      <c r="I14385" s="411">
        <v>1625.32</v>
      </c>
      <c r="J14385" s="411">
        <v>105.88</v>
      </c>
      <c r="K14385" s="411">
        <v>45.66</v>
      </c>
      <c r="L14385" s="43">
        <v>10.714949044201893</v>
      </c>
      <c r="M14385" s="43">
        <v>11.500176890964408</v>
      </c>
      <c r="N14385" s="43">
        <v>5.2493802677243426</v>
      </c>
      <c r="O14385" s="43">
        <v>10.545034642032332</v>
      </c>
      <c r="P14385" s="412"/>
      <c r="Q14385" s="412"/>
      <c r="R14385" s="412">
        <v>1</v>
      </c>
    </row>
    <row r="14386" spans="1:18" ht="36">
      <c r="A14386" s="408">
        <v>569</v>
      </c>
      <c r="B14386" s="405" t="s">
        <v>25876</v>
      </c>
      <c r="C14386" s="409" t="s">
        <v>25877</v>
      </c>
      <c r="D14386" s="410">
        <v>174.19</v>
      </c>
      <c r="E14386" s="410">
        <v>142.83000000000001</v>
      </c>
      <c r="F14386" s="410">
        <v>26.46</v>
      </c>
      <c r="G14386" s="410">
        <v>4.9000000000000004</v>
      </c>
      <c r="H14386" s="411">
        <v>1832.42</v>
      </c>
      <c r="I14386" s="411">
        <v>1642.55</v>
      </c>
      <c r="J14386" s="411">
        <v>139.1</v>
      </c>
      <c r="K14386" s="411">
        <v>50.77</v>
      </c>
      <c r="L14386" s="43">
        <v>10.519662437568174</v>
      </c>
      <c r="M14386" s="43">
        <v>11.500035006651263</v>
      </c>
      <c r="N14386" s="43">
        <v>5.256991685563114</v>
      </c>
      <c r="O14386" s="43">
        <v>10.361224489795918</v>
      </c>
      <c r="P14386" s="412"/>
      <c r="Q14386" s="412"/>
      <c r="R14386" s="412">
        <v>1</v>
      </c>
    </row>
    <row r="14387" spans="1:18" ht="36">
      <c r="A14387" s="408">
        <v>570</v>
      </c>
      <c r="B14387" s="405" t="s">
        <v>25878</v>
      </c>
      <c r="C14387" s="409" t="s">
        <v>25879</v>
      </c>
      <c r="D14387" s="410">
        <v>728.56</v>
      </c>
      <c r="E14387" s="410">
        <v>696.29</v>
      </c>
      <c r="F14387" s="410">
        <v>17.59</v>
      </c>
      <c r="G14387" s="410">
        <v>14.68</v>
      </c>
      <c r="H14387" s="411">
        <v>8264.8799999999992</v>
      </c>
      <c r="I14387" s="411">
        <v>8007.68</v>
      </c>
      <c r="J14387" s="411">
        <v>90.44</v>
      </c>
      <c r="K14387" s="411">
        <v>166.76</v>
      </c>
      <c r="L14387" s="43">
        <v>11.34413088832766</v>
      </c>
      <c r="M14387" s="43">
        <v>11.500495483203839</v>
      </c>
      <c r="N14387" s="43">
        <v>5.1415577032404771</v>
      </c>
      <c r="O14387" s="43">
        <v>11.359673024523161</v>
      </c>
      <c r="P14387" s="412"/>
      <c r="Q14387" s="412"/>
      <c r="R14387" s="412">
        <v>1</v>
      </c>
    </row>
    <row r="14388" spans="1:18" ht="36">
      <c r="A14388" s="408">
        <v>571</v>
      </c>
      <c r="B14388" s="405" t="s">
        <v>25880</v>
      </c>
      <c r="C14388" s="409" t="s">
        <v>25881</v>
      </c>
      <c r="D14388" s="410">
        <v>138.75</v>
      </c>
      <c r="E14388" s="410">
        <v>128.69</v>
      </c>
      <c r="F14388" s="410">
        <v>7.37</v>
      </c>
      <c r="G14388" s="410">
        <v>2.69</v>
      </c>
      <c r="H14388" s="411">
        <v>1548.11</v>
      </c>
      <c r="I14388" s="411">
        <v>1479.97</v>
      </c>
      <c r="J14388" s="411">
        <v>37.51</v>
      </c>
      <c r="K14388" s="411">
        <v>30.63</v>
      </c>
      <c r="L14388" s="43">
        <v>11.157549549549548</v>
      </c>
      <c r="M14388" s="43">
        <v>11.50027197140415</v>
      </c>
      <c r="N14388" s="43">
        <v>5.08955223880597</v>
      </c>
      <c r="O14388" s="43">
        <v>11.386617100371748</v>
      </c>
      <c r="P14388" s="412"/>
      <c r="Q14388" s="412"/>
      <c r="R14388" s="412">
        <v>1</v>
      </c>
    </row>
    <row r="14389" spans="1:18" ht="36">
      <c r="A14389" s="408">
        <v>572</v>
      </c>
      <c r="B14389" s="405" t="s">
        <v>25882</v>
      </c>
      <c r="C14389" s="409" t="s">
        <v>25883</v>
      </c>
      <c r="D14389" s="410">
        <v>445.11</v>
      </c>
      <c r="E14389" s="410">
        <v>426.28</v>
      </c>
      <c r="F14389" s="410">
        <v>9.5500000000000007</v>
      </c>
      <c r="G14389" s="410">
        <v>9.2799999999999994</v>
      </c>
      <c r="H14389" s="411">
        <v>5055.83</v>
      </c>
      <c r="I14389" s="411">
        <v>4902.3900000000003</v>
      </c>
      <c r="J14389" s="411">
        <v>48.78</v>
      </c>
      <c r="K14389" s="411">
        <v>104.66</v>
      </c>
      <c r="L14389" s="43">
        <v>11.358607984543147</v>
      </c>
      <c r="M14389" s="43">
        <v>11.500398798911515</v>
      </c>
      <c r="N14389" s="43">
        <v>5.1078534031413607</v>
      </c>
      <c r="O14389" s="43">
        <v>11.278017241379311</v>
      </c>
      <c r="P14389" s="412"/>
      <c r="Q14389" s="412"/>
      <c r="R14389" s="412">
        <v>1</v>
      </c>
    </row>
    <row r="14390" spans="1:18" ht="12.75" customHeight="1">
      <c r="A14390" s="628" t="s">
        <v>25884</v>
      </c>
      <c r="B14390" s="629"/>
      <c r="C14390" s="629"/>
      <c r="D14390" s="629"/>
      <c r="E14390" s="629"/>
      <c r="F14390" s="629"/>
      <c r="G14390" s="629"/>
      <c r="H14390" s="629"/>
      <c r="I14390" s="629"/>
      <c r="J14390" s="629"/>
      <c r="K14390" s="629"/>
      <c r="L14390" s="629"/>
      <c r="M14390" s="629"/>
      <c r="N14390" s="629"/>
      <c r="O14390" s="629"/>
      <c r="P14390" s="629"/>
      <c r="Q14390" s="629"/>
      <c r="R14390" s="629"/>
    </row>
    <row r="14391" spans="1:18" ht="24">
      <c r="A14391" s="408">
        <v>573</v>
      </c>
      <c r="B14391" s="405" t="s">
        <v>25885</v>
      </c>
      <c r="C14391" s="409" t="s">
        <v>25886</v>
      </c>
      <c r="D14391" s="410">
        <v>401.92</v>
      </c>
      <c r="E14391" s="410">
        <v>308.76</v>
      </c>
      <c r="F14391" s="410">
        <v>16.940000000000001</v>
      </c>
      <c r="G14391" s="410">
        <v>76.22</v>
      </c>
      <c r="H14391" s="411">
        <v>4322.8100000000004</v>
      </c>
      <c r="I14391" s="411">
        <v>3550.86</v>
      </c>
      <c r="J14391" s="411">
        <v>87</v>
      </c>
      <c r="K14391" s="411">
        <v>684.95</v>
      </c>
      <c r="L14391" s="43">
        <v>10.755399084394906</v>
      </c>
      <c r="M14391" s="43">
        <v>11.500388651379714</v>
      </c>
      <c r="N14391" s="43">
        <v>5.1357733175914992</v>
      </c>
      <c r="O14391" s="43">
        <v>8.9864864864864877</v>
      </c>
      <c r="P14391" s="412"/>
      <c r="Q14391" s="412"/>
      <c r="R14391" s="412">
        <v>2</v>
      </c>
    </row>
    <row r="14392" spans="1:18" ht="12.75" customHeight="1">
      <c r="A14392" s="628" t="s">
        <v>25887</v>
      </c>
      <c r="B14392" s="629"/>
      <c r="C14392" s="629"/>
      <c r="D14392" s="629"/>
      <c r="E14392" s="629"/>
      <c r="F14392" s="629"/>
      <c r="G14392" s="629"/>
      <c r="H14392" s="629"/>
      <c r="I14392" s="629"/>
      <c r="J14392" s="629"/>
      <c r="K14392" s="629"/>
      <c r="L14392" s="629"/>
      <c r="M14392" s="629"/>
      <c r="N14392" s="629"/>
      <c r="O14392" s="629"/>
      <c r="P14392" s="629"/>
      <c r="Q14392" s="629"/>
      <c r="R14392" s="629"/>
    </row>
    <row r="14393" spans="1:18" ht="24">
      <c r="A14393" s="408">
        <v>574</v>
      </c>
      <c r="B14393" s="405" t="s">
        <v>25888</v>
      </c>
      <c r="C14393" s="409" t="s">
        <v>25889</v>
      </c>
      <c r="D14393" s="410">
        <v>82.9</v>
      </c>
      <c r="E14393" s="410">
        <v>79.989999999999995</v>
      </c>
      <c r="F14393" s="410">
        <v>1.31</v>
      </c>
      <c r="G14393" s="410">
        <v>1.6</v>
      </c>
      <c r="H14393" s="411">
        <v>945.14</v>
      </c>
      <c r="I14393" s="411">
        <v>919.94</v>
      </c>
      <c r="J14393" s="411">
        <v>6.8</v>
      </c>
      <c r="K14393" s="411">
        <v>18.399999999999999</v>
      </c>
      <c r="L14393" s="43">
        <v>11.400965018094089</v>
      </c>
      <c r="M14393" s="43">
        <v>11.500687585948246</v>
      </c>
      <c r="N14393" s="43">
        <v>5.1908396946564883</v>
      </c>
      <c r="O14393" s="43">
        <v>11.499999999999998</v>
      </c>
      <c r="P14393" s="412"/>
      <c r="Q14393" s="412"/>
      <c r="R14393" s="412">
        <v>3</v>
      </c>
    </row>
    <row r="14394" spans="1:18" ht="24">
      <c r="A14394" s="413">
        <v>575</v>
      </c>
      <c r="B14394" s="414" t="s">
        <v>25890</v>
      </c>
      <c r="C14394" s="415" t="s">
        <v>25891</v>
      </c>
      <c r="D14394" s="416">
        <v>106.29</v>
      </c>
      <c r="E14394" s="416">
        <v>102.92</v>
      </c>
      <c r="F14394" s="416">
        <v>1.31</v>
      </c>
      <c r="G14394" s="416">
        <v>2.06</v>
      </c>
      <c r="H14394" s="417">
        <v>1214.1099999999999</v>
      </c>
      <c r="I14394" s="417">
        <v>1183.6199999999999</v>
      </c>
      <c r="J14394" s="417">
        <v>6.8</v>
      </c>
      <c r="K14394" s="417">
        <v>23.69</v>
      </c>
      <c r="L14394" s="611">
        <v>11.422617367579262</v>
      </c>
      <c r="M14394" s="611">
        <v>11.500388651379712</v>
      </c>
      <c r="N14394" s="611">
        <v>5.1908396946564883</v>
      </c>
      <c r="O14394" s="611">
        <v>11.5</v>
      </c>
      <c r="P14394" s="418"/>
      <c r="Q14394" s="418"/>
      <c r="R14394" s="418">
        <v>3</v>
      </c>
    </row>
    <row r="14395" spans="1:18" ht="12.75" customHeight="1">
      <c r="A14395" s="630" t="s">
        <v>25892</v>
      </c>
      <c r="B14395" s="631"/>
      <c r="C14395" s="631"/>
      <c r="D14395" s="631"/>
      <c r="E14395" s="631"/>
      <c r="F14395" s="631"/>
      <c r="G14395" s="631"/>
      <c r="H14395" s="631"/>
      <c r="I14395" s="631"/>
      <c r="J14395" s="631"/>
      <c r="K14395" s="631"/>
      <c r="L14395" s="631"/>
      <c r="M14395" s="631"/>
      <c r="N14395" s="631"/>
      <c r="O14395" s="631"/>
      <c r="P14395" s="631"/>
      <c r="Q14395" s="631"/>
      <c r="R14395" s="631"/>
    </row>
    <row r="14396" spans="1:18" ht="12.75" customHeight="1">
      <c r="A14396" s="628" t="s">
        <v>25893</v>
      </c>
      <c r="B14396" s="629"/>
      <c r="C14396" s="629"/>
      <c r="D14396" s="629"/>
      <c r="E14396" s="629"/>
      <c r="F14396" s="629"/>
      <c r="G14396" s="629"/>
      <c r="H14396" s="629"/>
      <c r="I14396" s="629"/>
      <c r="J14396" s="629"/>
      <c r="K14396" s="629"/>
      <c r="L14396" s="629"/>
      <c r="M14396" s="629"/>
      <c r="N14396" s="629"/>
      <c r="O14396" s="629"/>
      <c r="P14396" s="629"/>
      <c r="Q14396" s="629"/>
      <c r="R14396" s="629"/>
    </row>
    <row r="14397" spans="1:18" ht="24">
      <c r="A14397" s="408">
        <v>576</v>
      </c>
      <c r="B14397" s="405" t="s">
        <v>25894</v>
      </c>
      <c r="C14397" s="409" t="s">
        <v>25895</v>
      </c>
      <c r="D14397" s="410">
        <v>2644.68</v>
      </c>
      <c r="E14397" s="410">
        <v>925.34</v>
      </c>
      <c r="F14397" s="410">
        <v>855.24</v>
      </c>
      <c r="G14397" s="410">
        <v>864.1</v>
      </c>
      <c r="H14397" s="411">
        <v>18589.080000000002</v>
      </c>
      <c r="I14397" s="411">
        <v>10641.89</v>
      </c>
      <c r="J14397" s="411">
        <v>4539.8999999999996</v>
      </c>
      <c r="K14397" s="411">
        <v>3407.29</v>
      </c>
      <c r="L14397" s="43">
        <v>7.028857933663053</v>
      </c>
      <c r="M14397" s="43">
        <v>11.500518728251237</v>
      </c>
      <c r="N14397" s="43">
        <v>5.3083345025957618</v>
      </c>
      <c r="O14397" s="43">
        <v>3.9431663001967365</v>
      </c>
      <c r="P14397" s="412"/>
      <c r="Q14397" s="412"/>
      <c r="R14397" s="412">
        <v>1</v>
      </c>
    </row>
    <row r="14398" spans="1:18" ht="36">
      <c r="A14398" s="408">
        <v>577</v>
      </c>
      <c r="B14398" s="405" t="s">
        <v>25896</v>
      </c>
      <c r="C14398" s="409" t="s">
        <v>25897</v>
      </c>
      <c r="D14398" s="410">
        <v>1389.19</v>
      </c>
      <c r="E14398" s="410">
        <v>498.46</v>
      </c>
      <c r="F14398" s="410">
        <v>518.92999999999995</v>
      </c>
      <c r="G14398" s="410">
        <v>371.8</v>
      </c>
      <c r="H14398" s="411">
        <v>9986.24</v>
      </c>
      <c r="I14398" s="411">
        <v>5732.24</v>
      </c>
      <c r="J14398" s="411">
        <v>2785.64</v>
      </c>
      <c r="K14398" s="411">
        <v>1468.36</v>
      </c>
      <c r="L14398" s="43">
        <v>7.1885343257581749</v>
      </c>
      <c r="M14398" s="43">
        <v>11.499899691048428</v>
      </c>
      <c r="N14398" s="43">
        <v>5.3680457865222673</v>
      </c>
      <c r="O14398" s="43">
        <v>3.9493275954814413</v>
      </c>
      <c r="P14398" s="412"/>
      <c r="Q14398" s="412"/>
      <c r="R14398" s="412">
        <v>1</v>
      </c>
    </row>
    <row r="14399" spans="1:18" ht="24">
      <c r="A14399" s="408">
        <v>578</v>
      </c>
      <c r="B14399" s="405" t="s">
        <v>25898</v>
      </c>
      <c r="C14399" s="409" t="s">
        <v>25899</v>
      </c>
      <c r="D14399" s="410">
        <v>1145.3399999999999</v>
      </c>
      <c r="E14399" s="410">
        <v>504.74</v>
      </c>
      <c r="F14399" s="410">
        <v>394.95</v>
      </c>
      <c r="G14399" s="410">
        <v>245.65</v>
      </c>
      <c r="H14399" s="411">
        <v>8923.1</v>
      </c>
      <c r="I14399" s="411">
        <v>5804.69</v>
      </c>
      <c r="J14399" s="411">
        <v>2101.0500000000002</v>
      </c>
      <c r="K14399" s="411">
        <v>1017.36</v>
      </c>
      <c r="L14399" s="43">
        <v>7.7907870152094585</v>
      </c>
      <c r="M14399" s="43">
        <v>11.500356619249514</v>
      </c>
      <c r="N14399" s="43">
        <v>5.3197873148499815</v>
      </c>
      <c r="O14399" s="43">
        <v>4.1415021371870546</v>
      </c>
      <c r="P14399" s="412"/>
      <c r="Q14399" s="412"/>
      <c r="R14399" s="412">
        <v>1</v>
      </c>
    </row>
    <row r="14400" spans="1:18" ht="36">
      <c r="A14400" s="408">
        <v>579</v>
      </c>
      <c r="B14400" s="405" t="s">
        <v>25900</v>
      </c>
      <c r="C14400" s="409" t="s">
        <v>25901</v>
      </c>
      <c r="D14400" s="410">
        <v>1173.01</v>
      </c>
      <c r="E14400" s="410">
        <v>551.76</v>
      </c>
      <c r="F14400" s="410">
        <v>376.96</v>
      </c>
      <c r="G14400" s="410">
        <v>244.29</v>
      </c>
      <c r="H14400" s="411">
        <v>9335.18</v>
      </c>
      <c r="I14400" s="411">
        <v>6345.5</v>
      </c>
      <c r="J14400" s="411">
        <v>1981.66</v>
      </c>
      <c r="K14400" s="411">
        <v>1008.02</v>
      </c>
      <c r="L14400" s="43">
        <v>7.9583123758535734</v>
      </c>
      <c r="M14400" s="43">
        <v>11.500471219370741</v>
      </c>
      <c r="N14400" s="43">
        <v>5.2569503395585739</v>
      </c>
      <c r="O14400" s="43">
        <v>4.1263252691473253</v>
      </c>
      <c r="P14400" s="412"/>
      <c r="Q14400" s="412"/>
      <c r="R14400" s="412">
        <v>1</v>
      </c>
    </row>
    <row r="14401" spans="1:18" ht="24">
      <c r="A14401" s="408">
        <v>580</v>
      </c>
      <c r="B14401" s="405" t="s">
        <v>25902</v>
      </c>
      <c r="C14401" s="409" t="s">
        <v>25903</v>
      </c>
      <c r="D14401" s="410">
        <v>648.83000000000004</v>
      </c>
      <c r="E14401" s="410">
        <v>281.11</v>
      </c>
      <c r="F14401" s="410">
        <v>232.36</v>
      </c>
      <c r="G14401" s="410">
        <v>135.36000000000001</v>
      </c>
      <c r="H14401" s="411">
        <v>5021.47</v>
      </c>
      <c r="I14401" s="411">
        <v>3232.84</v>
      </c>
      <c r="J14401" s="411">
        <v>1241.22</v>
      </c>
      <c r="K14401" s="411">
        <v>547.41</v>
      </c>
      <c r="L14401" s="43">
        <v>7.7392691460012637</v>
      </c>
      <c r="M14401" s="43">
        <v>11.500266799473515</v>
      </c>
      <c r="N14401" s="43">
        <v>5.3417972112239624</v>
      </c>
      <c r="O14401" s="43">
        <v>4.0441046099290769</v>
      </c>
      <c r="P14401" s="412"/>
      <c r="Q14401" s="412"/>
      <c r="R14401" s="412">
        <v>1</v>
      </c>
    </row>
    <row r="14402" spans="1:18" ht="12.75" customHeight="1">
      <c r="A14402" s="628" t="s">
        <v>25904</v>
      </c>
      <c r="B14402" s="629"/>
      <c r="C14402" s="629"/>
      <c r="D14402" s="629"/>
      <c r="E14402" s="629"/>
      <c r="F14402" s="629"/>
      <c r="G14402" s="629"/>
      <c r="H14402" s="629"/>
      <c r="I14402" s="629"/>
      <c r="J14402" s="629"/>
      <c r="K14402" s="629"/>
      <c r="L14402" s="629"/>
      <c r="M14402" s="629"/>
      <c r="N14402" s="629"/>
      <c r="O14402" s="629"/>
      <c r="P14402" s="629"/>
      <c r="Q14402" s="629"/>
      <c r="R14402" s="629"/>
    </row>
    <row r="14403" spans="1:18" ht="36">
      <c r="A14403" s="408">
        <v>581</v>
      </c>
      <c r="B14403" s="405" t="s">
        <v>25905</v>
      </c>
      <c r="C14403" s="409" t="s">
        <v>25906</v>
      </c>
      <c r="D14403" s="410">
        <v>1221.49</v>
      </c>
      <c r="E14403" s="410">
        <v>612.61</v>
      </c>
      <c r="F14403" s="410">
        <v>366.1</v>
      </c>
      <c r="G14403" s="410">
        <v>242.78</v>
      </c>
      <c r="H14403" s="411">
        <v>9939.9699999999993</v>
      </c>
      <c r="I14403" s="411">
        <v>7045.32</v>
      </c>
      <c r="J14403" s="411">
        <v>1896.55</v>
      </c>
      <c r="K14403" s="411">
        <v>998.1</v>
      </c>
      <c r="L14403" s="43">
        <v>8.1375778762003783</v>
      </c>
      <c r="M14403" s="43">
        <v>11.500497869770326</v>
      </c>
      <c r="N14403" s="43">
        <v>5.1804151871073474</v>
      </c>
      <c r="O14403" s="43">
        <v>4.1111294175797015</v>
      </c>
      <c r="P14403" s="412"/>
      <c r="Q14403" s="412"/>
      <c r="R14403" s="412">
        <v>2</v>
      </c>
    </row>
    <row r="14404" spans="1:18" ht="24">
      <c r="A14404" s="408">
        <v>582</v>
      </c>
      <c r="B14404" s="405" t="s">
        <v>25907</v>
      </c>
      <c r="C14404" s="409" t="s">
        <v>25908</v>
      </c>
      <c r="D14404" s="410">
        <v>2268.65</v>
      </c>
      <c r="E14404" s="410">
        <v>902.88</v>
      </c>
      <c r="F14404" s="410">
        <v>1019.37</v>
      </c>
      <c r="G14404" s="410">
        <v>346.4</v>
      </c>
      <c r="H14404" s="411">
        <v>17321.09</v>
      </c>
      <c r="I14404" s="411">
        <v>10383.549999999999</v>
      </c>
      <c r="J14404" s="411">
        <v>5378.87</v>
      </c>
      <c r="K14404" s="411">
        <v>1558.67</v>
      </c>
      <c r="L14404" s="43">
        <v>7.6349767482864257</v>
      </c>
      <c r="M14404" s="43">
        <v>11.500476253765727</v>
      </c>
      <c r="N14404" s="43">
        <v>5.2766610749776826</v>
      </c>
      <c r="O14404" s="43">
        <v>4.4996247113163976</v>
      </c>
      <c r="P14404" s="412"/>
      <c r="Q14404" s="412"/>
      <c r="R14404" s="412">
        <v>2</v>
      </c>
    </row>
    <row r="14405" spans="1:18" ht="36">
      <c r="A14405" s="413">
        <v>583</v>
      </c>
      <c r="B14405" s="414" t="s">
        <v>25909</v>
      </c>
      <c r="C14405" s="415" t="s">
        <v>25910</v>
      </c>
      <c r="D14405" s="416">
        <v>1731.46</v>
      </c>
      <c r="E14405" s="416">
        <v>665.48</v>
      </c>
      <c r="F14405" s="416">
        <v>534.04999999999995</v>
      </c>
      <c r="G14405" s="416">
        <v>531.92999999999995</v>
      </c>
      <c r="H14405" s="417">
        <v>12556.61</v>
      </c>
      <c r="I14405" s="417">
        <v>7653.04</v>
      </c>
      <c r="J14405" s="417">
        <v>2822.36</v>
      </c>
      <c r="K14405" s="417">
        <v>2081.21</v>
      </c>
      <c r="L14405" s="611">
        <v>7.252035854134661</v>
      </c>
      <c r="M14405" s="611">
        <v>11.500030053495221</v>
      </c>
      <c r="N14405" s="611">
        <v>5.2848235183971548</v>
      </c>
      <c r="O14405" s="611">
        <v>3.9125636831913977</v>
      </c>
      <c r="P14405" s="418"/>
      <c r="Q14405" s="418"/>
      <c r="R14405" s="418">
        <v>2</v>
      </c>
    </row>
    <row r="14406" spans="1:18" ht="12.75" customHeight="1">
      <c r="A14406" s="630" t="s">
        <v>25911</v>
      </c>
      <c r="B14406" s="631"/>
      <c r="C14406" s="631"/>
      <c r="D14406" s="631"/>
      <c r="E14406" s="631"/>
      <c r="F14406" s="631"/>
      <c r="G14406" s="631"/>
      <c r="H14406" s="631"/>
      <c r="I14406" s="631"/>
      <c r="J14406" s="631"/>
      <c r="K14406" s="631"/>
      <c r="L14406" s="631"/>
      <c r="M14406" s="631"/>
      <c r="N14406" s="631"/>
      <c r="O14406" s="631"/>
      <c r="P14406" s="631"/>
      <c r="Q14406" s="631"/>
      <c r="R14406" s="631"/>
    </row>
    <row r="14407" spans="1:18" ht="12.75" customHeight="1">
      <c r="A14407" s="628" t="s">
        <v>25459</v>
      </c>
      <c r="B14407" s="629"/>
      <c r="C14407" s="629"/>
      <c r="D14407" s="629"/>
      <c r="E14407" s="629"/>
      <c r="F14407" s="629"/>
      <c r="G14407" s="629"/>
      <c r="H14407" s="629"/>
      <c r="I14407" s="629"/>
      <c r="J14407" s="629"/>
      <c r="K14407" s="629"/>
      <c r="L14407" s="629"/>
      <c r="M14407" s="629"/>
      <c r="N14407" s="629"/>
      <c r="O14407" s="629"/>
      <c r="P14407" s="629"/>
      <c r="Q14407" s="629"/>
      <c r="R14407" s="629"/>
    </row>
    <row r="14408" spans="1:18" ht="36">
      <c r="A14408" s="408">
        <v>584</v>
      </c>
      <c r="B14408" s="405" t="s">
        <v>25912</v>
      </c>
      <c r="C14408" s="409" t="s">
        <v>25913</v>
      </c>
      <c r="D14408" s="410">
        <v>2118.34</v>
      </c>
      <c r="E14408" s="410">
        <v>1141.28</v>
      </c>
      <c r="F14408" s="410">
        <v>586.41</v>
      </c>
      <c r="G14408" s="410">
        <v>390.65</v>
      </c>
      <c r="H14408" s="411">
        <v>17836.09</v>
      </c>
      <c r="I14408" s="411">
        <v>13125.28</v>
      </c>
      <c r="J14408" s="411">
        <v>3042.11</v>
      </c>
      <c r="K14408" s="411">
        <v>1668.7</v>
      </c>
      <c r="L14408" s="43">
        <v>8.4198428958524119</v>
      </c>
      <c r="M14408" s="43">
        <v>11.500490677134446</v>
      </c>
      <c r="N14408" s="43">
        <v>5.1876843846455554</v>
      </c>
      <c r="O14408" s="43">
        <v>4.2715986176884684</v>
      </c>
      <c r="P14408" s="412"/>
      <c r="Q14408" s="412"/>
      <c r="R14408" s="412">
        <v>1</v>
      </c>
    </row>
    <row r="14409" spans="1:18" ht="36">
      <c r="A14409" s="408">
        <v>585</v>
      </c>
      <c r="B14409" s="405" t="s">
        <v>25914</v>
      </c>
      <c r="C14409" s="409" t="s">
        <v>25915</v>
      </c>
      <c r="D14409" s="410">
        <v>1063.6199999999999</v>
      </c>
      <c r="E14409" s="410">
        <v>581.9</v>
      </c>
      <c r="F14409" s="410">
        <v>379.01</v>
      </c>
      <c r="G14409" s="410">
        <v>102.71</v>
      </c>
      <c r="H14409" s="411">
        <v>9154.24</v>
      </c>
      <c r="I14409" s="411">
        <v>6691.85</v>
      </c>
      <c r="J14409" s="411">
        <v>1966.55</v>
      </c>
      <c r="K14409" s="411">
        <v>495.84</v>
      </c>
      <c r="L14409" s="43">
        <v>8.6066828378556259</v>
      </c>
      <c r="M14409" s="43">
        <v>11.500000000000002</v>
      </c>
      <c r="N14409" s="43">
        <v>5.1886493760059098</v>
      </c>
      <c r="O14409" s="43">
        <v>4.8275727777236881</v>
      </c>
      <c r="P14409" s="412"/>
      <c r="Q14409" s="412"/>
      <c r="R14409" s="412">
        <v>1</v>
      </c>
    </row>
    <row r="14410" spans="1:18" ht="36">
      <c r="A14410" s="408">
        <v>586</v>
      </c>
      <c r="B14410" s="405" t="s">
        <v>25916</v>
      </c>
      <c r="C14410" s="409" t="s">
        <v>25917</v>
      </c>
      <c r="D14410" s="410">
        <v>4947.18</v>
      </c>
      <c r="E14410" s="410">
        <v>3170.33</v>
      </c>
      <c r="F14410" s="410">
        <v>1093.1600000000001</v>
      </c>
      <c r="G14410" s="410">
        <v>683.69</v>
      </c>
      <c r="H14410" s="411">
        <v>45409.11</v>
      </c>
      <c r="I14410" s="411">
        <v>36460.239999999998</v>
      </c>
      <c r="J14410" s="411">
        <v>5400.49</v>
      </c>
      <c r="K14410" s="411">
        <v>3548.38</v>
      </c>
      <c r="L14410" s="43">
        <v>9.1787867027276135</v>
      </c>
      <c r="M14410" s="43">
        <v>11.500455788514129</v>
      </c>
      <c r="N14410" s="43">
        <v>4.9402557722565765</v>
      </c>
      <c r="O14410" s="43">
        <v>5.1900422706197249</v>
      </c>
      <c r="P14410" s="412"/>
      <c r="Q14410" s="412"/>
      <c r="R14410" s="412">
        <v>1</v>
      </c>
    </row>
    <row r="14411" spans="1:18" ht="24">
      <c r="A14411" s="408">
        <v>587</v>
      </c>
      <c r="B14411" s="405" t="s">
        <v>25918</v>
      </c>
      <c r="C14411" s="409" t="s">
        <v>25919</v>
      </c>
      <c r="D14411" s="410">
        <v>1419.96</v>
      </c>
      <c r="E14411" s="410">
        <v>565.49</v>
      </c>
      <c r="F14411" s="410">
        <v>504.62</v>
      </c>
      <c r="G14411" s="410">
        <v>349.85</v>
      </c>
      <c r="H14411" s="411">
        <v>10791.31</v>
      </c>
      <c r="I14411" s="411">
        <v>6503.38</v>
      </c>
      <c r="J14411" s="411">
        <v>2717.48</v>
      </c>
      <c r="K14411" s="411">
        <v>1570.45</v>
      </c>
      <c r="L14411" s="43">
        <v>7.5997281613566576</v>
      </c>
      <c r="M14411" s="43">
        <v>11.500433252577411</v>
      </c>
      <c r="N14411" s="43">
        <v>5.385200745115136</v>
      </c>
      <c r="O14411" s="43">
        <v>4.4889238244962124</v>
      </c>
      <c r="P14411" s="412"/>
      <c r="Q14411" s="412"/>
      <c r="R14411" s="412">
        <v>1</v>
      </c>
    </row>
    <row r="14412" spans="1:18" ht="12.75" customHeight="1">
      <c r="A14412" s="628" t="s">
        <v>25920</v>
      </c>
      <c r="B14412" s="629"/>
      <c r="C14412" s="629"/>
      <c r="D14412" s="629"/>
      <c r="E14412" s="629"/>
      <c r="F14412" s="629"/>
      <c r="G14412" s="629"/>
      <c r="H14412" s="629"/>
      <c r="I14412" s="629"/>
      <c r="J14412" s="629"/>
      <c r="K14412" s="629"/>
      <c r="L14412" s="629"/>
      <c r="M14412" s="629"/>
      <c r="N14412" s="629"/>
      <c r="O14412" s="629"/>
      <c r="P14412" s="629"/>
      <c r="Q14412" s="629"/>
      <c r="R14412" s="629"/>
    </row>
    <row r="14413" spans="1:18" ht="24">
      <c r="A14413" s="408">
        <v>588</v>
      </c>
      <c r="B14413" s="405" t="s">
        <v>25921</v>
      </c>
      <c r="C14413" s="409" t="s">
        <v>25922</v>
      </c>
      <c r="D14413" s="410">
        <v>8400.1200000000008</v>
      </c>
      <c r="E14413" s="410">
        <v>5353.36</v>
      </c>
      <c r="F14413" s="410">
        <v>1909.75</v>
      </c>
      <c r="G14413" s="410">
        <v>1137.01</v>
      </c>
      <c r="H14413" s="411">
        <v>77159.63</v>
      </c>
      <c r="I14413" s="411">
        <v>61566.080000000002</v>
      </c>
      <c r="J14413" s="411">
        <v>9552.06</v>
      </c>
      <c r="K14413" s="411">
        <v>6041.49</v>
      </c>
      <c r="L14413" s="43">
        <v>9.1855390161092938</v>
      </c>
      <c r="M14413" s="43">
        <v>11.500455788514131</v>
      </c>
      <c r="N14413" s="43">
        <v>5.0017332111532919</v>
      </c>
      <c r="O14413" s="43">
        <v>5.3134888875207782</v>
      </c>
      <c r="P14413" s="412"/>
      <c r="Q14413" s="412"/>
      <c r="R14413" s="412">
        <v>2</v>
      </c>
    </row>
    <row r="14414" spans="1:18" ht="12.75" customHeight="1">
      <c r="A14414" s="628" t="s">
        <v>25464</v>
      </c>
      <c r="B14414" s="629"/>
      <c r="C14414" s="629"/>
      <c r="D14414" s="629"/>
      <c r="E14414" s="629"/>
      <c r="F14414" s="629"/>
      <c r="G14414" s="629"/>
      <c r="H14414" s="629"/>
      <c r="I14414" s="629"/>
      <c r="J14414" s="629"/>
      <c r="K14414" s="629"/>
      <c r="L14414" s="629"/>
      <c r="M14414" s="629"/>
      <c r="N14414" s="629"/>
      <c r="O14414" s="629"/>
      <c r="P14414" s="629"/>
      <c r="Q14414" s="629"/>
      <c r="R14414" s="629"/>
    </row>
    <row r="14415" spans="1:18" ht="24">
      <c r="A14415" s="408">
        <v>589</v>
      </c>
      <c r="B14415" s="405" t="s">
        <v>25923</v>
      </c>
      <c r="C14415" s="409" t="s">
        <v>25924</v>
      </c>
      <c r="D14415" s="410">
        <v>850.78</v>
      </c>
      <c r="E14415" s="410">
        <v>475.04</v>
      </c>
      <c r="F14415" s="410">
        <v>194.34</v>
      </c>
      <c r="G14415" s="410">
        <v>181.4</v>
      </c>
      <c r="H14415" s="411">
        <v>7419.07</v>
      </c>
      <c r="I14415" s="411">
        <v>5462.98</v>
      </c>
      <c r="J14415" s="411">
        <v>994.54</v>
      </c>
      <c r="K14415" s="411">
        <v>961.55</v>
      </c>
      <c r="L14415" s="43">
        <v>8.7203154752109828</v>
      </c>
      <c r="M14415" s="43">
        <v>11.500042101717749</v>
      </c>
      <c r="N14415" s="43">
        <v>5.1175259853864361</v>
      </c>
      <c r="O14415" s="43">
        <v>5.3007166482910693</v>
      </c>
      <c r="P14415" s="412"/>
      <c r="Q14415" s="412"/>
      <c r="R14415" s="412">
        <v>3</v>
      </c>
    </row>
    <row r="14416" spans="1:18" ht="24">
      <c r="A14416" s="408">
        <v>590</v>
      </c>
      <c r="B14416" s="405" t="s">
        <v>25925</v>
      </c>
      <c r="C14416" s="409" t="s">
        <v>25926</v>
      </c>
      <c r="D14416" s="410">
        <v>2152.16</v>
      </c>
      <c r="E14416" s="410">
        <v>843.23</v>
      </c>
      <c r="F14416" s="410">
        <v>764.95</v>
      </c>
      <c r="G14416" s="410">
        <v>543.98</v>
      </c>
      <c r="H14416" s="411">
        <v>15988.26</v>
      </c>
      <c r="I14416" s="411">
        <v>9697.1</v>
      </c>
      <c r="J14416" s="411">
        <v>4094.63</v>
      </c>
      <c r="K14416" s="411">
        <v>2196.5300000000002</v>
      </c>
      <c r="L14416" s="43">
        <v>7.4289365102966327</v>
      </c>
      <c r="M14416" s="43">
        <v>11.499946633777261</v>
      </c>
      <c r="N14416" s="43">
        <v>5.3528073730309167</v>
      </c>
      <c r="O14416" s="43">
        <v>4.0378874223317034</v>
      </c>
      <c r="P14416" s="412"/>
      <c r="Q14416" s="412"/>
      <c r="R14416" s="412">
        <v>3</v>
      </c>
    </row>
    <row r="14417" spans="1:18" ht="24">
      <c r="A14417" s="408">
        <v>591</v>
      </c>
      <c r="B14417" s="405" t="s">
        <v>25927</v>
      </c>
      <c r="C14417" s="409" t="s">
        <v>25928</v>
      </c>
      <c r="D14417" s="410">
        <v>942.51</v>
      </c>
      <c r="E14417" s="410">
        <v>427.43</v>
      </c>
      <c r="F14417" s="410">
        <v>286.5</v>
      </c>
      <c r="G14417" s="410">
        <v>228.58</v>
      </c>
      <c r="H14417" s="411">
        <v>7390.51</v>
      </c>
      <c r="I14417" s="411">
        <v>4915.47</v>
      </c>
      <c r="J14417" s="411">
        <v>1525.31</v>
      </c>
      <c r="K14417" s="411">
        <v>949.73</v>
      </c>
      <c r="L14417" s="43">
        <v>7.84130672353609</v>
      </c>
      <c r="M14417" s="43">
        <v>11.500058489109328</v>
      </c>
      <c r="N14417" s="43">
        <v>5.3239441535776608</v>
      </c>
      <c r="O14417" s="43">
        <v>4.1549129407647216</v>
      </c>
      <c r="P14417" s="412"/>
      <c r="Q14417" s="412"/>
      <c r="R14417" s="412">
        <v>3</v>
      </c>
    </row>
    <row r="14418" spans="1:18" ht="12.75" customHeight="1">
      <c r="A14418" s="628" t="s">
        <v>25929</v>
      </c>
      <c r="B14418" s="629"/>
      <c r="C14418" s="629"/>
      <c r="D14418" s="629"/>
      <c r="E14418" s="629"/>
      <c r="F14418" s="629"/>
      <c r="G14418" s="629"/>
      <c r="H14418" s="629"/>
      <c r="I14418" s="629"/>
      <c r="J14418" s="629"/>
      <c r="K14418" s="629"/>
      <c r="L14418" s="629"/>
      <c r="M14418" s="629"/>
      <c r="N14418" s="629"/>
      <c r="O14418" s="629"/>
      <c r="P14418" s="629"/>
      <c r="Q14418" s="629"/>
      <c r="R14418" s="629"/>
    </row>
    <row r="14419" spans="1:18" ht="36">
      <c r="A14419" s="408">
        <v>592</v>
      </c>
      <c r="B14419" s="405" t="s">
        <v>25930</v>
      </c>
      <c r="C14419" s="409" t="s">
        <v>25931</v>
      </c>
      <c r="D14419" s="410">
        <v>3575.97</v>
      </c>
      <c r="E14419" s="410">
        <v>2610.96</v>
      </c>
      <c r="F14419" s="410">
        <v>738.83</v>
      </c>
      <c r="G14419" s="410">
        <v>226.18</v>
      </c>
      <c r="H14419" s="411">
        <v>34856.519999999997</v>
      </c>
      <c r="I14419" s="411">
        <v>30026.04</v>
      </c>
      <c r="J14419" s="411">
        <v>3505.02</v>
      </c>
      <c r="K14419" s="411">
        <v>1325.46</v>
      </c>
      <c r="L14419" s="43">
        <v>9.7474307670366365</v>
      </c>
      <c r="M14419" s="43">
        <v>11.5</v>
      </c>
      <c r="N14419" s="43">
        <v>4.7440141845891475</v>
      </c>
      <c r="O14419" s="43">
        <v>5.8601998408347331</v>
      </c>
      <c r="P14419" s="412"/>
      <c r="Q14419" s="412"/>
      <c r="R14419" s="412">
        <v>4</v>
      </c>
    </row>
    <row r="14420" spans="1:18" ht="12.75" customHeight="1">
      <c r="A14420" s="628" t="s">
        <v>25932</v>
      </c>
      <c r="B14420" s="629"/>
      <c r="C14420" s="629"/>
      <c r="D14420" s="629"/>
      <c r="E14420" s="629"/>
      <c r="F14420" s="629"/>
      <c r="G14420" s="629"/>
      <c r="H14420" s="629"/>
      <c r="I14420" s="629"/>
      <c r="J14420" s="629"/>
      <c r="K14420" s="629"/>
      <c r="L14420" s="629"/>
      <c r="M14420" s="629"/>
      <c r="N14420" s="629"/>
      <c r="O14420" s="629"/>
      <c r="P14420" s="629"/>
      <c r="Q14420" s="629"/>
      <c r="R14420" s="629"/>
    </row>
    <row r="14421" spans="1:18" ht="24">
      <c r="A14421" s="408">
        <v>593</v>
      </c>
      <c r="B14421" s="405" t="s">
        <v>25933</v>
      </c>
      <c r="C14421" s="409" t="s">
        <v>25934</v>
      </c>
      <c r="D14421" s="410">
        <v>2304.58</v>
      </c>
      <c r="E14421" s="410">
        <v>1059.76</v>
      </c>
      <c r="F14421" s="410">
        <v>690.38</v>
      </c>
      <c r="G14421" s="410">
        <v>554.44000000000005</v>
      </c>
      <c r="H14421" s="411">
        <v>18141.61</v>
      </c>
      <c r="I14421" s="411">
        <v>12187.76</v>
      </c>
      <c r="J14421" s="411">
        <v>3653.77</v>
      </c>
      <c r="K14421" s="411">
        <v>2300.08</v>
      </c>
      <c r="L14421" s="43">
        <v>7.8719810117244799</v>
      </c>
      <c r="M14421" s="43">
        <v>11.500490677134446</v>
      </c>
      <c r="N14421" s="43">
        <v>5.2924041832034527</v>
      </c>
      <c r="O14421" s="43">
        <v>4.148474136065218</v>
      </c>
      <c r="P14421" s="412"/>
      <c r="Q14421" s="412"/>
      <c r="R14421" s="412">
        <v>5</v>
      </c>
    </row>
    <row r="14422" spans="1:18" ht="12.75" customHeight="1">
      <c r="A14422" s="628" t="s">
        <v>25935</v>
      </c>
      <c r="B14422" s="629"/>
      <c r="C14422" s="629"/>
      <c r="D14422" s="629"/>
      <c r="E14422" s="629"/>
      <c r="F14422" s="629"/>
      <c r="G14422" s="629"/>
      <c r="H14422" s="629"/>
      <c r="I14422" s="629"/>
      <c r="J14422" s="629"/>
      <c r="K14422" s="629"/>
      <c r="L14422" s="629"/>
      <c r="M14422" s="629"/>
      <c r="N14422" s="629"/>
      <c r="O14422" s="629"/>
      <c r="P14422" s="629"/>
      <c r="Q14422" s="629"/>
      <c r="R14422" s="629"/>
    </row>
    <row r="14423" spans="1:18" ht="24">
      <c r="A14423" s="408">
        <v>594</v>
      </c>
      <c r="B14423" s="405" t="s">
        <v>25936</v>
      </c>
      <c r="C14423" s="409" t="s">
        <v>25937</v>
      </c>
      <c r="D14423" s="410">
        <v>1388.75</v>
      </c>
      <c r="E14423" s="410">
        <v>645.80999999999995</v>
      </c>
      <c r="F14423" s="410">
        <v>567.25</v>
      </c>
      <c r="G14423" s="410">
        <v>175.69</v>
      </c>
      <c r="H14423" s="411">
        <v>11258.59</v>
      </c>
      <c r="I14423" s="411">
        <v>7427.12</v>
      </c>
      <c r="J14423" s="411">
        <v>3056.01</v>
      </c>
      <c r="K14423" s="411">
        <v>775.46</v>
      </c>
      <c r="L14423" s="43">
        <v>8.1069954995499547</v>
      </c>
      <c r="M14423" s="43">
        <v>11.500472275127359</v>
      </c>
      <c r="N14423" s="43">
        <v>5.3874129572498903</v>
      </c>
      <c r="O14423" s="43">
        <v>4.4137970288576476</v>
      </c>
      <c r="P14423" s="412"/>
      <c r="Q14423" s="412"/>
      <c r="R14423" s="412">
        <v>6</v>
      </c>
    </row>
    <row r="14424" spans="1:18" ht="24">
      <c r="A14424" s="408">
        <v>595</v>
      </c>
      <c r="B14424" s="405" t="s">
        <v>25938</v>
      </c>
      <c r="C14424" s="409" t="s">
        <v>25939</v>
      </c>
      <c r="D14424" s="410">
        <v>629.96</v>
      </c>
      <c r="E14424" s="410">
        <v>305.14</v>
      </c>
      <c r="F14424" s="410">
        <v>226.56</v>
      </c>
      <c r="G14424" s="410">
        <v>98.26</v>
      </c>
      <c r="H14424" s="411">
        <v>5173.68</v>
      </c>
      <c r="I14424" s="411">
        <v>3509.26</v>
      </c>
      <c r="J14424" s="411">
        <v>1222.75</v>
      </c>
      <c r="K14424" s="411">
        <v>441.67</v>
      </c>
      <c r="L14424" s="43">
        <v>8.2127119182170301</v>
      </c>
      <c r="M14424" s="43">
        <v>11.500491577636495</v>
      </c>
      <c r="N14424" s="43">
        <v>5.3970250706214689</v>
      </c>
      <c r="O14424" s="43">
        <v>4.4949114593934461</v>
      </c>
      <c r="P14424" s="412"/>
      <c r="Q14424" s="412"/>
      <c r="R14424" s="412">
        <v>6</v>
      </c>
    </row>
    <row r="14425" spans="1:18" ht="12.75" customHeight="1">
      <c r="A14425" s="628" t="s">
        <v>19144</v>
      </c>
      <c r="B14425" s="629"/>
      <c r="C14425" s="629"/>
      <c r="D14425" s="629"/>
      <c r="E14425" s="629"/>
      <c r="F14425" s="629"/>
      <c r="G14425" s="629"/>
      <c r="H14425" s="629"/>
      <c r="I14425" s="629"/>
      <c r="J14425" s="629"/>
      <c r="K14425" s="629"/>
      <c r="L14425" s="629"/>
      <c r="M14425" s="629"/>
      <c r="N14425" s="629"/>
      <c r="O14425" s="629"/>
      <c r="P14425" s="629"/>
      <c r="Q14425" s="629"/>
      <c r="R14425" s="629"/>
    </row>
    <row r="14426" spans="1:18" ht="24">
      <c r="A14426" s="408">
        <v>596</v>
      </c>
      <c r="B14426" s="405" t="s">
        <v>25940</v>
      </c>
      <c r="C14426" s="409" t="s">
        <v>25941</v>
      </c>
      <c r="D14426" s="410">
        <v>1330.16</v>
      </c>
      <c r="E14426" s="410">
        <v>617.87</v>
      </c>
      <c r="F14426" s="410">
        <v>539.16</v>
      </c>
      <c r="G14426" s="410">
        <v>173.13</v>
      </c>
      <c r="H14426" s="411">
        <v>10674.28</v>
      </c>
      <c r="I14426" s="411">
        <v>7105.53</v>
      </c>
      <c r="J14426" s="411">
        <v>2817.31</v>
      </c>
      <c r="K14426" s="411">
        <v>751.44</v>
      </c>
      <c r="L14426" s="43">
        <v>8.0248090455283574</v>
      </c>
      <c r="M14426" s="43">
        <v>11.500040461585771</v>
      </c>
      <c r="N14426" s="43">
        <v>5.2253690926626604</v>
      </c>
      <c r="O14426" s="43">
        <v>4.3403223011609775</v>
      </c>
      <c r="P14426" s="412"/>
      <c r="Q14426" s="412"/>
      <c r="R14426" s="412">
        <v>7</v>
      </c>
    </row>
    <row r="14427" spans="1:18" ht="24">
      <c r="A14427" s="408">
        <v>597</v>
      </c>
      <c r="B14427" s="405" t="s">
        <v>25942</v>
      </c>
      <c r="C14427" s="409" t="s">
        <v>25943</v>
      </c>
      <c r="D14427" s="410">
        <v>2962.81</v>
      </c>
      <c r="E14427" s="410">
        <v>1864.9</v>
      </c>
      <c r="F14427" s="410">
        <v>744.85</v>
      </c>
      <c r="G14427" s="410">
        <v>353.06</v>
      </c>
      <c r="H14427" s="411">
        <v>26739.83</v>
      </c>
      <c r="I14427" s="411">
        <v>21447.200000000001</v>
      </c>
      <c r="J14427" s="411">
        <v>3622.96</v>
      </c>
      <c r="K14427" s="411">
        <v>1669.67</v>
      </c>
      <c r="L14427" s="43">
        <v>9.0251585488100829</v>
      </c>
      <c r="M14427" s="43">
        <v>11.500455788514129</v>
      </c>
      <c r="N14427" s="43">
        <v>4.8640128885010405</v>
      </c>
      <c r="O14427" s="43">
        <v>4.7291395230272473</v>
      </c>
      <c r="P14427" s="412"/>
      <c r="Q14427" s="412"/>
      <c r="R14427" s="412">
        <v>7</v>
      </c>
    </row>
    <row r="14428" spans="1:18" ht="24">
      <c r="A14428" s="408">
        <v>598</v>
      </c>
      <c r="B14428" s="405" t="s">
        <v>25944</v>
      </c>
      <c r="C14428" s="409" t="s">
        <v>25945</v>
      </c>
      <c r="D14428" s="410">
        <v>853.58</v>
      </c>
      <c r="E14428" s="410">
        <v>439.07</v>
      </c>
      <c r="F14428" s="410">
        <v>275.43</v>
      </c>
      <c r="G14428" s="410">
        <v>139.08000000000001</v>
      </c>
      <c r="H14428" s="411">
        <v>7063.94</v>
      </c>
      <c r="I14428" s="411">
        <v>5049.3100000000004</v>
      </c>
      <c r="J14428" s="411">
        <v>1425.99</v>
      </c>
      <c r="K14428" s="411">
        <v>588.64</v>
      </c>
      <c r="L14428" s="43">
        <v>8.2756625038074922</v>
      </c>
      <c r="M14428" s="43">
        <v>11.500011387705834</v>
      </c>
      <c r="N14428" s="43">
        <v>5.1773227317285695</v>
      </c>
      <c r="O14428" s="43">
        <v>4.2323842392867412</v>
      </c>
      <c r="P14428" s="412"/>
      <c r="Q14428" s="412"/>
      <c r="R14428" s="412">
        <v>7</v>
      </c>
    </row>
    <row r="14429" spans="1:18" ht="24">
      <c r="A14429" s="408">
        <v>599</v>
      </c>
      <c r="B14429" s="405" t="s">
        <v>25946</v>
      </c>
      <c r="C14429" s="409" t="s">
        <v>25947</v>
      </c>
      <c r="D14429" s="410">
        <v>2691.51</v>
      </c>
      <c r="E14429" s="410">
        <v>944.52</v>
      </c>
      <c r="F14429" s="410">
        <v>1362.12</v>
      </c>
      <c r="G14429" s="410">
        <v>384.87</v>
      </c>
      <c r="H14429" s="411">
        <v>19817.3</v>
      </c>
      <c r="I14429" s="411">
        <v>10862.38</v>
      </c>
      <c r="J14429" s="411">
        <v>7347.62</v>
      </c>
      <c r="K14429" s="411">
        <v>1607.3</v>
      </c>
      <c r="L14429" s="43">
        <v>7.3628929485679038</v>
      </c>
      <c r="M14429" s="43">
        <v>11.500423495532122</v>
      </c>
      <c r="N14429" s="43">
        <v>5.394253076087276</v>
      </c>
      <c r="O14429" s="43">
        <v>4.1762153454413173</v>
      </c>
      <c r="P14429" s="412"/>
      <c r="Q14429" s="412"/>
      <c r="R14429" s="412">
        <v>7</v>
      </c>
    </row>
    <row r="14430" spans="1:18" ht="12.75">
      <c r="A14430" s="632" t="s">
        <v>18</v>
      </c>
      <c r="B14430" s="632"/>
      <c r="C14430" s="632"/>
      <c r="D14430" s="406">
        <v>3667129.19</v>
      </c>
      <c r="E14430" s="406">
        <v>1434886.45</v>
      </c>
      <c r="F14430" s="406">
        <v>1616853.98</v>
      </c>
      <c r="G14430" s="406">
        <v>615388.76</v>
      </c>
      <c r="H14430" s="407">
        <v>28611632.09</v>
      </c>
      <c r="I14430" s="407">
        <v>16501607.15</v>
      </c>
      <c r="J14430" s="407">
        <v>8666177.5500000007</v>
      </c>
      <c r="K14430" s="407">
        <v>3443847.39</v>
      </c>
      <c r="L14430" s="612">
        <v>7.8021881988837158</v>
      </c>
      <c r="M14430" s="612">
        <v>11.50028781023056</v>
      </c>
      <c r="N14430" s="612">
        <v>5.3599011767284024</v>
      </c>
      <c r="O14430" s="612">
        <v>5.5962143182465667</v>
      </c>
      <c r="P14430" s="404"/>
      <c r="Q14430" s="404"/>
      <c r="R14430" s="404"/>
    </row>
    <row r="14431" spans="1:18" ht="18">
      <c r="A14431" s="616" t="s">
        <v>24495</v>
      </c>
      <c r="B14431" s="626"/>
      <c r="C14431" s="626"/>
      <c r="D14431" s="626"/>
      <c r="E14431" s="626"/>
      <c r="F14431" s="626"/>
      <c r="G14431" s="626"/>
      <c r="H14431" s="626"/>
      <c r="I14431" s="626"/>
      <c r="J14431" s="626"/>
      <c r="K14431" s="626"/>
      <c r="L14431" s="626"/>
      <c r="M14431" s="626"/>
      <c r="N14431" s="626"/>
      <c r="O14431" s="626"/>
      <c r="P14431" s="626"/>
      <c r="Q14431" s="626"/>
      <c r="R14431" s="627"/>
    </row>
    <row r="14432" spans="1:18" ht="12.75" customHeight="1">
      <c r="A14432" s="630" t="s">
        <v>25949</v>
      </c>
      <c r="B14432" s="631"/>
      <c r="C14432" s="631"/>
      <c r="D14432" s="631"/>
      <c r="E14432" s="631"/>
      <c r="F14432" s="631"/>
      <c r="G14432" s="631"/>
      <c r="H14432" s="631"/>
      <c r="I14432" s="631"/>
      <c r="J14432" s="631"/>
      <c r="K14432" s="631"/>
      <c r="L14432" s="631"/>
      <c r="M14432" s="631"/>
      <c r="N14432" s="631"/>
      <c r="O14432" s="631"/>
      <c r="P14432" s="631"/>
      <c r="Q14432" s="631"/>
      <c r="R14432" s="631"/>
    </row>
    <row r="14433" spans="1:18" ht="12.75" customHeight="1">
      <c r="A14433" s="628" t="s">
        <v>25950</v>
      </c>
      <c r="B14433" s="629"/>
      <c r="C14433" s="629"/>
      <c r="D14433" s="629"/>
      <c r="E14433" s="629"/>
      <c r="F14433" s="629"/>
      <c r="G14433" s="629"/>
      <c r="H14433" s="629"/>
      <c r="I14433" s="629"/>
      <c r="J14433" s="629"/>
      <c r="K14433" s="629"/>
      <c r="L14433" s="629"/>
      <c r="M14433" s="629"/>
      <c r="N14433" s="629"/>
      <c r="O14433" s="629"/>
      <c r="P14433" s="629"/>
      <c r="Q14433" s="629"/>
      <c r="R14433" s="629"/>
    </row>
    <row r="14434" spans="1:18" ht="12.75" customHeight="1">
      <c r="A14434" s="628" t="s">
        <v>25951</v>
      </c>
      <c r="B14434" s="629"/>
      <c r="C14434" s="629"/>
      <c r="D14434" s="629"/>
      <c r="E14434" s="629"/>
      <c r="F14434" s="629"/>
      <c r="G14434" s="629"/>
      <c r="H14434" s="629"/>
      <c r="I14434" s="629"/>
      <c r="J14434" s="629"/>
      <c r="K14434" s="629"/>
      <c r="L14434" s="629"/>
      <c r="M14434" s="629"/>
      <c r="N14434" s="629"/>
      <c r="O14434" s="629"/>
      <c r="P14434" s="629"/>
      <c r="Q14434" s="629"/>
      <c r="R14434" s="629"/>
    </row>
    <row r="14435" spans="1:18" ht="24">
      <c r="A14435" s="423">
        <v>1</v>
      </c>
      <c r="B14435" s="420" t="s">
        <v>25952</v>
      </c>
      <c r="C14435" s="424" t="s">
        <v>25953</v>
      </c>
      <c r="D14435" s="425">
        <v>1438.47</v>
      </c>
      <c r="E14435" s="425">
        <v>1405</v>
      </c>
      <c r="F14435" s="425">
        <v>5.37</v>
      </c>
      <c r="G14435" s="425">
        <v>28.1</v>
      </c>
      <c r="H14435" s="426">
        <v>16510.919999999998</v>
      </c>
      <c r="I14435" s="426">
        <v>16157.5</v>
      </c>
      <c r="J14435" s="426">
        <v>30.27</v>
      </c>
      <c r="K14435" s="426">
        <v>323.14999999999998</v>
      </c>
      <c r="L14435" s="43">
        <v>11.478112160837554</v>
      </c>
      <c r="M14435" s="43">
        <v>11.5</v>
      </c>
      <c r="N14435" s="43">
        <v>5.6368715083798877</v>
      </c>
      <c r="O14435" s="43">
        <v>11.499999999999998</v>
      </c>
      <c r="P14435" s="427"/>
      <c r="Q14435" s="427"/>
      <c r="R14435" s="427">
        <v>1</v>
      </c>
    </row>
    <row r="14436" spans="1:18" ht="24">
      <c r="A14436" s="423">
        <v>2</v>
      </c>
      <c r="B14436" s="420" t="s">
        <v>25954</v>
      </c>
      <c r="C14436" s="424" t="s">
        <v>25955</v>
      </c>
      <c r="D14436" s="425">
        <v>1436.82</v>
      </c>
      <c r="E14436" s="425">
        <v>1405</v>
      </c>
      <c r="F14436" s="425">
        <v>3.72</v>
      </c>
      <c r="G14436" s="425">
        <v>28.1</v>
      </c>
      <c r="H14436" s="426">
        <v>16501.68</v>
      </c>
      <c r="I14436" s="426">
        <v>16157.5</v>
      </c>
      <c r="J14436" s="426">
        <v>21.03</v>
      </c>
      <c r="K14436" s="426">
        <v>323.14999999999998</v>
      </c>
      <c r="L14436" s="43">
        <v>11.484862404476553</v>
      </c>
      <c r="M14436" s="43">
        <v>11.5</v>
      </c>
      <c r="N14436" s="43">
        <v>5.653225806451613</v>
      </c>
      <c r="O14436" s="43">
        <v>11.499999999999998</v>
      </c>
      <c r="P14436" s="427"/>
      <c r="Q14436" s="427"/>
      <c r="R14436" s="427">
        <v>1</v>
      </c>
    </row>
    <row r="14437" spans="1:18" ht="24">
      <c r="A14437" s="423">
        <v>3</v>
      </c>
      <c r="B14437" s="420" t="s">
        <v>25956</v>
      </c>
      <c r="C14437" s="424" t="s">
        <v>25957</v>
      </c>
      <c r="D14437" s="425">
        <v>1424.16</v>
      </c>
      <c r="E14437" s="425">
        <v>1393.76</v>
      </c>
      <c r="F14437" s="425">
        <v>2.52</v>
      </c>
      <c r="G14437" s="425">
        <v>27.88</v>
      </c>
      <c r="H14437" s="426">
        <v>16363.3</v>
      </c>
      <c r="I14437" s="426">
        <v>16028.24</v>
      </c>
      <c r="J14437" s="426">
        <v>14.44</v>
      </c>
      <c r="K14437" s="426">
        <v>320.62</v>
      </c>
      <c r="L14437" s="43">
        <v>11.489790472980562</v>
      </c>
      <c r="M14437" s="43">
        <v>11.5</v>
      </c>
      <c r="N14437" s="43">
        <v>5.7301587301587302</v>
      </c>
      <c r="O14437" s="43">
        <v>11.5</v>
      </c>
      <c r="P14437" s="427"/>
      <c r="Q14437" s="427"/>
      <c r="R14437" s="427">
        <v>1</v>
      </c>
    </row>
    <row r="14438" spans="1:18" ht="24">
      <c r="A14438" s="423">
        <v>4</v>
      </c>
      <c r="B14438" s="420" t="s">
        <v>25958</v>
      </c>
      <c r="C14438" s="424" t="s">
        <v>25959</v>
      </c>
      <c r="D14438" s="425">
        <v>1372.46</v>
      </c>
      <c r="E14438" s="425">
        <v>1326.32</v>
      </c>
      <c r="F14438" s="425">
        <v>19.61</v>
      </c>
      <c r="G14438" s="425">
        <v>26.53</v>
      </c>
      <c r="H14438" s="426">
        <v>15668.85</v>
      </c>
      <c r="I14438" s="426">
        <v>15252.68</v>
      </c>
      <c r="J14438" s="426">
        <v>111.07</v>
      </c>
      <c r="K14438" s="426">
        <v>305.10000000000002</v>
      </c>
      <c r="L14438" s="43">
        <v>11.416616877723213</v>
      </c>
      <c r="M14438" s="43">
        <v>11.5</v>
      </c>
      <c r="N14438" s="43">
        <v>5.663946965833758</v>
      </c>
      <c r="O14438" s="43">
        <v>11.500188465887675</v>
      </c>
      <c r="P14438" s="427"/>
      <c r="Q14438" s="427"/>
      <c r="R14438" s="427">
        <v>1</v>
      </c>
    </row>
    <row r="14439" spans="1:18" ht="24">
      <c r="A14439" s="423">
        <v>5</v>
      </c>
      <c r="B14439" s="420" t="s">
        <v>25960</v>
      </c>
      <c r="C14439" s="424" t="s">
        <v>25961</v>
      </c>
      <c r="D14439" s="425">
        <v>1438.54</v>
      </c>
      <c r="E14439" s="425">
        <v>1405</v>
      </c>
      <c r="F14439" s="425">
        <v>5.44</v>
      </c>
      <c r="G14439" s="425">
        <v>28.1</v>
      </c>
      <c r="H14439" s="426">
        <v>16511.25</v>
      </c>
      <c r="I14439" s="426">
        <v>16157.5</v>
      </c>
      <c r="J14439" s="426">
        <v>30.6</v>
      </c>
      <c r="K14439" s="426">
        <v>323.14999999999998</v>
      </c>
      <c r="L14439" s="43">
        <v>11.477783030016544</v>
      </c>
      <c r="M14439" s="43">
        <v>11.5</v>
      </c>
      <c r="N14439" s="43">
        <v>5.625</v>
      </c>
      <c r="O14439" s="43">
        <v>11.499999999999998</v>
      </c>
      <c r="P14439" s="427"/>
      <c r="Q14439" s="427"/>
      <c r="R14439" s="427">
        <v>1</v>
      </c>
    </row>
    <row r="14440" spans="1:18" ht="24">
      <c r="A14440" s="423">
        <v>6</v>
      </c>
      <c r="B14440" s="420" t="s">
        <v>25962</v>
      </c>
      <c r="C14440" s="424" t="s">
        <v>25963</v>
      </c>
      <c r="D14440" s="425">
        <v>1438.45</v>
      </c>
      <c r="E14440" s="425">
        <v>1405</v>
      </c>
      <c r="F14440" s="425">
        <v>5.35</v>
      </c>
      <c r="G14440" s="425">
        <v>28.1</v>
      </c>
      <c r="H14440" s="426">
        <v>16510.84</v>
      </c>
      <c r="I14440" s="426">
        <v>16157.5</v>
      </c>
      <c r="J14440" s="426">
        <v>30.19</v>
      </c>
      <c r="K14440" s="426">
        <v>323.14999999999998</v>
      </c>
      <c r="L14440" s="43">
        <v>11.478216135423546</v>
      </c>
      <c r="M14440" s="43">
        <v>11.5</v>
      </c>
      <c r="N14440" s="43">
        <v>5.6429906542056081</v>
      </c>
      <c r="O14440" s="43">
        <v>11.499999999999998</v>
      </c>
      <c r="P14440" s="427"/>
      <c r="Q14440" s="427"/>
      <c r="R14440" s="427">
        <v>1</v>
      </c>
    </row>
    <row r="14441" spans="1:18" ht="24">
      <c r="A14441" s="423">
        <v>7</v>
      </c>
      <c r="B14441" s="420" t="s">
        <v>25964</v>
      </c>
      <c r="C14441" s="424" t="s">
        <v>25965</v>
      </c>
      <c r="D14441" s="425">
        <v>1448.7</v>
      </c>
      <c r="E14441" s="425">
        <v>1413.27</v>
      </c>
      <c r="F14441" s="425">
        <v>7.16</v>
      </c>
      <c r="G14441" s="425">
        <v>28.27</v>
      </c>
      <c r="H14441" s="426">
        <v>16619.23</v>
      </c>
      <c r="I14441" s="426">
        <v>16253.22</v>
      </c>
      <c r="J14441" s="426">
        <v>40.9</v>
      </c>
      <c r="K14441" s="426">
        <v>325.11</v>
      </c>
      <c r="L14441" s="43">
        <v>11.471823013736453</v>
      </c>
      <c r="M14441" s="43">
        <v>11.500435161009573</v>
      </c>
      <c r="N14441" s="43">
        <v>5.7122905027932962</v>
      </c>
      <c r="O14441" s="43">
        <v>11.500176865935622</v>
      </c>
      <c r="P14441" s="427"/>
      <c r="Q14441" s="427"/>
      <c r="R14441" s="427">
        <v>1</v>
      </c>
    </row>
    <row r="14442" spans="1:18" ht="24">
      <c r="A14442" s="423">
        <v>8</v>
      </c>
      <c r="B14442" s="420" t="s">
        <v>25966</v>
      </c>
      <c r="C14442" s="424" t="s">
        <v>25967</v>
      </c>
      <c r="D14442" s="425">
        <v>900.94</v>
      </c>
      <c r="E14442" s="425">
        <v>868.85</v>
      </c>
      <c r="F14442" s="425">
        <v>14.71</v>
      </c>
      <c r="G14442" s="425">
        <v>17.38</v>
      </c>
      <c r="H14442" s="426">
        <v>10273.68</v>
      </c>
      <c r="I14442" s="426">
        <v>9991.7999999999993</v>
      </c>
      <c r="J14442" s="426">
        <v>82.01</v>
      </c>
      <c r="K14442" s="426">
        <v>199.87</v>
      </c>
      <c r="L14442" s="43">
        <v>11.40328989721846</v>
      </c>
      <c r="M14442" s="43">
        <v>11.50002877366634</v>
      </c>
      <c r="N14442" s="43">
        <v>5.5751189666893266</v>
      </c>
      <c r="O14442" s="43">
        <v>11.500000000000002</v>
      </c>
      <c r="P14442" s="427"/>
      <c r="Q14442" s="427"/>
      <c r="R14442" s="427">
        <v>1</v>
      </c>
    </row>
    <row r="14443" spans="1:18" ht="12.75" customHeight="1">
      <c r="A14443" s="628" t="s">
        <v>25968</v>
      </c>
      <c r="B14443" s="629"/>
      <c r="C14443" s="629"/>
      <c r="D14443" s="629"/>
      <c r="E14443" s="629"/>
      <c r="F14443" s="629"/>
      <c r="G14443" s="629"/>
      <c r="H14443" s="629"/>
      <c r="I14443" s="629"/>
      <c r="J14443" s="629"/>
      <c r="K14443" s="629"/>
      <c r="L14443" s="629"/>
      <c r="M14443" s="629"/>
      <c r="N14443" s="629"/>
      <c r="O14443" s="629"/>
      <c r="P14443" s="629"/>
      <c r="Q14443" s="629"/>
      <c r="R14443" s="629"/>
    </row>
    <row r="14444" spans="1:18" ht="24">
      <c r="A14444" s="423">
        <v>9</v>
      </c>
      <c r="B14444" s="420" t="s">
        <v>25969</v>
      </c>
      <c r="C14444" s="424" t="s">
        <v>25970</v>
      </c>
      <c r="D14444" s="425">
        <v>517.29999999999995</v>
      </c>
      <c r="E14444" s="425">
        <v>502.11</v>
      </c>
      <c r="F14444" s="425">
        <v>5.15</v>
      </c>
      <c r="G14444" s="425">
        <v>10.039999999999999</v>
      </c>
      <c r="H14444" s="426">
        <v>5919.11</v>
      </c>
      <c r="I14444" s="426">
        <v>5774.29</v>
      </c>
      <c r="J14444" s="426">
        <v>29.36</v>
      </c>
      <c r="K14444" s="426">
        <v>115.46</v>
      </c>
      <c r="L14444" s="43">
        <v>11.442315870867969</v>
      </c>
      <c r="M14444" s="43">
        <v>11.500049789886678</v>
      </c>
      <c r="N14444" s="43">
        <v>5.7009708737864075</v>
      </c>
      <c r="O14444" s="43">
        <v>11.5</v>
      </c>
      <c r="P14444" s="427"/>
      <c r="Q14444" s="427"/>
      <c r="R14444" s="427">
        <v>2</v>
      </c>
    </row>
    <row r="14445" spans="1:18" ht="24">
      <c r="A14445" s="423">
        <v>10</v>
      </c>
      <c r="B14445" s="420" t="s">
        <v>25971</v>
      </c>
      <c r="C14445" s="424" t="s">
        <v>25972</v>
      </c>
      <c r="D14445" s="425">
        <v>518.73</v>
      </c>
      <c r="E14445" s="425">
        <v>502.11</v>
      </c>
      <c r="F14445" s="425">
        <v>6.58</v>
      </c>
      <c r="G14445" s="425">
        <v>10.039999999999999</v>
      </c>
      <c r="H14445" s="426">
        <v>5927.44</v>
      </c>
      <c r="I14445" s="426">
        <v>5774.29</v>
      </c>
      <c r="J14445" s="426">
        <v>37.69</v>
      </c>
      <c r="K14445" s="426">
        <v>115.46</v>
      </c>
      <c r="L14445" s="43">
        <v>11.426830913962947</v>
      </c>
      <c r="M14445" s="43">
        <v>11.500049789886678</v>
      </c>
      <c r="N14445" s="43">
        <v>5.7279635258358654</v>
      </c>
      <c r="O14445" s="43">
        <v>11.5</v>
      </c>
      <c r="P14445" s="427"/>
      <c r="Q14445" s="427"/>
      <c r="R14445" s="427">
        <v>2</v>
      </c>
    </row>
    <row r="14446" spans="1:18" ht="24">
      <c r="A14446" s="423">
        <v>11</v>
      </c>
      <c r="B14446" s="420" t="s">
        <v>25973</v>
      </c>
      <c r="C14446" s="424" t="s">
        <v>25974</v>
      </c>
      <c r="D14446" s="425">
        <v>694.96</v>
      </c>
      <c r="E14446" s="425">
        <v>672.19</v>
      </c>
      <c r="F14446" s="425">
        <v>9.33</v>
      </c>
      <c r="G14446" s="425">
        <v>13.44</v>
      </c>
      <c r="H14446" s="426">
        <v>7938.18</v>
      </c>
      <c r="I14446" s="426">
        <v>7730.5</v>
      </c>
      <c r="J14446" s="426">
        <v>53.12</v>
      </c>
      <c r="K14446" s="426">
        <v>154.56</v>
      </c>
      <c r="L14446" s="43">
        <v>11.422499136640958</v>
      </c>
      <c r="M14446" s="43">
        <v>11.500468617503978</v>
      </c>
      <c r="N14446" s="43">
        <v>5.693461950696677</v>
      </c>
      <c r="O14446" s="43">
        <v>11.5</v>
      </c>
      <c r="P14446" s="427"/>
      <c r="Q14446" s="427"/>
      <c r="R14446" s="427">
        <v>2</v>
      </c>
    </row>
    <row r="14447" spans="1:18" ht="24">
      <c r="A14447" s="423">
        <v>12</v>
      </c>
      <c r="B14447" s="420" t="s">
        <v>25975</v>
      </c>
      <c r="C14447" s="424" t="s">
        <v>25976</v>
      </c>
      <c r="D14447" s="425">
        <v>451.55</v>
      </c>
      <c r="E14447" s="425">
        <v>441.73</v>
      </c>
      <c r="F14447" s="425">
        <v>0.99</v>
      </c>
      <c r="G14447" s="425">
        <v>8.83</v>
      </c>
      <c r="H14447" s="426">
        <v>5186.43</v>
      </c>
      <c r="I14447" s="426">
        <v>5079.92</v>
      </c>
      <c r="J14447" s="426">
        <v>4.96</v>
      </c>
      <c r="K14447" s="426">
        <v>101.55</v>
      </c>
      <c r="L14447" s="43">
        <v>11.485837670246928</v>
      </c>
      <c r="M14447" s="43">
        <v>11.500056595657981</v>
      </c>
      <c r="N14447" s="43">
        <v>5.0101010101010104</v>
      </c>
      <c r="O14447" s="43">
        <v>11.500566251415629</v>
      </c>
      <c r="P14447" s="427"/>
      <c r="Q14447" s="427"/>
      <c r="R14447" s="427">
        <v>2</v>
      </c>
    </row>
    <row r="14448" spans="1:18" ht="24">
      <c r="A14448" s="423">
        <v>13</v>
      </c>
      <c r="B14448" s="420" t="s">
        <v>25977</v>
      </c>
      <c r="C14448" s="424" t="s">
        <v>25978</v>
      </c>
      <c r="D14448" s="425">
        <v>124.71</v>
      </c>
      <c r="E14448" s="425">
        <v>121.77</v>
      </c>
      <c r="F14448" s="425">
        <v>0.5</v>
      </c>
      <c r="G14448" s="425">
        <v>2.44</v>
      </c>
      <c r="H14448" s="426">
        <v>1431.32</v>
      </c>
      <c r="I14448" s="426">
        <v>1400.38</v>
      </c>
      <c r="J14448" s="426">
        <v>2.88</v>
      </c>
      <c r="K14448" s="426">
        <v>28.06</v>
      </c>
      <c r="L14448" s="43">
        <v>11.477187074011708</v>
      </c>
      <c r="M14448" s="43">
        <v>11.500205305083355</v>
      </c>
      <c r="N14448" s="43">
        <v>5.76</v>
      </c>
      <c r="O14448" s="43">
        <v>11.5</v>
      </c>
      <c r="P14448" s="427"/>
      <c r="Q14448" s="427"/>
      <c r="R14448" s="427">
        <v>2</v>
      </c>
    </row>
    <row r="14449" spans="1:18" ht="24">
      <c r="A14449" s="423">
        <v>14</v>
      </c>
      <c r="B14449" s="420" t="s">
        <v>25979</v>
      </c>
      <c r="C14449" s="424" t="s">
        <v>25980</v>
      </c>
      <c r="D14449" s="425">
        <v>507.83</v>
      </c>
      <c r="E14449" s="425">
        <v>496.81</v>
      </c>
      <c r="F14449" s="425">
        <v>1.08</v>
      </c>
      <c r="G14449" s="425">
        <v>9.94</v>
      </c>
      <c r="H14449" s="426">
        <v>5833.71</v>
      </c>
      <c r="I14449" s="426">
        <v>5713.29</v>
      </c>
      <c r="J14449" s="426">
        <v>6.11</v>
      </c>
      <c r="K14449" s="426">
        <v>114.31</v>
      </c>
      <c r="L14449" s="43">
        <v>11.487525352972451</v>
      </c>
      <c r="M14449" s="43">
        <v>11.499949678951712</v>
      </c>
      <c r="N14449" s="43">
        <v>5.6574074074074074</v>
      </c>
      <c r="O14449" s="43">
        <v>11.5</v>
      </c>
      <c r="P14449" s="427"/>
      <c r="Q14449" s="427"/>
      <c r="R14449" s="427">
        <v>2</v>
      </c>
    </row>
    <row r="14450" spans="1:18" ht="12.75" customHeight="1">
      <c r="A14450" s="628" t="s">
        <v>25981</v>
      </c>
      <c r="B14450" s="629"/>
      <c r="C14450" s="629"/>
      <c r="D14450" s="629"/>
      <c r="E14450" s="629"/>
      <c r="F14450" s="629"/>
      <c r="G14450" s="629"/>
      <c r="H14450" s="629"/>
      <c r="I14450" s="629"/>
      <c r="J14450" s="629"/>
      <c r="K14450" s="629"/>
      <c r="L14450" s="629"/>
      <c r="M14450" s="629"/>
      <c r="N14450" s="629"/>
      <c r="O14450" s="629"/>
      <c r="P14450" s="629"/>
      <c r="Q14450" s="629"/>
      <c r="R14450" s="629"/>
    </row>
    <row r="14451" spans="1:18" ht="12.75" customHeight="1">
      <c r="A14451" s="628" t="s">
        <v>25982</v>
      </c>
      <c r="B14451" s="629"/>
      <c r="C14451" s="629"/>
      <c r="D14451" s="629"/>
      <c r="E14451" s="629"/>
      <c r="F14451" s="629"/>
      <c r="G14451" s="629"/>
      <c r="H14451" s="629"/>
      <c r="I14451" s="629"/>
      <c r="J14451" s="629"/>
      <c r="K14451" s="629"/>
      <c r="L14451" s="629"/>
      <c r="M14451" s="629"/>
      <c r="N14451" s="629"/>
      <c r="O14451" s="629"/>
      <c r="P14451" s="629"/>
      <c r="Q14451" s="629"/>
      <c r="R14451" s="629"/>
    </row>
    <row r="14452" spans="1:18" ht="24">
      <c r="A14452" s="423">
        <v>15</v>
      </c>
      <c r="B14452" s="420" t="s">
        <v>25983</v>
      </c>
      <c r="C14452" s="424" t="s">
        <v>25984</v>
      </c>
      <c r="D14452" s="425">
        <v>132.33000000000001</v>
      </c>
      <c r="E14452" s="425">
        <v>129.58000000000001</v>
      </c>
      <c r="F14452" s="425">
        <v>0.16</v>
      </c>
      <c r="G14452" s="425">
        <v>2.59</v>
      </c>
      <c r="H14452" s="426">
        <v>1520.68</v>
      </c>
      <c r="I14452" s="426">
        <v>1490.23</v>
      </c>
      <c r="J14452" s="426">
        <v>0.66</v>
      </c>
      <c r="K14452" s="426">
        <v>29.79</v>
      </c>
      <c r="L14452" s="43">
        <v>11.491574095065367</v>
      </c>
      <c r="M14452" s="43">
        <v>11.500463034418891</v>
      </c>
      <c r="N14452" s="43">
        <v>4.125</v>
      </c>
      <c r="O14452" s="43">
        <v>11.501930501930502</v>
      </c>
      <c r="P14452" s="427"/>
      <c r="Q14452" s="427"/>
      <c r="R14452" s="427">
        <v>1</v>
      </c>
    </row>
    <row r="14453" spans="1:18" ht="24">
      <c r="A14453" s="423">
        <v>16</v>
      </c>
      <c r="B14453" s="420" t="s">
        <v>25985</v>
      </c>
      <c r="C14453" s="424" t="s">
        <v>25986</v>
      </c>
      <c r="D14453" s="425">
        <v>165.47</v>
      </c>
      <c r="E14453" s="425">
        <v>161.97999999999999</v>
      </c>
      <c r="F14453" s="425">
        <v>0.25</v>
      </c>
      <c r="G14453" s="425">
        <v>3.24</v>
      </c>
      <c r="H14453" s="426">
        <v>1901.13</v>
      </c>
      <c r="I14453" s="426">
        <v>1862.79</v>
      </c>
      <c r="J14453" s="426">
        <v>1.08</v>
      </c>
      <c r="K14453" s="426">
        <v>37.26</v>
      </c>
      <c r="L14453" s="43">
        <v>11.489272979996375</v>
      </c>
      <c r="M14453" s="43">
        <v>11.500123472033584</v>
      </c>
      <c r="N14453" s="43">
        <v>4.32</v>
      </c>
      <c r="O14453" s="43">
        <v>11.499999999999998</v>
      </c>
      <c r="P14453" s="427"/>
      <c r="Q14453" s="427"/>
      <c r="R14453" s="427">
        <v>1</v>
      </c>
    </row>
    <row r="14454" spans="1:18" ht="24">
      <c r="A14454" s="423">
        <v>17</v>
      </c>
      <c r="B14454" s="420" t="s">
        <v>25987</v>
      </c>
      <c r="C14454" s="424" t="s">
        <v>25988</v>
      </c>
      <c r="D14454" s="425">
        <v>209.74</v>
      </c>
      <c r="E14454" s="425">
        <v>204.82</v>
      </c>
      <c r="F14454" s="425">
        <v>0.82</v>
      </c>
      <c r="G14454" s="425">
        <v>4.0999999999999996</v>
      </c>
      <c r="H14454" s="426">
        <v>2406.17</v>
      </c>
      <c r="I14454" s="426">
        <v>2355.5300000000002</v>
      </c>
      <c r="J14454" s="426">
        <v>3.49</v>
      </c>
      <c r="K14454" s="426">
        <v>47.15</v>
      </c>
      <c r="L14454" s="43">
        <v>11.472156002669973</v>
      </c>
      <c r="M14454" s="43">
        <v>11.500488233570941</v>
      </c>
      <c r="N14454" s="43">
        <v>4.2560975609756104</v>
      </c>
      <c r="O14454" s="43">
        <v>11.5</v>
      </c>
      <c r="P14454" s="427"/>
      <c r="Q14454" s="427"/>
      <c r="R14454" s="427">
        <v>1</v>
      </c>
    </row>
    <row r="14455" spans="1:18" ht="12.75" customHeight="1">
      <c r="A14455" s="628" t="s">
        <v>25989</v>
      </c>
      <c r="B14455" s="629"/>
      <c r="C14455" s="629"/>
      <c r="D14455" s="629"/>
      <c r="E14455" s="629"/>
      <c r="F14455" s="629"/>
      <c r="G14455" s="629"/>
      <c r="H14455" s="629"/>
      <c r="I14455" s="629"/>
      <c r="J14455" s="629"/>
      <c r="K14455" s="629"/>
      <c r="L14455" s="629"/>
      <c r="M14455" s="629"/>
      <c r="N14455" s="629"/>
      <c r="O14455" s="629"/>
      <c r="P14455" s="629"/>
      <c r="Q14455" s="629"/>
      <c r="R14455" s="629"/>
    </row>
    <row r="14456" spans="1:18" ht="24">
      <c r="A14456" s="423">
        <v>18</v>
      </c>
      <c r="B14456" s="420" t="s">
        <v>25990</v>
      </c>
      <c r="C14456" s="424" t="s">
        <v>25991</v>
      </c>
      <c r="D14456" s="425">
        <v>66.95</v>
      </c>
      <c r="E14456" s="425">
        <v>65.599999999999994</v>
      </c>
      <c r="F14456" s="425">
        <v>0.04</v>
      </c>
      <c r="G14456" s="425">
        <v>1.31</v>
      </c>
      <c r="H14456" s="426">
        <v>769.59</v>
      </c>
      <c r="I14456" s="426">
        <v>754.35</v>
      </c>
      <c r="J14456" s="426">
        <v>0.17</v>
      </c>
      <c r="K14456" s="426">
        <v>15.07</v>
      </c>
      <c r="L14456" s="43">
        <v>11.494996265870052</v>
      </c>
      <c r="M14456" s="43">
        <v>11.499237804878049</v>
      </c>
      <c r="N14456" s="43">
        <v>4.25</v>
      </c>
      <c r="O14456" s="43">
        <v>11.503816793893129</v>
      </c>
      <c r="P14456" s="427"/>
      <c r="Q14456" s="427"/>
      <c r="R14456" s="427">
        <v>2</v>
      </c>
    </row>
    <row r="14457" spans="1:18" ht="24">
      <c r="A14457" s="423">
        <v>19</v>
      </c>
      <c r="B14457" s="420" t="s">
        <v>25992</v>
      </c>
      <c r="C14457" s="424" t="s">
        <v>25993</v>
      </c>
      <c r="D14457" s="425">
        <v>178.85</v>
      </c>
      <c r="E14457" s="425">
        <v>165.12</v>
      </c>
      <c r="F14457" s="425">
        <v>10.43</v>
      </c>
      <c r="G14457" s="425">
        <v>3.3</v>
      </c>
      <c r="H14457" s="426">
        <v>1980.96</v>
      </c>
      <c r="I14457" s="426">
        <v>1898.88</v>
      </c>
      <c r="J14457" s="426">
        <v>44.13</v>
      </c>
      <c r="K14457" s="426">
        <v>37.950000000000003</v>
      </c>
      <c r="L14457" s="43">
        <v>11.076097288230361</v>
      </c>
      <c r="M14457" s="43">
        <v>11.5</v>
      </c>
      <c r="N14457" s="43">
        <v>4.2310642377756471</v>
      </c>
      <c r="O14457" s="43">
        <v>11.500000000000002</v>
      </c>
      <c r="P14457" s="427"/>
      <c r="Q14457" s="427"/>
      <c r="R14457" s="427">
        <v>2</v>
      </c>
    </row>
    <row r="14458" spans="1:18" ht="24">
      <c r="A14458" s="423">
        <v>20</v>
      </c>
      <c r="B14458" s="420" t="s">
        <v>25994</v>
      </c>
      <c r="C14458" s="424" t="s">
        <v>25995</v>
      </c>
      <c r="D14458" s="425">
        <v>601.13</v>
      </c>
      <c r="E14458" s="425">
        <v>567.6</v>
      </c>
      <c r="F14458" s="425">
        <v>22.18</v>
      </c>
      <c r="G14458" s="425">
        <v>11.35</v>
      </c>
      <c r="H14458" s="426">
        <v>6752.05</v>
      </c>
      <c r="I14458" s="426">
        <v>6527.4</v>
      </c>
      <c r="J14458" s="426">
        <v>94.12</v>
      </c>
      <c r="K14458" s="426">
        <v>130.53</v>
      </c>
      <c r="L14458" s="43">
        <v>11.232262572155774</v>
      </c>
      <c r="M14458" s="43">
        <v>11.499999999999998</v>
      </c>
      <c r="N14458" s="43">
        <v>4.2434625788999103</v>
      </c>
      <c r="O14458" s="43">
        <v>11.500440528634362</v>
      </c>
      <c r="P14458" s="427"/>
      <c r="Q14458" s="427"/>
      <c r="R14458" s="427">
        <v>2</v>
      </c>
    </row>
    <row r="14459" spans="1:18" ht="12.75" customHeight="1">
      <c r="A14459" s="628" t="s">
        <v>25996</v>
      </c>
      <c r="B14459" s="629"/>
      <c r="C14459" s="629"/>
      <c r="D14459" s="629"/>
      <c r="E14459" s="629"/>
      <c r="F14459" s="629"/>
      <c r="G14459" s="629"/>
      <c r="H14459" s="629"/>
      <c r="I14459" s="629"/>
      <c r="J14459" s="629"/>
      <c r="K14459" s="629"/>
      <c r="L14459" s="629"/>
      <c r="M14459" s="629"/>
      <c r="N14459" s="629"/>
      <c r="O14459" s="629"/>
      <c r="P14459" s="629"/>
      <c r="Q14459" s="629"/>
      <c r="R14459" s="629"/>
    </row>
    <row r="14460" spans="1:18" ht="36">
      <c r="A14460" s="423">
        <v>21</v>
      </c>
      <c r="B14460" s="420" t="s">
        <v>25997</v>
      </c>
      <c r="C14460" s="424" t="s">
        <v>25998</v>
      </c>
      <c r="D14460" s="425">
        <v>174.05</v>
      </c>
      <c r="E14460" s="425">
        <v>170.64</v>
      </c>
      <c r="F14460" s="425"/>
      <c r="G14460" s="425">
        <v>3.41</v>
      </c>
      <c r="H14460" s="426">
        <v>2001.65</v>
      </c>
      <c r="I14460" s="426">
        <v>1962.43</v>
      </c>
      <c r="J14460" s="426"/>
      <c r="K14460" s="426">
        <v>39.22</v>
      </c>
      <c r="L14460" s="43">
        <v>11.500430910657856</v>
      </c>
      <c r="M14460" s="43">
        <v>11.500410220346931</v>
      </c>
      <c r="N14460" s="43" t="s">
        <v>1690</v>
      </c>
      <c r="O14460" s="43">
        <v>11.501466275659823</v>
      </c>
      <c r="P14460" s="427"/>
      <c r="Q14460" s="427"/>
      <c r="R14460" s="427">
        <v>3</v>
      </c>
    </row>
    <row r="14461" spans="1:18" ht="24">
      <c r="A14461" s="423">
        <v>22</v>
      </c>
      <c r="B14461" s="420" t="s">
        <v>25999</v>
      </c>
      <c r="C14461" s="424" t="s">
        <v>26000</v>
      </c>
      <c r="D14461" s="425">
        <v>108.43</v>
      </c>
      <c r="E14461" s="425">
        <v>106.3</v>
      </c>
      <c r="F14461" s="425"/>
      <c r="G14461" s="425">
        <v>2.13</v>
      </c>
      <c r="H14461" s="426">
        <v>1246.9000000000001</v>
      </c>
      <c r="I14461" s="426">
        <v>1222.4000000000001</v>
      </c>
      <c r="J14461" s="426"/>
      <c r="K14461" s="426">
        <v>24.5</v>
      </c>
      <c r="L14461" s="43">
        <v>11.499584985705063</v>
      </c>
      <c r="M14461" s="43">
        <v>11.499529633113831</v>
      </c>
      <c r="N14461" s="43" t="s">
        <v>1690</v>
      </c>
      <c r="O14461" s="43">
        <v>11.502347417840376</v>
      </c>
      <c r="P14461" s="427"/>
      <c r="Q14461" s="427"/>
      <c r="R14461" s="427">
        <v>3</v>
      </c>
    </row>
    <row r="14462" spans="1:18" ht="24">
      <c r="A14462" s="423">
        <v>23</v>
      </c>
      <c r="B14462" s="420" t="s">
        <v>26001</v>
      </c>
      <c r="C14462" s="424" t="s">
        <v>26002</v>
      </c>
      <c r="D14462" s="425">
        <v>142.83000000000001</v>
      </c>
      <c r="E14462" s="425">
        <v>140.03</v>
      </c>
      <c r="F14462" s="425"/>
      <c r="G14462" s="425">
        <v>2.8</v>
      </c>
      <c r="H14462" s="426">
        <v>1642.61</v>
      </c>
      <c r="I14462" s="426">
        <v>1610.41</v>
      </c>
      <c r="J14462" s="426"/>
      <c r="K14462" s="426">
        <v>32.200000000000003</v>
      </c>
      <c r="L14462" s="43">
        <v>11.500455086466427</v>
      </c>
      <c r="M14462" s="43">
        <v>11.500464186245805</v>
      </c>
      <c r="N14462" s="43" t="s">
        <v>1690</v>
      </c>
      <c r="O14462" s="43">
        <v>11.500000000000002</v>
      </c>
      <c r="P14462" s="427"/>
      <c r="Q14462" s="427"/>
      <c r="R14462" s="427">
        <v>3</v>
      </c>
    </row>
    <row r="14463" spans="1:18" ht="24">
      <c r="A14463" s="423">
        <v>24</v>
      </c>
      <c r="B14463" s="420" t="s">
        <v>26003</v>
      </c>
      <c r="C14463" s="424" t="s">
        <v>26004</v>
      </c>
      <c r="D14463" s="425">
        <v>10.98</v>
      </c>
      <c r="E14463" s="425">
        <v>10.76</v>
      </c>
      <c r="F14463" s="425"/>
      <c r="G14463" s="425">
        <v>0.22</v>
      </c>
      <c r="H14463" s="426">
        <v>126.32</v>
      </c>
      <c r="I14463" s="426">
        <v>123.79</v>
      </c>
      <c r="J14463" s="426"/>
      <c r="K14463" s="426">
        <v>2.5299999999999998</v>
      </c>
      <c r="L14463" s="43">
        <v>11.504553734061929</v>
      </c>
      <c r="M14463" s="43">
        <v>11.5046468401487</v>
      </c>
      <c r="N14463" s="43" t="s">
        <v>1690</v>
      </c>
      <c r="O14463" s="43">
        <v>11.499999999999998</v>
      </c>
      <c r="P14463" s="427"/>
      <c r="Q14463" s="427"/>
      <c r="R14463" s="427">
        <v>3</v>
      </c>
    </row>
    <row r="14464" spans="1:18" ht="24">
      <c r="A14464" s="423">
        <v>25</v>
      </c>
      <c r="B14464" s="420" t="s">
        <v>26005</v>
      </c>
      <c r="C14464" s="424" t="s">
        <v>26006</v>
      </c>
      <c r="D14464" s="425">
        <v>48.05</v>
      </c>
      <c r="E14464" s="425">
        <v>47.11</v>
      </c>
      <c r="F14464" s="425"/>
      <c r="G14464" s="425">
        <v>0.94</v>
      </c>
      <c r="H14464" s="426">
        <v>552.58000000000004</v>
      </c>
      <c r="I14464" s="426">
        <v>541.77</v>
      </c>
      <c r="J14464" s="426"/>
      <c r="K14464" s="426">
        <v>10.81</v>
      </c>
      <c r="L14464" s="43">
        <v>11.500104058272635</v>
      </c>
      <c r="M14464" s="43">
        <v>11.500106134578646</v>
      </c>
      <c r="N14464" s="43" t="s">
        <v>1690</v>
      </c>
      <c r="O14464" s="43">
        <v>11.500000000000002</v>
      </c>
      <c r="P14464" s="427"/>
      <c r="Q14464" s="427"/>
      <c r="R14464" s="427">
        <v>3</v>
      </c>
    </row>
    <row r="14465" spans="1:18" ht="24">
      <c r="A14465" s="423">
        <v>26</v>
      </c>
      <c r="B14465" s="420" t="s">
        <v>26007</v>
      </c>
      <c r="C14465" s="424" t="s">
        <v>26008</v>
      </c>
      <c r="D14465" s="425">
        <v>43.16</v>
      </c>
      <c r="E14465" s="425">
        <v>42.31</v>
      </c>
      <c r="F14465" s="425"/>
      <c r="G14465" s="425">
        <v>0.85</v>
      </c>
      <c r="H14465" s="426">
        <v>496.37</v>
      </c>
      <c r="I14465" s="426">
        <v>486.59</v>
      </c>
      <c r="J14465" s="426"/>
      <c r="K14465" s="426">
        <v>9.7799999999999994</v>
      </c>
      <c r="L14465" s="43">
        <v>11.500695088044486</v>
      </c>
      <c r="M14465" s="43">
        <v>11.500590876861262</v>
      </c>
      <c r="N14465" s="43" t="s">
        <v>1690</v>
      </c>
      <c r="O14465" s="43">
        <v>11.505882352941176</v>
      </c>
      <c r="P14465" s="427"/>
      <c r="Q14465" s="427"/>
      <c r="R14465" s="427">
        <v>3</v>
      </c>
    </row>
    <row r="14466" spans="1:18" ht="24">
      <c r="A14466" s="423">
        <v>27</v>
      </c>
      <c r="B14466" s="420" t="s">
        <v>26009</v>
      </c>
      <c r="C14466" s="424" t="s">
        <v>26010</v>
      </c>
      <c r="D14466" s="425">
        <v>174.05</v>
      </c>
      <c r="E14466" s="425">
        <v>170.64</v>
      </c>
      <c r="F14466" s="425"/>
      <c r="G14466" s="425">
        <v>3.41</v>
      </c>
      <c r="H14466" s="426">
        <v>2001.65</v>
      </c>
      <c r="I14466" s="426">
        <v>1962.43</v>
      </c>
      <c r="J14466" s="426"/>
      <c r="K14466" s="426">
        <v>39.22</v>
      </c>
      <c r="L14466" s="43">
        <v>11.500430910657856</v>
      </c>
      <c r="M14466" s="43">
        <v>11.500410220346931</v>
      </c>
      <c r="N14466" s="43" t="s">
        <v>1690</v>
      </c>
      <c r="O14466" s="43">
        <v>11.501466275659823</v>
      </c>
      <c r="P14466" s="427"/>
      <c r="Q14466" s="427"/>
      <c r="R14466" s="427">
        <v>3</v>
      </c>
    </row>
    <row r="14467" spans="1:18" ht="24">
      <c r="A14467" s="423">
        <v>28</v>
      </c>
      <c r="B14467" s="420" t="s">
        <v>26011</v>
      </c>
      <c r="C14467" s="424" t="s">
        <v>26012</v>
      </c>
      <c r="D14467" s="425">
        <v>32.630000000000003</v>
      </c>
      <c r="E14467" s="425">
        <v>31.99</v>
      </c>
      <c r="F14467" s="425"/>
      <c r="G14467" s="425">
        <v>0.64</v>
      </c>
      <c r="H14467" s="426">
        <v>375.27</v>
      </c>
      <c r="I14467" s="426">
        <v>367.91</v>
      </c>
      <c r="J14467" s="426"/>
      <c r="K14467" s="426">
        <v>7.36</v>
      </c>
      <c r="L14467" s="43">
        <v>11.50076616610481</v>
      </c>
      <c r="M14467" s="43">
        <v>11.500781494216945</v>
      </c>
      <c r="N14467" s="43" t="s">
        <v>1690</v>
      </c>
      <c r="O14467" s="43">
        <v>11.5</v>
      </c>
      <c r="P14467" s="427"/>
      <c r="Q14467" s="427"/>
      <c r="R14467" s="427">
        <v>3</v>
      </c>
    </row>
    <row r="14468" spans="1:18" ht="12.75" customHeight="1">
      <c r="A14468" s="628" t="s">
        <v>26013</v>
      </c>
      <c r="B14468" s="629"/>
      <c r="C14468" s="629"/>
      <c r="D14468" s="629"/>
      <c r="E14468" s="629"/>
      <c r="F14468" s="629"/>
      <c r="G14468" s="629"/>
      <c r="H14468" s="629"/>
      <c r="I14468" s="629"/>
      <c r="J14468" s="629"/>
      <c r="K14468" s="629"/>
      <c r="L14468" s="629"/>
      <c r="M14468" s="629"/>
      <c r="N14468" s="629"/>
      <c r="O14468" s="629"/>
      <c r="P14468" s="629"/>
      <c r="Q14468" s="629"/>
      <c r="R14468" s="629"/>
    </row>
    <row r="14469" spans="1:18" ht="24">
      <c r="A14469" s="423">
        <v>29</v>
      </c>
      <c r="B14469" s="420" t="s">
        <v>26014</v>
      </c>
      <c r="C14469" s="424" t="s">
        <v>26015</v>
      </c>
      <c r="D14469" s="425">
        <v>205.37</v>
      </c>
      <c r="E14469" s="425">
        <v>201.3</v>
      </c>
      <c r="F14469" s="425">
        <v>0.04</v>
      </c>
      <c r="G14469" s="425">
        <v>4.03</v>
      </c>
      <c r="H14469" s="426">
        <v>2361.4699999999998</v>
      </c>
      <c r="I14469" s="426">
        <v>2314.9499999999998</v>
      </c>
      <c r="J14469" s="426">
        <v>0.17</v>
      </c>
      <c r="K14469" s="426">
        <v>46.35</v>
      </c>
      <c r="L14469" s="43">
        <v>11.498612260797584</v>
      </c>
      <c r="M14469" s="43">
        <v>11.499999999999998</v>
      </c>
      <c r="N14469" s="43">
        <v>4.25</v>
      </c>
      <c r="O14469" s="43">
        <v>11.501240694789082</v>
      </c>
      <c r="P14469" s="427"/>
      <c r="Q14469" s="427"/>
      <c r="R14469" s="427">
        <v>4</v>
      </c>
    </row>
    <row r="14470" spans="1:18" ht="24">
      <c r="A14470" s="423">
        <v>30</v>
      </c>
      <c r="B14470" s="420" t="s">
        <v>26016</v>
      </c>
      <c r="C14470" s="424" t="s">
        <v>26017</v>
      </c>
      <c r="D14470" s="425">
        <v>48.83</v>
      </c>
      <c r="E14470" s="425">
        <v>47.85</v>
      </c>
      <c r="F14470" s="425">
        <v>0.02</v>
      </c>
      <c r="G14470" s="425">
        <v>0.96</v>
      </c>
      <c r="H14470" s="426">
        <v>561.38</v>
      </c>
      <c r="I14470" s="426">
        <v>550.26</v>
      </c>
      <c r="J14470" s="426">
        <v>0.08</v>
      </c>
      <c r="K14470" s="426">
        <v>11.04</v>
      </c>
      <c r="L14470" s="43">
        <v>11.496620929756297</v>
      </c>
      <c r="M14470" s="43">
        <v>11.499686520376175</v>
      </c>
      <c r="N14470" s="43">
        <v>4</v>
      </c>
      <c r="O14470" s="43">
        <v>11.5</v>
      </c>
      <c r="P14470" s="427"/>
      <c r="Q14470" s="427"/>
      <c r="R14470" s="427">
        <v>4</v>
      </c>
    </row>
    <row r="14471" spans="1:18" ht="12.75" customHeight="1">
      <c r="A14471" s="628" t="s">
        <v>26018</v>
      </c>
      <c r="B14471" s="629"/>
      <c r="C14471" s="629"/>
      <c r="D14471" s="629"/>
      <c r="E14471" s="629"/>
      <c r="F14471" s="629"/>
      <c r="G14471" s="629"/>
      <c r="H14471" s="629"/>
      <c r="I14471" s="629"/>
      <c r="J14471" s="629"/>
      <c r="K14471" s="629"/>
      <c r="L14471" s="629"/>
      <c r="M14471" s="629"/>
      <c r="N14471" s="629"/>
      <c r="O14471" s="629"/>
      <c r="P14471" s="629"/>
      <c r="Q14471" s="629"/>
      <c r="R14471" s="629"/>
    </row>
    <row r="14472" spans="1:18" ht="24">
      <c r="A14472" s="423">
        <v>31</v>
      </c>
      <c r="B14472" s="420" t="s">
        <v>26019</v>
      </c>
      <c r="C14472" s="424" t="s">
        <v>26020</v>
      </c>
      <c r="D14472" s="425">
        <v>12.04</v>
      </c>
      <c r="E14472" s="425">
        <v>11.8</v>
      </c>
      <c r="F14472" s="425"/>
      <c r="G14472" s="425">
        <v>0.24</v>
      </c>
      <c r="H14472" s="426">
        <v>138.47999999999999</v>
      </c>
      <c r="I14472" s="426">
        <v>135.72</v>
      </c>
      <c r="J14472" s="426"/>
      <c r="K14472" s="426">
        <v>2.76</v>
      </c>
      <c r="L14472" s="43">
        <v>11.501661129568106</v>
      </c>
      <c r="M14472" s="43">
        <v>11.501694915254237</v>
      </c>
      <c r="N14472" s="43" t="s">
        <v>1690</v>
      </c>
      <c r="O14472" s="43">
        <v>11.5</v>
      </c>
      <c r="P14472" s="427"/>
      <c r="Q14472" s="427"/>
      <c r="R14472" s="427">
        <v>5</v>
      </c>
    </row>
    <row r="14473" spans="1:18" ht="24">
      <c r="A14473" s="423">
        <v>32</v>
      </c>
      <c r="B14473" s="420" t="s">
        <v>26021</v>
      </c>
      <c r="C14473" s="424" t="s">
        <v>26022</v>
      </c>
      <c r="D14473" s="425">
        <v>35.54</v>
      </c>
      <c r="E14473" s="425">
        <v>34.840000000000003</v>
      </c>
      <c r="F14473" s="425"/>
      <c r="G14473" s="425">
        <v>0.7</v>
      </c>
      <c r="H14473" s="426">
        <v>408.76</v>
      </c>
      <c r="I14473" s="426">
        <v>400.71</v>
      </c>
      <c r="J14473" s="426"/>
      <c r="K14473" s="426">
        <v>8.0500000000000007</v>
      </c>
      <c r="L14473" s="43">
        <v>11.501406865503657</v>
      </c>
      <c r="M14473" s="43">
        <v>11.501435132032146</v>
      </c>
      <c r="N14473" s="43" t="s">
        <v>1690</v>
      </c>
      <c r="O14473" s="43">
        <v>11.500000000000002</v>
      </c>
      <c r="P14473" s="427"/>
      <c r="Q14473" s="427"/>
      <c r="R14473" s="427">
        <v>5</v>
      </c>
    </row>
    <row r="14474" spans="1:18" ht="12.75" customHeight="1">
      <c r="A14474" s="628" t="s">
        <v>19144</v>
      </c>
      <c r="B14474" s="629"/>
      <c r="C14474" s="629"/>
      <c r="D14474" s="629"/>
      <c r="E14474" s="629"/>
      <c r="F14474" s="629"/>
      <c r="G14474" s="629"/>
      <c r="H14474" s="629"/>
      <c r="I14474" s="629"/>
      <c r="J14474" s="629"/>
      <c r="K14474" s="629"/>
      <c r="L14474" s="629"/>
      <c r="M14474" s="629"/>
      <c r="N14474" s="629"/>
      <c r="O14474" s="629"/>
      <c r="P14474" s="629"/>
      <c r="Q14474" s="629"/>
      <c r="R14474" s="629"/>
    </row>
    <row r="14475" spans="1:18" ht="24">
      <c r="A14475" s="423">
        <v>33</v>
      </c>
      <c r="B14475" s="420" t="s">
        <v>26023</v>
      </c>
      <c r="C14475" s="424" t="s">
        <v>26024</v>
      </c>
      <c r="D14475" s="425">
        <v>21.83</v>
      </c>
      <c r="E14475" s="425">
        <v>21.4</v>
      </c>
      <c r="F14475" s="425"/>
      <c r="G14475" s="425">
        <v>0.43</v>
      </c>
      <c r="H14475" s="426">
        <v>251.05</v>
      </c>
      <c r="I14475" s="426">
        <v>246.1</v>
      </c>
      <c r="J14475" s="426"/>
      <c r="K14475" s="426">
        <v>4.95</v>
      </c>
      <c r="L14475" s="43">
        <v>11.500229042601925</v>
      </c>
      <c r="M14475" s="43">
        <v>11.5</v>
      </c>
      <c r="N14475" s="43" t="s">
        <v>1690</v>
      </c>
      <c r="O14475" s="43">
        <v>11.500158277936057</v>
      </c>
      <c r="P14475" s="427"/>
      <c r="Q14475" s="427"/>
      <c r="R14475" s="427">
        <v>6</v>
      </c>
    </row>
    <row r="14476" spans="1:18" ht="24">
      <c r="A14476" s="423">
        <v>34</v>
      </c>
      <c r="B14476" s="420" t="s">
        <v>26025</v>
      </c>
      <c r="C14476" s="424" t="s">
        <v>26026</v>
      </c>
      <c r="D14476" s="425">
        <v>24.07</v>
      </c>
      <c r="E14476" s="425">
        <v>23.6</v>
      </c>
      <c r="F14476" s="425"/>
      <c r="G14476" s="425">
        <v>0.47</v>
      </c>
      <c r="H14476" s="426">
        <v>276.86</v>
      </c>
      <c r="I14476" s="426">
        <v>271.45</v>
      </c>
      <c r="J14476" s="426"/>
      <c r="K14476" s="426">
        <v>5.41</v>
      </c>
      <c r="L14476" s="43">
        <v>11.502285002077276</v>
      </c>
      <c r="M14476" s="43">
        <v>11.502118644067796</v>
      </c>
      <c r="N14476" s="43" t="s">
        <v>1690</v>
      </c>
      <c r="O14476" s="43">
        <v>11.500158277936057</v>
      </c>
      <c r="P14476" s="427"/>
      <c r="Q14476" s="427"/>
      <c r="R14476" s="427">
        <v>6</v>
      </c>
    </row>
    <row r="14477" spans="1:18" ht="24">
      <c r="A14477" s="423">
        <v>35</v>
      </c>
      <c r="B14477" s="420" t="s">
        <v>26027</v>
      </c>
      <c r="C14477" s="424" t="s">
        <v>26028</v>
      </c>
      <c r="D14477" s="425">
        <v>24.07</v>
      </c>
      <c r="E14477" s="425">
        <v>23.6</v>
      </c>
      <c r="F14477" s="425"/>
      <c r="G14477" s="425">
        <v>0.47</v>
      </c>
      <c r="H14477" s="426">
        <v>276.86</v>
      </c>
      <c r="I14477" s="426">
        <v>271.45</v>
      </c>
      <c r="J14477" s="426"/>
      <c r="K14477" s="426">
        <v>5.41</v>
      </c>
      <c r="L14477" s="43">
        <v>11.502285002077276</v>
      </c>
      <c r="M14477" s="43">
        <v>11.502118644067796</v>
      </c>
      <c r="N14477" s="43" t="s">
        <v>1690</v>
      </c>
      <c r="O14477" s="43">
        <v>11.500158277936057</v>
      </c>
      <c r="P14477" s="427"/>
      <c r="Q14477" s="427"/>
      <c r="R14477" s="427">
        <v>6</v>
      </c>
    </row>
    <row r="14478" spans="1:18" ht="36">
      <c r="A14478" s="423">
        <v>36</v>
      </c>
      <c r="B14478" s="420" t="s">
        <v>26029</v>
      </c>
      <c r="C14478" s="424" t="s">
        <v>26030</v>
      </c>
      <c r="D14478" s="425">
        <v>84.38</v>
      </c>
      <c r="E14478" s="425">
        <v>82.73</v>
      </c>
      <c r="F14478" s="425"/>
      <c r="G14478" s="425">
        <v>1.65</v>
      </c>
      <c r="H14478" s="426">
        <v>970.39</v>
      </c>
      <c r="I14478" s="426">
        <v>951.41</v>
      </c>
      <c r="J14478" s="426"/>
      <c r="K14478" s="426">
        <v>18.98</v>
      </c>
      <c r="L14478" s="43">
        <v>11.500237022991231</v>
      </c>
      <c r="M14478" s="43">
        <v>11.500181312703976</v>
      </c>
      <c r="N14478" s="43" t="s">
        <v>1690</v>
      </c>
      <c r="O14478" s="43">
        <v>11.503030303030304</v>
      </c>
      <c r="P14478" s="427"/>
      <c r="Q14478" s="427"/>
      <c r="R14478" s="427">
        <v>6</v>
      </c>
    </row>
    <row r="14479" spans="1:18" ht="24">
      <c r="A14479" s="423">
        <v>37</v>
      </c>
      <c r="B14479" s="420" t="s">
        <v>26031</v>
      </c>
      <c r="C14479" s="424" t="s">
        <v>26032</v>
      </c>
      <c r="D14479" s="425">
        <v>79.61</v>
      </c>
      <c r="E14479" s="425">
        <v>78.05</v>
      </c>
      <c r="F14479" s="425"/>
      <c r="G14479" s="425">
        <v>1.56</v>
      </c>
      <c r="H14479" s="426">
        <v>915.49</v>
      </c>
      <c r="I14479" s="426">
        <v>897.55</v>
      </c>
      <c r="J14479" s="426"/>
      <c r="K14479" s="426">
        <v>17.940000000000001</v>
      </c>
      <c r="L14479" s="43">
        <v>11.49968596909936</v>
      </c>
      <c r="M14479" s="43">
        <v>11.499679692504804</v>
      </c>
      <c r="N14479" s="43" t="s">
        <v>1690</v>
      </c>
      <c r="O14479" s="43">
        <v>11.5</v>
      </c>
      <c r="P14479" s="427"/>
      <c r="Q14479" s="427"/>
      <c r="R14479" s="427">
        <v>6</v>
      </c>
    </row>
    <row r="14480" spans="1:18" ht="24">
      <c r="A14480" s="423">
        <v>38</v>
      </c>
      <c r="B14480" s="420" t="s">
        <v>26033</v>
      </c>
      <c r="C14480" s="424" t="s">
        <v>26034</v>
      </c>
      <c r="D14480" s="425">
        <v>57.5</v>
      </c>
      <c r="E14480" s="425">
        <v>56.37</v>
      </c>
      <c r="F14480" s="425"/>
      <c r="G14480" s="425">
        <v>1.1299999999999999</v>
      </c>
      <c r="H14480" s="426">
        <v>661.23</v>
      </c>
      <c r="I14480" s="426">
        <v>648.23</v>
      </c>
      <c r="J14480" s="426"/>
      <c r="K14480" s="426">
        <v>13</v>
      </c>
      <c r="L14480" s="43">
        <v>11.499652173913043</v>
      </c>
      <c r="M14480" s="43">
        <v>11.499556501685294</v>
      </c>
      <c r="N14480" s="43" t="s">
        <v>1690</v>
      </c>
      <c r="O14480" s="43">
        <v>11.504424778761063</v>
      </c>
      <c r="P14480" s="427"/>
      <c r="Q14480" s="427"/>
      <c r="R14480" s="427">
        <v>6</v>
      </c>
    </row>
    <row r="14481" spans="1:18" ht="24">
      <c r="A14481" s="423">
        <v>39</v>
      </c>
      <c r="B14481" s="420" t="s">
        <v>26035</v>
      </c>
      <c r="C14481" s="424" t="s">
        <v>26036</v>
      </c>
      <c r="D14481" s="425">
        <v>69.66</v>
      </c>
      <c r="E14481" s="425">
        <v>68.290000000000006</v>
      </c>
      <c r="F14481" s="425"/>
      <c r="G14481" s="425">
        <v>1.37</v>
      </c>
      <c r="H14481" s="426">
        <v>801.12</v>
      </c>
      <c r="I14481" s="426">
        <v>785.36</v>
      </c>
      <c r="J14481" s="426"/>
      <c r="K14481" s="426">
        <v>15.76</v>
      </c>
      <c r="L14481" s="43">
        <v>11.500430663221362</v>
      </c>
      <c r="M14481" s="43">
        <v>11.500366085810514</v>
      </c>
      <c r="N14481" s="43" t="s">
        <v>1690</v>
      </c>
      <c r="O14481" s="43">
        <v>11.503649635036496</v>
      </c>
      <c r="P14481" s="427"/>
      <c r="Q14481" s="427"/>
      <c r="R14481" s="427">
        <v>6</v>
      </c>
    </row>
    <row r="14482" spans="1:18" ht="24">
      <c r="A14482" s="423">
        <v>40</v>
      </c>
      <c r="B14482" s="420" t="s">
        <v>26037</v>
      </c>
      <c r="C14482" s="424" t="s">
        <v>26038</v>
      </c>
      <c r="D14482" s="425">
        <v>72.23</v>
      </c>
      <c r="E14482" s="425">
        <v>70.81</v>
      </c>
      <c r="F14482" s="425"/>
      <c r="G14482" s="425">
        <v>1.42</v>
      </c>
      <c r="H14482" s="426">
        <v>830.67</v>
      </c>
      <c r="I14482" s="426">
        <v>814.34</v>
      </c>
      <c r="J14482" s="426"/>
      <c r="K14482" s="426">
        <v>16.329999999999998</v>
      </c>
      <c r="L14482" s="43">
        <v>11.500346116572061</v>
      </c>
      <c r="M14482" s="43">
        <v>11.500353057477758</v>
      </c>
      <c r="N14482" s="43" t="s">
        <v>1690</v>
      </c>
      <c r="O14482" s="43">
        <v>11.5</v>
      </c>
      <c r="P14482" s="427"/>
      <c r="Q14482" s="427"/>
      <c r="R14482" s="427">
        <v>6</v>
      </c>
    </row>
    <row r="14483" spans="1:18" ht="24">
      <c r="A14483" s="423">
        <v>41</v>
      </c>
      <c r="B14483" s="420" t="s">
        <v>26039</v>
      </c>
      <c r="C14483" s="424" t="s">
        <v>26040</v>
      </c>
      <c r="D14483" s="425">
        <v>189.17</v>
      </c>
      <c r="E14483" s="425">
        <v>185.46</v>
      </c>
      <c r="F14483" s="425"/>
      <c r="G14483" s="425">
        <v>3.71</v>
      </c>
      <c r="H14483" s="426">
        <v>2175.46</v>
      </c>
      <c r="I14483" s="426">
        <v>2132.79</v>
      </c>
      <c r="J14483" s="426"/>
      <c r="K14483" s="426">
        <v>42.67</v>
      </c>
      <c r="L14483" s="43">
        <v>11.500026431252314</v>
      </c>
      <c r="M14483" s="43">
        <v>11.5</v>
      </c>
      <c r="N14483" s="43" t="s">
        <v>1690</v>
      </c>
      <c r="O14483" s="43">
        <v>11.50134770889488</v>
      </c>
      <c r="P14483" s="427"/>
      <c r="Q14483" s="427"/>
      <c r="R14483" s="427">
        <v>6</v>
      </c>
    </row>
    <row r="14484" spans="1:18" ht="12.75" customHeight="1">
      <c r="A14484" s="628" t="s">
        <v>26041</v>
      </c>
      <c r="B14484" s="629"/>
      <c r="C14484" s="629"/>
      <c r="D14484" s="629"/>
      <c r="E14484" s="629"/>
      <c r="F14484" s="629"/>
      <c r="G14484" s="629"/>
      <c r="H14484" s="629"/>
      <c r="I14484" s="629"/>
      <c r="J14484" s="629"/>
      <c r="K14484" s="629"/>
      <c r="L14484" s="629"/>
      <c r="M14484" s="629"/>
      <c r="N14484" s="629"/>
      <c r="O14484" s="629"/>
      <c r="P14484" s="629"/>
      <c r="Q14484" s="629"/>
      <c r="R14484" s="629"/>
    </row>
    <row r="14485" spans="1:18" ht="24">
      <c r="A14485" s="423">
        <v>42</v>
      </c>
      <c r="B14485" s="420" t="s">
        <v>26042</v>
      </c>
      <c r="C14485" s="424" t="s">
        <v>26043</v>
      </c>
      <c r="D14485" s="425">
        <v>90.84</v>
      </c>
      <c r="E14485" s="425">
        <v>89.06</v>
      </c>
      <c r="F14485" s="425"/>
      <c r="G14485" s="425">
        <v>1.78</v>
      </c>
      <c r="H14485" s="426">
        <v>1044.74</v>
      </c>
      <c r="I14485" s="426">
        <v>1024.27</v>
      </c>
      <c r="J14485" s="426"/>
      <c r="K14485" s="426">
        <v>20.47</v>
      </c>
      <c r="L14485" s="43">
        <v>11.500880669308675</v>
      </c>
      <c r="M14485" s="43">
        <v>11.500898270828655</v>
      </c>
      <c r="N14485" s="43" t="s">
        <v>1690</v>
      </c>
      <c r="O14485" s="43">
        <v>11.5</v>
      </c>
      <c r="P14485" s="427"/>
      <c r="Q14485" s="427"/>
      <c r="R14485" s="427">
        <v>7</v>
      </c>
    </row>
    <row r="14486" spans="1:18" ht="24">
      <c r="A14486" s="423">
        <v>43</v>
      </c>
      <c r="B14486" s="420" t="s">
        <v>26044</v>
      </c>
      <c r="C14486" s="424" t="s">
        <v>26045</v>
      </c>
      <c r="D14486" s="425">
        <v>154.31</v>
      </c>
      <c r="E14486" s="425">
        <v>151.28</v>
      </c>
      <c r="F14486" s="425"/>
      <c r="G14486" s="425">
        <v>3.03</v>
      </c>
      <c r="H14486" s="426">
        <v>1774.57</v>
      </c>
      <c r="I14486" s="426">
        <v>1739.72</v>
      </c>
      <c r="J14486" s="426"/>
      <c r="K14486" s="426">
        <v>34.85</v>
      </c>
      <c r="L14486" s="43">
        <v>11.500032402307044</v>
      </c>
      <c r="M14486" s="43">
        <v>11.5</v>
      </c>
      <c r="N14486" s="43" t="s">
        <v>1690</v>
      </c>
      <c r="O14486" s="43">
        <v>11.501650165016503</v>
      </c>
      <c r="P14486" s="427"/>
      <c r="Q14486" s="427"/>
      <c r="R14486" s="427">
        <v>7</v>
      </c>
    </row>
    <row r="14487" spans="1:18" ht="24">
      <c r="A14487" s="423">
        <v>44</v>
      </c>
      <c r="B14487" s="420" t="s">
        <v>26046</v>
      </c>
      <c r="C14487" s="424" t="s">
        <v>26047</v>
      </c>
      <c r="D14487" s="425">
        <v>11.61</v>
      </c>
      <c r="E14487" s="425">
        <v>11.38</v>
      </c>
      <c r="F14487" s="425"/>
      <c r="G14487" s="425">
        <v>0.23</v>
      </c>
      <c r="H14487" s="426">
        <v>133.54</v>
      </c>
      <c r="I14487" s="426">
        <v>130.88999999999999</v>
      </c>
      <c r="J14487" s="426"/>
      <c r="K14487" s="426">
        <v>2.65</v>
      </c>
      <c r="L14487" s="43">
        <v>11.502153316106805</v>
      </c>
      <c r="M14487" s="43">
        <v>11.501757469244286</v>
      </c>
      <c r="N14487" s="43" t="s">
        <v>1690</v>
      </c>
      <c r="O14487" s="43">
        <v>11.500158277936057</v>
      </c>
      <c r="P14487" s="427"/>
      <c r="Q14487" s="427"/>
      <c r="R14487" s="427">
        <v>7</v>
      </c>
    </row>
    <row r="14488" spans="1:18" ht="24">
      <c r="A14488" s="423">
        <v>45</v>
      </c>
      <c r="B14488" s="420" t="s">
        <v>26048</v>
      </c>
      <c r="C14488" s="424" t="s">
        <v>26049</v>
      </c>
      <c r="D14488" s="425">
        <v>26.13</v>
      </c>
      <c r="E14488" s="425">
        <v>25.62</v>
      </c>
      <c r="F14488" s="425"/>
      <c r="G14488" s="425">
        <v>0.51</v>
      </c>
      <c r="H14488" s="426">
        <v>300.5</v>
      </c>
      <c r="I14488" s="426">
        <v>294.63</v>
      </c>
      <c r="J14488" s="426"/>
      <c r="K14488" s="426">
        <v>5.87</v>
      </c>
      <c r="L14488" s="43">
        <v>11.500191350937619</v>
      </c>
      <c r="M14488" s="43">
        <v>11.5</v>
      </c>
      <c r="N14488" s="43" t="s">
        <v>1690</v>
      </c>
      <c r="O14488" s="43">
        <v>11.500158277936057</v>
      </c>
      <c r="P14488" s="427"/>
      <c r="Q14488" s="427"/>
      <c r="R14488" s="427">
        <v>7</v>
      </c>
    </row>
    <row r="14489" spans="1:18" ht="24">
      <c r="A14489" s="423">
        <v>46</v>
      </c>
      <c r="B14489" s="420" t="s">
        <v>26050</v>
      </c>
      <c r="C14489" s="424" t="s">
        <v>26051</v>
      </c>
      <c r="D14489" s="425">
        <v>13.25</v>
      </c>
      <c r="E14489" s="425">
        <v>12.99</v>
      </c>
      <c r="F14489" s="425"/>
      <c r="G14489" s="425">
        <v>0.26</v>
      </c>
      <c r="H14489" s="426">
        <v>152.36000000000001</v>
      </c>
      <c r="I14489" s="426">
        <v>149.37</v>
      </c>
      <c r="J14489" s="426"/>
      <c r="K14489" s="426">
        <v>2.99</v>
      </c>
      <c r="L14489" s="43">
        <v>11.498867924528303</v>
      </c>
      <c r="M14489" s="43">
        <v>11.498845265588916</v>
      </c>
      <c r="N14489" s="43" t="s">
        <v>1690</v>
      </c>
      <c r="O14489" s="43">
        <v>11.5</v>
      </c>
      <c r="P14489" s="427"/>
      <c r="Q14489" s="427"/>
      <c r="R14489" s="427">
        <v>7</v>
      </c>
    </row>
    <row r="14490" spans="1:18" ht="24">
      <c r="A14490" s="423">
        <v>47</v>
      </c>
      <c r="B14490" s="420" t="s">
        <v>26052</v>
      </c>
      <c r="C14490" s="424" t="s">
        <v>26053</v>
      </c>
      <c r="D14490" s="425">
        <v>48.05</v>
      </c>
      <c r="E14490" s="425">
        <v>47.11</v>
      </c>
      <c r="F14490" s="425"/>
      <c r="G14490" s="425">
        <v>0.94</v>
      </c>
      <c r="H14490" s="426">
        <v>552.58000000000004</v>
      </c>
      <c r="I14490" s="426">
        <v>541.77</v>
      </c>
      <c r="J14490" s="426"/>
      <c r="K14490" s="426">
        <v>10.81</v>
      </c>
      <c r="L14490" s="43">
        <v>11.500104058272635</v>
      </c>
      <c r="M14490" s="43">
        <v>11.500106134578646</v>
      </c>
      <c r="N14490" s="43" t="s">
        <v>1690</v>
      </c>
      <c r="O14490" s="43">
        <v>11.500000000000002</v>
      </c>
      <c r="P14490" s="427"/>
      <c r="Q14490" s="427"/>
      <c r="R14490" s="427">
        <v>7</v>
      </c>
    </row>
    <row r="14491" spans="1:18" ht="24">
      <c r="A14491" s="423">
        <v>48</v>
      </c>
      <c r="B14491" s="420" t="s">
        <v>26054</v>
      </c>
      <c r="C14491" s="424" t="s">
        <v>26055</v>
      </c>
      <c r="D14491" s="425">
        <v>89.44</v>
      </c>
      <c r="E14491" s="425">
        <v>87.69</v>
      </c>
      <c r="F14491" s="425"/>
      <c r="G14491" s="425">
        <v>1.75</v>
      </c>
      <c r="H14491" s="426">
        <v>1028.5999999999999</v>
      </c>
      <c r="I14491" s="426">
        <v>1008.47</v>
      </c>
      <c r="J14491" s="426"/>
      <c r="K14491" s="426">
        <v>20.13</v>
      </c>
      <c r="L14491" s="43">
        <v>11.500447227191412</v>
      </c>
      <c r="M14491" s="43">
        <v>11.500399133310527</v>
      </c>
      <c r="N14491" s="43" t="s">
        <v>1690</v>
      </c>
      <c r="O14491" s="43">
        <v>11.502857142857142</v>
      </c>
      <c r="P14491" s="427"/>
      <c r="Q14491" s="427"/>
      <c r="R14491" s="427">
        <v>7</v>
      </c>
    </row>
    <row r="14492" spans="1:18" ht="24">
      <c r="A14492" s="423">
        <v>49</v>
      </c>
      <c r="B14492" s="420" t="s">
        <v>26056</v>
      </c>
      <c r="C14492" s="424" t="s">
        <v>26057</v>
      </c>
      <c r="D14492" s="425">
        <v>50.77</v>
      </c>
      <c r="E14492" s="425">
        <v>49.77</v>
      </c>
      <c r="F14492" s="425"/>
      <c r="G14492" s="425">
        <v>1</v>
      </c>
      <c r="H14492" s="426">
        <v>583.88</v>
      </c>
      <c r="I14492" s="426">
        <v>572.38</v>
      </c>
      <c r="J14492" s="426"/>
      <c r="K14492" s="426">
        <v>11.5</v>
      </c>
      <c r="L14492" s="43">
        <v>11.500492416781563</v>
      </c>
      <c r="M14492" s="43">
        <v>11.500502310628892</v>
      </c>
      <c r="N14492" s="43" t="s">
        <v>1690</v>
      </c>
      <c r="O14492" s="43">
        <v>11.5</v>
      </c>
      <c r="P14492" s="427"/>
      <c r="Q14492" s="427"/>
      <c r="R14492" s="427">
        <v>7</v>
      </c>
    </row>
    <row r="14493" spans="1:18" ht="24">
      <c r="A14493" s="423">
        <v>50</v>
      </c>
      <c r="B14493" s="420" t="s">
        <v>26058</v>
      </c>
      <c r="C14493" s="424" t="s">
        <v>26059</v>
      </c>
      <c r="D14493" s="425">
        <v>89.44</v>
      </c>
      <c r="E14493" s="425">
        <v>87.69</v>
      </c>
      <c r="F14493" s="425"/>
      <c r="G14493" s="425">
        <v>1.75</v>
      </c>
      <c r="H14493" s="426">
        <v>1028.5999999999999</v>
      </c>
      <c r="I14493" s="426">
        <v>1008.47</v>
      </c>
      <c r="J14493" s="426"/>
      <c r="K14493" s="426">
        <v>20.13</v>
      </c>
      <c r="L14493" s="43">
        <v>11.500447227191412</v>
      </c>
      <c r="M14493" s="43">
        <v>11.500399133310527</v>
      </c>
      <c r="N14493" s="43" t="s">
        <v>1690</v>
      </c>
      <c r="O14493" s="43">
        <v>11.502857142857142</v>
      </c>
      <c r="P14493" s="427"/>
      <c r="Q14493" s="427"/>
      <c r="R14493" s="427">
        <v>7</v>
      </c>
    </row>
    <row r="14494" spans="1:18" ht="24">
      <c r="A14494" s="423">
        <v>51</v>
      </c>
      <c r="B14494" s="420" t="s">
        <v>26060</v>
      </c>
      <c r="C14494" s="424" t="s">
        <v>26061</v>
      </c>
      <c r="D14494" s="425">
        <v>37.47</v>
      </c>
      <c r="E14494" s="425">
        <v>36.74</v>
      </c>
      <c r="F14494" s="425"/>
      <c r="G14494" s="425">
        <v>0.73</v>
      </c>
      <c r="H14494" s="426">
        <v>430.87</v>
      </c>
      <c r="I14494" s="426">
        <v>422.47</v>
      </c>
      <c r="J14494" s="426"/>
      <c r="K14494" s="426">
        <v>8.4</v>
      </c>
      <c r="L14494" s="43">
        <v>11.499065919402188</v>
      </c>
      <c r="M14494" s="43">
        <v>11.498911268372346</v>
      </c>
      <c r="N14494" s="43" t="s">
        <v>1690</v>
      </c>
      <c r="O14494" s="43">
        <v>11.500158277936057</v>
      </c>
      <c r="P14494" s="427"/>
      <c r="Q14494" s="427"/>
      <c r="R14494" s="427">
        <v>7</v>
      </c>
    </row>
    <row r="14495" spans="1:18" ht="36">
      <c r="A14495" s="423">
        <v>52</v>
      </c>
      <c r="B14495" s="420" t="s">
        <v>26062</v>
      </c>
      <c r="C14495" s="424" t="s">
        <v>26063</v>
      </c>
      <c r="D14495" s="425">
        <v>10.98</v>
      </c>
      <c r="E14495" s="425">
        <v>10.76</v>
      </c>
      <c r="F14495" s="425"/>
      <c r="G14495" s="425">
        <v>0.22</v>
      </c>
      <c r="H14495" s="426">
        <v>126.32</v>
      </c>
      <c r="I14495" s="426">
        <v>123.79</v>
      </c>
      <c r="J14495" s="426"/>
      <c r="K14495" s="426">
        <v>2.5299999999999998</v>
      </c>
      <c r="L14495" s="43">
        <v>11.504553734061929</v>
      </c>
      <c r="M14495" s="43">
        <v>11.5046468401487</v>
      </c>
      <c r="N14495" s="43" t="s">
        <v>1690</v>
      </c>
      <c r="O14495" s="43">
        <v>11.499999999999998</v>
      </c>
      <c r="P14495" s="427"/>
      <c r="Q14495" s="427"/>
      <c r="R14495" s="427">
        <v>7</v>
      </c>
    </row>
    <row r="14496" spans="1:18" ht="24">
      <c r="A14496" s="423">
        <v>53</v>
      </c>
      <c r="B14496" s="420" t="s">
        <v>26064</v>
      </c>
      <c r="C14496" s="424" t="s">
        <v>26065</v>
      </c>
      <c r="D14496" s="425">
        <v>10.71</v>
      </c>
      <c r="E14496" s="425">
        <v>10.5</v>
      </c>
      <c r="F14496" s="425"/>
      <c r="G14496" s="425">
        <v>0.21</v>
      </c>
      <c r="H14496" s="426">
        <v>123.13</v>
      </c>
      <c r="I14496" s="426">
        <v>120.71</v>
      </c>
      <c r="J14496" s="426"/>
      <c r="K14496" s="426">
        <v>2.42</v>
      </c>
      <c r="L14496" s="43">
        <v>11.496732026143789</v>
      </c>
      <c r="M14496" s="43">
        <v>11.496190476190476</v>
      </c>
      <c r="N14496" s="43" t="s">
        <v>1690</v>
      </c>
      <c r="O14496" s="43">
        <v>11.500158277936057</v>
      </c>
      <c r="P14496" s="427"/>
      <c r="Q14496" s="427"/>
      <c r="R14496" s="427">
        <v>7</v>
      </c>
    </row>
    <row r="14497" spans="1:18" ht="12.75" customHeight="1">
      <c r="A14497" s="628" t="s">
        <v>26066</v>
      </c>
      <c r="B14497" s="629"/>
      <c r="C14497" s="629"/>
      <c r="D14497" s="629"/>
      <c r="E14497" s="629"/>
      <c r="F14497" s="629"/>
      <c r="G14497" s="629"/>
      <c r="H14497" s="629"/>
      <c r="I14497" s="629"/>
      <c r="J14497" s="629"/>
      <c r="K14497" s="629"/>
      <c r="L14497" s="629"/>
      <c r="M14497" s="629"/>
      <c r="N14497" s="629"/>
      <c r="O14497" s="629"/>
      <c r="P14497" s="629"/>
      <c r="Q14497" s="629"/>
      <c r="R14497" s="629"/>
    </row>
    <row r="14498" spans="1:18" ht="12.75" customHeight="1">
      <c r="A14498" s="628" t="s">
        <v>26067</v>
      </c>
      <c r="B14498" s="629"/>
      <c r="C14498" s="629"/>
      <c r="D14498" s="629"/>
      <c r="E14498" s="629"/>
      <c r="F14498" s="629"/>
      <c r="G14498" s="629"/>
      <c r="H14498" s="629"/>
      <c r="I14498" s="629"/>
      <c r="J14498" s="629"/>
      <c r="K14498" s="629"/>
      <c r="L14498" s="629"/>
      <c r="M14498" s="629"/>
      <c r="N14498" s="629"/>
      <c r="O14498" s="629"/>
      <c r="P14498" s="629"/>
      <c r="Q14498" s="629"/>
      <c r="R14498" s="629"/>
    </row>
    <row r="14499" spans="1:18" ht="24">
      <c r="A14499" s="423">
        <v>54</v>
      </c>
      <c r="B14499" s="420" t="s">
        <v>26068</v>
      </c>
      <c r="C14499" s="424" t="s">
        <v>26069</v>
      </c>
      <c r="D14499" s="425">
        <v>177.7</v>
      </c>
      <c r="E14499" s="425">
        <v>174.22</v>
      </c>
      <c r="F14499" s="425"/>
      <c r="G14499" s="425">
        <v>3.48</v>
      </c>
      <c r="H14499" s="426">
        <v>2043.55</v>
      </c>
      <c r="I14499" s="426">
        <v>2003.53</v>
      </c>
      <c r="J14499" s="426"/>
      <c r="K14499" s="426">
        <v>40.020000000000003</v>
      </c>
      <c r="L14499" s="43">
        <v>11.5</v>
      </c>
      <c r="M14499" s="43">
        <v>11.5</v>
      </c>
      <c r="N14499" s="43" t="s">
        <v>1690</v>
      </c>
      <c r="O14499" s="43">
        <v>11.500000000000002</v>
      </c>
      <c r="P14499" s="427"/>
      <c r="Q14499" s="427"/>
      <c r="R14499" s="427">
        <v>1</v>
      </c>
    </row>
    <row r="14500" spans="1:18" ht="24">
      <c r="A14500" s="423">
        <v>55</v>
      </c>
      <c r="B14500" s="420" t="s">
        <v>26070</v>
      </c>
      <c r="C14500" s="424" t="s">
        <v>26071</v>
      </c>
      <c r="D14500" s="425">
        <v>71.08</v>
      </c>
      <c r="E14500" s="425">
        <v>69.69</v>
      </c>
      <c r="F14500" s="425"/>
      <c r="G14500" s="425">
        <v>1.39</v>
      </c>
      <c r="H14500" s="426">
        <v>817.4</v>
      </c>
      <c r="I14500" s="426">
        <v>801.41</v>
      </c>
      <c r="J14500" s="426"/>
      <c r="K14500" s="426">
        <v>15.99</v>
      </c>
      <c r="L14500" s="43">
        <v>11.499718626899268</v>
      </c>
      <c r="M14500" s="43">
        <v>11.499641268474674</v>
      </c>
      <c r="N14500" s="43" t="s">
        <v>1690</v>
      </c>
      <c r="O14500" s="43">
        <v>11.503597122302159</v>
      </c>
      <c r="P14500" s="427"/>
      <c r="Q14500" s="427"/>
      <c r="R14500" s="427">
        <v>1</v>
      </c>
    </row>
    <row r="14501" spans="1:18" ht="24">
      <c r="A14501" s="423">
        <v>56</v>
      </c>
      <c r="B14501" s="420" t="s">
        <v>26072</v>
      </c>
      <c r="C14501" s="424" t="s">
        <v>26073</v>
      </c>
      <c r="D14501" s="425">
        <v>229.3</v>
      </c>
      <c r="E14501" s="425">
        <v>224.8</v>
      </c>
      <c r="F14501" s="425"/>
      <c r="G14501" s="425">
        <v>4.5</v>
      </c>
      <c r="H14501" s="426">
        <v>2636.95</v>
      </c>
      <c r="I14501" s="426">
        <v>2585.1999999999998</v>
      </c>
      <c r="J14501" s="426"/>
      <c r="K14501" s="426">
        <v>51.75</v>
      </c>
      <c r="L14501" s="43">
        <v>11.499999999999998</v>
      </c>
      <c r="M14501" s="43">
        <v>11.499999999999998</v>
      </c>
      <c r="N14501" s="43" t="s">
        <v>1690</v>
      </c>
      <c r="O14501" s="43">
        <v>11.5</v>
      </c>
      <c r="P14501" s="427"/>
      <c r="Q14501" s="427"/>
      <c r="R14501" s="427">
        <v>1</v>
      </c>
    </row>
    <row r="14502" spans="1:18" ht="24">
      <c r="A14502" s="423">
        <v>57</v>
      </c>
      <c r="B14502" s="420" t="s">
        <v>26074</v>
      </c>
      <c r="C14502" s="424" t="s">
        <v>26075</v>
      </c>
      <c r="D14502" s="425">
        <v>275.16000000000003</v>
      </c>
      <c r="E14502" s="425">
        <v>269.76</v>
      </c>
      <c r="F14502" s="425"/>
      <c r="G14502" s="425">
        <v>5.4</v>
      </c>
      <c r="H14502" s="426">
        <v>3164.34</v>
      </c>
      <c r="I14502" s="426">
        <v>3102.24</v>
      </c>
      <c r="J14502" s="426"/>
      <c r="K14502" s="426">
        <v>62.1</v>
      </c>
      <c r="L14502" s="43">
        <v>11.5</v>
      </c>
      <c r="M14502" s="43">
        <v>11.5</v>
      </c>
      <c r="N14502" s="43" t="s">
        <v>1690</v>
      </c>
      <c r="O14502" s="43">
        <v>11.5</v>
      </c>
      <c r="P14502" s="427"/>
      <c r="Q14502" s="427"/>
      <c r="R14502" s="427">
        <v>1</v>
      </c>
    </row>
    <row r="14503" spans="1:18" ht="36">
      <c r="A14503" s="423">
        <v>58</v>
      </c>
      <c r="B14503" s="420" t="s">
        <v>26076</v>
      </c>
      <c r="C14503" s="424" t="s">
        <v>26077</v>
      </c>
      <c r="D14503" s="425">
        <v>59.62</v>
      </c>
      <c r="E14503" s="425">
        <v>58.45</v>
      </c>
      <c r="F14503" s="425"/>
      <c r="G14503" s="425">
        <v>1.17</v>
      </c>
      <c r="H14503" s="426">
        <v>685.61</v>
      </c>
      <c r="I14503" s="426">
        <v>672.15</v>
      </c>
      <c r="J14503" s="426"/>
      <c r="K14503" s="426">
        <v>13.46</v>
      </c>
      <c r="L14503" s="43">
        <v>11.499664542099968</v>
      </c>
      <c r="M14503" s="43">
        <v>11.49957228400342</v>
      </c>
      <c r="N14503" s="43" t="s">
        <v>1690</v>
      </c>
      <c r="O14503" s="43">
        <v>11.504273504273506</v>
      </c>
      <c r="P14503" s="427"/>
      <c r="Q14503" s="427"/>
      <c r="R14503" s="427">
        <v>1</v>
      </c>
    </row>
    <row r="14504" spans="1:18" ht="36">
      <c r="A14504" s="423">
        <v>59</v>
      </c>
      <c r="B14504" s="420" t="s">
        <v>26078</v>
      </c>
      <c r="C14504" s="424" t="s">
        <v>26079</v>
      </c>
      <c r="D14504" s="425">
        <v>2120.9899999999998</v>
      </c>
      <c r="E14504" s="425">
        <v>2079.4</v>
      </c>
      <c r="F14504" s="425"/>
      <c r="G14504" s="425">
        <v>41.59</v>
      </c>
      <c r="H14504" s="426">
        <v>24391.39</v>
      </c>
      <c r="I14504" s="426">
        <v>23913.1</v>
      </c>
      <c r="J14504" s="426"/>
      <c r="K14504" s="426">
        <v>478.29</v>
      </c>
      <c r="L14504" s="43">
        <v>11.500002357389711</v>
      </c>
      <c r="M14504" s="43">
        <v>11.499999999999998</v>
      </c>
      <c r="N14504" s="43" t="s">
        <v>1690</v>
      </c>
      <c r="O14504" s="43">
        <v>11.50012022120702</v>
      </c>
      <c r="P14504" s="427"/>
      <c r="Q14504" s="427"/>
      <c r="R14504" s="427">
        <v>1</v>
      </c>
    </row>
    <row r="14505" spans="1:18" ht="24">
      <c r="A14505" s="423">
        <v>60</v>
      </c>
      <c r="B14505" s="420" t="s">
        <v>26080</v>
      </c>
      <c r="C14505" s="424" t="s">
        <v>26081</v>
      </c>
      <c r="D14505" s="425">
        <v>48.15</v>
      </c>
      <c r="E14505" s="425">
        <v>47.21</v>
      </c>
      <c r="F14505" s="425"/>
      <c r="G14505" s="425">
        <v>0.94</v>
      </c>
      <c r="H14505" s="426">
        <v>553.70000000000005</v>
      </c>
      <c r="I14505" s="426">
        <v>542.89</v>
      </c>
      <c r="J14505" s="426"/>
      <c r="K14505" s="426">
        <v>10.81</v>
      </c>
      <c r="L14505" s="43">
        <v>11.499480789200417</v>
      </c>
      <c r="M14505" s="43">
        <v>11.499470451175599</v>
      </c>
      <c r="N14505" s="43" t="s">
        <v>1690</v>
      </c>
      <c r="O14505" s="43">
        <v>11.500000000000002</v>
      </c>
      <c r="P14505" s="427"/>
      <c r="Q14505" s="427"/>
      <c r="R14505" s="427">
        <v>1</v>
      </c>
    </row>
    <row r="14506" spans="1:18" ht="24">
      <c r="A14506" s="423">
        <v>61</v>
      </c>
      <c r="B14506" s="420" t="s">
        <v>26082</v>
      </c>
      <c r="C14506" s="424" t="s">
        <v>26083</v>
      </c>
      <c r="D14506" s="425">
        <v>1008.9</v>
      </c>
      <c r="E14506" s="425">
        <v>989.12</v>
      </c>
      <c r="F14506" s="425"/>
      <c r="G14506" s="425">
        <v>19.78</v>
      </c>
      <c r="H14506" s="426">
        <v>11602.35</v>
      </c>
      <c r="I14506" s="426">
        <v>11374.88</v>
      </c>
      <c r="J14506" s="426"/>
      <c r="K14506" s="426">
        <v>227.47</v>
      </c>
      <c r="L14506" s="43">
        <v>11.5</v>
      </c>
      <c r="M14506" s="43">
        <v>11.5</v>
      </c>
      <c r="N14506" s="43" t="s">
        <v>1690</v>
      </c>
      <c r="O14506" s="43">
        <v>11.5</v>
      </c>
      <c r="P14506" s="427"/>
      <c r="Q14506" s="427"/>
      <c r="R14506" s="427">
        <v>1</v>
      </c>
    </row>
    <row r="14507" spans="1:18" ht="36">
      <c r="A14507" s="423">
        <v>62</v>
      </c>
      <c r="B14507" s="420" t="s">
        <v>26084</v>
      </c>
      <c r="C14507" s="424" t="s">
        <v>26085</v>
      </c>
      <c r="D14507" s="425">
        <v>470.06</v>
      </c>
      <c r="E14507" s="425">
        <v>460.84</v>
      </c>
      <c r="F14507" s="425"/>
      <c r="G14507" s="425">
        <v>9.2200000000000006</v>
      </c>
      <c r="H14507" s="426">
        <v>5405.69</v>
      </c>
      <c r="I14507" s="426">
        <v>5299.66</v>
      </c>
      <c r="J14507" s="426"/>
      <c r="K14507" s="426">
        <v>106.03</v>
      </c>
      <c r="L14507" s="43">
        <v>11.499999999999998</v>
      </c>
      <c r="M14507" s="43">
        <v>11.5</v>
      </c>
      <c r="N14507" s="43" t="s">
        <v>1690</v>
      </c>
      <c r="O14507" s="43">
        <v>11.5</v>
      </c>
      <c r="P14507" s="427"/>
      <c r="Q14507" s="427"/>
      <c r="R14507" s="427">
        <v>1</v>
      </c>
    </row>
    <row r="14508" spans="1:18" ht="36">
      <c r="A14508" s="423">
        <v>63</v>
      </c>
      <c r="B14508" s="420" t="s">
        <v>26086</v>
      </c>
      <c r="C14508" s="424" t="s">
        <v>26087</v>
      </c>
      <c r="D14508" s="425">
        <v>527.38</v>
      </c>
      <c r="E14508" s="425">
        <v>517.04</v>
      </c>
      <c r="F14508" s="425"/>
      <c r="G14508" s="425">
        <v>10.34</v>
      </c>
      <c r="H14508" s="426">
        <v>6064.87</v>
      </c>
      <c r="I14508" s="426">
        <v>5945.96</v>
      </c>
      <c r="J14508" s="426"/>
      <c r="K14508" s="426">
        <v>118.91</v>
      </c>
      <c r="L14508" s="43">
        <v>11.5</v>
      </c>
      <c r="M14508" s="43">
        <v>11.5</v>
      </c>
      <c r="N14508" s="43" t="s">
        <v>1690</v>
      </c>
      <c r="O14508" s="43">
        <v>11.5</v>
      </c>
      <c r="P14508" s="427"/>
      <c r="Q14508" s="427"/>
      <c r="R14508" s="427">
        <v>1</v>
      </c>
    </row>
    <row r="14509" spans="1:18" ht="36">
      <c r="A14509" s="423">
        <v>64</v>
      </c>
      <c r="B14509" s="420" t="s">
        <v>26088</v>
      </c>
      <c r="C14509" s="424" t="s">
        <v>26089</v>
      </c>
      <c r="D14509" s="425">
        <v>642.03</v>
      </c>
      <c r="E14509" s="425">
        <v>629.44000000000005</v>
      </c>
      <c r="F14509" s="425"/>
      <c r="G14509" s="425">
        <v>12.59</v>
      </c>
      <c r="H14509" s="426">
        <v>7383.35</v>
      </c>
      <c r="I14509" s="426">
        <v>7238.56</v>
      </c>
      <c r="J14509" s="426"/>
      <c r="K14509" s="426">
        <v>144.79</v>
      </c>
      <c r="L14509" s="43">
        <v>11.500007787798079</v>
      </c>
      <c r="M14509" s="43">
        <v>11.5</v>
      </c>
      <c r="N14509" s="43" t="s">
        <v>1690</v>
      </c>
      <c r="O14509" s="43">
        <v>11.500397140587767</v>
      </c>
      <c r="P14509" s="427"/>
      <c r="Q14509" s="427"/>
      <c r="R14509" s="427">
        <v>1</v>
      </c>
    </row>
    <row r="14510" spans="1:18" ht="48">
      <c r="A14510" s="423">
        <v>65</v>
      </c>
      <c r="B14510" s="420" t="s">
        <v>26090</v>
      </c>
      <c r="C14510" s="424" t="s">
        <v>26091</v>
      </c>
      <c r="D14510" s="425">
        <v>768.14</v>
      </c>
      <c r="E14510" s="425">
        <v>753.08</v>
      </c>
      <c r="F14510" s="425"/>
      <c r="G14510" s="425">
        <v>15.06</v>
      </c>
      <c r="H14510" s="426">
        <v>8833.61</v>
      </c>
      <c r="I14510" s="426">
        <v>8660.42</v>
      </c>
      <c r="J14510" s="426"/>
      <c r="K14510" s="426">
        <v>173.19</v>
      </c>
      <c r="L14510" s="43">
        <v>11.500000000000002</v>
      </c>
      <c r="M14510" s="43">
        <v>11.5</v>
      </c>
      <c r="N14510" s="43" t="s">
        <v>1690</v>
      </c>
      <c r="O14510" s="43">
        <v>11.5</v>
      </c>
      <c r="P14510" s="427"/>
      <c r="Q14510" s="427"/>
      <c r="R14510" s="427">
        <v>1</v>
      </c>
    </row>
    <row r="14511" spans="1:18" ht="48">
      <c r="A14511" s="423">
        <v>66</v>
      </c>
      <c r="B14511" s="420" t="s">
        <v>26092</v>
      </c>
      <c r="C14511" s="424" t="s">
        <v>26093</v>
      </c>
      <c r="D14511" s="425">
        <v>825.47</v>
      </c>
      <c r="E14511" s="425">
        <v>809.28</v>
      </c>
      <c r="F14511" s="425"/>
      <c r="G14511" s="425">
        <v>16.190000000000001</v>
      </c>
      <c r="H14511" s="426">
        <v>9492.91</v>
      </c>
      <c r="I14511" s="426">
        <v>9306.7199999999993</v>
      </c>
      <c r="J14511" s="426"/>
      <c r="K14511" s="426">
        <v>186.19</v>
      </c>
      <c r="L14511" s="43">
        <v>11.500006057155318</v>
      </c>
      <c r="M14511" s="43">
        <v>11.5</v>
      </c>
      <c r="N14511" s="43" t="s">
        <v>1690</v>
      </c>
      <c r="O14511" s="43">
        <v>11.500308832612722</v>
      </c>
      <c r="P14511" s="427"/>
      <c r="Q14511" s="427"/>
      <c r="R14511" s="427">
        <v>1</v>
      </c>
    </row>
    <row r="14512" spans="1:18" ht="36">
      <c r="A14512" s="423">
        <v>67</v>
      </c>
      <c r="B14512" s="420" t="s">
        <v>26094</v>
      </c>
      <c r="C14512" s="424" t="s">
        <v>26095</v>
      </c>
      <c r="D14512" s="425">
        <v>791.07</v>
      </c>
      <c r="E14512" s="425">
        <v>775.56</v>
      </c>
      <c r="F14512" s="425"/>
      <c r="G14512" s="425">
        <v>15.51</v>
      </c>
      <c r="H14512" s="426">
        <v>9097.31</v>
      </c>
      <c r="I14512" s="426">
        <v>8918.94</v>
      </c>
      <c r="J14512" s="426"/>
      <c r="K14512" s="426">
        <v>178.37</v>
      </c>
      <c r="L14512" s="43">
        <v>11.500006320553174</v>
      </c>
      <c r="M14512" s="43">
        <v>11.500000000000002</v>
      </c>
      <c r="N14512" s="43" t="s">
        <v>1690</v>
      </c>
      <c r="O14512" s="43">
        <v>11.500322372662799</v>
      </c>
      <c r="P14512" s="427"/>
      <c r="Q14512" s="427"/>
      <c r="R14512" s="427">
        <v>1</v>
      </c>
    </row>
    <row r="14513" spans="1:18" ht="36">
      <c r="A14513" s="423">
        <v>68</v>
      </c>
      <c r="B14513" s="420" t="s">
        <v>26096</v>
      </c>
      <c r="C14513" s="424" t="s">
        <v>26097</v>
      </c>
      <c r="D14513" s="425">
        <v>905.72</v>
      </c>
      <c r="E14513" s="425">
        <v>887.96</v>
      </c>
      <c r="F14513" s="425"/>
      <c r="G14513" s="425">
        <v>17.760000000000002</v>
      </c>
      <c r="H14513" s="426">
        <v>10415.780000000001</v>
      </c>
      <c r="I14513" s="426">
        <v>10211.540000000001</v>
      </c>
      <c r="J14513" s="426"/>
      <c r="K14513" s="426">
        <v>204.24</v>
      </c>
      <c r="L14513" s="43">
        <v>11.5</v>
      </c>
      <c r="M14513" s="43">
        <v>11.5</v>
      </c>
      <c r="N14513" s="43" t="s">
        <v>1690</v>
      </c>
      <c r="O14513" s="43">
        <v>11.5</v>
      </c>
      <c r="P14513" s="427"/>
      <c r="Q14513" s="427"/>
      <c r="R14513" s="427">
        <v>1</v>
      </c>
    </row>
    <row r="14514" spans="1:18" ht="48">
      <c r="A14514" s="423">
        <v>69</v>
      </c>
      <c r="B14514" s="420" t="s">
        <v>26098</v>
      </c>
      <c r="C14514" s="424" t="s">
        <v>26099</v>
      </c>
      <c r="D14514" s="425">
        <v>1100.6199999999999</v>
      </c>
      <c r="E14514" s="425">
        <v>1079.04</v>
      </c>
      <c r="F14514" s="425"/>
      <c r="G14514" s="425">
        <v>21.58</v>
      </c>
      <c r="H14514" s="426">
        <v>12657.13</v>
      </c>
      <c r="I14514" s="426">
        <v>12408.96</v>
      </c>
      <c r="J14514" s="426"/>
      <c r="K14514" s="426">
        <v>248.17</v>
      </c>
      <c r="L14514" s="43">
        <v>11.5</v>
      </c>
      <c r="M14514" s="43">
        <v>11.5</v>
      </c>
      <c r="N14514" s="43" t="s">
        <v>1690</v>
      </c>
      <c r="O14514" s="43">
        <v>11.5</v>
      </c>
      <c r="P14514" s="427"/>
      <c r="Q14514" s="427"/>
      <c r="R14514" s="427">
        <v>1</v>
      </c>
    </row>
    <row r="14515" spans="1:18" ht="48">
      <c r="A14515" s="423">
        <v>70</v>
      </c>
      <c r="B14515" s="420" t="s">
        <v>26100</v>
      </c>
      <c r="C14515" s="424" t="s">
        <v>26101</v>
      </c>
      <c r="D14515" s="425">
        <v>1215.27</v>
      </c>
      <c r="E14515" s="425">
        <v>1191.44</v>
      </c>
      <c r="F14515" s="425"/>
      <c r="G14515" s="425">
        <v>23.83</v>
      </c>
      <c r="H14515" s="426">
        <v>13975.61</v>
      </c>
      <c r="I14515" s="426">
        <v>13701.56</v>
      </c>
      <c r="J14515" s="426"/>
      <c r="K14515" s="426">
        <v>274.05</v>
      </c>
      <c r="L14515" s="43">
        <v>11.500004114312047</v>
      </c>
      <c r="M14515" s="43">
        <v>11.499999999999998</v>
      </c>
      <c r="N14515" s="43" t="s">
        <v>1690</v>
      </c>
      <c r="O14515" s="43">
        <v>11.500209819555185</v>
      </c>
      <c r="P14515" s="427"/>
      <c r="Q14515" s="427"/>
      <c r="R14515" s="427">
        <v>1</v>
      </c>
    </row>
    <row r="14516" spans="1:18" ht="12.75" customHeight="1">
      <c r="A14516" s="628" t="s">
        <v>26102</v>
      </c>
      <c r="B14516" s="629"/>
      <c r="C14516" s="629"/>
      <c r="D14516" s="629"/>
      <c r="E14516" s="629"/>
      <c r="F14516" s="629"/>
      <c r="G14516" s="629"/>
      <c r="H14516" s="629"/>
      <c r="I14516" s="629"/>
      <c r="J14516" s="629"/>
      <c r="K14516" s="629"/>
      <c r="L14516" s="629"/>
      <c r="M14516" s="629"/>
      <c r="N14516" s="629"/>
      <c r="O14516" s="629"/>
      <c r="P14516" s="629"/>
      <c r="Q14516" s="629"/>
      <c r="R14516" s="629"/>
    </row>
    <row r="14517" spans="1:18" ht="24">
      <c r="A14517" s="423">
        <v>71</v>
      </c>
      <c r="B14517" s="420" t="s">
        <v>26103</v>
      </c>
      <c r="C14517" s="424" t="s">
        <v>26104</v>
      </c>
      <c r="D14517" s="425">
        <v>184.51</v>
      </c>
      <c r="E14517" s="425">
        <v>180.89</v>
      </c>
      <c r="F14517" s="425"/>
      <c r="G14517" s="425">
        <v>3.62</v>
      </c>
      <c r="H14517" s="426">
        <v>2121.89</v>
      </c>
      <c r="I14517" s="426">
        <v>2080.2600000000002</v>
      </c>
      <c r="J14517" s="426"/>
      <c r="K14517" s="426">
        <v>41.63</v>
      </c>
      <c r="L14517" s="43">
        <v>11.500135494011165</v>
      </c>
      <c r="M14517" s="43">
        <v>11.50013820553928</v>
      </c>
      <c r="N14517" s="43" t="s">
        <v>1690</v>
      </c>
      <c r="O14517" s="43">
        <v>11.5</v>
      </c>
      <c r="P14517" s="427"/>
      <c r="Q14517" s="427"/>
      <c r="R14517" s="427">
        <v>2</v>
      </c>
    </row>
    <row r="14518" spans="1:18" ht="24">
      <c r="A14518" s="423">
        <v>72</v>
      </c>
      <c r="B14518" s="420" t="s">
        <v>26105</v>
      </c>
      <c r="C14518" s="424" t="s">
        <v>26106</v>
      </c>
      <c r="D14518" s="425">
        <v>360.88</v>
      </c>
      <c r="E14518" s="425">
        <v>353.8</v>
      </c>
      <c r="F14518" s="425"/>
      <c r="G14518" s="425">
        <v>7.08</v>
      </c>
      <c r="H14518" s="426">
        <v>4150.12</v>
      </c>
      <c r="I14518" s="426">
        <v>4068.7</v>
      </c>
      <c r="J14518" s="426"/>
      <c r="K14518" s="426">
        <v>81.42</v>
      </c>
      <c r="L14518" s="43">
        <v>11.5</v>
      </c>
      <c r="M14518" s="43">
        <v>11.5</v>
      </c>
      <c r="N14518" s="43" t="s">
        <v>1690</v>
      </c>
      <c r="O14518" s="43">
        <v>11.5</v>
      </c>
      <c r="P14518" s="427"/>
      <c r="Q14518" s="427"/>
      <c r="R14518" s="427">
        <v>2</v>
      </c>
    </row>
    <row r="14519" spans="1:18" ht="12.75" customHeight="1">
      <c r="A14519" s="628" t="s">
        <v>26107</v>
      </c>
      <c r="B14519" s="629"/>
      <c r="C14519" s="629"/>
      <c r="D14519" s="629"/>
      <c r="E14519" s="629"/>
      <c r="F14519" s="629"/>
      <c r="G14519" s="629"/>
      <c r="H14519" s="629"/>
      <c r="I14519" s="629"/>
      <c r="J14519" s="629"/>
      <c r="K14519" s="629"/>
      <c r="L14519" s="629"/>
      <c r="M14519" s="629"/>
      <c r="N14519" s="629"/>
      <c r="O14519" s="629"/>
      <c r="P14519" s="629"/>
      <c r="Q14519" s="629"/>
      <c r="R14519" s="629"/>
    </row>
    <row r="14520" spans="1:18" ht="24">
      <c r="A14520" s="423">
        <v>73</v>
      </c>
      <c r="B14520" s="420" t="s">
        <v>26108</v>
      </c>
      <c r="C14520" s="424" t="s">
        <v>26109</v>
      </c>
      <c r="D14520" s="425">
        <v>181.69</v>
      </c>
      <c r="E14520" s="425">
        <v>178.13</v>
      </c>
      <c r="F14520" s="425"/>
      <c r="G14520" s="425">
        <v>3.56</v>
      </c>
      <c r="H14520" s="426">
        <v>2089.48</v>
      </c>
      <c r="I14520" s="426">
        <v>2048.54</v>
      </c>
      <c r="J14520" s="426"/>
      <c r="K14520" s="426">
        <v>40.94</v>
      </c>
      <c r="L14520" s="43">
        <v>11.5002476746106</v>
      </c>
      <c r="M14520" s="43">
        <v>11.500252624487734</v>
      </c>
      <c r="N14520" s="43" t="s">
        <v>1690</v>
      </c>
      <c r="O14520" s="43">
        <v>11.5</v>
      </c>
      <c r="P14520" s="427"/>
      <c r="Q14520" s="427"/>
      <c r="R14520" s="427">
        <v>3</v>
      </c>
    </row>
    <row r="14521" spans="1:18" ht="36">
      <c r="A14521" s="423">
        <v>74</v>
      </c>
      <c r="B14521" s="420" t="s">
        <v>26110</v>
      </c>
      <c r="C14521" s="424" t="s">
        <v>26111</v>
      </c>
      <c r="D14521" s="425">
        <v>142.58000000000001</v>
      </c>
      <c r="E14521" s="425">
        <v>139.78</v>
      </c>
      <c r="F14521" s="425"/>
      <c r="G14521" s="425">
        <v>2.8</v>
      </c>
      <c r="H14521" s="426">
        <v>1639.74</v>
      </c>
      <c r="I14521" s="426">
        <v>1607.54</v>
      </c>
      <c r="J14521" s="426"/>
      <c r="K14521" s="426">
        <v>32.200000000000003</v>
      </c>
      <c r="L14521" s="43">
        <v>11.500490952447748</v>
      </c>
      <c r="M14521" s="43">
        <v>11.500500786950923</v>
      </c>
      <c r="N14521" s="43" t="s">
        <v>1690</v>
      </c>
      <c r="O14521" s="43">
        <v>11.500000000000002</v>
      </c>
      <c r="P14521" s="427"/>
      <c r="Q14521" s="427"/>
      <c r="R14521" s="427">
        <v>3</v>
      </c>
    </row>
    <row r="14522" spans="1:18" ht="24">
      <c r="A14522" s="423">
        <v>75</v>
      </c>
      <c r="B14522" s="420" t="s">
        <v>26112</v>
      </c>
      <c r="C14522" s="424" t="s">
        <v>26113</v>
      </c>
      <c r="D14522" s="425">
        <v>247.3</v>
      </c>
      <c r="E14522" s="425">
        <v>242.45</v>
      </c>
      <c r="F14522" s="425"/>
      <c r="G14522" s="425">
        <v>4.8499999999999996</v>
      </c>
      <c r="H14522" s="426">
        <v>2844.08</v>
      </c>
      <c r="I14522" s="426">
        <v>2788.3</v>
      </c>
      <c r="J14522" s="426"/>
      <c r="K14522" s="426">
        <v>55.78</v>
      </c>
      <c r="L14522" s="43">
        <v>11.500525677315002</v>
      </c>
      <c r="M14522" s="43">
        <v>11.500515570220665</v>
      </c>
      <c r="N14522" s="43" t="s">
        <v>1690</v>
      </c>
      <c r="O14522" s="43">
        <v>11.501030927835053</v>
      </c>
      <c r="P14522" s="427"/>
      <c r="Q14522" s="427"/>
      <c r="R14522" s="427">
        <v>3</v>
      </c>
    </row>
    <row r="14523" spans="1:18" ht="12.75" customHeight="1">
      <c r="A14523" s="628" t="s">
        <v>26114</v>
      </c>
      <c r="B14523" s="629"/>
      <c r="C14523" s="629"/>
      <c r="D14523" s="629"/>
      <c r="E14523" s="629"/>
      <c r="F14523" s="629"/>
      <c r="G14523" s="629"/>
      <c r="H14523" s="629"/>
      <c r="I14523" s="629"/>
      <c r="J14523" s="629"/>
      <c r="K14523" s="629"/>
      <c r="L14523" s="629"/>
      <c r="M14523" s="629"/>
      <c r="N14523" s="629"/>
      <c r="O14523" s="629"/>
      <c r="P14523" s="629"/>
      <c r="Q14523" s="629"/>
      <c r="R14523" s="629"/>
    </row>
    <row r="14524" spans="1:18" ht="12.75" customHeight="1">
      <c r="A14524" s="628" t="s">
        <v>26115</v>
      </c>
      <c r="B14524" s="629"/>
      <c r="C14524" s="629"/>
      <c r="D14524" s="629"/>
      <c r="E14524" s="629"/>
      <c r="F14524" s="629"/>
      <c r="G14524" s="629"/>
      <c r="H14524" s="629"/>
      <c r="I14524" s="629"/>
      <c r="J14524" s="629"/>
      <c r="K14524" s="629"/>
      <c r="L14524" s="629"/>
      <c r="M14524" s="629"/>
      <c r="N14524" s="629"/>
      <c r="O14524" s="629"/>
      <c r="P14524" s="629"/>
      <c r="Q14524" s="629"/>
      <c r="R14524" s="629"/>
    </row>
    <row r="14525" spans="1:18" ht="36">
      <c r="A14525" s="423">
        <v>76</v>
      </c>
      <c r="B14525" s="420" t="s">
        <v>26116</v>
      </c>
      <c r="C14525" s="424" t="s">
        <v>26117</v>
      </c>
      <c r="D14525" s="425">
        <v>7036.18</v>
      </c>
      <c r="E14525" s="425">
        <v>5671.62</v>
      </c>
      <c r="F14525" s="425">
        <v>1251.1300000000001</v>
      </c>
      <c r="G14525" s="425">
        <v>113.43</v>
      </c>
      <c r="H14525" s="426">
        <v>72969.399999999994</v>
      </c>
      <c r="I14525" s="426">
        <v>65226.06</v>
      </c>
      <c r="J14525" s="426">
        <v>6438.89</v>
      </c>
      <c r="K14525" s="426">
        <v>1304.45</v>
      </c>
      <c r="L14525" s="43">
        <v>10.37059881924567</v>
      </c>
      <c r="M14525" s="43">
        <v>11.500428449014567</v>
      </c>
      <c r="N14525" s="43">
        <v>5.1464596005211289</v>
      </c>
      <c r="O14525" s="43">
        <v>11.500044080049369</v>
      </c>
      <c r="P14525" s="427"/>
      <c r="Q14525" s="427"/>
      <c r="R14525" s="427">
        <v>1</v>
      </c>
    </row>
    <row r="14526" spans="1:18" ht="12.75" customHeight="1">
      <c r="A14526" s="628" t="s">
        <v>26118</v>
      </c>
      <c r="B14526" s="629"/>
      <c r="C14526" s="629"/>
      <c r="D14526" s="629"/>
      <c r="E14526" s="629"/>
      <c r="F14526" s="629"/>
      <c r="G14526" s="629"/>
      <c r="H14526" s="629"/>
      <c r="I14526" s="629"/>
      <c r="J14526" s="629"/>
      <c r="K14526" s="629"/>
      <c r="L14526" s="629"/>
      <c r="M14526" s="629"/>
      <c r="N14526" s="629"/>
      <c r="O14526" s="629"/>
      <c r="P14526" s="629"/>
      <c r="Q14526" s="629"/>
      <c r="R14526" s="629"/>
    </row>
    <row r="14527" spans="1:18" ht="12.75" customHeight="1">
      <c r="A14527" s="628" t="s">
        <v>26119</v>
      </c>
      <c r="B14527" s="629"/>
      <c r="C14527" s="629"/>
      <c r="D14527" s="629"/>
      <c r="E14527" s="629"/>
      <c r="F14527" s="629"/>
      <c r="G14527" s="629"/>
      <c r="H14527" s="629"/>
      <c r="I14527" s="629"/>
      <c r="J14527" s="629"/>
      <c r="K14527" s="629"/>
      <c r="L14527" s="629"/>
      <c r="M14527" s="629"/>
      <c r="N14527" s="629"/>
      <c r="O14527" s="629"/>
      <c r="P14527" s="629"/>
      <c r="Q14527" s="629"/>
      <c r="R14527" s="629"/>
    </row>
    <row r="14528" spans="1:18" ht="24">
      <c r="A14528" s="423">
        <v>77</v>
      </c>
      <c r="B14528" s="420" t="s">
        <v>26120</v>
      </c>
      <c r="C14528" s="424" t="s">
        <v>26121</v>
      </c>
      <c r="D14528" s="425">
        <v>12.99</v>
      </c>
      <c r="E14528" s="425">
        <v>12.74</v>
      </c>
      <c r="F14528" s="425"/>
      <c r="G14528" s="425">
        <v>0.25</v>
      </c>
      <c r="H14528" s="426">
        <v>149.41</v>
      </c>
      <c r="I14528" s="426">
        <v>146.53</v>
      </c>
      <c r="J14528" s="426"/>
      <c r="K14528" s="426">
        <v>2.88</v>
      </c>
      <c r="L14528" s="43">
        <v>11.501924557351808</v>
      </c>
      <c r="M14528" s="43">
        <v>11.501569858712715</v>
      </c>
      <c r="N14528" s="43" t="s">
        <v>1690</v>
      </c>
      <c r="O14528" s="43">
        <v>11.52</v>
      </c>
      <c r="P14528" s="427"/>
      <c r="Q14528" s="427"/>
      <c r="R14528" s="427">
        <v>1</v>
      </c>
    </row>
    <row r="14529" spans="1:18" ht="24">
      <c r="A14529" s="423">
        <v>78</v>
      </c>
      <c r="B14529" s="420" t="s">
        <v>26122</v>
      </c>
      <c r="C14529" s="424" t="s">
        <v>26123</v>
      </c>
      <c r="D14529" s="425">
        <v>12.07</v>
      </c>
      <c r="E14529" s="425">
        <v>11.83</v>
      </c>
      <c r="F14529" s="425"/>
      <c r="G14529" s="425">
        <v>0.24</v>
      </c>
      <c r="H14529" s="426">
        <v>138.86000000000001</v>
      </c>
      <c r="I14529" s="426">
        <v>136.1</v>
      </c>
      <c r="J14529" s="426"/>
      <c r="K14529" s="426">
        <v>2.76</v>
      </c>
      <c r="L14529" s="43">
        <v>11.504556752278377</v>
      </c>
      <c r="M14529" s="43">
        <v>11.504649196956889</v>
      </c>
      <c r="N14529" s="43" t="s">
        <v>1690</v>
      </c>
      <c r="O14529" s="43">
        <v>11.5</v>
      </c>
      <c r="P14529" s="427"/>
      <c r="Q14529" s="427"/>
      <c r="R14529" s="427">
        <v>1</v>
      </c>
    </row>
    <row r="14530" spans="1:18" ht="12.75">
      <c r="A14530" s="632" t="s">
        <v>18</v>
      </c>
      <c r="B14530" s="632"/>
      <c r="C14530" s="632"/>
      <c r="D14530" s="421">
        <v>36774.43</v>
      </c>
      <c r="E14530" s="421">
        <v>34707.660000000003</v>
      </c>
      <c r="F14530" s="421">
        <v>1372.58</v>
      </c>
      <c r="G14530" s="421">
        <v>694.19</v>
      </c>
      <c r="H14530" s="422">
        <v>414203.31</v>
      </c>
      <c r="I14530" s="422">
        <v>399142.53</v>
      </c>
      <c r="J14530" s="422">
        <v>7077.42</v>
      </c>
      <c r="K14530" s="422">
        <v>7983.36</v>
      </c>
      <c r="L14530" s="612">
        <v>11.263350920734869</v>
      </c>
      <c r="M14530" s="612">
        <v>11.500127925650995</v>
      </c>
      <c r="N14530" s="612">
        <v>5.1562896151772577</v>
      </c>
      <c r="O14530" s="612">
        <v>11.500252092366642</v>
      </c>
      <c r="P14530" s="419"/>
      <c r="Q14530" s="419"/>
      <c r="R14530" s="419"/>
    </row>
    <row r="14531" spans="1:18" ht="18">
      <c r="A14531" s="616" t="s">
        <v>26124</v>
      </c>
      <c r="B14531" s="626"/>
      <c r="C14531" s="626"/>
      <c r="D14531" s="626"/>
      <c r="E14531" s="626"/>
      <c r="F14531" s="626"/>
      <c r="G14531" s="626"/>
      <c r="H14531" s="626"/>
      <c r="I14531" s="626"/>
      <c r="J14531" s="626"/>
      <c r="K14531" s="626"/>
      <c r="L14531" s="626"/>
      <c r="M14531" s="626"/>
      <c r="N14531" s="626"/>
      <c r="O14531" s="626"/>
      <c r="P14531" s="626"/>
      <c r="Q14531" s="626"/>
      <c r="R14531" s="627"/>
    </row>
    <row r="14532" spans="1:18" ht="12.75" customHeight="1">
      <c r="A14532" s="630" t="s">
        <v>26125</v>
      </c>
      <c r="B14532" s="631"/>
      <c r="C14532" s="631"/>
      <c r="D14532" s="631"/>
      <c r="E14532" s="631"/>
      <c r="F14532" s="631"/>
      <c r="G14532" s="631"/>
      <c r="H14532" s="631"/>
      <c r="I14532" s="631"/>
      <c r="J14532" s="631"/>
      <c r="K14532" s="631"/>
      <c r="L14532" s="631"/>
      <c r="M14532" s="631"/>
      <c r="N14532" s="631"/>
      <c r="O14532" s="631"/>
      <c r="P14532" s="631"/>
      <c r="Q14532" s="631"/>
      <c r="R14532" s="631"/>
    </row>
    <row r="14533" spans="1:18" ht="12.75" customHeight="1">
      <c r="A14533" s="628" t="s">
        <v>26126</v>
      </c>
      <c r="B14533" s="629"/>
      <c r="C14533" s="629"/>
      <c r="D14533" s="629"/>
      <c r="E14533" s="629"/>
      <c r="F14533" s="629"/>
      <c r="G14533" s="629"/>
      <c r="H14533" s="629"/>
      <c r="I14533" s="629"/>
      <c r="J14533" s="629"/>
      <c r="K14533" s="629"/>
      <c r="L14533" s="629"/>
      <c r="M14533" s="629"/>
      <c r="N14533" s="629"/>
      <c r="O14533" s="629"/>
      <c r="P14533" s="629"/>
      <c r="Q14533" s="629"/>
      <c r="R14533" s="629"/>
    </row>
    <row r="14534" spans="1:18" ht="12.75" customHeight="1">
      <c r="A14534" s="628" t="s">
        <v>26127</v>
      </c>
      <c r="B14534" s="629"/>
      <c r="C14534" s="629"/>
      <c r="D14534" s="629"/>
      <c r="E14534" s="629"/>
      <c r="F14534" s="629"/>
      <c r="G14534" s="629"/>
      <c r="H14534" s="629"/>
      <c r="I14534" s="629"/>
      <c r="J14534" s="629"/>
      <c r="K14534" s="629"/>
      <c r="L14534" s="629"/>
      <c r="M14534" s="629"/>
      <c r="N14534" s="629"/>
      <c r="O14534" s="629"/>
      <c r="P14534" s="629"/>
      <c r="Q14534" s="629"/>
      <c r="R14534" s="629"/>
    </row>
    <row r="14535" spans="1:18" ht="24">
      <c r="A14535" s="432">
        <v>1</v>
      </c>
      <c r="B14535" s="429" t="s">
        <v>26128</v>
      </c>
      <c r="C14535" s="433" t="s">
        <v>26129</v>
      </c>
      <c r="D14535" s="434">
        <v>1427.45</v>
      </c>
      <c r="E14535" s="434">
        <v>910.12</v>
      </c>
      <c r="F14535" s="434">
        <v>386.89</v>
      </c>
      <c r="G14535" s="434">
        <v>130.44</v>
      </c>
      <c r="H14535" s="435">
        <v>13419.3</v>
      </c>
      <c r="I14535" s="435">
        <v>10466.379999999999</v>
      </c>
      <c r="J14535" s="435">
        <v>2183.1999999999998</v>
      </c>
      <c r="K14535" s="435">
        <v>769.72</v>
      </c>
      <c r="L14535" s="43">
        <v>9.4008896984132537</v>
      </c>
      <c r="M14535" s="43">
        <v>11.499999999999998</v>
      </c>
      <c r="N14535" s="43">
        <v>5.6429476078471916</v>
      </c>
      <c r="O14535" s="43">
        <v>5.900950628641521</v>
      </c>
      <c r="P14535" s="436"/>
      <c r="Q14535" s="436"/>
      <c r="R14535" s="436">
        <v>1</v>
      </c>
    </row>
    <row r="14536" spans="1:18" ht="24">
      <c r="A14536" s="432">
        <v>2</v>
      </c>
      <c r="B14536" s="429" t="s">
        <v>26130</v>
      </c>
      <c r="C14536" s="433" t="s">
        <v>26131</v>
      </c>
      <c r="D14536" s="434">
        <v>2166.46</v>
      </c>
      <c r="E14536" s="434">
        <v>1225.1600000000001</v>
      </c>
      <c r="F14536" s="434">
        <v>455.69</v>
      </c>
      <c r="G14536" s="434">
        <v>485.61</v>
      </c>
      <c r="H14536" s="435">
        <v>18987.68</v>
      </c>
      <c r="I14536" s="435">
        <v>14089.32</v>
      </c>
      <c r="J14536" s="435">
        <v>2601.44</v>
      </c>
      <c r="K14536" s="435">
        <v>2296.92</v>
      </c>
      <c r="L14536" s="43">
        <v>8.7643806024574644</v>
      </c>
      <c r="M14536" s="43">
        <v>11.499983675601554</v>
      </c>
      <c r="N14536" s="43">
        <v>5.7087932585749082</v>
      </c>
      <c r="O14536" s="43">
        <v>4.7299684932353125</v>
      </c>
      <c r="P14536" s="436"/>
      <c r="Q14536" s="436"/>
      <c r="R14536" s="436">
        <v>1</v>
      </c>
    </row>
    <row r="14537" spans="1:18" ht="24">
      <c r="A14537" s="432">
        <v>3</v>
      </c>
      <c r="B14537" s="429" t="s">
        <v>26132</v>
      </c>
      <c r="C14537" s="433" t="s">
        <v>26133</v>
      </c>
      <c r="D14537" s="434">
        <v>2441.9299999999998</v>
      </c>
      <c r="E14537" s="434">
        <v>1404.48</v>
      </c>
      <c r="F14537" s="434">
        <v>547.36</v>
      </c>
      <c r="G14537" s="434">
        <v>490.09</v>
      </c>
      <c r="H14537" s="435">
        <v>21594.11</v>
      </c>
      <c r="I14537" s="435">
        <v>16151.52</v>
      </c>
      <c r="J14537" s="435">
        <v>3096.89</v>
      </c>
      <c r="K14537" s="435">
        <v>2345.6999999999998</v>
      </c>
      <c r="L14537" s="43">
        <v>8.8430503740893478</v>
      </c>
      <c r="M14537" s="43">
        <v>11.5</v>
      </c>
      <c r="N14537" s="43">
        <v>5.6578668517977198</v>
      </c>
      <c r="O14537" s="43">
        <v>4.7862637474749539</v>
      </c>
      <c r="P14537" s="436"/>
      <c r="Q14537" s="436"/>
      <c r="R14537" s="436">
        <v>1</v>
      </c>
    </row>
    <row r="14538" spans="1:18" ht="24">
      <c r="A14538" s="432">
        <v>4</v>
      </c>
      <c r="B14538" s="429" t="s">
        <v>26134</v>
      </c>
      <c r="C14538" s="433" t="s">
        <v>26135</v>
      </c>
      <c r="D14538" s="434">
        <v>1722.4</v>
      </c>
      <c r="E14538" s="434">
        <v>1052.69</v>
      </c>
      <c r="F14538" s="434">
        <v>401.06</v>
      </c>
      <c r="G14538" s="434">
        <v>268.64999999999998</v>
      </c>
      <c r="H14538" s="435">
        <v>15742.09</v>
      </c>
      <c r="I14538" s="435">
        <v>12106.33</v>
      </c>
      <c r="J14538" s="435">
        <v>2264.92</v>
      </c>
      <c r="K14538" s="435">
        <v>1370.84</v>
      </c>
      <c r="L14538" s="43">
        <v>9.1396249419414772</v>
      </c>
      <c r="M14538" s="43">
        <v>11.500375229174781</v>
      </c>
      <c r="N14538" s="43">
        <v>5.6473345634069716</v>
      </c>
      <c r="O14538" s="43">
        <v>5.1026986785780757</v>
      </c>
      <c r="P14538" s="436"/>
      <c r="Q14538" s="436"/>
      <c r="R14538" s="436">
        <v>1</v>
      </c>
    </row>
    <row r="14539" spans="1:18" ht="24">
      <c r="A14539" s="432">
        <v>5</v>
      </c>
      <c r="B14539" s="429" t="s">
        <v>26136</v>
      </c>
      <c r="C14539" s="433" t="s">
        <v>26137</v>
      </c>
      <c r="D14539" s="434">
        <v>2620.16</v>
      </c>
      <c r="E14539" s="434">
        <v>1647</v>
      </c>
      <c r="F14539" s="434">
        <v>452.38</v>
      </c>
      <c r="G14539" s="434">
        <v>520.78</v>
      </c>
      <c r="H14539" s="435">
        <v>23886.76</v>
      </c>
      <c r="I14539" s="435">
        <v>18940.5</v>
      </c>
      <c r="J14539" s="435">
        <v>2534.2199999999998</v>
      </c>
      <c r="K14539" s="435">
        <v>2412.04</v>
      </c>
      <c r="L14539" s="43">
        <v>9.1165272349780171</v>
      </c>
      <c r="M14539" s="43">
        <v>11.5</v>
      </c>
      <c r="N14539" s="43">
        <v>5.6019717936248279</v>
      </c>
      <c r="O14539" s="43">
        <v>4.6315910749260727</v>
      </c>
      <c r="P14539" s="436"/>
      <c r="Q14539" s="436"/>
      <c r="R14539" s="436">
        <v>1</v>
      </c>
    </row>
    <row r="14540" spans="1:18" ht="24">
      <c r="A14540" s="432">
        <v>6</v>
      </c>
      <c r="B14540" s="429" t="s">
        <v>26138</v>
      </c>
      <c r="C14540" s="433" t="s">
        <v>26139</v>
      </c>
      <c r="D14540" s="434">
        <v>2798</v>
      </c>
      <c r="E14540" s="434">
        <v>1781.28</v>
      </c>
      <c r="F14540" s="434">
        <v>492.71</v>
      </c>
      <c r="G14540" s="434">
        <v>524.01</v>
      </c>
      <c r="H14540" s="435">
        <v>25684.15</v>
      </c>
      <c r="I14540" s="435">
        <v>20485.439999999999</v>
      </c>
      <c r="J14540" s="435">
        <v>2750.97</v>
      </c>
      <c r="K14540" s="435">
        <v>2447.7399999999998</v>
      </c>
      <c r="L14540" s="43">
        <v>9.1794674767691209</v>
      </c>
      <c r="M14540" s="43">
        <v>11.500404203718674</v>
      </c>
      <c r="N14540" s="43">
        <v>5.5833451726167524</v>
      </c>
      <c r="O14540" s="43">
        <v>4.6711703975114975</v>
      </c>
      <c r="P14540" s="436"/>
      <c r="Q14540" s="436"/>
      <c r="R14540" s="436">
        <v>1</v>
      </c>
    </row>
    <row r="14541" spans="1:18" ht="24">
      <c r="A14541" s="432">
        <v>7</v>
      </c>
      <c r="B14541" s="429" t="s">
        <v>26140</v>
      </c>
      <c r="C14541" s="433" t="s">
        <v>26141</v>
      </c>
      <c r="D14541" s="434">
        <v>2972.3</v>
      </c>
      <c r="E14541" s="434">
        <v>1866.6</v>
      </c>
      <c r="F14541" s="434">
        <v>579.30999999999995</v>
      </c>
      <c r="G14541" s="434">
        <v>526.39</v>
      </c>
      <c r="H14541" s="435">
        <v>27158</v>
      </c>
      <c r="I14541" s="435">
        <v>21465.9</v>
      </c>
      <c r="J14541" s="435">
        <v>3218.85</v>
      </c>
      <c r="K14541" s="435">
        <v>2473.25</v>
      </c>
      <c r="L14541" s="43">
        <v>9.1370319281364587</v>
      </c>
      <c r="M14541" s="43">
        <v>11.500000000000002</v>
      </c>
      <c r="N14541" s="43">
        <v>5.5563515216378105</v>
      </c>
      <c r="O14541" s="43">
        <v>4.6985125097361271</v>
      </c>
      <c r="P14541" s="436"/>
      <c r="Q14541" s="436"/>
      <c r="R14541" s="436">
        <v>1</v>
      </c>
    </row>
    <row r="14542" spans="1:18" ht="24">
      <c r="A14542" s="432">
        <v>8</v>
      </c>
      <c r="B14542" s="429" t="s">
        <v>26142</v>
      </c>
      <c r="C14542" s="433" t="s">
        <v>26143</v>
      </c>
      <c r="D14542" s="434">
        <v>4644.45</v>
      </c>
      <c r="E14542" s="434">
        <v>2590.7399999999998</v>
      </c>
      <c r="F14542" s="434">
        <v>710.17</v>
      </c>
      <c r="G14542" s="434">
        <v>1343.54</v>
      </c>
      <c r="H14542" s="435">
        <v>38676.14</v>
      </c>
      <c r="I14542" s="435">
        <v>29794.62</v>
      </c>
      <c r="J14542" s="435">
        <v>3892.12</v>
      </c>
      <c r="K14542" s="435">
        <v>4989.3999999999996</v>
      </c>
      <c r="L14542" s="43">
        <v>8.3273886036021487</v>
      </c>
      <c r="M14542" s="43">
        <v>11.500428449014567</v>
      </c>
      <c r="N14542" s="43">
        <v>5.4805469113029277</v>
      </c>
      <c r="O14542" s="43">
        <v>3.7136222218914212</v>
      </c>
      <c r="P14542" s="436"/>
      <c r="Q14542" s="436"/>
      <c r="R14542" s="436">
        <v>1</v>
      </c>
    </row>
    <row r="14543" spans="1:18" ht="36">
      <c r="A14543" s="432">
        <v>9</v>
      </c>
      <c r="B14543" s="429" t="s">
        <v>26144</v>
      </c>
      <c r="C14543" s="433" t="s">
        <v>26145</v>
      </c>
      <c r="D14543" s="434">
        <v>3638.86</v>
      </c>
      <c r="E14543" s="434">
        <v>2441.1</v>
      </c>
      <c r="F14543" s="434">
        <v>637.88</v>
      </c>
      <c r="G14543" s="434">
        <v>559.88</v>
      </c>
      <c r="H14543" s="435">
        <v>35513.300000000003</v>
      </c>
      <c r="I14543" s="435">
        <v>28073.68</v>
      </c>
      <c r="J14543" s="435">
        <v>3581.49</v>
      </c>
      <c r="K14543" s="435">
        <v>3858.13</v>
      </c>
      <c r="L14543" s="43">
        <v>9.759457632335403</v>
      </c>
      <c r="M14543" s="43">
        <v>11.50042194092827</v>
      </c>
      <c r="N14543" s="43">
        <v>5.6146767417069041</v>
      </c>
      <c r="O14543" s="43">
        <v>6.8909944988211764</v>
      </c>
      <c r="P14543" s="436"/>
      <c r="Q14543" s="436"/>
      <c r="R14543" s="436">
        <v>1</v>
      </c>
    </row>
    <row r="14544" spans="1:18" ht="24">
      <c r="A14544" s="432">
        <v>10</v>
      </c>
      <c r="B14544" s="429" t="s">
        <v>26146</v>
      </c>
      <c r="C14544" s="433" t="s">
        <v>26147</v>
      </c>
      <c r="D14544" s="434">
        <v>588.80999999999995</v>
      </c>
      <c r="E14544" s="434">
        <v>398.7</v>
      </c>
      <c r="F14544" s="434">
        <v>134.81</v>
      </c>
      <c r="G14544" s="434">
        <v>55.3</v>
      </c>
      <c r="H14544" s="435">
        <v>5657.1</v>
      </c>
      <c r="I14544" s="435">
        <v>4585.26</v>
      </c>
      <c r="J14544" s="435">
        <v>764.91</v>
      </c>
      <c r="K14544" s="435">
        <v>306.93</v>
      </c>
      <c r="L14544" s="43">
        <v>9.607683293422328</v>
      </c>
      <c r="M14544" s="43">
        <v>11.500526711813395</v>
      </c>
      <c r="N14544" s="43">
        <v>5.6739856093761585</v>
      </c>
      <c r="O14544" s="43">
        <v>5.5502712477396026</v>
      </c>
      <c r="P14544" s="436"/>
      <c r="Q14544" s="436"/>
      <c r="R14544" s="436">
        <v>1</v>
      </c>
    </row>
    <row r="14545" spans="1:18" ht="12.75" customHeight="1">
      <c r="A14545" s="628" t="s">
        <v>26148</v>
      </c>
      <c r="B14545" s="629"/>
      <c r="C14545" s="629"/>
      <c r="D14545" s="629"/>
      <c r="E14545" s="629"/>
      <c r="F14545" s="629"/>
      <c r="G14545" s="629"/>
      <c r="H14545" s="629"/>
      <c r="I14545" s="629"/>
      <c r="J14545" s="629"/>
      <c r="K14545" s="629"/>
      <c r="L14545" s="629"/>
      <c r="M14545" s="629"/>
      <c r="N14545" s="629"/>
      <c r="O14545" s="629"/>
      <c r="P14545" s="629"/>
      <c r="Q14545" s="629"/>
      <c r="R14545" s="629"/>
    </row>
    <row r="14546" spans="1:18" ht="24">
      <c r="A14546" s="432">
        <v>11</v>
      </c>
      <c r="B14546" s="429" t="s">
        <v>26149</v>
      </c>
      <c r="C14546" s="433" t="s">
        <v>26150</v>
      </c>
      <c r="D14546" s="434">
        <v>2254.84</v>
      </c>
      <c r="E14546" s="434">
        <v>800.32</v>
      </c>
      <c r="F14546" s="434">
        <v>489.21</v>
      </c>
      <c r="G14546" s="434">
        <v>965.31</v>
      </c>
      <c r="H14546" s="435">
        <v>16010.66</v>
      </c>
      <c r="I14546" s="435">
        <v>9203.68</v>
      </c>
      <c r="J14546" s="435">
        <v>2836.72</v>
      </c>
      <c r="K14546" s="435">
        <v>3970.26</v>
      </c>
      <c r="L14546" s="43">
        <v>7.1005747636195915</v>
      </c>
      <c r="M14546" s="43">
        <v>11.5</v>
      </c>
      <c r="N14546" s="43">
        <v>5.7985732098689722</v>
      </c>
      <c r="O14546" s="43">
        <v>4.1129378127233744</v>
      </c>
      <c r="P14546" s="436"/>
      <c r="Q14546" s="436"/>
      <c r="R14546" s="436">
        <v>2</v>
      </c>
    </row>
    <row r="14547" spans="1:18" ht="24">
      <c r="A14547" s="432">
        <v>12</v>
      </c>
      <c r="B14547" s="429" t="s">
        <v>26151</v>
      </c>
      <c r="C14547" s="433" t="s">
        <v>26152</v>
      </c>
      <c r="D14547" s="434">
        <v>3023.95</v>
      </c>
      <c r="E14547" s="434">
        <v>1040.6600000000001</v>
      </c>
      <c r="F14547" s="434">
        <v>582.98</v>
      </c>
      <c r="G14547" s="434">
        <v>1400.31</v>
      </c>
      <c r="H14547" s="435">
        <v>20926.7</v>
      </c>
      <c r="I14547" s="435">
        <v>11967.59</v>
      </c>
      <c r="J14547" s="435">
        <v>3344.25</v>
      </c>
      <c r="K14547" s="435">
        <v>5614.86</v>
      </c>
      <c r="L14547" s="43">
        <v>6.9203194497263523</v>
      </c>
      <c r="M14547" s="43">
        <v>11.5</v>
      </c>
      <c r="N14547" s="43">
        <v>5.7364746646540192</v>
      </c>
      <c r="O14547" s="43">
        <v>4.0097264177217902</v>
      </c>
      <c r="P14547" s="436"/>
      <c r="Q14547" s="436"/>
      <c r="R14547" s="436">
        <v>2</v>
      </c>
    </row>
    <row r="14548" spans="1:18" ht="12.75" customHeight="1">
      <c r="A14548" s="628" t="s">
        <v>26153</v>
      </c>
      <c r="B14548" s="629"/>
      <c r="C14548" s="629"/>
      <c r="D14548" s="629"/>
      <c r="E14548" s="629"/>
      <c r="F14548" s="629"/>
      <c r="G14548" s="629"/>
      <c r="H14548" s="629"/>
      <c r="I14548" s="629"/>
      <c r="J14548" s="629"/>
      <c r="K14548" s="629"/>
      <c r="L14548" s="629"/>
      <c r="M14548" s="629"/>
      <c r="N14548" s="629"/>
      <c r="O14548" s="629"/>
      <c r="P14548" s="629"/>
      <c r="Q14548" s="629"/>
      <c r="R14548" s="629"/>
    </row>
    <row r="14549" spans="1:18" ht="24">
      <c r="A14549" s="432">
        <v>13</v>
      </c>
      <c r="B14549" s="429" t="s">
        <v>26154</v>
      </c>
      <c r="C14549" s="433" t="s">
        <v>26155</v>
      </c>
      <c r="D14549" s="434">
        <v>832.13</v>
      </c>
      <c r="E14549" s="434">
        <v>441.13</v>
      </c>
      <c r="F14549" s="434">
        <v>150.65</v>
      </c>
      <c r="G14549" s="434">
        <v>240.35</v>
      </c>
      <c r="H14549" s="435">
        <v>7179.83</v>
      </c>
      <c r="I14549" s="435">
        <v>5073.1400000000003</v>
      </c>
      <c r="J14549" s="435">
        <v>862.94</v>
      </c>
      <c r="K14549" s="435">
        <v>1243.75</v>
      </c>
      <c r="L14549" s="43">
        <v>8.6282552005095354</v>
      </c>
      <c r="M14549" s="43">
        <v>11.50032870128987</v>
      </c>
      <c r="N14549" s="43">
        <v>5.7281115167607037</v>
      </c>
      <c r="O14549" s="43">
        <v>5.1747451633035162</v>
      </c>
      <c r="P14549" s="436"/>
      <c r="Q14549" s="436"/>
      <c r="R14549" s="436">
        <v>3</v>
      </c>
    </row>
    <row r="14550" spans="1:18" ht="24">
      <c r="A14550" s="432">
        <v>14</v>
      </c>
      <c r="B14550" s="429" t="s">
        <v>26156</v>
      </c>
      <c r="C14550" s="433" t="s">
        <v>26157</v>
      </c>
      <c r="D14550" s="434">
        <v>1034.3599999999999</v>
      </c>
      <c r="E14550" s="434">
        <v>579.1</v>
      </c>
      <c r="F14550" s="434">
        <v>192.75</v>
      </c>
      <c r="G14550" s="434">
        <v>262.51</v>
      </c>
      <c r="H14550" s="435">
        <v>9140.75</v>
      </c>
      <c r="I14550" s="435">
        <v>6659.86</v>
      </c>
      <c r="J14550" s="435">
        <v>1090.3399999999999</v>
      </c>
      <c r="K14550" s="435">
        <v>1390.55</v>
      </c>
      <c r="L14550" s="43">
        <v>8.8371070033643999</v>
      </c>
      <c r="M14550" s="43">
        <v>11.500362631669832</v>
      </c>
      <c r="N14550" s="43">
        <v>5.6567574578469513</v>
      </c>
      <c r="O14550" s="43">
        <v>5.2971315378461776</v>
      </c>
      <c r="P14550" s="436"/>
      <c r="Q14550" s="436"/>
      <c r="R14550" s="436">
        <v>3</v>
      </c>
    </row>
    <row r="14551" spans="1:18" ht="24">
      <c r="A14551" s="432">
        <v>15</v>
      </c>
      <c r="B14551" s="429" t="s">
        <v>26158</v>
      </c>
      <c r="C14551" s="433" t="s">
        <v>26159</v>
      </c>
      <c r="D14551" s="434">
        <v>535.4</v>
      </c>
      <c r="E14551" s="434">
        <v>320.86</v>
      </c>
      <c r="F14551" s="434">
        <v>165.89</v>
      </c>
      <c r="G14551" s="434">
        <v>48.65</v>
      </c>
      <c r="H14551" s="435">
        <v>4938.6499999999996</v>
      </c>
      <c r="I14551" s="435">
        <v>3689.89</v>
      </c>
      <c r="J14551" s="435">
        <v>945.87</v>
      </c>
      <c r="K14551" s="435">
        <v>302.89</v>
      </c>
      <c r="L14551" s="43">
        <v>9.224224878595443</v>
      </c>
      <c r="M14551" s="43">
        <v>11.5</v>
      </c>
      <c r="N14551" s="43">
        <v>5.7017903429983727</v>
      </c>
      <c r="O14551" s="43">
        <v>6.2258992805755398</v>
      </c>
      <c r="P14551" s="436"/>
      <c r="Q14551" s="436"/>
      <c r="R14551" s="436">
        <v>3</v>
      </c>
    </row>
    <row r="14552" spans="1:18" ht="24">
      <c r="A14552" s="432">
        <v>16</v>
      </c>
      <c r="B14552" s="429" t="s">
        <v>26160</v>
      </c>
      <c r="C14552" s="433" t="s">
        <v>26161</v>
      </c>
      <c r="D14552" s="434">
        <v>713.87</v>
      </c>
      <c r="E14552" s="434">
        <v>313.72000000000003</v>
      </c>
      <c r="F14552" s="434">
        <v>140.22999999999999</v>
      </c>
      <c r="G14552" s="434">
        <v>259.92</v>
      </c>
      <c r="H14552" s="435">
        <v>5930.48</v>
      </c>
      <c r="I14552" s="435">
        <v>3607.8</v>
      </c>
      <c r="J14552" s="435">
        <v>806.53</v>
      </c>
      <c r="K14552" s="435">
        <v>1516.15</v>
      </c>
      <c r="L14552" s="43">
        <v>8.3075069690559893</v>
      </c>
      <c r="M14552" s="43">
        <v>11.500063751115643</v>
      </c>
      <c r="N14552" s="43">
        <v>5.7514797119018759</v>
      </c>
      <c r="O14552" s="43">
        <v>5.8331409664512162</v>
      </c>
      <c r="P14552" s="436"/>
      <c r="Q14552" s="436"/>
      <c r="R14552" s="436">
        <v>3</v>
      </c>
    </row>
    <row r="14553" spans="1:18" ht="24">
      <c r="A14553" s="432">
        <v>17</v>
      </c>
      <c r="B14553" s="429" t="s">
        <v>26162</v>
      </c>
      <c r="C14553" s="433" t="s">
        <v>26163</v>
      </c>
      <c r="D14553" s="434">
        <v>299.64999999999998</v>
      </c>
      <c r="E14553" s="434">
        <v>156.38</v>
      </c>
      <c r="F14553" s="434">
        <v>91.12</v>
      </c>
      <c r="G14553" s="434">
        <v>52.15</v>
      </c>
      <c r="H14553" s="435">
        <v>2599.1</v>
      </c>
      <c r="I14553" s="435">
        <v>1798.41</v>
      </c>
      <c r="J14553" s="435">
        <v>540.29999999999995</v>
      </c>
      <c r="K14553" s="435">
        <v>260.39</v>
      </c>
      <c r="L14553" s="43">
        <v>8.6737860837643925</v>
      </c>
      <c r="M14553" s="43">
        <v>11.500255787185063</v>
      </c>
      <c r="N14553" s="43">
        <v>5.929543459174714</v>
      </c>
      <c r="O14553" s="43">
        <v>4.9930968360498564</v>
      </c>
      <c r="P14553" s="436"/>
      <c r="Q14553" s="436"/>
      <c r="R14553" s="436">
        <v>3</v>
      </c>
    </row>
    <row r="14554" spans="1:18" ht="24">
      <c r="A14554" s="432">
        <v>18</v>
      </c>
      <c r="B14554" s="429" t="s">
        <v>26164</v>
      </c>
      <c r="C14554" s="433" t="s">
        <v>26165</v>
      </c>
      <c r="D14554" s="434">
        <v>1573.71</v>
      </c>
      <c r="E14554" s="434">
        <v>1241.47</v>
      </c>
      <c r="F14554" s="434">
        <v>178.27</v>
      </c>
      <c r="G14554" s="434">
        <v>153.97</v>
      </c>
      <c r="H14554" s="435">
        <v>16313.6</v>
      </c>
      <c r="I14554" s="435">
        <v>14276.93</v>
      </c>
      <c r="J14554" s="435">
        <v>1001.03</v>
      </c>
      <c r="K14554" s="435">
        <v>1035.6400000000001</v>
      </c>
      <c r="L14554" s="43">
        <v>10.366331789211481</v>
      </c>
      <c r="M14554" s="43">
        <v>11.500020137417739</v>
      </c>
      <c r="N14554" s="43">
        <v>5.6152465361530259</v>
      </c>
      <c r="O14554" s="43">
        <v>6.7262453724751579</v>
      </c>
      <c r="P14554" s="436"/>
      <c r="Q14554" s="436"/>
      <c r="R14554" s="436">
        <v>3</v>
      </c>
    </row>
    <row r="14555" spans="1:18" ht="24">
      <c r="A14555" s="432">
        <v>19</v>
      </c>
      <c r="B14555" s="429" t="s">
        <v>26166</v>
      </c>
      <c r="C14555" s="433" t="s">
        <v>26167</v>
      </c>
      <c r="D14555" s="434">
        <v>514.28</v>
      </c>
      <c r="E14555" s="434">
        <v>349.32</v>
      </c>
      <c r="F14555" s="434">
        <v>122.3</v>
      </c>
      <c r="G14555" s="434">
        <v>42.66</v>
      </c>
      <c r="H14555" s="435">
        <v>4996.84</v>
      </c>
      <c r="I14555" s="435">
        <v>4017.3</v>
      </c>
      <c r="J14555" s="435">
        <v>709.17</v>
      </c>
      <c r="K14555" s="435">
        <v>270.37</v>
      </c>
      <c r="L14555" s="43">
        <v>9.71618573539706</v>
      </c>
      <c r="M14555" s="43">
        <v>11.500343524562007</v>
      </c>
      <c r="N14555" s="43">
        <v>5.7986099754701552</v>
      </c>
      <c r="O14555" s="43">
        <v>6.337787154242851</v>
      </c>
      <c r="P14555" s="436"/>
      <c r="Q14555" s="436"/>
      <c r="R14555" s="436">
        <v>3</v>
      </c>
    </row>
    <row r="14556" spans="1:18" ht="12.75" customHeight="1">
      <c r="A14556" s="628" t="s">
        <v>26168</v>
      </c>
      <c r="B14556" s="629"/>
      <c r="C14556" s="629"/>
      <c r="D14556" s="629"/>
      <c r="E14556" s="629"/>
      <c r="F14556" s="629"/>
      <c r="G14556" s="629"/>
      <c r="H14556" s="629"/>
      <c r="I14556" s="629"/>
      <c r="J14556" s="629"/>
      <c r="K14556" s="629"/>
      <c r="L14556" s="629"/>
      <c r="M14556" s="629"/>
      <c r="N14556" s="629"/>
      <c r="O14556" s="629"/>
      <c r="P14556" s="629"/>
      <c r="Q14556" s="629"/>
      <c r="R14556" s="629"/>
    </row>
    <row r="14557" spans="1:18" ht="24">
      <c r="A14557" s="432">
        <v>20</v>
      </c>
      <c r="B14557" s="429" t="s">
        <v>26169</v>
      </c>
      <c r="C14557" s="433" t="s">
        <v>26170</v>
      </c>
      <c r="D14557" s="434">
        <v>1231.3900000000001</v>
      </c>
      <c r="E14557" s="434">
        <v>740.96</v>
      </c>
      <c r="F14557" s="434">
        <v>279.87</v>
      </c>
      <c r="G14557" s="434">
        <v>210.56</v>
      </c>
      <c r="H14557" s="435">
        <v>11099.23</v>
      </c>
      <c r="I14557" s="435">
        <v>8521.3700000000008</v>
      </c>
      <c r="J14557" s="435">
        <v>1585.56</v>
      </c>
      <c r="K14557" s="435">
        <v>992.3</v>
      </c>
      <c r="L14557" s="43">
        <v>9.0135781515198268</v>
      </c>
      <c r="M14557" s="43">
        <v>11.500445368171022</v>
      </c>
      <c r="N14557" s="43">
        <v>5.6653446242898484</v>
      </c>
      <c r="O14557" s="43">
        <v>4.7126709726443767</v>
      </c>
      <c r="P14557" s="436"/>
      <c r="Q14557" s="436"/>
      <c r="R14557" s="436">
        <v>4</v>
      </c>
    </row>
    <row r="14558" spans="1:18" ht="24">
      <c r="A14558" s="432">
        <v>21</v>
      </c>
      <c r="B14558" s="429" t="s">
        <v>26171</v>
      </c>
      <c r="C14558" s="433" t="s">
        <v>26172</v>
      </c>
      <c r="D14558" s="434">
        <v>1337.16</v>
      </c>
      <c r="E14558" s="434">
        <v>813.95</v>
      </c>
      <c r="F14558" s="434">
        <v>311.19</v>
      </c>
      <c r="G14558" s="434">
        <v>212.02</v>
      </c>
      <c r="H14558" s="435">
        <v>12124.8</v>
      </c>
      <c r="I14558" s="435">
        <v>9360.7099999999991</v>
      </c>
      <c r="J14558" s="435">
        <v>1755</v>
      </c>
      <c r="K14558" s="435">
        <v>1009.09</v>
      </c>
      <c r="L14558" s="43">
        <v>9.0675760567172201</v>
      </c>
      <c r="M14558" s="43">
        <v>11.50035014435776</v>
      </c>
      <c r="N14558" s="43">
        <v>5.6396413766509204</v>
      </c>
      <c r="O14558" s="43">
        <v>4.7594094896707855</v>
      </c>
      <c r="P14558" s="436"/>
      <c r="Q14558" s="436"/>
      <c r="R14558" s="436">
        <v>4</v>
      </c>
    </row>
    <row r="14559" spans="1:18" ht="12.75" customHeight="1">
      <c r="A14559" s="628" t="s">
        <v>26173</v>
      </c>
      <c r="B14559" s="629"/>
      <c r="C14559" s="629"/>
      <c r="D14559" s="629"/>
      <c r="E14559" s="629"/>
      <c r="F14559" s="629"/>
      <c r="G14559" s="629"/>
      <c r="H14559" s="629"/>
      <c r="I14559" s="629"/>
      <c r="J14559" s="629"/>
      <c r="K14559" s="629"/>
      <c r="L14559" s="629"/>
      <c r="M14559" s="629"/>
      <c r="N14559" s="629"/>
      <c r="O14559" s="629"/>
      <c r="P14559" s="629"/>
      <c r="Q14559" s="629"/>
      <c r="R14559" s="629"/>
    </row>
    <row r="14560" spans="1:18" ht="24">
      <c r="A14560" s="432">
        <v>22</v>
      </c>
      <c r="B14560" s="429" t="s">
        <v>26174</v>
      </c>
      <c r="C14560" s="433" t="s">
        <v>26175</v>
      </c>
      <c r="D14560" s="434">
        <v>1216.57</v>
      </c>
      <c r="E14560" s="434">
        <v>961.15</v>
      </c>
      <c r="F14560" s="434">
        <v>177.77</v>
      </c>
      <c r="G14560" s="434">
        <v>77.650000000000006</v>
      </c>
      <c r="H14560" s="435">
        <v>12599.51</v>
      </c>
      <c r="I14560" s="435">
        <v>11053.6</v>
      </c>
      <c r="J14560" s="435">
        <v>1020.54</v>
      </c>
      <c r="K14560" s="435">
        <v>525.37</v>
      </c>
      <c r="L14560" s="43">
        <v>10.356584495754458</v>
      </c>
      <c r="M14560" s="43">
        <v>11.500390157623681</v>
      </c>
      <c r="N14560" s="43">
        <v>5.7407886595038526</v>
      </c>
      <c r="O14560" s="43">
        <v>6.7658725048293622</v>
      </c>
      <c r="P14560" s="436"/>
      <c r="Q14560" s="436"/>
      <c r="R14560" s="436">
        <v>5</v>
      </c>
    </row>
    <row r="14561" spans="1:18" ht="24">
      <c r="A14561" s="432">
        <v>23</v>
      </c>
      <c r="B14561" s="429" t="s">
        <v>26176</v>
      </c>
      <c r="C14561" s="433" t="s">
        <v>26177</v>
      </c>
      <c r="D14561" s="434">
        <v>1330.27</v>
      </c>
      <c r="E14561" s="434">
        <v>1052.69</v>
      </c>
      <c r="F14561" s="434">
        <v>198.03</v>
      </c>
      <c r="G14561" s="434">
        <v>79.55</v>
      </c>
      <c r="H14561" s="435">
        <v>13784.65</v>
      </c>
      <c r="I14561" s="435">
        <v>12106.33</v>
      </c>
      <c r="J14561" s="435">
        <v>1131.31</v>
      </c>
      <c r="K14561" s="435">
        <v>547.01</v>
      </c>
      <c r="L14561" s="43">
        <v>10.362294872469498</v>
      </c>
      <c r="M14561" s="43">
        <v>11.500375229174781</v>
      </c>
      <c r="N14561" s="43">
        <v>5.7128212897035802</v>
      </c>
      <c r="O14561" s="43">
        <v>6.8763042111879322</v>
      </c>
      <c r="P14561" s="436"/>
      <c r="Q14561" s="436"/>
      <c r="R14561" s="436">
        <v>5</v>
      </c>
    </row>
    <row r="14562" spans="1:18" ht="12.75" customHeight="1">
      <c r="A14562" s="628" t="s">
        <v>26178</v>
      </c>
      <c r="B14562" s="629"/>
      <c r="C14562" s="629"/>
      <c r="D14562" s="629"/>
      <c r="E14562" s="629"/>
      <c r="F14562" s="629"/>
      <c r="G14562" s="629"/>
      <c r="H14562" s="629"/>
      <c r="I14562" s="629"/>
      <c r="J14562" s="629"/>
      <c r="K14562" s="629"/>
      <c r="L14562" s="629"/>
      <c r="M14562" s="629"/>
      <c r="N14562" s="629"/>
      <c r="O14562" s="629"/>
      <c r="P14562" s="629"/>
      <c r="Q14562" s="629"/>
      <c r="R14562" s="629"/>
    </row>
    <row r="14563" spans="1:18" ht="24">
      <c r="A14563" s="432">
        <v>24</v>
      </c>
      <c r="B14563" s="429" t="s">
        <v>26179</v>
      </c>
      <c r="C14563" s="433" t="s">
        <v>26180</v>
      </c>
      <c r="D14563" s="434">
        <v>935.53</v>
      </c>
      <c r="E14563" s="434">
        <v>629.63</v>
      </c>
      <c r="F14563" s="434">
        <v>232.86</v>
      </c>
      <c r="G14563" s="434">
        <v>73.040000000000006</v>
      </c>
      <c r="H14563" s="435">
        <v>9063.14</v>
      </c>
      <c r="I14563" s="435">
        <v>7241.03</v>
      </c>
      <c r="J14563" s="435">
        <v>1306.23</v>
      </c>
      <c r="K14563" s="435">
        <v>515.88</v>
      </c>
      <c r="L14563" s="43">
        <v>9.6877064337861949</v>
      </c>
      <c r="M14563" s="43">
        <v>11.50045264679256</v>
      </c>
      <c r="N14563" s="43">
        <v>5.6095078587992786</v>
      </c>
      <c r="O14563" s="43">
        <v>7.0629791894852127</v>
      </c>
      <c r="P14563" s="436"/>
      <c r="Q14563" s="436"/>
      <c r="R14563" s="436">
        <v>6</v>
      </c>
    </row>
    <row r="14564" spans="1:18" ht="24">
      <c r="A14564" s="432">
        <v>25</v>
      </c>
      <c r="B14564" s="429" t="s">
        <v>26181</v>
      </c>
      <c r="C14564" s="433" t="s">
        <v>26182</v>
      </c>
      <c r="D14564" s="434">
        <v>1075.3399999999999</v>
      </c>
      <c r="E14564" s="434">
        <v>748.39</v>
      </c>
      <c r="F14564" s="434">
        <v>245.99</v>
      </c>
      <c r="G14564" s="434">
        <v>80.959999999999994</v>
      </c>
      <c r="H14564" s="435">
        <v>10575.72</v>
      </c>
      <c r="I14564" s="435">
        <v>8606.73</v>
      </c>
      <c r="J14564" s="435">
        <v>1377.17</v>
      </c>
      <c r="K14564" s="435">
        <v>591.82000000000005</v>
      </c>
      <c r="L14564" s="43">
        <v>9.8347685383227628</v>
      </c>
      <c r="M14564" s="43">
        <v>11.500327369419686</v>
      </c>
      <c r="N14564" s="43">
        <v>5.5984796129923984</v>
      </c>
      <c r="O14564" s="43">
        <v>7.3100296442687762</v>
      </c>
      <c r="P14564" s="436"/>
      <c r="Q14564" s="436"/>
      <c r="R14564" s="436">
        <v>6</v>
      </c>
    </row>
    <row r="14565" spans="1:18" ht="24">
      <c r="A14565" s="432">
        <v>26</v>
      </c>
      <c r="B14565" s="429" t="s">
        <v>26183</v>
      </c>
      <c r="C14565" s="433" t="s">
        <v>26184</v>
      </c>
      <c r="D14565" s="434">
        <v>1029.1099999999999</v>
      </c>
      <c r="E14565" s="434">
        <v>444.44</v>
      </c>
      <c r="F14565" s="434">
        <v>401.18</v>
      </c>
      <c r="G14565" s="434">
        <v>183.49</v>
      </c>
      <c r="H14565" s="435">
        <v>8348.76</v>
      </c>
      <c r="I14565" s="435">
        <v>5111.0600000000004</v>
      </c>
      <c r="J14565" s="435">
        <v>2211.83</v>
      </c>
      <c r="K14565" s="435">
        <v>1025.8699999999999</v>
      </c>
      <c r="L14565" s="43">
        <v>8.1126021513735171</v>
      </c>
      <c r="M14565" s="43">
        <v>11.500000000000002</v>
      </c>
      <c r="N14565" s="43">
        <v>5.5133107333366569</v>
      </c>
      <c r="O14565" s="43">
        <v>5.590876887023815</v>
      </c>
      <c r="P14565" s="436"/>
      <c r="Q14565" s="436"/>
      <c r="R14565" s="436">
        <v>6</v>
      </c>
    </row>
    <row r="14566" spans="1:18" ht="24">
      <c r="A14566" s="432">
        <v>27</v>
      </c>
      <c r="B14566" s="429" t="s">
        <v>26185</v>
      </c>
      <c r="C14566" s="433" t="s">
        <v>26186</v>
      </c>
      <c r="D14566" s="434">
        <v>936.34</v>
      </c>
      <c r="E14566" s="434">
        <v>574.55999999999995</v>
      </c>
      <c r="F14566" s="434">
        <v>211.73</v>
      </c>
      <c r="G14566" s="434">
        <v>150.05000000000001</v>
      </c>
      <c r="H14566" s="435">
        <v>8665.27</v>
      </c>
      <c r="I14566" s="435">
        <v>6607.39</v>
      </c>
      <c r="J14566" s="435">
        <v>1192.2</v>
      </c>
      <c r="K14566" s="435">
        <v>865.68</v>
      </c>
      <c r="L14566" s="43">
        <v>9.2544054510113849</v>
      </c>
      <c r="M14566" s="43">
        <v>11.499912976886662</v>
      </c>
      <c r="N14566" s="43">
        <v>5.6307561517026405</v>
      </c>
      <c r="O14566" s="43">
        <v>5.7692769076974333</v>
      </c>
      <c r="P14566" s="436"/>
      <c r="Q14566" s="436"/>
      <c r="R14566" s="436">
        <v>6</v>
      </c>
    </row>
    <row r="14567" spans="1:18" ht="24">
      <c r="A14567" s="432">
        <v>28</v>
      </c>
      <c r="B14567" s="429" t="s">
        <v>26187</v>
      </c>
      <c r="C14567" s="433" t="s">
        <v>26188</v>
      </c>
      <c r="D14567" s="434">
        <v>1070.94</v>
      </c>
      <c r="E14567" s="434">
        <v>663.5</v>
      </c>
      <c r="F14567" s="434">
        <v>240.52</v>
      </c>
      <c r="G14567" s="434">
        <v>166.92</v>
      </c>
      <c r="H14567" s="435">
        <v>9936.77</v>
      </c>
      <c r="I14567" s="435">
        <v>7630.3</v>
      </c>
      <c r="J14567" s="435">
        <v>1347.87</v>
      </c>
      <c r="K14567" s="435">
        <v>958.6</v>
      </c>
      <c r="L14567" s="43">
        <v>9.2785496853231741</v>
      </c>
      <c r="M14567" s="43">
        <v>11.500075357950264</v>
      </c>
      <c r="N14567" s="43">
        <v>5.6039830367537</v>
      </c>
      <c r="O14567" s="43">
        <v>5.7428708363287813</v>
      </c>
      <c r="P14567" s="436"/>
      <c r="Q14567" s="436"/>
      <c r="R14567" s="436">
        <v>6</v>
      </c>
    </row>
    <row r="14568" spans="1:18" ht="12.75" customHeight="1">
      <c r="A14568" s="628" t="s">
        <v>26189</v>
      </c>
      <c r="B14568" s="629"/>
      <c r="C14568" s="629"/>
      <c r="D14568" s="629"/>
      <c r="E14568" s="629"/>
      <c r="F14568" s="629"/>
      <c r="G14568" s="629"/>
      <c r="H14568" s="629"/>
      <c r="I14568" s="629"/>
      <c r="J14568" s="629"/>
      <c r="K14568" s="629"/>
      <c r="L14568" s="629"/>
      <c r="M14568" s="629"/>
      <c r="N14568" s="629"/>
      <c r="O14568" s="629"/>
      <c r="P14568" s="629"/>
      <c r="Q14568" s="629"/>
      <c r="R14568" s="629"/>
    </row>
    <row r="14569" spans="1:18" ht="24">
      <c r="A14569" s="432">
        <v>29</v>
      </c>
      <c r="B14569" s="429" t="s">
        <v>26190</v>
      </c>
      <c r="C14569" s="433" t="s">
        <v>26191</v>
      </c>
      <c r="D14569" s="434">
        <v>1536.58</v>
      </c>
      <c r="E14569" s="434">
        <v>1072.17</v>
      </c>
      <c r="F14569" s="434">
        <v>354.88</v>
      </c>
      <c r="G14569" s="434">
        <v>109.53</v>
      </c>
      <c r="H14569" s="435">
        <v>15062.41</v>
      </c>
      <c r="I14569" s="435">
        <v>12329.96</v>
      </c>
      <c r="J14569" s="435">
        <v>1948.03</v>
      </c>
      <c r="K14569" s="435">
        <v>784.42</v>
      </c>
      <c r="L14569" s="43">
        <v>9.8025550247953248</v>
      </c>
      <c r="M14569" s="43">
        <v>11.500004663439565</v>
      </c>
      <c r="N14569" s="43">
        <v>5.4892639765554554</v>
      </c>
      <c r="O14569" s="43">
        <v>7.161690860951337</v>
      </c>
      <c r="P14569" s="436"/>
      <c r="Q14569" s="436"/>
      <c r="R14569" s="436">
        <v>7</v>
      </c>
    </row>
    <row r="14570" spans="1:18" ht="24">
      <c r="A14570" s="432">
        <v>30</v>
      </c>
      <c r="B14570" s="429" t="s">
        <v>26192</v>
      </c>
      <c r="C14570" s="433" t="s">
        <v>26193</v>
      </c>
      <c r="D14570" s="434">
        <v>474.35</v>
      </c>
      <c r="E14570" s="434">
        <v>240.4</v>
      </c>
      <c r="F14570" s="434">
        <v>113.6</v>
      </c>
      <c r="G14570" s="434">
        <v>120.35</v>
      </c>
      <c r="H14570" s="435">
        <v>4044.71</v>
      </c>
      <c r="I14570" s="435">
        <v>2764.6</v>
      </c>
      <c r="J14570" s="435">
        <v>650.53</v>
      </c>
      <c r="K14570" s="435">
        <v>629.58000000000004</v>
      </c>
      <c r="L14570" s="43">
        <v>8.5268472646779809</v>
      </c>
      <c r="M14570" s="43">
        <v>11.5</v>
      </c>
      <c r="N14570" s="43">
        <v>5.7264964788732398</v>
      </c>
      <c r="O14570" s="43">
        <v>5.2312422102201914</v>
      </c>
      <c r="P14570" s="436"/>
      <c r="Q14570" s="436"/>
      <c r="R14570" s="436">
        <v>7</v>
      </c>
    </row>
    <row r="14571" spans="1:18" ht="24">
      <c r="A14571" s="432">
        <v>31</v>
      </c>
      <c r="B14571" s="429" t="s">
        <v>26194</v>
      </c>
      <c r="C14571" s="433" t="s">
        <v>26195</v>
      </c>
      <c r="D14571" s="434">
        <v>841.4</v>
      </c>
      <c r="E14571" s="434">
        <v>575.76</v>
      </c>
      <c r="F14571" s="434">
        <v>135.08000000000001</v>
      </c>
      <c r="G14571" s="434">
        <v>130.56</v>
      </c>
      <c r="H14571" s="435">
        <v>8147.93</v>
      </c>
      <c r="I14571" s="435">
        <v>6621.22</v>
      </c>
      <c r="J14571" s="435">
        <v>778.58</v>
      </c>
      <c r="K14571" s="435">
        <v>748.13</v>
      </c>
      <c r="L14571" s="43">
        <v>9.6837770382695521</v>
      </c>
      <c r="M14571" s="43">
        <v>11.499965263304155</v>
      </c>
      <c r="N14571" s="43">
        <v>5.7638436482084687</v>
      </c>
      <c r="O14571" s="43">
        <v>5.7301623774509807</v>
      </c>
      <c r="P14571" s="436"/>
      <c r="Q14571" s="436"/>
      <c r="R14571" s="436">
        <v>7</v>
      </c>
    </row>
    <row r="14572" spans="1:18" ht="24">
      <c r="A14572" s="432">
        <v>32</v>
      </c>
      <c r="B14572" s="429" t="s">
        <v>26196</v>
      </c>
      <c r="C14572" s="433" t="s">
        <v>26197</v>
      </c>
      <c r="D14572" s="434">
        <v>938.24</v>
      </c>
      <c r="E14572" s="434">
        <v>699.25</v>
      </c>
      <c r="F14572" s="434">
        <v>139.57</v>
      </c>
      <c r="G14572" s="434">
        <v>99.42</v>
      </c>
      <c r="H14572" s="435">
        <v>9431.85</v>
      </c>
      <c r="I14572" s="435">
        <v>8041.59</v>
      </c>
      <c r="J14572" s="435">
        <v>791.2</v>
      </c>
      <c r="K14572" s="435">
        <v>599.05999999999995</v>
      </c>
      <c r="L14572" s="43">
        <v>10.052705064802183</v>
      </c>
      <c r="M14572" s="43">
        <v>11.500307472291741</v>
      </c>
      <c r="N14572" s="43">
        <v>5.6688400085978365</v>
      </c>
      <c r="O14572" s="43">
        <v>6.0255481794407562</v>
      </c>
      <c r="P14572" s="436"/>
      <c r="Q14572" s="436"/>
      <c r="R14572" s="436">
        <v>7</v>
      </c>
    </row>
    <row r="14573" spans="1:18" ht="24">
      <c r="A14573" s="432">
        <v>33</v>
      </c>
      <c r="B14573" s="429" t="s">
        <v>26198</v>
      </c>
      <c r="C14573" s="433" t="s">
        <v>26199</v>
      </c>
      <c r="D14573" s="434">
        <v>800.75</v>
      </c>
      <c r="E14573" s="434">
        <v>618.21</v>
      </c>
      <c r="F14573" s="434">
        <v>118.91</v>
      </c>
      <c r="G14573" s="434">
        <v>63.63</v>
      </c>
      <c r="H14573" s="435">
        <v>8195.5300000000007</v>
      </c>
      <c r="I14573" s="435">
        <v>7109.66</v>
      </c>
      <c r="J14573" s="435">
        <v>679.15</v>
      </c>
      <c r="K14573" s="435">
        <v>406.72</v>
      </c>
      <c r="L14573" s="43">
        <v>10.234817358726195</v>
      </c>
      <c r="M14573" s="43">
        <v>11.500396305462544</v>
      </c>
      <c r="N14573" s="43">
        <v>5.7114624505928857</v>
      </c>
      <c r="O14573" s="43">
        <v>6.3919534810623917</v>
      </c>
      <c r="P14573" s="436"/>
      <c r="Q14573" s="436"/>
      <c r="R14573" s="436">
        <v>7</v>
      </c>
    </row>
    <row r="14574" spans="1:18" ht="24">
      <c r="A14574" s="432">
        <v>34</v>
      </c>
      <c r="B14574" s="429" t="s">
        <v>26200</v>
      </c>
      <c r="C14574" s="433" t="s">
        <v>26201</v>
      </c>
      <c r="D14574" s="434">
        <v>3521.45</v>
      </c>
      <c r="E14574" s="434">
        <v>1801.2</v>
      </c>
      <c r="F14574" s="434">
        <v>670.04</v>
      </c>
      <c r="G14574" s="434">
        <v>1050.21</v>
      </c>
      <c r="H14574" s="435">
        <v>29441.33</v>
      </c>
      <c r="I14574" s="435">
        <v>20714.560000000001</v>
      </c>
      <c r="J14574" s="435">
        <v>3690.23</v>
      </c>
      <c r="K14574" s="435">
        <v>5036.54</v>
      </c>
      <c r="L14574" s="43">
        <v>8.3605702196538374</v>
      </c>
      <c r="M14574" s="43">
        <v>11.50042194092827</v>
      </c>
      <c r="N14574" s="43">
        <v>5.5074771655423564</v>
      </c>
      <c r="O14574" s="43">
        <v>4.7957456127822056</v>
      </c>
      <c r="P14574" s="436"/>
      <c r="Q14574" s="436"/>
      <c r="R14574" s="436">
        <v>7</v>
      </c>
    </row>
    <row r="14575" spans="1:18" ht="12.75" customHeight="1">
      <c r="A14575" s="628" t="s">
        <v>26202</v>
      </c>
      <c r="B14575" s="629"/>
      <c r="C14575" s="629"/>
      <c r="D14575" s="629"/>
      <c r="E14575" s="629"/>
      <c r="F14575" s="629"/>
      <c r="G14575" s="629"/>
      <c r="H14575" s="629"/>
      <c r="I14575" s="629"/>
      <c r="J14575" s="629"/>
      <c r="K14575" s="629"/>
      <c r="L14575" s="629"/>
      <c r="M14575" s="629"/>
      <c r="N14575" s="629"/>
      <c r="O14575" s="629"/>
      <c r="P14575" s="629"/>
      <c r="Q14575" s="629"/>
      <c r="R14575" s="629"/>
    </row>
    <row r="14576" spans="1:18" ht="24">
      <c r="A14576" s="432">
        <v>35</v>
      </c>
      <c r="B14576" s="429" t="s">
        <v>26203</v>
      </c>
      <c r="C14576" s="433" t="s">
        <v>26204</v>
      </c>
      <c r="D14576" s="434">
        <v>623.84</v>
      </c>
      <c r="E14576" s="434">
        <v>358.49</v>
      </c>
      <c r="F14576" s="434">
        <v>142.84</v>
      </c>
      <c r="G14576" s="434">
        <v>122.51</v>
      </c>
      <c r="H14576" s="435">
        <v>5622.02</v>
      </c>
      <c r="I14576" s="435">
        <v>4122.7700000000004</v>
      </c>
      <c r="J14576" s="435">
        <v>820.64</v>
      </c>
      <c r="K14576" s="435">
        <v>678.61</v>
      </c>
      <c r="L14576" s="43">
        <v>9.0119581944088232</v>
      </c>
      <c r="M14576" s="43">
        <v>11.500376579541969</v>
      </c>
      <c r="N14576" s="43">
        <v>5.7451694203304395</v>
      </c>
      <c r="O14576" s="43">
        <v>5.5392212880581173</v>
      </c>
      <c r="P14576" s="436"/>
      <c r="Q14576" s="436"/>
      <c r="R14576" s="436">
        <v>8</v>
      </c>
    </row>
    <row r="14577" spans="1:18" ht="12.75" customHeight="1">
      <c r="A14577" s="628" t="s">
        <v>26205</v>
      </c>
      <c r="B14577" s="629"/>
      <c r="C14577" s="629"/>
      <c r="D14577" s="629"/>
      <c r="E14577" s="629"/>
      <c r="F14577" s="629"/>
      <c r="G14577" s="629"/>
      <c r="H14577" s="629"/>
      <c r="I14577" s="629"/>
      <c r="J14577" s="629"/>
      <c r="K14577" s="629"/>
      <c r="L14577" s="629"/>
      <c r="M14577" s="629"/>
      <c r="N14577" s="629"/>
      <c r="O14577" s="629"/>
      <c r="P14577" s="629"/>
      <c r="Q14577" s="629"/>
      <c r="R14577" s="629"/>
    </row>
    <row r="14578" spans="1:18" ht="24">
      <c r="A14578" s="432">
        <v>36</v>
      </c>
      <c r="B14578" s="429" t="s">
        <v>26206</v>
      </c>
      <c r="C14578" s="433" t="s">
        <v>26207</v>
      </c>
      <c r="D14578" s="434">
        <v>1338.42</v>
      </c>
      <c r="E14578" s="434">
        <v>841.07</v>
      </c>
      <c r="F14578" s="434">
        <v>266.56</v>
      </c>
      <c r="G14578" s="434">
        <v>230.79</v>
      </c>
      <c r="H14578" s="435">
        <v>12438.4</v>
      </c>
      <c r="I14578" s="435">
        <v>9672.65</v>
      </c>
      <c r="J14578" s="435">
        <v>1488.8</v>
      </c>
      <c r="K14578" s="435">
        <v>1276.95</v>
      </c>
      <c r="L14578" s="43">
        <v>9.2933458854470192</v>
      </c>
      <c r="M14578" s="43">
        <v>11.500410191779517</v>
      </c>
      <c r="N14578" s="43">
        <v>5.5852340936374549</v>
      </c>
      <c r="O14578" s="43">
        <v>5.5329520343169118</v>
      </c>
      <c r="P14578" s="436"/>
      <c r="Q14578" s="436"/>
      <c r="R14578" s="436">
        <v>9</v>
      </c>
    </row>
    <row r="14579" spans="1:18" ht="12.75" customHeight="1">
      <c r="A14579" s="628" t="s">
        <v>26208</v>
      </c>
      <c r="B14579" s="629"/>
      <c r="C14579" s="629"/>
      <c r="D14579" s="629"/>
      <c r="E14579" s="629"/>
      <c r="F14579" s="629"/>
      <c r="G14579" s="629"/>
      <c r="H14579" s="629"/>
      <c r="I14579" s="629"/>
      <c r="J14579" s="629"/>
      <c r="K14579" s="629"/>
      <c r="L14579" s="629"/>
      <c r="M14579" s="629"/>
      <c r="N14579" s="629"/>
      <c r="O14579" s="629"/>
      <c r="P14579" s="629"/>
      <c r="Q14579" s="629"/>
      <c r="R14579" s="629"/>
    </row>
    <row r="14580" spans="1:18" ht="24">
      <c r="A14580" s="432">
        <v>37</v>
      </c>
      <c r="B14580" s="429" t="s">
        <v>26209</v>
      </c>
      <c r="C14580" s="433" t="s">
        <v>26210</v>
      </c>
      <c r="D14580" s="434">
        <v>3415.3</v>
      </c>
      <c r="E14580" s="434">
        <v>1988</v>
      </c>
      <c r="F14580" s="434">
        <v>917.84</v>
      </c>
      <c r="G14580" s="434">
        <v>509.46</v>
      </c>
      <c r="H14580" s="435">
        <v>31159.56</v>
      </c>
      <c r="I14580" s="435">
        <v>22862</v>
      </c>
      <c r="J14580" s="435">
        <v>4998.24</v>
      </c>
      <c r="K14580" s="435">
        <v>3299.32</v>
      </c>
      <c r="L14580" s="43">
        <v>9.1235206277633001</v>
      </c>
      <c r="M14580" s="43">
        <v>11.5</v>
      </c>
      <c r="N14580" s="43">
        <v>5.4456550161248147</v>
      </c>
      <c r="O14580" s="43">
        <v>6.4761119616849223</v>
      </c>
      <c r="P14580" s="436"/>
      <c r="Q14580" s="436"/>
      <c r="R14580" s="436">
        <v>10</v>
      </c>
    </row>
    <row r="14581" spans="1:18" ht="24">
      <c r="A14581" s="432">
        <v>38</v>
      </c>
      <c r="B14581" s="429" t="s">
        <v>26211</v>
      </c>
      <c r="C14581" s="433" t="s">
        <v>26212</v>
      </c>
      <c r="D14581" s="434">
        <v>822.03</v>
      </c>
      <c r="E14581" s="434">
        <v>305.58</v>
      </c>
      <c r="F14581" s="434">
        <v>483.21</v>
      </c>
      <c r="G14581" s="434">
        <v>33.24</v>
      </c>
      <c r="H14581" s="435">
        <v>6414.39</v>
      </c>
      <c r="I14581" s="435">
        <v>3514.22</v>
      </c>
      <c r="J14581" s="435">
        <v>2619.64</v>
      </c>
      <c r="K14581" s="435">
        <v>280.52999999999997</v>
      </c>
      <c r="L14581" s="43">
        <v>7.8031093755702354</v>
      </c>
      <c r="M14581" s="43">
        <v>11.500163623273775</v>
      </c>
      <c r="N14581" s="43">
        <v>5.4213282009892181</v>
      </c>
      <c r="O14581" s="43">
        <v>8.4395306859205768</v>
      </c>
      <c r="P14581" s="436"/>
      <c r="Q14581" s="436"/>
      <c r="R14581" s="436">
        <v>10</v>
      </c>
    </row>
    <row r="14582" spans="1:18" ht="12.75" customHeight="1">
      <c r="A14582" s="628" t="s">
        <v>26213</v>
      </c>
      <c r="B14582" s="629"/>
      <c r="C14582" s="629"/>
      <c r="D14582" s="629"/>
      <c r="E14582" s="629"/>
      <c r="F14582" s="629"/>
      <c r="G14582" s="629"/>
      <c r="H14582" s="629"/>
      <c r="I14582" s="629"/>
      <c r="J14582" s="629"/>
      <c r="K14582" s="629"/>
      <c r="L14582" s="629"/>
      <c r="M14582" s="629"/>
      <c r="N14582" s="629"/>
      <c r="O14582" s="629"/>
      <c r="P14582" s="629"/>
      <c r="Q14582" s="629"/>
      <c r="R14582" s="629"/>
    </row>
    <row r="14583" spans="1:18" ht="24">
      <c r="A14583" s="432">
        <v>39</v>
      </c>
      <c r="B14583" s="429" t="s">
        <v>26214</v>
      </c>
      <c r="C14583" s="433" t="s">
        <v>26215</v>
      </c>
      <c r="D14583" s="434">
        <v>6689.44</v>
      </c>
      <c r="E14583" s="434">
        <v>4349.88</v>
      </c>
      <c r="F14583" s="434">
        <v>1192.1600000000001</v>
      </c>
      <c r="G14583" s="434">
        <v>1147.4000000000001</v>
      </c>
      <c r="H14583" s="435">
        <v>62328.6</v>
      </c>
      <c r="I14583" s="435">
        <v>50023.62</v>
      </c>
      <c r="J14583" s="435">
        <v>6581.62</v>
      </c>
      <c r="K14583" s="435">
        <v>5723.36</v>
      </c>
      <c r="L14583" s="43">
        <v>9.3174615513406209</v>
      </c>
      <c r="M14583" s="43">
        <v>11.5</v>
      </c>
      <c r="N14583" s="43">
        <v>5.5207522480203997</v>
      </c>
      <c r="O14583" s="43">
        <v>4.9881122537911793</v>
      </c>
      <c r="P14583" s="436"/>
      <c r="Q14583" s="436"/>
      <c r="R14583" s="436">
        <v>11</v>
      </c>
    </row>
    <row r="14584" spans="1:18" ht="24">
      <c r="A14584" s="432">
        <v>40</v>
      </c>
      <c r="B14584" s="429" t="s">
        <v>26216</v>
      </c>
      <c r="C14584" s="433" t="s">
        <v>26217</v>
      </c>
      <c r="D14584" s="434">
        <v>1019.52</v>
      </c>
      <c r="E14584" s="434">
        <v>631.69000000000005</v>
      </c>
      <c r="F14584" s="434">
        <v>297.79000000000002</v>
      </c>
      <c r="G14584" s="434">
        <v>90.04</v>
      </c>
      <c r="H14584" s="435">
        <v>9527.35</v>
      </c>
      <c r="I14584" s="435">
        <v>7264.41</v>
      </c>
      <c r="J14584" s="435">
        <v>1714.46</v>
      </c>
      <c r="K14584" s="435">
        <v>548.48</v>
      </c>
      <c r="L14584" s="43">
        <v>9.3449368330194602</v>
      </c>
      <c r="M14584" s="43">
        <v>11.499960423625511</v>
      </c>
      <c r="N14584" s="43">
        <v>5.7572786191611538</v>
      </c>
      <c r="O14584" s="43">
        <v>6.0915148822745442</v>
      </c>
      <c r="P14584" s="436"/>
      <c r="Q14584" s="436"/>
      <c r="R14584" s="436">
        <v>11</v>
      </c>
    </row>
    <row r="14585" spans="1:18" ht="12.75" customHeight="1">
      <c r="A14585" s="628" t="s">
        <v>26218</v>
      </c>
      <c r="B14585" s="629"/>
      <c r="C14585" s="629"/>
      <c r="D14585" s="629"/>
      <c r="E14585" s="629"/>
      <c r="F14585" s="629"/>
      <c r="G14585" s="629"/>
      <c r="H14585" s="629"/>
      <c r="I14585" s="629"/>
      <c r="J14585" s="629"/>
      <c r="K14585" s="629"/>
      <c r="L14585" s="629"/>
      <c r="M14585" s="629"/>
      <c r="N14585" s="629"/>
      <c r="O14585" s="629"/>
      <c r="P14585" s="629"/>
      <c r="Q14585" s="629"/>
      <c r="R14585" s="629"/>
    </row>
    <row r="14586" spans="1:18" ht="12.75" customHeight="1">
      <c r="A14586" s="628" t="s">
        <v>26219</v>
      </c>
      <c r="B14586" s="629"/>
      <c r="C14586" s="629"/>
      <c r="D14586" s="629"/>
      <c r="E14586" s="629"/>
      <c r="F14586" s="629"/>
      <c r="G14586" s="629"/>
      <c r="H14586" s="629"/>
      <c r="I14586" s="629"/>
      <c r="J14586" s="629"/>
      <c r="K14586" s="629"/>
      <c r="L14586" s="629"/>
      <c r="M14586" s="629"/>
      <c r="N14586" s="629"/>
      <c r="O14586" s="629"/>
      <c r="P14586" s="629"/>
      <c r="Q14586" s="629"/>
      <c r="R14586" s="629"/>
    </row>
    <row r="14587" spans="1:18" ht="24">
      <c r="A14587" s="432">
        <v>41</v>
      </c>
      <c r="B14587" s="429" t="s">
        <v>26220</v>
      </c>
      <c r="C14587" s="433" t="s">
        <v>26221</v>
      </c>
      <c r="D14587" s="434">
        <v>1806.45</v>
      </c>
      <c r="E14587" s="434">
        <v>1041.6199999999999</v>
      </c>
      <c r="F14587" s="434">
        <v>314.22000000000003</v>
      </c>
      <c r="G14587" s="434">
        <v>450.61</v>
      </c>
      <c r="H14587" s="435">
        <v>16204.95</v>
      </c>
      <c r="I14587" s="435">
        <v>11979.01</v>
      </c>
      <c r="J14587" s="435">
        <v>1741.03</v>
      </c>
      <c r="K14587" s="435">
        <v>2484.91</v>
      </c>
      <c r="L14587" s="43">
        <v>8.9706053308976177</v>
      </c>
      <c r="M14587" s="43">
        <v>11.500364816343774</v>
      </c>
      <c r="N14587" s="43">
        <v>5.5407994398828837</v>
      </c>
      <c r="O14587" s="43">
        <v>5.5145469474712048</v>
      </c>
      <c r="P14587" s="436"/>
      <c r="Q14587" s="436"/>
      <c r="R14587" s="436">
        <v>1</v>
      </c>
    </row>
    <row r="14588" spans="1:18" ht="24">
      <c r="A14588" s="432">
        <v>42</v>
      </c>
      <c r="B14588" s="429" t="s">
        <v>26222</v>
      </c>
      <c r="C14588" s="433" t="s">
        <v>26223</v>
      </c>
      <c r="D14588" s="434">
        <v>2453.4499999999998</v>
      </c>
      <c r="E14588" s="434">
        <v>1504.95</v>
      </c>
      <c r="F14588" s="434">
        <v>437.74</v>
      </c>
      <c r="G14588" s="434">
        <v>510.76</v>
      </c>
      <c r="H14588" s="435">
        <v>22821.7</v>
      </c>
      <c r="I14588" s="435">
        <v>17307.560000000001</v>
      </c>
      <c r="J14588" s="435">
        <v>2402.33</v>
      </c>
      <c r="K14588" s="435">
        <v>3111.81</v>
      </c>
      <c r="L14588" s="43">
        <v>9.3018810246795347</v>
      </c>
      <c r="M14588" s="43">
        <v>11.50042194092827</v>
      </c>
      <c r="N14588" s="43">
        <v>5.4880294238589116</v>
      </c>
      <c r="O14588" s="43">
        <v>6.0925092019735301</v>
      </c>
      <c r="P14588" s="436"/>
      <c r="Q14588" s="436"/>
      <c r="R14588" s="436">
        <v>1</v>
      </c>
    </row>
    <row r="14589" spans="1:18" ht="24">
      <c r="A14589" s="432">
        <v>43</v>
      </c>
      <c r="B14589" s="429" t="s">
        <v>26224</v>
      </c>
      <c r="C14589" s="433" t="s">
        <v>26225</v>
      </c>
      <c r="D14589" s="434">
        <v>2573.34</v>
      </c>
      <c r="E14589" s="434">
        <v>1481.25</v>
      </c>
      <c r="F14589" s="434">
        <v>581.79999999999995</v>
      </c>
      <c r="G14589" s="434">
        <v>510.29</v>
      </c>
      <c r="H14589" s="435">
        <v>23319.37</v>
      </c>
      <c r="I14589" s="435">
        <v>17035</v>
      </c>
      <c r="J14589" s="435">
        <v>3177.96</v>
      </c>
      <c r="K14589" s="435">
        <v>3106.41</v>
      </c>
      <c r="L14589" s="43">
        <v>9.0619078707049976</v>
      </c>
      <c r="M14589" s="43">
        <v>11.50042194092827</v>
      </c>
      <c r="N14589" s="43">
        <v>5.4622894465452054</v>
      </c>
      <c r="O14589" s="43">
        <v>6.0875384585235839</v>
      </c>
      <c r="P14589" s="436"/>
      <c r="Q14589" s="436"/>
      <c r="R14589" s="436">
        <v>1</v>
      </c>
    </row>
    <row r="14590" spans="1:18" ht="24">
      <c r="A14590" s="432">
        <v>44</v>
      </c>
      <c r="B14590" s="429" t="s">
        <v>26226</v>
      </c>
      <c r="C14590" s="433" t="s">
        <v>26227</v>
      </c>
      <c r="D14590" s="434">
        <v>3216.54</v>
      </c>
      <c r="E14590" s="434">
        <v>2180.4</v>
      </c>
      <c r="F14590" s="434">
        <v>494.2</v>
      </c>
      <c r="G14590" s="434">
        <v>541.94000000000005</v>
      </c>
      <c r="H14590" s="435">
        <v>31179.11</v>
      </c>
      <c r="I14590" s="435">
        <v>25075.52</v>
      </c>
      <c r="J14590" s="435">
        <v>2708.86</v>
      </c>
      <c r="K14590" s="435">
        <v>3394.73</v>
      </c>
      <c r="L14590" s="43">
        <v>9.6933692725723919</v>
      </c>
      <c r="M14590" s="43">
        <v>11.50042194092827</v>
      </c>
      <c r="N14590" s="43">
        <v>5.4813031161473091</v>
      </c>
      <c r="O14590" s="43">
        <v>6.264032918773295</v>
      </c>
      <c r="P14590" s="436"/>
      <c r="Q14590" s="436"/>
      <c r="R14590" s="436">
        <v>1</v>
      </c>
    </row>
    <row r="14591" spans="1:18" ht="12.75" customHeight="1">
      <c r="A14591" s="628" t="s">
        <v>26228</v>
      </c>
      <c r="B14591" s="629"/>
      <c r="C14591" s="629"/>
      <c r="D14591" s="629"/>
      <c r="E14591" s="629"/>
      <c r="F14591" s="629"/>
      <c r="G14591" s="629"/>
      <c r="H14591" s="629"/>
      <c r="I14591" s="629"/>
      <c r="J14591" s="629"/>
      <c r="K14591" s="629"/>
      <c r="L14591" s="629"/>
      <c r="M14591" s="629"/>
      <c r="N14591" s="629"/>
      <c r="O14591" s="629"/>
      <c r="P14591" s="629"/>
      <c r="Q14591" s="629"/>
      <c r="R14591" s="629"/>
    </row>
    <row r="14592" spans="1:18" ht="24">
      <c r="A14592" s="432">
        <v>45</v>
      </c>
      <c r="B14592" s="429" t="s">
        <v>26229</v>
      </c>
      <c r="C14592" s="433" t="s">
        <v>26230</v>
      </c>
      <c r="D14592" s="434">
        <v>2075.75</v>
      </c>
      <c r="E14592" s="434">
        <v>1558.62</v>
      </c>
      <c r="F14592" s="434">
        <v>365.3</v>
      </c>
      <c r="G14592" s="434">
        <v>151.83000000000001</v>
      </c>
      <c r="H14592" s="435">
        <v>20985.4</v>
      </c>
      <c r="I14592" s="435">
        <v>17924.759999999998</v>
      </c>
      <c r="J14592" s="435">
        <v>2013.89</v>
      </c>
      <c r="K14592" s="435">
        <v>1046.75</v>
      </c>
      <c r="L14592" s="43">
        <v>10.109791641575335</v>
      </c>
      <c r="M14592" s="43">
        <v>11.500404203718674</v>
      </c>
      <c r="N14592" s="43">
        <v>5.5129756364631808</v>
      </c>
      <c r="O14592" s="43">
        <v>6.8942238029374954</v>
      </c>
      <c r="P14592" s="436"/>
      <c r="Q14592" s="436"/>
      <c r="R14592" s="436">
        <v>2</v>
      </c>
    </row>
    <row r="14593" spans="1:18" ht="24">
      <c r="A14593" s="432">
        <v>46</v>
      </c>
      <c r="B14593" s="429" t="s">
        <v>26231</v>
      </c>
      <c r="C14593" s="433" t="s">
        <v>26232</v>
      </c>
      <c r="D14593" s="434">
        <v>3020.94</v>
      </c>
      <c r="E14593" s="434">
        <v>2300.8200000000002</v>
      </c>
      <c r="F14593" s="434">
        <v>536.35</v>
      </c>
      <c r="G14593" s="434">
        <v>183.77</v>
      </c>
      <c r="H14593" s="435">
        <v>30717.759999999998</v>
      </c>
      <c r="I14593" s="435">
        <v>26460.36</v>
      </c>
      <c r="J14593" s="435">
        <v>2962.76</v>
      </c>
      <c r="K14593" s="435">
        <v>1294.6400000000001</v>
      </c>
      <c r="L14593" s="43">
        <v>10.168278747674565</v>
      </c>
      <c r="M14593" s="43">
        <v>11.500404203718674</v>
      </c>
      <c r="N14593" s="43">
        <v>5.5239302694136292</v>
      </c>
      <c r="O14593" s="43">
        <v>7.0448930728628181</v>
      </c>
      <c r="P14593" s="436"/>
      <c r="Q14593" s="436"/>
      <c r="R14593" s="436">
        <v>2</v>
      </c>
    </row>
    <row r="14594" spans="1:18" ht="24">
      <c r="A14594" s="432">
        <v>47</v>
      </c>
      <c r="B14594" s="429" t="s">
        <v>26233</v>
      </c>
      <c r="C14594" s="433" t="s">
        <v>26234</v>
      </c>
      <c r="D14594" s="434">
        <v>4878.32</v>
      </c>
      <c r="E14594" s="434">
        <v>2560.59</v>
      </c>
      <c r="F14594" s="434">
        <v>449.75</v>
      </c>
      <c r="G14594" s="434">
        <v>1867.98</v>
      </c>
      <c r="H14594" s="435">
        <v>40651.93</v>
      </c>
      <c r="I14594" s="435">
        <v>29447.82</v>
      </c>
      <c r="J14594" s="435">
        <v>2494.88</v>
      </c>
      <c r="K14594" s="435">
        <v>8709.23</v>
      </c>
      <c r="L14594" s="43">
        <v>8.3331823250627277</v>
      </c>
      <c r="M14594" s="43">
        <v>11.500404203718674</v>
      </c>
      <c r="N14594" s="43">
        <v>5.5472595886603671</v>
      </c>
      <c r="O14594" s="43">
        <v>4.6623786121907083</v>
      </c>
      <c r="P14594" s="436"/>
      <c r="Q14594" s="436"/>
      <c r="R14594" s="436">
        <v>2</v>
      </c>
    </row>
    <row r="14595" spans="1:18" ht="24">
      <c r="A14595" s="432">
        <v>48</v>
      </c>
      <c r="B14595" s="429" t="s">
        <v>26235</v>
      </c>
      <c r="C14595" s="433" t="s">
        <v>26236</v>
      </c>
      <c r="D14595" s="434">
        <v>5350.1</v>
      </c>
      <c r="E14595" s="434">
        <v>2956.43</v>
      </c>
      <c r="F14595" s="434">
        <v>507.16</v>
      </c>
      <c r="G14595" s="434">
        <v>1886.51</v>
      </c>
      <c r="H14595" s="435">
        <v>45698.87</v>
      </c>
      <c r="I14595" s="435">
        <v>34000.14</v>
      </c>
      <c r="J14595" s="435">
        <v>2805.45</v>
      </c>
      <c r="K14595" s="435">
        <v>8893.2800000000007</v>
      </c>
      <c r="L14595" s="43">
        <v>8.5416852021457537</v>
      </c>
      <c r="M14595" s="43">
        <v>11.500404203718675</v>
      </c>
      <c r="N14595" s="43">
        <v>5.5316862528590578</v>
      </c>
      <c r="O14595" s="43">
        <v>4.7141441073728743</v>
      </c>
      <c r="P14595" s="436"/>
      <c r="Q14595" s="436"/>
      <c r="R14595" s="436">
        <v>2</v>
      </c>
    </row>
    <row r="14596" spans="1:18" ht="24">
      <c r="A14596" s="432">
        <v>49</v>
      </c>
      <c r="B14596" s="429" t="s">
        <v>26237</v>
      </c>
      <c r="C14596" s="433" t="s">
        <v>26238</v>
      </c>
      <c r="D14596" s="434">
        <v>2421.17</v>
      </c>
      <c r="E14596" s="434">
        <v>1669.95</v>
      </c>
      <c r="F14596" s="434">
        <v>457.52</v>
      </c>
      <c r="G14596" s="434">
        <v>293.7</v>
      </c>
      <c r="H14596" s="435">
        <v>24088.95</v>
      </c>
      <c r="I14596" s="435">
        <v>19205.099999999999</v>
      </c>
      <c r="J14596" s="435">
        <v>2562.08</v>
      </c>
      <c r="K14596" s="435">
        <v>2321.77</v>
      </c>
      <c r="L14596" s="43">
        <v>9.9493013708248483</v>
      </c>
      <c r="M14596" s="43">
        <v>11.500404203718674</v>
      </c>
      <c r="N14596" s="43">
        <v>5.5999300577023954</v>
      </c>
      <c r="O14596" s="43">
        <v>7.905243445692884</v>
      </c>
      <c r="P14596" s="436"/>
      <c r="Q14596" s="436"/>
      <c r="R14596" s="436">
        <v>2</v>
      </c>
    </row>
    <row r="14597" spans="1:18" ht="12.75" customHeight="1">
      <c r="A14597" s="628" t="s">
        <v>26239</v>
      </c>
      <c r="B14597" s="629"/>
      <c r="C14597" s="629"/>
      <c r="D14597" s="629"/>
      <c r="E14597" s="629"/>
      <c r="F14597" s="629"/>
      <c r="G14597" s="629"/>
      <c r="H14597" s="629"/>
      <c r="I14597" s="629"/>
      <c r="J14597" s="629"/>
      <c r="K14597" s="629"/>
      <c r="L14597" s="629"/>
      <c r="M14597" s="629"/>
      <c r="N14597" s="629"/>
      <c r="O14597" s="629"/>
      <c r="P14597" s="629"/>
      <c r="Q14597" s="629"/>
      <c r="R14597" s="629"/>
    </row>
    <row r="14598" spans="1:18" ht="24">
      <c r="A14598" s="432">
        <v>50</v>
      </c>
      <c r="B14598" s="429" t="s">
        <v>26240</v>
      </c>
      <c r="C14598" s="433" t="s">
        <v>26241</v>
      </c>
      <c r="D14598" s="434">
        <v>1245.19</v>
      </c>
      <c r="E14598" s="434">
        <v>820.13</v>
      </c>
      <c r="F14598" s="434">
        <v>354.19</v>
      </c>
      <c r="G14598" s="434">
        <v>70.87</v>
      </c>
      <c r="H14598" s="435">
        <v>11949.32</v>
      </c>
      <c r="I14598" s="435">
        <v>9431.84</v>
      </c>
      <c r="J14598" s="435">
        <v>2011.25</v>
      </c>
      <c r="K14598" s="435">
        <v>506.23</v>
      </c>
      <c r="L14598" s="43">
        <v>9.5963828813273473</v>
      </c>
      <c r="M14598" s="43">
        <v>11.500420665016522</v>
      </c>
      <c r="N14598" s="43">
        <v>5.6784494198029307</v>
      </c>
      <c r="O14598" s="43">
        <v>7.1430788768167064</v>
      </c>
      <c r="P14598" s="436"/>
      <c r="Q14598" s="436"/>
      <c r="R14598" s="436">
        <v>3</v>
      </c>
    </row>
    <row r="14599" spans="1:18" ht="12.75" customHeight="1">
      <c r="A14599" s="628" t="s">
        <v>26242</v>
      </c>
      <c r="B14599" s="629"/>
      <c r="C14599" s="629"/>
      <c r="D14599" s="629"/>
      <c r="E14599" s="629"/>
      <c r="F14599" s="629"/>
      <c r="G14599" s="629"/>
      <c r="H14599" s="629"/>
      <c r="I14599" s="629"/>
      <c r="J14599" s="629"/>
      <c r="K14599" s="629"/>
      <c r="L14599" s="629"/>
      <c r="M14599" s="629"/>
      <c r="N14599" s="629"/>
      <c r="O14599" s="629"/>
      <c r="P14599" s="629"/>
      <c r="Q14599" s="629"/>
      <c r="R14599" s="629"/>
    </row>
    <row r="14600" spans="1:18" ht="24">
      <c r="A14600" s="432">
        <v>51</v>
      </c>
      <c r="B14600" s="429" t="s">
        <v>26243</v>
      </c>
      <c r="C14600" s="433" t="s">
        <v>26244</v>
      </c>
      <c r="D14600" s="434">
        <v>665.16</v>
      </c>
      <c r="E14600" s="434">
        <v>411.92</v>
      </c>
      <c r="F14600" s="434">
        <v>142.94999999999999</v>
      </c>
      <c r="G14600" s="434">
        <v>110.29</v>
      </c>
      <c r="H14600" s="435">
        <v>6143.77</v>
      </c>
      <c r="I14600" s="435">
        <v>4737.26</v>
      </c>
      <c r="J14600" s="435">
        <v>821.14</v>
      </c>
      <c r="K14600" s="435">
        <v>585.37</v>
      </c>
      <c r="L14600" s="43">
        <v>9.2365295567983647</v>
      </c>
      <c r="M14600" s="43">
        <v>11.50043697805399</v>
      </c>
      <c r="N14600" s="43">
        <v>5.7442462399440366</v>
      </c>
      <c r="O14600" s="43">
        <v>5.3075528153051046</v>
      </c>
      <c r="P14600" s="436"/>
      <c r="Q14600" s="436"/>
      <c r="R14600" s="436">
        <v>4</v>
      </c>
    </row>
    <row r="14601" spans="1:18" ht="24">
      <c r="A14601" s="432">
        <v>52</v>
      </c>
      <c r="B14601" s="429" t="s">
        <v>26245</v>
      </c>
      <c r="C14601" s="433" t="s">
        <v>26246</v>
      </c>
      <c r="D14601" s="434">
        <v>1137.3599999999999</v>
      </c>
      <c r="E14601" s="434">
        <v>853.53</v>
      </c>
      <c r="F14601" s="434">
        <v>211.35</v>
      </c>
      <c r="G14601" s="434">
        <v>72.48</v>
      </c>
      <c r="H14601" s="435">
        <v>11537.47</v>
      </c>
      <c r="I14601" s="435">
        <v>9815.94</v>
      </c>
      <c r="J14601" s="435">
        <v>1190.5999999999999</v>
      </c>
      <c r="K14601" s="435">
        <v>530.92999999999995</v>
      </c>
      <c r="L14601" s="43">
        <v>10.144079271294929</v>
      </c>
      <c r="M14601" s="43">
        <v>11.500404203718675</v>
      </c>
      <c r="N14601" s="43">
        <v>5.6333096758930683</v>
      </c>
      <c r="O14601" s="43">
        <v>7.3251931567328912</v>
      </c>
      <c r="P14601" s="436"/>
      <c r="Q14601" s="436"/>
      <c r="R14601" s="436">
        <v>4</v>
      </c>
    </row>
    <row r="14602" spans="1:18" ht="12.75" customHeight="1">
      <c r="A14602" s="628" t="s">
        <v>26247</v>
      </c>
      <c r="B14602" s="629"/>
      <c r="C14602" s="629"/>
      <c r="D14602" s="629"/>
      <c r="E14602" s="629"/>
      <c r="F14602" s="629"/>
      <c r="G14602" s="629"/>
      <c r="H14602" s="629"/>
      <c r="I14602" s="629"/>
      <c r="J14602" s="629"/>
      <c r="K14602" s="629"/>
      <c r="L14602" s="629"/>
      <c r="M14602" s="629"/>
      <c r="N14602" s="629"/>
      <c r="O14602" s="629"/>
      <c r="P14602" s="629"/>
      <c r="Q14602" s="629"/>
      <c r="R14602" s="629"/>
    </row>
    <row r="14603" spans="1:18" ht="24">
      <c r="A14603" s="432">
        <v>53</v>
      </c>
      <c r="B14603" s="429" t="s">
        <v>26248</v>
      </c>
      <c r="C14603" s="433" t="s">
        <v>26249</v>
      </c>
      <c r="D14603" s="434">
        <v>1843.05</v>
      </c>
      <c r="E14603" s="434">
        <v>1335.96</v>
      </c>
      <c r="F14603" s="434">
        <v>368.72</v>
      </c>
      <c r="G14603" s="434">
        <v>138.37</v>
      </c>
      <c r="H14603" s="435">
        <v>18267.63</v>
      </c>
      <c r="I14603" s="435">
        <v>15364.08</v>
      </c>
      <c r="J14603" s="435">
        <v>2059.65</v>
      </c>
      <c r="K14603" s="435">
        <v>843.9</v>
      </c>
      <c r="L14603" s="43">
        <v>9.9116301782371625</v>
      </c>
      <c r="M14603" s="43">
        <v>11.500404203718674</v>
      </c>
      <c r="N14603" s="43">
        <v>5.5859459752657843</v>
      </c>
      <c r="O14603" s="43">
        <v>6.0988653609886532</v>
      </c>
      <c r="P14603" s="436"/>
      <c r="Q14603" s="436"/>
      <c r="R14603" s="436">
        <v>5</v>
      </c>
    </row>
    <row r="14604" spans="1:18" ht="12.75" customHeight="1">
      <c r="A14604" s="628" t="s">
        <v>26250</v>
      </c>
      <c r="B14604" s="629"/>
      <c r="C14604" s="629"/>
      <c r="D14604" s="629"/>
      <c r="E14604" s="629"/>
      <c r="F14604" s="629"/>
      <c r="G14604" s="629"/>
      <c r="H14604" s="629"/>
      <c r="I14604" s="629"/>
      <c r="J14604" s="629"/>
      <c r="K14604" s="629"/>
      <c r="L14604" s="629"/>
      <c r="M14604" s="629"/>
      <c r="N14604" s="629"/>
      <c r="O14604" s="629"/>
      <c r="P14604" s="629"/>
      <c r="Q14604" s="629"/>
      <c r="R14604" s="629"/>
    </row>
    <row r="14605" spans="1:18" ht="24">
      <c r="A14605" s="432">
        <v>54</v>
      </c>
      <c r="B14605" s="429" t="s">
        <v>26251</v>
      </c>
      <c r="C14605" s="433" t="s">
        <v>26252</v>
      </c>
      <c r="D14605" s="434">
        <v>1000.95</v>
      </c>
      <c r="E14605" s="434">
        <v>595.36</v>
      </c>
      <c r="F14605" s="434">
        <v>252.66</v>
      </c>
      <c r="G14605" s="434">
        <v>152.93</v>
      </c>
      <c r="H14605" s="435">
        <v>9196.6299999999992</v>
      </c>
      <c r="I14605" s="435">
        <v>6846.64</v>
      </c>
      <c r="J14605" s="435">
        <v>1408.22</v>
      </c>
      <c r="K14605" s="435">
        <v>941.77</v>
      </c>
      <c r="L14605" s="43">
        <v>9.1879014935810961</v>
      </c>
      <c r="M14605" s="43">
        <v>11.5</v>
      </c>
      <c r="N14605" s="43">
        <v>5.5735771392385027</v>
      </c>
      <c r="O14605" s="43">
        <v>6.1581769436997318</v>
      </c>
      <c r="P14605" s="436"/>
      <c r="Q14605" s="436"/>
      <c r="R14605" s="436">
        <v>6</v>
      </c>
    </row>
    <row r="14606" spans="1:18" ht="24">
      <c r="A14606" s="432">
        <v>55</v>
      </c>
      <c r="B14606" s="429" t="s">
        <v>26253</v>
      </c>
      <c r="C14606" s="433" t="s">
        <v>26254</v>
      </c>
      <c r="D14606" s="434">
        <v>1506.86</v>
      </c>
      <c r="E14606" s="434">
        <v>1022.36</v>
      </c>
      <c r="F14606" s="434">
        <v>345.93</v>
      </c>
      <c r="G14606" s="434">
        <v>138.57</v>
      </c>
      <c r="H14606" s="435">
        <v>14625.72</v>
      </c>
      <c r="I14606" s="435">
        <v>11757.14</v>
      </c>
      <c r="J14606" s="435">
        <v>1935.55</v>
      </c>
      <c r="K14606" s="435">
        <v>933.03</v>
      </c>
      <c r="L14606" s="43">
        <v>9.7060908113560647</v>
      </c>
      <c r="M14606" s="43">
        <v>11.5</v>
      </c>
      <c r="N14606" s="43">
        <v>5.5952071228283176</v>
      </c>
      <c r="O14606" s="43">
        <v>6.7332756007793897</v>
      </c>
      <c r="P14606" s="436"/>
      <c r="Q14606" s="436"/>
      <c r="R14606" s="436">
        <v>6</v>
      </c>
    </row>
    <row r="14607" spans="1:18" ht="24">
      <c r="A14607" s="432">
        <v>56</v>
      </c>
      <c r="B14607" s="429" t="s">
        <v>26255</v>
      </c>
      <c r="C14607" s="433" t="s">
        <v>26256</v>
      </c>
      <c r="D14607" s="434">
        <v>1988.41</v>
      </c>
      <c r="E14607" s="434">
        <v>1216.3399999999999</v>
      </c>
      <c r="F14607" s="434">
        <v>457.99</v>
      </c>
      <c r="G14607" s="434">
        <v>314.08</v>
      </c>
      <c r="H14607" s="435">
        <v>18457.990000000002</v>
      </c>
      <c r="I14607" s="435">
        <v>13987.91</v>
      </c>
      <c r="J14607" s="435">
        <v>2564.1</v>
      </c>
      <c r="K14607" s="435">
        <v>1905.98</v>
      </c>
      <c r="L14607" s="43">
        <v>9.2827887608692379</v>
      </c>
      <c r="M14607" s="43">
        <v>11.5</v>
      </c>
      <c r="N14607" s="43">
        <v>5.5985938557610426</v>
      </c>
      <c r="O14607" s="43">
        <v>6.0684538970962816</v>
      </c>
      <c r="P14607" s="436"/>
      <c r="Q14607" s="436"/>
      <c r="R14607" s="436">
        <v>6</v>
      </c>
    </row>
    <row r="14608" spans="1:18" ht="24">
      <c r="A14608" s="432">
        <v>57</v>
      </c>
      <c r="B14608" s="429" t="s">
        <v>26257</v>
      </c>
      <c r="C14608" s="433" t="s">
        <v>26258</v>
      </c>
      <c r="D14608" s="434">
        <v>1245.74</v>
      </c>
      <c r="E14608" s="434">
        <v>667.34</v>
      </c>
      <c r="F14608" s="434">
        <v>284.27999999999997</v>
      </c>
      <c r="G14608" s="434">
        <v>294.12</v>
      </c>
      <c r="H14608" s="435">
        <v>10888.47</v>
      </c>
      <c r="I14608" s="435">
        <v>7674.41</v>
      </c>
      <c r="J14608" s="435">
        <v>1604.04</v>
      </c>
      <c r="K14608" s="435">
        <v>1610.02</v>
      </c>
      <c r="L14608" s="43">
        <v>8.7405638415720777</v>
      </c>
      <c r="M14608" s="43">
        <v>11.5</v>
      </c>
      <c r="N14608" s="43">
        <v>5.6424651751794013</v>
      </c>
      <c r="O14608" s="43">
        <v>5.4740242078063375</v>
      </c>
      <c r="P14608" s="436"/>
      <c r="Q14608" s="436"/>
      <c r="R14608" s="436">
        <v>6</v>
      </c>
    </row>
    <row r="14609" spans="1:18" ht="24">
      <c r="A14609" s="432">
        <v>58</v>
      </c>
      <c r="B14609" s="429" t="s">
        <v>26259</v>
      </c>
      <c r="C14609" s="433" t="s">
        <v>26260</v>
      </c>
      <c r="D14609" s="434">
        <v>1080.8</v>
      </c>
      <c r="E14609" s="434">
        <v>634.4</v>
      </c>
      <c r="F14609" s="434">
        <v>237.92</v>
      </c>
      <c r="G14609" s="434">
        <v>208.48</v>
      </c>
      <c r="H14609" s="435">
        <v>9708.73</v>
      </c>
      <c r="I14609" s="435">
        <v>7295.6</v>
      </c>
      <c r="J14609" s="435">
        <v>1333.78</v>
      </c>
      <c r="K14609" s="435">
        <v>1079.3499999999999</v>
      </c>
      <c r="L14609" s="43">
        <v>8.9829108068097714</v>
      </c>
      <c r="M14609" s="43">
        <v>11.500000000000002</v>
      </c>
      <c r="N14609" s="43">
        <v>5.6060020174848688</v>
      </c>
      <c r="O14609" s="43">
        <v>5.1772352264006134</v>
      </c>
      <c r="P14609" s="436"/>
      <c r="Q14609" s="436"/>
      <c r="R14609" s="436">
        <v>6</v>
      </c>
    </row>
    <row r="14610" spans="1:18" ht="12.75" customHeight="1">
      <c r="A14610" s="628" t="s">
        <v>26261</v>
      </c>
      <c r="B14610" s="629"/>
      <c r="C14610" s="629"/>
      <c r="D14610" s="629"/>
      <c r="E14610" s="629"/>
      <c r="F14610" s="629"/>
      <c r="G14610" s="629"/>
      <c r="H14610" s="629"/>
      <c r="I14610" s="629"/>
      <c r="J14610" s="629"/>
      <c r="K14610" s="629"/>
      <c r="L14610" s="629"/>
      <c r="M14610" s="629"/>
      <c r="N14610" s="629"/>
      <c r="O14610" s="629"/>
      <c r="P14610" s="629"/>
      <c r="Q14610" s="629"/>
      <c r="R14610" s="629"/>
    </row>
    <row r="14611" spans="1:18" ht="24">
      <c r="A14611" s="432">
        <v>59</v>
      </c>
      <c r="B14611" s="429" t="s">
        <v>26262</v>
      </c>
      <c r="C14611" s="433" t="s">
        <v>26263</v>
      </c>
      <c r="D14611" s="434">
        <v>1094.19</v>
      </c>
      <c r="E14611" s="434">
        <v>675.4</v>
      </c>
      <c r="F14611" s="434">
        <v>222.26</v>
      </c>
      <c r="G14611" s="434">
        <v>196.53</v>
      </c>
      <c r="H14611" s="435">
        <v>10036.84</v>
      </c>
      <c r="I14611" s="435">
        <v>7767.4</v>
      </c>
      <c r="J14611" s="435">
        <v>1249.06</v>
      </c>
      <c r="K14611" s="435">
        <v>1020.38</v>
      </c>
      <c r="L14611" s="43">
        <v>9.1728493223297605</v>
      </c>
      <c r="M14611" s="43">
        <v>11.500444181225941</v>
      </c>
      <c r="N14611" s="43">
        <v>5.6198146315126429</v>
      </c>
      <c r="O14611" s="43">
        <v>5.1919808680608561</v>
      </c>
      <c r="P14611" s="436"/>
      <c r="Q14611" s="436"/>
      <c r="R14611" s="436">
        <v>7</v>
      </c>
    </row>
    <row r="14612" spans="1:18" ht="12.75" customHeight="1">
      <c r="A14612" s="628" t="s">
        <v>26264</v>
      </c>
      <c r="B14612" s="629"/>
      <c r="C14612" s="629"/>
      <c r="D14612" s="629"/>
      <c r="E14612" s="629"/>
      <c r="F14612" s="629"/>
      <c r="G14612" s="629"/>
      <c r="H14612" s="629"/>
      <c r="I14612" s="629"/>
      <c r="J14612" s="629"/>
      <c r="K14612" s="629"/>
      <c r="L14612" s="629"/>
      <c r="M14612" s="629"/>
      <c r="N14612" s="629"/>
      <c r="O14612" s="629"/>
      <c r="P14612" s="629"/>
      <c r="Q14612" s="629"/>
      <c r="R14612" s="629"/>
    </row>
    <row r="14613" spans="1:18" ht="24">
      <c r="A14613" s="432">
        <v>60</v>
      </c>
      <c r="B14613" s="429" t="s">
        <v>26265</v>
      </c>
      <c r="C14613" s="433" t="s">
        <v>26266</v>
      </c>
      <c r="D14613" s="434">
        <v>1428.37</v>
      </c>
      <c r="E14613" s="434">
        <v>831.26</v>
      </c>
      <c r="F14613" s="434">
        <v>378.62</v>
      </c>
      <c r="G14613" s="434">
        <v>218.49</v>
      </c>
      <c r="H14613" s="435">
        <v>12913.55</v>
      </c>
      <c r="I14613" s="435">
        <v>9559.8700000000008</v>
      </c>
      <c r="J14613" s="435">
        <v>2167.42</v>
      </c>
      <c r="K14613" s="435">
        <v>1186.26</v>
      </c>
      <c r="L14613" s="43">
        <v>9.0407597471243442</v>
      </c>
      <c r="M14613" s="43">
        <v>11.500457137357747</v>
      </c>
      <c r="N14613" s="43">
        <v>5.7245259098832602</v>
      </c>
      <c r="O14613" s="43">
        <v>5.4293560346011258</v>
      </c>
      <c r="P14613" s="436"/>
      <c r="Q14613" s="436"/>
      <c r="R14613" s="436">
        <v>8</v>
      </c>
    </row>
    <row r="14614" spans="1:18" ht="12.75" customHeight="1">
      <c r="A14614" s="628" t="s">
        <v>2383</v>
      </c>
      <c r="B14614" s="629"/>
      <c r="C14614" s="629"/>
      <c r="D14614" s="629"/>
      <c r="E14614" s="629"/>
      <c r="F14614" s="629"/>
      <c r="G14614" s="629"/>
      <c r="H14614" s="629"/>
      <c r="I14614" s="629"/>
      <c r="J14614" s="629"/>
      <c r="K14614" s="629"/>
      <c r="L14614" s="629"/>
      <c r="M14614" s="629"/>
      <c r="N14614" s="629"/>
      <c r="O14614" s="629"/>
      <c r="P14614" s="629"/>
      <c r="Q14614" s="629"/>
      <c r="R14614" s="629"/>
    </row>
    <row r="14615" spans="1:18" ht="24">
      <c r="A14615" s="432">
        <v>61</v>
      </c>
      <c r="B14615" s="429" t="s">
        <v>26267</v>
      </c>
      <c r="C14615" s="433" t="s">
        <v>26268</v>
      </c>
      <c r="D14615" s="434">
        <v>1080.78</v>
      </c>
      <c r="E14615" s="434">
        <v>765.67</v>
      </c>
      <c r="F14615" s="434">
        <v>231.92</v>
      </c>
      <c r="G14615" s="434">
        <v>83.19</v>
      </c>
      <c r="H14615" s="435">
        <v>10769.38</v>
      </c>
      <c r="I14615" s="435">
        <v>8805.25</v>
      </c>
      <c r="J14615" s="435">
        <v>1302.23</v>
      </c>
      <c r="K14615" s="435">
        <v>661.9</v>
      </c>
      <c r="L14615" s="43">
        <v>9.9644515997705359</v>
      </c>
      <c r="M14615" s="43">
        <v>11.500058772055848</v>
      </c>
      <c r="N14615" s="43">
        <v>5.6149965505346673</v>
      </c>
      <c r="O14615" s="43">
        <v>7.9564851544656809</v>
      </c>
      <c r="P14615" s="436"/>
      <c r="Q14615" s="436"/>
      <c r="R14615" s="436">
        <v>9</v>
      </c>
    </row>
    <row r="14616" spans="1:18" ht="24">
      <c r="A14616" s="432">
        <v>62</v>
      </c>
      <c r="B14616" s="429" t="s">
        <v>26269</v>
      </c>
      <c r="C14616" s="433" t="s">
        <v>26270</v>
      </c>
      <c r="D14616" s="434">
        <v>1853.74</v>
      </c>
      <c r="E14616" s="434">
        <v>1238.06</v>
      </c>
      <c r="F14616" s="434">
        <v>417.38</v>
      </c>
      <c r="G14616" s="434">
        <v>198.3</v>
      </c>
      <c r="H14616" s="435">
        <v>18244.12</v>
      </c>
      <c r="I14616" s="435">
        <v>14237.69</v>
      </c>
      <c r="J14616" s="435">
        <v>2320.85</v>
      </c>
      <c r="K14616" s="435">
        <v>1685.58</v>
      </c>
      <c r="L14616" s="43">
        <v>9.841790110803025</v>
      </c>
      <c r="M14616" s="43">
        <v>11.500000000000002</v>
      </c>
      <c r="N14616" s="43">
        <v>5.5605203890938713</v>
      </c>
      <c r="O14616" s="43">
        <v>8.5001512859304071</v>
      </c>
      <c r="P14616" s="436"/>
      <c r="Q14616" s="436"/>
      <c r="R14616" s="436">
        <v>9</v>
      </c>
    </row>
    <row r="14617" spans="1:18" ht="24">
      <c r="A14617" s="432">
        <v>63</v>
      </c>
      <c r="B14617" s="429" t="s">
        <v>26271</v>
      </c>
      <c r="C14617" s="433" t="s">
        <v>26272</v>
      </c>
      <c r="D14617" s="434">
        <v>2103.17</v>
      </c>
      <c r="E14617" s="434">
        <v>1334.22</v>
      </c>
      <c r="F14617" s="434">
        <v>430.01</v>
      </c>
      <c r="G14617" s="434">
        <v>338.94</v>
      </c>
      <c r="H14617" s="435">
        <v>20653.82</v>
      </c>
      <c r="I14617" s="435">
        <v>15343.53</v>
      </c>
      <c r="J14617" s="435">
        <v>2386.79</v>
      </c>
      <c r="K14617" s="435">
        <v>2923.5</v>
      </c>
      <c r="L14617" s="43">
        <v>9.8203283614733952</v>
      </c>
      <c r="M14617" s="43">
        <v>11.5</v>
      </c>
      <c r="N14617" s="43">
        <v>5.5505453361549728</v>
      </c>
      <c r="O14617" s="43">
        <v>8.6254204283944063</v>
      </c>
      <c r="P14617" s="436"/>
      <c r="Q14617" s="436"/>
      <c r="R14617" s="436">
        <v>9</v>
      </c>
    </row>
    <row r="14618" spans="1:18" ht="24">
      <c r="A14618" s="432">
        <v>64</v>
      </c>
      <c r="B14618" s="429" t="s">
        <v>26273</v>
      </c>
      <c r="C14618" s="433" t="s">
        <v>26274</v>
      </c>
      <c r="D14618" s="434">
        <v>2890.94</v>
      </c>
      <c r="E14618" s="434">
        <v>1790.98</v>
      </c>
      <c r="F14618" s="434">
        <v>524.08000000000004</v>
      </c>
      <c r="G14618" s="434">
        <v>575.88</v>
      </c>
      <c r="H14618" s="435">
        <v>28514.080000000002</v>
      </c>
      <c r="I14618" s="435">
        <v>20596.27</v>
      </c>
      <c r="J14618" s="435">
        <v>2892.6</v>
      </c>
      <c r="K14618" s="435">
        <v>5025.21</v>
      </c>
      <c r="L14618" s="43">
        <v>9.8632555500978931</v>
      </c>
      <c r="M14618" s="43">
        <v>11.5</v>
      </c>
      <c r="N14618" s="43">
        <v>5.5193863532285139</v>
      </c>
      <c r="O14618" s="43">
        <v>8.7261408626797259</v>
      </c>
      <c r="P14618" s="436"/>
      <c r="Q14618" s="436"/>
      <c r="R14618" s="436">
        <v>9</v>
      </c>
    </row>
    <row r="14619" spans="1:18" ht="12.75" customHeight="1">
      <c r="A14619" s="628" t="s">
        <v>26275</v>
      </c>
      <c r="B14619" s="629"/>
      <c r="C14619" s="629"/>
      <c r="D14619" s="629"/>
      <c r="E14619" s="629"/>
      <c r="F14619" s="629"/>
      <c r="G14619" s="629"/>
      <c r="H14619" s="629"/>
      <c r="I14619" s="629"/>
      <c r="J14619" s="629"/>
      <c r="K14619" s="629"/>
      <c r="L14619" s="629"/>
      <c r="M14619" s="629"/>
      <c r="N14619" s="629"/>
      <c r="O14619" s="629"/>
      <c r="P14619" s="629"/>
      <c r="Q14619" s="629"/>
      <c r="R14619" s="629"/>
    </row>
    <row r="14620" spans="1:18" ht="36">
      <c r="A14620" s="432">
        <v>65</v>
      </c>
      <c r="B14620" s="429" t="s">
        <v>26276</v>
      </c>
      <c r="C14620" s="433" t="s">
        <v>26277</v>
      </c>
      <c r="D14620" s="434">
        <v>7406.05</v>
      </c>
      <c r="E14620" s="434">
        <v>4343.2</v>
      </c>
      <c r="F14620" s="434">
        <v>1973</v>
      </c>
      <c r="G14620" s="434">
        <v>1089.8499999999999</v>
      </c>
      <c r="H14620" s="435">
        <v>68400.289999999994</v>
      </c>
      <c r="I14620" s="435">
        <v>49946.8</v>
      </c>
      <c r="J14620" s="435">
        <v>10712.8</v>
      </c>
      <c r="K14620" s="435">
        <v>7740.69</v>
      </c>
      <c r="L14620" s="43">
        <v>9.235731597815299</v>
      </c>
      <c r="M14620" s="43">
        <v>11.500000000000002</v>
      </c>
      <c r="N14620" s="43">
        <v>5.4297009630005064</v>
      </c>
      <c r="O14620" s="43">
        <v>7.1025278708079096</v>
      </c>
      <c r="P14620" s="436"/>
      <c r="Q14620" s="436"/>
      <c r="R14620" s="436">
        <v>10</v>
      </c>
    </row>
    <row r="14621" spans="1:18" ht="24">
      <c r="A14621" s="432">
        <v>66</v>
      </c>
      <c r="B14621" s="429" t="s">
        <v>26278</v>
      </c>
      <c r="C14621" s="433" t="s">
        <v>26279</v>
      </c>
      <c r="D14621" s="434">
        <v>1250.3800000000001</v>
      </c>
      <c r="E14621" s="434">
        <v>789.34</v>
      </c>
      <c r="F14621" s="434">
        <v>221.58</v>
      </c>
      <c r="G14621" s="434">
        <v>239.46</v>
      </c>
      <c r="H14621" s="435">
        <v>11950.59</v>
      </c>
      <c r="I14621" s="435">
        <v>9077.41</v>
      </c>
      <c r="J14621" s="435">
        <v>1246.18</v>
      </c>
      <c r="K14621" s="435">
        <v>1627</v>
      </c>
      <c r="L14621" s="43">
        <v>9.5575664997840644</v>
      </c>
      <c r="M14621" s="43">
        <v>11.5</v>
      </c>
      <c r="N14621" s="43">
        <v>5.6240635436411228</v>
      </c>
      <c r="O14621" s="43">
        <v>6.7944541885909961</v>
      </c>
      <c r="P14621" s="436"/>
      <c r="Q14621" s="436"/>
      <c r="R14621" s="436">
        <v>10</v>
      </c>
    </row>
    <row r="14622" spans="1:18" ht="12.75" customHeight="1">
      <c r="A14622" s="628" t="s">
        <v>26280</v>
      </c>
      <c r="B14622" s="629"/>
      <c r="C14622" s="629"/>
      <c r="D14622" s="629"/>
      <c r="E14622" s="629"/>
      <c r="F14622" s="629"/>
      <c r="G14622" s="629"/>
      <c r="H14622" s="629"/>
      <c r="I14622" s="629"/>
      <c r="J14622" s="629"/>
      <c r="K14622" s="629"/>
      <c r="L14622" s="629"/>
      <c r="M14622" s="629"/>
      <c r="N14622" s="629"/>
      <c r="O14622" s="629"/>
      <c r="P14622" s="629"/>
      <c r="Q14622" s="629"/>
      <c r="R14622" s="629"/>
    </row>
    <row r="14623" spans="1:18" ht="24">
      <c r="A14623" s="432">
        <v>67</v>
      </c>
      <c r="B14623" s="429" t="s">
        <v>26281</v>
      </c>
      <c r="C14623" s="433" t="s">
        <v>26282</v>
      </c>
      <c r="D14623" s="434">
        <v>861.78</v>
      </c>
      <c r="E14623" s="434">
        <v>513.02</v>
      </c>
      <c r="F14623" s="434">
        <v>239.97</v>
      </c>
      <c r="G14623" s="434">
        <v>108.79</v>
      </c>
      <c r="H14623" s="435">
        <v>7902.95</v>
      </c>
      <c r="I14623" s="435">
        <v>5899.95</v>
      </c>
      <c r="J14623" s="435">
        <v>1370.5</v>
      </c>
      <c r="K14623" s="435">
        <v>632.5</v>
      </c>
      <c r="L14623" s="43">
        <v>9.1704959502425218</v>
      </c>
      <c r="M14623" s="43">
        <v>11.500428833183891</v>
      </c>
      <c r="N14623" s="43">
        <v>5.7111305579864151</v>
      </c>
      <c r="O14623" s="43">
        <v>5.8139534883720927</v>
      </c>
      <c r="P14623" s="436"/>
      <c r="Q14623" s="436"/>
      <c r="R14623" s="436">
        <v>11</v>
      </c>
    </row>
    <row r="14624" spans="1:18" ht="24">
      <c r="A14624" s="432">
        <v>68</v>
      </c>
      <c r="B14624" s="429" t="s">
        <v>26283</v>
      </c>
      <c r="C14624" s="433" t="s">
        <v>26284</v>
      </c>
      <c r="D14624" s="434">
        <v>835.26</v>
      </c>
      <c r="E14624" s="434">
        <v>520.76</v>
      </c>
      <c r="F14624" s="434">
        <v>238.89</v>
      </c>
      <c r="G14624" s="434">
        <v>75.61</v>
      </c>
      <c r="H14624" s="435">
        <v>7837.41</v>
      </c>
      <c r="I14624" s="435">
        <v>5988.9</v>
      </c>
      <c r="J14624" s="435">
        <v>1387.97</v>
      </c>
      <c r="K14624" s="435">
        <v>460.54</v>
      </c>
      <c r="L14624" s="43">
        <v>9.3831980461173767</v>
      </c>
      <c r="M14624" s="43">
        <v>11.500307243259851</v>
      </c>
      <c r="N14624" s="43">
        <v>5.8100799531164977</v>
      </c>
      <c r="O14624" s="43">
        <v>6.0909932548604688</v>
      </c>
      <c r="P14624" s="436"/>
      <c r="Q14624" s="436"/>
      <c r="R14624" s="436">
        <v>11</v>
      </c>
    </row>
    <row r="14625" spans="1:18" ht="24">
      <c r="A14625" s="432">
        <v>69</v>
      </c>
      <c r="B14625" s="429" t="s">
        <v>26285</v>
      </c>
      <c r="C14625" s="433" t="s">
        <v>26286</v>
      </c>
      <c r="D14625" s="434">
        <v>1041.8900000000001</v>
      </c>
      <c r="E14625" s="434">
        <v>617.42999999999995</v>
      </c>
      <c r="F14625" s="434">
        <v>293.97000000000003</v>
      </c>
      <c r="G14625" s="434">
        <v>130.49</v>
      </c>
      <c r="H14625" s="435">
        <v>9494.32</v>
      </c>
      <c r="I14625" s="435">
        <v>7100.7</v>
      </c>
      <c r="J14625" s="435">
        <v>1660.36</v>
      </c>
      <c r="K14625" s="435">
        <v>733.26</v>
      </c>
      <c r="L14625" s="43">
        <v>9.1125934599621825</v>
      </c>
      <c r="M14625" s="43">
        <v>11.500413002283659</v>
      </c>
      <c r="N14625" s="43">
        <v>5.6480593257815412</v>
      </c>
      <c r="O14625" s="43">
        <v>5.6192811709709556</v>
      </c>
      <c r="P14625" s="436"/>
      <c r="Q14625" s="436"/>
      <c r="R14625" s="436">
        <v>11</v>
      </c>
    </row>
    <row r="14626" spans="1:18" ht="24">
      <c r="A14626" s="432">
        <v>70</v>
      </c>
      <c r="B14626" s="429" t="s">
        <v>26287</v>
      </c>
      <c r="C14626" s="433" t="s">
        <v>26288</v>
      </c>
      <c r="D14626" s="434">
        <v>817.51</v>
      </c>
      <c r="E14626" s="434">
        <v>455.02</v>
      </c>
      <c r="F14626" s="434">
        <v>223.51</v>
      </c>
      <c r="G14626" s="434">
        <v>138.97999999999999</v>
      </c>
      <c r="H14626" s="435">
        <v>7470.68</v>
      </c>
      <c r="I14626" s="435">
        <v>5232.87</v>
      </c>
      <c r="J14626" s="435">
        <v>1304.46</v>
      </c>
      <c r="K14626" s="435">
        <v>933.35</v>
      </c>
      <c r="L14626" s="43">
        <v>9.1383346992697341</v>
      </c>
      <c r="M14626" s="43">
        <v>11.500307678783351</v>
      </c>
      <c r="N14626" s="43">
        <v>5.8362489374077224</v>
      </c>
      <c r="O14626" s="43">
        <v>6.7157144912937117</v>
      </c>
      <c r="P14626" s="436"/>
      <c r="Q14626" s="436"/>
      <c r="R14626" s="436">
        <v>11</v>
      </c>
    </row>
    <row r="14627" spans="1:18" ht="12.75" customHeight="1">
      <c r="A14627" s="628" t="s">
        <v>26289</v>
      </c>
      <c r="B14627" s="629"/>
      <c r="C14627" s="629"/>
      <c r="D14627" s="629"/>
      <c r="E14627" s="629"/>
      <c r="F14627" s="629"/>
      <c r="G14627" s="629"/>
      <c r="H14627" s="629"/>
      <c r="I14627" s="629"/>
      <c r="J14627" s="629"/>
      <c r="K14627" s="629"/>
      <c r="L14627" s="629"/>
      <c r="M14627" s="629"/>
      <c r="N14627" s="629"/>
      <c r="O14627" s="629"/>
      <c r="P14627" s="629"/>
      <c r="Q14627" s="629"/>
      <c r="R14627" s="629"/>
    </row>
    <row r="14628" spans="1:18" ht="24">
      <c r="A14628" s="432">
        <v>71</v>
      </c>
      <c r="B14628" s="429" t="s">
        <v>26290</v>
      </c>
      <c r="C14628" s="433" t="s">
        <v>26291</v>
      </c>
      <c r="D14628" s="434">
        <v>688.86</v>
      </c>
      <c r="E14628" s="434">
        <v>450.27</v>
      </c>
      <c r="F14628" s="434">
        <v>177.92</v>
      </c>
      <c r="G14628" s="434">
        <v>60.67</v>
      </c>
      <c r="H14628" s="435">
        <v>6631.02</v>
      </c>
      <c r="I14628" s="435">
        <v>5178.26</v>
      </c>
      <c r="J14628" s="435">
        <v>1034.18</v>
      </c>
      <c r="K14628" s="435">
        <v>418.58</v>
      </c>
      <c r="L14628" s="43">
        <v>9.6260778677815519</v>
      </c>
      <c r="M14628" s="43">
        <v>11.500344237901704</v>
      </c>
      <c r="N14628" s="43">
        <v>5.8126124100719432</v>
      </c>
      <c r="O14628" s="43">
        <v>6.8992912477336406</v>
      </c>
      <c r="P14628" s="436"/>
      <c r="Q14628" s="436"/>
      <c r="R14628" s="436">
        <v>12</v>
      </c>
    </row>
    <row r="14629" spans="1:18" ht="24">
      <c r="A14629" s="432">
        <v>72</v>
      </c>
      <c r="B14629" s="429" t="s">
        <v>26292</v>
      </c>
      <c r="C14629" s="433" t="s">
        <v>26293</v>
      </c>
      <c r="D14629" s="434">
        <v>805.53</v>
      </c>
      <c r="E14629" s="434">
        <v>512.12</v>
      </c>
      <c r="F14629" s="434">
        <v>221.04</v>
      </c>
      <c r="G14629" s="434">
        <v>72.37</v>
      </c>
      <c r="H14629" s="435">
        <v>7697.65</v>
      </c>
      <c r="I14629" s="435">
        <v>5889.56</v>
      </c>
      <c r="J14629" s="435">
        <v>1290.94</v>
      </c>
      <c r="K14629" s="435">
        <v>517.15</v>
      </c>
      <c r="L14629" s="43">
        <v>9.5560066043474485</v>
      </c>
      <c r="M14629" s="43">
        <v>11.500351480121846</v>
      </c>
      <c r="N14629" s="43">
        <v>5.8403003981179884</v>
      </c>
      <c r="O14629" s="43">
        <v>7.1459168163603692</v>
      </c>
      <c r="P14629" s="436"/>
      <c r="Q14629" s="436"/>
      <c r="R14629" s="436">
        <v>12</v>
      </c>
    </row>
    <row r="14630" spans="1:18" ht="24">
      <c r="A14630" s="432">
        <v>73</v>
      </c>
      <c r="B14630" s="429" t="s">
        <v>26294</v>
      </c>
      <c r="C14630" s="433" t="s">
        <v>26295</v>
      </c>
      <c r="D14630" s="434">
        <v>995.66</v>
      </c>
      <c r="E14630" s="434">
        <v>674.17</v>
      </c>
      <c r="F14630" s="434">
        <v>244.41</v>
      </c>
      <c r="G14630" s="434">
        <v>77.08</v>
      </c>
      <c r="H14630" s="435">
        <v>9737.91</v>
      </c>
      <c r="I14630" s="435">
        <v>7753.17</v>
      </c>
      <c r="J14630" s="435">
        <v>1417.51</v>
      </c>
      <c r="K14630" s="435">
        <v>567.23</v>
      </c>
      <c r="L14630" s="43">
        <v>9.7803567482875682</v>
      </c>
      <c r="M14630" s="43">
        <v>11.500318910660516</v>
      </c>
      <c r="N14630" s="43">
        <v>5.7997217789779469</v>
      </c>
      <c r="O14630" s="43">
        <v>7.3589776855215367</v>
      </c>
      <c r="P14630" s="436"/>
      <c r="Q14630" s="436"/>
      <c r="R14630" s="436">
        <v>12</v>
      </c>
    </row>
    <row r="14631" spans="1:18" ht="12.75" customHeight="1">
      <c r="A14631" s="628" t="s">
        <v>26296</v>
      </c>
      <c r="B14631" s="629"/>
      <c r="C14631" s="629"/>
      <c r="D14631" s="629"/>
      <c r="E14631" s="629"/>
      <c r="F14631" s="629"/>
      <c r="G14631" s="629"/>
      <c r="H14631" s="629"/>
      <c r="I14631" s="629"/>
      <c r="J14631" s="629"/>
      <c r="K14631" s="629"/>
      <c r="L14631" s="629"/>
      <c r="M14631" s="629"/>
      <c r="N14631" s="629"/>
      <c r="O14631" s="629"/>
      <c r="P14631" s="629"/>
      <c r="Q14631" s="629"/>
      <c r="R14631" s="629"/>
    </row>
    <row r="14632" spans="1:18" ht="24">
      <c r="A14632" s="432">
        <v>74</v>
      </c>
      <c r="B14632" s="429" t="s">
        <v>26297</v>
      </c>
      <c r="C14632" s="433" t="s">
        <v>26298</v>
      </c>
      <c r="D14632" s="434">
        <v>4358.49</v>
      </c>
      <c r="E14632" s="434">
        <v>3062.2</v>
      </c>
      <c r="F14632" s="434">
        <v>677.22</v>
      </c>
      <c r="G14632" s="434">
        <v>619.07000000000005</v>
      </c>
      <c r="H14632" s="435">
        <v>43222.96</v>
      </c>
      <c r="I14632" s="435">
        <v>35215.300000000003</v>
      </c>
      <c r="J14632" s="435">
        <v>3794.21</v>
      </c>
      <c r="K14632" s="435">
        <v>4213.45</v>
      </c>
      <c r="L14632" s="43">
        <v>9.9169574783927459</v>
      </c>
      <c r="M14632" s="43">
        <v>11.500000000000002</v>
      </c>
      <c r="N14632" s="43">
        <v>5.6026254392959451</v>
      </c>
      <c r="O14632" s="43">
        <v>6.8060962411358963</v>
      </c>
      <c r="P14632" s="436"/>
      <c r="Q14632" s="436"/>
      <c r="R14632" s="436">
        <v>13</v>
      </c>
    </row>
    <row r="14633" spans="1:18" ht="12.75" customHeight="1">
      <c r="A14633" s="628" t="s">
        <v>26299</v>
      </c>
      <c r="B14633" s="629"/>
      <c r="C14633" s="629"/>
      <c r="D14633" s="629"/>
      <c r="E14633" s="629"/>
      <c r="F14633" s="629"/>
      <c r="G14633" s="629"/>
      <c r="H14633" s="629"/>
      <c r="I14633" s="629"/>
      <c r="J14633" s="629"/>
      <c r="K14633" s="629"/>
      <c r="L14633" s="629"/>
      <c r="M14633" s="629"/>
      <c r="N14633" s="629"/>
      <c r="O14633" s="629"/>
      <c r="P14633" s="629"/>
      <c r="Q14633" s="629"/>
      <c r="R14633" s="629"/>
    </row>
    <row r="14634" spans="1:18" ht="24">
      <c r="A14634" s="432">
        <v>75</v>
      </c>
      <c r="B14634" s="429" t="s">
        <v>26300</v>
      </c>
      <c r="C14634" s="433" t="s">
        <v>26301</v>
      </c>
      <c r="D14634" s="434">
        <v>8809.1200000000008</v>
      </c>
      <c r="E14634" s="434">
        <v>5929.2</v>
      </c>
      <c r="F14634" s="434">
        <v>1747.02</v>
      </c>
      <c r="G14634" s="434">
        <v>1132.9000000000001</v>
      </c>
      <c r="H14634" s="435">
        <v>84958.51</v>
      </c>
      <c r="I14634" s="435">
        <v>68185.8</v>
      </c>
      <c r="J14634" s="435">
        <v>9763.4</v>
      </c>
      <c r="K14634" s="435">
        <v>7009.31</v>
      </c>
      <c r="L14634" s="43">
        <v>9.6443810505476133</v>
      </c>
      <c r="M14634" s="43">
        <v>11.5</v>
      </c>
      <c r="N14634" s="43">
        <v>5.5886023056404621</v>
      </c>
      <c r="O14634" s="43">
        <v>6.1870509312384145</v>
      </c>
      <c r="P14634" s="436"/>
      <c r="Q14634" s="436"/>
      <c r="R14634" s="436">
        <v>14</v>
      </c>
    </row>
    <row r="14635" spans="1:18" ht="12.75" customHeight="1">
      <c r="A14635" s="628" t="s">
        <v>26302</v>
      </c>
      <c r="B14635" s="629"/>
      <c r="C14635" s="629"/>
      <c r="D14635" s="629"/>
      <c r="E14635" s="629"/>
      <c r="F14635" s="629"/>
      <c r="G14635" s="629"/>
      <c r="H14635" s="629"/>
      <c r="I14635" s="629"/>
      <c r="J14635" s="629"/>
      <c r="K14635" s="629"/>
      <c r="L14635" s="629"/>
      <c r="M14635" s="629"/>
      <c r="N14635" s="629"/>
      <c r="O14635" s="629"/>
      <c r="P14635" s="629"/>
      <c r="Q14635" s="629"/>
      <c r="R14635" s="629"/>
    </row>
    <row r="14636" spans="1:18" ht="24">
      <c r="A14636" s="432">
        <v>76</v>
      </c>
      <c r="B14636" s="429" t="s">
        <v>26303</v>
      </c>
      <c r="C14636" s="433" t="s">
        <v>26304</v>
      </c>
      <c r="D14636" s="434">
        <v>825</v>
      </c>
      <c r="E14636" s="434">
        <v>533.65</v>
      </c>
      <c r="F14636" s="434">
        <v>135.08000000000001</v>
      </c>
      <c r="G14636" s="434">
        <v>156.27000000000001</v>
      </c>
      <c r="H14636" s="435">
        <v>7820.71</v>
      </c>
      <c r="I14636" s="435">
        <v>6137.14</v>
      </c>
      <c r="J14636" s="435">
        <v>778.58</v>
      </c>
      <c r="K14636" s="435">
        <v>904.99</v>
      </c>
      <c r="L14636" s="43">
        <v>9.4796484848484841</v>
      </c>
      <c r="M14636" s="43">
        <v>11.500309191417596</v>
      </c>
      <c r="N14636" s="43">
        <v>5.7638436482084687</v>
      </c>
      <c r="O14636" s="43">
        <v>5.7911947270749344</v>
      </c>
      <c r="P14636" s="436"/>
      <c r="Q14636" s="436"/>
      <c r="R14636" s="436">
        <v>15</v>
      </c>
    </row>
    <row r="14637" spans="1:18" ht="12.75" customHeight="1">
      <c r="A14637" s="628" t="s">
        <v>26305</v>
      </c>
      <c r="B14637" s="629"/>
      <c r="C14637" s="629"/>
      <c r="D14637" s="629"/>
      <c r="E14637" s="629"/>
      <c r="F14637" s="629"/>
      <c r="G14637" s="629"/>
      <c r="H14637" s="629"/>
      <c r="I14637" s="629"/>
      <c r="J14637" s="629"/>
      <c r="K14637" s="629"/>
      <c r="L14637" s="629"/>
      <c r="M14637" s="629"/>
      <c r="N14637" s="629"/>
      <c r="O14637" s="629"/>
      <c r="P14637" s="629"/>
      <c r="Q14637" s="629"/>
      <c r="R14637" s="629"/>
    </row>
    <row r="14638" spans="1:18" ht="24">
      <c r="A14638" s="432">
        <v>77</v>
      </c>
      <c r="B14638" s="429" t="s">
        <v>26306</v>
      </c>
      <c r="C14638" s="433" t="s">
        <v>26307</v>
      </c>
      <c r="D14638" s="434">
        <v>609.91999999999996</v>
      </c>
      <c r="E14638" s="434">
        <v>422.6</v>
      </c>
      <c r="F14638" s="434">
        <v>113.73</v>
      </c>
      <c r="G14638" s="434">
        <v>73.59</v>
      </c>
      <c r="H14638" s="435">
        <v>5946.24</v>
      </c>
      <c r="I14638" s="435">
        <v>4859.88</v>
      </c>
      <c r="J14638" s="435">
        <v>651.11</v>
      </c>
      <c r="K14638" s="435">
        <v>435.25</v>
      </c>
      <c r="L14638" s="43">
        <v>9.7492130115424978</v>
      </c>
      <c r="M14638" s="43">
        <v>11.499952673923332</v>
      </c>
      <c r="N14638" s="43">
        <v>5.7250505583399276</v>
      </c>
      <c r="O14638" s="43">
        <v>5.914526430221497</v>
      </c>
      <c r="P14638" s="436"/>
      <c r="Q14638" s="436"/>
      <c r="R14638" s="436">
        <v>16</v>
      </c>
    </row>
    <row r="14639" spans="1:18" ht="24">
      <c r="A14639" s="432">
        <v>78</v>
      </c>
      <c r="B14639" s="429" t="s">
        <v>26308</v>
      </c>
      <c r="C14639" s="433" t="s">
        <v>26309</v>
      </c>
      <c r="D14639" s="434">
        <v>518.33000000000004</v>
      </c>
      <c r="E14639" s="434">
        <v>354.88</v>
      </c>
      <c r="F14639" s="434">
        <v>100.69</v>
      </c>
      <c r="G14639" s="434">
        <v>62.76</v>
      </c>
      <c r="H14639" s="435">
        <v>5005.09</v>
      </c>
      <c r="I14639" s="435">
        <v>4081.14</v>
      </c>
      <c r="J14639" s="435">
        <v>580.54</v>
      </c>
      <c r="K14639" s="435">
        <v>343.41</v>
      </c>
      <c r="L14639" s="43">
        <v>9.6561842841433059</v>
      </c>
      <c r="M14639" s="43">
        <v>11.500056357078449</v>
      </c>
      <c r="N14639" s="43">
        <v>5.7656172410368454</v>
      </c>
      <c r="O14639" s="43">
        <v>5.471797323135756</v>
      </c>
      <c r="P14639" s="436"/>
      <c r="Q14639" s="436"/>
      <c r="R14639" s="436">
        <v>16</v>
      </c>
    </row>
    <row r="14640" spans="1:18" ht="24">
      <c r="A14640" s="432">
        <v>79</v>
      </c>
      <c r="B14640" s="429" t="s">
        <v>26310</v>
      </c>
      <c r="C14640" s="433" t="s">
        <v>26311</v>
      </c>
      <c r="D14640" s="434">
        <v>485.2</v>
      </c>
      <c r="E14640" s="434">
        <v>307.23</v>
      </c>
      <c r="F14640" s="434">
        <v>113.6</v>
      </c>
      <c r="G14640" s="434">
        <v>64.37</v>
      </c>
      <c r="H14640" s="435">
        <v>4536.78</v>
      </c>
      <c r="I14640" s="435">
        <v>3533.15</v>
      </c>
      <c r="J14640" s="435">
        <v>650.53</v>
      </c>
      <c r="K14640" s="435">
        <v>353.1</v>
      </c>
      <c r="L14640" s="43">
        <v>9.35032976092333</v>
      </c>
      <c r="M14640" s="43">
        <v>11.500016274452364</v>
      </c>
      <c r="N14640" s="43">
        <v>5.7264964788732398</v>
      </c>
      <c r="O14640" s="43">
        <v>5.4854745999689296</v>
      </c>
      <c r="P14640" s="436"/>
      <c r="Q14640" s="436"/>
      <c r="R14640" s="436">
        <v>16</v>
      </c>
    </row>
    <row r="14641" spans="1:18" ht="12.75" customHeight="1">
      <c r="A14641" s="628" t="s">
        <v>26312</v>
      </c>
      <c r="B14641" s="629"/>
      <c r="C14641" s="629"/>
      <c r="D14641" s="629"/>
      <c r="E14641" s="629"/>
      <c r="F14641" s="629"/>
      <c r="G14641" s="629"/>
      <c r="H14641" s="629"/>
      <c r="I14641" s="629"/>
      <c r="J14641" s="629"/>
      <c r="K14641" s="629"/>
      <c r="L14641" s="629"/>
      <c r="M14641" s="629"/>
      <c r="N14641" s="629"/>
      <c r="O14641" s="629"/>
      <c r="P14641" s="629"/>
      <c r="Q14641" s="629"/>
      <c r="R14641" s="629"/>
    </row>
    <row r="14642" spans="1:18" ht="12.75" customHeight="1">
      <c r="A14642" s="628" t="s">
        <v>26313</v>
      </c>
      <c r="B14642" s="629"/>
      <c r="C14642" s="629"/>
      <c r="D14642" s="629"/>
      <c r="E14642" s="629"/>
      <c r="F14642" s="629"/>
      <c r="G14642" s="629"/>
      <c r="H14642" s="629"/>
      <c r="I14642" s="629"/>
      <c r="J14642" s="629"/>
      <c r="K14642" s="629"/>
      <c r="L14642" s="629"/>
      <c r="M14642" s="629"/>
      <c r="N14642" s="629"/>
      <c r="O14642" s="629"/>
      <c r="P14642" s="629"/>
      <c r="Q14642" s="629"/>
      <c r="R14642" s="629"/>
    </row>
    <row r="14643" spans="1:18" ht="24">
      <c r="A14643" s="432">
        <v>80</v>
      </c>
      <c r="B14643" s="429" t="s">
        <v>26314</v>
      </c>
      <c r="C14643" s="433" t="s">
        <v>26315</v>
      </c>
      <c r="D14643" s="434">
        <v>445.34</v>
      </c>
      <c r="E14643" s="434">
        <v>176.22</v>
      </c>
      <c r="F14643" s="434">
        <v>135.08000000000001</v>
      </c>
      <c r="G14643" s="434">
        <v>134.04</v>
      </c>
      <c r="H14643" s="435">
        <v>3365.62</v>
      </c>
      <c r="I14643" s="435">
        <v>2026.57</v>
      </c>
      <c r="J14643" s="435">
        <v>778.58</v>
      </c>
      <c r="K14643" s="435">
        <v>560.47</v>
      </c>
      <c r="L14643" s="43">
        <v>7.557416805137648</v>
      </c>
      <c r="M14643" s="43">
        <v>11.500226988991034</v>
      </c>
      <c r="N14643" s="43">
        <v>5.7638436482084687</v>
      </c>
      <c r="O14643" s="43">
        <v>4.1813637720083561</v>
      </c>
      <c r="P14643" s="436"/>
      <c r="Q14643" s="436"/>
      <c r="R14643" s="436">
        <v>1</v>
      </c>
    </row>
    <row r="14644" spans="1:18" ht="24">
      <c r="A14644" s="432">
        <v>81</v>
      </c>
      <c r="B14644" s="429" t="s">
        <v>26316</v>
      </c>
      <c r="C14644" s="433" t="s">
        <v>26317</v>
      </c>
      <c r="D14644" s="434">
        <v>571.03</v>
      </c>
      <c r="E14644" s="434">
        <v>333.76</v>
      </c>
      <c r="F14644" s="434">
        <v>121.59</v>
      </c>
      <c r="G14644" s="434">
        <v>115.68</v>
      </c>
      <c r="H14644" s="435">
        <v>5153.8900000000003</v>
      </c>
      <c r="I14644" s="435">
        <v>3838.41</v>
      </c>
      <c r="J14644" s="435">
        <v>693.59</v>
      </c>
      <c r="K14644" s="435">
        <v>621.89</v>
      </c>
      <c r="L14644" s="43">
        <v>9.0256028579934515</v>
      </c>
      <c r="M14644" s="43">
        <v>11.500509348034516</v>
      </c>
      <c r="N14644" s="43">
        <v>5.7043342380129944</v>
      </c>
      <c r="O14644" s="43">
        <v>5.3759508990318112</v>
      </c>
      <c r="P14644" s="436"/>
      <c r="Q14644" s="436"/>
      <c r="R14644" s="436">
        <v>1</v>
      </c>
    </row>
    <row r="14645" spans="1:18" ht="24">
      <c r="A14645" s="432">
        <v>82</v>
      </c>
      <c r="B14645" s="429" t="s">
        <v>26318</v>
      </c>
      <c r="C14645" s="433" t="s">
        <v>26319</v>
      </c>
      <c r="D14645" s="434">
        <v>971.29</v>
      </c>
      <c r="E14645" s="434">
        <v>601.01</v>
      </c>
      <c r="F14645" s="434">
        <v>211.21</v>
      </c>
      <c r="G14645" s="434">
        <v>159.07</v>
      </c>
      <c r="H14645" s="435">
        <v>9004.74</v>
      </c>
      <c r="I14645" s="435">
        <v>6911.82</v>
      </c>
      <c r="J14645" s="435">
        <v>1189.96</v>
      </c>
      <c r="K14645" s="435">
        <v>902.96</v>
      </c>
      <c r="L14645" s="43">
        <v>9.2709077618424978</v>
      </c>
      <c r="M14645" s="43">
        <v>11.500341092494301</v>
      </c>
      <c r="N14645" s="43">
        <v>5.6340135410255199</v>
      </c>
      <c r="O14645" s="43">
        <v>5.6764946250078587</v>
      </c>
      <c r="P14645" s="436"/>
      <c r="Q14645" s="436"/>
      <c r="R14645" s="436">
        <v>1</v>
      </c>
    </row>
    <row r="14646" spans="1:18" ht="12.75" customHeight="1">
      <c r="A14646" s="628" t="s">
        <v>26320</v>
      </c>
      <c r="B14646" s="629"/>
      <c r="C14646" s="629"/>
      <c r="D14646" s="629"/>
      <c r="E14646" s="629"/>
      <c r="F14646" s="629"/>
      <c r="G14646" s="629"/>
      <c r="H14646" s="629"/>
      <c r="I14646" s="629"/>
      <c r="J14646" s="629"/>
      <c r="K14646" s="629"/>
      <c r="L14646" s="629"/>
      <c r="M14646" s="629"/>
      <c r="N14646" s="629"/>
      <c r="O14646" s="629"/>
      <c r="P14646" s="629"/>
      <c r="Q14646" s="629"/>
      <c r="R14646" s="629"/>
    </row>
    <row r="14647" spans="1:18" ht="24">
      <c r="A14647" s="432">
        <v>83</v>
      </c>
      <c r="B14647" s="429" t="s">
        <v>26321</v>
      </c>
      <c r="C14647" s="433" t="s">
        <v>26322</v>
      </c>
      <c r="D14647" s="434">
        <v>811.54</v>
      </c>
      <c r="E14647" s="434">
        <v>505.08</v>
      </c>
      <c r="F14647" s="434">
        <v>178.04</v>
      </c>
      <c r="G14647" s="434">
        <v>128.41999999999999</v>
      </c>
      <c r="H14647" s="435">
        <v>7537.88</v>
      </c>
      <c r="I14647" s="435">
        <v>5808.42</v>
      </c>
      <c r="J14647" s="435">
        <v>1034.68</v>
      </c>
      <c r="K14647" s="435">
        <v>694.78</v>
      </c>
      <c r="L14647" s="43">
        <v>9.2883653301131179</v>
      </c>
      <c r="M14647" s="43">
        <v>11.5</v>
      </c>
      <c r="N14647" s="43">
        <v>5.8115030330262867</v>
      </c>
      <c r="O14647" s="43">
        <v>5.4102164771842398</v>
      </c>
      <c r="P14647" s="436"/>
      <c r="Q14647" s="436"/>
      <c r="R14647" s="436">
        <v>2</v>
      </c>
    </row>
    <row r="14648" spans="1:18" ht="24">
      <c r="A14648" s="432">
        <v>84</v>
      </c>
      <c r="B14648" s="429" t="s">
        <v>26323</v>
      </c>
      <c r="C14648" s="433" t="s">
        <v>26324</v>
      </c>
      <c r="D14648" s="434">
        <v>872.56</v>
      </c>
      <c r="E14648" s="434">
        <v>447.58</v>
      </c>
      <c r="F14648" s="434">
        <v>214.67</v>
      </c>
      <c r="G14648" s="434">
        <v>210.31</v>
      </c>
      <c r="H14648" s="435">
        <v>7442.37</v>
      </c>
      <c r="I14648" s="435">
        <v>5147.22</v>
      </c>
      <c r="J14648" s="435">
        <v>1232.74</v>
      </c>
      <c r="K14648" s="435">
        <v>1062.4100000000001</v>
      </c>
      <c r="L14648" s="43">
        <v>8.5293504171632897</v>
      </c>
      <c r="M14648" s="43">
        <v>11.500111711872739</v>
      </c>
      <c r="N14648" s="43">
        <v>5.7424884706759212</v>
      </c>
      <c r="O14648" s="43">
        <v>5.0516380581047029</v>
      </c>
      <c r="P14648" s="436"/>
      <c r="Q14648" s="436"/>
      <c r="R14648" s="436">
        <v>2</v>
      </c>
    </row>
    <row r="14649" spans="1:18" ht="24">
      <c r="A14649" s="432">
        <v>85</v>
      </c>
      <c r="B14649" s="429" t="s">
        <v>26325</v>
      </c>
      <c r="C14649" s="433" t="s">
        <v>26326</v>
      </c>
      <c r="D14649" s="434">
        <v>932.26</v>
      </c>
      <c r="E14649" s="434">
        <v>463.49</v>
      </c>
      <c r="F14649" s="434">
        <v>232.64</v>
      </c>
      <c r="G14649" s="434">
        <v>236.13</v>
      </c>
      <c r="H14649" s="435">
        <v>7869.84</v>
      </c>
      <c r="I14649" s="435">
        <v>5330.11</v>
      </c>
      <c r="J14649" s="435">
        <v>1330.27</v>
      </c>
      <c r="K14649" s="435">
        <v>1209.46</v>
      </c>
      <c r="L14649" s="43">
        <v>8.4416793598352395</v>
      </c>
      <c r="M14649" s="43">
        <v>11.499946061403698</v>
      </c>
      <c r="N14649" s="43">
        <v>5.718148211829436</v>
      </c>
      <c r="O14649" s="43">
        <v>5.1220090628043877</v>
      </c>
      <c r="P14649" s="436"/>
      <c r="Q14649" s="436"/>
      <c r="R14649" s="436">
        <v>2</v>
      </c>
    </row>
    <row r="14650" spans="1:18" ht="24">
      <c r="A14650" s="432">
        <v>86</v>
      </c>
      <c r="B14650" s="429" t="s">
        <v>26327</v>
      </c>
      <c r="C14650" s="433" t="s">
        <v>26328</v>
      </c>
      <c r="D14650" s="434">
        <v>1615.46</v>
      </c>
      <c r="E14650" s="434">
        <v>965.21</v>
      </c>
      <c r="F14650" s="434">
        <v>410.96</v>
      </c>
      <c r="G14650" s="434">
        <v>239.29</v>
      </c>
      <c r="H14650" s="435">
        <v>14697.16</v>
      </c>
      <c r="I14650" s="435">
        <v>11099.87</v>
      </c>
      <c r="J14650" s="435">
        <v>2294.0700000000002</v>
      </c>
      <c r="K14650" s="435">
        <v>1303.22</v>
      </c>
      <c r="L14650" s="43">
        <v>9.0978173399527069</v>
      </c>
      <c r="M14650" s="43">
        <v>11.499953378021363</v>
      </c>
      <c r="N14650" s="43">
        <v>5.5822221140743631</v>
      </c>
      <c r="O14650" s="43">
        <v>5.4461949935225045</v>
      </c>
      <c r="P14650" s="436"/>
      <c r="Q14650" s="436"/>
      <c r="R14650" s="436">
        <v>2</v>
      </c>
    </row>
    <row r="14651" spans="1:18" ht="24">
      <c r="A14651" s="432">
        <v>87</v>
      </c>
      <c r="B14651" s="429" t="s">
        <v>26329</v>
      </c>
      <c r="C14651" s="433" t="s">
        <v>26330</v>
      </c>
      <c r="D14651" s="434">
        <v>2122.16</v>
      </c>
      <c r="E14651" s="434">
        <v>1226.04</v>
      </c>
      <c r="F14651" s="434">
        <v>564.34</v>
      </c>
      <c r="G14651" s="434">
        <v>331.78</v>
      </c>
      <c r="H14651" s="435">
        <v>19384.21</v>
      </c>
      <c r="I14651" s="435">
        <v>14099.46</v>
      </c>
      <c r="J14651" s="435">
        <v>3209.36</v>
      </c>
      <c r="K14651" s="435">
        <v>2075.39</v>
      </c>
      <c r="L14651" s="43">
        <v>9.1341887510838013</v>
      </c>
      <c r="M14651" s="43">
        <v>11.5</v>
      </c>
      <c r="N14651" s="43">
        <v>5.6869263210121561</v>
      </c>
      <c r="O14651" s="43">
        <v>6.2553197902224369</v>
      </c>
      <c r="P14651" s="436"/>
      <c r="Q14651" s="436"/>
      <c r="R14651" s="436">
        <v>2</v>
      </c>
    </row>
    <row r="14652" spans="1:18" ht="24">
      <c r="A14652" s="432">
        <v>88</v>
      </c>
      <c r="B14652" s="429" t="s">
        <v>26331</v>
      </c>
      <c r="C14652" s="433" t="s">
        <v>26332</v>
      </c>
      <c r="D14652" s="434">
        <v>2147.59</v>
      </c>
      <c r="E14652" s="434">
        <v>1226.04</v>
      </c>
      <c r="F14652" s="434">
        <v>650.07000000000005</v>
      </c>
      <c r="G14652" s="434">
        <v>271.48</v>
      </c>
      <c r="H14652" s="435">
        <v>19365.22</v>
      </c>
      <c r="I14652" s="435">
        <v>14099.46</v>
      </c>
      <c r="J14652" s="435">
        <v>3673.54</v>
      </c>
      <c r="K14652" s="435">
        <v>1592.22</v>
      </c>
      <c r="L14652" s="43">
        <v>9.0171867069598939</v>
      </c>
      <c r="M14652" s="43">
        <v>11.5</v>
      </c>
      <c r="N14652" s="43">
        <v>5.6509914316919714</v>
      </c>
      <c r="O14652" s="43">
        <v>5.8649624281715038</v>
      </c>
      <c r="P14652" s="436"/>
      <c r="Q14652" s="436"/>
      <c r="R14652" s="436">
        <v>2</v>
      </c>
    </row>
    <row r="14653" spans="1:18" ht="24">
      <c r="A14653" s="432">
        <v>89</v>
      </c>
      <c r="B14653" s="429" t="s">
        <v>26333</v>
      </c>
      <c r="C14653" s="433" t="s">
        <v>26334</v>
      </c>
      <c r="D14653" s="434">
        <v>3480.26</v>
      </c>
      <c r="E14653" s="434">
        <v>1923.2</v>
      </c>
      <c r="F14653" s="434">
        <v>925.11</v>
      </c>
      <c r="G14653" s="434">
        <v>631.95000000000005</v>
      </c>
      <c r="H14653" s="435">
        <v>30770.29</v>
      </c>
      <c r="I14653" s="435">
        <v>22116.799999999999</v>
      </c>
      <c r="J14653" s="435">
        <v>5104.9399999999996</v>
      </c>
      <c r="K14653" s="435">
        <v>3548.55</v>
      </c>
      <c r="L14653" s="43">
        <v>8.8413767936878269</v>
      </c>
      <c r="M14653" s="43">
        <v>11.5</v>
      </c>
      <c r="N14653" s="43">
        <v>5.5181978359330239</v>
      </c>
      <c r="O14653" s="43">
        <v>5.6152385473534299</v>
      </c>
      <c r="P14653" s="436"/>
      <c r="Q14653" s="436"/>
      <c r="R14653" s="436">
        <v>2</v>
      </c>
    </row>
    <row r="14654" spans="1:18" ht="24">
      <c r="A14654" s="432">
        <v>90</v>
      </c>
      <c r="B14654" s="429" t="s">
        <v>26335</v>
      </c>
      <c r="C14654" s="433" t="s">
        <v>26336</v>
      </c>
      <c r="D14654" s="434">
        <v>4763.1000000000004</v>
      </c>
      <c r="E14654" s="434">
        <v>2019.36</v>
      </c>
      <c r="F14654" s="434">
        <v>999.25</v>
      </c>
      <c r="G14654" s="434">
        <v>1744.49</v>
      </c>
      <c r="H14654" s="435">
        <v>36566.33</v>
      </c>
      <c r="I14654" s="435">
        <v>23222.639999999999</v>
      </c>
      <c r="J14654" s="435">
        <v>5450.75</v>
      </c>
      <c r="K14654" s="435">
        <v>7892.94</v>
      </c>
      <c r="L14654" s="43">
        <v>7.6770023724045267</v>
      </c>
      <c r="M14654" s="43">
        <v>11.5</v>
      </c>
      <c r="N14654" s="43">
        <v>5.4548411308481359</v>
      </c>
      <c r="O14654" s="43">
        <v>4.5244971309666431</v>
      </c>
      <c r="P14654" s="436"/>
      <c r="Q14654" s="436"/>
      <c r="R14654" s="436">
        <v>2</v>
      </c>
    </row>
    <row r="14655" spans="1:18" ht="24">
      <c r="A14655" s="432">
        <v>91</v>
      </c>
      <c r="B14655" s="429" t="s">
        <v>26337</v>
      </c>
      <c r="C14655" s="433" t="s">
        <v>26338</v>
      </c>
      <c r="D14655" s="434">
        <v>1310.9</v>
      </c>
      <c r="E14655" s="434">
        <v>405.6</v>
      </c>
      <c r="F14655" s="434">
        <v>509.37</v>
      </c>
      <c r="G14655" s="434">
        <v>395.93</v>
      </c>
      <c r="H14655" s="435">
        <v>9903.26</v>
      </c>
      <c r="I14655" s="435">
        <v>4664.54</v>
      </c>
      <c r="J14655" s="435">
        <v>2968.7</v>
      </c>
      <c r="K14655" s="435">
        <v>2270.02</v>
      </c>
      <c r="L14655" s="43">
        <v>7.554550308948051</v>
      </c>
      <c r="M14655" s="43">
        <v>11.50034516765286</v>
      </c>
      <c r="N14655" s="43">
        <v>5.8281799085144392</v>
      </c>
      <c r="O14655" s="43">
        <v>5.7333872149117271</v>
      </c>
      <c r="P14655" s="436"/>
      <c r="Q14655" s="436"/>
      <c r="R14655" s="436">
        <v>2</v>
      </c>
    </row>
    <row r="14656" spans="1:18" ht="12.75" customHeight="1">
      <c r="A14656" s="628" t="s">
        <v>26339</v>
      </c>
      <c r="B14656" s="629"/>
      <c r="C14656" s="629"/>
      <c r="D14656" s="629"/>
      <c r="E14656" s="629"/>
      <c r="F14656" s="629"/>
      <c r="G14656" s="629"/>
      <c r="H14656" s="629"/>
      <c r="I14656" s="629"/>
      <c r="J14656" s="629"/>
      <c r="K14656" s="629"/>
      <c r="L14656" s="629"/>
      <c r="M14656" s="629"/>
      <c r="N14656" s="629"/>
      <c r="O14656" s="629"/>
      <c r="P14656" s="629"/>
      <c r="Q14656" s="629"/>
      <c r="R14656" s="629"/>
    </row>
    <row r="14657" spans="1:18" ht="24">
      <c r="A14657" s="432">
        <v>92</v>
      </c>
      <c r="B14657" s="429" t="s">
        <v>26340</v>
      </c>
      <c r="C14657" s="433" t="s">
        <v>26341</v>
      </c>
      <c r="D14657" s="434">
        <v>903.5</v>
      </c>
      <c r="E14657" s="434">
        <v>605.83000000000004</v>
      </c>
      <c r="F14657" s="434">
        <v>205.47</v>
      </c>
      <c r="G14657" s="434">
        <v>92.2</v>
      </c>
      <c r="H14657" s="435">
        <v>8768.41</v>
      </c>
      <c r="I14657" s="435">
        <v>6967.28</v>
      </c>
      <c r="J14657" s="435">
        <v>1206.5899999999999</v>
      </c>
      <c r="K14657" s="435">
        <v>594.54</v>
      </c>
      <c r="L14657" s="43">
        <v>9.7049363586054227</v>
      </c>
      <c r="M14657" s="43">
        <v>11.500387897595033</v>
      </c>
      <c r="N14657" s="43">
        <v>5.8723414610405404</v>
      </c>
      <c r="O14657" s="43">
        <v>6.448373101952277</v>
      </c>
      <c r="P14657" s="436"/>
      <c r="Q14657" s="436"/>
      <c r="R14657" s="436">
        <v>3</v>
      </c>
    </row>
    <row r="14658" spans="1:18" ht="24">
      <c r="A14658" s="432">
        <v>93</v>
      </c>
      <c r="B14658" s="429" t="s">
        <v>26342</v>
      </c>
      <c r="C14658" s="433" t="s">
        <v>26343</v>
      </c>
      <c r="D14658" s="434">
        <v>1071.5999999999999</v>
      </c>
      <c r="E14658" s="434">
        <v>502.71</v>
      </c>
      <c r="F14658" s="434">
        <v>392.85</v>
      </c>
      <c r="G14658" s="434">
        <v>176.04</v>
      </c>
      <c r="H14658" s="435">
        <v>8866.56</v>
      </c>
      <c r="I14658" s="435">
        <v>5781.36</v>
      </c>
      <c r="J14658" s="435">
        <v>2315.16</v>
      </c>
      <c r="K14658" s="435">
        <v>770.04</v>
      </c>
      <c r="L14658" s="43">
        <v>8.2741321388577838</v>
      </c>
      <c r="M14658" s="43">
        <v>11.500387897595035</v>
      </c>
      <c r="N14658" s="43">
        <v>5.8932416953035505</v>
      </c>
      <c r="O14658" s="43">
        <v>4.3742331288343559</v>
      </c>
      <c r="P14658" s="436"/>
      <c r="Q14658" s="436"/>
      <c r="R14658" s="436">
        <v>3</v>
      </c>
    </row>
    <row r="14659" spans="1:18" ht="12.75" customHeight="1">
      <c r="A14659" s="628" t="s">
        <v>2548</v>
      </c>
      <c r="B14659" s="629"/>
      <c r="C14659" s="629"/>
      <c r="D14659" s="629"/>
      <c r="E14659" s="629"/>
      <c r="F14659" s="629"/>
      <c r="G14659" s="629"/>
      <c r="H14659" s="629"/>
      <c r="I14659" s="629"/>
      <c r="J14659" s="629"/>
      <c r="K14659" s="629"/>
      <c r="L14659" s="629"/>
      <c r="M14659" s="629"/>
      <c r="N14659" s="629"/>
      <c r="O14659" s="629"/>
      <c r="P14659" s="629"/>
      <c r="Q14659" s="629"/>
      <c r="R14659" s="629"/>
    </row>
    <row r="14660" spans="1:18" ht="24">
      <c r="A14660" s="432">
        <v>94</v>
      </c>
      <c r="B14660" s="429" t="s">
        <v>26344</v>
      </c>
      <c r="C14660" s="433" t="s">
        <v>26345</v>
      </c>
      <c r="D14660" s="434">
        <v>1760.71</v>
      </c>
      <c r="E14660" s="434">
        <v>494.08</v>
      </c>
      <c r="F14660" s="434">
        <v>178.18</v>
      </c>
      <c r="G14660" s="434">
        <v>1088.45</v>
      </c>
      <c r="H14660" s="435">
        <v>11694.36</v>
      </c>
      <c r="I14660" s="435">
        <v>5681.87</v>
      </c>
      <c r="J14660" s="435">
        <v>1035.26</v>
      </c>
      <c r="K14660" s="435">
        <v>4977.2299999999996</v>
      </c>
      <c r="L14660" s="43">
        <v>6.6418433472860379</v>
      </c>
      <c r="M14660" s="43">
        <v>11.499898801813472</v>
      </c>
      <c r="N14660" s="43">
        <v>5.8101919407340885</v>
      </c>
      <c r="O14660" s="43">
        <v>4.5727686159217233</v>
      </c>
      <c r="P14660" s="436"/>
      <c r="Q14660" s="436"/>
      <c r="R14660" s="436">
        <v>4</v>
      </c>
    </row>
    <row r="14661" spans="1:18" ht="24">
      <c r="A14661" s="432">
        <v>95</v>
      </c>
      <c r="B14661" s="429" t="s">
        <v>26346</v>
      </c>
      <c r="C14661" s="433" t="s">
        <v>26347</v>
      </c>
      <c r="D14661" s="434">
        <v>1948.87</v>
      </c>
      <c r="E14661" s="434">
        <v>658.35</v>
      </c>
      <c r="F14661" s="434">
        <v>178.12</v>
      </c>
      <c r="G14661" s="434">
        <v>1112.4000000000001</v>
      </c>
      <c r="H14661" s="435">
        <v>13786.65</v>
      </c>
      <c r="I14661" s="435">
        <v>7571.03</v>
      </c>
      <c r="J14661" s="435">
        <v>1035.01</v>
      </c>
      <c r="K14661" s="435">
        <v>5180.6099999999997</v>
      </c>
      <c r="L14661" s="43">
        <v>7.0741763175583801</v>
      </c>
      <c r="M14661" s="43">
        <v>11.500007594744437</v>
      </c>
      <c r="N14661" s="43">
        <v>5.8107455647877835</v>
      </c>
      <c r="O14661" s="43">
        <v>4.6571467098166117</v>
      </c>
      <c r="P14661" s="436"/>
      <c r="Q14661" s="436"/>
      <c r="R14661" s="436">
        <v>4</v>
      </c>
    </row>
    <row r="14662" spans="1:18" ht="24">
      <c r="A14662" s="432">
        <v>96</v>
      </c>
      <c r="B14662" s="429" t="s">
        <v>26348</v>
      </c>
      <c r="C14662" s="433" t="s">
        <v>26349</v>
      </c>
      <c r="D14662" s="434">
        <v>2183.85</v>
      </c>
      <c r="E14662" s="434">
        <v>818.86</v>
      </c>
      <c r="F14662" s="434">
        <v>227.72</v>
      </c>
      <c r="G14662" s="434">
        <v>1137.27</v>
      </c>
      <c r="H14662" s="435">
        <v>16062.26</v>
      </c>
      <c r="I14662" s="435">
        <v>9416.91</v>
      </c>
      <c r="J14662" s="435">
        <v>1303.32</v>
      </c>
      <c r="K14662" s="435">
        <v>5342.03</v>
      </c>
      <c r="L14662" s="43">
        <v>7.3550198044737511</v>
      </c>
      <c r="M14662" s="43">
        <v>11.500024424199497</v>
      </c>
      <c r="N14662" s="43">
        <v>5.7233444581064461</v>
      </c>
      <c r="O14662" s="43">
        <v>4.6972398814705389</v>
      </c>
      <c r="P14662" s="436"/>
      <c r="Q14662" s="436"/>
      <c r="R14662" s="436">
        <v>4</v>
      </c>
    </row>
    <row r="14663" spans="1:18" ht="12.75" customHeight="1">
      <c r="A14663" s="628" t="s">
        <v>26350</v>
      </c>
      <c r="B14663" s="629"/>
      <c r="C14663" s="629"/>
      <c r="D14663" s="629"/>
      <c r="E14663" s="629"/>
      <c r="F14663" s="629"/>
      <c r="G14663" s="629"/>
      <c r="H14663" s="629"/>
      <c r="I14663" s="629"/>
      <c r="J14663" s="629"/>
      <c r="K14663" s="629"/>
      <c r="L14663" s="629"/>
      <c r="M14663" s="629"/>
      <c r="N14663" s="629"/>
      <c r="O14663" s="629"/>
      <c r="P14663" s="629"/>
      <c r="Q14663" s="629"/>
      <c r="R14663" s="629"/>
    </row>
    <row r="14664" spans="1:18" ht="24">
      <c r="A14664" s="432">
        <v>97</v>
      </c>
      <c r="B14664" s="429" t="s">
        <v>26351</v>
      </c>
      <c r="C14664" s="433" t="s">
        <v>26352</v>
      </c>
      <c r="D14664" s="434">
        <v>1909.32</v>
      </c>
      <c r="E14664" s="434">
        <v>959.2</v>
      </c>
      <c r="F14664" s="434">
        <v>458.79</v>
      </c>
      <c r="G14664" s="434">
        <v>491.33</v>
      </c>
      <c r="H14664" s="435">
        <v>15748.62</v>
      </c>
      <c r="I14664" s="435">
        <v>11030.75</v>
      </c>
      <c r="J14664" s="435">
        <v>2671.13</v>
      </c>
      <c r="K14664" s="435">
        <v>2046.74</v>
      </c>
      <c r="L14664" s="43">
        <v>8.2482873483753387</v>
      </c>
      <c r="M14664" s="43">
        <v>11.49994787322769</v>
      </c>
      <c r="N14664" s="43">
        <v>5.8221190522897182</v>
      </c>
      <c r="O14664" s="43">
        <v>4.1657134715975008</v>
      </c>
      <c r="P14664" s="436"/>
      <c r="Q14664" s="436"/>
      <c r="R14664" s="436">
        <v>5</v>
      </c>
    </row>
    <row r="14665" spans="1:18" ht="12.75" customHeight="1">
      <c r="A14665" s="628" t="s">
        <v>26353</v>
      </c>
      <c r="B14665" s="629"/>
      <c r="C14665" s="629"/>
      <c r="D14665" s="629"/>
      <c r="E14665" s="629"/>
      <c r="F14665" s="629"/>
      <c r="G14665" s="629"/>
      <c r="H14665" s="629"/>
      <c r="I14665" s="629"/>
      <c r="J14665" s="629"/>
      <c r="K14665" s="629"/>
      <c r="L14665" s="629"/>
      <c r="M14665" s="629"/>
      <c r="N14665" s="629"/>
      <c r="O14665" s="629"/>
      <c r="P14665" s="629"/>
      <c r="Q14665" s="629"/>
      <c r="R14665" s="629"/>
    </row>
    <row r="14666" spans="1:18" ht="24">
      <c r="A14666" s="432">
        <v>98</v>
      </c>
      <c r="B14666" s="429" t="s">
        <v>26354</v>
      </c>
      <c r="C14666" s="433" t="s">
        <v>26355</v>
      </c>
      <c r="D14666" s="434">
        <v>725.11</v>
      </c>
      <c r="E14666" s="434">
        <v>481.54</v>
      </c>
      <c r="F14666" s="434">
        <v>135.08000000000001</v>
      </c>
      <c r="G14666" s="434">
        <v>108.49</v>
      </c>
      <c r="H14666" s="435">
        <v>6890.61</v>
      </c>
      <c r="I14666" s="435">
        <v>5537.66</v>
      </c>
      <c r="J14666" s="435">
        <v>778.58</v>
      </c>
      <c r="K14666" s="435">
        <v>574.37</v>
      </c>
      <c r="L14666" s="43">
        <v>9.5028478437754274</v>
      </c>
      <c r="M14666" s="43">
        <v>11.499896166465922</v>
      </c>
      <c r="N14666" s="43">
        <v>5.7638436482084687</v>
      </c>
      <c r="O14666" s="43">
        <v>5.2942206654991244</v>
      </c>
      <c r="P14666" s="436"/>
      <c r="Q14666" s="436"/>
      <c r="R14666" s="436">
        <v>6</v>
      </c>
    </row>
    <row r="14667" spans="1:18" ht="12.75" customHeight="1">
      <c r="A14667" s="628" t="s">
        <v>26356</v>
      </c>
      <c r="B14667" s="629"/>
      <c r="C14667" s="629"/>
      <c r="D14667" s="629"/>
      <c r="E14667" s="629"/>
      <c r="F14667" s="629"/>
      <c r="G14667" s="629"/>
      <c r="H14667" s="629"/>
      <c r="I14667" s="629"/>
      <c r="J14667" s="629"/>
      <c r="K14667" s="629"/>
      <c r="L14667" s="629"/>
      <c r="M14667" s="629"/>
      <c r="N14667" s="629"/>
      <c r="O14667" s="629"/>
      <c r="P14667" s="629"/>
      <c r="Q14667" s="629"/>
      <c r="R14667" s="629"/>
    </row>
    <row r="14668" spans="1:18" ht="24">
      <c r="A14668" s="432">
        <v>99</v>
      </c>
      <c r="B14668" s="429" t="s">
        <v>26357</v>
      </c>
      <c r="C14668" s="433" t="s">
        <v>26358</v>
      </c>
      <c r="D14668" s="434">
        <v>2166.1799999999998</v>
      </c>
      <c r="E14668" s="434">
        <v>1504.95</v>
      </c>
      <c r="F14668" s="434">
        <v>547.28</v>
      </c>
      <c r="G14668" s="434">
        <v>113.95</v>
      </c>
      <c r="H14668" s="435">
        <v>21274.720000000001</v>
      </c>
      <c r="I14668" s="435">
        <v>17307.560000000001</v>
      </c>
      <c r="J14668" s="435">
        <v>2999.27</v>
      </c>
      <c r="K14668" s="435">
        <v>967.89</v>
      </c>
      <c r="L14668" s="43">
        <v>9.8213075552354852</v>
      </c>
      <c r="M14668" s="43">
        <v>11.50042194092827</v>
      </c>
      <c r="N14668" s="43">
        <v>5.480320859523462</v>
      </c>
      <c r="O14668" s="43">
        <v>8.4939885914874935</v>
      </c>
      <c r="P14668" s="436"/>
      <c r="Q14668" s="436"/>
      <c r="R14668" s="436">
        <v>7</v>
      </c>
    </row>
    <row r="14669" spans="1:18" ht="12.75" customHeight="1">
      <c r="A14669" s="628" t="s">
        <v>26359</v>
      </c>
      <c r="B14669" s="629"/>
      <c r="C14669" s="629"/>
      <c r="D14669" s="629"/>
      <c r="E14669" s="629"/>
      <c r="F14669" s="629"/>
      <c r="G14669" s="629"/>
      <c r="H14669" s="629"/>
      <c r="I14669" s="629"/>
      <c r="J14669" s="629"/>
      <c r="K14669" s="629"/>
      <c r="L14669" s="629"/>
      <c r="M14669" s="629"/>
      <c r="N14669" s="629"/>
      <c r="O14669" s="629"/>
      <c r="P14669" s="629"/>
      <c r="Q14669" s="629"/>
      <c r="R14669" s="629"/>
    </row>
    <row r="14670" spans="1:18" ht="24">
      <c r="A14670" s="432">
        <v>100</v>
      </c>
      <c r="B14670" s="429" t="s">
        <v>26360</v>
      </c>
      <c r="C14670" s="433" t="s">
        <v>26361</v>
      </c>
      <c r="D14670" s="434">
        <v>1534.94</v>
      </c>
      <c r="E14670" s="434">
        <v>781.56</v>
      </c>
      <c r="F14670" s="434">
        <v>371.54</v>
      </c>
      <c r="G14670" s="434">
        <v>381.84</v>
      </c>
      <c r="H14670" s="435">
        <v>13837.63</v>
      </c>
      <c r="I14670" s="435">
        <v>8987.99</v>
      </c>
      <c r="J14670" s="435">
        <v>2068.7600000000002</v>
      </c>
      <c r="K14670" s="435">
        <v>2780.88</v>
      </c>
      <c r="L14670" s="43">
        <v>9.0150950525753437</v>
      </c>
      <c r="M14670" s="43">
        <v>11.500063974614873</v>
      </c>
      <c r="N14670" s="43">
        <v>5.5680680411261241</v>
      </c>
      <c r="O14670" s="43">
        <v>7.2828409805153997</v>
      </c>
      <c r="P14670" s="436"/>
      <c r="Q14670" s="436"/>
      <c r="R14670" s="436">
        <v>8</v>
      </c>
    </row>
    <row r="14671" spans="1:18" ht="12.75" customHeight="1">
      <c r="A14671" s="628" t="s">
        <v>26362</v>
      </c>
      <c r="B14671" s="629"/>
      <c r="C14671" s="629"/>
      <c r="D14671" s="629"/>
      <c r="E14671" s="629"/>
      <c r="F14671" s="629"/>
      <c r="G14671" s="629"/>
      <c r="H14671" s="629"/>
      <c r="I14671" s="629"/>
      <c r="J14671" s="629"/>
      <c r="K14671" s="629"/>
      <c r="L14671" s="629"/>
      <c r="M14671" s="629"/>
      <c r="N14671" s="629"/>
      <c r="O14671" s="629"/>
      <c r="P14671" s="629"/>
      <c r="Q14671" s="629"/>
      <c r="R14671" s="629"/>
    </row>
    <row r="14672" spans="1:18" ht="12.75" customHeight="1">
      <c r="A14672" s="628" t="s">
        <v>26363</v>
      </c>
      <c r="B14672" s="629"/>
      <c r="C14672" s="629"/>
      <c r="D14672" s="629"/>
      <c r="E14672" s="629"/>
      <c r="F14672" s="629"/>
      <c r="G14672" s="629"/>
      <c r="H14672" s="629"/>
      <c r="I14672" s="629"/>
      <c r="J14672" s="629"/>
      <c r="K14672" s="629"/>
      <c r="L14672" s="629"/>
      <c r="M14672" s="629"/>
      <c r="N14672" s="629"/>
      <c r="O14672" s="629"/>
      <c r="P14672" s="629"/>
      <c r="Q14672" s="629"/>
      <c r="R14672" s="629"/>
    </row>
    <row r="14673" spans="1:18" ht="24">
      <c r="A14673" s="432">
        <v>101</v>
      </c>
      <c r="B14673" s="429" t="s">
        <v>26364</v>
      </c>
      <c r="C14673" s="433" t="s">
        <v>26365</v>
      </c>
      <c r="D14673" s="434">
        <v>161.29</v>
      </c>
      <c r="E14673" s="434">
        <v>99.83</v>
      </c>
      <c r="F14673" s="434">
        <v>49.15</v>
      </c>
      <c r="G14673" s="434">
        <v>12.31</v>
      </c>
      <c r="H14673" s="435">
        <v>1520.37</v>
      </c>
      <c r="I14673" s="435">
        <v>1148.04</v>
      </c>
      <c r="J14673" s="435">
        <v>266.39</v>
      </c>
      <c r="K14673" s="435">
        <v>105.94</v>
      </c>
      <c r="L14673" s="43">
        <v>9.4263128526257045</v>
      </c>
      <c r="M14673" s="43">
        <v>11.499949914855254</v>
      </c>
      <c r="N14673" s="43">
        <v>5.4199389623601215</v>
      </c>
      <c r="O14673" s="43">
        <v>8.6060113728675862</v>
      </c>
      <c r="P14673" s="436"/>
      <c r="Q14673" s="436"/>
      <c r="R14673" s="436">
        <v>1</v>
      </c>
    </row>
    <row r="14674" spans="1:18" ht="24">
      <c r="A14674" s="432">
        <v>102</v>
      </c>
      <c r="B14674" s="429" t="s">
        <v>26366</v>
      </c>
      <c r="C14674" s="433" t="s">
        <v>26367</v>
      </c>
      <c r="D14674" s="434">
        <v>186.55</v>
      </c>
      <c r="E14674" s="434">
        <v>124.94</v>
      </c>
      <c r="F14674" s="434">
        <v>48.8</v>
      </c>
      <c r="G14674" s="434">
        <v>12.81</v>
      </c>
      <c r="H14674" s="435">
        <v>1813.42</v>
      </c>
      <c r="I14674" s="435">
        <v>1436.83</v>
      </c>
      <c r="J14674" s="435">
        <v>264.89999999999998</v>
      </c>
      <c r="K14674" s="435">
        <v>111.69</v>
      </c>
      <c r="L14674" s="43">
        <v>9.7208255159474675</v>
      </c>
      <c r="M14674" s="43">
        <v>11.500160076836881</v>
      </c>
      <c r="N14674" s="43">
        <v>5.4282786885245899</v>
      </c>
      <c r="O14674" s="43">
        <v>8.7189695550351285</v>
      </c>
      <c r="P14674" s="436"/>
      <c r="Q14674" s="436"/>
      <c r="R14674" s="436">
        <v>1</v>
      </c>
    </row>
    <row r="14675" spans="1:18" ht="12.75" customHeight="1">
      <c r="A14675" s="628" t="s">
        <v>26368</v>
      </c>
      <c r="B14675" s="629"/>
      <c r="C14675" s="629"/>
      <c r="D14675" s="629"/>
      <c r="E14675" s="629"/>
      <c r="F14675" s="629"/>
      <c r="G14675" s="629"/>
      <c r="H14675" s="629"/>
      <c r="I14675" s="629"/>
      <c r="J14675" s="629"/>
      <c r="K14675" s="629"/>
      <c r="L14675" s="629"/>
      <c r="M14675" s="629"/>
      <c r="N14675" s="629"/>
      <c r="O14675" s="629"/>
      <c r="P14675" s="629"/>
      <c r="Q14675" s="629"/>
      <c r="R14675" s="629"/>
    </row>
    <row r="14676" spans="1:18" ht="24">
      <c r="A14676" s="432">
        <v>103</v>
      </c>
      <c r="B14676" s="429" t="s">
        <v>26369</v>
      </c>
      <c r="C14676" s="433" t="s">
        <v>26370</v>
      </c>
      <c r="D14676" s="434">
        <v>226.15</v>
      </c>
      <c r="E14676" s="434">
        <v>141.33000000000001</v>
      </c>
      <c r="F14676" s="434">
        <v>49.15</v>
      </c>
      <c r="G14676" s="434">
        <v>35.67</v>
      </c>
      <c r="H14676" s="435">
        <v>2090.85</v>
      </c>
      <c r="I14676" s="435">
        <v>1625.32</v>
      </c>
      <c r="J14676" s="435">
        <v>266.39</v>
      </c>
      <c r="K14676" s="435">
        <v>199.14</v>
      </c>
      <c r="L14676" s="43">
        <v>9.245412336944506</v>
      </c>
      <c r="M14676" s="43">
        <v>11.500176890964408</v>
      </c>
      <c r="N14676" s="43">
        <v>5.4199389623601215</v>
      </c>
      <c r="O14676" s="43">
        <v>5.5828427249789732</v>
      </c>
      <c r="P14676" s="436"/>
      <c r="Q14676" s="436"/>
      <c r="R14676" s="436">
        <v>2</v>
      </c>
    </row>
    <row r="14677" spans="1:18" ht="24">
      <c r="A14677" s="432">
        <v>104</v>
      </c>
      <c r="B14677" s="429" t="s">
        <v>26371</v>
      </c>
      <c r="C14677" s="433" t="s">
        <v>26372</v>
      </c>
      <c r="D14677" s="434">
        <v>262.74</v>
      </c>
      <c r="E14677" s="434">
        <v>155.12</v>
      </c>
      <c r="F14677" s="434">
        <v>49.15</v>
      </c>
      <c r="G14677" s="434">
        <v>58.47</v>
      </c>
      <c r="H14677" s="435">
        <v>2336.17</v>
      </c>
      <c r="I14677" s="435">
        <v>1783.89</v>
      </c>
      <c r="J14677" s="435">
        <v>266.39</v>
      </c>
      <c r="K14677" s="435">
        <v>285.89</v>
      </c>
      <c r="L14677" s="43">
        <v>8.8915658065007239</v>
      </c>
      <c r="M14677" s="43">
        <v>11.500064466219701</v>
      </c>
      <c r="N14677" s="43">
        <v>5.4199389623601215</v>
      </c>
      <c r="O14677" s="43">
        <v>4.88951599110655</v>
      </c>
      <c r="P14677" s="436"/>
      <c r="Q14677" s="436"/>
      <c r="R14677" s="436">
        <v>2</v>
      </c>
    </row>
    <row r="14678" spans="1:18" ht="24">
      <c r="A14678" s="432">
        <v>105</v>
      </c>
      <c r="B14678" s="429" t="s">
        <v>26373</v>
      </c>
      <c r="C14678" s="433" t="s">
        <v>26374</v>
      </c>
      <c r="D14678" s="434">
        <v>288.52</v>
      </c>
      <c r="E14678" s="434">
        <v>180.39</v>
      </c>
      <c r="F14678" s="434">
        <v>49.15</v>
      </c>
      <c r="G14678" s="434">
        <v>58.98</v>
      </c>
      <c r="H14678" s="435">
        <v>2632.75</v>
      </c>
      <c r="I14678" s="435">
        <v>2074.6</v>
      </c>
      <c r="J14678" s="435">
        <v>266.39</v>
      </c>
      <c r="K14678" s="435">
        <v>291.76</v>
      </c>
      <c r="L14678" s="43">
        <v>9.1250173298211568</v>
      </c>
      <c r="M14678" s="43">
        <v>11.500637507622374</v>
      </c>
      <c r="N14678" s="43">
        <v>5.4199389623601215</v>
      </c>
      <c r="O14678" s="43">
        <v>4.9467616141064772</v>
      </c>
      <c r="P14678" s="436"/>
      <c r="Q14678" s="436"/>
      <c r="R14678" s="436">
        <v>2</v>
      </c>
    </row>
    <row r="14679" spans="1:18" ht="24">
      <c r="A14679" s="432">
        <v>106</v>
      </c>
      <c r="B14679" s="429" t="s">
        <v>26375</v>
      </c>
      <c r="C14679" s="433" t="s">
        <v>26376</v>
      </c>
      <c r="D14679" s="434">
        <v>407.06</v>
      </c>
      <c r="E14679" s="434">
        <v>296.44</v>
      </c>
      <c r="F14679" s="434">
        <v>49.15</v>
      </c>
      <c r="G14679" s="434">
        <v>61.47</v>
      </c>
      <c r="H14679" s="435">
        <v>3995.53</v>
      </c>
      <c r="I14679" s="435">
        <v>3409.21</v>
      </c>
      <c r="J14679" s="435">
        <v>266.39</v>
      </c>
      <c r="K14679" s="435">
        <v>319.93</v>
      </c>
      <c r="L14679" s="43">
        <v>9.8155800127745305</v>
      </c>
      <c r="M14679" s="43">
        <v>11.500506004587775</v>
      </c>
      <c r="N14679" s="43">
        <v>5.4199389623601215</v>
      </c>
      <c r="O14679" s="43">
        <v>5.2046526761021639</v>
      </c>
      <c r="P14679" s="436"/>
      <c r="Q14679" s="436"/>
      <c r="R14679" s="436">
        <v>2</v>
      </c>
    </row>
    <row r="14680" spans="1:18" ht="12.75" customHeight="1">
      <c r="A14680" s="628" t="s">
        <v>26377</v>
      </c>
      <c r="B14680" s="629"/>
      <c r="C14680" s="629"/>
      <c r="D14680" s="629"/>
      <c r="E14680" s="629"/>
      <c r="F14680" s="629"/>
      <c r="G14680" s="629"/>
      <c r="H14680" s="629"/>
      <c r="I14680" s="629"/>
      <c r="J14680" s="629"/>
      <c r="K14680" s="629"/>
      <c r="L14680" s="629"/>
      <c r="M14680" s="629"/>
      <c r="N14680" s="629"/>
      <c r="O14680" s="629"/>
      <c r="P14680" s="629"/>
      <c r="Q14680" s="629"/>
      <c r="R14680" s="629"/>
    </row>
    <row r="14681" spans="1:18" ht="24">
      <c r="A14681" s="432">
        <v>107</v>
      </c>
      <c r="B14681" s="429" t="s">
        <v>26378</v>
      </c>
      <c r="C14681" s="433" t="s">
        <v>26379</v>
      </c>
      <c r="D14681" s="434">
        <v>331.25</v>
      </c>
      <c r="E14681" s="434">
        <v>229.58</v>
      </c>
      <c r="F14681" s="434">
        <v>12.93</v>
      </c>
      <c r="G14681" s="434">
        <v>88.74</v>
      </c>
      <c r="H14681" s="435">
        <v>3259.95</v>
      </c>
      <c r="I14681" s="435">
        <v>2640.19</v>
      </c>
      <c r="J14681" s="435">
        <v>70.09</v>
      </c>
      <c r="K14681" s="435">
        <v>549.66999999999996</v>
      </c>
      <c r="L14681" s="43">
        <v>9.8413584905660372</v>
      </c>
      <c r="M14681" s="43">
        <v>11.500087115602405</v>
      </c>
      <c r="N14681" s="43">
        <v>5.4207269914926535</v>
      </c>
      <c r="O14681" s="43">
        <v>6.1941627225602884</v>
      </c>
      <c r="P14681" s="436"/>
      <c r="Q14681" s="436"/>
      <c r="R14681" s="436">
        <v>3</v>
      </c>
    </row>
    <row r="14682" spans="1:18" ht="24">
      <c r="A14682" s="432">
        <v>108</v>
      </c>
      <c r="B14682" s="429" t="s">
        <v>26380</v>
      </c>
      <c r="C14682" s="433" t="s">
        <v>26381</v>
      </c>
      <c r="D14682" s="434">
        <v>349.9</v>
      </c>
      <c r="E14682" s="434">
        <v>242.8</v>
      </c>
      <c r="F14682" s="434">
        <v>18.079999999999998</v>
      </c>
      <c r="G14682" s="434">
        <v>89.02</v>
      </c>
      <c r="H14682" s="435">
        <v>3443.11</v>
      </c>
      <c r="I14682" s="435">
        <v>2792.25</v>
      </c>
      <c r="J14682" s="435">
        <v>98.03</v>
      </c>
      <c r="K14682" s="435">
        <v>552.83000000000004</v>
      </c>
      <c r="L14682" s="43">
        <v>9.8402686481851962</v>
      </c>
      <c r="M14682" s="43">
        <v>11.500205930807248</v>
      </c>
      <c r="N14682" s="43">
        <v>5.4220132743362841</v>
      </c>
      <c r="O14682" s="43">
        <v>6.2101774882048986</v>
      </c>
      <c r="P14682" s="436"/>
      <c r="Q14682" s="436"/>
      <c r="R14682" s="436">
        <v>3</v>
      </c>
    </row>
    <row r="14683" spans="1:18" ht="24">
      <c r="A14683" s="432">
        <v>109</v>
      </c>
      <c r="B14683" s="429" t="s">
        <v>26382</v>
      </c>
      <c r="C14683" s="433" t="s">
        <v>26383</v>
      </c>
      <c r="D14683" s="434">
        <v>392.96</v>
      </c>
      <c r="E14683" s="434">
        <v>282.47000000000003</v>
      </c>
      <c r="F14683" s="434">
        <v>20.67</v>
      </c>
      <c r="G14683" s="434">
        <v>89.82</v>
      </c>
      <c r="H14683" s="435">
        <v>3922.47</v>
      </c>
      <c r="I14683" s="435">
        <v>3248.41</v>
      </c>
      <c r="J14683" s="435">
        <v>112.05</v>
      </c>
      <c r="K14683" s="435">
        <v>562.01</v>
      </c>
      <c r="L14683" s="43">
        <v>9.9818556596091206</v>
      </c>
      <c r="M14683" s="43">
        <v>11.500017700994794</v>
      </c>
      <c r="N14683" s="43">
        <v>5.4208998548621183</v>
      </c>
      <c r="O14683" s="43">
        <v>6.2570696949454465</v>
      </c>
      <c r="P14683" s="436"/>
      <c r="Q14683" s="436"/>
      <c r="R14683" s="436">
        <v>3</v>
      </c>
    </row>
    <row r="14684" spans="1:18" ht="12.75" customHeight="1">
      <c r="A14684" s="628" t="s">
        <v>26384</v>
      </c>
      <c r="B14684" s="629"/>
      <c r="C14684" s="629"/>
      <c r="D14684" s="629"/>
      <c r="E14684" s="629"/>
      <c r="F14684" s="629"/>
      <c r="G14684" s="629"/>
      <c r="H14684" s="629"/>
      <c r="I14684" s="629"/>
      <c r="J14684" s="629"/>
      <c r="K14684" s="629"/>
      <c r="L14684" s="629"/>
      <c r="M14684" s="629"/>
      <c r="N14684" s="629"/>
      <c r="O14684" s="629"/>
      <c r="P14684" s="629"/>
      <c r="Q14684" s="629"/>
      <c r="R14684" s="629"/>
    </row>
    <row r="14685" spans="1:18" ht="24">
      <c r="A14685" s="432">
        <v>110</v>
      </c>
      <c r="B14685" s="429" t="s">
        <v>26385</v>
      </c>
      <c r="C14685" s="433" t="s">
        <v>26386</v>
      </c>
      <c r="D14685" s="434">
        <v>318.77</v>
      </c>
      <c r="E14685" s="434">
        <v>223.93</v>
      </c>
      <c r="F14685" s="434">
        <v>49.15</v>
      </c>
      <c r="G14685" s="434">
        <v>45.69</v>
      </c>
      <c r="H14685" s="435">
        <v>3142.11</v>
      </c>
      <c r="I14685" s="435">
        <v>2575.2199999999998</v>
      </c>
      <c r="J14685" s="435">
        <v>266.39</v>
      </c>
      <c r="K14685" s="435">
        <v>300.5</v>
      </c>
      <c r="L14685" s="43">
        <v>9.8569815227279864</v>
      </c>
      <c r="M14685" s="43">
        <v>11.500111642030991</v>
      </c>
      <c r="N14685" s="43">
        <v>5.4199389623601215</v>
      </c>
      <c r="O14685" s="43">
        <v>6.5769314948566429</v>
      </c>
      <c r="P14685" s="436"/>
      <c r="Q14685" s="436"/>
      <c r="R14685" s="436">
        <v>4</v>
      </c>
    </row>
    <row r="14686" spans="1:18" ht="24">
      <c r="A14686" s="432">
        <v>111</v>
      </c>
      <c r="B14686" s="429" t="s">
        <v>26387</v>
      </c>
      <c r="C14686" s="433" t="s">
        <v>26388</v>
      </c>
      <c r="D14686" s="434">
        <v>450.74</v>
      </c>
      <c r="E14686" s="434">
        <v>267.64999999999998</v>
      </c>
      <c r="F14686" s="434">
        <v>49.15</v>
      </c>
      <c r="G14686" s="434">
        <v>133.94</v>
      </c>
      <c r="H14686" s="435">
        <v>4023</v>
      </c>
      <c r="I14686" s="435">
        <v>3078.08</v>
      </c>
      <c r="J14686" s="435">
        <v>266.39</v>
      </c>
      <c r="K14686" s="435">
        <v>678.53</v>
      </c>
      <c r="L14686" s="43">
        <v>8.9253228025025511</v>
      </c>
      <c r="M14686" s="43">
        <v>11.500392303381282</v>
      </c>
      <c r="N14686" s="43">
        <v>5.4199389623601215</v>
      </c>
      <c r="O14686" s="43">
        <v>5.0659250410631627</v>
      </c>
      <c r="P14686" s="436"/>
      <c r="Q14686" s="436"/>
      <c r="R14686" s="436">
        <v>4</v>
      </c>
    </row>
    <row r="14687" spans="1:18" ht="12.75" customHeight="1">
      <c r="A14687" s="628" t="s">
        <v>26389</v>
      </c>
      <c r="B14687" s="629"/>
      <c r="C14687" s="629"/>
      <c r="D14687" s="629"/>
      <c r="E14687" s="629"/>
      <c r="F14687" s="629"/>
      <c r="G14687" s="629"/>
      <c r="H14687" s="629"/>
      <c r="I14687" s="629"/>
      <c r="J14687" s="629"/>
      <c r="K14687" s="629"/>
      <c r="L14687" s="629"/>
      <c r="M14687" s="629"/>
      <c r="N14687" s="629"/>
      <c r="O14687" s="629"/>
      <c r="P14687" s="629"/>
      <c r="Q14687" s="629"/>
      <c r="R14687" s="629"/>
    </row>
    <row r="14688" spans="1:18" ht="24">
      <c r="A14688" s="432">
        <v>112</v>
      </c>
      <c r="B14688" s="429" t="s">
        <v>26390</v>
      </c>
      <c r="C14688" s="433" t="s">
        <v>26391</v>
      </c>
      <c r="D14688" s="434">
        <v>239.76</v>
      </c>
      <c r="E14688" s="434">
        <v>105.94</v>
      </c>
      <c r="F14688" s="434">
        <v>49.15</v>
      </c>
      <c r="G14688" s="434">
        <v>84.67</v>
      </c>
      <c r="H14688" s="435">
        <v>1799.01</v>
      </c>
      <c r="I14688" s="435">
        <v>1218.3399999999999</v>
      </c>
      <c r="J14688" s="435">
        <v>266.39</v>
      </c>
      <c r="K14688" s="435">
        <v>314.27999999999997</v>
      </c>
      <c r="L14688" s="43">
        <v>7.503378378378379</v>
      </c>
      <c r="M14688" s="43">
        <v>11.500283179158014</v>
      </c>
      <c r="N14688" s="43">
        <v>5.4199389623601215</v>
      </c>
      <c r="O14688" s="43">
        <v>3.7118223691980625</v>
      </c>
      <c r="P14688" s="436"/>
      <c r="Q14688" s="436"/>
      <c r="R14688" s="436">
        <v>5</v>
      </c>
    </row>
    <row r="14689" spans="1:18" ht="24">
      <c r="A14689" s="432">
        <v>113</v>
      </c>
      <c r="B14689" s="429" t="s">
        <v>26392</v>
      </c>
      <c r="C14689" s="433" t="s">
        <v>26393</v>
      </c>
      <c r="D14689" s="434">
        <v>277.01</v>
      </c>
      <c r="E14689" s="434">
        <v>132.72</v>
      </c>
      <c r="F14689" s="434">
        <v>49.15</v>
      </c>
      <c r="G14689" s="434">
        <v>95.14</v>
      </c>
      <c r="H14689" s="435">
        <v>2137.77</v>
      </c>
      <c r="I14689" s="435">
        <v>1526.34</v>
      </c>
      <c r="J14689" s="435">
        <v>266.39</v>
      </c>
      <c r="K14689" s="435">
        <v>345.04</v>
      </c>
      <c r="L14689" s="43">
        <v>7.7173026244539908</v>
      </c>
      <c r="M14689" s="43">
        <v>11.500452079566003</v>
      </c>
      <c r="N14689" s="43">
        <v>5.4199389623601215</v>
      </c>
      <c r="O14689" s="43">
        <v>3.6266554551187724</v>
      </c>
      <c r="P14689" s="436"/>
      <c r="Q14689" s="436"/>
      <c r="R14689" s="436">
        <v>5</v>
      </c>
    </row>
    <row r="14690" spans="1:18" ht="24">
      <c r="A14690" s="432">
        <v>114</v>
      </c>
      <c r="B14690" s="429" t="s">
        <v>26394</v>
      </c>
      <c r="C14690" s="433" t="s">
        <v>26395</v>
      </c>
      <c r="D14690" s="434">
        <v>330.09</v>
      </c>
      <c r="E14690" s="434">
        <v>145.76</v>
      </c>
      <c r="F14690" s="434">
        <v>49.15</v>
      </c>
      <c r="G14690" s="434">
        <v>135.18</v>
      </c>
      <c r="H14690" s="435">
        <v>2389.42</v>
      </c>
      <c r="I14690" s="435">
        <v>1676.24</v>
      </c>
      <c r="J14690" s="435">
        <v>266.39</v>
      </c>
      <c r="K14690" s="435">
        <v>446.79</v>
      </c>
      <c r="L14690" s="43">
        <v>7.2386924778090833</v>
      </c>
      <c r="M14690" s="43">
        <v>11.5</v>
      </c>
      <c r="N14690" s="43">
        <v>5.4199389623601215</v>
      </c>
      <c r="O14690" s="43">
        <v>3.3051486906347094</v>
      </c>
      <c r="P14690" s="436"/>
      <c r="Q14690" s="436"/>
      <c r="R14690" s="436">
        <v>5</v>
      </c>
    </row>
    <row r="14691" spans="1:18" ht="12.75" customHeight="1">
      <c r="A14691" s="628" t="s">
        <v>26396</v>
      </c>
      <c r="B14691" s="629"/>
      <c r="C14691" s="629"/>
      <c r="D14691" s="629"/>
      <c r="E14691" s="629"/>
      <c r="F14691" s="629"/>
      <c r="G14691" s="629"/>
      <c r="H14691" s="629"/>
      <c r="I14691" s="629"/>
      <c r="J14691" s="629"/>
      <c r="K14691" s="629"/>
      <c r="L14691" s="629"/>
      <c r="M14691" s="629"/>
      <c r="N14691" s="629"/>
      <c r="O14691" s="629"/>
      <c r="P14691" s="629"/>
      <c r="Q14691" s="629"/>
      <c r="R14691" s="629"/>
    </row>
    <row r="14692" spans="1:18" ht="24">
      <c r="A14692" s="432">
        <v>115</v>
      </c>
      <c r="B14692" s="429" t="s">
        <v>26397</v>
      </c>
      <c r="C14692" s="433" t="s">
        <v>26398</v>
      </c>
      <c r="D14692" s="434">
        <v>245.35</v>
      </c>
      <c r="E14692" s="434">
        <v>159.97999999999999</v>
      </c>
      <c r="F14692" s="434">
        <v>49.15</v>
      </c>
      <c r="G14692" s="434">
        <v>36.22</v>
      </c>
      <c r="H14692" s="435">
        <v>2311.11</v>
      </c>
      <c r="I14692" s="435">
        <v>1839.78</v>
      </c>
      <c r="J14692" s="435">
        <v>266.39</v>
      </c>
      <c r="K14692" s="435">
        <v>204.94</v>
      </c>
      <c r="L14692" s="43">
        <v>9.4196454045241502</v>
      </c>
      <c r="M14692" s="43">
        <v>11.500062507813476</v>
      </c>
      <c r="N14692" s="43">
        <v>5.4199389623601215</v>
      </c>
      <c r="O14692" s="43">
        <v>5.6581998895637771</v>
      </c>
      <c r="P14692" s="436"/>
      <c r="Q14692" s="436"/>
      <c r="R14692" s="436">
        <v>6</v>
      </c>
    </row>
    <row r="14693" spans="1:18" ht="24">
      <c r="A14693" s="432">
        <v>116</v>
      </c>
      <c r="B14693" s="429" t="s">
        <v>26399</v>
      </c>
      <c r="C14693" s="433" t="s">
        <v>26400</v>
      </c>
      <c r="D14693" s="434">
        <v>286.45999999999998</v>
      </c>
      <c r="E14693" s="434">
        <v>200.27</v>
      </c>
      <c r="F14693" s="434">
        <v>49.15</v>
      </c>
      <c r="G14693" s="434">
        <v>37.04</v>
      </c>
      <c r="H14693" s="435">
        <v>2783.87</v>
      </c>
      <c r="I14693" s="435">
        <v>2303.13</v>
      </c>
      <c r="J14693" s="435">
        <v>266.39</v>
      </c>
      <c r="K14693" s="435">
        <v>214.35</v>
      </c>
      <c r="L14693" s="43">
        <v>9.718180548767716</v>
      </c>
      <c r="M14693" s="43">
        <v>11.500124831477505</v>
      </c>
      <c r="N14693" s="43">
        <v>5.4199389623601215</v>
      </c>
      <c r="O14693" s="43">
        <v>5.786987041036717</v>
      </c>
      <c r="P14693" s="436"/>
      <c r="Q14693" s="436"/>
      <c r="R14693" s="436">
        <v>6</v>
      </c>
    </row>
    <row r="14694" spans="1:18" ht="24">
      <c r="A14694" s="432">
        <v>117</v>
      </c>
      <c r="B14694" s="429" t="s">
        <v>26401</v>
      </c>
      <c r="C14694" s="433" t="s">
        <v>26402</v>
      </c>
      <c r="D14694" s="434">
        <v>345.68</v>
      </c>
      <c r="E14694" s="434">
        <v>258.33</v>
      </c>
      <c r="F14694" s="434">
        <v>49.15</v>
      </c>
      <c r="G14694" s="434">
        <v>38.200000000000003</v>
      </c>
      <c r="H14694" s="435">
        <v>3465.01</v>
      </c>
      <c r="I14694" s="435">
        <v>2970.9</v>
      </c>
      <c r="J14694" s="435">
        <v>266.39</v>
      </c>
      <c r="K14694" s="435">
        <v>227.72</v>
      </c>
      <c r="L14694" s="43">
        <v>10.023750289284887</v>
      </c>
      <c r="M14694" s="43">
        <v>11.500406456857508</v>
      </c>
      <c r="N14694" s="43">
        <v>5.4199389623601215</v>
      </c>
      <c r="O14694" s="43">
        <v>5.9612565445026178</v>
      </c>
      <c r="P14694" s="436"/>
      <c r="Q14694" s="436"/>
      <c r="R14694" s="436">
        <v>6</v>
      </c>
    </row>
    <row r="14695" spans="1:18" ht="12.75" customHeight="1">
      <c r="A14695" s="628" t="s">
        <v>26403</v>
      </c>
      <c r="B14695" s="629"/>
      <c r="C14695" s="629"/>
      <c r="D14695" s="629"/>
      <c r="E14695" s="629"/>
      <c r="F14695" s="629"/>
      <c r="G14695" s="629"/>
      <c r="H14695" s="629"/>
      <c r="I14695" s="629"/>
      <c r="J14695" s="629"/>
      <c r="K14695" s="629"/>
      <c r="L14695" s="629"/>
      <c r="M14695" s="629"/>
      <c r="N14695" s="629"/>
      <c r="O14695" s="629"/>
      <c r="P14695" s="629"/>
      <c r="Q14695" s="629"/>
      <c r="R14695" s="629"/>
    </row>
    <row r="14696" spans="1:18" ht="24">
      <c r="A14696" s="432">
        <v>118</v>
      </c>
      <c r="B14696" s="429" t="s">
        <v>26404</v>
      </c>
      <c r="C14696" s="433" t="s">
        <v>26405</v>
      </c>
      <c r="D14696" s="434">
        <v>649.98</v>
      </c>
      <c r="E14696" s="434">
        <v>445.79</v>
      </c>
      <c r="F14696" s="434">
        <v>51.78</v>
      </c>
      <c r="G14696" s="434">
        <v>152.41</v>
      </c>
      <c r="H14696" s="435">
        <v>6137.03</v>
      </c>
      <c r="I14696" s="435">
        <v>5126.82</v>
      </c>
      <c r="J14696" s="435">
        <v>280.58</v>
      </c>
      <c r="K14696" s="435">
        <v>729.63</v>
      </c>
      <c r="L14696" s="43">
        <v>9.4418751346195258</v>
      </c>
      <c r="M14696" s="43">
        <v>11.500527154041139</v>
      </c>
      <c r="N14696" s="43">
        <v>5.4186944766319041</v>
      </c>
      <c r="O14696" s="43">
        <v>4.7872842989305164</v>
      </c>
      <c r="P14696" s="436"/>
      <c r="Q14696" s="436"/>
      <c r="R14696" s="436">
        <v>7</v>
      </c>
    </row>
    <row r="14697" spans="1:18" ht="24">
      <c r="A14697" s="432">
        <v>119</v>
      </c>
      <c r="B14697" s="429" t="s">
        <v>26406</v>
      </c>
      <c r="C14697" s="433" t="s">
        <v>26407</v>
      </c>
      <c r="D14697" s="434">
        <v>201.35</v>
      </c>
      <c r="E14697" s="434">
        <v>143.54</v>
      </c>
      <c r="F14697" s="434">
        <v>7.76</v>
      </c>
      <c r="G14697" s="434">
        <v>50.05</v>
      </c>
      <c r="H14697" s="435">
        <v>1945.41</v>
      </c>
      <c r="I14697" s="435">
        <v>1650.78</v>
      </c>
      <c r="J14697" s="435">
        <v>42.05</v>
      </c>
      <c r="K14697" s="435">
        <v>252.58</v>
      </c>
      <c r="L14697" s="43">
        <v>9.6618326297491937</v>
      </c>
      <c r="M14697" s="43">
        <v>11.500487668942455</v>
      </c>
      <c r="N14697" s="43">
        <v>5.4188144329896906</v>
      </c>
      <c r="O14697" s="43">
        <v>5.046553446553447</v>
      </c>
      <c r="P14697" s="436"/>
      <c r="Q14697" s="436"/>
      <c r="R14697" s="436">
        <v>7</v>
      </c>
    </row>
    <row r="14698" spans="1:18" ht="12.75" customHeight="1">
      <c r="A14698" s="628" t="s">
        <v>26408</v>
      </c>
      <c r="B14698" s="629"/>
      <c r="C14698" s="629"/>
      <c r="D14698" s="629"/>
      <c r="E14698" s="629"/>
      <c r="F14698" s="629"/>
      <c r="G14698" s="629"/>
      <c r="H14698" s="629"/>
      <c r="I14698" s="629"/>
      <c r="J14698" s="629"/>
      <c r="K14698" s="629"/>
      <c r="L14698" s="629"/>
      <c r="M14698" s="629"/>
      <c r="N14698" s="629"/>
      <c r="O14698" s="629"/>
      <c r="P14698" s="629"/>
      <c r="Q14698" s="629"/>
      <c r="R14698" s="629"/>
    </row>
    <row r="14699" spans="1:18" ht="24">
      <c r="A14699" s="432">
        <v>120</v>
      </c>
      <c r="B14699" s="429" t="s">
        <v>26409</v>
      </c>
      <c r="C14699" s="433" t="s">
        <v>26410</v>
      </c>
      <c r="D14699" s="434">
        <v>590.94000000000005</v>
      </c>
      <c r="E14699" s="434">
        <v>332.99</v>
      </c>
      <c r="F14699" s="434">
        <v>188.36</v>
      </c>
      <c r="G14699" s="434">
        <v>69.59</v>
      </c>
      <c r="H14699" s="435">
        <v>5333.77</v>
      </c>
      <c r="I14699" s="435">
        <v>3829.47</v>
      </c>
      <c r="J14699" s="435">
        <v>1090.6600000000001</v>
      </c>
      <c r="K14699" s="435">
        <v>413.64</v>
      </c>
      <c r="L14699" s="43">
        <v>9.0259078755880466</v>
      </c>
      <c r="M14699" s="43">
        <v>11.500255262920808</v>
      </c>
      <c r="N14699" s="43">
        <v>5.7902951794436186</v>
      </c>
      <c r="O14699" s="43">
        <v>5.9439574651530389</v>
      </c>
      <c r="P14699" s="436"/>
      <c r="Q14699" s="436"/>
      <c r="R14699" s="436">
        <v>8</v>
      </c>
    </row>
    <row r="14700" spans="1:18" ht="12.75" customHeight="1">
      <c r="A14700" s="628" t="s">
        <v>26411</v>
      </c>
      <c r="B14700" s="629"/>
      <c r="C14700" s="629"/>
      <c r="D14700" s="629"/>
      <c r="E14700" s="629"/>
      <c r="F14700" s="629"/>
      <c r="G14700" s="629"/>
      <c r="H14700" s="629"/>
      <c r="I14700" s="629"/>
      <c r="J14700" s="629"/>
      <c r="K14700" s="629"/>
      <c r="L14700" s="629"/>
      <c r="M14700" s="629"/>
      <c r="N14700" s="629"/>
      <c r="O14700" s="629"/>
      <c r="P14700" s="629"/>
      <c r="Q14700" s="629"/>
      <c r="R14700" s="629"/>
    </row>
    <row r="14701" spans="1:18" ht="24">
      <c r="A14701" s="432">
        <v>121</v>
      </c>
      <c r="B14701" s="429" t="s">
        <v>26412</v>
      </c>
      <c r="C14701" s="433" t="s">
        <v>26413</v>
      </c>
      <c r="D14701" s="434">
        <v>1431.12</v>
      </c>
      <c r="E14701" s="434">
        <v>1149</v>
      </c>
      <c r="F14701" s="434">
        <v>183.39</v>
      </c>
      <c r="G14701" s="434">
        <v>98.73</v>
      </c>
      <c r="H14701" s="435">
        <v>14906.32</v>
      </c>
      <c r="I14701" s="435">
        <v>13214</v>
      </c>
      <c r="J14701" s="435">
        <v>991.35</v>
      </c>
      <c r="K14701" s="435">
        <v>700.97</v>
      </c>
      <c r="L14701" s="43">
        <v>10.415842137626475</v>
      </c>
      <c r="M14701" s="43">
        <v>11.500435161009573</v>
      </c>
      <c r="N14701" s="43">
        <v>5.4056927858661874</v>
      </c>
      <c r="O14701" s="43">
        <v>7.0998683277625849</v>
      </c>
      <c r="P14701" s="436"/>
      <c r="Q14701" s="436"/>
      <c r="R14701" s="436">
        <v>9</v>
      </c>
    </row>
    <row r="14702" spans="1:18" ht="24">
      <c r="A14702" s="432">
        <v>122</v>
      </c>
      <c r="B14702" s="429" t="s">
        <v>26414</v>
      </c>
      <c r="C14702" s="433" t="s">
        <v>26415</v>
      </c>
      <c r="D14702" s="434">
        <v>582.70000000000005</v>
      </c>
      <c r="E14702" s="434">
        <v>429.73</v>
      </c>
      <c r="F14702" s="434">
        <v>80.959999999999994</v>
      </c>
      <c r="G14702" s="434">
        <v>72.010000000000005</v>
      </c>
      <c r="H14702" s="435">
        <v>5852.67</v>
      </c>
      <c r="I14702" s="435">
        <v>4942.04</v>
      </c>
      <c r="J14702" s="435">
        <v>450.42</v>
      </c>
      <c r="K14702" s="435">
        <v>460.21</v>
      </c>
      <c r="L14702" s="43">
        <v>10.044053543847605</v>
      </c>
      <c r="M14702" s="43">
        <v>11.500337421171432</v>
      </c>
      <c r="N14702" s="43">
        <v>5.5634881422924911</v>
      </c>
      <c r="O14702" s="43">
        <v>6.3909179280655461</v>
      </c>
      <c r="P14702" s="436"/>
      <c r="Q14702" s="436"/>
      <c r="R14702" s="436">
        <v>9</v>
      </c>
    </row>
    <row r="14703" spans="1:18" ht="24">
      <c r="A14703" s="432">
        <v>123</v>
      </c>
      <c r="B14703" s="429" t="s">
        <v>26416</v>
      </c>
      <c r="C14703" s="433" t="s">
        <v>26417</v>
      </c>
      <c r="D14703" s="434">
        <v>588.73</v>
      </c>
      <c r="E14703" s="434">
        <v>469.05</v>
      </c>
      <c r="F14703" s="434">
        <v>73.22</v>
      </c>
      <c r="G14703" s="434">
        <v>46.46</v>
      </c>
      <c r="H14703" s="435">
        <v>6126.79</v>
      </c>
      <c r="I14703" s="435">
        <v>5394.25</v>
      </c>
      <c r="J14703" s="435">
        <v>408.46</v>
      </c>
      <c r="K14703" s="435">
        <v>324.08</v>
      </c>
      <c r="L14703" s="43">
        <v>10.406790888862467</v>
      </c>
      <c r="M14703" s="43">
        <v>11.500373094552819</v>
      </c>
      <c r="N14703" s="43">
        <v>5.5785304561595188</v>
      </c>
      <c r="O14703" s="43">
        <v>6.9754627636676707</v>
      </c>
      <c r="P14703" s="436"/>
      <c r="Q14703" s="436"/>
      <c r="R14703" s="436">
        <v>9</v>
      </c>
    </row>
    <row r="14704" spans="1:18" ht="24">
      <c r="A14704" s="432">
        <v>124</v>
      </c>
      <c r="B14704" s="429" t="s">
        <v>26418</v>
      </c>
      <c r="C14704" s="433" t="s">
        <v>26419</v>
      </c>
      <c r="D14704" s="434">
        <v>793.02</v>
      </c>
      <c r="E14704" s="434">
        <v>537.95000000000005</v>
      </c>
      <c r="F14704" s="434">
        <v>88.64</v>
      </c>
      <c r="G14704" s="434">
        <v>166.43</v>
      </c>
      <c r="H14704" s="435">
        <v>7973.18</v>
      </c>
      <c r="I14704" s="435">
        <v>6186.63</v>
      </c>
      <c r="J14704" s="435">
        <v>492.14</v>
      </c>
      <c r="K14704" s="435">
        <v>1294.4100000000001</v>
      </c>
      <c r="L14704" s="43">
        <v>10.054197876472221</v>
      </c>
      <c r="M14704" s="43">
        <v>11.500381076308207</v>
      </c>
      <c r="N14704" s="43">
        <v>5.5521209386281587</v>
      </c>
      <c r="O14704" s="43">
        <v>7.7775040557591781</v>
      </c>
      <c r="P14704" s="436"/>
      <c r="Q14704" s="436"/>
      <c r="R14704" s="436">
        <v>9</v>
      </c>
    </row>
    <row r="14705" spans="1:18" ht="24">
      <c r="A14705" s="432">
        <v>125</v>
      </c>
      <c r="B14705" s="429" t="s">
        <v>26420</v>
      </c>
      <c r="C14705" s="433" t="s">
        <v>26421</v>
      </c>
      <c r="D14705" s="434">
        <v>530.84</v>
      </c>
      <c r="E14705" s="434">
        <v>426.6</v>
      </c>
      <c r="F14705" s="434">
        <v>51.78</v>
      </c>
      <c r="G14705" s="434">
        <v>52.46</v>
      </c>
      <c r="H14705" s="435">
        <v>5555.48</v>
      </c>
      <c r="I14705" s="435">
        <v>4906.08</v>
      </c>
      <c r="J14705" s="435">
        <v>280.58</v>
      </c>
      <c r="K14705" s="435">
        <v>368.82</v>
      </c>
      <c r="L14705" s="43">
        <v>10.465450983347147</v>
      </c>
      <c r="M14705" s="43">
        <v>11.50042194092827</v>
      </c>
      <c r="N14705" s="43">
        <v>5.4186944766319041</v>
      </c>
      <c r="O14705" s="43">
        <v>7.0304994281357223</v>
      </c>
      <c r="P14705" s="436"/>
      <c r="Q14705" s="436"/>
      <c r="R14705" s="436">
        <v>9</v>
      </c>
    </row>
    <row r="14706" spans="1:18" ht="12.75" customHeight="1">
      <c r="A14706" s="628" t="s">
        <v>26422</v>
      </c>
      <c r="B14706" s="629"/>
      <c r="C14706" s="629"/>
      <c r="D14706" s="629"/>
      <c r="E14706" s="629"/>
      <c r="F14706" s="629"/>
      <c r="G14706" s="629"/>
      <c r="H14706" s="629"/>
      <c r="I14706" s="629"/>
      <c r="J14706" s="629"/>
      <c r="K14706" s="629"/>
      <c r="L14706" s="629"/>
      <c r="M14706" s="629"/>
      <c r="N14706" s="629"/>
      <c r="O14706" s="629"/>
      <c r="P14706" s="629"/>
      <c r="Q14706" s="629"/>
      <c r="R14706" s="629"/>
    </row>
    <row r="14707" spans="1:18" ht="36">
      <c r="A14707" s="432">
        <v>126</v>
      </c>
      <c r="B14707" s="429" t="s">
        <v>26423</v>
      </c>
      <c r="C14707" s="433" t="s">
        <v>26424</v>
      </c>
      <c r="D14707" s="434">
        <v>879.86</v>
      </c>
      <c r="E14707" s="434">
        <v>585.39</v>
      </c>
      <c r="F14707" s="434">
        <v>122.42</v>
      </c>
      <c r="G14707" s="434">
        <v>172.05</v>
      </c>
      <c r="H14707" s="435">
        <v>8581.86</v>
      </c>
      <c r="I14707" s="435">
        <v>6732.23</v>
      </c>
      <c r="J14707" s="435">
        <v>662.55</v>
      </c>
      <c r="K14707" s="435">
        <v>1187.08</v>
      </c>
      <c r="L14707" s="43">
        <v>9.7536653558520676</v>
      </c>
      <c r="M14707" s="43">
        <v>11.500418524402535</v>
      </c>
      <c r="N14707" s="43">
        <v>5.4121058650547296</v>
      </c>
      <c r="O14707" s="43">
        <v>6.8996222028480085</v>
      </c>
      <c r="P14707" s="436"/>
      <c r="Q14707" s="436"/>
      <c r="R14707" s="436">
        <v>10</v>
      </c>
    </row>
    <row r="14708" spans="1:18" ht="36">
      <c r="A14708" s="432">
        <v>127</v>
      </c>
      <c r="B14708" s="429" t="s">
        <v>26425</v>
      </c>
      <c r="C14708" s="433" t="s">
        <v>26426</v>
      </c>
      <c r="D14708" s="434">
        <v>981.47</v>
      </c>
      <c r="E14708" s="434">
        <v>637.53</v>
      </c>
      <c r="F14708" s="434">
        <v>145.69999999999999</v>
      </c>
      <c r="G14708" s="434">
        <v>198.24</v>
      </c>
      <c r="H14708" s="435">
        <v>9452.77</v>
      </c>
      <c r="I14708" s="435">
        <v>7331.86</v>
      </c>
      <c r="J14708" s="435">
        <v>788.76</v>
      </c>
      <c r="K14708" s="435">
        <v>1332.15</v>
      </c>
      <c r="L14708" s="43">
        <v>9.6312368182420247</v>
      </c>
      <c r="M14708" s="43">
        <v>11.500415666713723</v>
      </c>
      <c r="N14708" s="43">
        <v>5.4135895676046673</v>
      </c>
      <c r="O14708" s="43">
        <v>6.7198849878934626</v>
      </c>
      <c r="P14708" s="436"/>
      <c r="Q14708" s="436"/>
      <c r="R14708" s="436">
        <v>10</v>
      </c>
    </row>
    <row r="14709" spans="1:18" ht="24">
      <c r="A14709" s="432">
        <v>128</v>
      </c>
      <c r="B14709" s="429" t="s">
        <v>26427</v>
      </c>
      <c r="C14709" s="433" t="s">
        <v>26428</v>
      </c>
      <c r="D14709" s="434">
        <v>566.29999999999995</v>
      </c>
      <c r="E14709" s="434">
        <v>426.6</v>
      </c>
      <c r="F14709" s="434">
        <v>107.39</v>
      </c>
      <c r="G14709" s="434">
        <v>32.31</v>
      </c>
      <c r="H14709" s="435">
        <v>5757.32</v>
      </c>
      <c r="I14709" s="435">
        <v>4906.08</v>
      </c>
      <c r="J14709" s="435">
        <v>580.55999999999995</v>
      </c>
      <c r="K14709" s="435">
        <v>270.68</v>
      </c>
      <c r="L14709" s="43">
        <v>10.16655482959562</v>
      </c>
      <c r="M14709" s="43">
        <v>11.50042194092827</v>
      </c>
      <c r="N14709" s="43">
        <v>5.4060899525095438</v>
      </c>
      <c r="O14709" s="43">
        <v>8.3775920767564216</v>
      </c>
      <c r="P14709" s="436"/>
      <c r="Q14709" s="436"/>
      <c r="R14709" s="436">
        <v>10</v>
      </c>
    </row>
    <row r="14710" spans="1:18" ht="12.75" customHeight="1">
      <c r="A14710" s="628" t="s">
        <v>26429</v>
      </c>
      <c r="B14710" s="629"/>
      <c r="C14710" s="629"/>
      <c r="D14710" s="629"/>
      <c r="E14710" s="629"/>
      <c r="F14710" s="629"/>
      <c r="G14710" s="629"/>
      <c r="H14710" s="629"/>
      <c r="I14710" s="629"/>
      <c r="J14710" s="629"/>
      <c r="K14710" s="629"/>
      <c r="L14710" s="629"/>
      <c r="M14710" s="629"/>
      <c r="N14710" s="629"/>
      <c r="O14710" s="629"/>
      <c r="P14710" s="629"/>
      <c r="Q14710" s="629"/>
      <c r="R14710" s="629"/>
    </row>
    <row r="14711" spans="1:18" ht="24">
      <c r="A14711" s="432">
        <v>129</v>
      </c>
      <c r="B14711" s="429" t="s">
        <v>26430</v>
      </c>
      <c r="C14711" s="433" t="s">
        <v>26431</v>
      </c>
      <c r="D14711" s="434">
        <v>2559.83</v>
      </c>
      <c r="E14711" s="434">
        <v>1404.48</v>
      </c>
      <c r="F14711" s="434">
        <v>159.91999999999999</v>
      </c>
      <c r="G14711" s="434">
        <v>995.43</v>
      </c>
      <c r="H14711" s="435">
        <v>22327.29</v>
      </c>
      <c r="I14711" s="435">
        <v>16151.52</v>
      </c>
      <c r="J14711" s="435">
        <v>864.34</v>
      </c>
      <c r="K14711" s="435">
        <v>5311.43</v>
      </c>
      <c r="L14711" s="43">
        <v>8.7221768633073289</v>
      </c>
      <c r="M14711" s="43">
        <v>11.5</v>
      </c>
      <c r="N14711" s="43">
        <v>5.4048274137068537</v>
      </c>
      <c r="O14711" s="43">
        <v>5.3358146730558662</v>
      </c>
      <c r="P14711" s="436"/>
      <c r="Q14711" s="436"/>
      <c r="R14711" s="436">
        <v>11</v>
      </c>
    </row>
    <row r="14712" spans="1:18" ht="24">
      <c r="A14712" s="432">
        <v>130</v>
      </c>
      <c r="B14712" s="429" t="s">
        <v>26432</v>
      </c>
      <c r="C14712" s="433" t="s">
        <v>26433</v>
      </c>
      <c r="D14712" s="434">
        <v>307.45999999999998</v>
      </c>
      <c r="E14712" s="434">
        <v>218.2</v>
      </c>
      <c r="F14712" s="434">
        <v>4.66</v>
      </c>
      <c r="G14712" s="434">
        <v>84.6</v>
      </c>
      <c r="H14712" s="435">
        <v>3020.4</v>
      </c>
      <c r="I14712" s="435">
        <v>2509.25</v>
      </c>
      <c r="J14712" s="435">
        <v>22.91</v>
      </c>
      <c r="K14712" s="435">
        <v>488.24</v>
      </c>
      <c r="L14712" s="43">
        <v>9.8237169062642309</v>
      </c>
      <c r="M14712" s="43">
        <v>11.499770852428965</v>
      </c>
      <c r="N14712" s="43">
        <v>4.9163090128755362</v>
      </c>
      <c r="O14712" s="43">
        <v>5.7711583924349883</v>
      </c>
      <c r="P14712" s="436"/>
      <c r="Q14712" s="436"/>
      <c r="R14712" s="436">
        <v>11</v>
      </c>
    </row>
    <row r="14713" spans="1:18" ht="12.75" customHeight="1">
      <c r="A14713" s="628" t="s">
        <v>26434</v>
      </c>
      <c r="B14713" s="629"/>
      <c r="C14713" s="629"/>
      <c r="D14713" s="629"/>
      <c r="E14713" s="629"/>
      <c r="F14713" s="629"/>
      <c r="G14713" s="629"/>
      <c r="H14713" s="629"/>
      <c r="I14713" s="629"/>
      <c r="J14713" s="629"/>
      <c r="K14713" s="629"/>
      <c r="L14713" s="629"/>
      <c r="M14713" s="629"/>
      <c r="N14713" s="629"/>
      <c r="O14713" s="629"/>
      <c r="P14713" s="629"/>
      <c r="Q14713" s="629"/>
      <c r="R14713" s="629"/>
    </row>
    <row r="14714" spans="1:18" ht="12.75" customHeight="1">
      <c r="A14714" s="628" t="s">
        <v>26435</v>
      </c>
      <c r="B14714" s="629"/>
      <c r="C14714" s="629"/>
      <c r="D14714" s="629"/>
      <c r="E14714" s="629"/>
      <c r="F14714" s="629"/>
      <c r="G14714" s="629"/>
      <c r="H14714" s="629"/>
      <c r="I14714" s="629"/>
      <c r="J14714" s="629"/>
      <c r="K14714" s="629"/>
      <c r="L14714" s="629"/>
      <c r="M14714" s="629"/>
      <c r="N14714" s="629"/>
      <c r="O14714" s="629"/>
      <c r="P14714" s="629"/>
      <c r="Q14714" s="629"/>
      <c r="R14714" s="629"/>
    </row>
    <row r="14715" spans="1:18" ht="24">
      <c r="A14715" s="432">
        <v>131</v>
      </c>
      <c r="B14715" s="429" t="s">
        <v>26436</v>
      </c>
      <c r="C14715" s="433" t="s">
        <v>26437</v>
      </c>
      <c r="D14715" s="434">
        <v>194.13</v>
      </c>
      <c r="E14715" s="434">
        <v>105.74</v>
      </c>
      <c r="F14715" s="434">
        <v>49.15</v>
      </c>
      <c r="G14715" s="434">
        <v>39.24</v>
      </c>
      <c r="H14715" s="435">
        <v>1718.28</v>
      </c>
      <c r="I14715" s="435">
        <v>1216.04</v>
      </c>
      <c r="J14715" s="435">
        <v>266.39</v>
      </c>
      <c r="K14715" s="435">
        <v>235.85</v>
      </c>
      <c r="L14715" s="43">
        <v>8.8511821974965237</v>
      </c>
      <c r="M14715" s="43">
        <v>11.500283714772083</v>
      </c>
      <c r="N14715" s="43">
        <v>5.4199389623601215</v>
      </c>
      <c r="O14715" s="43">
        <v>6.0104485219164117</v>
      </c>
      <c r="P14715" s="436"/>
      <c r="Q14715" s="436"/>
      <c r="R14715" s="436">
        <v>1</v>
      </c>
    </row>
    <row r="14716" spans="1:18" ht="24">
      <c r="A14716" s="432">
        <v>132</v>
      </c>
      <c r="B14716" s="429" t="s">
        <v>26438</v>
      </c>
      <c r="C14716" s="433" t="s">
        <v>26439</v>
      </c>
      <c r="D14716" s="434">
        <v>130.44</v>
      </c>
      <c r="E14716" s="434">
        <v>76.37</v>
      </c>
      <c r="F14716" s="434">
        <v>41.4</v>
      </c>
      <c r="G14716" s="434">
        <v>12.67</v>
      </c>
      <c r="H14716" s="435">
        <v>1183.75</v>
      </c>
      <c r="I14716" s="435">
        <v>878.34</v>
      </c>
      <c r="J14716" s="435">
        <v>224.34</v>
      </c>
      <c r="K14716" s="435">
        <v>81.069999999999993</v>
      </c>
      <c r="L14716" s="43">
        <v>9.0750536645200857</v>
      </c>
      <c r="M14716" s="43">
        <v>11.501113002487887</v>
      </c>
      <c r="N14716" s="43">
        <v>5.4188405797101451</v>
      </c>
      <c r="O14716" s="43">
        <v>6.3985793212312547</v>
      </c>
      <c r="P14716" s="436"/>
      <c r="Q14716" s="436"/>
      <c r="R14716" s="436">
        <v>1</v>
      </c>
    </row>
    <row r="14717" spans="1:18" ht="12.75" customHeight="1">
      <c r="A14717" s="628" t="s">
        <v>26440</v>
      </c>
      <c r="B14717" s="629"/>
      <c r="C14717" s="629"/>
      <c r="D14717" s="629"/>
      <c r="E14717" s="629"/>
      <c r="F14717" s="629"/>
      <c r="G14717" s="629"/>
      <c r="H14717" s="629"/>
      <c r="I14717" s="629"/>
      <c r="J14717" s="629"/>
      <c r="K14717" s="629"/>
      <c r="L14717" s="629"/>
      <c r="M14717" s="629"/>
      <c r="N14717" s="629"/>
      <c r="O14717" s="629"/>
      <c r="P14717" s="629"/>
      <c r="Q14717" s="629"/>
      <c r="R14717" s="629"/>
    </row>
    <row r="14718" spans="1:18" ht="24">
      <c r="A14718" s="432">
        <v>133</v>
      </c>
      <c r="B14718" s="429" t="s">
        <v>26441</v>
      </c>
      <c r="C14718" s="433" t="s">
        <v>26442</v>
      </c>
      <c r="D14718" s="434">
        <v>365.94</v>
      </c>
      <c r="E14718" s="434">
        <v>159.71</v>
      </c>
      <c r="F14718" s="434">
        <v>70.63</v>
      </c>
      <c r="G14718" s="434">
        <v>135.6</v>
      </c>
      <c r="H14718" s="435">
        <v>3048.58</v>
      </c>
      <c r="I14718" s="435">
        <v>1836.75</v>
      </c>
      <c r="J14718" s="435">
        <v>394.44</v>
      </c>
      <c r="K14718" s="435">
        <v>817.39</v>
      </c>
      <c r="L14718" s="43">
        <v>8.330819259987976</v>
      </c>
      <c r="M14718" s="43">
        <v>11.500532214639033</v>
      </c>
      <c r="N14718" s="43">
        <v>5.5845957808296758</v>
      </c>
      <c r="O14718" s="43">
        <v>6.0279498525073745</v>
      </c>
      <c r="P14718" s="436"/>
      <c r="Q14718" s="436"/>
      <c r="R14718" s="436">
        <v>2</v>
      </c>
    </row>
    <row r="14719" spans="1:18" ht="24">
      <c r="A14719" s="432">
        <v>134</v>
      </c>
      <c r="B14719" s="429" t="s">
        <v>26443</v>
      </c>
      <c r="C14719" s="433" t="s">
        <v>26444</v>
      </c>
      <c r="D14719" s="434">
        <v>428.06</v>
      </c>
      <c r="E14719" s="434">
        <v>220.61</v>
      </c>
      <c r="F14719" s="434">
        <v>70.63</v>
      </c>
      <c r="G14719" s="434">
        <v>136.82</v>
      </c>
      <c r="H14719" s="435">
        <v>3762.95</v>
      </c>
      <c r="I14719" s="435">
        <v>2537.09</v>
      </c>
      <c r="J14719" s="435">
        <v>394.44</v>
      </c>
      <c r="K14719" s="435">
        <v>831.42</v>
      </c>
      <c r="L14719" s="43">
        <v>8.790706910246227</v>
      </c>
      <c r="M14719" s="43">
        <v>11.500339966456643</v>
      </c>
      <c r="N14719" s="43">
        <v>5.5845957808296758</v>
      </c>
      <c r="O14719" s="43">
        <v>6.0767431662037712</v>
      </c>
      <c r="P14719" s="436"/>
      <c r="Q14719" s="436"/>
      <c r="R14719" s="436">
        <v>2</v>
      </c>
    </row>
    <row r="14720" spans="1:18" ht="24">
      <c r="A14720" s="432">
        <v>135</v>
      </c>
      <c r="B14720" s="429" t="s">
        <v>26445</v>
      </c>
      <c r="C14720" s="433" t="s">
        <v>26446</v>
      </c>
      <c r="D14720" s="434">
        <v>455.03</v>
      </c>
      <c r="E14720" s="434">
        <v>234.4</v>
      </c>
      <c r="F14720" s="434">
        <v>73.22</v>
      </c>
      <c r="G14720" s="434">
        <v>147.41</v>
      </c>
      <c r="H14720" s="435">
        <v>4021.7</v>
      </c>
      <c r="I14720" s="435">
        <v>2695.66</v>
      </c>
      <c r="J14720" s="435">
        <v>408.46</v>
      </c>
      <c r="K14720" s="435">
        <v>917.58</v>
      </c>
      <c r="L14720" s="43">
        <v>8.8383183526360902</v>
      </c>
      <c r="M14720" s="43">
        <v>11.500255972696245</v>
      </c>
      <c r="N14720" s="43">
        <v>5.5785304561595188</v>
      </c>
      <c r="O14720" s="43">
        <v>6.2246794654365383</v>
      </c>
      <c r="P14720" s="436"/>
      <c r="Q14720" s="436"/>
      <c r="R14720" s="436">
        <v>2</v>
      </c>
    </row>
    <row r="14721" spans="1:18" ht="24">
      <c r="A14721" s="432">
        <v>136</v>
      </c>
      <c r="B14721" s="429" t="s">
        <v>26447</v>
      </c>
      <c r="C14721" s="433" t="s">
        <v>26448</v>
      </c>
      <c r="D14721" s="434">
        <v>611.13</v>
      </c>
      <c r="E14721" s="434">
        <v>286.10000000000002</v>
      </c>
      <c r="F14721" s="434">
        <v>102.65</v>
      </c>
      <c r="G14721" s="434">
        <v>222.38</v>
      </c>
      <c r="H14721" s="435">
        <v>5194.3500000000004</v>
      </c>
      <c r="I14721" s="435">
        <v>3290.29</v>
      </c>
      <c r="J14721" s="435">
        <v>566.87</v>
      </c>
      <c r="K14721" s="435">
        <v>1337.19</v>
      </c>
      <c r="L14721" s="43">
        <v>8.4995827401698492</v>
      </c>
      <c r="M14721" s="43">
        <v>11.500489339391819</v>
      </c>
      <c r="N14721" s="43">
        <v>5.5223575255723327</v>
      </c>
      <c r="O14721" s="43">
        <v>6.0130857091465062</v>
      </c>
      <c r="P14721" s="436"/>
      <c r="Q14721" s="436"/>
      <c r="R14721" s="436">
        <v>2</v>
      </c>
    </row>
    <row r="14722" spans="1:18" ht="24">
      <c r="A14722" s="432">
        <v>137</v>
      </c>
      <c r="B14722" s="429" t="s">
        <v>26449</v>
      </c>
      <c r="C14722" s="433" t="s">
        <v>26450</v>
      </c>
      <c r="D14722" s="434">
        <v>692.96</v>
      </c>
      <c r="E14722" s="434">
        <v>335.51</v>
      </c>
      <c r="F14722" s="434">
        <v>134.08000000000001</v>
      </c>
      <c r="G14722" s="434">
        <v>223.37</v>
      </c>
      <c r="H14722" s="435">
        <v>5943.87</v>
      </c>
      <c r="I14722" s="435">
        <v>3858.49</v>
      </c>
      <c r="J14722" s="435">
        <v>736.8</v>
      </c>
      <c r="K14722" s="435">
        <v>1348.58</v>
      </c>
      <c r="L14722" s="43">
        <v>8.5775080812745319</v>
      </c>
      <c r="M14722" s="43">
        <v>11.500372567136598</v>
      </c>
      <c r="N14722" s="43">
        <v>5.4952267303102618</v>
      </c>
      <c r="O14722" s="43">
        <v>6.0374266911402605</v>
      </c>
      <c r="P14722" s="436"/>
      <c r="Q14722" s="436"/>
      <c r="R14722" s="436">
        <v>2</v>
      </c>
    </row>
    <row r="14723" spans="1:18" ht="24">
      <c r="A14723" s="432">
        <v>138</v>
      </c>
      <c r="B14723" s="429" t="s">
        <v>26451</v>
      </c>
      <c r="C14723" s="433" t="s">
        <v>26452</v>
      </c>
      <c r="D14723" s="434">
        <v>1312.58</v>
      </c>
      <c r="E14723" s="434">
        <v>985.84</v>
      </c>
      <c r="F14723" s="434">
        <v>135.25</v>
      </c>
      <c r="G14723" s="434">
        <v>191.49</v>
      </c>
      <c r="H14723" s="435">
        <v>13257.65</v>
      </c>
      <c r="I14723" s="435">
        <v>11337.61</v>
      </c>
      <c r="J14723" s="435">
        <v>779.33</v>
      </c>
      <c r="K14723" s="435">
        <v>1140.71</v>
      </c>
      <c r="L14723" s="43">
        <v>10.100451020128297</v>
      </c>
      <c r="M14723" s="43">
        <v>11.500456463523493</v>
      </c>
      <c r="N14723" s="43">
        <v>5.7621441774491684</v>
      </c>
      <c r="O14723" s="43">
        <v>5.9570212543735961</v>
      </c>
      <c r="P14723" s="436"/>
      <c r="Q14723" s="436"/>
      <c r="R14723" s="436">
        <v>2</v>
      </c>
    </row>
    <row r="14724" spans="1:18" ht="24">
      <c r="A14724" s="432">
        <v>139</v>
      </c>
      <c r="B14724" s="429" t="s">
        <v>26453</v>
      </c>
      <c r="C14724" s="433" t="s">
        <v>26454</v>
      </c>
      <c r="D14724" s="434">
        <v>1169.77</v>
      </c>
      <c r="E14724" s="434">
        <v>777.87</v>
      </c>
      <c r="F14724" s="434">
        <v>204.27</v>
      </c>
      <c r="G14724" s="434">
        <v>187.63</v>
      </c>
      <c r="H14724" s="435">
        <v>11217.86</v>
      </c>
      <c r="I14724" s="435">
        <v>8945.8799999999992</v>
      </c>
      <c r="J14724" s="435">
        <v>1176.43</v>
      </c>
      <c r="K14724" s="435">
        <v>1095.55</v>
      </c>
      <c r="L14724" s="43">
        <v>9.5897997042153591</v>
      </c>
      <c r="M14724" s="43">
        <v>11.500482085695552</v>
      </c>
      <c r="N14724" s="43">
        <v>5.7591912664610563</v>
      </c>
      <c r="O14724" s="43">
        <v>5.8388850397058043</v>
      </c>
      <c r="P14724" s="436"/>
      <c r="Q14724" s="436"/>
      <c r="R14724" s="436">
        <v>2</v>
      </c>
    </row>
    <row r="14725" spans="1:18" ht="24">
      <c r="A14725" s="432">
        <v>140</v>
      </c>
      <c r="B14725" s="429" t="s">
        <v>26455</v>
      </c>
      <c r="C14725" s="433" t="s">
        <v>26456</v>
      </c>
      <c r="D14725" s="434">
        <v>1397.29</v>
      </c>
      <c r="E14725" s="434">
        <v>928.39</v>
      </c>
      <c r="F14725" s="434">
        <v>263.92</v>
      </c>
      <c r="G14725" s="434">
        <v>204.98</v>
      </c>
      <c r="H14725" s="435">
        <v>13381.72</v>
      </c>
      <c r="I14725" s="435">
        <v>10676.91</v>
      </c>
      <c r="J14725" s="435">
        <v>1521.66</v>
      </c>
      <c r="K14725" s="435">
        <v>1183.1500000000001</v>
      </c>
      <c r="L14725" s="43">
        <v>9.5769095892763847</v>
      </c>
      <c r="M14725" s="43">
        <v>11.500457781751203</v>
      </c>
      <c r="N14725" s="43">
        <v>5.7656107911488332</v>
      </c>
      <c r="O14725" s="43">
        <v>5.7720265391745542</v>
      </c>
      <c r="P14725" s="436"/>
      <c r="Q14725" s="436"/>
      <c r="R14725" s="436">
        <v>2</v>
      </c>
    </row>
    <row r="14726" spans="1:18" ht="24">
      <c r="A14726" s="432">
        <v>141</v>
      </c>
      <c r="B14726" s="429" t="s">
        <v>26457</v>
      </c>
      <c r="C14726" s="433" t="s">
        <v>26458</v>
      </c>
      <c r="D14726" s="434">
        <v>1730.67</v>
      </c>
      <c r="E14726" s="434">
        <v>1101.8900000000001</v>
      </c>
      <c r="F14726" s="434">
        <v>316.51</v>
      </c>
      <c r="G14726" s="434">
        <v>312.27</v>
      </c>
      <c r="H14726" s="435">
        <v>16237.93</v>
      </c>
      <c r="I14726" s="435">
        <v>12672.23</v>
      </c>
      <c r="J14726" s="435">
        <v>1805.77</v>
      </c>
      <c r="K14726" s="435">
        <v>1759.93</v>
      </c>
      <c r="L14726" s="43">
        <v>9.3824530384186478</v>
      </c>
      <c r="M14726" s="43">
        <v>11.500449228144369</v>
      </c>
      <c r="N14726" s="43">
        <v>5.7052541783829893</v>
      </c>
      <c r="O14726" s="43">
        <v>5.6359240400935091</v>
      </c>
      <c r="P14726" s="436"/>
      <c r="Q14726" s="436"/>
      <c r="R14726" s="436">
        <v>2</v>
      </c>
    </row>
    <row r="14727" spans="1:18" ht="24">
      <c r="A14727" s="432">
        <v>142</v>
      </c>
      <c r="B14727" s="429" t="s">
        <v>26459</v>
      </c>
      <c r="C14727" s="433" t="s">
        <v>26460</v>
      </c>
      <c r="D14727" s="434">
        <v>2003.46</v>
      </c>
      <c r="E14727" s="434">
        <v>1298.3699999999999</v>
      </c>
      <c r="F14727" s="434">
        <v>362.07</v>
      </c>
      <c r="G14727" s="434">
        <v>343.02</v>
      </c>
      <c r="H14727" s="435">
        <v>18913.02</v>
      </c>
      <c r="I14727" s="435">
        <v>14931.82</v>
      </c>
      <c r="J14727" s="435">
        <v>2047.43</v>
      </c>
      <c r="K14727" s="435">
        <v>1933.77</v>
      </c>
      <c r="L14727" s="43">
        <v>9.4401784912102062</v>
      </c>
      <c r="M14727" s="43">
        <v>11.500435161009575</v>
      </c>
      <c r="N14727" s="43">
        <v>5.6547905101223526</v>
      </c>
      <c r="O14727" s="43">
        <v>5.6374846947699844</v>
      </c>
      <c r="P14727" s="436"/>
      <c r="Q14727" s="436"/>
      <c r="R14727" s="436">
        <v>2</v>
      </c>
    </row>
    <row r="14728" spans="1:18" ht="24">
      <c r="A14728" s="432">
        <v>143</v>
      </c>
      <c r="B14728" s="429" t="s">
        <v>26461</v>
      </c>
      <c r="C14728" s="433" t="s">
        <v>26462</v>
      </c>
      <c r="D14728" s="434">
        <v>1297.01</v>
      </c>
      <c r="E14728" s="434">
        <v>812.34</v>
      </c>
      <c r="F14728" s="434">
        <v>274.93</v>
      </c>
      <c r="G14728" s="434">
        <v>209.74</v>
      </c>
      <c r="H14728" s="435">
        <v>12160.36</v>
      </c>
      <c r="I14728" s="435">
        <v>9342.2999999999993</v>
      </c>
      <c r="J14728" s="435">
        <v>1580.6</v>
      </c>
      <c r="K14728" s="435">
        <v>1237.46</v>
      </c>
      <c r="L14728" s="43">
        <v>9.3756871573850624</v>
      </c>
      <c r="M14728" s="43">
        <v>11.500480094541693</v>
      </c>
      <c r="N14728" s="43">
        <v>5.7490997708507612</v>
      </c>
      <c r="O14728" s="43">
        <v>5.8999713931534279</v>
      </c>
      <c r="P14728" s="436"/>
      <c r="Q14728" s="436"/>
      <c r="R14728" s="436">
        <v>2</v>
      </c>
    </row>
    <row r="14729" spans="1:18" ht="24">
      <c r="A14729" s="432">
        <v>144</v>
      </c>
      <c r="B14729" s="429" t="s">
        <v>26463</v>
      </c>
      <c r="C14729" s="433" t="s">
        <v>26464</v>
      </c>
      <c r="D14729" s="434">
        <v>788.13</v>
      </c>
      <c r="E14729" s="434">
        <v>480.28</v>
      </c>
      <c r="F14729" s="434">
        <v>190.71</v>
      </c>
      <c r="G14729" s="434">
        <v>117.14</v>
      </c>
      <c r="H14729" s="435">
        <v>7283.77</v>
      </c>
      <c r="I14729" s="435">
        <v>5523.45</v>
      </c>
      <c r="J14729" s="435">
        <v>1078.6500000000001</v>
      </c>
      <c r="K14729" s="435">
        <v>681.67</v>
      </c>
      <c r="L14729" s="43">
        <v>9.2418382754114177</v>
      </c>
      <c r="M14729" s="43">
        <v>11.500478887315733</v>
      </c>
      <c r="N14729" s="43">
        <v>5.6559697970740919</v>
      </c>
      <c r="O14729" s="43">
        <v>5.8192760799043874</v>
      </c>
      <c r="P14729" s="436"/>
      <c r="Q14729" s="436"/>
      <c r="R14729" s="436">
        <v>2</v>
      </c>
    </row>
    <row r="14730" spans="1:18" ht="12.75" customHeight="1">
      <c r="A14730" s="628" t="s">
        <v>26465</v>
      </c>
      <c r="B14730" s="629"/>
      <c r="C14730" s="629"/>
      <c r="D14730" s="629"/>
      <c r="E14730" s="629"/>
      <c r="F14730" s="629"/>
      <c r="G14730" s="629"/>
      <c r="H14730" s="629"/>
      <c r="I14730" s="629"/>
      <c r="J14730" s="629"/>
      <c r="K14730" s="629"/>
      <c r="L14730" s="629"/>
      <c r="M14730" s="629"/>
      <c r="N14730" s="629"/>
      <c r="O14730" s="629"/>
      <c r="P14730" s="629"/>
      <c r="Q14730" s="629"/>
      <c r="R14730" s="629"/>
    </row>
    <row r="14731" spans="1:18" ht="24">
      <c r="A14731" s="432">
        <v>145</v>
      </c>
      <c r="B14731" s="429" t="s">
        <v>26466</v>
      </c>
      <c r="C14731" s="433" t="s">
        <v>26467</v>
      </c>
      <c r="D14731" s="434">
        <v>412.47</v>
      </c>
      <c r="E14731" s="434">
        <v>326.04000000000002</v>
      </c>
      <c r="F14731" s="434">
        <v>70.63</v>
      </c>
      <c r="G14731" s="434">
        <v>15.8</v>
      </c>
      <c r="H14731" s="435">
        <v>4293.53</v>
      </c>
      <c r="I14731" s="435">
        <v>3749.46</v>
      </c>
      <c r="J14731" s="435">
        <v>394.44</v>
      </c>
      <c r="K14731" s="435">
        <v>149.63</v>
      </c>
      <c r="L14731" s="43">
        <v>10.409314616820616</v>
      </c>
      <c r="M14731" s="43">
        <v>11.5</v>
      </c>
      <c r="N14731" s="43">
        <v>5.5845957808296758</v>
      </c>
      <c r="O14731" s="43">
        <v>9.4702531645569614</v>
      </c>
      <c r="P14731" s="436"/>
      <c r="Q14731" s="436"/>
      <c r="R14731" s="436">
        <v>3</v>
      </c>
    </row>
    <row r="14732" spans="1:18" ht="24">
      <c r="A14732" s="432">
        <v>146</v>
      </c>
      <c r="B14732" s="429" t="s">
        <v>26468</v>
      </c>
      <c r="C14732" s="433" t="s">
        <v>26469</v>
      </c>
      <c r="D14732" s="434">
        <v>444.48</v>
      </c>
      <c r="E14732" s="434">
        <v>352.37</v>
      </c>
      <c r="F14732" s="434">
        <v>70.63</v>
      </c>
      <c r="G14732" s="434">
        <v>21.48</v>
      </c>
      <c r="H14732" s="435">
        <v>4643.9399999999996</v>
      </c>
      <c r="I14732" s="435">
        <v>4052.3</v>
      </c>
      <c r="J14732" s="435">
        <v>394.44</v>
      </c>
      <c r="K14732" s="435">
        <v>197.2</v>
      </c>
      <c r="L14732" s="43">
        <v>10.448029157667385</v>
      </c>
      <c r="M14732" s="43">
        <v>11.500127706671964</v>
      </c>
      <c r="N14732" s="43">
        <v>5.5845957808296758</v>
      </c>
      <c r="O14732" s="43">
        <v>9.1806331471135927</v>
      </c>
      <c r="P14732" s="436"/>
      <c r="Q14732" s="436"/>
      <c r="R14732" s="436">
        <v>3</v>
      </c>
    </row>
    <row r="14733" spans="1:18" ht="24">
      <c r="A14733" s="432">
        <v>147</v>
      </c>
      <c r="B14733" s="429" t="s">
        <v>26470</v>
      </c>
      <c r="C14733" s="433" t="s">
        <v>26471</v>
      </c>
      <c r="D14733" s="434">
        <v>510.99</v>
      </c>
      <c r="E14733" s="434">
        <v>417.58</v>
      </c>
      <c r="F14733" s="434">
        <v>70.63</v>
      </c>
      <c r="G14733" s="434">
        <v>22.78</v>
      </c>
      <c r="H14733" s="435">
        <v>5408.78</v>
      </c>
      <c r="I14733" s="435">
        <v>4802.1899999999996</v>
      </c>
      <c r="J14733" s="435">
        <v>394.44</v>
      </c>
      <c r="K14733" s="435">
        <v>212.15</v>
      </c>
      <c r="L14733" s="43">
        <v>10.58490381416466</v>
      </c>
      <c r="M14733" s="43">
        <v>11.500047895014129</v>
      </c>
      <c r="N14733" s="43">
        <v>5.5845957808296758</v>
      </c>
      <c r="O14733" s="43">
        <v>9.3129938542581208</v>
      </c>
      <c r="P14733" s="436"/>
      <c r="Q14733" s="436"/>
      <c r="R14733" s="436">
        <v>3</v>
      </c>
    </row>
    <row r="14734" spans="1:18" ht="12.75" customHeight="1">
      <c r="A14734" s="628" t="s">
        <v>26472</v>
      </c>
      <c r="B14734" s="629"/>
      <c r="C14734" s="629"/>
      <c r="D14734" s="629"/>
      <c r="E14734" s="629"/>
      <c r="F14734" s="629"/>
      <c r="G14734" s="629"/>
      <c r="H14734" s="629"/>
      <c r="I14734" s="629"/>
      <c r="J14734" s="629"/>
      <c r="K14734" s="629"/>
      <c r="L14734" s="629"/>
      <c r="M14734" s="629"/>
      <c r="N14734" s="629"/>
      <c r="O14734" s="629"/>
      <c r="P14734" s="629"/>
      <c r="Q14734" s="629"/>
      <c r="R14734" s="629"/>
    </row>
    <row r="14735" spans="1:18" ht="24">
      <c r="A14735" s="432">
        <v>148</v>
      </c>
      <c r="B14735" s="429" t="s">
        <v>26473</v>
      </c>
      <c r="C14735" s="433" t="s">
        <v>26474</v>
      </c>
      <c r="D14735" s="434">
        <v>1870.91</v>
      </c>
      <c r="E14735" s="434">
        <v>1377.06</v>
      </c>
      <c r="F14735" s="434">
        <v>286.89999999999998</v>
      </c>
      <c r="G14735" s="434">
        <v>206.95</v>
      </c>
      <c r="H14735" s="435">
        <v>18746.45</v>
      </c>
      <c r="I14735" s="435">
        <v>15836.78</v>
      </c>
      <c r="J14735" s="435">
        <v>1599.48</v>
      </c>
      <c r="K14735" s="435">
        <v>1310.19</v>
      </c>
      <c r="L14735" s="43">
        <v>10.019963547150851</v>
      </c>
      <c r="M14735" s="43">
        <v>11.500428449014569</v>
      </c>
      <c r="N14735" s="43">
        <v>5.575043569187871</v>
      </c>
      <c r="O14735" s="43">
        <v>6.3309495047112838</v>
      </c>
      <c r="P14735" s="436"/>
      <c r="Q14735" s="436"/>
      <c r="R14735" s="436">
        <v>4</v>
      </c>
    </row>
    <row r="14736" spans="1:18" ht="24">
      <c r="A14736" s="432">
        <v>149</v>
      </c>
      <c r="B14736" s="429" t="s">
        <v>26475</v>
      </c>
      <c r="C14736" s="433" t="s">
        <v>26476</v>
      </c>
      <c r="D14736" s="434">
        <v>2287.4699999999998</v>
      </c>
      <c r="E14736" s="434">
        <v>1727.16</v>
      </c>
      <c r="F14736" s="434">
        <v>346.36</v>
      </c>
      <c r="G14736" s="434">
        <v>213.95</v>
      </c>
      <c r="H14736" s="435">
        <v>23169.119999999999</v>
      </c>
      <c r="I14736" s="435">
        <v>19863.080000000002</v>
      </c>
      <c r="J14736" s="435">
        <v>1915.35</v>
      </c>
      <c r="K14736" s="435">
        <v>1390.69</v>
      </c>
      <c r="L14736" s="43">
        <v>10.1287098847198</v>
      </c>
      <c r="M14736" s="43">
        <v>11.500428449014567</v>
      </c>
      <c r="N14736" s="43">
        <v>5.5299399468760821</v>
      </c>
      <c r="O14736" s="43">
        <v>6.5000701098387479</v>
      </c>
      <c r="P14736" s="436"/>
      <c r="Q14736" s="436"/>
      <c r="R14736" s="436">
        <v>4</v>
      </c>
    </row>
    <row r="14737" spans="1:18" ht="24">
      <c r="A14737" s="432">
        <v>150</v>
      </c>
      <c r="B14737" s="429" t="s">
        <v>26477</v>
      </c>
      <c r="C14737" s="433" t="s">
        <v>26478</v>
      </c>
      <c r="D14737" s="434">
        <v>2559.96</v>
      </c>
      <c r="E14737" s="434">
        <v>1937.22</v>
      </c>
      <c r="F14737" s="434">
        <v>404.59</v>
      </c>
      <c r="G14737" s="434">
        <v>218.15</v>
      </c>
      <c r="H14737" s="435">
        <v>25947.200000000001</v>
      </c>
      <c r="I14737" s="435">
        <v>22278.86</v>
      </c>
      <c r="J14737" s="435">
        <v>2229.35</v>
      </c>
      <c r="K14737" s="435">
        <v>1438.99</v>
      </c>
      <c r="L14737" s="43">
        <v>10.135783371615181</v>
      </c>
      <c r="M14737" s="43">
        <v>11.500428449014567</v>
      </c>
      <c r="N14737" s="43">
        <v>5.5101460738031092</v>
      </c>
      <c r="O14737" s="43">
        <v>6.596332798533119</v>
      </c>
      <c r="P14737" s="436"/>
      <c r="Q14737" s="436"/>
      <c r="R14737" s="436">
        <v>4</v>
      </c>
    </row>
    <row r="14738" spans="1:18" ht="24">
      <c r="A14738" s="432">
        <v>151</v>
      </c>
      <c r="B14738" s="429" t="s">
        <v>26479</v>
      </c>
      <c r="C14738" s="433" t="s">
        <v>26480</v>
      </c>
      <c r="D14738" s="434">
        <v>2870.77</v>
      </c>
      <c r="E14738" s="434">
        <v>2240.64</v>
      </c>
      <c r="F14738" s="434">
        <v>405.91</v>
      </c>
      <c r="G14738" s="434">
        <v>224.22</v>
      </c>
      <c r="H14738" s="435">
        <v>29512.19</v>
      </c>
      <c r="I14738" s="435">
        <v>25768.32</v>
      </c>
      <c r="J14738" s="435">
        <v>2235.0700000000002</v>
      </c>
      <c r="K14738" s="435">
        <v>1508.8</v>
      </c>
      <c r="L14738" s="43">
        <v>10.2802349195512</v>
      </c>
      <c r="M14738" s="43">
        <v>11.500428449014567</v>
      </c>
      <c r="N14738" s="43">
        <v>5.5063191347835732</v>
      </c>
      <c r="O14738" s="43">
        <v>6.7291053429667294</v>
      </c>
      <c r="P14738" s="436"/>
      <c r="Q14738" s="436"/>
      <c r="R14738" s="436">
        <v>4</v>
      </c>
    </row>
    <row r="14739" spans="1:18" ht="12.75" customHeight="1">
      <c r="A14739" s="628" t="s">
        <v>26481</v>
      </c>
      <c r="B14739" s="629"/>
      <c r="C14739" s="629"/>
      <c r="D14739" s="629"/>
      <c r="E14739" s="629"/>
      <c r="F14739" s="629"/>
      <c r="G14739" s="629"/>
      <c r="H14739" s="629"/>
      <c r="I14739" s="629"/>
      <c r="J14739" s="629"/>
      <c r="K14739" s="629"/>
      <c r="L14739" s="629"/>
      <c r="M14739" s="629"/>
      <c r="N14739" s="629"/>
      <c r="O14739" s="629"/>
      <c r="P14739" s="629"/>
      <c r="Q14739" s="629"/>
      <c r="R14739" s="629"/>
    </row>
    <row r="14740" spans="1:18" ht="24">
      <c r="A14740" s="432">
        <v>152</v>
      </c>
      <c r="B14740" s="429" t="s">
        <v>26482</v>
      </c>
      <c r="C14740" s="433" t="s">
        <v>26483</v>
      </c>
      <c r="D14740" s="434">
        <v>3045.52</v>
      </c>
      <c r="E14740" s="434">
        <v>2320.98</v>
      </c>
      <c r="F14740" s="434">
        <v>406.79</v>
      </c>
      <c r="G14740" s="434">
        <v>317.75</v>
      </c>
      <c r="H14740" s="435">
        <v>30860.75</v>
      </c>
      <c r="I14740" s="435">
        <v>26692.28</v>
      </c>
      <c r="J14740" s="435">
        <v>2238.7800000000002</v>
      </c>
      <c r="K14740" s="435">
        <v>1929.69</v>
      </c>
      <c r="L14740" s="43">
        <v>10.133162809635136</v>
      </c>
      <c r="M14740" s="43">
        <v>11.500435161009573</v>
      </c>
      <c r="N14740" s="43">
        <v>5.5035276186730258</v>
      </c>
      <c r="O14740" s="43">
        <v>6.0729819040125887</v>
      </c>
      <c r="P14740" s="436"/>
      <c r="Q14740" s="436"/>
      <c r="R14740" s="436">
        <v>5</v>
      </c>
    </row>
    <row r="14741" spans="1:18" ht="24">
      <c r="A14741" s="432">
        <v>153</v>
      </c>
      <c r="B14741" s="429" t="s">
        <v>26484</v>
      </c>
      <c r="C14741" s="433" t="s">
        <v>26485</v>
      </c>
      <c r="D14741" s="434">
        <v>3195.01</v>
      </c>
      <c r="E14741" s="434">
        <v>2343.96</v>
      </c>
      <c r="F14741" s="434">
        <v>518.1</v>
      </c>
      <c r="G14741" s="434">
        <v>332.95</v>
      </c>
      <c r="H14741" s="435">
        <v>31852.11</v>
      </c>
      <c r="I14741" s="435">
        <v>26956.560000000001</v>
      </c>
      <c r="J14741" s="435">
        <v>2841.96</v>
      </c>
      <c r="K14741" s="435">
        <v>2053.59</v>
      </c>
      <c r="L14741" s="43">
        <v>9.9693302994356827</v>
      </c>
      <c r="M14741" s="43">
        <v>11.500435161009573</v>
      </c>
      <c r="N14741" s="43">
        <v>5.4853503184713377</v>
      </c>
      <c r="O14741" s="43">
        <v>6.1678630424988743</v>
      </c>
      <c r="P14741" s="436"/>
      <c r="Q14741" s="436"/>
      <c r="R14741" s="436">
        <v>5</v>
      </c>
    </row>
    <row r="14742" spans="1:18" ht="12.75" customHeight="1">
      <c r="A14742" s="628" t="s">
        <v>26486</v>
      </c>
      <c r="B14742" s="629"/>
      <c r="C14742" s="629"/>
      <c r="D14742" s="629"/>
      <c r="E14742" s="629"/>
      <c r="F14742" s="629"/>
      <c r="G14742" s="629"/>
      <c r="H14742" s="629"/>
      <c r="I14742" s="629"/>
      <c r="J14742" s="629"/>
      <c r="K14742" s="629"/>
      <c r="L14742" s="629"/>
      <c r="M14742" s="629"/>
      <c r="N14742" s="629"/>
      <c r="O14742" s="629"/>
      <c r="P14742" s="629"/>
      <c r="Q14742" s="629"/>
      <c r="R14742" s="629"/>
    </row>
    <row r="14743" spans="1:18" ht="24">
      <c r="A14743" s="432">
        <v>154</v>
      </c>
      <c r="B14743" s="429" t="s">
        <v>26487</v>
      </c>
      <c r="C14743" s="433" t="s">
        <v>26488</v>
      </c>
      <c r="D14743" s="434">
        <v>1507.74</v>
      </c>
      <c r="E14743" s="434">
        <v>1047.74</v>
      </c>
      <c r="F14743" s="434">
        <v>318.97000000000003</v>
      </c>
      <c r="G14743" s="434">
        <v>141.03</v>
      </c>
      <c r="H14743" s="435">
        <v>14750.84</v>
      </c>
      <c r="I14743" s="435">
        <v>12049.42</v>
      </c>
      <c r="J14743" s="435">
        <v>1822.15</v>
      </c>
      <c r="K14743" s="435">
        <v>879.27</v>
      </c>
      <c r="L14743" s="43">
        <v>9.7834109329194696</v>
      </c>
      <c r="M14743" s="43">
        <v>11.500391318456868</v>
      </c>
      <c r="N14743" s="43">
        <v>5.7126062012101446</v>
      </c>
      <c r="O14743" s="43">
        <v>6.2346309295894491</v>
      </c>
      <c r="P14743" s="436"/>
      <c r="Q14743" s="436"/>
      <c r="R14743" s="436">
        <v>6</v>
      </c>
    </row>
    <row r="14744" spans="1:18" ht="24">
      <c r="A14744" s="432">
        <v>155</v>
      </c>
      <c r="B14744" s="429" t="s">
        <v>26489</v>
      </c>
      <c r="C14744" s="433" t="s">
        <v>26490</v>
      </c>
      <c r="D14744" s="434">
        <v>1853.5</v>
      </c>
      <c r="E14744" s="434">
        <v>1323.59</v>
      </c>
      <c r="F14744" s="434">
        <v>380.38</v>
      </c>
      <c r="G14744" s="434">
        <v>149.53</v>
      </c>
      <c r="H14744" s="435">
        <v>18423.259999999998</v>
      </c>
      <c r="I14744" s="435">
        <v>15221.82</v>
      </c>
      <c r="J14744" s="435">
        <v>2152.8200000000002</v>
      </c>
      <c r="K14744" s="435">
        <v>1048.6199999999999</v>
      </c>
      <c r="L14744" s="43">
        <v>9.9397140544915015</v>
      </c>
      <c r="M14744" s="43">
        <v>11.500404203718675</v>
      </c>
      <c r="N14744" s="43">
        <v>5.6596561333403441</v>
      </c>
      <c r="O14744" s="43">
        <v>7.0127733565170862</v>
      </c>
      <c r="P14744" s="436"/>
      <c r="Q14744" s="436"/>
      <c r="R14744" s="436">
        <v>6</v>
      </c>
    </row>
    <row r="14745" spans="1:18" ht="24">
      <c r="A14745" s="432">
        <v>156</v>
      </c>
      <c r="B14745" s="429" t="s">
        <v>26491</v>
      </c>
      <c r="C14745" s="433" t="s">
        <v>26492</v>
      </c>
      <c r="D14745" s="434">
        <v>2331.38</v>
      </c>
      <c r="E14745" s="434">
        <v>1669.95</v>
      </c>
      <c r="F14745" s="434">
        <v>455.32</v>
      </c>
      <c r="G14745" s="434">
        <v>206.11</v>
      </c>
      <c r="H14745" s="435">
        <v>23128.07</v>
      </c>
      <c r="I14745" s="435">
        <v>19205.099999999999</v>
      </c>
      <c r="J14745" s="435">
        <v>2559.13</v>
      </c>
      <c r="K14745" s="435">
        <v>1363.84</v>
      </c>
      <c r="L14745" s="43">
        <v>9.9203347373658506</v>
      </c>
      <c r="M14745" s="43">
        <v>11.500404203718674</v>
      </c>
      <c r="N14745" s="43">
        <v>5.6205086532548538</v>
      </c>
      <c r="O14745" s="43">
        <v>6.6170491485129288</v>
      </c>
      <c r="P14745" s="436"/>
      <c r="Q14745" s="436"/>
      <c r="R14745" s="436">
        <v>6</v>
      </c>
    </row>
    <row r="14746" spans="1:18" ht="24">
      <c r="A14746" s="432">
        <v>157</v>
      </c>
      <c r="B14746" s="429" t="s">
        <v>26493</v>
      </c>
      <c r="C14746" s="433" t="s">
        <v>26494</v>
      </c>
      <c r="D14746" s="434">
        <v>2487</v>
      </c>
      <c r="E14746" s="434">
        <v>1830.76</v>
      </c>
      <c r="F14746" s="434">
        <v>442.55</v>
      </c>
      <c r="G14746" s="434">
        <v>213.69</v>
      </c>
      <c r="H14746" s="435">
        <v>24973.86</v>
      </c>
      <c r="I14746" s="435">
        <v>21054.48</v>
      </c>
      <c r="J14746" s="435">
        <v>2483.2600000000002</v>
      </c>
      <c r="K14746" s="435">
        <v>1436.12</v>
      </c>
      <c r="L14746" s="43">
        <v>10.041761158021712</v>
      </c>
      <c r="M14746" s="43">
        <v>11.500404203718674</v>
      </c>
      <c r="N14746" s="43">
        <v>5.6112529657665808</v>
      </c>
      <c r="O14746" s="43">
        <v>6.7205765361037013</v>
      </c>
      <c r="P14746" s="436"/>
      <c r="Q14746" s="436"/>
      <c r="R14746" s="436">
        <v>6</v>
      </c>
    </row>
    <row r="14747" spans="1:18" ht="24">
      <c r="A14747" s="432">
        <v>158</v>
      </c>
      <c r="B14747" s="429" t="s">
        <v>26495</v>
      </c>
      <c r="C14747" s="433" t="s">
        <v>26496</v>
      </c>
      <c r="D14747" s="434">
        <v>3175.9</v>
      </c>
      <c r="E14747" s="434">
        <v>2436.89</v>
      </c>
      <c r="F14747" s="434">
        <v>550.13</v>
      </c>
      <c r="G14747" s="434">
        <v>188.88</v>
      </c>
      <c r="H14747" s="435">
        <v>32415.41</v>
      </c>
      <c r="I14747" s="435">
        <v>28025.22</v>
      </c>
      <c r="J14747" s="435">
        <v>3061.54</v>
      </c>
      <c r="K14747" s="435">
        <v>1328.65</v>
      </c>
      <c r="L14747" s="43">
        <v>10.206684719292168</v>
      </c>
      <c r="M14747" s="43">
        <v>11.500404203718675</v>
      </c>
      <c r="N14747" s="43">
        <v>5.565120971406758</v>
      </c>
      <c r="O14747" s="43">
        <v>7.0343604404913176</v>
      </c>
      <c r="P14747" s="436"/>
      <c r="Q14747" s="436"/>
      <c r="R14747" s="436">
        <v>6</v>
      </c>
    </row>
    <row r="14748" spans="1:18" ht="12.75" customHeight="1">
      <c r="A14748" s="628" t="s">
        <v>26497</v>
      </c>
      <c r="B14748" s="629"/>
      <c r="C14748" s="629"/>
      <c r="D14748" s="629"/>
      <c r="E14748" s="629"/>
      <c r="F14748" s="629"/>
      <c r="G14748" s="629"/>
      <c r="H14748" s="629"/>
      <c r="I14748" s="629"/>
      <c r="J14748" s="629"/>
      <c r="K14748" s="629"/>
      <c r="L14748" s="629"/>
      <c r="M14748" s="629"/>
      <c r="N14748" s="629"/>
      <c r="O14748" s="629"/>
      <c r="P14748" s="629"/>
      <c r="Q14748" s="629"/>
      <c r="R14748" s="629"/>
    </row>
    <row r="14749" spans="1:18" ht="24">
      <c r="A14749" s="432">
        <v>159</v>
      </c>
      <c r="B14749" s="429" t="s">
        <v>26498</v>
      </c>
      <c r="C14749" s="433" t="s">
        <v>26499</v>
      </c>
      <c r="D14749" s="434">
        <v>591.66999999999996</v>
      </c>
      <c r="E14749" s="434">
        <v>364.91</v>
      </c>
      <c r="F14749" s="434">
        <v>70.63</v>
      </c>
      <c r="G14749" s="434">
        <v>156.13</v>
      </c>
      <c r="H14749" s="435">
        <v>5365.78</v>
      </c>
      <c r="I14749" s="435">
        <v>4196.51</v>
      </c>
      <c r="J14749" s="435">
        <v>394.44</v>
      </c>
      <c r="K14749" s="435">
        <v>774.83</v>
      </c>
      <c r="L14749" s="43">
        <v>9.0688728514205561</v>
      </c>
      <c r="M14749" s="43">
        <v>11.50012331807843</v>
      </c>
      <c r="N14749" s="43">
        <v>5.5845957808296758</v>
      </c>
      <c r="O14749" s="43">
        <v>4.9627233715493499</v>
      </c>
      <c r="P14749" s="436"/>
      <c r="Q14749" s="436"/>
      <c r="R14749" s="436">
        <v>7</v>
      </c>
    </row>
    <row r="14750" spans="1:18" ht="24">
      <c r="A14750" s="432">
        <v>160</v>
      </c>
      <c r="B14750" s="429" t="s">
        <v>26500</v>
      </c>
      <c r="C14750" s="433" t="s">
        <v>26501</v>
      </c>
      <c r="D14750" s="434">
        <v>699.57</v>
      </c>
      <c r="E14750" s="434">
        <v>519.16</v>
      </c>
      <c r="F14750" s="434">
        <v>135.08000000000001</v>
      </c>
      <c r="G14750" s="434">
        <v>45.33</v>
      </c>
      <c r="H14750" s="435">
        <v>7050.91</v>
      </c>
      <c r="I14750" s="435">
        <v>5970.29</v>
      </c>
      <c r="J14750" s="435">
        <v>778.58</v>
      </c>
      <c r="K14750" s="435">
        <v>302.04000000000002</v>
      </c>
      <c r="L14750" s="43">
        <v>10.078919907943449</v>
      </c>
      <c r="M14750" s="43">
        <v>11.499903690577087</v>
      </c>
      <c r="N14750" s="43">
        <v>5.7638436482084687</v>
      </c>
      <c r="O14750" s="43">
        <v>6.6631369953673074</v>
      </c>
      <c r="P14750" s="436"/>
      <c r="Q14750" s="436"/>
      <c r="R14750" s="436">
        <v>7</v>
      </c>
    </row>
    <row r="14751" spans="1:18" ht="24">
      <c r="A14751" s="432">
        <v>161</v>
      </c>
      <c r="B14751" s="429" t="s">
        <v>26502</v>
      </c>
      <c r="C14751" s="433" t="s">
        <v>26503</v>
      </c>
      <c r="D14751" s="434">
        <v>1464.96</v>
      </c>
      <c r="E14751" s="434">
        <v>1202.5899999999999</v>
      </c>
      <c r="F14751" s="434">
        <v>178.04</v>
      </c>
      <c r="G14751" s="434">
        <v>84.33</v>
      </c>
      <c r="H14751" s="435">
        <v>15470.83</v>
      </c>
      <c r="I14751" s="435">
        <v>13829.74</v>
      </c>
      <c r="J14751" s="435">
        <v>1034.68</v>
      </c>
      <c r="K14751" s="435">
        <v>606.41</v>
      </c>
      <c r="L14751" s="43">
        <v>10.560581858890345</v>
      </c>
      <c r="M14751" s="43">
        <v>11.499962580763187</v>
      </c>
      <c r="N14751" s="43">
        <v>5.8115030330262867</v>
      </c>
      <c r="O14751" s="43">
        <v>7.1909166370212256</v>
      </c>
      <c r="P14751" s="436"/>
      <c r="Q14751" s="436"/>
      <c r="R14751" s="436">
        <v>7</v>
      </c>
    </row>
    <row r="14752" spans="1:18" ht="24">
      <c r="A14752" s="432">
        <v>162</v>
      </c>
      <c r="B14752" s="429" t="s">
        <v>26504</v>
      </c>
      <c r="C14752" s="433" t="s">
        <v>26505</v>
      </c>
      <c r="D14752" s="434">
        <v>1878.89</v>
      </c>
      <c r="E14752" s="434">
        <v>1500.96</v>
      </c>
      <c r="F14752" s="434">
        <v>226.37</v>
      </c>
      <c r="G14752" s="434">
        <v>151.56</v>
      </c>
      <c r="H14752" s="435">
        <v>19594.240000000002</v>
      </c>
      <c r="I14752" s="435">
        <v>17261.04</v>
      </c>
      <c r="J14752" s="435">
        <v>1319.64</v>
      </c>
      <c r="K14752" s="435">
        <v>1013.56</v>
      </c>
      <c r="L14752" s="43">
        <v>10.428625411812293</v>
      </c>
      <c r="M14752" s="43">
        <v>11.5</v>
      </c>
      <c r="N14752" s="43">
        <v>5.8295710562353671</v>
      </c>
      <c r="O14752" s="43">
        <v>6.6875164951174444</v>
      </c>
      <c r="P14752" s="436"/>
      <c r="Q14752" s="436"/>
      <c r="R14752" s="436">
        <v>7</v>
      </c>
    </row>
    <row r="14753" spans="1:18" ht="24">
      <c r="A14753" s="432">
        <v>163</v>
      </c>
      <c r="B14753" s="429" t="s">
        <v>26506</v>
      </c>
      <c r="C14753" s="433" t="s">
        <v>26507</v>
      </c>
      <c r="D14753" s="434">
        <v>2553.04</v>
      </c>
      <c r="E14753" s="434">
        <v>2060.64</v>
      </c>
      <c r="F14753" s="434">
        <v>271.95999999999998</v>
      </c>
      <c r="G14753" s="434">
        <v>220.44</v>
      </c>
      <c r="H14753" s="435">
        <v>26739.69</v>
      </c>
      <c r="I14753" s="435">
        <v>23697.360000000001</v>
      </c>
      <c r="J14753" s="435">
        <v>1589.93</v>
      </c>
      <c r="K14753" s="435">
        <v>1452.4</v>
      </c>
      <c r="L14753" s="43">
        <v>10.473666687556795</v>
      </c>
      <c r="M14753" s="43">
        <v>11.500000000000002</v>
      </c>
      <c r="N14753" s="43">
        <v>5.8461906162670987</v>
      </c>
      <c r="O14753" s="43">
        <v>6.5886409000181461</v>
      </c>
      <c r="P14753" s="436"/>
      <c r="Q14753" s="436"/>
      <c r="R14753" s="436">
        <v>7</v>
      </c>
    </row>
    <row r="14754" spans="1:18" ht="24">
      <c r="A14754" s="432">
        <v>164</v>
      </c>
      <c r="B14754" s="429" t="s">
        <v>26508</v>
      </c>
      <c r="C14754" s="433" t="s">
        <v>26509</v>
      </c>
      <c r="D14754" s="434">
        <v>2919.05</v>
      </c>
      <c r="E14754" s="434">
        <v>2340.48</v>
      </c>
      <c r="F14754" s="434">
        <v>317.5</v>
      </c>
      <c r="G14754" s="434">
        <v>261.07</v>
      </c>
      <c r="H14754" s="435">
        <v>30475.07</v>
      </c>
      <c r="I14754" s="435">
        <v>26915.52</v>
      </c>
      <c r="J14754" s="435">
        <v>1860.03</v>
      </c>
      <c r="K14754" s="435">
        <v>1699.52</v>
      </c>
      <c r="L14754" s="43">
        <v>10.440064404515168</v>
      </c>
      <c r="M14754" s="43">
        <v>11.5</v>
      </c>
      <c r="N14754" s="43">
        <v>5.8583622047244095</v>
      </c>
      <c r="O14754" s="43">
        <v>6.5098249511625239</v>
      </c>
      <c r="P14754" s="436"/>
      <c r="Q14754" s="436"/>
      <c r="R14754" s="436">
        <v>7</v>
      </c>
    </row>
    <row r="14755" spans="1:18" ht="24">
      <c r="A14755" s="432">
        <v>165</v>
      </c>
      <c r="B14755" s="429" t="s">
        <v>26510</v>
      </c>
      <c r="C14755" s="433" t="s">
        <v>26511</v>
      </c>
      <c r="D14755" s="434">
        <v>3299.51</v>
      </c>
      <c r="E14755" s="434">
        <v>2683.92</v>
      </c>
      <c r="F14755" s="434">
        <v>322.73</v>
      </c>
      <c r="G14755" s="434">
        <v>292.86</v>
      </c>
      <c r="H14755" s="435">
        <v>34674.76</v>
      </c>
      <c r="I14755" s="435">
        <v>30865.08</v>
      </c>
      <c r="J14755" s="435">
        <v>1888.32</v>
      </c>
      <c r="K14755" s="435">
        <v>1921.36</v>
      </c>
      <c r="L14755" s="43">
        <v>10.509063466999645</v>
      </c>
      <c r="M14755" s="43">
        <v>11.5</v>
      </c>
      <c r="N14755" s="43">
        <v>5.8510829485947999</v>
      </c>
      <c r="O14755" s="43">
        <v>6.5606774568052986</v>
      </c>
      <c r="P14755" s="436"/>
      <c r="Q14755" s="436"/>
      <c r="R14755" s="436">
        <v>7</v>
      </c>
    </row>
    <row r="14756" spans="1:18" ht="24">
      <c r="A14756" s="432">
        <v>166</v>
      </c>
      <c r="B14756" s="429" t="s">
        <v>26512</v>
      </c>
      <c r="C14756" s="433" t="s">
        <v>26513</v>
      </c>
      <c r="D14756" s="434">
        <v>448.66</v>
      </c>
      <c r="E14756" s="434">
        <v>278.91000000000003</v>
      </c>
      <c r="F14756" s="434">
        <v>135.08000000000001</v>
      </c>
      <c r="G14756" s="434">
        <v>34.67</v>
      </c>
      <c r="H14756" s="435">
        <v>4198.78</v>
      </c>
      <c r="I14756" s="435">
        <v>3207.62</v>
      </c>
      <c r="J14756" s="435">
        <v>778.58</v>
      </c>
      <c r="K14756" s="435">
        <v>212.58</v>
      </c>
      <c r="L14756" s="43">
        <v>9.3584897249587655</v>
      </c>
      <c r="M14756" s="43">
        <v>11.500555734824852</v>
      </c>
      <c r="N14756" s="43">
        <v>5.7638436482084687</v>
      </c>
      <c r="O14756" s="43">
        <v>6.1315258148254976</v>
      </c>
      <c r="P14756" s="436"/>
      <c r="Q14756" s="436"/>
      <c r="R14756" s="436">
        <v>7</v>
      </c>
    </row>
    <row r="14757" spans="1:18" ht="24">
      <c r="A14757" s="432">
        <v>167</v>
      </c>
      <c r="B14757" s="429" t="s">
        <v>26514</v>
      </c>
      <c r="C14757" s="433" t="s">
        <v>26515</v>
      </c>
      <c r="D14757" s="434">
        <v>564.66</v>
      </c>
      <c r="E14757" s="434">
        <v>375.77</v>
      </c>
      <c r="F14757" s="434">
        <v>135.08000000000001</v>
      </c>
      <c r="G14757" s="434">
        <v>53.81</v>
      </c>
      <c r="H14757" s="435">
        <v>5428.52</v>
      </c>
      <c r="I14757" s="435">
        <v>4321.5600000000004</v>
      </c>
      <c r="J14757" s="435">
        <v>778.58</v>
      </c>
      <c r="K14757" s="435">
        <v>328.38</v>
      </c>
      <c r="L14757" s="43">
        <v>9.6137852867212139</v>
      </c>
      <c r="M14757" s="43">
        <v>11.5005455464779</v>
      </c>
      <c r="N14757" s="43">
        <v>5.7638436482084687</v>
      </c>
      <c r="O14757" s="43">
        <v>6.1025831629808582</v>
      </c>
      <c r="P14757" s="436"/>
      <c r="Q14757" s="436"/>
      <c r="R14757" s="436">
        <v>7</v>
      </c>
    </row>
    <row r="14758" spans="1:18" ht="24">
      <c r="A14758" s="432">
        <v>168</v>
      </c>
      <c r="B14758" s="429" t="s">
        <v>26516</v>
      </c>
      <c r="C14758" s="433" t="s">
        <v>26517</v>
      </c>
      <c r="D14758" s="434">
        <v>765.36</v>
      </c>
      <c r="E14758" s="434">
        <v>515.80999999999995</v>
      </c>
      <c r="F14758" s="434">
        <v>160.74</v>
      </c>
      <c r="G14758" s="434">
        <v>88.81</v>
      </c>
      <c r="H14758" s="435">
        <v>7372.48</v>
      </c>
      <c r="I14758" s="435">
        <v>5932.08</v>
      </c>
      <c r="J14758" s="435">
        <v>917.92</v>
      </c>
      <c r="K14758" s="435">
        <v>522.48</v>
      </c>
      <c r="L14758" s="43">
        <v>9.6326957248876344</v>
      </c>
      <c r="M14758" s="43">
        <v>11.500513755064851</v>
      </c>
      <c r="N14758" s="43">
        <v>5.7105885280577322</v>
      </c>
      <c r="O14758" s="43">
        <v>5.883121270127238</v>
      </c>
      <c r="P14758" s="436"/>
      <c r="Q14758" s="436"/>
      <c r="R14758" s="436">
        <v>7</v>
      </c>
    </row>
    <row r="14759" spans="1:18" ht="24">
      <c r="A14759" s="432">
        <v>169</v>
      </c>
      <c r="B14759" s="429" t="s">
        <v>26518</v>
      </c>
      <c r="C14759" s="433" t="s">
        <v>26519</v>
      </c>
      <c r="D14759" s="434">
        <v>1087.54</v>
      </c>
      <c r="E14759" s="434">
        <v>631.35</v>
      </c>
      <c r="F14759" s="434">
        <v>347</v>
      </c>
      <c r="G14759" s="434">
        <v>109.19</v>
      </c>
      <c r="H14759" s="435">
        <v>9910.5400000000009</v>
      </c>
      <c r="I14759" s="435">
        <v>7260.76</v>
      </c>
      <c r="J14759" s="435">
        <v>2011.89</v>
      </c>
      <c r="K14759" s="435">
        <v>637.89</v>
      </c>
      <c r="L14759" s="43">
        <v>9.1128050462511734</v>
      </c>
      <c r="M14759" s="43">
        <v>11.500372218262454</v>
      </c>
      <c r="N14759" s="43">
        <v>5.7979538904899135</v>
      </c>
      <c r="O14759" s="43">
        <v>5.8420184998626246</v>
      </c>
      <c r="P14759" s="436"/>
      <c r="Q14759" s="436"/>
      <c r="R14759" s="436">
        <v>7</v>
      </c>
    </row>
    <row r="14760" spans="1:18" ht="24">
      <c r="A14760" s="432">
        <v>170</v>
      </c>
      <c r="B14760" s="429" t="s">
        <v>26520</v>
      </c>
      <c r="C14760" s="433" t="s">
        <v>26521</v>
      </c>
      <c r="D14760" s="434">
        <v>1325.99</v>
      </c>
      <c r="E14760" s="434">
        <v>801.73</v>
      </c>
      <c r="F14760" s="434">
        <v>376.12</v>
      </c>
      <c r="G14760" s="434">
        <v>148.13999999999999</v>
      </c>
      <c r="H14760" s="435">
        <v>12242.9</v>
      </c>
      <c r="I14760" s="435">
        <v>9220.23</v>
      </c>
      <c r="J14760" s="435">
        <v>2169.0100000000002</v>
      </c>
      <c r="K14760" s="435">
        <v>853.66</v>
      </c>
      <c r="L14760" s="43">
        <v>9.2330258900896691</v>
      </c>
      <c r="M14760" s="43">
        <v>11.500417846407144</v>
      </c>
      <c r="N14760" s="43">
        <v>5.7668031479315118</v>
      </c>
      <c r="O14760" s="43">
        <v>5.7625219387066293</v>
      </c>
      <c r="P14760" s="436"/>
      <c r="Q14760" s="436"/>
      <c r="R14760" s="436">
        <v>7</v>
      </c>
    </row>
    <row r="14761" spans="1:18" ht="12.75" customHeight="1">
      <c r="A14761" s="628" t="s">
        <v>26522</v>
      </c>
      <c r="B14761" s="629"/>
      <c r="C14761" s="629"/>
      <c r="D14761" s="629"/>
      <c r="E14761" s="629"/>
      <c r="F14761" s="629"/>
      <c r="G14761" s="629"/>
      <c r="H14761" s="629"/>
      <c r="I14761" s="629"/>
      <c r="J14761" s="629"/>
      <c r="K14761" s="629"/>
      <c r="L14761" s="629"/>
      <c r="M14761" s="629"/>
      <c r="N14761" s="629"/>
      <c r="O14761" s="629"/>
      <c r="P14761" s="629"/>
      <c r="Q14761" s="629"/>
      <c r="R14761" s="629"/>
    </row>
    <row r="14762" spans="1:18" ht="24">
      <c r="A14762" s="432">
        <v>171</v>
      </c>
      <c r="B14762" s="429" t="s">
        <v>26523</v>
      </c>
      <c r="C14762" s="433" t="s">
        <v>26524</v>
      </c>
      <c r="D14762" s="434">
        <v>1442.96</v>
      </c>
      <c r="E14762" s="434">
        <v>1178.67</v>
      </c>
      <c r="F14762" s="434">
        <v>49.51</v>
      </c>
      <c r="G14762" s="434">
        <v>214.78</v>
      </c>
      <c r="H14762" s="435">
        <v>15181.48</v>
      </c>
      <c r="I14762" s="435">
        <v>13555.21</v>
      </c>
      <c r="J14762" s="435">
        <v>267.88</v>
      </c>
      <c r="K14762" s="435">
        <v>1358.39</v>
      </c>
      <c r="L14762" s="43">
        <v>10.521067805067361</v>
      </c>
      <c r="M14762" s="43">
        <v>11.500428449014565</v>
      </c>
      <c r="N14762" s="43">
        <v>5.4106241163401334</v>
      </c>
      <c r="O14762" s="43">
        <v>6.3245646708259615</v>
      </c>
      <c r="P14762" s="436"/>
      <c r="Q14762" s="436"/>
      <c r="R14762" s="436">
        <v>8</v>
      </c>
    </row>
    <row r="14763" spans="1:18" ht="24">
      <c r="A14763" s="432">
        <v>172</v>
      </c>
      <c r="B14763" s="429" t="s">
        <v>26525</v>
      </c>
      <c r="C14763" s="433" t="s">
        <v>26526</v>
      </c>
      <c r="D14763" s="434">
        <v>1797.12</v>
      </c>
      <c r="E14763" s="434">
        <v>1505.43</v>
      </c>
      <c r="F14763" s="434">
        <v>70.37</v>
      </c>
      <c r="G14763" s="434">
        <v>221.32</v>
      </c>
      <c r="H14763" s="435">
        <v>19127.46</v>
      </c>
      <c r="I14763" s="435">
        <v>17313.09</v>
      </c>
      <c r="J14763" s="435">
        <v>380.77</v>
      </c>
      <c r="K14763" s="435">
        <v>1433.6</v>
      </c>
      <c r="L14763" s="43">
        <v>10.643396100427351</v>
      </c>
      <c r="M14763" s="43">
        <v>11.500428449014567</v>
      </c>
      <c r="N14763" s="43">
        <v>5.410970584055705</v>
      </c>
      <c r="O14763" s="43">
        <v>6.4774986444966558</v>
      </c>
      <c r="P14763" s="436"/>
      <c r="Q14763" s="436"/>
      <c r="R14763" s="436">
        <v>8</v>
      </c>
    </row>
    <row r="14764" spans="1:18" ht="24">
      <c r="A14764" s="432">
        <v>173</v>
      </c>
      <c r="B14764" s="429" t="s">
        <v>26527</v>
      </c>
      <c r="C14764" s="433" t="s">
        <v>26528</v>
      </c>
      <c r="D14764" s="434">
        <v>2090.29</v>
      </c>
      <c r="E14764" s="434">
        <v>1773.84</v>
      </c>
      <c r="F14764" s="434">
        <v>89.76</v>
      </c>
      <c r="G14764" s="434">
        <v>226.69</v>
      </c>
      <c r="H14764" s="435">
        <v>22379.73</v>
      </c>
      <c r="I14764" s="435">
        <v>20399.919999999998</v>
      </c>
      <c r="J14764" s="435">
        <v>484.46</v>
      </c>
      <c r="K14764" s="435">
        <v>1495.35</v>
      </c>
      <c r="L14764" s="43">
        <v>10.706519191117023</v>
      </c>
      <c r="M14764" s="43">
        <v>11.500428449014567</v>
      </c>
      <c r="N14764" s="43">
        <v>5.397281639928698</v>
      </c>
      <c r="O14764" s="43">
        <v>6.5964533062772945</v>
      </c>
      <c r="P14764" s="436"/>
      <c r="Q14764" s="436"/>
      <c r="R14764" s="436">
        <v>8</v>
      </c>
    </row>
    <row r="14765" spans="1:18" ht="24">
      <c r="A14765" s="432">
        <v>174</v>
      </c>
      <c r="B14765" s="429" t="s">
        <v>26529</v>
      </c>
      <c r="C14765" s="433" t="s">
        <v>26530</v>
      </c>
      <c r="D14765" s="434">
        <v>2059.9</v>
      </c>
      <c r="E14765" s="434">
        <v>1738.83</v>
      </c>
      <c r="F14765" s="434">
        <v>95.08</v>
      </c>
      <c r="G14765" s="434">
        <v>225.99</v>
      </c>
      <c r="H14765" s="435">
        <v>21997.73</v>
      </c>
      <c r="I14765" s="435">
        <v>19997.29</v>
      </c>
      <c r="J14765" s="435">
        <v>513.14</v>
      </c>
      <c r="K14765" s="435">
        <v>1487.3</v>
      </c>
      <c r="L14765" s="43">
        <v>10.67902810816059</v>
      </c>
      <c r="M14765" s="43">
        <v>11.500428449014569</v>
      </c>
      <c r="N14765" s="43">
        <v>5.3969289019772821</v>
      </c>
      <c r="O14765" s="43">
        <v>6.5812646577282177</v>
      </c>
      <c r="P14765" s="436"/>
      <c r="Q14765" s="436"/>
      <c r="R14765" s="436">
        <v>8</v>
      </c>
    </row>
    <row r="14766" spans="1:18" ht="24">
      <c r="A14766" s="432">
        <v>175</v>
      </c>
      <c r="B14766" s="429" t="s">
        <v>26531</v>
      </c>
      <c r="C14766" s="433" t="s">
        <v>26532</v>
      </c>
      <c r="D14766" s="434">
        <v>2238.38</v>
      </c>
      <c r="E14766" s="434">
        <v>1890.54</v>
      </c>
      <c r="F14766" s="434">
        <v>118.82</v>
      </c>
      <c r="G14766" s="434">
        <v>229.02</v>
      </c>
      <c r="H14766" s="435">
        <v>23905.42</v>
      </c>
      <c r="I14766" s="435">
        <v>21742.02</v>
      </c>
      <c r="J14766" s="435">
        <v>641.25</v>
      </c>
      <c r="K14766" s="435">
        <v>1522.15</v>
      </c>
      <c r="L14766" s="43">
        <v>10.679786274001732</v>
      </c>
      <c r="M14766" s="43">
        <v>11.500428449014567</v>
      </c>
      <c r="N14766" s="43">
        <v>5.3968187173876458</v>
      </c>
      <c r="O14766" s="43">
        <v>6.6463627630774607</v>
      </c>
      <c r="P14766" s="436"/>
      <c r="Q14766" s="436"/>
      <c r="R14766" s="436">
        <v>8</v>
      </c>
    </row>
    <row r="14767" spans="1:18" ht="36">
      <c r="A14767" s="432">
        <v>176</v>
      </c>
      <c r="B14767" s="429" t="s">
        <v>26533</v>
      </c>
      <c r="C14767" s="433" t="s">
        <v>26534</v>
      </c>
      <c r="D14767" s="434">
        <v>2681.6</v>
      </c>
      <c r="E14767" s="434">
        <v>2287.3200000000002</v>
      </c>
      <c r="F14767" s="434">
        <v>147.01</v>
      </c>
      <c r="G14767" s="434">
        <v>247.27</v>
      </c>
      <c r="H14767" s="435">
        <v>28795.919999999998</v>
      </c>
      <c r="I14767" s="435">
        <v>26305.16</v>
      </c>
      <c r="J14767" s="435">
        <v>794.36</v>
      </c>
      <c r="K14767" s="435">
        <v>1696.4</v>
      </c>
      <c r="L14767" s="43">
        <v>10.738335322195704</v>
      </c>
      <c r="M14767" s="43">
        <v>11.500428449014567</v>
      </c>
      <c r="N14767" s="43">
        <v>5.4034419427249851</v>
      </c>
      <c r="O14767" s="43">
        <v>6.8605168439357787</v>
      </c>
      <c r="P14767" s="436"/>
      <c r="Q14767" s="436"/>
      <c r="R14767" s="436">
        <v>8</v>
      </c>
    </row>
    <row r="14768" spans="1:18" ht="36">
      <c r="A14768" s="432">
        <v>177</v>
      </c>
      <c r="B14768" s="429" t="s">
        <v>26535</v>
      </c>
      <c r="C14768" s="433" t="s">
        <v>26536</v>
      </c>
      <c r="D14768" s="434">
        <v>2947.71</v>
      </c>
      <c r="E14768" s="434">
        <v>2520.7199999999998</v>
      </c>
      <c r="F14768" s="434">
        <v>175.06</v>
      </c>
      <c r="G14768" s="434">
        <v>251.93</v>
      </c>
      <c r="H14768" s="435">
        <v>31679.77</v>
      </c>
      <c r="I14768" s="435">
        <v>28989.360000000001</v>
      </c>
      <c r="J14768" s="435">
        <v>940.42</v>
      </c>
      <c r="K14768" s="435">
        <v>1749.99</v>
      </c>
      <c r="L14768" s="43">
        <v>10.747247863595808</v>
      </c>
      <c r="M14768" s="43">
        <v>11.500428449014569</v>
      </c>
      <c r="N14768" s="43">
        <v>5.3719867474008911</v>
      </c>
      <c r="O14768" s="43">
        <v>6.9463342992100978</v>
      </c>
      <c r="P14768" s="436"/>
      <c r="Q14768" s="436"/>
      <c r="R14768" s="436">
        <v>8</v>
      </c>
    </row>
    <row r="14769" spans="1:18" ht="24">
      <c r="A14769" s="432">
        <v>178</v>
      </c>
      <c r="B14769" s="429" t="s">
        <v>26537</v>
      </c>
      <c r="C14769" s="433" t="s">
        <v>26538</v>
      </c>
      <c r="D14769" s="434">
        <v>2257.0500000000002</v>
      </c>
      <c r="E14769" s="434">
        <v>1008.99</v>
      </c>
      <c r="F14769" s="434">
        <v>351.91</v>
      </c>
      <c r="G14769" s="434">
        <v>896.15</v>
      </c>
      <c r="H14769" s="435">
        <v>18605.16</v>
      </c>
      <c r="I14769" s="435">
        <v>11603.39</v>
      </c>
      <c r="J14769" s="435">
        <v>1877.86</v>
      </c>
      <c r="K14769" s="435">
        <v>5123.91</v>
      </c>
      <c r="L14769" s="43">
        <v>8.243131521233467</v>
      </c>
      <c r="M14769" s="43">
        <v>11.5000049554505</v>
      </c>
      <c r="N14769" s="43">
        <v>5.3361939132164471</v>
      </c>
      <c r="O14769" s="43">
        <v>5.7176923506109469</v>
      </c>
      <c r="P14769" s="436"/>
      <c r="Q14769" s="436"/>
      <c r="R14769" s="436">
        <v>8</v>
      </c>
    </row>
    <row r="14770" spans="1:18" ht="36">
      <c r="A14770" s="432">
        <v>179</v>
      </c>
      <c r="B14770" s="429" t="s">
        <v>26539</v>
      </c>
      <c r="C14770" s="433" t="s">
        <v>26540</v>
      </c>
      <c r="D14770" s="434">
        <v>2590.1799999999998</v>
      </c>
      <c r="E14770" s="434">
        <v>1064.49</v>
      </c>
      <c r="F14770" s="434">
        <v>376.38</v>
      </c>
      <c r="G14770" s="434">
        <v>1149.31</v>
      </c>
      <c r="H14770" s="435">
        <v>20071.349999999999</v>
      </c>
      <c r="I14770" s="435">
        <v>12241.64</v>
      </c>
      <c r="J14770" s="435">
        <v>2007.43</v>
      </c>
      <c r="K14770" s="435">
        <v>5822.28</v>
      </c>
      <c r="L14770" s="43">
        <v>7.7490174428032024</v>
      </c>
      <c r="M14770" s="43">
        <v>11.500004697084988</v>
      </c>
      <c r="N14770" s="43">
        <v>5.3335193155853133</v>
      </c>
      <c r="O14770" s="43">
        <v>5.0658917089384063</v>
      </c>
      <c r="P14770" s="436"/>
      <c r="Q14770" s="436"/>
      <c r="R14770" s="436">
        <v>8</v>
      </c>
    </row>
    <row r="14771" spans="1:18" ht="12.75" customHeight="1">
      <c r="A14771" s="628" t="s">
        <v>26541</v>
      </c>
      <c r="B14771" s="629"/>
      <c r="C14771" s="629"/>
      <c r="D14771" s="629"/>
      <c r="E14771" s="629"/>
      <c r="F14771" s="629"/>
      <c r="G14771" s="629"/>
      <c r="H14771" s="629"/>
      <c r="I14771" s="629"/>
      <c r="J14771" s="629"/>
      <c r="K14771" s="629"/>
      <c r="L14771" s="629"/>
      <c r="M14771" s="629"/>
      <c r="N14771" s="629"/>
      <c r="O14771" s="629"/>
      <c r="P14771" s="629"/>
      <c r="Q14771" s="629"/>
      <c r="R14771" s="629"/>
    </row>
    <row r="14772" spans="1:18" ht="36">
      <c r="A14772" s="432">
        <v>180</v>
      </c>
      <c r="B14772" s="429" t="s">
        <v>26542</v>
      </c>
      <c r="C14772" s="433" t="s">
        <v>26543</v>
      </c>
      <c r="D14772" s="434">
        <v>4545.24</v>
      </c>
      <c r="E14772" s="434">
        <v>2789.13</v>
      </c>
      <c r="F14772" s="434">
        <v>386.41</v>
      </c>
      <c r="G14772" s="434">
        <v>1369.7</v>
      </c>
      <c r="H14772" s="435">
        <v>38771.26</v>
      </c>
      <c r="I14772" s="435">
        <v>32076.19</v>
      </c>
      <c r="J14772" s="435">
        <v>2462.2399999999998</v>
      </c>
      <c r="K14772" s="435">
        <v>4232.83</v>
      </c>
      <c r="L14772" s="43">
        <v>8.5300798197674936</v>
      </c>
      <c r="M14772" s="43">
        <v>11.500428449014567</v>
      </c>
      <c r="N14772" s="43">
        <v>6.3720918195698859</v>
      </c>
      <c r="O14772" s="43">
        <v>3.0903336497043146</v>
      </c>
      <c r="P14772" s="436"/>
      <c r="Q14772" s="436"/>
      <c r="R14772" s="436">
        <v>9</v>
      </c>
    </row>
    <row r="14773" spans="1:18" ht="36">
      <c r="A14773" s="432">
        <v>181</v>
      </c>
      <c r="B14773" s="429" t="s">
        <v>26544</v>
      </c>
      <c r="C14773" s="433" t="s">
        <v>26545</v>
      </c>
      <c r="D14773" s="434">
        <v>4813.3500000000004</v>
      </c>
      <c r="E14773" s="434">
        <v>3010.86</v>
      </c>
      <c r="F14773" s="434">
        <v>428.35</v>
      </c>
      <c r="G14773" s="434">
        <v>1374.14</v>
      </c>
      <c r="H14773" s="435">
        <v>41641.24</v>
      </c>
      <c r="I14773" s="435">
        <v>34626.18</v>
      </c>
      <c r="J14773" s="435">
        <v>2731.17</v>
      </c>
      <c r="K14773" s="435">
        <v>4283.8900000000003</v>
      </c>
      <c r="L14773" s="43">
        <v>8.6511971911454584</v>
      </c>
      <c r="M14773" s="43">
        <v>11.500428449014567</v>
      </c>
      <c r="N14773" s="43">
        <v>6.3760242792109256</v>
      </c>
      <c r="O14773" s="43">
        <v>3.1175062220734424</v>
      </c>
      <c r="P14773" s="436"/>
      <c r="Q14773" s="436"/>
      <c r="R14773" s="436">
        <v>9</v>
      </c>
    </row>
    <row r="14774" spans="1:18" ht="36">
      <c r="A14774" s="432">
        <v>182</v>
      </c>
      <c r="B14774" s="429" t="s">
        <v>26546</v>
      </c>
      <c r="C14774" s="433" t="s">
        <v>26547</v>
      </c>
      <c r="D14774" s="434">
        <v>5246.66</v>
      </c>
      <c r="E14774" s="434">
        <v>3104.22</v>
      </c>
      <c r="F14774" s="434">
        <v>602.20000000000005</v>
      </c>
      <c r="G14774" s="434">
        <v>1540.24</v>
      </c>
      <c r="H14774" s="435">
        <v>44292.89</v>
      </c>
      <c r="I14774" s="435">
        <v>35699.86</v>
      </c>
      <c r="J14774" s="435">
        <v>3838.83</v>
      </c>
      <c r="K14774" s="435">
        <v>4754.2</v>
      </c>
      <c r="L14774" s="43">
        <v>8.4421117434710844</v>
      </c>
      <c r="M14774" s="43">
        <v>11.500428449014569</v>
      </c>
      <c r="N14774" s="43">
        <v>6.3746761873131845</v>
      </c>
      <c r="O14774" s="43">
        <v>3.0866618189373085</v>
      </c>
      <c r="P14774" s="436"/>
      <c r="Q14774" s="436"/>
      <c r="R14774" s="436">
        <v>9</v>
      </c>
    </row>
    <row r="14775" spans="1:18" ht="36">
      <c r="A14775" s="432">
        <v>183</v>
      </c>
      <c r="B14775" s="429" t="s">
        <v>26548</v>
      </c>
      <c r="C14775" s="433" t="s">
        <v>26549</v>
      </c>
      <c r="D14775" s="434">
        <v>6035.85</v>
      </c>
      <c r="E14775" s="434">
        <v>3536.01</v>
      </c>
      <c r="F14775" s="434">
        <v>786.72</v>
      </c>
      <c r="G14775" s="434">
        <v>1713.12</v>
      </c>
      <c r="H14775" s="435">
        <v>51001.13</v>
      </c>
      <c r="I14775" s="435">
        <v>40665.629999999997</v>
      </c>
      <c r="J14775" s="435">
        <v>5033.0200000000004</v>
      </c>
      <c r="K14775" s="435">
        <v>5302.48</v>
      </c>
      <c r="L14775" s="43">
        <v>8.4497013676615538</v>
      </c>
      <c r="M14775" s="43">
        <v>11.500428449014565</v>
      </c>
      <c r="N14775" s="43">
        <v>6.3974730526743953</v>
      </c>
      <c r="O14775" s="43">
        <v>3.095218081628841</v>
      </c>
      <c r="P14775" s="436"/>
      <c r="Q14775" s="436"/>
      <c r="R14775" s="436">
        <v>9</v>
      </c>
    </row>
    <row r="14776" spans="1:18" ht="36">
      <c r="A14776" s="432">
        <v>184</v>
      </c>
      <c r="B14776" s="429" t="s">
        <v>26550</v>
      </c>
      <c r="C14776" s="433" t="s">
        <v>26551</v>
      </c>
      <c r="D14776" s="434">
        <v>7930.21</v>
      </c>
      <c r="E14776" s="434">
        <v>4679.67</v>
      </c>
      <c r="F14776" s="434">
        <v>1186.07</v>
      </c>
      <c r="G14776" s="434">
        <v>2064.4699999999998</v>
      </c>
      <c r="H14776" s="435">
        <v>67868.09</v>
      </c>
      <c r="I14776" s="435">
        <v>53818.21</v>
      </c>
      <c r="J14776" s="435">
        <v>7586.55</v>
      </c>
      <c r="K14776" s="435">
        <v>6463.33</v>
      </c>
      <c r="L14776" s="43">
        <v>8.5581705906905352</v>
      </c>
      <c r="M14776" s="43">
        <v>11.500428449014567</v>
      </c>
      <c r="N14776" s="43">
        <v>6.3963762678425393</v>
      </c>
      <c r="O14776" s="43">
        <v>3.1307454213430086</v>
      </c>
      <c r="P14776" s="436"/>
      <c r="Q14776" s="436"/>
      <c r="R14776" s="436">
        <v>9</v>
      </c>
    </row>
    <row r="14777" spans="1:18" ht="36">
      <c r="A14777" s="432">
        <v>185</v>
      </c>
      <c r="B14777" s="429" t="s">
        <v>26552</v>
      </c>
      <c r="C14777" s="433" t="s">
        <v>26553</v>
      </c>
      <c r="D14777" s="434">
        <v>5015.6899999999996</v>
      </c>
      <c r="E14777" s="434">
        <v>3209.25</v>
      </c>
      <c r="F14777" s="434">
        <v>428.33</v>
      </c>
      <c r="G14777" s="434">
        <v>1378.11</v>
      </c>
      <c r="H14777" s="435">
        <v>43968.38</v>
      </c>
      <c r="I14777" s="435">
        <v>36907.75</v>
      </c>
      <c r="J14777" s="435">
        <v>2731.08</v>
      </c>
      <c r="K14777" s="435">
        <v>4329.55</v>
      </c>
      <c r="L14777" s="43">
        <v>8.7661677655516996</v>
      </c>
      <c r="M14777" s="43">
        <v>11.500428449014567</v>
      </c>
      <c r="N14777" s="43">
        <v>6.3761118763570144</v>
      </c>
      <c r="O14777" s="43">
        <v>3.1416577776810271</v>
      </c>
      <c r="P14777" s="436"/>
      <c r="Q14777" s="436"/>
      <c r="R14777" s="436">
        <v>9</v>
      </c>
    </row>
    <row r="14778" spans="1:18" ht="12.75" customHeight="1">
      <c r="A14778" s="628" t="s">
        <v>26554</v>
      </c>
      <c r="B14778" s="629"/>
      <c r="C14778" s="629"/>
      <c r="D14778" s="629"/>
      <c r="E14778" s="629"/>
      <c r="F14778" s="629"/>
      <c r="G14778" s="629"/>
      <c r="H14778" s="629"/>
      <c r="I14778" s="629"/>
      <c r="J14778" s="629"/>
      <c r="K14778" s="629"/>
      <c r="L14778" s="629"/>
      <c r="M14778" s="629"/>
      <c r="N14778" s="629"/>
      <c r="O14778" s="629"/>
      <c r="P14778" s="629"/>
      <c r="Q14778" s="629"/>
      <c r="R14778" s="629"/>
    </row>
    <row r="14779" spans="1:18" ht="24">
      <c r="A14779" s="432">
        <v>186</v>
      </c>
      <c r="B14779" s="429" t="s">
        <v>26555</v>
      </c>
      <c r="C14779" s="433" t="s">
        <v>26556</v>
      </c>
      <c r="D14779" s="434">
        <v>393.66</v>
      </c>
      <c r="E14779" s="434">
        <v>186.45</v>
      </c>
      <c r="F14779" s="434">
        <v>126.54</v>
      </c>
      <c r="G14779" s="434">
        <v>80.67</v>
      </c>
      <c r="H14779" s="435">
        <v>3197.68</v>
      </c>
      <c r="I14779" s="435">
        <v>2144.15</v>
      </c>
      <c r="J14779" s="435">
        <v>673.72</v>
      </c>
      <c r="K14779" s="435">
        <v>379.81</v>
      </c>
      <c r="L14779" s="43">
        <v>8.1229487374892031</v>
      </c>
      <c r="M14779" s="43">
        <v>11.499865915795121</v>
      </c>
      <c r="N14779" s="43">
        <v>5.3241662715346925</v>
      </c>
      <c r="O14779" s="43">
        <v>4.7081938762861038</v>
      </c>
      <c r="P14779" s="436"/>
      <c r="Q14779" s="436"/>
      <c r="R14779" s="436">
        <v>10</v>
      </c>
    </row>
    <row r="14780" spans="1:18" ht="24">
      <c r="A14780" s="432">
        <v>187</v>
      </c>
      <c r="B14780" s="429" t="s">
        <v>26557</v>
      </c>
      <c r="C14780" s="433" t="s">
        <v>26558</v>
      </c>
      <c r="D14780" s="434">
        <v>419.22</v>
      </c>
      <c r="E14780" s="434">
        <v>210.3</v>
      </c>
      <c r="F14780" s="434">
        <v>127.77</v>
      </c>
      <c r="G14780" s="434">
        <v>81.150000000000006</v>
      </c>
      <c r="H14780" s="435">
        <v>3485.46</v>
      </c>
      <c r="I14780" s="435">
        <v>2418.4</v>
      </c>
      <c r="J14780" s="435">
        <v>681.73</v>
      </c>
      <c r="K14780" s="435">
        <v>385.33</v>
      </c>
      <c r="L14780" s="43">
        <v>8.3141548590239012</v>
      </c>
      <c r="M14780" s="43">
        <v>11.499762244412743</v>
      </c>
      <c r="N14780" s="43">
        <v>5.3356030367065825</v>
      </c>
      <c r="O14780" s="43">
        <v>4.7483672211953172</v>
      </c>
      <c r="P14780" s="436"/>
      <c r="Q14780" s="436"/>
      <c r="R14780" s="436">
        <v>10</v>
      </c>
    </row>
    <row r="14781" spans="1:18" ht="24">
      <c r="A14781" s="432">
        <v>188</v>
      </c>
      <c r="B14781" s="429" t="s">
        <v>26559</v>
      </c>
      <c r="C14781" s="433" t="s">
        <v>26560</v>
      </c>
      <c r="D14781" s="434">
        <v>503.73</v>
      </c>
      <c r="E14781" s="434">
        <v>262.33</v>
      </c>
      <c r="F14781" s="434">
        <v>147.05000000000001</v>
      </c>
      <c r="G14781" s="434">
        <v>94.35</v>
      </c>
      <c r="H14781" s="435">
        <v>4249.07</v>
      </c>
      <c r="I14781" s="435">
        <v>3016.77</v>
      </c>
      <c r="J14781" s="435">
        <v>782.26</v>
      </c>
      <c r="K14781" s="435">
        <v>450.04</v>
      </c>
      <c r="L14781" s="43">
        <v>8.4352133087169712</v>
      </c>
      <c r="M14781" s="43">
        <v>11.499904700186788</v>
      </c>
      <c r="N14781" s="43">
        <v>5.319687181230873</v>
      </c>
      <c r="O14781" s="43">
        <v>4.7698993110757826</v>
      </c>
      <c r="P14781" s="436"/>
      <c r="Q14781" s="436"/>
      <c r="R14781" s="436">
        <v>10</v>
      </c>
    </row>
    <row r="14782" spans="1:18" ht="24">
      <c r="A14782" s="432">
        <v>189</v>
      </c>
      <c r="B14782" s="429" t="s">
        <v>26561</v>
      </c>
      <c r="C14782" s="433" t="s">
        <v>26562</v>
      </c>
      <c r="D14782" s="434">
        <v>555.70000000000005</v>
      </c>
      <c r="E14782" s="434">
        <v>313.27999999999997</v>
      </c>
      <c r="F14782" s="434">
        <v>147.05000000000001</v>
      </c>
      <c r="G14782" s="434">
        <v>95.37</v>
      </c>
      <c r="H14782" s="435">
        <v>4846.7</v>
      </c>
      <c r="I14782" s="435">
        <v>3602.67</v>
      </c>
      <c r="J14782" s="435">
        <v>782.26</v>
      </c>
      <c r="K14782" s="435">
        <v>461.77</v>
      </c>
      <c r="L14782" s="43">
        <v>8.7217923339931609</v>
      </c>
      <c r="M14782" s="43">
        <v>11.499840398365681</v>
      </c>
      <c r="N14782" s="43">
        <v>5.319687181230873</v>
      </c>
      <c r="O14782" s="43">
        <v>4.8418789975883394</v>
      </c>
      <c r="P14782" s="436"/>
      <c r="Q14782" s="436"/>
      <c r="R14782" s="436">
        <v>10</v>
      </c>
    </row>
    <row r="14783" spans="1:18" ht="24">
      <c r="A14783" s="432">
        <v>190</v>
      </c>
      <c r="B14783" s="429" t="s">
        <v>26563</v>
      </c>
      <c r="C14783" s="433" t="s">
        <v>26564</v>
      </c>
      <c r="D14783" s="434">
        <v>677.54</v>
      </c>
      <c r="E14783" s="434">
        <v>396.74</v>
      </c>
      <c r="F14783" s="434">
        <v>183.77</v>
      </c>
      <c r="G14783" s="434">
        <v>97.03</v>
      </c>
      <c r="H14783" s="435">
        <v>6026.94</v>
      </c>
      <c r="I14783" s="435">
        <v>4562.5600000000004</v>
      </c>
      <c r="J14783" s="435">
        <v>983.52</v>
      </c>
      <c r="K14783" s="435">
        <v>480.86</v>
      </c>
      <c r="L14783" s="43">
        <v>8.8953272131534664</v>
      </c>
      <c r="M14783" s="43">
        <v>11.500126027121038</v>
      </c>
      <c r="N14783" s="43">
        <v>5.3519072753985952</v>
      </c>
      <c r="O14783" s="43">
        <v>4.9557868700401935</v>
      </c>
      <c r="P14783" s="436"/>
      <c r="Q14783" s="436"/>
      <c r="R14783" s="436">
        <v>10</v>
      </c>
    </row>
    <row r="14784" spans="1:18" ht="24">
      <c r="A14784" s="432">
        <v>191</v>
      </c>
      <c r="B14784" s="429" t="s">
        <v>26565</v>
      </c>
      <c r="C14784" s="433" t="s">
        <v>26566</v>
      </c>
      <c r="D14784" s="434">
        <v>745.49</v>
      </c>
      <c r="E14784" s="434">
        <v>445.52</v>
      </c>
      <c r="F14784" s="434">
        <v>201.96</v>
      </c>
      <c r="G14784" s="434">
        <v>98.01</v>
      </c>
      <c r="H14784" s="435">
        <v>6697.48</v>
      </c>
      <c r="I14784" s="435">
        <v>5123.53</v>
      </c>
      <c r="J14784" s="435">
        <v>1081.82</v>
      </c>
      <c r="K14784" s="435">
        <v>492.13</v>
      </c>
      <c r="L14784" s="43">
        <v>8.9839971025768275</v>
      </c>
      <c r="M14784" s="43">
        <v>11.500112228407254</v>
      </c>
      <c r="N14784" s="43">
        <v>5.3566052683699734</v>
      </c>
      <c r="O14784" s="43">
        <v>5.0212223242526273</v>
      </c>
      <c r="P14784" s="436"/>
      <c r="Q14784" s="436"/>
      <c r="R14784" s="436">
        <v>10</v>
      </c>
    </row>
    <row r="14785" spans="1:18" ht="12.75" customHeight="1">
      <c r="A14785" s="628" t="s">
        <v>26567</v>
      </c>
      <c r="B14785" s="629"/>
      <c r="C14785" s="629"/>
      <c r="D14785" s="629"/>
      <c r="E14785" s="629"/>
      <c r="F14785" s="629"/>
      <c r="G14785" s="629"/>
      <c r="H14785" s="629"/>
      <c r="I14785" s="629"/>
      <c r="J14785" s="629"/>
      <c r="K14785" s="629"/>
      <c r="L14785" s="629"/>
      <c r="M14785" s="629"/>
      <c r="N14785" s="629"/>
      <c r="O14785" s="629"/>
      <c r="P14785" s="629"/>
      <c r="Q14785" s="629"/>
      <c r="R14785" s="629"/>
    </row>
    <row r="14786" spans="1:18" ht="24">
      <c r="A14786" s="432">
        <v>192</v>
      </c>
      <c r="B14786" s="429" t="s">
        <v>26568</v>
      </c>
      <c r="C14786" s="433" t="s">
        <v>26569</v>
      </c>
      <c r="D14786" s="434">
        <v>289.26</v>
      </c>
      <c r="E14786" s="434">
        <v>128.61000000000001</v>
      </c>
      <c r="F14786" s="434">
        <v>70.63</v>
      </c>
      <c r="G14786" s="434">
        <v>90.02</v>
      </c>
      <c r="H14786" s="435">
        <v>2344.46</v>
      </c>
      <c r="I14786" s="435">
        <v>1479.06</v>
      </c>
      <c r="J14786" s="435">
        <v>394.44</v>
      </c>
      <c r="K14786" s="435">
        <v>470.96</v>
      </c>
      <c r="L14786" s="43">
        <v>8.1050266196501415</v>
      </c>
      <c r="M14786" s="43">
        <v>11.500349895031489</v>
      </c>
      <c r="N14786" s="43">
        <v>5.5845957808296758</v>
      </c>
      <c r="O14786" s="43">
        <v>5.2317262830482116</v>
      </c>
      <c r="P14786" s="436"/>
      <c r="Q14786" s="436"/>
      <c r="R14786" s="436">
        <v>11</v>
      </c>
    </row>
    <row r="14787" spans="1:18" ht="24">
      <c r="A14787" s="432">
        <v>193</v>
      </c>
      <c r="B14787" s="429" t="s">
        <v>26570</v>
      </c>
      <c r="C14787" s="433" t="s">
        <v>26571</v>
      </c>
      <c r="D14787" s="434">
        <v>302.76</v>
      </c>
      <c r="E14787" s="434">
        <v>141.84</v>
      </c>
      <c r="F14787" s="434">
        <v>70.63</v>
      </c>
      <c r="G14787" s="434">
        <v>90.29</v>
      </c>
      <c r="H14787" s="435">
        <v>2499.61</v>
      </c>
      <c r="I14787" s="435">
        <v>1631.11</v>
      </c>
      <c r="J14787" s="435">
        <v>394.44</v>
      </c>
      <c r="K14787" s="435">
        <v>474.06</v>
      </c>
      <c r="L14787" s="43">
        <v>8.2560774210595866</v>
      </c>
      <c r="M14787" s="43">
        <v>11.499647490129723</v>
      </c>
      <c r="N14787" s="43">
        <v>5.5845957808296758</v>
      </c>
      <c r="O14787" s="43">
        <v>5.2504153283863104</v>
      </c>
      <c r="P14787" s="436"/>
      <c r="Q14787" s="436"/>
      <c r="R14787" s="436">
        <v>11</v>
      </c>
    </row>
    <row r="14788" spans="1:18" ht="24">
      <c r="A14788" s="432">
        <v>194</v>
      </c>
      <c r="B14788" s="429" t="s">
        <v>26572</v>
      </c>
      <c r="C14788" s="433" t="s">
        <v>26573</v>
      </c>
      <c r="D14788" s="434">
        <v>249.81</v>
      </c>
      <c r="E14788" s="434">
        <v>116.23</v>
      </c>
      <c r="F14788" s="434">
        <v>70.63</v>
      </c>
      <c r="G14788" s="434">
        <v>62.95</v>
      </c>
      <c r="H14788" s="435">
        <v>2070.56</v>
      </c>
      <c r="I14788" s="435">
        <v>1336.68</v>
      </c>
      <c r="J14788" s="435">
        <v>394.44</v>
      </c>
      <c r="K14788" s="435">
        <v>339.44</v>
      </c>
      <c r="L14788" s="43">
        <v>8.2885392898602941</v>
      </c>
      <c r="M14788" s="43">
        <v>11.500301127075627</v>
      </c>
      <c r="N14788" s="43">
        <v>5.5845957808296758</v>
      </c>
      <c r="O14788" s="43">
        <v>5.3922160444797456</v>
      </c>
      <c r="P14788" s="436"/>
      <c r="Q14788" s="436"/>
      <c r="R14788" s="436">
        <v>11</v>
      </c>
    </row>
    <row r="14789" spans="1:18" ht="12.75" customHeight="1">
      <c r="A14789" s="628" t="s">
        <v>26574</v>
      </c>
      <c r="B14789" s="629"/>
      <c r="C14789" s="629"/>
      <c r="D14789" s="629"/>
      <c r="E14789" s="629"/>
      <c r="F14789" s="629"/>
      <c r="G14789" s="629"/>
      <c r="H14789" s="629"/>
      <c r="I14789" s="629"/>
      <c r="J14789" s="629"/>
      <c r="K14789" s="629"/>
      <c r="L14789" s="629"/>
      <c r="M14789" s="629"/>
      <c r="N14789" s="629"/>
      <c r="O14789" s="629"/>
      <c r="P14789" s="629"/>
      <c r="Q14789" s="629"/>
      <c r="R14789" s="629"/>
    </row>
    <row r="14790" spans="1:18" ht="24">
      <c r="A14790" s="432">
        <v>195</v>
      </c>
      <c r="B14790" s="429" t="s">
        <v>26575</v>
      </c>
      <c r="C14790" s="433" t="s">
        <v>26576</v>
      </c>
      <c r="D14790" s="434">
        <v>185.32</v>
      </c>
      <c r="E14790" s="434">
        <v>97.1</v>
      </c>
      <c r="F14790" s="434">
        <v>49.15</v>
      </c>
      <c r="G14790" s="434">
        <v>39.07</v>
      </c>
      <c r="H14790" s="435">
        <v>1617.02</v>
      </c>
      <c r="I14790" s="435">
        <v>1116.74</v>
      </c>
      <c r="J14790" s="435">
        <v>266.39</v>
      </c>
      <c r="K14790" s="435">
        <v>233.89</v>
      </c>
      <c r="L14790" s="43">
        <v>8.7255557953809628</v>
      </c>
      <c r="M14790" s="43">
        <v>11.500926879505665</v>
      </c>
      <c r="N14790" s="43">
        <v>5.4199389623601215</v>
      </c>
      <c r="O14790" s="43">
        <v>5.9864346045559245</v>
      </c>
      <c r="P14790" s="436"/>
      <c r="Q14790" s="436"/>
      <c r="R14790" s="436">
        <v>12</v>
      </c>
    </row>
    <row r="14791" spans="1:18" ht="12.75" customHeight="1">
      <c r="A14791" s="628" t="s">
        <v>26577</v>
      </c>
      <c r="B14791" s="629"/>
      <c r="C14791" s="629"/>
      <c r="D14791" s="629"/>
      <c r="E14791" s="629"/>
      <c r="F14791" s="629"/>
      <c r="G14791" s="629"/>
      <c r="H14791" s="629"/>
      <c r="I14791" s="629"/>
      <c r="J14791" s="629"/>
      <c r="K14791" s="629"/>
      <c r="L14791" s="629"/>
      <c r="M14791" s="629"/>
      <c r="N14791" s="629"/>
      <c r="O14791" s="629"/>
      <c r="P14791" s="629"/>
      <c r="Q14791" s="629"/>
      <c r="R14791" s="629"/>
    </row>
    <row r="14792" spans="1:18" ht="24">
      <c r="A14792" s="432">
        <v>196</v>
      </c>
      <c r="B14792" s="429" t="s">
        <v>26578</v>
      </c>
      <c r="C14792" s="433" t="s">
        <v>26579</v>
      </c>
      <c r="D14792" s="434">
        <v>918.81</v>
      </c>
      <c r="E14792" s="434">
        <v>580</v>
      </c>
      <c r="F14792" s="434">
        <v>91.03</v>
      </c>
      <c r="G14792" s="434">
        <v>247.78</v>
      </c>
      <c r="H14792" s="435">
        <v>8376.07</v>
      </c>
      <c r="I14792" s="435">
        <v>6670.24</v>
      </c>
      <c r="J14792" s="435">
        <v>498.27</v>
      </c>
      <c r="K14792" s="435">
        <v>1207.56</v>
      </c>
      <c r="L14792" s="43">
        <v>9.1162155396654363</v>
      </c>
      <c r="M14792" s="43">
        <v>11.500413793103448</v>
      </c>
      <c r="N14792" s="43">
        <v>5.4736899923102271</v>
      </c>
      <c r="O14792" s="43">
        <v>4.8735168294454754</v>
      </c>
      <c r="P14792" s="436"/>
      <c r="Q14792" s="436"/>
      <c r="R14792" s="436">
        <v>13</v>
      </c>
    </row>
    <row r="14793" spans="1:18" ht="12.75" customHeight="1">
      <c r="A14793" s="628" t="s">
        <v>26580</v>
      </c>
      <c r="B14793" s="629"/>
      <c r="C14793" s="629"/>
      <c r="D14793" s="629"/>
      <c r="E14793" s="629"/>
      <c r="F14793" s="629"/>
      <c r="G14793" s="629"/>
      <c r="H14793" s="629"/>
      <c r="I14793" s="629"/>
      <c r="J14793" s="629"/>
      <c r="K14793" s="629"/>
      <c r="L14793" s="629"/>
      <c r="M14793" s="629"/>
      <c r="N14793" s="629"/>
      <c r="O14793" s="629"/>
      <c r="P14793" s="629"/>
      <c r="Q14793" s="629"/>
      <c r="R14793" s="629"/>
    </row>
    <row r="14794" spans="1:18" ht="24">
      <c r="A14794" s="432">
        <v>197</v>
      </c>
      <c r="B14794" s="429" t="s">
        <v>26581</v>
      </c>
      <c r="C14794" s="433" t="s">
        <v>26582</v>
      </c>
      <c r="D14794" s="434">
        <v>2174.31</v>
      </c>
      <c r="E14794" s="434">
        <v>1592.58</v>
      </c>
      <c r="F14794" s="434">
        <v>284.2</v>
      </c>
      <c r="G14794" s="434">
        <v>297.52999999999997</v>
      </c>
      <c r="H14794" s="435">
        <v>22490.49</v>
      </c>
      <c r="I14794" s="435">
        <v>18314.669999999998</v>
      </c>
      <c r="J14794" s="435">
        <v>1584.77</v>
      </c>
      <c r="K14794" s="435">
        <v>2591.0500000000002</v>
      </c>
      <c r="L14794" s="43">
        <v>10.343736633690689</v>
      </c>
      <c r="M14794" s="43">
        <v>11.5</v>
      </c>
      <c r="N14794" s="43">
        <v>5.5762491203377902</v>
      </c>
      <c r="O14794" s="43">
        <v>8.7085335932511025</v>
      </c>
      <c r="P14794" s="436"/>
      <c r="Q14794" s="436"/>
      <c r="R14794" s="436">
        <v>14</v>
      </c>
    </row>
    <row r="14795" spans="1:18" ht="12.75" customHeight="1">
      <c r="A14795" s="628" t="s">
        <v>26583</v>
      </c>
      <c r="B14795" s="629"/>
      <c r="C14795" s="629"/>
      <c r="D14795" s="629"/>
      <c r="E14795" s="629"/>
      <c r="F14795" s="629"/>
      <c r="G14795" s="629"/>
      <c r="H14795" s="629"/>
      <c r="I14795" s="629"/>
      <c r="J14795" s="629"/>
      <c r="K14795" s="629"/>
      <c r="L14795" s="629"/>
      <c r="M14795" s="629"/>
      <c r="N14795" s="629"/>
      <c r="O14795" s="629"/>
      <c r="P14795" s="629"/>
      <c r="Q14795" s="629"/>
      <c r="R14795" s="629"/>
    </row>
    <row r="14796" spans="1:18" ht="24">
      <c r="A14796" s="432">
        <v>198</v>
      </c>
      <c r="B14796" s="429" t="s">
        <v>26584</v>
      </c>
      <c r="C14796" s="433" t="s">
        <v>26585</v>
      </c>
      <c r="D14796" s="434">
        <v>379.43</v>
      </c>
      <c r="E14796" s="434">
        <v>307.14999999999998</v>
      </c>
      <c r="F14796" s="434">
        <v>5.17</v>
      </c>
      <c r="G14796" s="434">
        <v>67.11</v>
      </c>
      <c r="H14796" s="435">
        <v>3978.67</v>
      </c>
      <c r="I14796" s="435">
        <v>3532.29</v>
      </c>
      <c r="J14796" s="435">
        <v>28.03</v>
      </c>
      <c r="K14796" s="435">
        <v>418.35</v>
      </c>
      <c r="L14796" s="43">
        <v>10.485913080146535</v>
      </c>
      <c r="M14796" s="43">
        <v>11.500211622985512</v>
      </c>
      <c r="N14796" s="43">
        <v>5.421663442940039</v>
      </c>
      <c r="O14796" s="43">
        <v>6.2337952615109522</v>
      </c>
      <c r="P14796" s="436"/>
      <c r="Q14796" s="436"/>
      <c r="R14796" s="436">
        <v>15</v>
      </c>
    </row>
    <row r="14797" spans="1:18" ht="12.75" customHeight="1">
      <c r="A14797" s="628" t="s">
        <v>26586</v>
      </c>
      <c r="B14797" s="629"/>
      <c r="C14797" s="629"/>
      <c r="D14797" s="629"/>
      <c r="E14797" s="629"/>
      <c r="F14797" s="629"/>
      <c r="G14797" s="629"/>
      <c r="H14797" s="629"/>
      <c r="I14797" s="629"/>
      <c r="J14797" s="629"/>
      <c r="K14797" s="629"/>
      <c r="L14797" s="629"/>
      <c r="M14797" s="629"/>
      <c r="N14797" s="629"/>
      <c r="O14797" s="629"/>
      <c r="P14797" s="629"/>
      <c r="Q14797" s="629"/>
      <c r="R14797" s="629"/>
    </row>
    <row r="14798" spans="1:18" ht="12.75" customHeight="1">
      <c r="A14798" s="628" t="s">
        <v>26587</v>
      </c>
      <c r="B14798" s="629"/>
      <c r="C14798" s="629"/>
      <c r="D14798" s="629"/>
      <c r="E14798" s="629"/>
      <c r="F14798" s="629"/>
      <c r="G14798" s="629"/>
      <c r="H14798" s="629"/>
      <c r="I14798" s="629"/>
      <c r="J14798" s="629"/>
      <c r="K14798" s="629"/>
      <c r="L14798" s="629"/>
      <c r="M14798" s="629"/>
      <c r="N14798" s="629"/>
      <c r="O14798" s="629"/>
      <c r="P14798" s="629"/>
      <c r="Q14798" s="629"/>
      <c r="R14798" s="629"/>
    </row>
    <row r="14799" spans="1:18" ht="24">
      <c r="A14799" s="432">
        <v>199</v>
      </c>
      <c r="B14799" s="429" t="s">
        <v>26588</v>
      </c>
      <c r="C14799" s="433" t="s">
        <v>26589</v>
      </c>
      <c r="D14799" s="434">
        <v>977.3</v>
      </c>
      <c r="E14799" s="434">
        <v>610.34</v>
      </c>
      <c r="F14799" s="434">
        <v>115.54</v>
      </c>
      <c r="G14799" s="434">
        <v>251.42</v>
      </c>
      <c r="H14799" s="435">
        <v>8968.9</v>
      </c>
      <c r="I14799" s="435">
        <v>7019.18</v>
      </c>
      <c r="J14799" s="435">
        <v>624.28</v>
      </c>
      <c r="K14799" s="435">
        <v>1325.44</v>
      </c>
      <c r="L14799" s="43">
        <v>9.1772229612196874</v>
      </c>
      <c r="M14799" s="43">
        <v>11.500442376380377</v>
      </c>
      <c r="N14799" s="43">
        <v>5.4031504240955508</v>
      </c>
      <c r="O14799" s="43">
        <v>5.2718160846392497</v>
      </c>
      <c r="P14799" s="436"/>
      <c r="Q14799" s="436"/>
      <c r="R14799" s="436">
        <v>1</v>
      </c>
    </row>
    <row r="14800" spans="1:18" ht="12.75" customHeight="1">
      <c r="A14800" s="628" t="s">
        <v>26590</v>
      </c>
      <c r="B14800" s="629"/>
      <c r="C14800" s="629"/>
      <c r="D14800" s="629"/>
      <c r="E14800" s="629"/>
      <c r="F14800" s="629"/>
      <c r="G14800" s="629"/>
      <c r="H14800" s="629"/>
      <c r="I14800" s="629"/>
      <c r="J14800" s="629"/>
      <c r="K14800" s="629"/>
      <c r="L14800" s="629"/>
      <c r="M14800" s="629"/>
      <c r="N14800" s="629"/>
      <c r="O14800" s="629"/>
      <c r="P14800" s="629"/>
      <c r="Q14800" s="629"/>
      <c r="R14800" s="629"/>
    </row>
    <row r="14801" spans="1:18" ht="24">
      <c r="A14801" s="432">
        <v>200</v>
      </c>
      <c r="B14801" s="429" t="s">
        <v>26591</v>
      </c>
      <c r="C14801" s="433" t="s">
        <v>26592</v>
      </c>
      <c r="D14801" s="434">
        <v>16082.2</v>
      </c>
      <c r="E14801" s="434">
        <v>4026.7</v>
      </c>
      <c r="F14801" s="434">
        <v>11538.31</v>
      </c>
      <c r="G14801" s="434">
        <v>517.19000000000005</v>
      </c>
      <c r="H14801" s="435">
        <v>111130.41</v>
      </c>
      <c r="I14801" s="435">
        <v>46307.05</v>
      </c>
      <c r="J14801" s="435">
        <v>62082.28</v>
      </c>
      <c r="K14801" s="435">
        <v>2741.08</v>
      </c>
      <c r="L14801" s="43">
        <v>6.9101497307582296</v>
      </c>
      <c r="M14801" s="43">
        <v>11.500000000000002</v>
      </c>
      <c r="N14801" s="43">
        <v>5.3805349310254273</v>
      </c>
      <c r="O14801" s="43">
        <v>5.2999477948142841</v>
      </c>
      <c r="P14801" s="436"/>
      <c r="Q14801" s="436"/>
      <c r="R14801" s="436">
        <v>2</v>
      </c>
    </row>
    <row r="14802" spans="1:18" ht="12.75" customHeight="1">
      <c r="A14802" s="628" t="s">
        <v>26593</v>
      </c>
      <c r="B14802" s="629"/>
      <c r="C14802" s="629"/>
      <c r="D14802" s="629"/>
      <c r="E14802" s="629"/>
      <c r="F14802" s="629"/>
      <c r="G14802" s="629"/>
      <c r="H14802" s="629"/>
      <c r="I14802" s="629"/>
      <c r="J14802" s="629"/>
      <c r="K14802" s="629"/>
      <c r="L14802" s="629"/>
      <c r="M14802" s="629"/>
      <c r="N14802" s="629"/>
      <c r="O14802" s="629"/>
      <c r="P14802" s="629"/>
      <c r="Q14802" s="629"/>
      <c r="R14802" s="629"/>
    </row>
    <row r="14803" spans="1:18" ht="24">
      <c r="A14803" s="432">
        <v>201</v>
      </c>
      <c r="B14803" s="429" t="s">
        <v>26594</v>
      </c>
      <c r="C14803" s="433" t="s">
        <v>26595</v>
      </c>
      <c r="D14803" s="434">
        <v>4064.16</v>
      </c>
      <c r="E14803" s="434">
        <v>3294.3</v>
      </c>
      <c r="F14803" s="434">
        <v>402.07</v>
      </c>
      <c r="G14803" s="434">
        <v>367.79</v>
      </c>
      <c r="H14803" s="435">
        <v>42615.63</v>
      </c>
      <c r="I14803" s="435">
        <v>37885.839999999997</v>
      </c>
      <c r="J14803" s="435">
        <v>2163.8200000000002</v>
      </c>
      <c r="K14803" s="435">
        <v>2565.9699999999998</v>
      </c>
      <c r="L14803" s="43">
        <v>10.485716605645447</v>
      </c>
      <c r="M14803" s="43">
        <v>11.500421940928268</v>
      </c>
      <c r="N14803" s="43">
        <v>5.3816997040316368</v>
      </c>
      <c r="O14803" s="43">
        <v>6.9767258489899122</v>
      </c>
      <c r="P14803" s="436"/>
      <c r="Q14803" s="436"/>
      <c r="R14803" s="436">
        <v>3</v>
      </c>
    </row>
    <row r="14804" spans="1:18" ht="12.75" customHeight="1">
      <c r="A14804" s="628" t="s">
        <v>26596</v>
      </c>
      <c r="B14804" s="629"/>
      <c r="C14804" s="629"/>
      <c r="D14804" s="629"/>
      <c r="E14804" s="629"/>
      <c r="F14804" s="629"/>
      <c r="G14804" s="629"/>
      <c r="H14804" s="629"/>
      <c r="I14804" s="629"/>
      <c r="J14804" s="629"/>
      <c r="K14804" s="629"/>
      <c r="L14804" s="629"/>
      <c r="M14804" s="629"/>
      <c r="N14804" s="629"/>
      <c r="O14804" s="629"/>
      <c r="P14804" s="629"/>
      <c r="Q14804" s="629"/>
      <c r="R14804" s="629"/>
    </row>
    <row r="14805" spans="1:18" ht="24">
      <c r="A14805" s="432">
        <v>202</v>
      </c>
      <c r="B14805" s="429" t="s">
        <v>26597</v>
      </c>
      <c r="C14805" s="433" t="s">
        <v>26598</v>
      </c>
      <c r="D14805" s="434">
        <v>174.47</v>
      </c>
      <c r="E14805" s="434">
        <v>122.86</v>
      </c>
      <c r="F14805" s="434">
        <v>49.15</v>
      </c>
      <c r="G14805" s="434">
        <v>2.46</v>
      </c>
      <c r="H14805" s="435">
        <v>1707.67</v>
      </c>
      <c r="I14805" s="435">
        <v>1412.99</v>
      </c>
      <c r="J14805" s="435">
        <v>266.39</v>
      </c>
      <c r="K14805" s="435">
        <v>28.29</v>
      </c>
      <c r="L14805" s="43">
        <v>9.7877572075428443</v>
      </c>
      <c r="M14805" s="43">
        <v>11.500813934559661</v>
      </c>
      <c r="N14805" s="43">
        <v>5.4199389623601215</v>
      </c>
      <c r="O14805" s="43">
        <v>11.5</v>
      </c>
      <c r="P14805" s="436"/>
      <c r="Q14805" s="436"/>
      <c r="R14805" s="436">
        <v>4</v>
      </c>
    </row>
    <row r="14806" spans="1:18" ht="12.75" customHeight="1">
      <c r="A14806" s="628" t="s">
        <v>26599</v>
      </c>
      <c r="B14806" s="629"/>
      <c r="C14806" s="629"/>
      <c r="D14806" s="629"/>
      <c r="E14806" s="629"/>
      <c r="F14806" s="629"/>
      <c r="G14806" s="629"/>
      <c r="H14806" s="629"/>
      <c r="I14806" s="629"/>
      <c r="J14806" s="629"/>
      <c r="K14806" s="629"/>
      <c r="L14806" s="629"/>
      <c r="M14806" s="629"/>
      <c r="N14806" s="629"/>
      <c r="O14806" s="629"/>
      <c r="P14806" s="629"/>
      <c r="Q14806" s="629"/>
      <c r="R14806" s="629"/>
    </row>
    <row r="14807" spans="1:18" ht="12.75" customHeight="1">
      <c r="A14807" s="628" t="s">
        <v>26600</v>
      </c>
      <c r="B14807" s="629"/>
      <c r="C14807" s="629"/>
      <c r="D14807" s="629"/>
      <c r="E14807" s="629"/>
      <c r="F14807" s="629"/>
      <c r="G14807" s="629"/>
      <c r="H14807" s="629"/>
      <c r="I14807" s="629"/>
      <c r="J14807" s="629"/>
      <c r="K14807" s="629"/>
      <c r="L14807" s="629"/>
      <c r="M14807" s="629"/>
      <c r="N14807" s="629"/>
      <c r="O14807" s="629"/>
      <c r="P14807" s="629"/>
      <c r="Q14807" s="629"/>
      <c r="R14807" s="629"/>
    </row>
    <row r="14808" spans="1:18" ht="24">
      <c r="A14808" s="432">
        <v>203</v>
      </c>
      <c r="B14808" s="429" t="s">
        <v>26601</v>
      </c>
      <c r="C14808" s="433" t="s">
        <v>26602</v>
      </c>
      <c r="D14808" s="434">
        <v>330.51</v>
      </c>
      <c r="E14808" s="434">
        <v>157.55000000000001</v>
      </c>
      <c r="F14808" s="434">
        <v>135.08000000000001</v>
      </c>
      <c r="G14808" s="434">
        <v>37.880000000000003</v>
      </c>
      <c r="H14808" s="435">
        <v>2857.43</v>
      </c>
      <c r="I14808" s="435">
        <v>1811.84</v>
      </c>
      <c r="J14808" s="435">
        <v>778.58</v>
      </c>
      <c r="K14808" s="435">
        <v>267.01</v>
      </c>
      <c r="L14808" s="43">
        <v>8.6455175335088192</v>
      </c>
      <c r="M14808" s="43">
        <v>11.500095207870515</v>
      </c>
      <c r="N14808" s="43">
        <v>5.7638436482084687</v>
      </c>
      <c r="O14808" s="43">
        <v>7.0488384371700095</v>
      </c>
      <c r="P14808" s="436"/>
      <c r="Q14808" s="436"/>
      <c r="R14808" s="436">
        <v>1</v>
      </c>
    </row>
    <row r="14809" spans="1:18" ht="24">
      <c r="A14809" s="432">
        <v>204</v>
      </c>
      <c r="B14809" s="429" t="s">
        <v>26603</v>
      </c>
      <c r="C14809" s="433" t="s">
        <v>26604</v>
      </c>
      <c r="D14809" s="434">
        <v>378.48</v>
      </c>
      <c r="E14809" s="434">
        <v>164.72</v>
      </c>
      <c r="F14809" s="434">
        <v>135.08000000000001</v>
      </c>
      <c r="G14809" s="434">
        <v>78.680000000000007</v>
      </c>
      <c r="H14809" s="435">
        <v>3229.58</v>
      </c>
      <c r="I14809" s="435">
        <v>1894.28</v>
      </c>
      <c r="J14809" s="435">
        <v>778.58</v>
      </c>
      <c r="K14809" s="435">
        <v>556.72</v>
      </c>
      <c r="L14809" s="43">
        <v>8.5330268442189805</v>
      </c>
      <c r="M14809" s="43">
        <v>11.5</v>
      </c>
      <c r="N14809" s="43">
        <v>5.7638436482084687</v>
      </c>
      <c r="O14809" s="43">
        <v>7.0757498729028976</v>
      </c>
      <c r="P14809" s="436"/>
      <c r="Q14809" s="436"/>
      <c r="R14809" s="436">
        <v>1</v>
      </c>
    </row>
    <row r="14810" spans="1:18" ht="24">
      <c r="A14810" s="432">
        <v>205</v>
      </c>
      <c r="B14810" s="429" t="s">
        <v>26605</v>
      </c>
      <c r="C14810" s="433" t="s">
        <v>26606</v>
      </c>
      <c r="D14810" s="434">
        <v>393.85</v>
      </c>
      <c r="E14810" s="434">
        <v>171.83</v>
      </c>
      <c r="F14810" s="434">
        <v>135.08000000000001</v>
      </c>
      <c r="G14810" s="434">
        <v>86.94</v>
      </c>
      <c r="H14810" s="435">
        <v>3358.84</v>
      </c>
      <c r="I14810" s="435">
        <v>1976.06</v>
      </c>
      <c r="J14810" s="435">
        <v>778.58</v>
      </c>
      <c r="K14810" s="435">
        <v>604.20000000000005</v>
      </c>
      <c r="L14810" s="43">
        <v>8.5282214040878515</v>
      </c>
      <c r="M14810" s="43">
        <v>11.500087295582842</v>
      </c>
      <c r="N14810" s="43">
        <v>5.7638436482084687</v>
      </c>
      <c r="O14810" s="43">
        <v>6.9496204278812979</v>
      </c>
      <c r="P14810" s="436"/>
      <c r="Q14810" s="436"/>
      <c r="R14810" s="436">
        <v>1</v>
      </c>
    </row>
    <row r="14811" spans="1:18" ht="12.75" customHeight="1">
      <c r="A14811" s="628" t="s">
        <v>26607</v>
      </c>
      <c r="B14811" s="629"/>
      <c r="C14811" s="629"/>
      <c r="D14811" s="629"/>
      <c r="E14811" s="629"/>
      <c r="F14811" s="629"/>
      <c r="G14811" s="629"/>
      <c r="H14811" s="629"/>
      <c r="I14811" s="629"/>
      <c r="J14811" s="629"/>
      <c r="K14811" s="629"/>
      <c r="L14811" s="629"/>
      <c r="M14811" s="629"/>
      <c r="N14811" s="629"/>
      <c r="O14811" s="629"/>
      <c r="P14811" s="629"/>
      <c r="Q14811" s="629"/>
      <c r="R14811" s="629"/>
    </row>
    <row r="14812" spans="1:18" ht="24">
      <c r="A14812" s="432">
        <v>206</v>
      </c>
      <c r="B14812" s="429" t="s">
        <v>26608</v>
      </c>
      <c r="C14812" s="433" t="s">
        <v>26609</v>
      </c>
      <c r="D14812" s="434">
        <v>287.95</v>
      </c>
      <c r="E14812" s="434">
        <v>162.07</v>
      </c>
      <c r="F14812" s="434">
        <v>88.51</v>
      </c>
      <c r="G14812" s="434">
        <v>37.369999999999997</v>
      </c>
      <c r="H14812" s="435">
        <v>2598.38</v>
      </c>
      <c r="I14812" s="435">
        <v>1863.84</v>
      </c>
      <c r="J14812" s="435">
        <v>526.21</v>
      </c>
      <c r="K14812" s="435">
        <v>208.33</v>
      </c>
      <c r="L14812" s="43">
        <v>9.0237193957284259</v>
      </c>
      <c r="M14812" s="43">
        <v>11.500215956068365</v>
      </c>
      <c r="N14812" s="43">
        <v>5.9452039317591234</v>
      </c>
      <c r="O14812" s="43">
        <v>5.5747926143965758</v>
      </c>
      <c r="P14812" s="436"/>
      <c r="Q14812" s="436"/>
      <c r="R14812" s="436">
        <v>2</v>
      </c>
    </row>
    <row r="14813" spans="1:18" ht="24">
      <c r="A14813" s="432">
        <v>207</v>
      </c>
      <c r="B14813" s="429" t="s">
        <v>26610</v>
      </c>
      <c r="C14813" s="433" t="s">
        <v>26611</v>
      </c>
      <c r="D14813" s="434">
        <v>317.2</v>
      </c>
      <c r="E14813" s="434">
        <v>188.21</v>
      </c>
      <c r="F14813" s="434">
        <v>91.1</v>
      </c>
      <c r="G14813" s="434">
        <v>37.89</v>
      </c>
      <c r="H14813" s="435">
        <v>2918.99</v>
      </c>
      <c r="I14813" s="435">
        <v>2164.46</v>
      </c>
      <c r="J14813" s="435">
        <v>540.22</v>
      </c>
      <c r="K14813" s="435">
        <v>214.31</v>
      </c>
      <c r="L14813" s="43">
        <v>9.2023644388398491</v>
      </c>
      <c r="M14813" s="43">
        <v>11.500239094628341</v>
      </c>
      <c r="N14813" s="43">
        <v>5.9299670691547757</v>
      </c>
      <c r="O14813" s="43">
        <v>5.6561097915017156</v>
      </c>
      <c r="P14813" s="436"/>
      <c r="Q14813" s="436"/>
      <c r="R14813" s="436">
        <v>2</v>
      </c>
    </row>
    <row r="14814" spans="1:18" ht="24">
      <c r="A14814" s="432">
        <v>208</v>
      </c>
      <c r="B14814" s="429" t="s">
        <v>26612</v>
      </c>
      <c r="C14814" s="433" t="s">
        <v>26613</v>
      </c>
      <c r="D14814" s="434">
        <v>391.67</v>
      </c>
      <c r="E14814" s="434">
        <v>256.17</v>
      </c>
      <c r="F14814" s="434">
        <v>96.25</v>
      </c>
      <c r="G14814" s="434">
        <v>39.25</v>
      </c>
      <c r="H14814" s="435">
        <v>3744.21</v>
      </c>
      <c r="I14814" s="435">
        <v>2946.08</v>
      </c>
      <c r="J14814" s="435">
        <v>568.17999999999995</v>
      </c>
      <c r="K14814" s="435">
        <v>229.95</v>
      </c>
      <c r="L14814" s="43">
        <v>9.5596037480532079</v>
      </c>
      <c r="M14814" s="43">
        <v>11.50048795721591</v>
      </c>
      <c r="N14814" s="43">
        <v>5.9031688311688306</v>
      </c>
      <c r="O14814" s="43">
        <v>5.858598726114649</v>
      </c>
      <c r="P14814" s="436"/>
      <c r="Q14814" s="436"/>
      <c r="R14814" s="436">
        <v>2</v>
      </c>
    </row>
    <row r="14815" spans="1:18" ht="24">
      <c r="A14815" s="432">
        <v>209</v>
      </c>
      <c r="B14815" s="429" t="s">
        <v>26614</v>
      </c>
      <c r="C14815" s="433" t="s">
        <v>26615</v>
      </c>
      <c r="D14815" s="434">
        <v>870.84</v>
      </c>
      <c r="E14815" s="434">
        <v>597.48</v>
      </c>
      <c r="F14815" s="434">
        <v>206.11</v>
      </c>
      <c r="G14815" s="434">
        <v>67.25</v>
      </c>
      <c r="H14815" s="435">
        <v>8525.24</v>
      </c>
      <c r="I14815" s="435">
        <v>6871.28</v>
      </c>
      <c r="J14815" s="435">
        <v>1162.26</v>
      </c>
      <c r="K14815" s="435">
        <v>491.7</v>
      </c>
      <c r="L14815" s="43">
        <v>9.7896743374213404</v>
      </c>
      <c r="M14815" s="43">
        <v>11.500435161009573</v>
      </c>
      <c r="N14815" s="43">
        <v>5.6390277036533885</v>
      </c>
      <c r="O14815" s="43">
        <v>7.3115241635687731</v>
      </c>
      <c r="P14815" s="436"/>
      <c r="Q14815" s="436"/>
      <c r="R14815" s="436">
        <v>2</v>
      </c>
    </row>
    <row r="14816" spans="1:18" ht="12.75" customHeight="1">
      <c r="A14816" s="628" t="s">
        <v>26616</v>
      </c>
      <c r="B14816" s="629"/>
      <c r="C14816" s="629"/>
      <c r="D14816" s="629"/>
      <c r="E14816" s="629"/>
      <c r="F14816" s="629"/>
      <c r="G14816" s="629"/>
      <c r="H14816" s="629"/>
      <c r="I14816" s="629"/>
      <c r="J14816" s="629"/>
      <c r="K14816" s="629"/>
      <c r="L14816" s="629"/>
      <c r="M14816" s="629"/>
      <c r="N14816" s="629"/>
      <c r="O14816" s="629"/>
      <c r="P14816" s="629"/>
      <c r="Q14816" s="629"/>
      <c r="R14816" s="629"/>
    </row>
    <row r="14817" spans="1:18" ht="24">
      <c r="A14817" s="432">
        <v>210</v>
      </c>
      <c r="B14817" s="429" t="s">
        <v>26617</v>
      </c>
      <c r="C14817" s="433" t="s">
        <v>26618</v>
      </c>
      <c r="D14817" s="434">
        <v>193.52</v>
      </c>
      <c r="E14817" s="434">
        <v>124.94</v>
      </c>
      <c r="F14817" s="434">
        <v>12.89</v>
      </c>
      <c r="G14817" s="434">
        <v>55.69</v>
      </c>
      <c r="H14817" s="435">
        <v>1783.19</v>
      </c>
      <c r="I14817" s="435">
        <v>1436.83</v>
      </c>
      <c r="J14817" s="435">
        <v>69.92</v>
      </c>
      <c r="K14817" s="435">
        <v>276.44</v>
      </c>
      <c r="L14817" s="43">
        <v>9.2144997933030179</v>
      </c>
      <c r="M14817" s="43">
        <v>11.500160076836881</v>
      </c>
      <c r="N14817" s="43">
        <v>5.4243599689681927</v>
      </c>
      <c r="O14817" s="43">
        <v>4.9639073442269712</v>
      </c>
      <c r="P14817" s="436"/>
      <c r="Q14817" s="436"/>
      <c r="R14817" s="436">
        <v>3</v>
      </c>
    </row>
    <row r="14818" spans="1:18" ht="24">
      <c r="A14818" s="432">
        <v>211</v>
      </c>
      <c r="B14818" s="429" t="s">
        <v>26619</v>
      </c>
      <c r="C14818" s="433" t="s">
        <v>26620</v>
      </c>
      <c r="D14818" s="434">
        <v>306.54000000000002</v>
      </c>
      <c r="E14818" s="434">
        <v>286.7</v>
      </c>
      <c r="F14818" s="434">
        <v>10.32</v>
      </c>
      <c r="G14818" s="434">
        <v>9.52</v>
      </c>
      <c r="H14818" s="435">
        <v>3440.32</v>
      </c>
      <c r="I14818" s="435">
        <v>3297.05</v>
      </c>
      <c r="J14818" s="435">
        <v>55.99</v>
      </c>
      <c r="K14818" s="435">
        <v>87.28</v>
      </c>
      <c r="L14818" s="43">
        <v>11.223070398642918</v>
      </c>
      <c r="M14818" s="43">
        <v>11.500000000000002</v>
      </c>
      <c r="N14818" s="43">
        <v>5.4253875968992249</v>
      </c>
      <c r="O14818" s="43">
        <v>9.1680672268907575</v>
      </c>
      <c r="P14818" s="436"/>
      <c r="Q14818" s="436"/>
      <c r="R14818" s="436">
        <v>3</v>
      </c>
    </row>
    <row r="14819" spans="1:18" ht="12.75" customHeight="1">
      <c r="A14819" s="628" t="s">
        <v>26621</v>
      </c>
      <c r="B14819" s="629"/>
      <c r="C14819" s="629"/>
      <c r="D14819" s="629"/>
      <c r="E14819" s="629"/>
      <c r="F14819" s="629"/>
      <c r="G14819" s="629"/>
      <c r="H14819" s="629"/>
      <c r="I14819" s="629"/>
      <c r="J14819" s="629"/>
      <c r="K14819" s="629"/>
      <c r="L14819" s="629"/>
      <c r="M14819" s="629"/>
      <c r="N14819" s="629"/>
      <c r="O14819" s="629"/>
      <c r="P14819" s="629"/>
      <c r="Q14819" s="629"/>
      <c r="R14819" s="629"/>
    </row>
    <row r="14820" spans="1:18" ht="24">
      <c r="A14820" s="432">
        <v>212</v>
      </c>
      <c r="B14820" s="429" t="s">
        <v>26622</v>
      </c>
      <c r="C14820" s="433" t="s">
        <v>26623</v>
      </c>
      <c r="D14820" s="434">
        <v>4841.99</v>
      </c>
      <c r="E14820" s="434">
        <v>1891</v>
      </c>
      <c r="F14820" s="434">
        <v>2311.16</v>
      </c>
      <c r="G14820" s="434">
        <v>639.83000000000004</v>
      </c>
      <c r="H14820" s="435">
        <v>37330.14</v>
      </c>
      <c r="I14820" s="435">
        <v>21746.5</v>
      </c>
      <c r="J14820" s="435">
        <v>12452.49</v>
      </c>
      <c r="K14820" s="435">
        <v>3131.15</v>
      </c>
      <c r="L14820" s="43">
        <v>7.7096689584241194</v>
      </c>
      <c r="M14820" s="43">
        <v>11.5</v>
      </c>
      <c r="N14820" s="43">
        <v>5.3879826580591565</v>
      </c>
      <c r="O14820" s="43">
        <v>4.893721769845115</v>
      </c>
      <c r="P14820" s="436"/>
      <c r="Q14820" s="436"/>
      <c r="R14820" s="436">
        <v>4</v>
      </c>
    </row>
    <row r="14821" spans="1:18" ht="12.75" customHeight="1">
      <c r="A14821" s="628" t="s">
        <v>26624</v>
      </c>
      <c r="B14821" s="629"/>
      <c r="C14821" s="629"/>
      <c r="D14821" s="629"/>
      <c r="E14821" s="629"/>
      <c r="F14821" s="629"/>
      <c r="G14821" s="629"/>
      <c r="H14821" s="629"/>
      <c r="I14821" s="629"/>
      <c r="J14821" s="629"/>
      <c r="K14821" s="629"/>
      <c r="L14821" s="629"/>
      <c r="M14821" s="629"/>
      <c r="N14821" s="629"/>
      <c r="O14821" s="629"/>
      <c r="P14821" s="629"/>
      <c r="Q14821" s="629"/>
      <c r="R14821" s="629"/>
    </row>
    <row r="14822" spans="1:18" ht="24">
      <c r="A14822" s="432">
        <v>213</v>
      </c>
      <c r="B14822" s="429" t="s">
        <v>26625</v>
      </c>
      <c r="C14822" s="433" t="s">
        <v>26626</v>
      </c>
      <c r="D14822" s="434">
        <v>80.739999999999995</v>
      </c>
      <c r="E14822" s="434">
        <v>24.39</v>
      </c>
      <c r="F14822" s="434">
        <v>49.15</v>
      </c>
      <c r="G14822" s="434">
        <v>7.2</v>
      </c>
      <c r="H14822" s="435">
        <v>582.79</v>
      </c>
      <c r="I14822" s="435">
        <v>280.49</v>
      </c>
      <c r="J14822" s="435">
        <v>266.39</v>
      </c>
      <c r="K14822" s="435">
        <v>35.909999999999997</v>
      </c>
      <c r="L14822" s="43">
        <v>7.218107505573446</v>
      </c>
      <c r="M14822" s="43">
        <v>11.50020500205002</v>
      </c>
      <c r="N14822" s="43">
        <v>5.4199389623601215</v>
      </c>
      <c r="O14822" s="43">
        <v>4.9874999999999998</v>
      </c>
      <c r="P14822" s="436"/>
      <c r="Q14822" s="436"/>
      <c r="R14822" s="436">
        <v>5</v>
      </c>
    </row>
    <row r="14823" spans="1:18" ht="24">
      <c r="A14823" s="432">
        <v>214</v>
      </c>
      <c r="B14823" s="429" t="s">
        <v>26627</v>
      </c>
      <c r="C14823" s="433" t="s">
        <v>26628</v>
      </c>
      <c r="D14823" s="434">
        <v>94.5</v>
      </c>
      <c r="E14823" s="434">
        <v>37.880000000000003</v>
      </c>
      <c r="F14823" s="434">
        <v>49.15</v>
      </c>
      <c r="G14823" s="434">
        <v>7.47</v>
      </c>
      <c r="H14823" s="435">
        <v>741.01</v>
      </c>
      <c r="I14823" s="435">
        <v>435.61</v>
      </c>
      <c r="J14823" s="435">
        <v>266.39</v>
      </c>
      <c r="K14823" s="435">
        <v>39.01</v>
      </c>
      <c r="L14823" s="43">
        <v>7.8413756613756611</v>
      </c>
      <c r="M14823" s="43">
        <v>11.49973600844773</v>
      </c>
      <c r="N14823" s="43">
        <v>5.4199389623601215</v>
      </c>
      <c r="O14823" s="43">
        <v>5.2222222222222223</v>
      </c>
      <c r="P14823" s="436"/>
      <c r="Q14823" s="436"/>
      <c r="R14823" s="436">
        <v>5</v>
      </c>
    </row>
    <row r="14824" spans="1:18" ht="24">
      <c r="A14824" s="432">
        <v>215</v>
      </c>
      <c r="B14824" s="429" t="s">
        <v>26629</v>
      </c>
      <c r="C14824" s="433" t="s">
        <v>26630</v>
      </c>
      <c r="D14824" s="434">
        <v>133.96</v>
      </c>
      <c r="E14824" s="434">
        <v>76.569999999999993</v>
      </c>
      <c r="F14824" s="434">
        <v>49.15</v>
      </c>
      <c r="G14824" s="434">
        <v>8.24</v>
      </c>
      <c r="H14824" s="435">
        <v>1194.77</v>
      </c>
      <c r="I14824" s="435">
        <v>880.51</v>
      </c>
      <c r="J14824" s="435">
        <v>266.39</v>
      </c>
      <c r="K14824" s="435">
        <v>47.87</v>
      </c>
      <c r="L14824" s="43">
        <v>8.9188563750373238</v>
      </c>
      <c r="M14824" s="43">
        <v>11.499412302468331</v>
      </c>
      <c r="N14824" s="43">
        <v>5.4199389623601215</v>
      </c>
      <c r="O14824" s="43">
        <v>5.8094660194174752</v>
      </c>
      <c r="P14824" s="436"/>
      <c r="Q14824" s="436"/>
      <c r="R14824" s="436">
        <v>5</v>
      </c>
    </row>
    <row r="14825" spans="1:18" ht="12.75" customHeight="1">
      <c r="A14825" s="628" t="s">
        <v>26631</v>
      </c>
      <c r="B14825" s="629"/>
      <c r="C14825" s="629"/>
      <c r="D14825" s="629"/>
      <c r="E14825" s="629"/>
      <c r="F14825" s="629"/>
      <c r="G14825" s="629"/>
      <c r="H14825" s="629"/>
      <c r="I14825" s="629"/>
      <c r="J14825" s="629"/>
      <c r="K14825" s="629"/>
      <c r="L14825" s="629"/>
      <c r="M14825" s="629"/>
      <c r="N14825" s="629"/>
      <c r="O14825" s="629"/>
      <c r="P14825" s="629"/>
      <c r="Q14825" s="629"/>
      <c r="R14825" s="629"/>
    </row>
    <row r="14826" spans="1:18" ht="24">
      <c r="A14826" s="432">
        <v>216</v>
      </c>
      <c r="B14826" s="429" t="s">
        <v>26632</v>
      </c>
      <c r="C14826" s="433" t="s">
        <v>26633</v>
      </c>
      <c r="D14826" s="434">
        <v>283.77999999999997</v>
      </c>
      <c r="E14826" s="434">
        <v>186.05</v>
      </c>
      <c r="F14826" s="434">
        <v>49.15</v>
      </c>
      <c r="G14826" s="434">
        <v>48.58</v>
      </c>
      <c r="H14826" s="435">
        <v>2664.54</v>
      </c>
      <c r="I14826" s="435">
        <v>2139.6</v>
      </c>
      <c r="J14826" s="435">
        <v>266.39</v>
      </c>
      <c r="K14826" s="435">
        <v>258.55</v>
      </c>
      <c r="L14826" s="43">
        <v>9.3894566213263797</v>
      </c>
      <c r="M14826" s="43">
        <v>11.500134372480515</v>
      </c>
      <c r="N14826" s="43">
        <v>5.4199389623601215</v>
      </c>
      <c r="O14826" s="43">
        <v>5.3221490325236731</v>
      </c>
      <c r="P14826" s="436"/>
      <c r="Q14826" s="436"/>
      <c r="R14826" s="436">
        <v>6</v>
      </c>
    </row>
    <row r="14827" spans="1:18" ht="24">
      <c r="A14827" s="432">
        <v>217</v>
      </c>
      <c r="B14827" s="429" t="s">
        <v>26634</v>
      </c>
      <c r="C14827" s="433" t="s">
        <v>26635</v>
      </c>
      <c r="D14827" s="434">
        <v>304.31</v>
      </c>
      <c r="E14827" s="434">
        <v>206.18</v>
      </c>
      <c r="F14827" s="434">
        <v>49.15</v>
      </c>
      <c r="G14827" s="434">
        <v>48.98</v>
      </c>
      <c r="H14827" s="435">
        <v>2900.61</v>
      </c>
      <c r="I14827" s="435">
        <v>2371.0700000000002</v>
      </c>
      <c r="J14827" s="435">
        <v>266.39</v>
      </c>
      <c r="K14827" s="435">
        <v>263.14999999999998</v>
      </c>
      <c r="L14827" s="43">
        <v>9.5317603759324374</v>
      </c>
      <c r="M14827" s="43">
        <v>11.5</v>
      </c>
      <c r="N14827" s="43">
        <v>5.4199389623601215</v>
      </c>
      <c r="O14827" s="43">
        <v>5.3726010616578197</v>
      </c>
      <c r="P14827" s="436"/>
      <c r="Q14827" s="436"/>
      <c r="R14827" s="436">
        <v>6</v>
      </c>
    </row>
    <row r="14828" spans="1:18" ht="12.75" customHeight="1">
      <c r="A14828" s="628" t="s">
        <v>26636</v>
      </c>
      <c r="B14828" s="629"/>
      <c r="C14828" s="629"/>
      <c r="D14828" s="629"/>
      <c r="E14828" s="629"/>
      <c r="F14828" s="629"/>
      <c r="G14828" s="629"/>
      <c r="H14828" s="629"/>
      <c r="I14828" s="629"/>
      <c r="J14828" s="629"/>
      <c r="K14828" s="629"/>
      <c r="L14828" s="629"/>
      <c r="M14828" s="629"/>
      <c r="N14828" s="629"/>
      <c r="O14828" s="629"/>
      <c r="P14828" s="629"/>
      <c r="Q14828" s="629"/>
      <c r="R14828" s="629"/>
    </row>
    <row r="14829" spans="1:18" ht="24">
      <c r="A14829" s="432">
        <v>218</v>
      </c>
      <c r="B14829" s="429" t="s">
        <v>26637</v>
      </c>
      <c r="C14829" s="433" t="s">
        <v>26638</v>
      </c>
      <c r="D14829" s="434">
        <v>103.11</v>
      </c>
      <c r="E14829" s="434">
        <v>38.840000000000003</v>
      </c>
      <c r="F14829" s="434">
        <v>49.15</v>
      </c>
      <c r="G14829" s="434">
        <v>15.12</v>
      </c>
      <c r="H14829" s="435">
        <v>774.97</v>
      </c>
      <c r="I14829" s="435">
        <v>446.63</v>
      </c>
      <c r="J14829" s="435">
        <v>266.39</v>
      </c>
      <c r="K14829" s="435">
        <v>61.95</v>
      </c>
      <c r="L14829" s="43">
        <v>7.5159538357094364</v>
      </c>
      <c r="M14829" s="43">
        <v>11.499227600411945</v>
      </c>
      <c r="N14829" s="43">
        <v>5.4199389623601215</v>
      </c>
      <c r="O14829" s="43">
        <v>4.0972222222222223</v>
      </c>
      <c r="P14829" s="436"/>
      <c r="Q14829" s="436"/>
      <c r="R14829" s="436">
        <v>7</v>
      </c>
    </row>
    <row r="14830" spans="1:18" ht="24">
      <c r="A14830" s="432">
        <v>219</v>
      </c>
      <c r="B14830" s="429" t="s">
        <v>26639</v>
      </c>
      <c r="C14830" s="433" t="s">
        <v>26640</v>
      </c>
      <c r="D14830" s="434">
        <v>103.11</v>
      </c>
      <c r="E14830" s="434">
        <v>38.840000000000003</v>
      </c>
      <c r="F14830" s="434">
        <v>49.15</v>
      </c>
      <c r="G14830" s="434">
        <v>15.12</v>
      </c>
      <c r="H14830" s="435">
        <v>774.97</v>
      </c>
      <c r="I14830" s="435">
        <v>446.63</v>
      </c>
      <c r="J14830" s="435">
        <v>266.39</v>
      </c>
      <c r="K14830" s="435">
        <v>61.95</v>
      </c>
      <c r="L14830" s="43">
        <v>7.5159538357094364</v>
      </c>
      <c r="M14830" s="43">
        <v>11.499227600411945</v>
      </c>
      <c r="N14830" s="43">
        <v>5.4199389623601215</v>
      </c>
      <c r="O14830" s="43">
        <v>4.0972222222222223</v>
      </c>
      <c r="P14830" s="436"/>
      <c r="Q14830" s="436"/>
      <c r="R14830" s="436">
        <v>7</v>
      </c>
    </row>
    <row r="14831" spans="1:18" ht="24">
      <c r="A14831" s="432">
        <v>220</v>
      </c>
      <c r="B14831" s="429" t="s">
        <v>26641</v>
      </c>
      <c r="C14831" s="433" t="s">
        <v>26642</v>
      </c>
      <c r="D14831" s="434">
        <v>115.88</v>
      </c>
      <c r="E14831" s="434">
        <v>51.36</v>
      </c>
      <c r="F14831" s="434">
        <v>49.15</v>
      </c>
      <c r="G14831" s="434">
        <v>15.37</v>
      </c>
      <c r="H14831" s="435">
        <v>921.89</v>
      </c>
      <c r="I14831" s="435">
        <v>590.66999999999996</v>
      </c>
      <c r="J14831" s="435">
        <v>266.39</v>
      </c>
      <c r="K14831" s="435">
        <v>64.83</v>
      </c>
      <c r="L14831" s="43">
        <v>7.955557473248188</v>
      </c>
      <c r="M14831" s="43">
        <v>11.500584112149532</v>
      </c>
      <c r="N14831" s="43">
        <v>5.4199389623601215</v>
      </c>
      <c r="O14831" s="43">
        <v>4.2179570592062463</v>
      </c>
      <c r="P14831" s="436"/>
      <c r="Q14831" s="436"/>
      <c r="R14831" s="436">
        <v>7</v>
      </c>
    </row>
    <row r="14832" spans="1:18" ht="12.75" customHeight="1">
      <c r="A14832" s="628" t="s">
        <v>26643</v>
      </c>
      <c r="B14832" s="629"/>
      <c r="C14832" s="629"/>
      <c r="D14832" s="629"/>
      <c r="E14832" s="629"/>
      <c r="F14832" s="629"/>
      <c r="G14832" s="629"/>
      <c r="H14832" s="629"/>
      <c r="I14832" s="629"/>
      <c r="J14832" s="629"/>
      <c r="K14832" s="629"/>
      <c r="L14832" s="629"/>
      <c r="M14832" s="629"/>
      <c r="N14832" s="629"/>
      <c r="O14832" s="629"/>
      <c r="P14832" s="629"/>
      <c r="Q14832" s="629"/>
      <c r="R14832" s="629"/>
    </row>
    <row r="14833" spans="1:18" ht="24">
      <c r="A14833" s="432">
        <v>221</v>
      </c>
      <c r="B14833" s="429" t="s">
        <v>26644</v>
      </c>
      <c r="C14833" s="433" t="s">
        <v>26645</v>
      </c>
      <c r="D14833" s="434">
        <v>278.70999999999998</v>
      </c>
      <c r="E14833" s="434">
        <v>216.98</v>
      </c>
      <c r="F14833" s="434">
        <v>49.15</v>
      </c>
      <c r="G14833" s="434">
        <v>12.58</v>
      </c>
      <c r="H14833" s="435">
        <v>2877.88</v>
      </c>
      <c r="I14833" s="435">
        <v>2495.2199999999998</v>
      </c>
      <c r="J14833" s="435">
        <v>266.39</v>
      </c>
      <c r="K14833" s="435">
        <v>116.27</v>
      </c>
      <c r="L14833" s="43">
        <v>10.32571490079294</v>
      </c>
      <c r="M14833" s="43">
        <v>11.499769564015116</v>
      </c>
      <c r="N14833" s="43">
        <v>5.4199389623601215</v>
      </c>
      <c r="O14833" s="43">
        <v>9.242448330683624</v>
      </c>
      <c r="P14833" s="436"/>
      <c r="Q14833" s="436"/>
      <c r="R14833" s="436">
        <v>8</v>
      </c>
    </row>
    <row r="14834" spans="1:18" ht="12.75" customHeight="1">
      <c r="A14834" s="628" t="s">
        <v>26646</v>
      </c>
      <c r="B14834" s="629"/>
      <c r="C14834" s="629"/>
      <c r="D14834" s="629"/>
      <c r="E14834" s="629"/>
      <c r="F14834" s="629"/>
      <c r="G14834" s="629"/>
      <c r="H14834" s="629"/>
      <c r="I14834" s="629"/>
      <c r="J14834" s="629"/>
      <c r="K14834" s="629"/>
      <c r="L14834" s="629"/>
      <c r="M14834" s="629"/>
      <c r="N14834" s="629"/>
      <c r="O14834" s="629"/>
      <c r="P14834" s="629"/>
      <c r="Q14834" s="629"/>
      <c r="R14834" s="629"/>
    </row>
    <row r="14835" spans="1:18" ht="24">
      <c r="A14835" s="432">
        <v>222</v>
      </c>
      <c r="B14835" s="429" t="s">
        <v>26647</v>
      </c>
      <c r="C14835" s="433" t="s">
        <v>26648</v>
      </c>
      <c r="D14835" s="434">
        <v>200.7</v>
      </c>
      <c r="E14835" s="434">
        <v>61.54</v>
      </c>
      <c r="F14835" s="434">
        <v>49.15</v>
      </c>
      <c r="G14835" s="434">
        <v>90.01</v>
      </c>
      <c r="H14835" s="435">
        <v>1395.27</v>
      </c>
      <c r="I14835" s="435">
        <v>707.76</v>
      </c>
      <c r="J14835" s="435">
        <v>266.39</v>
      </c>
      <c r="K14835" s="435">
        <v>421.12</v>
      </c>
      <c r="L14835" s="43">
        <v>6.9520179372197308</v>
      </c>
      <c r="M14835" s="43">
        <v>11.500812479688008</v>
      </c>
      <c r="N14835" s="43">
        <v>5.4199389623601215</v>
      </c>
      <c r="O14835" s="43">
        <v>4.6785912676369295</v>
      </c>
      <c r="P14835" s="436"/>
      <c r="Q14835" s="436"/>
      <c r="R14835" s="436">
        <v>9</v>
      </c>
    </row>
    <row r="14836" spans="1:18" ht="24">
      <c r="A14836" s="432">
        <v>223</v>
      </c>
      <c r="B14836" s="429" t="s">
        <v>26649</v>
      </c>
      <c r="C14836" s="433" t="s">
        <v>26650</v>
      </c>
      <c r="D14836" s="434">
        <v>211.68</v>
      </c>
      <c r="E14836" s="434">
        <v>49.26</v>
      </c>
      <c r="F14836" s="434">
        <v>49.15</v>
      </c>
      <c r="G14836" s="434">
        <v>113.27</v>
      </c>
      <c r="H14836" s="435">
        <v>1352.39</v>
      </c>
      <c r="I14836" s="435">
        <v>566.46</v>
      </c>
      <c r="J14836" s="435">
        <v>266.39</v>
      </c>
      <c r="K14836" s="435">
        <v>519.54</v>
      </c>
      <c r="L14836" s="43">
        <v>6.3888416477702199</v>
      </c>
      <c r="M14836" s="43">
        <v>11.499390986601707</v>
      </c>
      <c r="N14836" s="43">
        <v>5.4199389623601215</v>
      </c>
      <c r="O14836" s="43">
        <v>4.5867396486271739</v>
      </c>
      <c r="P14836" s="436"/>
      <c r="Q14836" s="436"/>
      <c r="R14836" s="436">
        <v>9</v>
      </c>
    </row>
    <row r="14837" spans="1:18" ht="12.75" customHeight="1">
      <c r="A14837" s="628" t="s">
        <v>26651</v>
      </c>
      <c r="B14837" s="629"/>
      <c r="C14837" s="629"/>
      <c r="D14837" s="629"/>
      <c r="E14837" s="629"/>
      <c r="F14837" s="629"/>
      <c r="G14837" s="629"/>
      <c r="H14837" s="629"/>
      <c r="I14837" s="629"/>
      <c r="J14837" s="629"/>
      <c r="K14837" s="629"/>
      <c r="L14837" s="629"/>
      <c r="M14837" s="629"/>
      <c r="N14837" s="629"/>
      <c r="O14837" s="629"/>
      <c r="P14837" s="629"/>
      <c r="Q14837" s="629"/>
      <c r="R14837" s="629"/>
    </row>
    <row r="14838" spans="1:18" ht="12.75" customHeight="1">
      <c r="A14838" s="628" t="s">
        <v>26652</v>
      </c>
      <c r="B14838" s="629"/>
      <c r="C14838" s="629"/>
      <c r="D14838" s="629"/>
      <c r="E14838" s="629"/>
      <c r="F14838" s="629"/>
      <c r="G14838" s="629"/>
      <c r="H14838" s="629"/>
      <c r="I14838" s="629"/>
      <c r="J14838" s="629"/>
      <c r="K14838" s="629"/>
      <c r="L14838" s="629"/>
      <c r="M14838" s="629"/>
      <c r="N14838" s="629"/>
      <c r="O14838" s="629"/>
      <c r="P14838" s="629"/>
      <c r="Q14838" s="629"/>
      <c r="R14838" s="629"/>
    </row>
    <row r="14839" spans="1:18" ht="24">
      <c r="A14839" s="432">
        <v>224</v>
      </c>
      <c r="B14839" s="429" t="s">
        <v>26653</v>
      </c>
      <c r="C14839" s="433" t="s">
        <v>26654</v>
      </c>
      <c r="D14839" s="434">
        <v>2587.16</v>
      </c>
      <c r="E14839" s="434">
        <v>1363.2</v>
      </c>
      <c r="F14839" s="434">
        <v>742.7</v>
      </c>
      <c r="G14839" s="434">
        <v>481.26</v>
      </c>
      <c r="H14839" s="435">
        <v>22768.02</v>
      </c>
      <c r="I14839" s="435">
        <v>15676.8</v>
      </c>
      <c r="J14839" s="435">
        <v>4327.01</v>
      </c>
      <c r="K14839" s="435">
        <v>2764.21</v>
      </c>
      <c r="L14839" s="43">
        <v>8.8003911625102429</v>
      </c>
      <c r="M14839" s="43">
        <v>11.499999999999998</v>
      </c>
      <c r="N14839" s="43">
        <v>5.8260535882590547</v>
      </c>
      <c r="O14839" s="43">
        <v>5.7436936375348049</v>
      </c>
      <c r="P14839" s="436"/>
      <c r="Q14839" s="436"/>
      <c r="R14839" s="436">
        <v>1</v>
      </c>
    </row>
    <row r="14840" spans="1:18" ht="24">
      <c r="A14840" s="432">
        <v>225</v>
      </c>
      <c r="B14840" s="429" t="s">
        <v>26655</v>
      </c>
      <c r="C14840" s="433" t="s">
        <v>26656</v>
      </c>
      <c r="D14840" s="434">
        <v>2980.93</v>
      </c>
      <c r="E14840" s="434">
        <v>1635.84</v>
      </c>
      <c r="F14840" s="434">
        <v>841.57</v>
      </c>
      <c r="G14840" s="434">
        <v>503.52</v>
      </c>
      <c r="H14840" s="435">
        <v>26648.61</v>
      </c>
      <c r="I14840" s="435">
        <v>18812.16</v>
      </c>
      <c r="J14840" s="435">
        <v>4862.24</v>
      </c>
      <c r="K14840" s="435">
        <v>2974.21</v>
      </c>
      <c r="L14840" s="43">
        <v>8.9396966718440218</v>
      </c>
      <c r="M14840" s="43">
        <v>11.5</v>
      </c>
      <c r="N14840" s="43">
        <v>5.7775823757976159</v>
      </c>
      <c r="O14840" s="43">
        <v>5.9068358754369239</v>
      </c>
      <c r="P14840" s="436"/>
      <c r="Q14840" s="436"/>
      <c r="R14840" s="436">
        <v>1</v>
      </c>
    </row>
    <row r="14841" spans="1:18" ht="36">
      <c r="A14841" s="432">
        <v>226</v>
      </c>
      <c r="B14841" s="429" t="s">
        <v>26657</v>
      </c>
      <c r="C14841" s="433" t="s">
        <v>26658</v>
      </c>
      <c r="D14841" s="434">
        <v>288.33</v>
      </c>
      <c r="E14841" s="434">
        <v>153.36000000000001</v>
      </c>
      <c r="F14841" s="434">
        <v>109.28</v>
      </c>
      <c r="G14841" s="434">
        <v>25.69</v>
      </c>
      <c r="H14841" s="435">
        <v>2599.7600000000002</v>
      </c>
      <c r="I14841" s="435">
        <v>1763.64</v>
      </c>
      <c r="J14841" s="435">
        <v>638.71</v>
      </c>
      <c r="K14841" s="435">
        <v>197.41</v>
      </c>
      <c r="L14841" s="43">
        <v>9.0166129088197557</v>
      </c>
      <c r="M14841" s="43">
        <v>11.5</v>
      </c>
      <c r="N14841" s="43">
        <v>5.8447108345534406</v>
      </c>
      <c r="O14841" s="43">
        <v>7.6843129622421174</v>
      </c>
      <c r="P14841" s="436"/>
      <c r="Q14841" s="436"/>
      <c r="R14841" s="436">
        <v>1</v>
      </c>
    </row>
    <row r="14842" spans="1:18" ht="36">
      <c r="A14842" s="432">
        <v>227</v>
      </c>
      <c r="B14842" s="429" t="s">
        <v>26659</v>
      </c>
      <c r="C14842" s="433" t="s">
        <v>26660</v>
      </c>
      <c r="D14842" s="434">
        <v>325.61</v>
      </c>
      <c r="E14842" s="434">
        <v>177.22</v>
      </c>
      <c r="F14842" s="434">
        <v>122.23</v>
      </c>
      <c r="G14842" s="434">
        <v>26.16</v>
      </c>
      <c r="H14842" s="435">
        <v>2949.65</v>
      </c>
      <c r="I14842" s="435">
        <v>2037.98</v>
      </c>
      <c r="J14842" s="435">
        <v>708.86</v>
      </c>
      <c r="K14842" s="435">
        <v>202.81</v>
      </c>
      <c r="L14842" s="43">
        <v>9.0588434016154302</v>
      </c>
      <c r="M14842" s="43">
        <v>11.499717864800813</v>
      </c>
      <c r="N14842" s="43">
        <v>5.7993945839810195</v>
      </c>
      <c r="O14842" s="43">
        <v>7.7526758409785934</v>
      </c>
      <c r="P14842" s="436"/>
      <c r="Q14842" s="436"/>
      <c r="R14842" s="436">
        <v>1</v>
      </c>
    </row>
    <row r="14843" spans="1:18" ht="12.75" customHeight="1">
      <c r="A14843" s="628" t="s">
        <v>26661</v>
      </c>
      <c r="B14843" s="629"/>
      <c r="C14843" s="629"/>
      <c r="D14843" s="629"/>
      <c r="E14843" s="629"/>
      <c r="F14843" s="629"/>
      <c r="G14843" s="629"/>
      <c r="H14843" s="629"/>
      <c r="I14843" s="629"/>
      <c r="J14843" s="629"/>
      <c r="K14843" s="629"/>
      <c r="L14843" s="629"/>
      <c r="M14843" s="629"/>
      <c r="N14843" s="629"/>
      <c r="O14843" s="629"/>
      <c r="P14843" s="629"/>
      <c r="Q14843" s="629"/>
      <c r="R14843" s="629"/>
    </row>
    <row r="14844" spans="1:18" ht="24">
      <c r="A14844" s="432">
        <v>228</v>
      </c>
      <c r="B14844" s="429" t="s">
        <v>26662</v>
      </c>
      <c r="C14844" s="433" t="s">
        <v>26663</v>
      </c>
      <c r="D14844" s="434">
        <v>4198.7</v>
      </c>
      <c r="E14844" s="434">
        <v>2180.56</v>
      </c>
      <c r="F14844" s="434">
        <v>1626.12</v>
      </c>
      <c r="G14844" s="434">
        <v>392.02</v>
      </c>
      <c r="H14844" s="435">
        <v>36619.449999999997</v>
      </c>
      <c r="I14844" s="435">
        <v>25076.44</v>
      </c>
      <c r="J14844" s="435">
        <v>9484.75</v>
      </c>
      <c r="K14844" s="435">
        <v>2058.2600000000002</v>
      </c>
      <c r="L14844" s="43">
        <v>8.7216162145425962</v>
      </c>
      <c r="M14844" s="43">
        <v>11.5</v>
      </c>
      <c r="N14844" s="43">
        <v>5.8327491206061053</v>
      </c>
      <c r="O14844" s="43">
        <v>5.2503953879904097</v>
      </c>
      <c r="P14844" s="436"/>
      <c r="Q14844" s="436"/>
      <c r="R14844" s="436">
        <v>2</v>
      </c>
    </row>
    <row r="14845" spans="1:18" ht="24">
      <c r="A14845" s="432">
        <v>229</v>
      </c>
      <c r="B14845" s="429" t="s">
        <v>26664</v>
      </c>
      <c r="C14845" s="433" t="s">
        <v>26665</v>
      </c>
      <c r="D14845" s="434">
        <v>4508.6099999999997</v>
      </c>
      <c r="E14845" s="434">
        <v>2461.56</v>
      </c>
      <c r="F14845" s="434">
        <v>1654.76</v>
      </c>
      <c r="G14845" s="434">
        <v>392.29</v>
      </c>
      <c r="H14845" s="435">
        <v>40031.629999999997</v>
      </c>
      <c r="I14845" s="435">
        <v>28307.94</v>
      </c>
      <c r="J14845" s="435">
        <v>9639.7800000000007</v>
      </c>
      <c r="K14845" s="435">
        <v>2083.91</v>
      </c>
      <c r="L14845" s="43">
        <v>8.8789294261424256</v>
      </c>
      <c r="M14845" s="43">
        <v>11.5</v>
      </c>
      <c r="N14845" s="43">
        <v>5.8254852667456314</v>
      </c>
      <c r="O14845" s="43">
        <v>5.3121670192969477</v>
      </c>
      <c r="P14845" s="436"/>
      <c r="Q14845" s="436"/>
      <c r="R14845" s="436">
        <v>2</v>
      </c>
    </row>
    <row r="14846" spans="1:18" ht="36">
      <c r="A14846" s="432">
        <v>230</v>
      </c>
      <c r="B14846" s="429" t="s">
        <v>26666</v>
      </c>
      <c r="C14846" s="433" t="s">
        <v>26667</v>
      </c>
      <c r="D14846" s="434">
        <v>297.14</v>
      </c>
      <c r="E14846" s="434">
        <v>128.13999999999999</v>
      </c>
      <c r="F14846" s="434">
        <v>114.53</v>
      </c>
      <c r="G14846" s="434">
        <v>54.47</v>
      </c>
      <c r="H14846" s="435">
        <v>2494.21</v>
      </c>
      <c r="I14846" s="435">
        <v>1473.56</v>
      </c>
      <c r="J14846" s="435">
        <v>667.06</v>
      </c>
      <c r="K14846" s="435">
        <v>353.59</v>
      </c>
      <c r="L14846" s="43">
        <v>8.3940566736218631</v>
      </c>
      <c r="M14846" s="43">
        <v>11.499609801779304</v>
      </c>
      <c r="N14846" s="43">
        <v>5.8243255042346975</v>
      </c>
      <c r="O14846" s="43">
        <v>6.4914631907471998</v>
      </c>
      <c r="P14846" s="436"/>
      <c r="Q14846" s="436"/>
      <c r="R14846" s="436">
        <v>2</v>
      </c>
    </row>
    <row r="14847" spans="1:18" ht="36">
      <c r="A14847" s="432">
        <v>231</v>
      </c>
      <c r="B14847" s="429" t="s">
        <v>26668</v>
      </c>
      <c r="C14847" s="433" t="s">
        <v>26669</v>
      </c>
      <c r="D14847" s="434">
        <v>313.7</v>
      </c>
      <c r="E14847" s="434">
        <v>151.74</v>
      </c>
      <c r="F14847" s="434">
        <v>118.04</v>
      </c>
      <c r="G14847" s="434">
        <v>43.92</v>
      </c>
      <c r="H14847" s="435">
        <v>2697.37</v>
      </c>
      <c r="I14847" s="435">
        <v>1745.01</v>
      </c>
      <c r="J14847" s="435">
        <v>682.11</v>
      </c>
      <c r="K14847" s="435">
        <v>270.25</v>
      </c>
      <c r="L14847" s="43">
        <v>8.5985655084475621</v>
      </c>
      <c r="M14847" s="43">
        <v>11.5</v>
      </c>
      <c r="N14847" s="43">
        <v>5.7786343612334798</v>
      </c>
      <c r="O14847" s="43">
        <v>6.1532331511839704</v>
      </c>
      <c r="P14847" s="436"/>
      <c r="Q14847" s="436"/>
      <c r="R14847" s="436">
        <v>2</v>
      </c>
    </row>
    <row r="14848" spans="1:18" ht="12.75" customHeight="1">
      <c r="A14848" s="628" t="s">
        <v>26670</v>
      </c>
      <c r="B14848" s="629"/>
      <c r="C14848" s="629"/>
      <c r="D14848" s="629"/>
      <c r="E14848" s="629"/>
      <c r="F14848" s="629"/>
      <c r="G14848" s="629"/>
      <c r="H14848" s="629"/>
      <c r="I14848" s="629"/>
      <c r="J14848" s="629"/>
      <c r="K14848" s="629"/>
      <c r="L14848" s="629"/>
      <c r="M14848" s="629"/>
      <c r="N14848" s="629"/>
      <c r="O14848" s="629"/>
      <c r="P14848" s="629"/>
      <c r="Q14848" s="629"/>
      <c r="R14848" s="629"/>
    </row>
    <row r="14849" spans="1:18" ht="24">
      <c r="A14849" s="432">
        <v>232</v>
      </c>
      <c r="B14849" s="429" t="s">
        <v>26671</v>
      </c>
      <c r="C14849" s="433" t="s">
        <v>26672</v>
      </c>
      <c r="D14849" s="434">
        <v>1632.53</v>
      </c>
      <c r="E14849" s="434">
        <v>769.83</v>
      </c>
      <c r="F14849" s="434">
        <v>467.34</v>
      </c>
      <c r="G14849" s="434">
        <v>395.36</v>
      </c>
      <c r="H14849" s="435">
        <v>13423.96</v>
      </c>
      <c r="I14849" s="435">
        <v>8853.3799999999992</v>
      </c>
      <c r="J14849" s="435">
        <v>2741.6</v>
      </c>
      <c r="K14849" s="435">
        <v>1828.98</v>
      </c>
      <c r="L14849" s="43">
        <v>8.2227952931952242</v>
      </c>
      <c r="M14849" s="43">
        <v>11.500435161009571</v>
      </c>
      <c r="N14849" s="43">
        <v>5.866392776137288</v>
      </c>
      <c r="O14849" s="43">
        <v>4.6261129097531359</v>
      </c>
      <c r="P14849" s="436"/>
      <c r="Q14849" s="436"/>
      <c r="R14849" s="436">
        <v>3</v>
      </c>
    </row>
    <row r="14850" spans="1:18" ht="24">
      <c r="A14850" s="432">
        <v>233</v>
      </c>
      <c r="B14850" s="429" t="s">
        <v>26673</v>
      </c>
      <c r="C14850" s="433" t="s">
        <v>26674</v>
      </c>
      <c r="D14850" s="434">
        <v>1876.02</v>
      </c>
      <c r="E14850" s="434">
        <v>967.46</v>
      </c>
      <c r="F14850" s="434">
        <v>506.06</v>
      </c>
      <c r="G14850" s="434">
        <v>402.5</v>
      </c>
      <c r="H14850" s="435">
        <v>15980.05</v>
      </c>
      <c r="I14850" s="435">
        <v>11126.19</v>
      </c>
      <c r="J14850" s="435">
        <v>2951.56</v>
      </c>
      <c r="K14850" s="435">
        <v>1902.3</v>
      </c>
      <c r="L14850" s="43">
        <v>8.5180595089604587</v>
      </c>
      <c r="M14850" s="43">
        <v>11.500413453786203</v>
      </c>
      <c r="N14850" s="43">
        <v>5.8324309370430383</v>
      </c>
      <c r="O14850" s="43">
        <v>4.7262111801242233</v>
      </c>
      <c r="P14850" s="436"/>
      <c r="Q14850" s="436"/>
      <c r="R14850" s="436">
        <v>3</v>
      </c>
    </row>
    <row r="14851" spans="1:18" ht="24">
      <c r="A14851" s="432">
        <v>234</v>
      </c>
      <c r="B14851" s="429" t="s">
        <v>26675</v>
      </c>
      <c r="C14851" s="433" t="s">
        <v>26676</v>
      </c>
      <c r="D14851" s="434">
        <v>2206.29</v>
      </c>
      <c r="E14851" s="434">
        <v>1252.4100000000001</v>
      </c>
      <c r="F14851" s="434">
        <v>540.28</v>
      </c>
      <c r="G14851" s="434">
        <v>413.6</v>
      </c>
      <c r="H14851" s="435">
        <v>19554.87</v>
      </c>
      <c r="I14851" s="435">
        <v>14403.26</v>
      </c>
      <c r="J14851" s="435">
        <v>3136.38</v>
      </c>
      <c r="K14851" s="435">
        <v>2015.23</v>
      </c>
      <c r="L14851" s="43">
        <v>8.8632364738996223</v>
      </c>
      <c r="M14851" s="43">
        <v>11.500435161009573</v>
      </c>
      <c r="N14851" s="43">
        <v>5.8051010587102985</v>
      </c>
      <c r="O14851" s="43">
        <v>4.8724129593810446</v>
      </c>
      <c r="P14851" s="436"/>
      <c r="Q14851" s="436"/>
      <c r="R14851" s="436">
        <v>3</v>
      </c>
    </row>
    <row r="14852" spans="1:18" ht="36">
      <c r="A14852" s="432">
        <v>235</v>
      </c>
      <c r="B14852" s="429" t="s">
        <v>26677</v>
      </c>
      <c r="C14852" s="433" t="s">
        <v>26678</v>
      </c>
      <c r="D14852" s="434">
        <v>533.13</v>
      </c>
      <c r="E14852" s="434">
        <v>272.31</v>
      </c>
      <c r="F14852" s="434">
        <v>152.32</v>
      </c>
      <c r="G14852" s="434">
        <v>108.5</v>
      </c>
      <c r="H14852" s="435">
        <v>4506.5600000000004</v>
      </c>
      <c r="I14852" s="435">
        <v>3131.72</v>
      </c>
      <c r="J14852" s="435">
        <v>895.13</v>
      </c>
      <c r="K14852" s="435">
        <v>479.71</v>
      </c>
      <c r="L14852" s="43">
        <v>8.4530227149100607</v>
      </c>
      <c r="M14852" s="43">
        <v>11.500569204215783</v>
      </c>
      <c r="N14852" s="43">
        <v>5.8766412815126055</v>
      </c>
      <c r="O14852" s="43">
        <v>4.4212903225806448</v>
      </c>
      <c r="P14852" s="436"/>
      <c r="Q14852" s="436"/>
      <c r="R14852" s="436">
        <v>3</v>
      </c>
    </row>
    <row r="14853" spans="1:18" ht="36">
      <c r="A14853" s="432">
        <v>236</v>
      </c>
      <c r="B14853" s="429" t="s">
        <v>26679</v>
      </c>
      <c r="C14853" s="433" t="s">
        <v>26680</v>
      </c>
      <c r="D14853" s="434">
        <v>561.42999999999995</v>
      </c>
      <c r="E14853" s="434">
        <v>287.25</v>
      </c>
      <c r="F14853" s="434">
        <v>165.38</v>
      </c>
      <c r="G14853" s="434">
        <v>108.8</v>
      </c>
      <c r="H14853" s="435">
        <v>4752.42</v>
      </c>
      <c r="I14853" s="435">
        <v>3303.5</v>
      </c>
      <c r="J14853" s="435">
        <v>965.76</v>
      </c>
      <c r="K14853" s="435">
        <v>483.16</v>
      </c>
      <c r="L14853" s="43">
        <v>8.4648486899524436</v>
      </c>
      <c r="M14853" s="43">
        <v>11.500435161009573</v>
      </c>
      <c r="N14853" s="43">
        <v>5.8396420365219495</v>
      </c>
      <c r="O14853" s="43">
        <v>4.4408088235294123</v>
      </c>
      <c r="P14853" s="436"/>
      <c r="Q14853" s="436"/>
      <c r="R14853" s="436">
        <v>3</v>
      </c>
    </row>
    <row r="14854" spans="1:18" ht="36">
      <c r="A14854" s="432">
        <v>237</v>
      </c>
      <c r="B14854" s="429" t="s">
        <v>26681</v>
      </c>
      <c r="C14854" s="433" t="s">
        <v>26682</v>
      </c>
      <c r="D14854" s="434">
        <v>632.61</v>
      </c>
      <c r="E14854" s="434">
        <v>334.36</v>
      </c>
      <c r="F14854" s="434">
        <v>188.51</v>
      </c>
      <c r="G14854" s="434">
        <v>109.74</v>
      </c>
      <c r="H14854" s="435">
        <v>5430.55</v>
      </c>
      <c r="I14854" s="435">
        <v>3845.27</v>
      </c>
      <c r="J14854" s="435">
        <v>1091.31</v>
      </c>
      <c r="K14854" s="435">
        <v>493.97</v>
      </c>
      <c r="L14854" s="43">
        <v>8.5843568707418481</v>
      </c>
      <c r="M14854" s="43">
        <v>11.500388802488336</v>
      </c>
      <c r="N14854" s="43">
        <v>5.7891358548618106</v>
      </c>
      <c r="O14854" s="43">
        <v>4.5012757426644798</v>
      </c>
      <c r="P14854" s="436"/>
      <c r="Q14854" s="436"/>
      <c r="R14854" s="436">
        <v>3</v>
      </c>
    </row>
    <row r="14855" spans="1:18" ht="24">
      <c r="A14855" s="432">
        <v>238</v>
      </c>
      <c r="B14855" s="429" t="s">
        <v>26683</v>
      </c>
      <c r="C14855" s="433" t="s">
        <v>26684</v>
      </c>
      <c r="D14855" s="434">
        <v>1517.76</v>
      </c>
      <c r="E14855" s="434">
        <v>753.74</v>
      </c>
      <c r="F14855" s="434">
        <v>368.99</v>
      </c>
      <c r="G14855" s="434">
        <v>395.03</v>
      </c>
      <c r="H14855" s="435">
        <v>12632.97</v>
      </c>
      <c r="I14855" s="435">
        <v>8668.3799999999992</v>
      </c>
      <c r="J14855" s="435">
        <v>2139.4</v>
      </c>
      <c r="K14855" s="435">
        <v>1825.19</v>
      </c>
      <c r="L14855" s="43">
        <v>8.3234305819101824</v>
      </c>
      <c r="M14855" s="43">
        <v>11.500490885451216</v>
      </c>
      <c r="N14855" s="43">
        <v>5.7979891053958106</v>
      </c>
      <c r="O14855" s="43">
        <v>4.6203832620307326</v>
      </c>
      <c r="P14855" s="436"/>
      <c r="Q14855" s="436"/>
      <c r="R14855" s="436">
        <v>3</v>
      </c>
    </row>
    <row r="14856" spans="1:18" ht="24">
      <c r="A14856" s="432">
        <v>239</v>
      </c>
      <c r="B14856" s="429" t="s">
        <v>26685</v>
      </c>
      <c r="C14856" s="433" t="s">
        <v>26686</v>
      </c>
      <c r="D14856" s="434">
        <v>2116.2600000000002</v>
      </c>
      <c r="E14856" s="434">
        <v>1240.92</v>
      </c>
      <c r="F14856" s="434">
        <v>467.37</v>
      </c>
      <c r="G14856" s="434">
        <v>407.97</v>
      </c>
      <c r="H14856" s="435">
        <v>18908.87</v>
      </c>
      <c r="I14856" s="435">
        <v>14271.12</v>
      </c>
      <c r="J14856" s="435">
        <v>2672.55</v>
      </c>
      <c r="K14856" s="435">
        <v>1965.2</v>
      </c>
      <c r="L14856" s="43">
        <v>8.9350410630073789</v>
      </c>
      <c r="M14856" s="43">
        <v>11.500435161009573</v>
      </c>
      <c r="N14856" s="43">
        <v>5.7182746004236478</v>
      </c>
      <c r="O14856" s="43">
        <v>4.8170208593769148</v>
      </c>
      <c r="P14856" s="436"/>
      <c r="Q14856" s="436"/>
      <c r="R14856" s="436">
        <v>3</v>
      </c>
    </row>
    <row r="14857" spans="1:18" ht="24">
      <c r="A14857" s="432">
        <v>240</v>
      </c>
      <c r="B14857" s="429" t="s">
        <v>26687</v>
      </c>
      <c r="C14857" s="433" t="s">
        <v>26688</v>
      </c>
      <c r="D14857" s="434">
        <v>2222.0300000000002</v>
      </c>
      <c r="E14857" s="434">
        <v>1275.3900000000001</v>
      </c>
      <c r="F14857" s="434">
        <v>532.58000000000004</v>
      </c>
      <c r="G14857" s="434">
        <v>414.06</v>
      </c>
      <c r="H14857" s="435">
        <v>19713.43</v>
      </c>
      <c r="I14857" s="435">
        <v>14667.54</v>
      </c>
      <c r="J14857" s="435">
        <v>3025.37</v>
      </c>
      <c r="K14857" s="435">
        <v>2020.52</v>
      </c>
      <c r="L14857" s="43">
        <v>8.8718109116438573</v>
      </c>
      <c r="M14857" s="43">
        <v>11.500435161009573</v>
      </c>
      <c r="N14857" s="43">
        <v>5.680592587029178</v>
      </c>
      <c r="O14857" s="43">
        <v>4.8797758778920928</v>
      </c>
      <c r="P14857" s="436"/>
      <c r="Q14857" s="436"/>
      <c r="R14857" s="436">
        <v>3</v>
      </c>
    </row>
    <row r="14858" spans="1:18" ht="36">
      <c r="A14858" s="432">
        <v>241</v>
      </c>
      <c r="B14858" s="429" t="s">
        <v>26689</v>
      </c>
      <c r="C14858" s="433" t="s">
        <v>26690</v>
      </c>
      <c r="D14858" s="434">
        <v>581.73</v>
      </c>
      <c r="E14858" s="434">
        <v>334.36</v>
      </c>
      <c r="F14858" s="434">
        <v>137.63</v>
      </c>
      <c r="G14858" s="434">
        <v>109.74</v>
      </c>
      <c r="H14858" s="435">
        <v>5131.7</v>
      </c>
      <c r="I14858" s="435">
        <v>3845.27</v>
      </c>
      <c r="J14858" s="435">
        <v>792.46</v>
      </c>
      <c r="K14858" s="435">
        <v>493.97</v>
      </c>
      <c r="L14858" s="43">
        <v>8.8214463754662802</v>
      </c>
      <c r="M14858" s="43">
        <v>11.500388802488336</v>
      </c>
      <c r="N14858" s="43">
        <v>5.7579016202862752</v>
      </c>
      <c r="O14858" s="43">
        <v>4.5012757426644798</v>
      </c>
      <c r="P14858" s="436"/>
      <c r="Q14858" s="436"/>
      <c r="R14858" s="436">
        <v>3</v>
      </c>
    </row>
    <row r="14859" spans="1:18" ht="36">
      <c r="A14859" s="432">
        <v>242</v>
      </c>
      <c r="B14859" s="429" t="s">
        <v>26691</v>
      </c>
      <c r="C14859" s="433" t="s">
        <v>26692</v>
      </c>
      <c r="D14859" s="434">
        <v>644.74</v>
      </c>
      <c r="E14859" s="434">
        <v>350.45</v>
      </c>
      <c r="F14859" s="434">
        <v>184.23</v>
      </c>
      <c r="G14859" s="434">
        <v>110.06</v>
      </c>
      <c r="H14859" s="435">
        <v>5572.94</v>
      </c>
      <c r="I14859" s="435">
        <v>4030.27</v>
      </c>
      <c r="J14859" s="435">
        <v>1045.02</v>
      </c>
      <c r="K14859" s="435">
        <v>497.65</v>
      </c>
      <c r="L14859" s="43">
        <v>8.6437013369730433</v>
      </c>
      <c r="M14859" s="43">
        <v>11.500271080039949</v>
      </c>
      <c r="N14859" s="43">
        <v>5.6723660641589317</v>
      </c>
      <c r="O14859" s="43">
        <v>4.5216245684172263</v>
      </c>
      <c r="P14859" s="436"/>
      <c r="Q14859" s="436"/>
      <c r="R14859" s="436">
        <v>3</v>
      </c>
    </row>
    <row r="14860" spans="1:18" ht="36">
      <c r="A14860" s="432">
        <v>243</v>
      </c>
      <c r="B14860" s="429" t="s">
        <v>26693</v>
      </c>
      <c r="C14860" s="433" t="s">
        <v>26694</v>
      </c>
      <c r="D14860" s="434">
        <v>696.5</v>
      </c>
      <c r="E14860" s="434">
        <v>365.38</v>
      </c>
      <c r="F14860" s="434">
        <v>220.76</v>
      </c>
      <c r="G14860" s="434">
        <v>110.36</v>
      </c>
      <c r="H14860" s="435">
        <v>5945.8</v>
      </c>
      <c r="I14860" s="435">
        <v>4202.05</v>
      </c>
      <c r="J14860" s="435">
        <v>1242.6500000000001</v>
      </c>
      <c r="K14860" s="435">
        <v>501.1</v>
      </c>
      <c r="L14860" s="43">
        <v>8.5366834170854275</v>
      </c>
      <c r="M14860" s="43">
        <v>11.500492637801742</v>
      </c>
      <c r="N14860" s="43">
        <v>5.6289635803587617</v>
      </c>
      <c r="O14860" s="43">
        <v>4.5405944182674887</v>
      </c>
      <c r="P14860" s="436"/>
      <c r="Q14860" s="436"/>
      <c r="R14860" s="436">
        <v>3</v>
      </c>
    </row>
    <row r="14861" spans="1:18" ht="12.75" customHeight="1">
      <c r="A14861" s="628" t="s">
        <v>26695</v>
      </c>
      <c r="B14861" s="629"/>
      <c r="C14861" s="629"/>
      <c r="D14861" s="629"/>
      <c r="E14861" s="629"/>
      <c r="F14861" s="629"/>
      <c r="G14861" s="629"/>
      <c r="H14861" s="629"/>
      <c r="I14861" s="629"/>
      <c r="J14861" s="629"/>
      <c r="K14861" s="629"/>
      <c r="L14861" s="629"/>
      <c r="M14861" s="629"/>
      <c r="N14861" s="629"/>
      <c r="O14861" s="629"/>
      <c r="P14861" s="629"/>
      <c r="Q14861" s="629"/>
      <c r="R14861" s="629"/>
    </row>
    <row r="14862" spans="1:18" ht="24">
      <c r="A14862" s="432">
        <v>244</v>
      </c>
      <c r="B14862" s="429" t="s">
        <v>26696</v>
      </c>
      <c r="C14862" s="433" t="s">
        <v>26697</v>
      </c>
      <c r="D14862" s="434">
        <v>2641.09</v>
      </c>
      <c r="E14862" s="434">
        <v>1309.8599999999999</v>
      </c>
      <c r="F14862" s="434">
        <v>947.06</v>
      </c>
      <c r="G14862" s="434">
        <v>384.17</v>
      </c>
      <c r="H14862" s="435">
        <v>22765.919999999998</v>
      </c>
      <c r="I14862" s="435">
        <v>15063.96</v>
      </c>
      <c r="J14862" s="435">
        <v>5503.85</v>
      </c>
      <c r="K14862" s="435">
        <v>2198.11</v>
      </c>
      <c r="L14862" s="43">
        <v>8.6198955734185496</v>
      </c>
      <c r="M14862" s="43">
        <v>11.500435161009573</v>
      </c>
      <c r="N14862" s="43">
        <v>5.8115114142715356</v>
      </c>
      <c r="O14862" s="43">
        <v>5.7217117421974644</v>
      </c>
      <c r="P14862" s="436"/>
      <c r="Q14862" s="436"/>
      <c r="R14862" s="436">
        <v>4</v>
      </c>
    </row>
    <row r="14863" spans="1:18" ht="24">
      <c r="A14863" s="432">
        <v>245</v>
      </c>
      <c r="B14863" s="429" t="s">
        <v>26698</v>
      </c>
      <c r="C14863" s="433" t="s">
        <v>26699</v>
      </c>
      <c r="D14863" s="434">
        <v>2805.49</v>
      </c>
      <c r="E14863" s="434">
        <v>1436.25</v>
      </c>
      <c r="F14863" s="434">
        <v>977.29</v>
      </c>
      <c r="G14863" s="434">
        <v>391.95</v>
      </c>
      <c r="H14863" s="435">
        <v>24459.439999999999</v>
      </c>
      <c r="I14863" s="435">
        <v>16517.5</v>
      </c>
      <c r="J14863" s="435">
        <v>5668.66</v>
      </c>
      <c r="K14863" s="435">
        <v>2273.2800000000002</v>
      </c>
      <c r="L14863" s="43">
        <v>8.718419955159348</v>
      </c>
      <c r="M14863" s="43">
        <v>11.500435161009573</v>
      </c>
      <c r="N14863" s="43">
        <v>5.8003867838614944</v>
      </c>
      <c r="O14863" s="43">
        <v>5.7999234596249529</v>
      </c>
      <c r="P14863" s="436"/>
      <c r="Q14863" s="436"/>
      <c r="R14863" s="436">
        <v>4</v>
      </c>
    </row>
    <row r="14864" spans="1:18" ht="36">
      <c r="A14864" s="432">
        <v>246</v>
      </c>
      <c r="B14864" s="429" t="s">
        <v>26700</v>
      </c>
      <c r="C14864" s="433" t="s">
        <v>26701</v>
      </c>
      <c r="D14864" s="434">
        <v>369.11</v>
      </c>
      <c r="E14864" s="434">
        <v>165.46</v>
      </c>
      <c r="F14864" s="434">
        <v>152.32</v>
      </c>
      <c r="G14864" s="434">
        <v>51.33</v>
      </c>
      <c r="H14864" s="435">
        <v>3099.72</v>
      </c>
      <c r="I14864" s="435">
        <v>1902.82</v>
      </c>
      <c r="J14864" s="435">
        <v>895.13</v>
      </c>
      <c r="K14864" s="435">
        <v>301.77</v>
      </c>
      <c r="L14864" s="43">
        <v>8.3978217875430072</v>
      </c>
      <c r="M14864" s="43">
        <v>11.500181312703976</v>
      </c>
      <c r="N14864" s="43">
        <v>5.8766412815126055</v>
      </c>
      <c r="O14864" s="43">
        <v>5.8790181180596139</v>
      </c>
      <c r="P14864" s="436"/>
      <c r="Q14864" s="436"/>
      <c r="R14864" s="436">
        <v>4</v>
      </c>
    </row>
    <row r="14865" spans="1:18" ht="36">
      <c r="A14865" s="432">
        <v>247</v>
      </c>
      <c r="B14865" s="429" t="s">
        <v>26702</v>
      </c>
      <c r="C14865" s="433" t="s">
        <v>26703</v>
      </c>
      <c r="D14865" s="434">
        <v>418.06</v>
      </c>
      <c r="E14865" s="434">
        <v>193.03</v>
      </c>
      <c r="F14865" s="434">
        <v>173.15</v>
      </c>
      <c r="G14865" s="434">
        <v>51.88</v>
      </c>
      <c r="H14865" s="435">
        <v>3535.92</v>
      </c>
      <c r="I14865" s="435">
        <v>2219.9499999999998</v>
      </c>
      <c r="J14865" s="435">
        <v>1007.88</v>
      </c>
      <c r="K14865" s="435">
        <v>308.08999999999997</v>
      </c>
      <c r="L14865" s="43">
        <v>8.457924699803856</v>
      </c>
      <c r="M14865" s="43">
        <v>11.500543956897891</v>
      </c>
      <c r="N14865" s="43">
        <v>5.8208489748772738</v>
      </c>
      <c r="O14865" s="43">
        <v>5.9385119506553581</v>
      </c>
      <c r="P14865" s="436"/>
      <c r="Q14865" s="436"/>
      <c r="R14865" s="436">
        <v>4</v>
      </c>
    </row>
    <row r="14866" spans="1:18" ht="36">
      <c r="A14866" s="432">
        <v>248</v>
      </c>
      <c r="B14866" s="429" t="s">
        <v>26704</v>
      </c>
      <c r="C14866" s="433" t="s">
        <v>26705</v>
      </c>
      <c r="D14866" s="434">
        <v>4139.37</v>
      </c>
      <c r="E14866" s="434">
        <v>2332.4699999999998</v>
      </c>
      <c r="F14866" s="434">
        <v>1582.88</v>
      </c>
      <c r="G14866" s="434">
        <v>224.02</v>
      </c>
      <c r="H14866" s="435">
        <v>37499.370000000003</v>
      </c>
      <c r="I14866" s="435">
        <v>26824.42</v>
      </c>
      <c r="J14866" s="435">
        <v>9088.36</v>
      </c>
      <c r="K14866" s="435">
        <v>1586.59</v>
      </c>
      <c r="L14866" s="43">
        <v>9.0591974140992484</v>
      </c>
      <c r="M14866" s="43">
        <v>11.500435161009573</v>
      </c>
      <c r="N14866" s="43">
        <v>5.7416607702415847</v>
      </c>
      <c r="O14866" s="43">
        <v>7.0823587179716094</v>
      </c>
      <c r="P14866" s="436"/>
      <c r="Q14866" s="436"/>
      <c r="R14866" s="436">
        <v>4</v>
      </c>
    </row>
    <row r="14867" spans="1:18" ht="36">
      <c r="A14867" s="432">
        <v>249</v>
      </c>
      <c r="B14867" s="429" t="s">
        <v>26706</v>
      </c>
      <c r="C14867" s="433" t="s">
        <v>26707</v>
      </c>
      <c r="D14867" s="434">
        <v>24985.72</v>
      </c>
      <c r="E14867" s="434">
        <v>2780.58</v>
      </c>
      <c r="F14867" s="434">
        <v>1722.32</v>
      </c>
      <c r="G14867" s="434">
        <v>20482.82</v>
      </c>
      <c r="H14867" s="435">
        <v>123596.18</v>
      </c>
      <c r="I14867" s="435">
        <v>31977.88</v>
      </c>
      <c r="J14867" s="435">
        <v>9841.7900000000009</v>
      </c>
      <c r="K14867" s="435">
        <v>81776.509999999995</v>
      </c>
      <c r="L14867" s="43">
        <v>4.9466727394687844</v>
      </c>
      <c r="M14867" s="43">
        <v>11.500435161009575</v>
      </c>
      <c r="N14867" s="43">
        <v>5.7142633192438117</v>
      </c>
      <c r="O14867" s="43">
        <v>3.9924439115317125</v>
      </c>
      <c r="P14867" s="436"/>
      <c r="Q14867" s="436"/>
      <c r="R14867" s="436">
        <v>4</v>
      </c>
    </row>
    <row r="14868" spans="1:18" ht="36">
      <c r="A14868" s="432">
        <v>250</v>
      </c>
      <c r="B14868" s="429" t="s">
        <v>26708</v>
      </c>
      <c r="C14868" s="433" t="s">
        <v>26709</v>
      </c>
      <c r="D14868" s="434">
        <v>30208.42</v>
      </c>
      <c r="E14868" s="434">
        <v>6296.52</v>
      </c>
      <c r="F14868" s="434">
        <v>3320.42</v>
      </c>
      <c r="G14868" s="434">
        <v>20591.48</v>
      </c>
      <c r="H14868" s="435">
        <v>174139.88</v>
      </c>
      <c r="I14868" s="435">
        <v>72412.72</v>
      </c>
      <c r="J14868" s="435">
        <v>18891.98</v>
      </c>
      <c r="K14868" s="435">
        <v>82835.179999999993</v>
      </c>
      <c r="L14868" s="43">
        <v>5.7646139718661225</v>
      </c>
      <c r="M14868" s="43">
        <v>11.500435161009573</v>
      </c>
      <c r="N14868" s="43">
        <v>5.6896356485022981</v>
      </c>
      <c r="O14868" s="43">
        <v>4.0227890370191943</v>
      </c>
      <c r="P14868" s="436"/>
      <c r="Q14868" s="436"/>
      <c r="R14868" s="436">
        <v>4</v>
      </c>
    </row>
    <row r="14869" spans="1:18" ht="36">
      <c r="A14869" s="432">
        <v>251</v>
      </c>
      <c r="B14869" s="429" t="s">
        <v>26710</v>
      </c>
      <c r="C14869" s="433" t="s">
        <v>26711</v>
      </c>
      <c r="D14869" s="434">
        <v>556.5</v>
      </c>
      <c r="E14869" s="434">
        <v>263.12</v>
      </c>
      <c r="F14869" s="434">
        <v>167.87</v>
      </c>
      <c r="G14869" s="434">
        <v>125.51</v>
      </c>
      <c r="H14869" s="435">
        <v>4552.97</v>
      </c>
      <c r="I14869" s="435">
        <v>3026.01</v>
      </c>
      <c r="J14869" s="435">
        <v>979.37</v>
      </c>
      <c r="K14869" s="435">
        <v>547.59</v>
      </c>
      <c r="L14869" s="43">
        <v>8.1814375561545383</v>
      </c>
      <c r="M14869" s="43">
        <v>11.500494071146246</v>
      </c>
      <c r="N14869" s="43">
        <v>5.8340978137844761</v>
      </c>
      <c r="O14869" s="43">
        <v>4.3629192892996578</v>
      </c>
      <c r="P14869" s="436"/>
      <c r="Q14869" s="436"/>
      <c r="R14869" s="436">
        <v>4</v>
      </c>
    </row>
    <row r="14870" spans="1:18" ht="36">
      <c r="A14870" s="432">
        <v>252</v>
      </c>
      <c r="B14870" s="429" t="s">
        <v>26712</v>
      </c>
      <c r="C14870" s="433" t="s">
        <v>26713</v>
      </c>
      <c r="D14870" s="434">
        <v>604.41999999999996</v>
      </c>
      <c r="E14870" s="434">
        <v>299.89</v>
      </c>
      <c r="F14870" s="434">
        <v>178.28</v>
      </c>
      <c r="G14870" s="434">
        <v>126.25</v>
      </c>
      <c r="H14870" s="435">
        <v>5040.6899999999996</v>
      </c>
      <c r="I14870" s="435">
        <v>3448.85</v>
      </c>
      <c r="J14870" s="435">
        <v>1035.74</v>
      </c>
      <c r="K14870" s="435">
        <v>556.1</v>
      </c>
      <c r="L14870" s="43">
        <v>8.3397141060851716</v>
      </c>
      <c r="M14870" s="43">
        <v>11.500383473940445</v>
      </c>
      <c r="N14870" s="43">
        <v>5.8096253085034775</v>
      </c>
      <c r="O14870" s="43">
        <v>4.4047524752475251</v>
      </c>
      <c r="P14870" s="436"/>
      <c r="Q14870" s="436"/>
      <c r="R14870" s="436">
        <v>4</v>
      </c>
    </row>
    <row r="14871" spans="1:18" ht="36">
      <c r="A14871" s="432">
        <v>253</v>
      </c>
      <c r="B14871" s="429" t="s">
        <v>26714</v>
      </c>
      <c r="C14871" s="433" t="s">
        <v>26715</v>
      </c>
      <c r="D14871" s="434">
        <v>801.62</v>
      </c>
      <c r="E14871" s="434">
        <v>477.98</v>
      </c>
      <c r="F14871" s="434">
        <v>193.83</v>
      </c>
      <c r="G14871" s="434">
        <v>129.81</v>
      </c>
      <c r="H14871" s="435">
        <v>7214.05</v>
      </c>
      <c r="I14871" s="435">
        <v>5497.02</v>
      </c>
      <c r="J14871" s="435">
        <v>1119.99</v>
      </c>
      <c r="K14871" s="435">
        <v>597.04</v>
      </c>
      <c r="L14871" s="43">
        <v>8.999338838851326</v>
      </c>
      <c r="M14871" s="43">
        <v>11.500523034436588</v>
      </c>
      <c r="N14871" s="43">
        <v>5.7782077077851719</v>
      </c>
      <c r="O14871" s="43">
        <v>4.5993374932593785</v>
      </c>
      <c r="P14871" s="436"/>
      <c r="Q14871" s="436"/>
      <c r="R14871" s="436">
        <v>4</v>
      </c>
    </row>
    <row r="14872" spans="1:18" ht="36">
      <c r="A14872" s="432">
        <v>254</v>
      </c>
      <c r="B14872" s="429" t="s">
        <v>26716</v>
      </c>
      <c r="C14872" s="433" t="s">
        <v>26717</v>
      </c>
      <c r="D14872" s="434">
        <v>78.33</v>
      </c>
      <c r="E14872" s="434">
        <v>1.72</v>
      </c>
      <c r="F14872" s="434">
        <v>2.21</v>
      </c>
      <c r="G14872" s="434">
        <v>74.400000000000006</v>
      </c>
      <c r="H14872" s="435">
        <v>367.65</v>
      </c>
      <c r="I14872" s="435">
        <v>19.809999999999999</v>
      </c>
      <c r="J14872" s="435">
        <v>11.69</v>
      </c>
      <c r="K14872" s="435">
        <v>336.15</v>
      </c>
      <c r="L14872" s="43">
        <v>4.6936039831482192</v>
      </c>
      <c r="M14872" s="43">
        <v>11.5</v>
      </c>
      <c r="N14872" s="43">
        <v>5.2895927601809953</v>
      </c>
      <c r="O14872" s="43">
        <v>4.5181451612903221</v>
      </c>
      <c r="P14872" s="436"/>
      <c r="Q14872" s="436"/>
      <c r="R14872" s="436">
        <v>4</v>
      </c>
    </row>
    <row r="14873" spans="1:18" ht="48">
      <c r="A14873" s="432">
        <v>255</v>
      </c>
      <c r="B14873" s="429" t="s">
        <v>26718</v>
      </c>
      <c r="C14873" s="433" t="s">
        <v>26719</v>
      </c>
      <c r="D14873" s="434">
        <v>38.24</v>
      </c>
      <c r="E14873" s="434">
        <v>13.65</v>
      </c>
      <c r="F14873" s="434"/>
      <c r="G14873" s="434">
        <v>24.59</v>
      </c>
      <c r="H14873" s="435">
        <v>323.3</v>
      </c>
      <c r="I14873" s="435">
        <v>156.94999999999999</v>
      </c>
      <c r="J14873" s="435"/>
      <c r="K14873" s="435">
        <v>166.35</v>
      </c>
      <c r="L14873" s="43">
        <v>8.4544979079497899</v>
      </c>
      <c r="M14873" s="43">
        <v>11.498168498168496</v>
      </c>
      <c r="N14873" s="43" t="s">
        <v>1690</v>
      </c>
      <c r="O14873" s="43">
        <v>6.764945099633997</v>
      </c>
      <c r="P14873" s="436"/>
      <c r="Q14873" s="436"/>
      <c r="R14873" s="436">
        <v>4</v>
      </c>
    </row>
    <row r="14874" spans="1:18" ht="48">
      <c r="A14874" s="432">
        <v>256</v>
      </c>
      <c r="B14874" s="429" t="s">
        <v>26720</v>
      </c>
      <c r="C14874" s="433" t="s">
        <v>26721</v>
      </c>
      <c r="D14874" s="434">
        <v>38.24</v>
      </c>
      <c r="E14874" s="434">
        <v>13.65</v>
      </c>
      <c r="F14874" s="434"/>
      <c r="G14874" s="434">
        <v>24.59</v>
      </c>
      <c r="H14874" s="435">
        <v>323.3</v>
      </c>
      <c r="I14874" s="435">
        <v>156.94999999999999</v>
      </c>
      <c r="J14874" s="435"/>
      <c r="K14874" s="435">
        <v>166.35</v>
      </c>
      <c r="L14874" s="43">
        <v>8.4544979079497899</v>
      </c>
      <c r="M14874" s="43">
        <v>11.498168498168496</v>
      </c>
      <c r="N14874" s="43" t="s">
        <v>1690</v>
      </c>
      <c r="O14874" s="43">
        <v>6.764945099633997</v>
      </c>
      <c r="P14874" s="436"/>
      <c r="Q14874" s="436"/>
      <c r="R14874" s="436">
        <v>4</v>
      </c>
    </row>
    <row r="14875" spans="1:18" ht="48">
      <c r="A14875" s="432">
        <v>257</v>
      </c>
      <c r="B14875" s="429" t="s">
        <v>26722</v>
      </c>
      <c r="C14875" s="433" t="s">
        <v>26723</v>
      </c>
      <c r="D14875" s="434">
        <v>51.55</v>
      </c>
      <c r="E14875" s="434">
        <v>27.3</v>
      </c>
      <c r="F14875" s="434"/>
      <c r="G14875" s="434">
        <v>24.25</v>
      </c>
      <c r="H14875" s="435">
        <v>478.5</v>
      </c>
      <c r="I14875" s="435">
        <v>313.89999999999998</v>
      </c>
      <c r="J14875" s="435"/>
      <c r="K14875" s="435">
        <v>164.6</v>
      </c>
      <c r="L14875" s="43">
        <v>9.2822502424830269</v>
      </c>
      <c r="M14875" s="43">
        <v>11.498168498168496</v>
      </c>
      <c r="N14875" s="43" t="s">
        <v>1690</v>
      </c>
      <c r="O14875" s="43">
        <v>6.7876288659793813</v>
      </c>
      <c r="P14875" s="436"/>
      <c r="Q14875" s="436"/>
      <c r="R14875" s="436">
        <v>4</v>
      </c>
    </row>
    <row r="14876" spans="1:18" ht="24">
      <c r="A14876" s="432">
        <v>258</v>
      </c>
      <c r="B14876" s="429" t="s">
        <v>26724</v>
      </c>
      <c r="C14876" s="433" t="s">
        <v>26725</v>
      </c>
      <c r="D14876" s="434">
        <v>5866.65</v>
      </c>
      <c r="E14876" s="434">
        <v>3263.16</v>
      </c>
      <c r="F14876" s="434">
        <v>1336.66</v>
      </c>
      <c r="G14876" s="434">
        <v>1266.83</v>
      </c>
      <c r="H14876" s="435">
        <v>52064.959999999999</v>
      </c>
      <c r="I14876" s="435">
        <v>37527.760000000002</v>
      </c>
      <c r="J14876" s="435">
        <v>7613.72</v>
      </c>
      <c r="K14876" s="435">
        <v>6923.48</v>
      </c>
      <c r="L14876" s="43">
        <v>8.8747343032224535</v>
      </c>
      <c r="M14876" s="43">
        <v>11.500435161009575</v>
      </c>
      <c r="N14876" s="43">
        <v>5.6960782846797242</v>
      </c>
      <c r="O14876" s="43">
        <v>5.4652005399303771</v>
      </c>
      <c r="P14876" s="436"/>
      <c r="Q14876" s="436"/>
      <c r="R14876" s="436">
        <v>4</v>
      </c>
    </row>
    <row r="14877" spans="1:18" ht="24">
      <c r="A14877" s="432">
        <v>259</v>
      </c>
      <c r="B14877" s="429" t="s">
        <v>26726</v>
      </c>
      <c r="C14877" s="433" t="s">
        <v>26727</v>
      </c>
      <c r="D14877" s="434">
        <v>6684.17</v>
      </c>
      <c r="E14877" s="434">
        <v>3722.76</v>
      </c>
      <c r="F14877" s="434">
        <v>1666.96</v>
      </c>
      <c r="G14877" s="434">
        <v>1294.45</v>
      </c>
      <c r="H14877" s="435">
        <v>59500.35</v>
      </c>
      <c r="I14877" s="435">
        <v>42813.36</v>
      </c>
      <c r="J14877" s="435">
        <v>9496.2000000000007</v>
      </c>
      <c r="K14877" s="435">
        <v>7190.79</v>
      </c>
      <c r="L14877" s="43">
        <v>8.9016811361769665</v>
      </c>
      <c r="M14877" s="43">
        <v>11.500435161009573</v>
      </c>
      <c r="N14877" s="43">
        <v>5.6967173777415177</v>
      </c>
      <c r="O14877" s="43">
        <v>5.5550928965970101</v>
      </c>
      <c r="P14877" s="436"/>
      <c r="Q14877" s="436"/>
      <c r="R14877" s="436">
        <v>4</v>
      </c>
    </row>
    <row r="14878" spans="1:18" ht="36">
      <c r="A14878" s="432">
        <v>260</v>
      </c>
      <c r="B14878" s="429" t="s">
        <v>26728</v>
      </c>
      <c r="C14878" s="433" t="s">
        <v>26729</v>
      </c>
      <c r="D14878" s="434">
        <v>727.3</v>
      </c>
      <c r="E14878" s="434">
        <v>394.11</v>
      </c>
      <c r="F14878" s="434">
        <v>209.23</v>
      </c>
      <c r="G14878" s="434">
        <v>123.96</v>
      </c>
      <c r="H14878" s="435">
        <v>6425.45</v>
      </c>
      <c r="I14878" s="435">
        <v>4532.3999999999996</v>
      </c>
      <c r="J14878" s="435">
        <v>1203.5899999999999</v>
      </c>
      <c r="K14878" s="435">
        <v>689.46</v>
      </c>
      <c r="L14878" s="43">
        <v>8.8346624501581186</v>
      </c>
      <c r="M14878" s="43">
        <v>11.500342543959807</v>
      </c>
      <c r="N14878" s="43">
        <v>5.7524733546814506</v>
      </c>
      <c r="O14878" s="43">
        <v>5.5619554695062927</v>
      </c>
      <c r="P14878" s="436"/>
      <c r="Q14878" s="436"/>
      <c r="R14878" s="436">
        <v>4</v>
      </c>
    </row>
    <row r="14879" spans="1:18" ht="36">
      <c r="A14879" s="432">
        <v>261</v>
      </c>
      <c r="B14879" s="429" t="s">
        <v>26730</v>
      </c>
      <c r="C14879" s="433" t="s">
        <v>26731</v>
      </c>
      <c r="D14879" s="434">
        <v>777.52</v>
      </c>
      <c r="E14879" s="434">
        <v>433.17</v>
      </c>
      <c r="F14879" s="434">
        <v>219.61</v>
      </c>
      <c r="G14879" s="434">
        <v>124.74</v>
      </c>
      <c r="H14879" s="435">
        <v>6939.91</v>
      </c>
      <c r="I14879" s="435">
        <v>4981.68</v>
      </c>
      <c r="J14879" s="435">
        <v>1259.8</v>
      </c>
      <c r="K14879" s="435">
        <v>698.43</v>
      </c>
      <c r="L14879" s="43">
        <v>8.9256996604588945</v>
      </c>
      <c r="M14879" s="43">
        <v>11.500519426553085</v>
      </c>
      <c r="N14879" s="43">
        <v>5.7365329447657203</v>
      </c>
      <c r="O14879" s="43">
        <v>5.5990860990860991</v>
      </c>
      <c r="P14879" s="436"/>
      <c r="Q14879" s="436"/>
      <c r="R14879" s="436">
        <v>4</v>
      </c>
    </row>
    <row r="14880" spans="1:18" ht="24">
      <c r="A14880" s="432">
        <v>262</v>
      </c>
      <c r="B14880" s="429" t="s">
        <v>26732</v>
      </c>
      <c r="C14880" s="433" t="s">
        <v>26733</v>
      </c>
      <c r="D14880" s="434">
        <v>7718.45</v>
      </c>
      <c r="E14880" s="434">
        <v>4010.08</v>
      </c>
      <c r="F14880" s="434">
        <v>2101.09</v>
      </c>
      <c r="G14880" s="434">
        <v>1607.28</v>
      </c>
      <c r="H14880" s="435">
        <v>66747.289999999994</v>
      </c>
      <c r="I14880" s="435">
        <v>46115.92</v>
      </c>
      <c r="J14880" s="435">
        <v>11750.7</v>
      </c>
      <c r="K14880" s="435">
        <v>8880.67</v>
      </c>
      <c r="L14880" s="43">
        <v>8.647758293439745</v>
      </c>
      <c r="M14880" s="43">
        <v>11.5</v>
      </c>
      <c r="N14880" s="43">
        <v>5.5926685672674656</v>
      </c>
      <c r="O14880" s="43">
        <v>5.5252787317704444</v>
      </c>
      <c r="P14880" s="436"/>
      <c r="Q14880" s="436"/>
      <c r="R14880" s="436">
        <v>4</v>
      </c>
    </row>
    <row r="14881" spans="1:18" ht="24">
      <c r="A14881" s="432">
        <v>263</v>
      </c>
      <c r="B14881" s="429" t="s">
        <v>26734</v>
      </c>
      <c r="C14881" s="433" t="s">
        <v>26735</v>
      </c>
      <c r="D14881" s="434">
        <v>9993.41</v>
      </c>
      <c r="E14881" s="434">
        <v>5248.32</v>
      </c>
      <c r="F14881" s="434">
        <v>2690.95</v>
      </c>
      <c r="G14881" s="434">
        <v>2054.14</v>
      </c>
      <c r="H14881" s="435">
        <v>87002.83</v>
      </c>
      <c r="I14881" s="435">
        <v>60355.68</v>
      </c>
      <c r="J14881" s="435">
        <v>15064.02</v>
      </c>
      <c r="K14881" s="435">
        <v>11583.13</v>
      </c>
      <c r="L14881" s="43">
        <v>8.7060202673561875</v>
      </c>
      <c r="M14881" s="43">
        <v>11.5</v>
      </c>
      <c r="N14881" s="43">
        <v>5.5980304353481118</v>
      </c>
      <c r="O14881" s="43">
        <v>5.6389194504756244</v>
      </c>
      <c r="P14881" s="436"/>
      <c r="Q14881" s="436"/>
      <c r="R14881" s="436">
        <v>4</v>
      </c>
    </row>
    <row r="14882" spans="1:18" ht="24">
      <c r="A14882" s="432">
        <v>264</v>
      </c>
      <c r="B14882" s="429" t="s">
        <v>26736</v>
      </c>
      <c r="C14882" s="433" t="s">
        <v>26737</v>
      </c>
      <c r="D14882" s="434">
        <v>15816.6</v>
      </c>
      <c r="E14882" s="434">
        <v>6452.48</v>
      </c>
      <c r="F14882" s="434">
        <v>3153.63</v>
      </c>
      <c r="G14882" s="434">
        <v>6210.49</v>
      </c>
      <c r="H14882" s="435">
        <v>132930.43</v>
      </c>
      <c r="I14882" s="435">
        <v>74203.520000000004</v>
      </c>
      <c r="J14882" s="435">
        <v>17687.25</v>
      </c>
      <c r="K14882" s="435">
        <v>41039.660000000003</v>
      </c>
      <c r="L14882" s="43">
        <v>8.4044883223954567</v>
      </c>
      <c r="M14882" s="43">
        <v>11.500000000000002</v>
      </c>
      <c r="N14882" s="43">
        <v>5.6085368289875479</v>
      </c>
      <c r="O14882" s="43">
        <v>6.6081194881563299</v>
      </c>
      <c r="P14882" s="436"/>
      <c r="Q14882" s="436"/>
      <c r="R14882" s="436">
        <v>4</v>
      </c>
    </row>
    <row r="14883" spans="1:18" ht="24">
      <c r="A14883" s="432">
        <v>265</v>
      </c>
      <c r="B14883" s="429" t="s">
        <v>26738</v>
      </c>
      <c r="C14883" s="433" t="s">
        <v>26739</v>
      </c>
      <c r="D14883" s="434">
        <v>20801.59</v>
      </c>
      <c r="E14883" s="434">
        <v>8724.48</v>
      </c>
      <c r="F14883" s="434">
        <v>3778.8</v>
      </c>
      <c r="G14883" s="434">
        <v>8298.31</v>
      </c>
      <c r="H14883" s="435">
        <v>177287.26</v>
      </c>
      <c r="I14883" s="435">
        <v>100331.52</v>
      </c>
      <c r="J14883" s="435">
        <v>21190.02</v>
      </c>
      <c r="K14883" s="435">
        <v>55765.72</v>
      </c>
      <c r="L14883" s="43">
        <v>8.522774460990723</v>
      </c>
      <c r="M14883" s="43">
        <v>11.500000000000002</v>
      </c>
      <c r="N14883" s="43">
        <v>5.6076055890758969</v>
      </c>
      <c r="O14883" s="43">
        <v>6.7201297613610489</v>
      </c>
      <c r="P14883" s="436"/>
      <c r="Q14883" s="436"/>
      <c r="R14883" s="436">
        <v>4</v>
      </c>
    </row>
    <row r="14884" spans="1:18" ht="36">
      <c r="A14884" s="432">
        <v>266</v>
      </c>
      <c r="B14884" s="429" t="s">
        <v>26740</v>
      </c>
      <c r="C14884" s="433" t="s">
        <v>26741</v>
      </c>
      <c r="D14884" s="434">
        <v>883.39</v>
      </c>
      <c r="E14884" s="434">
        <v>596.4</v>
      </c>
      <c r="F14884" s="434">
        <v>263.8</v>
      </c>
      <c r="G14884" s="434">
        <v>23.19</v>
      </c>
      <c r="H14884" s="435">
        <v>8579.32</v>
      </c>
      <c r="I14884" s="435">
        <v>6858.6</v>
      </c>
      <c r="J14884" s="435">
        <v>1499.07</v>
      </c>
      <c r="K14884" s="435">
        <v>221.65</v>
      </c>
      <c r="L14884" s="43">
        <v>9.7118147137730784</v>
      </c>
      <c r="M14884" s="43">
        <v>11.500000000000002</v>
      </c>
      <c r="N14884" s="43">
        <v>5.6826004548900677</v>
      </c>
      <c r="O14884" s="43">
        <v>9.5579991375592925</v>
      </c>
      <c r="P14884" s="436"/>
      <c r="Q14884" s="436"/>
      <c r="R14884" s="436">
        <v>4</v>
      </c>
    </row>
    <row r="14885" spans="1:18" ht="36">
      <c r="A14885" s="432">
        <v>267</v>
      </c>
      <c r="B14885" s="429" t="s">
        <v>26742</v>
      </c>
      <c r="C14885" s="433" t="s">
        <v>26743</v>
      </c>
      <c r="D14885" s="434">
        <v>23.74</v>
      </c>
      <c r="E14885" s="434">
        <v>11.7</v>
      </c>
      <c r="F14885" s="434">
        <v>2.39</v>
      </c>
      <c r="G14885" s="434">
        <v>9.65</v>
      </c>
      <c r="H14885" s="435">
        <v>192.89</v>
      </c>
      <c r="I14885" s="435">
        <v>134.56</v>
      </c>
      <c r="J14885" s="435">
        <v>12.62</v>
      </c>
      <c r="K14885" s="435">
        <v>45.71</v>
      </c>
      <c r="L14885" s="43">
        <v>8.1251053074978934</v>
      </c>
      <c r="M14885" s="43">
        <v>11.500854700854703</v>
      </c>
      <c r="N14885" s="43">
        <v>5.2803347280334725</v>
      </c>
      <c r="O14885" s="43">
        <v>4.7367875647668392</v>
      </c>
      <c r="P14885" s="436"/>
      <c r="Q14885" s="436"/>
      <c r="R14885" s="436">
        <v>4</v>
      </c>
    </row>
    <row r="14886" spans="1:18" ht="48">
      <c r="A14886" s="432">
        <v>268</v>
      </c>
      <c r="B14886" s="429" t="s">
        <v>26744</v>
      </c>
      <c r="C14886" s="433" t="s">
        <v>26745</v>
      </c>
      <c r="D14886" s="434">
        <v>194.7</v>
      </c>
      <c r="E14886" s="434">
        <v>128.37</v>
      </c>
      <c r="F14886" s="434">
        <v>41.06</v>
      </c>
      <c r="G14886" s="434">
        <v>25.27</v>
      </c>
      <c r="H14886" s="435">
        <v>1890.8</v>
      </c>
      <c r="I14886" s="435">
        <v>1476.23</v>
      </c>
      <c r="J14886" s="435">
        <v>222.93</v>
      </c>
      <c r="K14886" s="435">
        <v>191.64</v>
      </c>
      <c r="L14886" s="43">
        <v>9.7113507960965588</v>
      </c>
      <c r="M14886" s="43">
        <v>11.499805250447924</v>
      </c>
      <c r="N14886" s="43">
        <v>5.4293716512420849</v>
      </c>
      <c r="O14886" s="43">
        <v>7.5836960823110404</v>
      </c>
      <c r="P14886" s="436"/>
      <c r="Q14886" s="436"/>
      <c r="R14886" s="436">
        <v>4</v>
      </c>
    </row>
    <row r="14887" spans="1:18" ht="24">
      <c r="A14887" s="432">
        <v>269</v>
      </c>
      <c r="B14887" s="429" t="s">
        <v>26746</v>
      </c>
      <c r="C14887" s="433" t="s">
        <v>26747</v>
      </c>
      <c r="D14887" s="434">
        <v>2251.8200000000002</v>
      </c>
      <c r="E14887" s="434">
        <v>1229.43</v>
      </c>
      <c r="F14887" s="434">
        <v>711.9</v>
      </c>
      <c r="G14887" s="434">
        <v>310.49</v>
      </c>
      <c r="H14887" s="435">
        <v>19884.599999999999</v>
      </c>
      <c r="I14887" s="435">
        <v>14138.98</v>
      </c>
      <c r="J14887" s="435">
        <v>4159.8100000000004</v>
      </c>
      <c r="K14887" s="435">
        <v>1585.81</v>
      </c>
      <c r="L14887" s="43">
        <v>8.8304571413345645</v>
      </c>
      <c r="M14887" s="43">
        <v>11.500435161009573</v>
      </c>
      <c r="N14887" s="43">
        <v>5.8432504565247934</v>
      </c>
      <c r="O14887" s="43">
        <v>5.1074430738510097</v>
      </c>
      <c r="P14887" s="436"/>
      <c r="Q14887" s="436"/>
      <c r="R14887" s="436">
        <v>4</v>
      </c>
    </row>
    <row r="14888" spans="1:18" ht="24">
      <c r="A14888" s="432">
        <v>270</v>
      </c>
      <c r="B14888" s="429" t="s">
        <v>26748</v>
      </c>
      <c r="C14888" s="433" t="s">
        <v>26749</v>
      </c>
      <c r="D14888" s="434">
        <v>329.06</v>
      </c>
      <c r="E14888" s="434">
        <v>155.12</v>
      </c>
      <c r="F14888" s="434">
        <v>109.32</v>
      </c>
      <c r="G14888" s="434">
        <v>64.62</v>
      </c>
      <c r="H14888" s="435">
        <v>2730.96</v>
      </c>
      <c r="I14888" s="435">
        <v>1783.89</v>
      </c>
      <c r="J14888" s="435">
        <v>638.87</v>
      </c>
      <c r="K14888" s="435">
        <v>308.2</v>
      </c>
      <c r="L14888" s="43">
        <v>8.2992767276484525</v>
      </c>
      <c r="M14888" s="43">
        <v>11.500064466219701</v>
      </c>
      <c r="N14888" s="43">
        <v>5.844035858031468</v>
      </c>
      <c r="O14888" s="43">
        <v>4.7694212318167741</v>
      </c>
      <c r="P14888" s="436"/>
      <c r="Q14888" s="436"/>
      <c r="R14888" s="436">
        <v>4</v>
      </c>
    </row>
    <row r="14889" spans="1:18" ht="12.75" customHeight="1">
      <c r="A14889" s="628" t="s">
        <v>26750</v>
      </c>
      <c r="B14889" s="629"/>
      <c r="C14889" s="629"/>
      <c r="D14889" s="629"/>
      <c r="E14889" s="629"/>
      <c r="F14889" s="629"/>
      <c r="G14889" s="629"/>
      <c r="H14889" s="629"/>
      <c r="I14889" s="629"/>
      <c r="J14889" s="629"/>
      <c r="K14889" s="629"/>
      <c r="L14889" s="629"/>
      <c r="M14889" s="629"/>
      <c r="N14889" s="629"/>
      <c r="O14889" s="629"/>
      <c r="P14889" s="629"/>
      <c r="Q14889" s="629"/>
      <c r="R14889" s="629"/>
    </row>
    <row r="14890" spans="1:18" ht="12.75" customHeight="1">
      <c r="A14890" s="628" t="s">
        <v>26751</v>
      </c>
      <c r="B14890" s="629"/>
      <c r="C14890" s="629"/>
      <c r="D14890" s="629"/>
      <c r="E14890" s="629"/>
      <c r="F14890" s="629"/>
      <c r="G14890" s="629"/>
      <c r="H14890" s="629"/>
      <c r="I14890" s="629"/>
      <c r="J14890" s="629"/>
      <c r="K14890" s="629"/>
      <c r="L14890" s="629"/>
      <c r="M14890" s="629"/>
      <c r="N14890" s="629"/>
      <c r="O14890" s="629"/>
      <c r="P14890" s="629"/>
      <c r="Q14890" s="629"/>
      <c r="R14890" s="629"/>
    </row>
    <row r="14891" spans="1:18" ht="24">
      <c r="A14891" s="432">
        <v>271</v>
      </c>
      <c r="B14891" s="429" t="s">
        <v>26752</v>
      </c>
      <c r="C14891" s="433" t="s">
        <v>26753</v>
      </c>
      <c r="D14891" s="434">
        <v>1536.68</v>
      </c>
      <c r="E14891" s="434">
        <v>1082.98</v>
      </c>
      <c r="F14891" s="434">
        <v>199.99</v>
      </c>
      <c r="G14891" s="434">
        <v>253.71</v>
      </c>
      <c r="H14891" s="435">
        <v>14895</v>
      </c>
      <c r="I14891" s="435">
        <v>12454.69</v>
      </c>
      <c r="J14891" s="435">
        <v>1130.6099999999999</v>
      </c>
      <c r="K14891" s="435">
        <v>1309.7</v>
      </c>
      <c r="L14891" s="43">
        <v>9.6929744644298097</v>
      </c>
      <c r="M14891" s="43">
        <v>11.500387818796284</v>
      </c>
      <c r="N14891" s="43">
        <v>5.6533326666333306</v>
      </c>
      <c r="O14891" s="43">
        <v>5.1621930550628674</v>
      </c>
      <c r="P14891" s="436"/>
      <c r="Q14891" s="436"/>
      <c r="R14891" s="436">
        <v>1</v>
      </c>
    </row>
    <row r="14892" spans="1:18" ht="24">
      <c r="A14892" s="432">
        <v>272</v>
      </c>
      <c r="B14892" s="429" t="s">
        <v>26754</v>
      </c>
      <c r="C14892" s="433" t="s">
        <v>26755</v>
      </c>
      <c r="D14892" s="434">
        <v>2971.08</v>
      </c>
      <c r="E14892" s="434">
        <v>2182.29</v>
      </c>
      <c r="F14892" s="434">
        <v>306.72000000000003</v>
      </c>
      <c r="G14892" s="434">
        <v>482.07</v>
      </c>
      <c r="H14892" s="435">
        <v>29233.79</v>
      </c>
      <c r="I14892" s="435">
        <v>25097.27</v>
      </c>
      <c r="J14892" s="435">
        <v>1705.4</v>
      </c>
      <c r="K14892" s="435">
        <v>2431.12</v>
      </c>
      <c r="L14892" s="43">
        <v>9.8394489545889048</v>
      </c>
      <c r="M14892" s="43">
        <v>11.500428449014567</v>
      </c>
      <c r="N14892" s="43">
        <v>5.5601199791340639</v>
      </c>
      <c r="O14892" s="43">
        <v>5.0430850291451446</v>
      </c>
      <c r="P14892" s="436"/>
      <c r="Q14892" s="436"/>
      <c r="R14892" s="436">
        <v>1</v>
      </c>
    </row>
    <row r="14893" spans="1:18" ht="36">
      <c r="A14893" s="432">
        <v>273</v>
      </c>
      <c r="B14893" s="429" t="s">
        <v>26756</v>
      </c>
      <c r="C14893" s="433" t="s">
        <v>26757</v>
      </c>
      <c r="D14893" s="434">
        <v>280.89999999999998</v>
      </c>
      <c r="E14893" s="434">
        <v>212.01</v>
      </c>
      <c r="F14893" s="434">
        <v>18.149999999999999</v>
      </c>
      <c r="G14893" s="434">
        <v>50.74</v>
      </c>
      <c r="H14893" s="435">
        <v>2800.89</v>
      </c>
      <c r="I14893" s="435">
        <v>2438.12</v>
      </c>
      <c r="J14893" s="435">
        <v>98.33</v>
      </c>
      <c r="K14893" s="435">
        <v>264.44</v>
      </c>
      <c r="L14893" s="43">
        <v>9.9711285154859386</v>
      </c>
      <c r="M14893" s="43">
        <v>11.500023583793217</v>
      </c>
      <c r="N14893" s="43">
        <v>5.4176308539944911</v>
      </c>
      <c r="O14893" s="43">
        <v>5.2116673236105635</v>
      </c>
      <c r="P14893" s="436"/>
      <c r="Q14893" s="436"/>
      <c r="R14893" s="436">
        <v>1</v>
      </c>
    </row>
    <row r="14894" spans="1:18" ht="24">
      <c r="A14894" s="432">
        <v>274</v>
      </c>
      <c r="B14894" s="429" t="s">
        <v>26758</v>
      </c>
      <c r="C14894" s="433" t="s">
        <v>26759</v>
      </c>
      <c r="D14894" s="434">
        <v>1798.34</v>
      </c>
      <c r="E14894" s="434">
        <v>1237.02</v>
      </c>
      <c r="F14894" s="434">
        <v>244.4</v>
      </c>
      <c r="G14894" s="434">
        <v>316.92</v>
      </c>
      <c r="H14894" s="435">
        <v>17190.099999999999</v>
      </c>
      <c r="I14894" s="435">
        <v>14226.26</v>
      </c>
      <c r="J14894" s="435">
        <v>1370.85</v>
      </c>
      <c r="K14894" s="435">
        <v>1592.99</v>
      </c>
      <c r="L14894" s="43">
        <v>9.55887095877309</v>
      </c>
      <c r="M14894" s="43">
        <v>11.500428449014567</v>
      </c>
      <c r="N14894" s="43">
        <v>5.6090425531914887</v>
      </c>
      <c r="O14894" s="43">
        <v>5.0264735579957085</v>
      </c>
      <c r="P14894" s="436"/>
      <c r="Q14894" s="436"/>
      <c r="R14894" s="436">
        <v>1</v>
      </c>
    </row>
    <row r="14895" spans="1:18" ht="24">
      <c r="A14895" s="432">
        <v>275</v>
      </c>
      <c r="B14895" s="429" t="s">
        <v>26760</v>
      </c>
      <c r="C14895" s="433" t="s">
        <v>26761</v>
      </c>
      <c r="D14895" s="434">
        <v>3336.85</v>
      </c>
      <c r="E14895" s="434">
        <v>2404.02</v>
      </c>
      <c r="F14895" s="434">
        <v>382.52</v>
      </c>
      <c r="G14895" s="434">
        <v>550.30999999999995</v>
      </c>
      <c r="H14895" s="435">
        <v>32526.880000000001</v>
      </c>
      <c r="I14895" s="435">
        <v>27647.26</v>
      </c>
      <c r="J14895" s="435">
        <v>2118.27</v>
      </c>
      <c r="K14895" s="435">
        <v>2761.35</v>
      </c>
      <c r="L14895" s="43">
        <v>9.7477800920029374</v>
      </c>
      <c r="M14895" s="43">
        <v>11.500428449014567</v>
      </c>
      <c r="N14895" s="43">
        <v>5.5376712328767121</v>
      </c>
      <c r="O14895" s="43">
        <v>5.017808144500373</v>
      </c>
      <c r="P14895" s="436"/>
      <c r="Q14895" s="436"/>
      <c r="R14895" s="436">
        <v>1</v>
      </c>
    </row>
    <row r="14896" spans="1:18" ht="36">
      <c r="A14896" s="432">
        <v>276</v>
      </c>
      <c r="B14896" s="429" t="s">
        <v>26762</v>
      </c>
      <c r="C14896" s="433" t="s">
        <v>26763</v>
      </c>
      <c r="D14896" s="434">
        <v>299.18</v>
      </c>
      <c r="E14896" s="434">
        <v>229.47</v>
      </c>
      <c r="F14896" s="434">
        <v>23.32</v>
      </c>
      <c r="G14896" s="434">
        <v>46.39</v>
      </c>
      <c r="H14896" s="435">
        <v>3013.52</v>
      </c>
      <c r="I14896" s="435">
        <v>2638.93</v>
      </c>
      <c r="J14896" s="435">
        <v>126.36</v>
      </c>
      <c r="K14896" s="435">
        <v>248.23</v>
      </c>
      <c r="L14896" s="43">
        <v>10.072598435724313</v>
      </c>
      <c r="M14896" s="43">
        <v>11.500108946703271</v>
      </c>
      <c r="N14896" s="43">
        <v>5.4185248713550598</v>
      </c>
      <c r="O14896" s="43">
        <v>5.3509377020909676</v>
      </c>
      <c r="P14896" s="436"/>
      <c r="Q14896" s="436"/>
      <c r="R14896" s="436">
        <v>1</v>
      </c>
    </row>
    <row r="14897" spans="1:18" ht="24">
      <c r="A14897" s="432">
        <v>277</v>
      </c>
      <c r="B14897" s="429" t="s">
        <v>26764</v>
      </c>
      <c r="C14897" s="433" t="s">
        <v>26765</v>
      </c>
      <c r="D14897" s="434">
        <v>3184.57</v>
      </c>
      <c r="E14897" s="434">
        <v>2366.94</v>
      </c>
      <c r="F14897" s="434">
        <v>353.99</v>
      </c>
      <c r="G14897" s="434">
        <v>463.64</v>
      </c>
      <c r="H14897" s="435">
        <v>31668.82</v>
      </c>
      <c r="I14897" s="435">
        <v>27220.84</v>
      </c>
      <c r="J14897" s="435">
        <v>1963.72</v>
      </c>
      <c r="K14897" s="435">
        <v>2484.2600000000002</v>
      </c>
      <c r="L14897" s="43">
        <v>9.9444571794622192</v>
      </c>
      <c r="M14897" s="43">
        <v>11.500435161009573</v>
      </c>
      <c r="N14897" s="43">
        <v>5.5473883443035117</v>
      </c>
      <c r="O14897" s="43">
        <v>5.3581658183073078</v>
      </c>
      <c r="P14897" s="436"/>
      <c r="Q14897" s="436"/>
      <c r="R14897" s="436">
        <v>1</v>
      </c>
    </row>
    <row r="14898" spans="1:18" ht="24">
      <c r="A14898" s="432">
        <v>278</v>
      </c>
      <c r="B14898" s="429" t="s">
        <v>26766</v>
      </c>
      <c r="C14898" s="433" t="s">
        <v>26767</v>
      </c>
      <c r="D14898" s="434">
        <v>6197.79</v>
      </c>
      <c r="E14898" s="434">
        <v>4837.29</v>
      </c>
      <c r="F14898" s="434">
        <v>556.49</v>
      </c>
      <c r="G14898" s="434">
        <v>804.01</v>
      </c>
      <c r="H14898" s="435">
        <v>63006.64</v>
      </c>
      <c r="I14898" s="435">
        <v>55630.94</v>
      </c>
      <c r="J14898" s="435">
        <v>3051.65</v>
      </c>
      <c r="K14898" s="435">
        <v>4324.05</v>
      </c>
      <c r="L14898" s="43">
        <v>10.165984972062622</v>
      </c>
      <c r="M14898" s="43">
        <v>11.500435161009575</v>
      </c>
      <c r="N14898" s="43">
        <v>5.4837463386583769</v>
      </c>
      <c r="O14898" s="43">
        <v>5.3781047499409214</v>
      </c>
      <c r="P14898" s="436"/>
      <c r="Q14898" s="436"/>
      <c r="R14898" s="436">
        <v>1</v>
      </c>
    </row>
    <row r="14899" spans="1:18" ht="36">
      <c r="A14899" s="432">
        <v>279</v>
      </c>
      <c r="B14899" s="429" t="s">
        <v>26768</v>
      </c>
      <c r="C14899" s="433" t="s">
        <v>26769</v>
      </c>
      <c r="D14899" s="434">
        <v>591.08000000000004</v>
      </c>
      <c r="E14899" s="434">
        <v>500.96</v>
      </c>
      <c r="F14899" s="434">
        <v>33.81</v>
      </c>
      <c r="G14899" s="434">
        <v>56.31</v>
      </c>
      <c r="H14899" s="435">
        <v>6269.45</v>
      </c>
      <c r="I14899" s="435">
        <v>5761.3</v>
      </c>
      <c r="J14899" s="435">
        <v>183.05</v>
      </c>
      <c r="K14899" s="435">
        <v>325.10000000000002</v>
      </c>
      <c r="L14899" s="43">
        <v>10.606770657102253</v>
      </c>
      <c r="M14899" s="43">
        <v>11.500519003513256</v>
      </c>
      <c r="N14899" s="43">
        <v>5.4140786749482404</v>
      </c>
      <c r="O14899" s="43">
        <v>5.7733972651394074</v>
      </c>
      <c r="P14899" s="436"/>
      <c r="Q14899" s="436"/>
      <c r="R14899" s="436">
        <v>1</v>
      </c>
    </row>
    <row r="14900" spans="1:18" ht="24">
      <c r="A14900" s="432">
        <v>280</v>
      </c>
      <c r="B14900" s="429" t="s">
        <v>26770</v>
      </c>
      <c r="C14900" s="433" t="s">
        <v>26771</v>
      </c>
      <c r="D14900" s="434">
        <v>5702.71</v>
      </c>
      <c r="E14900" s="434">
        <v>4367.6000000000004</v>
      </c>
      <c r="F14900" s="434">
        <v>361.84</v>
      </c>
      <c r="G14900" s="434">
        <v>973.27</v>
      </c>
      <c r="H14900" s="435">
        <v>56625.83</v>
      </c>
      <c r="I14900" s="435">
        <v>50227.4</v>
      </c>
      <c r="J14900" s="435">
        <v>2006.17</v>
      </c>
      <c r="K14900" s="435">
        <v>4392.26</v>
      </c>
      <c r="L14900" s="43">
        <v>9.929635208523667</v>
      </c>
      <c r="M14900" s="43">
        <v>11.5</v>
      </c>
      <c r="N14900" s="43">
        <v>5.5443566217112545</v>
      </c>
      <c r="O14900" s="43">
        <v>4.5128895373329092</v>
      </c>
      <c r="P14900" s="436"/>
      <c r="Q14900" s="436"/>
      <c r="R14900" s="436">
        <v>1</v>
      </c>
    </row>
    <row r="14901" spans="1:18" ht="24">
      <c r="A14901" s="432">
        <v>281</v>
      </c>
      <c r="B14901" s="429" t="s">
        <v>26772</v>
      </c>
      <c r="C14901" s="433" t="s">
        <v>26773</v>
      </c>
      <c r="D14901" s="434">
        <v>7046.82</v>
      </c>
      <c r="E14901" s="434">
        <v>5722.02</v>
      </c>
      <c r="F14901" s="434">
        <v>576.57000000000005</v>
      </c>
      <c r="G14901" s="434">
        <v>748.23</v>
      </c>
      <c r="H14901" s="435">
        <v>73181.8</v>
      </c>
      <c r="I14901" s="435">
        <v>65805.72</v>
      </c>
      <c r="J14901" s="435">
        <v>3161.19</v>
      </c>
      <c r="K14901" s="435">
        <v>4214.8900000000003</v>
      </c>
      <c r="L14901" s="43">
        <v>10.385081497753598</v>
      </c>
      <c r="M14901" s="43">
        <v>11.500435161009573</v>
      </c>
      <c r="N14901" s="43">
        <v>5.4827514438836564</v>
      </c>
      <c r="O14901" s="43">
        <v>5.6331475615786593</v>
      </c>
      <c r="P14901" s="436"/>
      <c r="Q14901" s="436"/>
      <c r="R14901" s="436">
        <v>1</v>
      </c>
    </row>
    <row r="14902" spans="1:18" ht="36">
      <c r="A14902" s="432">
        <v>282</v>
      </c>
      <c r="B14902" s="429" t="s">
        <v>26774</v>
      </c>
      <c r="C14902" s="433" t="s">
        <v>26775</v>
      </c>
      <c r="D14902" s="434">
        <v>694.59</v>
      </c>
      <c r="E14902" s="434">
        <v>587.30999999999995</v>
      </c>
      <c r="F14902" s="434">
        <v>38.94</v>
      </c>
      <c r="G14902" s="434">
        <v>68.34</v>
      </c>
      <c r="H14902" s="435">
        <v>7392.96</v>
      </c>
      <c r="I14902" s="435">
        <v>6754.09</v>
      </c>
      <c r="J14902" s="435">
        <v>210.92</v>
      </c>
      <c r="K14902" s="435">
        <v>427.95</v>
      </c>
      <c r="L14902" s="43">
        <v>10.643631494838681</v>
      </c>
      <c r="M14902" s="43">
        <v>11.500042566957825</v>
      </c>
      <c r="N14902" s="43">
        <v>5.416538263995891</v>
      </c>
      <c r="O14902" s="43">
        <v>6.2620719929762947</v>
      </c>
      <c r="P14902" s="436"/>
      <c r="Q14902" s="436"/>
      <c r="R14902" s="436">
        <v>1</v>
      </c>
    </row>
    <row r="14903" spans="1:18" ht="12.75" customHeight="1">
      <c r="A14903" s="628" t="s">
        <v>26776</v>
      </c>
      <c r="B14903" s="629"/>
      <c r="C14903" s="629"/>
      <c r="D14903" s="629"/>
      <c r="E14903" s="629"/>
      <c r="F14903" s="629"/>
      <c r="G14903" s="629"/>
      <c r="H14903" s="629"/>
      <c r="I14903" s="629"/>
      <c r="J14903" s="629"/>
      <c r="K14903" s="629"/>
      <c r="L14903" s="629"/>
      <c r="M14903" s="629"/>
      <c r="N14903" s="629"/>
      <c r="O14903" s="629"/>
      <c r="P14903" s="629"/>
      <c r="Q14903" s="629"/>
      <c r="R14903" s="629"/>
    </row>
    <row r="14904" spans="1:18" ht="24">
      <c r="A14904" s="432">
        <v>283</v>
      </c>
      <c r="B14904" s="429" t="s">
        <v>26777</v>
      </c>
      <c r="C14904" s="433" t="s">
        <v>26778</v>
      </c>
      <c r="D14904" s="434">
        <v>4696.49</v>
      </c>
      <c r="E14904" s="434">
        <v>3760.16</v>
      </c>
      <c r="F14904" s="434">
        <v>462.45</v>
      </c>
      <c r="G14904" s="434">
        <v>473.88</v>
      </c>
      <c r="H14904" s="435">
        <v>48920.77</v>
      </c>
      <c r="I14904" s="435">
        <v>43241.84</v>
      </c>
      <c r="J14904" s="435">
        <v>2542.9899999999998</v>
      </c>
      <c r="K14904" s="435">
        <v>3135.94</v>
      </c>
      <c r="L14904" s="43">
        <v>10.416453564257562</v>
      </c>
      <c r="M14904" s="43">
        <v>11.5</v>
      </c>
      <c r="N14904" s="43">
        <v>5.4989512379716725</v>
      </c>
      <c r="O14904" s="43">
        <v>6.6175825103401706</v>
      </c>
      <c r="P14904" s="436"/>
      <c r="Q14904" s="436"/>
      <c r="R14904" s="436">
        <v>2</v>
      </c>
    </row>
    <row r="14905" spans="1:18" ht="24">
      <c r="A14905" s="432">
        <v>284</v>
      </c>
      <c r="B14905" s="429" t="s">
        <v>26779</v>
      </c>
      <c r="C14905" s="433" t="s">
        <v>26780</v>
      </c>
      <c r="D14905" s="434">
        <v>8413.64</v>
      </c>
      <c r="E14905" s="434">
        <v>6963.68</v>
      </c>
      <c r="F14905" s="434">
        <v>725.4</v>
      </c>
      <c r="G14905" s="434">
        <v>724.56</v>
      </c>
      <c r="H14905" s="435">
        <v>88922.98</v>
      </c>
      <c r="I14905" s="435">
        <v>80082.320000000007</v>
      </c>
      <c r="J14905" s="435">
        <v>3966.27</v>
      </c>
      <c r="K14905" s="435">
        <v>4874.3900000000003</v>
      </c>
      <c r="L14905" s="43">
        <v>10.56890715552365</v>
      </c>
      <c r="M14905" s="43">
        <v>11.5</v>
      </c>
      <c r="N14905" s="43">
        <v>5.4677005789909021</v>
      </c>
      <c r="O14905" s="43">
        <v>6.7273793750690087</v>
      </c>
      <c r="P14905" s="436"/>
      <c r="Q14905" s="436"/>
      <c r="R14905" s="436">
        <v>2</v>
      </c>
    </row>
    <row r="14906" spans="1:18" ht="36">
      <c r="A14906" s="432">
        <v>285</v>
      </c>
      <c r="B14906" s="429" t="s">
        <v>26781</v>
      </c>
      <c r="C14906" s="433" t="s">
        <v>26782</v>
      </c>
      <c r="D14906" s="434">
        <v>715.4</v>
      </c>
      <c r="E14906" s="434">
        <v>522.55999999999995</v>
      </c>
      <c r="F14906" s="434">
        <v>34.22</v>
      </c>
      <c r="G14906" s="434">
        <v>158.62</v>
      </c>
      <c r="H14906" s="435">
        <v>6909.48</v>
      </c>
      <c r="I14906" s="435">
        <v>6009.44</v>
      </c>
      <c r="J14906" s="435">
        <v>184.81</v>
      </c>
      <c r="K14906" s="435">
        <v>715.23</v>
      </c>
      <c r="L14906" s="43">
        <v>9.6582051998881742</v>
      </c>
      <c r="M14906" s="43">
        <v>11.5</v>
      </c>
      <c r="N14906" s="43">
        <v>5.4006428988895383</v>
      </c>
      <c r="O14906" s="43">
        <v>4.5090783003404367</v>
      </c>
      <c r="P14906" s="436"/>
      <c r="Q14906" s="436"/>
      <c r="R14906" s="436">
        <v>2</v>
      </c>
    </row>
    <row r="14907" spans="1:18" ht="24">
      <c r="A14907" s="432">
        <v>286</v>
      </c>
      <c r="B14907" s="429" t="s">
        <v>26783</v>
      </c>
      <c r="C14907" s="433" t="s">
        <v>26784</v>
      </c>
      <c r="D14907" s="434">
        <v>6033.34</v>
      </c>
      <c r="E14907" s="434">
        <v>4498.5600000000004</v>
      </c>
      <c r="F14907" s="434">
        <v>926.55</v>
      </c>
      <c r="G14907" s="434">
        <v>608.23</v>
      </c>
      <c r="H14907" s="435">
        <v>60894.18</v>
      </c>
      <c r="I14907" s="435">
        <v>51733.440000000002</v>
      </c>
      <c r="J14907" s="435">
        <v>5167.6400000000003</v>
      </c>
      <c r="K14907" s="435">
        <v>3993.1</v>
      </c>
      <c r="L14907" s="43">
        <v>10.092946858622255</v>
      </c>
      <c r="M14907" s="43">
        <v>11.5</v>
      </c>
      <c r="N14907" s="43">
        <v>5.577292105121149</v>
      </c>
      <c r="O14907" s="43">
        <v>6.565115170248097</v>
      </c>
      <c r="P14907" s="436"/>
      <c r="Q14907" s="436"/>
      <c r="R14907" s="436">
        <v>2</v>
      </c>
    </row>
    <row r="14908" spans="1:18" ht="24">
      <c r="A14908" s="432">
        <v>287</v>
      </c>
      <c r="B14908" s="429" t="s">
        <v>26785</v>
      </c>
      <c r="C14908" s="433" t="s">
        <v>26786</v>
      </c>
      <c r="D14908" s="434">
        <v>10187.280000000001</v>
      </c>
      <c r="E14908" s="434">
        <v>8008.8</v>
      </c>
      <c r="F14908" s="434">
        <v>1228.06</v>
      </c>
      <c r="G14908" s="434">
        <v>950.42</v>
      </c>
      <c r="H14908" s="435">
        <v>105204.11</v>
      </c>
      <c r="I14908" s="435">
        <v>92101.2</v>
      </c>
      <c r="J14908" s="435">
        <v>6800.24</v>
      </c>
      <c r="K14908" s="435">
        <v>6302.67</v>
      </c>
      <c r="L14908" s="43">
        <v>10.327006816343518</v>
      </c>
      <c r="M14908" s="43">
        <v>11.5</v>
      </c>
      <c r="N14908" s="43">
        <v>5.5373841668973833</v>
      </c>
      <c r="O14908" s="43">
        <v>6.6314576713453004</v>
      </c>
      <c r="P14908" s="436"/>
      <c r="Q14908" s="436"/>
      <c r="R14908" s="436">
        <v>2</v>
      </c>
    </row>
    <row r="14909" spans="1:18" ht="36">
      <c r="A14909" s="432">
        <v>288</v>
      </c>
      <c r="B14909" s="429" t="s">
        <v>26787</v>
      </c>
      <c r="C14909" s="433" t="s">
        <v>26788</v>
      </c>
      <c r="D14909" s="434">
        <v>705.08</v>
      </c>
      <c r="E14909" s="434">
        <v>611.16999999999996</v>
      </c>
      <c r="F14909" s="434">
        <v>41.7</v>
      </c>
      <c r="G14909" s="434">
        <v>52.21</v>
      </c>
      <c r="H14909" s="435">
        <v>7585.84</v>
      </c>
      <c r="I14909" s="435">
        <v>7028.43</v>
      </c>
      <c r="J14909" s="435">
        <v>225.65</v>
      </c>
      <c r="K14909" s="435">
        <v>331.76</v>
      </c>
      <c r="L14909" s="43">
        <v>10.758835876779939</v>
      </c>
      <c r="M14909" s="43">
        <v>11.499959094850862</v>
      </c>
      <c r="N14909" s="43">
        <v>5.4112709832134289</v>
      </c>
      <c r="O14909" s="43">
        <v>6.3543382493775136</v>
      </c>
      <c r="P14909" s="436"/>
      <c r="Q14909" s="436"/>
      <c r="R14909" s="436">
        <v>2</v>
      </c>
    </row>
    <row r="14910" spans="1:18" ht="24">
      <c r="A14910" s="432">
        <v>289</v>
      </c>
      <c r="B14910" s="429" t="s">
        <v>26789</v>
      </c>
      <c r="C14910" s="433" t="s">
        <v>26790</v>
      </c>
      <c r="D14910" s="434">
        <v>7721.27</v>
      </c>
      <c r="E14910" s="434">
        <v>5668.64</v>
      </c>
      <c r="F14910" s="434">
        <v>1210.1400000000001</v>
      </c>
      <c r="G14910" s="434">
        <v>842.49</v>
      </c>
      <c r="H14910" s="435">
        <v>77595.55</v>
      </c>
      <c r="I14910" s="435">
        <v>65189.36</v>
      </c>
      <c r="J14910" s="435">
        <v>6708.8</v>
      </c>
      <c r="K14910" s="435">
        <v>5697.39</v>
      </c>
      <c r="L14910" s="43">
        <v>10.049583811989478</v>
      </c>
      <c r="M14910" s="43">
        <v>11.5</v>
      </c>
      <c r="N14910" s="43">
        <v>5.5438213760391353</v>
      </c>
      <c r="O14910" s="43">
        <v>6.7625609799522843</v>
      </c>
      <c r="P14910" s="436"/>
      <c r="Q14910" s="436"/>
      <c r="R14910" s="436">
        <v>2</v>
      </c>
    </row>
    <row r="14911" spans="1:18" ht="24">
      <c r="A14911" s="432">
        <v>290</v>
      </c>
      <c r="B14911" s="429" t="s">
        <v>26791</v>
      </c>
      <c r="C14911" s="433" t="s">
        <v>26792</v>
      </c>
      <c r="D14911" s="434">
        <v>13357.6</v>
      </c>
      <c r="E14911" s="434">
        <v>10394.4</v>
      </c>
      <c r="F14911" s="434">
        <v>1778.03</v>
      </c>
      <c r="G14911" s="434">
        <v>1185.17</v>
      </c>
      <c r="H14911" s="435">
        <v>138150.68</v>
      </c>
      <c r="I14911" s="435">
        <v>119535.6</v>
      </c>
      <c r="J14911" s="435">
        <v>9791.1200000000008</v>
      </c>
      <c r="K14911" s="435">
        <v>8823.9599999999991</v>
      </c>
      <c r="L14911" s="43">
        <v>10.342477690603102</v>
      </c>
      <c r="M14911" s="43">
        <v>11.500000000000002</v>
      </c>
      <c r="N14911" s="43">
        <v>5.5067237335703005</v>
      </c>
      <c r="O14911" s="43">
        <v>7.4453116430554251</v>
      </c>
      <c r="P14911" s="436"/>
      <c r="Q14911" s="436"/>
      <c r="R14911" s="436">
        <v>2</v>
      </c>
    </row>
    <row r="14912" spans="1:18" ht="36">
      <c r="A14912" s="432">
        <v>291</v>
      </c>
      <c r="B14912" s="429" t="s">
        <v>26793</v>
      </c>
      <c r="C14912" s="433" t="s">
        <v>26794</v>
      </c>
      <c r="D14912" s="434">
        <v>932.33</v>
      </c>
      <c r="E14912" s="434">
        <v>780.43</v>
      </c>
      <c r="F14912" s="434">
        <v>86</v>
      </c>
      <c r="G14912" s="434">
        <v>65.900000000000006</v>
      </c>
      <c r="H14912" s="435">
        <v>9894.07</v>
      </c>
      <c r="I14912" s="435">
        <v>8974.9699999999993</v>
      </c>
      <c r="J14912" s="435">
        <v>465.4</v>
      </c>
      <c r="K14912" s="435">
        <v>453.7</v>
      </c>
      <c r="L14912" s="43">
        <v>10.612197397917045</v>
      </c>
      <c r="M14912" s="43">
        <v>11.500032033622491</v>
      </c>
      <c r="N14912" s="43">
        <v>5.4116279069767437</v>
      </c>
      <c r="O14912" s="43">
        <v>6.8846737481031859</v>
      </c>
      <c r="P14912" s="436"/>
      <c r="Q14912" s="436"/>
      <c r="R14912" s="436">
        <v>2</v>
      </c>
    </row>
    <row r="14913" spans="1:18" ht="24">
      <c r="A14913" s="432">
        <v>292</v>
      </c>
      <c r="B14913" s="429" t="s">
        <v>26795</v>
      </c>
      <c r="C14913" s="433" t="s">
        <v>26796</v>
      </c>
      <c r="D14913" s="434">
        <v>6963.74</v>
      </c>
      <c r="E14913" s="434">
        <v>5354.34</v>
      </c>
      <c r="F14913" s="434">
        <v>855.45</v>
      </c>
      <c r="G14913" s="434">
        <v>753.95</v>
      </c>
      <c r="H14913" s="435">
        <v>71584.06</v>
      </c>
      <c r="I14913" s="435">
        <v>61577.24</v>
      </c>
      <c r="J14913" s="435">
        <v>4754.34</v>
      </c>
      <c r="K14913" s="435">
        <v>5252.48</v>
      </c>
      <c r="L14913" s="43">
        <v>10.279542314905497</v>
      </c>
      <c r="M14913" s="43">
        <v>11.500435161009573</v>
      </c>
      <c r="N14913" s="43">
        <v>5.5577064702788004</v>
      </c>
      <c r="O14913" s="43">
        <v>6.9666158233304589</v>
      </c>
      <c r="P14913" s="436"/>
      <c r="Q14913" s="436"/>
      <c r="R14913" s="436">
        <v>2</v>
      </c>
    </row>
    <row r="14914" spans="1:18" ht="24">
      <c r="A14914" s="432">
        <v>293</v>
      </c>
      <c r="B14914" s="429" t="s">
        <v>26797</v>
      </c>
      <c r="C14914" s="433" t="s">
        <v>26798</v>
      </c>
      <c r="D14914" s="434">
        <v>12212.27</v>
      </c>
      <c r="E14914" s="434">
        <v>9791.1299999999992</v>
      </c>
      <c r="F14914" s="434">
        <v>1236.45</v>
      </c>
      <c r="G14914" s="434">
        <v>1184.69</v>
      </c>
      <c r="H14914" s="435">
        <v>128046.47</v>
      </c>
      <c r="I14914" s="435">
        <v>112602.19</v>
      </c>
      <c r="J14914" s="435">
        <v>6794.99</v>
      </c>
      <c r="K14914" s="435">
        <v>8649.2900000000009</v>
      </c>
      <c r="L14914" s="43">
        <v>10.485067067793294</v>
      </c>
      <c r="M14914" s="43">
        <v>11.500428449014569</v>
      </c>
      <c r="N14914" s="43">
        <v>5.4955639128149132</v>
      </c>
      <c r="O14914" s="43">
        <v>7.3008888401185121</v>
      </c>
      <c r="P14914" s="436"/>
      <c r="Q14914" s="436"/>
      <c r="R14914" s="436">
        <v>2</v>
      </c>
    </row>
    <row r="14915" spans="1:18" ht="36">
      <c r="A14915" s="432">
        <v>294</v>
      </c>
      <c r="B14915" s="429" t="s">
        <v>26799</v>
      </c>
      <c r="C14915" s="433" t="s">
        <v>26800</v>
      </c>
      <c r="D14915" s="434">
        <v>807.64</v>
      </c>
      <c r="E14915" s="434">
        <v>726.17</v>
      </c>
      <c r="F14915" s="434">
        <v>34.11</v>
      </c>
      <c r="G14915" s="434">
        <v>47.36</v>
      </c>
      <c r="H14915" s="435">
        <v>8869.15</v>
      </c>
      <c r="I14915" s="435">
        <v>8351.25</v>
      </c>
      <c r="J14915" s="435">
        <v>184.33</v>
      </c>
      <c r="K14915" s="435">
        <v>333.57</v>
      </c>
      <c r="L14915" s="43">
        <v>10.981563567926303</v>
      </c>
      <c r="M14915" s="43">
        <v>11.50040624096286</v>
      </c>
      <c r="N14915" s="43">
        <v>5.4039871005570221</v>
      </c>
      <c r="O14915" s="43">
        <v>7.0432854729729728</v>
      </c>
      <c r="P14915" s="436"/>
      <c r="Q14915" s="436"/>
      <c r="R14915" s="436">
        <v>2</v>
      </c>
    </row>
    <row r="14916" spans="1:18" ht="12.75" customHeight="1">
      <c r="A14916" s="628" t="s">
        <v>26801</v>
      </c>
      <c r="B14916" s="629"/>
      <c r="C14916" s="629"/>
      <c r="D14916" s="629"/>
      <c r="E14916" s="629"/>
      <c r="F14916" s="629"/>
      <c r="G14916" s="629"/>
      <c r="H14916" s="629"/>
      <c r="I14916" s="629"/>
      <c r="J14916" s="629"/>
      <c r="K14916" s="629"/>
      <c r="L14916" s="629"/>
      <c r="M14916" s="629"/>
      <c r="N14916" s="629"/>
      <c r="O14916" s="629"/>
      <c r="P14916" s="629"/>
      <c r="Q14916" s="629"/>
      <c r="R14916" s="629"/>
    </row>
    <row r="14917" spans="1:18" ht="24">
      <c r="A14917" s="432">
        <v>295</v>
      </c>
      <c r="B14917" s="429" t="s">
        <v>26802</v>
      </c>
      <c r="C14917" s="433" t="s">
        <v>26803</v>
      </c>
      <c r="D14917" s="434">
        <v>7279.88</v>
      </c>
      <c r="E14917" s="434">
        <v>5457.75</v>
      </c>
      <c r="F14917" s="434">
        <v>1066.1099999999999</v>
      </c>
      <c r="G14917" s="434">
        <v>756.02</v>
      </c>
      <c r="H14917" s="435">
        <v>73950.86</v>
      </c>
      <c r="I14917" s="435">
        <v>62766.5</v>
      </c>
      <c r="J14917" s="435">
        <v>5908.08</v>
      </c>
      <c r="K14917" s="435">
        <v>5276.28</v>
      </c>
      <c r="L14917" s="43">
        <v>10.158252608559481</v>
      </c>
      <c r="M14917" s="43">
        <v>11.500435161009573</v>
      </c>
      <c r="N14917" s="43">
        <v>5.5417170836030056</v>
      </c>
      <c r="O14917" s="43">
        <v>6.9790217190021426</v>
      </c>
      <c r="P14917" s="436"/>
      <c r="Q14917" s="436"/>
      <c r="R14917" s="436">
        <v>3</v>
      </c>
    </row>
    <row r="14918" spans="1:18" ht="24">
      <c r="A14918" s="432">
        <v>296</v>
      </c>
      <c r="B14918" s="429" t="s">
        <v>26804</v>
      </c>
      <c r="C14918" s="433" t="s">
        <v>26805</v>
      </c>
      <c r="D14918" s="434">
        <v>12783.65</v>
      </c>
      <c r="E14918" s="434">
        <v>10019.280000000001</v>
      </c>
      <c r="F14918" s="434">
        <v>1575.11</v>
      </c>
      <c r="G14918" s="434">
        <v>1189.26</v>
      </c>
      <c r="H14918" s="435">
        <v>132530.68</v>
      </c>
      <c r="I14918" s="435">
        <v>115226.08</v>
      </c>
      <c r="J14918" s="435">
        <v>8602.75</v>
      </c>
      <c r="K14918" s="435">
        <v>8701.85</v>
      </c>
      <c r="L14918" s="43">
        <v>10.367201855495106</v>
      </c>
      <c r="M14918" s="43">
        <v>11.500435161009573</v>
      </c>
      <c r="N14918" s="43">
        <v>5.4616820412542619</v>
      </c>
      <c r="O14918" s="43">
        <v>7.3170290769049666</v>
      </c>
      <c r="P14918" s="436"/>
      <c r="Q14918" s="436"/>
      <c r="R14918" s="436">
        <v>3</v>
      </c>
    </row>
    <row r="14919" spans="1:18" ht="36">
      <c r="A14919" s="432">
        <v>297</v>
      </c>
      <c r="B14919" s="429" t="s">
        <v>26806</v>
      </c>
      <c r="C14919" s="433" t="s">
        <v>26807</v>
      </c>
      <c r="D14919" s="434">
        <v>784.69</v>
      </c>
      <c r="E14919" s="434">
        <v>726.17</v>
      </c>
      <c r="F14919" s="434">
        <v>11.16</v>
      </c>
      <c r="G14919" s="434">
        <v>47.36</v>
      </c>
      <c r="H14919" s="435">
        <v>8744.4</v>
      </c>
      <c r="I14919" s="435">
        <v>8351.25</v>
      </c>
      <c r="J14919" s="435">
        <v>59.58</v>
      </c>
      <c r="K14919" s="435">
        <v>333.57</v>
      </c>
      <c r="L14919" s="43">
        <v>11.143763779326866</v>
      </c>
      <c r="M14919" s="43">
        <v>11.50040624096286</v>
      </c>
      <c r="N14919" s="43">
        <v>5.338709677419355</v>
      </c>
      <c r="O14919" s="43">
        <v>7.0432854729729728</v>
      </c>
      <c r="P14919" s="436"/>
      <c r="Q14919" s="436"/>
      <c r="R14919" s="436">
        <v>3</v>
      </c>
    </row>
    <row r="14920" spans="1:18" ht="24">
      <c r="A14920" s="432">
        <v>298</v>
      </c>
      <c r="B14920" s="429" t="s">
        <v>26808</v>
      </c>
      <c r="C14920" s="433" t="s">
        <v>26809</v>
      </c>
      <c r="D14920" s="434">
        <v>10493.47</v>
      </c>
      <c r="E14920" s="434">
        <v>7452.12</v>
      </c>
      <c r="F14920" s="434">
        <v>2110.2199999999998</v>
      </c>
      <c r="G14920" s="434">
        <v>931.13</v>
      </c>
      <c r="H14920" s="435">
        <v>103825.62</v>
      </c>
      <c r="I14920" s="435">
        <v>85699.38</v>
      </c>
      <c r="J14920" s="435">
        <v>11523.43</v>
      </c>
      <c r="K14920" s="435">
        <v>6602.81</v>
      </c>
      <c r="L14920" s="43">
        <v>9.8943076027281727</v>
      </c>
      <c r="M14920" s="43">
        <v>11.5</v>
      </c>
      <c r="N14920" s="43">
        <v>5.4607718626493931</v>
      </c>
      <c r="O14920" s="43">
        <v>7.0911795345440494</v>
      </c>
      <c r="P14920" s="436"/>
      <c r="Q14920" s="436"/>
      <c r="R14920" s="436">
        <v>3</v>
      </c>
    </row>
    <row r="14921" spans="1:18" ht="24">
      <c r="A14921" s="432">
        <v>299</v>
      </c>
      <c r="B14921" s="429" t="s">
        <v>26810</v>
      </c>
      <c r="C14921" s="433" t="s">
        <v>26811</v>
      </c>
      <c r="D14921" s="434">
        <v>18493.580000000002</v>
      </c>
      <c r="E14921" s="434">
        <v>13769</v>
      </c>
      <c r="F14921" s="434">
        <v>3218.69</v>
      </c>
      <c r="G14921" s="434">
        <v>1505.89</v>
      </c>
      <c r="H14921" s="435">
        <v>187212.12</v>
      </c>
      <c r="I14921" s="435">
        <v>158343.5</v>
      </c>
      <c r="J14921" s="435">
        <v>17524.05</v>
      </c>
      <c r="K14921" s="435">
        <v>11344.57</v>
      </c>
      <c r="L14921" s="43">
        <v>10.123087038853482</v>
      </c>
      <c r="M14921" s="43">
        <v>11.5</v>
      </c>
      <c r="N14921" s="43">
        <v>5.4444665376286618</v>
      </c>
      <c r="O14921" s="43">
        <v>7.5334652597467269</v>
      </c>
      <c r="P14921" s="436"/>
      <c r="Q14921" s="436"/>
      <c r="R14921" s="436">
        <v>3</v>
      </c>
    </row>
    <row r="14922" spans="1:18" ht="36">
      <c r="A14922" s="432">
        <v>300</v>
      </c>
      <c r="B14922" s="429" t="s">
        <v>26812</v>
      </c>
      <c r="C14922" s="433" t="s">
        <v>26813</v>
      </c>
      <c r="D14922" s="434">
        <v>1155.6400000000001</v>
      </c>
      <c r="E14922" s="434">
        <v>929.25</v>
      </c>
      <c r="F14922" s="434">
        <v>118.63</v>
      </c>
      <c r="G14922" s="434">
        <v>107.76</v>
      </c>
      <c r="H14922" s="435">
        <v>11974.84</v>
      </c>
      <c r="I14922" s="435">
        <v>10686.35</v>
      </c>
      <c r="J14922" s="435">
        <v>640.45000000000005</v>
      </c>
      <c r="K14922" s="435">
        <v>648.04</v>
      </c>
      <c r="L14922" s="43">
        <v>10.362085078398117</v>
      </c>
      <c r="M14922" s="43">
        <v>11.499973096583266</v>
      </c>
      <c r="N14922" s="43">
        <v>5.3987187052179051</v>
      </c>
      <c r="O14922" s="43">
        <v>6.0137342242019294</v>
      </c>
      <c r="P14922" s="436"/>
      <c r="Q14922" s="436"/>
      <c r="R14922" s="436">
        <v>3</v>
      </c>
    </row>
    <row r="14923" spans="1:18" ht="12.75" customHeight="1">
      <c r="A14923" s="628" t="s">
        <v>26814</v>
      </c>
      <c r="B14923" s="629"/>
      <c r="C14923" s="629"/>
      <c r="D14923" s="629"/>
      <c r="E14923" s="629"/>
      <c r="F14923" s="629"/>
      <c r="G14923" s="629"/>
      <c r="H14923" s="629"/>
      <c r="I14923" s="629"/>
      <c r="J14923" s="629"/>
      <c r="K14923" s="629"/>
      <c r="L14923" s="629"/>
      <c r="M14923" s="629"/>
      <c r="N14923" s="629"/>
      <c r="O14923" s="629"/>
      <c r="P14923" s="629"/>
      <c r="Q14923" s="629"/>
      <c r="R14923" s="629"/>
    </row>
    <row r="14924" spans="1:18" ht="12.75" customHeight="1">
      <c r="A14924" s="628" t="s">
        <v>26815</v>
      </c>
      <c r="B14924" s="629"/>
      <c r="C14924" s="629"/>
      <c r="D14924" s="629"/>
      <c r="E14924" s="629"/>
      <c r="F14924" s="629"/>
      <c r="G14924" s="629"/>
      <c r="H14924" s="629"/>
      <c r="I14924" s="629"/>
      <c r="J14924" s="629"/>
      <c r="K14924" s="629"/>
      <c r="L14924" s="629"/>
      <c r="M14924" s="629"/>
      <c r="N14924" s="629"/>
      <c r="O14924" s="629"/>
      <c r="P14924" s="629"/>
      <c r="Q14924" s="629"/>
      <c r="R14924" s="629"/>
    </row>
    <row r="14925" spans="1:18" ht="24">
      <c r="A14925" s="432">
        <v>301</v>
      </c>
      <c r="B14925" s="429" t="s">
        <v>26816</v>
      </c>
      <c r="C14925" s="433" t="s">
        <v>26817</v>
      </c>
      <c r="D14925" s="434">
        <v>662.49</v>
      </c>
      <c r="E14925" s="434">
        <v>520.76</v>
      </c>
      <c r="F14925" s="434">
        <v>88.23</v>
      </c>
      <c r="G14925" s="434">
        <v>53.5</v>
      </c>
      <c r="H14925" s="435">
        <v>6753.1</v>
      </c>
      <c r="I14925" s="435">
        <v>5988.9</v>
      </c>
      <c r="J14925" s="435">
        <v>477.89</v>
      </c>
      <c r="K14925" s="435">
        <v>286.31</v>
      </c>
      <c r="L14925" s="43">
        <v>10.19351235490347</v>
      </c>
      <c r="M14925" s="43">
        <v>11.500307243259851</v>
      </c>
      <c r="N14925" s="43">
        <v>5.4164116513657481</v>
      </c>
      <c r="O14925" s="43">
        <v>5.3515887850467294</v>
      </c>
      <c r="P14925" s="436"/>
      <c r="Q14925" s="436"/>
      <c r="R14925" s="436">
        <v>1</v>
      </c>
    </row>
    <row r="14926" spans="1:18" ht="24">
      <c r="A14926" s="432">
        <v>302</v>
      </c>
      <c r="B14926" s="429" t="s">
        <v>26818</v>
      </c>
      <c r="C14926" s="433" t="s">
        <v>26819</v>
      </c>
      <c r="D14926" s="434">
        <v>1215.3900000000001</v>
      </c>
      <c r="E14926" s="434">
        <v>766.96</v>
      </c>
      <c r="F14926" s="434">
        <v>270.94</v>
      </c>
      <c r="G14926" s="434">
        <v>177.49</v>
      </c>
      <c r="H14926" s="435">
        <v>11212.14</v>
      </c>
      <c r="I14926" s="435">
        <v>8820.2800000000007</v>
      </c>
      <c r="J14926" s="435">
        <v>1466.37</v>
      </c>
      <c r="K14926" s="435">
        <v>925.49</v>
      </c>
      <c r="L14926" s="43">
        <v>9.2251376101498277</v>
      </c>
      <c r="M14926" s="43">
        <v>11.500312923750913</v>
      </c>
      <c r="N14926" s="43">
        <v>5.4121576732855976</v>
      </c>
      <c r="O14926" s="43">
        <v>5.214321933630063</v>
      </c>
      <c r="P14926" s="436"/>
      <c r="Q14926" s="436"/>
      <c r="R14926" s="436">
        <v>1</v>
      </c>
    </row>
    <row r="14927" spans="1:18" ht="12.75" customHeight="1">
      <c r="A14927" s="628" t="s">
        <v>26820</v>
      </c>
      <c r="B14927" s="629"/>
      <c r="C14927" s="629"/>
      <c r="D14927" s="629"/>
      <c r="E14927" s="629"/>
      <c r="F14927" s="629"/>
      <c r="G14927" s="629"/>
      <c r="H14927" s="629"/>
      <c r="I14927" s="629"/>
      <c r="J14927" s="629"/>
      <c r="K14927" s="629"/>
      <c r="L14927" s="629"/>
      <c r="M14927" s="629"/>
      <c r="N14927" s="629"/>
      <c r="O14927" s="629"/>
      <c r="P14927" s="629"/>
      <c r="Q14927" s="629"/>
      <c r="R14927" s="629"/>
    </row>
    <row r="14928" spans="1:18" ht="12.75" customHeight="1">
      <c r="A14928" s="628" t="s">
        <v>26821</v>
      </c>
      <c r="B14928" s="629"/>
      <c r="C14928" s="629"/>
      <c r="D14928" s="629"/>
      <c r="E14928" s="629"/>
      <c r="F14928" s="629"/>
      <c r="G14928" s="629"/>
      <c r="H14928" s="629"/>
      <c r="I14928" s="629"/>
      <c r="J14928" s="629"/>
      <c r="K14928" s="629"/>
      <c r="L14928" s="629"/>
      <c r="M14928" s="629"/>
      <c r="N14928" s="629"/>
      <c r="O14928" s="629"/>
      <c r="P14928" s="629"/>
      <c r="Q14928" s="629"/>
      <c r="R14928" s="629"/>
    </row>
    <row r="14929" spans="1:18" ht="24">
      <c r="A14929" s="432">
        <v>303</v>
      </c>
      <c r="B14929" s="429" t="s">
        <v>26822</v>
      </c>
      <c r="C14929" s="433" t="s">
        <v>26823</v>
      </c>
      <c r="D14929" s="434">
        <v>1063.3</v>
      </c>
      <c r="E14929" s="434">
        <v>588.13</v>
      </c>
      <c r="F14929" s="434">
        <v>147.88999999999999</v>
      </c>
      <c r="G14929" s="434">
        <v>327.27999999999997</v>
      </c>
      <c r="H14929" s="435">
        <v>9626.66</v>
      </c>
      <c r="I14929" s="435">
        <v>6763.45</v>
      </c>
      <c r="J14929" s="435">
        <v>848.17</v>
      </c>
      <c r="K14929" s="435">
        <v>2015.04</v>
      </c>
      <c r="L14929" s="43">
        <v>9.053569077400546</v>
      </c>
      <c r="M14929" s="43">
        <v>11.499923486304048</v>
      </c>
      <c r="N14929" s="43">
        <v>5.7351409831631619</v>
      </c>
      <c r="O14929" s="43">
        <v>6.1569298460034227</v>
      </c>
      <c r="P14929" s="436"/>
      <c r="Q14929" s="436"/>
      <c r="R14929" s="436">
        <v>1</v>
      </c>
    </row>
    <row r="14930" spans="1:18" ht="24">
      <c r="A14930" s="432">
        <v>304</v>
      </c>
      <c r="B14930" s="429" t="s">
        <v>26824</v>
      </c>
      <c r="C14930" s="433" t="s">
        <v>26825</v>
      </c>
      <c r="D14930" s="434">
        <v>1601.86</v>
      </c>
      <c r="E14930" s="434">
        <v>895.36</v>
      </c>
      <c r="F14930" s="434">
        <v>199.43</v>
      </c>
      <c r="G14930" s="434">
        <v>507.07</v>
      </c>
      <c r="H14930" s="435">
        <v>14638.76</v>
      </c>
      <c r="I14930" s="435">
        <v>10296.59</v>
      </c>
      <c r="J14930" s="435">
        <v>1127.75</v>
      </c>
      <c r="K14930" s="435">
        <v>3214.42</v>
      </c>
      <c r="L14930" s="43">
        <v>9.1386013759005156</v>
      </c>
      <c r="M14930" s="43">
        <v>11.499944156540385</v>
      </c>
      <c r="N14930" s="43">
        <v>5.6548663691520833</v>
      </c>
      <c r="O14930" s="43">
        <v>6.3392036602441477</v>
      </c>
      <c r="P14930" s="436"/>
      <c r="Q14930" s="436"/>
      <c r="R14930" s="436">
        <v>1</v>
      </c>
    </row>
    <row r="14931" spans="1:18" ht="12.75" customHeight="1">
      <c r="A14931" s="628" t="s">
        <v>26826</v>
      </c>
      <c r="B14931" s="629"/>
      <c r="C14931" s="629"/>
      <c r="D14931" s="629"/>
      <c r="E14931" s="629"/>
      <c r="F14931" s="629"/>
      <c r="G14931" s="629"/>
      <c r="H14931" s="629"/>
      <c r="I14931" s="629"/>
      <c r="J14931" s="629"/>
      <c r="K14931" s="629"/>
      <c r="L14931" s="629"/>
      <c r="M14931" s="629"/>
      <c r="N14931" s="629"/>
      <c r="O14931" s="629"/>
      <c r="P14931" s="629"/>
      <c r="Q14931" s="629"/>
      <c r="R14931" s="629"/>
    </row>
    <row r="14932" spans="1:18" ht="24">
      <c r="A14932" s="432">
        <v>305</v>
      </c>
      <c r="B14932" s="429" t="s">
        <v>26827</v>
      </c>
      <c r="C14932" s="433" t="s">
        <v>26828</v>
      </c>
      <c r="D14932" s="434">
        <v>1790.05</v>
      </c>
      <c r="E14932" s="434">
        <v>1138.26</v>
      </c>
      <c r="F14932" s="434">
        <v>354.56</v>
      </c>
      <c r="G14932" s="434">
        <v>297.23</v>
      </c>
      <c r="H14932" s="435">
        <v>16757.13</v>
      </c>
      <c r="I14932" s="435">
        <v>13089.99</v>
      </c>
      <c r="J14932" s="435">
        <v>2012.85</v>
      </c>
      <c r="K14932" s="435">
        <v>1654.29</v>
      </c>
      <c r="L14932" s="43">
        <v>9.3612636518533012</v>
      </c>
      <c r="M14932" s="43">
        <v>11.5</v>
      </c>
      <c r="N14932" s="43">
        <v>5.6770363267148012</v>
      </c>
      <c r="O14932" s="43">
        <v>5.565689869797799</v>
      </c>
      <c r="P14932" s="436"/>
      <c r="Q14932" s="436"/>
      <c r="R14932" s="436">
        <v>2</v>
      </c>
    </row>
    <row r="14933" spans="1:18" ht="24">
      <c r="A14933" s="432">
        <v>306</v>
      </c>
      <c r="B14933" s="429" t="s">
        <v>26829</v>
      </c>
      <c r="C14933" s="433" t="s">
        <v>26830</v>
      </c>
      <c r="D14933" s="434">
        <v>1822.35</v>
      </c>
      <c r="E14933" s="434">
        <v>1146.8</v>
      </c>
      <c r="F14933" s="434">
        <v>372.9</v>
      </c>
      <c r="G14933" s="434">
        <v>302.64999999999998</v>
      </c>
      <c r="H14933" s="435">
        <v>16998.73</v>
      </c>
      <c r="I14933" s="435">
        <v>13188.2</v>
      </c>
      <c r="J14933" s="435">
        <v>2111.9899999999998</v>
      </c>
      <c r="K14933" s="435">
        <v>1698.54</v>
      </c>
      <c r="L14933" s="43">
        <v>9.3279172497050507</v>
      </c>
      <c r="M14933" s="43">
        <v>11.500000000000002</v>
      </c>
      <c r="N14933" s="43">
        <v>5.6636899973183157</v>
      </c>
      <c r="O14933" s="43">
        <v>5.6122253428052211</v>
      </c>
      <c r="P14933" s="436"/>
      <c r="Q14933" s="436"/>
      <c r="R14933" s="436">
        <v>2</v>
      </c>
    </row>
    <row r="14934" spans="1:18" ht="24">
      <c r="A14934" s="432">
        <v>307</v>
      </c>
      <c r="B14934" s="429" t="s">
        <v>26831</v>
      </c>
      <c r="C14934" s="433" t="s">
        <v>26832</v>
      </c>
      <c r="D14934" s="434">
        <v>2166.42</v>
      </c>
      <c r="E14934" s="434">
        <v>1317.6</v>
      </c>
      <c r="F14934" s="434">
        <v>513.91999999999996</v>
      </c>
      <c r="G14934" s="434">
        <v>334.9</v>
      </c>
      <c r="H14934" s="435">
        <v>19992.18</v>
      </c>
      <c r="I14934" s="435">
        <v>15152.4</v>
      </c>
      <c r="J14934" s="435">
        <v>2868.24</v>
      </c>
      <c r="K14934" s="435">
        <v>1971.54</v>
      </c>
      <c r="L14934" s="43">
        <v>9.2282105962832688</v>
      </c>
      <c r="M14934" s="43">
        <v>11.5</v>
      </c>
      <c r="N14934" s="43">
        <v>5.5811021170610209</v>
      </c>
      <c r="O14934" s="43">
        <v>5.8869513287548525</v>
      </c>
      <c r="P14934" s="436"/>
      <c r="Q14934" s="436"/>
      <c r="R14934" s="436">
        <v>2</v>
      </c>
    </row>
    <row r="14935" spans="1:18" ht="12.75" customHeight="1">
      <c r="A14935" s="628" t="s">
        <v>18500</v>
      </c>
      <c r="B14935" s="629"/>
      <c r="C14935" s="629"/>
      <c r="D14935" s="629"/>
      <c r="E14935" s="629"/>
      <c r="F14935" s="629"/>
      <c r="G14935" s="629"/>
      <c r="H14935" s="629"/>
      <c r="I14935" s="629"/>
      <c r="J14935" s="629"/>
      <c r="K14935" s="629"/>
      <c r="L14935" s="629"/>
      <c r="M14935" s="629"/>
      <c r="N14935" s="629"/>
      <c r="O14935" s="629"/>
      <c r="P14935" s="629"/>
      <c r="Q14935" s="629"/>
      <c r="R14935" s="629"/>
    </row>
    <row r="14936" spans="1:18" ht="24">
      <c r="A14936" s="432">
        <v>308</v>
      </c>
      <c r="B14936" s="429" t="s">
        <v>26833</v>
      </c>
      <c r="C14936" s="433" t="s">
        <v>26834</v>
      </c>
      <c r="D14936" s="434">
        <v>1043.0999999999999</v>
      </c>
      <c r="E14936" s="434">
        <v>756.16</v>
      </c>
      <c r="F14936" s="434">
        <v>236.38</v>
      </c>
      <c r="G14936" s="434">
        <v>50.56</v>
      </c>
      <c r="H14936" s="435">
        <v>10471.09</v>
      </c>
      <c r="I14936" s="435">
        <v>8695.86</v>
      </c>
      <c r="J14936" s="435">
        <v>1374.3</v>
      </c>
      <c r="K14936" s="435">
        <v>400.93</v>
      </c>
      <c r="L14936" s="43">
        <v>10.038433515482696</v>
      </c>
      <c r="M14936" s="43">
        <v>11.500026449428693</v>
      </c>
      <c r="N14936" s="43">
        <v>5.8139436500549957</v>
      </c>
      <c r="O14936" s="43">
        <v>7.9297863924050631</v>
      </c>
      <c r="P14936" s="436"/>
      <c r="Q14936" s="436"/>
      <c r="R14936" s="436">
        <v>3</v>
      </c>
    </row>
    <row r="14937" spans="1:18" ht="24">
      <c r="A14937" s="432">
        <v>309</v>
      </c>
      <c r="B14937" s="429" t="s">
        <v>26835</v>
      </c>
      <c r="C14937" s="433" t="s">
        <v>26836</v>
      </c>
      <c r="D14937" s="434">
        <v>1499.99</v>
      </c>
      <c r="E14937" s="434">
        <v>1156.56</v>
      </c>
      <c r="F14937" s="434">
        <v>313.89</v>
      </c>
      <c r="G14937" s="434">
        <v>29.54</v>
      </c>
      <c r="H14937" s="435">
        <v>15339.16</v>
      </c>
      <c r="I14937" s="435">
        <v>13300.44</v>
      </c>
      <c r="J14937" s="435">
        <v>1736.42</v>
      </c>
      <c r="K14937" s="435">
        <v>302.3</v>
      </c>
      <c r="L14937" s="43">
        <v>10.226174841165607</v>
      </c>
      <c r="M14937" s="43">
        <v>11.500000000000002</v>
      </c>
      <c r="N14937" s="43">
        <v>5.5319379400426909</v>
      </c>
      <c r="O14937" s="43">
        <v>10.233581584292486</v>
      </c>
      <c r="P14937" s="436"/>
      <c r="Q14937" s="436"/>
      <c r="R14937" s="436">
        <v>3</v>
      </c>
    </row>
    <row r="14938" spans="1:18" ht="24">
      <c r="A14938" s="432">
        <v>310</v>
      </c>
      <c r="B14938" s="429" t="s">
        <v>26837</v>
      </c>
      <c r="C14938" s="433" t="s">
        <v>26838</v>
      </c>
      <c r="D14938" s="434">
        <v>1841.85</v>
      </c>
      <c r="E14938" s="434">
        <v>1305.4000000000001</v>
      </c>
      <c r="F14938" s="434">
        <v>502.37</v>
      </c>
      <c r="G14938" s="434">
        <v>34.08</v>
      </c>
      <c r="H14938" s="435">
        <v>18171.05</v>
      </c>
      <c r="I14938" s="435">
        <v>15012.1</v>
      </c>
      <c r="J14938" s="435">
        <v>2810.19</v>
      </c>
      <c r="K14938" s="435">
        <v>348.76</v>
      </c>
      <c r="L14938" s="43">
        <v>9.8656513831202322</v>
      </c>
      <c r="M14938" s="43">
        <v>11.5</v>
      </c>
      <c r="N14938" s="43">
        <v>5.5938650795230611</v>
      </c>
      <c r="O14938" s="43">
        <v>10.233568075117372</v>
      </c>
      <c r="P14938" s="436"/>
      <c r="Q14938" s="436"/>
      <c r="R14938" s="436">
        <v>3</v>
      </c>
    </row>
    <row r="14939" spans="1:18" ht="24">
      <c r="A14939" s="432">
        <v>311</v>
      </c>
      <c r="B14939" s="429" t="s">
        <v>26839</v>
      </c>
      <c r="C14939" s="433" t="s">
        <v>26840</v>
      </c>
      <c r="D14939" s="434">
        <v>5316.92</v>
      </c>
      <c r="E14939" s="434">
        <v>3037.8</v>
      </c>
      <c r="F14939" s="434">
        <v>1538.44</v>
      </c>
      <c r="G14939" s="434">
        <v>740.68</v>
      </c>
      <c r="H14939" s="435">
        <v>47989.08</v>
      </c>
      <c r="I14939" s="435">
        <v>34934.699999999997</v>
      </c>
      <c r="J14939" s="435">
        <v>8786.1</v>
      </c>
      <c r="K14939" s="435">
        <v>4268.28</v>
      </c>
      <c r="L14939" s="43">
        <v>9.0257291815562404</v>
      </c>
      <c r="M14939" s="43">
        <v>11.499999999999998</v>
      </c>
      <c r="N14939" s="43">
        <v>5.7110449546293651</v>
      </c>
      <c r="O14939" s="43">
        <v>5.7626505373440624</v>
      </c>
      <c r="P14939" s="436"/>
      <c r="Q14939" s="436"/>
      <c r="R14939" s="436">
        <v>3</v>
      </c>
    </row>
    <row r="14940" spans="1:18" ht="24">
      <c r="A14940" s="432">
        <v>312</v>
      </c>
      <c r="B14940" s="429" t="s">
        <v>26841</v>
      </c>
      <c r="C14940" s="433" t="s">
        <v>26842</v>
      </c>
      <c r="D14940" s="434">
        <v>2528.3000000000002</v>
      </c>
      <c r="E14940" s="434">
        <v>1830</v>
      </c>
      <c r="F14940" s="434">
        <v>584.53</v>
      </c>
      <c r="G14940" s="434">
        <v>113.77</v>
      </c>
      <c r="H14940" s="435">
        <v>25304.880000000001</v>
      </c>
      <c r="I14940" s="435">
        <v>21045</v>
      </c>
      <c r="J14940" s="435">
        <v>3278.22</v>
      </c>
      <c r="K14940" s="435">
        <v>981.66</v>
      </c>
      <c r="L14940" s="43">
        <v>10.008654036308982</v>
      </c>
      <c r="M14940" s="43">
        <v>11.5</v>
      </c>
      <c r="N14940" s="43">
        <v>5.6083006860212476</v>
      </c>
      <c r="O14940" s="43">
        <v>8.6284609299463835</v>
      </c>
      <c r="P14940" s="436"/>
      <c r="Q14940" s="436"/>
      <c r="R14940" s="436">
        <v>3</v>
      </c>
    </row>
    <row r="14941" spans="1:18" ht="12.75" customHeight="1">
      <c r="A14941" s="628" t="s">
        <v>26843</v>
      </c>
      <c r="B14941" s="629"/>
      <c r="C14941" s="629"/>
      <c r="D14941" s="629"/>
      <c r="E14941" s="629"/>
      <c r="F14941" s="629"/>
      <c r="G14941" s="629"/>
      <c r="H14941" s="629"/>
      <c r="I14941" s="629"/>
      <c r="J14941" s="629"/>
      <c r="K14941" s="629"/>
      <c r="L14941" s="629"/>
      <c r="M14941" s="629"/>
      <c r="N14941" s="629"/>
      <c r="O14941" s="629"/>
      <c r="P14941" s="629"/>
      <c r="Q14941" s="629"/>
      <c r="R14941" s="629"/>
    </row>
    <row r="14942" spans="1:18" ht="24">
      <c r="A14942" s="432">
        <v>313</v>
      </c>
      <c r="B14942" s="429" t="s">
        <v>26844</v>
      </c>
      <c r="C14942" s="433" t="s">
        <v>26845</v>
      </c>
      <c r="D14942" s="434">
        <v>9177.07</v>
      </c>
      <c r="E14942" s="434">
        <v>5128.8599999999997</v>
      </c>
      <c r="F14942" s="434">
        <v>657.25</v>
      </c>
      <c r="G14942" s="434">
        <v>3390.96</v>
      </c>
      <c r="H14942" s="435">
        <v>77567.89</v>
      </c>
      <c r="I14942" s="435">
        <v>58981.89</v>
      </c>
      <c r="J14942" s="435">
        <v>3575.57</v>
      </c>
      <c r="K14942" s="435">
        <v>15010.43</v>
      </c>
      <c r="L14942" s="43">
        <v>8.4523589773206478</v>
      </c>
      <c r="M14942" s="43">
        <v>11.5</v>
      </c>
      <c r="N14942" s="43">
        <v>5.4401977938379611</v>
      </c>
      <c r="O14942" s="43">
        <v>4.426601906244839</v>
      </c>
      <c r="P14942" s="436"/>
      <c r="Q14942" s="436"/>
      <c r="R14942" s="436">
        <v>4</v>
      </c>
    </row>
    <row r="14943" spans="1:18" ht="12.75">
      <c r="A14943" s="632" t="s">
        <v>18</v>
      </c>
      <c r="B14943" s="632"/>
      <c r="C14943" s="632"/>
      <c r="D14943" s="430">
        <v>709637.61</v>
      </c>
      <c r="E14943" s="430">
        <v>421897.61</v>
      </c>
      <c r="F14943" s="430">
        <v>132610.14000000001</v>
      </c>
      <c r="G14943" s="430">
        <v>155129.85999999999</v>
      </c>
      <c r="H14943" s="431">
        <v>6399495.8700000001</v>
      </c>
      <c r="I14943" s="431">
        <v>4851912.47</v>
      </c>
      <c r="J14943" s="431">
        <v>744250.83</v>
      </c>
      <c r="K14943" s="431">
        <v>803332.57</v>
      </c>
      <c r="L14943" s="612">
        <v>9.0179773166193939</v>
      </c>
      <c r="M14943" s="612">
        <v>11.500213215239594</v>
      </c>
      <c r="N14943" s="612">
        <v>5.6123221798876006</v>
      </c>
      <c r="O14943" s="612">
        <v>5.1784522335029504</v>
      </c>
      <c r="P14943" s="428"/>
      <c r="Q14943" s="428"/>
      <c r="R14943" s="428"/>
    </row>
    <row r="14944" spans="1:18" ht="18">
      <c r="A14944" s="616" t="s">
        <v>26846</v>
      </c>
      <c r="B14944" s="626"/>
      <c r="C14944" s="626"/>
      <c r="D14944" s="626"/>
      <c r="E14944" s="626"/>
      <c r="F14944" s="626"/>
      <c r="G14944" s="626"/>
      <c r="H14944" s="626"/>
      <c r="I14944" s="626"/>
      <c r="J14944" s="626"/>
      <c r="K14944" s="626"/>
      <c r="L14944" s="626"/>
      <c r="M14944" s="626"/>
      <c r="N14944" s="626"/>
      <c r="O14944" s="626"/>
      <c r="P14944" s="626"/>
      <c r="Q14944" s="626"/>
      <c r="R14944" s="627"/>
    </row>
    <row r="14945" spans="1:18" ht="12.75" customHeight="1">
      <c r="A14945" s="630" t="s">
        <v>26847</v>
      </c>
      <c r="B14945" s="631"/>
      <c r="C14945" s="631"/>
      <c r="D14945" s="631"/>
      <c r="E14945" s="631"/>
      <c r="F14945" s="631"/>
      <c r="G14945" s="631"/>
      <c r="H14945" s="631"/>
      <c r="I14945" s="631"/>
      <c r="J14945" s="631"/>
      <c r="K14945" s="631"/>
      <c r="L14945" s="631"/>
      <c r="M14945" s="631"/>
      <c r="N14945" s="631"/>
      <c r="O14945" s="631"/>
      <c r="P14945" s="631"/>
      <c r="Q14945" s="631"/>
      <c r="R14945" s="631"/>
    </row>
    <row r="14946" spans="1:18" ht="12.75" customHeight="1">
      <c r="A14946" s="628" t="s">
        <v>26848</v>
      </c>
      <c r="B14946" s="629"/>
      <c r="C14946" s="629"/>
      <c r="D14946" s="629"/>
      <c r="E14946" s="629"/>
      <c r="F14946" s="629"/>
      <c r="G14946" s="629"/>
      <c r="H14946" s="629"/>
      <c r="I14946" s="629"/>
      <c r="J14946" s="629"/>
      <c r="K14946" s="629"/>
      <c r="L14946" s="629"/>
      <c r="M14946" s="629"/>
      <c r="N14946" s="629"/>
      <c r="O14946" s="629"/>
      <c r="P14946" s="629"/>
      <c r="Q14946" s="629"/>
      <c r="R14946" s="629"/>
    </row>
    <row r="14947" spans="1:18" ht="12.75" customHeight="1">
      <c r="A14947" s="628" t="s">
        <v>26849</v>
      </c>
      <c r="B14947" s="629"/>
      <c r="C14947" s="629"/>
      <c r="D14947" s="629"/>
      <c r="E14947" s="629"/>
      <c r="F14947" s="629"/>
      <c r="G14947" s="629"/>
      <c r="H14947" s="629"/>
      <c r="I14947" s="629"/>
      <c r="J14947" s="629"/>
      <c r="K14947" s="629"/>
      <c r="L14947" s="629"/>
      <c r="M14947" s="629"/>
      <c r="N14947" s="629"/>
      <c r="O14947" s="629"/>
      <c r="P14947" s="629"/>
      <c r="Q14947" s="629"/>
      <c r="R14947" s="629"/>
    </row>
    <row r="14948" spans="1:18" ht="24">
      <c r="A14948" s="441">
        <v>1</v>
      </c>
      <c r="B14948" s="438" t="s">
        <v>26850</v>
      </c>
      <c r="C14948" s="442" t="s">
        <v>26851</v>
      </c>
      <c r="D14948" s="443">
        <v>229.02</v>
      </c>
      <c r="E14948" s="443">
        <v>187.44</v>
      </c>
      <c r="F14948" s="443"/>
      <c r="G14948" s="443">
        <v>41.58</v>
      </c>
      <c r="H14948" s="444">
        <v>2342.7800000000002</v>
      </c>
      <c r="I14948" s="444">
        <v>2155.56</v>
      </c>
      <c r="J14948" s="444"/>
      <c r="K14948" s="444">
        <v>187.22</v>
      </c>
      <c r="L14948" s="43">
        <v>10.229586935638808</v>
      </c>
      <c r="M14948" s="43">
        <v>11.5</v>
      </c>
      <c r="N14948" s="43" t="s">
        <v>1690</v>
      </c>
      <c r="O14948" s="43">
        <v>4.5026455026455032</v>
      </c>
      <c r="P14948" s="445"/>
      <c r="Q14948" s="445"/>
      <c r="R14948" s="445">
        <v>1</v>
      </c>
    </row>
    <row r="14949" spans="1:18" ht="24">
      <c r="A14949" s="441">
        <v>2</v>
      </c>
      <c r="B14949" s="438" t="s">
        <v>26852</v>
      </c>
      <c r="C14949" s="442" t="s">
        <v>26853</v>
      </c>
      <c r="D14949" s="443">
        <v>255.5</v>
      </c>
      <c r="E14949" s="443">
        <v>210.16</v>
      </c>
      <c r="F14949" s="443"/>
      <c r="G14949" s="443">
        <v>45.34</v>
      </c>
      <c r="H14949" s="444">
        <v>2622.96</v>
      </c>
      <c r="I14949" s="444">
        <v>2416.84</v>
      </c>
      <c r="J14949" s="444"/>
      <c r="K14949" s="444">
        <v>206.12</v>
      </c>
      <c r="L14949" s="43">
        <v>10.265988258317025</v>
      </c>
      <c r="M14949" s="43">
        <v>11.5</v>
      </c>
      <c r="N14949" s="43" t="s">
        <v>1690</v>
      </c>
      <c r="O14949" s="43">
        <v>4.5460961623290688</v>
      </c>
      <c r="P14949" s="445"/>
      <c r="Q14949" s="445"/>
      <c r="R14949" s="445">
        <v>1</v>
      </c>
    </row>
    <row r="14950" spans="1:18" ht="24">
      <c r="A14950" s="441">
        <v>3</v>
      </c>
      <c r="B14950" s="438" t="s">
        <v>26854</v>
      </c>
      <c r="C14950" s="442" t="s">
        <v>26855</v>
      </c>
      <c r="D14950" s="443">
        <v>353.33</v>
      </c>
      <c r="E14950" s="443">
        <v>293.08999999999997</v>
      </c>
      <c r="F14950" s="443"/>
      <c r="G14950" s="443">
        <v>60.24</v>
      </c>
      <c r="H14950" s="444">
        <v>3650.69</v>
      </c>
      <c r="I14950" s="444">
        <v>3370.51</v>
      </c>
      <c r="J14950" s="444"/>
      <c r="K14950" s="444">
        <v>280.18</v>
      </c>
      <c r="L14950" s="43">
        <v>10.332238983386636</v>
      </c>
      <c r="M14950" s="43">
        <v>11.499914701968681</v>
      </c>
      <c r="N14950" s="43" t="s">
        <v>1690</v>
      </c>
      <c r="O14950" s="43">
        <v>4.6510624169986716</v>
      </c>
      <c r="P14950" s="445"/>
      <c r="Q14950" s="445"/>
      <c r="R14950" s="445">
        <v>1</v>
      </c>
    </row>
    <row r="14951" spans="1:18" ht="24">
      <c r="A14951" s="441">
        <v>4</v>
      </c>
      <c r="B14951" s="438" t="s">
        <v>26856</v>
      </c>
      <c r="C14951" s="442" t="s">
        <v>26857</v>
      </c>
      <c r="D14951" s="443">
        <v>329.4</v>
      </c>
      <c r="E14951" s="443">
        <v>269.23</v>
      </c>
      <c r="F14951" s="443">
        <v>0.41</v>
      </c>
      <c r="G14951" s="443">
        <v>59.76</v>
      </c>
      <c r="H14951" s="444">
        <v>3372.57</v>
      </c>
      <c r="I14951" s="444">
        <v>3096.17</v>
      </c>
      <c r="J14951" s="444">
        <v>1.74</v>
      </c>
      <c r="K14951" s="444">
        <v>274.66000000000003</v>
      </c>
      <c r="L14951" s="43">
        <v>10.238524590163935</v>
      </c>
      <c r="M14951" s="43">
        <v>11.500092857408163</v>
      </c>
      <c r="N14951" s="43">
        <v>4.2439024390243905</v>
      </c>
      <c r="O14951" s="43">
        <v>4.5960508701472564</v>
      </c>
      <c r="P14951" s="445"/>
      <c r="Q14951" s="445"/>
      <c r="R14951" s="445">
        <v>1</v>
      </c>
    </row>
    <row r="14952" spans="1:18" ht="24">
      <c r="A14952" s="441">
        <v>5</v>
      </c>
      <c r="B14952" s="438" t="s">
        <v>26858</v>
      </c>
      <c r="C14952" s="442" t="s">
        <v>26859</v>
      </c>
      <c r="D14952" s="443">
        <v>172.08</v>
      </c>
      <c r="E14952" s="443">
        <v>128.37</v>
      </c>
      <c r="F14952" s="443"/>
      <c r="G14952" s="443">
        <v>43.71</v>
      </c>
      <c r="H14952" s="444">
        <v>1663.61</v>
      </c>
      <c r="I14952" s="444">
        <v>1476.23</v>
      </c>
      <c r="J14952" s="444"/>
      <c r="K14952" s="444">
        <v>187.38</v>
      </c>
      <c r="L14952" s="43">
        <v>9.6676545792654558</v>
      </c>
      <c r="M14952" s="43">
        <v>11.499805250447924</v>
      </c>
      <c r="N14952" s="43" t="s">
        <v>1690</v>
      </c>
      <c r="O14952" s="43">
        <v>4.2868908716540837</v>
      </c>
      <c r="P14952" s="445"/>
      <c r="Q14952" s="445"/>
      <c r="R14952" s="445">
        <v>1</v>
      </c>
    </row>
    <row r="14953" spans="1:18" ht="12.75" customHeight="1">
      <c r="A14953" s="628" t="s">
        <v>26860</v>
      </c>
      <c r="B14953" s="629"/>
      <c r="C14953" s="629"/>
      <c r="D14953" s="629"/>
      <c r="E14953" s="629"/>
      <c r="F14953" s="629"/>
      <c r="G14953" s="629"/>
      <c r="H14953" s="629"/>
      <c r="I14953" s="629"/>
      <c r="J14953" s="629"/>
      <c r="K14953" s="629"/>
      <c r="L14953" s="629"/>
      <c r="M14953" s="629"/>
      <c r="N14953" s="629"/>
      <c r="O14953" s="629"/>
      <c r="P14953" s="629"/>
      <c r="Q14953" s="629"/>
      <c r="R14953" s="629"/>
    </row>
    <row r="14954" spans="1:18" ht="24">
      <c r="A14954" s="441">
        <v>6</v>
      </c>
      <c r="B14954" s="438" t="s">
        <v>26861</v>
      </c>
      <c r="C14954" s="442" t="s">
        <v>26862</v>
      </c>
      <c r="D14954" s="443">
        <v>67.680000000000007</v>
      </c>
      <c r="E14954" s="443">
        <v>59.07</v>
      </c>
      <c r="F14954" s="443"/>
      <c r="G14954" s="443">
        <v>8.61</v>
      </c>
      <c r="H14954" s="444">
        <v>722.27</v>
      </c>
      <c r="I14954" s="444">
        <v>679.33</v>
      </c>
      <c r="J14954" s="444"/>
      <c r="K14954" s="444">
        <v>42.94</v>
      </c>
      <c r="L14954" s="43">
        <v>10.671838061465719</v>
      </c>
      <c r="M14954" s="43">
        <v>11.50042322668021</v>
      </c>
      <c r="N14954" s="43" t="s">
        <v>1690</v>
      </c>
      <c r="O14954" s="43">
        <v>4.9872241579558656</v>
      </c>
      <c r="P14954" s="445"/>
      <c r="Q14954" s="445"/>
      <c r="R14954" s="445">
        <v>2</v>
      </c>
    </row>
    <row r="14955" spans="1:18" ht="24">
      <c r="A14955" s="441">
        <v>7</v>
      </c>
      <c r="B14955" s="438" t="s">
        <v>26863</v>
      </c>
      <c r="C14955" s="442" t="s">
        <v>26864</v>
      </c>
      <c r="D14955" s="443">
        <v>157.72999999999999</v>
      </c>
      <c r="E14955" s="443">
        <v>140.86000000000001</v>
      </c>
      <c r="F14955" s="443"/>
      <c r="G14955" s="443">
        <v>16.87</v>
      </c>
      <c r="H14955" s="444">
        <v>1709.21</v>
      </c>
      <c r="I14955" s="444">
        <v>1619.94</v>
      </c>
      <c r="J14955" s="444"/>
      <c r="K14955" s="444">
        <v>89.27</v>
      </c>
      <c r="L14955" s="43">
        <v>10.836302542319155</v>
      </c>
      <c r="M14955" s="43">
        <v>11.500354962373988</v>
      </c>
      <c r="N14955" s="43" t="s">
        <v>1690</v>
      </c>
      <c r="O14955" s="43">
        <v>5.2916419679905156</v>
      </c>
      <c r="P14955" s="445"/>
      <c r="Q14955" s="445"/>
      <c r="R14955" s="445">
        <v>2</v>
      </c>
    </row>
    <row r="14956" spans="1:18" ht="24">
      <c r="A14956" s="441">
        <v>8</v>
      </c>
      <c r="B14956" s="438" t="s">
        <v>26865</v>
      </c>
      <c r="C14956" s="442" t="s">
        <v>26866</v>
      </c>
      <c r="D14956" s="443">
        <v>142.71</v>
      </c>
      <c r="E14956" s="443">
        <v>81.790000000000006</v>
      </c>
      <c r="F14956" s="443"/>
      <c r="G14956" s="443">
        <v>60.92</v>
      </c>
      <c r="H14956" s="444">
        <v>1190.96</v>
      </c>
      <c r="I14956" s="444">
        <v>940.61</v>
      </c>
      <c r="J14956" s="444"/>
      <c r="K14956" s="444">
        <v>250.35</v>
      </c>
      <c r="L14956" s="43">
        <v>8.3453156751454003</v>
      </c>
      <c r="M14956" s="43">
        <v>11.500305660838732</v>
      </c>
      <c r="N14956" s="43" t="s">
        <v>1690</v>
      </c>
      <c r="O14956" s="43">
        <v>4.1094878529218644</v>
      </c>
      <c r="P14956" s="445"/>
      <c r="Q14956" s="445"/>
      <c r="R14956" s="445">
        <v>2</v>
      </c>
    </row>
    <row r="14957" spans="1:18" ht="12.75" customHeight="1">
      <c r="A14957" s="628" t="s">
        <v>26867</v>
      </c>
      <c r="B14957" s="629"/>
      <c r="C14957" s="629"/>
      <c r="D14957" s="629"/>
      <c r="E14957" s="629"/>
      <c r="F14957" s="629"/>
      <c r="G14957" s="629"/>
      <c r="H14957" s="629"/>
      <c r="I14957" s="629"/>
      <c r="J14957" s="629"/>
      <c r="K14957" s="629"/>
      <c r="L14957" s="629"/>
      <c r="M14957" s="629"/>
      <c r="N14957" s="629"/>
      <c r="O14957" s="629"/>
      <c r="P14957" s="629"/>
      <c r="Q14957" s="629"/>
      <c r="R14957" s="629"/>
    </row>
    <row r="14958" spans="1:18" ht="24">
      <c r="A14958" s="441">
        <v>9</v>
      </c>
      <c r="B14958" s="438" t="s">
        <v>26868</v>
      </c>
      <c r="C14958" s="442" t="s">
        <v>26869</v>
      </c>
      <c r="D14958" s="443">
        <v>118.66</v>
      </c>
      <c r="E14958" s="443">
        <v>80.930000000000007</v>
      </c>
      <c r="F14958" s="443"/>
      <c r="G14958" s="443">
        <v>37.729999999999997</v>
      </c>
      <c r="H14958" s="444">
        <v>1084.6300000000001</v>
      </c>
      <c r="I14958" s="444">
        <v>930.67</v>
      </c>
      <c r="J14958" s="444"/>
      <c r="K14958" s="444">
        <v>153.96</v>
      </c>
      <c r="L14958" s="43">
        <v>9.14065396932412</v>
      </c>
      <c r="M14958" s="43">
        <v>11.499691091066353</v>
      </c>
      <c r="N14958" s="43" t="s">
        <v>1690</v>
      </c>
      <c r="O14958" s="43">
        <v>4.0805724887357542</v>
      </c>
      <c r="P14958" s="445"/>
      <c r="Q14958" s="445"/>
      <c r="R14958" s="445">
        <v>3</v>
      </c>
    </row>
    <row r="14959" spans="1:18" ht="24">
      <c r="A14959" s="441">
        <v>10</v>
      </c>
      <c r="B14959" s="438" t="s">
        <v>26870</v>
      </c>
      <c r="C14959" s="442" t="s">
        <v>26871</v>
      </c>
      <c r="D14959" s="443">
        <v>214.14</v>
      </c>
      <c r="E14959" s="443">
        <v>174.22</v>
      </c>
      <c r="F14959" s="443">
        <v>0.33</v>
      </c>
      <c r="G14959" s="443">
        <v>39.590000000000003</v>
      </c>
      <c r="H14959" s="444">
        <v>2180.29</v>
      </c>
      <c r="I14959" s="444">
        <v>2003.53</v>
      </c>
      <c r="J14959" s="444">
        <v>1.41</v>
      </c>
      <c r="K14959" s="444">
        <v>175.35</v>
      </c>
      <c r="L14959" s="43">
        <v>10.18161016157654</v>
      </c>
      <c r="M14959" s="43">
        <v>11.5</v>
      </c>
      <c r="N14959" s="43">
        <v>4.2727272727272725</v>
      </c>
      <c r="O14959" s="43">
        <v>4.4291487749431671</v>
      </c>
      <c r="P14959" s="445"/>
      <c r="Q14959" s="445"/>
      <c r="R14959" s="445">
        <v>3</v>
      </c>
    </row>
    <row r="14960" spans="1:18" ht="24">
      <c r="A14960" s="441">
        <v>11</v>
      </c>
      <c r="B14960" s="438" t="s">
        <v>26872</v>
      </c>
      <c r="C14960" s="442" t="s">
        <v>26873</v>
      </c>
      <c r="D14960" s="443">
        <v>253.24</v>
      </c>
      <c r="E14960" s="443">
        <v>207.94</v>
      </c>
      <c r="F14960" s="443"/>
      <c r="G14960" s="443">
        <v>45.3</v>
      </c>
      <c r="H14960" s="444">
        <v>2596.9699999999998</v>
      </c>
      <c r="I14960" s="444">
        <v>2391.31</v>
      </c>
      <c r="J14960" s="444"/>
      <c r="K14960" s="444">
        <v>205.66</v>
      </c>
      <c r="L14960" s="43">
        <v>10.254975517295845</v>
      </c>
      <c r="M14960" s="43">
        <v>11.5</v>
      </c>
      <c r="N14960" s="43" t="s">
        <v>1690</v>
      </c>
      <c r="O14960" s="43">
        <v>4.5399558498896253</v>
      </c>
      <c r="P14960" s="445"/>
      <c r="Q14960" s="445"/>
      <c r="R14960" s="445">
        <v>3</v>
      </c>
    </row>
    <row r="14961" spans="1:18" ht="24">
      <c r="A14961" s="441">
        <v>12</v>
      </c>
      <c r="B14961" s="438" t="s">
        <v>26874</v>
      </c>
      <c r="C14961" s="442" t="s">
        <v>26875</v>
      </c>
      <c r="D14961" s="443">
        <v>313.10000000000002</v>
      </c>
      <c r="E14961" s="443">
        <v>266.39</v>
      </c>
      <c r="F14961" s="443">
        <v>0.24</v>
      </c>
      <c r="G14961" s="443">
        <v>46.47</v>
      </c>
      <c r="H14961" s="444">
        <v>3283.58</v>
      </c>
      <c r="I14961" s="444">
        <v>3063.46</v>
      </c>
      <c r="J14961" s="444">
        <v>1</v>
      </c>
      <c r="K14961" s="444">
        <v>219.12</v>
      </c>
      <c r="L14961" s="43">
        <v>10.487320344937718</v>
      </c>
      <c r="M14961" s="43">
        <v>11.499906152633358</v>
      </c>
      <c r="N14961" s="43">
        <v>4.166666666666667</v>
      </c>
      <c r="O14961" s="43">
        <v>4.7153001936733379</v>
      </c>
      <c r="P14961" s="445"/>
      <c r="Q14961" s="445"/>
      <c r="R14961" s="445">
        <v>3</v>
      </c>
    </row>
    <row r="14962" spans="1:18" ht="12.75" customHeight="1">
      <c r="A14962" s="628" t="s">
        <v>26876</v>
      </c>
      <c r="B14962" s="629"/>
      <c r="C14962" s="629"/>
      <c r="D14962" s="629"/>
      <c r="E14962" s="629"/>
      <c r="F14962" s="629"/>
      <c r="G14962" s="629"/>
      <c r="H14962" s="629"/>
      <c r="I14962" s="629"/>
      <c r="J14962" s="629"/>
      <c r="K14962" s="629"/>
      <c r="L14962" s="629"/>
      <c r="M14962" s="629"/>
      <c r="N14962" s="629"/>
      <c r="O14962" s="629"/>
      <c r="P14962" s="629"/>
      <c r="Q14962" s="629"/>
      <c r="R14962" s="629"/>
    </row>
    <row r="14963" spans="1:18" ht="24">
      <c r="A14963" s="441">
        <v>13</v>
      </c>
      <c r="B14963" s="438" t="s">
        <v>26877</v>
      </c>
      <c r="C14963" s="442" t="s">
        <v>26878</v>
      </c>
      <c r="D14963" s="443">
        <v>335.25</v>
      </c>
      <c r="E14963" s="443">
        <v>269.23</v>
      </c>
      <c r="F14963" s="443">
        <v>0.41</v>
      </c>
      <c r="G14963" s="443">
        <v>65.61</v>
      </c>
      <c r="H14963" s="444">
        <v>3387.54</v>
      </c>
      <c r="I14963" s="444">
        <v>3096.17</v>
      </c>
      <c r="J14963" s="444">
        <v>1.74</v>
      </c>
      <c r="K14963" s="444">
        <v>289.63</v>
      </c>
      <c r="L14963" s="43">
        <v>10.104519015659955</v>
      </c>
      <c r="M14963" s="43">
        <v>11.500092857408163</v>
      </c>
      <c r="N14963" s="43">
        <v>4.2439024390243905</v>
      </c>
      <c r="O14963" s="43">
        <v>4.4144185337600979</v>
      </c>
      <c r="P14963" s="445"/>
      <c r="Q14963" s="445"/>
      <c r="R14963" s="445">
        <v>4</v>
      </c>
    </row>
    <row r="14964" spans="1:18" ht="24">
      <c r="A14964" s="441">
        <v>14</v>
      </c>
      <c r="B14964" s="438" t="s">
        <v>26879</v>
      </c>
      <c r="C14964" s="442" t="s">
        <v>26880</v>
      </c>
      <c r="D14964" s="443">
        <v>173.11</v>
      </c>
      <c r="E14964" s="443">
        <v>106.86</v>
      </c>
      <c r="F14964" s="443"/>
      <c r="G14964" s="443">
        <v>66.25</v>
      </c>
      <c r="H14964" s="444">
        <v>1512.99</v>
      </c>
      <c r="I14964" s="444">
        <v>1228.9000000000001</v>
      </c>
      <c r="J14964" s="444"/>
      <c r="K14964" s="444">
        <v>284.08999999999997</v>
      </c>
      <c r="L14964" s="43">
        <v>8.7400496793946036</v>
      </c>
      <c r="M14964" s="43">
        <v>11.500093580385553</v>
      </c>
      <c r="N14964" s="43" t="s">
        <v>1690</v>
      </c>
      <c r="O14964" s="43">
        <v>4.2881509433962259</v>
      </c>
      <c r="P14964" s="445"/>
      <c r="Q14964" s="445"/>
      <c r="R14964" s="445">
        <v>4</v>
      </c>
    </row>
    <row r="14965" spans="1:18" ht="12.75" customHeight="1">
      <c r="A14965" s="628" t="s">
        <v>26881</v>
      </c>
      <c r="B14965" s="629"/>
      <c r="C14965" s="629"/>
      <c r="D14965" s="629"/>
      <c r="E14965" s="629"/>
      <c r="F14965" s="629"/>
      <c r="G14965" s="629"/>
      <c r="H14965" s="629"/>
      <c r="I14965" s="629"/>
      <c r="J14965" s="629"/>
      <c r="K14965" s="629"/>
      <c r="L14965" s="629"/>
      <c r="M14965" s="629"/>
      <c r="N14965" s="629"/>
      <c r="O14965" s="629"/>
      <c r="P14965" s="629"/>
      <c r="Q14965" s="629"/>
      <c r="R14965" s="629"/>
    </row>
    <row r="14966" spans="1:18" ht="24">
      <c r="A14966" s="441">
        <v>15</v>
      </c>
      <c r="B14966" s="438" t="s">
        <v>26882</v>
      </c>
      <c r="C14966" s="442" t="s">
        <v>26883</v>
      </c>
      <c r="D14966" s="443">
        <v>38.97</v>
      </c>
      <c r="E14966" s="443">
        <v>38.21</v>
      </c>
      <c r="F14966" s="443"/>
      <c r="G14966" s="443">
        <v>0.76</v>
      </c>
      <c r="H14966" s="444">
        <v>448.18</v>
      </c>
      <c r="I14966" s="444">
        <v>439.44</v>
      </c>
      <c r="J14966" s="444"/>
      <c r="K14966" s="444">
        <v>8.74</v>
      </c>
      <c r="L14966" s="43">
        <v>11.50064151911727</v>
      </c>
      <c r="M14966" s="43">
        <v>11.500654278984559</v>
      </c>
      <c r="N14966" s="43" t="s">
        <v>1690</v>
      </c>
      <c r="O14966" s="43">
        <v>11.5</v>
      </c>
      <c r="P14966" s="445"/>
      <c r="Q14966" s="445"/>
      <c r="R14966" s="445">
        <v>5</v>
      </c>
    </row>
    <row r="14967" spans="1:18" ht="24">
      <c r="A14967" s="441">
        <v>16</v>
      </c>
      <c r="B14967" s="438" t="s">
        <v>26884</v>
      </c>
      <c r="C14967" s="442" t="s">
        <v>26885</v>
      </c>
      <c r="D14967" s="443">
        <v>61.79</v>
      </c>
      <c r="E14967" s="443">
        <v>58.45</v>
      </c>
      <c r="F14967" s="443"/>
      <c r="G14967" s="443">
        <v>3.34</v>
      </c>
      <c r="H14967" s="444">
        <v>695.76</v>
      </c>
      <c r="I14967" s="444">
        <v>672.15</v>
      </c>
      <c r="J14967" s="444"/>
      <c r="K14967" s="444">
        <v>23.61</v>
      </c>
      <c r="L14967" s="43">
        <v>11.260074445703188</v>
      </c>
      <c r="M14967" s="43">
        <v>11.49957228400342</v>
      </c>
      <c r="N14967" s="43" t="s">
        <v>1690</v>
      </c>
      <c r="O14967" s="43">
        <v>7.068862275449102</v>
      </c>
      <c r="P14967" s="445"/>
      <c r="Q14967" s="445"/>
      <c r="R14967" s="445">
        <v>5</v>
      </c>
    </row>
    <row r="14968" spans="1:18" ht="12.75" customHeight="1">
      <c r="A14968" s="628" t="s">
        <v>26886</v>
      </c>
      <c r="B14968" s="629"/>
      <c r="C14968" s="629"/>
      <c r="D14968" s="629"/>
      <c r="E14968" s="629"/>
      <c r="F14968" s="629"/>
      <c r="G14968" s="629"/>
      <c r="H14968" s="629"/>
      <c r="I14968" s="629"/>
      <c r="J14968" s="629"/>
      <c r="K14968" s="629"/>
      <c r="L14968" s="629"/>
      <c r="M14968" s="629"/>
      <c r="N14968" s="629"/>
      <c r="O14968" s="629"/>
      <c r="P14968" s="629"/>
      <c r="Q14968" s="629"/>
      <c r="R14968" s="629"/>
    </row>
    <row r="14969" spans="1:18" ht="24">
      <c r="A14969" s="441">
        <v>17</v>
      </c>
      <c r="B14969" s="438" t="s">
        <v>26887</v>
      </c>
      <c r="C14969" s="442" t="s">
        <v>26888</v>
      </c>
      <c r="D14969" s="443">
        <v>523.54999999999995</v>
      </c>
      <c r="E14969" s="443">
        <v>390.66</v>
      </c>
      <c r="F14969" s="443"/>
      <c r="G14969" s="443">
        <v>132.88999999999999</v>
      </c>
      <c r="H14969" s="444">
        <v>5025.01</v>
      </c>
      <c r="I14969" s="444">
        <v>4492.76</v>
      </c>
      <c r="J14969" s="444"/>
      <c r="K14969" s="444">
        <v>532.25</v>
      </c>
      <c r="L14969" s="43">
        <v>9.5979562601470736</v>
      </c>
      <c r="M14969" s="43">
        <v>11.500435161009573</v>
      </c>
      <c r="N14969" s="43" t="s">
        <v>1690</v>
      </c>
      <c r="O14969" s="43">
        <v>4.005192264278727</v>
      </c>
      <c r="P14969" s="445"/>
      <c r="Q14969" s="445"/>
      <c r="R14969" s="445">
        <v>6</v>
      </c>
    </row>
    <row r="14970" spans="1:18" ht="24">
      <c r="A14970" s="441">
        <v>18</v>
      </c>
      <c r="B14970" s="438" t="s">
        <v>26889</v>
      </c>
      <c r="C14970" s="442" t="s">
        <v>26890</v>
      </c>
      <c r="D14970" s="443">
        <v>342.45</v>
      </c>
      <c r="E14970" s="443">
        <v>260.82</v>
      </c>
      <c r="F14970" s="443"/>
      <c r="G14970" s="443">
        <v>81.63</v>
      </c>
      <c r="H14970" s="444">
        <v>3331.1</v>
      </c>
      <c r="I14970" s="444">
        <v>2999.58</v>
      </c>
      <c r="J14970" s="444"/>
      <c r="K14970" s="444">
        <v>331.52</v>
      </c>
      <c r="L14970" s="43">
        <v>9.7272594539348809</v>
      </c>
      <c r="M14970" s="43">
        <v>11.500575109270761</v>
      </c>
      <c r="N14970" s="43" t="s">
        <v>1690</v>
      </c>
      <c r="O14970" s="43">
        <v>4.0612519906896978</v>
      </c>
      <c r="P14970" s="445"/>
      <c r="Q14970" s="445"/>
      <c r="R14970" s="445">
        <v>6</v>
      </c>
    </row>
    <row r="14971" spans="1:18" ht="24">
      <c r="A14971" s="441">
        <v>19</v>
      </c>
      <c r="B14971" s="438" t="s">
        <v>26891</v>
      </c>
      <c r="C14971" s="442" t="s">
        <v>26892</v>
      </c>
      <c r="D14971" s="443">
        <v>456.45</v>
      </c>
      <c r="E14971" s="443">
        <v>343.55</v>
      </c>
      <c r="F14971" s="443"/>
      <c r="G14971" s="443">
        <v>112.9</v>
      </c>
      <c r="H14971" s="444">
        <v>4431.6899999999996</v>
      </c>
      <c r="I14971" s="444">
        <v>3950.99</v>
      </c>
      <c r="J14971" s="444"/>
      <c r="K14971" s="444">
        <v>480.7</v>
      </c>
      <c r="L14971" s="43">
        <v>9.7090371344068345</v>
      </c>
      <c r="M14971" s="43">
        <v>11.500480279435306</v>
      </c>
      <c r="N14971" s="43" t="s">
        <v>1690</v>
      </c>
      <c r="O14971" s="43">
        <v>4.2577502214348977</v>
      </c>
      <c r="P14971" s="445"/>
      <c r="Q14971" s="445"/>
      <c r="R14971" s="445">
        <v>6</v>
      </c>
    </row>
    <row r="14972" spans="1:18" ht="12.75" customHeight="1">
      <c r="A14972" s="628" t="s">
        <v>26893</v>
      </c>
      <c r="B14972" s="629"/>
      <c r="C14972" s="629"/>
      <c r="D14972" s="629"/>
      <c r="E14972" s="629"/>
      <c r="F14972" s="629"/>
      <c r="G14972" s="629"/>
      <c r="H14972" s="629"/>
      <c r="I14972" s="629"/>
      <c r="J14972" s="629"/>
      <c r="K14972" s="629"/>
      <c r="L14972" s="629"/>
      <c r="M14972" s="629"/>
      <c r="N14972" s="629"/>
      <c r="O14972" s="629"/>
      <c r="P14972" s="629"/>
      <c r="Q14972" s="629"/>
      <c r="R14972" s="629"/>
    </row>
    <row r="14973" spans="1:18" ht="24">
      <c r="A14973" s="441">
        <v>20</v>
      </c>
      <c r="B14973" s="438" t="s">
        <v>26894</v>
      </c>
      <c r="C14973" s="442" t="s">
        <v>26895</v>
      </c>
      <c r="D14973" s="443">
        <v>36.270000000000003</v>
      </c>
      <c r="E14973" s="443">
        <v>27.83</v>
      </c>
      <c r="F14973" s="443"/>
      <c r="G14973" s="443">
        <v>8.44</v>
      </c>
      <c r="H14973" s="444">
        <v>356.85</v>
      </c>
      <c r="I14973" s="444">
        <v>320</v>
      </c>
      <c r="J14973" s="444"/>
      <c r="K14973" s="444">
        <v>36.85</v>
      </c>
      <c r="L14973" s="43">
        <v>9.8387096774193541</v>
      </c>
      <c r="M14973" s="43">
        <v>11.498383039885017</v>
      </c>
      <c r="N14973" s="43" t="s">
        <v>1690</v>
      </c>
      <c r="O14973" s="43">
        <v>4.3661137440758298</v>
      </c>
      <c r="P14973" s="445"/>
      <c r="Q14973" s="445"/>
      <c r="R14973" s="445">
        <v>7</v>
      </c>
    </row>
    <row r="14974" spans="1:18" ht="12.75" customHeight="1">
      <c r="A14974" s="628" t="s">
        <v>26896</v>
      </c>
      <c r="B14974" s="629"/>
      <c r="C14974" s="629"/>
      <c r="D14974" s="629"/>
      <c r="E14974" s="629"/>
      <c r="F14974" s="629"/>
      <c r="G14974" s="629"/>
      <c r="H14974" s="629"/>
      <c r="I14974" s="629"/>
      <c r="J14974" s="629"/>
      <c r="K14974" s="629"/>
      <c r="L14974" s="629"/>
      <c r="M14974" s="629"/>
      <c r="N14974" s="629"/>
      <c r="O14974" s="629"/>
      <c r="P14974" s="629"/>
      <c r="Q14974" s="629"/>
      <c r="R14974" s="629"/>
    </row>
    <row r="14975" spans="1:18" ht="24">
      <c r="A14975" s="441">
        <v>21</v>
      </c>
      <c r="B14975" s="438" t="s">
        <v>26897</v>
      </c>
      <c r="C14975" s="442" t="s">
        <v>26898</v>
      </c>
      <c r="D14975" s="443">
        <v>729.21</v>
      </c>
      <c r="E14975" s="443">
        <v>561.69000000000005</v>
      </c>
      <c r="F14975" s="443"/>
      <c r="G14975" s="443">
        <v>167.52</v>
      </c>
      <c r="H14975" s="444">
        <v>7181.77</v>
      </c>
      <c r="I14975" s="444">
        <v>6459.67</v>
      </c>
      <c r="J14975" s="444"/>
      <c r="K14975" s="444">
        <v>722.1</v>
      </c>
      <c r="L14975" s="43">
        <v>9.8486992773000921</v>
      </c>
      <c r="M14975" s="43">
        <v>11.50041838024533</v>
      </c>
      <c r="N14975" s="43" t="s">
        <v>1690</v>
      </c>
      <c r="O14975" s="43">
        <v>4.3105300859598854</v>
      </c>
      <c r="P14975" s="445"/>
      <c r="Q14975" s="445"/>
      <c r="R14975" s="445">
        <v>8</v>
      </c>
    </row>
    <row r="14976" spans="1:18" ht="24">
      <c r="A14976" s="441">
        <v>22</v>
      </c>
      <c r="B14976" s="438" t="s">
        <v>26899</v>
      </c>
      <c r="C14976" s="442" t="s">
        <v>26900</v>
      </c>
      <c r="D14976" s="443">
        <v>1276.19</v>
      </c>
      <c r="E14976" s="443">
        <v>988.29</v>
      </c>
      <c r="F14976" s="443"/>
      <c r="G14976" s="443">
        <v>287.89999999999998</v>
      </c>
      <c r="H14976" s="444">
        <v>12607.42</v>
      </c>
      <c r="I14976" s="444">
        <v>11365.75</v>
      </c>
      <c r="J14976" s="444"/>
      <c r="K14976" s="444">
        <v>1241.67</v>
      </c>
      <c r="L14976" s="43">
        <v>9.8789521936388773</v>
      </c>
      <c r="M14976" s="43">
        <v>11.500419917230772</v>
      </c>
      <c r="N14976" s="43" t="s">
        <v>1690</v>
      </c>
      <c r="O14976" s="43">
        <v>4.3128516846127134</v>
      </c>
      <c r="P14976" s="445"/>
      <c r="Q14976" s="445"/>
      <c r="R14976" s="445">
        <v>8</v>
      </c>
    </row>
    <row r="14977" spans="1:18" ht="24">
      <c r="A14977" s="441">
        <v>23</v>
      </c>
      <c r="B14977" s="438" t="s">
        <v>26901</v>
      </c>
      <c r="C14977" s="442" t="s">
        <v>26902</v>
      </c>
      <c r="D14977" s="443">
        <v>226.77</v>
      </c>
      <c r="E14977" s="443">
        <v>165.46</v>
      </c>
      <c r="F14977" s="443"/>
      <c r="G14977" s="443">
        <v>61.31</v>
      </c>
      <c r="H14977" s="444">
        <v>2163.81</v>
      </c>
      <c r="I14977" s="444">
        <v>1902.82</v>
      </c>
      <c r="J14977" s="444"/>
      <c r="K14977" s="444">
        <v>260.99</v>
      </c>
      <c r="L14977" s="43">
        <v>9.5418706178065875</v>
      </c>
      <c r="M14977" s="43">
        <v>11.500181312703976</v>
      </c>
      <c r="N14977" s="43" t="s">
        <v>1690</v>
      </c>
      <c r="O14977" s="43">
        <v>4.2568912086119717</v>
      </c>
      <c r="P14977" s="445"/>
      <c r="Q14977" s="445"/>
      <c r="R14977" s="445">
        <v>8</v>
      </c>
    </row>
    <row r="14978" spans="1:18" ht="12.75" customHeight="1">
      <c r="A14978" s="628" t="s">
        <v>26903</v>
      </c>
      <c r="B14978" s="629"/>
      <c r="C14978" s="629"/>
      <c r="D14978" s="629"/>
      <c r="E14978" s="629"/>
      <c r="F14978" s="629"/>
      <c r="G14978" s="629"/>
      <c r="H14978" s="629"/>
      <c r="I14978" s="629"/>
      <c r="J14978" s="629"/>
      <c r="K14978" s="629"/>
      <c r="L14978" s="629"/>
      <c r="M14978" s="629"/>
      <c r="N14978" s="629"/>
      <c r="O14978" s="629"/>
      <c r="P14978" s="629"/>
      <c r="Q14978" s="629"/>
      <c r="R14978" s="629"/>
    </row>
    <row r="14979" spans="1:18" ht="24">
      <c r="A14979" s="441">
        <v>24</v>
      </c>
      <c r="B14979" s="438" t="s">
        <v>26904</v>
      </c>
      <c r="C14979" s="442" t="s">
        <v>26905</v>
      </c>
      <c r="D14979" s="443">
        <v>599.09</v>
      </c>
      <c r="E14979" s="443">
        <v>461.9</v>
      </c>
      <c r="F14979" s="443">
        <v>0.28999999999999998</v>
      </c>
      <c r="G14979" s="443">
        <v>136.9</v>
      </c>
      <c r="H14979" s="444">
        <v>5987.75</v>
      </c>
      <c r="I14979" s="444">
        <v>5312.03</v>
      </c>
      <c r="J14979" s="444">
        <v>1.25</v>
      </c>
      <c r="K14979" s="444">
        <v>674.47</v>
      </c>
      <c r="L14979" s="43">
        <v>9.9947420254051966</v>
      </c>
      <c r="M14979" s="43">
        <v>11.500389694739122</v>
      </c>
      <c r="N14979" s="43">
        <v>4.3103448275862073</v>
      </c>
      <c r="O14979" s="43">
        <v>4.9267348429510589</v>
      </c>
      <c r="P14979" s="445"/>
      <c r="Q14979" s="445"/>
      <c r="R14979" s="445">
        <v>9</v>
      </c>
    </row>
    <row r="14980" spans="1:18" ht="12.75" customHeight="1">
      <c r="A14980" s="628" t="s">
        <v>26906</v>
      </c>
      <c r="B14980" s="629"/>
      <c r="C14980" s="629"/>
      <c r="D14980" s="629"/>
      <c r="E14980" s="629"/>
      <c r="F14980" s="629"/>
      <c r="G14980" s="629"/>
      <c r="H14980" s="629"/>
      <c r="I14980" s="629"/>
      <c r="J14980" s="629"/>
      <c r="K14980" s="629"/>
      <c r="L14980" s="629"/>
      <c r="M14980" s="629"/>
      <c r="N14980" s="629"/>
      <c r="O14980" s="629"/>
      <c r="P14980" s="629"/>
      <c r="Q14980" s="629"/>
      <c r="R14980" s="629"/>
    </row>
    <row r="14981" spans="1:18" ht="24">
      <c r="A14981" s="441">
        <v>25</v>
      </c>
      <c r="B14981" s="438" t="s">
        <v>26907</v>
      </c>
      <c r="C14981" s="442" t="s">
        <v>26908</v>
      </c>
      <c r="D14981" s="443">
        <v>534.12</v>
      </c>
      <c r="E14981" s="443">
        <v>426.28</v>
      </c>
      <c r="F14981" s="443">
        <v>0.37</v>
      </c>
      <c r="G14981" s="443">
        <v>107.47</v>
      </c>
      <c r="H14981" s="444">
        <v>5349.81</v>
      </c>
      <c r="I14981" s="444">
        <v>4902.3900000000003</v>
      </c>
      <c r="J14981" s="444">
        <v>1.58</v>
      </c>
      <c r="K14981" s="444">
        <v>445.84</v>
      </c>
      <c r="L14981" s="43">
        <v>10.016119973039768</v>
      </c>
      <c r="M14981" s="43">
        <v>11.500398798911515</v>
      </c>
      <c r="N14981" s="43">
        <v>4.2702702702702702</v>
      </c>
      <c r="O14981" s="43">
        <v>4.1485065599702242</v>
      </c>
      <c r="P14981" s="445"/>
      <c r="Q14981" s="445"/>
      <c r="R14981" s="445">
        <v>10</v>
      </c>
    </row>
    <row r="14982" spans="1:18" ht="24">
      <c r="A14982" s="441">
        <v>26</v>
      </c>
      <c r="B14982" s="438" t="s">
        <v>26909</v>
      </c>
      <c r="C14982" s="442" t="s">
        <v>26910</v>
      </c>
      <c r="D14982" s="443">
        <v>886.89</v>
      </c>
      <c r="E14982" s="443">
        <v>700.89</v>
      </c>
      <c r="F14982" s="443">
        <v>0.37</v>
      </c>
      <c r="G14982" s="443">
        <v>185.63</v>
      </c>
      <c r="H14982" s="444">
        <v>8870.25</v>
      </c>
      <c r="I14982" s="444">
        <v>8060.54</v>
      </c>
      <c r="J14982" s="444">
        <v>1.58</v>
      </c>
      <c r="K14982" s="444">
        <v>808.13</v>
      </c>
      <c r="L14982" s="43">
        <v>10.001522172986503</v>
      </c>
      <c r="M14982" s="43">
        <v>11.500435161009573</v>
      </c>
      <c r="N14982" s="43">
        <v>4.2702702702702702</v>
      </c>
      <c r="O14982" s="43">
        <v>4.3534450250498304</v>
      </c>
      <c r="P14982" s="445"/>
      <c r="Q14982" s="445"/>
      <c r="R14982" s="445">
        <v>10</v>
      </c>
    </row>
    <row r="14983" spans="1:18" ht="24">
      <c r="A14983" s="441">
        <v>27</v>
      </c>
      <c r="B14983" s="438" t="s">
        <v>26911</v>
      </c>
      <c r="C14983" s="442" t="s">
        <v>26912</v>
      </c>
      <c r="D14983" s="443">
        <v>1512.2</v>
      </c>
      <c r="E14983" s="443">
        <v>1183.47</v>
      </c>
      <c r="F14983" s="443">
        <v>0.59</v>
      </c>
      <c r="G14983" s="443">
        <v>328.14</v>
      </c>
      <c r="H14983" s="444">
        <v>14988.46</v>
      </c>
      <c r="I14983" s="444">
        <v>13610.42</v>
      </c>
      <c r="J14983" s="444">
        <v>2.4900000000000002</v>
      </c>
      <c r="K14983" s="444">
        <v>1375.55</v>
      </c>
      <c r="L14983" s="43">
        <v>9.9116915751884669</v>
      </c>
      <c r="M14983" s="43">
        <v>11.500435161009573</v>
      </c>
      <c r="N14983" s="43">
        <v>4.2203389830508478</v>
      </c>
      <c r="O14983" s="43">
        <v>4.1919607484610228</v>
      </c>
      <c r="P14983" s="445"/>
      <c r="Q14983" s="445"/>
      <c r="R14983" s="445">
        <v>10</v>
      </c>
    </row>
    <row r="14984" spans="1:18" ht="24">
      <c r="A14984" s="441">
        <v>28</v>
      </c>
      <c r="B14984" s="438" t="s">
        <v>26913</v>
      </c>
      <c r="C14984" s="442" t="s">
        <v>26914</v>
      </c>
      <c r="D14984" s="443">
        <v>1885.81</v>
      </c>
      <c r="E14984" s="443">
        <v>1459.23</v>
      </c>
      <c r="F14984" s="443">
        <v>0.37</v>
      </c>
      <c r="G14984" s="443">
        <v>426.21</v>
      </c>
      <c r="H14984" s="444">
        <v>18630.59</v>
      </c>
      <c r="I14984" s="444">
        <v>16781.78</v>
      </c>
      <c r="J14984" s="444">
        <v>1.58</v>
      </c>
      <c r="K14984" s="444">
        <v>1847.23</v>
      </c>
      <c r="L14984" s="43">
        <v>9.8793568811280039</v>
      </c>
      <c r="M14984" s="43">
        <v>11.500435161009573</v>
      </c>
      <c r="N14984" s="43">
        <v>4.2702702702702702</v>
      </c>
      <c r="O14984" s="43">
        <v>4.3340841369278058</v>
      </c>
      <c r="P14984" s="445"/>
      <c r="Q14984" s="445"/>
      <c r="R14984" s="445">
        <v>10</v>
      </c>
    </row>
    <row r="14985" spans="1:18" ht="12.75" customHeight="1">
      <c r="A14985" s="628" t="s">
        <v>26915</v>
      </c>
      <c r="B14985" s="629"/>
      <c r="C14985" s="629"/>
      <c r="D14985" s="629"/>
      <c r="E14985" s="629"/>
      <c r="F14985" s="629"/>
      <c r="G14985" s="629"/>
      <c r="H14985" s="629"/>
      <c r="I14985" s="629"/>
      <c r="J14985" s="629"/>
      <c r="K14985" s="629"/>
      <c r="L14985" s="629"/>
      <c r="M14985" s="629"/>
      <c r="N14985" s="629"/>
      <c r="O14985" s="629"/>
      <c r="P14985" s="629"/>
      <c r="Q14985" s="629"/>
      <c r="R14985" s="629"/>
    </row>
    <row r="14986" spans="1:18" ht="24">
      <c r="A14986" s="441">
        <v>29</v>
      </c>
      <c r="B14986" s="438" t="s">
        <v>26916</v>
      </c>
      <c r="C14986" s="442" t="s">
        <v>26917</v>
      </c>
      <c r="D14986" s="443">
        <v>143.43</v>
      </c>
      <c r="E14986" s="443">
        <v>105.65</v>
      </c>
      <c r="F14986" s="443"/>
      <c r="G14986" s="443">
        <v>37.78</v>
      </c>
      <c r="H14986" s="444">
        <v>1373.16</v>
      </c>
      <c r="I14986" s="444">
        <v>1214.95</v>
      </c>
      <c r="J14986" s="444"/>
      <c r="K14986" s="444">
        <v>158.21</v>
      </c>
      <c r="L14986" s="43">
        <v>9.5737293453252459</v>
      </c>
      <c r="M14986" s="43">
        <v>11.499763369616659</v>
      </c>
      <c r="N14986" s="43" t="s">
        <v>1690</v>
      </c>
      <c r="O14986" s="43">
        <v>4.1876654314452093</v>
      </c>
      <c r="P14986" s="445"/>
      <c r="Q14986" s="445"/>
      <c r="R14986" s="445">
        <v>11</v>
      </c>
    </row>
    <row r="14987" spans="1:18" ht="24">
      <c r="A14987" s="441">
        <v>30</v>
      </c>
      <c r="B14987" s="438" t="s">
        <v>26918</v>
      </c>
      <c r="C14987" s="442" t="s">
        <v>26919</v>
      </c>
      <c r="D14987" s="443">
        <v>208.12</v>
      </c>
      <c r="E14987" s="443">
        <v>163.58000000000001</v>
      </c>
      <c r="F14987" s="443"/>
      <c r="G14987" s="443">
        <v>44.54</v>
      </c>
      <c r="H14987" s="444">
        <v>2073.69</v>
      </c>
      <c r="I14987" s="444">
        <v>1881.22</v>
      </c>
      <c r="J14987" s="444"/>
      <c r="K14987" s="444">
        <v>192.47</v>
      </c>
      <c r="L14987" s="43">
        <v>9.9639150490101862</v>
      </c>
      <c r="M14987" s="43">
        <v>11.500305660838732</v>
      </c>
      <c r="N14987" s="43" t="s">
        <v>1690</v>
      </c>
      <c r="O14987" s="43">
        <v>4.3212842388863946</v>
      </c>
      <c r="P14987" s="445"/>
      <c r="Q14987" s="445"/>
      <c r="R14987" s="445">
        <v>11</v>
      </c>
    </row>
    <row r="14988" spans="1:18" ht="12.75" customHeight="1">
      <c r="A14988" s="628" t="s">
        <v>26920</v>
      </c>
      <c r="B14988" s="629"/>
      <c r="C14988" s="629"/>
      <c r="D14988" s="629"/>
      <c r="E14988" s="629"/>
      <c r="F14988" s="629"/>
      <c r="G14988" s="629"/>
      <c r="H14988" s="629"/>
      <c r="I14988" s="629"/>
      <c r="J14988" s="629"/>
      <c r="K14988" s="629"/>
      <c r="L14988" s="629"/>
      <c r="M14988" s="629"/>
      <c r="N14988" s="629"/>
      <c r="O14988" s="629"/>
      <c r="P14988" s="629"/>
      <c r="Q14988" s="629"/>
      <c r="R14988" s="629"/>
    </row>
    <row r="14989" spans="1:18" ht="24">
      <c r="A14989" s="441">
        <v>31</v>
      </c>
      <c r="B14989" s="438" t="s">
        <v>26921</v>
      </c>
      <c r="C14989" s="442" t="s">
        <v>26922</v>
      </c>
      <c r="D14989" s="443">
        <v>355.64</v>
      </c>
      <c r="E14989" s="443">
        <v>293.08999999999997</v>
      </c>
      <c r="F14989" s="443">
        <v>0.28999999999999998</v>
      </c>
      <c r="G14989" s="443">
        <v>62.26</v>
      </c>
      <c r="H14989" s="444">
        <v>3689.03</v>
      </c>
      <c r="I14989" s="444">
        <v>3370.51</v>
      </c>
      <c r="J14989" s="444">
        <v>1.25</v>
      </c>
      <c r="K14989" s="444">
        <v>317.27</v>
      </c>
      <c r="L14989" s="43">
        <v>10.372933303340458</v>
      </c>
      <c r="M14989" s="43">
        <v>11.499914701968681</v>
      </c>
      <c r="N14989" s="43">
        <v>4.3103448275862073</v>
      </c>
      <c r="O14989" s="43">
        <v>5.0958882107291998</v>
      </c>
      <c r="P14989" s="445"/>
      <c r="Q14989" s="445"/>
      <c r="R14989" s="445">
        <v>12</v>
      </c>
    </row>
    <row r="14990" spans="1:18" ht="24">
      <c r="A14990" s="441">
        <v>32</v>
      </c>
      <c r="B14990" s="438" t="s">
        <v>26923</v>
      </c>
      <c r="C14990" s="442" t="s">
        <v>26924</v>
      </c>
      <c r="D14990" s="443">
        <v>546.54</v>
      </c>
      <c r="E14990" s="443">
        <v>479.39</v>
      </c>
      <c r="F14990" s="443">
        <v>1.1599999999999999</v>
      </c>
      <c r="G14990" s="443">
        <v>65.989999999999995</v>
      </c>
      <c r="H14990" s="444">
        <v>5878.14</v>
      </c>
      <c r="I14990" s="444">
        <v>5513.01</v>
      </c>
      <c r="J14990" s="444">
        <v>4.96</v>
      </c>
      <c r="K14990" s="444">
        <v>360.17</v>
      </c>
      <c r="L14990" s="43">
        <v>10.755187177516744</v>
      </c>
      <c r="M14990" s="43">
        <v>11.500052149606793</v>
      </c>
      <c r="N14990" s="43">
        <v>4.2758620689655178</v>
      </c>
      <c r="O14990" s="43">
        <v>5.4579481739657529</v>
      </c>
      <c r="P14990" s="445"/>
      <c r="Q14990" s="445"/>
      <c r="R14990" s="445">
        <v>12</v>
      </c>
    </row>
    <row r="14991" spans="1:18" ht="24">
      <c r="A14991" s="441">
        <v>33</v>
      </c>
      <c r="B14991" s="438" t="s">
        <v>26925</v>
      </c>
      <c r="C14991" s="442" t="s">
        <v>26926</v>
      </c>
      <c r="D14991" s="443">
        <v>329.8</v>
      </c>
      <c r="E14991" s="443">
        <v>269</v>
      </c>
      <c r="F14991" s="443"/>
      <c r="G14991" s="443">
        <v>60.8</v>
      </c>
      <c r="H14991" s="444">
        <v>3398.67</v>
      </c>
      <c r="I14991" s="444">
        <v>3093.56</v>
      </c>
      <c r="J14991" s="444"/>
      <c r="K14991" s="444">
        <v>305.11</v>
      </c>
      <c r="L14991" s="43">
        <v>10.305245603395997</v>
      </c>
      <c r="M14991" s="43">
        <v>11.500223048327138</v>
      </c>
      <c r="N14991" s="43" t="s">
        <v>1690</v>
      </c>
      <c r="O14991" s="43">
        <v>5.0182565789473692</v>
      </c>
      <c r="P14991" s="445"/>
      <c r="Q14991" s="445"/>
      <c r="R14991" s="445">
        <v>12</v>
      </c>
    </row>
    <row r="14992" spans="1:18" ht="12.75" customHeight="1">
      <c r="A14992" s="628" t="s">
        <v>26927</v>
      </c>
      <c r="B14992" s="629"/>
      <c r="C14992" s="629"/>
      <c r="D14992" s="629"/>
      <c r="E14992" s="629"/>
      <c r="F14992" s="629"/>
      <c r="G14992" s="629"/>
      <c r="H14992" s="629"/>
      <c r="I14992" s="629"/>
      <c r="J14992" s="629"/>
      <c r="K14992" s="629"/>
      <c r="L14992" s="629"/>
      <c r="M14992" s="629"/>
      <c r="N14992" s="629"/>
      <c r="O14992" s="629"/>
      <c r="P14992" s="629"/>
      <c r="Q14992" s="629"/>
      <c r="R14992" s="629"/>
    </row>
    <row r="14993" spans="1:18" ht="24">
      <c r="A14993" s="441">
        <v>34</v>
      </c>
      <c r="B14993" s="438" t="s">
        <v>26928</v>
      </c>
      <c r="C14993" s="442" t="s">
        <v>26929</v>
      </c>
      <c r="D14993" s="443">
        <v>202.68</v>
      </c>
      <c r="E14993" s="443">
        <v>163.58000000000001</v>
      </c>
      <c r="F14993" s="443"/>
      <c r="G14993" s="443">
        <v>39.1</v>
      </c>
      <c r="H14993" s="444">
        <v>2055.37</v>
      </c>
      <c r="I14993" s="444">
        <v>1881.22</v>
      </c>
      <c r="J14993" s="444"/>
      <c r="K14993" s="444">
        <v>174.15</v>
      </c>
      <c r="L14993" s="43">
        <v>10.140961120978883</v>
      </c>
      <c r="M14993" s="43">
        <v>11.500305660838732</v>
      </c>
      <c r="N14993" s="43" t="s">
        <v>1690</v>
      </c>
      <c r="O14993" s="43">
        <v>4.4539641943734019</v>
      </c>
      <c r="P14993" s="445"/>
      <c r="Q14993" s="445"/>
      <c r="R14993" s="445">
        <v>13</v>
      </c>
    </row>
    <row r="14994" spans="1:18" ht="24">
      <c r="A14994" s="441">
        <v>35</v>
      </c>
      <c r="B14994" s="438" t="s">
        <v>26930</v>
      </c>
      <c r="C14994" s="442" t="s">
        <v>26931</v>
      </c>
      <c r="D14994" s="443">
        <v>221.03</v>
      </c>
      <c r="E14994" s="443">
        <v>176.08</v>
      </c>
      <c r="F14994" s="443"/>
      <c r="G14994" s="443">
        <v>44.95</v>
      </c>
      <c r="H14994" s="444">
        <v>2222.86</v>
      </c>
      <c r="I14994" s="444">
        <v>2024.92</v>
      </c>
      <c r="J14994" s="444"/>
      <c r="K14994" s="444">
        <v>197.94</v>
      </c>
      <c r="L14994" s="43">
        <v>10.056824865402888</v>
      </c>
      <c r="M14994" s="43">
        <v>11.5</v>
      </c>
      <c r="N14994" s="43" t="s">
        <v>1690</v>
      </c>
      <c r="O14994" s="43">
        <v>4.4035595105672964</v>
      </c>
      <c r="P14994" s="445"/>
      <c r="Q14994" s="445"/>
      <c r="R14994" s="445">
        <v>13</v>
      </c>
    </row>
    <row r="14995" spans="1:18" ht="24">
      <c r="A14995" s="441">
        <v>36</v>
      </c>
      <c r="B14995" s="438" t="s">
        <v>26932</v>
      </c>
      <c r="C14995" s="442" t="s">
        <v>26933</v>
      </c>
      <c r="D14995" s="443">
        <v>157.19</v>
      </c>
      <c r="E14995" s="443">
        <v>128.37</v>
      </c>
      <c r="F14995" s="443"/>
      <c r="G14995" s="443">
        <v>28.82</v>
      </c>
      <c r="H14995" s="444">
        <v>1622.85</v>
      </c>
      <c r="I14995" s="444">
        <v>1476.23</v>
      </c>
      <c r="J14995" s="444"/>
      <c r="K14995" s="444">
        <v>146.62</v>
      </c>
      <c r="L14995" s="43">
        <v>10.324130033717157</v>
      </c>
      <c r="M14995" s="43">
        <v>11.499805250447924</v>
      </c>
      <c r="N14995" s="43" t="s">
        <v>1690</v>
      </c>
      <c r="O14995" s="43">
        <v>5.087439278278973</v>
      </c>
      <c r="P14995" s="445"/>
      <c r="Q14995" s="445"/>
      <c r="R14995" s="445">
        <v>13</v>
      </c>
    </row>
    <row r="14996" spans="1:18" ht="24">
      <c r="A14996" s="441">
        <v>37</v>
      </c>
      <c r="B14996" s="438" t="s">
        <v>26934</v>
      </c>
      <c r="C14996" s="442" t="s">
        <v>26935</v>
      </c>
      <c r="D14996" s="443">
        <v>316.18</v>
      </c>
      <c r="E14996" s="443">
        <v>245.38</v>
      </c>
      <c r="F14996" s="443">
        <v>0.28999999999999998</v>
      </c>
      <c r="G14996" s="443">
        <v>70.510000000000005</v>
      </c>
      <c r="H14996" s="444">
        <v>3168.39</v>
      </c>
      <c r="I14996" s="444">
        <v>2821.82</v>
      </c>
      <c r="J14996" s="444">
        <v>1.25</v>
      </c>
      <c r="K14996" s="444">
        <v>345.32</v>
      </c>
      <c r="L14996" s="43">
        <v>10.020842558036561</v>
      </c>
      <c r="M14996" s="43">
        <v>11.499796234411933</v>
      </c>
      <c r="N14996" s="43">
        <v>4.3103448275862073</v>
      </c>
      <c r="O14996" s="43">
        <v>4.8974613529995743</v>
      </c>
      <c r="P14996" s="445"/>
      <c r="Q14996" s="445"/>
      <c r="R14996" s="445">
        <v>13</v>
      </c>
    </row>
    <row r="14997" spans="1:18" ht="24">
      <c r="A14997" s="441">
        <v>38</v>
      </c>
      <c r="B14997" s="438" t="s">
        <v>26936</v>
      </c>
      <c r="C14997" s="442" t="s">
        <v>26937</v>
      </c>
      <c r="D14997" s="443">
        <v>321.93</v>
      </c>
      <c r="E14997" s="443">
        <v>269.23</v>
      </c>
      <c r="F14997" s="443">
        <v>0.28999999999999998</v>
      </c>
      <c r="G14997" s="443">
        <v>52.41</v>
      </c>
      <c r="H14997" s="444">
        <v>3337.66</v>
      </c>
      <c r="I14997" s="444">
        <v>3096.17</v>
      </c>
      <c r="J14997" s="444">
        <v>1.25</v>
      </c>
      <c r="K14997" s="444">
        <v>240.24</v>
      </c>
      <c r="L14997" s="43">
        <v>10.367657565309228</v>
      </c>
      <c r="M14997" s="43">
        <v>11.500092857408163</v>
      </c>
      <c r="N14997" s="43">
        <v>4.3103448275862073</v>
      </c>
      <c r="O14997" s="43">
        <v>4.5838580423583286</v>
      </c>
      <c r="P14997" s="445"/>
      <c r="Q14997" s="445"/>
      <c r="R14997" s="445">
        <v>13</v>
      </c>
    </row>
    <row r="14998" spans="1:18" ht="24">
      <c r="A14998" s="441">
        <v>39</v>
      </c>
      <c r="B14998" s="438" t="s">
        <v>26938</v>
      </c>
      <c r="C14998" s="442" t="s">
        <v>26939</v>
      </c>
      <c r="D14998" s="443">
        <v>132.97</v>
      </c>
      <c r="E14998" s="443">
        <v>93.15</v>
      </c>
      <c r="F14998" s="443"/>
      <c r="G14998" s="443">
        <v>39.82</v>
      </c>
      <c r="H14998" s="444">
        <v>1233.76</v>
      </c>
      <c r="I14998" s="444">
        <v>1071.25</v>
      </c>
      <c r="J14998" s="444"/>
      <c r="K14998" s="444">
        <v>162.51</v>
      </c>
      <c r="L14998" s="43">
        <v>9.2784838685417768</v>
      </c>
      <c r="M14998" s="43">
        <v>11.500268384326354</v>
      </c>
      <c r="N14998" s="43" t="s">
        <v>1690</v>
      </c>
      <c r="O14998" s="43">
        <v>4.0811150175791058</v>
      </c>
      <c r="P14998" s="445"/>
      <c r="Q14998" s="445"/>
      <c r="R14998" s="445">
        <v>13</v>
      </c>
    </row>
    <row r="14999" spans="1:18" ht="24">
      <c r="A14999" s="441">
        <v>40</v>
      </c>
      <c r="B14999" s="438" t="s">
        <v>26940</v>
      </c>
      <c r="C14999" s="442" t="s">
        <v>26941</v>
      </c>
      <c r="D14999" s="443">
        <v>181.16</v>
      </c>
      <c r="E14999" s="443">
        <v>142.47999999999999</v>
      </c>
      <c r="F14999" s="443"/>
      <c r="G14999" s="443">
        <v>38.68</v>
      </c>
      <c r="H14999" s="444">
        <v>1807.86</v>
      </c>
      <c r="I14999" s="444">
        <v>1638.54</v>
      </c>
      <c r="J14999" s="444"/>
      <c r="K14999" s="444">
        <v>169.32</v>
      </c>
      <c r="L14999" s="43">
        <v>9.9793552660631484</v>
      </c>
      <c r="M14999" s="43">
        <v>11.500140370578327</v>
      </c>
      <c r="N14999" s="43" t="s">
        <v>1690</v>
      </c>
      <c r="O14999" s="43">
        <v>4.3774560496380559</v>
      </c>
      <c r="P14999" s="445"/>
      <c r="Q14999" s="445"/>
      <c r="R14999" s="445">
        <v>13</v>
      </c>
    </row>
    <row r="15000" spans="1:18" ht="24">
      <c r="A15000" s="441">
        <v>41</v>
      </c>
      <c r="B15000" s="438" t="s">
        <v>26942</v>
      </c>
      <c r="C15000" s="442" t="s">
        <v>26943</v>
      </c>
      <c r="D15000" s="443">
        <v>153.75</v>
      </c>
      <c r="E15000" s="443">
        <v>118.35</v>
      </c>
      <c r="F15000" s="443"/>
      <c r="G15000" s="443">
        <v>35.4</v>
      </c>
      <c r="H15000" s="444">
        <v>1508.25</v>
      </c>
      <c r="I15000" s="444">
        <v>1361.04</v>
      </c>
      <c r="J15000" s="444"/>
      <c r="K15000" s="444">
        <v>147.21</v>
      </c>
      <c r="L15000" s="43">
        <v>9.8097560975609763</v>
      </c>
      <c r="M15000" s="43">
        <v>11.500126742712295</v>
      </c>
      <c r="N15000" s="43" t="s">
        <v>1690</v>
      </c>
      <c r="O15000" s="43">
        <v>4.1584745762711872</v>
      </c>
      <c r="P15000" s="445"/>
      <c r="Q15000" s="445"/>
      <c r="R15000" s="445">
        <v>13</v>
      </c>
    </row>
    <row r="15001" spans="1:18" ht="24">
      <c r="A15001" s="441">
        <v>42</v>
      </c>
      <c r="B15001" s="438" t="s">
        <v>26944</v>
      </c>
      <c r="C15001" s="442" t="s">
        <v>26945</v>
      </c>
      <c r="D15001" s="443">
        <v>113.49</v>
      </c>
      <c r="E15001" s="443">
        <v>68.010000000000005</v>
      </c>
      <c r="F15001" s="443"/>
      <c r="G15001" s="443">
        <v>45.48</v>
      </c>
      <c r="H15001" s="444">
        <v>958.12</v>
      </c>
      <c r="I15001" s="444">
        <v>782.19</v>
      </c>
      <c r="J15001" s="444"/>
      <c r="K15001" s="444">
        <v>175.93</v>
      </c>
      <c r="L15001" s="43">
        <v>8.4423297206802363</v>
      </c>
      <c r="M15001" s="43">
        <v>11.501102779003087</v>
      </c>
      <c r="N15001" s="43" t="s">
        <v>1690</v>
      </c>
      <c r="O15001" s="43">
        <v>3.8682937554969223</v>
      </c>
      <c r="P15001" s="445"/>
      <c r="Q15001" s="445"/>
      <c r="R15001" s="445">
        <v>13</v>
      </c>
    </row>
    <row r="15002" spans="1:18" ht="12.75" customHeight="1">
      <c r="A15002" s="628" t="s">
        <v>26946</v>
      </c>
      <c r="B15002" s="629"/>
      <c r="C15002" s="629"/>
      <c r="D15002" s="629"/>
      <c r="E15002" s="629"/>
      <c r="F15002" s="629"/>
      <c r="G15002" s="629"/>
      <c r="H15002" s="629"/>
      <c r="I15002" s="629"/>
      <c r="J15002" s="629"/>
      <c r="K15002" s="629"/>
      <c r="L15002" s="629"/>
      <c r="M15002" s="629"/>
      <c r="N15002" s="629"/>
      <c r="O15002" s="629"/>
      <c r="P15002" s="629"/>
      <c r="Q15002" s="629"/>
      <c r="R15002" s="629"/>
    </row>
    <row r="15003" spans="1:18" ht="24">
      <c r="A15003" s="441">
        <v>43</v>
      </c>
      <c r="B15003" s="438" t="s">
        <v>26947</v>
      </c>
      <c r="C15003" s="442" t="s">
        <v>26948</v>
      </c>
      <c r="D15003" s="443">
        <v>115.58</v>
      </c>
      <c r="E15003" s="443">
        <v>78.98</v>
      </c>
      <c r="F15003" s="443"/>
      <c r="G15003" s="443">
        <v>36.6</v>
      </c>
      <c r="H15003" s="444">
        <v>1060.57</v>
      </c>
      <c r="I15003" s="444">
        <v>908.35</v>
      </c>
      <c r="J15003" s="444"/>
      <c r="K15003" s="444">
        <v>152.22</v>
      </c>
      <c r="L15003" s="43">
        <v>9.1760685239660837</v>
      </c>
      <c r="M15003" s="43">
        <v>11.50101291466194</v>
      </c>
      <c r="N15003" s="43" t="s">
        <v>1690</v>
      </c>
      <c r="O15003" s="43">
        <v>4.1590163934426227</v>
      </c>
      <c r="P15003" s="445"/>
      <c r="Q15003" s="445"/>
      <c r="R15003" s="445">
        <v>14</v>
      </c>
    </row>
    <row r="15004" spans="1:18" ht="24">
      <c r="A15004" s="441">
        <v>44</v>
      </c>
      <c r="B15004" s="438" t="s">
        <v>26949</v>
      </c>
      <c r="C15004" s="442" t="s">
        <v>26950</v>
      </c>
      <c r="D15004" s="443">
        <v>75.19</v>
      </c>
      <c r="E15004" s="443">
        <v>44.44</v>
      </c>
      <c r="F15004" s="443"/>
      <c r="G15004" s="443">
        <v>30.75</v>
      </c>
      <c r="H15004" s="444">
        <v>647.20000000000005</v>
      </c>
      <c r="I15004" s="444">
        <v>511.11</v>
      </c>
      <c r="J15004" s="444"/>
      <c r="K15004" s="444">
        <v>136.09</v>
      </c>
      <c r="L15004" s="43">
        <v>8.6075275967548883</v>
      </c>
      <c r="M15004" s="43">
        <v>11.501125112511252</v>
      </c>
      <c r="N15004" s="43" t="s">
        <v>1690</v>
      </c>
      <c r="O15004" s="43">
        <v>4.4256910569105692</v>
      </c>
      <c r="P15004" s="445"/>
      <c r="Q15004" s="445"/>
      <c r="R15004" s="445">
        <v>14</v>
      </c>
    </row>
    <row r="15005" spans="1:18" ht="24">
      <c r="A15005" s="441">
        <v>45</v>
      </c>
      <c r="B15005" s="438" t="s">
        <v>26951</v>
      </c>
      <c r="C15005" s="442" t="s">
        <v>26952</v>
      </c>
      <c r="D15005" s="443">
        <v>109.98</v>
      </c>
      <c r="E15005" s="443">
        <v>79.92</v>
      </c>
      <c r="F15005" s="443"/>
      <c r="G15005" s="443">
        <v>30.06</v>
      </c>
      <c r="H15005" s="444">
        <v>1055.03</v>
      </c>
      <c r="I15005" s="444">
        <v>919.08</v>
      </c>
      <c r="J15005" s="444"/>
      <c r="K15005" s="444">
        <v>135.94999999999999</v>
      </c>
      <c r="L15005" s="43">
        <v>9.5929259865430065</v>
      </c>
      <c r="M15005" s="43">
        <v>11.5</v>
      </c>
      <c r="N15005" s="43" t="s">
        <v>1690</v>
      </c>
      <c r="O15005" s="43">
        <v>4.5226214238190288</v>
      </c>
      <c r="P15005" s="445"/>
      <c r="Q15005" s="445"/>
      <c r="R15005" s="445">
        <v>14</v>
      </c>
    </row>
    <row r="15006" spans="1:18" ht="24">
      <c r="A15006" s="441">
        <v>46</v>
      </c>
      <c r="B15006" s="438" t="s">
        <v>26953</v>
      </c>
      <c r="C15006" s="442" t="s">
        <v>26954</v>
      </c>
      <c r="D15006" s="443">
        <v>352.48</v>
      </c>
      <c r="E15006" s="443">
        <v>274.17</v>
      </c>
      <c r="F15006" s="443"/>
      <c r="G15006" s="443">
        <v>78.31</v>
      </c>
      <c r="H15006" s="444">
        <v>3514.2</v>
      </c>
      <c r="I15006" s="444">
        <v>3152.96</v>
      </c>
      <c r="J15006" s="444"/>
      <c r="K15006" s="444">
        <v>361.24</v>
      </c>
      <c r="L15006" s="43">
        <v>9.9699273717657722</v>
      </c>
      <c r="M15006" s="43">
        <v>11.500018236860342</v>
      </c>
      <c r="N15006" s="43" t="s">
        <v>1690</v>
      </c>
      <c r="O15006" s="43">
        <v>4.6129485378623416</v>
      </c>
      <c r="P15006" s="445"/>
      <c r="Q15006" s="445"/>
      <c r="R15006" s="445">
        <v>14</v>
      </c>
    </row>
    <row r="15007" spans="1:18" ht="24">
      <c r="A15007" s="441">
        <v>47</v>
      </c>
      <c r="B15007" s="438" t="s">
        <v>26955</v>
      </c>
      <c r="C15007" s="442" t="s">
        <v>26956</v>
      </c>
      <c r="D15007" s="443">
        <v>209.43</v>
      </c>
      <c r="E15007" s="443">
        <v>172.05</v>
      </c>
      <c r="F15007" s="443"/>
      <c r="G15007" s="443">
        <v>37.380000000000003</v>
      </c>
      <c r="H15007" s="444">
        <v>2144.35</v>
      </c>
      <c r="I15007" s="444">
        <v>1978.58</v>
      </c>
      <c r="J15007" s="444"/>
      <c r="K15007" s="444">
        <v>165.77</v>
      </c>
      <c r="L15007" s="43">
        <v>10.238981998758534</v>
      </c>
      <c r="M15007" s="43">
        <v>11.500029061319383</v>
      </c>
      <c r="N15007" s="43" t="s">
        <v>1690</v>
      </c>
      <c r="O15007" s="43">
        <v>4.4347244515783846</v>
      </c>
      <c r="P15007" s="445"/>
      <c r="Q15007" s="445"/>
      <c r="R15007" s="445">
        <v>14</v>
      </c>
    </row>
    <row r="15008" spans="1:18" ht="24">
      <c r="A15008" s="441">
        <v>48</v>
      </c>
      <c r="B15008" s="438" t="s">
        <v>26957</v>
      </c>
      <c r="C15008" s="442" t="s">
        <v>26958</v>
      </c>
      <c r="D15008" s="443">
        <v>143.57</v>
      </c>
      <c r="E15008" s="443">
        <v>102.02</v>
      </c>
      <c r="F15008" s="443">
        <v>0.69</v>
      </c>
      <c r="G15008" s="443">
        <v>40.86</v>
      </c>
      <c r="H15008" s="444">
        <v>1351.13</v>
      </c>
      <c r="I15008" s="444">
        <v>1173.29</v>
      </c>
      <c r="J15008" s="444">
        <v>2.91</v>
      </c>
      <c r="K15008" s="444">
        <v>174.93</v>
      </c>
      <c r="L15008" s="43">
        <v>9.4109493626802276</v>
      </c>
      <c r="M15008" s="43">
        <v>11.500588119976475</v>
      </c>
      <c r="N15008" s="43">
        <v>4.2173913043478271</v>
      </c>
      <c r="O15008" s="43">
        <v>4.2812041116005872</v>
      </c>
      <c r="P15008" s="445"/>
      <c r="Q15008" s="445"/>
      <c r="R15008" s="445">
        <v>14</v>
      </c>
    </row>
    <row r="15009" spans="1:18" ht="24">
      <c r="A15009" s="441">
        <v>49</v>
      </c>
      <c r="B15009" s="438" t="s">
        <v>26959</v>
      </c>
      <c r="C15009" s="442" t="s">
        <v>26960</v>
      </c>
      <c r="D15009" s="443">
        <v>80.92</v>
      </c>
      <c r="E15009" s="443">
        <v>57.04</v>
      </c>
      <c r="F15009" s="443">
        <v>0.47</v>
      </c>
      <c r="G15009" s="443">
        <v>23.41</v>
      </c>
      <c r="H15009" s="444">
        <v>757</v>
      </c>
      <c r="I15009" s="444">
        <v>656.03</v>
      </c>
      <c r="J15009" s="444">
        <v>1.99</v>
      </c>
      <c r="K15009" s="444">
        <v>98.98</v>
      </c>
      <c r="L15009" s="43">
        <v>9.3549184379634198</v>
      </c>
      <c r="M15009" s="43">
        <v>11.501227208976157</v>
      </c>
      <c r="N15009" s="43">
        <v>4.2340425531914896</v>
      </c>
      <c r="O15009" s="43">
        <v>4.2281076463049976</v>
      </c>
      <c r="P15009" s="445"/>
      <c r="Q15009" s="445"/>
      <c r="R15009" s="445">
        <v>14</v>
      </c>
    </row>
    <row r="15010" spans="1:18" ht="12.75" customHeight="1">
      <c r="A15010" s="628" t="s">
        <v>26961</v>
      </c>
      <c r="B15010" s="629"/>
      <c r="C15010" s="629"/>
      <c r="D15010" s="629"/>
      <c r="E15010" s="629"/>
      <c r="F15010" s="629"/>
      <c r="G15010" s="629"/>
      <c r="H15010" s="629"/>
      <c r="I15010" s="629"/>
      <c r="J15010" s="629"/>
      <c r="K15010" s="629"/>
      <c r="L15010" s="629"/>
      <c r="M15010" s="629"/>
      <c r="N15010" s="629"/>
      <c r="O15010" s="629"/>
      <c r="P15010" s="629"/>
      <c r="Q15010" s="629"/>
      <c r="R15010" s="629"/>
    </row>
    <row r="15011" spans="1:18" ht="24">
      <c r="A15011" s="441">
        <v>50</v>
      </c>
      <c r="B15011" s="438" t="s">
        <v>26962</v>
      </c>
      <c r="C15011" s="442" t="s">
        <v>26963</v>
      </c>
      <c r="D15011" s="443">
        <v>418.14</v>
      </c>
      <c r="E15011" s="443">
        <v>283.8</v>
      </c>
      <c r="F15011" s="443">
        <v>0.27</v>
      </c>
      <c r="G15011" s="443">
        <v>134.07</v>
      </c>
      <c r="H15011" s="444">
        <v>3796.98</v>
      </c>
      <c r="I15011" s="444">
        <v>3263.86</v>
      </c>
      <c r="J15011" s="444">
        <v>1.1599999999999999</v>
      </c>
      <c r="K15011" s="444">
        <v>531.96</v>
      </c>
      <c r="L15011" s="43">
        <v>9.0806428468933849</v>
      </c>
      <c r="M15011" s="43">
        <v>11.500563777307963</v>
      </c>
      <c r="N15011" s="43">
        <v>4.2962962962962958</v>
      </c>
      <c r="O15011" s="43">
        <v>3.9677780264041176</v>
      </c>
      <c r="P15011" s="445"/>
      <c r="Q15011" s="445"/>
      <c r="R15011" s="445">
        <v>15</v>
      </c>
    </row>
    <row r="15012" spans="1:18" ht="24">
      <c r="A15012" s="441">
        <v>51</v>
      </c>
      <c r="B15012" s="438" t="s">
        <v>26964</v>
      </c>
      <c r="C15012" s="442" t="s">
        <v>26965</v>
      </c>
      <c r="D15012" s="443">
        <v>858.52</v>
      </c>
      <c r="E15012" s="443">
        <v>685.95</v>
      </c>
      <c r="F15012" s="443">
        <v>0.31</v>
      </c>
      <c r="G15012" s="443">
        <v>172.26</v>
      </c>
      <c r="H15012" s="444">
        <v>8629.26</v>
      </c>
      <c r="I15012" s="444">
        <v>7888.76</v>
      </c>
      <c r="J15012" s="444">
        <v>1.33</v>
      </c>
      <c r="K15012" s="444">
        <v>739.17</v>
      </c>
      <c r="L15012" s="43">
        <v>10.051320877789685</v>
      </c>
      <c r="M15012" s="43">
        <v>11.500488373788176</v>
      </c>
      <c r="N15012" s="43">
        <v>4.2903225806451619</v>
      </c>
      <c r="O15012" s="43">
        <v>4.2910135841170325</v>
      </c>
      <c r="P15012" s="445"/>
      <c r="Q15012" s="445"/>
      <c r="R15012" s="445">
        <v>15</v>
      </c>
    </row>
    <row r="15013" spans="1:18" ht="24">
      <c r="A15013" s="441">
        <v>52</v>
      </c>
      <c r="B15013" s="438" t="s">
        <v>26966</v>
      </c>
      <c r="C15013" s="442" t="s">
        <v>26967</v>
      </c>
      <c r="D15013" s="443">
        <v>744.33</v>
      </c>
      <c r="E15013" s="443">
        <v>591.74</v>
      </c>
      <c r="F15013" s="443">
        <v>0.31</v>
      </c>
      <c r="G15013" s="443">
        <v>152.28</v>
      </c>
      <c r="H15013" s="444">
        <v>7455.12</v>
      </c>
      <c r="I15013" s="444">
        <v>6805.21</v>
      </c>
      <c r="J15013" s="444">
        <v>1.33</v>
      </c>
      <c r="K15013" s="444">
        <v>648.58000000000004</v>
      </c>
      <c r="L15013" s="43">
        <v>10.015880053202208</v>
      </c>
      <c r="M15013" s="43">
        <v>11.500337986277756</v>
      </c>
      <c r="N15013" s="43">
        <v>4.2903225806451619</v>
      </c>
      <c r="O15013" s="43">
        <v>4.2591279222484895</v>
      </c>
      <c r="P15013" s="445"/>
      <c r="Q15013" s="445"/>
      <c r="R15013" s="445">
        <v>15</v>
      </c>
    </row>
    <row r="15014" spans="1:18" ht="12.75" customHeight="1">
      <c r="A15014" s="628" t="s">
        <v>26968</v>
      </c>
      <c r="B15014" s="629"/>
      <c r="C15014" s="629"/>
      <c r="D15014" s="629"/>
      <c r="E15014" s="629"/>
      <c r="F15014" s="629"/>
      <c r="G15014" s="629"/>
      <c r="H15014" s="629"/>
      <c r="I15014" s="629"/>
      <c r="J15014" s="629"/>
      <c r="K15014" s="629"/>
      <c r="L15014" s="629"/>
      <c r="M15014" s="629"/>
      <c r="N15014" s="629"/>
      <c r="O15014" s="629"/>
      <c r="P15014" s="629"/>
      <c r="Q15014" s="629"/>
      <c r="R15014" s="629"/>
    </row>
    <row r="15015" spans="1:18" ht="24">
      <c r="A15015" s="441">
        <v>53</v>
      </c>
      <c r="B15015" s="438" t="s">
        <v>26969</v>
      </c>
      <c r="C15015" s="442" t="s">
        <v>26970</v>
      </c>
      <c r="D15015" s="443">
        <v>686.88</v>
      </c>
      <c r="E15015" s="443">
        <v>567.61</v>
      </c>
      <c r="F15015" s="443">
        <v>0.31</v>
      </c>
      <c r="G15015" s="443">
        <v>118.96</v>
      </c>
      <c r="H15015" s="444">
        <v>7066.89</v>
      </c>
      <c r="I15015" s="444">
        <v>6527.72</v>
      </c>
      <c r="J15015" s="444">
        <v>1.33</v>
      </c>
      <c r="K15015" s="444">
        <v>537.84</v>
      </c>
      <c r="L15015" s="43">
        <v>10.288390985324948</v>
      </c>
      <c r="M15015" s="43">
        <v>11.500361163474921</v>
      </c>
      <c r="N15015" s="43">
        <v>4.2903225806451619</v>
      </c>
      <c r="O15015" s="43">
        <v>4.5211835911230667</v>
      </c>
      <c r="P15015" s="445"/>
      <c r="Q15015" s="445"/>
      <c r="R15015" s="445">
        <v>16</v>
      </c>
    </row>
    <row r="15016" spans="1:18" ht="24">
      <c r="A15016" s="441">
        <v>54</v>
      </c>
      <c r="B15016" s="438" t="s">
        <v>26971</v>
      </c>
      <c r="C15016" s="442" t="s">
        <v>26972</v>
      </c>
      <c r="D15016" s="443">
        <v>560.97</v>
      </c>
      <c r="E15016" s="443">
        <v>461.9</v>
      </c>
      <c r="F15016" s="443">
        <v>0.31</v>
      </c>
      <c r="G15016" s="443">
        <v>98.76</v>
      </c>
      <c r="H15016" s="444">
        <v>5758.08</v>
      </c>
      <c r="I15016" s="444">
        <v>5312.03</v>
      </c>
      <c r="J15016" s="444">
        <v>1.33</v>
      </c>
      <c r="K15016" s="444">
        <v>444.72</v>
      </c>
      <c r="L15016" s="43">
        <v>10.264506123322102</v>
      </c>
      <c r="M15016" s="43">
        <v>11.500389694739122</v>
      </c>
      <c r="N15016" s="43">
        <v>4.2903225806451619</v>
      </c>
      <c r="O15016" s="43">
        <v>4.5030376670716894</v>
      </c>
      <c r="P15016" s="445"/>
      <c r="Q15016" s="445"/>
      <c r="R15016" s="445">
        <v>16</v>
      </c>
    </row>
    <row r="15017" spans="1:18" ht="24">
      <c r="A15017" s="441">
        <v>55</v>
      </c>
      <c r="B15017" s="438" t="s">
        <v>26973</v>
      </c>
      <c r="C15017" s="442" t="s">
        <v>26974</v>
      </c>
      <c r="D15017" s="443">
        <v>342.81</v>
      </c>
      <c r="E15017" s="443">
        <v>280.58999999999997</v>
      </c>
      <c r="F15017" s="443">
        <v>0.27</v>
      </c>
      <c r="G15017" s="443">
        <v>61.95</v>
      </c>
      <c r="H15017" s="444">
        <v>3504.73</v>
      </c>
      <c r="I15017" s="444">
        <v>3226.81</v>
      </c>
      <c r="J15017" s="444">
        <v>1.1599999999999999</v>
      </c>
      <c r="K15017" s="444">
        <v>276.76</v>
      </c>
      <c r="L15017" s="43">
        <v>10.223534902715791</v>
      </c>
      <c r="M15017" s="43">
        <v>11.500089097972131</v>
      </c>
      <c r="N15017" s="43">
        <v>4.2962962962962958</v>
      </c>
      <c r="O15017" s="43">
        <v>4.4674737691686843</v>
      </c>
      <c r="P15017" s="445"/>
      <c r="Q15017" s="445"/>
      <c r="R15017" s="445">
        <v>16</v>
      </c>
    </row>
    <row r="15018" spans="1:18" ht="12.75" customHeight="1">
      <c r="A15018" s="628" t="s">
        <v>26975</v>
      </c>
      <c r="B15018" s="629"/>
      <c r="C15018" s="629"/>
      <c r="D15018" s="629"/>
      <c r="E15018" s="629"/>
      <c r="F15018" s="629"/>
      <c r="G15018" s="629"/>
      <c r="H15018" s="629"/>
      <c r="I15018" s="629"/>
      <c r="J15018" s="629"/>
      <c r="K15018" s="629"/>
      <c r="L15018" s="629"/>
      <c r="M15018" s="629"/>
      <c r="N15018" s="629"/>
      <c r="O15018" s="629"/>
      <c r="P15018" s="629"/>
      <c r="Q15018" s="629"/>
      <c r="R15018" s="629"/>
    </row>
    <row r="15019" spans="1:18" ht="24">
      <c r="A15019" s="441">
        <v>56</v>
      </c>
      <c r="B15019" s="438" t="s">
        <v>26976</v>
      </c>
      <c r="C15019" s="442" t="s">
        <v>26977</v>
      </c>
      <c r="D15019" s="443">
        <v>787.21</v>
      </c>
      <c r="E15019" s="443">
        <v>602.08000000000004</v>
      </c>
      <c r="F15019" s="443"/>
      <c r="G15019" s="443">
        <v>185.13</v>
      </c>
      <c r="H15019" s="444">
        <v>7788.18</v>
      </c>
      <c r="I15019" s="444">
        <v>6923.92</v>
      </c>
      <c r="J15019" s="444"/>
      <c r="K15019" s="444">
        <v>864.26</v>
      </c>
      <c r="L15019" s="43">
        <v>9.8933956631648474</v>
      </c>
      <c r="M15019" s="43">
        <v>11.5</v>
      </c>
      <c r="N15019" s="43" t="s">
        <v>1690</v>
      </c>
      <c r="O15019" s="43">
        <v>4.6683951817641658</v>
      </c>
      <c r="P15019" s="445"/>
      <c r="Q15019" s="445"/>
      <c r="R15019" s="445">
        <v>17</v>
      </c>
    </row>
    <row r="15020" spans="1:18" ht="24">
      <c r="A15020" s="441">
        <v>57</v>
      </c>
      <c r="B15020" s="438" t="s">
        <v>26978</v>
      </c>
      <c r="C15020" s="442" t="s">
        <v>26979</v>
      </c>
      <c r="D15020" s="443">
        <v>1210.07</v>
      </c>
      <c r="E15020" s="443">
        <v>876.72</v>
      </c>
      <c r="F15020" s="443"/>
      <c r="G15020" s="443">
        <v>333.35</v>
      </c>
      <c r="H15020" s="444">
        <v>11543.51</v>
      </c>
      <c r="I15020" s="444">
        <v>10082.280000000001</v>
      </c>
      <c r="J15020" s="444"/>
      <c r="K15020" s="444">
        <v>1461.23</v>
      </c>
      <c r="L15020" s="43">
        <v>9.5395390349318649</v>
      </c>
      <c r="M15020" s="43">
        <v>11.5</v>
      </c>
      <c r="N15020" s="43" t="s">
        <v>1690</v>
      </c>
      <c r="O15020" s="43">
        <v>4.3834708264586766</v>
      </c>
      <c r="P15020" s="445"/>
      <c r="Q15020" s="445"/>
      <c r="R15020" s="445">
        <v>17</v>
      </c>
    </row>
    <row r="15021" spans="1:18" ht="24">
      <c r="A15021" s="441">
        <v>58</v>
      </c>
      <c r="B15021" s="438" t="s">
        <v>26980</v>
      </c>
      <c r="C15021" s="442" t="s">
        <v>26981</v>
      </c>
      <c r="D15021" s="443">
        <v>2129.9899999999998</v>
      </c>
      <c r="E15021" s="443">
        <v>1726.72</v>
      </c>
      <c r="F15021" s="443"/>
      <c r="G15021" s="443">
        <v>403.27</v>
      </c>
      <c r="H15021" s="444">
        <v>21719.279999999999</v>
      </c>
      <c r="I15021" s="444">
        <v>19857.28</v>
      </c>
      <c r="J15021" s="444"/>
      <c r="K15021" s="444">
        <v>1862</v>
      </c>
      <c r="L15021" s="43">
        <v>10.196892943159359</v>
      </c>
      <c r="M15021" s="43">
        <v>11.5</v>
      </c>
      <c r="N15021" s="43" t="s">
        <v>1690</v>
      </c>
      <c r="O15021" s="43">
        <v>4.6172539489671935</v>
      </c>
      <c r="P15021" s="445"/>
      <c r="Q15021" s="445"/>
      <c r="R15021" s="445">
        <v>17</v>
      </c>
    </row>
    <row r="15022" spans="1:18" ht="24">
      <c r="A15022" s="441">
        <v>59</v>
      </c>
      <c r="B15022" s="438" t="s">
        <v>26982</v>
      </c>
      <c r="C15022" s="442" t="s">
        <v>26983</v>
      </c>
      <c r="D15022" s="443">
        <v>3571.97</v>
      </c>
      <c r="E15022" s="443">
        <v>2885.44</v>
      </c>
      <c r="F15022" s="443">
        <v>2.72</v>
      </c>
      <c r="G15022" s="443">
        <v>683.81</v>
      </c>
      <c r="H15022" s="444">
        <v>36351.839999999997</v>
      </c>
      <c r="I15022" s="444">
        <v>33182.559999999998</v>
      </c>
      <c r="J15022" s="444">
        <v>11.54</v>
      </c>
      <c r="K15022" s="444">
        <v>3157.74</v>
      </c>
      <c r="L15022" s="43">
        <v>10.176972370988558</v>
      </c>
      <c r="M15022" s="43">
        <v>11.499999999999998</v>
      </c>
      <c r="N15022" s="43">
        <v>4.242647058823529</v>
      </c>
      <c r="O15022" s="43">
        <v>4.6178616867258446</v>
      </c>
      <c r="P15022" s="445"/>
      <c r="Q15022" s="445"/>
      <c r="R15022" s="445">
        <v>17</v>
      </c>
    </row>
    <row r="15023" spans="1:18" ht="24">
      <c r="A15023" s="441">
        <v>60</v>
      </c>
      <c r="B15023" s="438" t="s">
        <v>26984</v>
      </c>
      <c r="C15023" s="442" t="s">
        <v>26985</v>
      </c>
      <c r="D15023" s="443">
        <v>3160.24</v>
      </c>
      <c r="E15023" s="443">
        <v>2442.4</v>
      </c>
      <c r="F15023" s="443">
        <v>2.72</v>
      </c>
      <c r="G15023" s="443">
        <v>715.12</v>
      </c>
      <c r="H15023" s="444">
        <v>31402.6</v>
      </c>
      <c r="I15023" s="444">
        <v>28087.599999999999</v>
      </c>
      <c r="J15023" s="444">
        <v>11.54</v>
      </c>
      <c r="K15023" s="444">
        <v>3303.46</v>
      </c>
      <c r="L15023" s="43">
        <v>9.9367769536490904</v>
      </c>
      <c r="M15023" s="43">
        <v>11.499999999999998</v>
      </c>
      <c r="N15023" s="43">
        <v>4.242647058823529</v>
      </c>
      <c r="O15023" s="43">
        <v>4.6194484841704888</v>
      </c>
      <c r="P15023" s="445"/>
      <c r="Q15023" s="445"/>
      <c r="R15023" s="445">
        <v>17</v>
      </c>
    </row>
    <row r="15024" spans="1:18" ht="24">
      <c r="A15024" s="441">
        <v>61</v>
      </c>
      <c r="B15024" s="438" t="s">
        <v>26986</v>
      </c>
      <c r="C15024" s="442" t="s">
        <v>26987</v>
      </c>
      <c r="D15024" s="443">
        <v>5360.19</v>
      </c>
      <c r="E15024" s="443">
        <v>4251.3</v>
      </c>
      <c r="F15024" s="443">
        <v>4.3099999999999996</v>
      </c>
      <c r="G15024" s="443">
        <v>1104.58</v>
      </c>
      <c r="H15024" s="444">
        <v>53936.79</v>
      </c>
      <c r="I15024" s="444">
        <v>48891.8</v>
      </c>
      <c r="J15024" s="444">
        <v>18.260000000000002</v>
      </c>
      <c r="K15024" s="444">
        <v>5026.7299999999996</v>
      </c>
      <c r="L15024" s="43">
        <v>10.062477262932845</v>
      </c>
      <c r="M15024" s="43">
        <v>11.500435161009573</v>
      </c>
      <c r="N15024" s="43">
        <v>4.2366589327146178</v>
      </c>
      <c r="O15024" s="43">
        <v>4.550806641438375</v>
      </c>
      <c r="P15024" s="445"/>
      <c r="Q15024" s="445"/>
      <c r="R15024" s="445">
        <v>17</v>
      </c>
    </row>
    <row r="15025" spans="1:18" ht="12.75" customHeight="1">
      <c r="A15025" s="628" t="s">
        <v>26988</v>
      </c>
      <c r="B15025" s="629"/>
      <c r="C15025" s="629"/>
      <c r="D15025" s="629"/>
      <c r="E15025" s="629"/>
      <c r="F15025" s="629"/>
      <c r="G15025" s="629"/>
      <c r="H15025" s="629"/>
      <c r="I15025" s="629"/>
      <c r="J15025" s="629"/>
      <c r="K15025" s="629"/>
      <c r="L15025" s="629"/>
      <c r="M15025" s="629"/>
      <c r="N15025" s="629"/>
      <c r="O15025" s="629"/>
      <c r="P15025" s="629"/>
      <c r="Q15025" s="629"/>
      <c r="R15025" s="629"/>
    </row>
    <row r="15026" spans="1:18" ht="24">
      <c r="A15026" s="441">
        <v>62</v>
      </c>
      <c r="B15026" s="438" t="s">
        <v>26989</v>
      </c>
      <c r="C15026" s="442" t="s">
        <v>26990</v>
      </c>
      <c r="D15026" s="443">
        <v>935.79</v>
      </c>
      <c r="E15026" s="443">
        <v>735.36</v>
      </c>
      <c r="F15026" s="443">
        <v>0.55000000000000004</v>
      </c>
      <c r="G15026" s="443">
        <v>199.88</v>
      </c>
      <c r="H15026" s="444">
        <v>9331.2999999999993</v>
      </c>
      <c r="I15026" s="444">
        <v>8456.9599999999991</v>
      </c>
      <c r="J15026" s="444">
        <v>2.3199999999999998</v>
      </c>
      <c r="K15026" s="444">
        <v>872.02</v>
      </c>
      <c r="L15026" s="43">
        <v>9.9715748191367712</v>
      </c>
      <c r="M15026" s="43">
        <v>11.500435161009571</v>
      </c>
      <c r="N15026" s="43">
        <v>4.2181818181818178</v>
      </c>
      <c r="O15026" s="43">
        <v>4.3627176305783468</v>
      </c>
      <c r="P15026" s="445"/>
      <c r="Q15026" s="445"/>
      <c r="R15026" s="445">
        <v>18</v>
      </c>
    </row>
    <row r="15027" spans="1:18" ht="24">
      <c r="A15027" s="441">
        <v>63</v>
      </c>
      <c r="B15027" s="438" t="s">
        <v>26991</v>
      </c>
      <c r="C15027" s="442" t="s">
        <v>26992</v>
      </c>
      <c r="D15027" s="443">
        <v>2652.15</v>
      </c>
      <c r="E15027" s="443">
        <v>2033.73</v>
      </c>
      <c r="F15027" s="443">
        <v>1.1599999999999999</v>
      </c>
      <c r="G15027" s="443">
        <v>617.26</v>
      </c>
      <c r="H15027" s="444">
        <v>26051.68</v>
      </c>
      <c r="I15027" s="444">
        <v>23388.78</v>
      </c>
      <c r="J15027" s="444">
        <v>4.96</v>
      </c>
      <c r="K15027" s="444">
        <v>2657.94</v>
      </c>
      <c r="L15027" s="43">
        <v>9.8228531568727249</v>
      </c>
      <c r="M15027" s="43">
        <v>11.500435161009573</v>
      </c>
      <c r="N15027" s="43">
        <v>4.2758620689655178</v>
      </c>
      <c r="O15027" s="43">
        <v>4.3060298739591101</v>
      </c>
      <c r="P15027" s="445"/>
      <c r="Q15027" s="445"/>
      <c r="R15027" s="445">
        <v>18</v>
      </c>
    </row>
    <row r="15028" spans="1:18" ht="24">
      <c r="A15028" s="441">
        <v>64</v>
      </c>
      <c r="B15028" s="438" t="s">
        <v>26993</v>
      </c>
      <c r="C15028" s="442" t="s">
        <v>26994</v>
      </c>
      <c r="D15028" s="443">
        <v>4170.43</v>
      </c>
      <c r="E15028" s="443">
        <v>3355.08</v>
      </c>
      <c r="F15028" s="443">
        <v>4.3</v>
      </c>
      <c r="G15028" s="443">
        <v>811.05</v>
      </c>
      <c r="H15028" s="444">
        <v>42175.95</v>
      </c>
      <c r="I15028" s="444">
        <v>38584.879999999997</v>
      </c>
      <c r="J15028" s="444">
        <v>18.41</v>
      </c>
      <c r="K15028" s="444">
        <v>3572.66</v>
      </c>
      <c r="L15028" s="43">
        <v>10.113093853631399</v>
      </c>
      <c r="M15028" s="43">
        <v>11.500435161009573</v>
      </c>
      <c r="N15028" s="43">
        <v>4.2813953488372096</v>
      </c>
      <c r="O15028" s="43">
        <v>4.4049811972134885</v>
      </c>
      <c r="P15028" s="445"/>
      <c r="Q15028" s="445"/>
      <c r="R15028" s="445">
        <v>18</v>
      </c>
    </row>
    <row r="15029" spans="1:18" ht="12.75" customHeight="1">
      <c r="A15029" s="628" t="s">
        <v>26995</v>
      </c>
      <c r="B15029" s="629"/>
      <c r="C15029" s="629"/>
      <c r="D15029" s="629"/>
      <c r="E15029" s="629"/>
      <c r="F15029" s="629"/>
      <c r="G15029" s="629"/>
      <c r="H15029" s="629"/>
      <c r="I15029" s="629"/>
      <c r="J15029" s="629"/>
      <c r="K15029" s="629"/>
      <c r="L15029" s="629"/>
      <c r="M15029" s="629"/>
      <c r="N15029" s="629"/>
      <c r="O15029" s="629"/>
      <c r="P15029" s="629"/>
      <c r="Q15029" s="629"/>
      <c r="R15029" s="629"/>
    </row>
    <row r="15030" spans="1:18" ht="24">
      <c r="A15030" s="441">
        <v>65</v>
      </c>
      <c r="B15030" s="438" t="s">
        <v>26996</v>
      </c>
      <c r="C15030" s="442" t="s">
        <v>26997</v>
      </c>
      <c r="D15030" s="443">
        <v>655.13</v>
      </c>
      <c r="E15030" s="443">
        <v>607.76</v>
      </c>
      <c r="F15030" s="443">
        <v>4</v>
      </c>
      <c r="G15030" s="443">
        <v>43.37</v>
      </c>
      <c r="H15030" s="444">
        <v>7262.82</v>
      </c>
      <c r="I15030" s="444">
        <v>6989.24</v>
      </c>
      <c r="J15030" s="444">
        <v>17.13</v>
      </c>
      <c r="K15030" s="444">
        <v>256.45</v>
      </c>
      <c r="L15030" s="43">
        <v>11.086074519561002</v>
      </c>
      <c r="M15030" s="43">
        <v>11.5</v>
      </c>
      <c r="N15030" s="43">
        <v>4.2824999999999998</v>
      </c>
      <c r="O15030" s="43">
        <v>5.9130735531473366</v>
      </c>
      <c r="P15030" s="445"/>
      <c r="Q15030" s="445"/>
      <c r="R15030" s="445">
        <v>19</v>
      </c>
    </row>
    <row r="15031" spans="1:18" ht="12.75" customHeight="1">
      <c r="A15031" s="628" t="s">
        <v>26998</v>
      </c>
      <c r="B15031" s="629"/>
      <c r="C15031" s="629"/>
      <c r="D15031" s="629"/>
      <c r="E15031" s="629"/>
      <c r="F15031" s="629"/>
      <c r="G15031" s="629"/>
      <c r="H15031" s="629"/>
      <c r="I15031" s="629"/>
      <c r="J15031" s="629"/>
      <c r="K15031" s="629"/>
      <c r="L15031" s="629"/>
      <c r="M15031" s="629"/>
      <c r="N15031" s="629"/>
      <c r="O15031" s="629"/>
      <c r="P15031" s="629"/>
      <c r="Q15031" s="629"/>
      <c r="R15031" s="629"/>
    </row>
    <row r="15032" spans="1:18" ht="24">
      <c r="A15032" s="441">
        <v>66</v>
      </c>
      <c r="B15032" s="438" t="s">
        <v>26999</v>
      </c>
      <c r="C15032" s="442" t="s">
        <v>27000</v>
      </c>
      <c r="D15032" s="443">
        <v>133.91</v>
      </c>
      <c r="E15032" s="443">
        <v>128.37</v>
      </c>
      <c r="F15032" s="443"/>
      <c r="G15032" s="443">
        <v>5.54</v>
      </c>
      <c r="H15032" s="444">
        <v>1518.47</v>
      </c>
      <c r="I15032" s="444">
        <v>1476.23</v>
      </c>
      <c r="J15032" s="444"/>
      <c r="K15032" s="444">
        <v>42.24</v>
      </c>
      <c r="L15032" s="43">
        <v>11.33948174146815</v>
      </c>
      <c r="M15032" s="43">
        <v>11.499805250447924</v>
      </c>
      <c r="N15032" s="43" t="s">
        <v>1690</v>
      </c>
      <c r="O15032" s="43">
        <v>7.6245487364620939</v>
      </c>
      <c r="P15032" s="445"/>
      <c r="Q15032" s="445"/>
      <c r="R15032" s="445">
        <v>20</v>
      </c>
    </row>
    <row r="15033" spans="1:18" ht="24">
      <c r="A15033" s="441">
        <v>67</v>
      </c>
      <c r="B15033" s="438" t="s">
        <v>27001</v>
      </c>
      <c r="C15033" s="442" t="s">
        <v>27002</v>
      </c>
      <c r="D15033" s="443">
        <v>192.41</v>
      </c>
      <c r="E15033" s="443">
        <v>185.46</v>
      </c>
      <c r="F15033" s="443">
        <v>0.27</v>
      </c>
      <c r="G15033" s="443">
        <v>6.68</v>
      </c>
      <c r="H15033" s="444">
        <v>2189.3000000000002</v>
      </c>
      <c r="I15033" s="444">
        <v>2132.79</v>
      </c>
      <c r="J15033" s="444">
        <v>1.1599999999999999</v>
      </c>
      <c r="K15033" s="444">
        <v>55.35</v>
      </c>
      <c r="L15033" s="43">
        <v>11.378306740813889</v>
      </c>
      <c r="M15033" s="43">
        <v>11.5</v>
      </c>
      <c r="N15033" s="43">
        <v>4.2962962962962958</v>
      </c>
      <c r="O15033" s="43">
        <v>8.2859281437125762</v>
      </c>
      <c r="P15033" s="445"/>
      <c r="Q15033" s="445"/>
      <c r="R15033" s="445">
        <v>20</v>
      </c>
    </row>
    <row r="15034" spans="1:18" ht="12.75" customHeight="1">
      <c r="A15034" s="628" t="s">
        <v>22687</v>
      </c>
      <c r="B15034" s="629"/>
      <c r="C15034" s="629"/>
      <c r="D15034" s="629"/>
      <c r="E15034" s="629"/>
      <c r="F15034" s="629"/>
      <c r="G15034" s="629"/>
      <c r="H15034" s="629"/>
      <c r="I15034" s="629"/>
      <c r="J15034" s="629"/>
      <c r="K15034" s="629"/>
      <c r="L15034" s="629"/>
      <c r="M15034" s="629"/>
      <c r="N15034" s="629"/>
      <c r="O15034" s="629"/>
      <c r="P15034" s="629"/>
      <c r="Q15034" s="629"/>
      <c r="R15034" s="629"/>
    </row>
    <row r="15035" spans="1:18" ht="24">
      <c r="A15035" s="441">
        <v>68</v>
      </c>
      <c r="B15035" s="438" t="s">
        <v>27003</v>
      </c>
      <c r="C15035" s="442" t="s">
        <v>27004</v>
      </c>
      <c r="D15035" s="443">
        <v>541.20000000000005</v>
      </c>
      <c r="E15035" s="443">
        <v>473.39</v>
      </c>
      <c r="F15035" s="443"/>
      <c r="G15035" s="443">
        <v>67.81</v>
      </c>
      <c r="H15035" s="444">
        <v>5833.57</v>
      </c>
      <c r="I15035" s="444">
        <v>5444.17</v>
      </c>
      <c r="J15035" s="444"/>
      <c r="K15035" s="444">
        <v>389.4</v>
      </c>
      <c r="L15035" s="43">
        <v>10.778954175905394</v>
      </c>
      <c r="M15035" s="43">
        <v>11.500390798284712</v>
      </c>
      <c r="N15035" s="43" t="s">
        <v>1690</v>
      </c>
      <c r="O15035" s="43">
        <v>5.7425158531190084</v>
      </c>
      <c r="P15035" s="445"/>
      <c r="Q15035" s="445"/>
      <c r="R15035" s="445">
        <v>21</v>
      </c>
    </row>
    <row r="15036" spans="1:18" ht="24">
      <c r="A15036" s="441">
        <v>69</v>
      </c>
      <c r="B15036" s="438" t="s">
        <v>27005</v>
      </c>
      <c r="C15036" s="442" t="s">
        <v>27006</v>
      </c>
      <c r="D15036" s="443">
        <v>59.08</v>
      </c>
      <c r="E15036" s="443">
        <v>47.11</v>
      </c>
      <c r="F15036" s="443"/>
      <c r="G15036" s="443">
        <v>11.97</v>
      </c>
      <c r="H15036" s="444">
        <v>600.52</v>
      </c>
      <c r="I15036" s="444">
        <v>541.77</v>
      </c>
      <c r="J15036" s="444"/>
      <c r="K15036" s="444">
        <v>58.75</v>
      </c>
      <c r="L15036" s="43">
        <v>10.164522681110359</v>
      </c>
      <c r="M15036" s="43">
        <v>11.500106134578646</v>
      </c>
      <c r="N15036" s="43" t="s">
        <v>1690</v>
      </c>
      <c r="O15036" s="43">
        <v>4.9081035923141183</v>
      </c>
      <c r="P15036" s="445"/>
      <c r="Q15036" s="445"/>
      <c r="R15036" s="445">
        <v>21</v>
      </c>
    </row>
    <row r="15037" spans="1:18" ht="24">
      <c r="A15037" s="441">
        <v>70</v>
      </c>
      <c r="B15037" s="438" t="s">
        <v>27007</v>
      </c>
      <c r="C15037" s="442" t="s">
        <v>27008</v>
      </c>
      <c r="D15037" s="443">
        <v>71.84</v>
      </c>
      <c r="E15037" s="443">
        <v>70.430000000000007</v>
      </c>
      <c r="F15037" s="443"/>
      <c r="G15037" s="443">
        <v>1.41</v>
      </c>
      <c r="H15037" s="444">
        <v>826.19</v>
      </c>
      <c r="I15037" s="444">
        <v>809.97</v>
      </c>
      <c r="J15037" s="444"/>
      <c r="K15037" s="444">
        <v>16.22</v>
      </c>
      <c r="L15037" s="43">
        <v>11.500417594654788</v>
      </c>
      <c r="M15037" s="43">
        <v>11.500354962373988</v>
      </c>
      <c r="N15037" s="43" t="s">
        <v>1690</v>
      </c>
      <c r="O15037" s="43">
        <v>11.50354609929078</v>
      </c>
      <c r="P15037" s="445"/>
      <c r="Q15037" s="445"/>
      <c r="R15037" s="445">
        <v>21</v>
      </c>
    </row>
    <row r="15038" spans="1:18" ht="24">
      <c r="A15038" s="441">
        <v>71</v>
      </c>
      <c r="B15038" s="438" t="s">
        <v>27009</v>
      </c>
      <c r="C15038" s="442" t="s">
        <v>27010</v>
      </c>
      <c r="D15038" s="443">
        <v>414.12</v>
      </c>
      <c r="E15038" s="443">
        <v>201.08</v>
      </c>
      <c r="F15038" s="443"/>
      <c r="G15038" s="443">
        <v>213.04</v>
      </c>
      <c r="H15038" s="444">
        <v>3116.49</v>
      </c>
      <c r="I15038" s="444">
        <v>2312.4499999999998</v>
      </c>
      <c r="J15038" s="444"/>
      <c r="K15038" s="444">
        <v>804.04</v>
      </c>
      <c r="L15038" s="43">
        <v>7.5255722978846702</v>
      </c>
      <c r="M15038" s="43">
        <v>11.500149194350506</v>
      </c>
      <c r="N15038" s="43" t="s">
        <v>1690</v>
      </c>
      <c r="O15038" s="43">
        <v>3.7741269245212168</v>
      </c>
      <c r="P15038" s="445"/>
      <c r="Q15038" s="445"/>
      <c r="R15038" s="445">
        <v>21</v>
      </c>
    </row>
    <row r="15039" spans="1:18" ht="24">
      <c r="A15039" s="441">
        <v>72</v>
      </c>
      <c r="B15039" s="438" t="s">
        <v>27011</v>
      </c>
      <c r="C15039" s="442" t="s">
        <v>27012</v>
      </c>
      <c r="D15039" s="443">
        <v>44.34</v>
      </c>
      <c r="E15039" s="443">
        <v>35.619999999999997</v>
      </c>
      <c r="F15039" s="443"/>
      <c r="G15039" s="443">
        <v>8.7200000000000006</v>
      </c>
      <c r="H15039" s="444">
        <v>455.61</v>
      </c>
      <c r="I15039" s="444">
        <v>409.63</v>
      </c>
      <c r="J15039" s="444"/>
      <c r="K15039" s="444">
        <v>45.98</v>
      </c>
      <c r="L15039" s="43">
        <v>10.275372124492558</v>
      </c>
      <c r="M15039" s="43">
        <v>11.5</v>
      </c>
      <c r="N15039" s="43" t="s">
        <v>1690</v>
      </c>
      <c r="O15039" s="43">
        <v>5.2729357798165131</v>
      </c>
      <c r="P15039" s="445"/>
      <c r="Q15039" s="445"/>
      <c r="R15039" s="445">
        <v>21</v>
      </c>
    </row>
    <row r="15040" spans="1:18" ht="24">
      <c r="A15040" s="441">
        <v>73</v>
      </c>
      <c r="B15040" s="438" t="s">
        <v>27013</v>
      </c>
      <c r="C15040" s="442" t="s">
        <v>27014</v>
      </c>
      <c r="D15040" s="443">
        <v>105.37</v>
      </c>
      <c r="E15040" s="443">
        <v>70.430000000000007</v>
      </c>
      <c r="F15040" s="443"/>
      <c r="G15040" s="443">
        <v>34.94</v>
      </c>
      <c r="H15040" s="444">
        <v>952.5</v>
      </c>
      <c r="I15040" s="444">
        <v>809.97</v>
      </c>
      <c r="J15040" s="444"/>
      <c r="K15040" s="444">
        <v>142.53</v>
      </c>
      <c r="L15040" s="43">
        <v>9.0395748315459805</v>
      </c>
      <c r="M15040" s="43">
        <v>11.500354962373988</v>
      </c>
      <c r="N15040" s="43" t="s">
        <v>1690</v>
      </c>
      <c r="O15040" s="43">
        <v>4.0792787635947345</v>
      </c>
      <c r="P15040" s="445"/>
      <c r="Q15040" s="445"/>
      <c r="R15040" s="445">
        <v>21</v>
      </c>
    </row>
    <row r="15041" spans="1:18" ht="24">
      <c r="A15041" s="441">
        <v>74</v>
      </c>
      <c r="B15041" s="438" t="s">
        <v>27015</v>
      </c>
      <c r="C15041" s="442" t="s">
        <v>27016</v>
      </c>
      <c r="D15041" s="443">
        <v>133.58000000000001</v>
      </c>
      <c r="E15041" s="443">
        <v>118.35</v>
      </c>
      <c r="F15041" s="443"/>
      <c r="G15041" s="443">
        <v>15.23</v>
      </c>
      <c r="H15041" s="444">
        <v>1443.9</v>
      </c>
      <c r="I15041" s="444">
        <v>1361.04</v>
      </c>
      <c r="J15041" s="444"/>
      <c r="K15041" s="444">
        <v>82.86</v>
      </c>
      <c r="L15041" s="43">
        <v>10.809252882167989</v>
      </c>
      <c r="M15041" s="43">
        <v>11.500126742712295</v>
      </c>
      <c r="N15041" s="43" t="s">
        <v>1690</v>
      </c>
      <c r="O15041" s="43">
        <v>5.4405778069599471</v>
      </c>
      <c r="P15041" s="445"/>
      <c r="Q15041" s="445"/>
      <c r="R15041" s="445">
        <v>21</v>
      </c>
    </row>
    <row r="15042" spans="1:18" ht="24">
      <c r="A15042" s="441">
        <v>75</v>
      </c>
      <c r="B15042" s="438" t="s">
        <v>27017</v>
      </c>
      <c r="C15042" s="442" t="s">
        <v>27018</v>
      </c>
      <c r="D15042" s="443">
        <v>143.69</v>
      </c>
      <c r="E15042" s="443">
        <v>129.84</v>
      </c>
      <c r="F15042" s="443"/>
      <c r="G15042" s="443">
        <v>13.85</v>
      </c>
      <c r="H15042" s="444">
        <v>1571.19</v>
      </c>
      <c r="I15042" s="444">
        <v>1493.18</v>
      </c>
      <c r="J15042" s="444"/>
      <c r="K15042" s="444">
        <v>78.010000000000005</v>
      </c>
      <c r="L15042" s="43">
        <v>10.934581390493424</v>
      </c>
      <c r="M15042" s="43">
        <v>11.500154035736291</v>
      </c>
      <c r="N15042" s="43" t="s">
        <v>1690</v>
      </c>
      <c r="O15042" s="43">
        <v>5.632490974729242</v>
      </c>
      <c r="P15042" s="445"/>
      <c r="Q15042" s="445"/>
      <c r="R15042" s="445">
        <v>21</v>
      </c>
    </row>
    <row r="15043" spans="1:18" ht="24">
      <c r="A15043" s="441">
        <v>76</v>
      </c>
      <c r="B15043" s="438" t="s">
        <v>27019</v>
      </c>
      <c r="C15043" s="442" t="s">
        <v>27020</v>
      </c>
      <c r="D15043" s="443">
        <v>100</v>
      </c>
      <c r="E15043" s="443">
        <v>78.98</v>
      </c>
      <c r="F15043" s="443"/>
      <c r="G15043" s="443">
        <v>21.02</v>
      </c>
      <c r="H15043" s="444">
        <v>999.89</v>
      </c>
      <c r="I15043" s="444">
        <v>908.35</v>
      </c>
      <c r="J15043" s="444"/>
      <c r="K15043" s="444">
        <v>91.54</v>
      </c>
      <c r="L15043" s="43">
        <v>9.998899999999999</v>
      </c>
      <c r="M15043" s="43">
        <v>11.50101291466194</v>
      </c>
      <c r="N15043" s="43" t="s">
        <v>1690</v>
      </c>
      <c r="O15043" s="43">
        <v>4.354900095147479</v>
      </c>
      <c r="P15043" s="445"/>
      <c r="Q15043" s="445"/>
      <c r="R15043" s="445">
        <v>21</v>
      </c>
    </row>
    <row r="15044" spans="1:18" ht="24">
      <c r="A15044" s="441">
        <v>77</v>
      </c>
      <c r="B15044" s="438" t="s">
        <v>27021</v>
      </c>
      <c r="C15044" s="442" t="s">
        <v>27022</v>
      </c>
      <c r="D15044" s="443">
        <v>156.58000000000001</v>
      </c>
      <c r="E15044" s="443">
        <v>117.01</v>
      </c>
      <c r="F15044" s="443"/>
      <c r="G15044" s="443">
        <v>39.57</v>
      </c>
      <c r="H15044" s="444">
        <v>1510.55</v>
      </c>
      <c r="I15044" s="444">
        <v>1345.59</v>
      </c>
      <c r="J15044" s="444"/>
      <c r="K15044" s="444">
        <v>164.96</v>
      </c>
      <c r="L15044" s="43">
        <v>9.6471452292757682</v>
      </c>
      <c r="M15044" s="43">
        <v>11.499786343047601</v>
      </c>
      <c r="N15044" s="43" t="s">
        <v>1690</v>
      </c>
      <c r="O15044" s="43">
        <v>4.1688147586555475</v>
      </c>
      <c r="P15044" s="445"/>
      <c r="Q15044" s="445"/>
      <c r="R15044" s="445">
        <v>21</v>
      </c>
    </row>
    <row r="15045" spans="1:18" ht="24">
      <c r="A15045" s="441">
        <v>78</v>
      </c>
      <c r="B15045" s="438" t="s">
        <v>27023</v>
      </c>
      <c r="C15045" s="442" t="s">
        <v>27024</v>
      </c>
      <c r="D15045" s="443">
        <v>112.7</v>
      </c>
      <c r="E15045" s="443">
        <v>92.17</v>
      </c>
      <c r="F15045" s="443"/>
      <c r="G15045" s="443">
        <v>20.53</v>
      </c>
      <c r="H15045" s="444">
        <v>1162</v>
      </c>
      <c r="I15045" s="444">
        <v>1059.93</v>
      </c>
      <c r="J15045" s="444"/>
      <c r="K15045" s="444">
        <v>102.07</v>
      </c>
      <c r="L15045" s="43">
        <v>10.31055900621118</v>
      </c>
      <c r="M15045" s="43">
        <v>11.499728762070088</v>
      </c>
      <c r="N15045" s="43" t="s">
        <v>1690</v>
      </c>
      <c r="O15045" s="43">
        <v>4.9717486604968331</v>
      </c>
      <c r="P15045" s="445"/>
      <c r="Q15045" s="445"/>
      <c r="R15045" s="445">
        <v>21</v>
      </c>
    </row>
    <row r="15046" spans="1:18" ht="24">
      <c r="A15046" s="441">
        <v>79</v>
      </c>
      <c r="B15046" s="438" t="s">
        <v>27025</v>
      </c>
      <c r="C15046" s="442" t="s">
        <v>27026</v>
      </c>
      <c r="D15046" s="443">
        <v>91.98</v>
      </c>
      <c r="E15046" s="443">
        <v>81.790000000000006</v>
      </c>
      <c r="F15046" s="443"/>
      <c r="G15046" s="443">
        <v>10.19</v>
      </c>
      <c r="H15046" s="444">
        <v>991.56</v>
      </c>
      <c r="I15046" s="444">
        <v>940.61</v>
      </c>
      <c r="J15046" s="444"/>
      <c r="K15046" s="444">
        <v>50.95</v>
      </c>
      <c r="L15046" s="43">
        <v>10.78016960208741</v>
      </c>
      <c r="M15046" s="43">
        <v>11.500305660838732</v>
      </c>
      <c r="N15046" s="43" t="s">
        <v>1690</v>
      </c>
      <c r="O15046" s="43">
        <v>5.0000000000000009</v>
      </c>
      <c r="P15046" s="445"/>
      <c r="Q15046" s="445"/>
      <c r="R15046" s="445">
        <v>21</v>
      </c>
    </row>
    <row r="15047" spans="1:18" ht="24">
      <c r="A15047" s="441">
        <v>80</v>
      </c>
      <c r="B15047" s="438" t="s">
        <v>27027</v>
      </c>
      <c r="C15047" s="442" t="s">
        <v>27028</v>
      </c>
      <c r="D15047" s="443">
        <v>60.94</v>
      </c>
      <c r="E15047" s="443">
        <v>59.75</v>
      </c>
      <c r="F15047" s="443"/>
      <c r="G15047" s="443">
        <v>1.19</v>
      </c>
      <c r="H15047" s="444">
        <v>700.82</v>
      </c>
      <c r="I15047" s="444">
        <v>687.13</v>
      </c>
      <c r="J15047" s="444"/>
      <c r="K15047" s="444">
        <v>13.69</v>
      </c>
      <c r="L15047" s="43">
        <v>11.500164095831968</v>
      </c>
      <c r="M15047" s="43">
        <v>11.500083682008368</v>
      </c>
      <c r="N15047" s="43" t="s">
        <v>1690</v>
      </c>
      <c r="O15047" s="43">
        <v>11.504201680672269</v>
      </c>
      <c r="P15047" s="445"/>
      <c r="Q15047" s="445"/>
      <c r="R15047" s="445">
        <v>21</v>
      </c>
    </row>
    <row r="15048" spans="1:18" ht="24">
      <c r="A15048" s="441">
        <v>81</v>
      </c>
      <c r="B15048" s="438" t="s">
        <v>27029</v>
      </c>
      <c r="C15048" s="442" t="s">
        <v>27030</v>
      </c>
      <c r="D15048" s="443">
        <v>92.59</v>
      </c>
      <c r="E15048" s="443">
        <v>69.69</v>
      </c>
      <c r="F15048" s="443"/>
      <c r="G15048" s="443">
        <v>22.9</v>
      </c>
      <c r="H15048" s="444">
        <v>896.87</v>
      </c>
      <c r="I15048" s="444">
        <v>801.41</v>
      </c>
      <c r="J15048" s="444"/>
      <c r="K15048" s="444">
        <v>95.46</v>
      </c>
      <c r="L15048" s="43">
        <v>9.6864672210821894</v>
      </c>
      <c r="M15048" s="43">
        <v>11.499641268474674</v>
      </c>
      <c r="N15048" s="43" t="s">
        <v>1690</v>
      </c>
      <c r="O15048" s="43">
        <v>4.1685589519650659</v>
      </c>
      <c r="P15048" s="445"/>
      <c r="Q15048" s="445"/>
      <c r="R15048" s="445">
        <v>21</v>
      </c>
    </row>
    <row r="15049" spans="1:18" ht="24">
      <c r="A15049" s="441">
        <v>82</v>
      </c>
      <c r="B15049" s="438" t="s">
        <v>27031</v>
      </c>
      <c r="C15049" s="442" t="s">
        <v>27032</v>
      </c>
      <c r="D15049" s="443">
        <v>47</v>
      </c>
      <c r="E15049" s="443">
        <v>46.08</v>
      </c>
      <c r="F15049" s="443"/>
      <c r="G15049" s="443">
        <v>0.92</v>
      </c>
      <c r="H15049" s="444">
        <v>540.54999999999995</v>
      </c>
      <c r="I15049" s="444">
        <v>529.97</v>
      </c>
      <c r="J15049" s="444"/>
      <c r="K15049" s="444">
        <v>10.58</v>
      </c>
      <c r="L15049" s="43">
        <v>11.501063829787233</v>
      </c>
      <c r="M15049" s="43">
        <v>11.501085069444445</v>
      </c>
      <c r="N15049" s="43" t="s">
        <v>1690</v>
      </c>
      <c r="O15049" s="43">
        <v>11.5</v>
      </c>
      <c r="P15049" s="445"/>
      <c r="Q15049" s="445"/>
      <c r="R15049" s="445">
        <v>21</v>
      </c>
    </row>
    <row r="15050" spans="1:18" ht="24">
      <c r="A15050" s="441">
        <v>83</v>
      </c>
      <c r="B15050" s="438" t="s">
        <v>27033</v>
      </c>
      <c r="C15050" s="442" t="s">
        <v>27034</v>
      </c>
      <c r="D15050" s="443">
        <v>248.46</v>
      </c>
      <c r="E15050" s="443">
        <v>220.3</v>
      </c>
      <c r="F15050" s="443">
        <v>0.53</v>
      </c>
      <c r="G15050" s="443">
        <v>27.63</v>
      </c>
      <c r="H15050" s="444">
        <v>2695.87</v>
      </c>
      <c r="I15050" s="444">
        <v>2533.5</v>
      </c>
      <c r="J15050" s="444">
        <v>2.2400000000000002</v>
      </c>
      <c r="K15050" s="444">
        <v>160.13</v>
      </c>
      <c r="L15050" s="43">
        <v>10.85031795862513</v>
      </c>
      <c r="M15050" s="43">
        <v>11.500226963231956</v>
      </c>
      <c r="N15050" s="43">
        <v>4.2264150943396226</v>
      </c>
      <c r="O15050" s="43">
        <v>5.7955121245023529</v>
      </c>
      <c r="P15050" s="445"/>
      <c r="Q15050" s="445"/>
      <c r="R15050" s="445">
        <v>21</v>
      </c>
    </row>
    <row r="15051" spans="1:18" ht="24">
      <c r="A15051" s="441">
        <v>84</v>
      </c>
      <c r="B15051" s="438" t="s">
        <v>27035</v>
      </c>
      <c r="C15051" s="442" t="s">
        <v>27036</v>
      </c>
      <c r="D15051" s="443">
        <v>426.6</v>
      </c>
      <c r="E15051" s="443">
        <v>330.91</v>
      </c>
      <c r="F15051" s="443"/>
      <c r="G15051" s="443">
        <v>95.69</v>
      </c>
      <c r="H15051" s="444">
        <v>4218.4799999999996</v>
      </c>
      <c r="I15051" s="444">
        <v>3805.63</v>
      </c>
      <c r="J15051" s="444"/>
      <c r="K15051" s="444">
        <v>412.85</v>
      </c>
      <c r="L15051" s="43">
        <v>9.8886075949367065</v>
      </c>
      <c r="M15051" s="43">
        <v>11.500498625003777</v>
      </c>
      <c r="N15051" s="43" t="s">
        <v>1690</v>
      </c>
      <c r="O15051" s="43">
        <v>4.3144529208903757</v>
      </c>
      <c r="P15051" s="445"/>
      <c r="Q15051" s="445"/>
      <c r="R15051" s="445">
        <v>21</v>
      </c>
    </row>
    <row r="15052" spans="1:18" ht="24">
      <c r="A15052" s="441">
        <v>85</v>
      </c>
      <c r="B15052" s="438" t="s">
        <v>27037</v>
      </c>
      <c r="C15052" s="442" t="s">
        <v>27038</v>
      </c>
      <c r="D15052" s="443">
        <v>366.49</v>
      </c>
      <c r="E15052" s="443">
        <v>296.44</v>
      </c>
      <c r="F15052" s="443"/>
      <c r="G15052" s="443">
        <v>70.05</v>
      </c>
      <c r="H15052" s="444">
        <v>3720.81</v>
      </c>
      <c r="I15052" s="444">
        <v>3409.21</v>
      </c>
      <c r="J15052" s="444"/>
      <c r="K15052" s="444">
        <v>311.60000000000002</v>
      </c>
      <c r="L15052" s="43">
        <v>10.152555322109743</v>
      </c>
      <c r="M15052" s="43">
        <v>11.500506004587775</v>
      </c>
      <c r="N15052" s="43" t="s">
        <v>1690</v>
      </c>
      <c r="O15052" s="43">
        <v>4.4482512491077806</v>
      </c>
      <c r="P15052" s="445"/>
      <c r="Q15052" s="445"/>
      <c r="R15052" s="445">
        <v>21</v>
      </c>
    </row>
    <row r="15053" spans="1:18" ht="36">
      <c r="A15053" s="441">
        <v>86</v>
      </c>
      <c r="B15053" s="438" t="s">
        <v>27039</v>
      </c>
      <c r="C15053" s="442" t="s">
        <v>27040</v>
      </c>
      <c r="D15053" s="443">
        <v>39.74</v>
      </c>
      <c r="E15053" s="443">
        <v>34.840000000000003</v>
      </c>
      <c r="F15053" s="443"/>
      <c r="G15053" s="443">
        <v>4.9000000000000004</v>
      </c>
      <c r="H15053" s="444">
        <v>424.69</v>
      </c>
      <c r="I15053" s="444">
        <v>400.71</v>
      </c>
      <c r="J15053" s="444"/>
      <c r="K15053" s="444">
        <v>23.98</v>
      </c>
      <c r="L15053" s="43">
        <v>10.686713638651232</v>
      </c>
      <c r="M15053" s="43">
        <v>11.501435132032146</v>
      </c>
      <c r="N15053" s="43" t="s">
        <v>1690</v>
      </c>
      <c r="O15053" s="43">
        <v>4.8938775510204078</v>
      </c>
      <c r="P15053" s="445"/>
      <c r="Q15053" s="445"/>
      <c r="R15053" s="445">
        <v>21</v>
      </c>
    </row>
    <row r="15054" spans="1:18" ht="12.75" customHeight="1">
      <c r="A15054" s="628" t="s">
        <v>27041</v>
      </c>
      <c r="B15054" s="629"/>
      <c r="C15054" s="629"/>
      <c r="D15054" s="629"/>
      <c r="E15054" s="629"/>
      <c r="F15054" s="629"/>
      <c r="G15054" s="629"/>
      <c r="H15054" s="629"/>
      <c r="I15054" s="629"/>
      <c r="J15054" s="629"/>
      <c r="K15054" s="629"/>
      <c r="L15054" s="629"/>
      <c r="M15054" s="629"/>
      <c r="N15054" s="629"/>
      <c r="O15054" s="629"/>
      <c r="P15054" s="629"/>
      <c r="Q15054" s="629"/>
      <c r="R15054" s="629"/>
    </row>
    <row r="15055" spans="1:18" ht="24">
      <c r="A15055" s="441">
        <v>87</v>
      </c>
      <c r="B15055" s="438" t="s">
        <v>27042</v>
      </c>
      <c r="C15055" s="442" t="s">
        <v>27043</v>
      </c>
      <c r="D15055" s="443">
        <v>11.81</v>
      </c>
      <c r="E15055" s="443">
        <v>11.58</v>
      </c>
      <c r="F15055" s="443"/>
      <c r="G15055" s="443">
        <v>0.23</v>
      </c>
      <c r="H15055" s="444">
        <v>135.79</v>
      </c>
      <c r="I15055" s="444">
        <v>133.13999999999999</v>
      </c>
      <c r="J15055" s="444"/>
      <c r="K15055" s="444">
        <v>2.65</v>
      </c>
      <c r="L15055" s="43">
        <v>11.497883149872989</v>
      </c>
      <c r="M15055" s="43">
        <v>11.497409326424869</v>
      </c>
      <c r="N15055" s="43" t="s">
        <v>1690</v>
      </c>
      <c r="O15055" s="43">
        <v>11.500158277936057</v>
      </c>
      <c r="P15055" s="445"/>
      <c r="Q15055" s="445"/>
      <c r="R15055" s="445">
        <v>22</v>
      </c>
    </row>
    <row r="15056" spans="1:18" ht="24">
      <c r="A15056" s="441">
        <v>88</v>
      </c>
      <c r="B15056" s="438" t="s">
        <v>27044</v>
      </c>
      <c r="C15056" s="442" t="s">
        <v>27045</v>
      </c>
      <c r="D15056" s="443">
        <v>11.39</v>
      </c>
      <c r="E15056" s="443">
        <v>11.17</v>
      </c>
      <c r="F15056" s="443"/>
      <c r="G15056" s="443">
        <v>0.22</v>
      </c>
      <c r="H15056" s="444">
        <v>130.93</v>
      </c>
      <c r="I15056" s="444">
        <v>128.4</v>
      </c>
      <c r="J15056" s="444"/>
      <c r="K15056" s="444">
        <v>2.5299999999999998</v>
      </c>
      <c r="L15056" s="43">
        <v>11.495171202809482</v>
      </c>
      <c r="M15056" s="43">
        <v>11.495076096687557</v>
      </c>
      <c r="N15056" s="43" t="s">
        <v>1690</v>
      </c>
      <c r="O15056" s="43">
        <v>11.500158277936057</v>
      </c>
      <c r="P15056" s="445"/>
      <c r="Q15056" s="445"/>
      <c r="R15056" s="445">
        <v>22</v>
      </c>
    </row>
    <row r="15057" spans="1:18" ht="24">
      <c r="A15057" s="441">
        <v>89</v>
      </c>
      <c r="B15057" s="438" t="s">
        <v>27046</v>
      </c>
      <c r="C15057" s="442" t="s">
        <v>27047</v>
      </c>
      <c r="D15057" s="443">
        <v>11.81</v>
      </c>
      <c r="E15057" s="443">
        <v>11.58</v>
      </c>
      <c r="F15057" s="443"/>
      <c r="G15057" s="443">
        <v>0.23</v>
      </c>
      <c r="H15057" s="444">
        <v>135.79</v>
      </c>
      <c r="I15057" s="444">
        <v>133.13999999999999</v>
      </c>
      <c r="J15057" s="444"/>
      <c r="K15057" s="444">
        <v>2.65</v>
      </c>
      <c r="L15057" s="43">
        <v>11.497883149872989</v>
      </c>
      <c r="M15057" s="43">
        <v>11.497409326424869</v>
      </c>
      <c r="N15057" s="43" t="s">
        <v>1690</v>
      </c>
      <c r="O15057" s="43">
        <v>11.500158277936057</v>
      </c>
      <c r="P15057" s="445"/>
      <c r="Q15057" s="445"/>
      <c r="R15057" s="445">
        <v>22</v>
      </c>
    </row>
    <row r="15058" spans="1:18" ht="24">
      <c r="A15058" s="441">
        <v>90</v>
      </c>
      <c r="B15058" s="438" t="s">
        <v>27048</v>
      </c>
      <c r="C15058" s="442" t="s">
        <v>27049</v>
      </c>
      <c r="D15058" s="443">
        <v>127.94</v>
      </c>
      <c r="E15058" s="443">
        <v>125.43</v>
      </c>
      <c r="F15058" s="443"/>
      <c r="G15058" s="443">
        <v>2.5099999999999998</v>
      </c>
      <c r="H15058" s="444">
        <v>1471.32</v>
      </c>
      <c r="I15058" s="444">
        <v>1442.45</v>
      </c>
      <c r="J15058" s="444"/>
      <c r="K15058" s="444">
        <v>28.87</v>
      </c>
      <c r="L15058" s="43">
        <v>11.500078161638267</v>
      </c>
      <c r="M15058" s="43">
        <v>11.500039862871722</v>
      </c>
      <c r="N15058" s="43" t="s">
        <v>1690</v>
      </c>
      <c r="O15058" s="43">
        <v>11.500158277936057</v>
      </c>
      <c r="P15058" s="445"/>
      <c r="Q15058" s="445"/>
      <c r="R15058" s="445">
        <v>22</v>
      </c>
    </row>
    <row r="15059" spans="1:18" ht="12.75" customHeight="1">
      <c r="A15059" s="628" t="s">
        <v>27050</v>
      </c>
      <c r="B15059" s="629"/>
      <c r="C15059" s="629"/>
      <c r="D15059" s="629"/>
      <c r="E15059" s="629"/>
      <c r="F15059" s="629"/>
      <c r="G15059" s="629"/>
      <c r="H15059" s="629"/>
      <c r="I15059" s="629"/>
      <c r="J15059" s="629"/>
      <c r="K15059" s="629"/>
      <c r="L15059" s="629"/>
      <c r="M15059" s="629"/>
      <c r="N15059" s="629"/>
      <c r="O15059" s="629"/>
      <c r="P15059" s="629"/>
      <c r="Q15059" s="629"/>
      <c r="R15059" s="629"/>
    </row>
    <row r="15060" spans="1:18" ht="36">
      <c r="A15060" s="441">
        <v>91</v>
      </c>
      <c r="B15060" s="438" t="s">
        <v>27051</v>
      </c>
      <c r="C15060" s="442" t="s">
        <v>27052</v>
      </c>
      <c r="D15060" s="443">
        <v>653.41</v>
      </c>
      <c r="E15060" s="443">
        <v>637.30999999999995</v>
      </c>
      <c r="F15060" s="443"/>
      <c r="G15060" s="443">
        <v>16.100000000000001</v>
      </c>
      <c r="H15060" s="444">
        <v>7491.32</v>
      </c>
      <c r="I15060" s="444">
        <v>7329.04</v>
      </c>
      <c r="J15060" s="444"/>
      <c r="K15060" s="444">
        <v>162.28</v>
      </c>
      <c r="L15060" s="43">
        <v>11.464960744402443</v>
      </c>
      <c r="M15060" s="43">
        <v>11.49996077262243</v>
      </c>
      <c r="N15060" s="43" t="s">
        <v>1690</v>
      </c>
      <c r="O15060" s="43">
        <v>10.079503105590062</v>
      </c>
      <c r="P15060" s="445"/>
      <c r="Q15060" s="445"/>
      <c r="R15060" s="445">
        <v>23</v>
      </c>
    </row>
    <row r="15061" spans="1:18" ht="36">
      <c r="A15061" s="441">
        <v>92</v>
      </c>
      <c r="B15061" s="438" t="s">
        <v>27053</v>
      </c>
      <c r="C15061" s="442" t="s">
        <v>27054</v>
      </c>
      <c r="D15061" s="443">
        <v>760.03</v>
      </c>
      <c r="E15061" s="443">
        <v>741.84</v>
      </c>
      <c r="F15061" s="443"/>
      <c r="G15061" s="443">
        <v>18.190000000000001</v>
      </c>
      <c r="H15061" s="444">
        <v>8717.4699999999993</v>
      </c>
      <c r="I15061" s="444">
        <v>8531.16</v>
      </c>
      <c r="J15061" s="444"/>
      <c r="K15061" s="444">
        <v>186.31</v>
      </c>
      <c r="L15061" s="43">
        <v>11.469902503848532</v>
      </c>
      <c r="M15061" s="43">
        <v>11.5</v>
      </c>
      <c r="N15061" s="43" t="s">
        <v>1690</v>
      </c>
      <c r="O15061" s="43">
        <v>10.242440901594282</v>
      </c>
      <c r="P15061" s="445"/>
      <c r="Q15061" s="445"/>
      <c r="R15061" s="445">
        <v>23</v>
      </c>
    </row>
    <row r="15062" spans="1:18" ht="36">
      <c r="A15062" s="441">
        <v>93</v>
      </c>
      <c r="B15062" s="438" t="s">
        <v>27055</v>
      </c>
      <c r="C15062" s="442" t="s">
        <v>27056</v>
      </c>
      <c r="D15062" s="443">
        <v>874.67</v>
      </c>
      <c r="E15062" s="443">
        <v>854.24</v>
      </c>
      <c r="F15062" s="443"/>
      <c r="G15062" s="443">
        <v>20.43</v>
      </c>
      <c r="H15062" s="444">
        <v>10035.83</v>
      </c>
      <c r="I15062" s="444">
        <v>9823.76</v>
      </c>
      <c r="J15062" s="444"/>
      <c r="K15062" s="444">
        <v>212.07</v>
      </c>
      <c r="L15062" s="43">
        <v>11.47384727954543</v>
      </c>
      <c r="M15062" s="43">
        <v>11.5</v>
      </c>
      <c r="N15062" s="43" t="s">
        <v>1690</v>
      </c>
      <c r="O15062" s="43">
        <v>10.380323054331864</v>
      </c>
      <c r="P15062" s="445"/>
      <c r="Q15062" s="445"/>
      <c r="R15062" s="445">
        <v>23</v>
      </c>
    </row>
    <row r="15063" spans="1:18" ht="36">
      <c r="A15063" s="441">
        <v>94</v>
      </c>
      <c r="B15063" s="438" t="s">
        <v>27057</v>
      </c>
      <c r="C15063" s="442" t="s">
        <v>27058</v>
      </c>
      <c r="D15063" s="443">
        <v>129.55000000000001</v>
      </c>
      <c r="E15063" s="443">
        <v>127.01</v>
      </c>
      <c r="F15063" s="443"/>
      <c r="G15063" s="443">
        <v>2.54</v>
      </c>
      <c r="H15063" s="444">
        <v>1489.85</v>
      </c>
      <c r="I15063" s="444">
        <v>1460.64</v>
      </c>
      <c r="J15063" s="444"/>
      <c r="K15063" s="444">
        <v>29.21</v>
      </c>
      <c r="L15063" s="43">
        <v>11.500192975685062</v>
      </c>
      <c r="M15063" s="43">
        <v>11.50019683489489</v>
      </c>
      <c r="N15063" s="43" t="s">
        <v>1690</v>
      </c>
      <c r="O15063" s="43">
        <v>11.5</v>
      </c>
      <c r="P15063" s="445"/>
      <c r="Q15063" s="445"/>
      <c r="R15063" s="445">
        <v>23</v>
      </c>
    </row>
    <row r="15064" spans="1:18" ht="36">
      <c r="A15064" s="441">
        <v>95</v>
      </c>
      <c r="B15064" s="438" t="s">
        <v>27059</v>
      </c>
      <c r="C15064" s="442" t="s">
        <v>27060</v>
      </c>
      <c r="D15064" s="443">
        <v>2575.71</v>
      </c>
      <c r="E15064" s="443">
        <v>2521.92</v>
      </c>
      <c r="F15064" s="443"/>
      <c r="G15064" s="443">
        <v>53.79</v>
      </c>
      <c r="H15064" s="444">
        <v>29597.79</v>
      </c>
      <c r="I15064" s="444">
        <v>29002.080000000002</v>
      </c>
      <c r="J15064" s="444"/>
      <c r="K15064" s="444">
        <v>595.71</v>
      </c>
      <c r="L15064" s="43">
        <v>11.491118953608908</v>
      </c>
      <c r="M15064" s="43">
        <v>11.5</v>
      </c>
      <c r="N15064" s="43" t="s">
        <v>1690</v>
      </c>
      <c r="O15064" s="43">
        <v>11.074735080870051</v>
      </c>
      <c r="P15064" s="445"/>
      <c r="Q15064" s="445"/>
      <c r="R15064" s="445">
        <v>23</v>
      </c>
    </row>
    <row r="15065" spans="1:18" ht="24">
      <c r="A15065" s="441">
        <v>96</v>
      </c>
      <c r="B15065" s="438" t="s">
        <v>27061</v>
      </c>
      <c r="C15065" s="442" t="s">
        <v>27062</v>
      </c>
      <c r="D15065" s="443">
        <v>369.32</v>
      </c>
      <c r="E15065" s="443">
        <v>344.7</v>
      </c>
      <c r="F15065" s="443"/>
      <c r="G15065" s="443">
        <v>24.62</v>
      </c>
      <c r="H15065" s="444">
        <v>4126.32</v>
      </c>
      <c r="I15065" s="444">
        <v>3964.2</v>
      </c>
      <c r="J15065" s="444"/>
      <c r="K15065" s="444">
        <v>162.12</v>
      </c>
      <c r="L15065" s="43">
        <v>11.172749918769631</v>
      </c>
      <c r="M15065" s="43">
        <v>11.500435161009573</v>
      </c>
      <c r="N15065" s="43" t="s">
        <v>1690</v>
      </c>
      <c r="O15065" s="43">
        <v>6.5848903330625506</v>
      </c>
      <c r="P15065" s="445"/>
      <c r="Q15065" s="445"/>
      <c r="R15065" s="445">
        <v>23</v>
      </c>
    </row>
    <row r="15066" spans="1:18" ht="12.75" customHeight="1">
      <c r="A15066" s="628" t="s">
        <v>27063</v>
      </c>
      <c r="B15066" s="629"/>
      <c r="C15066" s="629"/>
      <c r="D15066" s="629"/>
      <c r="E15066" s="629"/>
      <c r="F15066" s="629"/>
      <c r="G15066" s="629"/>
      <c r="H15066" s="629"/>
      <c r="I15066" s="629"/>
      <c r="J15066" s="629"/>
      <c r="K15066" s="629"/>
      <c r="L15066" s="629"/>
      <c r="M15066" s="629"/>
      <c r="N15066" s="629"/>
      <c r="O15066" s="629"/>
      <c r="P15066" s="629"/>
      <c r="Q15066" s="629"/>
      <c r="R15066" s="629"/>
    </row>
    <row r="15067" spans="1:18" ht="12.75" customHeight="1">
      <c r="A15067" s="628" t="s">
        <v>27064</v>
      </c>
      <c r="B15067" s="629"/>
      <c r="C15067" s="629"/>
      <c r="D15067" s="629"/>
      <c r="E15067" s="629"/>
      <c r="F15067" s="629"/>
      <c r="G15067" s="629"/>
      <c r="H15067" s="629"/>
      <c r="I15067" s="629"/>
      <c r="J15067" s="629"/>
      <c r="K15067" s="629"/>
      <c r="L15067" s="629"/>
      <c r="M15067" s="629"/>
      <c r="N15067" s="629"/>
      <c r="O15067" s="629"/>
      <c r="P15067" s="629"/>
      <c r="Q15067" s="629"/>
      <c r="R15067" s="629"/>
    </row>
    <row r="15068" spans="1:18" ht="24">
      <c r="A15068" s="441">
        <v>97</v>
      </c>
      <c r="B15068" s="438" t="s">
        <v>27065</v>
      </c>
      <c r="C15068" s="442" t="s">
        <v>27066</v>
      </c>
      <c r="D15068" s="443">
        <v>7589.32</v>
      </c>
      <c r="E15068" s="443">
        <v>7261.68</v>
      </c>
      <c r="F15068" s="443">
        <v>129.51</v>
      </c>
      <c r="G15068" s="443">
        <v>198.13</v>
      </c>
      <c r="H15068" s="444">
        <v>85933.14</v>
      </c>
      <c r="I15068" s="444">
        <v>83512.479999999996</v>
      </c>
      <c r="J15068" s="444">
        <v>546.30999999999995</v>
      </c>
      <c r="K15068" s="444">
        <v>1874.35</v>
      </c>
      <c r="L15068" s="43">
        <v>11.322903764764169</v>
      </c>
      <c r="M15068" s="43">
        <v>11.500435161009573</v>
      </c>
      <c r="N15068" s="43">
        <v>4.2182843023704732</v>
      </c>
      <c r="O15068" s="43">
        <v>9.4602028970877701</v>
      </c>
      <c r="P15068" s="445"/>
      <c r="Q15068" s="445"/>
      <c r="R15068" s="445">
        <v>1</v>
      </c>
    </row>
    <row r="15069" spans="1:18" ht="24">
      <c r="A15069" s="441">
        <v>98</v>
      </c>
      <c r="B15069" s="438" t="s">
        <v>27067</v>
      </c>
      <c r="C15069" s="442" t="s">
        <v>27068</v>
      </c>
      <c r="D15069" s="443">
        <v>5579.04</v>
      </c>
      <c r="E15069" s="443">
        <v>5319.87</v>
      </c>
      <c r="F15069" s="443">
        <v>112.57</v>
      </c>
      <c r="G15069" s="443">
        <v>146.6</v>
      </c>
      <c r="H15069" s="444">
        <v>63036.5</v>
      </c>
      <c r="I15069" s="444">
        <v>61180.82</v>
      </c>
      <c r="J15069" s="444">
        <v>474.86</v>
      </c>
      <c r="K15069" s="444">
        <v>1380.82</v>
      </c>
      <c r="L15069" s="43">
        <v>11.298807680174367</v>
      </c>
      <c r="M15069" s="43">
        <v>11.500435161009573</v>
      </c>
      <c r="N15069" s="43">
        <v>4.2183530247845793</v>
      </c>
      <c r="O15069" s="43">
        <v>9.4189631650750343</v>
      </c>
      <c r="P15069" s="445"/>
      <c r="Q15069" s="445"/>
      <c r="R15069" s="445">
        <v>1</v>
      </c>
    </row>
    <row r="15070" spans="1:18" ht="24">
      <c r="A15070" s="441">
        <v>99</v>
      </c>
      <c r="B15070" s="438" t="s">
        <v>27069</v>
      </c>
      <c r="C15070" s="442" t="s">
        <v>27070</v>
      </c>
      <c r="D15070" s="443">
        <v>2331.92</v>
      </c>
      <c r="E15070" s="443">
        <v>2240.5500000000002</v>
      </c>
      <c r="F15070" s="443">
        <v>10.85</v>
      </c>
      <c r="G15070" s="443">
        <v>80.52</v>
      </c>
      <c r="H15070" s="444">
        <v>26465.97</v>
      </c>
      <c r="I15070" s="444">
        <v>25767.3</v>
      </c>
      <c r="J15070" s="444">
        <v>46.43</v>
      </c>
      <c r="K15070" s="444">
        <v>652.24</v>
      </c>
      <c r="L15070" s="43">
        <v>11.349433085183025</v>
      </c>
      <c r="M15070" s="43">
        <v>11.500435161009571</v>
      </c>
      <c r="N15070" s="43">
        <v>4.2792626728110603</v>
      </c>
      <c r="O15070" s="43">
        <v>8.1003477396920029</v>
      </c>
      <c r="P15070" s="445"/>
      <c r="Q15070" s="445"/>
      <c r="R15070" s="445">
        <v>1</v>
      </c>
    </row>
    <row r="15071" spans="1:18" ht="24">
      <c r="A15071" s="441">
        <v>100</v>
      </c>
      <c r="B15071" s="438" t="s">
        <v>27071</v>
      </c>
      <c r="C15071" s="442" t="s">
        <v>27072</v>
      </c>
      <c r="D15071" s="443">
        <v>6304.05</v>
      </c>
      <c r="E15071" s="443">
        <v>6066.72</v>
      </c>
      <c r="F15071" s="443">
        <v>65.22</v>
      </c>
      <c r="G15071" s="443">
        <v>172.11</v>
      </c>
      <c r="H15071" s="444">
        <v>71635.199999999997</v>
      </c>
      <c r="I15071" s="444">
        <v>69769.919999999998</v>
      </c>
      <c r="J15071" s="444">
        <v>275.11</v>
      </c>
      <c r="K15071" s="444">
        <v>1590.17</v>
      </c>
      <c r="L15071" s="43">
        <v>11.363361648464082</v>
      </c>
      <c r="M15071" s="43">
        <v>11.500435161009573</v>
      </c>
      <c r="N15071" s="43">
        <v>4.2181846059490953</v>
      </c>
      <c r="O15071" s="43">
        <v>9.2392655859624657</v>
      </c>
      <c r="P15071" s="445"/>
      <c r="Q15071" s="445"/>
      <c r="R15071" s="445">
        <v>1</v>
      </c>
    </row>
    <row r="15072" spans="1:18" ht="24">
      <c r="A15072" s="441">
        <v>101</v>
      </c>
      <c r="B15072" s="438" t="s">
        <v>27073</v>
      </c>
      <c r="C15072" s="442" t="s">
        <v>27074</v>
      </c>
      <c r="D15072" s="443">
        <v>703.58</v>
      </c>
      <c r="E15072" s="443">
        <v>651.48</v>
      </c>
      <c r="F15072" s="443">
        <v>3.41</v>
      </c>
      <c r="G15072" s="443">
        <v>48.69</v>
      </c>
      <c r="H15072" s="444">
        <v>7793.22</v>
      </c>
      <c r="I15072" s="444">
        <v>7492.34</v>
      </c>
      <c r="J15072" s="444">
        <v>14.44</v>
      </c>
      <c r="K15072" s="444">
        <v>286.44</v>
      </c>
      <c r="L15072" s="43">
        <v>11.076522925609028</v>
      </c>
      <c r="M15072" s="43">
        <v>11.500491189292074</v>
      </c>
      <c r="N15072" s="43">
        <v>4.2346041055718473</v>
      </c>
      <c r="O15072" s="43">
        <v>5.8829328404189773</v>
      </c>
      <c r="P15072" s="445"/>
      <c r="Q15072" s="445"/>
      <c r="R15072" s="445">
        <v>1</v>
      </c>
    </row>
    <row r="15073" spans="1:18" ht="12.75" customHeight="1">
      <c r="A15073" s="628" t="s">
        <v>27075</v>
      </c>
      <c r="B15073" s="629"/>
      <c r="C15073" s="629"/>
      <c r="D15073" s="629"/>
      <c r="E15073" s="629"/>
      <c r="F15073" s="629"/>
      <c r="G15073" s="629"/>
      <c r="H15073" s="629"/>
      <c r="I15073" s="629"/>
      <c r="J15073" s="629"/>
      <c r="K15073" s="629"/>
      <c r="L15073" s="629"/>
      <c r="M15073" s="629"/>
      <c r="N15073" s="629"/>
      <c r="O15073" s="629"/>
      <c r="P15073" s="629"/>
      <c r="Q15073" s="629"/>
      <c r="R15073" s="629"/>
    </row>
    <row r="15074" spans="1:18" ht="24">
      <c r="A15074" s="441">
        <v>102</v>
      </c>
      <c r="B15074" s="438" t="s">
        <v>27076</v>
      </c>
      <c r="C15074" s="442" t="s">
        <v>27077</v>
      </c>
      <c r="D15074" s="443">
        <v>637.09</v>
      </c>
      <c r="E15074" s="443">
        <v>548.34</v>
      </c>
      <c r="F15074" s="443">
        <v>6.08</v>
      </c>
      <c r="G15074" s="443">
        <v>82.67</v>
      </c>
      <c r="H15074" s="444">
        <v>6722.63</v>
      </c>
      <c r="I15074" s="444">
        <v>6305.91</v>
      </c>
      <c r="J15074" s="444">
        <v>25.66</v>
      </c>
      <c r="K15074" s="444">
        <v>391.06</v>
      </c>
      <c r="L15074" s="43">
        <v>10.552088401952629</v>
      </c>
      <c r="M15074" s="43">
        <v>11.499999999999998</v>
      </c>
      <c r="N15074" s="43">
        <v>4.2203947368421053</v>
      </c>
      <c r="O15074" s="43">
        <v>4.7303737752509978</v>
      </c>
      <c r="P15074" s="445"/>
      <c r="Q15074" s="445"/>
      <c r="R15074" s="445">
        <v>2</v>
      </c>
    </row>
    <row r="15075" spans="1:18" ht="12.75" customHeight="1">
      <c r="A15075" s="628" t="s">
        <v>27078</v>
      </c>
      <c r="B15075" s="629"/>
      <c r="C15075" s="629"/>
      <c r="D15075" s="629"/>
      <c r="E15075" s="629"/>
      <c r="F15075" s="629"/>
      <c r="G15075" s="629"/>
      <c r="H15075" s="629"/>
      <c r="I15075" s="629"/>
      <c r="J15075" s="629"/>
      <c r="K15075" s="629"/>
      <c r="L15075" s="629"/>
      <c r="M15075" s="629"/>
      <c r="N15075" s="629"/>
      <c r="O15075" s="629"/>
      <c r="P15075" s="629"/>
      <c r="Q15075" s="629"/>
      <c r="R15075" s="629"/>
    </row>
    <row r="15076" spans="1:18" ht="24">
      <c r="A15076" s="441">
        <v>103</v>
      </c>
      <c r="B15076" s="438" t="s">
        <v>27079</v>
      </c>
      <c r="C15076" s="442" t="s">
        <v>27080</v>
      </c>
      <c r="D15076" s="443">
        <v>564.98</v>
      </c>
      <c r="E15076" s="443">
        <v>521.54</v>
      </c>
      <c r="F15076" s="443">
        <v>1.8</v>
      </c>
      <c r="G15076" s="443">
        <v>41.64</v>
      </c>
      <c r="H15076" s="444">
        <v>6241.9</v>
      </c>
      <c r="I15076" s="444">
        <v>5997.66</v>
      </c>
      <c r="J15076" s="444">
        <v>7.68</v>
      </c>
      <c r="K15076" s="444">
        <v>236.56</v>
      </c>
      <c r="L15076" s="43">
        <v>11.048001699175192</v>
      </c>
      <c r="M15076" s="43">
        <v>11.499904130076313</v>
      </c>
      <c r="N15076" s="43">
        <v>4.2666666666666666</v>
      </c>
      <c r="O15076" s="43">
        <v>5.6810758885686843</v>
      </c>
      <c r="P15076" s="445"/>
      <c r="Q15076" s="445"/>
      <c r="R15076" s="445">
        <v>3</v>
      </c>
    </row>
    <row r="15077" spans="1:18" ht="12.75" customHeight="1">
      <c r="A15077" s="628" t="s">
        <v>21050</v>
      </c>
      <c r="B15077" s="629"/>
      <c r="C15077" s="629"/>
      <c r="D15077" s="629"/>
      <c r="E15077" s="629"/>
      <c r="F15077" s="629"/>
      <c r="G15077" s="629"/>
      <c r="H15077" s="629"/>
      <c r="I15077" s="629"/>
      <c r="J15077" s="629"/>
      <c r="K15077" s="629"/>
      <c r="L15077" s="629"/>
      <c r="M15077" s="629"/>
      <c r="N15077" s="629"/>
      <c r="O15077" s="629"/>
      <c r="P15077" s="629"/>
      <c r="Q15077" s="629"/>
      <c r="R15077" s="629"/>
    </row>
    <row r="15078" spans="1:18" ht="24">
      <c r="A15078" s="441">
        <v>104</v>
      </c>
      <c r="B15078" s="438" t="s">
        <v>27081</v>
      </c>
      <c r="C15078" s="442" t="s">
        <v>27082</v>
      </c>
      <c r="D15078" s="443">
        <v>45.62</v>
      </c>
      <c r="E15078" s="443">
        <v>44.44</v>
      </c>
      <c r="F15078" s="443">
        <v>0.28999999999999998</v>
      </c>
      <c r="G15078" s="443">
        <v>0.89</v>
      </c>
      <c r="H15078" s="444">
        <v>522.6</v>
      </c>
      <c r="I15078" s="444">
        <v>511.11</v>
      </c>
      <c r="J15078" s="444">
        <v>1.25</v>
      </c>
      <c r="K15078" s="444">
        <v>10.24</v>
      </c>
      <c r="L15078" s="43">
        <v>11.45550197281894</v>
      </c>
      <c r="M15078" s="43">
        <v>11.501125112511252</v>
      </c>
      <c r="N15078" s="43">
        <v>4.3103448275862073</v>
      </c>
      <c r="O15078" s="43">
        <v>11.500158277936057</v>
      </c>
      <c r="P15078" s="445"/>
      <c r="Q15078" s="445"/>
      <c r="R15078" s="445">
        <v>4</v>
      </c>
    </row>
    <row r="15079" spans="1:18" ht="24">
      <c r="A15079" s="441">
        <v>105</v>
      </c>
      <c r="B15079" s="438" t="s">
        <v>27083</v>
      </c>
      <c r="C15079" s="442" t="s">
        <v>27084</v>
      </c>
      <c r="D15079" s="443">
        <v>101.26</v>
      </c>
      <c r="E15079" s="443">
        <v>79.92</v>
      </c>
      <c r="F15079" s="443"/>
      <c r="G15079" s="443">
        <v>21.34</v>
      </c>
      <c r="H15079" s="444">
        <v>1011.71</v>
      </c>
      <c r="I15079" s="444">
        <v>919.08</v>
      </c>
      <c r="J15079" s="444"/>
      <c r="K15079" s="444">
        <v>92.63</v>
      </c>
      <c r="L15079" s="43">
        <v>9.9912107446178151</v>
      </c>
      <c r="M15079" s="43">
        <v>11.5</v>
      </c>
      <c r="N15079" s="43" t="s">
        <v>1690</v>
      </c>
      <c r="O15079" s="43">
        <v>4.3406747891283972</v>
      </c>
      <c r="P15079" s="445"/>
      <c r="Q15079" s="445"/>
      <c r="R15079" s="445">
        <v>4</v>
      </c>
    </row>
    <row r="15080" spans="1:18" ht="24">
      <c r="A15080" s="441">
        <v>106</v>
      </c>
      <c r="B15080" s="438" t="s">
        <v>27085</v>
      </c>
      <c r="C15080" s="442" t="s">
        <v>27086</v>
      </c>
      <c r="D15080" s="443">
        <v>127.94</v>
      </c>
      <c r="E15080" s="443">
        <v>125.43</v>
      </c>
      <c r="F15080" s="443"/>
      <c r="G15080" s="443">
        <v>2.5099999999999998</v>
      </c>
      <c r="H15080" s="444">
        <v>1471.32</v>
      </c>
      <c r="I15080" s="444">
        <v>1442.45</v>
      </c>
      <c r="J15080" s="444"/>
      <c r="K15080" s="444">
        <v>28.87</v>
      </c>
      <c r="L15080" s="43">
        <v>11.500078161638267</v>
      </c>
      <c r="M15080" s="43">
        <v>11.500039862871722</v>
      </c>
      <c r="N15080" s="43" t="s">
        <v>1690</v>
      </c>
      <c r="O15080" s="43">
        <v>11.501992031872511</v>
      </c>
      <c r="P15080" s="445"/>
      <c r="Q15080" s="445"/>
      <c r="R15080" s="445">
        <v>4</v>
      </c>
    </row>
    <row r="15081" spans="1:18" ht="24">
      <c r="A15081" s="441">
        <v>107</v>
      </c>
      <c r="B15081" s="438" t="s">
        <v>27087</v>
      </c>
      <c r="C15081" s="442" t="s">
        <v>27088</v>
      </c>
      <c r="D15081" s="443">
        <v>193.78</v>
      </c>
      <c r="E15081" s="443">
        <v>161.86000000000001</v>
      </c>
      <c r="F15081" s="443"/>
      <c r="G15081" s="443">
        <v>31.92</v>
      </c>
      <c r="H15081" s="444">
        <v>2004.56</v>
      </c>
      <c r="I15081" s="444">
        <v>1861.34</v>
      </c>
      <c r="J15081" s="444"/>
      <c r="K15081" s="444">
        <v>143.22</v>
      </c>
      <c r="L15081" s="43">
        <v>10.344514397770668</v>
      </c>
      <c r="M15081" s="43">
        <v>11.499691091066353</v>
      </c>
      <c r="N15081" s="43" t="s">
        <v>1690</v>
      </c>
      <c r="O15081" s="43">
        <v>4.4868421052631575</v>
      </c>
      <c r="P15081" s="445"/>
      <c r="Q15081" s="445"/>
      <c r="R15081" s="445">
        <v>4</v>
      </c>
    </row>
    <row r="15082" spans="1:18" ht="24">
      <c r="A15082" s="441">
        <v>108</v>
      </c>
      <c r="B15082" s="438" t="s">
        <v>27089</v>
      </c>
      <c r="C15082" s="442" t="s">
        <v>27090</v>
      </c>
      <c r="D15082" s="443">
        <v>317.37</v>
      </c>
      <c r="E15082" s="443">
        <v>283.02999999999997</v>
      </c>
      <c r="F15082" s="443"/>
      <c r="G15082" s="443">
        <v>34.340000000000003</v>
      </c>
      <c r="H15082" s="444">
        <v>3425.98</v>
      </c>
      <c r="I15082" s="444">
        <v>3254.93</v>
      </c>
      <c r="J15082" s="444"/>
      <c r="K15082" s="444">
        <v>171.05</v>
      </c>
      <c r="L15082" s="43">
        <v>10.794908151369064</v>
      </c>
      <c r="M15082" s="43">
        <v>11.500300321520687</v>
      </c>
      <c r="N15082" s="43" t="s">
        <v>1690</v>
      </c>
      <c r="O15082" s="43">
        <v>4.9810716365754217</v>
      </c>
      <c r="P15082" s="445"/>
      <c r="Q15082" s="445"/>
      <c r="R15082" s="445">
        <v>4</v>
      </c>
    </row>
    <row r="15083" spans="1:18" ht="24">
      <c r="A15083" s="441">
        <v>109</v>
      </c>
      <c r="B15083" s="438" t="s">
        <v>27091</v>
      </c>
      <c r="C15083" s="442" t="s">
        <v>27092</v>
      </c>
      <c r="D15083" s="443">
        <v>363.55</v>
      </c>
      <c r="E15083" s="443">
        <v>328</v>
      </c>
      <c r="F15083" s="443">
        <v>0.31</v>
      </c>
      <c r="G15083" s="443">
        <v>35.24</v>
      </c>
      <c r="H15083" s="444">
        <v>3954.91</v>
      </c>
      <c r="I15083" s="444">
        <v>3772.18</v>
      </c>
      <c r="J15083" s="444">
        <v>1.33</v>
      </c>
      <c r="K15083" s="444">
        <v>181.4</v>
      </c>
      <c r="L15083" s="43">
        <v>10.878586164214001</v>
      </c>
      <c r="M15083" s="43">
        <v>11.500548780487804</v>
      </c>
      <c r="N15083" s="43">
        <v>4.2903225806451619</v>
      </c>
      <c r="O15083" s="43">
        <v>5.1475595913734393</v>
      </c>
      <c r="P15083" s="445"/>
      <c r="Q15083" s="445"/>
      <c r="R15083" s="445">
        <v>4</v>
      </c>
    </row>
    <row r="15084" spans="1:18" ht="24">
      <c r="A15084" s="441">
        <v>110</v>
      </c>
      <c r="B15084" s="438" t="s">
        <v>27093</v>
      </c>
      <c r="C15084" s="442" t="s">
        <v>27094</v>
      </c>
      <c r="D15084" s="443">
        <v>58.47</v>
      </c>
      <c r="E15084" s="443">
        <v>57.04</v>
      </c>
      <c r="F15084" s="443">
        <v>0.28999999999999998</v>
      </c>
      <c r="G15084" s="443">
        <v>1.1399999999999999</v>
      </c>
      <c r="H15084" s="444">
        <v>670.39</v>
      </c>
      <c r="I15084" s="444">
        <v>656.03</v>
      </c>
      <c r="J15084" s="444">
        <v>1.25</v>
      </c>
      <c r="K15084" s="444">
        <v>13.11</v>
      </c>
      <c r="L15084" s="43">
        <v>11.465537882674877</v>
      </c>
      <c r="M15084" s="43">
        <v>11.501227208976157</v>
      </c>
      <c r="N15084" s="43">
        <v>4.3103448275862073</v>
      </c>
      <c r="O15084" s="43">
        <v>11.5</v>
      </c>
      <c r="P15084" s="445"/>
      <c r="Q15084" s="445"/>
      <c r="R15084" s="445">
        <v>4</v>
      </c>
    </row>
    <row r="15085" spans="1:18" ht="24">
      <c r="A15085" s="441">
        <v>111</v>
      </c>
      <c r="B15085" s="438" t="s">
        <v>27095</v>
      </c>
      <c r="C15085" s="442" t="s">
        <v>27096</v>
      </c>
      <c r="D15085" s="443">
        <v>48.66</v>
      </c>
      <c r="E15085" s="443">
        <v>47.11</v>
      </c>
      <c r="F15085" s="443">
        <v>0.61</v>
      </c>
      <c r="G15085" s="443">
        <v>0.94</v>
      </c>
      <c r="H15085" s="444">
        <v>555.15</v>
      </c>
      <c r="I15085" s="444">
        <v>541.77</v>
      </c>
      <c r="J15085" s="444">
        <v>2.57</v>
      </c>
      <c r="K15085" s="444">
        <v>10.81</v>
      </c>
      <c r="L15085" s="43">
        <v>11.408754623921086</v>
      </c>
      <c r="M15085" s="43">
        <v>11.500106134578646</v>
      </c>
      <c r="N15085" s="43">
        <v>4.2131147540983607</v>
      </c>
      <c r="O15085" s="43">
        <v>11.500000000000002</v>
      </c>
      <c r="P15085" s="445"/>
      <c r="Q15085" s="445"/>
      <c r="R15085" s="445">
        <v>4</v>
      </c>
    </row>
    <row r="15086" spans="1:18" ht="24">
      <c r="A15086" s="441">
        <v>112</v>
      </c>
      <c r="B15086" s="438" t="s">
        <v>27097</v>
      </c>
      <c r="C15086" s="442" t="s">
        <v>27098</v>
      </c>
      <c r="D15086" s="443">
        <v>344.25</v>
      </c>
      <c r="E15086" s="443">
        <v>319.42</v>
      </c>
      <c r="F15086" s="443"/>
      <c r="G15086" s="443">
        <v>24.83</v>
      </c>
      <c r="H15086" s="444">
        <v>3816.51</v>
      </c>
      <c r="I15086" s="444">
        <v>3673.49</v>
      </c>
      <c r="J15086" s="444"/>
      <c r="K15086" s="444">
        <v>143.02000000000001</v>
      </c>
      <c r="L15086" s="43">
        <v>11.08644880174292</v>
      </c>
      <c r="M15086" s="43">
        <v>11.50050090789556</v>
      </c>
      <c r="N15086" s="43" t="s">
        <v>1690</v>
      </c>
      <c r="O15086" s="43">
        <v>5.7599677809101903</v>
      </c>
      <c r="P15086" s="445"/>
      <c r="Q15086" s="445"/>
      <c r="R15086" s="445">
        <v>4</v>
      </c>
    </row>
    <row r="15087" spans="1:18" ht="24">
      <c r="A15087" s="441">
        <v>113</v>
      </c>
      <c r="B15087" s="438" t="s">
        <v>27099</v>
      </c>
      <c r="C15087" s="442" t="s">
        <v>27100</v>
      </c>
      <c r="D15087" s="443">
        <v>318.12</v>
      </c>
      <c r="E15087" s="443">
        <v>277.63</v>
      </c>
      <c r="F15087" s="443">
        <v>2.72</v>
      </c>
      <c r="G15087" s="443">
        <v>37.770000000000003</v>
      </c>
      <c r="H15087" s="444">
        <v>3388.53</v>
      </c>
      <c r="I15087" s="444">
        <v>3192.72</v>
      </c>
      <c r="J15087" s="444">
        <v>11.54</v>
      </c>
      <c r="K15087" s="444">
        <v>184.27</v>
      </c>
      <c r="L15087" s="43">
        <v>10.651735194266315</v>
      </c>
      <c r="M15087" s="43">
        <v>11.499909952094514</v>
      </c>
      <c r="N15087" s="43">
        <v>4.242647058823529</v>
      </c>
      <c r="O15087" s="43">
        <v>4.8787397405348161</v>
      </c>
      <c r="P15087" s="445"/>
      <c r="Q15087" s="445"/>
      <c r="R15087" s="445">
        <v>4</v>
      </c>
    </row>
    <row r="15088" spans="1:18" ht="12.75" customHeight="1">
      <c r="A15088" s="628" t="s">
        <v>27101</v>
      </c>
      <c r="B15088" s="629"/>
      <c r="C15088" s="629"/>
      <c r="D15088" s="629"/>
      <c r="E15088" s="629"/>
      <c r="F15088" s="629"/>
      <c r="G15088" s="629"/>
      <c r="H15088" s="629"/>
      <c r="I15088" s="629"/>
      <c r="J15088" s="629"/>
      <c r="K15088" s="629"/>
      <c r="L15088" s="629"/>
      <c r="M15088" s="629"/>
      <c r="N15088" s="629"/>
      <c r="O15088" s="629"/>
      <c r="P15088" s="629"/>
      <c r="Q15088" s="629"/>
      <c r="R15088" s="629"/>
    </row>
    <row r="15089" spans="1:18" ht="12.75" customHeight="1">
      <c r="A15089" s="628" t="s">
        <v>27102</v>
      </c>
      <c r="B15089" s="629"/>
      <c r="C15089" s="629"/>
      <c r="D15089" s="629"/>
      <c r="E15089" s="629"/>
      <c r="F15089" s="629"/>
      <c r="G15089" s="629"/>
      <c r="H15089" s="629"/>
      <c r="I15089" s="629"/>
      <c r="J15089" s="629"/>
      <c r="K15089" s="629"/>
      <c r="L15089" s="629"/>
      <c r="M15089" s="629"/>
      <c r="N15089" s="629"/>
      <c r="O15089" s="629"/>
      <c r="P15089" s="629"/>
      <c r="Q15089" s="629"/>
      <c r="R15089" s="629"/>
    </row>
    <row r="15090" spans="1:18" ht="24">
      <c r="A15090" s="446">
        <v>114</v>
      </c>
      <c r="B15090" s="447" t="s">
        <v>27103</v>
      </c>
      <c r="C15090" s="448" t="s">
        <v>27104</v>
      </c>
      <c r="D15090" s="449">
        <v>501.93</v>
      </c>
      <c r="E15090" s="449">
        <v>491.89</v>
      </c>
      <c r="F15090" s="449">
        <v>0.2</v>
      </c>
      <c r="G15090" s="449">
        <v>9.84</v>
      </c>
      <c r="H15090" s="450">
        <v>5770.7</v>
      </c>
      <c r="I15090" s="450">
        <v>5656.71</v>
      </c>
      <c r="J15090" s="450">
        <v>0.83</v>
      </c>
      <c r="K15090" s="450">
        <v>113.16</v>
      </c>
      <c r="L15090" s="611">
        <v>11.497021497021496</v>
      </c>
      <c r="M15090" s="611">
        <v>11.499949175628698</v>
      </c>
      <c r="N15090" s="611">
        <v>4.1499999999999995</v>
      </c>
      <c r="O15090" s="611">
        <v>11.5</v>
      </c>
      <c r="P15090" s="451"/>
      <c r="Q15090" s="451"/>
      <c r="R15090" s="451">
        <v>1</v>
      </c>
    </row>
    <row r="15091" spans="1:18" ht="12.75" customHeight="1">
      <c r="A15091" s="630" t="s">
        <v>27105</v>
      </c>
      <c r="B15091" s="631"/>
      <c r="C15091" s="631"/>
      <c r="D15091" s="631"/>
      <c r="E15091" s="631"/>
      <c r="F15091" s="631"/>
      <c r="G15091" s="631"/>
      <c r="H15091" s="631"/>
      <c r="I15091" s="631"/>
      <c r="J15091" s="631"/>
      <c r="K15091" s="631"/>
      <c r="L15091" s="631"/>
      <c r="M15091" s="631"/>
      <c r="N15091" s="631"/>
      <c r="O15091" s="631"/>
      <c r="P15091" s="631"/>
      <c r="Q15091" s="631"/>
      <c r="R15091" s="631"/>
    </row>
    <row r="15092" spans="1:18" ht="12.75" customHeight="1">
      <c r="A15092" s="628" t="s">
        <v>27106</v>
      </c>
      <c r="B15092" s="629"/>
      <c r="C15092" s="629"/>
      <c r="D15092" s="629"/>
      <c r="E15092" s="629"/>
      <c r="F15092" s="629"/>
      <c r="G15092" s="629"/>
      <c r="H15092" s="629"/>
      <c r="I15092" s="629"/>
      <c r="J15092" s="629"/>
      <c r="K15092" s="629"/>
      <c r="L15092" s="629"/>
      <c r="M15092" s="629"/>
      <c r="N15092" s="629"/>
      <c r="O15092" s="629"/>
      <c r="P15092" s="629"/>
      <c r="Q15092" s="629"/>
      <c r="R15092" s="629"/>
    </row>
    <row r="15093" spans="1:18" ht="12.75" customHeight="1">
      <c r="A15093" s="628" t="s">
        <v>27107</v>
      </c>
      <c r="B15093" s="629"/>
      <c r="C15093" s="629"/>
      <c r="D15093" s="629"/>
      <c r="E15093" s="629"/>
      <c r="F15093" s="629"/>
      <c r="G15093" s="629"/>
      <c r="H15093" s="629"/>
      <c r="I15093" s="629"/>
      <c r="J15093" s="629"/>
      <c r="K15093" s="629"/>
      <c r="L15093" s="629"/>
      <c r="M15093" s="629"/>
      <c r="N15093" s="629"/>
      <c r="O15093" s="629"/>
      <c r="P15093" s="629"/>
      <c r="Q15093" s="629"/>
      <c r="R15093" s="629"/>
    </row>
    <row r="15094" spans="1:18" ht="24">
      <c r="A15094" s="441">
        <v>115</v>
      </c>
      <c r="B15094" s="438" t="s">
        <v>27108</v>
      </c>
      <c r="C15094" s="442" t="s">
        <v>27109</v>
      </c>
      <c r="D15094" s="443">
        <v>145.28</v>
      </c>
      <c r="E15094" s="443">
        <v>128.37</v>
      </c>
      <c r="F15094" s="443"/>
      <c r="G15094" s="443">
        <v>16.91</v>
      </c>
      <c r="H15094" s="444">
        <v>1558.77</v>
      </c>
      <c r="I15094" s="444">
        <v>1476.23</v>
      </c>
      <c r="J15094" s="444"/>
      <c r="K15094" s="444">
        <v>82.54</v>
      </c>
      <c r="L15094" s="43">
        <v>10.729419052863436</v>
      </c>
      <c r="M15094" s="43">
        <v>11.499805250447924</v>
      </c>
      <c r="N15094" s="43" t="s">
        <v>1690</v>
      </c>
      <c r="O15094" s="43">
        <v>4.8811354228267296</v>
      </c>
      <c r="P15094" s="445"/>
      <c r="Q15094" s="445"/>
      <c r="R15094" s="445">
        <v>1</v>
      </c>
    </row>
    <row r="15095" spans="1:18" ht="24">
      <c r="A15095" s="441">
        <v>116</v>
      </c>
      <c r="B15095" s="438" t="s">
        <v>27110</v>
      </c>
      <c r="C15095" s="442" t="s">
        <v>27111</v>
      </c>
      <c r="D15095" s="443">
        <v>130.94</v>
      </c>
      <c r="E15095" s="443">
        <v>128.37</v>
      </c>
      <c r="F15095" s="443"/>
      <c r="G15095" s="443">
        <v>2.57</v>
      </c>
      <c r="H15095" s="444">
        <v>1505.79</v>
      </c>
      <c r="I15095" s="444">
        <v>1476.23</v>
      </c>
      <c r="J15095" s="444"/>
      <c r="K15095" s="444">
        <v>29.56</v>
      </c>
      <c r="L15095" s="43">
        <v>11.499847258286238</v>
      </c>
      <c r="M15095" s="43">
        <v>11.499805250447924</v>
      </c>
      <c r="N15095" s="43" t="s">
        <v>1690</v>
      </c>
      <c r="O15095" s="43">
        <v>11.501945525291829</v>
      </c>
      <c r="P15095" s="445"/>
      <c r="Q15095" s="445"/>
      <c r="R15095" s="445">
        <v>1</v>
      </c>
    </row>
    <row r="15096" spans="1:18" ht="12.75">
      <c r="A15096" s="632" t="s">
        <v>18</v>
      </c>
      <c r="B15096" s="632"/>
      <c r="C15096" s="632"/>
      <c r="D15096" s="439">
        <v>80456</v>
      </c>
      <c r="E15096" s="439">
        <v>68811.960000000006</v>
      </c>
      <c r="F15096" s="439">
        <v>362.77</v>
      </c>
      <c r="G15096" s="439">
        <v>11281.27</v>
      </c>
      <c r="H15096" s="440">
        <v>847209.52</v>
      </c>
      <c r="I15096" s="440">
        <v>791357.22</v>
      </c>
      <c r="J15096" s="440">
        <v>1532.44</v>
      </c>
      <c r="K15096" s="440">
        <v>54319.86</v>
      </c>
      <c r="L15096" s="612">
        <v>10.530097444565975</v>
      </c>
      <c r="M15096" s="612">
        <v>11.500285996794743</v>
      </c>
      <c r="N15096" s="612">
        <v>4.2242743335998023</v>
      </c>
      <c r="O15096" s="612">
        <v>4.8150483057315352</v>
      </c>
      <c r="P15096" s="437"/>
      <c r="Q15096" s="437"/>
      <c r="R15096" s="437"/>
    </row>
    <row r="15097" spans="1:18" ht="18">
      <c r="A15097" s="616" t="s">
        <v>27112</v>
      </c>
      <c r="B15097" s="626"/>
      <c r="C15097" s="626"/>
      <c r="D15097" s="626"/>
      <c r="E15097" s="626"/>
      <c r="F15097" s="626"/>
      <c r="G15097" s="626"/>
      <c r="H15097" s="626"/>
      <c r="I15097" s="626"/>
      <c r="J15097" s="626"/>
      <c r="K15097" s="626"/>
      <c r="L15097" s="626"/>
      <c r="M15097" s="626"/>
      <c r="N15097" s="626"/>
      <c r="O15097" s="626"/>
      <c r="P15097" s="626"/>
      <c r="Q15097" s="626"/>
      <c r="R15097" s="627"/>
    </row>
    <row r="15098" spans="1:18" ht="12.75" customHeight="1">
      <c r="A15098" s="630" t="s">
        <v>27113</v>
      </c>
      <c r="B15098" s="631"/>
      <c r="C15098" s="631"/>
      <c r="D15098" s="631"/>
      <c r="E15098" s="631"/>
      <c r="F15098" s="631"/>
      <c r="G15098" s="631"/>
      <c r="H15098" s="631"/>
      <c r="I15098" s="631"/>
      <c r="J15098" s="631"/>
      <c r="K15098" s="631"/>
      <c r="L15098" s="631"/>
      <c r="M15098" s="631"/>
      <c r="N15098" s="631"/>
      <c r="O15098" s="631"/>
      <c r="P15098" s="631"/>
      <c r="Q15098" s="631"/>
      <c r="R15098" s="631"/>
    </row>
    <row r="15099" spans="1:18" ht="12.75" customHeight="1">
      <c r="A15099" s="628" t="s">
        <v>27114</v>
      </c>
      <c r="B15099" s="629"/>
      <c r="C15099" s="629"/>
      <c r="D15099" s="629"/>
      <c r="E15099" s="629"/>
      <c r="F15099" s="629"/>
      <c r="G15099" s="629"/>
      <c r="H15099" s="629"/>
      <c r="I15099" s="629"/>
      <c r="J15099" s="629"/>
      <c r="K15099" s="629"/>
      <c r="L15099" s="629"/>
      <c r="M15099" s="629"/>
      <c r="N15099" s="629"/>
      <c r="O15099" s="629"/>
      <c r="P15099" s="629"/>
      <c r="Q15099" s="629"/>
      <c r="R15099" s="629"/>
    </row>
    <row r="15100" spans="1:18" ht="12.75" customHeight="1">
      <c r="A15100" s="628" t="s">
        <v>27115</v>
      </c>
      <c r="B15100" s="629"/>
      <c r="C15100" s="629"/>
      <c r="D15100" s="629"/>
      <c r="E15100" s="629"/>
      <c r="F15100" s="629"/>
      <c r="G15100" s="629"/>
      <c r="H15100" s="629"/>
      <c r="I15100" s="629"/>
      <c r="J15100" s="629"/>
      <c r="K15100" s="629"/>
      <c r="L15100" s="629"/>
      <c r="M15100" s="629"/>
      <c r="N15100" s="629"/>
      <c r="O15100" s="629"/>
      <c r="P15100" s="629"/>
      <c r="Q15100" s="629"/>
      <c r="R15100" s="629"/>
    </row>
    <row r="15101" spans="1:18" ht="24">
      <c r="A15101" s="456">
        <v>1</v>
      </c>
      <c r="B15101" s="453" t="s">
        <v>27116</v>
      </c>
      <c r="C15101" s="457" t="s">
        <v>27117</v>
      </c>
      <c r="D15101" s="458">
        <v>584.13</v>
      </c>
      <c r="E15101" s="458">
        <v>462.35</v>
      </c>
      <c r="F15101" s="458">
        <v>73.31</v>
      </c>
      <c r="G15101" s="458">
        <v>48.47</v>
      </c>
      <c r="H15101" s="459">
        <v>5975.53</v>
      </c>
      <c r="I15101" s="459">
        <v>5317.05</v>
      </c>
      <c r="J15101" s="459">
        <v>390.15</v>
      </c>
      <c r="K15101" s="459">
        <v>268.33</v>
      </c>
      <c r="L15101" s="43">
        <v>10.229794737472822</v>
      </c>
      <c r="M15101" s="43">
        <v>11.500054071590785</v>
      </c>
      <c r="N15101" s="43">
        <v>5.3219206111035327</v>
      </c>
      <c r="O15101" s="43">
        <v>5.536001650505467</v>
      </c>
      <c r="P15101" s="460"/>
      <c r="Q15101" s="460"/>
      <c r="R15101" s="460">
        <v>1</v>
      </c>
    </row>
    <row r="15102" spans="1:18" ht="12.75" customHeight="1">
      <c r="A15102" s="628" t="s">
        <v>27118</v>
      </c>
      <c r="B15102" s="629"/>
      <c r="C15102" s="629"/>
      <c r="D15102" s="629"/>
      <c r="E15102" s="629"/>
      <c r="F15102" s="629"/>
      <c r="G15102" s="629"/>
      <c r="H15102" s="629"/>
      <c r="I15102" s="629"/>
      <c r="J15102" s="629"/>
      <c r="K15102" s="629"/>
      <c r="L15102" s="629"/>
      <c r="M15102" s="629"/>
      <c r="N15102" s="629"/>
      <c r="O15102" s="629"/>
      <c r="P15102" s="629"/>
      <c r="Q15102" s="629"/>
      <c r="R15102" s="629"/>
    </row>
    <row r="15103" spans="1:18" ht="24">
      <c r="A15103" s="456">
        <v>2</v>
      </c>
      <c r="B15103" s="453" t="s">
        <v>27119</v>
      </c>
      <c r="C15103" s="457" t="s">
        <v>27120</v>
      </c>
      <c r="D15103" s="458">
        <v>2261.84</v>
      </c>
      <c r="E15103" s="458">
        <v>1551.15</v>
      </c>
      <c r="F15103" s="458">
        <v>485</v>
      </c>
      <c r="G15103" s="458">
        <v>225.69</v>
      </c>
      <c r="H15103" s="459">
        <v>22000.080000000002</v>
      </c>
      <c r="I15103" s="459">
        <v>17838.900000000001</v>
      </c>
      <c r="J15103" s="459">
        <v>2534.46</v>
      </c>
      <c r="K15103" s="459">
        <v>1626.72</v>
      </c>
      <c r="L15103" s="43">
        <v>9.7266296466593563</v>
      </c>
      <c r="M15103" s="43">
        <v>11.500435161009573</v>
      </c>
      <c r="N15103" s="43">
        <v>5.2256907216494843</v>
      </c>
      <c r="O15103" s="43">
        <v>7.2077628605609467</v>
      </c>
      <c r="P15103" s="460"/>
      <c r="Q15103" s="460"/>
      <c r="R15103" s="460">
        <v>2</v>
      </c>
    </row>
    <row r="15104" spans="1:18" ht="24">
      <c r="A15104" s="456">
        <v>3</v>
      </c>
      <c r="B15104" s="453" t="s">
        <v>27121</v>
      </c>
      <c r="C15104" s="457" t="s">
        <v>27122</v>
      </c>
      <c r="D15104" s="458">
        <v>2796.83</v>
      </c>
      <c r="E15104" s="458">
        <v>1861.38</v>
      </c>
      <c r="F15104" s="458">
        <v>660.7</v>
      </c>
      <c r="G15104" s="458">
        <v>274.75</v>
      </c>
      <c r="H15104" s="459">
        <v>26747.41</v>
      </c>
      <c r="I15104" s="459">
        <v>21406.68</v>
      </c>
      <c r="J15104" s="459">
        <v>3485.14</v>
      </c>
      <c r="K15104" s="459">
        <v>1855.59</v>
      </c>
      <c r="L15104" s="43">
        <v>9.5634736469502979</v>
      </c>
      <c r="M15104" s="43">
        <v>11.500435161009573</v>
      </c>
      <c r="N15104" s="43">
        <v>5.2749205388224603</v>
      </c>
      <c r="O15104" s="43">
        <v>6.7537397634212919</v>
      </c>
      <c r="P15104" s="460"/>
      <c r="Q15104" s="460"/>
      <c r="R15104" s="460">
        <v>2</v>
      </c>
    </row>
    <row r="15105" spans="1:18" ht="12.75" customHeight="1">
      <c r="A15105" s="628" t="s">
        <v>27123</v>
      </c>
      <c r="B15105" s="629"/>
      <c r="C15105" s="629"/>
      <c r="D15105" s="629"/>
      <c r="E15105" s="629"/>
      <c r="F15105" s="629"/>
      <c r="G15105" s="629"/>
      <c r="H15105" s="629"/>
      <c r="I15105" s="629"/>
      <c r="J15105" s="629"/>
      <c r="K15105" s="629"/>
      <c r="L15105" s="629"/>
      <c r="M15105" s="629"/>
      <c r="N15105" s="629"/>
      <c r="O15105" s="629"/>
      <c r="P15105" s="629"/>
      <c r="Q15105" s="629"/>
      <c r="R15105" s="629"/>
    </row>
    <row r="15106" spans="1:18" ht="24">
      <c r="A15106" s="456">
        <v>4</v>
      </c>
      <c r="B15106" s="453" t="s">
        <v>27124</v>
      </c>
      <c r="C15106" s="457" t="s">
        <v>27125</v>
      </c>
      <c r="D15106" s="458">
        <v>231.23</v>
      </c>
      <c r="E15106" s="458">
        <v>158.26</v>
      </c>
      <c r="F15106" s="458">
        <v>31.94</v>
      </c>
      <c r="G15106" s="458">
        <v>41.03</v>
      </c>
      <c r="H15106" s="459">
        <v>2178.88</v>
      </c>
      <c r="I15106" s="459">
        <v>1820.04</v>
      </c>
      <c r="J15106" s="459">
        <v>172.35</v>
      </c>
      <c r="K15106" s="459">
        <v>186.49</v>
      </c>
      <c r="L15106" s="43">
        <v>9.4229987458374787</v>
      </c>
      <c r="M15106" s="43">
        <v>11.500315935801845</v>
      </c>
      <c r="N15106" s="43">
        <v>5.3960551033187221</v>
      </c>
      <c r="O15106" s="43">
        <v>4.5452108213502314</v>
      </c>
      <c r="P15106" s="460"/>
      <c r="Q15106" s="460"/>
      <c r="R15106" s="460">
        <v>3</v>
      </c>
    </row>
    <row r="15107" spans="1:18" ht="12.75" customHeight="1">
      <c r="A15107" s="628" t="s">
        <v>27126</v>
      </c>
      <c r="B15107" s="629"/>
      <c r="C15107" s="629"/>
      <c r="D15107" s="629"/>
      <c r="E15107" s="629"/>
      <c r="F15107" s="629"/>
      <c r="G15107" s="629"/>
      <c r="H15107" s="629"/>
      <c r="I15107" s="629"/>
      <c r="J15107" s="629"/>
      <c r="K15107" s="629"/>
      <c r="L15107" s="629"/>
      <c r="M15107" s="629"/>
      <c r="N15107" s="629"/>
      <c r="O15107" s="629"/>
      <c r="P15107" s="629"/>
      <c r="Q15107" s="629"/>
      <c r="R15107" s="629"/>
    </row>
    <row r="15108" spans="1:18" ht="12.75" customHeight="1">
      <c r="A15108" s="628" t="s">
        <v>27127</v>
      </c>
      <c r="B15108" s="629"/>
      <c r="C15108" s="629"/>
      <c r="D15108" s="629"/>
      <c r="E15108" s="629"/>
      <c r="F15108" s="629"/>
      <c r="G15108" s="629"/>
      <c r="H15108" s="629"/>
      <c r="I15108" s="629"/>
      <c r="J15108" s="629"/>
      <c r="K15108" s="629"/>
      <c r="L15108" s="629"/>
      <c r="M15108" s="629"/>
      <c r="N15108" s="629"/>
      <c r="O15108" s="629"/>
      <c r="P15108" s="629"/>
      <c r="Q15108" s="629"/>
      <c r="R15108" s="629"/>
    </row>
    <row r="15109" spans="1:18" ht="24">
      <c r="A15109" s="456">
        <v>5</v>
      </c>
      <c r="B15109" s="453" t="s">
        <v>27128</v>
      </c>
      <c r="C15109" s="457" t="s">
        <v>27129</v>
      </c>
      <c r="D15109" s="458">
        <v>1708.28</v>
      </c>
      <c r="E15109" s="458">
        <v>1238.24</v>
      </c>
      <c r="F15109" s="458">
        <v>327.20999999999998</v>
      </c>
      <c r="G15109" s="458">
        <v>142.83000000000001</v>
      </c>
      <c r="H15109" s="459">
        <v>16808.97</v>
      </c>
      <c r="I15109" s="459">
        <v>14239.76</v>
      </c>
      <c r="J15109" s="459">
        <v>1685.87</v>
      </c>
      <c r="K15109" s="459">
        <v>883.34</v>
      </c>
      <c r="L15109" s="43">
        <v>9.8397042639379961</v>
      </c>
      <c r="M15109" s="43">
        <v>11.5</v>
      </c>
      <c r="N15109" s="43">
        <v>5.1522569603618473</v>
      </c>
      <c r="O15109" s="43">
        <v>6.1845550654624377</v>
      </c>
      <c r="P15109" s="460"/>
      <c r="Q15109" s="460"/>
      <c r="R15109" s="460">
        <v>1</v>
      </c>
    </row>
    <row r="15110" spans="1:18" ht="12.75" customHeight="1">
      <c r="A15110" s="628" t="s">
        <v>27130</v>
      </c>
      <c r="B15110" s="629"/>
      <c r="C15110" s="629"/>
      <c r="D15110" s="629"/>
      <c r="E15110" s="629"/>
      <c r="F15110" s="629"/>
      <c r="G15110" s="629"/>
      <c r="H15110" s="629"/>
      <c r="I15110" s="629"/>
      <c r="J15110" s="629"/>
      <c r="K15110" s="629"/>
      <c r="L15110" s="629"/>
      <c r="M15110" s="629"/>
      <c r="N15110" s="629"/>
      <c r="O15110" s="629"/>
      <c r="P15110" s="629"/>
      <c r="Q15110" s="629"/>
      <c r="R15110" s="629"/>
    </row>
    <row r="15111" spans="1:18" ht="36">
      <c r="A15111" s="456">
        <v>6</v>
      </c>
      <c r="B15111" s="453" t="s">
        <v>27131</v>
      </c>
      <c r="C15111" s="457" t="s">
        <v>27132</v>
      </c>
      <c r="D15111" s="458">
        <v>2339.7800000000002</v>
      </c>
      <c r="E15111" s="458">
        <v>1680.48</v>
      </c>
      <c r="F15111" s="458">
        <v>443.09</v>
      </c>
      <c r="G15111" s="458">
        <v>216.21</v>
      </c>
      <c r="H15111" s="459">
        <v>23237.7</v>
      </c>
      <c r="I15111" s="459">
        <v>19326.240000000002</v>
      </c>
      <c r="J15111" s="459">
        <v>2360.7399999999998</v>
      </c>
      <c r="K15111" s="459">
        <v>1550.72</v>
      </c>
      <c r="L15111" s="43">
        <v>9.931574763439297</v>
      </c>
      <c r="M15111" s="43">
        <v>11.500428449014569</v>
      </c>
      <c r="N15111" s="43">
        <v>5.327901780676612</v>
      </c>
      <c r="O15111" s="43">
        <v>7.1722862032283423</v>
      </c>
      <c r="P15111" s="460"/>
      <c r="Q15111" s="460"/>
      <c r="R15111" s="460">
        <v>2</v>
      </c>
    </row>
    <row r="15112" spans="1:18" ht="24">
      <c r="A15112" s="456">
        <v>7</v>
      </c>
      <c r="B15112" s="453" t="s">
        <v>27133</v>
      </c>
      <c r="C15112" s="457" t="s">
        <v>27134</v>
      </c>
      <c r="D15112" s="458">
        <v>5893.5</v>
      </c>
      <c r="E15112" s="458">
        <v>4090.44</v>
      </c>
      <c r="F15112" s="458">
        <v>1135.9100000000001</v>
      </c>
      <c r="G15112" s="458">
        <v>667.15</v>
      </c>
      <c r="H15112" s="459">
        <v>58343.42</v>
      </c>
      <c r="I15112" s="459">
        <v>47041.84</v>
      </c>
      <c r="J15112" s="459">
        <v>5884.78</v>
      </c>
      <c r="K15112" s="459">
        <v>5416.8</v>
      </c>
      <c r="L15112" s="43">
        <v>9.8996216170357165</v>
      </c>
      <c r="M15112" s="43">
        <v>11.500435161009573</v>
      </c>
      <c r="N15112" s="43">
        <v>5.1806745252704873</v>
      </c>
      <c r="O15112" s="43">
        <v>8.1193134977141579</v>
      </c>
      <c r="P15112" s="460"/>
      <c r="Q15112" s="460"/>
      <c r="R15112" s="460">
        <v>2</v>
      </c>
    </row>
    <row r="15113" spans="1:18" ht="24">
      <c r="A15113" s="456">
        <v>8</v>
      </c>
      <c r="B15113" s="453" t="s">
        <v>27135</v>
      </c>
      <c r="C15113" s="457" t="s">
        <v>27136</v>
      </c>
      <c r="D15113" s="458">
        <v>4046.25</v>
      </c>
      <c r="E15113" s="458">
        <v>2431.04</v>
      </c>
      <c r="F15113" s="458">
        <v>981.25</v>
      </c>
      <c r="G15113" s="458">
        <v>633.96</v>
      </c>
      <c r="H15113" s="459">
        <v>38092.26</v>
      </c>
      <c r="I15113" s="459">
        <v>27956.959999999999</v>
      </c>
      <c r="J15113" s="459">
        <v>5100.1899999999996</v>
      </c>
      <c r="K15113" s="459">
        <v>5035.1099999999997</v>
      </c>
      <c r="L15113" s="43">
        <v>9.4142131603336434</v>
      </c>
      <c r="M15113" s="43">
        <v>11.5</v>
      </c>
      <c r="N15113" s="43">
        <v>5.197645859872611</v>
      </c>
      <c r="O15113" s="43">
        <v>7.9423149725534721</v>
      </c>
      <c r="P15113" s="460"/>
      <c r="Q15113" s="460"/>
      <c r="R15113" s="460">
        <v>2</v>
      </c>
    </row>
    <row r="15114" spans="1:18" ht="24">
      <c r="A15114" s="456">
        <v>9</v>
      </c>
      <c r="B15114" s="453" t="s">
        <v>27137</v>
      </c>
      <c r="C15114" s="457" t="s">
        <v>27138</v>
      </c>
      <c r="D15114" s="458">
        <v>1882.45</v>
      </c>
      <c r="E15114" s="458">
        <v>1295.3699999999999</v>
      </c>
      <c r="F15114" s="458">
        <v>432.97</v>
      </c>
      <c r="G15114" s="458">
        <v>154.11000000000001</v>
      </c>
      <c r="H15114" s="459">
        <v>18163.86</v>
      </c>
      <c r="I15114" s="459">
        <v>14897.31</v>
      </c>
      <c r="J15114" s="459">
        <v>2281.1799999999998</v>
      </c>
      <c r="K15114" s="459">
        <v>985.37</v>
      </c>
      <c r="L15114" s="43">
        <v>9.6490530956997524</v>
      </c>
      <c r="M15114" s="43">
        <v>11.500428449014567</v>
      </c>
      <c r="N15114" s="43">
        <v>5.2686791232648904</v>
      </c>
      <c r="O15114" s="43">
        <v>6.3939393939393936</v>
      </c>
      <c r="P15114" s="460"/>
      <c r="Q15114" s="460"/>
      <c r="R15114" s="460">
        <v>2</v>
      </c>
    </row>
    <row r="15115" spans="1:18" ht="12.75" customHeight="1">
      <c r="A15115" s="628" t="s">
        <v>27139</v>
      </c>
      <c r="B15115" s="629"/>
      <c r="C15115" s="629"/>
      <c r="D15115" s="629"/>
      <c r="E15115" s="629"/>
      <c r="F15115" s="629"/>
      <c r="G15115" s="629"/>
      <c r="H15115" s="629"/>
      <c r="I15115" s="629"/>
      <c r="J15115" s="629"/>
      <c r="K15115" s="629"/>
      <c r="L15115" s="629"/>
      <c r="M15115" s="629"/>
      <c r="N15115" s="629"/>
      <c r="O15115" s="629"/>
      <c r="P15115" s="629"/>
      <c r="Q15115" s="629"/>
      <c r="R15115" s="629"/>
    </row>
    <row r="15116" spans="1:18" ht="24">
      <c r="A15116" s="456">
        <v>10</v>
      </c>
      <c r="B15116" s="453" t="s">
        <v>27140</v>
      </c>
      <c r="C15116" s="457" t="s">
        <v>27141</v>
      </c>
      <c r="D15116" s="458">
        <v>2845.43</v>
      </c>
      <c r="E15116" s="458">
        <v>2068.1999999999998</v>
      </c>
      <c r="F15116" s="458">
        <v>581.48</v>
      </c>
      <c r="G15116" s="458">
        <v>195.75</v>
      </c>
      <c r="H15116" s="459">
        <v>27991.58</v>
      </c>
      <c r="I15116" s="459">
        <v>23785.200000000001</v>
      </c>
      <c r="J15116" s="459">
        <v>3031.91</v>
      </c>
      <c r="K15116" s="459">
        <v>1174.47</v>
      </c>
      <c r="L15116" s="43">
        <v>9.837381344823104</v>
      </c>
      <c r="M15116" s="43">
        <v>11.500435161009575</v>
      </c>
      <c r="N15116" s="43">
        <v>5.2141260232510138</v>
      </c>
      <c r="O15116" s="43">
        <v>5.9998467432950191</v>
      </c>
      <c r="P15116" s="460"/>
      <c r="Q15116" s="460"/>
      <c r="R15116" s="460">
        <v>3</v>
      </c>
    </row>
    <row r="15117" spans="1:18" ht="24">
      <c r="A15117" s="456">
        <v>11</v>
      </c>
      <c r="B15117" s="453" t="s">
        <v>27142</v>
      </c>
      <c r="C15117" s="457" t="s">
        <v>27143</v>
      </c>
      <c r="D15117" s="458">
        <v>3418.98</v>
      </c>
      <c r="E15117" s="458">
        <v>2493.33</v>
      </c>
      <c r="F15117" s="458">
        <v>696.06</v>
      </c>
      <c r="G15117" s="458">
        <v>229.59</v>
      </c>
      <c r="H15117" s="459">
        <v>33804.410000000003</v>
      </c>
      <c r="I15117" s="459">
        <v>28674.38</v>
      </c>
      <c r="J15117" s="459">
        <v>3635.68</v>
      </c>
      <c r="K15117" s="459">
        <v>1494.35</v>
      </c>
      <c r="L15117" s="43">
        <v>9.8872792470268926</v>
      </c>
      <c r="M15117" s="43">
        <v>11.500435161009575</v>
      </c>
      <c r="N15117" s="43">
        <v>5.2232278826537941</v>
      </c>
      <c r="O15117" s="43">
        <v>6.508776514656561</v>
      </c>
      <c r="P15117" s="460"/>
      <c r="Q15117" s="460"/>
      <c r="R15117" s="460">
        <v>3</v>
      </c>
    </row>
    <row r="15118" spans="1:18" ht="24">
      <c r="A15118" s="456">
        <v>12</v>
      </c>
      <c r="B15118" s="453" t="s">
        <v>27144</v>
      </c>
      <c r="C15118" s="457" t="s">
        <v>27145</v>
      </c>
      <c r="D15118" s="458">
        <v>4011.43</v>
      </c>
      <c r="E15118" s="458">
        <v>2895.48</v>
      </c>
      <c r="F15118" s="458">
        <v>878.32</v>
      </c>
      <c r="G15118" s="458">
        <v>237.63</v>
      </c>
      <c r="H15118" s="459">
        <v>39504.26</v>
      </c>
      <c r="I15118" s="459">
        <v>33299.279999999999</v>
      </c>
      <c r="J15118" s="459">
        <v>4618.17</v>
      </c>
      <c r="K15118" s="459">
        <v>1586.81</v>
      </c>
      <c r="L15118" s="43">
        <v>9.8479245555824235</v>
      </c>
      <c r="M15118" s="43">
        <v>11.500435161009573</v>
      </c>
      <c r="N15118" s="43">
        <v>5.2579583750796974</v>
      </c>
      <c r="O15118" s="43">
        <v>6.6776501283507974</v>
      </c>
      <c r="P15118" s="460"/>
      <c r="Q15118" s="460"/>
      <c r="R15118" s="460">
        <v>3</v>
      </c>
    </row>
    <row r="15119" spans="1:18" ht="24">
      <c r="A15119" s="456">
        <v>13</v>
      </c>
      <c r="B15119" s="453" t="s">
        <v>27146</v>
      </c>
      <c r="C15119" s="457" t="s">
        <v>27147</v>
      </c>
      <c r="D15119" s="458">
        <v>2736.01</v>
      </c>
      <c r="E15119" s="458">
        <v>1806.24</v>
      </c>
      <c r="F15119" s="458">
        <v>595.61</v>
      </c>
      <c r="G15119" s="458">
        <v>334.16</v>
      </c>
      <c r="H15119" s="459">
        <v>26254.17</v>
      </c>
      <c r="I15119" s="459">
        <v>20771.759999999998</v>
      </c>
      <c r="J15119" s="459">
        <v>3109.15</v>
      </c>
      <c r="K15119" s="459">
        <v>2373.2600000000002</v>
      </c>
      <c r="L15119" s="43">
        <v>9.5957872960990631</v>
      </c>
      <c r="M15119" s="43">
        <v>11.499999999999998</v>
      </c>
      <c r="N15119" s="43">
        <v>5.2201104749752352</v>
      </c>
      <c r="O15119" s="43">
        <v>7.1021666267656212</v>
      </c>
      <c r="P15119" s="460"/>
      <c r="Q15119" s="460"/>
      <c r="R15119" s="460">
        <v>3</v>
      </c>
    </row>
    <row r="15120" spans="1:18" ht="12.75" customHeight="1">
      <c r="A15120" s="628" t="s">
        <v>27148</v>
      </c>
      <c r="B15120" s="629"/>
      <c r="C15120" s="629"/>
      <c r="D15120" s="629"/>
      <c r="E15120" s="629"/>
      <c r="F15120" s="629"/>
      <c r="G15120" s="629"/>
      <c r="H15120" s="629"/>
      <c r="I15120" s="629"/>
      <c r="J15120" s="629"/>
      <c r="K15120" s="629"/>
      <c r="L15120" s="629"/>
      <c r="M15120" s="629"/>
      <c r="N15120" s="629"/>
      <c r="O15120" s="629"/>
      <c r="P15120" s="629"/>
      <c r="Q15120" s="629"/>
      <c r="R15120" s="629"/>
    </row>
    <row r="15121" spans="1:18" ht="24">
      <c r="A15121" s="456">
        <v>14</v>
      </c>
      <c r="B15121" s="453" t="s">
        <v>27149</v>
      </c>
      <c r="C15121" s="457" t="s">
        <v>27150</v>
      </c>
      <c r="D15121" s="458">
        <v>924.56</v>
      </c>
      <c r="E15121" s="458">
        <v>637.53</v>
      </c>
      <c r="F15121" s="458">
        <v>207.37</v>
      </c>
      <c r="G15121" s="458">
        <v>79.66</v>
      </c>
      <c r="H15121" s="459">
        <v>8866.42</v>
      </c>
      <c r="I15121" s="459">
        <v>7331.86</v>
      </c>
      <c r="J15121" s="459">
        <v>1092.27</v>
      </c>
      <c r="K15121" s="459">
        <v>442.29</v>
      </c>
      <c r="L15121" s="43">
        <v>9.5898805918490968</v>
      </c>
      <c r="M15121" s="43">
        <v>11.500415666713723</v>
      </c>
      <c r="N15121" s="43">
        <v>5.2672517721946281</v>
      </c>
      <c r="O15121" s="43">
        <v>5.5522219432588509</v>
      </c>
      <c r="P15121" s="460"/>
      <c r="Q15121" s="460"/>
      <c r="R15121" s="460">
        <v>4</v>
      </c>
    </row>
    <row r="15122" spans="1:18" ht="24">
      <c r="A15122" s="456">
        <v>15</v>
      </c>
      <c r="B15122" s="453" t="s">
        <v>27151</v>
      </c>
      <c r="C15122" s="457" t="s">
        <v>27152</v>
      </c>
      <c r="D15122" s="458">
        <v>2106.17</v>
      </c>
      <c r="E15122" s="458">
        <v>1181.44</v>
      </c>
      <c r="F15122" s="458">
        <v>631.86</v>
      </c>
      <c r="G15122" s="458">
        <v>292.87</v>
      </c>
      <c r="H15122" s="459">
        <v>18927.04</v>
      </c>
      <c r="I15122" s="459">
        <v>13586.56</v>
      </c>
      <c r="J15122" s="459">
        <v>3363.26</v>
      </c>
      <c r="K15122" s="459">
        <v>1977.22</v>
      </c>
      <c r="L15122" s="43">
        <v>8.9864730767222021</v>
      </c>
      <c r="M15122" s="43">
        <v>11.499999999999998</v>
      </c>
      <c r="N15122" s="43">
        <v>5.322793023771089</v>
      </c>
      <c r="O15122" s="43">
        <v>6.751186533274149</v>
      </c>
      <c r="P15122" s="460"/>
      <c r="Q15122" s="460"/>
      <c r="R15122" s="460">
        <v>4</v>
      </c>
    </row>
    <row r="15123" spans="1:18" ht="12.75" customHeight="1">
      <c r="A15123" s="628" t="s">
        <v>27153</v>
      </c>
      <c r="B15123" s="629"/>
      <c r="C15123" s="629"/>
      <c r="D15123" s="629"/>
      <c r="E15123" s="629"/>
      <c r="F15123" s="629"/>
      <c r="G15123" s="629"/>
      <c r="H15123" s="629"/>
      <c r="I15123" s="629"/>
      <c r="J15123" s="629"/>
      <c r="K15123" s="629"/>
      <c r="L15123" s="629"/>
      <c r="M15123" s="629"/>
      <c r="N15123" s="629"/>
      <c r="O15123" s="629"/>
      <c r="P15123" s="629"/>
      <c r="Q15123" s="629"/>
      <c r="R15123" s="629"/>
    </row>
    <row r="15124" spans="1:18" ht="12.75" customHeight="1">
      <c r="A15124" s="628" t="s">
        <v>27154</v>
      </c>
      <c r="B15124" s="629"/>
      <c r="C15124" s="629"/>
      <c r="D15124" s="629"/>
      <c r="E15124" s="629"/>
      <c r="F15124" s="629"/>
      <c r="G15124" s="629"/>
      <c r="H15124" s="629"/>
      <c r="I15124" s="629"/>
      <c r="J15124" s="629"/>
      <c r="K15124" s="629"/>
      <c r="L15124" s="629"/>
      <c r="M15124" s="629"/>
      <c r="N15124" s="629"/>
      <c r="O15124" s="629"/>
      <c r="P15124" s="629"/>
      <c r="Q15124" s="629"/>
      <c r="R15124" s="629"/>
    </row>
    <row r="15125" spans="1:18" ht="24">
      <c r="A15125" s="456">
        <v>16</v>
      </c>
      <c r="B15125" s="453" t="s">
        <v>27155</v>
      </c>
      <c r="C15125" s="457" t="s">
        <v>27156</v>
      </c>
      <c r="D15125" s="458">
        <v>1550.76</v>
      </c>
      <c r="E15125" s="458">
        <v>1031.8</v>
      </c>
      <c r="F15125" s="458">
        <v>373.66</v>
      </c>
      <c r="G15125" s="458">
        <v>145.30000000000001</v>
      </c>
      <c r="H15125" s="459">
        <v>14763.54</v>
      </c>
      <c r="I15125" s="459">
        <v>11866.17</v>
      </c>
      <c r="J15125" s="459">
        <v>2003.6</v>
      </c>
      <c r="K15125" s="459">
        <v>893.77</v>
      </c>
      <c r="L15125" s="43">
        <v>9.5201965487889808</v>
      </c>
      <c r="M15125" s="43">
        <v>11.50045551463462</v>
      </c>
      <c r="N15125" s="43">
        <v>5.3620938821388426</v>
      </c>
      <c r="O15125" s="43">
        <v>6.1512044046799721</v>
      </c>
      <c r="P15125" s="460"/>
      <c r="Q15125" s="460"/>
      <c r="R15125" s="460">
        <v>1</v>
      </c>
    </row>
    <row r="15126" spans="1:18" ht="36">
      <c r="A15126" s="456">
        <v>17</v>
      </c>
      <c r="B15126" s="453" t="s">
        <v>27157</v>
      </c>
      <c r="C15126" s="457" t="s">
        <v>27158</v>
      </c>
      <c r="D15126" s="458">
        <v>628.48</v>
      </c>
      <c r="E15126" s="458">
        <v>489.47</v>
      </c>
      <c r="F15126" s="458">
        <v>82.22</v>
      </c>
      <c r="G15126" s="458">
        <v>56.79</v>
      </c>
      <c r="H15126" s="459">
        <v>6410.6</v>
      </c>
      <c r="I15126" s="459">
        <v>5629.16</v>
      </c>
      <c r="J15126" s="459">
        <v>438.66</v>
      </c>
      <c r="K15126" s="459">
        <v>342.78</v>
      </c>
      <c r="L15126" s="43">
        <v>10.200165478615071</v>
      </c>
      <c r="M15126" s="43">
        <v>11.500520971663226</v>
      </c>
      <c r="N15126" s="43">
        <v>5.3351982486013139</v>
      </c>
      <c r="O15126" s="43">
        <v>6.0359218172213414</v>
      </c>
      <c r="P15126" s="460"/>
      <c r="Q15126" s="460"/>
      <c r="R15126" s="460">
        <v>1</v>
      </c>
    </row>
    <row r="15127" spans="1:18" ht="12.75" customHeight="1">
      <c r="A15127" s="628" t="s">
        <v>27159</v>
      </c>
      <c r="B15127" s="629"/>
      <c r="C15127" s="629"/>
      <c r="D15127" s="629"/>
      <c r="E15127" s="629"/>
      <c r="F15127" s="629"/>
      <c r="G15127" s="629"/>
      <c r="H15127" s="629"/>
      <c r="I15127" s="629"/>
      <c r="J15127" s="629"/>
      <c r="K15127" s="629"/>
      <c r="L15127" s="629"/>
      <c r="M15127" s="629"/>
      <c r="N15127" s="629"/>
      <c r="O15127" s="629"/>
      <c r="P15127" s="629"/>
      <c r="Q15127" s="629"/>
      <c r="R15127" s="629"/>
    </row>
    <row r="15128" spans="1:18" ht="24">
      <c r="A15128" s="456">
        <v>18</v>
      </c>
      <c r="B15128" s="453" t="s">
        <v>27160</v>
      </c>
      <c r="C15128" s="457" t="s">
        <v>27161</v>
      </c>
      <c r="D15128" s="458">
        <v>502.48</v>
      </c>
      <c r="E15128" s="458">
        <v>413.64</v>
      </c>
      <c r="F15128" s="458">
        <v>44.18</v>
      </c>
      <c r="G15128" s="458">
        <v>44.66</v>
      </c>
      <c r="H15128" s="459">
        <v>5222.4399999999996</v>
      </c>
      <c r="I15128" s="459">
        <v>4757.04</v>
      </c>
      <c r="J15128" s="459">
        <v>233.07</v>
      </c>
      <c r="K15128" s="459">
        <v>232.33</v>
      </c>
      <c r="L15128" s="43">
        <v>10.393329087724883</v>
      </c>
      <c r="M15128" s="43">
        <v>11.500435161009573</v>
      </c>
      <c r="N15128" s="43">
        <v>5.2754640108646447</v>
      </c>
      <c r="O15128" s="43">
        <v>5.2021943573667722</v>
      </c>
      <c r="P15128" s="460"/>
      <c r="Q15128" s="460"/>
      <c r="R15128" s="460">
        <v>2</v>
      </c>
    </row>
    <row r="15129" spans="1:18" ht="12.75" customHeight="1">
      <c r="A15129" s="628" t="s">
        <v>27162</v>
      </c>
      <c r="B15129" s="629"/>
      <c r="C15129" s="629"/>
      <c r="D15129" s="629"/>
      <c r="E15129" s="629"/>
      <c r="F15129" s="629"/>
      <c r="G15129" s="629"/>
      <c r="H15129" s="629"/>
      <c r="I15129" s="629"/>
      <c r="J15129" s="629"/>
      <c r="K15129" s="629"/>
      <c r="L15129" s="629"/>
      <c r="M15129" s="629"/>
      <c r="N15129" s="629"/>
      <c r="O15129" s="629"/>
      <c r="P15129" s="629"/>
      <c r="Q15129" s="629"/>
      <c r="R15129" s="629"/>
    </row>
    <row r="15130" spans="1:18" ht="24">
      <c r="A15130" s="456">
        <v>19</v>
      </c>
      <c r="B15130" s="453" t="s">
        <v>27163</v>
      </c>
      <c r="C15130" s="457" t="s">
        <v>27164</v>
      </c>
      <c r="D15130" s="458">
        <v>3637.09</v>
      </c>
      <c r="E15130" s="458">
        <v>2412.9</v>
      </c>
      <c r="F15130" s="458">
        <v>1029.97</v>
      </c>
      <c r="G15130" s="458">
        <v>194.22</v>
      </c>
      <c r="H15130" s="459">
        <v>34329.86</v>
      </c>
      <c r="I15130" s="459">
        <v>27749.4</v>
      </c>
      <c r="J15130" s="459">
        <v>5400.54</v>
      </c>
      <c r="K15130" s="459">
        <v>1179.92</v>
      </c>
      <c r="L15130" s="43">
        <v>9.4388260944876254</v>
      </c>
      <c r="M15130" s="43">
        <v>11.500435161009573</v>
      </c>
      <c r="N15130" s="43">
        <v>5.2433954387020982</v>
      </c>
      <c r="O15130" s="43">
        <v>6.0751724848110396</v>
      </c>
      <c r="P15130" s="460"/>
      <c r="Q15130" s="460"/>
      <c r="R15130" s="460">
        <v>3</v>
      </c>
    </row>
    <row r="15131" spans="1:18" ht="24">
      <c r="A15131" s="456">
        <v>20</v>
      </c>
      <c r="B15131" s="453" t="s">
        <v>27165</v>
      </c>
      <c r="C15131" s="457" t="s">
        <v>27166</v>
      </c>
      <c r="D15131" s="458">
        <v>798.53</v>
      </c>
      <c r="E15131" s="458">
        <v>594.03</v>
      </c>
      <c r="F15131" s="458">
        <v>136.07</v>
      </c>
      <c r="G15131" s="458">
        <v>68.430000000000007</v>
      </c>
      <c r="H15131" s="459">
        <v>7966.49</v>
      </c>
      <c r="I15131" s="459">
        <v>6831.64</v>
      </c>
      <c r="J15131" s="459">
        <v>720.69</v>
      </c>
      <c r="K15131" s="459">
        <v>414.16</v>
      </c>
      <c r="L15131" s="43">
        <v>9.976444216247355</v>
      </c>
      <c r="M15131" s="43">
        <v>11.500496607915426</v>
      </c>
      <c r="N15131" s="43">
        <v>5.2964650547512315</v>
      </c>
      <c r="O15131" s="43">
        <v>6.0523162355691946</v>
      </c>
      <c r="P15131" s="460"/>
      <c r="Q15131" s="460"/>
      <c r="R15131" s="460">
        <v>3</v>
      </c>
    </row>
    <row r="15132" spans="1:18" ht="24">
      <c r="A15132" s="456">
        <v>21</v>
      </c>
      <c r="B15132" s="453" t="s">
        <v>27167</v>
      </c>
      <c r="C15132" s="457" t="s">
        <v>27168</v>
      </c>
      <c r="D15132" s="458">
        <v>1151.26</v>
      </c>
      <c r="E15132" s="458">
        <v>785.92</v>
      </c>
      <c r="F15132" s="458">
        <v>223.02</v>
      </c>
      <c r="G15132" s="458">
        <v>142.32</v>
      </c>
      <c r="H15132" s="459">
        <v>11077.39</v>
      </c>
      <c r="I15132" s="459">
        <v>9038.3799999999992</v>
      </c>
      <c r="J15132" s="459">
        <v>1184.8399999999999</v>
      </c>
      <c r="K15132" s="459">
        <v>854.17</v>
      </c>
      <c r="L15132" s="43">
        <v>9.6219707103521355</v>
      </c>
      <c r="M15132" s="43">
        <v>11.500381718241043</v>
      </c>
      <c r="N15132" s="43">
        <v>5.3127073805039897</v>
      </c>
      <c r="O15132" s="43">
        <v>6.0017566048341768</v>
      </c>
      <c r="P15132" s="460"/>
      <c r="Q15132" s="460"/>
      <c r="R15132" s="460">
        <v>3</v>
      </c>
    </row>
    <row r="15133" spans="1:18" ht="24">
      <c r="A15133" s="456">
        <v>22</v>
      </c>
      <c r="B15133" s="453" t="s">
        <v>27169</v>
      </c>
      <c r="C15133" s="457" t="s">
        <v>27170</v>
      </c>
      <c r="D15133" s="458">
        <v>1217.03</v>
      </c>
      <c r="E15133" s="458">
        <v>813.4</v>
      </c>
      <c r="F15133" s="458">
        <v>260.76</v>
      </c>
      <c r="G15133" s="458">
        <v>142.87</v>
      </c>
      <c r="H15133" s="459">
        <v>11603.75</v>
      </c>
      <c r="I15133" s="459">
        <v>9354.44</v>
      </c>
      <c r="J15133" s="459">
        <v>1388.81</v>
      </c>
      <c r="K15133" s="459">
        <v>860.5</v>
      </c>
      <c r="L15133" s="43">
        <v>9.534481483611744</v>
      </c>
      <c r="M15133" s="43">
        <v>11.500417998524712</v>
      </c>
      <c r="N15133" s="43">
        <v>5.326008590274582</v>
      </c>
      <c r="O15133" s="43">
        <v>6.0229579337859587</v>
      </c>
      <c r="P15133" s="460"/>
      <c r="Q15133" s="460"/>
      <c r="R15133" s="460">
        <v>3</v>
      </c>
    </row>
    <row r="15134" spans="1:18" ht="24">
      <c r="A15134" s="456">
        <v>23</v>
      </c>
      <c r="B15134" s="453" t="s">
        <v>27171</v>
      </c>
      <c r="C15134" s="457" t="s">
        <v>27172</v>
      </c>
      <c r="D15134" s="458">
        <v>877.2</v>
      </c>
      <c r="E15134" s="458">
        <v>618.16</v>
      </c>
      <c r="F15134" s="458">
        <v>136.07</v>
      </c>
      <c r="G15134" s="458">
        <v>122.97</v>
      </c>
      <c r="H15134" s="459">
        <v>8723.32</v>
      </c>
      <c r="I15134" s="459">
        <v>7109.13</v>
      </c>
      <c r="J15134" s="459">
        <v>720.69</v>
      </c>
      <c r="K15134" s="459">
        <v>893.5</v>
      </c>
      <c r="L15134" s="43">
        <v>9.9445052439580479</v>
      </c>
      <c r="M15134" s="43">
        <v>11.500469134204737</v>
      </c>
      <c r="N15134" s="43">
        <v>5.2964650547512315</v>
      </c>
      <c r="O15134" s="43">
        <v>7.2659998373587058</v>
      </c>
      <c r="P15134" s="460"/>
      <c r="Q15134" s="460"/>
      <c r="R15134" s="460">
        <v>3</v>
      </c>
    </row>
    <row r="15135" spans="1:18" ht="24">
      <c r="A15135" s="456">
        <v>24</v>
      </c>
      <c r="B15135" s="453" t="s">
        <v>27173</v>
      </c>
      <c r="C15135" s="457" t="s">
        <v>27174</v>
      </c>
      <c r="D15135" s="458">
        <v>1139.6099999999999</v>
      </c>
      <c r="E15135" s="458">
        <v>761.79</v>
      </c>
      <c r="F15135" s="458">
        <v>208.95</v>
      </c>
      <c r="G15135" s="458">
        <v>168.87</v>
      </c>
      <c r="H15135" s="459">
        <v>10958.64</v>
      </c>
      <c r="I15135" s="459">
        <v>8760.8799999999992</v>
      </c>
      <c r="J15135" s="459">
        <v>1112.2</v>
      </c>
      <c r="K15135" s="459">
        <v>1085.56</v>
      </c>
      <c r="L15135" s="43">
        <v>9.6161318345749862</v>
      </c>
      <c r="M15135" s="43">
        <v>11.500387245828902</v>
      </c>
      <c r="N15135" s="43">
        <v>5.3228044986838965</v>
      </c>
      <c r="O15135" s="43">
        <v>6.4283768579380585</v>
      </c>
      <c r="P15135" s="460"/>
      <c r="Q15135" s="460"/>
      <c r="R15135" s="460">
        <v>3</v>
      </c>
    </row>
    <row r="15136" spans="1:18" ht="24">
      <c r="A15136" s="456">
        <v>25</v>
      </c>
      <c r="B15136" s="453" t="s">
        <v>27175</v>
      </c>
      <c r="C15136" s="457" t="s">
        <v>27176</v>
      </c>
      <c r="D15136" s="458">
        <v>1113.02</v>
      </c>
      <c r="E15136" s="458">
        <v>785.92</v>
      </c>
      <c r="F15136" s="458">
        <v>186.43</v>
      </c>
      <c r="G15136" s="458">
        <v>140.66999999999999</v>
      </c>
      <c r="H15136" s="459">
        <v>11013.69</v>
      </c>
      <c r="I15136" s="459">
        <v>9038.3799999999992</v>
      </c>
      <c r="J15136" s="459">
        <v>990.19</v>
      </c>
      <c r="K15136" s="459">
        <v>985.12</v>
      </c>
      <c r="L15136" s="43">
        <v>9.8953208387989449</v>
      </c>
      <c r="M15136" s="43">
        <v>11.500381718241043</v>
      </c>
      <c r="N15136" s="43">
        <v>5.3113232848790428</v>
      </c>
      <c r="O15136" s="43">
        <v>7.0030567996019055</v>
      </c>
      <c r="P15136" s="460"/>
      <c r="Q15136" s="460"/>
      <c r="R15136" s="460">
        <v>3</v>
      </c>
    </row>
    <row r="15137" spans="1:18" ht="24">
      <c r="A15137" s="456">
        <v>26</v>
      </c>
      <c r="B15137" s="453" t="s">
        <v>27177</v>
      </c>
      <c r="C15137" s="457" t="s">
        <v>27178</v>
      </c>
      <c r="D15137" s="458">
        <v>1183</v>
      </c>
      <c r="E15137" s="458">
        <v>812.34</v>
      </c>
      <c r="F15137" s="458">
        <v>200.78</v>
      </c>
      <c r="G15137" s="458">
        <v>169.88</v>
      </c>
      <c r="H15137" s="459">
        <v>11507.5</v>
      </c>
      <c r="I15137" s="459">
        <v>9342.2999999999993</v>
      </c>
      <c r="J15137" s="459">
        <v>1068.02</v>
      </c>
      <c r="K15137" s="459">
        <v>1097.18</v>
      </c>
      <c r="L15137" s="43">
        <v>9.7273879966187664</v>
      </c>
      <c r="M15137" s="43">
        <v>11.500480094541693</v>
      </c>
      <c r="N15137" s="43">
        <v>5.3193545173822097</v>
      </c>
      <c r="O15137" s="43">
        <v>6.4585589828113967</v>
      </c>
      <c r="P15137" s="460"/>
      <c r="Q15137" s="460"/>
      <c r="R15137" s="460">
        <v>3</v>
      </c>
    </row>
    <row r="15138" spans="1:18" ht="24">
      <c r="A15138" s="456">
        <v>27</v>
      </c>
      <c r="B15138" s="453" t="s">
        <v>27179</v>
      </c>
      <c r="C15138" s="457" t="s">
        <v>27180</v>
      </c>
      <c r="D15138" s="458">
        <v>815.59</v>
      </c>
      <c r="E15138" s="458">
        <v>696.29</v>
      </c>
      <c r="F15138" s="458">
        <v>55.99</v>
      </c>
      <c r="G15138" s="458">
        <v>63.31</v>
      </c>
      <c r="H15138" s="459">
        <v>8717.01</v>
      </c>
      <c r="I15138" s="459">
        <v>8007.68</v>
      </c>
      <c r="J15138" s="459">
        <v>298.08</v>
      </c>
      <c r="K15138" s="459">
        <v>411.25</v>
      </c>
      <c r="L15138" s="43">
        <v>10.687980480388431</v>
      </c>
      <c r="M15138" s="43">
        <v>11.500495483203839</v>
      </c>
      <c r="N15138" s="43">
        <v>5.3238078228255041</v>
      </c>
      <c r="O15138" s="43">
        <v>6.4958142473542884</v>
      </c>
      <c r="P15138" s="460"/>
      <c r="Q15138" s="460"/>
      <c r="R15138" s="460">
        <v>3</v>
      </c>
    </row>
    <row r="15139" spans="1:18" ht="24">
      <c r="A15139" s="456">
        <v>28</v>
      </c>
      <c r="B15139" s="453" t="s">
        <v>27181</v>
      </c>
      <c r="C15139" s="457" t="s">
        <v>27182</v>
      </c>
      <c r="D15139" s="458">
        <v>682.25</v>
      </c>
      <c r="E15139" s="458">
        <v>542.33000000000004</v>
      </c>
      <c r="F15139" s="458">
        <v>92.2</v>
      </c>
      <c r="G15139" s="458">
        <v>47.72</v>
      </c>
      <c r="H15139" s="459">
        <v>6994.77</v>
      </c>
      <c r="I15139" s="459">
        <v>6237.01</v>
      </c>
      <c r="J15139" s="459">
        <v>491.59</v>
      </c>
      <c r="K15139" s="459">
        <v>266.17</v>
      </c>
      <c r="L15139" s="43">
        <v>10.252502748259436</v>
      </c>
      <c r="M15139" s="43">
        <v>11.500396437593347</v>
      </c>
      <c r="N15139" s="43">
        <v>5.3317787418655094</v>
      </c>
      <c r="O15139" s="43">
        <v>5.5777451802179385</v>
      </c>
      <c r="P15139" s="460"/>
      <c r="Q15139" s="460"/>
      <c r="R15139" s="460">
        <v>3</v>
      </c>
    </row>
    <row r="15140" spans="1:18" ht="12.75" customHeight="1">
      <c r="A15140" s="628" t="s">
        <v>27183</v>
      </c>
      <c r="B15140" s="629"/>
      <c r="C15140" s="629"/>
      <c r="D15140" s="629"/>
      <c r="E15140" s="629"/>
      <c r="F15140" s="629"/>
      <c r="G15140" s="629"/>
      <c r="H15140" s="629"/>
      <c r="I15140" s="629"/>
      <c r="J15140" s="629"/>
      <c r="K15140" s="629"/>
      <c r="L15140" s="629"/>
      <c r="M15140" s="629"/>
      <c r="N15140" s="629"/>
      <c r="O15140" s="629"/>
      <c r="P15140" s="629"/>
      <c r="Q15140" s="629"/>
      <c r="R15140" s="629"/>
    </row>
    <row r="15141" spans="1:18" ht="12.75" customHeight="1">
      <c r="A15141" s="628" t="s">
        <v>27184</v>
      </c>
      <c r="B15141" s="629"/>
      <c r="C15141" s="629"/>
      <c r="D15141" s="629"/>
      <c r="E15141" s="629"/>
      <c r="F15141" s="629"/>
      <c r="G15141" s="629"/>
      <c r="H15141" s="629"/>
      <c r="I15141" s="629"/>
      <c r="J15141" s="629"/>
      <c r="K15141" s="629"/>
      <c r="L15141" s="629"/>
      <c r="M15141" s="629"/>
      <c r="N15141" s="629"/>
      <c r="O15141" s="629"/>
      <c r="P15141" s="629"/>
      <c r="Q15141" s="629"/>
      <c r="R15141" s="629"/>
    </row>
    <row r="15142" spans="1:18" ht="24">
      <c r="A15142" s="456">
        <v>29</v>
      </c>
      <c r="B15142" s="453" t="s">
        <v>27185</v>
      </c>
      <c r="C15142" s="457" t="s">
        <v>27186</v>
      </c>
      <c r="D15142" s="458">
        <v>533.71</v>
      </c>
      <c r="E15142" s="458">
        <v>438.92</v>
      </c>
      <c r="F15142" s="458">
        <v>49.55</v>
      </c>
      <c r="G15142" s="458">
        <v>45.24</v>
      </c>
      <c r="H15142" s="459">
        <v>5548.47</v>
      </c>
      <c r="I15142" s="459">
        <v>5047.75</v>
      </c>
      <c r="J15142" s="459">
        <v>261.94</v>
      </c>
      <c r="K15142" s="459">
        <v>238.78</v>
      </c>
      <c r="L15142" s="43">
        <v>10.396039047422757</v>
      </c>
      <c r="M15142" s="43">
        <v>11.50038731431696</v>
      </c>
      <c r="N15142" s="43">
        <v>5.2863773965691223</v>
      </c>
      <c r="O15142" s="43">
        <v>5.2780725022104331</v>
      </c>
      <c r="P15142" s="460"/>
      <c r="Q15142" s="460"/>
      <c r="R15142" s="460">
        <v>1</v>
      </c>
    </row>
    <row r="15143" spans="1:18" ht="24">
      <c r="A15143" s="456">
        <v>30</v>
      </c>
      <c r="B15143" s="453" t="s">
        <v>27187</v>
      </c>
      <c r="C15143" s="457" t="s">
        <v>27188</v>
      </c>
      <c r="D15143" s="458">
        <v>1941.17</v>
      </c>
      <c r="E15143" s="458">
        <v>1493.7</v>
      </c>
      <c r="F15143" s="458">
        <v>314.83</v>
      </c>
      <c r="G15143" s="458">
        <v>132.63999999999999</v>
      </c>
      <c r="H15143" s="459">
        <v>19645.900000000001</v>
      </c>
      <c r="I15143" s="459">
        <v>17178.2</v>
      </c>
      <c r="J15143" s="459">
        <v>1659.69</v>
      </c>
      <c r="K15143" s="459">
        <v>808.01</v>
      </c>
      <c r="L15143" s="43">
        <v>10.120648887011441</v>
      </c>
      <c r="M15143" s="43">
        <v>11.500435161009573</v>
      </c>
      <c r="N15143" s="43">
        <v>5.2717021884826734</v>
      </c>
      <c r="O15143" s="43">
        <v>6.0917521109770814</v>
      </c>
      <c r="P15143" s="460"/>
      <c r="Q15143" s="460"/>
      <c r="R15143" s="460">
        <v>1</v>
      </c>
    </row>
    <row r="15144" spans="1:18" ht="12.75" customHeight="1">
      <c r="A15144" s="628" t="s">
        <v>27189</v>
      </c>
      <c r="B15144" s="629"/>
      <c r="C15144" s="629"/>
      <c r="D15144" s="629"/>
      <c r="E15144" s="629"/>
      <c r="F15144" s="629"/>
      <c r="G15144" s="629"/>
      <c r="H15144" s="629"/>
      <c r="I15144" s="629"/>
      <c r="J15144" s="629"/>
      <c r="K15144" s="629"/>
      <c r="L15144" s="629"/>
      <c r="M15144" s="629"/>
      <c r="N15144" s="629"/>
      <c r="O15144" s="629"/>
      <c r="P15144" s="629"/>
      <c r="Q15144" s="629"/>
      <c r="R15144" s="629"/>
    </row>
    <row r="15145" spans="1:18" ht="24">
      <c r="A15145" s="456">
        <v>31</v>
      </c>
      <c r="B15145" s="453" t="s">
        <v>27190</v>
      </c>
      <c r="C15145" s="457" t="s">
        <v>27191</v>
      </c>
      <c r="D15145" s="458">
        <v>708</v>
      </c>
      <c r="E15145" s="458">
        <v>536.19000000000005</v>
      </c>
      <c r="F15145" s="458">
        <v>117.39</v>
      </c>
      <c r="G15145" s="458">
        <v>54.42</v>
      </c>
      <c r="H15145" s="459">
        <v>7074.8</v>
      </c>
      <c r="I15145" s="459">
        <v>6166.21</v>
      </c>
      <c r="J15145" s="459">
        <v>620.41</v>
      </c>
      <c r="K15145" s="459">
        <v>288.18</v>
      </c>
      <c r="L15145" s="43">
        <v>9.9926553672316381</v>
      </c>
      <c r="M15145" s="43">
        <v>11.500046625263431</v>
      </c>
      <c r="N15145" s="43">
        <v>5.2850327966607029</v>
      </c>
      <c r="O15145" s="43">
        <v>5.2954796030871005</v>
      </c>
      <c r="P15145" s="460"/>
      <c r="Q15145" s="460"/>
      <c r="R15145" s="460">
        <v>2</v>
      </c>
    </row>
    <row r="15146" spans="1:18" ht="24">
      <c r="A15146" s="456">
        <v>32</v>
      </c>
      <c r="B15146" s="453" t="s">
        <v>27192</v>
      </c>
      <c r="C15146" s="457" t="s">
        <v>27193</v>
      </c>
      <c r="D15146" s="458">
        <v>502.21</v>
      </c>
      <c r="E15146" s="458">
        <v>413.64</v>
      </c>
      <c r="F15146" s="458">
        <v>44.18</v>
      </c>
      <c r="G15146" s="458">
        <v>44.39</v>
      </c>
      <c r="H15146" s="459">
        <v>5220.05</v>
      </c>
      <c r="I15146" s="459">
        <v>4757.04</v>
      </c>
      <c r="J15146" s="459">
        <v>233.07</v>
      </c>
      <c r="K15146" s="459">
        <v>229.94</v>
      </c>
      <c r="L15146" s="43">
        <v>10.394157822424884</v>
      </c>
      <c r="M15146" s="43">
        <v>11.500435161009573</v>
      </c>
      <c r="N15146" s="43">
        <v>5.2754640108646447</v>
      </c>
      <c r="O15146" s="43">
        <v>5.1799954944807389</v>
      </c>
      <c r="P15146" s="460"/>
      <c r="Q15146" s="460"/>
      <c r="R15146" s="460">
        <v>2</v>
      </c>
    </row>
    <row r="15147" spans="1:18" ht="24">
      <c r="A15147" s="456">
        <v>33</v>
      </c>
      <c r="B15147" s="453" t="s">
        <v>27194</v>
      </c>
      <c r="C15147" s="457" t="s">
        <v>27195</v>
      </c>
      <c r="D15147" s="458">
        <v>886.92</v>
      </c>
      <c r="E15147" s="458">
        <v>649.79</v>
      </c>
      <c r="F15147" s="458">
        <v>164.83</v>
      </c>
      <c r="G15147" s="458">
        <v>72.3</v>
      </c>
      <c r="H15147" s="459">
        <v>8725.64</v>
      </c>
      <c r="I15147" s="459">
        <v>7472.61</v>
      </c>
      <c r="J15147" s="459">
        <v>874.62</v>
      </c>
      <c r="K15147" s="459">
        <v>378.41</v>
      </c>
      <c r="L15147" s="43">
        <v>9.8381364722861129</v>
      </c>
      <c r="M15147" s="43">
        <v>11.500038473968512</v>
      </c>
      <c r="N15147" s="43">
        <v>5.3061942607535029</v>
      </c>
      <c r="O15147" s="43">
        <v>5.2338865836791157</v>
      </c>
      <c r="P15147" s="460"/>
      <c r="Q15147" s="460"/>
      <c r="R15147" s="460">
        <v>2</v>
      </c>
    </row>
    <row r="15148" spans="1:18" ht="24">
      <c r="A15148" s="456">
        <v>34</v>
      </c>
      <c r="B15148" s="453" t="s">
        <v>27196</v>
      </c>
      <c r="C15148" s="457" t="s">
        <v>27197</v>
      </c>
      <c r="D15148" s="458">
        <v>4267.43</v>
      </c>
      <c r="E15148" s="458">
        <v>2533.2800000000002</v>
      </c>
      <c r="F15148" s="458">
        <v>1525.79</v>
      </c>
      <c r="G15148" s="458">
        <v>208.36</v>
      </c>
      <c r="H15148" s="459">
        <v>38386.370000000003</v>
      </c>
      <c r="I15148" s="459">
        <v>29132.720000000001</v>
      </c>
      <c r="J15148" s="459">
        <v>7943.2</v>
      </c>
      <c r="K15148" s="459">
        <v>1310.45</v>
      </c>
      <c r="L15148" s="43">
        <v>8.9951961719348645</v>
      </c>
      <c r="M15148" s="43">
        <v>11.5</v>
      </c>
      <c r="N15148" s="43">
        <v>5.2059588803177368</v>
      </c>
      <c r="O15148" s="43">
        <v>6.2893549625647918</v>
      </c>
      <c r="P15148" s="460"/>
      <c r="Q15148" s="460"/>
      <c r="R15148" s="460">
        <v>2</v>
      </c>
    </row>
    <row r="15149" spans="1:18" ht="12.75" customHeight="1">
      <c r="A15149" s="628" t="s">
        <v>27198</v>
      </c>
      <c r="B15149" s="629"/>
      <c r="C15149" s="629"/>
      <c r="D15149" s="629"/>
      <c r="E15149" s="629"/>
      <c r="F15149" s="629"/>
      <c r="G15149" s="629"/>
      <c r="H15149" s="629"/>
      <c r="I15149" s="629"/>
      <c r="J15149" s="629"/>
      <c r="K15149" s="629"/>
      <c r="L15149" s="629"/>
      <c r="M15149" s="629"/>
      <c r="N15149" s="629"/>
      <c r="O15149" s="629"/>
      <c r="P15149" s="629"/>
      <c r="Q15149" s="629"/>
      <c r="R15149" s="629"/>
    </row>
    <row r="15150" spans="1:18" ht="12.75" customHeight="1">
      <c r="A15150" s="628" t="s">
        <v>355</v>
      </c>
      <c r="B15150" s="629"/>
      <c r="C15150" s="629"/>
      <c r="D15150" s="629"/>
      <c r="E15150" s="629"/>
      <c r="F15150" s="629"/>
      <c r="G15150" s="629"/>
      <c r="H15150" s="629"/>
      <c r="I15150" s="629"/>
      <c r="J15150" s="629"/>
      <c r="K15150" s="629"/>
      <c r="L15150" s="629"/>
      <c r="M15150" s="629"/>
      <c r="N15150" s="629"/>
      <c r="O15150" s="629"/>
      <c r="P15150" s="629"/>
      <c r="Q15150" s="629"/>
      <c r="R15150" s="629"/>
    </row>
    <row r="15151" spans="1:18" ht="24">
      <c r="A15151" s="456">
        <v>35</v>
      </c>
      <c r="B15151" s="453" t="s">
        <v>27199</v>
      </c>
      <c r="C15151" s="457" t="s">
        <v>27200</v>
      </c>
      <c r="D15151" s="458">
        <v>523.69000000000005</v>
      </c>
      <c r="E15151" s="458">
        <v>277.63</v>
      </c>
      <c r="F15151" s="458">
        <v>180.74</v>
      </c>
      <c r="G15151" s="458">
        <v>65.319999999999993</v>
      </c>
      <c r="H15151" s="459">
        <v>4466.95</v>
      </c>
      <c r="I15151" s="459">
        <v>3192.72</v>
      </c>
      <c r="J15151" s="459">
        <v>977.32</v>
      </c>
      <c r="K15151" s="459">
        <v>296.91000000000003</v>
      </c>
      <c r="L15151" s="43">
        <v>8.5297599725028146</v>
      </c>
      <c r="M15151" s="43">
        <v>11.499909952094514</v>
      </c>
      <c r="N15151" s="43">
        <v>5.4073254398583597</v>
      </c>
      <c r="O15151" s="43">
        <v>4.5454684629516233</v>
      </c>
      <c r="P15151" s="460"/>
      <c r="Q15151" s="460"/>
      <c r="R15151" s="460">
        <v>1</v>
      </c>
    </row>
    <row r="15152" spans="1:18" ht="24">
      <c r="A15152" s="456">
        <v>36</v>
      </c>
      <c r="B15152" s="453" t="s">
        <v>27201</v>
      </c>
      <c r="C15152" s="457" t="s">
        <v>27202</v>
      </c>
      <c r="D15152" s="458">
        <v>1644.82</v>
      </c>
      <c r="E15152" s="458">
        <v>845.25</v>
      </c>
      <c r="F15152" s="458">
        <v>618.59</v>
      </c>
      <c r="G15152" s="458">
        <v>180.98</v>
      </c>
      <c r="H15152" s="459">
        <v>14030.44</v>
      </c>
      <c r="I15152" s="459">
        <v>9720.35</v>
      </c>
      <c r="J15152" s="459">
        <v>3331.98</v>
      </c>
      <c r="K15152" s="459">
        <v>978.11</v>
      </c>
      <c r="L15152" s="43">
        <v>8.5300762393453393</v>
      </c>
      <c r="M15152" s="43">
        <v>11.49997042295179</v>
      </c>
      <c r="N15152" s="43">
        <v>5.3864110315394687</v>
      </c>
      <c r="O15152" s="43">
        <v>5.4045198364460161</v>
      </c>
      <c r="P15152" s="460"/>
      <c r="Q15152" s="460"/>
      <c r="R15152" s="460">
        <v>1</v>
      </c>
    </row>
    <row r="15153" spans="1:18" ht="12.75" customHeight="1">
      <c r="A15153" s="628" t="s">
        <v>27203</v>
      </c>
      <c r="B15153" s="629"/>
      <c r="C15153" s="629"/>
      <c r="D15153" s="629"/>
      <c r="E15153" s="629"/>
      <c r="F15153" s="629"/>
      <c r="G15153" s="629"/>
      <c r="H15153" s="629"/>
      <c r="I15153" s="629"/>
      <c r="J15153" s="629"/>
      <c r="K15153" s="629"/>
      <c r="L15153" s="629"/>
      <c r="M15153" s="629"/>
      <c r="N15153" s="629"/>
      <c r="O15153" s="629"/>
      <c r="P15153" s="629"/>
      <c r="Q15153" s="629"/>
      <c r="R15153" s="629"/>
    </row>
    <row r="15154" spans="1:18" ht="24">
      <c r="A15154" s="456">
        <v>37</v>
      </c>
      <c r="B15154" s="453" t="s">
        <v>27204</v>
      </c>
      <c r="C15154" s="457" t="s">
        <v>20225</v>
      </c>
      <c r="D15154" s="458">
        <v>192.67</v>
      </c>
      <c r="E15154" s="458">
        <v>134.93</v>
      </c>
      <c r="F15154" s="458">
        <v>19.010000000000002</v>
      </c>
      <c r="G15154" s="458">
        <v>38.729999999999997</v>
      </c>
      <c r="H15154" s="459">
        <v>1819.1</v>
      </c>
      <c r="I15154" s="459">
        <v>1551.77</v>
      </c>
      <c r="J15154" s="459">
        <v>102.25</v>
      </c>
      <c r="K15154" s="459">
        <v>165.08</v>
      </c>
      <c r="L15154" s="43">
        <v>9.4415321534229513</v>
      </c>
      <c r="M15154" s="43">
        <v>11.500555843770844</v>
      </c>
      <c r="N15154" s="43">
        <v>5.3787480273540238</v>
      </c>
      <c r="O15154" s="43">
        <v>4.2623289439710828</v>
      </c>
      <c r="P15154" s="460"/>
      <c r="Q15154" s="460"/>
      <c r="R15154" s="460">
        <v>2</v>
      </c>
    </row>
    <row r="15155" spans="1:18" ht="12.75" customHeight="1">
      <c r="A15155" s="628" t="s">
        <v>27205</v>
      </c>
      <c r="B15155" s="629"/>
      <c r="C15155" s="629"/>
      <c r="D15155" s="629"/>
      <c r="E15155" s="629"/>
      <c r="F15155" s="629"/>
      <c r="G15155" s="629"/>
      <c r="H15155" s="629"/>
      <c r="I15155" s="629"/>
      <c r="J15155" s="629"/>
      <c r="K15155" s="629"/>
      <c r="L15155" s="629"/>
      <c r="M15155" s="629"/>
      <c r="N15155" s="629"/>
      <c r="O15155" s="629"/>
      <c r="P15155" s="629"/>
      <c r="Q15155" s="629"/>
      <c r="R15155" s="629"/>
    </row>
    <row r="15156" spans="1:18" ht="24">
      <c r="A15156" s="456">
        <v>38</v>
      </c>
      <c r="B15156" s="453" t="s">
        <v>27206</v>
      </c>
      <c r="C15156" s="457" t="s">
        <v>27207</v>
      </c>
      <c r="D15156" s="458">
        <v>1952.91</v>
      </c>
      <c r="E15156" s="458">
        <v>1110.51</v>
      </c>
      <c r="F15156" s="458">
        <v>665.36</v>
      </c>
      <c r="G15156" s="458">
        <v>177.04</v>
      </c>
      <c r="H15156" s="459">
        <v>17288.75</v>
      </c>
      <c r="I15156" s="459">
        <v>12770.89</v>
      </c>
      <c r="J15156" s="459">
        <v>3559.74</v>
      </c>
      <c r="K15156" s="459">
        <v>958.12</v>
      </c>
      <c r="L15156" s="43">
        <v>8.8528145178221216</v>
      </c>
      <c r="M15156" s="43">
        <v>11.500022512179088</v>
      </c>
      <c r="N15156" s="43">
        <v>5.3500961885295171</v>
      </c>
      <c r="O15156" s="43">
        <v>5.4118843199277</v>
      </c>
      <c r="P15156" s="460"/>
      <c r="Q15156" s="460"/>
      <c r="R15156" s="460">
        <v>3</v>
      </c>
    </row>
    <row r="15157" spans="1:18" ht="12.75" customHeight="1">
      <c r="A15157" s="628" t="s">
        <v>27208</v>
      </c>
      <c r="B15157" s="629"/>
      <c r="C15157" s="629"/>
      <c r="D15157" s="629"/>
      <c r="E15157" s="629"/>
      <c r="F15157" s="629"/>
      <c r="G15157" s="629"/>
      <c r="H15157" s="629"/>
      <c r="I15157" s="629"/>
      <c r="J15157" s="629"/>
      <c r="K15157" s="629"/>
      <c r="L15157" s="629"/>
      <c r="M15157" s="629"/>
      <c r="N15157" s="629"/>
      <c r="O15157" s="629"/>
      <c r="P15157" s="629"/>
      <c r="Q15157" s="629"/>
      <c r="R15157" s="629"/>
    </row>
    <row r="15158" spans="1:18" ht="24">
      <c r="A15158" s="456">
        <v>39</v>
      </c>
      <c r="B15158" s="453" t="s">
        <v>27209</v>
      </c>
      <c r="C15158" s="457" t="s">
        <v>27210</v>
      </c>
      <c r="D15158" s="458">
        <v>1837.38</v>
      </c>
      <c r="E15158" s="458">
        <v>1400.4</v>
      </c>
      <c r="F15158" s="458">
        <v>317.35000000000002</v>
      </c>
      <c r="G15158" s="458">
        <v>119.63</v>
      </c>
      <c r="H15158" s="459">
        <v>18491.84</v>
      </c>
      <c r="I15158" s="459">
        <v>16105.2</v>
      </c>
      <c r="J15158" s="459">
        <v>1697.77</v>
      </c>
      <c r="K15158" s="459">
        <v>688.87</v>
      </c>
      <c r="L15158" s="43">
        <v>10.06424365128607</v>
      </c>
      <c r="M15158" s="43">
        <v>11.500428449014567</v>
      </c>
      <c r="N15158" s="43">
        <v>5.3498345675122101</v>
      </c>
      <c r="O15158" s="43">
        <v>5.7583382094792279</v>
      </c>
      <c r="P15158" s="460"/>
      <c r="Q15158" s="460"/>
      <c r="R15158" s="460">
        <v>4</v>
      </c>
    </row>
    <row r="15159" spans="1:18" ht="24">
      <c r="A15159" s="456">
        <v>40</v>
      </c>
      <c r="B15159" s="453" t="s">
        <v>27211</v>
      </c>
      <c r="C15159" s="457" t="s">
        <v>27212</v>
      </c>
      <c r="D15159" s="458">
        <v>1402.31</v>
      </c>
      <c r="E15159" s="458">
        <v>903.11</v>
      </c>
      <c r="F15159" s="458">
        <v>356.48</v>
      </c>
      <c r="G15159" s="458">
        <v>142.72</v>
      </c>
      <c r="H15159" s="459">
        <v>13171.87</v>
      </c>
      <c r="I15159" s="459">
        <v>10386.200000000001</v>
      </c>
      <c r="J15159" s="459">
        <v>1921.57</v>
      </c>
      <c r="K15159" s="459">
        <v>864.1</v>
      </c>
      <c r="L15159" s="43">
        <v>9.3929801541741842</v>
      </c>
      <c r="M15159" s="43">
        <v>11.500481668899692</v>
      </c>
      <c r="N15159" s="43">
        <v>5.3904005834829443</v>
      </c>
      <c r="O15159" s="43">
        <v>6.0545123318385654</v>
      </c>
      <c r="P15159" s="460"/>
      <c r="Q15159" s="460"/>
      <c r="R15159" s="460">
        <v>4</v>
      </c>
    </row>
    <row r="15160" spans="1:18" ht="24">
      <c r="A15160" s="456">
        <v>41</v>
      </c>
      <c r="B15160" s="453" t="s">
        <v>27213</v>
      </c>
      <c r="C15160" s="457" t="s">
        <v>27214</v>
      </c>
      <c r="D15160" s="458">
        <v>922.33</v>
      </c>
      <c r="E15160" s="458">
        <v>671.02</v>
      </c>
      <c r="F15160" s="458">
        <v>178.59</v>
      </c>
      <c r="G15160" s="458">
        <v>72.72</v>
      </c>
      <c r="H15160" s="459">
        <v>9048.25</v>
      </c>
      <c r="I15160" s="459">
        <v>7716.98</v>
      </c>
      <c r="J15160" s="459">
        <v>948.03</v>
      </c>
      <c r="K15160" s="459">
        <v>383.24</v>
      </c>
      <c r="L15160" s="43">
        <v>9.8102089273904127</v>
      </c>
      <c r="M15160" s="43">
        <v>11.500372567136598</v>
      </c>
      <c r="N15160" s="43">
        <v>5.3084159247438265</v>
      </c>
      <c r="O15160" s="43">
        <v>5.2700770077007704</v>
      </c>
      <c r="P15160" s="460"/>
      <c r="Q15160" s="460"/>
      <c r="R15160" s="460">
        <v>4</v>
      </c>
    </row>
    <row r="15161" spans="1:18" ht="24">
      <c r="A15161" s="456">
        <v>42</v>
      </c>
      <c r="B15161" s="453" t="s">
        <v>27215</v>
      </c>
      <c r="C15161" s="457" t="s">
        <v>27216</v>
      </c>
      <c r="D15161" s="458">
        <v>3348.43</v>
      </c>
      <c r="E15161" s="458">
        <v>2608.23</v>
      </c>
      <c r="F15161" s="458">
        <v>538.72</v>
      </c>
      <c r="G15161" s="458">
        <v>201.48</v>
      </c>
      <c r="H15161" s="459">
        <v>34101.29</v>
      </c>
      <c r="I15161" s="459">
        <v>29995.78</v>
      </c>
      <c r="J15161" s="459">
        <v>2851.24</v>
      </c>
      <c r="K15161" s="459">
        <v>1254.27</v>
      </c>
      <c r="L15161" s="43">
        <v>10.184262475249595</v>
      </c>
      <c r="M15161" s="43">
        <v>11.500435161009573</v>
      </c>
      <c r="N15161" s="43">
        <v>5.2926195426195424</v>
      </c>
      <c r="O15161" s="43">
        <v>6.2252829064919597</v>
      </c>
      <c r="P15161" s="460"/>
      <c r="Q15161" s="460"/>
      <c r="R15161" s="460">
        <v>4</v>
      </c>
    </row>
    <row r="15162" spans="1:18" ht="24">
      <c r="A15162" s="456">
        <v>43</v>
      </c>
      <c r="B15162" s="453" t="s">
        <v>27217</v>
      </c>
      <c r="C15162" s="457" t="s">
        <v>27218</v>
      </c>
      <c r="D15162" s="458">
        <v>816.02</v>
      </c>
      <c r="E15162" s="458">
        <v>587.30999999999995</v>
      </c>
      <c r="F15162" s="458">
        <v>158.51</v>
      </c>
      <c r="G15162" s="458">
        <v>70.2</v>
      </c>
      <c r="H15162" s="459">
        <v>7951.31</v>
      </c>
      <c r="I15162" s="459">
        <v>6754.09</v>
      </c>
      <c r="J15162" s="459">
        <v>840.63</v>
      </c>
      <c r="K15162" s="459">
        <v>356.59</v>
      </c>
      <c r="L15162" s="43">
        <v>9.744013627116983</v>
      </c>
      <c r="M15162" s="43">
        <v>11.500042566957825</v>
      </c>
      <c r="N15162" s="43">
        <v>5.3033247113746773</v>
      </c>
      <c r="O15162" s="43">
        <v>5.0796296296296291</v>
      </c>
      <c r="P15162" s="460"/>
      <c r="Q15162" s="460"/>
      <c r="R15162" s="460">
        <v>4</v>
      </c>
    </row>
    <row r="15163" spans="1:18" ht="12.75" customHeight="1">
      <c r="A15163" s="628" t="s">
        <v>27219</v>
      </c>
      <c r="B15163" s="629"/>
      <c r="C15163" s="629"/>
      <c r="D15163" s="629"/>
      <c r="E15163" s="629"/>
      <c r="F15163" s="629"/>
      <c r="G15163" s="629"/>
      <c r="H15163" s="629"/>
      <c r="I15163" s="629"/>
      <c r="J15163" s="629"/>
      <c r="K15163" s="629"/>
      <c r="L15163" s="629"/>
      <c r="M15163" s="629"/>
      <c r="N15163" s="629"/>
      <c r="O15163" s="629"/>
      <c r="P15163" s="629"/>
      <c r="Q15163" s="629"/>
      <c r="R15163" s="629"/>
    </row>
    <row r="15164" spans="1:18" ht="12.75" customHeight="1">
      <c r="A15164" s="628" t="s">
        <v>27220</v>
      </c>
      <c r="B15164" s="629"/>
      <c r="C15164" s="629"/>
      <c r="D15164" s="629"/>
      <c r="E15164" s="629"/>
      <c r="F15164" s="629"/>
      <c r="G15164" s="629"/>
      <c r="H15164" s="629"/>
      <c r="I15164" s="629"/>
      <c r="J15164" s="629"/>
      <c r="K15164" s="629"/>
      <c r="L15164" s="629"/>
      <c r="M15164" s="629"/>
      <c r="N15164" s="629"/>
      <c r="O15164" s="629"/>
      <c r="P15164" s="629"/>
      <c r="Q15164" s="629"/>
      <c r="R15164" s="629"/>
    </row>
    <row r="15165" spans="1:18" ht="24">
      <c r="A15165" s="456">
        <v>44</v>
      </c>
      <c r="B15165" s="453" t="s">
        <v>27221</v>
      </c>
      <c r="C15165" s="457" t="s">
        <v>27222</v>
      </c>
      <c r="D15165" s="458">
        <v>1016.75</v>
      </c>
      <c r="E15165" s="458">
        <v>644.98</v>
      </c>
      <c r="F15165" s="458">
        <v>265.11</v>
      </c>
      <c r="G15165" s="458">
        <v>106.66</v>
      </c>
      <c r="H15165" s="459">
        <v>9366.77</v>
      </c>
      <c r="I15165" s="459">
        <v>7417.27</v>
      </c>
      <c r="J15165" s="459">
        <v>1415.62</v>
      </c>
      <c r="K15165" s="459">
        <v>533.88</v>
      </c>
      <c r="L15165" s="43">
        <v>9.2124612736660936</v>
      </c>
      <c r="M15165" s="43">
        <v>11.5</v>
      </c>
      <c r="N15165" s="43">
        <v>5.3397457659084901</v>
      </c>
      <c r="O15165" s="43">
        <v>5.0054378398649915</v>
      </c>
      <c r="P15165" s="460"/>
      <c r="Q15165" s="460"/>
      <c r="R15165" s="460">
        <v>1</v>
      </c>
    </row>
    <row r="15166" spans="1:18" ht="24">
      <c r="A15166" s="456">
        <v>45</v>
      </c>
      <c r="B15166" s="453" t="s">
        <v>27223</v>
      </c>
      <c r="C15166" s="457" t="s">
        <v>27224</v>
      </c>
      <c r="D15166" s="458">
        <v>533.86</v>
      </c>
      <c r="E15166" s="458">
        <v>446.45</v>
      </c>
      <c r="F15166" s="458">
        <v>41.61</v>
      </c>
      <c r="G15166" s="458">
        <v>45.8</v>
      </c>
      <c r="H15166" s="459">
        <v>5597.38</v>
      </c>
      <c r="I15166" s="459">
        <v>5134.1499999999996</v>
      </c>
      <c r="J15166" s="459">
        <v>219.14</v>
      </c>
      <c r="K15166" s="459">
        <v>244.09</v>
      </c>
      <c r="L15166" s="43">
        <v>10.484733825347469</v>
      </c>
      <c r="M15166" s="43">
        <v>11.499944002687871</v>
      </c>
      <c r="N15166" s="43">
        <v>5.2665224705599609</v>
      </c>
      <c r="O15166" s="43">
        <v>5.3294759825327516</v>
      </c>
      <c r="P15166" s="460"/>
      <c r="Q15166" s="460"/>
      <c r="R15166" s="460">
        <v>1</v>
      </c>
    </row>
    <row r="15167" spans="1:18" ht="12.75" customHeight="1">
      <c r="A15167" s="628" t="s">
        <v>27225</v>
      </c>
      <c r="B15167" s="629"/>
      <c r="C15167" s="629"/>
      <c r="D15167" s="629"/>
      <c r="E15167" s="629"/>
      <c r="F15167" s="629"/>
      <c r="G15167" s="629"/>
      <c r="H15167" s="629"/>
      <c r="I15167" s="629"/>
      <c r="J15167" s="629"/>
      <c r="K15167" s="629"/>
      <c r="L15167" s="629"/>
      <c r="M15167" s="629"/>
      <c r="N15167" s="629"/>
      <c r="O15167" s="629"/>
      <c r="P15167" s="629"/>
      <c r="Q15167" s="629"/>
      <c r="R15167" s="629"/>
    </row>
    <row r="15168" spans="1:18" ht="24">
      <c r="A15168" s="456">
        <v>46</v>
      </c>
      <c r="B15168" s="453" t="s">
        <v>27226</v>
      </c>
      <c r="C15168" s="457" t="s">
        <v>27227</v>
      </c>
      <c r="D15168" s="458">
        <v>1639.13</v>
      </c>
      <c r="E15168" s="458">
        <v>1058.75</v>
      </c>
      <c r="F15168" s="458">
        <v>388.67</v>
      </c>
      <c r="G15168" s="458">
        <v>191.71</v>
      </c>
      <c r="H15168" s="459">
        <v>15548.74</v>
      </c>
      <c r="I15168" s="459">
        <v>12175.65</v>
      </c>
      <c r="J15168" s="459">
        <v>2071.11</v>
      </c>
      <c r="K15168" s="459">
        <v>1301.98</v>
      </c>
      <c r="L15168" s="43">
        <v>9.4859712164379868</v>
      </c>
      <c r="M15168" s="43">
        <v>11.500023612750885</v>
      </c>
      <c r="N15168" s="43">
        <v>5.3287107314688553</v>
      </c>
      <c r="O15168" s="43">
        <v>6.7914036826456625</v>
      </c>
      <c r="P15168" s="460"/>
      <c r="Q15168" s="460"/>
      <c r="R15168" s="460">
        <v>2</v>
      </c>
    </row>
    <row r="15169" spans="1:18" ht="24">
      <c r="A15169" s="456">
        <v>47</v>
      </c>
      <c r="B15169" s="453" t="s">
        <v>27228</v>
      </c>
      <c r="C15169" s="457" t="s">
        <v>27229</v>
      </c>
      <c r="D15169" s="458">
        <v>4224.96</v>
      </c>
      <c r="E15169" s="458">
        <v>3251.67</v>
      </c>
      <c r="F15169" s="458">
        <v>711.88</v>
      </c>
      <c r="G15169" s="458">
        <v>261.41000000000003</v>
      </c>
      <c r="H15169" s="459">
        <v>42989.05</v>
      </c>
      <c r="I15169" s="459">
        <v>37395.620000000003</v>
      </c>
      <c r="J15169" s="459">
        <v>3778.72</v>
      </c>
      <c r="K15169" s="459">
        <v>1814.71</v>
      </c>
      <c r="L15169" s="43">
        <v>10.175019408467772</v>
      </c>
      <c r="M15169" s="43">
        <v>11.500435161009575</v>
      </c>
      <c r="N15169" s="43">
        <v>5.3080856324099566</v>
      </c>
      <c r="O15169" s="43">
        <v>6.9420068092268847</v>
      </c>
      <c r="P15169" s="460"/>
      <c r="Q15169" s="460"/>
      <c r="R15169" s="460">
        <v>2</v>
      </c>
    </row>
    <row r="15170" spans="1:18" ht="24">
      <c r="A15170" s="456">
        <v>48</v>
      </c>
      <c r="B15170" s="453" t="s">
        <v>27230</v>
      </c>
      <c r="C15170" s="457" t="s">
        <v>27231</v>
      </c>
      <c r="D15170" s="458">
        <v>3434.24</v>
      </c>
      <c r="E15170" s="458">
        <v>2789.13</v>
      </c>
      <c r="F15170" s="458">
        <v>442.77</v>
      </c>
      <c r="G15170" s="458">
        <v>202.34</v>
      </c>
      <c r="H15170" s="459">
        <v>35870.43</v>
      </c>
      <c r="I15170" s="459">
        <v>32076.19</v>
      </c>
      <c r="J15170" s="459">
        <v>2304.4499999999998</v>
      </c>
      <c r="K15170" s="459">
        <v>1489.79</v>
      </c>
      <c r="L15170" s="43">
        <v>10.444939782892286</v>
      </c>
      <c r="M15170" s="43">
        <v>11.500428449014567</v>
      </c>
      <c r="N15170" s="43">
        <v>5.2046209092756959</v>
      </c>
      <c r="O15170" s="43">
        <v>7.3628051794010076</v>
      </c>
      <c r="P15170" s="460"/>
      <c r="Q15170" s="460"/>
      <c r="R15170" s="460">
        <v>2</v>
      </c>
    </row>
    <row r="15171" spans="1:18" ht="24">
      <c r="A15171" s="456">
        <v>49</v>
      </c>
      <c r="B15171" s="453" t="s">
        <v>27232</v>
      </c>
      <c r="C15171" s="457" t="s">
        <v>27233</v>
      </c>
      <c r="D15171" s="458">
        <v>1280.6400000000001</v>
      </c>
      <c r="E15171" s="458">
        <v>1074.81</v>
      </c>
      <c r="F15171" s="458">
        <v>128.56</v>
      </c>
      <c r="G15171" s="458">
        <v>77.27</v>
      </c>
      <c r="H15171" s="459">
        <v>13567.08</v>
      </c>
      <c r="I15171" s="459">
        <v>12360.74</v>
      </c>
      <c r="J15171" s="459">
        <v>688.4</v>
      </c>
      <c r="K15171" s="459">
        <v>517.94000000000005</v>
      </c>
      <c r="L15171" s="43">
        <v>10.593984257871064</v>
      </c>
      <c r="M15171" s="43">
        <v>11.500395418725171</v>
      </c>
      <c r="N15171" s="43">
        <v>5.3546981953951462</v>
      </c>
      <c r="O15171" s="43">
        <v>6.7029895172770813</v>
      </c>
      <c r="P15171" s="460"/>
      <c r="Q15171" s="460"/>
      <c r="R15171" s="460">
        <v>2</v>
      </c>
    </row>
    <row r="15172" spans="1:18" ht="12.75" customHeight="1">
      <c r="A15172" s="628" t="s">
        <v>27234</v>
      </c>
      <c r="B15172" s="629"/>
      <c r="C15172" s="629"/>
      <c r="D15172" s="629"/>
      <c r="E15172" s="629"/>
      <c r="F15172" s="629"/>
      <c r="G15172" s="629"/>
      <c r="H15172" s="629"/>
      <c r="I15172" s="629"/>
      <c r="J15172" s="629"/>
      <c r="K15172" s="629"/>
      <c r="L15172" s="629"/>
      <c r="M15172" s="629"/>
      <c r="N15172" s="629"/>
      <c r="O15172" s="629"/>
      <c r="P15172" s="629"/>
      <c r="Q15172" s="629"/>
      <c r="R15172" s="629"/>
    </row>
    <row r="15173" spans="1:18" ht="12.75" customHeight="1">
      <c r="A15173" s="628" t="s">
        <v>27235</v>
      </c>
      <c r="B15173" s="629"/>
      <c r="C15173" s="629"/>
      <c r="D15173" s="629"/>
      <c r="E15173" s="629"/>
      <c r="F15173" s="629"/>
      <c r="G15173" s="629"/>
      <c r="H15173" s="629"/>
      <c r="I15173" s="629"/>
      <c r="J15173" s="629"/>
      <c r="K15173" s="629"/>
      <c r="L15173" s="629"/>
      <c r="M15173" s="629"/>
      <c r="N15173" s="629"/>
      <c r="O15173" s="629"/>
      <c r="P15173" s="629"/>
      <c r="Q15173" s="629"/>
      <c r="R15173" s="629"/>
    </row>
    <row r="15174" spans="1:18" ht="24">
      <c r="A15174" s="456">
        <v>50</v>
      </c>
      <c r="B15174" s="453" t="s">
        <v>27236</v>
      </c>
      <c r="C15174" s="457" t="s">
        <v>27237</v>
      </c>
      <c r="D15174" s="458">
        <v>499.85</v>
      </c>
      <c r="E15174" s="458">
        <v>413.64</v>
      </c>
      <c r="F15174" s="458">
        <v>41.61</v>
      </c>
      <c r="G15174" s="458">
        <v>44.6</v>
      </c>
      <c r="H15174" s="459">
        <v>5207.91</v>
      </c>
      <c r="I15174" s="459">
        <v>4757.04</v>
      </c>
      <c r="J15174" s="459">
        <v>219.14</v>
      </c>
      <c r="K15174" s="459">
        <v>231.73</v>
      </c>
      <c r="L15174" s="43">
        <v>10.418945683705111</v>
      </c>
      <c r="M15174" s="43">
        <v>11.500435161009573</v>
      </c>
      <c r="N15174" s="43">
        <v>5.2665224705599609</v>
      </c>
      <c r="O15174" s="43">
        <v>5.1957399103139013</v>
      </c>
      <c r="P15174" s="460"/>
      <c r="Q15174" s="460"/>
      <c r="R15174" s="460">
        <v>1</v>
      </c>
    </row>
    <row r="15175" spans="1:18" ht="12.75" customHeight="1">
      <c r="A15175" s="628" t="s">
        <v>27238</v>
      </c>
      <c r="B15175" s="629"/>
      <c r="C15175" s="629"/>
      <c r="D15175" s="629"/>
      <c r="E15175" s="629"/>
      <c r="F15175" s="629"/>
      <c r="G15175" s="629"/>
      <c r="H15175" s="629"/>
      <c r="I15175" s="629"/>
      <c r="J15175" s="629"/>
      <c r="K15175" s="629"/>
      <c r="L15175" s="629"/>
      <c r="M15175" s="629"/>
      <c r="N15175" s="629"/>
      <c r="O15175" s="629"/>
      <c r="P15175" s="629"/>
      <c r="Q15175" s="629"/>
      <c r="R15175" s="629"/>
    </row>
    <row r="15176" spans="1:18" ht="12.75" customHeight="1">
      <c r="A15176" s="628" t="s">
        <v>27239</v>
      </c>
      <c r="B15176" s="629"/>
      <c r="C15176" s="629"/>
      <c r="D15176" s="629"/>
      <c r="E15176" s="629"/>
      <c r="F15176" s="629"/>
      <c r="G15176" s="629"/>
      <c r="H15176" s="629"/>
      <c r="I15176" s="629"/>
      <c r="J15176" s="629"/>
      <c r="K15176" s="629"/>
      <c r="L15176" s="629"/>
      <c r="M15176" s="629"/>
      <c r="N15176" s="629"/>
      <c r="O15176" s="629"/>
      <c r="P15176" s="629"/>
      <c r="Q15176" s="629"/>
      <c r="R15176" s="629"/>
    </row>
    <row r="15177" spans="1:18" ht="24">
      <c r="A15177" s="456">
        <v>51</v>
      </c>
      <c r="B15177" s="453" t="s">
        <v>27240</v>
      </c>
      <c r="C15177" s="457" t="s">
        <v>27241</v>
      </c>
      <c r="D15177" s="458">
        <v>1369.45</v>
      </c>
      <c r="E15177" s="458">
        <v>980.1</v>
      </c>
      <c r="F15177" s="458">
        <v>279.73</v>
      </c>
      <c r="G15177" s="458">
        <v>109.62</v>
      </c>
      <c r="H15177" s="459">
        <v>13320.47</v>
      </c>
      <c r="I15177" s="459">
        <v>11271.54</v>
      </c>
      <c r="J15177" s="459">
        <v>1470.78</v>
      </c>
      <c r="K15177" s="459">
        <v>578.15</v>
      </c>
      <c r="L15177" s="43">
        <v>9.7268757530395398</v>
      </c>
      <c r="M15177" s="43">
        <v>11.500397918579738</v>
      </c>
      <c r="N15177" s="43">
        <v>5.2578557895113143</v>
      </c>
      <c r="O15177" s="43">
        <v>5.2741288086115672</v>
      </c>
      <c r="P15177" s="460"/>
      <c r="Q15177" s="460"/>
      <c r="R15177" s="460">
        <v>1</v>
      </c>
    </row>
    <row r="15178" spans="1:18" ht="24">
      <c r="A15178" s="456">
        <v>52</v>
      </c>
      <c r="B15178" s="453" t="s">
        <v>27242</v>
      </c>
      <c r="C15178" s="457" t="s">
        <v>27243</v>
      </c>
      <c r="D15178" s="458">
        <v>1359.54</v>
      </c>
      <c r="E15178" s="458">
        <v>876.69</v>
      </c>
      <c r="F15178" s="458">
        <v>371.56</v>
      </c>
      <c r="G15178" s="458">
        <v>111.29</v>
      </c>
      <c r="H15178" s="459">
        <v>12652.73</v>
      </c>
      <c r="I15178" s="459">
        <v>10082.280000000001</v>
      </c>
      <c r="J15178" s="459">
        <v>1983.32</v>
      </c>
      <c r="K15178" s="459">
        <v>587.13</v>
      </c>
      <c r="L15178" s="43">
        <v>9.3066257704811921</v>
      </c>
      <c r="M15178" s="43">
        <v>11.500393525647606</v>
      </c>
      <c r="N15178" s="43">
        <v>5.3378189256109376</v>
      </c>
      <c r="O15178" s="43">
        <v>5.2756761613801775</v>
      </c>
      <c r="P15178" s="460"/>
      <c r="Q15178" s="460"/>
      <c r="R15178" s="460">
        <v>1</v>
      </c>
    </row>
    <row r="15179" spans="1:18" ht="24">
      <c r="A15179" s="456">
        <v>53</v>
      </c>
      <c r="B15179" s="453" t="s">
        <v>27244</v>
      </c>
      <c r="C15179" s="457" t="s">
        <v>27245</v>
      </c>
      <c r="D15179" s="458">
        <v>540.34</v>
      </c>
      <c r="E15179" s="458">
        <v>408.96</v>
      </c>
      <c r="F15179" s="458">
        <v>36.479999999999997</v>
      </c>
      <c r="G15179" s="458">
        <v>94.9</v>
      </c>
      <c r="H15179" s="459">
        <v>5312.23</v>
      </c>
      <c r="I15179" s="459">
        <v>4703.04</v>
      </c>
      <c r="J15179" s="459">
        <v>191.28</v>
      </c>
      <c r="K15179" s="459">
        <v>417.91</v>
      </c>
      <c r="L15179" s="43">
        <v>9.8312729022467327</v>
      </c>
      <c r="M15179" s="43">
        <v>11.5</v>
      </c>
      <c r="N15179" s="43">
        <v>5.2434210526315796</v>
      </c>
      <c r="O15179" s="43">
        <v>4.4036880927291886</v>
      </c>
      <c r="P15179" s="460"/>
      <c r="Q15179" s="460"/>
      <c r="R15179" s="460">
        <v>1</v>
      </c>
    </row>
    <row r="15180" spans="1:18" ht="24">
      <c r="A15180" s="456">
        <v>54</v>
      </c>
      <c r="B15180" s="453" t="s">
        <v>27246</v>
      </c>
      <c r="C15180" s="457" t="s">
        <v>27247</v>
      </c>
      <c r="D15180" s="458">
        <v>1021.71</v>
      </c>
      <c r="E15180" s="458">
        <v>774.43</v>
      </c>
      <c r="F15180" s="458">
        <v>189.17</v>
      </c>
      <c r="G15180" s="458">
        <v>58.11</v>
      </c>
      <c r="H15180" s="459">
        <v>10297.41</v>
      </c>
      <c r="I15180" s="459">
        <v>8906.24</v>
      </c>
      <c r="J15180" s="459">
        <v>1021.28</v>
      </c>
      <c r="K15180" s="459">
        <v>369.89</v>
      </c>
      <c r="L15180" s="43">
        <v>10.078603517632205</v>
      </c>
      <c r="M15180" s="43">
        <v>11.500380925325723</v>
      </c>
      <c r="N15180" s="43">
        <v>5.3987418723899143</v>
      </c>
      <c r="O15180" s="43">
        <v>6.3653415935295126</v>
      </c>
      <c r="P15180" s="460"/>
      <c r="Q15180" s="460"/>
      <c r="R15180" s="460">
        <v>1</v>
      </c>
    </row>
    <row r="15181" spans="1:18" ht="24">
      <c r="A15181" s="456">
        <v>55</v>
      </c>
      <c r="B15181" s="453" t="s">
        <v>27248</v>
      </c>
      <c r="C15181" s="457" t="s">
        <v>27249</v>
      </c>
      <c r="D15181" s="458">
        <v>575.96</v>
      </c>
      <c r="E15181" s="458">
        <v>464.2</v>
      </c>
      <c r="F15181" s="458">
        <v>65.61</v>
      </c>
      <c r="G15181" s="458">
        <v>46.15</v>
      </c>
      <c r="H15181" s="459">
        <v>5934.92</v>
      </c>
      <c r="I15181" s="459">
        <v>5338.46</v>
      </c>
      <c r="J15181" s="459">
        <v>348.35</v>
      </c>
      <c r="K15181" s="459">
        <v>248.11</v>
      </c>
      <c r="L15181" s="43">
        <v>10.304396138620737</v>
      </c>
      <c r="M15181" s="43">
        <v>11.500344679017665</v>
      </c>
      <c r="N15181" s="43">
        <v>5.309404054260022</v>
      </c>
      <c r="O15181" s="43">
        <v>5.3761646803900334</v>
      </c>
      <c r="P15181" s="460"/>
      <c r="Q15181" s="460"/>
      <c r="R15181" s="460">
        <v>1</v>
      </c>
    </row>
    <row r="15182" spans="1:18" ht="24">
      <c r="A15182" s="456">
        <v>56</v>
      </c>
      <c r="B15182" s="453" t="s">
        <v>27250</v>
      </c>
      <c r="C15182" s="457" t="s">
        <v>27251</v>
      </c>
      <c r="D15182" s="458">
        <v>1554.29</v>
      </c>
      <c r="E15182" s="458">
        <v>1083.51</v>
      </c>
      <c r="F15182" s="458">
        <v>358.28</v>
      </c>
      <c r="G15182" s="458">
        <v>112.5</v>
      </c>
      <c r="H15182" s="459">
        <v>14937.81</v>
      </c>
      <c r="I15182" s="459">
        <v>12460.8</v>
      </c>
      <c r="J15182" s="459">
        <v>1867.9</v>
      </c>
      <c r="K15182" s="459">
        <v>609.11</v>
      </c>
      <c r="L15182" s="43">
        <v>9.6106968455050215</v>
      </c>
      <c r="M15182" s="43">
        <v>11.500401472990557</v>
      </c>
      <c r="N15182" s="43">
        <v>5.213520151836553</v>
      </c>
      <c r="O15182" s="43">
        <v>5.4143111111111111</v>
      </c>
      <c r="P15182" s="460"/>
      <c r="Q15182" s="460"/>
      <c r="R15182" s="460">
        <v>1</v>
      </c>
    </row>
    <row r="15183" spans="1:18" ht="12.75" customHeight="1">
      <c r="A15183" s="628" t="s">
        <v>27252</v>
      </c>
      <c r="B15183" s="629"/>
      <c r="C15183" s="629"/>
      <c r="D15183" s="629"/>
      <c r="E15183" s="629"/>
      <c r="F15183" s="629"/>
      <c r="G15183" s="629"/>
      <c r="H15183" s="629"/>
      <c r="I15183" s="629"/>
      <c r="J15183" s="629"/>
      <c r="K15183" s="629"/>
      <c r="L15183" s="629"/>
      <c r="M15183" s="629"/>
      <c r="N15183" s="629"/>
      <c r="O15183" s="629"/>
      <c r="P15183" s="629"/>
      <c r="Q15183" s="629"/>
      <c r="R15183" s="629"/>
    </row>
    <row r="15184" spans="1:18" ht="12.75" customHeight="1">
      <c r="A15184" s="628" t="s">
        <v>27253</v>
      </c>
      <c r="B15184" s="629"/>
      <c r="C15184" s="629"/>
      <c r="D15184" s="629"/>
      <c r="E15184" s="629"/>
      <c r="F15184" s="629"/>
      <c r="G15184" s="629"/>
      <c r="H15184" s="629"/>
      <c r="I15184" s="629"/>
      <c r="J15184" s="629"/>
      <c r="K15184" s="629"/>
      <c r="L15184" s="629"/>
      <c r="M15184" s="629"/>
      <c r="N15184" s="629"/>
      <c r="O15184" s="629"/>
      <c r="P15184" s="629"/>
      <c r="Q15184" s="629"/>
      <c r="R15184" s="629"/>
    </row>
    <row r="15185" spans="1:18" ht="24">
      <c r="A15185" s="456">
        <v>57</v>
      </c>
      <c r="B15185" s="453" t="s">
        <v>27254</v>
      </c>
      <c r="C15185" s="457" t="s">
        <v>27255</v>
      </c>
      <c r="D15185" s="458">
        <v>2190.88</v>
      </c>
      <c r="E15185" s="458">
        <v>1427.4</v>
      </c>
      <c r="F15185" s="458">
        <v>599.82000000000005</v>
      </c>
      <c r="G15185" s="458">
        <v>163.66</v>
      </c>
      <c r="H15185" s="459">
        <v>20500.34</v>
      </c>
      <c r="I15185" s="459">
        <v>16415.099999999999</v>
      </c>
      <c r="J15185" s="459">
        <v>3227.05</v>
      </c>
      <c r="K15185" s="459">
        <v>858.19</v>
      </c>
      <c r="L15185" s="43">
        <v>9.3571259037464394</v>
      </c>
      <c r="M15185" s="43">
        <v>11.499999999999998</v>
      </c>
      <c r="N15185" s="43">
        <v>5.3800306758694276</v>
      </c>
      <c r="O15185" s="43">
        <v>5.2437370157643901</v>
      </c>
      <c r="P15185" s="460"/>
      <c r="Q15185" s="460"/>
      <c r="R15185" s="460">
        <v>1</v>
      </c>
    </row>
    <row r="15186" spans="1:18" ht="24">
      <c r="A15186" s="456">
        <v>58</v>
      </c>
      <c r="B15186" s="453" t="s">
        <v>27256</v>
      </c>
      <c r="C15186" s="457" t="s">
        <v>27257</v>
      </c>
      <c r="D15186" s="458">
        <v>1537.44</v>
      </c>
      <c r="E15186" s="458">
        <v>1019.16</v>
      </c>
      <c r="F15186" s="458">
        <v>398.84</v>
      </c>
      <c r="G15186" s="458">
        <v>119.44</v>
      </c>
      <c r="H15186" s="459">
        <v>14520.09</v>
      </c>
      <c r="I15186" s="459">
        <v>11720.82</v>
      </c>
      <c r="J15186" s="459">
        <v>2132.89</v>
      </c>
      <c r="K15186" s="459">
        <v>666.38</v>
      </c>
      <c r="L15186" s="43">
        <v>9.4443295348111143</v>
      </c>
      <c r="M15186" s="43">
        <v>11.500470976097963</v>
      </c>
      <c r="N15186" s="43">
        <v>5.3477334269381203</v>
      </c>
      <c r="O15186" s="43">
        <v>5.5792029470864035</v>
      </c>
      <c r="P15186" s="460"/>
      <c r="Q15186" s="460"/>
      <c r="R15186" s="460">
        <v>1</v>
      </c>
    </row>
    <row r="15187" spans="1:18" ht="12.75" customHeight="1">
      <c r="A15187" s="628" t="s">
        <v>27258</v>
      </c>
      <c r="B15187" s="629"/>
      <c r="C15187" s="629"/>
      <c r="D15187" s="629"/>
      <c r="E15187" s="629"/>
      <c r="F15187" s="629"/>
      <c r="G15187" s="629"/>
      <c r="H15187" s="629"/>
      <c r="I15187" s="629"/>
      <c r="J15187" s="629"/>
      <c r="K15187" s="629"/>
      <c r="L15187" s="629"/>
      <c r="M15187" s="629"/>
      <c r="N15187" s="629"/>
      <c r="O15187" s="629"/>
      <c r="P15187" s="629"/>
      <c r="Q15187" s="629"/>
      <c r="R15187" s="629"/>
    </row>
    <row r="15188" spans="1:18" ht="12.75" customHeight="1">
      <c r="A15188" s="628" t="s">
        <v>27259</v>
      </c>
      <c r="B15188" s="629"/>
      <c r="C15188" s="629"/>
      <c r="D15188" s="629"/>
      <c r="E15188" s="629"/>
      <c r="F15188" s="629"/>
      <c r="G15188" s="629"/>
      <c r="H15188" s="629"/>
      <c r="I15188" s="629"/>
      <c r="J15188" s="629"/>
      <c r="K15188" s="629"/>
      <c r="L15188" s="629"/>
      <c r="M15188" s="629"/>
      <c r="N15188" s="629"/>
      <c r="O15188" s="629"/>
      <c r="P15188" s="629"/>
      <c r="Q15188" s="629"/>
      <c r="R15188" s="629"/>
    </row>
    <row r="15189" spans="1:18" ht="24">
      <c r="A15189" s="456">
        <v>59</v>
      </c>
      <c r="B15189" s="453" t="s">
        <v>27260</v>
      </c>
      <c r="C15189" s="457" t="s">
        <v>27261</v>
      </c>
      <c r="D15189" s="458">
        <v>1241.9000000000001</v>
      </c>
      <c r="E15189" s="458">
        <v>815.65</v>
      </c>
      <c r="F15189" s="458">
        <v>314.89</v>
      </c>
      <c r="G15189" s="458">
        <v>111.36</v>
      </c>
      <c r="H15189" s="459">
        <v>11645.42</v>
      </c>
      <c r="I15189" s="459">
        <v>9379.9500000000007</v>
      </c>
      <c r="J15189" s="459">
        <v>1681.05</v>
      </c>
      <c r="K15189" s="459">
        <v>584.41999999999996</v>
      </c>
      <c r="L15189" s="43">
        <v>9.3770996054432718</v>
      </c>
      <c r="M15189" s="43">
        <v>11.499969349598482</v>
      </c>
      <c r="N15189" s="43">
        <v>5.338530915557814</v>
      </c>
      <c r="O15189" s="43">
        <v>5.2480244252873556</v>
      </c>
      <c r="P15189" s="460"/>
      <c r="Q15189" s="460"/>
      <c r="R15189" s="460">
        <v>1</v>
      </c>
    </row>
    <row r="15190" spans="1:18" ht="24">
      <c r="A15190" s="456">
        <v>60</v>
      </c>
      <c r="B15190" s="453" t="s">
        <v>27262</v>
      </c>
      <c r="C15190" s="457" t="s">
        <v>27263</v>
      </c>
      <c r="D15190" s="458">
        <v>1850.4</v>
      </c>
      <c r="E15190" s="458">
        <v>1249.5999999999999</v>
      </c>
      <c r="F15190" s="458">
        <v>424.62</v>
      </c>
      <c r="G15190" s="458">
        <v>176.18</v>
      </c>
      <c r="H15190" s="459">
        <v>17591.18</v>
      </c>
      <c r="I15190" s="459">
        <v>14370.4</v>
      </c>
      <c r="J15190" s="459">
        <v>2262.5700000000002</v>
      </c>
      <c r="K15190" s="459">
        <v>958.21</v>
      </c>
      <c r="L15190" s="43">
        <v>9.5066904453091219</v>
      </c>
      <c r="M15190" s="43">
        <v>11.5</v>
      </c>
      <c r="N15190" s="43">
        <v>5.3284583863218877</v>
      </c>
      <c r="O15190" s="43">
        <v>5.438812578045181</v>
      </c>
      <c r="P15190" s="460"/>
      <c r="Q15190" s="460"/>
      <c r="R15190" s="460">
        <v>1</v>
      </c>
    </row>
    <row r="15191" spans="1:18" ht="24">
      <c r="A15191" s="456">
        <v>61</v>
      </c>
      <c r="B15191" s="453" t="s">
        <v>27264</v>
      </c>
      <c r="C15191" s="457" t="s">
        <v>27265</v>
      </c>
      <c r="D15191" s="458">
        <v>420.65</v>
      </c>
      <c r="E15191" s="458">
        <v>344.21</v>
      </c>
      <c r="F15191" s="458">
        <v>31.94</v>
      </c>
      <c r="G15191" s="458">
        <v>44.5</v>
      </c>
      <c r="H15191" s="459">
        <v>4357.8100000000004</v>
      </c>
      <c r="I15191" s="459">
        <v>3958.39</v>
      </c>
      <c r="J15191" s="459">
        <v>172.35</v>
      </c>
      <c r="K15191" s="459">
        <v>227.07</v>
      </c>
      <c r="L15191" s="43">
        <v>10.359705218114824</v>
      </c>
      <c r="M15191" s="43">
        <v>11.499927369919526</v>
      </c>
      <c r="N15191" s="43">
        <v>5.3960551033187221</v>
      </c>
      <c r="O15191" s="43">
        <v>5.102696629213483</v>
      </c>
      <c r="P15191" s="460"/>
      <c r="Q15191" s="460"/>
      <c r="R15191" s="460">
        <v>1</v>
      </c>
    </row>
    <row r="15192" spans="1:18" ht="24">
      <c r="A15192" s="456">
        <v>62</v>
      </c>
      <c r="B15192" s="453" t="s">
        <v>27266</v>
      </c>
      <c r="C15192" s="457" t="s">
        <v>27267</v>
      </c>
      <c r="D15192" s="458">
        <v>779.62</v>
      </c>
      <c r="E15192" s="458">
        <v>587.30999999999995</v>
      </c>
      <c r="F15192" s="458">
        <v>116.6</v>
      </c>
      <c r="G15192" s="458">
        <v>75.709999999999994</v>
      </c>
      <c r="H15192" s="459">
        <v>7788.67</v>
      </c>
      <c r="I15192" s="459">
        <v>6754.09</v>
      </c>
      <c r="J15192" s="459">
        <v>629.72</v>
      </c>
      <c r="K15192" s="459">
        <v>404.86</v>
      </c>
      <c r="L15192" s="43">
        <v>9.9903414483979383</v>
      </c>
      <c r="M15192" s="43">
        <v>11.500042566957825</v>
      </c>
      <c r="N15192" s="43">
        <v>5.4006861063464839</v>
      </c>
      <c r="O15192" s="43">
        <v>5.3475102364284774</v>
      </c>
      <c r="P15192" s="460"/>
      <c r="Q15192" s="460"/>
      <c r="R15192" s="460">
        <v>1</v>
      </c>
    </row>
    <row r="15193" spans="1:18" ht="24">
      <c r="A15193" s="456">
        <v>63</v>
      </c>
      <c r="B15193" s="453" t="s">
        <v>27268</v>
      </c>
      <c r="C15193" s="457" t="s">
        <v>27269</v>
      </c>
      <c r="D15193" s="458">
        <v>749.84</v>
      </c>
      <c r="E15193" s="458">
        <v>561.17999999999995</v>
      </c>
      <c r="F15193" s="458">
        <v>124.76</v>
      </c>
      <c r="G15193" s="458">
        <v>63.9</v>
      </c>
      <c r="H15193" s="459">
        <v>7494.15</v>
      </c>
      <c r="I15193" s="459">
        <v>6453.62</v>
      </c>
      <c r="J15193" s="459">
        <v>667.93</v>
      </c>
      <c r="K15193" s="459">
        <v>372.6</v>
      </c>
      <c r="L15193" s="43">
        <v>9.9943321241864922</v>
      </c>
      <c r="M15193" s="43">
        <v>11.500089097972131</v>
      </c>
      <c r="N15193" s="43">
        <v>5.3537191407502398</v>
      </c>
      <c r="O15193" s="43">
        <v>5.830985915492958</v>
      </c>
      <c r="P15193" s="460"/>
      <c r="Q15193" s="460"/>
      <c r="R15193" s="460">
        <v>1</v>
      </c>
    </row>
    <row r="15194" spans="1:18" ht="24">
      <c r="A15194" s="456">
        <v>64</v>
      </c>
      <c r="B15194" s="453" t="s">
        <v>27270</v>
      </c>
      <c r="C15194" s="457" t="s">
        <v>27271</v>
      </c>
      <c r="D15194" s="458">
        <v>2489.75</v>
      </c>
      <c r="E15194" s="458">
        <v>1613.12</v>
      </c>
      <c r="F15194" s="458">
        <v>697.81</v>
      </c>
      <c r="G15194" s="458">
        <v>178.82</v>
      </c>
      <c r="H15194" s="459">
        <v>23451.52</v>
      </c>
      <c r="I15194" s="459">
        <v>18550.88</v>
      </c>
      <c r="J15194" s="459">
        <v>3681.33</v>
      </c>
      <c r="K15194" s="459">
        <v>1219.31</v>
      </c>
      <c r="L15194" s="43">
        <v>9.4192268300030122</v>
      </c>
      <c r="M15194" s="43">
        <v>11.500000000000002</v>
      </c>
      <c r="N15194" s="43">
        <v>5.2755477852137407</v>
      </c>
      <c r="O15194" s="43">
        <v>6.8186444469298735</v>
      </c>
      <c r="P15194" s="460"/>
      <c r="Q15194" s="460"/>
      <c r="R15194" s="460">
        <v>1</v>
      </c>
    </row>
    <row r="15195" spans="1:18" ht="24">
      <c r="A15195" s="456">
        <v>65</v>
      </c>
      <c r="B15195" s="453" t="s">
        <v>27272</v>
      </c>
      <c r="C15195" s="457" t="s">
        <v>27273</v>
      </c>
      <c r="D15195" s="458">
        <v>1561.88</v>
      </c>
      <c r="E15195" s="458">
        <v>1181.44</v>
      </c>
      <c r="F15195" s="458">
        <v>264</v>
      </c>
      <c r="G15195" s="458">
        <v>116.44</v>
      </c>
      <c r="H15195" s="459">
        <v>15643.54</v>
      </c>
      <c r="I15195" s="459">
        <v>13586.56</v>
      </c>
      <c r="J15195" s="459">
        <v>1408.05</v>
      </c>
      <c r="K15195" s="459">
        <v>648.92999999999995</v>
      </c>
      <c r="L15195" s="43">
        <v>10.015839885266473</v>
      </c>
      <c r="M15195" s="43">
        <v>11.499999999999998</v>
      </c>
      <c r="N15195" s="43">
        <v>5.3335227272727268</v>
      </c>
      <c r="O15195" s="43">
        <v>5.5730848505668149</v>
      </c>
      <c r="P15195" s="460"/>
      <c r="Q15195" s="460"/>
      <c r="R15195" s="460">
        <v>1</v>
      </c>
    </row>
    <row r="15196" spans="1:18" ht="24">
      <c r="A15196" s="456">
        <v>66</v>
      </c>
      <c r="B15196" s="453" t="s">
        <v>27274</v>
      </c>
      <c r="C15196" s="457" t="s">
        <v>27275</v>
      </c>
      <c r="D15196" s="458">
        <v>1324.48</v>
      </c>
      <c r="E15196" s="458">
        <v>981.5</v>
      </c>
      <c r="F15196" s="458">
        <v>227.18</v>
      </c>
      <c r="G15196" s="458">
        <v>115.8</v>
      </c>
      <c r="H15196" s="459">
        <v>13119.65</v>
      </c>
      <c r="I15196" s="459">
        <v>11287.3</v>
      </c>
      <c r="J15196" s="459">
        <v>1199.92</v>
      </c>
      <c r="K15196" s="459">
        <v>632.42999999999995</v>
      </c>
      <c r="L15196" s="43">
        <v>9.9055100869775305</v>
      </c>
      <c r="M15196" s="43">
        <v>11.500050942435047</v>
      </c>
      <c r="N15196" s="43">
        <v>5.2818029756140508</v>
      </c>
      <c r="O15196" s="43">
        <v>5.46139896373057</v>
      </c>
      <c r="P15196" s="460"/>
      <c r="Q15196" s="460"/>
      <c r="R15196" s="460">
        <v>1</v>
      </c>
    </row>
    <row r="15197" spans="1:18" ht="12.75" customHeight="1">
      <c r="A15197" s="628" t="s">
        <v>27276</v>
      </c>
      <c r="B15197" s="629"/>
      <c r="C15197" s="629"/>
      <c r="D15197" s="629"/>
      <c r="E15197" s="629"/>
      <c r="F15197" s="629"/>
      <c r="G15197" s="629"/>
      <c r="H15197" s="629"/>
      <c r="I15197" s="629"/>
      <c r="J15197" s="629"/>
      <c r="K15197" s="629"/>
      <c r="L15197" s="629"/>
      <c r="M15197" s="629"/>
      <c r="N15197" s="629"/>
      <c r="O15197" s="629"/>
      <c r="P15197" s="629"/>
      <c r="Q15197" s="629"/>
      <c r="R15197" s="629"/>
    </row>
    <row r="15198" spans="1:18" ht="24">
      <c r="A15198" s="456">
        <v>67</v>
      </c>
      <c r="B15198" s="453" t="s">
        <v>27277</v>
      </c>
      <c r="C15198" s="457" t="s">
        <v>27278</v>
      </c>
      <c r="D15198" s="458">
        <v>870.5</v>
      </c>
      <c r="E15198" s="458">
        <v>611.16999999999996</v>
      </c>
      <c r="F15198" s="458">
        <v>182.98</v>
      </c>
      <c r="G15198" s="458">
        <v>76.349999999999994</v>
      </c>
      <c r="H15198" s="459">
        <v>8414.1200000000008</v>
      </c>
      <c r="I15198" s="459">
        <v>7028.43</v>
      </c>
      <c r="J15198" s="459">
        <v>973.94</v>
      </c>
      <c r="K15198" s="459">
        <v>411.75</v>
      </c>
      <c r="L15198" s="43">
        <v>9.6658472142446872</v>
      </c>
      <c r="M15198" s="43">
        <v>11.499959094850862</v>
      </c>
      <c r="N15198" s="43">
        <v>5.3226582140124608</v>
      </c>
      <c r="O15198" s="43">
        <v>5.3929273084479377</v>
      </c>
      <c r="P15198" s="460"/>
      <c r="Q15198" s="460"/>
      <c r="R15198" s="460">
        <v>2</v>
      </c>
    </row>
    <row r="15199" spans="1:18" ht="24">
      <c r="A15199" s="456">
        <v>68</v>
      </c>
      <c r="B15199" s="453" t="s">
        <v>27279</v>
      </c>
      <c r="C15199" s="457" t="s">
        <v>27280</v>
      </c>
      <c r="D15199" s="458">
        <v>880.76</v>
      </c>
      <c r="E15199" s="458">
        <v>624.79999999999995</v>
      </c>
      <c r="F15199" s="458">
        <v>111.03</v>
      </c>
      <c r="G15199" s="458">
        <v>144.93</v>
      </c>
      <c r="H15199" s="459">
        <v>8424.5</v>
      </c>
      <c r="I15199" s="459">
        <v>7185.2</v>
      </c>
      <c r="J15199" s="459">
        <v>589.23</v>
      </c>
      <c r="K15199" s="459">
        <v>650.07000000000005</v>
      </c>
      <c r="L15199" s="43">
        <v>9.5650347427221938</v>
      </c>
      <c r="M15199" s="43">
        <v>11.5</v>
      </c>
      <c r="N15199" s="43">
        <v>5.3069440691704948</v>
      </c>
      <c r="O15199" s="43">
        <v>4.4854067480852828</v>
      </c>
      <c r="P15199" s="460"/>
      <c r="Q15199" s="460"/>
      <c r="R15199" s="460">
        <v>2</v>
      </c>
    </row>
    <row r="15200" spans="1:18" ht="24">
      <c r="A15200" s="456">
        <v>69</v>
      </c>
      <c r="B15200" s="453" t="s">
        <v>27281</v>
      </c>
      <c r="C15200" s="457" t="s">
        <v>27282</v>
      </c>
      <c r="D15200" s="458">
        <v>1654.72</v>
      </c>
      <c r="E15200" s="458">
        <v>1122.3699999999999</v>
      </c>
      <c r="F15200" s="458">
        <v>396.01</v>
      </c>
      <c r="G15200" s="458">
        <v>136.34</v>
      </c>
      <c r="H15200" s="459">
        <v>15848.7</v>
      </c>
      <c r="I15200" s="459">
        <v>12907.23</v>
      </c>
      <c r="J15200" s="459">
        <v>2121.35</v>
      </c>
      <c r="K15200" s="459">
        <v>820.12</v>
      </c>
      <c r="L15200" s="43">
        <v>9.5778742022819578</v>
      </c>
      <c r="M15200" s="43">
        <v>11.499977725705428</v>
      </c>
      <c r="N15200" s="43">
        <v>5.3568091714855681</v>
      </c>
      <c r="O15200" s="43">
        <v>6.0152559777028021</v>
      </c>
      <c r="P15200" s="460"/>
      <c r="Q15200" s="460"/>
      <c r="R15200" s="460">
        <v>2</v>
      </c>
    </row>
    <row r="15201" spans="1:18" ht="24">
      <c r="A15201" s="456">
        <v>70</v>
      </c>
      <c r="B15201" s="453" t="s">
        <v>27283</v>
      </c>
      <c r="C15201" s="457" t="s">
        <v>27284</v>
      </c>
      <c r="D15201" s="458">
        <v>2539.56</v>
      </c>
      <c r="E15201" s="458">
        <v>1613.12</v>
      </c>
      <c r="F15201" s="458">
        <v>802.57</v>
      </c>
      <c r="G15201" s="458">
        <v>123.87</v>
      </c>
      <c r="H15201" s="459">
        <v>23720.51</v>
      </c>
      <c r="I15201" s="459">
        <v>18550.88</v>
      </c>
      <c r="J15201" s="459">
        <v>4177.47</v>
      </c>
      <c r="K15201" s="459">
        <v>992.16</v>
      </c>
      <c r="L15201" s="43">
        <v>9.3404014868717411</v>
      </c>
      <c r="M15201" s="43">
        <v>11.500000000000002</v>
      </c>
      <c r="N15201" s="43">
        <v>5.2051160646423362</v>
      </c>
      <c r="O15201" s="43">
        <v>8.0096875756841843</v>
      </c>
      <c r="P15201" s="460"/>
      <c r="Q15201" s="460"/>
      <c r="R15201" s="460">
        <v>2</v>
      </c>
    </row>
    <row r="15202" spans="1:18" ht="24">
      <c r="A15202" s="456">
        <v>71</v>
      </c>
      <c r="B15202" s="453" t="s">
        <v>27285</v>
      </c>
      <c r="C15202" s="457" t="s">
        <v>27286</v>
      </c>
      <c r="D15202" s="458">
        <v>600.03</v>
      </c>
      <c r="E15202" s="458">
        <v>483.94</v>
      </c>
      <c r="F15202" s="458">
        <v>69.61</v>
      </c>
      <c r="G15202" s="458">
        <v>46.48</v>
      </c>
      <c r="H15202" s="459">
        <v>6187.53</v>
      </c>
      <c r="I15202" s="459">
        <v>5565.26</v>
      </c>
      <c r="J15202" s="459">
        <v>370.16</v>
      </c>
      <c r="K15202" s="459">
        <v>252.11</v>
      </c>
      <c r="L15202" s="43">
        <v>10.312034398280087</v>
      </c>
      <c r="M15202" s="43">
        <v>11.499896681406787</v>
      </c>
      <c r="N15202" s="43">
        <v>5.3176267777618165</v>
      </c>
      <c r="O15202" s="43">
        <v>5.4240533562822728</v>
      </c>
      <c r="P15202" s="460"/>
      <c r="Q15202" s="460"/>
      <c r="R15202" s="460">
        <v>2</v>
      </c>
    </row>
    <row r="15203" spans="1:18" ht="24">
      <c r="A15203" s="456">
        <v>72</v>
      </c>
      <c r="B15203" s="453" t="s">
        <v>27287</v>
      </c>
      <c r="C15203" s="457" t="s">
        <v>27288</v>
      </c>
      <c r="D15203" s="458">
        <v>2299.9699999999998</v>
      </c>
      <c r="E15203" s="458">
        <v>702.05</v>
      </c>
      <c r="F15203" s="458">
        <v>1493.01</v>
      </c>
      <c r="G15203" s="458">
        <v>104.91</v>
      </c>
      <c r="H15203" s="459">
        <v>16610.55</v>
      </c>
      <c r="I15203" s="459">
        <v>8073.55</v>
      </c>
      <c r="J15203" s="459">
        <v>8015.34</v>
      </c>
      <c r="K15203" s="459">
        <v>521.66</v>
      </c>
      <c r="L15203" s="43">
        <v>7.2220724618147196</v>
      </c>
      <c r="M15203" s="43">
        <v>11.499964390000713</v>
      </c>
      <c r="N15203" s="43">
        <v>5.3685775714831117</v>
      </c>
      <c r="O15203" s="43">
        <v>4.9724525784005333</v>
      </c>
      <c r="P15203" s="460"/>
      <c r="Q15203" s="460"/>
      <c r="R15203" s="460">
        <v>2</v>
      </c>
    </row>
    <row r="15204" spans="1:18" ht="24">
      <c r="A15204" s="456">
        <v>73</v>
      </c>
      <c r="B15204" s="453" t="s">
        <v>27289</v>
      </c>
      <c r="C15204" s="457" t="s">
        <v>27290</v>
      </c>
      <c r="D15204" s="458">
        <v>695.55</v>
      </c>
      <c r="E15204" s="458">
        <v>536.82000000000005</v>
      </c>
      <c r="F15204" s="458">
        <v>98.41</v>
      </c>
      <c r="G15204" s="458">
        <v>60.32</v>
      </c>
      <c r="H15204" s="459">
        <v>7044.84</v>
      </c>
      <c r="I15204" s="459">
        <v>6173.66</v>
      </c>
      <c r="J15204" s="459">
        <v>531.22</v>
      </c>
      <c r="K15204" s="459">
        <v>339.96</v>
      </c>
      <c r="L15204" s="43">
        <v>10.128445115376321</v>
      </c>
      <c r="M15204" s="43">
        <v>11.500428449014565</v>
      </c>
      <c r="N15204" s="43">
        <v>5.3980286556244286</v>
      </c>
      <c r="O15204" s="43">
        <v>5.635941644562334</v>
      </c>
      <c r="P15204" s="460"/>
      <c r="Q15204" s="460"/>
      <c r="R15204" s="460">
        <v>2</v>
      </c>
    </row>
    <row r="15205" spans="1:18" ht="12.75" customHeight="1">
      <c r="A15205" s="628" t="s">
        <v>27291</v>
      </c>
      <c r="B15205" s="629"/>
      <c r="C15205" s="629"/>
      <c r="D15205" s="629"/>
      <c r="E15205" s="629"/>
      <c r="F15205" s="629"/>
      <c r="G15205" s="629"/>
      <c r="H15205" s="629"/>
      <c r="I15205" s="629"/>
      <c r="J15205" s="629"/>
      <c r="K15205" s="629"/>
      <c r="L15205" s="629"/>
      <c r="M15205" s="629"/>
      <c r="N15205" s="629"/>
      <c r="O15205" s="629"/>
      <c r="P15205" s="629"/>
      <c r="Q15205" s="629"/>
      <c r="R15205" s="629"/>
    </row>
    <row r="15206" spans="1:18" ht="24">
      <c r="A15206" s="456">
        <v>74</v>
      </c>
      <c r="B15206" s="453" t="s">
        <v>27292</v>
      </c>
      <c r="C15206" s="457" t="s">
        <v>27293</v>
      </c>
      <c r="D15206" s="458">
        <v>622.85</v>
      </c>
      <c r="E15206" s="458">
        <v>471.44</v>
      </c>
      <c r="F15206" s="458">
        <v>105.18</v>
      </c>
      <c r="G15206" s="458">
        <v>46.23</v>
      </c>
      <c r="H15206" s="459">
        <v>6233.54</v>
      </c>
      <c r="I15206" s="459">
        <v>5421.56</v>
      </c>
      <c r="J15206" s="459">
        <v>562.74</v>
      </c>
      <c r="K15206" s="459">
        <v>249.24</v>
      </c>
      <c r="L15206" s="43">
        <v>10.008091835915549</v>
      </c>
      <c r="M15206" s="43">
        <v>11.500000000000002</v>
      </c>
      <c r="N15206" s="43">
        <v>5.3502567027952077</v>
      </c>
      <c r="O15206" s="43">
        <v>5.3913043478260878</v>
      </c>
      <c r="P15206" s="460"/>
      <c r="Q15206" s="460"/>
      <c r="R15206" s="460">
        <v>3</v>
      </c>
    </row>
    <row r="15207" spans="1:18" ht="12.75" customHeight="1">
      <c r="A15207" s="628" t="s">
        <v>27294</v>
      </c>
      <c r="B15207" s="629"/>
      <c r="C15207" s="629"/>
      <c r="D15207" s="629"/>
      <c r="E15207" s="629"/>
      <c r="F15207" s="629"/>
      <c r="G15207" s="629"/>
      <c r="H15207" s="629"/>
      <c r="I15207" s="629"/>
      <c r="J15207" s="629"/>
      <c r="K15207" s="629"/>
      <c r="L15207" s="629"/>
      <c r="M15207" s="629"/>
      <c r="N15207" s="629"/>
      <c r="O15207" s="629"/>
      <c r="P15207" s="629"/>
      <c r="Q15207" s="629"/>
      <c r="R15207" s="629"/>
    </row>
    <row r="15208" spans="1:18" ht="36">
      <c r="A15208" s="456">
        <v>75</v>
      </c>
      <c r="B15208" s="453" t="s">
        <v>27295</v>
      </c>
      <c r="C15208" s="457" t="s">
        <v>27296</v>
      </c>
      <c r="D15208" s="458">
        <v>399.99</v>
      </c>
      <c r="E15208" s="458">
        <v>335.51</v>
      </c>
      <c r="F15208" s="458">
        <v>21.58</v>
      </c>
      <c r="G15208" s="458">
        <v>42.9</v>
      </c>
      <c r="H15208" s="459">
        <v>4187.25</v>
      </c>
      <c r="I15208" s="459">
        <v>3858.49</v>
      </c>
      <c r="J15208" s="459">
        <v>116.19</v>
      </c>
      <c r="K15208" s="459">
        <v>212.57</v>
      </c>
      <c r="L15208" s="43">
        <v>10.468386709667742</v>
      </c>
      <c r="M15208" s="43">
        <v>11.500372567136598</v>
      </c>
      <c r="N15208" s="43">
        <v>5.3841519925857275</v>
      </c>
      <c r="O15208" s="43">
        <v>4.9550116550116554</v>
      </c>
      <c r="P15208" s="460"/>
      <c r="Q15208" s="460"/>
      <c r="R15208" s="460">
        <v>4</v>
      </c>
    </row>
    <row r="15209" spans="1:18" ht="24">
      <c r="A15209" s="456">
        <v>76</v>
      </c>
      <c r="B15209" s="453" t="s">
        <v>27297</v>
      </c>
      <c r="C15209" s="457" t="s">
        <v>27298</v>
      </c>
      <c r="D15209" s="458">
        <v>508.76</v>
      </c>
      <c r="E15209" s="458">
        <v>413.64</v>
      </c>
      <c r="F15209" s="458">
        <v>49.55</v>
      </c>
      <c r="G15209" s="458">
        <v>45.57</v>
      </c>
      <c r="H15209" s="459">
        <v>5259.23</v>
      </c>
      <c r="I15209" s="459">
        <v>4757.04</v>
      </c>
      <c r="J15209" s="459">
        <v>261.94</v>
      </c>
      <c r="K15209" s="459">
        <v>240.25</v>
      </c>
      <c r="L15209" s="43">
        <v>10.33734963440522</v>
      </c>
      <c r="M15209" s="43">
        <v>11.500435161009573</v>
      </c>
      <c r="N15209" s="43">
        <v>5.2863773965691223</v>
      </c>
      <c r="O15209" s="43">
        <v>5.2721088435374153</v>
      </c>
      <c r="P15209" s="460"/>
      <c r="Q15209" s="460"/>
      <c r="R15209" s="460">
        <v>4</v>
      </c>
    </row>
    <row r="15210" spans="1:18" ht="24">
      <c r="A15210" s="456">
        <v>77</v>
      </c>
      <c r="B15210" s="453" t="s">
        <v>27299</v>
      </c>
      <c r="C15210" s="457" t="s">
        <v>27300</v>
      </c>
      <c r="D15210" s="458">
        <v>414.77</v>
      </c>
      <c r="E15210" s="458">
        <v>335.51</v>
      </c>
      <c r="F15210" s="458">
        <v>35.340000000000003</v>
      </c>
      <c r="G15210" s="458">
        <v>43.92</v>
      </c>
      <c r="H15210" s="459">
        <v>4266.5</v>
      </c>
      <c r="I15210" s="459">
        <v>3858.49</v>
      </c>
      <c r="J15210" s="459">
        <v>186.47</v>
      </c>
      <c r="K15210" s="459">
        <v>221.54</v>
      </c>
      <c r="L15210" s="43">
        <v>10.286423801142803</v>
      </c>
      <c r="M15210" s="43">
        <v>11.500372567136598</v>
      </c>
      <c r="N15210" s="43">
        <v>5.2764572722127898</v>
      </c>
      <c r="O15210" s="43">
        <v>5.0441712204007283</v>
      </c>
      <c r="P15210" s="460"/>
      <c r="Q15210" s="460"/>
      <c r="R15210" s="460">
        <v>4</v>
      </c>
    </row>
    <row r="15211" spans="1:18" ht="24">
      <c r="A15211" s="456">
        <v>78</v>
      </c>
      <c r="B15211" s="453" t="s">
        <v>27301</v>
      </c>
      <c r="C15211" s="457" t="s">
        <v>27302</v>
      </c>
      <c r="D15211" s="458">
        <v>515.17999999999995</v>
      </c>
      <c r="E15211" s="458">
        <v>426.28</v>
      </c>
      <c r="F15211" s="458">
        <v>44.18</v>
      </c>
      <c r="G15211" s="458">
        <v>44.72</v>
      </c>
      <c r="H15211" s="459">
        <v>5368.96</v>
      </c>
      <c r="I15211" s="459">
        <v>4902.3900000000003</v>
      </c>
      <c r="J15211" s="459">
        <v>233.07</v>
      </c>
      <c r="K15211" s="459">
        <v>233.5</v>
      </c>
      <c r="L15211" s="43">
        <v>10.421522574634109</v>
      </c>
      <c r="M15211" s="43">
        <v>11.500398798911515</v>
      </c>
      <c r="N15211" s="43">
        <v>5.2754640108646447</v>
      </c>
      <c r="O15211" s="43">
        <v>5.2213774597495526</v>
      </c>
      <c r="P15211" s="460"/>
      <c r="Q15211" s="460"/>
      <c r="R15211" s="460">
        <v>4</v>
      </c>
    </row>
    <row r="15212" spans="1:18" ht="24">
      <c r="A15212" s="456">
        <v>79</v>
      </c>
      <c r="B15212" s="453" t="s">
        <v>27303</v>
      </c>
      <c r="C15212" s="457" t="s">
        <v>27304</v>
      </c>
      <c r="D15212" s="458">
        <v>590.02</v>
      </c>
      <c r="E15212" s="458">
        <v>471.44</v>
      </c>
      <c r="F15212" s="458">
        <v>68.569999999999993</v>
      </c>
      <c r="G15212" s="458">
        <v>50.01</v>
      </c>
      <c r="H15212" s="459">
        <v>6068.21</v>
      </c>
      <c r="I15212" s="459">
        <v>5421.56</v>
      </c>
      <c r="J15212" s="459">
        <v>364.33</v>
      </c>
      <c r="K15212" s="459">
        <v>282.32</v>
      </c>
      <c r="L15212" s="43">
        <v>10.284753059218332</v>
      </c>
      <c r="M15212" s="43">
        <v>11.500000000000002</v>
      </c>
      <c r="N15212" s="43">
        <v>5.3132565261776286</v>
      </c>
      <c r="O15212" s="43">
        <v>5.6452709458108377</v>
      </c>
      <c r="P15212" s="460"/>
      <c r="Q15212" s="460"/>
      <c r="R15212" s="460">
        <v>4</v>
      </c>
    </row>
    <row r="15213" spans="1:18" ht="36">
      <c r="A15213" s="456">
        <v>80</v>
      </c>
      <c r="B15213" s="453" t="s">
        <v>27305</v>
      </c>
      <c r="C15213" s="457" t="s">
        <v>27306</v>
      </c>
      <c r="D15213" s="458">
        <v>916.18</v>
      </c>
      <c r="E15213" s="458">
        <v>671.02</v>
      </c>
      <c r="F15213" s="458">
        <v>166.36</v>
      </c>
      <c r="G15213" s="458">
        <v>78.8</v>
      </c>
      <c r="H15213" s="459">
        <v>9046.56</v>
      </c>
      <c r="I15213" s="459">
        <v>7716.98</v>
      </c>
      <c r="J15213" s="459">
        <v>893</v>
      </c>
      <c r="K15213" s="459">
        <v>436.58</v>
      </c>
      <c r="L15213" s="43">
        <v>9.8742168569495075</v>
      </c>
      <c r="M15213" s="43">
        <v>11.500372567136598</v>
      </c>
      <c r="N15213" s="43">
        <v>5.3678768934840102</v>
      </c>
      <c r="O15213" s="43">
        <v>5.5403553299492385</v>
      </c>
      <c r="P15213" s="460"/>
      <c r="Q15213" s="460"/>
      <c r="R15213" s="460">
        <v>4</v>
      </c>
    </row>
    <row r="15214" spans="1:18" ht="24">
      <c r="A15214" s="456">
        <v>81</v>
      </c>
      <c r="B15214" s="453" t="s">
        <v>27307</v>
      </c>
      <c r="C15214" s="457" t="s">
        <v>27308</v>
      </c>
      <c r="D15214" s="458">
        <v>448.63</v>
      </c>
      <c r="E15214" s="458">
        <v>370.34</v>
      </c>
      <c r="F15214" s="458">
        <v>34.99</v>
      </c>
      <c r="G15214" s="458">
        <v>43.3</v>
      </c>
      <c r="H15214" s="459">
        <v>4661.08</v>
      </c>
      <c r="I15214" s="459">
        <v>4258.8599999999997</v>
      </c>
      <c r="J15214" s="459">
        <v>184.22</v>
      </c>
      <c r="K15214" s="459">
        <v>218</v>
      </c>
      <c r="L15214" s="43">
        <v>10.389586073156053</v>
      </c>
      <c r="M15214" s="43">
        <v>11.499864988929092</v>
      </c>
      <c r="N15214" s="43">
        <v>5.264932837953701</v>
      </c>
      <c r="O15214" s="43">
        <v>5.034642032332564</v>
      </c>
      <c r="P15214" s="460"/>
      <c r="Q15214" s="460"/>
      <c r="R15214" s="460">
        <v>4</v>
      </c>
    </row>
    <row r="15215" spans="1:18" ht="36">
      <c r="A15215" s="456">
        <v>82</v>
      </c>
      <c r="B15215" s="453" t="s">
        <v>27309</v>
      </c>
      <c r="C15215" s="457" t="s">
        <v>27310</v>
      </c>
      <c r="D15215" s="458">
        <v>810.89</v>
      </c>
      <c r="E15215" s="458">
        <v>561.17999999999995</v>
      </c>
      <c r="F15215" s="458">
        <v>179.19</v>
      </c>
      <c r="G15215" s="458">
        <v>70.52</v>
      </c>
      <c r="H15215" s="459">
        <v>7773.96</v>
      </c>
      <c r="I15215" s="459">
        <v>6453.62</v>
      </c>
      <c r="J15215" s="459">
        <v>962.4</v>
      </c>
      <c r="K15215" s="459">
        <v>357.94</v>
      </c>
      <c r="L15215" s="43">
        <v>9.5869476747770968</v>
      </c>
      <c r="M15215" s="43">
        <v>11.500089097972131</v>
      </c>
      <c r="N15215" s="43">
        <v>5.370835426084045</v>
      </c>
      <c r="O15215" s="43">
        <v>5.0757231990924563</v>
      </c>
      <c r="P15215" s="460"/>
      <c r="Q15215" s="460"/>
      <c r="R15215" s="460">
        <v>4</v>
      </c>
    </row>
    <row r="15216" spans="1:18" ht="24">
      <c r="A15216" s="456">
        <v>83</v>
      </c>
      <c r="B15216" s="453" t="s">
        <v>27311</v>
      </c>
      <c r="C15216" s="457" t="s">
        <v>27312</v>
      </c>
      <c r="D15216" s="458">
        <v>979.27</v>
      </c>
      <c r="E15216" s="458">
        <v>786.56</v>
      </c>
      <c r="F15216" s="458">
        <v>126</v>
      </c>
      <c r="G15216" s="458">
        <v>66.709999999999994</v>
      </c>
      <c r="H15216" s="459">
        <v>10130</v>
      </c>
      <c r="I15216" s="459">
        <v>9045.75</v>
      </c>
      <c r="J15216" s="459">
        <v>674.68</v>
      </c>
      <c r="K15216" s="459">
        <v>409.57</v>
      </c>
      <c r="L15216" s="43">
        <v>10.344440246305922</v>
      </c>
      <c r="M15216" s="43">
        <v>11.500394121236779</v>
      </c>
      <c r="N15216" s="43">
        <v>5.3546031746031746</v>
      </c>
      <c r="O15216" s="43">
        <v>6.1395592864637987</v>
      </c>
      <c r="P15216" s="460"/>
      <c r="Q15216" s="460"/>
      <c r="R15216" s="460">
        <v>4</v>
      </c>
    </row>
    <row r="15217" spans="1:18" ht="24">
      <c r="A15217" s="461">
        <v>84</v>
      </c>
      <c r="B15217" s="462" t="s">
        <v>27313</v>
      </c>
      <c r="C15217" s="463" t="s">
        <v>27314</v>
      </c>
      <c r="D15217" s="464">
        <v>895.02</v>
      </c>
      <c r="E15217" s="464">
        <v>622.71</v>
      </c>
      <c r="F15217" s="464">
        <v>198.62</v>
      </c>
      <c r="G15217" s="464">
        <v>73.69</v>
      </c>
      <c r="H15217" s="465">
        <v>8608.9699999999993</v>
      </c>
      <c r="I15217" s="465">
        <v>7161.17</v>
      </c>
      <c r="J15217" s="465">
        <v>1058.73</v>
      </c>
      <c r="K15217" s="465">
        <v>389.07</v>
      </c>
      <c r="L15217" s="611">
        <v>9.618745949811176</v>
      </c>
      <c r="M15217" s="611">
        <v>11.500008029419794</v>
      </c>
      <c r="N15217" s="611">
        <v>5.3304299667707182</v>
      </c>
      <c r="O15217" s="611">
        <v>5.2798208712172618</v>
      </c>
      <c r="P15217" s="466"/>
      <c r="Q15217" s="466"/>
      <c r="R15217" s="466">
        <v>4</v>
      </c>
    </row>
    <row r="15218" spans="1:18" ht="12.75" customHeight="1">
      <c r="A15218" s="630" t="s">
        <v>27315</v>
      </c>
      <c r="B15218" s="631"/>
      <c r="C15218" s="631"/>
      <c r="D15218" s="631"/>
      <c r="E15218" s="631"/>
      <c r="F15218" s="631"/>
      <c r="G15218" s="631"/>
      <c r="H15218" s="631"/>
      <c r="I15218" s="631"/>
      <c r="J15218" s="631"/>
      <c r="K15218" s="631"/>
      <c r="L15218" s="631"/>
      <c r="M15218" s="631"/>
      <c r="N15218" s="631"/>
      <c r="O15218" s="631"/>
      <c r="P15218" s="631"/>
      <c r="Q15218" s="631"/>
      <c r="R15218" s="631"/>
    </row>
    <row r="15219" spans="1:18" ht="12.75" customHeight="1">
      <c r="A15219" s="628" t="s">
        <v>21986</v>
      </c>
      <c r="B15219" s="629"/>
      <c r="C15219" s="629"/>
      <c r="D15219" s="629"/>
      <c r="E15219" s="629"/>
      <c r="F15219" s="629"/>
      <c r="G15219" s="629"/>
      <c r="H15219" s="629"/>
      <c r="I15219" s="629"/>
      <c r="J15219" s="629"/>
      <c r="K15219" s="629"/>
      <c r="L15219" s="629"/>
      <c r="M15219" s="629"/>
      <c r="N15219" s="629"/>
      <c r="O15219" s="629"/>
      <c r="P15219" s="629"/>
      <c r="Q15219" s="629"/>
      <c r="R15219" s="629"/>
    </row>
    <row r="15220" spans="1:18" ht="12.75" customHeight="1">
      <c r="A15220" s="628" t="s">
        <v>27316</v>
      </c>
      <c r="B15220" s="629"/>
      <c r="C15220" s="629"/>
      <c r="D15220" s="629"/>
      <c r="E15220" s="629"/>
      <c r="F15220" s="629"/>
      <c r="G15220" s="629"/>
      <c r="H15220" s="629"/>
      <c r="I15220" s="629"/>
      <c r="J15220" s="629"/>
      <c r="K15220" s="629"/>
      <c r="L15220" s="629"/>
      <c r="M15220" s="629"/>
      <c r="N15220" s="629"/>
      <c r="O15220" s="629"/>
      <c r="P15220" s="629"/>
      <c r="Q15220" s="629"/>
      <c r="R15220" s="629"/>
    </row>
    <row r="15221" spans="1:18" ht="24">
      <c r="A15221" s="456">
        <v>85</v>
      </c>
      <c r="B15221" s="453" t="s">
        <v>27317</v>
      </c>
      <c r="C15221" s="457" t="s">
        <v>27318</v>
      </c>
      <c r="D15221" s="458">
        <v>77.88</v>
      </c>
      <c r="E15221" s="458">
        <v>75.040000000000006</v>
      </c>
      <c r="F15221" s="458">
        <v>1.2</v>
      </c>
      <c r="G15221" s="458">
        <v>1.64</v>
      </c>
      <c r="H15221" s="459">
        <v>887.49</v>
      </c>
      <c r="I15221" s="459">
        <v>862.91</v>
      </c>
      <c r="J15221" s="459">
        <v>6.14</v>
      </c>
      <c r="K15221" s="459">
        <v>18.440000000000001</v>
      </c>
      <c r="L15221" s="43">
        <v>11.395608628659478</v>
      </c>
      <c r="M15221" s="43">
        <v>11.499333688699359</v>
      </c>
      <c r="N15221" s="43">
        <v>5.1166666666666663</v>
      </c>
      <c r="O15221" s="43">
        <v>11.243902439024392</v>
      </c>
      <c r="P15221" s="460"/>
      <c r="Q15221" s="460"/>
      <c r="R15221" s="460">
        <v>1</v>
      </c>
    </row>
    <row r="15222" spans="1:18" ht="24">
      <c r="A15222" s="456">
        <v>86</v>
      </c>
      <c r="B15222" s="453" t="s">
        <v>27319</v>
      </c>
      <c r="C15222" s="457" t="s">
        <v>27320</v>
      </c>
      <c r="D15222" s="458">
        <v>376.92</v>
      </c>
      <c r="E15222" s="458">
        <v>174.27</v>
      </c>
      <c r="F15222" s="458">
        <v>198.51</v>
      </c>
      <c r="G15222" s="458">
        <v>4.1399999999999997</v>
      </c>
      <c r="H15222" s="459">
        <v>3124.13</v>
      </c>
      <c r="I15222" s="459">
        <v>2004.11</v>
      </c>
      <c r="J15222" s="459">
        <v>1074.22</v>
      </c>
      <c r="K15222" s="459">
        <v>45.8</v>
      </c>
      <c r="L15222" s="43">
        <v>8.2885758251087758</v>
      </c>
      <c r="M15222" s="43">
        <v>11.500028691111492</v>
      </c>
      <c r="N15222" s="43">
        <v>5.4114150420633722</v>
      </c>
      <c r="O15222" s="43">
        <v>11.062801932367149</v>
      </c>
      <c r="P15222" s="460"/>
      <c r="Q15222" s="460"/>
      <c r="R15222" s="460">
        <v>1</v>
      </c>
    </row>
    <row r="15223" spans="1:18" ht="24">
      <c r="A15223" s="456">
        <v>87</v>
      </c>
      <c r="B15223" s="453" t="s">
        <v>27321</v>
      </c>
      <c r="C15223" s="457" t="s">
        <v>27322</v>
      </c>
      <c r="D15223" s="458">
        <v>124.89</v>
      </c>
      <c r="E15223" s="458">
        <v>112.11</v>
      </c>
      <c r="F15223" s="458">
        <v>9.73</v>
      </c>
      <c r="G15223" s="458">
        <v>3.05</v>
      </c>
      <c r="H15223" s="459">
        <v>1372</v>
      </c>
      <c r="I15223" s="459">
        <v>1289.27</v>
      </c>
      <c r="J15223" s="459">
        <v>49.88</v>
      </c>
      <c r="K15223" s="459">
        <v>32.85</v>
      </c>
      <c r="L15223" s="43">
        <v>10.985667387300825</v>
      </c>
      <c r="M15223" s="43">
        <v>11.500044599054499</v>
      </c>
      <c r="N15223" s="43">
        <v>5.126413155190134</v>
      </c>
      <c r="O15223" s="43">
        <v>10.77049180327869</v>
      </c>
      <c r="P15223" s="460"/>
      <c r="Q15223" s="460"/>
      <c r="R15223" s="460">
        <v>1</v>
      </c>
    </row>
    <row r="15224" spans="1:18" ht="24">
      <c r="A15224" s="456">
        <v>88</v>
      </c>
      <c r="B15224" s="453" t="s">
        <v>27323</v>
      </c>
      <c r="C15224" s="457" t="s">
        <v>27324</v>
      </c>
      <c r="D15224" s="458">
        <v>94.65</v>
      </c>
      <c r="E15224" s="458">
        <v>87.14</v>
      </c>
      <c r="F15224" s="458">
        <v>4.96</v>
      </c>
      <c r="G15224" s="458">
        <v>2.5499999999999998</v>
      </c>
      <c r="H15224" s="459">
        <v>1054.57</v>
      </c>
      <c r="I15224" s="459">
        <v>1002.05</v>
      </c>
      <c r="J15224" s="459">
        <v>25.42</v>
      </c>
      <c r="K15224" s="459">
        <v>27.1</v>
      </c>
      <c r="L15224" s="43">
        <v>11.141785525620707</v>
      </c>
      <c r="M15224" s="43">
        <v>11.499311452834519</v>
      </c>
      <c r="N15224" s="43">
        <v>5.125</v>
      </c>
      <c r="O15224" s="43">
        <v>10.627450980392158</v>
      </c>
      <c r="P15224" s="460"/>
      <c r="Q15224" s="460"/>
      <c r="R15224" s="460">
        <v>1</v>
      </c>
    </row>
    <row r="15225" spans="1:18" ht="24">
      <c r="A15225" s="456">
        <v>89</v>
      </c>
      <c r="B15225" s="453" t="s">
        <v>27325</v>
      </c>
      <c r="C15225" s="457" t="s">
        <v>27326</v>
      </c>
      <c r="D15225" s="458">
        <v>80.53</v>
      </c>
      <c r="E15225" s="458">
        <v>75.040000000000006</v>
      </c>
      <c r="F15225" s="458">
        <v>3.72</v>
      </c>
      <c r="G15225" s="458">
        <v>1.77</v>
      </c>
      <c r="H15225" s="459">
        <v>901.58</v>
      </c>
      <c r="I15225" s="459">
        <v>862.91</v>
      </c>
      <c r="J15225" s="459">
        <v>19.07</v>
      </c>
      <c r="K15225" s="459">
        <v>19.600000000000001</v>
      </c>
      <c r="L15225" s="43">
        <v>11.195579287222154</v>
      </c>
      <c r="M15225" s="43">
        <v>11.499333688699359</v>
      </c>
      <c r="N15225" s="43">
        <v>5.126344086021505</v>
      </c>
      <c r="O15225" s="43">
        <v>11.073446327683616</v>
      </c>
      <c r="P15225" s="460"/>
      <c r="Q15225" s="460"/>
      <c r="R15225" s="460">
        <v>1</v>
      </c>
    </row>
    <row r="15226" spans="1:18" ht="24">
      <c r="A15226" s="456">
        <v>90</v>
      </c>
      <c r="B15226" s="453" t="s">
        <v>27327</v>
      </c>
      <c r="C15226" s="457" t="s">
        <v>27328</v>
      </c>
      <c r="D15226" s="458">
        <v>77.84</v>
      </c>
      <c r="E15226" s="458">
        <v>75.040000000000006</v>
      </c>
      <c r="F15226" s="458">
        <v>1.18</v>
      </c>
      <c r="G15226" s="458">
        <v>1.62</v>
      </c>
      <c r="H15226" s="459">
        <v>887.29</v>
      </c>
      <c r="I15226" s="459">
        <v>862.91</v>
      </c>
      <c r="J15226" s="459">
        <v>6.06</v>
      </c>
      <c r="K15226" s="459">
        <v>18.32</v>
      </c>
      <c r="L15226" s="43">
        <v>11.398895169578623</v>
      </c>
      <c r="M15226" s="43">
        <v>11.499333688699359</v>
      </c>
      <c r="N15226" s="43">
        <v>5.1355932203389827</v>
      </c>
      <c r="O15226" s="43">
        <v>11.308641975308641</v>
      </c>
      <c r="P15226" s="460"/>
      <c r="Q15226" s="460"/>
      <c r="R15226" s="460">
        <v>1</v>
      </c>
    </row>
    <row r="15227" spans="1:18" ht="12.75" customHeight="1">
      <c r="A15227" s="628" t="s">
        <v>27329</v>
      </c>
      <c r="B15227" s="629"/>
      <c r="C15227" s="629"/>
      <c r="D15227" s="629"/>
      <c r="E15227" s="629"/>
      <c r="F15227" s="629"/>
      <c r="G15227" s="629"/>
      <c r="H15227" s="629"/>
      <c r="I15227" s="629"/>
      <c r="J15227" s="629"/>
      <c r="K15227" s="629"/>
      <c r="L15227" s="629"/>
      <c r="M15227" s="629"/>
      <c r="N15227" s="629"/>
      <c r="O15227" s="629"/>
      <c r="P15227" s="629"/>
      <c r="Q15227" s="629"/>
      <c r="R15227" s="629"/>
    </row>
    <row r="15228" spans="1:18" ht="24">
      <c r="A15228" s="456">
        <v>91</v>
      </c>
      <c r="B15228" s="453" t="s">
        <v>27330</v>
      </c>
      <c r="C15228" s="457" t="s">
        <v>27331</v>
      </c>
      <c r="D15228" s="458">
        <v>67.59</v>
      </c>
      <c r="E15228" s="458">
        <v>65.150000000000006</v>
      </c>
      <c r="F15228" s="458">
        <v>1.0900000000000001</v>
      </c>
      <c r="G15228" s="458">
        <v>1.35</v>
      </c>
      <c r="H15228" s="459">
        <v>770.24</v>
      </c>
      <c r="I15228" s="459">
        <v>749.23</v>
      </c>
      <c r="J15228" s="459">
        <v>5.64</v>
      </c>
      <c r="K15228" s="459">
        <v>15.37</v>
      </c>
      <c r="L15228" s="43">
        <v>11.395768604823198</v>
      </c>
      <c r="M15228" s="43">
        <v>11.500076745970835</v>
      </c>
      <c r="N15228" s="43">
        <v>5.1743119266055038</v>
      </c>
      <c r="O15228" s="43">
        <v>11.385185185185184</v>
      </c>
      <c r="P15228" s="460"/>
      <c r="Q15228" s="460"/>
      <c r="R15228" s="460">
        <v>2</v>
      </c>
    </row>
    <row r="15229" spans="1:18" ht="24">
      <c r="A15229" s="456">
        <v>92</v>
      </c>
      <c r="B15229" s="453" t="s">
        <v>27332</v>
      </c>
      <c r="C15229" s="457" t="s">
        <v>27333</v>
      </c>
      <c r="D15229" s="458">
        <v>80.72</v>
      </c>
      <c r="E15229" s="458">
        <v>77.67</v>
      </c>
      <c r="F15229" s="458">
        <v>1.18</v>
      </c>
      <c r="G15229" s="458">
        <v>1.87</v>
      </c>
      <c r="H15229" s="459">
        <v>919.99</v>
      </c>
      <c r="I15229" s="459">
        <v>893.27</v>
      </c>
      <c r="J15229" s="459">
        <v>6.06</v>
      </c>
      <c r="K15229" s="459">
        <v>20.66</v>
      </c>
      <c r="L15229" s="43">
        <v>11.397299306243806</v>
      </c>
      <c r="M15229" s="43">
        <v>11.500836873953906</v>
      </c>
      <c r="N15229" s="43">
        <v>5.1355932203389827</v>
      </c>
      <c r="O15229" s="43">
        <v>11.048128342245988</v>
      </c>
      <c r="P15229" s="460"/>
      <c r="Q15229" s="460"/>
      <c r="R15229" s="460">
        <v>2</v>
      </c>
    </row>
    <row r="15230" spans="1:18" ht="24">
      <c r="A15230" s="456">
        <v>93</v>
      </c>
      <c r="B15230" s="453" t="s">
        <v>27334</v>
      </c>
      <c r="C15230" s="457" t="s">
        <v>27335</v>
      </c>
      <c r="D15230" s="458">
        <v>94.9</v>
      </c>
      <c r="E15230" s="458">
        <v>90.2</v>
      </c>
      <c r="F15230" s="458">
        <v>2.56</v>
      </c>
      <c r="G15230" s="458">
        <v>2.14</v>
      </c>
      <c r="H15230" s="459">
        <v>1074.04</v>
      </c>
      <c r="I15230" s="459">
        <v>1037.3</v>
      </c>
      <c r="J15230" s="459">
        <v>13.09</v>
      </c>
      <c r="K15230" s="459">
        <v>23.65</v>
      </c>
      <c r="L15230" s="43">
        <v>11.317597471022127</v>
      </c>
      <c r="M15230" s="43">
        <v>11.5</v>
      </c>
      <c r="N15230" s="43">
        <v>5.11328125</v>
      </c>
      <c r="O15230" s="43">
        <v>11.051401869158877</v>
      </c>
      <c r="P15230" s="460"/>
      <c r="Q15230" s="460"/>
      <c r="R15230" s="460">
        <v>2</v>
      </c>
    </row>
    <row r="15231" spans="1:18" ht="12.75" customHeight="1">
      <c r="A15231" s="628" t="s">
        <v>27336</v>
      </c>
      <c r="B15231" s="629"/>
      <c r="C15231" s="629"/>
      <c r="D15231" s="629"/>
      <c r="E15231" s="629"/>
      <c r="F15231" s="629"/>
      <c r="G15231" s="629"/>
      <c r="H15231" s="629"/>
      <c r="I15231" s="629"/>
      <c r="J15231" s="629"/>
      <c r="K15231" s="629"/>
      <c r="L15231" s="629"/>
      <c r="M15231" s="629"/>
      <c r="N15231" s="629"/>
      <c r="O15231" s="629"/>
      <c r="P15231" s="629"/>
      <c r="Q15231" s="629"/>
      <c r="R15231" s="629"/>
    </row>
    <row r="15232" spans="1:18" ht="24">
      <c r="A15232" s="456">
        <v>94</v>
      </c>
      <c r="B15232" s="453" t="s">
        <v>27337</v>
      </c>
      <c r="C15232" s="457" t="s">
        <v>27338</v>
      </c>
      <c r="D15232" s="458">
        <v>547.29999999999995</v>
      </c>
      <c r="E15232" s="458">
        <v>277.63</v>
      </c>
      <c r="F15232" s="458">
        <v>197.21</v>
      </c>
      <c r="G15232" s="458">
        <v>72.459999999999994</v>
      </c>
      <c r="H15232" s="459">
        <v>4616.72</v>
      </c>
      <c r="I15232" s="459">
        <v>3192.72</v>
      </c>
      <c r="J15232" s="459">
        <v>1064.51</v>
      </c>
      <c r="K15232" s="459">
        <v>359.49</v>
      </c>
      <c r="L15232" s="43">
        <v>8.4354467385346261</v>
      </c>
      <c r="M15232" s="43">
        <v>11.499909952094514</v>
      </c>
      <c r="N15232" s="43">
        <v>5.3978500076061051</v>
      </c>
      <c r="O15232" s="43">
        <v>4.9612199834391397</v>
      </c>
      <c r="P15232" s="460"/>
      <c r="Q15232" s="460"/>
      <c r="R15232" s="460">
        <v>3</v>
      </c>
    </row>
    <row r="15233" spans="1:18" ht="24">
      <c r="A15233" s="456">
        <v>95</v>
      </c>
      <c r="B15233" s="453" t="s">
        <v>27339</v>
      </c>
      <c r="C15233" s="457" t="s">
        <v>27340</v>
      </c>
      <c r="D15233" s="458">
        <v>949.26</v>
      </c>
      <c r="E15233" s="458">
        <v>441.73</v>
      </c>
      <c r="F15233" s="458">
        <v>400.42</v>
      </c>
      <c r="G15233" s="458">
        <v>107.11</v>
      </c>
      <c r="H15233" s="459">
        <v>7770.54</v>
      </c>
      <c r="I15233" s="459">
        <v>5079.92</v>
      </c>
      <c r="J15233" s="459">
        <v>2163.91</v>
      </c>
      <c r="K15233" s="459">
        <v>526.71</v>
      </c>
      <c r="L15233" s="43">
        <v>8.1858921686366219</v>
      </c>
      <c r="M15233" s="43">
        <v>11.500056595657981</v>
      </c>
      <c r="N15233" s="43">
        <v>5.4041006942710146</v>
      </c>
      <c r="O15233" s="43">
        <v>4.9174680235272152</v>
      </c>
      <c r="P15233" s="460"/>
      <c r="Q15233" s="460"/>
      <c r="R15233" s="460">
        <v>3</v>
      </c>
    </row>
    <row r="15234" spans="1:18" ht="24">
      <c r="A15234" s="456">
        <v>96</v>
      </c>
      <c r="B15234" s="453" t="s">
        <v>27341</v>
      </c>
      <c r="C15234" s="457" t="s">
        <v>27342</v>
      </c>
      <c r="D15234" s="458">
        <v>500.96</v>
      </c>
      <c r="E15234" s="458">
        <v>240.54</v>
      </c>
      <c r="F15234" s="458">
        <v>193.52</v>
      </c>
      <c r="G15234" s="458">
        <v>66.900000000000006</v>
      </c>
      <c r="H15234" s="459">
        <v>4119.3</v>
      </c>
      <c r="I15234" s="459">
        <v>2766.16</v>
      </c>
      <c r="J15234" s="459">
        <v>1044.48</v>
      </c>
      <c r="K15234" s="459">
        <v>308.66000000000003</v>
      </c>
      <c r="L15234" s="43">
        <v>8.2228122005748965</v>
      </c>
      <c r="M15234" s="43">
        <v>11.499792134364347</v>
      </c>
      <c r="N15234" s="43">
        <v>5.3972715998346423</v>
      </c>
      <c r="O15234" s="43">
        <v>4.6137518684603886</v>
      </c>
      <c r="P15234" s="460"/>
      <c r="Q15234" s="460"/>
      <c r="R15234" s="460">
        <v>3</v>
      </c>
    </row>
    <row r="15235" spans="1:18" ht="12.75" customHeight="1">
      <c r="A15235" s="628" t="s">
        <v>27343</v>
      </c>
      <c r="B15235" s="629"/>
      <c r="C15235" s="629"/>
      <c r="D15235" s="629"/>
      <c r="E15235" s="629"/>
      <c r="F15235" s="629"/>
      <c r="G15235" s="629"/>
      <c r="H15235" s="629"/>
      <c r="I15235" s="629"/>
      <c r="J15235" s="629"/>
      <c r="K15235" s="629"/>
      <c r="L15235" s="629"/>
      <c r="M15235" s="629"/>
      <c r="N15235" s="629"/>
      <c r="O15235" s="629"/>
      <c r="P15235" s="629"/>
      <c r="Q15235" s="629"/>
      <c r="R15235" s="629"/>
    </row>
    <row r="15236" spans="1:18" ht="24">
      <c r="A15236" s="456">
        <v>97</v>
      </c>
      <c r="B15236" s="453" t="s">
        <v>27344</v>
      </c>
      <c r="C15236" s="457" t="s">
        <v>27345</v>
      </c>
      <c r="D15236" s="458">
        <v>150.88999999999999</v>
      </c>
      <c r="E15236" s="458">
        <v>128.69</v>
      </c>
      <c r="F15236" s="458">
        <v>18.77</v>
      </c>
      <c r="G15236" s="458">
        <v>3.43</v>
      </c>
      <c r="H15236" s="459">
        <v>1616.66</v>
      </c>
      <c r="I15236" s="459">
        <v>1479.97</v>
      </c>
      <c r="J15236" s="459">
        <v>99.59</v>
      </c>
      <c r="K15236" s="459">
        <v>37.1</v>
      </c>
      <c r="L15236" s="43">
        <v>10.714162635032144</v>
      </c>
      <c r="M15236" s="43">
        <v>11.50027197140415</v>
      </c>
      <c r="N15236" s="43">
        <v>5.3058071390516783</v>
      </c>
      <c r="O15236" s="43">
        <v>10.816326530612244</v>
      </c>
      <c r="P15236" s="460"/>
      <c r="Q15236" s="460"/>
      <c r="R15236" s="460">
        <v>4</v>
      </c>
    </row>
    <row r="15237" spans="1:18" ht="24">
      <c r="A15237" s="456">
        <v>98</v>
      </c>
      <c r="B15237" s="453" t="s">
        <v>27346</v>
      </c>
      <c r="C15237" s="457" t="s">
        <v>27347</v>
      </c>
      <c r="D15237" s="458">
        <v>114.44</v>
      </c>
      <c r="E15237" s="458">
        <v>102.72</v>
      </c>
      <c r="F15237" s="458">
        <v>6.3</v>
      </c>
      <c r="G15237" s="458">
        <v>5.42</v>
      </c>
      <c r="H15237" s="459">
        <v>1266.6300000000001</v>
      </c>
      <c r="I15237" s="459">
        <v>1181.33</v>
      </c>
      <c r="J15237" s="459">
        <v>32.22</v>
      </c>
      <c r="K15237" s="459">
        <v>53.08</v>
      </c>
      <c r="L15237" s="43">
        <v>11.068070604683678</v>
      </c>
      <c r="M15237" s="43">
        <v>11.500486760124611</v>
      </c>
      <c r="N15237" s="43">
        <v>5.1142857142857139</v>
      </c>
      <c r="O15237" s="43">
        <v>9.793357933579335</v>
      </c>
      <c r="P15237" s="460"/>
      <c r="Q15237" s="460"/>
      <c r="R15237" s="460">
        <v>4</v>
      </c>
    </row>
    <row r="15238" spans="1:18" ht="24">
      <c r="A15238" s="456">
        <v>99</v>
      </c>
      <c r="B15238" s="453" t="s">
        <v>27348</v>
      </c>
      <c r="C15238" s="457" t="s">
        <v>27349</v>
      </c>
      <c r="D15238" s="458">
        <v>101.24</v>
      </c>
      <c r="E15238" s="458">
        <v>90.2</v>
      </c>
      <c r="F15238" s="458">
        <v>3.87</v>
      </c>
      <c r="G15238" s="458">
        <v>7.17</v>
      </c>
      <c r="H15238" s="459">
        <v>1124.8699999999999</v>
      </c>
      <c r="I15238" s="459">
        <v>1037.3</v>
      </c>
      <c r="J15238" s="459">
        <v>19.79</v>
      </c>
      <c r="K15238" s="459">
        <v>67.78</v>
      </c>
      <c r="L15238" s="43">
        <v>11.110924535756617</v>
      </c>
      <c r="M15238" s="43">
        <v>11.5</v>
      </c>
      <c r="N15238" s="43">
        <v>5.1136950904392764</v>
      </c>
      <c r="O15238" s="43">
        <v>9.4532775453277544</v>
      </c>
      <c r="P15238" s="460"/>
      <c r="Q15238" s="460"/>
      <c r="R15238" s="460">
        <v>4</v>
      </c>
    </row>
    <row r="15239" spans="1:18" ht="12.75" customHeight="1">
      <c r="A15239" s="628" t="s">
        <v>27350</v>
      </c>
      <c r="B15239" s="629"/>
      <c r="C15239" s="629"/>
      <c r="D15239" s="629"/>
      <c r="E15239" s="629"/>
      <c r="F15239" s="629"/>
      <c r="G15239" s="629"/>
      <c r="H15239" s="629"/>
      <c r="I15239" s="629"/>
      <c r="J15239" s="629"/>
      <c r="K15239" s="629"/>
      <c r="L15239" s="629"/>
      <c r="M15239" s="629"/>
      <c r="N15239" s="629"/>
      <c r="O15239" s="629"/>
      <c r="P15239" s="629"/>
      <c r="Q15239" s="629"/>
      <c r="R15239" s="629"/>
    </row>
    <row r="15240" spans="1:18" ht="12.75" customHeight="1">
      <c r="A15240" s="628" t="s">
        <v>27351</v>
      </c>
      <c r="B15240" s="629"/>
      <c r="C15240" s="629"/>
      <c r="D15240" s="629"/>
      <c r="E15240" s="629"/>
      <c r="F15240" s="629"/>
      <c r="G15240" s="629"/>
      <c r="H15240" s="629"/>
      <c r="I15240" s="629"/>
      <c r="J15240" s="629"/>
      <c r="K15240" s="629"/>
      <c r="L15240" s="629"/>
      <c r="M15240" s="629"/>
      <c r="N15240" s="629"/>
      <c r="O15240" s="629"/>
      <c r="P15240" s="629"/>
      <c r="Q15240" s="629"/>
      <c r="R15240" s="629"/>
    </row>
    <row r="15241" spans="1:18" ht="24">
      <c r="A15241" s="456">
        <v>100</v>
      </c>
      <c r="B15241" s="453" t="s">
        <v>27352</v>
      </c>
      <c r="C15241" s="457" t="s">
        <v>18159</v>
      </c>
      <c r="D15241" s="458">
        <v>253.81</v>
      </c>
      <c r="E15241" s="458">
        <v>176.47</v>
      </c>
      <c r="F15241" s="458">
        <v>15.37</v>
      </c>
      <c r="G15241" s="458">
        <v>61.97</v>
      </c>
      <c r="H15241" s="459">
        <v>2368.87</v>
      </c>
      <c r="I15241" s="459">
        <v>2029.38</v>
      </c>
      <c r="J15241" s="459">
        <v>77.52</v>
      </c>
      <c r="K15241" s="459">
        <v>261.97000000000003</v>
      </c>
      <c r="L15241" s="43">
        <v>9.3332414010480278</v>
      </c>
      <c r="M15241" s="43">
        <v>11.499858332861111</v>
      </c>
      <c r="N15241" s="43">
        <v>5.0435914118412493</v>
      </c>
      <c r="O15241" s="43">
        <v>4.2273680813296766</v>
      </c>
      <c r="P15241" s="460"/>
      <c r="Q15241" s="460"/>
      <c r="R15241" s="460">
        <v>1</v>
      </c>
    </row>
    <row r="15242" spans="1:18" ht="24">
      <c r="A15242" s="456">
        <v>101</v>
      </c>
      <c r="B15242" s="453" t="s">
        <v>27353</v>
      </c>
      <c r="C15242" s="457" t="s">
        <v>27354</v>
      </c>
      <c r="D15242" s="458">
        <v>684.84</v>
      </c>
      <c r="E15242" s="458">
        <v>328.21</v>
      </c>
      <c r="F15242" s="458">
        <v>262.75</v>
      </c>
      <c r="G15242" s="458">
        <v>93.88</v>
      </c>
      <c r="H15242" s="459">
        <v>5592.15</v>
      </c>
      <c r="I15242" s="459">
        <v>3774.39</v>
      </c>
      <c r="J15242" s="459">
        <v>1413.24</v>
      </c>
      <c r="K15242" s="459">
        <v>404.52</v>
      </c>
      <c r="L15242" s="43">
        <v>8.1656299281584008</v>
      </c>
      <c r="M15242" s="43">
        <v>11.49992382925566</v>
      </c>
      <c r="N15242" s="43">
        <v>5.3786489058039963</v>
      </c>
      <c r="O15242" s="43">
        <v>4.308904985087346</v>
      </c>
      <c r="P15242" s="460"/>
      <c r="Q15242" s="460"/>
      <c r="R15242" s="460">
        <v>1</v>
      </c>
    </row>
    <row r="15243" spans="1:18" ht="24">
      <c r="A15243" s="456">
        <v>102</v>
      </c>
      <c r="B15243" s="453" t="s">
        <v>27355</v>
      </c>
      <c r="C15243" s="457" t="s">
        <v>27356</v>
      </c>
      <c r="D15243" s="458">
        <v>150.53</v>
      </c>
      <c r="E15243" s="458">
        <v>125.89</v>
      </c>
      <c r="F15243" s="458">
        <v>21.53</v>
      </c>
      <c r="G15243" s="458">
        <v>3.11</v>
      </c>
      <c r="H15243" s="459">
        <v>1595.92</v>
      </c>
      <c r="I15243" s="459">
        <v>1447.71</v>
      </c>
      <c r="J15243" s="459">
        <v>114.04</v>
      </c>
      <c r="K15243" s="459">
        <v>34.17</v>
      </c>
      <c r="L15243" s="43">
        <v>10.602006244602405</v>
      </c>
      <c r="M15243" s="43">
        <v>11.499801413932799</v>
      </c>
      <c r="N15243" s="43">
        <v>5.2967951695308875</v>
      </c>
      <c r="O15243" s="43">
        <v>10.987138263665596</v>
      </c>
      <c r="P15243" s="460"/>
      <c r="Q15243" s="460"/>
      <c r="R15243" s="460">
        <v>1</v>
      </c>
    </row>
    <row r="15244" spans="1:18" ht="24">
      <c r="A15244" s="456">
        <v>103</v>
      </c>
      <c r="B15244" s="453" t="s">
        <v>27357</v>
      </c>
      <c r="C15244" s="457" t="s">
        <v>27358</v>
      </c>
      <c r="D15244" s="458">
        <v>172.17</v>
      </c>
      <c r="E15244" s="458">
        <v>151.74</v>
      </c>
      <c r="F15244" s="458">
        <v>16.440000000000001</v>
      </c>
      <c r="G15244" s="458">
        <v>3.99</v>
      </c>
      <c r="H15244" s="459">
        <v>1871.75</v>
      </c>
      <c r="I15244" s="459">
        <v>1745.01</v>
      </c>
      <c r="J15244" s="459">
        <v>83.46</v>
      </c>
      <c r="K15244" s="459">
        <v>43.28</v>
      </c>
      <c r="L15244" s="43">
        <v>10.871522332578266</v>
      </c>
      <c r="M15244" s="43">
        <v>11.5</v>
      </c>
      <c r="N15244" s="43">
        <v>5.0766423357664223</v>
      </c>
      <c r="O15244" s="43">
        <v>10.847117794486214</v>
      </c>
      <c r="P15244" s="460"/>
      <c r="Q15244" s="460"/>
      <c r="R15244" s="460">
        <v>1</v>
      </c>
    </row>
    <row r="15245" spans="1:18" ht="24">
      <c r="A15245" s="456">
        <v>104</v>
      </c>
      <c r="B15245" s="453" t="s">
        <v>27359</v>
      </c>
      <c r="C15245" s="457" t="s">
        <v>27360</v>
      </c>
      <c r="D15245" s="458">
        <v>1029.8399999999999</v>
      </c>
      <c r="E15245" s="458">
        <v>352.94</v>
      </c>
      <c r="F15245" s="458">
        <v>657.46</v>
      </c>
      <c r="G15245" s="458">
        <v>19.440000000000001</v>
      </c>
      <c r="H15245" s="459">
        <v>7795.28</v>
      </c>
      <c r="I15245" s="459">
        <v>4058.76</v>
      </c>
      <c r="J15245" s="459">
        <v>3546.86</v>
      </c>
      <c r="K15245" s="459">
        <v>189.66</v>
      </c>
      <c r="L15245" s="43">
        <v>7.5694088402081876</v>
      </c>
      <c r="M15245" s="43">
        <v>11.499858332861111</v>
      </c>
      <c r="N15245" s="43">
        <v>5.3947920786055423</v>
      </c>
      <c r="O15245" s="43">
        <v>9.7561728395061724</v>
      </c>
      <c r="P15245" s="460"/>
      <c r="Q15245" s="460"/>
      <c r="R15245" s="460">
        <v>1</v>
      </c>
    </row>
    <row r="15246" spans="1:18" ht="24">
      <c r="A15246" s="456">
        <v>105</v>
      </c>
      <c r="B15246" s="453" t="s">
        <v>27361</v>
      </c>
      <c r="C15246" s="457" t="s">
        <v>27362</v>
      </c>
      <c r="D15246" s="458">
        <v>1166.98</v>
      </c>
      <c r="E15246" s="458">
        <v>555.26</v>
      </c>
      <c r="F15246" s="458">
        <v>586.47</v>
      </c>
      <c r="G15246" s="458">
        <v>25.25</v>
      </c>
      <c r="H15246" s="459">
        <v>9796.57</v>
      </c>
      <c r="I15246" s="459">
        <v>6385.44</v>
      </c>
      <c r="J15246" s="459">
        <v>3159.39</v>
      </c>
      <c r="K15246" s="459">
        <v>251.74</v>
      </c>
      <c r="L15246" s="43">
        <v>8.3948053951224519</v>
      </c>
      <c r="M15246" s="43">
        <v>11.499909952094514</v>
      </c>
      <c r="N15246" s="43">
        <v>5.3871297764591537</v>
      </c>
      <c r="O15246" s="43">
        <v>9.9699009900990099</v>
      </c>
      <c r="P15246" s="460"/>
      <c r="Q15246" s="460"/>
      <c r="R15246" s="460">
        <v>1</v>
      </c>
    </row>
    <row r="15247" spans="1:18" ht="24">
      <c r="A15247" s="456">
        <v>106</v>
      </c>
      <c r="B15247" s="453" t="s">
        <v>27363</v>
      </c>
      <c r="C15247" s="457" t="s">
        <v>27364</v>
      </c>
      <c r="D15247" s="458">
        <v>156.19999999999999</v>
      </c>
      <c r="E15247" s="458">
        <v>138.25</v>
      </c>
      <c r="F15247" s="458">
        <v>9.8800000000000008</v>
      </c>
      <c r="G15247" s="458">
        <v>8.07</v>
      </c>
      <c r="H15247" s="459">
        <v>1718.93</v>
      </c>
      <c r="I15247" s="459">
        <v>1589.9</v>
      </c>
      <c r="J15247" s="459">
        <v>50.68</v>
      </c>
      <c r="K15247" s="459">
        <v>78.349999999999994</v>
      </c>
      <c r="L15247" s="43">
        <v>11.004673495518567</v>
      </c>
      <c r="M15247" s="43">
        <v>11.500180831826402</v>
      </c>
      <c r="N15247" s="43">
        <v>5.1295546558704448</v>
      </c>
      <c r="O15247" s="43">
        <v>9.7087980173482027</v>
      </c>
      <c r="P15247" s="460"/>
      <c r="Q15247" s="460"/>
      <c r="R15247" s="460">
        <v>1</v>
      </c>
    </row>
    <row r="15248" spans="1:18" ht="24">
      <c r="A15248" s="456">
        <v>107</v>
      </c>
      <c r="B15248" s="453" t="s">
        <v>27365</v>
      </c>
      <c r="C15248" s="457" t="s">
        <v>27366</v>
      </c>
      <c r="D15248" s="458">
        <v>235.29</v>
      </c>
      <c r="E15248" s="458">
        <v>176.47</v>
      </c>
      <c r="F15248" s="458">
        <v>46.28</v>
      </c>
      <c r="G15248" s="458">
        <v>12.54</v>
      </c>
      <c r="H15248" s="459">
        <v>2394.38</v>
      </c>
      <c r="I15248" s="459">
        <v>2029.38</v>
      </c>
      <c r="J15248" s="459">
        <v>245.43</v>
      </c>
      <c r="K15248" s="459">
        <v>119.57</v>
      </c>
      <c r="L15248" s="43">
        <v>10.176293085128991</v>
      </c>
      <c r="M15248" s="43">
        <v>11.499858332861111</v>
      </c>
      <c r="N15248" s="43">
        <v>5.303154710458081</v>
      </c>
      <c r="O15248" s="43">
        <v>9.5350877192982448</v>
      </c>
      <c r="P15248" s="460"/>
      <c r="Q15248" s="460"/>
      <c r="R15248" s="460">
        <v>1</v>
      </c>
    </row>
    <row r="15249" spans="1:18" ht="24">
      <c r="A15249" s="456">
        <v>108</v>
      </c>
      <c r="B15249" s="453" t="s">
        <v>27367</v>
      </c>
      <c r="C15249" s="457" t="s">
        <v>27368</v>
      </c>
      <c r="D15249" s="458">
        <v>470.4</v>
      </c>
      <c r="E15249" s="458">
        <v>240.54</v>
      </c>
      <c r="F15249" s="458">
        <v>221.11</v>
      </c>
      <c r="G15249" s="458">
        <v>8.75</v>
      </c>
      <c r="H15249" s="459">
        <v>4048.22</v>
      </c>
      <c r="I15249" s="459">
        <v>2766.16</v>
      </c>
      <c r="J15249" s="459">
        <v>1192.17</v>
      </c>
      <c r="K15249" s="459">
        <v>89.89</v>
      </c>
      <c r="L15249" s="43">
        <v>8.6059098639455787</v>
      </c>
      <c r="M15249" s="43">
        <v>11.499792134364347</v>
      </c>
      <c r="N15249" s="43">
        <v>5.3917507123151376</v>
      </c>
      <c r="O15249" s="43">
        <v>10.273142857142858</v>
      </c>
      <c r="P15249" s="460"/>
      <c r="Q15249" s="460"/>
      <c r="R15249" s="460">
        <v>1</v>
      </c>
    </row>
    <row r="15250" spans="1:18" ht="24">
      <c r="A15250" s="456">
        <v>109</v>
      </c>
      <c r="B15250" s="453" t="s">
        <v>27369</v>
      </c>
      <c r="C15250" s="457" t="s">
        <v>27370</v>
      </c>
      <c r="D15250" s="458">
        <v>804.43</v>
      </c>
      <c r="E15250" s="458">
        <v>504.68</v>
      </c>
      <c r="F15250" s="458">
        <v>282.25</v>
      </c>
      <c r="G15250" s="458">
        <v>17.5</v>
      </c>
      <c r="H15250" s="459">
        <v>7515.26</v>
      </c>
      <c r="I15250" s="459">
        <v>5803.77</v>
      </c>
      <c r="J15250" s="459">
        <v>1530.49</v>
      </c>
      <c r="K15250" s="459">
        <v>181</v>
      </c>
      <c r="L15250" s="43">
        <v>9.3423417823800712</v>
      </c>
      <c r="M15250" s="43">
        <v>11.499900927320283</v>
      </c>
      <c r="N15250" s="43">
        <v>5.4224623560673164</v>
      </c>
      <c r="O15250" s="43">
        <v>10.342857142857143</v>
      </c>
      <c r="P15250" s="460"/>
      <c r="Q15250" s="460"/>
      <c r="R15250" s="460">
        <v>1</v>
      </c>
    </row>
    <row r="15251" spans="1:18" ht="12.75" customHeight="1">
      <c r="A15251" s="628" t="s">
        <v>27371</v>
      </c>
      <c r="B15251" s="629"/>
      <c r="C15251" s="629"/>
      <c r="D15251" s="629"/>
      <c r="E15251" s="629"/>
      <c r="F15251" s="629"/>
      <c r="G15251" s="629"/>
      <c r="H15251" s="629"/>
      <c r="I15251" s="629"/>
      <c r="J15251" s="629"/>
      <c r="K15251" s="629"/>
      <c r="L15251" s="629"/>
      <c r="M15251" s="629"/>
      <c r="N15251" s="629"/>
      <c r="O15251" s="629"/>
      <c r="P15251" s="629"/>
      <c r="Q15251" s="629"/>
      <c r="R15251" s="629"/>
    </row>
    <row r="15252" spans="1:18" ht="24">
      <c r="A15252" s="456">
        <v>110</v>
      </c>
      <c r="B15252" s="453" t="s">
        <v>27372</v>
      </c>
      <c r="C15252" s="457" t="s">
        <v>27373</v>
      </c>
      <c r="D15252" s="458">
        <v>80.09</v>
      </c>
      <c r="E15252" s="458">
        <v>75.98</v>
      </c>
      <c r="F15252" s="458">
        <v>1.2</v>
      </c>
      <c r="G15252" s="458">
        <v>2.91</v>
      </c>
      <c r="H15252" s="459">
        <v>909.64</v>
      </c>
      <c r="I15252" s="459">
        <v>873.8</v>
      </c>
      <c r="J15252" s="459">
        <v>6.14</v>
      </c>
      <c r="K15252" s="459">
        <v>29.7</v>
      </c>
      <c r="L15252" s="43">
        <v>11.357722562117617</v>
      </c>
      <c r="M15252" s="43">
        <v>11.500394840747564</v>
      </c>
      <c r="N15252" s="43">
        <v>5.1166666666666663</v>
      </c>
      <c r="O15252" s="43">
        <v>10.206185567010309</v>
      </c>
      <c r="P15252" s="460"/>
      <c r="Q15252" s="460"/>
      <c r="R15252" s="460">
        <v>2</v>
      </c>
    </row>
    <row r="15253" spans="1:18" ht="24">
      <c r="A15253" s="456">
        <v>111</v>
      </c>
      <c r="B15253" s="453" t="s">
        <v>27374</v>
      </c>
      <c r="C15253" s="457" t="s">
        <v>27375</v>
      </c>
      <c r="D15253" s="458">
        <v>126.72</v>
      </c>
      <c r="E15253" s="458">
        <v>113.52</v>
      </c>
      <c r="F15253" s="458">
        <v>8.5500000000000007</v>
      </c>
      <c r="G15253" s="458">
        <v>4.6500000000000004</v>
      </c>
      <c r="H15253" s="459">
        <v>1396.32</v>
      </c>
      <c r="I15253" s="459">
        <v>1305.53</v>
      </c>
      <c r="J15253" s="459">
        <v>43.82</v>
      </c>
      <c r="K15253" s="459">
        <v>46.97</v>
      </c>
      <c r="L15253" s="43">
        <v>11.018939393939393</v>
      </c>
      <c r="M15253" s="43">
        <v>11.500440451021847</v>
      </c>
      <c r="N15253" s="43">
        <v>5.125146198830409</v>
      </c>
      <c r="O15253" s="43">
        <v>10.101075268817203</v>
      </c>
      <c r="P15253" s="460"/>
      <c r="Q15253" s="460"/>
      <c r="R15253" s="460">
        <v>2</v>
      </c>
    </row>
    <row r="15254" spans="1:18" ht="24">
      <c r="A15254" s="456">
        <v>112</v>
      </c>
      <c r="B15254" s="453" t="s">
        <v>27376</v>
      </c>
      <c r="C15254" s="457" t="s">
        <v>27377</v>
      </c>
      <c r="D15254" s="458">
        <v>154.75</v>
      </c>
      <c r="E15254" s="458">
        <v>138.25</v>
      </c>
      <c r="F15254" s="458">
        <v>11.35</v>
      </c>
      <c r="G15254" s="458">
        <v>5.15</v>
      </c>
      <c r="H15254" s="459">
        <v>1700.76</v>
      </c>
      <c r="I15254" s="459">
        <v>1589.9</v>
      </c>
      <c r="J15254" s="459">
        <v>58.14</v>
      </c>
      <c r="K15254" s="459">
        <v>52.72</v>
      </c>
      <c r="L15254" s="43">
        <v>10.990371567043619</v>
      </c>
      <c r="M15254" s="43">
        <v>11.500180831826402</v>
      </c>
      <c r="N15254" s="43">
        <v>5.1224669603524235</v>
      </c>
      <c r="O15254" s="43">
        <v>10.236893203883493</v>
      </c>
      <c r="P15254" s="460"/>
      <c r="Q15254" s="460"/>
      <c r="R15254" s="460">
        <v>2</v>
      </c>
    </row>
    <row r="15255" spans="1:18" ht="24">
      <c r="A15255" s="456">
        <v>113</v>
      </c>
      <c r="B15255" s="453" t="s">
        <v>27378</v>
      </c>
      <c r="C15255" s="457" t="s">
        <v>27379</v>
      </c>
      <c r="D15255" s="458">
        <v>141.82</v>
      </c>
      <c r="E15255" s="458">
        <v>125.89</v>
      </c>
      <c r="F15255" s="458">
        <v>11.03</v>
      </c>
      <c r="G15255" s="458">
        <v>4.9000000000000004</v>
      </c>
      <c r="H15255" s="459">
        <v>1554.07</v>
      </c>
      <c r="I15255" s="459">
        <v>1447.71</v>
      </c>
      <c r="J15255" s="459">
        <v>56.52</v>
      </c>
      <c r="K15255" s="459">
        <v>49.84</v>
      </c>
      <c r="L15255" s="43">
        <v>10.958045409674234</v>
      </c>
      <c r="M15255" s="43">
        <v>11.499801413932799</v>
      </c>
      <c r="N15255" s="43">
        <v>5.1242067089755219</v>
      </c>
      <c r="O15255" s="43">
        <v>10.171428571428571</v>
      </c>
      <c r="P15255" s="460"/>
      <c r="Q15255" s="460"/>
      <c r="R15255" s="460">
        <v>2</v>
      </c>
    </row>
    <row r="15256" spans="1:18" ht="24">
      <c r="A15256" s="456">
        <v>114</v>
      </c>
      <c r="B15256" s="453" t="s">
        <v>27380</v>
      </c>
      <c r="C15256" s="457" t="s">
        <v>27381</v>
      </c>
      <c r="D15256" s="458">
        <v>112.39</v>
      </c>
      <c r="E15256" s="458">
        <v>101.72</v>
      </c>
      <c r="F15256" s="458">
        <v>6.26</v>
      </c>
      <c r="G15256" s="458">
        <v>4.41</v>
      </c>
      <c r="H15256" s="459">
        <v>1246.06</v>
      </c>
      <c r="I15256" s="459">
        <v>1169.8</v>
      </c>
      <c r="J15256" s="459">
        <v>32.049999999999997</v>
      </c>
      <c r="K15256" s="459">
        <v>44.21</v>
      </c>
      <c r="L15256" s="43">
        <v>11.086929442121185</v>
      </c>
      <c r="M15256" s="43">
        <v>11.500196618167518</v>
      </c>
      <c r="N15256" s="43">
        <v>5.119808306709265</v>
      </c>
      <c r="O15256" s="43">
        <v>10.024943310657596</v>
      </c>
      <c r="P15256" s="460"/>
      <c r="Q15256" s="460"/>
      <c r="R15256" s="460">
        <v>2</v>
      </c>
    </row>
    <row r="15257" spans="1:18" ht="24">
      <c r="A15257" s="456">
        <v>115</v>
      </c>
      <c r="B15257" s="453" t="s">
        <v>27382</v>
      </c>
      <c r="C15257" s="457" t="s">
        <v>27383</v>
      </c>
      <c r="D15257" s="458">
        <v>869.43</v>
      </c>
      <c r="E15257" s="458">
        <v>568.74</v>
      </c>
      <c r="F15257" s="458">
        <v>267.22000000000003</v>
      </c>
      <c r="G15257" s="458">
        <v>33.47</v>
      </c>
      <c r="H15257" s="459">
        <v>8305.69</v>
      </c>
      <c r="I15257" s="459">
        <v>6540.56</v>
      </c>
      <c r="J15257" s="459">
        <v>1440.67</v>
      </c>
      <c r="K15257" s="459">
        <v>324.45999999999998</v>
      </c>
      <c r="L15257" s="43">
        <v>9.5530289960088801</v>
      </c>
      <c r="M15257" s="43">
        <v>11.500087913633648</v>
      </c>
      <c r="N15257" s="43">
        <v>5.3913254995883539</v>
      </c>
      <c r="O15257" s="43">
        <v>9.6940543770540781</v>
      </c>
      <c r="P15257" s="460"/>
      <c r="Q15257" s="460"/>
      <c r="R15257" s="460">
        <v>2</v>
      </c>
    </row>
    <row r="15258" spans="1:18" ht="24">
      <c r="A15258" s="456">
        <v>116</v>
      </c>
      <c r="B15258" s="453" t="s">
        <v>27384</v>
      </c>
      <c r="C15258" s="457" t="s">
        <v>27385</v>
      </c>
      <c r="D15258" s="458">
        <v>1213.4000000000001</v>
      </c>
      <c r="E15258" s="458">
        <v>681.14</v>
      </c>
      <c r="F15258" s="458">
        <v>410.5</v>
      </c>
      <c r="G15258" s="458">
        <v>121.76</v>
      </c>
      <c r="H15258" s="459">
        <v>10708.53</v>
      </c>
      <c r="I15258" s="459">
        <v>7833.16</v>
      </c>
      <c r="J15258" s="459">
        <v>2207.16</v>
      </c>
      <c r="K15258" s="459">
        <v>668.21</v>
      </c>
      <c r="L15258" s="43">
        <v>8.825226635899126</v>
      </c>
      <c r="M15258" s="43">
        <v>11.50007340634818</v>
      </c>
      <c r="N15258" s="43">
        <v>5.3767600487210716</v>
      </c>
      <c r="O15258" s="43">
        <v>5.4879270696452034</v>
      </c>
      <c r="P15258" s="460"/>
      <c r="Q15258" s="460"/>
      <c r="R15258" s="460">
        <v>2</v>
      </c>
    </row>
    <row r="15259" spans="1:18" ht="24">
      <c r="A15259" s="456">
        <v>117</v>
      </c>
      <c r="B15259" s="453" t="s">
        <v>27386</v>
      </c>
      <c r="C15259" s="457" t="s">
        <v>27387</v>
      </c>
      <c r="D15259" s="458">
        <v>826.58</v>
      </c>
      <c r="E15259" s="458">
        <v>151.74</v>
      </c>
      <c r="F15259" s="458">
        <v>537.30999999999995</v>
      </c>
      <c r="G15259" s="458">
        <v>137.53</v>
      </c>
      <c r="H15259" s="459">
        <v>5206.1899999999996</v>
      </c>
      <c r="I15259" s="459">
        <v>1745.01</v>
      </c>
      <c r="J15259" s="459">
        <v>2901.83</v>
      </c>
      <c r="K15259" s="459">
        <v>559.35</v>
      </c>
      <c r="L15259" s="43">
        <v>6.2984708074233584</v>
      </c>
      <c r="M15259" s="43">
        <v>11.5</v>
      </c>
      <c r="N15259" s="43">
        <v>5.4006625597885769</v>
      </c>
      <c r="O15259" s="43">
        <v>4.0671126299716427</v>
      </c>
      <c r="P15259" s="460"/>
      <c r="Q15259" s="460"/>
      <c r="R15259" s="460">
        <v>2</v>
      </c>
    </row>
    <row r="15260" spans="1:18" ht="24">
      <c r="A15260" s="456">
        <v>118</v>
      </c>
      <c r="B15260" s="453" t="s">
        <v>27388</v>
      </c>
      <c r="C15260" s="457" t="s">
        <v>27389</v>
      </c>
      <c r="D15260" s="458">
        <v>408.03</v>
      </c>
      <c r="E15260" s="458">
        <v>176.47</v>
      </c>
      <c r="F15260" s="458">
        <v>222.59</v>
      </c>
      <c r="G15260" s="458">
        <v>8.9700000000000006</v>
      </c>
      <c r="H15260" s="459">
        <v>3322.06</v>
      </c>
      <c r="I15260" s="459">
        <v>2029.38</v>
      </c>
      <c r="J15260" s="459">
        <v>1204.4000000000001</v>
      </c>
      <c r="K15260" s="459">
        <v>88.28</v>
      </c>
      <c r="L15260" s="43">
        <v>8.1417052667696002</v>
      </c>
      <c r="M15260" s="43">
        <v>11.499858332861111</v>
      </c>
      <c r="N15260" s="43">
        <v>5.4108450514398676</v>
      </c>
      <c r="O15260" s="43">
        <v>9.8416945373467115</v>
      </c>
      <c r="P15260" s="460"/>
      <c r="Q15260" s="460"/>
      <c r="R15260" s="460">
        <v>2</v>
      </c>
    </row>
    <row r="15261" spans="1:18" ht="24">
      <c r="A15261" s="456">
        <v>119</v>
      </c>
      <c r="B15261" s="453" t="s">
        <v>27390</v>
      </c>
      <c r="C15261" s="457" t="s">
        <v>27391</v>
      </c>
      <c r="D15261" s="458">
        <v>1156.96</v>
      </c>
      <c r="E15261" s="458">
        <v>593.47</v>
      </c>
      <c r="F15261" s="458">
        <v>438.04</v>
      </c>
      <c r="G15261" s="458">
        <v>125.45</v>
      </c>
      <c r="H15261" s="459">
        <v>9880.1200000000008</v>
      </c>
      <c r="I15261" s="459">
        <v>6824.93</v>
      </c>
      <c r="J15261" s="459">
        <v>2359.42</v>
      </c>
      <c r="K15261" s="459">
        <v>695.77</v>
      </c>
      <c r="L15261" s="43">
        <v>8.5397247960171487</v>
      </c>
      <c r="M15261" s="43">
        <v>11.500042125128482</v>
      </c>
      <c r="N15261" s="43">
        <v>5.386311752351383</v>
      </c>
      <c r="O15261" s="43">
        <v>5.5461937026703865</v>
      </c>
      <c r="P15261" s="460"/>
      <c r="Q15261" s="460"/>
      <c r="R15261" s="460">
        <v>2</v>
      </c>
    </row>
    <row r="15262" spans="1:18" ht="24">
      <c r="A15262" s="456">
        <v>120</v>
      </c>
      <c r="B15262" s="453" t="s">
        <v>27392</v>
      </c>
      <c r="C15262" s="457" t="s">
        <v>27393</v>
      </c>
      <c r="D15262" s="458">
        <v>1266.69</v>
      </c>
      <c r="E15262" s="458">
        <v>593.47</v>
      </c>
      <c r="F15262" s="458">
        <v>510.19</v>
      </c>
      <c r="G15262" s="458">
        <v>163.03</v>
      </c>
      <c r="H15262" s="459">
        <v>10373.299999999999</v>
      </c>
      <c r="I15262" s="459">
        <v>6824.93</v>
      </c>
      <c r="J15262" s="459">
        <v>2741.34</v>
      </c>
      <c r="K15262" s="459">
        <v>807.03</v>
      </c>
      <c r="L15262" s="43">
        <v>8.1892965129589701</v>
      </c>
      <c r="M15262" s="43">
        <v>11.500042125128482</v>
      </c>
      <c r="N15262" s="43">
        <v>5.3731746996217096</v>
      </c>
      <c r="O15262" s="43">
        <v>4.9501932159725204</v>
      </c>
      <c r="P15262" s="460"/>
      <c r="Q15262" s="460"/>
      <c r="R15262" s="460">
        <v>2</v>
      </c>
    </row>
    <row r="15263" spans="1:18" ht="12.75" customHeight="1">
      <c r="A15263" s="628" t="s">
        <v>27394</v>
      </c>
      <c r="B15263" s="629"/>
      <c r="C15263" s="629"/>
      <c r="D15263" s="629"/>
      <c r="E15263" s="629"/>
      <c r="F15263" s="629"/>
      <c r="G15263" s="629"/>
      <c r="H15263" s="629"/>
      <c r="I15263" s="629"/>
      <c r="J15263" s="629"/>
      <c r="K15263" s="629"/>
      <c r="L15263" s="629"/>
      <c r="M15263" s="629"/>
      <c r="N15263" s="629"/>
      <c r="O15263" s="629"/>
      <c r="P15263" s="629"/>
      <c r="Q15263" s="629"/>
      <c r="R15263" s="629"/>
    </row>
    <row r="15264" spans="1:18" ht="24">
      <c r="A15264" s="456">
        <v>121</v>
      </c>
      <c r="B15264" s="453" t="s">
        <v>27395</v>
      </c>
      <c r="C15264" s="457" t="s">
        <v>27396</v>
      </c>
      <c r="D15264" s="458">
        <v>1586.48</v>
      </c>
      <c r="E15264" s="458">
        <v>883.46</v>
      </c>
      <c r="F15264" s="458">
        <v>515.49</v>
      </c>
      <c r="G15264" s="458">
        <v>187.53</v>
      </c>
      <c r="H15264" s="459">
        <v>13974.96</v>
      </c>
      <c r="I15264" s="459">
        <v>10159.84</v>
      </c>
      <c r="J15264" s="459">
        <v>2777.49</v>
      </c>
      <c r="K15264" s="459">
        <v>1037.6300000000001</v>
      </c>
      <c r="L15264" s="43">
        <v>8.8087842267157477</v>
      </c>
      <c r="M15264" s="43">
        <v>11.500056595657981</v>
      </c>
      <c r="N15264" s="43">
        <v>5.3880579642670074</v>
      </c>
      <c r="O15264" s="43">
        <v>5.5331413640484195</v>
      </c>
      <c r="P15264" s="460"/>
      <c r="Q15264" s="460"/>
      <c r="R15264" s="460">
        <v>3</v>
      </c>
    </row>
    <row r="15265" spans="1:18" ht="24">
      <c r="A15265" s="456">
        <v>122</v>
      </c>
      <c r="B15265" s="453" t="s">
        <v>27397</v>
      </c>
      <c r="C15265" s="457" t="s">
        <v>27398</v>
      </c>
      <c r="D15265" s="458">
        <v>464.79</v>
      </c>
      <c r="E15265" s="458">
        <v>214.68</v>
      </c>
      <c r="F15265" s="458">
        <v>239.36</v>
      </c>
      <c r="G15265" s="458">
        <v>10.75</v>
      </c>
      <c r="H15265" s="459">
        <v>3868.72</v>
      </c>
      <c r="I15265" s="459">
        <v>2468.87</v>
      </c>
      <c r="J15265" s="459">
        <v>1293.8900000000001</v>
      </c>
      <c r="K15265" s="459">
        <v>105.96</v>
      </c>
      <c r="L15265" s="43">
        <v>8.3235869962778875</v>
      </c>
      <c r="M15265" s="43">
        <v>11.500232904788522</v>
      </c>
      <c r="N15265" s="43">
        <v>5.405623328877005</v>
      </c>
      <c r="O15265" s="43">
        <v>9.8567441860465106</v>
      </c>
      <c r="P15265" s="460"/>
      <c r="Q15265" s="460"/>
      <c r="R15265" s="460">
        <v>3</v>
      </c>
    </row>
    <row r="15266" spans="1:18" ht="24">
      <c r="A15266" s="456">
        <v>123</v>
      </c>
      <c r="B15266" s="453" t="s">
        <v>27399</v>
      </c>
      <c r="C15266" s="457" t="s">
        <v>27400</v>
      </c>
      <c r="D15266" s="458">
        <v>272.89999999999998</v>
      </c>
      <c r="E15266" s="458">
        <v>113.52</v>
      </c>
      <c r="F15266" s="458">
        <v>145.88999999999999</v>
      </c>
      <c r="G15266" s="458">
        <v>13.49</v>
      </c>
      <c r="H15266" s="459">
        <v>2219.54</v>
      </c>
      <c r="I15266" s="459">
        <v>1305.53</v>
      </c>
      <c r="J15266" s="459">
        <v>789.56</v>
      </c>
      <c r="K15266" s="459">
        <v>124.45</v>
      </c>
      <c r="L15266" s="43">
        <v>8.1331623305240015</v>
      </c>
      <c r="M15266" s="43">
        <v>11.500440451021847</v>
      </c>
      <c r="N15266" s="43">
        <v>5.4120227568716155</v>
      </c>
      <c r="O15266" s="43">
        <v>9.225352112676056</v>
      </c>
      <c r="P15266" s="460"/>
      <c r="Q15266" s="460"/>
      <c r="R15266" s="460">
        <v>3</v>
      </c>
    </row>
    <row r="15267" spans="1:18" ht="24">
      <c r="A15267" s="456">
        <v>124</v>
      </c>
      <c r="B15267" s="453" t="s">
        <v>27401</v>
      </c>
      <c r="C15267" s="457" t="s">
        <v>27402</v>
      </c>
      <c r="D15267" s="458">
        <v>913.49</v>
      </c>
      <c r="E15267" s="458">
        <v>429.37</v>
      </c>
      <c r="F15267" s="458">
        <v>359.57</v>
      </c>
      <c r="G15267" s="458">
        <v>124.55</v>
      </c>
      <c r="H15267" s="459">
        <v>7555.59</v>
      </c>
      <c r="I15267" s="459">
        <v>4937.7299999999996</v>
      </c>
      <c r="J15267" s="459">
        <v>1938.95</v>
      </c>
      <c r="K15267" s="459">
        <v>678.91</v>
      </c>
      <c r="L15267" s="43">
        <v>8.27112502599919</v>
      </c>
      <c r="M15267" s="43">
        <v>11.499941775158952</v>
      </c>
      <c r="N15267" s="43">
        <v>5.392413160163529</v>
      </c>
      <c r="O15267" s="43">
        <v>5.4509032517061415</v>
      </c>
      <c r="P15267" s="460"/>
      <c r="Q15267" s="460"/>
      <c r="R15267" s="460">
        <v>3</v>
      </c>
    </row>
    <row r="15268" spans="1:18" ht="24">
      <c r="A15268" s="456">
        <v>125</v>
      </c>
      <c r="B15268" s="453" t="s">
        <v>27403</v>
      </c>
      <c r="C15268" s="457" t="s">
        <v>27404</v>
      </c>
      <c r="D15268" s="458">
        <v>929.19</v>
      </c>
      <c r="E15268" s="458">
        <v>454.1</v>
      </c>
      <c r="F15268" s="458">
        <v>373.51</v>
      </c>
      <c r="G15268" s="458">
        <v>101.58</v>
      </c>
      <c r="H15268" s="459">
        <v>7718.74</v>
      </c>
      <c r="I15268" s="459">
        <v>5222.1000000000004</v>
      </c>
      <c r="J15268" s="459">
        <v>2017.72</v>
      </c>
      <c r="K15268" s="459">
        <v>478.92</v>
      </c>
      <c r="L15268" s="43">
        <v>8.3069555203994874</v>
      </c>
      <c r="M15268" s="43">
        <v>11.499889892094252</v>
      </c>
      <c r="N15268" s="43">
        <v>5.4020508152392175</v>
      </c>
      <c r="O15268" s="43">
        <v>4.7147076196101594</v>
      </c>
      <c r="P15268" s="460"/>
      <c r="Q15268" s="460"/>
      <c r="R15268" s="460">
        <v>3</v>
      </c>
    </row>
    <row r="15269" spans="1:18" ht="12.75" customHeight="1">
      <c r="A15269" s="628" t="s">
        <v>27405</v>
      </c>
      <c r="B15269" s="629"/>
      <c r="C15269" s="629"/>
      <c r="D15269" s="629"/>
      <c r="E15269" s="629"/>
      <c r="F15269" s="629"/>
      <c r="G15269" s="629"/>
      <c r="H15269" s="629"/>
      <c r="I15269" s="629"/>
      <c r="J15269" s="629"/>
      <c r="K15269" s="629"/>
      <c r="L15269" s="629"/>
      <c r="M15269" s="629"/>
      <c r="N15269" s="629"/>
      <c r="O15269" s="629"/>
      <c r="P15269" s="629"/>
      <c r="Q15269" s="629"/>
      <c r="R15269" s="629"/>
    </row>
    <row r="15270" spans="1:18" ht="12.75" customHeight="1">
      <c r="A15270" s="628" t="s">
        <v>27406</v>
      </c>
      <c r="B15270" s="629"/>
      <c r="C15270" s="629"/>
      <c r="D15270" s="629"/>
      <c r="E15270" s="629"/>
      <c r="F15270" s="629"/>
      <c r="G15270" s="629"/>
      <c r="H15270" s="629"/>
      <c r="I15270" s="629"/>
      <c r="J15270" s="629"/>
      <c r="K15270" s="629"/>
      <c r="L15270" s="629"/>
      <c r="M15270" s="629"/>
      <c r="N15270" s="629"/>
      <c r="O15270" s="629"/>
      <c r="P15270" s="629"/>
      <c r="Q15270" s="629"/>
      <c r="R15270" s="629"/>
    </row>
    <row r="15271" spans="1:18" ht="24">
      <c r="A15271" s="456">
        <v>126</v>
      </c>
      <c r="B15271" s="453" t="s">
        <v>27407</v>
      </c>
      <c r="C15271" s="457" t="s">
        <v>27408</v>
      </c>
      <c r="D15271" s="458">
        <v>138.26</v>
      </c>
      <c r="E15271" s="458">
        <v>121.41</v>
      </c>
      <c r="F15271" s="458">
        <v>11.05</v>
      </c>
      <c r="G15271" s="458">
        <v>5.8</v>
      </c>
      <c r="H15271" s="459">
        <v>1510.24</v>
      </c>
      <c r="I15271" s="459">
        <v>1396.19</v>
      </c>
      <c r="J15271" s="459">
        <v>56.6</v>
      </c>
      <c r="K15271" s="459">
        <v>57.45</v>
      </c>
      <c r="L15271" s="43">
        <v>10.923188196152179</v>
      </c>
      <c r="M15271" s="43">
        <v>11.499794086154354</v>
      </c>
      <c r="N15271" s="43">
        <v>5.122171945701357</v>
      </c>
      <c r="O15271" s="43">
        <v>9.905172413793105</v>
      </c>
      <c r="P15271" s="460"/>
      <c r="Q15271" s="460"/>
      <c r="R15271" s="460">
        <v>1</v>
      </c>
    </row>
    <row r="15272" spans="1:18" ht="24">
      <c r="A15272" s="456">
        <v>127</v>
      </c>
      <c r="B15272" s="453" t="s">
        <v>27409</v>
      </c>
      <c r="C15272" s="457" t="s">
        <v>27410</v>
      </c>
      <c r="D15272" s="458">
        <v>83.12</v>
      </c>
      <c r="E15272" s="458">
        <v>77.67</v>
      </c>
      <c r="F15272" s="458">
        <v>2.54</v>
      </c>
      <c r="G15272" s="458">
        <v>2.91</v>
      </c>
      <c r="H15272" s="459">
        <v>936.03</v>
      </c>
      <c r="I15272" s="459">
        <v>893.27</v>
      </c>
      <c r="J15272" s="459">
        <v>13.01</v>
      </c>
      <c r="K15272" s="459">
        <v>29.75</v>
      </c>
      <c r="L15272" s="43">
        <v>11.261188642925889</v>
      </c>
      <c r="M15272" s="43">
        <v>11.500836873953906</v>
      </c>
      <c r="N15272" s="43">
        <v>5.122047244094488</v>
      </c>
      <c r="O15272" s="43">
        <v>10.223367697594501</v>
      </c>
      <c r="P15272" s="460"/>
      <c r="Q15272" s="460"/>
      <c r="R15272" s="460">
        <v>1</v>
      </c>
    </row>
    <row r="15273" spans="1:18" ht="24">
      <c r="A15273" s="456">
        <v>128</v>
      </c>
      <c r="B15273" s="453" t="s">
        <v>27411</v>
      </c>
      <c r="C15273" s="457" t="s">
        <v>27412</v>
      </c>
      <c r="D15273" s="458">
        <v>96.87</v>
      </c>
      <c r="E15273" s="458">
        <v>90.2</v>
      </c>
      <c r="F15273" s="458">
        <v>3.51</v>
      </c>
      <c r="G15273" s="458">
        <v>3.16</v>
      </c>
      <c r="H15273" s="459">
        <v>1087.9100000000001</v>
      </c>
      <c r="I15273" s="459">
        <v>1037.3</v>
      </c>
      <c r="J15273" s="459">
        <v>17.989999999999998</v>
      </c>
      <c r="K15273" s="459">
        <v>32.619999999999997</v>
      </c>
      <c r="L15273" s="43">
        <v>11.230618354495716</v>
      </c>
      <c r="M15273" s="43">
        <v>11.5</v>
      </c>
      <c r="N15273" s="43">
        <v>5.1253561253561255</v>
      </c>
      <c r="O15273" s="43">
        <v>10.322784810126581</v>
      </c>
      <c r="P15273" s="460"/>
      <c r="Q15273" s="460"/>
      <c r="R15273" s="460">
        <v>1</v>
      </c>
    </row>
    <row r="15274" spans="1:18" ht="24">
      <c r="A15274" s="456">
        <v>129</v>
      </c>
      <c r="B15274" s="453" t="s">
        <v>27413</v>
      </c>
      <c r="C15274" s="457" t="s">
        <v>27414</v>
      </c>
      <c r="D15274" s="458">
        <v>143.47</v>
      </c>
      <c r="E15274" s="458">
        <v>116.05</v>
      </c>
      <c r="F15274" s="458">
        <v>23.74</v>
      </c>
      <c r="G15274" s="458">
        <v>3.68</v>
      </c>
      <c r="H15274" s="459">
        <v>1498.68</v>
      </c>
      <c r="I15274" s="459">
        <v>1334.61</v>
      </c>
      <c r="J15274" s="459">
        <v>125.47</v>
      </c>
      <c r="K15274" s="459">
        <v>38.6</v>
      </c>
      <c r="L15274" s="43">
        <v>10.44594688785112</v>
      </c>
      <c r="M15274" s="43">
        <v>11.500301594140456</v>
      </c>
      <c r="N15274" s="43">
        <v>5.2851727042965466</v>
      </c>
      <c r="O15274" s="43">
        <v>10.489130434782609</v>
      </c>
      <c r="P15274" s="460"/>
      <c r="Q15274" s="460"/>
      <c r="R15274" s="460">
        <v>1</v>
      </c>
    </row>
    <row r="15275" spans="1:18" ht="12.75" customHeight="1">
      <c r="A15275" s="628" t="s">
        <v>27415</v>
      </c>
      <c r="B15275" s="629"/>
      <c r="C15275" s="629"/>
      <c r="D15275" s="629"/>
      <c r="E15275" s="629"/>
      <c r="F15275" s="629"/>
      <c r="G15275" s="629"/>
      <c r="H15275" s="629"/>
      <c r="I15275" s="629"/>
      <c r="J15275" s="629"/>
      <c r="K15275" s="629"/>
      <c r="L15275" s="629"/>
      <c r="M15275" s="629"/>
      <c r="N15275" s="629"/>
      <c r="O15275" s="629"/>
      <c r="P15275" s="629"/>
      <c r="Q15275" s="629"/>
      <c r="R15275" s="629"/>
    </row>
    <row r="15276" spans="1:18" ht="12.75" customHeight="1">
      <c r="A15276" s="628" t="s">
        <v>27416</v>
      </c>
      <c r="B15276" s="629"/>
      <c r="C15276" s="629"/>
      <c r="D15276" s="629"/>
      <c r="E15276" s="629"/>
      <c r="F15276" s="629"/>
      <c r="G15276" s="629"/>
      <c r="H15276" s="629"/>
      <c r="I15276" s="629"/>
      <c r="J15276" s="629"/>
      <c r="K15276" s="629"/>
      <c r="L15276" s="629"/>
      <c r="M15276" s="629"/>
      <c r="N15276" s="629"/>
      <c r="O15276" s="629"/>
      <c r="P15276" s="629"/>
      <c r="Q15276" s="629"/>
      <c r="R15276" s="629"/>
    </row>
    <row r="15277" spans="1:18" ht="24">
      <c r="A15277" s="456">
        <v>130</v>
      </c>
      <c r="B15277" s="453" t="s">
        <v>27417</v>
      </c>
      <c r="C15277" s="457" t="s">
        <v>27418</v>
      </c>
      <c r="D15277" s="458">
        <v>92.78</v>
      </c>
      <c r="E15277" s="458">
        <v>88.23</v>
      </c>
      <c r="F15277" s="458">
        <v>2.59</v>
      </c>
      <c r="G15277" s="458">
        <v>1.96</v>
      </c>
      <c r="H15277" s="459">
        <v>1049.98</v>
      </c>
      <c r="I15277" s="459">
        <v>1014.69</v>
      </c>
      <c r="J15277" s="459">
        <v>13.26</v>
      </c>
      <c r="K15277" s="459">
        <v>22.03</v>
      </c>
      <c r="L15277" s="43">
        <v>11.316878637637421</v>
      </c>
      <c r="M15277" s="43">
        <v>11.500510030601836</v>
      </c>
      <c r="N15277" s="43">
        <v>5.1196911196911197</v>
      </c>
      <c r="O15277" s="43">
        <v>11.239795918367347</v>
      </c>
      <c r="P15277" s="460"/>
      <c r="Q15277" s="460"/>
      <c r="R15277" s="460">
        <v>1</v>
      </c>
    </row>
    <row r="15278" spans="1:18" ht="24">
      <c r="A15278" s="456">
        <v>131</v>
      </c>
      <c r="B15278" s="453" t="s">
        <v>27419</v>
      </c>
      <c r="C15278" s="457" t="s">
        <v>27420</v>
      </c>
      <c r="D15278" s="458">
        <v>79.02</v>
      </c>
      <c r="E15278" s="458">
        <v>75.98</v>
      </c>
      <c r="F15278" s="458">
        <v>1.18</v>
      </c>
      <c r="G15278" s="458">
        <v>1.86</v>
      </c>
      <c r="H15278" s="459">
        <v>900.32</v>
      </c>
      <c r="I15278" s="459">
        <v>873.8</v>
      </c>
      <c r="J15278" s="459">
        <v>6.06</v>
      </c>
      <c r="K15278" s="459">
        <v>20.46</v>
      </c>
      <c r="L15278" s="43">
        <v>11.393571247785372</v>
      </c>
      <c r="M15278" s="43">
        <v>11.500394840747564</v>
      </c>
      <c r="N15278" s="43">
        <v>5.1355932203389827</v>
      </c>
      <c r="O15278" s="43">
        <v>11</v>
      </c>
      <c r="P15278" s="460"/>
      <c r="Q15278" s="460"/>
      <c r="R15278" s="460">
        <v>1</v>
      </c>
    </row>
    <row r="15279" spans="1:18" ht="24">
      <c r="A15279" s="456">
        <v>132</v>
      </c>
      <c r="B15279" s="453" t="s">
        <v>27421</v>
      </c>
      <c r="C15279" s="457" t="s">
        <v>27422</v>
      </c>
      <c r="D15279" s="458">
        <v>66.430000000000007</v>
      </c>
      <c r="E15279" s="458">
        <v>63.73</v>
      </c>
      <c r="F15279" s="458">
        <v>1.0900000000000001</v>
      </c>
      <c r="G15279" s="458">
        <v>1.61</v>
      </c>
      <c r="H15279" s="459">
        <v>756.13</v>
      </c>
      <c r="I15279" s="459">
        <v>732.9</v>
      </c>
      <c r="J15279" s="459">
        <v>5.64</v>
      </c>
      <c r="K15279" s="459">
        <v>17.59</v>
      </c>
      <c r="L15279" s="43">
        <v>11.382357368658738</v>
      </c>
      <c r="M15279" s="43">
        <v>11.500078455986191</v>
      </c>
      <c r="N15279" s="43">
        <v>5.1743119266055038</v>
      </c>
      <c r="O15279" s="43">
        <v>10.925465838509316</v>
      </c>
      <c r="P15279" s="460"/>
      <c r="Q15279" s="460"/>
      <c r="R15279" s="460">
        <v>1</v>
      </c>
    </row>
    <row r="15280" spans="1:18" ht="12.75" customHeight="1">
      <c r="A15280" s="628" t="s">
        <v>27423</v>
      </c>
      <c r="B15280" s="629"/>
      <c r="C15280" s="629"/>
      <c r="D15280" s="629"/>
      <c r="E15280" s="629"/>
      <c r="F15280" s="629"/>
      <c r="G15280" s="629"/>
      <c r="H15280" s="629"/>
      <c r="I15280" s="629"/>
      <c r="J15280" s="629"/>
      <c r="K15280" s="629"/>
      <c r="L15280" s="629"/>
      <c r="M15280" s="629"/>
      <c r="N15280" s="629"/>
      <c r="O15280" s="629"/>
      <c r="P15280" s="629"/>
      <c r="Q15280" s="629"/>
      <c r="R15280" s="629"/>
    </row>
    <row r="15281" spans="1:18" ht="24">
      <c r="A15281" s="456">
        <v>133</v>
      </c>
      <c r="B15281" s="453" t="s">
        <v>27424</v>
      </c>
      <c r="C15281" s="457" t="s">
        <v>27425</v>
      </c>
      <c r="D15281" s="458">
        <v>82.19</v>
      </c>
      <c r="E15281" s="458">
        <v>77.67</v>
      </c>
      <c r="F15281" s="458">
        <v>2.56</v>
      </c>
      <c r="G15281" s="458">
        <v>1.96</v>
      </c>
      <c r="H15281" s="459">
        <v>927.77</v>
      </c>
      <c r="I15281" s="459">
        <v>893.27</v>
      </c>
      <c r="J15281" s="459">
        <v>13.09</v>
      </c>
      <c r="K15281" s="459">
        <v>21.41</v>
      </c>
      <c r="L15281" s="43">
        <v>11.28811290911303</v>
      </c>
      <c r="M15281" s="43">
        <v>11.500836873953906</v>
      </c>
      <c r="N15281" s="43">
        <v>5.11328125</v>
      </c>
      <c r="O15281" s="43">
        <v>10.923469387755102</v>
      </c>
      <c r="P15281" s="460"/>
      <c r="Q15281" s="460"/>
      <c r="R15281" s="460">
        <v>2</v>
      </c>
    </row>
    <row r="15282" spans="1:18" ht="24">
      <c r="A15282" s="456">
        <v>134</v>
      </c>
      <c r="B15282" s="453" t="s">
        <v>27426</v>
      </c>
      <c r="C15282" s="457" t="s">
        <v>27427</v>
      </c>
      <c r="D15282" s="458">
        <v>96.33</v>
      </c>
      <c r="E15282" s="458">
        <v>90.2</v>
      </c>
      <c r="F15282" s="458">
        <v>3.85</v>
      </c>
      <c r="G15282" s="458">
        <v>2.2799999999999998</v>
      </c>
      <c r="H15282" s="459">
        <v>1081.8800000000001</v>
      </c>
      <c r="I15282" s="459">
        <v>1037.3</v>
      </c>
      <c r="J15282" s="459">
        <v>19.71</v>
      </c>
      <c r="K15282" s="459">
        <v>24.87</v>
      </c>
      <c r="L15282" s="43">
        <v>11.23097685041005</v>
      </c>
      <c r="M15282" s="43">
        <v>11.5</v>
      </c>
      <c r="N15282" s="43">
        <v>5.1194805194805193</v>
      </c>
      <c r="O15282" s="43">
        <v>10.907894736842106</v>
      </c>
      <c r="P15282" s="460"/>
      <c r="Q15282" s="460"/>
      <c r="R15282" s="460">
        <v>2</v>
      </c>
    </row>
    <row r="15283" spans="1:18" ht="24">
      <c r="A15283" s="456">
        <v>135</v>
      </c>
      <c r="B15283" s="453" t="s">
        <v>27428</v>
      </c>
      <c r="C15283" s="457" t="s">
        <v>27429</v>
      </c>
      <c r="D15283" s="458">
        <v>230.97</v>
      </c>
      <c r="E15283" s="458">
        <v>180.39</v>
      </c>
      <c r="F15283" s="458">
        <v>45.27</v>
      </c>
      <c r="G15283" s="458">
        <v>5.31</v>
      </c>
      <c r="H15283" s="459">
        <v>2370.5700000000002</v>
      </c>
      <c r="I15283" s="459">
        <v>2074.6</v>
      </c>
      <c r="J15283" s="459">
        <v>239.55</v>
      </c>
      <c r="K15283" s="459">
        <v>56.42</v>
      </c>
      <c r="L15283" s="43">
        <v>10.263540719573971</v>
      </c>
      <c r="M15283" s="43">
        <v>11.500637507622374</v>
      </c>
      <c r="N15283" s="43">
        <v>5.2915838303512261</v>
      </c>
      <c r="O15283" s="43">
        <v>10.625235404896422</v>
      </c>
      <c r="P15283" s="460"/>
      <c r="Q15283" s="460"/>
      <c r="R15283" s="460">
        <v>2</v>
      </c>
    </row>
    <row r="15284" spans="1:18" ht="24">
      <c r="A15284" s="456">
        <v>136</v>
      </c>
      <c r="B15284" s="453" t="s">
        <v>27430</v>
      </c>
      <c r="C15284" s="457" t="s">
        <v>27431</v>
      </c>
      <c r="D15284" s="458">
        <v>508.83</v>
      </c>
      <c r="E15284" s="458">
        <v>258.52999999999997</v>
      </c>
      <c r="F15284" s="458">
        <v>241.39</v>
      </c>
      <c r="G15284" s="458">
        <v>8.91</v>
      </c>
      <c r="H15284" s="459">
        <v>4371.55</v>
      </c>
      <c r="I15284" s="459">
        <v>2973.15</v>
      </c>
      <c r="J15284" s="459">
        <v>1306.1600000000001</v>
      </c>
      <c r="K15284" s="459">
        <v>92.24</v>
      </c>
      <c r="L15284" s="43">
        <v>8.5913762946367154</v>
      </c>
      <c r="M15284" s="43">
        <v>11.500212741267939</v>
      </c>
      <c r="N15284" s="43">
        <v>5.410994655950951</v>
      </c>
      <c r="O15284" s="43">
        <v>10.352413019079686</v>
      </c>
      <c r="P15284" s="460"/>
      <c r="Q15284" s="460"/>
      <c r="R15284" s="460">
        <v>2</v>
      </c>
    </row>
    <row r="15285" spans="1:18" ht="24">
      <c r="A15285" s="456">
        <v>137</v>
      </c>
      <c r="B15285" s="453" t="s">
        <v>27432</v>
      </c>
      <c r="C15285" s="457" t="s">
        <v>27433</v>
      </c>
      <c r="D15285" s="458">
        <v>139.30000000000001</v>
      </c>
      <c r="E15285" s="458">
        <v>116.05</v>
      </c>
      <c r="F15285" s="458">
        <v>19.84</v>
      </c>
      <c r="G15285" s="458">
        <v>3.41</v>
      </c>
      <c r="H15285" s="459">
        <v>1475.88</v>
      </c>
      <c r="I15285" s="459">
        <v>1334.61</v>
      </c>
      <c r="J15285" s="459">
        <v>105.05</v>
      </c>
      <c r="K15285" s="459">
        <v>36.22</v>
      </c>
      <c r="L15285" s="43">
        <v>10.594974874371859</v>
      </c>
      <c r="M15285" s="43">
        <v>11.500301594140456</v>
      </c>
      <c r="N15285" s="43">
        <v>5.294858870967742</v>
      </c>
      <c r="O15285" s="43">
        <v>10.621700879765395</v>
      </c>
      <c r="P15285" s="460"/>
      <c r="Q15285" s="460"/>
      <c r="R15285" s="460">
        <v>2</v>
      </c>
    </row>
    <row r="15286" spans="1:18" ht="24">
      <c r="A15286" s="456">
        <v>138</v>
      </c>
      <c r="B15286" s="453" t="s">
        <v>27434</v>
      </c>
      <c r="C15286" s="457" t="s">
        <v>27435</v>
      </c>
      <c r="D15286" s="458">
        <v>316.54000000000002</v>
      </c>
      <c r="E15286" s="458">
        <v>232.1</v>
      </c>
      <c r="F15286" s="458">
        <v>77.22</v>
      </c>
      <c r="G15286" s="458">
        <v>7.22</v>
      </c>
      <c r="H15286" s="459">
        <v>3160.75</v>
      </c>
      <c r="I15286" s="459">
        <v>2669.23</v>
      </c>
      <c r="J15286" s="459">
        <v>415.51</v>
      </c>
      <c r="K15286" s="459">
        <v>76.010000000000005</v>
      </c>
      <c r="L15286" s="43">
        <v>9.9853099134390586</v>
      </c>
      <c r="M15286" s="43">
        <v>11.500344679017665</v>
      </c>
      <c r="N15286" s="43">
        <v>5.3808598808598811</v>
      </c>
      <c r="O15286" s="43">
        <v>10.527700831024932</v>
      </c>
      <c r="P15286" s="460"/>
      <c r="Q15286" s="460"/>
      <c r="R15286" s="460">
        <v>2</v>
      </c>
    </row>
    <row r="15287" spans="1:18" ht="24">
      <c r="A15287" s="456">
        <v>139</v>
      </c>
      <c r="B15287" s="453" t="s">
        <v>27436</v>
      </c>
      <c r="C15287" s="457" t="s">
        <v>27437</v>
      </c>
      <c r="D15287" s="458">
        <v>262.85000000000002</v>
      </c>
      <c r="E15287" s="458">
        <v>206.82</v>
      </c>
      <c r="F15287" s="458">
        <v>50.8</v>
      </c>
      <c r="G15287" s="458">
        <v>5.23</v>
      </c>
      <c r="H15287" s="459">
        <v>2704.36</v>
      </c>
      <c r="I15287" s="459">
        <v>2378.52</v>
      </c>
      <c r="J15287" s="459">
        <v>268.69</v>
      </c>
      <c r="K15287" s="459">
        <v>57.15</v>
      </c>
      <c r="L15287" s="43">
        <v>10.2886056686323</v>
      </c>
      <c r="M15287" s="43">
        <v>11.500435161009573</v>
      </c>
      <c r="N15287" s="43">
        <v>5.2891732283464572</v>
      </c>
      <c r="O15287" s="43">
        <v>10.927342256214148</v>
      </c>
      <c r="P15287" s="460"/>
      <c r="Q15287" s="460"/>
      <c r="R15287" s="460">
        <v>2</v>
      </c>
    </row>
    <row r="15288" spans="1:18" ht="24">
      <c r="A15288" s="456">
        <v>140</v>
      </c>
      <c r="B15288" s="453" t="s">
        <v>27438</v>
      </c>
      <c r="C15288" s="457" t="s">
        <v>27439</v>
      </c>
      <c r="D15288" s="458">
        <v>195.35</v>
      </c>
      <c r="E15288" s="458">
        <v>155.12</v>
      </c>
      <c r="F15288" s="458">
        <v>35.090000000000003</v>
      </c>
      <c r="G15288" s="458">
        <v>5.14</v>
      </c>
      <c r="H15288" s="459">
        <v>2022.93</v>
      </c>
      <c r="I15288" s="459">
        <v>1783.89</v>
      </c>
      <c r="J15288" s="459">
        <v>185.51</v>
      </c>
      <c r="K15288" s="459">
        <v>53.53</v>
      </c>
      <c r="L15288" s="43">
        <v>10.355413360634758</v>
      </c>
      <c r="M15288" s="43">
        <v>11.500064466219701</v>
      </c>
      <c r="N15288" s="43">
        <v>5.2866913650612704</v>
      </c>
      <c r="O15288" s="43">
        <v>10.414396887159533</v>
      </c>
      <c r="P15288" s="460"/>
      <c r="Q15288" s="460"/>
      <c r="R15288" s="460">
        <v>2</v>
      </c>
    </row>
    <row r="15289" spans="1:18" ht="12.75" customHeight="1">
      <c r="A15289" s="628" t="s">
        <v>27440</v>
      </c>
      <c r="B15289" s="629"/>
      <c r="C15289" s="629"/>
      <c r="D15289" s="629"/>
      <c r="E15289" s="629"/>
      <c r="F15289" s="629"/>
      <c r="G15289" s="629"/>
      <c r="H15289" s="629"/>
      <c r="I15289" s="629"/>
      <c r="J15289" s="629"/>
      <c r="K15289" s="629"/>
      <c r="L15289" s="629"/>
      <c r="M15289" s="629"/>
      <c r="N15289" s="629"/>
      <c r="O15289" s="629"/>
      <c r="P15289" s="629"/>
      <c r="Q15289" s="629"/>
      <c r="R15289" s="629"/>
    </row>
    <row r="15290" spans="1:18" ht="24">
      <c r="A15290" s="456">
        <v>141</v>
      </c>
      <c r="B15290" s="453" t="s">
        <v>27441</v>
      </c>
      <c r="C15290" s="457" t="s">
        <v>27442</v>
      </c>
      <c r="D15290" s="458">
        <v>172.43</v>
      </c>
      <c r="E15290" s="458">
        <v>151.74</v>
      </c>
      <c r="F15290" s="458">
        <v>3.14</v>
      </c>
      <c r="G15290" s="458">
        <v>17.55</v>
      </c>
      <c r="H15290" s="459">
        <v>1850</v>
      </c>
      <c r="I15290" s="459">
        <v>1745.01</v>
      </c>
      <c r="J15290" s="459">
        <v>15.58</v>
      </c>
      <c r="K15290" s="459">
        <v>89.41</v>
      </c>
      <c r="L15290" s="43">
        <v>10.728991474801369</v>
      </c>
      <c r="M15290" s="43">
        <v>11.5</v>
      </c>
      <c r="N15290" s="43">
        <v>4.9617834394904454</v>
      </c>
      <c r="O15290" s="43">
        <v>5.094586894586894</v>
      </c>
      <c r="P15290" s="460"/>
      <c r="Q15290" s="460"/>
      <c r="R15290" s="460">
        <v>3</v>
      </c>
    </row>
    <row r="15291" spans="1:18" ht="24">
      <c r="A15291" s="456">
        <v>142</v>
      </c>
      <c r="B15291" s="453" t="s">
        <v>27443</v>
      </c>
      <c r="C15291" s="457" t="s">
        <v>27444</v>
      </c>
      <c r="D15291" s="458">
        <v>1367.29</v>
      </c>
      <c r="E15291" s="458">
        <v>504.68</v>
      </c>
      <c r="F15291" s="458">
        <v>713.94</v>
      </c>
      <c r="G15291" s="458">
        <v>148.66999999999999</v>
      </c>
      <c r="H15291" s="459">
        <v>10327.64</v>
      </c>
      <c r="I15291" s="459">
        <v>5803.77</v>
      </c>
      <c r="J15291" s="459">
        <v>3847.57</v>
      </c>
      <c r="K15291" s="459">
        <v>676.3</v>
      </c>
      <c r="L15291" s="43">
        <v>7.5533646848876241</v>
      </c>
      <c r="M15291" s="43">
        <v>11.499900927320283</v>
      </c>
      <c r="N15291" s="43">
        <v>5.3892063758859283</v>
      </c>
      <c r="O15291" s="43">
        <v>4.5490011434721191</v>
      </c>
      <c r="P15291" s="460"/>
      <c r="Q15291" s="460"/>
      <c r="R15291" s="460">
        <v>3</v>
      </c>
    </row>
    <row r="15292" spans="1:18" ht="24">
      <c r="A15292" s="456">
        <v>143</v>
      </c>
      <c r="B15292" s="453" t="s">
        <v>27445</v>
      </c>
      <c r="C15292" s="457" t="s">
        <v>27286</v>
      </c>
      <c r="D15292" s="458">
        <v>198.8</v>
      </c>
      <c r="E15292" s="458">
        <v>164.1</v>
      </c>
      <c r="F15292" s="458">
        <v>16.010000000000002</v>
      </c>
      <c r="G15292" s="458">
        <v>18.690000000000001</v>
      </c>
      <c r="H15292" s="459">
        <v>2071.66</v>
      </c>
      <c r="I15292" s="459">
        <v>1887.2</v>
      </c>
      <c r="J15292" s="459">
        <v>84.34</v>
      </c>
      <c r="K15292" s="459">
        <v>100.12</v>
      </c>
      <c r="L15292" s="43">
        <v>10.420824949698188</v>
      </c>
      <c r="M15292" s="43">
        <v>11.500304692260817</v>
      </c>
      <c r="N15292" s="43">
        <v>5.2679575265459082</v>
      </c>
      <c r="O15292" s="43">
        <v>5.3568753344034246</v>
      </c>
      <c r="P15292" s="460"/>
      <c r="Q15292" s="460"/>
      <c r="R15292" s="460">
        <v>3</v>
      </c>
    </row>
    <row r="15293" spans="1:18" ht="24">
      <c r="A15293" s="456">
        <v>144</v>
      </c>
      <c r="B15293" s="453" t="s">
        <v>27446</v>
      </c>
      <c r="C15293" s="457" t="s">
        <v>27447</v>
      </c>
      <c r="D15293" s="458">
        <v>1413.83</v>
      </c>
      <c r="E15293" s="458">
        <v>593.47</v>
      </c>
      <c r="F15293" s="458">
        <v>669.91</v>
      </c>
      <c r="G15293" s="458">
        <v>150.44999999999999</v>
      </c>
      <c r="H15293" s="459">
        <v>11131.43</v>
      </c>
      <c r="I15293" s="459">
        <v>6824.93</v>
      </c>
      <c r="J15293" s="459">
        <v>3609.73</v>
      </c>
      <c r="K15293" s="459">
        <v>696.77</v>
      </c>
      <c r="L15293" s="43">
        <v>7.8732450153130156</v>
      </c>
      <c r="M15293" s="43">
        <v>11.500042125128482</v>
      </c>
      <c r="N15293" s="43">
        <v>5.3883805287277395</v>
      </c>
      <c r="O15293" s="43">
        <v>4.6312396144898642</v>
      </c>
      <c r="P15293" s="460"/>
      <c r="Q15293" s="460"/>
      <c r="R15293" s="460">
        <v>3</v>
      </c>
    </row>
    <row r="15294" spans="1:18" ht="24">
      <c r="A15294" s="456">
        <v>145</v>
      </c>
      <c r="B15294" s="453" t="s">
        <v>27448</v>
      </c>
      <c r="C15294" s="457" t="s">
        <v>27449</v>
      </c>
      <c r="D15294" s="458">
        <v>1472.22</v>
      </c>
      <c r="E15294" s="458">
        <v>642.92999999999995</v>
      </c>
      <c r="F15294" s="458">
        <v>664.59</v>
      </c>
      <c r="G15294" s="458">
        <v>164.7</v>
      </c>
      <c r="H15294" s="459">
        <v>11798.48</v>
      </c>
      <c r="I15294" s="459">
        <v>7393.67</v>
      </c>
      <c r="J15294" s="459">
        <v>3580.44</v>
      </c>
      <c r="K15294" s="459">
        <v>824.37</v>
      </c>
      <c r="L15294" s="43">
        <v>8.0140739835078989</v>
      </c>
      <c r="M15294" s="43">
        <v>11.499961115518021</v>
      </c>
      <c r="N15294" s="43">
        <v>5.3874418814607496</v>
      </c>
      <c r="O15294" s="43">
        <v>5.0052823315118404</v>
      </c>
      <c r="P15294" s="460"/>
      <c r="Q15294" s="460"/>
      <c r="R15294" s="460">
        <v>3</v>
      </c>
    </row>
    <row r="15295" spans="1:18" ht="24">
      <c r="A15295" s="456">
        <v>146</v>
      </c>
      <c r="B15295" s="453" t="s">
        <v>27450</v>
      </c>
      <c r="C15295" s="457" t="s">
        <v>27451</v>
      </c>
      <c r="D15295" s="458">
        <v>687.17</v>
      </c>
      <c r="E15295" s="458">
        <v>315.83999999999997</v>
      </c>
      <c r="F15295" s="458">
        <v>273.60000000000002</v>
      </c>
      <c r="G15295" s="458">
        <v>97.73</v>
      </c>
      <c r="H15295" s="459">
        <v>5541.53</v>
      </c>
      <c r="I15295" s="459">
        <v>3632.21</v>
      </c>
      <c r="J15295" s="459">
        <v>1471.68</v>
      </c>
      <c r="K15295" s="459">
        <v>437.64</v>
      </c>
      <c r="L15295" s="43">
        <v>8.0642781262278618</v>
      </c>
      <c r="M15295" s="43">
        <v>11.500158308004053</v>
      </c>
      <c r="N15295" s="43">
        <v>5.378947368421052</v>
      </c>
      <c r="O15295" s="43">
        <v>4.4780517752992939</v>
      </c>
      <c r="P15295" s="460"/>
      <c r="Q15295" s="460"/>
      <c r="R15295" s="460">
        <v>3</v>
      </c>
    </row>
    <row r="15296" spans="1:18" ht="24">
      <c r="A15296" s="456">
        <v>147</v>
      </c>
      <c r="B15296" s="453" t="s">
        <v>27452</v>
      </c>
      <c r="C15296" s="457" t="s">
        <v>27453</v>
      </c>
      <c r="D15296" s="458">
        <v>503.53</v>
      </c>
      <c r="E15296" s="458">
        <v>227.05</v>
      </c>
      <c r="F15296" s="458">
        <v>266.5</v>
      </c>
      <c r="G15296" s="458">
        <v>9.98</v>
      </c>
      <c r="H15296" s="459">
        <v>4147.8599999999997</v>
      </c>
      <c r="I15296" s="459">
        <v>2611.0500000000002</v>
      </c>
      <c r="J15296" s="459">
        <v>1436.92</v>
      </c>
      <c r="K15296" s="459">
        <v>99.89</v>
      </c>
      <c r="L15296" s="43">
        <v>8.2375628065855064</v>
      </c>
      <c r="M15296" s="43">
        <v>11.499889892094252</v>
      </c>
      <c r="N15296" s="43">
        <v>5.3918198874296435</v>
      </c>
      <c r="O15296" s="43">
        <v>10.009018036072144</v>
      </c>
      <c r="P15296" s="460"/>
      <c r="Q15296" s="460"/>
      <c r="R15296" s="460">
        <v>3</v>
      </c>
    </row>
    <row r="15297" spans="1:18" ht="24">
      <c r="A15297" s="456">
        <v>148</v>
      </c>
      <c r="B15297" s="453" t="s">
        <v>27454</v>
      </c>
      <c r="C15297" s="457" t="s">
        <v>27455</v>
      </c>
      <c r="D15297" s="458">
        <v>192.35</v>
      </c>
      <c r="E15297" s="458">
        <v>151.74</v>
      </c>
      <c r="F15297" s="458">
        <v>35.200000000000003</v>
      </c>
      <c r="G15297" s="458">
        <v>5.41</v>
      </c>
      <c r="H15297" s="459">
        <v>1986.16</v>
      </c>
      <c r="I15297" s="459">
        <v>1745.01</v>
      </c>
      <c r="J15297" s="459">
        <v>185.44</v>
      </c>
      <c r="K15297" s="459">
        <v>55.71</v>
      </c>
      <c r="L15297" s="43">
        <v>10.325760332726801</v>
      </c>
      <c r="M15297" s="43">
        <v>11.5</v>
      </c>
      <c r="N15297" s="43">
        <v>5.2681818181818176</v>
      </c>
      <c r="O15297" s="43">
        <v>10.297597042513862</v>
      </c>
      <c r="P15297" s="460"/>
      <c r="Q15297" s="460"/>
      <c r="R15297" s="460">
        <v>3</v>
      </c>
    </row>
    <row r="15298" spans="1:18" ht="24">
      <c r="A15298" s="456">
        <v>149</v>
      </c>
      <c r="B15298" s="453" t="s">
        <v>27456</v>
      </c>
      <c r="C15298" s="457" t="s">
        <v>27457</v>
      </c>
      <c r="D15298" s="458">
        <v>503.53</v>
      </c>
      <c r="E15298" s="458">
        <v>227.05</v>
      </c>
      <c r="F15298" s="458">
        <v>266.5</v>
      </c>
      <c r="G15298" s="458">
        <v>9.98</v>
      </c>
      <c r="H15298" s="459">
        <v>4147.8599999999997</v>
      </c>
      <c r="I15298" s="459">
        <v>2611.0500000000002</v>
      </c>
      <c r="J15298" s="459">
        <v>1436.92</v>
      </c>
      <c r="K15298" s="459">
        <v>99.89</v>
      </c>
      <c r="L15298" s="43">
        <v>8.2375628065855064</v>
      </c>
      <c r="M15298" s="43">
        <v>11.499889892094252</v>
      </c>
      <c r="N15298" s="43">
        <v>5.3918198874296435</v>
      </c>
      <c r="O15298" s="43">
        <v>10.009018036072144</v>
      </c>
      <c r="P15298" s="460"/>
      <c r="Q15298" s="460"/>
      <c r="R15298" s="460">
        <v>3</v>
      </c>
    </row>
    <row r="15299" spans="1:18" ht="12.75" customHeight="1">
      <c r="A15299" s="628" t="s">
        <v>27458</v>
      </c>
      <c r="B15299" s="629"/>
      <c r="C15299" s="629"/>
      <c r="D15299" s="629"/>
      <c r="E15299" s="629"/>
      <c r="F15299" s="629"/>
      <c r="G15299" s="629"/>
      <c r="H15299" s="629"/>
      <c r="I15299" s="629"/>
      <c r="J15299" s="629"/>
      <c r="K15299" s="629"/>
      <c r="L15299" s="629"/>
      <c r="M15299" s="629"/>
      <c r="N15299" s="629"/>
      <c r="O15299" s="629"/>
      <c r="P15299" s="629"/>
      <c r="Q15299" s="629"/>
      <c r="R15299" s="629"/>
    </row>
    <row r="15300" spans="1:18" ht="24">
      <c r="A15300" s="456">
        <v>150</v>
      </c>
      <c r="B15300" s="453" t="s">
        <v>27459</v>
      </c>
      <c r="C15300" s="457" t="s">
        <v>27460</v>
      </c>
      <c r="D15300" s="458">
        <v>146.06</v>
      </c>
      <c r="E15300" s="458">
        <v>125.89</v>
      </c>
      <c r="F15300" s="458">
        <v>17.329999999999998</v>
      </c>
      <c r="G15300" s="458">
        <v>2.84</v>
      </c>
      <c r="H15300" s="459">
        <v>1571.29</v>
      </c>
      <c r="I15300" s="459">
        <v>1447.71</v>
      </c>
      <c r="J15300" s="459">
        <v>91.77</v>
      </c>
      <c r="K15300" s="459">
        <v>31.81</v>
      </c>
      <c r="L15300" s="43">
        <v>10.757839244146242</v>
      </c>
      <c r="M15300" s="43">
        <v>11.499801413932799</v>
      </c>
      <c r="N15300" s="43">
        <v>5.2954414310444315</v>
      </c>
      <c r="O15300" s="43">
        <v>11.200704225352112</v>
      </c>
      <c r="P15300" s="460"/>
      <c r="Q15300" s="460"/>
      <c r="R15300" s="460">
        <v>4</v>
      </c>
    </row>
    <row r="15301" spans="1:18" ht="24">
      <c r="A15301" s="456">
        <v>151</v>
      </c>
      <c r="B15301" s="453" t="s">
        <v>27461</v>
      </c>
      <c r="C15301" s="457" t="s">
        <v>27462</v>
      </c>
      <c r="D15301" s="458">
        <v>249.49</v>
      </c>
      <c r="E15301" s="458">
        <v>202.32</v>
      </c>
      <c r="F15301" s="458">
        <v>37.75</v>
      </c>
      <c r="G15301" s="458">
        <v>9.42</v>
      </c>
      <c r="H15301" s="459">
        <v>2618.34</v>
      </c>
      <c r="I15301" s="459">
        <v>2326.6799999999998</v>
      </c>
      <c r="J15301" s="459">
        <v>198</v>
      </c>
      <c r="K15301" s="459">
        <v>93.66</v>
      </c>
      <c r="L15301" s="43">
        <v>10.494769329432042</v>
      </c>
      <c r="M15301" s="43">
        <v>11.5</v>
      </c>
      <c r="N15301" s="43">
        <v>5.2450331125827816</v>
      </c>
      <c r="O15301" s="43">
        <v>9.9426751592356677</v>
      </c>
      <c r="P15301" s="460"/>
      <c r="Q15301" s="460"/>
      <c r="R15301" s="460">
        <v>4</v>
      </c>
    </row>
    <row r="15302" spans="1:18" ht="12.75">
      <c r="A15302" s="632" t="s">
        <v>18</v>
      </c>
      <c r="B15302" s="632"/>
      <c r="C15302" s="632"/>
      <c r="D15302" s="454">
        <v>152930.6</v>
      </c>
      <c r="E15302" s="454">
        <v>101956.72</v>
      </c>
      <c r="F15302" s="454">
        <v>37854.99</v>
      </c>
      <c r="G15302" s="454">
        <v>13118.89</v>
      </c>
      <c r="H15302" s="455">
        <v>1454917.23</v>
      </c>
      <c r="I15302" s="455">
        <v>1172525.8500000001</v>
      </c>
      <c r="J15302" s="455">
        <v>201200.72</v>
      </c>
      <c r="K15302" s="455">
        <v>81190.66</v>
      </c>
      <c r="L15302" s="612">
        <v>9.5135782505267095</v>
      </c>
      <c r="M15302" s="612">
        <v>11.500231176522744</v>
      </c>
      <c r="N15302" s="612">
        <v>5.315038255194362</v>
      </c>
      <c r="O15302" s="612">
        <v>6.1888360981759893</v>
      </c>
      <c r="P15302" s="452"/>
      <c r="Q15302" s="452"/>
      <c r="R15302" s="452"/>
    </row>
    <row r="15303" spans="1:18" ht="18">
      <c r="A15303" s="616" t="s">
        <v>27463</v>
      </c>
      <c r="B15303" s="626"/>
      <c r="C15303" s="626"/>
      <c r="D15303" s="626"/>
      <c r="E15303" s="626"/>
      <c r="F15303" s="626"/>
      <c r="G15303" s="626"/>
      <c r="H15303" s="626"/>
      <c r="I15303" s="626"/>
      <c r="J15303" s="626"/>
      <c r="K15303" s="626"/>
      <c r="L15303" s="626"/>
      <c r="M15303" s="626"/>
      <c r="N15303" s="626"/>
      <c r="O15303" s="626"/>
      <c r="P15303" s="626"/>
      <c r="Q15303" s="626"/>
      <c r="R15303" s="627"/>
    </row>
    <row r="15304" spans="1:18" ht="12.75" customHeight="1">
      <c r="A15304" s="630" t="s">
        <v>27464</v>
      </c>
      <c r="B15304" s="631"/>
      <c r="C15304" s="631"/>
      <c r="D15304" s="631"/>
      <c r="E15304" s="631"/>
      <c r="F15304" s="631"/>
      <c r="G15304" s="631"/>
      <c r="H15304" s="631"/>
      <c r="I15304" s="631"/>
      <c r="J15304" s="631"/>
      <c r="K15304" s="631"/>
      <c r="L15304" s="631"/>
      <c r="M15304" s="631"/>
      <c r="N15304" s="631"/>
      <c r="O15304" s="631"/>
      <c r="P15304" s="631"/>
      <c r="Q15304" s="631"/>
      <c r="R15304" s="631"/>
    </row>
    <row r="15305" spans="1:18" ht="12.75" customHeight="1">
      <c r="A15305" s="628" t="s">
        <v>27465</v>
      </c>
      <c r="B15305" s="629"/>
      <c r="C15305" s="629"/>
      <c r="D15305" s="629"/>
      <c r="E15305" s="629"/>
      <c r="F15305" s="629"/>
      <c r="G15305" s="629"/>
      <c r="H15305" s="629"/>
      <c r="I15305" s="629"/>
      <c r="J15305" s="629"/>
      <c r="K15305" s="629"/>
      <c r="L15305" s="629"/>
      <c r="M15305" s="629"/>
      <c r="N15305" s="629"/>
      <c r="O15305" s="629"/>
      <c r="P15305" s="629"/>
      <c r="Q15305" s="629"/>
      <c r="R15305" s="629"/>
    </row>
    <row r="15306" spans="1:18" ht="12.75" customHeight="1">
      <c r="A15306" s="628" t="s">
        <v>27466</v>
      </c>
      <c r="B15306" s="629"/>
      <c r="C15306" s="629"/>
      <c r="D15306" s="629"/>
      <c r="E15306" s="629"/>
      <c r="F15306" s="629"/>
      <c r="G15306" s="629"/>
      <c r="H15306" s="629"/>
      <c r="I15306" s="629"/>
      <c r="J15306" s="629"/>
      <c r="K15306" s="629"/>
      <c r="L15306" s="629"/>
      <c r="M15306" s="629"/>
      <c r="N15306" s="629"/>
      <c r="O15306" s="629"/>
      <c r="P15306" s="629"/>
      <c r="Q15306" s="629"/>
      <c r="R15306" s="629"/>
    </row>
    <row r="15307" spans="1:18" ht="24">
      <c r="A15307" s="471">
        <v>1</v>
      </c>
      <c r="B15307" s="468" t="s">
        <v>27467</v>
      </c>
      <c r="C15307" s="472" t="s">
        <v>27468</v>
      </c>
      <c r="D15307" s="473">
        <v>1365.63</v>
      </c>
      <c r="E15307" s="473">
        <v>1156.68</v>
      </c>
      <c r="F15307" s="473">
        <v>147.74</v>
      </c>
      <c r="G15307" s="473">
        <v>61.21</v>
      </c>
      <c r="H15307" s="474">
        <v>14527.41</v>
      </c>
      <c r="I15307" s="474">
        <v>13302.36</v>
      </c>
      <c r="J15307" s="474">
        <v>625.29</v>
      </c>
      <c r="K15307" s="474">
        <v>599.76</v>
      </c>
      <c r="L15307" s="43">
        <v>10.637881417367808</v>
      </c>
      <c r="M15307" s="43">
        <v>11.50046685340803</v>
      </c>
      <c r="N15307" s="43">
        <v>4.2323676729389463</v>
      </c>
      <c r="O15307" s="43">
        <v>9.7983989544192127</v>
      </c>
      <c r="P15307" s="475"/>
      <c r="Q15307" s="475"/>
      <c r="R15307" s="475">
        <v>1</v>
      </c>
    </row>
    <row r="15308" spans="1:18" ht="24">
      <c r="A15308" s="471">
        <v>2</v>
      </c>
      <c r="B15308" s="468" t="s">
        <v>27469</v>
      </c>
      <c r="C15308" s="472" t="s">
        <v>27470</v>
      </c>
      <c r="D15308" s="473">
        <v>852.74</v>
      </c>
      <c r="E15308" s="473">
        <v>666.16</v>
      </c>
      <c r="F15308" s="473">
        <v>164.42</v>
      </c>
      <c r="G15308" s="473">
        <v>22.16</v>
      </c>
      <c r="H15308" s="474">
        <v>8848.61</v>
      </c>
      <c r="I15308" s="474">
        <v>7661.17</v>
      </c>
      <c r="J15308" s="474">
        <v>956.78</v>
      </c>
      <c r="K15308" s="474">
        <v>230.66</v>
      </c>
      <c r="L15308" s="43">
        <v>10.376679878978353</v>
      </c>
      <c r="M15308" s="43">
        <v>11.50049537648613</v>
      </c>
      <c r="N15308" s="43">
        <v>5.8191217613429025</v>
      </c>
      <c r="O15308" s="43">
        <v>10.408844765342961</v>
      </c>
      <c r="P15308" s="475"/>
      <c r="Q15308" s="475"/>
      <c r="R15308" s="475">
        <v>1</v>
      </c>
    </row>
    <row r="15309" spans="1:18" ht="12.75" customHeight="1">
      <c r="A15309" s="628" t="s">
        <v>27471</v>
      </c>
      <c r="B15309" s="629"/>
      <c r="C15309" s="629"/>
      <c r="D15309" s="629"/>
      <c r="E15309" s="629"/>
      <c r="F15309" s="629"/>
      <c r="G15309" s="629"/>
      <c r="H15309" s="629"/>
      <c r="I15309" s="629"/>
      <c r="J15309" s="629"/>
      <c r="K15309" s="629"/>
      <c r="L15309" s="629"/>
      <c r="M15309" s="629"/>
      <c r="N15309" s="629"/>
      <c r="O15309" s="629"/>
      <c r="P15309" s="629"/>
      <c r="Q15309" s="629"/>
      <c r="R15309" s="629"/>
    </row>
    <row r="15310" spans="1:18" ht="12.75" customHeight="1">
      <c r="A15310" s="628" t="s">
        <v>27472</v>
      </c>
      <c r="B15310" s="629"/>
      <c r="C15310" s="629"/>
      <c r="D15310" s="629"/>
      <c r="E15310" s="629"/>
      <c r="F15310" s="629"/>
      <c r="G15310" s="629"/>
      <c r="H15310" s="629"/>
      <c r="I15310" s="629"/>
      <c r="J15310" s="629"/>
      <c r="K15310" s="629"/>
      <c r="L15310" s="629"/>
      <c r="M15310" s="629"/>
      <c r="N15310" s="629"/>
      <c r="O15310" s="629"/>
      <c r="P15310" s="629"/>
      <c r="Q15310" s="629"/>
      <c r="R15310" s="629"/>
    </row>
    <row r="15311" spans="1:18" ht="24">
      <c r="A15311" s="471">
        <v>3</v>
      </c>
      <c r="B15311" s="468" t="s">
        <v>27473</v>
      </c>
      <c r="C15311" s="472" t="s">
        <v>27474</v>
      </c>
      <c r="D15311" s="473">
        <v>1143.32</v>
      </c>
      <c r="E15311" s="473">
        <v>875.14</v>
      </c>
      <c r="F15311" s="473">
        <v>250.68</v>
      </c>
      <c r="G15311" s="473">
        <v>17.5</v>
      </c>
      <c r="H15311" s="474">
        <v>11748.31</v>
      </c>
      <c r="I15311" s="474">
        <v>10064.06</v>
      </c>
      <c r="J15311" s="474">
        <v>1483</v>
      </c>
      <c r="K15311" s="474">
        <v>201.25</v>
      </c>
      <c r="L15311" s="43">
        <v>10.27560962810062</v>
      </c>
      <c r="M15311" s="43">
        <v>11.49994286628425</v>
      </c>
      <c r="N15311" s="43">
        <v>5.9159087282591347</v>
      </c>
      <c r="O15311" s="43">
        <v>11.5</v>
      </c>
      <c r="P15311" s="475"/>
      <c r="Q15311" s="475"/>
      <c r="R15311" s="475">
        <v>1</v>
      </c>
    </row>
    <row r="15312" spans="1:18" ht="12.75" customHeight="1">
      <c r="A15312" s="628" t="s">
        <v>27475</v>
      </c>
      <c r="B15312" s="629"/>
      <c r="C15312" s="629"/>
      <c r="D15312" s="629"/>
      <c r="E15312" s="629"/>
      <c r="F15312" s="629"/>
      <c r="G15312" s="629"/>
      <c r="H15312" s="629"/>
      <c r="I15312" s="629"/>
      <c r="J15312" s="629"/>
      <c r="K15312" s="629"/>
      <c r="L15312" s="629"/>
      <c r="M15312" s="629"/>
      <c r="N15312" s="629"/>
      <c r="O15312" s="629"/>
      <c r="P15312" s="629"/>
      <c r="Q15312" s="629"/>
      <c r="R15312" s="629"/>
    </row>
    <row r="15313" spans="1:18" ht="12.75" customHeight="1">
      <c r="A15313" s="628" t="s">
        <v>22657</v>
      </c>
      <c r="B15313" s="629"/>
      <c r="C15313" s="629"/>
      <c r="D15313" s="629"/>
      <c r="E15313" s="629"/>
      <c r="F15313" s="629"/>
      <c r="G15313" s="629"/>
      <c r="H15313" s="629"/>
      <c r="I15313" s="629"/>
      <c r="J15313" s="629"/>
      <c r="K15313" s="629"/>
      <c r="L15313" s="629"/>
      <c r="M15313" s="629"/>
      <c r="N15313" s="629"/>
      <c r="O15313" s="629"/>
      <c r="P15313" s="629"/>
      <c r="Q15313" s="629"/>
      <c r="R15313" s="629"/>
    </row>
    <row r="15314" spans="1:18" ht="24">
      <c r="A15314" s="471">
        <v>4</v>
      </c>
      <c r="B15314" s="468" t="s">
        <v>27476</v>
      </c>
      <c r="C15314" s="472" t="s">
        <v>27477</v>
      </c>
      <c r="D15314" s="473">
        <v>217.29</v>
      </c>
      <c r="E15314" s="473">
        <v>205.41</v>
      </c>
      <c r="F15314" s="473">
        <v>7.77</v>
      </c>
      <c r="G15314" s="473">
        <v>4.1100000000000003</v>
      </c>
      <c r="H15314" s="474">
        <v>2444.42</v>
      </c>
      <c r="I15314" s="474">
        <v>2362.2199999999998</v>
      </c>
      <c r="J15314" s="474">
        <v>34.93</v>
      </c>
      <c r="K15314" s="474">
        <v>47.27</v>
      </c>
      <c r="L15314" s="43">
        <v>11.249574301624557</v>
      </c>
      <c r="M15314" s="43">
        <v>11.500024341560779</v>
      </c>
      <c r="N15314" s="43">
        <v>4.4954954954954953</v>
      </c>
      <c r="O15314" s="43">
        <v>11.501216545012165</v>
      </c>
      <c r="P15314" s="475"/>
      <c r="Q15314" s="475"/>
      <c r="R15314" s="475">
        <v>1</v>
      </c>
    </row>
    <row r="15315" spans="1:18" ht="12.75" customHeight="1">
      <c r="A15315" s="628" t="s">
        <v>27478</v>
      </c>
      <c r="B15315" s="629"/>
      <c r="C15315" s="629"/>
      <c r="D15315" s="629"/>
      <c r="E15315" s="629"/>
      <c r="F15315" s="629"/>
      <c r="G15315" s="629"/>
      <c r="H15315" s="629"/>
      <c r="I15315" s="629"/>
      <c r="J15315" s="629"/>
      <c r="K15315" s="629"/>
      <c r="L15315" s="629"/>
      <c r="M15315" s="629"/>
      <c r="N15315" s="629"/>
      <c r="O15315" s="629"/>
      <c r="P15315" s="629"/>
      <c r="Q15315" s="629"/>
      <c r="R15315" s="629"/>
    </row>
    <row r="15316" spans="1:18" ht="24">
      <c r="A15316" s="471">
        <v>5</v>
      </c>
      <c r="B15316" s="468" t="s">
        <v>27479</v>
      </c>
      <c r="C15316" s="472" t="s">
        <v>27480</v>
      </c>
      <c r="D15316" s="473">
        <v>150.32</v>
      </c>
      <c r="E15316" s="473">
        <v>142.99</v>
      </c>
      <c r="F15316" s="473">
        <v>4.47</v>
      </c>
      <c r="G15316" s="473">
        <v>2.86</v>
      </c>
      <c r="H15316" s="474">
        <v>1697.38</v>
      </c>
      <c r="I15316" s="474">
        <v>1644.48</v>
      </c>
      <c r="J15316" s="474">
        <v>20.010000000000002</v>
      </c>
      <c r="K15316" s="474">
        <v>32.89</v>
      </c>
      <c r="L15316" s="43">
        <v>11.291777541245345</v>
      </c>
      <c r="M15316" s="43">
        <v>11.500664382124624</v>
      </c>
      <c r="N15316" s="43">
        <v>4.4765100671140949</v>
      </c>
      <c r="O15316" s="43">
        <v>11.5</v>
      </c>
      <c r="P15316" s="475"/>
      <c r="Q15316" s="475"/>
      <c r="R15316" s="475">
        <v>2</v>
      </c>
    </row>
    <row r="15317" spans="1:18" ht="24">
      <c r="A15317" s="471">
        <v>6</v>
      </c>
      <c r="B15317" s="468" t="s">
        <v>27481</v>
      </c>
      <c r="C15317" s="472" t="s">
        <v>27482</v>
      </c>
      <c r="D15317" s="473">
        <v>184.91</v>
      </c>
      <c r="E15317" s="473">
        <v>174.77</v>
      </c>
      <c r="F15317" s="473">
        <v>6.64</v>
      </c>
      <c r="G15317" s="473">
        <v>3.5</v>
      </c>
      <c r="H15317" s="474">
        <v>2079.9499999999998</v>
      </c>
      <c r="I15317" s="474">
        <v>2009.92</v>
      </c>
      <c r="J15317" s="474">
        <v>29.78</v>
      </c>
      <c r="K15317" s="474">
        <v>40.25</v>
      </c>
      <c r="L15317" s="43">
        <v>11.248445189551672</v>
      </c>
      <c r="M15317" s="43">
        <v>11.500371917377125</v>
      </c>
      <c r="N15317" s="43">
        <v>4.4849397590361448</v>
      </c>
      <c r="O15317" s="43">
        <v>11.5</v>
      </c>
      <c r="P15317" s="475"/>
      <c r="Q15317" s="475"/>
      <c r="R15317" s="475">
        <v>2</v>
      </c>
    </row>
    <row r="15318" spans="1:18" ht="12.75" customHeight="1">
      <c r="A15318" s="628" t="s">
        <v>27483</v>
      </c>
      <c r="B15318" s="629"/>
      <c r="C15318" s="629"/>
      <c r="D15318" s="629"/>
      <c r="E15318" s="629"/>
      <c r="F15318" s="629"/>
      <c r="G15318" s="629"/>
      <c r="H15318" s="629"/>
      <c r="I15318" s="629"/>
      <c r="J15318" s="629"/>
      <c r="K15318" s="629"/>
      <c r="L15318" s="629"/>
      <c r="M15318" s="629"/>
      <c r="N15318" s="629"/>
      <c r="O15318" s="629"/>
      <c r="P15318" s="629"/>
      <c r="Q15318" s="629"/>
      <c r="R15318" s="629"/>
    </row>
    <row r="15319" spans="1:18" ht="24">
      <c r="A15319" s="471">
        <v>7</v>
      </c>
      <c r="B15319" s="468" t="s">
        <v>27484</v>
      </c>
      <c r="C15319" s="472" t="s">
        <v>27485</v>
      </c>
      <c r="D15319" s="473">
        <v>1371.29</v>
      </c>
      <c r="E15319" s="473">
        <v>1068.58</v>
      </c>
      <c r="F15319" s="473">
        <v>275.22000000000003</v>
      </c>
      <c r="G15319" s="473">
        <v>27.49</v>
      </c>
      <c r="H15319" s="474">
        <v>14216.14</v>
      </c>
      <c r="I15319" s="474">
        <v>12288.67</v>
      </c>
      <c r="J15319" s="474">
        <v>1628.07</v>
      </c>
      <c r="K15319" s="474">
        <v>299.39999999999998</v>
      </c>
      <c r="L15319" s="43">
        <v>10.366982913898592</v>
      </c>
      <c r="M15319" s="43">
        <v>11.5</v>
      </c>
      <c r="N15319" s="43">
        <v>5.9155221277523431</v>
      </c>
      <c r="O15319" s="43">
        <v>10.891233175700254</v>
      </c>
      <c r="P15319" s="475"/>
      <c r="Q15319" s="475"/>
      <c r="R15319" s="475">
        <v>3</v>
      </c>
    </row>
    <row r="15320" spans="1:18" ht="12.75" customHeight="1">
      <c r="A15320" s="628" t="s">
        <v>27486</v>
      </c>
      <c r="B15320" s="629"/>
      <c r="C15320" s="629"/>
      <c r="D15320" s="629"/>
      <c r="E15320" s="629"/>
      <c r="F15320" s="629"/>
      <c r="G15320" s="629"/>
      <c r="H15320" s="629"/>
      <c r="I15320" s="629"/>
      <c r="J15320" s="629"/>
      <c r="K15320" s="629"/>
      <c r="L15320" s="629"/>
      <c r="M15320" s="629"/>
      <c r="N15320" s="629"/>
      <c r="O15320" s="629"/>
      <c r="P15320" s="629"/>
      <c r="Q15320" s="629"/>
      <c r="R15320" s="629"/>
    </row>
    <row r="15321" spans="1:18" ht="12.75" customHeight="1">
      <c r="A15321" s="628" t="s">
        <v>27487</v>
      </c>
      <c r="B15321" s="629"/>
      <c r="C15321" s="629"/>
      <c r="D15321" s="629"/>
      <c r="E15321" s="629"/>
      <c r="F15321" s="629"/>
      <c r="G15321" s="629"/>
      <c r="H15321" s="629"/>
      <c r="I15321" s="629"/>
      <c r="J15321" s="629"/>
      <c r="K15321" s="629"/>
      <c r="L15321" s="629"/>
      <c r="M15321" s="629"/>
      <c r="N15321" s="629"/>
      <c r="O15321" s="629"/>
      <c r="P15321" s="629"/>
      <c r="Q15321" s="629"/>
      <c r="R15321" s="629"/>
    </row>
    <row r="15322" spans="1:18" ht="24">
      <c r="A15322" s="471">
        <v>8</v>
      </c>
      <c r="B15322" s="468" t="s">
        <v>27488</v>
      </c>
      <c r="C15322" s="472" t="s">
        <v>27489</v>
      </c>
      <c r="D15322" s="473">
        <v>861.52</v>
      </c>
      <c r="E15322" s="473">
        <v>772.34</v>
      </c>
      <c r="F15322" s="473">
        <v>66.930000000000007</v>
      </c>
      <c r="G15322" s="473">
        <v>22.25</v>
      </c>
      <c r="H15322" s="474">
        <v>9407.83</v>
      </c>
      <c r="I15322" s="474">
        <v>8881.91</v>
      </c>
      <c r="J15322" s="474">
        <v>288.64</v>
      </c>
      <c r="K15322" s="474">
        <v>237.28</v>
      </c>
      <c r="L15322" s="43">
        <v>10.920036679357414</v>
      </c>
      <c r="M15322" s="43">
        <v>11.5</v>
      </c>
      <c r="N15322" s="43">
        <v>4.3125653668011346</v>
      </c>
      <c r="O15322" s="43">
        <v>10.664269662921349</v>
      </c>
      <c r="P15322" s="475"/>
      <c r="Q15322" s="475"/>
      <c r="R15322" s="475">
        <v>1</v>
      </c>
    </row>
    <row r="15323" spans="1:18" ht="24">
      <c r="A15323" s="476">
        <v>9</v>
      </c>
      <c r="B15323" s="477" t="s">
        <v>27490</v>
      </c>
      <c r="C15323" s="478" t="s">
        <v>27491</v>
      </c>
      <c r="D15323" s="479">
        <v>3031.43</v>
      </c>
      <c r="E15323" s="479">
        <v>2285.2800000000002</v>
      </c>
      <c r="F15323" s="479">
        <v>678.68</v>
      </c>
      <c r="G15323" s="479">
        <v>67.47</v>
      </c>
      <c r="H15323" s="480">
        <v>30861.69</v>
      </c>
      <c r="I15323" s="480">
        <v>26280.720000000001</v>
      </c>
      <c r="J15323" s="480">
        <v>3864.58</v>
      </c>
      <c r="K15323" s="480">
        <v>716.39</v>
      </c>
      <c r="L15323" s="611">
        <v>10.18057154544225</v>
      </c>
      <c r="M15323" s="611">
        <v>11.5</v>
      </c>
      <c r="N15323" s="611">
        <v>5.6942594448046213</v>
      </c>
      <c r="O15323" s="611">
        <v>10.617904253742404</v>
      </c>
      <c r="P15323" s="481"/>
      <c r="Q15323" s="481"/>
      <c r="R15323" s="481">
        <v>1</v>
      </c>
    </row>
    <row r="15324" spans="1:18" ht="12.75" customHeight="1">
      <c r="A15324" s="630" t="s">
        <v>27492</v>
      </c>
      <c r="B15324" s="631"/>
      <c r="C15324" s="631"/>
      <c r="D15324" s="631"/>
      <c r="E15324" s="631"/>
      <c r="F15324" s="631"/>
      <c r="G15324" s="631"/>
      <c r="H15324" s="631"/>
      <c r="I15324" s="631"/>
      <c r="J15324" s="631"/>
      <c r="K15324" s="631"/>
      <c r="L15324" s="631"/>
      <c r="M15324" s="631"/>
      <c r="N15324" s="631"/>
      <c r="O15324" s="631"/>
      <c r="P15324" s="631"/>
      <c r="Q15324" s="631"/>
      <c r="R15324" s="631"/>
    </row>
    <row r="15325" spans="1:18" ht="12.75" customHeight="1">
      <c r="A15325" s="628" t="s">
        <v>27493</v>
      </c>
      <c r="B15325" s="629"/>
      <c r="C15325" s="629"/>
      <c r="D15325" s="629"/>
      <c r="E15325" s="629"/>
      <c r="F15325" s="629"/>
      <c r="G15325" s="629"/>
      <c r="H15325" s="629"/>
      <c r="I15325" s="629"/>
      <c r="J15325" s="629"/>
      <c r="K15325" s="629"/>
      <c r="L15325" s="629"/>
      <c r="M15325" s="629"/>
      <c r="N15325" s="629"/>
      <c r="O15325" s="629"/>
      <c r="P15325" s="629"/>
      <c r="Q15325" s="629"/>
      <c r="R15325" s="629"/>
    </row>
    <row r="15326" spans="1:18" ht="12.75" customHeight="1">
      <c r="A15326" s="628" t="s">
        <v>27494</v>
      </c>
      <c r="B15326" s="629"/>
      <c r="C15326" s="629"/>
      <c r="D15326" s="629"/>
      <c r="E15326" s="629"/>
      <c r="F15326" s="629"/>
      <c r="G15326" s="629"/>
      <c r="H15326" s="629"/>
      <c r="I15326" s="629"/>
      <c r="J15326" s="629"/>
      <c r="K15326" s="629"/>
      <c r="L15326" s="629"/>
      <c r="M15326" s="629"/>
      <c r="N15326" s="629"/>
      <c r="O15326" s="629"/>
      <c r="P15326" s="629"/>
      <c r="Q15326" s="629"/>
      <c r="R15326" s="629"/>
    </row>
    <row r="15327" spans="1:18" ht="24">
      <c r="A15327" s="471">
        <v>10</v>
      </c>
      <c r="B15327" s="468" t="s">
        <v>27495</v>
      </c>
      <c r="C15327" s="472" t="s">
        <v>27496</v>
      </c>
      <c r="D15327" s="473">
        <v>60.19</v>
      </c>
      <c r="E15327" s="473">
        <v>46.13</v>
      </c>
      <c r="F15327" s="473">
        <v>13.14</v>
      </c>
      <c r="G15327" s="473">
        <v>0.92</v>
      </c>
      <c r="H15327" s="474">
        <v>609.13</v>
      </c>
      <c r="I15327" s="474">
        <v>530.5</v>
      </c>
      <c r="J15327" s="474">
        <v>68.05</v>
      </c>
      <c r="K15327" s="474">
        <v>10.58</v>
      </c>
      <c r="L15327" s="43">
        <v>10.120119621199535</v>
      </c>
      <c r="M15327" s="43">
        <v>11.500108389334489</v>
      </c>
      <c r="N15327" s="43">
        <v>5.1788432267884321</v>
      </c>
      <c r="O15327" s="43">
        <v>11.5</v>
      </c>
      <c r="P15327" s="475"/>
      <c r="Q15327" s="475"/>
      <c r="R15327" s="475">
        <v>1</v>
      </c>
    </row>
    <row r="15328" spans="1:18" ht="24">
      <c r="A15328" s="471">
        <v>11</v>
      </c>
      <c r="B15328" s="468" t="s">
        <v>27497</v>
      </c>
      <c r="C15328" s="472" t="s">
        <v>27498</v>
      </c>
      <c r="D15328" s="473">
        <v>61.38</v>
      </c>
      <c r="E15328" s="473">
        <v>47.27</v>
      </c>
      <c r="F15328" s="473">
        <v>13.16</v>
      </c>
      <c r="G15328" s="473">
        <v>0.95</v>
      </c>
      <c r="H15328" s="474">
        <v>622.61</v>
      </c>
      <c r="I15328" s="474">
        <v>543.54999999999995</v>
      </c>
      <c r="J15328" s="474">
        <v>68.13</v>
      </c>
      <c r="K15328" s="474">
        <v>10.93</v>
      </c>
      <c r="L15328" s="43">
        <v>10.143532095144998</v>
      </c>
      <c r="M15328" s="43">
        <v>11.498836471334883</v>
      </c>
      <c r="N15328" s="43">
        <v>5.1770516717325226</v>
      </c>
      <c r="O15328" s="43">
        <v>11.500158277936057</v>
      </c>
      <c r="P15328" s="475"/>
      <c r="Q15328" s="475"/>
      <c r="R15328" s="475">
        <v>1</v>
      </c>
    </row>
    <row r="15329" spans="1:18" ht="24">
      <c r="A15329" s="471">
        <v>12</v>
      </c>
      <c r="B15329" s="468" t="s">
        <v>27499</v>
      </c>
      <c r="C15329" s="472" t="s">
        <v>27500</v>
      </c>
      <c r="D15329" s="473">
        <v>63.69</v>
      </c>
      <c r="E15329" s="473">
        <v>49.54</v>
      </c>
      <c r="F15329" s="473">
        <v>13.16</v>
      </c>
      <c r="G15329" s="473">
        <v>0.99</v>
      </c>
      <c r="H15329" s="474">
        <v>649.17999999999995</v>
      </c>
      <c r="I15329" s="474">
        <v>569.66</v>
      </c>
      <c r="J15329" s="474">
        <v>68.13</v>
      </c>
      <c r="K15329" s="474">
        <v>11.39</v>
      </c>
      <c r="L15329" s="43">
        <v>10.192808918197519</v>
      </c>
      <c r="M15329" s="43">
        <v>11.498990714574081</v>
      </c>
      <c r="N15329" s="43">
        <v>5.1770516717325226</v>
      </c>
      <c r="O15329" s="43">
        <v>11.500158277936057</v>
      </c>
      <c r="P15329" s="475"/>
      <c r="Q15329" s="475"/>
      <c r="R15329" s="475">
        <v>1</v>
      </c>
    </row>
    <row r="15330" spans="1:18" ht="24">
      <c r="A15330" s="471">
        <v>13</v>
      </c>
      <c r="B15330" s="468" t="s">
        <v>27501</v>
      </c>
      <c r="C15330" s="472" t="s">
        <v>27502</v>
      </c>
      <c r="D15330" s="473">
        <v>123.22</v>
      </c>
      <c r="E15330" s="473">
        <v>104.23</v>
      </c>
      <c r="F15330" s="473">
        <v>16.5</v>
      </c>
      <c r="G15330" s="473">
        <v>2.4900000000000002</v>
      </c>
      <c r="H15330" s="474">
        <v>1311.54</v>
      </c>
      <c r="I15330" s="474">
        <v>1198.67</v>
      </c>
      <c r="J15330" s="474">
        <v>85.37</v>
      </c>
      <c r="K15330" s="474">
        <v>27.5</v>
      </c>
      <c r="L15330" s="43">
        <v>10.64388897906184</v>
      </c>
      <c r="M15330" s="43">
        <v>11.500239854168665</v>
      </c>
      <c r="N15330" s="43">
        <v>5.1739393939393938</v>
      </c>
      <c r="O15330" s="43">
        <v>11.044176706827308</v>
      </c>
      <c r="P15330" s="475"/>
      <c r="Q15330" s="475"/>
      <c r="R15330" s="475">
        <v>1</v>
      </c>
    </row>
    <row r="15331" spans="1:18" ht="24">
      <c r="A15331" s="471">
        <v>14</v>
      </c>
      <c r="B15331" s="468" t="s">
        <v>27503</v>
      </c>
      <c r="C15331" s="472" t="s">
        <v>27504</v>
      </c>
      <c r="D15331" s="473">
        <v>134.91999999999999</v>
      </c>
      <c r="E15331" s="473">
        <v>108.17</v>
      </c>
      <c r="F15331" s="473">
        <v>23.43</v>
      </c>
      <c r="G15331" s="473">
        <v>3.32</v>
      </c>
      <c r="H15331" s="474">
        <v>1399.91</v>
      </c>
      <c r="I15331" s="474">
        <v>1244.02</v>
      </c>
      <c r="J15331" s="474">
        <v>120.92</v>
      </c>
      <c r="K15331" s="474">
        <v>34.97</v>
      </c>
      <c r="L15331" s="43">
        <v>10.375852356952269</v>
      </c>
      <c r="M15331" s="43">
        <v>11.500600905981326</v>
      </c>
      <c r="N15331" s="43">
        <v>5.1609048228766543</v>
      </c>
      <c r="O15331" s="43">
        <v>10.533132530120483</v>
      </c>
      <c r="P15331" s="475"/>
      <c r="Q15331" s="475"/>
      <c r="R15331" s="475">
        <v>1</v>
      </c>
    </row>
    <row r="15332" spans="1:18" ht="24">
      <c r="A15332" s="471">
        <v>15</v>
      </c>
      <c r="B15332" s="468" t="s">
        <v>27505</v>
      </c>
      <c r="C15332" s="472" t="s">
        <v>27506</v>
      </c>
      <c r="D15332" s="473">
        <v>176.89</v>
      </c>
      <c r="E15332" s="473">
        <v>131.72999999999999</v>
      </c>
      <c r="F15332" s="473">
        <v>41.85</v>
      </c>
      <c r="G15332" s="473">
        <v>3.31</v>
      </c>
      <c r="H15332" s="474">
        <v>1765.78</v>
      </c>
      <c r="I15332" s="474">
        <v>1514.99</v>
      </c>
      <c r="J15332" s="474">
        <v>214.58</v>
      </c>
      <c r="K15332" s="474">
        <v>36.21</v>
      </c>
      <c r="L15332" s="43">
        <v>9.9823619198371869</v>
      </c>
      <c r="M15332" s="43">
        <v>11.500721172094437</v>
      </c>
      <c r="N15332" s="43">
        <v>5.1273596176821981</v>
      </c>
      <c r="O15332" s="43">
        <v>10.939577039274925</v>
      </c>
      <c r="P15332" s="475"/>
      <c r="Q15332" s="475"/>
      <c r="R15332" s="475">
        <v>1</v>
      </c>
    </row>
    <row r="15333" spans="1:18" ht="24">
      <c r="A15333" s="471">
        <v>16</v>
      </c>
      <c r="B15333" s="468" t="s">
        <v>27507</v>
      </c>
      <c r="C15333" s="472" t="s">
        <v>27508</v>
      </c>
      <c r="D15333" s="473">
        <v>236.55</v>
      </c>
      <c r="E15333" s="473">
        <v>152.57</v>
      </c>
      <c r="F15333" s="473">
        <v>79.77</v>
      </c>
      <c r="G15333" s="473">
        <v>4.21</v>
      </c>
      <c r="H15333" s="474">
        <v>2202.65</v>
      </c>
      <c r="I15333" s="474">
        <v>1754.63</v>
      </c>
      <c r="J15333" s="474">
        <v>402.81</v>
      </c>
      <c r="K15333" s="474">
        <v>45.21</v>
      </c>
      <c r="L15333" s="43">
        <v>9.3115620376241814</v>
      </c>
      <c r="M15333" s="43">
        <v>11.500491577636495</v>
      </c>
      <c r="N15333" s="43">
        <v>5.0496427228281311</v>
      </c>
      <c r="O15333" s="43">
        <v>10.738717339667458</v>
      </c>
      <c r="P15333" s="475"/>
      <c r="Q15333" s="475"/>
      <c r="R15333" s="475">
        <v>1</v>
      </c>
    </row>
    <row r="15334" spans="1:18" ht="12.75" customHeight="1">
      <c r="A15334" s="628" t="s">
        <v>27509</v>
      </c>
      <c r="B15334" s="629"/>
      <c r="C15334" s="629"/>
      <c r="D15334" s="629"/>
      <c r="E15334" s="629"/>
      <c r="F15334" s="629"/>
      <c r="G15334" s="629"/>
      <c r="H15334" s="629"/>
      <c r="I15334" s="629"/>
      <c r="J15334" s="629"/>
      <c r="K15334" s="629"/>
      <c r="L15334" s="629"/>
      <c r="M15334" s="629"/>
      <c r="N15334" s="629"/>
      <c r="O15334" s="629"/>
      <c r="P15334" s="629"/>
      <c r="Q15334" s="629"/>
      <c r="R15334" s="629"/>
    </row>
    <row r="15335" spans="1:18" ht="12.75" customHeight="1">
      <c r="A15335" s="628" t="s">
        <v>27510</v>
      </c>
      <c r="B15335" s="629"/>
      <c r="C15335" s="629"/>
      <c r="D15335" s="629"/>
      <c r="E15335" s="629"/>
      <c r="F15335" s="629"/>
      <c r="G15335" s="629"/>
      <c r="H15335" s="629"/>
      <c r="I15335" s="629"/>
      <c r="J15335" s="629"/>
      <c r="K15335" s="629"/>
      <c r="L15335" s="629"/>
      <c r="M15335" s="629"/>
      <c r="N15335" s="629"/>
      <c r="O15335" s="629"/>
      <c r="P15335" s="629"/>
      <c r="Q15335" s="629"/>
      <c r="R15335" s="629"/>
    </row>
    <row r="15336" spans="1:18" ht="24">
      <c r="A15336" s="471">
        <v>17</v>
      </c>
      <c r="B15336" s="468" t="s">
        <v>27511</v>
      </c>
      <c r="C15336" s="472" t="s">
        <v>27512</v>
      </c>
      <c r="D15336" s="473">
        <v>112.27</v>
      </c>
      <c r="E15336" s="473">
        <v>108.17</v>
      </c>
      <c r="F15336" s="473">
        <v>1.53</v>
      </c>
      <c r="G15336" s="473">
        <v>2.57</v>
      </c>
      <c r="H15336" s="474">
        <v>1280.2</v>
      </c>
      <c r="I15336" s="474">
        <v>1244.02</v>
      </c>
      <c r="J15336" s="474">
        <v>7.76</v>
      </c>
      <c r="K15336" s="474">
        <v>28.42</v>
      </c>
      <c r="L15336" s="43">
        <v>11.402868085864435</v>
      </c>
      <c r="M15336" s="43">
        <v>11.500600905981326</v>
      </c>
      <c r="N15336" s="43">
        <v>5.0718954248366011</v>
      </c>
      <c r="O15336" s="43">
        <v>11.058365758754865</v>
      </c>
      <c r="P15336" s="475"/>
      <c r="Q15336" s="475"/>
      <c r="R15336" s="475">
        <v>1</v>
      </c>
    </row>
    <row r="15337" spans="1:18" ht="24">
      <c r="A15337" s="471">
        <v>18</v>
      </c>
      <c r="B15337" s="468" t="s">
        <v>27513</v>
      </c>
      <c r="C15337" s="472" t="s">
        <v>27514</v>
      </c>
      <c r="D15337" s="473">
        <v>174.71</v>
      </c>
      <c r="E15337" s="473">
        <v>168.15</v>
      </c>
      <c r="F15337" s="473">
        <v>2.79</v>
      </c>
      <c r="G15337" s="473">
        <v>3.77</v>
      </c>
      <c r="H15337" s="474">
        <v>1990.16</v>
      </c>
      <c r="I15337" s="474">
        <v>1933.77</v>
      </c>
      <c r="J15337" s="474">
        <v>14.17</v>
      </c>
      <c r="K15337" s="474">
        <v>42.22</v>
      </c>
      <c r="L15337" s="43">
        <v>11.391219735561789</v>
      </c>
      <c r="M15337" s="43">
        <v>11.500267618198038</v>
      </c>
      <c r="N15337" s="43">
        <v>5.0788530465949817</v>
      </c>
      <c r="O15337" s="43">
        <v>11.198938992042439</v>
      </c>
      <c r="P15337" s="475"/>
      <c r="Q15337" s="475"/>
      <c r="R15337" s="475">
        <v>1</v>
      </c>
    </row>
    <row r="15338" spans="1:18" ht="24">
      <c r="A15338" s="471">
        <v>19</v>
      </c>
      <c r="B15338" s="468" t="s">
        <v>27515</v>
      </c>
      <c r="C15338" s="472" t="s">
        <v>27516</v>
      </c>
      <c r="D15338" s="473">
        <v>112.27</v>
      </c>
      <c r="E15338" s="473">
        <v>108.17</v>
      </c>
      <c r="F15338" s="473">
        <v>1.53</v>
      </c>
      <c r="G15338" s="473">
        <v>2.57</v>
      </c>
      <c r="H15338" s="474">
        <v>1280.2</v>
      </c>
      <c r="I15338" s="474">
        <v>1244.02</v>
      </c>
      <c r="J15338" s="474">
        <v>7.76</v>
      </c>
      <c r="K15338" s="474">
        <v>28.42</v>
      </c>
      <c r="L15338" s="43">
        <v>11.402868085864435</v>
      </c>
      <c r="M15338" s="43">
        <v>11.500600905981326</v>
      </c>
      <c r="N15338" s="43">
        <v>5.0718954248366011</v>
      </c>
      <c r="O15338" s="43">
        <v>11.058365758754865</v>
      </c>
      <c r="P15338" s="475"/>
      <c r="Q15338" s="475"/>
      <c r="R15338" s="475">
        <v>1</v>
      </c>
    </row>
    <row r="15339" spans="1:18" ht="24">
      <c r="A15339" s="471">
        <v>20</v>
      </c>
      <c r="B15339" s="468" t="s">
        <v>27517</v>
      </c>
      <c r="C15339" s="472" t="s">
        <v>27518</v>
      </c>
      <c r="D15339" s="473">
        <v>172.91</v>
      </c>
      <c r="E15339" s="473">
        <v>166.1</v>
      </c>
      <c r="F15339" s="473">
        <v>1.59</v>
      </c>
      <c r="G15339" s="473">
        <v>5.22</v>
      </c>
      <c r="H15339" s="474">
        <v>1972.17</v>
      </c>
      <c r="I15339" s="474">
        <v>1910.2</v>
      </c>
      <c r="J15339" s="474">
        <v>7.1</v>
      </c>
      <c r="K15339" s="474">
        <v>54.87</v>
      </c>
      <c r="L15339" s="43">
        <v>11.405760222080852</v>
      </c>
      <c r="M15339" s="43">
        <v>11.500301023479832</v>
      </c>
      <c r="N15339" s="43">
        <v>4.465408805031446</v>
      </c>
      <c r="O15339" s="43">
        <v>10.511494252873563</v>
      </c>
      <c r="P15339" s="475"/>
      <c r="Q15339" s="475"/>
      <c r="R15339" s="475">
        <v>1</v>
      </c>
    </row>
    <row r="15340" spans="1:18" ht="24">
      <c r="A15340" s="471">
        <v>21</v>
      </c>
      <c r="B15340" s="468" t="s">
        <v>27519</v>
      </c>
      <c r="C15340" s="472" t="s">
        <v>27520</v>
      </c>
      <c r="D15340" s="473">
        <v>91.51</v>
      </c>
      <c r="E15340" s="473">
        <v>88.89</v>
      </c>
      <c r="F15340" s="473">
        <v>0.43</v>
      </c>
      <c r="G15340" s="473">
        <v>2.19</v>
      </c>
      <c r="H15340" s="474">
        <v>1048.0899999999999</v>
      </c>
      <c r="I15340" s="474">
        <v>1022.21</v>
      </c>
      <c r="J15340" s="474">
        <v>1.83</v>
      </c>
      <c r="K15340" s="474">
        <v>24.05</v>
      </c>
      <c r="L15340" s="43">
        <v>11.453283794120859</v>
      </c>
      <c r="M15340" s="43">
        <v>11.499718753515582</v>
      </c>
      <c r="N15340" s="43">
        <v>4.2558139534883725</v>
      </c>
      <c r="O15340" s="43">
        <v>10.981735159817353</v>
      </c>
      <c r="P15340" s="475"/>
      <c r="Q15340" s="475"/>
      <c r="R15340" s="475">
        <v>1</v>
      </c>
    </row>
    <row r="15341" spans="1:18" ht="24">
      <c r="A15341" s="471">
        <v>22</v>
      </c>
      <c r="B15341" s="468" t="s">
        <v>27521</v>
      </c>
      <c r="C15341" s="472" t="s">
        <v>27522</v>
      </c>
      <c r="D15341" s="473">
        <v>193.93</v>
      </c>
      <c r="E15341" s="473">
        <v>182.11</v>
      </c>
      <c r="F15341" s="473">
        <v>7.02</v>
      </c>
      <c r="G15341" s="473">
        <v>4.8</v>
      </c>
      <c r="H15341" s="474">
        <v>2181.56</v>
      </c>
      <c r="I15341" s="474">
        <v>2094.29</v>
      </c>
      <c r="J15341" s="474">
        <v>35.28</v>
      </c>
      <c r="K15341" s="474">
        <v>51.99</v>
      </c>
      <c r="L15341" s="43">
        <v>11.249213633785386</v>
      </c>
      <c r="M15341" s="43">
        <v>11.500137279666134</v>
      </c>
      <c r="N15341" s="43">
        <v>5.0256410256410264</v>
      </c>
      <c r="O15341" s="43">
        <v>10.831250000000001</v>
      </c>
      <c r="P15341" s="475"/>
      <c r="Q15341" s="475"/>
      <c r="R15341" s="475">
        <v>1</v>
      </c>
    </row>
    <row r="15342" spans="1:18" ht="24">
      <c r="A15342" s="471">
        <v>23</v>
      </c>
      <c r="B15342" s="468" t="s">
        <v>27523</v>
      </c>
      <c r="C15342" s="472" t="s">
        <v>27524</v>
      </c>
      <c r="D15342" s="473">
        <v>253.21</v>
      </c>
      <c r="E15342" s="473">
        <v>244.98</v>
      </c>
      <c r="F15342" s="473">
        <v>2.17</v>
      </c>
      <c r="G15342" s="473">
        <v>6.06</v>
      </c>
      <c r="H15342" s="474">
        <v>2893.09</v>
      </c>
      <c r="I15342" s="474">
        <v>2817.32</v>
      </c>
      <c r="J15342" s="474">
        <v>9.2899999999999991</v>
      </c>
      <c r="K15342" s="474">
        <v>66.48</v>
      </c>
      <c r="L15342" s="43">
        <v>11.425654595000198</v>
      </c>
      <c r="M15342" s="43">
        <v>11.500204098293739</v>
      </c>
      <c r="N15342" s="43">
        <v>4.2811059907834101</v>
      </c>
      <c r="O15342" s="43">
        <v>10.970297029702971</v>
      </c>
      <c r="P15342" s="475"/>
      <c r="Q15342" s="475"/>
      <c r="R15342" s="475">
        <v>1</v>
      </c>
    </row>
    <row r="15343" spans="1:18" ht="24">
      <c r="A15343" s="471">
        <v>24</v>
      </c>
      <c r="B15343" s="468" t="s">
        <v>27525</v>
      </c>
      <c r="C15343" s="472" t="s">
        <v>27526</v>
      </c>
      <c r="D15343" s="473">
        <v>261.27999999999997</v>
      </c>
      <c r="E15343" s="473">
        <v>250.67</v>
      </c>
      <c r="F15343" s="473">
        <v>5.09</v>
      </c>
      <c r="G15343" s="473">
        <v>5.52</v>
      </c>
      <c r="H15343" s="474">
        <v>2970.65</v>
      </c>
      <c r="I15343" s="474">
        <v>2882.87</v>
      </c>
      <c r="J15343" s="474">
        <v>25.69</v>
      </c>
      <c r="K15343" s="474">
        <v>62.09</v>
      </c>
      <c r="L15343" s="43">
        <v>11.369603490508268</v>
      </c>
      <c r="M15343" s="43">
        <v>11.500658235927714</v>
      </c>
      <c r="N15343" s="43">
        <v>5.0471512770137528</v>
      </c>
      <c r="O15343" s="43">
        <v>11.248188405797103</v>
      </c>
      <c r="P15343" s="475"/>
      <c r="Q15343" s="475"/>
      <c r="R15343" s="475">
        <v>1</v>
      </c>
    </row>
    <row r="15344" spans="1:18" ht="24">
      <c r="A15344" s="471">
        <v>25</v>
      </c>
      <c r="B15344" s="468" t="s">
        <v>27527</v>
      </c>
      <c r="C15344" s="472" t="s">
        <v>27528</v>
      </c>
      <c r="D15344" s="473">
        <v>157.44999999999999</v>
      </c>
      <c r="E15344" s="473">
        <v>152.35</v>
      </c>
      <c r="F15344" s="473">
        <v>1.72</v>
      </c>
      <c r="G15344" s="473">
        <v>3.38</v>
      </c>
      <c r="H15344" s="474">
        <v>1797.35</v>
      </c>
      <c r="I15344" s="474">
        <v>1752.05</v>
      </c>
      <c r="J15344" s="474">
        <v>7.36</v>
      </c>
      <c r="K15344" s="474">
        <v>37.94</v>
      </c>
      <c r="L15344" s="43">
        <v>11.415369958717053</v>
      </c>
      <c r="M15344" s="43">
        <v>11.500164095831966</v>
      </c>
      <c r="N15344" s="43">
        <v>4.279069767441861</v>
      </c>
      <c r="O15344" s="43">
        <v>11.224852071005916</v>
      </c>
      <c r="P15344" s="475"/>
      <c r="Q15344" s="475"/>
      <c r="R15344" s="475">
        <v>1</v>
      </c>
    </row>
    <row r="15345" spans="1:18" ht="24">
      <c r="A15345" s="471">
        <v>26</v>
      </c>
      <c r="B15345" s="468" t="s">
        <v>27529</v>
      </c>
      <c r="C15345" s="472" t="s">
        <v>27530</v>
      </c>
      <c r="D15345" s="473">
        <v>170.51</v>
      </c>
      <c r="E15345" s="473">
        <v>159.97999999999999</v>
      </c>
      <c r="F15345" s="473">
        <v>7</v>
      </c>
      <c r="G15345" s="473">
        <v>3.53</v>
      </c>
      <c r="H15345" s="474">
        <v>1914.74</v>
      </c>
      <c r="I15345" s="474">
        <v>1839.88</v>
      </c>
      <c r="J15345" s="474">
        <v>35.200000000000003</v>
      </c>
      <c r="K15345" s="474">
        <v>39.659999999999997</v>
      </c>
      <c r="L15345" s="43">
        <v>11.229488006568531</v>
      </c>
      <c r="M15345" s="43">
        <v>11.500687585948246</v>
      </c>
      <c r="N15345" s="43">
        <v>5.0285714285714294</v>
      </c>
      <c r="O15345" s="43">
        <v>11.23512747875354</v>
      </c>
      <c r="P15345" s="475"/>
      <c r="Q15345" s="475"/>
      <c r="R15345" s="475">
        <v>1</v>
      </c>
    </row>
    <row r="15346" spans="1:18" ht="24">
      <c r="A15346" s="471">
        <v>27</v>
      </c>
      <c r="B15346" s="468" t="s">
        <v>27531</v>
      </c>
      <c r="C15346" s="472" t="s">
        <v>27532</v>
      </c>
      <c r="D15346" s="473">
        <v>266.18</v>
      </c>
      <c r="E15346" s="473">
        <v>254.9</v>
      </c>
      <c r="F15346" s="473">
        <v>4.8499999999999996</v>
      </c>
      <c r="G15346" s="473">
        <v>6.43</v>
      </c>
      <c r="H15346" s="474">
        <v>3023.58</v>
      </c>
      <c r="I15346" s="474">
        <v>2931.4</v>
      </c>
      <c r="J15346" s="474">
        <v>21.85</v>
      </c>
      <c r="K15346" s="474">
        <v>70.33</v>
      </c>
      <c r="L15346" s="43">
        <v>11.359155458712149</v>
      </c>
      <c r="M15346" s="43">
        <v>11.500196155355042</v>
      </c>
      <c r="N15346" s="43">
        <v>4.5051546391752586</v>
      </c>
      <c r="O15346" s="43">
        <v>10.937791601866252</v>
      </c>
      <c r="P15346" s="475"/>
      <c r="Q15346" s="475"/>
      <c r="R15346" s="475">
        <v>1</v>
      </c>
    </row>
    <row r="15347" spans="1:18" ht="24">
      <c r="A15347" s="471">
        <v>28</v>
      </c>
      <c r="B15347" s="468" t="s">
        <v>27533</v>
      </c>
      <c r="C15347" s="472" t="s">
        <v>27534</v>
      </c>
      <c r="D15347" s="473">
        <v>213.17</v>
      </c>
      <c r="E15347" s="473">
        <v>185.76</v>
      </c>
      <c r="F15347" s="473">
        <v>22.87</v>
      </c>
      <c r="G15347" s="473">
        <v>4.54</v>
      </c>
      <c r="H15347" s="474">
        <v>2301.16</v>
      </c>
      <c r="I15347" s="474">
        <v>2136.2399999999998</v>
      </c>
      <c r="J15347" s="474">
        <v>114.99</v>
      </c>
      <c r="K15347" s="474">
        <v>49.93</v>
      </c>
      <c r="L15347" s="43">
        <v>10.794952385420087</v>
      </c>
      <c r="M15347" s="43">
        <v>11.5</v>
      </c>
      <c r="N15347" s="43">
        <v>5.0279842588543939</v>
      </c>
      <c r="O15347" s="43">
        <v>10.997797356828194</v>
      </c>
      <c r="P15347" s="475"/>
      <c r="Q15347" s="475"/>
      <c r="R15347" s="475">
        <v>1</v>
      </c>
    </row>
    <row r="15348" spans="1:18" ht="24">
      <c r="A15348" s="471">
        <v>29</v>
      </c>
      <c r="B15348" s="468" t="s">
        <v>27535</v>
      </c>
      <c r="C15348" s="472" t="s">
        <v>27536</v>
      </c>
      <c r="D15348" s="473">
        <v>164.27</v>
      </c>
      <c r="E15348" s="473">
        <v>150.66999999999999</v>
      </c>
      <c r="F15348" s="473">
        <v>10.220000000000001</v>
      </c>
      <c r="G15348" s="473">
        <v>3.38</v>
      </c>
      <c r="H15348" s="474">
        <v>1822.57</v>
      </c>
      <c r="I15348" s="474">
        <v>1732.73</v>
      </c>
      <c r="J15348" s="474">
        <v>51.94</v>
      </c>
      <c r="K15348" s="474">
        <v>37.9</v>
      </c>
      <c r="L15348" s="43">
        <v>11.094965605405733</v>
      </c>
      <c r="M15348" s="43">
        <v>11.500165925532622</v>
      </c>
      <c r="N15348" s="43">
        <v>5.0821917808219172</v>
      </c>
      <c r="O15348" s="43">
        <v>11.21301775147929</v>
      </c>
      <c r="P15348" s="475"/>
      <c r="Q15348" s="475"/>
      <c r="R15348" s="475">
        <v>1</v>
      </c>
    </row>
    <row r="15349" spans="1:18" ht="12.75" customHeight="1">
      <c r="A15349" s="628" t="s">
        <v>27537</v>
      </c>
      <c r="B15349" s="629"/>
      <c r="C15349" s="629"/>
      <c r="D15349" s="629"/>
      <c r="E15349" s="629"/>
      <c r="F15349" s="629"/>
      <c r="G15349" s="629"/>
      <c r="H15349" s="629"/>
      <c r="I15349" s="629"/>
      <c r="J15349" s="629"/>
      <c r="K15349" s="629"/>
      <c r="L15349" s="629"/>
      <c r="M15349" s="629"/>
      <c r="N15349" s="629"/>
      <c r="O15349" s="629"/>
      <c r="P15349" s="629"/>
      <c r="Q15349" s="629"/>
      <c r="R15349" s="629"/>
    </row>
    <row r="15350" spans="1:18" ht="12.75" customHeight="1">
      <c r="A15350" s="628" t="s">
        <v>27538</v>
      </c>
      <c r="B15350" s="629"/>
      <c r="C15350" s="629"/>
      <c r="D15350" s="629"/>
      <c r="E15350" s="629"/>
      <c r="F15350" s="629"/>
      <c r="G15350" s="629"/>
      <c r="H15350" s="629"/>
      <c r="I15350" s="629"/>
      <c r="J15350" s="629"/>
      <c r="K15350" s="629"/>
      <c r="L15350" s="629"/>
      <c r="M15350" s="629"/>
      <c r="N15350" s="629"/>
      <c r="O15350" s="629"/>
      <c r="P15350" s="629"/>
      <c r="Q15350" s="629"/>
      <c r="R15350" s="629"/>
    </row>
    <row r="15351" spans="1:18" ht="24">
      <c r="A15351" s="471">
        <v>30</v>
      </c>
      <c r="B15351" s="468" t="s">
        <v>27539</v>
      </c>
      <c r="C15351" s="472" t="s">
        <v>27540</v>
      </c>
      <c r="D15351" s="473">
        <v>126.25</v>
      </c>
      <c r="E15351" s="473">
        <v>121.02</v>
      </c>
      <c r="F15351" s="473">
        <v>1.72</v>
      </c>
      <c r="G15351" s="473">
        <v>3.51</v>
      </c>
      <c r="H15351" s="474">
        <v>1436.55</v>
      </c>
      <c r="I15351" s="474">
        <v>1391.82</v>
      </c>
      <c r="J15351" s="474">
        <v>7.36</v>
      </c>
      <c r="K15351" s="474">
        <v>37.369999999999997</v>
      </c>
      <c r="L15351" s="43">
        <v>11.378613861386139</v>
      </c>
      <c r="M15351" s="43">
        <v>11.500743678730789</v>
      </c>
      <c r="N15351" s="43">
        <v>4.279069767441861</v>
      </c>
      <c r="O15351" s="43">
        <v>10.646723646723647</v>
      </c>
      <c r="P15351" s="475"/>
      <c r="Q15351" s="475"/>
      <c r="R15351" s="475">
        <v>1</v>
      </c>
    </row>
    <row r="15352" spans="1:18" ht="24">
      <c r="A15352" s="471">
        <v>31</v>
      </c>
      <c r="B15352" s="468" t="s">
        <v>27541</v>
      </c>
      <c r="C15352" s="472" t="s">
        <v>27542</v>
      </c>
      <c r="D15352" s="473">
        <v>216.36</v>
      </c>
      <c r="E15352" s="473">
        <v>187.43</v>
      </c>
      <c r="F15352" s="473">
        <v>11.24</v>
      </c>
      <c r="G15352" s="473">
        <v>17.690000000000001</v>
      </c>
      <c r="H15352" s="474">
        <v>2368.21</v>
      </c>
      <c r="I15352" s="474">
        <v>2155.48</v>
      </c>
      <c r="J15352" s="474">
        <v>47.42</v>
      </c>
      <c r="K15352" s="474">
        <v>165.31</v>
      </c>
      <c r="L15352" s="43">
        <v>10.945692364577555</v>
      </c>
      <c r="M15352" s="43">
        <v>11.500186736381583</v>
      </c>
      <c r="N15352" s="43">
        <v>4.2188612099644125</v>
      </c>
      <c r="O15352" s="43">
        <v>9.3448275862068968</v>
      </c>
      <c r="P15352" s="475"/>
      <c r="Q15352" s="475"/>
      <c r="R15352" s="475">
        <v>1</v>
      </c>
    </row>
    <row r="15353" spans="1:18" ht="24">
      <c r="A15353" s="471">
        <v>32</v>
      </c>
      <c r="B15353" s="468" t="s">
        <v>27543</v>
      </c>
      <c r="C15353" s="472" t="s">
        <v>27544</v>
      </c>
      <c r="D15353" s="473">
        <v>2184.1799999999998</v>
      </c>
      <c r="E15353" s="473">
        <v>1537.68</v>
      </c>
      <c r="F15353" s="473">
        <v>608.95000000000005</v>
      </c>
      <c r="G15353" s="473">
        <v>37.549999999999997</v>
      </c>
      <c r="H15353" s="474">
        <v>21480.35</v>
      </c>
      <c r="I15353" s="474">
        <v>17683.32</v>
      </c>
      <c r="J15353" s="474">
        <v>3383.8</v>
      </c>
      <c r="K15353" s="474">
        <v>413.23</v>
      </c>
      <c r="L15353" s="43">
        <v>9.8345145546612454</v>
      </c>
      <c r="M15353" s="43">
        <v>11.5</v>
      </c>
      <c r="N15353" s="43">
        <v>5.5567780605961081</v>
      </c>
      <c r="O15353" s="43">
        <v>11.004793608521972</v>
      </c>
      <c r="P15353" s="475"/>
      <c r="Q15353" s="475"/>
      <c r="R15353" s="475">
        <v>1</v>
      </c>
    </row>
    <row r="15354" spans="1:18" ht="12.75" customHeight="1">
      <c r="A15354" s="628" t="s">
        <v>19187</v>
      </c>
      <c r="B15354" s="629"/>
      <c r="C15354" s="629"/>
      <c r="D15354" s="629"/>
      <c r="E15354" s="629"/>
      <c r="F15354" s="629"/>
      <c r="G15354" s="629"/>
      <c r="H15354" s="629"/>
      <c r="I15354" s="629"/>
      <c r="J15354" s="629"/>
      <c r="K15354" s="629"/>
      <c r="L15354" s="629"/>
      <c r="M15354" s="629"/>
      <c r="N15354" s="629"/>
      <c r="O15354" s="629"/>
      <c r="P15354" s="629"/>
      <c r="Q15354" s="629"/>
      <c r="R15354" s="629"/>
    </row>
    <row r="15355" spans="1:18" ht="24">
      <c r="A15355" s="471">
        <v>33</v>
      </c>
      <c r="B15355" s="468" t="s">
        <v>27545</v>
      </c>
      <c r="C15355" s="472" t="s">
        <v>27546</v>
      </c>
      <c r="D15355" s="473">
        <v>353.38</v>
      </c>
      <c r="E15355" s="473">
        <v>329.21</v>
      </c>
      <c r="F15355" s="473">
        <v>14.33</v>
      </c>
      <c r="G15355" s="473">
        <v>9.84</v>
      </c>
      <c r="H15355" s="474">
        <v>3950.81</v>
      </c>
      <c r="I15355" s="474">
        <v>3785.89</v>
      </c>
      <c r="J15355" s="474">
        <v>60.64</v>
      </c>
      <c r="K15355" s="474">
        <v>104.28</v>
      </c>
      <c r="L15355" s="43">
        <v>11.18006112400249</v>
      </c>
      <c r="M15355" s="43">
        <v>11.499924060629994</v>
      </c>
      <c r="N15355" s="43">
        <v>4.2316817864619676</v>
      </c>
      <c r="O15355" s="43">
        <v>10.597560975609756</v>
      </c>
      <c r="P15355" s="475"/>
      <c r="Q15355" s="475"/>
      <c r="R15355" s="475">
        <v>2</v>
      </c>
    </row>
    <row r="15356" spans="1:18" ht="12.75" customHeight="1">
      <c r="A15356" s="628" t="s">
        <v>23841</v>
      </c>
      <c r="B15356" s="629"/>
      <c r="C15356" s="629"/>
      <c r="D15356" s="629"/>
      <c r="E15356" s="629"/>
      <c r="F15356" s="629"/>
      <c r="G15356" s="629"/>
      <c r="H15356" s="629"/>
      <c r="I15356" s="629"/>
      <c r="J15356" s="629"/>
      <c r="K15356" s="629"/>
      <c r="L15356" s="629"/>
      <c r="M15356" s="629"/>
      <c r="N15356" s="629"/>
      <c r="O15356" s="629"/>
      <c r="P15356" s="629"/>
      <c r="Q15356" s="629"/>
      <c r="R15356" s="629"/>
    </row>
    <row r="15357" spans="1:18" ht="24">
      <c r="A15357" s="471">
        <v>34</v>
      </c>
      <c r="B15357" s="468" t="s">
        <v>27547</v>
      </c>
      <c r="C15357" s="472" t="s">
        <v>27548</v>
      </c>
      <c r="D15357" s="473">
        <v>389.73</v>
      </c>
      <c r="E15357" s="473">
        <v>315.27999999999997</v>
      </c>
      <c r="F15357" s="473">
        <v>18.5</v>
      </c>
      <c r="G15357" s="473">
        <v>55.95</v>
      </c>
      <c r="H15357" s="474">
        <v>4211.92</v>
      </c>
      <c r="I15357" s="474">
        <v>3625.77</v>
      </c>
      <c r="J15357" s="474">
        <v>78.5</v>
      </c>
      <c r="K15357" s="474">
        <v>507.65</v>
      </c>
      <c r="L15357" s="43">
        <v>10.807276832679033</v>
      </c>
      <c r="M15357" s="43">
        <v>11.500158589190562</v>
      </c>
      <c r="N15357" s="43">
        <v>4.243243243243243</v>
      </c>
      <c r="O15357" s="43">
        <v>9.0732797140303827</v>
      </c>
      <c r="P15357" s="475"/>
      <c r="Q15357" s="475"/>
      <c r="R15357" s="475">
        <v>3</v>
      </c>
    </row>
    <row r="15358" spans="1:18" ht="12.75" customHeight="1">
      <c r="A15358" s="628" t="s">
        <v>27549</v>
      </c>
      <c r="B15358" s="629"/>
      <c r="C15358" s="629"/>
      <c r="D15358" s="629"/>
      <c r="E15358" s="629"/>
      <c r="F15358" s="629"/>
      <c r="G15358" s="629"/>
      <c r="H15358" s="629"/>
      <c r="I15358" s="629"/>
      <c r="J15358" s="629"/>
      <c r="K15358" s="629"/>
      <c r="L15358" s="629"/>
      <c r="M15358" s="629"/>
      <c r="N15358" s="629"/>
      <c r="O15358" s="629"/>
      <c r="P15358" s="629"/>
      <c r="Q15358" s="629"/>
      <c r="R15358" s="629"/>
    </row>
    <row r="15359" spans="1:18" ht="24">
      <c r="A15359" s="471">
        <v>35</v>
      </c>
      <c r="B15359" s="468" t="s">
        <v>27550</v>
      </c>
      <c r="C15359" s="472" t="s">
        <v>27551</v>
      </c>
      <c r="D15359" s="473">
        <v>156.99</v>
      </c>
      <c r="E15359" s="473">
        <v>148.77000000000001</v>
      </c>
      <c r="F15359" s="473">
        <v>2.25</v>
      </c>
      <c r="G15359" s="473">
        <v>5.97</v>
      </c>
      <c r="H15359" s="474">
        <v>1782.99</v>
      </c>
      <c r="I15359" s="474">
        <v>1710.97</v>
      </c>
      <c r="J15359" s="474">
        <v>11.53</v>
      </c>
      <c r="K15359" s="474">
        <v>60.49</v>
      </c>
      <c r="L15359" s="43">
        <v>11.357347601758073</v>
      </c>
      <c r="M15359" s="43">
        <v>11.50077300531021</v>
      </c>
      <c r="N15359" s="43">
        <v>5.1244444444444444</v>
      </c>
      <c r="O15359" s="43">
        <v>10.132328308207706</v>
      </c>
      <c r="P15359" s="475"/>
      <c r="Q15359" s="475"/>
      <c r="R15359" s="475">
        <v>4</v>
      </c>
    </row>
    <row r="15360" spans="1:18" ht="24">
      <c r="A15360" s="471">
        <v>36</v>
      </c>
      <c r="B15360" s="468" t="s">
        <v>27552</v>
      </c>
      <c r="C15360" s="472" t="s">
        <v>27553</v>
      </c>
      <c r="D15360" s="473">
        <v>258.95999999999998</v>
      </c>
      <c r="E15360" s="473">
        <v>222.14</v>
      </c>
      <c r="F15360" s="473">
        <v>17.559999999999999</v>
      </c>
      <c r="G15360" s="473">
        <v>19.260000000000002</v>
      </c>
      <c r="H15360" s="474">
        <v>2826.75</v>
      </c>
      <c r="I15360" s="474">
        <v>2554.7399999999998</v>
      </c>
      <c r="J15360" s="474">
        <v>91.02</v>
      </c>
      <c r="K15360" s="474">
        <v>180.99</v>
      </c>
      <c r="L15360" s="43">
        <v>10.915778498609825</v>
      </c>
      <c r="M15360" s="43">
        <v>11.500585216530116</v>
      </c>
      <c r="N15360" s="43">
        <v>5.1833712984054667</v>
      </c>
      <c r="O15360" s="43">
        <v>9.3971962616822431</v>
      </c>
      <c r="P15360" s="475"/>
      <c r="Q15360" s="475"/>
      <c r="R15360" s="475">
        <v>4</v>
      </c>
    </row>
    <row r="15361" spans="1:18" ht="24">
      <c r="A15361" s="471">
        <v>37</v>
      </c>
      <c r="B15361" s="468" t="s">
        <v>27554</v>
      </c>
      <c r="C15361" s="472" t="s">
        <v>27555</v>
      </c>
      <c r="D15361" s="473">
        <v>269.39999999999998</v>
      </c>
      <c r="E15361" s="473">
        <v>222.14</v>
      </c>
      <c r="F15361" s="473">
        <v>22.83</v>
      </c>
      <c r="G15361" s="473">
        <v>24.43</v>
      </c>
      <c r="H15361" s="474">
        <v>2899.56</v>
      </c>
      <c r="I15361" s="474">
        <v>2554.7399999999998</v>
      </c>
      <c r="J15361" s="474">
        <v>118.54</v>
      </c>
      <c r="K15361" s="474">
        <v>226.28</v>
      </c>
      <c r="L15361" s="43">
        <v>10.7630289532294</v>
      </c>
      <c r="M15361" s="43">
        <v>11.500585216530116</v>
      </c>
      <c r="N15361" s="43">
        <v>5.1922908453788885</v>
      </c>
      <c r="O15361" s="43">
        <v>9.2623823168235777</v>
      </c>
      <c r="P15361" s="475"/>
      <c r="Q15361" s="475"/>
      <c r="R15361" s="475">
        <v>4</v>
      </c>
    </row>
    <row r="15362" spans="1:18" ht="24">
      <c r="A15362" s="471">
        <v>38</v>
      </c>
      <c r="B15362" s="468" t="s">
        <v>27556</v>
      </c>
      <c r="C15362" s="472" t="s">
        <v>27557</v>
      </c>
      <c r="D15362" s="473">
        <v>522.49</v>
      </c>
      <c r="E15362" s="473">
        <v>300.60000000000002</v>
      </c>
      <c r="F15362" s="473">
        <v>15.12</v>
      </c>
      <c r="G15362" s="473">
        <v>206.77</v>
      </c>
      <c r="H15362" s="474">
        <v>4331.75</v>
      </c>
      <c r="I15362" s="474">
        <v>3456.9</v>
      </c>
      <c r="J15362" s="474">
        <v>64.010000000000005</v>
      </c>
      <c r="K15362" s="474">
        <v>810.84</v>
      </c>
      <c r="L15362" s="43">
        <v>8.2905892935749961</v>
      </c>
      <c r="M15362" s="43">
        <v>11.5</v>
      </c>
      <c r="N15362" s="43">
        <v>4.2334656084656093</v>
      </c>
      <c r="O15362" s="43">
        <v>3.9214586255259465</v>
      </c>
      <c r="P15362" s="475"/>
      <c r="Q15362" s="475"/>
      <c r="R15362" s="475">
        <v>4</v>
      </c>
    </row>
    <row r="15363" spans="1:18" ht="12.75" customHeight="1">
      <c r="A15363" s="628" t="s">
        <v>27558</v>
      </c>
      <c r="B15363" s="629"/>
      <c r="C15363" s="629"/>
      <c r="D15363" s="629"/>
      <c r="E15363" s="629"/>
      <c r="F15363" s="629"/>
      <c r="G15363" s="629"/>
      <c r="H15363" s="629"/>
      <c r="I15363" s="629"/>
      <c r="J15363" s="629"/>
      <c r="K15363" s="629"/>
      <c r="L15363" s="629"/>
      <c r="M15363" s="629"/>
      <c r="N15363" s="629"/>
      <c r="O15363" s="629"/>
      <c r="P15363" s="629"/>
      <c r="Q15363" s="629"/>
      <c r="R15363" s="629"/>
    </row>
    <row r="15364" spans="1:18" ht="24">
      <c r="A15364" s="471">
        <v>39</v>
      </c>
      <c r="B15364" s="468" t="s">
        <v>27559</v>
      </c>
      <c r="C15364" s="472" t="s">
        <v>27560</v>
      </c>
      <c r="D15364" s="473">
        <v>392.22</v>
      </c>
      <c r="E15364" s="473">
        <v>241.5</v>
      </c>
      <c r="F15364" s="473">
        <v>12.41</v>
      </c>
      <c r="G15364" s="473">
        <v>138.31</v>
      </c>
      <c r="H15364" s="474">
        <v>3402.32</v>
      </c>
      <c r="I15364" s="474">
        <v>2777.4</v>
      </c>
      <c r="J15364" s="474">
        <v>53.81</v>
      </c>
      <c r="K15364" s="474">
        <v>571.11</v>
      </c>
      <c r="L15364" s="43">
        <v>8.6745194023762178</v>
      </c>
      <c r="M15364" s="43">
        <v>11.500621118012424</v>
      </c>
      <c r="N15364" s="43">
        <v>4.3360193392425463</v>
      </c>
      <c r="O15364" s="43">
        <v>4.1292025160870507</v>
      </c>
      <c r="P15364" s="475"/>
      <c r="Q15364" s="475"/>
      <c r="R15364" s="475">
        <v>5</v>
      </c>
    </row>
    <row r="15365" spans="1:18" ht="24">
      <c r="A15365" s="471">
        <v>40</v>
      </c>
      <c r="B15365" s="468" t="s">
        <v>27561</v>
      </c>
      <c r="C15365" s="472" t="s">
        <v>27562</v>
      </c>
      <c r="D15365" s="473">
        <v>623.45000000000005</v>
      </c>
      <c r="E15365" s="473">
        <v>366.84</v>
      </c>
      <c r="F15365" s="473">
        <v>16.43</v>
      </c>
      <c r="G15365" s="473">
        <v>240.18</v>
      </c>
      <c r="H15365" s="474">
        <v>5254.53</v>
      </c>
      <c r="I15365" s="474">
        <v>4218.84</v>
      </c>
      <c r="J15365" s="474">
        <v>73.8</v>
      </c>
      <c r="K15365" s="474">
        <v>961.89</v>
      </c>
      <c r="L15365" s="43">
        <v>8.4281498115326006</v>
      </c>
      <c r="M15365" s="43">
        <v>11.500490677134447</v>
      </c>
      <c r="N15365" s="43">
        <v>4.4917833231892876</v>
      </c>
      <c r="O15365" s="43">
        <v>4.0048713464901322</v>
      </c>
      <c r="P15365" s="475"/>
      <c r="Q15365" s="475"/>
      <c r="R15365" s="475">
        <v>5</v>
      </c>
    </row>
    <row r="15366" spans="1:18" ht="24">
      <c r="A15366" s="471">
        <v>41</v>
      </c>
      <c r="B15366" s="468" t="s">
        <v>27563</v>
      </c>
      <c r="C15366" s="472" t="s">
        <v>27564</v>
      </c>
      <c r="D15366" s="473">
        <v>2219.4299999999998</v>
      </c>
      <c r="E15366" s="473">
        <v>1059.76</v>
      </c>
      <c r="F15366" s="473">
        <v>619.85</v>
      </c>
      <c r="G15366" s="473">
        <v>539.82000000000005</v>
      </c>
      <c r="H15366" s="474">
        <v>17648.45</v>
      </c>
      <c r="I15366" s="474">
        <v>12187.76</v>
      </c>
      <c r="J15366" s="474">
        <v>3288.75</v>
      </c>
      <c r="K15366" s="474">
        <v>2171.94</v>
      </c>
      <c r="L15366" s="43">
        <v>7.9517939290718793</v>
      </c>
      <c r="M15366" s="43">
        <v>11.500490677134446</v>
      </c>
      <c r="N15366" s="43">
        <v>5.3057191255949014</v>
      </c>
      <c r="O15366" s="43">
        <v>4.0234522618650654</v>
      </c>
      <c r="P15366" s="475"/>
      <c r="Q15366" s="475"/>
      <c r="R15366" s="475">
        <v>5</v>
      </c>
    </row>
    <row r="15367" spans="1:18" ht="24">
      <c r="A15367" s="471">
        <v>42</v>
      </c>
      <c r="B15367" s="468" t="s">
        <v>27565</v>
      </c>
      <c r="C15367" s="472" t="s">
        <v>27566</v>
      </c>
      <c r="D15367" s="473">
        <v>621.66999999999996</v>
      </c>
      <c r="E15367" s="473">
        <v>361.2</v>
      </c>
      <c r="F15367" s="473">
        <v>16.190000000000001</v>
      </c>
      <c r="G15367" s="473">
        <v>244.28</v>
      </c>
      <c r="H15367" s="474">
        <v>5224.05</v>
      </c>
      <c r="I15367" s="474">
        <v>4153.8</v>
      </c>
      <c r="J15367" s="474">
        <v>72.790000000000006</v>
      </c>
      <c r="K15367" s="474">
        <v>997.46</v>
      </c>
      <c r="L15367" s="43">
        <v>8.4032525294770544</v>
      </c>
      <c r="M15367" s="43">
        <v>11.5</v>
      </c>
      <c r="N15367" s="43">
        <v>4.4959851760345897</v>
      </c>
      <c r="O15367" s="43">
        <v>4.0832651056165057</v>
      </c>
      <c r="P15367" s="475"/>
      <c r="Q15367" s="475"/>
      <c r="R15367" s="475">
        <v>5</v>
      </c>
    </row>
    <row r="15368" spans="1:18" ht="24">
      <c r="A15368" s="471">
        <v>43</v>
      </c>
      <c r="B15368" s="468" t="s">
        <v>27567</v>
      </c>
      <c r="C15368" s="472" t="s">
        <v>27568</v>
      </c>
      <c r="D15368" s="473">
        <v>1864.76</v>
      </c>
      <c r="E15368" s="473">
        <v>825.6</v>
      </c>
      <c r="F15368" s="473">
        <v>500.12</v>
      </c>
      <c r="G15368" s="473">
        <v>539.04</v>
      </c>
      <c r="H15368" s="474">
        <v>14287.19</v>
      </c>
      <c r="I15368" s="474">
        <v>9494.4</v>
      </c>
      <c r="J15368" s="474">
        <v>2640.51</v>
      </c>
      <c r="K15368" s="474">
        <v>2152.2800000000002</v>
      </c>
      <c r="L15368" s="43">
        <v>7.6616776421630668</v>
      </c>
      <c r="M15368" s="43">
        <v>11.5</v>
      </c>
      <c r="N15368" s="43">
        <v>5.2797528593137653</v>
      </c>
      <c r="O15368" s="43">
        <v>3.9928020184030877</v>
      </c>
      <c r="P15368" s="475"/>
      <c r="Q15368" s="475"/>
      <c r="R15368" s="475">
        <v>5</v>
      </c>
    </row>
    <row r="15369" spans="1:18" ht="24">
      <c r="A15369" s="471">
        <v>44</v>
      </c>
      <c r="B15369" s="468" t="s">
        <v>27569</v>
      </c>
      <c r="C15369" s="472" t="s">
        <v>27570</v>
      </c>
      <c r="D15369" s="473">
        <v>3473.01</v>
      </c>
      <c r="E15369" s="473">
        <v>1506.72</v>
      </c>
      <c r="F15369" s="473">
        <v>921.14</v>
      </c>
      <c r="G15369" s="473">
        <v>1045.1500000000001</v>
      </c>
      <c r="H15369" s="474">
        <v>26433.5</v>
      </c>
      <c r="I15369" s="474">
        <v>17327.28</v>
      </c>
      <c r="J15369" s="474">
        <v>4952.78</v>
      </c>
      <c r="K15369" s="474">
        <v>4153.4399999999996</v>
      </c>
      <c r="L15369" s="43">
        <v>7.6111211888246793</v>
      </c>
      <c r="M15369" s="43">
        <v>11.499999999999998</v>
      </c>
      <c r="N15369" s="43">
        <v>5.376793972686019</v>
      </c>
      <c r="O15369" s="43">
        <v>3.974013299526383</v>
      </c>
      <c r="P15369" s="475"/>
      <c r="Q15369" s="475"/>
      <c r="R15369" s="475">
        <v>5</v>
      </c>
    </row>
    <row r="15370" spans="1:18" ht="24">
      <c r="A15370" s="476">
        <v>45</v>
      </c>
      <c r="B15370" s="477" t="s">
        <v>27571</v>
      </c>
      <c r="C15370" s="478" t="s">
        <v>27572</v>
      </c>
      <c r="D15370" s="479">
        <v>573.75</v>
      </c>
      <c r="E15370" s="479">
        <v>318.89</v>
      </c>
      <c r="F15370" s="479">
        <v>15.64</v>
      </c>
      <c r="G15370" s="479">
        <v>239.22</v>
      </c>
      <c r="H15370" s="480">
        <v>4687.51</v>
      </c>
      <c r="I15370" s="480">
        <v>3667.21</v>
      </c>
      <c r="J15370" s="480">
        <v>69.45</v>
      </c>
      <c r="K15370" s="480">
        <v>950.85</v>
      </c>
      <c r="L15370" s="611">
        <v>8.1699520697167767</v>
      </c>
      <c r="M15370" s="611">
        <v>11.499921603060617</v>
      </c>
      <c r="N15370" s="611">
        <v>4.4405370843989767</v>
      </c>
      <c r="O15370" s="611">
        <v>3.9747930775018814</v>
      </c>
      <c r="P15370" s="481"/>
      <c r="Q15370" s="481"/>
      <c r="R15370" s="481">
        <v>5</v>
      </c>
    </row>
    <row r="15371" spans="1:18" ht="12.75" customHeight="1">
      <c r="A15371" s="630" t="s">
        <v>27573</v>
      </c>
      <c r="B15371" s="631"/>
      <c r="C15371" s="631"/>
      <c r="D15371" s="631"/>
      <c r="E15371" s="631"/>
      <c r="F15371" s="631"/>
      <c r="G15371" s="631"/>
      <c r="H15371" s="631"/>
      <c r="I15371" s="631"/>
      <c r="J15371" s="631"/>
      <c r="K15371" s="631"/>
      <c r="L15371" s="631"/>
      <c r="M15371" s="631"/>
      <c r="N15371" s="631"/>
      <c r="O15371" s="631"/>
      <c r="P15371" s="631"/>
      <c r="Q15371" s="631"/>
      <c r="R15371" s="631"/>
    </row>
    <row r="15372" spans="1:18" ht="12.75" customHeight="1">
      <c r="A15372" s="628" t="s">
        <v>27574</v>
      </c>
      <c r="B15372" s="629"/>
      <c r="C15372" s="629"/>
      <c r="D15372" s="629"/>
      <c r="E15372" s="629"/>
      <c r="F15372" s="629"/>
      <c r="G15372" s="629"/>
      <c r="H15372" s="629"/>
      <c r="I15372" s="629"/>
      <c r="J15372" s="629"/>
      <c r="K15372" s="629"/>
      <c r="L15372" s="629"/>
      <c r="M15372" s="629"/>
      <c r="N15372" s="629"/>
      <c r="O15372" s="629"/>
      <c r="P15372" s="629"/>
      <c r="Q15372" s="629"/>
      <c r="R15372" s="629"/>
    </row>
    <row r="15373" spans="1:18" ht="12.75" customHeight="1">
      <c r="A15373" s="628" t="s">
        <v>27575</v>
      </c>
      <c r="B15373" s="629"/>
      <c r="C15373" s="629"/>
      <c r="D15373" s="629"/>
      <c r="E15373" s="629"/>
      <c r="F15373" s="629"/>
      <c r="G15373" s="629"/>
      <c r="H15373" s="629"/>
      <c r="I15373" s="629"/>
      <c r="J15373" s="629"/>
      <c r="K15373" s="629"/>
      <c r="L15373" s="629"/>
      <c r="M15373" s="629"/>
      <c r="N15373" s="629"/>
      <c r="O15373" s="629"/>
      <c r="P15373" s="629"/>
      <c r="Q15373" s="629"/>
      <c r="R15373" s="629"/>
    </row>
    <row r="15374" spans="1:18" ht="24">
      <c r="A15374" s="471">
        <v>46</v>
      </c>
      <c r="B15374" s="468" t="s">
        <v>27576</v>
      </c>
      <c r="C15374" s="472" t="s">
        <v>27577</v>
      </c>
      <c r="D15374" s="473">
        <v>536.67999999999995</v>
      </c>
      <c r="E15374" s="473">
        <v>309.60000000000002</v>
      </c>
      <c r="F15374" s="473">
        <v>18.97</v>
      </c>
      <c r="G15374" s="473">
        <v>208.11</v>
      </c>
      <c r="H15374" s="474">
        <v>4463.9399999999996</v>
      </c>
      <c r="I15374" s="474">
        <v>3560.4</v>
      </c>
      <c r="J15374" s="474">
        <v>80.5</v>
      </c>
      <c r="K15374" s="474">
        <v>823.04</v>
      </c>
      <c r="L15374" s="43">
        <v>8.3176939703361406</v>
      </c>
      <c r="M15374" s="43">
        <v>11.5</v>
      </c>
      <c r="N15374" s="43">
        <v>4.2435424354243549</v>
      </c>
      <c r="O15374" s="43">
        <v>3.9548315794531734</v>
      </c>
      <c r="P15374" s="475"/>
      <c r="Q15374" s="475"/>
      <c r="R15374" s="475">
        <v>1</v>
      </c>
    </row>
    <row r="15375" spans="1:18" ht="24">
      <c r="A15375" s="471">
        <v>47</v>
      </c>
      <c r="B15375" s="468" t="s">
        <v>27578</v>
      </c>
      <c r="C15375" s="472" t="s">
        <v>27579</v>
      </c>
      <c r="D15375" s="473">
        <v>926.11</v>
      </c>
      <c r="E15375" s="473">
        <v>520.13</v>
      </c>
      <c r="F15375" s="473">
        <v>36.06</v>
      </c>
      <c r="G15375" s="473">
        <v>369.92</v>
      </c>
      <c r="H15375" s="474">
        <v>7587.5</v>
      </c>
      <c r="I15375" s="474">
        <v>5981.47</v>
      </c>
      <c r="J15375" s="474">
        <v>152.99</v>
      </c>
      <c r="K15375" s="474">
        <v>1453.04</v>
      </c>
      <c r="L15375" s="43">
        <v>8.1928712571940689</v>
      </c>
      <c r="M15375" s="43">
        <v>11.499951935093151</v>
      </c>
      <c r="N15375" s="43">
        <v>4.2426511369938993</v>
      </c>
      <c r="O15375" s="43">
        <v>3.9279844290657437</v>
      </c>
      <c r="P15375" s="475"/>
      <c r="Q15375" s="475"/>
      <c r="R15375" s="475">
        <v>1</v>
      </c>
    </row>
    <row r="15376" spans="1:18" ht="24">
      <c r="A15376" s="471">
        <v>48</v>
      </c>
      <c r="B15376" s="468" t="s">
        <v>27580</v>
      </c>
      <c r="C15376" s="472" t="s">
        <v>27581</v>
      </c>
      <c r="D15376" s="473">
        <v>271.52999999999997</v>
      </c>
      <c r="E15376" s="473">
        <v>190.92</v>
      </c>
      <c r="F15376" s="473">
        <v>4.82</v>
      </c>
      <c r="G15376" s="473">
        <v>75.790000000000006</v>
      </c>
      <c r="H15376" s="474">
        <v>2527.44</v>
      </c>
      <c r="I15376" s="474">
        <v>2195.58</v>
      </c>
      <c r="J15376" s="474">
        <v>20.65</v>
      </c>
      <c r="K15376" s="474">
        <v>311.20999999999998</v>
      </c>
      <c r="L15376" s="43">
        <v>9.308142746657829</v>
      </c>
      <c r="M15376" s="43">
        <v>11.5</v>
      </c>
      <c r="N15376" s="43">
        <v>4.2842323651452281</v>
      </c>
      <c r="O15376" s="43">
        <v>4.1062145401768033</v>
      </c>
      <c r="P15376" s="475"/>
      <c r="Q15376" s="475"/>
      <c r="R15376" s="475">
        <v>1</v>
      </c>
    </row>
    <row r="15377" spans="1:18" ht="24">
      <c r="A15377" s="471">
        <v>49</v>
      </c>
      <c r="B15377" s="468" t="s">
        <v>27582</v>
      </c>
      <c r="C15377" s="472" t="s">
        <v>27583</v>
      </c>
      <c r="D15377" s="473">
        <v>271.16000000000003</v>
      </c>
      <c r="E15377" s="473">
        <v>190.92</v>
      </c>
      <c r="F15377" s="473">
        <v>3.22</v>
      </c>
      <c r="G15377" s="473">
        <v>77.02</v>
      </c>
      <c r="H15377" s="474">
        <v>2531.29</v>
      </c>
      <c r="I15377" s="474">
        <v>2195.58</v>
      </c>
      <c r="J15377" s="474">
        <v>13.77</v>
      </c>
      <c r="K15377" s="474">
        <v>321.94</v>
      </c>
      <c r="L15377" s="43">
        <v>9.3350420415990545</v>
      </c>
      <c r="M15377" s="43">
        <v>11.5</v>
      </c>
      <c r="N15377" s="43">
        <v>4.2763975155279503</v>
      </c>
      <c r="O15377" s="43">
        <v>4.1799532588937938</v>
      </c>
      <c r="P15377" s="475"/>
      <c r="Q15377" s="475"/>
      <c r="R15377" s="475">
        <v>1</v>
      </c>
    </row>
    <row r="15378" spans="1:18" ht="24">
      <c r="A15378" s="471">
        <v>50</v>
      </c>
      <c r="B15378" s="468" t="s">
        <v>27584</v>
      </c>
      <c r="C15378" s="472" t="s">
        <v>27585</v>
      </c>
      <c r="D15378" s="473">
        <v>211.07</v>
      </c>
      <c r="E15378" s="473">
        <v>148.61000000000001</v>
      </c>
      <c r="F15378" s="473">
        <v>1.72</v>
      </c>
      <c r="G15378" s="473">
        <v>60.74</v>
      </c>
      <c r="H15378" s="474">
        <v>1966.01</v>
      </c>
      <c r="I15378" s="474">
        <v>1708.99</v>
      </c>
      <c r="J15378" s="474">
        <v>7.36</v>
      </c>
      <c r="K15378" s="474">
        <v>249.66</v>
      </c>
      <c r="L15378" s="43">
        <v>9.3144928222864447</v>
      </c>
      <c r="M15378" s="43">
        <v>11.499831774443173</v>
      </c>
      <c r="N15378" s="43">
        <v>4.279069767441861</v>
      </c>
      <c r="O15378" s="43">
        <v>4.1103062232466252</v>
      </c>
      <c r="P15378" s="475"/>
      <c r="Q15378" s="475"/>
      <c r="R15378" s="475">
        <v>1</v>
      </c>
    </row>
    <row r="15379" spans="1:18" ht="24">
      <c r="A15379" s="471">
        <v>51</v>
      </c>
      <c r="B15379" s="468" t="s">
        <v>27586</v>
      </c>
      <c r="C15379" s="472" t="s">
        <v>27587</v>
      </c>
      <c r="D15379" s="473">
        <v>185.02</v>
      </c>
      <c r="E15379" s="473">
        <v>138.29</v>
      </c>
      <c r="F15379" s="473">
        <v>0.67</v>
      </c>
      <c r="G15379" s="473">
        <v>46.06</v>
      </c>
      <c r="H15379" s="474">
        <v>1786.31</v>
      </c>
      <c r="I15379" s="474">
        <v>1590.31</v>
      </c>
      <c r="J15379" s="474">
        <v>2.82</v>
      </c>
      <c r="K15379" s="474">
        <v>193.18</v>
      </c>
      <c r="L15379" s="43">
        <v>9.6546859798940652</v>
      </c>
      <c r="M15379" s="43">
        <v>11.499819220478704</v>
      </c>
      <c r="N15379" s="43">
        <v>4.2089552238805963</v>
      </c>
      <c r="O15379" s="43">
        <v>4.1940946591402515</v>
      </c>
      <c r="P15379" s="475"/>
      <c r="Q15379" s="475"/>
      <c r="R15379" s="475">
        <v>1</v>
      </c>
    </row>
    <row r="15380" spans="1:18" ht="24">
      <c r="A15380" s="471">
        <v>52</v>
      </c>
      <c r="B15380" s="468" t="s">
        <v>27588</v>
      </c>
      <c r="C15380" s="472" t="s">
        <v>27589</v>
      </c>
      <c r="D15380" s="473">
        <v>322.45999999999998</v>
      </c>
      <c r="E15380" s="473">
        <v>227.04</v>
      </c>
      <c r="F15380" s="473">
        <v>3.48</v>
      </c>
      <c r="G15380" s="473">
        <v>91.94</v>
      </c>
      <c r="H15380" s="474">
        <v>3007.86</v>
      </c>
      <c r="I15380" s="474">
        <v>2610.96</v>
      </c>
      <c r="J15380" s="474">
        <v>14.89</v>
      </c>
      <c r="K15380" s="474">
        <v>382.01</v>
      </c>
      <c r="L15380" s="43">
        <v>9.3278546176269934</v>
      </c>
      <c r="M15380" s="43">
        <v>11.5</v>
      </c>
      <c r="N15380" s="43">
        <v>4.2787356321839081</v>
      </c>
      <c r="O15380" s="43">
        <v>4.1549923863389164</v>
      </c>
      <c r="P15380" s="475"/>
      <c r="Q15380" s="475"/>
      <c r="R15380" s="475">
        <v>1</v>
      </c>
    </row>
    <row r="15381" spans="1:18" ht="24">
      <c r="A15381" s="471">
        <v>53</v>
      </c>
      <c r="B15381" s="468" t="s">
        <v>27590</v>
      </c>
      <c r="C15381" s="472" t="s">
        <v>27591</v>
      </c>
      <c r="D15381" s="473">
        <v>343.23</v>
      </c>
      <c r="E15381" s="473">
        <v>247.68</v>
      </c>
      <c r="F15381" s="473">
        <v>4.1500000000000004</v>
      </c>
      <c r="G15381" s="473">
        <v>91.4</v>
      </c>
      <c r="H15381" s="474">
        <v>3244.48</v>
      </c>
      <c r="I15381" s="474">
        <v>2848.32</v>
      </c>
      <c r="J15381" s="474">
        <v>17.77</v>
      </c>
      <c r="K15381" s="474">
        <v>378.39</v>
      </c>
      <c r="L15381" s="43">
        <v>9.4527867610640097</v>
      </c>
      <c r="M15381" s="43">
        <v>11.5</v>
      </c>
      <c r="N15381" s="43">
        <v>4.2819277108433731</v>
      </c>
      <c r="O15381" s="43">
        <v>4.1399343544857761</v>
      </c>
      <c r="P15381" s="475"/>
      <c r="Q15381" s="475"/>
      <c r="R15381" s="475">
        <v>1</v>
      </c>
    </row>
    <row r="15382" spans="1:18" ht="24">
      <c r="A15382" s="471">
        <v>54</v>
      </c>
      <c r="B15382" s="468" t="s">
        <v>27592</v>
      </c>
      <c r="C15382" s="472" t="s">
        <v>27593</v>
      </c>
      <c r="D15382" s="473">
        <v>319.42</v>
      </c>
      <c r="E15382" s="473">
        <v>227.04</v>
      </c>
      <c r="F15382" s="473">
        <v>1.39</v>
      </c>
      <c r="G15382" s="473">
        <v>90.99</v>
      </c>
      <c r="H15382" s="474">
        <v>2990.52</v>
      </c>
      <c r="I15382" s="474">
        <v>2610.96</v>
      </c>
      <c r="J15382" s="474">
        <v>5.89</v>
      </c>
      <c r="K15382" s="474">
        <v>373.67</v>
      </c>
      <c r="L15382" s="43">
        <v>9.3623442489512243</v>
      </c>
      <c r="M15382" s="43">
        <v>11.5</v>
      </c>
      <c r="N15382" s="43">
        <v>4.2374100719424463</v>
      </c>
      <c r="O15382" s="43">
        <v>4.1067150236289702</v>
      </c>
      <c r="P15382" s="475"/>
      <c r="Q15382" s="475"/>
      <c r="R15382" s="475">
        <v>1</v>
      </c>
    </row>
    <row r="15383" spans="1:18" ht="24">
      <c r="A15383" s="471">
        <v>55</v>
      </c>
      <c r="B15383" s="468" t="s">
        <v>27594</v>
      </c>
      <c r="C15383" s="472" t="s">
        <v>27595</v>
      </c>
      <c r="D15383" s="473">
        <v>341.17</v>
      </c>
      <c r="E15383" s="473">
        <v>239.11</v>
      </c>
      <c r="F15383" s="473">
        <v>10.7</v>
      </c>
      <c r="G15383" s="473">
        <v>91.36</v>
      </c>
      <c r="H15383" s="474">
        <v>3172.51</v>
      </c>
      <c r="I15383" s="474">
        <v>2749.74</v>
      </c>
      <c r="J15383" s="474">
        <v>45.15</v>
      </c>
      <c r="K15383" s="474">
        <v>377.62</v>
      </c>
      <c r="L15383" s="43">
        <v>9.2989125655831408</v>
      </c>
      <c r="M15383" s="43">
        <v>11.499895445610806</v>
      </c>
      <c r="N15383" s="43">
        <v>4.2196261682242993</v>
      </c>
      <c r="O15383" s="43">
        <v>4.1333187390542907</v>
      </c>
      <c r="P15383" s="475"/>
      <c r="Q15383" s="475"/>
      <c r="R15383" s="475">
        <v>1</v>
      </c>
    </row>
    <row r="15384" spans="1:18" ht="12.75" customHeight="1">
      <c r="A15384" s="628" t="s">
        <v>27596</v>
      </c>
      <c r="B15384" s="629"/>
      <c r="C15384" s="629"/>
      <c r="D15384" s="629"/>
      <c r="E15384" s="629"/>
      <c r="F15384" s="629"/>
      <c r="G15384" s="629"/>
      <c r="H15384" s="629"/>
      <c r="I15384" s="629"/>
      <c r="J15384" s="629"/>
      <c r="K15384" s="629"/>
      <c r="L15384" s="629"/>
      <c r="M15384" s="629"/>
      <c r="N15384" s="629"/>
      <c r="O15384" s="629"/>
      <c r="P15384" s="629"/>
      <c r="Q15384" s="629"/>
      <c r="R15384" s="629"/>
    </row>
    <row r="15385" spans="1:18" ht="24">
      <c r="A15385" s="471">
        <v>56</v>
      </c>
      <c r="B15385" s="468" t="s">
        <v>27597</v>
      </c>
      <c r="C15385" s="472" t="s">
        <v>27598</v>
      </c>
      <c r="D15385" s="473">
        <v>187.06</v>
      </c>
      <c r="E15385" s="473">
        <v>138.29</v>
      </c>
      <c r="F15385" s="473">
        <v>1.08</v>
      </c>
      <c r="G15385" s="473">
        <v>47.69</v>
      </c>
      <c r="H15385" s="474">
        <v>1802.44</v>
      </c>
      <c r="I15385" s="474">
        <v>1590.31</v>
      </c>
      <c r="J15385" s="474">
        <v>4.6399999999999997</v>
      </c>
      <c r="K15385" s="474">
        <v>207.49</v>
      </c>
      <c r="L15385" s="43">
        <v>9.6356249331765209</v>
      </c>
      <c r="M15385" s="43">
        <v>11.499819220478704</v>
      </c>
      <c r="N15385" s="43">
        <v>4.2962962962962958</v>
      </c>
      <c r="O15385" s="43">
        <v>4.3508072971272806</v>
      </c>
      <c r="P15385" s="475"/>
      <c r="Q15385" s="475"/>
      <c r="R15385" s="475">
        <v>2</v>
      </c>
    </row>
    <row r="15386" spans="1:18" ht="24">
      <c r="A15386" s="471">
        <v>57</v>
      </c>
      <c r="B15386" s="468" t="s">
        <v>27599</v>
      </c>
      <c r="C15386" s="472" t="s">
        <v>27600</v>
      </c>
      <c r="D15386" s="473">
        <v>281.35000000000002</v>
      </c>
      <c r="E15386" s="473">
        <v>202.27</v>
      </c>
      <c r="F15386" s="473">
        <v>2.92</v>
      </c>
      <c r="G15386" s="473">
        <v>76.16</v>
      </c>
      <c r="H15386" s="474">
        <v>2653.68</v>
      </c>
      <c r="I15386" s="474">
        <v>2326.13</v>
      </c>
      <c r="J15386" s="474">
        <v>12.49</v>
      </c>
      <c r="K15386" s="474">
        <v>315.06</v>
      </c>
      <c r="L15386" s="43">
        <v>9.4319530833481409</v>
      </c>
      <c r="M15386" s="43">
        <v>11.500123597172097</v>
      </c>
      <c r="N15386" s="43">
        <v>4.2773972602739727</v>
      </c>
      <c r="O15386" s="43">
        <v>4.1368172268907566</v>
      </c>
      <c r="P15386" s="475"/>
      <c r="Q15386" s="475"/>
      <c r="R15386" s="475">
        <v>2</v>
      </c>
    </row>
    <row r="15387" spans="1:18" ht="24">
      <c r="A15387" s="471">
        <v>58</v>
      </c>
      <c r="B15387" s="468" t="s">
        <v>27601</v>
      </c>
      <c r="C15387" s="472" t="s">
        <v>27602</v>
      </c>
      <c r="D15387" s="473">
        <v>331.77</v>
      </c>
      <c r="E15387" s="473">
        <v>237.36</v>
      </c>
      <c r="F15387" s="473">
        <v>3.48</v>
      </c>
      <c r="G15387" s="473">
        <v>90.93</v>
      </c>
      <c r="H15387" s="474">
        <v>3118.23</v>
      </c>
      <c r="I15387" s="474">
        <v>2729.64</v>
      </c>
      <c r="J15387" s="474">
        <v>14.89</v>
      </c>
      <c r="K15387" s="474">
        <v>373.7</v>
      </c>
      <c r="L15387" s="43">
        <v>9.3987702323899089</v>
      </c>
      <c r="M15387" s="43">
        <v>11.499999999999998</v>
      </c>
      <c r="N15387" s="43">
        <v>4.2787356321839081</v>
      </c>
      <c r="O15387" s="43">
        <v>4.1097547564060264</v>
      </c>
      <c r="P15387" s="475"/>
      <c r="Q15387" s="475"/>
      <c r="R15387" s="475">
        <v>2</v>
      </c>
    </row>
    <row r="15388" spans="1:18" ht="24">
      <c r="A15388" s="471">
        <v>59</v>
      </c>
      <c r="B15388" s="468" t="s">
        <v>27603</v>
      </c>
      <c r="C15388" s="472" t="s">
        <v>27604</v>
      </c>
      <c r="D15388" s="473">
        <v>230.08</v>
      </c>
      <c r="E15388" s="473">
        <v>138.29</v>
      </c>
      <c r="F15388" s="473">
        <v>1.08</v>
      </c>
      <c r="G15388" s="473">
        <v>90.71</v>
      </c>
      <c r="H15388" s="474">
        <v>1961.38</v>
      </c>
      <c r="I15388" s="474">
        <v>1590.31</v>
      </c>
      <c r="J15388" s="474">
        <v>4.6399999999999997</v>
      </c>
      <c r="K15388" s="474">
        <v>366.43</v>
      </c>
      <c r="L15388" s="43">
        <v>8.524773991655076</v>
      </c>
      <c r="M15388" s="43">
        <v>11.499819220478704</v>
      </c>
      <c r="N15388" s="43">
        <v>4.2962962962962958</v>
      </c>
      <c r="O15388" s="43">
        <v>4.0395766729136815</v>
      </c>
      <c r="P15388" s="475"/>
      <c r="Q15388" s="475"/>
      <c r="R15388" s="475">
        <v>2</v>
      </c>
    </row>
    <row r="15389" spans="1:18" ht="24">
      <c r="A15389" s="471">
        <v>60</v>
      </c>
      <c r="B15389" s="468" t="s">
        <v>27605</v>
      </c>
      <c r="C15389" s="472" t="s">
        <v>27606</v>
      </c>
      <c r="D15389" s="473">
        <v>435.09</v>
      </c>
      <c r="E15389" s="473">
        <v>339.53</v>
      </c>
      <c r="F15389" s="473">
        <v>1.57</v>
      </c>
      <c r="G15389" s="473">
        <v>93.99</v>
      </c>
      <c r="H15389" s="474">
        <v>4317.3900000000003</v>
      </c>
      <c r="I15389" s="474">
        <v>3904.57</v>
      </c>
      <c r="J15389" s="474">
        <v>6.72</v>
      </c>
      <c r="K15389" s="474">
        <v>406.1</v>
      </c>
      <c r="L15389" s="43">
        <v>9.9229814521133566</v>
      </c>
      <c r="M15389" s="43">
        <v>11.499926368803937</v>
      </c>
      <c r="N15389" s="43">
        <v>4.2802547770700636</v>
      </c>
      <c r="O15389" s="43">
        <v>4.3206724119587196</v>
      </c>
      <c r="P15389" s="475"/>
      <c r="Q15389" s="475"/>
      <c r="R15389" s="475">
        <v>2</v>
      </c>
    </row>
    <row r="15390" spans="1:18" ht="12.75" customHeight="1">
      <c r="A15390" s="628" t="s">
        <v>27607</v>
      </c>
      <c r="B15390" s="629"/>
      <c r="C15390" s="629"/>
      <c r="D15390" s="629"/>
      <c r="E15390" s="629"/>
      <c r="F15390" s="629"/>
      <c r="G15390" s="629"/>
      <c r="H15390" s="629"/>
      <c r="I15390" s="629"/>
      <c r="J15390" s="629"/>
      <c r="K15390" s="629"/>
      <c r="L15390" s="629"/>
      <c r="M15390" s="629"/>
      <c r="N15390" s="629"/>
      <c r="O15390" s="629"/>
      <c r="P15390" s="629"/>
      <c r="Q15390" s="629"/>
      <c r="R15390" s="629"/>
    </row>
    <row r="15391" spans="1:18" ht="24">
      <c r="A15391" s="471">
        <v>61</v>
      </c>
      <c r="B15391" s="468" t="s">
        <v>27608</v>
      </c>
      <c r="C15391" s="472" t="s">
        <v>27609</v>
      </c>
      <c r="D15391" s="473">
        <v>275</v>
      </c>
      <c r="E15391" s="473">
        <v>180.6</v>
      </c>
      <c r="F15391" s="473">
        <v>3.59</v>
      </c>
      <c r="G15391" s="473">
        <v>90.81</v>
      </c>
      <c r="H15391" s="474">
        <v>2461.8000000000002</v>
      </c>
      <c r="I15391" s="474">
        <v>2076.9</v>
      </c>
      <c r="J15391" s="474">
        <v>15.37</v>
      </c>
      <c r="K15391" s="474">
        <v>369.53</v>
      </c>
      <c r="L15391" s="43">
        <v>8.952</v>
      </c>
      <c r="M15391" s="43">
        <v>11.5</v>
      </c>
      <c r="N15391" s="43">
        <v>4.2813370473537606</v>
      </c>
      <c r="O15391" s="43">
        <v>4.0692654993943398</v>
      </c>
      <c r="P15391" s="475"/>
      <c r="Q15391" s="475"/>
      <c r="R15391" s="475">
        <v>3</v>
      </c>
    </row>
    <row r="15392" spans="1:18" ht="24">
      <c r="A15392" s="471">
        <v>62</v>
      </c>
      <c r="B15392" s="468" t="s">
        <v>27610</v>
      </c>
      <c r="C15392" s="472" t="s">
        <v>27611</v>
      </c>
      <c r="D15392" s="473">
        <v>271.36</v>
      </c>
      <c r="E15392" s="473">
        <v>190.92</v>
      </c>
      <c r="F15392" s="473">
        <v>2.88</v>
      </c>
      <c r="G15392" s="473">
        <v>77.56</v>
      </c>
      <c r="H15392" s="474">
        <v>2534.62</v>
      </c>
      <c r="I15392" s="474">
        <v>2195.58</v>
      </c>
      <c r="J15392" s="474">
        <v>12.33</v>
      </c>
      <c r="K15392" s="474">
        <v>326.70999999999998</v>
      </c>
      <c r="L15392" s="43">
        <v>9.3404333726415079</v>
      </c>
      <c r="M15392" s="43">
        <v>11.5</v>
      </c>
      <c r="N15392" s="43">
        <v>4.28125</v>
      </c>
      <c r="O15392" s="43">
        <v>4.2123517276946876</v>
      </c>
      <c r="P15392" s="475"/>
      <c r="Q15392" s="475"/>
      <c r="R15392" s="475">
        <v>3</v>
      </c>
    </row>
    <row r="15393" spans="1:18" ht="24">
      <c r="A15393" s="471">
        <v>63</v>
      </c>
      <c r="B15393" s="468" t="s">
        <v>27612</v>
      </c>
      <c r="C15393" s="472" t="s">
        <v>27613</v>
      </c>
      <c r="D15393" s="473">
        <v>235.19</v>
      </c>
      <c r="E15393" s="473">
        <v>170.28</v>
      </c>
      <c r="F15393" s="473">
        <v>2.2400000000000002</v>
      </c>
      <c r="G15393" s="473">
        <v>62.67</v>
      </c>
      <c r="H15393" s="474">
        <v>2235.66</v>
      </c>
      <c r="I15393" s="474">
        <v>1958.22</v>
      </c>
      <c r="J15393" s="474">
        <v>9.61</v>
      </c>
      <c r="K15393" s="474">
        <v>267.83</v>
      </c>
      <c r="L15393" s="43">
        <v>9.5057612993749725</v>
      </c>
      <c r="M15393" s="43">
        <v>11.5</v>
      </c>
      <c r="N15393" s="43">
        <v>4.2901785714285712</v>
      </c>
      <c r="O15393" s="43">
        <v>4.2736556566140091</v>
      </c>
      <c r="P15393" s="475"/>
      <c r="Q15393" s="475"/>
      <c r="R15393" s="475">
        <v>3</v>
      </c>
    </row>
    <row r="15394" spans="1:18" ht="24">
      <c r="A15394" s="471">
        <v>64</v>
      </c>
      <c r="B15394" s="468" t="s">
        <v>27614</v>
      </c>
      <c r="C15394" s="472" t="s">
        <v>27615</v>
      </c>
      <c r="D15394" s="473">
        <v>438.86</v>
      </c>
      <c r="E15394" s="473">
        <v>293.47000000000003</v>
      </c>
      <c r="F15394" s="473">
        <v>9.7100000000000009</v>
      </c>
      <c r="G15394" s="473">
        <v>135.68</v>
      </c>
      <c r="H15394" s="474">
        <v>3967.06</v>
      </c>
      <c r="I15394" s="474">
        <v>3375.07</v>
      </c>
      <c r="J15394" s="474">
        <v>41.1</v>
      </c>
      <c r="K15394" s="474">
        <v>550.89</v>
      </c>
      <c r="L15394" s="43">
        <v>9.0394658888939521</v>
      </c>
      <c r="M15394" s="43">
        <v>11.500562238048182</v>
      </c>
      <c r="N15394" s="43">
        <v>4.2327497425334704</v>
      </c>
      <c r="O15394" s="43">
        <v>4.0602152122641506</v>
      </c>
      <c r="P15394" s="475"/>
      <c r="Q15394" s="475"/>
      <c r="R15394" s="475">
        <v>3</v>
      </c>
    </row>
    <row r="15395" spans="1:18" ht="24">
      <c r="A15395" s="471">
        <v>65</v>
      </c>
      <c r="B15395" s="468" t="s">
        <v>27616</v>
      </c>
      <c r="C15395" s="472" t="s">
        <v>27617</v>
      </c>
      <c r="D15395" s="473">
        <v>249.42</v>
      </c>
      <c r="E15395" s="473">
        <v>199.72</v>
      </c>
      <c r="F15395" s="473">
        <v>1.53</v>
      </c>
      <c r="G15395" s="473">
        <v>48.17</v>
      </c>
      <c r="H15395" s="474">
        <v>2518.44</v>
      </c>
      <c r="I15395" s="474">
        <v>2296.92</v>
      </c>
      <c r="J15395" s="474">
        <v>6.56</v>
      </c>
      <c r="K15395" s="474">
        <v>214.96</v>
      </c>
      <c r="L15395" s="43">
        <v>10.097185470291077</v>
      </c>
      <c r="M15395" s="43">
        <v>11.500700981373924</v>
      </c>
      <c r="N15395" s="43">
        <v>4.2875816993464051</v>
      </c>
      <c r="O15395" s="43">
        <v>4.4625285447373884</v>
      </c>
      <c r="P15395" s="475"/>
      <c r="Q15395" s="475"/>
      <c r="R15395" s="475">
        <v>3</v>
      </c>
    </row>
    <row r="15396" spans="1:18" ht="24">
      <c r="A15396" s="471">
        <v>66</v>
      </c>
      <c r="B15396" s="468" t="s">
        <v>27618</v>
      </c>
      <c r="C15396" s="472" t="s">
        <v>27619</v>
      </c>
      <c r="D15396" s="473">
        <v>326.64999999999998</v>
      </c>
      <c r="E15396" s="473">
        <v>230.29</v>
      </c>
      <c r="F15396" s="473">
        <v>3.81</v>
      </c>
      <c r="G15396" s="473">
        <v>92.55</v>
      </c>
      <c r="H15396" s="474">
        <v>3052.41</v>
      </c>
      <c r="I15396" s="474">
        <v>2648.49</v>
      </c>
      <c r="J15396" s="474">
        <v>16.329999999999998</v>
      </c>
      <c r="K15396" s="474">
        <v>387.59</v>
      </c>
      <c r="L15396" s="43">
        <v>9.3445890096433502</v>
      </c>
      <c r="M15396" s="43">
        <v>11.500673064397064</v>
      </c>
      <c r="N15396" s="43">
        <v>4.2860892388451441</v>
      </c>
      <c r="O15396" s="43">
        <v>4.1878984332793081</v>
      </c>
      <c r="P15396" s="475"/>
      <c r="Q15396" s="475"/>
      <c r="R15396" s="475">
        <v>3</v>
      </c>
    </row>
    <row r="15397" spans="1:18" ht="36">
      <c r="A15397" s="471">
        <v>67</v>
      </c>
      <c r="B15397" s="468" t="s">
        <v>27620</v>
      </c>
      <c r="C15397" s="472" t="s">
        <v>27621</v>
      </c>
      <c r="D15397" s="473">
        <v>221.38</v>
      </c>
      <c r="E15397" s="473">
        <v>156.93</v>
      </c>
      <c r="F15397" s="473">
        <v>1.91</v>
      </c>
      <c r="G15397" s="473">
        <v>62.54</v>
      </c>
      <c r="H15397" s="474">
        <v>2078.81</v>
      </c>
      <c r="I15397" s="474">
        <v>1804.73</v>
      </c>
      <c r="J15397" s="474">
        <v>8.17</v>
      </c>
      <c r="K15397" s="474">
        <v>265.91000000000003</v>
      </c>
      <c r="L15397" s="43">
        <v>9.39023398681001</v>
      </c>
      <c r="M15397" s="43">
        <v>11.500223029376155</v>
      </c>
      <c r="N15397" s="43">
        <v>4.2774869109947646</v>
      </c>
      <c r="O15397" s="43">
        <v>4.2518388231531823</v>
      </c>
      <c r="P15397" s="475"/>
      <c r="Q15397" s="475"/>
      <c r="R15397" s="475">
        <v>3</v>
      </c>
    </row>
    <row r="15398" spans="1:18" ht="24">
      <c r="A15398" s="471">
        <v>68</v>
      </c>
      <c r="B15398" s="468" t="s">
        <v>27622</v>
      </c>
      <c r="C15398" s="472" t="s">
        <v>27623</v>
      </c>
      <c r="D15398" s="473">
        <v>299.87</v>
      </c>
      <c r="E15398" s="473">
        <v>220.1</v>
      </c>
      <c r="F15398" s="473">
        <v>2.92</v>
      </c>
      <c r="G15398" s="473">
        <v>76.849999999999994</v>
      </c>
      <c r="H15398" s="474">
        <v>2865.85</v>
      </c>
      <c r="I15398" s="474">
        <v>2531.3000000000002</v>
      </c>
      <c r="J15398" s="474">
        <v>12.49</v>
      </c>
      <c r="K15398" s="474">
        <v>322.06</v>
      </c>
      <c r="L15398" s="43">
        <v>9.5569746890319127</v>
      </c>
      <c r="M15398" s="43">
        <v>11.500681508405272</v>
      </c>
      <c r="N15398" s="43">
        <v>4.2773972602739727</v>
      </c>
      <c r="O15398" s="43">
        <v>4.1907612231620046</v>
      </c>
      <c r="P15398" s="475"/>
      <c r="Q15398" s="475"/>
      <c r="R15398" s="475">
        <v>3</v>
      </c>
    </row>
    <row r="15399" spans="1:18" ht="24">
      <c r="A15399" s="471">
        <v>69</v>
      </c>
      <c r="B15399" s="468" t="s">
        <v>27624</v>
      </c>
      <c r="C15399" s="472" t="s">
        <v>27625</v>
      </c>
      <c r="D15399" s="473">
        <v>308</v>
      </c>
      <c r="E15399" s="473">
        <v>209.91</v>
      </c>
      <c r="F15399" s="473">
        <v>3.63</v>
      </c>
      <c r="G15399" s="473">
        <v>94.46</v>
      </c>
      <c r="H15399" s="474">
        <v>2832.77</v>
      </c>
      <c r="I15399" s="474">
        <v>2414.11</v>
      </c>
      <c r="J15399" s="474">
        <v>15.53</v>
      </c>
      <c r="K15399" s="474">
        <v>403.13</v>
      </c>
      <c r="L15399" s="43">
        <v>9.1973051948051943</v>
      </c>
      <c r="M15399" s="43">
        <v>11.500690772235721</v>
      </c>
      <c r="N15399" s="43">
        <v>4.2782369146005506</v>
      </c>
      <c r="O15399" s="43">
        <v>4.267732373491425</v>
      </c>
      <c r="P15399" s="475"/>
      <c r="Q15399" s="475"/>
      <c r="R15399" s="475">
        <v>3</v>
      </c>
    </row>
    <row r="15400" spans="1:18" ht="24">
      <c r="A15400" s="471">
        <v>70</v>
      </c>
      <c r="B15400" s="468" t="s">
        <v>27626</v>
      </c>
      <c r="C15400" s="472" t="s">
        <v>27627</v>
      </c>
      <c r="D15400" s="473">
        <v>248.36</v>
      </c>
      <c r="E15400" s="473">
        <v>168.14</v>
      </c>
      <c r="F15400" s="473">
        <v>2.92</v>
      </c>
      <c r="G15400" s="473">
        <v>77.3</v>
      </c>
      <c r="H15400" s="474">
        <v>2269.34</v>
      </c>
      <c r="I15400" s="474">
        <v>1933.64</v>
      </c>
      <c r="J15400" s="474">
        <v>12.49</v>
      </c>
      <c r="K15400" s="474">
        <v>323.20999999999998</v>
      </c>
      <c r="L15400" s="43">
        <v>9.1373006925430822</v>
      </c>
      <c r="M15400" s="43">
        <v>11.500178422742954</v>
      </c>
      <c r="N15400" s="43">
        <v>4.2773972602739727</v>
      </c>
      <c r="O15400" s="43">
        <v>4.1812419146183695</v>
      </c>
      <c r="P15400" s="475"/>
      <c r="Q15400" s="475"/>
      <c r="R15400" s="475">
        <v>3</v>
      </c>
    </row>
    <row r="15401" spans="1:18" ht="24">
      <c r="A15401" s="471">
        <v>71</v>
      </c>
      <c r="B15401" s="468" t="s">
        <v>27628</v>
      </c>
      <c r="C15401" s="472" t="s">
        <v>27629</v>
      </c>
      <c r="D15401" s="473">
        <v>254.72</v>
      </c>
      <c r="E15401" s="473">
        <v>174.57</v>
      </c>
      <c r="F15401" s="473">
        <v>2.92</v>
      </c>
      <c r="G15401" s="473">
        <v>77.23</v>
      </c>
      <c r="H15401" s="474">
        <v>2342.9699999999998</v>
      </c>
      <c r="I15401" s="474">
        <v>2007.56</v>
      </c>
      <c r="J15401" s="474">
        <v>12.49</v>
      </c>
      <c r="K15401" s="474">
        <v>322.92</v>
      </c>
      <c r="L15401" s="43">
        <v>9.1982176507537687</v>
      </c>
      <c r="M15401" s="43">
        <v>11.50002864180558</v>
      </c>
      <c r="N15401" s="43">
        <v>4.2773972602739727</v>
      </c>
      <c r="O15401" s="43">
        <v>4.1812767059432865</v>
      </c>
      <c r="P15401" s="475"/>
      <c r="Q15401" s="475"/>
      <c r="R15401" s="475">
        <v>3</v>
      </c>
    </row>
    <row r="15402" spans="1:18" ht="12.75" customHeight="1">
      <c r="A15402" s="628" t="s">
        <v>27630</v>
      </c>
      <c r="B15402" s="629"/>
      <c r="C15402" s="629"/>
      <c r="D15402" s="629"/>
      <c r="E15402" s="629"/>
      <c r="F15402" s="629"/>
      <c r="G15402" s="629"/>
      <c r="H15402" s="629"/>
      <c r="I15402" s="629"/>
      <c r="J15402" s="629"/>
      <c r="K15402" s="629"/>
      <c r="L15402" s="629"/>
      <c r="M15402" s="629"/>
      <c r="N15402" s="629"/>
      <c r="O15402" s="629"/>
      <c r="P15402" s="629"/>
      <c r="Q15402" s="629"/>
      <c r="R15402" s="629"/>
    </row>
    <row r="15403" spans="1:18" ht="12.75" customHeight="1">
      <c r="A15403" s="628" t="s">
        <v>27631</v>
      </c>
      <c r="B15403" s="629"/>
      <c r="C15403" s="629"/>
      <c r="D15403" s="629"/>
      <c r="E15403" s="629"/>
      <c r="F15403" s="629"/>
      <c r="G15403" s="629"/>
      <c r="H15403" s="629"/>
      <c r="I15403" s="629"/>
      <c r="J15403" s="629"/>
      <c r="K15403" s="629"/>
      <c r="L15403" s="629"/>
      <c r="M15403" s="629"/>
      <c r="N15403" s="629"/>
      <c r="O15403" s="629"/>
      <c r="P15403" s="629"/>
      <c r="Q15403" s="629"/>
      <c r="R15403" s="629"/>
    </row>
    <row r="15404" spans="1:18" ht="24">
      <c r="A15404" s="471">
        <v>72</v>
      </c>
      <c r="B15404" s="468" t="s">
        <v>27632</v>
      </c>
      <c r="C15404" s="472" t="s">
        <v>27633</v>
      </c>
      <c r="D15404" s="473">
        <v>261.63</v>
      </c>
      <c r="E15404" s="473">
        <v>197.96</v>
      </c>
      <c r="F15404" s="473">
        <v>1.94</v>
      </c>
      <c r="G15404" s="473">
        <v>61.73</v>
      </c>
      <c r="H15404" s="474">
        <v>2545.91</v>
      </c>
      <c r="I15404" s="474">
        <v>2276.54</v>
      </c>
      <c r="J15404" s="474">
        <v>8.33</v>
      </c>
      <c r="K15404" s="474">
        <v>261.04000000000002</v>
      </c>
      <c r="L15404" s="43">
        <v>9.730955930130337</v>
      </c>
      <c r="M15404" s="43">
        <v>11.5</v>
      </c>
      <c r="N15404" s="43">
        <v>4.2938144329896906</v>
      </c>
      <c r="O15404" s="43">
        <v>4.2287380528106278</v>
      </c>
      <c r="P15404" s="475"/>
      <c r="Q15404" s="475"/>
      <c r="R15404" s="475">
        <v>1</v>
      </c>
    </row>
    <row r="15405" spans="1:18" ht="24">
      <c r="A15405" s="471">
        <v>73</v>
      </c>
      <c r="B15405" s="468" t="s">
        <v>27634</v>
      </c>
      <c r="C15405" s="472" t="s">
        <v>27635</v>
      </c>
      <c r="D15405" s="473">
        <v>218.36</v>
      </c>
      <c r="E15405" s="473">
        <v>155.54</v>
      </c>
      <c r="F15405" s="473">
        <v>1.94</v>
      </c>
      <c r="G15405" s="473">
        <v>60.88</v>
      </c>
      <c r="H15405" s="474">
        <v>2048.31</v>
      </c>
      <c r="I15405" s="474">
        <v>1788.71</v>
      </c>
      <c r="J15405" s="474">
        <v>8.33</v>
      </c>
      <c r="K15405" s="474">
        <v>251.27</v>
      </c>
      <c r="L15405" s="43">
        <v>9.3804268180985524</v>
      </c>
      <c r="M15405" s="43">
        <v>11.5</v>
      </c>
      <c r="N15405" s="43">
        <v>4.2938144329896906</v>
      </c>
      <c r="O15405" s="43">
        <v>4.1272996057818663</v>
      </c>
      <c r="P15405" s="475"/>
      <c r="Q15405" s="475"/>
      <c r="R15405" s="475">
        <v>1</v>
      </c>
    </row>
    <row r="15406" spans="1:18" ht="24">
      <c r="A15406" s="471">
        <v>74</v>
      </c>
      <c r="B15406" s="468" t="s">
        <v>27636</v>
      </c>
      <c r="C15406" s="472" t="s">
        <v>27637</v>
      </c>
      <c r="D15406" s="473">
        <v>218.77</v>
      </c>
      <c r="E15406" s="473">
        <v>155.54</v>
      </c>
      <c r="F15406" s="473">
        <v>1.91</v>
      </c>
      <c r="G15406" s="473">
        <v>61.32</v>
      </c>
      <c r="H15406" s="474">
        <v>2052.02</v>
      </c>
      <c r="I15406" s="474">
        <v>1788.71</v>
      </c>
      <c r="J15406" s="474">
        <v>8.17</v>
      </c>
      <c r="K15406" s="474">
        <v>255.14</v>
      </c>
      <c r="L15406" s="43">
        <v>9.3798052749462908</v>
      </c>
      <c r="M15406" s="43">
        <v>11.5</v>
      </c>
      <c r="N15406" s="43">
        <v>4.2774869109947646</v>
      </c>
      <c r="O15406" s="43">
        <v>4.1607958251793864</v>
      </c>
      <c r="P15406" s="475"/>
      <c r="Q15406" s="475"/>
      <c r="R15406" s="475">
        <v>1</v>
      </c>
    </row>
    <row r="15407" spans="1:18" ht="24">
      <c r="A15407" s="471">
        <v>75</v>
      </c>
      <c r="B15407" s="468" t="s">
        <v>27638</v>
      </c>
      <c r="C15407" s="472" t="s">
        <v>27639</v>
      </c>
      <c r="D15407" s="473">
        <v>209.67</v>
      </c>
      <c r="E15407" s="473">
        <v>160.93</v>
      </c>
      <c r="F15407" s="473">
        <v>1.68</v>
      </c>
      <c r="G15407" s="473">
        <v>47.06</v>
      </c>
      <c r="H15407" s="474">
        <v>2061.09</v>
      </c>
      <c r="I15407" s="474">
        <v>1850.77</v>
      </c>
      <c r="J15407" s="474">
        <v>7.2</v>
      </c>
      <c r="K15407" s="474">
        <v>203.12</v>
      </c>
      <c r="L15407" s="43">
        <v>9.8301616826441567</v>
      </c>
      <c r="M15407" s="43">
        <v>11.500466041135898</v>
      </c>
      <c r="N15407" s="43">
        <v>4.2857142857142856</v>
      </c>
      <c r="O15407" s="43">
        <v>4.3161920951976196</v>
      </c>
      <c r="P15407" s="475"/>
      <c r="Q15407" s="475"/>
      <c r="R15407" s="475">
        <v>1</v>
      </c>
    </row>
    <row r="15408" spans="1:18" ht="24">
      <c r="A15408" s="471">
        <v>76</v>
      </c>
      <c r="B15408" s="468" t="s">
        <v>27640</v>
      </c>
      <c r="C15408" s="472" t="s">
        <v>27641</v>
      </c>
      <c r="D15408" s="473">
        <v>588.91</v>
      </c>
      <c r="E15408" s="473">
        <v>408.6</v>
      </c>
      <c r="F15408" s="473">
        <v>12.5</v>
      </c>
      <c r="G15408" s="473">
        <v>167.81</v>
      </c>
      <c r="H15408" s="474">
        <v>5445.36</v>
      </c>
      <c r="I15408" s="474">
        <v>4699.04</v>
      </c>
      <c r="J15408" s="474">
        <v>52.89</v>
      </c>
      <c r="K15408" s="474">
        <v>693.43</v>
      </c>
      <c r="L15408" s="43">
        <v>9.2465062573228511</v>
      </c>
      <c r="M15408" s="43">
        <v>11.50034263338228</v>
      </c>
      <c r="N15408" s="43">
        <v>4.2312000000000003</v>
      </c>
      <c r="O15408" s="43">
        <v>4.1322328824265533</v>
      </c>
      <c r="P15408" s="475"/>
      <c r="Q15408" s="475"/>
      <c r="R15408" s="475">
        <v>1</v>
      </c>
    </row>
    <row r="15409" spans="1:18" ht="24">
      <c r="A15409" s="471">
        <v>77</v>
      </c>
      <c r="B15409" s="468" t="s">
        <v>27642</v>
      </c>
      <c r="C15409" s="472" t="s">
        <v>27643</v>
      </c>
      <c r="D15409" s="473">
        <v>722.67</v>
      </c>
      <c r="E15409" s="473">
        <v>467.63</v>
      </c>
      <c r="F15409" s="473">
        <v>14.01</v>
      </c>
      <c r="G15409" s="473">
        <v>241.03</v>
      </c>
      <c r="H15409" s="474">
        <v>6411.92</v>
      </c>
      <c r="I15409" s="474">
        <v>5377.75</v>
      </c>
      <c r="J15409" s="474">
        <v>59.29</v>
      </c>
      <c r="K15409" s="474">
        <v>974.88</v>
      </c>
      <c r="L15409" s="43">
        <v>8.8725421008205689</v>
      </c>
      <c r="M15409" s="43">
        <v>11.50001069221393</v>
      </c>
      <c r="N15409" s="43">
        <v>4.2319771591720201</v>
      </c>
      <c r="O15409" s="43">
        <v>4.0446417458407664</v>
      </c>
      <c r="P15409" s="475"/>
      <c r="Q15409" s="475"/>
      <c r="R15409" s="475">
        <v>1</v>
      </c>
    </row>
    <row r="15410" spans="1:18" ht="12.75" customHeight="1">
      <c r="A15410" s="628" t="s">
        <v>27644</v>
      </c>
      <c r="B15410" s="629"/>
      <c r="C15410" s="629"/>
      <c r="D15410" s="629"/>
      <c r="E15410" s="629"/>
      <c r="F15410" s="629"/>
      <c r="G15410" s="629"/>
      <c r="H15410" s="629"/>
      <c r="I15410" s="629"/>
      <c r="J15410" s="629"/>
      <c r="K15410" s="629"/>
      <c r="L15410" s="629"/>
      <c r="M15410" s="629"/>
      <c r="N15410" s="629"/>
      <c r="O15410" s="629"/>
      <c r="P15410" s="629"/>
      <c r="Q15410" s="629"/>
      <c r="R15410" s="629"/>
    </row>
    <row r="15411" spans="1:18" ht="24">
      <c r="A15411" s="471">
        <v>78</v>
      </c>
      <c r="B15411" s="468" t="s">
        <v>27645</v>
      </c>
      <c r="C15411" s="472" t="s">
        <v>27646</v>
      </c>
      <c r="D15411" s="473">
        <v>352.27</v>
      </c>
      <c r="E15411" s="473">
        <v>257.51</v>
      </c>
      <c r="F15411" s="473">
        <v>3.33</v>
      </c>
      <c r="G15411" s="473">
        <v>91.43</v>
      </c>
      <c r="H15411" s="474">
        <v>3354.86</v>
      </c>
      <c r="I15411" s="474">
        <v>2961.41</v>
      </c>
      <c r="J15411" s="474">
        <v>14.25</v>
      </c>
      <c r="K15411" s="474">
        <v>379.2</v>
      </c>
      <c r="L15411" s="43">
        <v>9.523547279075709</v>
      </c>
      <c r="M15411" s="43">
        <v>11.500174750495127</v>
      </c>
      <c r="N15411" s="43">
        <v>4.2792792792792795</v>
      </c>
      <c r="O15411" s="43">
        <v>4.1474351963250573</v>
      </c>
      <c r="P15411" s="475"/>
      <c r="Q15411" s="475"/>
      <c r="R15411" s="475">
        <v>2</v>
      </c>
    </row>
    <row r="15412" spans="1:18" ht="24">
      <c r="A15412" s="471">
        <v>79</v>
      </c>
      <c r="B15412" s="468" t="s">
        <v>27647</v>
      </c>
      <c r="C15412" s="472" t="s">
        <v>27648</v>
      </c>
      <c r="D15412" s="473">
        <v>321.41000000000003</v>
      </c>
      <c r="E15412" s="473">
        <v>226.45</v>
      </c>
      <c r="F15412" s="473">
        <v>3.37</v>
      </c>
      <c r="G15412" s="473">
        <v>91.59</v>
      </c>
      <c r="H15412" s="474">
        <v>2997.53</v>
      </c>
      <c r="I15412" s="474">
        <v>2604.1999999999998</v>
      </c>
      <c r="J15412" s="474">
        <v>14.41</v>
      </c>
      <c r="K15412" s="474">
        <v>378.92</v>
      </c>
      <c r="L15412" s="43">
        <v>9.3261877352913718</v>
      </c>
      <c r="M15412" s="43">
        <v>11.50011039964672</v>
      </c>
      <c r="N15412" s="43">
        <v>4.275964391691395</v>
      </c>
      <c r="O15412" s="43">
        <v>4.1371328747679881</v>
      </c>
      <c r="P15412" s="475"/>
      <c r="Q15412" s="475"/>
      <c r="R15412" s="475">
        <v>2</v>
      </c>
    </row>
    <row r="15413" spans="1:18" ht="12.75" customHeight="1">
      <c r="A15413" s="628" t="s">
        <v>27649</v>
      </c>
      <c r="B15413" s="629"/>
      <c r="C15413" s="629"/>
      <c r="D15413" s="629"/>
      <c r="E15413" s="629"/>
      <c r="F15413" s="629"/>
      <c r="G15413" s="629"/>
      <c r="H15413" s="629"/>
      <c r="I15413" s="629"/>
      <c r="J15413" s="629"/>
      <c r="K15413" s="629"/>
      <c r="L15413" s="629"/>
      <c r="M15413" s="629"/>
      <c r="N15413" s="629"/>
      <c r="O15413" s="629"/>
      <c r="P15413" s="629"/>
      <c r="Q15413" s="629"/>
      <c r="R15413" s="629"/>
    </row>
    <row r="15414" spans="1:18" ht="24">
      <c r="A15414" s="471">
        <v>80</v>
      </c>
      <c r="B15414" s="468" t="s">
        <v>27650</v>
      </c>
      <c r="C15414" s="472" t="s">
        <v>27651</v>
      </c>
      <c r="D15414" s="473">
        <v>355.26</v>
      </c>
      <c r="E15414" s="473">
        <v>259.57</v>
      </c>
      <c r="F15414" s="473">
        <v>3.78</v>
      </c>
      <c r="G15414" s="473">
        <v>91.91</v>
      </c>
      <c r="H15414" s="474">
        <v>3384.76</v>
      </c>
      <c r="I15414" s="474">
        <v>2985.06</v>
      </c>
      <c r="J15414" s="474">
        <v>16.170000000000002</v>
      </c>
      <c r="K15414" s="474">
        <v>383.53</v>
      </c>
      <c r="L15414" s="43">
        <v>9.5275572819906564</v>
      </c>
      <c r="M15414" s="43">
        <v>11.500019262626651</v>
      </c>
      <c r="N15414" s="43">
        <v>4.2777777777777786</v>
      </c>
      <c r="O15414" s="43">
        <v>4.1728865194211728</v>
      </c>
      <c r="P15414" s="475"/>
      <c r="Q15414" s="475"/>
      <c r="R15414" s="475">
        <v>3</v>
      </c>
    </row>
    <row r="15415" spans="1:18" ht="24">
      <c r="A15415" s="471">
        <v>81</v>
      </c>
      <c r="B15415" s="468" t="s">
        <v>27652</v>
      </c>
      <c r="C15415" s="472" t="s">
        <v>27653</v>
      </c>
      <c r="D15415" s="473">
        <v>637.54999999999995</v>
      </c>
      <c r="E15415" s="473">
        <v>309.60000000000002</v>
      </c>
      <c r="F15415" s="473">
        <v>15.52</v>
      </c>
      <c r="G15415" s="473">
        <v>312.43</v>
      </c>
      <c r="H15415" s="474">
        <v>4854.57</v>
      </c>
      <c r="I15415" s="474">
        <v>3560.4</v>
      </c>
      <c r="J15415" s="474">
        <v>65.7</v>
      </c>
      <c r="K15415" s="474">
        <v>1228.47</v>
      </c>
      <c r="L15415" s="43">
        <v>7.6144145557211198</v>
      </c>
      <c r="M15415" s="43">
        <v>11.5</v>
      </c>
      <c r="N15415" s="43">
        <v>4.2332474226804129</v>
      </c>
      <c r="O15415" s="43">
        <v>3.9319847645872676</v>
      </c>
      <c r="P15415" s="475"/>
      <c r="Q15415" s="475"/>
      <c r="R15415" s="475">
        <v>3</v>
      </c>
    </row>
    <row r="15416" spans="1:18" ht="24">
      <c r="A15416" s="471">
        <v>82</v>
      </c>
      <c r="B15416" s="468" t="s">
        <v>27654</v>
      </c>
      <c r="C15416" s="472" t="s">
        <v>27655</v>
      </c>
      <c r="D15416" s="473">
        <v>513.03</v>
      </c>
      <c r="E15416" s="473">
        <v>301.99</v>
      </c>
      <c r="F15416" s="473">
        <v>35.020000000000003</v>
      </c>
      <c r="G15416" s="473">
        <v>176.02</v>
      </c>
      <c r="H15416" s="474">
        <v>4380.6499999999996</v>
      </c>
      <c r="I15416" s="474">
        <v>3472.89</v>
      </c>
      <c r="J15416" s="474">
        <v>148.24</v>
      </c>
      <c r="K15416" s="474">
        <v>759.52</v>
      </c>
      <c r="L15416" s="43">
        <v>8.5387794086115818</v>
      </c>
      <c r="M15416" s="43">
        <v>11.500016556839629</v>
      </c>
      <c r="N15416" s="43">
        <v>4.233009708737864</v>
      </c>
      <c r="O15416" s="43">
        <v>4.3149642086126576</v>
      </c>
      <c r="P15416" s="475"/>
      <c r="Q15416" s="475"/>
      <c r="R15416" s="475">
        <v>3</v>
      </c>
    </row>
    <row r="15417" spans="1:18" ht="24">
      <c r="A15417" s="471">
        <v>83</v>
      </c>
      <c r="B15417" s="468" t="s">
        <v>27656</v>
      </c>
      <c r="C15417" s="472" t="s">
        <v>27657</v>
      </c>
      <c r="D15417" s="473">
        <v>438.06</v>
      </c>
      <c r="E15417" s="473">
        <v>290.88</v>
      </c>
      <c r="F15417" s="473">
        <v>11.14</v>
      </c>
      <c r="G15417" s="473">
        <v>136.04</v>
      </c>
      <c r="H15417" s="474">
        <v>3946.17</v>
      </c>
      <c r="I15417" s="474">
        <v>3345.12</v>
      </c>
      <c r="J15417" s="474">
        <v>47.17</v>
      </c>
      <c r="K15417" s="474">
        <v>553.88</v>
      </c>
      <c r="L15417" s="43">
        <v>9.0082865360909459</v>
      </c>
      <c r="M15417" s="43">
        <v>11.5</v>
      </c>
      <c r="N15417" s="43">
        <v>4.2342908438061038</v>
      </c>
      <c r="O15417" s="43">
        <v>4.0714495736548075</v>
      </c>
      <c r="P15417" s="475"/>
      <c r="Q15417" s="475"/>
      <c r="R15417" s="475">
        <v>3</v>
      </c>
    </row>
    <row r="15418" spans="1:18" ht="24">
      <c r="A15418" s="471">
        <v>84</v>
      </c>
      <c r="B15418" s="468" t="s">
        <v>27658</v>
      </c>
      <c r="C15418" s="472" t="s">
        <v>27659</v>
      </c>
      <c r="D15418" s="473">
        <v>367.84</v>
      </c>
      <c r="E15418" s="473">
        <v>270.68</v>
      </c>
      <c r="F15418" s="473">
        <v>3.81</v>
      </c>
      <c r="G15418" s="473">
        <v>93.35</v>
      </c>
      <c r="H15418" s="474">
        <v>3525.94</v>
      </c>
      <c r="I15418" s="474">
        <v>3112.82</v>
      </c>
      <c r="J15418" s="474">
        <v>16.329999999999998</v>
      </c>
      <c r="K15418" s="474">
        <v>396.79</v>
      </c>
      <c r="L15418" s="43">
        <v>9.5855263157894743</v>
      </c>
      <c r="M15418" s="43">
        <v>11.5</v>
      </c>
      <c r="N15418" s="43">
        <v>4.2860892388451441</v>
      </c>
      <c r="O15418" s="43">
        <v>4.2505623995715052</v>
      </c>
      <c r="P15418" s="475"/>
      <c r="Q15418" s="475"/>
      <c r="R15418" s="475">
        <v>3</v>
      </c>
    </row>
    <row r="15419" spans="1:18" ht="12.75" customHeight="1">
      <c r="A15419" s="628" t="s">
        <v>27660</v>
      </c>
      <c r="B15419" s="629"/>
      <c r="C15419" s="629"/>
      <c r="D15419" s="629"/>
      <c r="E15419" s="629"/>
      <c r="F15419" s="629"/>
      <c r="G15419" s="629"/>
      <c r="H15419" s="629"/>
      <c r="I15419" s="629"/>
      <c r="J15419" s="629"/>
      <c r="K15419" s="629"/>
      <c r="L15419" s="629"/>
      <c r="M15419" s="629"/>
      <c r="N15419" s="629"/>
      <c r="O15419" s="629"/>
      <c r="P15419" s="629"/>
      <c r="Q15419" s="629"/>
      <c r="R15419" s="629"/>
    </row>
    <row r="15420" spans="1:18" ht="24">
      <c r="A15420" s="471">
        <v>85</v>
      </c>
      <c r="B15420" s="468" t="s">
        <v>27661</v>
      </c>
      <c r="C15420" s="472" t="s">
        <v>27662</v>
      </c>
      <c r="D15420" s="473">
        <v>353.7</v>
      </c>
      <c r="E15420" s="473">
        <v>208.46</v>
      </c>
      <c r="F15420" s="473">
        <v>10.51</v>
      </c>
      <c r="G15420" s="473">
        <v>134.72999999999999</v>
      </c>
      <c r="H15420" s="474">
        <v>2979.7</v>
      </c>
      <c r="I15420" s="474">
        <v>2397.34</v>
      </c>
      <c r="J15420" s="474">
        <v>44.47</v>
      </c>
      <c r="K15420" s="474">
        <v>537.89</v>
      </c>
      <c r="L15420" s="43">
        <v>8.424370935821317</v>
      </c>
      <c r="M15420" s="43">
        <v>11.500239854168665</v>
      </c>
      <c r="N15420" s="43">
        <v>4.2312083729781165</v>
      </c>
      <c r="O15420" s="43">
        <v>3.9923550805314334</v>
      </c>
      <c r="P15420" s="475"/>
      <c r="Q15420" s="475"/>
      <c r="R15420" s="475">
        <v>4</v>
      </c>
    </row>
    <row r="15421" spans="1:18" ht="24">
      <c r="A15421" s="471">
        <v>86</v>
      </c>
      <c r="B15421" s="468" t="s">
        <v>27663</v>
      </c>
      <c r="C15421" s="472" t="s">
        <v>27664</v>
      </c>
      <c r="D15421" s="473">
        <v>425.26</v>
      </c>
      <c r="E15421" s="473">
        <v>277.61</v>
      </c>
      <c r="F15421" s="473">
        <v>11.54</v>
      </c>
      <c r="G15421" s="473">
        <v>136.11000000000001</v>
      </c>
      <c r="H15421" s="474">
        <v>3795.1</v>
      </c>
      <c r="I15421" s="474">
        <v>3192.49</v>
      </c>
      <c r="J15421" s="474">
        <v>48.85</v>
      </c>
      <c r="K15421" s="474">
        <v>553.76</v>
      </c>
      <c r="L15421" s="43">
        <v>8.9241875558481869</v>
      </c>
      <c r="M15421" s="43">
        <v>11.499909945607145</v>
      </c>
      <c r="N15421" s="43">
        <v>4.2331022530329294</v>
      </c>
      <c r="O15421" s="43">
        <v>4.0684740283594145</v>
      </c>
      <c r="P15421" s="475"/>
      <c r="Q15421" s="475"/>
      <c r="R15421" s="475">
        <v>4</v>
      </c>
    </row>
    <row r="15422" spans="1:18" ht="24">
      <c r="A15422" s="471">
        <v>87</v>
      </c>
      <c r="B15422" s="468" t="s">
        <v>27665</v>
      </c>
      <c r="C15422" s="472" t="s">
        <v>27666</v>
      </c>
      <c r="D15422" s="473">
        <v>243.17</v>
      </c>
      <c r="E15422" s="473">
        <v>163.06</v>
      </c>
      <c r="F15422" s="473">
        <v>2.09</v>
      </c>
      <c r="G15422" s="473">
        <v>78.02</v>
      </c>
      <c r="H15422" s="474">
        <v>2213.3200000000002</v>
      </c>
      <c r="I15422" s="474">
        <v>1875.14</v>
      </c>
      <c r="J15422" s="474">
        <v>8.9700000000000006</v>
      </c>
      <c r="K15422" s="474">
        <v>329.21</v>
      </c>
      <c r="L15422" s="43">
        <v>9.1019451412592023</v>
      </c>
      <c r="M15422" s="43">
        <v>11.49969336440574</v>
      </c>
      <c r="N15422" s="43">
        <v>4.2918660287081343</v>
      </c>
      <c r="O15422" s="43">
        <v>4.2195590874134838</v>
      </c>
      <c r="P15422" s="475"/>
      <c r="Q15422" s="475"/>
      <c r="R15422" s="475">
        <v>4</v>
      </c>
    </row>
    <row r="15423" spans="1:18" ht="24">
      <c r="A15423" s="471">
        <v>88</v>
      </c>
      <c r="B15423" s="468" t="s">
        <v>27667</v>
      </c>
      <c r="C15423" s="472" t="s">
        <v>27668</v>
      </c>
      <c r="D15423" s="473">
        <v>230.3</v>
      </c>
      <c r="E15423" s="473">
        <v>180.6</v>
      </c>
      <c r="F15423" s="473">
        <v>1.57</v>
      </c>
      <c r="G15423" s="473">
        <v>48.13</v>
      </c>
      <c r="H15423" s="474">
        <v>2297.19</v>
      </c>
      <c r="I15423" s="474">
        <v>2076.9</v>
      </c>
      <c r="J15423" s="474">
        <v>6.72</v>
      </c>
      <c r="K15423" s="474">
        <v>213.57</v>
      </c>
      <c r="L15423" s="43">
        <v>9.9747720364741639</v>
      </c>
      <c r="M15423" s="43">
        <v>11.5</v>
      </c>
      <c r="N15423" s="43">
        <v>4.2802547770700636</v>
      </c>
      <c r="O15423" s="43">
        <v>4.4373571576979014</v>
      </c>
      <c r="P15423" s="475"/>
      <c r="Q15423" s="475"/>
      <c r="R15423" s="475">
        <v>4</v>
      </c>
    </row>
    <row r="15424" spans="1:18" ht="24">
      <c r="A15424" s="471">
        <v>89</v>
      </c>
      <c r="B15424" s="468" t="s">
        <v>27669</v>
      </c>
      <c r="C15424" s="472" t="s">
        <v>27670</v>
      </c>
      <c r="D15424" s="473">
        <v>613.34</v>
      </c>
      <c r="E15424" s="473">
        <v>387.22</v>
      </c>
      <c r="F15424" s="473">
        <v>15.92</v>
      </c>
      <c r="G15424" s="473">
        <v>210.2</v>
      </c>
      <c r="H15424" s="474">
        <v>5366.23</v>
      </c>
      <c r="I15424" s="474">
        <v>4453.22</v>
      </c>
      <c r="J15424" s="474">
        <v>67.38</v>
      </c>
      <c r="K15424" s="474">
        <v>845.63</v>
      </c>
      <c r="L15424" s="43">
        <v>8.7491929435549594</v>
      </c>
      <c r="M15424" s="43">
        <v>11.500490677134446</v>
      </c>
      <c r="N15424" s="43">
        <v>4.232412060301507</v>
      </c>
      <c r="O15424" s="43">
        <v>4.0229781160799245</v>
      </c>
      <c r="P15424" s="475"/>
      <c r="Q15424" s="475"/>
      <c r="R15424" s="475">
        <v>4</v>
      </c>
    </row>
    <row r="15425" spans="1:18" ht="12.75" customHeight="1">
      <c r="A15425" s="628" t="s">
        <v>27671</v>
      </c>
      <c r="B15425" s="629"/>
      <c r="C15425" s="629"/>
      <c r="D15425" s="629"/>
      <c r="E15425" s="629"/>
      <c r="F15425" s="629"/>
      <c r="G15425" s="629"/>
      <c r="H15425" s="629"/>
      <c r="I15425" s="629"/>
      <c r="J15425" s="629"/>
      <c r="K15425" s="629"/>
      <c r="L15425" s="629"/>
      <c r="M15425" s="629"/>
      <c r="N15425" s="629"/>
      <c r="O15425" s="629"/>
      <c r="P15425" s="629"/>
      <c r="Q15425" s="629"/>
      <c r="R15425" s="629"/>
    </row>
    <row r="15426" spans="1:18" ht="12.75" customHeight="1">
      <c r="A15426" s="628" t="s">
        <v>27672</v>
      </c>
      <c r="B15426" s="629"/>
      <c r="C15426" s="629"/>
      <c r="D15426" s="629"/>
      <c r="E15426" s="629"/>
      <c r="F15426" s="629"/>
      <c r="G15426" s="629"/>
      <c r="H15426" s="629"/>
      <c r="I15426" s="629"/>
      <c r="J15426" s="629"/>
      <c r="K15426" s="629"/>
      <c r="L15426" s="629"/>
      <c r="M15426" s="629"/>
      <c r="N15426" s="629"/>
      <c r="O15426" s="629"/>
      <c r="P15426" s="629"/>
      <c r="Q15426" s="629"/>
      <c r="R15426" s="629"/>
    </row>
    <row r="15427" spans="1:18" ht="24">
      <c r="A15427" s="471">
        <v>90</v>
      </c>
      <c r="B15427" s="468" t="s">
        <v>27673</v>
      </c>
      <c r="C15427" s="472" t="s">
        <v>27674</v>
      </c>
      <c r="D15427" s="473">
        <v>453.46</v>
      </c>
      <c r="E15427" s="473">
        <v>304.68</v>
      </c>
      <c r="F15427" s="473">
        <v>10.91</v>
      </c>
      <c r="G15427" s="473">
        <v>137.87</v>
      </c>
      <c r="H15427" s="474">
        <v>4120.84</v>
      </c>
      <c r="I15427" s="474">
        <v>3503.98</v>
      </c>
      <c r="J15427" s="474">
        <v>46.16</v>
      </c>
      <c r="K15427" s="474">
        <v>570.70000000000005</v>
      </c>
      <c r="L15427" s="43">
        <v>9.0875490671724091</v>
      </c>
      <c r="M15427" s="43">
        <v>11.500525141131678</v>
      </c>
      <c r="N15427" s="43">
        <v>4.230980751604033</v>
      </c>
      <c r="O15427" s="43">
        <v>4.1394066874592008</v>
      </c>
      <c r="P15427" s="475"/>
      <c r="Q15427" s="475"/>
      <c r="R15427" s="475">
        <v>1</v>
      </c>
    </row>
    <row r="15428" spans="1:18" ht="24">
      <c r="A15428" s="471">
        <v>91</v>
      </c>
      <c r="B15428" s="468" t="s">
        <v>27675</v>
      </c>
      <c r="C15428" s="472" t="s">
        <v>27676</v>
      </c>
      <c r="D15428" s="473">
        <v>341.4</v>
      </c>
      <c r="E15428" s="473">
        <v>245.62</v>
      </c>
      <c r="F15428" s="473">
        <v>4.08</v>
      </c>
      <c r="G15428" s="473">
        <v>91.7</v>
      </c>
      <c r="H15428" s="474">
        <v>3222.94</v>
      </c>
      <c r="I15428" s="474">
        <v>2824.58</v>
      </c>
      <c r="J15428" s="474">
        <v>17.45</v>
      </c>
      <c r="K15428" s="474">
        <v>380.91</v>
      </c>
      <c r="L15428" s="43">
        <v>9.4403632103104869</v>
      </c>
      <c r="M15428" s="43">
        <v>11.499796433515186</v>
      </c>
      <c r="N15428" s="43">
        <v>4.276960784313725</v>
      </c>
      <c r="O15428" s="43">
        <v>4.1538713195201744</v>
      </c>
      <c r="P15428" s="475"/>
      <c r="Q15428" s="475"/>
      <c r="R15428" s="475">
        <v>1</v>
      </c>
    </row>
    <row r="15429" spans="1:18" ht="24">
      <c r="A15429" s="471">
        <v>92</v>
      </c>
      <c r="B15429" s="468" t="s">
        <v>27677</v>
      </c>
      <c r="C15429" s="472" t="s">
        <v>27678</v>
      </c>
      <c r="D15429" s="473">
        <v>254.12</v>
      </c>
      <c r="E15429" s="473">
        <v>189.53</v>
      </c>
      <c r="F15429" s="473">
        <v>1.94</v>
      </c>
      <c r="G15429" s="473">
        <v>62.65</v>
      </c>
      <c r="H15429" s="474">
        <v>2456.6799999999998</v>
      </c>
      <c r="I15429" s="474">
        <v>2179.73</v>
      </c>
      <c r="J15429" s="474">
        <v>8.33</v>
      </c>
      <c r="K15429" s="474">
        <v>268.62</v>
      </c>
      <c r="L15429" s="43">
        <v>9.6674012277664083</v>
      </c>
      <c r="M15429" s="43">
        <v>11.500712288292091</v>
      </c>
      <c r="N15429" s="43">
        <v>4.2938144329896906</v>
      </c>
      <c r="O15429" s="43">
        <v>4.2876296887470078</v>
      </c>
      <c r="P15429" s="475"/>
      <c r="Q15429" s="475"/>
      <c r="R15429" s="475">
        <v>1</v>
      </c>
    </row>
    <row r="15430" spans="1:18" ht="12.75" customHeight="1">
      <c r="A15430" s="628" t="s">
        <v>27679</v>
      </c>
      <c r="B15430" s="629"/>
      <c r="C15430" s="629"/>
      <c r="D15430" s="629"/>
      <c r="E15430" s="629"/>
      <c r="F15430" s="629"/>
      <c r="G15430" s="629"/>
      <c r="H15430" s="629"/>
      <c r="I15430" s="629"/>
      <c r="J15430" s="629"/>
      <c r="K15430" s="629"/>
      <c r="L15430" s="629"/>
      <c r="M15430" s="629"/>
      <c r="N15430" s="629"/>
      <c r="O15430" s="629"/>
      <c r="P15430" s="629"/>
      <c r="Q15430" s="629"/>
      <c r="R15430" s="629"/>
    </row>
    <row r="15431" spans="1:18" ht="24">
      <c r="A15431" s="471">
        <v>93</v>
      </c>
      <c r="B15431" s="468" t="s">
        <v>27680</v>
      </c>
      <c r="C15431" s="472" t="s">
        <v>27681</v>
      </c>
      <c r="D15431" s="473">
        <v>215.3</v>
      </c>
      <c r="E15431" s="473">
        <v>152.08000000000001</v>
      </c>
      <c r="F15431" s="473">
        <v>1.8</v>
      </c>
      <c r="G15431" s="473">
        <v>61.42</v>
      </c>
      <c r="H15431" s="474">
        <v>2012.51</v>
      </c>
      <c r="I15431" s="474">
        <v>1749.01</v>
      </c>
      <c r="J15431" s="474">
        <v>7.68</v>
      </c>
      <c r="K15431" s="474">
        <v>255.82</v>
      </c>
      <c r="L15431" s="43">
        <v>9.3474686483975837</v>
      </c>
      <c r="M15431" s="43">
        <v>11.50059179379274</v>
      </c>
      <c r="N15431" s="43">
        <v>4.2666666666666666</v>
      </c>
      <c r="O15431" s="43">
        <v>4.1650928036470205</v>
      </c>
      <c r="P15431" s="475"/>
      <c r="Q15431" s="475"/>
      <c r="R15431" s="475">
        <v>2</v>
      </c>
    </row>
    <row r="15432" spans="1:18" ht="24">
      <c r="A15432" s="471">
        <v>94</v>
      </c>
      <c r="B15432" s="468" t="s">
        <v>27682</v>
      </c>
      <c r="C15432" s="472" t="s">
        <v>27683</v>
      </c>
      <c r="D15432" s="473">
        <v>800.56</v>
      </c>
      <c r="E15432" s="473">
        <v>571.97</v>
      </c>
      <c r="F15432" s="473">
        <v>14.89</v>
      </c>
      <c r="G15432" s="473">
        <v>213.7</v>
      </c>
      <c r="H15432" s="474">
        <v>7527.31</v>
      </c>
      <c r="I15432" s="474">
        <v>6577.92</v>
      </c>
      <c r="J15432" s="474">
        <v>63</v>
      </c>
      <c r="K15432" s="474">
        <v>886.39</v>
      </c>
      <c r="L15432" s="43">
        <v>9.4025557110023001</v>
      </c>
      <c r="M15432" s="43">
        <v>11.500463311012815</v>
      </c>
      <c r="N15432" s="43">
        <v>4.2310275352585629</v>
      </c>
      <c r="O15432" s="43">
        <v>4.1478240524099208</v>
      </c>
      <c r="P15432" s="475"/>
      <c r="Q15432" s="475"/>
      <c r="R15432" s="475">
        <v>2</v>
      </c>
    </row>
    <row r="15433" spans="1:18" ht="24">
      <c r="A15433" s="471">
        <v>95</v>
      </c>
      <c r="B15433" s="468" t="s">
        <v>27684</v>
      </c>
      <c r="C15433" s="472" t="s">
        <v>27685</v>
      </c>
      <c r="D15433" s="473">
        <v>380.76</v>
      </c>
      <c r="E15433" s="473">
        <v>236.17</v>
      </c>
      <c r="F15433" s="473">
        <v>10.27</v>
      </c>
      <c r="G15433" s="473">
        <v>134.32</v>
      </c>
      <c r="H15433" s="474">
        <v>3295.4</v>
      </c>
      <c r="I15433" s="474">
        <v>2716.07</v>
      </c>
      <c r="J15433" s="474">
        <v>43.46</v>
      </c>
      <c r="K15433" s="474">
        <v>535.87</v>
      </c>
      <c r="L15433" s="43">
        <v>8.6547956718142665</v>
      </c>
      <c r="M15433" s="43">
        <v>11.500486937375621</v>
      </c>
      <c r="N15433" s="43">
        <v>4.2317429406037004</v>
      </c>
      <c r="O15433" s="43">
        <v>3.9895026801667663</v>
      </c>
      <c r="P15433" s="475"/>
      <c r="Q15433" s="475"/>
      <c r="R15433" s="475">
        <v>2</v>
      </c>
    </row>
    <row r="15434" spans="1:18" ht="24">
      <c r="A15434" s="471">
        <v>96</v>
      </c>
      <c r="B15434" s="468" t="s">
        <v>27686</v>
      </c>
      <c r="C15434" s="472" t="s">
        <v>27687</v>
      </c>
      <c r="D15434" s="473">
        <v>1448.8</v>
      </c>
      <c r="E15434" s="473">
        <v>873.65</v>
      </c>
      <c r="F15434" s="473">
        <v>38.04</v>
      </c>
      <c r="G15434" s="473">
        <v>537.11</v>
      </c>
      <c r="H15434" s="474">
        <v>12346.37</v>
      </c>
      <c r="I15434" s="474">
        <v>10046.98</v>
      </c>
      <c r="J15434" s="474">
        <v>161.4</v>
      </c>
      <c r="K15434" s="474">
        <v>2137.9899999999998</v>
      </c>
      <c r="L15434" s="43">
        <v>8.5217904472667048</v>
      </c>
      <c r="M15434" s="43">
        <v>11.500005723115663</v>
      </c>
      <c r="N15434" s="43">
        <v>4.242902208201893</v>
      </c>
      <c r="O15434" s="43">
        <v>3.9805440226396822</v>
      </c>
      <c r="P15434" s="475"/>
      <c r="Q15434" s="475"/>
      <c r="R15434" s="475">
        <v>2</v>
      </c>
    </row>
    <row r="15435" spans="1:18" ht="24">
      <c r="A15435" s="471">
        <v>97</v>
      </c>
      <c r="B15435" s="468" t="s">
        <v>27688</v>
      </c>
      <c r="C15435" s="472" t="s">
        <v>27689</v>
      </c>
      <c r="D15435" s="473">
        <v>1310.88</v>
      </c>
      <c r="E15435" s="473">
        <v>738.31</v>
      </c>
      <c r="F15435" s="473">
        <v>32.380000000000003</v>
      </c>
      <c r="G15435" s="473">
        <v>540.19000000000005</v>
      </c>
      <c r="H15435" s="474">
        <v>10785.54</v>
      </c>
      <c r="I15435" s="474">
        <v>8490.57</v>
      </c>
      <c r="J15435" s="474">
        <v>137.37</v>
      </c>
      <c r="K15435" s="474">
        <v>2157.6</v>
      </c>
      <c r="L15435" s="43">
        <v>8.2277096301720984</v>
      </c>
      <c r="M15435" s="43">
        <v>11.500006772223051</v>
      </c>
      <c r="N15435" s="43">
        <v>4.2424336009882646</v>
      </c>
      <c r="O15435" s="43">
        <v>3.9941502064088557</v>
      </c>
      <c r="P15435" s="475"/>
      <c r="Q15435" s="475"/>
      <c r="R15435" s="475">
        <v>2</v>
      </c>
    </row>
    <row r="15436" spans="1:18" ht="24">
      <c r="A15436" s="471">
        <v>98</v>
      </c>
      <c r="B15436" s="468" t="s">
        <v>27690</v>
      </c>
      <c r="C15436" s="472" t="s">
        <v>27691</v>
      </c>
      <c r="D15436" s="473">
        <v>460.48</v>
      </c>
      <c r="E15436" s="473">
        <v>313.85000000000002</v>
      </c>
      <c r="F15436" s="473">
        <v>10.27</v>
      </c>
      <c r="G15436" s="473">
        <v>136.36000000000001</v>
      </c>
      <c r="H15436" s="474">
        <v>4210.8900000000003</v>
      </c>
      <c r="I15436" s="474">
        <v>3609.45</v>
      </c>
      <c r="J15436" s="474">
        <v>43.46</v>
      </c>
      <c r="K15436" s="474">
        <v>557.98</v>
      </c>
      <c r="L15436" s="43">
        <v>9.1445665392633781</v>
      </c>
      <c r="M15436" s="43">
        <v>11.500557591205988</v>
      </c>
      <c r="N15436" s="43">
        <v>4.2317429406037004</v>
      </c>
      <c r="O15436" s="43">
        <v>4.0919624523320621</v>
      </c>
      <c r="P15436" s="475"/>
      <c r="Q15436" s="475"/>
      <c r="R15436" s="475">
        <v>2</v>
      </c>
    </row>
    <row r="15437" spans="1:18" ht="24">
      <c r="A15437" s="471">
        <v>99</v>
      </c>
      <c r="B15437" s="468" t="s">
        <v>27692</v>
      </c>
      <c r="C15437" s="472" t="s">
        <v>27693</v>
      </c>
      <c r="D15437" s="473">
        <v>469.57</v>
      </c>
      <c r="E15437" s="473">
        <v>286.89999999999998</v>
      </c>
      <c r="F15437" s="473">
        <v>14.09</v>
      </c>
      <c r="G15437" s="473">
        <v>168.58</v>
      </c>
      <c r="H15437" s="474">
        <v>4052.42</v>
      </c>
      <c r="I15437" s="474">
        <v>3299.3</v>
      </c>
      <c r="J15437" s="474">
        <v>59.63</v>
      </c>
      <c r="K15437" s="474">
        <v>693.49</v>
      </c>
      <c r="L15437" s="43">
        <v>8.6300658048853212</v>
      </c>
      <c r="M15437" s="43">
        <v>11.49982572324852</v>
      </c>
      <c r="N15437" s="43">
        <v>4.2320794889992905</v>
      </c>
      <c r="O15437" s="43">
        <v>4.1137145568869373</v>
      </c>
      <c r="P15437" s="475"/>
      <c r="Q15437" s="475"/>
      <c r="R15437" s="475">
        <v>2</v>
      </c>
    </row>
    <row r="15438" spans="1:18" ht="12.75" customHeight="1">
      <c r="A15438" s="628" t="s">
        <v>27694</v>
      </c>
      <c r="B15438" s="629"/>
      <c r="C15438" s="629"/>
      <c r="D15438" s="629"/>
      <c r="E15438" s="629"/>
      <c r="F15438" s="629"/>
      <c r="G15438" s="629"/>
      <c r="H15438" s="629"/>
      <c r="I15438" s="629"/>
      <c r="J15438" s="629"/>
      <c r="K15438" s="629"/>
      <c r="L15438" s="629"/>
      <c r="M15438" s="629"/>
      <c r="N15438" s="629"/>
      <c r="O15438" s="629"/>
      <c r="P15438" s="629"/>
      <c r="Q15438" s="629"/>
      <c r="R15438" s="629"/>
    </row>
    <row r="15439" spans="1:18" ht="24">
      <c r="A15439" s="471">
        <v>100</v>
      </c>
      <c r="B15439" s="468" t="s">
        <v>27695</v>
      </c>
      <c r="C15439" s="472" t="s">
        <v>27696</v>
      </c>
      <c r="D15439" s="473">
        <v>185.57</v>
      </c>
      <c r="E15439" s="473">
        <v>138.29</v>
      </c>
      <c r="F15439" s="473">
        <v>1.08</v>
      </c>
      <c r="G15439" s="473">
        <v>46.2</v>
      </c>
      <c r="H15439" s="474">
        <v>1789.33</v>
      </c>
      <c r="I15439" s="474">
        <v>1590.31</v>
      </c>
      <c r="J15439" s="474">
        <v>4.6399999999999997</v>
      </c>
      <c r="K15439" s="474">
        <v>194.38</v>
      </c>
      <c r="L15439" s="43">
        <v>9.6423452066605595</v>
      </c>
      <c r="M15439" s="43">
        <v>11.499819220478704</v>
      </c>
      <c r="N15439" s="43">
        <v>4.2962962962962958</v>
      </c>
      <c r="O15439" s="43">
        <v>4.2073593073593072</v>
      </c>
      <c r="P15439" s="475"/>
      <c r="Q15439" s="475"/>
      <c r="R15439" s="475">
        <v>3</v>
      </c>
    </row>
    <row r="15440" spans="1:18" ht="24">
      <c r="A15440" s="471">
        <v>101</v>
      </c>
      <c r="B15440" s="468" t="s">
        <v>27697</v>
      </c>
      <c r="C15440" s="472" t="s">
        <v>27698</v>
      </c>
      <c r="D15440" s="473">
        <v>716.25</v>
      </c>
      <c r="E15440" s="473">
        <v>489.17</v>
      </c>
      <c r="F15440" s="473">
        <v>15.52</v>
      </c>
      <c r="G15440" s="473">
        <v>211.56</v>
      </c>
      <c r="H15440" s="474">
        <v>6554.26</v>
      </c>
      <c r="I15440" s="474">
        <v>5625.43</v>
      </c>
      <c r="J15440" s="474">
        <v>65.7</v>
      </c>
      <c r="K15440" s="474">
        <v>863.13</v>
      </c>
      <c r="L15440" s="43">
        <v>9.1507993019197205</v>
      </c>
      <c r="M15440" s="43">
        <v>11.499948893022875</v>
      </c>
      <c r="N15440" s="43">
        <v>4.2332474226804129</v>
      </c>
      <c r="O15440" s="43">
        <v>4.0798355076574024</v>
      </c>
      <c r="P15440" s="475"/>
      <c r="Q15440" s="475"/>
      <c r="R15440" s="475">
        <v>3</v>
      </c>
    </row>
    <row r="15441" spans="1:18" ht="24">
      <c r="A15441" s="471">
        <v>102</v>
      </c>
      <c r="B15441" s="468" t="s">
        <v>27699</v>
      </c>
      <c r="C15441" s="472" t="s">
        <v>27700</v>
      </c>
      <c r="D15441" s="473">
        <v>564.62</v>
      </c>
      <c r="E15441" s="473">
        <v>339.53</v>
      </c>
      <c r="F15441" s="473">
        <v>15.36</v>
      </c>
      <c r="G15441" s="473">
        <v>209.73</v>
      </c>
      <c r="H15441" s="474">
        <v>4808.47</v>
      </c>
      <c r="I15441" s="474">
        <v>3904.57</v>
      </c>
      <c r="J15441" s="474">
        <v>65.02</v>
      </c>
      <c r="K15441" s="474">
        <v>838.88</v>
      </c>
      <c r="L15441" s="43">
        <v>8.5162941447345126</v>
      </c>
      <c r="M15441" s="43">
        <v>11.499926368803937</v>
      </c>
      <c r="N15441" s="43">
        <v>4.233072916666667</v>
      </c>
      <c r="O15441" s="43">
        <v>3.9998092785962904</v>
      </c>
      <c r="P15441" s="475"/>
      <c r="Q15441" s="475"/>
      <c r="R15441" s="475">
        <v>3</v>
      </c>
    </row>
    <row r="15442" spans="1:18" ht="24">
      <c r="A15442" s="471">
        <v>103</v>
      </c>
      <c r="B15442" s="468" t="s">
        <v>27701</v>
      </c>
      <c r="C15442" s="472" t="s">
        <v>27702</v>
      </c>
      <c r="D15442" s="473">
        <v>781.48</v>
      </c>
      <c r="E15442" s="473">
        <v>552.12</v>
      </c>
      <c r="F15442" s="473">
        <v>15.52</v>
      </c>
      <c r="G15442" s="473">
        <v>213.84</v>
      </c>
      <c r="H15442" s="474">
        <v>7301.64</v>
      </c>
      <c r="I15442" s="474">
        <v>6349.38</v>
      </c>
      <c r="J15442" s="474">
        <v>65.7</v>
      </c>
      <c r="K15442" s="474">
        <v>886.56</v>
      </c>
      <c r="L15442" s="43">
        <v>9.3433485181962439</v>
      </c>
      <c r="M15442" s="43">
        <v>11.5</v>
      </c>
      <c r="N15442" s="43">
        <v>4.2332474226804129</v>
      </c>
      <c r="O15442" s="43">
        <v>4.1459034792368126</v>
      </c>
      <c r="P15442" s="475"/>
      <c r="Q15442" s="475"/>
      <c r="R15442" s="475">
        <v>3</v>
      </c>
    </row>
    <row r="15443" spans="1:18" ht="24">
      <c r="A15443" s="471">
        <v>104</v>
      </c>
      <c r="B15443" s="468" t="s">
        <v>27703</v>
      </c>
      <c r="C15443" s="472" t="s">
        <v>27704</v>
      </c>
      <c r="D15443" s="473">
        <v>232.6</v>
      </c>
      <c r="E15443" s="473">
        <v>168.14</v>
      </c>
      <c r="F15443" s="473">
        <v>2.2400000000000002</v>
      </c>
      <c r="G15443" s="473">
        <v>62.22</v>
      </c>
      <c r="H15443" s="474">
        <v>2206.92</v>
      </c>
      <c r="I15443" s="474">
        <v>1933.64</v>
      </c>
      <c r="J15443" s="474">
        <v>9.61</v>
      </c>
      <c r="K15443" s="474">
        <v>263.67</v>
      </c>
      <c r="L15443" s="43">
        <v>9.4880481513327606</v>
      </c>
      <c r="M15443" s="43">
        <v>11.500178422742954</v>
      </c>
      <c r="N15443" s="43">
        <v>4.2901785714285712</v>
      </c>
      <c r="O15443" s="43">
        <v>4.2377049180327875</v>
      </c>
      <c r="P15443" s="475"/>
      <c r="Q15443" s="475"/>
      <c r="R15443" s="475">
        <v>3</v>
      </c>
    </row>
    <row r="15444" spans="1:18" ht="24">
      <c r="A15444" s="471">
        <v>105</v>
      </c>
      <c r="B15444" s="468" t="s">
        <v>27705</v>
      </c>
      <c r="C15444" s="472" t="s">
        <v>27706</v>
      </c>
      <c r="D15444" s="473">
        <v>867.77</v>
      </c>
      <c r="E15444" s="473">
        <v>608.34</v>
      </c>
      <c r="F15444" s="473">
        <v>16.32</v>
      </c>
      <c r="G15444" s="473">
        <v>243.11</v>
      </c>
      <c r="H15444" s="474">
        <v>8066.05</v>
      </c>
      <c r="I15444" s="474">
        <v>6996.24</v>
      </c>
      <c r="J15444" s="474">
        <v>69.06</v>
      </c>
      <c r="K15444" s="474">
        <v>1000.75</v>
      </c>
      <c r="L15444" s="43">
        <v>9.2951473316662252</v>
      </c>
      <c r="M15444" s="43">
        <v>11.500542459808658</v>
      </c>
      <c r="N15444" s="43">
        <v>4.2316176470588234</v>
      </c>
      <c r="O15444" s="43">
        <v>4.1164493439183909</v>
      </c>
      <c r="P15444" s="475"/>
      <c r="Q15444" s="475"/>
      <c r="R15444" s="475">
        <v>3</v>
      </c>
    </row>
    <row r="15445" spans="1:18" ht="24">
      <c r="A15445" s="471">
        <v>106</v>
      </c>
      <c r="B15445" s="468" t="s">
        <v>27707</v>
      </c>
      <c r="C15445" s="472" t="s">
        <v>27708</v>
      </c>
      <c r="D15445" s="473">
        <v>1212.52</v>
      </c>
      <c r="E15445" s="473">
        <v>838.09</v>
      </c>
      <c r="F15445" s="473">
        <v>53.81</v>
      </c>
      <c r="G15445" s="473">
        <v>320.62</v>
      </c>
      <c r="H15445" s="474">
        <v>11195.93</v>
      </c>
      <c r="I15445" s="474">
        <v>9638.48</v>
      </c>
      <c r="J15445" s="474">
        <v>228.29</v>
      </c>
      <c r="K15445" s="474">
        <v>1329.16</v>
      </c>
      <c r="L15445" s="43">
        <v>9.2336043941543231</v>
      </c>
      <c r="M15445" s="43">
        <v>11.500530969227647</v>
      </c>
      <c r="N15445" s="43">
        <v>4.2425199776993123</v>
      </c>
      <c r="O15445" s="43">
        <v>4.145592913729649</v>
      </c>
      <c r="P15445" s="475"/>
      <c r="Q15445" s="475"/>
      <c r="R15445" s="475">
        <v>3</v>
      </c>
    </row>
    <row r="15446" spans="1:18" ht="12.75" customHeight="1">
      <c r="A15446" s="628" t="s">
        <v>27709</v>
      </c>
      <c r="B15446" s="629"/>
      <c r="C15446" s="629"/>
      <c r="D15446" s="629"/>
      <c r="E15446" s="629"/>
      <c r="F15446" s="629"/>
      <c r="G15446" s="629"/>
      <c r="H15446" s="629"/>
      <c r="I15446" s="629"/>
      <c r="J15446" s="629"/>
      <c r="K15446" s="629"/>
      <c r="L15446" s="629"/>
      <c r="M15446" s="629"/>
      <c r="N15446" s="629"/>
      <c r="O15446" s="629"/>
      <c r="P15446" s="629"/>
      <c r="Q15446" s="629"/>
      <c r="R15446" s="629"/>
    </row>
    <row r="15447" spans="1:18" ht="24">
      <c r="A15447" s="471">
        <v>107</v>
      </c>
      <c r="B15447" s="468" t="s">
        <v>27710</v>
      </c>
      <c r="C15447" s="472" t="s">
        <v>27711</v>
      </c>
      <c r="D15447" s="473">
        <v>223.72</v>
      </c>
      <c r="E15447" s="473">
        <v>158.93</v>
      </c>
      <c r="F15447" s="473">
        <v>1.94</v>
      </c>
      <c r="G15447" s="473">
        <v>62.85</v>
      </c>
      <c r="H15447" s="474">
        <v>2104.75</v>
      </c>
      <c r="I15447" s="474">
        <v>1827.67</v>
      </c>
      <c r="J15447" s="474">
        <v>8.33</v>
      </c>
      <c r="K15447" s="474">
        <v>268.75</v>
      </c>
      <c r="L15447" s="43">
        <v>9.4079653137850894</v>
      </c>
      <c r="M15447" s="43">
        <v>11.499842698043164</v>
      </c>
      <c r="N15447" s="43">
        <v>4.2938144329896906</v>
      </c>
      <c r="O15447" s="43">
        <v>4.276054097056484</v>
      </c>
      <c r="P15447" s="475"/>
      <c r="Q15447" s="475"/>
      <c r="R15447" s="475">
        <v>4</v>
      </c>
    </row>
    <row r="15448" spans="1:18" ht="12.75" customHeight="1">
      <c r="A15448" s="628" t="s">
        <v>27712</v>
      </c>
      <c r="B15448" s="629"/>
      <c r="C15448" s="629"/>
      <c r="D15448" s="629"/>
      <c r="E15448" s="629"/>
      <c r="F15448" s="629"/>
      <c r="G15448" s="629"/>
      <c r="H15448" s="629"/>
      <c r="I15448" s="629"/>
      <c r="J15448" s="629"/>
      <c r="K15448" s="629"/>
      <c r="L15448" s="629"/>
      <c r="M15448" s="629"/>
      <c r="N15448" s="629"/>
      <c r="O15448" s="629"/>
      <c r="P15448" s="629"/>
      <c r="Q15448" s="629"/>
      <c r="R15448" s="629"/>
    </row>
    <row r="15449" spans="1:18" ht="12.75" customHeight="1">
      <c r="A15449" s="628" t="s">
        <v>27713</v>
      </c>
      <c r="B15449" s="629"/>
      <c r="C15449" s="629"/>
      <c r="D15449" s="629"/>
      <c r="E15449" s="629"/>
      <c r="F15449" s="629"/>
      <c r="G15449" s="629"/>
      <c r="H15449" s="629"/>
      <c r="I15449" s="629"/>
      <c r="J15449" s="629"/>
      <c r="K15449" s="629"/>
      <c r="L15449" s="629"/>
      <c r="M15449" s="629"/>
      <c r="N15449" s="629"/>
      <c r="O15449" s="629"/>
      <c r="P15449" s="629"/>
      <c r="Q15449" s="629"/>
      <c r="R15449" s="629"/>
    </row>
    <row r="15450" spans="1:18" ht="24">
      <c r="A15450" s="471">
        <v>108</v>
      </c>
      <c r="B15450" s="468" t="s">
        <v>27714</v>
      </c>
      <c r="C15450" s="472" t="s">
        <v>27715</v>
      </c>
      <c r="D15450" s="473">
        <v>164.04</v>
      </c>
      <c r="E15450" s="473">
        <v>130.43</v>
      </c>
      <c r="F15450" s="473">
        <v>0.82</v>
      </c>
      <c r="G15450" s="473">
        <v>32.79</v>
      </c>
      <c r="H15450" s="474">
        <v>1652.64</v>
      </c>
      <c r="I15450" s="474">
        <v>1500.03</v>
      </c>
      <c r="J15450" s="474">
        <v>3.52</v>
      </c>
      <c r="K15450" s="474">
        <v>149.09</v>
      </c>
      <c r="L15450" s="43">
        <v>10.074615947329921</v>
      </c>
      <c r="M15450" s="43">
        <v>11.500651690561986</v>
      </c>
      <c r="N15450" s="43">
        <v>4.2926829268292686</v>
      </c>
      <c r="O15450" s="43">
        <v>4.5468130527599877</v>
      </c>
      <c r="P15450" s="475"/>
      <c r="Q15450" s="475"/>
      <c r="R15450" s="475">
        <v>1</v>
      </c>
    </row>
    <row r="15451" spans="1:18" ht="24">
      <c r="A15451" s="471">
        <v>109</v>
      </c>
      <c r="B15451" s="468" t="s">
        <v>27716</v>
      </c>
      <c r="C15451" s="472" t="s">
        <v>27717</v>
      </c>
      <c r="D15451" s="473">
        <v>250.35</v>
      </c>
      <c r="E15451" s="473">
        <v>186.85</v>
      </c>
      <c r="F15451" s="473">
        <v>1.72</v>
      </c>
      <c r="G15451" s="473">
        <v>61.78</v>
      </c>
      <c r="H15451" s="474">
        <v>2417.0300000000002</v>
      </c>
      <c r="I15451" s="474">
        <v>2148.7800000000002</v>
      </c>
      <c r="J15451" s="474">
        <v>7.36</v>
      </c>
      <c r="K15451" s="474">
        <v>260.89</v>
      </c>
      <c r="L15451" s="43">
        <v>9.6546035550229696</v>
      </c>
      <c r="M15451" s="43">
        <v>11.500026759432702</v>
      </c>
      <c r="N15451" s="43">
        <v>4.279069767441861</v>
      </c>
      <c r="O15451" s="43">
        <v>4.2228876659112977</v>
      </c>
      <c r="P15451" s="475"/>
      <c r="Q15451" s="475"/>
      <c r="R15451" s="475">
        <v>1</v>
      </c>
    </row>
    <row r="15452" spans="1:18" ht="24">
      <c r="A15452" s="471">
        <v>110</v>
      </c>
      <c r="B15452" s="468" t="s">
        <v>27718</v>
      </c>
      <c r="C15452" s="472" t="s">
        <v>27719</v>
      </c>
      <c r="D15452" s="473">
        <v>218.63</v>
      </c>
      <c r="E15452" s="473">
        <v>155.54</v>
      </c>
      <c r="F15452" s="473">
        <v>1.94</v>
      </c>
      <c r="G15452" s="473">
        <v>61.15</v>
      </c>
      <c r="H15452" s="474">
        <v>2050.69</v>
      </c>
      <c r="I15452" s="474">
        <v>1788.71</v>
      </c>
      <c r="J15452" s="474">
        <v>8.33</v>
      </c>
      <c r="K15452" s="474">
        <v>253.65</v>
      </c>
      <c r="L15452" s="43">
        <v>9.3797283081004448</v>
      </c>
      <c r="M15452" s="43">
        <v>11.5</v>
      </c>
      <c r="N15452" s="43">
        <v>4.2938144329896906</v>
      </c>
      <c r="O15452" s="43">
        <v>4.1479967293540474</v>
      </c>
      <c r="P15452" s="475"/>
      <c r="Q15452" s="475"/>
      <c r="R15452" s="475">
        <v>1</v>
      </c>
    </row>
    <row r="15453" spans="1:18" ht="24">
      <c r="A15453" s="471">
        <v>111</v>
      </c>
      <c r="B15453" s="468" t="s">
        <v>27720</v>
      </c>
      <c r="C15453" s="472" t="s">
        <v>27721</v>
      </c>
      <c r="D15453" s="473">
        <v>285.44</v>
      </c>
      <c r="E15453" s="473">
        <v>189.89</v>
      </c>
      <c r="F15453" s="473">
        <v>3.81</v>
      </c>
      <c r="G15453" s="473">
        <v>91.74</v>
      </c>
      <c r="H15453" s="474">
        <v>2578.31</v>
      </c>
      <c r="I15453" s="474">
        <v>2183.71</v>
      </c>
      <c r="J15453" s="474">
        <v>16.329999999999998</v>
      </c>
      <c r="K15453" s="474">
        <v>378.27</v>
      </c>
      <c r="L15453" s="43">
        <v>9.0327564461883405</v>
      </c>
      <c r="M15453" s="43">
        <v>11.499868344831219</v>
      </c>
      <c r="N15453" s="43">
        <v>4.2860892388451441</v>
      </c>
      <c r="O15453" s="43">
        <v>4.1232831916285155</v>
      </c>
      <c r="P15453" s="475"/>
      <c r="Q15453" s="475"/>
      <c r="R15453" s="475">
        <v>1</v>
      </c>
    </row>
    <row r="15454" spans="1:18" ht="24">
      <c r="A15454" s="471">
        <v>112</v>
      </c>
      <c r="B15454" s="468" t="s">
        <v>27722</v>
      </c>
      <c r="C15454" s="472" t="s">
        <v>27723</v>
      </c>
      <c r="D15454" s="473">
        <v>363.77</v>
      </c>
      <c r="E15454" s="473">
        <v>261.88</v>
      </c>
      <c r="F15454" s="473">
        <v>3.81</v>
      </c>
      <c r="G15454" s="473">
        <v>98.08</v>
      </c>
      <c r="H15454" s="474">
        <v>3465.85</v>
      </c>
      <c r="I15454" s="474">
        <v>3011.78</v>
      </c>
      <c r="J15454" s="474">
        <v>16.329999999999998</v>
      </c>
      <c r="K15454" s="474">
        <v>437.74</v>
      </c>
      <c r="L15454" s="43">
        <v>9.5275861121038012</v>
      </c>
      <c r="M15454" s="43">
        <v>11.500610966855049</v>
      </c>
      <c r="N15454" s="43">
        <v>4.2860892388451441</v>
      </c>
      <c r="O15454" s="43">
        <v>4.4630913539967372</v>
      </c>
      <c r="P15454" s="475"/>
      <c r="Q15454" s="475"/>
      <c r="R15454" s="475">
        <v>1</v>
      </c>
    </row>
    <row r="15455" spans="1:18" ht="24">
      <c r="A15455" s="471">
        <v>113</v>
      </c>
      <c r="B15455" s="468" t="s">
        <v>27724</v>
      </c>
      <c r="C15455" s="472" t="s">
        <v>27725</v>
      </c>
      <c r="D15455" s="473">
        <v>253.24</v>
      </c>
      <c r="E15455" s="473">
        <v>188.87</v>
      </c>
      <c r="F15455" s="473">
        <v>1.87</v>
      </c>
      <c r="G15455" s="473">
        <v>62.5</v>
      </c>
      <c r="H15455" s="474">
        <v>2447.33</v>
      </c>
      <c r="I15455" s="474">
        <v>2172.0100000000002</v>
      </c>
      <c r="J15455" s="474">
        <v>8.01</v>
      </c>
      <c r="K15455" s="474">
        <v>267.31</v>
      </c>
      <c r="L15455" s="43">
        <v>9.6640736060653918</v>
      </c>
      <c r="M15455" s="43">
        <v>11.500026473235559</v>
      </c>
      <c r="N15455" s="43">
        <v>4.2834224598930479</v>
      </c>
      <c r="O15455" s="43">
        <v>4.2769599999999999</v>
      </c>
      <c r="P15455" s="475"/>
      <c r="Q15455" s="475"/>
      <c r="R15455" s="475">
        <v>1</v>
      </c>
    </row>
    <row r="15456" spans="1:18" ht="24">
      <c r="A15456" s="471">
        <v>114</v>
      </c>
      <c r="B15456" s="468" t="s">
        <v>27726</v>
      </c>
      <c r="C15456" s="472" t="s">
        <v>27727</v>
      </c>
      <c r="D15456" s="473">
        <v>209.03</v>
      </c>
      <c r="E15456" s="473">
        <v>156.55000000000001</v>
      </c>
      <c r="F15456" s="473">
        <v>1.57</v>
      </c>
      <c r="G15456" s="473">
        <v>50.91</v>
      </c>
      <c r="H15456" s="474">
        <v>2043.71</v>
      </c>
      <c r="I15456" s="474">
        <v>1800.33</v>
      </c>
      <c r="J15456" s="474">
        <v>6.72</v>
      </c>
      <c r="K15456" s="474">
        <v>236.66</v>
      </c>
      <c r="L15456" s="43">
        <v>9.7771133330144</v>
      </c>
      <c r="M15456" s="43">
        <v>11.500031938677738</v>
      </c>
      <c r="N15456" s="43">
        <v>4.2802547770700636</v>
      </c>
      <c r="O15456" s="43">
        <v>4.6485955607935576</v>
      </c>
      <c r="P15456" s="475"/>
      <c r="Q15456" s="475"/>
      <c r="R15456" s="475">
        <v>1</v>
      </c>
    </row>
    <row r="15457" spans="1:18" ht="24">
      <c r="A15457" s="471">
        <v>115</v>
      </c>
      <c r="B15457" s="468" t="s">
        <v>27728</v>
      </c>
      <c r="C15457" s="472" t="s">
        <v>27729</v>
      </c>
      <c r="D15457" s="473">
        <v>252.48</v>
      </c>
      <c r="E15457" s="473">
        <v>187.86</v>
      </c>
      <c r="F15457" s="473">
        <v>1.94</v>
      </c>
      <c r="G15457" s="473">
        <v>62.68</v>
      </c>
      <c r="H15457" s="474">
        <v>2437.59</v>
      </c>
      <c r="I15457" s="474">
        <v>2160.39</v>
      </c>
      <c r="J15457" s="474">
        <v>8.33</v>
      </c>
      <c r="K15457" s="474">
        <v>268.87</v>
      </c>
      <c r="L15457" s="43">
        <v>9.6545865019011412</v>
      </c>
      <c r="M15457" s="43">
        <v>11.499999999999998</v>
      </c>
      <c r="N15457" s="43">
        <v>4.2938144329896906</v>
      </c>
      <c r="O15457" s="43">
        <v>4.289566049776643</v>
      </c>
      <c r="P15457" s="475"/>
      <c r="Q15457" s="475"/>
      <c r="R15457" s="475">
        <v>1</v>
      </c>
    </row>
    <row r="15458" spans="1:18" ht="24">
      <c r="A15458" s="471">
        <v>116</v>
      </c>
      <c r="B15458" s="468" t="s">
        <v>27730</v>
      </c>
      <c r="C15458" s="472" t="s">
        <v>27731</v>
      </c>
      <c r="D15458" s="473">
        <v>333.48</v>
      </c>
      <c r="E15458" s="473">
        <v>251.49</v>
      </c>
      <c r="F15458" s="473">
        <v>3.22</v>
      </c>
      <c r="G15458" s="473">
        <v>78.77</v>
      </c>
      <c r="H15458" s="474">
        <v>3246.54</v>
      </c>
      <c r="I15458" s="474">
        <v>2892.14</v>
      </c>
      <c r="J15458" s="474">
        <v>13.77</v>
      </c>
      <c r="K15458" s="474">
        <v>340.63</v>
      </c>
      <c r="L15458" s="43">
        <v>9.7353364519611372</v>
      </c>
      <c r="M15458" s="43">
        <v>11.500019881506223</v>
      </c>
      <c r="N15458" s="43">
        <v>4.2763975155279503</v>
      </c>
      <c r="O15458" s="43">
        <v>4.3243620667766915</v>
      </c>
      <c r="P15458" s="475"/>
      <c r="Q15458" s="475"/>
      <c r="R15458" s="475">
        <v>1</v>
      </c>
    </row>
    <row r="15459" spans="1:18" ht="12.75" customHeight="1">
      <c r="A15459" s="628" t="s">
        <v>27732</v>
      </c>
      <c r="B15459" s="629"/>
      <c r="C15459" s="629"/>
      <c r="D15459" s="629"/>
      <c r="E15459" s="629"/>
      <c r="F15459" s="629"/>
      <c r="G15459" s="629"/>
      <c r="H15459" s="629"/>
      <c r="I15459" s="629"/>
      <c r="J15459" s="629"/>
      <c r="K15459" s="629"/>
      <c r="L15459" s="629"/>
      <c r="M15459" s="629"/>
      <c r="N15459" s="629"/>
      <c r="O15459" s="629"/>
      <c r="P15459" s="629"/>
      <c r="Q15459" s="629"/>
      <c r="R15459" s="629"/>
    </row>
    <row r="15460" spans="1:18" ht="24">
      <c r="A15460" s="471">
        <v>117</v>
      </c>
      <c r="B15460" s="468" t="s">
        <v>27733</v>
      </c>
      <c r="C15460" s="472" t="s">
        <v>27734</v>
      </c>
      <c r="D15460" s="473">
        <v>264.81</v>
      </c>
      <c r="E15460" s="473">
        <v>199.72</v>
      </c>
      <c r="F15460" s="473">
        <v>2.2400000000000002</v>
      </c>
      <c r="G15460" s="473">
        <v>62.85</v>
      </c>
      <c r="H15460" s="474">
        <v>2577.4499999999998</v>
      </c>
      <c r="I15460" s="474">
        <v>2296.92</v>
      </c>
      <c r="J15460" s="474">
        <v>9.61</v>
      </c>
      <c r="K15460" s="474">
        <v>270.92</v>
      </c>
      <c r="L15460" s="43">
        <v>9.7332049393905056</v>
      </c>
      <c r="M15460" s="43">
        <v>11.500700981373924</v>
      </c>
      <c r="N15460" s="43">
        <v>4.2901785714285712</v>
      </c>
      <c r="O15460" s="43">
        <v>4.310580747812252</v>
      </c>
      <c r="P15460" s="475"/>
      <c r="Q15460" s="475"/>
      <c r="R15460" s="475">
        <v>2</v>
      </c>
    </row>
    <row r="15461" spans="1:18" ht="24">
      <c r="A15461" s="471">
        <v>118</v>
      </c>
      <c r="B15461" s="468" t="s">
        <v>27735</v>
      </c>
      <c r="C15461" s="472" t="s">
        <v>27736</v>
      </c>
      <c r="D15461" s="473">
        <v>2056.27</v>
      </c>
      <c r="E15461" s="473">
        <v>1416.41</v>
      </c>
      <c r="F15461" s="473">
        <v>92.23</v>
      </c>
      <c r="G15461" s="473">
        <v>547.63</v>
      </c>
      <c r="H15461" s="474">
        <v>18940.599999999999</v>
      </c>
      <c r="I15461" s="474">
        <v>16289.41</v>
      </c>
      <c r="J15461" s="474">
        <v>391.29</v>
      </c>
      <c r="K15461" s="474">
        <v>2259.9</v>
      </c>
      <c r="L15461" s="43">
        <v>9.2111444508746416</v>
      </c>
      <c r="M15461" s="43">
        <v>11.500490677134446</v>
      </c>
      <c r="N15461" s="43">
        <v>4.2425458093895694</v>
      </c>
      <c r="O15461" s="43">
        <v>4.1266913792158944</v>
      </c>
      <c r="P15461" s="475"/>
      <c r="Q15461" s="475"/>
      <c r="R15461" s="475">
        <v>2</v>
      </c>
    </row>
    <row r="15462" spans="1:18" ht="24">
      <c r="A15462" s="471">
        <v>119</v>
      </c>
      <c r="B15462" s="468" t="s">
        <v>27737</v>
      </c>
      <c r="C15462" s="472" t="s">
        <v>27738</v>
      </c>
      <c r="D15462" s="473">
        <v>194.04</v>
      </c>
      <c r="E15462" s="473">
        <v>146.74</v>
      </c>
      <c r="F15462" s="473">
        <v>1.08</v>
      </c>
      <c r="G15462" s="473">
        <v>46.22</v>
      </c>
      <c r="H15462" s="474">
        <v>1887.2</v>
      </c>
      <c r="I15462" s="474">
        <v>1687.54</v>
      </c>
      <c r="J15462" s="474">
        <v>4.6399999999999997</v>
      </c>
      <c r="K15462" s="474">
        <v>195.02</v>
      </c>
      <c r="L15462" s="43">
        <v>9.7258297258297262</v>
      </c>
      <c r="M15462" s="43">
        <v>11.500204443232928</v>
      </c>
      <c r="N15462" s="43">
        <v>4.2962962962962958</v>
      </c>
      <c r="O15462" s="43">
        <v>4.2193855473820863</v>
      </c>
      <c r="P15462" s="475"/>
      <c r="Q15462" s="475"/>
      <c r="R15462" s="475">
        <v>2</v>
      </c>
    </row>
    <row r="15463" spans="1:18" ht="24">
      <c r="A15463" s="471">
        <v>120</v>
      </c>
      <c r="B15463" s="468" t="s">
        <v>27739</v>
      </c>
      <c r="C15463" s="472" t="s">
        <v>27740</v>
      </c>
      <c r="D15463" s="473">
        <v>196.33</v>
      </c>
      <c r="E15463" s="473">
        <v>148.61000000000001</v>
      </c>
      <c r="F15463" s="473">
        <v>1.05</v>
      </c>
      <c r="G15463" s="473">
        <v>46.67</v>
      </c>
      <c r="H15463" s="474">
        <v>1912.53</v>
      </c>
      <c r="I15463" s="474">
        <v>1708.99</v>
      </c>
      <c r="J15463" s="474">
        <v>4.4800000000000004</v>
      </c>
      <c r="K15463" s="474">
        <v>199.06</v>
      </c>
      <c r="L15463" s="43">
        <v>9.7414047776702475</v>
      </c>
      <c r="M15463" s="43">
        <v>11.499831774443173</v>
      </c>
      <c r="N15463" s="43">
        <v>4.2666666666666666</v>
      </c>
      <c r="O15463" s="43">
        <v>4.2652667666595239</v>
      </c>
      <c r="P15463" s="475"/>
      <c r="Q15463" s="475"/>
      <c r="R15463" s="475">
        <v>2</v>
      </c>
    </row>
    <row r="15464" spans="1:18" ht="24">
      <c r="A15464" s="471">
        <v>121</v>
      </c>
      <c r="B15464" s="468" t="s">
        <v>27741</v>
      </c>
      <c r="C15464" s="472" t="s">
        <v>27742</v>
      </c>
      <c r="D15464" s="473">
        <v>202.42</v>
      </c>
      <c r="E15464" s="473">
        <v>152.74</v>
      </c>
      <c r="F15464" s="473">
        <v>1.57</v>
      </c>
      <c r="G15464" s="473">
        <v>48.11</v>
      </c>
      <c r="H15464" s="474">
        <v>1975.08</v>
      </c>
      <c r="I15464" s="474">
        <v>1756.46</v>
      </c>
      <c r="J15464" s="474">
        <v>6.72</v>
      </c>
      <c r="K15464" s="474">
        <v>211.9</v>
      </c>
      <c r="L15464" s="43">
        <v>9.7573362315976677</v>
      </c>
      <c r="M15464" s="43">
        <v>11.499672646327092</v>
      </c>
      <c r="N15464" s="43">
        <v>4.2802547770700636</v>
      </c>
      <c r="O15464" s="43">
        <v>4.404489711078778</v>
      </c>
      <c r="P15464" s="475"/>
      <c r="Q15464" s="475"/>
      <c r="R15464" s="475">
        <v>2</v>
      </c>
    </row>
    <row r="15465" spans="1:18" ht="24">
      <c r="A15465" s="471">
        <v>122</v>
      </c>
      <c r="B15465" s="468" t="s">
        <v>27743</v>
      </c>
      <c r="C15465" s="472" t="s">
        <v>27744</v>
      </c>
      <c r="D15465" s="473">
        <v>223.48</v>
      </c>
      <c r="E15465" s="473">
        <v>159.96</v>
      </c>
      <c r="F15465" s="473">
        <v>1.94</v>
      </c>
      <c r="G15465" s="473">
        <v>61.58</v>
      </c>
      <c r="H15465" s="474">
        <v>2105.5300000000002</v>
      </c>
      <c r="I15465" s="474">
        <v>1839.54</v>
      </c>
      <c r="J15465" s="474">
        <v>8.33</v>
      </c>
      <c r="K15465" s="474">
        <v>257.66000000000003</v>
      </c>
      <c r="L15465" s="43">
        <v>9.4215589761947385</v>
      </c>
      <c r="M15465" s="43">
        <v>11.5</v>
      </c>
      <c r="N15465" s="43">
        <v>4.2938144329896906</v>
      </c>
      <c r="O15465" s="43">
        <v>4.1841506982786623</v>
      </c>
      <c r="P15465" s="475"/>
      <c r="Q15465" s="475"/>
      <c r="R15465" s="475">
        <v>2</v>
      </c>
    </row>
    <row r="15466" spans="1:18" ht="24">
      <c r="A15466" s="471">
        <v>123</v>
      </c>
      <c r="B15466" s="468" t="s">
        <v>27745</v>
      </c>
      <c r="C15466" s="472" t="s">
        <v>27746</v>
      </c>
      <c r="D15466" s="473">
        <v>207.23</v>
      </c>
      <c r="E15466" s="473">
        <v>156.93</v>
      </c>
      <c r="F15466" s="473">
        <v>2.2400000000000002</v>
      </c>
      <c r="G15466" s="473">
        <v>48.06</v>
      </c>
      <c r="H15466" s="474">
        <v>2026.08</v>
      </c>
      <c r="I15466" s="474">
        <v>1804.73</v>
      </c>
      <c r="J15466" s="474">
        <v>9.61</v>
      </c>
      <c r="K15466" s="474">
        <v>211.74</v>
      </c>
      <c r="L15466" s="43">
        <v>9.7769627949621203</v>
      </c>
      <c r="M15466" s="43">
        <v>11.500223029376155</v>
      </c>
      <c r="N15466" s="43">
        <v>4.2901785714285712</v>
      </c>
      <c r="O15466" s="43">
        <v>4.4057428214731589</v>
      </c>
      <c r="P15466" s="475"/>
      <c r="Q15466" s="475"/>
      <c r="R15466" s="475">
        <v>2</v>
      </c>
    </row>
    <row r="15467" spans="1:18" ht="24">
      <c r="A15467" s="471">
        <v>124</v>
      </c>
      <c r="B15467" s="468" t="s">
        <v>27747</v>
      </c>
      <c r="C15467" s="472" t="s">
        <v>27748</v>
      </c>
      <c r="D15467" s="473">
        <v>291.89999999999998</v>
      </c>
      <c r="E15467" s="473">
        <v>208.06</v>
      </c>
      <c r="F15467" s="473">
        <v>3.22</v>
      </c>
      <c r="G15467" s="473">
        <v>80.62</v>
      </c>
      <c r="H15467" s="474">
        <v>2760.92</v>
      </c>
      <c r="I15467" s="474">
        <v>2392.69</v>
      </c>
      <c r="J15467" s="474">
        <v>13.77</v>
      </c>
      <c r="K15467" s="474">
        <v>354.46</v>
      </c>
      <c r="L15467" s="43">
        <v>9.4584446728331635</v>
      </c>
      <c r="M15467" s="43">
        <v>11.5</v>
      </c>
      <c r="N15467" s="43">
        <v>4.2763975155279503</v>
      </c>
      <c r="O15467" s="43">
        <v>4.3966757628380053</v>
      </c>
      <c r="P15467" s="475"/>
      <c r="Q15467" s="475"/>
      <c r="R15467" s="475">
        <v>2</v>
      </c>
    </row>
    <row r="15468" spans="1:18" ht="24">
      <c r="A15468" s="471">
        <v>125</v>
      </c>
      <c r="B15468" s="468" t="s">
        <v>27749</v>
      </c>
      <c r="C15468" s="472" t="s">
        <v>27750</v>
      </c>
      <c r="D15468" s="473">
        <v>428.87</v>
      </c>
      <c r="E15468" s="473">
        <v>280.77999999999997</v>
      </c>
      <c r="F15468" s="473">
        <v>10.35</v>
      </c>
      <c r="G15468" s="473">
        <v>137.74</v>
      </c>
      <c r="H15468" s="474">
        <v>3841.04</v>
      </c>
      <c r="I15468" s="474">
        <v>3228.97</v>
      </c>
      <c r="J15468" s="474">
        <v>43.8</v>
      </c>
      <c r="K15468" s="474">
        <v>568.27</v>
      </c>
      <c r="L15468" s="43">
        <v>8.956187189591251</v>
      </c>
      <c r="M15468" s="43">
        <v>11.5</v>
      </c>
      <c r="N15468" s="43">
        <v>4.2318840579710146</v>
      </c>
      <c r="O15468" s="43">
        <v>4.1256715551038186</v>
      </c>
      <c r="P15468" s="475"/>
      <c r="Q15468" s="475"/>
      <c r="R15468" s="475">
        <v>2</v>
      </c>
    </row>
    <row r="15469" spans="1:18" ht="24">
      <c r="A15469" s="471">
        <v>126</v>
      </c>
      <c r="B15469" s="468" t="s">
        <v>27751</v>
      </c>
      <c r="C15469" s="472" t="s">
        <v>27752</v>
      </c>
      <c r="D15469" s="473">
        <v>602.21</v>
      </c>
      <c r="E15469" s="473">
        <v>374.71</v>
      </c>
      <c r="F15469" s="473">
        <v>14.49</v>
      </c>
      <c r="G15469" s="473">
        <v>213.01</v>
      </c>
      <c r="H15469" s="474">
        <v>5240.07</v>
      </c>
      <c r="I15469" s="474">
        <v>4309.17</v>
      </c>
      <c r="J15469" s="474">
        <v>61.32</v>
      </c>
      <c r="K15469" s="474">
        <v>869.58</v>
      </c>
      <c r="L15469" s="43">
        <v>8.7013998439082698</v>
      </c>
      <c r="M15469" s="43">
        <v>11.500013343652425</v>
      </c>
      <c r="N15469" s="43">
        <v>4.2318840579710146</v>
      </c>
      <c r="O15469" s="43">
        <v>4.0823435519459181</v>
      </c>
      <c r="P15469" s="475"/>
      <c r="Q15469" s="475"/>
      <c r="R15469" s="475">
        <v>2</v>
      </c>
    </row>
    <row r="15470" spans="1:18" ht="24">
      <c r="A15470" s="471">
        <v>127</v>
      </c>
      <c r="B15470" s="468" t="s">
        <v>27753</v>
      </c>
      <c r="C15470" s="472" t="s">
        <v>27754</v>
      </c>
      <c r="D15470" s="473">
        <v>214.62</v>
      </c>
      <c r="E15470" s="473">
        <v>148.61000000000001</v>
      </c>
      <c r="F15470" s="473">
        <v>1.94</v>
      </c>
      <c r="G15470" s="473">
        <v>64.069999999999993</v>
      </c>
      <c r="H15470" s="474">
        <v>1996.18</v>
      </c>
      <c r="I15470" s="474">
        <v>1708.99</v>
      </c>
      <c r="J15470" s="474">
        <v>8.33</v>
      </c>
      <c r="K15470" s="474">
        <v>278.86</v>
      </c>
      <c r="L15470" s="43">
        <v>9.3009971111732366</v>
      </c>
      <c r="M15470" s="43">
        <v>11.499831774443173</v>
      </c>
      <c r="N15470" s="43">
        <v>4.2938144329896906</v>
      </c>
      <c r="O15470" s="43">
        <v>4.3524270329327308</v>
      </c>
      <c r="P15470" s="475"/>
      <c r="Q15470" s="475"/>
      <c r="R15470" s="475">
        <v>2</v>
      </c>
    </row>
    <row r="15471" spans="1:18" ht="12.75" customHeight="1">
      <c r="A15471" s="628" t="s">
        <v>27755</v>
      </c>
      <c r="B15471" s="629"/>
      <c r="C15471" s="629"/>
      <c r="D15471" s="629"/>
      <c r="E15471" s="629"/>
      <c r="F15471" s="629"/>
      <c r="G15471" s="629"/>
      <c r="H15471" s="629"/>
      <c r="I15471" s="629"/>
      <c r="J15471" s="629"/>
      <c r="K15471" s="629"/>
      <c r="L15471" s="629"/>
      <c r="M15471" s="629"/>
      <c r="N15471" s="629"/>
      <c r="O15471" s="629"/>
      <c r="P15471" s="629"/>
      <c r="Q15471" s="629"/>
      <c r="R15471" s="629"/>
    </row>
    <row r="15472" spans="1:18" ht="12.75" customHeight="1">
      <c r="A15472" s="628" t="s">
        <v>350</v>
      </c>
      <c r="B15472" s="629"/>
      <c r="C15472" s="629"/>
      <c r="D15472" s="629"/>
      <c r="E15472" s="629"/>
      <c r="F15472" s="629"/>
      <c r="G15472" s="629"/>
      <c r="H15472" s="629"/>
      <c r="I15472" s="629"/>
      <c r="J15472" s="629"/>
      <c r="K15472" s="629"/>
      <c r="L15472" s="629"/>
      <c r="M15472" s="629"/>
      <c r="N15472" s="629"/>
      <c r="O15472" s="629"/>
      <c r="P15472" s="629"/>
      <c r="Q15472" s="629"/>
      <c r="R15472" s="629"/>
    </row>
    <row r="15473" spans="1:18" ht="24">
      <c r="A15473" s="471">
        <v>128</v>
      </c>
      <c r="B15473" s="468" t="s">
        <v>27756</v>
      </c>
      <c r="C15473" s="472" t="s">
        <v>27757</v>
      </c>
      <c r="D15473" s="473">
        <v>234.79</v>
      </c>
      <c r="E15473" s="473">
        <v>170.28</v>
      </c>
      <c r="F15473" s="473">
        <v>2.2400000000000002</v>
      </c>
      <c r="G15473" s="473">
        <v>62.27</v>
      </c>
      <c r="H15473" s="474">
        <v>2232.08</v>
      </c>
      <c r="I15473" s="474">
        <v>1958.22</v>
      </c>
      <c r="J15473" s="474">
        <v>9.61</v>
      </c>
      <c r="K15473" s="474">
        <v>264.25</v>
      </c>
      <c r="L15473" s="43">
        <v>9.5067081221517107</v>
      </c>
      <c r="M15473" s="43">
        <v>11.5</v>
      </c>
      <c r="N15473" s="43">
        <v>4.2901785714285712</v>
      </c>
      <c r="O15473" s="43">
        <v>4.2436165087522077</v>
      </c>
      <c r="P15473" s="475"/>
      <c r="Q15473" s="475"/>
      <c r="R15473" s="475">
        <v>1</v>
      </c>
    </row>
    <row r="15474" spans="1:18" ht="12.75" customHeight="1">
      <c r="A15474" s="628" t="s">
        <v>27758</v>
      </c>
      <c r="B15474" s="629"/>
      <c r="C15474" s="629"/>
      <c r="D15474" s="629"/>
      <c r="E15474" s="629"/>
      <c r="F15474" s="629"/>
      <c r="G15474" s="629"/>
      <c r="H15474" s="629"/>
      <c r="I15474" s="629"/>
      <c r="J15474" s="629"/>
      <c r="K15474" s="629"/>
      <c r="L15474" s="629"/>
      <c r="M15474" s="629"/>
      <c r="N15474" s="629"/>
      <c r="O15474" s="629"/>
      <c r="P15474" s="629"/>
      <c r="Q15474" s="629"/>
      <c r="R15474" s="629"/>
    </row>
    <row r="15475" spans="1:18" ht="12.75" customHeight="1">
      <c r="A15475" s="628" t="s">
        <v>27759</v>
      </c>
      <c r="B15475" s="629"/>
      <c r="C15475" s="629"/>
      <c r="D15475" s="629"/>
      <c r="E15475" s="629"/>
      <c r="F15475" s="629"/>
      <c r="G15475" s="629"/>
      <c r="H15475" s="629"/>
      <c r="I15475" s="629"/>
      <c r="J15475" s="629"/>
      <c r="K15475" s="629"/>
      <c r="L15475" s="629"/>
      <c r="M15475" s="629"/>
      <c r="N15475" s="629"/>
      <c r="O15475" s="629"/>
      <c r="P15475" s="629"/>
      <c r="Q15475" s="629"/>
      <c r="R15475" s="629"/>
    </row>
    <row r="15476" spans="1:18" ht="24">
      <c r="A15476" s="471">
        <v>129</v>
      </c>
      <c r="B15476" s="468" t="s">
        <v>27760</v>
      </c>
      <c r="C15476" s="472" t="s">
        <v>27761</v>
      </c>
      <c r="D15476" s="473">
        <v>461.86</v>
      </c>
      <c r="E15476" s="473">
        <v>283.27999999999997</v>
      </c>
      <c r="F15476" s="473">
        <v>13.13</v>
      </c>
      <c r="G15476" s="473">
        <v>165.45</v>
      </c>
      <c r="H15476" s="474">
        <v>3979.34</v>
      </c>
      <c r="I15476" s="474">
        <v>3257.88</v>
      </c>
      <c r="J15476" s="474">
        <v>55.59</v>
      </c>
      <c r="K15476" s="474">
        <v>665.87</v>
      </c>
      <c r="L15476" s="43">
        <v>8.6159009223574241</v>
      </c>
      <c r="M15476" s="43">
        <v>11.500564812199945</v>
      </c>
      <c r="N15476" s="43">
        <v>4.2338156892612338</v>
      </c>
      <c r="O15476" s="43">
        <v>4.024599576911454</v>
      </c>
      <c r="P15476" s="475"/>
      <c r="Q15476" s="475"/>
      <c r="R15476" s="475">
        <v>1</v>
      </c>
    </row>
    <row r="15477" spans="1:18" ht="24">
      <c r="A15477" s="471">
        <v>130</v>
      </c>
      <c r="B15477" s="468" t="s">
        <v>27762</v>
      </c>
      <c r="C15477" s="472" t="s">
        <v>27763</v>
      </c>
      <c r="D15477" s="473">
        <v>185.57</v>
      </c>
      <c r="E15477" s="473">
        <v>138.29</v>
      </c>
      <c r="F15477" s="473">
        <v>1.08</v>
      </c>
      <c r="G15477" s="473">
        <v>46.2</v>
      </c>
      <c r="H15477" s="474">
        <v>1789.33</v>
      </c>
      <c r="I15477" s="474">
        <v>1590.31</v>
      </c>
      <c r="J15477" s="474">
        <v>4.6399999999999997</v>
      </c>
      <c r="K15477" s="474">
        <v>194.38</v>
      </c>
      <c r="L15477" s="43">
        <v>9.6423452066605595</v>
      </c>
      <c r="M15477" s="43">
        <v>11.499819220478704</v>
      </c>
      <c r="N15477" s="43">
        <v>4.2962962962962958</v>
      </c>
      <c r="O15477" s="43">
        <v>4.2073593073593072</v>
      </c>
      <c r="P15477" s="475"/>
      <c r="Q15477" s="475"/>
      <c r="R15477" s="475">
        <v>1</v>
      </c>
    </row>
    <row r="15478" spans="1:18" ht="24">
      <c r="A15478" s="471">
        <v>131</v>
      </c>
      <c r="B15478" s="468" t="s">
        <v>27764</v>
      </c>
      <c r="C15478" s="472" t="s">
        <v>27765</v>
      </c>
      <c r="D15478" s="473">
        <v>272.02</v>
      </c>
      <c r="E15478" s="473">
        <v>190.92</v>
      </c>
      <c r="F15478" s="473">
        <v>4.08</v>
      </c>
      <c r="G15478" s="473">
        <v>77.02</v>
      </c>
      <c r="H15478" s="474">
        <v>2534.9699999999998</v>
      </c>
      <c r="I15478" s="474">
        <v>2195.58</v>
      </c>
      <c r="J15478" s="474">
        <v>17.45</v>
      </c>
      <c r="K15478" s="474">
        <v>321.94</v>
      </c>
      <c r="L15478" s="43">
        <v>9.3190574222483633</v>
      </c>
      <c r="M15478" s="43">
        <v>11.5</v>
      </c>
      <c r="N15478" s="43">
        <v>4.276960784313725</v>
      </c>
      <c r="O15478" s="43">
        <v>4.1799532588937938</v>
      </c>
      <c r="P15478" s="475"/>
      <c r="Q15478" s="475"/>
      <c r="R15478" s="475">
        <v>1</v>
      </c>
    </row>
    <row r="15479" spans="1:18" ht="24">
      <c r="A15479" s="471">
        <v>132</v>
      </c>
      <c r="B15479" s="468" t="s">
        <v>27766</v>
      </c>
      <c r="C15479" s="472" t="s">
        <v>27767</v>
      </c>
      <c r="D15479" s="473">
        <v>186.63</v>
      </c>
      <c r="E15479" s="473">
        <v>138.29</v>
      </c>
      <c r="F15479" s="473">
        <v>1.05</v>
      </c>
      <c r="G15479" s="473">
        <v>47.29</v>
      </c>
      <c r="H15479" s="474">
        <v>1798.7</v>
      </c>
      <c r="I15479" s="474">
        <v>1590.31</v>
      </c>
      <c r="J15479" s="474">
        <v>4.4800000000000004</v>
      </c>
      <c r="K15479" s="474">
        <v>203.91</v>
      </c>
      <c r="L15479" s="43">
        <v>9.6377859936773298</v>
      </c>
      <c r="M15479" s="43">
        <v>11.499819220478704</v>
      </c>
      <c r="N15479" s="43">
        <v>4.2666666666666666</v>
      </c>
      <c r="O15479" s="43">
        <v>4.3119052653838024</v>
      </c>
      <c r="P15479" s="475"/>
      <c r="Q15479" s="475"/>
      <c r="R15479" s="475">
        <v>1</v>
      </c>
    </row>
    <row r="15480" spans="1:18" ht="24">
      <c r="A15480" s="471">
        <v>133</v>
      </c>
      <c r="B15480" s="468" t="s">
        <v>27768</v>
      </c>
      <c r="C15480" s="472" t="s">
        <v>27769</v>
      </c>
      <c r="D15480" s="473">
        <v>260.63</v>
      </c>
      <c r="E15480" s="473">
        <v>180.6</v>
      </c>
      <c r="F15480" s="473">
        <v>3.22</v>
      </c>
      <c r="G15480" s="473">
        <v>76.81</v>
      </c>
      <c r="H15480" s="474">
        <v>2410.1999999999998</v>
      </c>
      <c r="I15480" s="474">
        <v>2076.9</v>
      </c>
      <c r="J15480" s="474">
        <v>13.77</v>
      </c>
      <c r="K15480" s="474">
        <v>319.52999999999997</v>
      </c>
      <c r="L15480" s="43">
        <v>9.2475923723285884</v>
      </c>
      <c r="M15480" s="43">
        <v>11.5</v>
      </c>
      <c r="N15480" s="43">
        <v>4.2763975155279503</v>
      </c>
      <c r="O15480" s="43">
        <v>4.1600052076552529</v>
      </c>
      <c r="P15480" s="475"/>
      <c r="Q15480" s="475"/>
      <c r="R15480" s="475">
        <v>1</v>
      </c>
    </row>
    <row r="15481" spans="1:18" ht="24">
      <c r="A15481" s="471">
        <v>134</v>
      </c>
      <c r="B15481" s="468" t="s">
        <v>27770</v>
      </c>
      <c r="C15481" s="472" t="s">
        <v>27771</v>
      </c>
      <c r="D15481" s="473">
        <v>186.85</v>
      </c>
      <c r="E15481" s="473">
        <v>138.29</v>
      </c>
      <c r="F15481" s="473">
        <v>1.27</v>
      </c>
      <c r="G15481" s="473">
        <v>47.29</v>
      </c>
      <c r="H15481" s="474">
        <v>1799.66</v>
      </c>
      <c r="I15481" s="474">
        <v>1590.31</v>
      </c>
      <c r="J15481" s="474">
        <v>5.44</v>
      </c>
      <c r="K15481" s="474">
        <v>203.91</v>
      </c>
      <c r="L15481" s="43">
        <v>9.6315761305860317</v>
      </c>
      <c r="M15481" s="43">
        <v>11.499819220478704</v>
      </c>
      <c r="N15481" s="43">
        <v>4.2834645669291342</v>
      </c>
      <c r="O15481" s="43">
        <v>4.3119052653838024</v>
      </c>
      <c r="P15481" s="475"/>
      <c r="Q15481" s="475"/>
      <c r="R15481" s="475">
        <v>1</v>
      </c>
    </row>
    <row r="15482" spans="1:18" ht="24">
      <c r="A15482" s="471">
        <v>135</v>
      </c>
      <c r="B15482" s="468" t="s">
        <v>27772</v>
      </c>
      <c r="C15482" s="472" t="s">
        <v>27773</v>
      </c>
      <c r="D15482" s="473">
        <v>232.05</v>
      </c>
      <c r="E15482" s="473">
        <v>180.6</v>
      </c>
      <c r="F15482" s="473">
        <v>1.08</v>
      </c>
      <c r="G15482" s="473">
        <v>50.37</v>
      </c>
      <c r="H15482" s="474">
        <v>2314.7800000000002</v>
      </c>
      <c r="I15482" s="474">
        <v>2076.9</v>
      </c>
      <c r="J15482" s="474">
        <v>4.6399999999999997</v>
      </c>
      <c r="K15482" s="474">
        <v>233.24</v>
      </c>
      <c r="L15482" s="43">
        <v>9.9753501400560225</v>
      </c>
      <c r="M15482" s="43">
        <v>11.5</v>
      </c>
      <c r="N15482" s="43">
        <v>4.2962962962962958</v>
      </c>
      <c r="O15482" s="43">
        <v>4.6305340480444714</v>
      </c>
      <c r="P15482" s="475"/>
      <c r="Q15482" s="475"/>
      <c r="R15482" s="475">
        <v>1</v>
      </c>
    </row>
    <row r="15483" spans="1:18" ht="24">
      <c r="A15483" s="471">
        <v>136</v>
      </c>
      <c r="B15483" s="468" t="s">
        <v>27774</v>
      </c>
      <c r="C15483" s="472" t="s">
        <v>27775</v>
      </c>
      <c r="D15483" s="473">
        <v>301.23</v>
      </c>
      <c r="E15483" s="473">
        <v>233.23</v>
      </c>
      <c r="F15483" s="473">
        <v>2.2400000000000002</v>
      </c>
      <c r="G15483" s="473">
        <v>65.760000000000005</v>
      </c>
      <c r="H15483" s="474">
        <v>2990.07</v>
      </c>
      <c r="I15483" s="474">
        <v>2682.17</v>
      </c>
      <c r="J15483" s="474">
        <v>9.61</v>
      </c>
      <c r="K15483" s="474">
        <v>298.29000000000002</v>
      </c>
      <c r="L15483" s="43">
        <v>9.9262025694651932</v>
      </c>
      <c r="M15483" s="43">
        <v>11.500107190327146</v>
      </c>
      <c r="N15483" s="43">
        <v>4.2901785714285712</v>
      </c>
      <c r="O15483" s="43">
        <v>4.5360401459854014</v>
      </c>
      <c r="P15483" s="475"/>
      <c r="Q15483" s="475"/>
      <c r="R15483" s="475">
        <v>1</v>
      </c>
    </row>
    <row r="15484" spans="1:18" ht="24">
      <c r="A15484" s="471">
        <v>137</v>
      </c>
      <c r="B15484" s="468" t="s">
        <v>27776</v>
      </c>
      <c r="C15484" s="472" t="s">
        <v>27777</v>
      </c>
      <c r="D15484" s="473">
        <v>308.37</v>
      </c>
      <c r="E15484" s="473">
        <v>158.93</v>
      </c>
      <c r="F15484" s="473">
        <v>12.1</v>
      </c>
      <c r="G15484" s="473">
        <v>137.34</v>
      </c>
      <c r="H15484" s="474">
        <v>2436.9699999999998</v>
      </c>
      <c r="I15484" s="474">
        <v>1827.67</v>
      </c>
      <c r="J15484" s="474">
        <v>51.21</v>
      </c>
      <c r="K15484" s="474">
        <v>558.09</v>
      </c>
      <c r="L15484" s="43">
        <v>7.9027467003923846</v>
      </c>
      <c r="M15484" s="43">
        <v>11.499842698043164</v>
      </c>
      <c r="N15484" s="43">
        <v>4.2322314049586778</v>
      </c>
      <c r="O15484" s="43">
        <v>4.0635648754914815</v>
      </c>
      <c r="P15484" s="475"/>
      <c r="Q15484" s="475"/>
      <c r="R15484" s="475">
        <v>1</v>
      </c>
    </row>
    <row r="15485" spans="1:18" ht="24">
      <c r="A15485" s="471">
        <v>138</v>
      </c>
      <c r="B15485" s="468" t="s">
        <v>27778</v>
      </c>
      <c r="C15485" s="472" t="s">
        <v>27779</v>
      </c>
      <c r="D15485" s="473">
        <v>199.61</v>
      </c>
      <c r="E15485" s="473">
        <v>148.61000000000001</v>
      </c>
      <c r="F15485" s="473">
        <v>1.27</v>
      </c>
      <c r="G15485" s="473">
        <v>49.73</v>
      </c>
      <c r="H15485" s="474">
        <v>1940.31</v>
      </c>
      <c r="I15485" s="474">
        <v>1708.99</v>
      </c>
      <c r="J15485" s="474">
        <v>5.44</v>
      </c>
      <c r="K15485" s="474">
        <v>225.88</v>
      </c>
      <c r="L15485" s="43">
        <v>9.7205049847202041</v>
      </c>
      <c r="M15485" s="43">
        <v>11.499831774443173</v>
      </c>
      <c r="N15485" s="43">
        <v>4.2834645669291342</v>
      </c>
      <c r="O15485" s="43">
        <v>4.5421274884375631</v>
      </c>
      <c r="P15485" s="475"/>
      <c r="Q15485" s="475"/>
      <c r="R15485" s="475">
        <v>1</v>
      </c>
    </row>
    <row r="15486" spans="1:18" ht="24">
      <c r="A15486" s="471">
        <v>139</v>
      </c>
      <c r="B15486" s="468" t="s">
        <v>27780</v>
      </c>
      <c r="C15486" s="472" t="s">
        <v>27781</v>
      </c>
      <c r="D15486" s="473">
        <v>286.98</v>
      </c>
      <c r="E15486" s="473">
        <v>190.92</v>
      </c>
      <c r="F15486" s="473">
        <v>3.48</v>
      </c>
      <c r="G15486" s="473">
        <v>92.58</v>
      </c>
      <c r="H15486" s="474">
        <v>2596.12</v>
      </c>
      <c r="I15486" s="474">
        <v>2195.58</v>
      </c>
      <c r="J15486" s="474">
        <v>14.89</v>
      </c>
      <c r="K15486" s="474">
        <v>385.65</v>
      </c>
      <c r="L15486" s="43">
        <v>9.0463446930099654</v>
      </c>
      <c r="M15486" s="43">
        <v>11.5</v>
      </c>
      <c r="N15486" s="43">
        <v>4.2787356321839081</v>
      </c>
      <c r="O15486" s="43">
        <v>4.1655865197666877</v>
      </c>
      <c r="P15486" s="475"/>
      <c r="Q15486" s="475"/>
      <c r="R15486" s="475">
        <v>1</v>
      </c>
    </row>
    <row r="15487" spans="1:18" ht="24">
      <c r="A15487" s="471">
        <v>140</v>
      </c>
      <c r="B15487" s="468" t="s">
        <v>27782</v>
      </c>
      <c r="C15487" s="472" t="s">
        <v>27783</v>
      </c>
      <c r="D15487" s="473">
        <v>212.59</v>
      </c>
      <c r="E15487" s="473">
        <v>158.93</v>
      </c>
      <c r="F15487" s="473">
        <v>2.36</v>
      </c>
      <c r="G15487" s="473">
        <v>51.3</v>
      </c>
      <c r="H15487" s="474">
        <v>2077.9699999999998</v>
      </c>
      <c r="I15487" s="474">
        <v>1827.67</v>
      </c>
      <c r="J15487" s="474">
        <v>10.09</v>
      </c>
      <c r="K15487" s="474">
        <v>240.21</v>
      </c>
      <c r="L15487" s="43">
        <v>9.7745425466861082</v>
      </c>
      <c r="M15487" s="43">
        <v>11.499842698043164</v>
      </c>
      <c r="N15487" s="43">
        <v>4.2754237288135597</v>
      </c>
      <c r="O15487" s="43">
        <v>4.6824561403508778</v>
      </c>
      <c r="P15487" s="475"/>
      <c r="Q15487" s="475"/>
      <c r="R15487" s="475">
        <v>1</v>
      </c>
    </row>
    <row r="15488" spans="1:18" ht="36">
      <c r="A15488" s="471">
        <v>141</v>
      </c>
      <c r="B15488" s="468" t="s">
        <v>27784</v>
      </c>
      <c r="C15488" s="472" t="s">
        <v>27785</v>
      </c>
      <c r="D15488" s="473">
        <v>275.92</v>
      </c>
      <c r="E15488" s="473">
        <v>180.6</v>
      </c>
      <c r="F15488" s="473">
        <v>3.63</v>
      </c>
      <c r="G15488" s="473">
        <v>91.69</v>
      </c>
      <c r="H15488" s="474">
        <v>2469.71</v>
      </c>
      <c r="I15488" s="474">
        <v>2076.9</v>
      </c>
      <c r="J15488" s="474">
        <v>15.53</v>
      </c>
      <c r="K15488" s="474">
        <v>377.28</v>
      </c>
      <c r="L15488" s="43">
        <v>8.9508190779936214</v>
      </c>
      <c r="M15488" s="43">
        <v>11.5</v>
      </c>
      <c r="N15488" s="43">
        <v>4.2782369146005506</v>
      </c>
      <c r="O15488" s="43">
        <v>4.1147344312356848</v>
      </c>
      <c r="P15488" s="475"/>
      <c r="Q15488" s="475"/>
      <c r="R15488" s="475">
        <v>1</v>
      </c>
    </row>
    <row r="15489" spans="1:18" ht="24">
      <c r="A15489" s="471">
        <v>142</v>
      </c>
      <c r="B15489" s="468" t="s">
        <v>27786</v>
      </c>
      <c r="C15489" s="472" t="s">
        <v>27787</v>
      </c>
      <c r="D15489" s="473">
        <v>161.38999999999999</v>
      </c>
      <c r="E15489" s="473">
        <v>127.97</v>
      </c>
      <c r="F15489" s="473">
        <v>1.1599999999999999</v>
      </c>
      <c r="G15489" s="473">
        <v>32.26</v>
      </c>
      <c r="H15489" s="474">
        <v>1620.93</v>
      </c>
      <c r="I15489" s="474">
        <v>1471.63</v>
      </c>
      <c r="J15489" s="474">
        <v>4.96</v>
      </c>
      <c r="K15489" s="474">
        <v>144.34</v>
      </c>
      <c r="L15489" s="43">
        <v>10.04355908048826</v>
      </c>
      <c r="M15489" s="43">
        <v>11.499804641712903</v>
      </c>
      <c r="N15489" s="43">
        <v>4.2758620689655178</v>
      </c>
      <c r="O15489" s="43">
        <v>4.4742715437073777</v>
      </c>
      <c r="P15489" s="475"/>
      <c r="Q15489" s="475"/>
      <c r="R15489" s="475">
        <v>1</v>
      </c>
    </row>
    <row r="15490" spans="1:18" ht="24">
      <c r="A15490" s="471">
        <v>143</v>
      </c>
      <c r="B15490" s="468" t="s">
        <v>27788</v>
      </c>
      <c r="C15490" s="472" t="s">
        <v>27789</v>
      </c>
      <c r="D15490" s="473">
        <v>187.15</v>
      </c>
      <c r="E15490" s="473">
        <v>138.29</v>
      </c>
      <c r="F15490" s="473">
        <v>1.57</v>
      </c>
      <c r="G15490" s="473">
        <v>47.29</v>
      </c>
      <c r="H15490" s="474">
        <v>1800.94</v>
      </c>
      <c r="I15490" s="474">
        <v>1590.31</v>
      </c>
      <c r="J15490" s="474">
        <v>6.72</v>
      </c>
      <c r="K15490" s="474">
        <v>203.91</v>
      </c>
      <c r="L15490" s="43">
        <v>9.6229762222815918</v>
      </c>
      <c r="M15490" s="43">
        <v>11.499819220478704</v>
      </c>
      <c r="N15490" s="43">
        <v>4.2802547770700636</v>
      </c>
      <c r="O15490" s="43">
        <v>4.3119052653838024</v>
      </c>
      <c r="P15490" s="475"/>
      <c r="Q15490" s="475"/>
      <c r="R15490" s="475">
        <v>1</v>
      </c>
    </row>
    <row r="15491" spans="1:18" ht="24">
      <c r="A15491" s="471">
        <v>144</v>
      </c>
      <c r="B15491" s="468" t="s">
        <v>27790</v>
      </c>
      <c r="C15491" s="472" t="s">
        <v>27791</v>
      </c>
      <c r="D15491" s="473">
        <v>212.68</v>
      </c>
      <c r="E15491" s="473">
        <v>148.61000000000001</v>
      </c>
      <c r="F15491" s="473">
        <v>2.2400000000000002</v>
      </c>
      <c r="G15491" s="473">
        <v>61.83</v>
      </c>
      <c r="H15491" s="474">
        <v>1977.79</v>
      </c>
      <c r="I15491" s="474">
        <v>1708.99</v>
      </c>
      <c r="J15491" s="474">
        <v>9.61</v>
      </c>
      <c r="K15491" s="474">
        <v>259.19</v>
      </c>
      <c r="L15491" s="43">
        <v>9.2993699454579648</v>
      </c>
      <c r="M15491" s="43">
        <v>11.499831774443173</v>
      </c>
      <c r="N15491" s="43">
        <v>4.2901785714285712</v>
      </c>
      <c r="O15491" s="43">
        <v>4.1919780042050787</v>
      </c>
      <c r="P15491" s="475"/>
      <c r="Q15491" s="475"/>
      <c r="R15491" s="475">
        <v>1</v>
      </c>
    </row>
    <row r="15492" spans="1:18" ht="24">
      <c r="A15492" s="471">
        <v>145</v>
      </c>
      <c r="B15492" s="468" t="s">
        <v>27792</v>
      </c>
      <c r="C15492" s="472" t="s">
        <v>27793</v>
      </c>
      <c r="D15492" s="473">
        <v>297.19</v>
      </c>
      <c r="E15492" s="473">
        <v>202.27</v>
      </c>
      <c r="F15492" s="473">
        <v>4.08</v>
      </c>
      <c r="G15492" s="473">
        <v>90.84</v>
      </c>
      <c r="H15492" s="474">
        <v>2714.6</v>
      </c>
      <c r="I15492" s="474">
        <v>2326.13</v>
      </c>
      <c r="J15492" s="474">
        <v>17.45</v>
      </c>
      <c r="K15492" s="474">
        <v>371.02</v>
      </c>
      <c r="L15492" s="43">
        <v>9.1342238971701608</v>
      </c>
      <c r="M15492" s="43">
        <v>11.500123597172097</v>
      </c>
      <c r="N15492" s="43">
        <v>4.276960784313725</v>
      </c>
      <c r="O15492" s="43">
        <v>4.0843240863055916</v>
      </c>
      <c r="P15492" s="475"/>
      <c r="Q15492" s="475"/>
      <c r="R15492" s="475">
        <v>1</v>
      </c>
    </row>
    <row r="15493" spans="1:18" ht="24">
      <c r="A15493" s="471">
        <v>146</v>
      </c>
      <c r="B15493" s="468" t="s">
        <v>27794</v>
      </c>
      <c r="C15493" s="472" t="s">
        <v>27795</v>
      </c>
      <c r="D15493" s="473">
        <v>694.92</v>
      </c>
      <c r="E15493" s="473">
        <v>457.53</v>
      </c>
      <c r="F15493" s="473">
        <v>15.92</v>
      </c>
      <c r="G15493" s="473">
        <v>221.47</v>
      </c>
      <c r="H15493" s="474">
        <v>6277.25</v>
      </c>
      <c r="I15493" s="474">
        <v>5261.6</v>
      </c>
      <c r="J15493" s="474">
        <v>67.38</v>
      </c>
      <c r="K15493" s="474">
        <v>948.27</v>
      </c>
      <c r="L15493" s="43">
        <v>9.0330541645081457</v>
      </c>
      <c r="M15493" s="43">
        <v>11.500010928245144</v>
      </c>
      <c r="N15493" s="43">
        <v>4.232412060301507</v>
      </c>
      <c r="O15493" s="43">
        <v>4.2817085835553348</v>
      </c>
      <c r="P15493" s="475"/>
      <c r="Q15493" s="475"/>
      <c r="R15493" s="475">
        <v>1</v>
      </c>
    </row>
    <row r="15494" spans="1:18" ht="12.75" customHeight="1">
      <c r="A15494" s="628" t="s">
        <v>27796</v>
      </c>
      <c r="B15494" s="629"/>
      <c r="C15494" s="629"/>
      <c r="D15494" s="629"/>
      <c r="E15494" s="629"/>
      <c r="F15494" s="629"/>
      <c r="G15494" s="629"/>
      <c r="H15494" s="629"/>
      <c r="I15494" s="629"/>
      <c r="J15494" s="629"/>
      <c r="K15494" s="629"/>
      <c r="L15494" s="629"/>
      <c r="M15494" s="629"/>
      <c r="N15494" s="629"/>
      <c r="O15494" s="629"/>
      <c r="P15494" s="629"/>
      <c r="Q15494" s="629"/>
      <c r="R15494" s="629"/>
    </row>
    <row r="15495" spans="1:18" ht="24">
      <c r="A15495" s="471">
        <v>147</v>
      </c>
      <c r="B15495" s="468" t="s">
        <v>27797</v>
      </c>
      <c r="C15495" s="472" t="s">
        <v>27798</v>
      </c>
      <c r="D15495" s="473">
        <v>2894.09</v>
      </c>
      <c r="E15495" s="473">
        <v>1656.4</v>
      </c>
      <c r="F15495" s="473">
        <v>172.2</v>
      </c>
      <c r="G15495" s="473">
        <v>1065.49</v>
      </c>
      <c r="H15495" s="474">
        <v>24194.51</v>
      </c>
      <c r="I15495" s="474">
        <v>19048.599999999999</v>
      </c>
      <c r="J15495" s="474">
        <v>805.99</v>
      </c>
      <c r="K15495" s="474">
        <v>4339.92</v>
      </c>
      <c r="L15495" s="43">
        <v>8.359971528183296</v>
      </c>
      <c r="M15495" s="43">
        <v>11.499999999999998</v>
      </c>
      <c r="N15495" s="43">
        <v>4.6805458768873409</v>
      </c>
      <c r="O15495" s="43">
        <v>4.0731682136857223</v>
      </c>
      <c r="P15495" s="475"/>
      <c r="Q15495" s="475"/>
      <c r="R15495" s="475">
        <v>2</v>
      </c>
    </row>
    <row r="15496" spans="1:18" ht="24">
      <c r="A15496" s="471">
        <v>148</v>
      </c>
      <c r="B15496" s="468" t="s">
        <v>27799</v>
      </c>
      <c r="C15496" s="472" t="s">
        <v>27800</v>
      </c>
      <c r="D15496" s="473">
        <v>523.94000000000005</v>
      </c>
      <c r="E15496" s="473">
        <v>343.4</v>
      </c>
      <c r="F15496" s="473">
        <v>13.21</v>
      </c>
      <c r="G15496" s="473">
        <v>167.33</v>
      </c>
      <c r="H15496" s="474">
        <v>4690.66</v>
      </c>
      <c r="I15496" s="474">
        <v>3949.1</v>
      </c>
      <c r="J15496" s="474">
        <v>55.93</v>
      </c>
      <c r="K15496" s="474">
        <v>685.63</v>
      </c>
      <c r="L15496" s="43">
        <v>8.9526663358399805</v>
      </c>
      <c r="M15496" s="43">
        <v>11.5</v>
      </c>
      <c r="N15496" s="43">
        <v>4.2339137017411046</v>
      </c>
      <c r="O15496" s="43">
        <v>4.0974720611964379</v>
      </c>
      <c r="P15496" s="475"/>
      <c r="Q15496" s="475"/>
      <c r="R15496" s="475">
        <v>2</v>
      </c>
    </row>
    <row r="15497" spans="1:18" ht="24">
      <c r="A15497" s="471">
        <v>149</v>
      </c>
      <c r="B15497" s="468" t="s">
        <v>27801</v>
      </c>
      <c r="C15497" s="472" t="s">
        <v>27802</v>
      </c>
      <c r="D15497" s="473">
        <v>188.35</v>
      </c>
      <c r="E15497" s="473">
        <v>135.34</v>
      </c>
      <c r="F15497" s="473">
        <v>1.1599999999999999</v>
      </c>
      <c r="G15497" s="473">
        <v>51.85</v>
      </c>
      <c r="H15497" s="474">
        <v>1805.12</v>
      </c>
      <c r="I15497" s="474">
        <v>1556.41</v>
      </c>
      <c r="J15497" s="474">
        <v>4.96</v>
      </c>
      <c r="K15497" s="474">
        <v>243.75</v>
      </c>
      <c r="L15497" s="43">
        <v>9.5838598354127953</v>
      </c>
      <c r="M15497" s="43">
        <v>11.5</v>
      </c>
      <c r="N15497" s="43">
        <v>4.2758620689655178</v>
      </c>
      <c r="O15497" s="43">
        <v>4.7010607521697203</v>
      </c>
      <c r="P15497" s="475"/>
      <c r="Q15497" s="475"/>
      <c r="R15497" s="475">
        <v>2</v>
      </c>
    </row>
    <row r="15498" spans="1:18" ht="24">
      <c r="A15498" s="471">
        <v>150</v>
      </c>
      <c r="B15498" s="468" t="s">
        <v>27803</v>
      </c>
      <c r="C15498" s="472" t="s">
        <v>27804</v>
      </c>
      <c r="D15498" s="473">
        <v>161.79</v>
      </c>
      <c r="E15498" s="473">
        <v>127.97</v>
      </c>
      <c r="F15498" s="473">
        <v>1.08</v>
      </c>
      <c r="G15498" s="473">
        <v>32.74</v>
      </c>
      <c r="H15498" s="474">
        <v>1624.78</v>
      </c>
      <c r="I15498" s="474">
        <v>1471.63</v>
      </c>
      <c r="J15498" s="474">
        <v>4.6399999999999997</v>
      </c>
      <c r="K15498" s="474">
        <v>148.51</v>
      </c>
      <c r="L15498" s="43">
        <v>10.042524259843006</v>
      </c>
      <c r="M15498" s="43">
        <v>11.499804641712903</v>
      </c>
      <c r="N15498" s="43">
        <v>4.2962962962962958</v>
      </c>
      <c r="O15498" s="43">
        <v>4.5360415394013431</v>
      </c>
      <c r="P15498" s="475"/>
      <c r="Q15498" s="475"/>
      <c r="R15498" s="475">
        <v>2</v>
      </c>
    </row>
    <row r="15499" spans="1:18" ht="24">
      <c r="A15499" s="471">
        <v>151</v>
      </c>
      <c r="B15499" s="468" t="s">
        <v>27805</v>
      </c>
      <c r="C15499" s="472" t="s">
        <v>27806</v>
      </c>
      <c r="D15499" s="473">
        <v>641.1</v>
      </c>
      <c r="E15499" s="473">
        <v>413.83</v>
      </c>
      <c r="F15499" s="473">
        <v>14.49</v>
      </c>
      <c r="G15499" s="473">
        <v>212.78</v>
      </c>
      <c r="H15499" s="474">
        <v>5690.11</v>
      </c>
      <c r="I15499" s="474">
        <v>4759.07</v>
      </c>
      <c r="J15499" s="474">
        <v>61.32</v>
      </c>
      <c r="K15499" s="474">
        <v>869.72</v>
      </c>
      <c r="L15499" s="43">
        <v>8.8755420371236919</v>
      </c>
      <c r="M15499" s="43">
        <v>11.500060411279994</v>
      </c>
      <c r="N15499" s="43">
        <v>4.2318840579710146</v>
      </c>
      <c r="O15499" s="43">
        <v>4.0874142306607766</v>
      </c>
      <c r="P15499" s="475"/>
      <c r="Q15499" s="475"/>
      <c r="R15499" s="475">
        <v>2</v>
      </c>
    </row>
    <row r="15500" spans="1:18" ht="24">
      <c r="A15500" s="471">
        <v>152</v>
      </c>
      <c r="B15500" s="468" t="s">
        <v>27807</v>
      </c>
      <c r="C15500" s="472" t="s">
        <v>27808</v>
      </c>
      <c r="D15500" s="473">
        <v>286.36</v>
      </c>
      <c r="E15500" s="473">
        <v>190.92</v>
      </c>
      <c r="F15500" s="473">
        <v>4.08</v>
      </c>
      <c r="G15500" s="473">
        <v>91.36</v>
      </c>
      <c r="H15500" s="474">
        <v>2587.9499999999998</v>
      </c>
      <c r="I15500" s="474">
        <v>2195.58</v>
      </c>
      <c r="J15500" s="474">
        <v>17.45</v>
      </c>
      <c r="K15500" s="474">
        <v>374.92</v>
      </c>
      <c r="L15500" s="43">
        <v>9.037400474926665</v>
      </c>
      <c r="M15500" s="43">
        <v>11.5</v>
      </c>
      <c r="N15500" s="43">
        <v>4.276960784313725</v>
      </c>
      <c r="O15500" s="43">
        <v>4.1037653239929952</v>
      </c>
      <c r="P15500" s="475"/>
      <c r="Q15500" s="475"/>
      <c r="R15500" s="475">
        <v>2</v>
      </c>
    </row>
    <row r="15501" spans="1:18" ht="36">
      <c r="A15501" s="471">
        <v>153</v>
      </c>
      <c r="B15501" s="468" t="s">
        <v>27809</v>
      </c>
      <c r="C15501" s="472" t="s">
        <v>27810</v>
      </c>
      <c r="D15501" s="473">
        <v>299.68</v>
      </c>
      <c r="E15501" s="473">
        <v>218.16</v>
      </c>
      <c r="F15501" s="473">
        <v>3.22</v>
      </c>
      <c r="G15501" s="473">
        <v>78.3</v>
      </c>
      <c r="H15501" s="474">
        <v>2857.32</v>
      </c>
      <c r="I15501" s="474">
        <v>2508.84</v>
      </c>
      <c r="J15501" s="474">
        <v>13.77</v>
      </c>
      <c r="K15501" s="474">
        <v>334.71</v>
      </c>
      <c r="L15501" s="43">
        <v>9.5345702082221031</v>
      </c>
      <c r="M15501" s="43">
        <v>11.5</v>
      </c>
      <c r="N15501" s="43">
        <v>4.2763975155279503</v>
      </c>
      <c r="O15501" s="43">
        <v>4.2747126436781606</v>
      </c>
      <c r="P15501" s="475"/>
      <c r="Q15501" s="475"/>
      <c r="R15501" s="475">
        <v>2</v>
      </c>
    </row>
    <row r="15502" spans="1:18" ht="24">
      <c r="A15502" s="471">
        <v>154</v>
      </c>
      <c r="B15502" s="468" t="s">
        <v>27811</v>
      </c>
      <c r="C15502" s="472" t="s">
        <v>27812</v>
      </c>
      <c r="D15502" s="473">
        <v>396.51</v>
      </c>
      <c r="E15502" s="473">
        <v>249.47</v>
      </c>
      <c r="F15502" s="473">
        <v>10.27</v>
      </c>
      <c r="G15502" s="473">
        <v>136.77000000000001</v>
      </c>
      <c r="H15502" s="474">
        <v>3470.42</v>
      </c>
      <c r="I15502" s="474">
        <v>2868.91</v>
      </c>
      <c r="J15502" s="474">
        <v>43.46</v>
      </c>
      <c r="K15502" s="474">
        <v>558.04999999999995</v>
      </c>
      <c r="L15502" s="43">
        <v>8.7524148192983784</v>
      </c>
      <c r="M15502" s="43">
        <v>11.500020042490078</v>
      </c>
      <c r="N15502" s="43">
        <v>4.2317429406037004</v>
      </c>
      <c r="O15502" s="43">
        <v>4.0802076478759952</v>
      </c>
      <c r="P15502" s="475"/>
      <c r="Q15502" s="475"/>
      <c r="R15502" s="475">
        <v>2</v>
      </c>
    </row>
    <row r="15503" spans="1:18" ht="24">
      <c r="A15503" s="471">
        <v>155</v>
      </c>
      <c r="B15503" s="468" t="s">
        <v>27813</v>
      </c>
      <c r="C15503" s="472" t="s">
        <v>27814</v>
      </c>
      <c r="D15503" s="473">
        <v>2992.89</v>
      </c>
      <c r="E15503" s="473">
        <v>1717</v>
      </c>
      <c r="F15503" s="473">
        <v>404.73</v>
      </c>
      <c r="G15503" s="473">
        <v>871.16</v>
      </c>
      <c r="H15503" s="474">
        <v>25332.7</v>
      </c>
      <c r="I15503" s="474">
        <v>19745.5</v>
      </c>
      <c r="J15503" s="474">
        <v>2074.75</v>
      </c>
      <c r="K15503" s="474">
        <v>3512.45</v>
      </c>
      <c r="L15503" s="43">
        <v>8.4642937094246697</v>
      </c>
      <c r="M15503" s="43">
        <v>11.5</v>
      </c>
      <c r="N15503" s="43">
        <v>5.1262570108467367</v>
      </c>
      <c r="O15503" s="43">
        <v>4.0319229533036411</v>
      </c>
      <c r="P15503" s="475"/>
      <c r="Q15503" s="475"/>
      <c r="R15503" s="475">
        <v>2</v>
      </c>
    </row>
    <row r="15504" spans="1:18" ht="24">
      <c r="A15504" s="471">
        <v>156</v>
      </c>
      <c r="B15504" s="468" t="s">
        <v>27815</v>
      </c>
      <c r="C15504" s="472" t="s">
        <v>27816</v>
      </c>
      <c r="D15504" s="473">
        <v>838.18</v>
      </c>
      <c r="E15504" s="473">
        <v>436.32</v>
      </c>
      <c r="F15504" s="473">
        <v>31.91</v>
      </c>
      <c r="G15504" s="473">
        <v>369.95</v>
      </c>
      <c r="H15504" s="474">
        <v>6601.79</v>
      </c>
      <c r="I15504" s="474">
        <v>5017.68</v>
      </c>
      <c r="J15504" s="474">
        <v>135.37</v>
      </c>
      <c r="K15504" s="474">
        <v>1448.74</v>
      </c>
      <c r="L15504" s="43">
        <v>7.8763392111479638</v>
      </c>
      <c r="M15504" s="43">
        <v>11.5</v>
      </c>
      <c r="N15504" s="43">
        <v>4.2422438107176434</v>
      </c>
      <c r="O15504" s="43">
        <v>3.9160427084741181</v>
      </c>
      <c r="P15504" s="475"/>
      <c r="Q15504" s="475"/>
      <c r="R15504" s="475">
        <v>2</v>
      </c>
    </row>
    <row r="15505" spans="1:18" ht="24">
      <c r="A15505" s="471">
        <v>157</v>
      </c>
      <c r="B15505" s="468" t="s">
        <v>27817</v>
      </c>
      <c r="C15505" s="472" t="s">
        <v>27818</v>
      </c>
      <c r="D15505" s="473">
        <v>194.79</v>
      </c>
      <c r="E15505" s="473">
        <v>145.44</v>
      </c>
      <c r="F15505" s="473">
        <v>1.38</v>
      </c>
      <c r="G15505" s="473">
        <v>47.97</v>
      </c>
      <c r="H15505" s="474">
        <v>1888.77</v>
      </c>
      <c r="I15505" s="474">
        <v>1672.56</v>
      </c>
      <c r="J15505" s="474">
        <v>5.92</v>
      </c>
      <c r="K15505" s="474">
        <v>210.29</v>
      </c>
      <c r="L15505" s="43">
        <v>9.6964423225011558</v>
      </c>
      <c r="M15505" s="43">
        <v>11.5</v>
      </c>
      <c r="N15505" s="43">
        <v>4.2898550724637685</v>
      </c>
      <c r="O15505" s="43">
        <v>4.3837815301229934</v>
      </c>
      <c r="P15505" s="475"/>
      <c r="Q15505" s="475"/>
      <c r="R15505" s="475">
        <v>2</v>
      </c>
    </row>
    <row r="15506" spans="1:18" ht="24">
      <c r="A15506" s="471">
        <v>158</v>
      </c>
      <c r="B15506" s="468" t="s">
        <v>27819</v>
      </c>
      <c r="C15506" s="472" t="s">
        <v>27820</v>
      </c>
      <c r="D15506" s="473">
        <v>503.42</v>
      </c>
      <c r="E15506" s="473">
        <v>322.19</v>
      </c>
      <c r="F15506" s="473">
        <v>14.81</v>
      </c>
      <c r="G15506" s="473">
        <v>166.42</v>
      </c>
      <c r="H15506" s="474">
        <v>4444.3599999999997</v>
      </c>
      <c r="I15506" s="474">
        <v>3705.19</v>
      </c>
      <c r="J15506" s="474">
        <v>62.66</v>
      </c>
      <c r="K15506" s="474">
        <v>676.51</v>
      </c>
      <c r="L15506" s="43">
        <v>8.828334194112271</v>
      </c>
      <c r="M15506" s="43">
        <v>11.500015518793258</v>
      </c>
      <c r="N15506" s="43">
        <v>4.2309250506414582</v>
      </c>
      <c r="O15506" s="43">
        <v>4.0650763129431562</v>
      </c>
      <c r="P15506" s="475"/>
      <c r="Q15506" s="475"/>
      <c r="R15506" s="475">
        <v>2</v>
      </c>
    </row>
    <row r="15507" spans="1:18" ht="24">
      <c r="A15507" s="471">
        <v>159</v>
      </c>
      <c r="B15507" s="468" t="s">
        <v>27821</v>
      </c>
      <c r="C15507" s="472" t="s">
        <v>27822</v>
      </c>
      <c r="D15507" s="473">
        <v>256.41000000000003</v>
      </c>
      <c r="E15507" s="473">
        <v>176.75</v>
      </c>
      <c r="F15507" s="473">
        <v>2.92</v>
      </c>
      <c r="G15507" s="473">
        <v>76.739999999999995</v>
      </c>
      <c r="H15507" s="474">
        <v>2363.84</v>
      </c>
      <c r="I15507" s="474">
        <v>2032.63</v>
      </c>
      <c r="J15507" s="474">
        <v>12.49</v>
      </c>
      <c r="K15507" s="474">
        <v>318.72000000000003</v>
      </c>
      <c r="L15507" s="43">
        <v>9.2189852189852193</v>
      </c>
      <c r="M15507" s="43">
        <v>11.50002828854314</v>
      </c>
      <c r="N15507" s="43">
        <v>4.2773972602739727</v>
      </c>
      <c r="O15507" s="43">
        <v>4.153244722439406</v>
      </c>
      <c r="P15507" s="475"/>
      <c r="Q15507" s="475"/>
      <c r="R15507" s="475">
        <v>2</v>
      </c>
    </row>
    <row r="15508" spans="1:18" ht="24">
      <c r="A15508" s="471">
        <v>160</v>
      </c>
      <c r="B15508" s="468" t="s">
        <v>27823</v>
      </c>
      <c r="C15508" s="472" t="s">
        <v>27824</v>
      </c>
      <c r="D15508" s="473">
        <v>314.68</v>
      </c>
      <c r="E15508" s="473">
        <v>218.16</v>
      </c>
      <c r="F15508" s="473">
        <v>4.08</v>
      </c>
      <c r="G15508" s="473">
        <v>92.44</v>
      </c>
      <c r="H15508" s="474">
        <v>2912.19</v>
      </c>
      <c r="I15508" s="474">
        <v>2508.84</v>
      </c>
      <c r="J15508" s="474">
        <v>17.45</v>
      </c>
      <c r="K15508" s="474">
        <v>385.9</v>
      </c>
      <c r="L15508" s="43">
        <v>9.2544489640269472</v>
      </c>
      <c r="M15508" s="43">
        <v>11.5</v>
      </c>
      <c r="N15508" s="43">
        <v>4.276960784313725</v>
      </c>
      <c r="O15508" s="43">
        <v>4.1745997403721331</v>
      </c>
      <c r="P15508" s="475"/>
      <c r="Q15508" s="475"/>
      <c r="R15508" s="475">
        <v>2</v>
      </c>
    </row>
    <row r="15509" spans="1:18" ht="24">
      <c r="A15509" s="471">
        <v>161</v>
      </c>
      <c r="B15509" s="468" t="s">
        <v>27825</v>
      </c>
      <c r="C15509" s="472" t="s">
        <v>27826</v>
      </c>
      <c r="D15509" s="473">
        <v>183.84</v>
      </c>
      <c r="E15509" s="473">
        <v>135.34</v>
      </c>
      <c r="F15509" s="473">
        <v>1.27</v>
      </c>
      <c r="G15509" s="473">
        <v>47.23</v>
      </c>
      <c r="H15509" s="474">
        <v>1765.07</v>
      </c>
      <c r="I15509" s="474">
        <v>1556.41</v>
      </c>
      <c r="J15509" s="474">
        <v>5.44</v>
      </c>
      <c r="K15509" s="474">
        <v>203.22</v>
      </c>
      <c r="L15509" s="43">
        <v>9.6011205395996519</v>
      </c>
      <c r="M15509" s="43">
        <v>11.5</v>
      </c>
      <c r="N15509" s="43">
        <v>4.2834645669291342</v>
      </c>
      <c r="O15509" s="43">
        <v>4.3027736608088079</v>
      </c>
      <c r="P15509" s="475"/>
      <c r="Q15509" s="475"/>
      <c r="R15509" s="475">
        <v>2</v>
      </c>
    </row>
    <row r="15510" spans="1:18" ht="24">
      <c r="A15510" s="471">
        <v>162</v>
      </c>
      <c r="B15510" s="468" t="s">
        <v>27827</v>
      </c>
      <c r="C15510" s="472" t="s">
        <v>27828</v>
      </c>
      <c r="D15510" s="473">
        <v>708.96</v>
      </c>
      <c r="E15510" s="473">
        <v>454.91</v>
      </c>
      <c r="F15510" s="473">
        <v>14.01</v>
      </c>
      <c r="G15510" s="473">
        <v>240.04</v>
      </c>
      <c r="H15510" s="474">
        <v>6256.17</v>
      </c>
      <c r="I15510" s="474">
        <v>5231.4399999999996</v>
      </c>
      <c r="J15510" s="474">
        <v>59.29</v>
      </c>
      <c r="K15510" s="474">
        <v>965.44</v>
      </c>
      <c r="L15510" s="43">
        <v>8.8244329722410288</v>
      </c>
      <c r="M15510" s="43">
        <v>11.49994504407465</v>
      </c>
      <c r="N15510" s="43">
        <v>4.2319771591720201</v>
      </c>
      <c r="O15510" s="43">
        <v>4.021996333944343</v>
      </c>
      <c r="P15510" s="475"/>
      <c r="Q15510" s="475"/>
      <c r="R15510" s="475">
        <v>2</v>
      </c>
    </row>
    <row r="15511" spans="1:18" ht="24">
      <c r="A15511" s="471">
        <v>163</v>
      </c>
      <c r="B15511" s="468" t="s">
        <v>27829</v>
      </c>
      <c r="C15511" s="472" t="s">
        <v>27830</v>
      </c>
      <c r="D15511" s="473">
        <v>673.37</v>
      </c>
      <c r="E15511" s="473">
        <v>412.82</v>
      </c>
      <c r="F15511" s="473">
        <v>14.01</v>
      </c>
      <c r="G15511" s="473">
        <v>246.54</v>
      </c>
      <c r="H15511" s="474">
        <v>5826.92</v>
      </c>
      <c r="I15511" s="474">
        <v>4747.4799999999996</v>
      </c>
      <c r="J15511" s="474">
        <v>59.29</v>
      </c>
      <c r="K15511" s="474">
        <v>1020.15</v>
      </c>
      <c r="L15511" s="43">
        <v>8.6533703610199453</v>
      </c>
      <c r="M15511" s="43">
        <v>11.500121118162879</v>
      </c>
      <c r="N15511" s="43">
        <v>4.2319771591720201</v>
      </c>
      <c r="O15511" s="43">
        <v>4.1378680944268682</v>
      </c>
      <c r="P15511" s="475"/>
      <c r="Q15511" s="475"/>
      <c r="R15511" s="475">
        <v>2</v>
      </c>
    </row>
    <row r="15512" spans="1:18" ht="24">
      <c r="A15512" s="471">
        <v>164</v>
      </c>
      <c r="B15512" s="468" t="s">
        <v>27831</v>
      </c>
      <c r="C15512" s="472" t="s">
        <v>27832</v>
      </c>
      <c r="D15512" s="473">
        <v>3592.91</v>
      </c>
      <c r="E15512" s="473">
        <v>1824.01</v>
      </c>
      <c r="F15512" s="473">
        <v>709.92</v>
      </c>
      <c r="G15512" s="473">
        <v>1058.98</v>
      </c>
      <c r="H15512" s="474">
        <v>28961.82</v>
      </c>
      <c r="I15512" s="474">
        <v>20977.01</v>
      </c>
      <c r="J15512" s="474">
        <v>3692.79</v>
      </c>
      <c r="K15512" s="474">
        <v>4292.0200000000004</v>
      </c>
      <c r="L15512" s="43">
        <v>8.0608253476986622</v>
      </c>
      <c r="M15512" s="43">
        <v>11.500490677134446</v>
      </c>
      <c r="N15512" s="43">
        <v>5.2016987829614605</v>
      </c>
      <c r="O15512" s="43">
        <v>4.0529755047309681</v>
      </c>
      <c r="P15512" s="475"/>
      <c r="Q15512" s="475"/>
      <c r="R15512" s="475">
        <v>2</v>
      </c>
    </row>
    <row r="15513" spans="1:18" ht="24">
      <c r="A15513" s="476">
        <v>165</v>
      </c>
      <c r="B15513" s="477" t="s">
        <v>27833</v>
      </c>
      <c r="C15513" s="478" t="s">
        <v>27834</v>
      </c>
      <c r="D15513" s="479">
        <v>160.52000000000001</v>
      </c>
      <c r="E15513" s="479">
        <v>127.97</v>
      </c>
      <c r="F15513" s="479">
        <v>0.9</v>
      </c>
      <c r="G15513" s="479">
        <v>31.65</v>
      </c>
      <c r="H15513" s="480">
        <v>1614.45</v>
      </c>
      <c r="I15513" s="480">
        <v>1471.63</v>
      </c>
      <c r="J15513" s="480">
        <v>3.84</v>
      </c>
      <c r="K15513" s="480">
        <v>138.97999999999999</v>
      </c>
      <c r="L15513" s="611">
        <v>10.057625218041364</v>
      </c>
      <c r="M15513" s="611">
        <v>11.499804641712903</v>
      </c>
      <c r="N15513" s="611">
        <v>4.2666666666666666</v>
      </c>
      <c r="O15513" s="611">
        <v>4.391153238546603</v>
      </c>
      <c r="P15513" s="481"/>
      <c r="Q15513" s="481"/>
      <c r="R15513" s="481">
        <v>2</v>
      </c>
    </row>
    <row r="15514" spans="1:18" ht="12.75" customHeight="1">
      <c r="A15514" s="630" t="s">
        <v>27835</v>
      </c>
      <c r="B15514" s="631"/>
      <c r="C15514" s="631"/>
      <c r="D15514" s="631"/>
      <c r="E15514" s="631"/>
      <c r="F15514" s="631"/>
      <c r="G15514" s="631"/>
      <c r="H15514" s="631"/>
      <c r="I15514" s="631"/>
      <c r="J15514" s="631"/>
      <c r="K15514" s="631"/>
      <c r="L15514" s="631"/>
      <c r="M15514" s="631"/>
      <c r="N15514" s="631"/>
      <c r="O15514" s="631"/>
      <c r="P15514" s="631"/>
      <c r="Q15514" s="631"/>
      <c r="R15514" s="631"/>
    </row>
    <row r="15515" spans="1:18" ht="12.75" customHeight="1">
      <c r="A15515" s="628" t="s">
        <v>27836</v>
      </c>
      <c r="B15515" s="629"/>
      <c r="C15515" s="629"/>
      <c r="D15515" s="629"/>
      <c r="E15515" s="629"/>
      <c r="F15515" s="629"/>
      <c r="G15515" s="629"/>
      <c r="H15515" s="629"/>
      <c r="I15515" s="629"/>
      <c r="J15515" s="629"/>
      <c r="K15515" s="629"/>
      <c r="L15515" s="629"/>
      <c r="M15515" s="629"/>
      <c r="N15515" s="629"/>
      <c r="O15515" s="629"/>
      <c r="P15515" s="629"/>
      <c r="Q15515" s="629"/>
      <c r="R15515" s="629"/>
    </row>
    <row r="15516" spans="1:18" ht="12.75" customHeight="1">
      <c r="A15516" s="628" t="s">
        <v>27837</v>
      </c>
      <c r="B15516" s="629"/>
      <c r="C15516" s="629"/>
      <c r="D15516" s="629"/>
      <c r="E15516" s="629"/>
      <c r="F15516" s="629"/>
      <c r="G15516" s="629"/>
      <c r="H15516" s="629"/>
      <c r="I15516" s="629"/>
      <c r="J15516" s="629"/>
      <c r="K15516" s="629"/>
      <c r="L15516" s="629"/>
      <c r="M15516" s="629"/>
      <c r="N15516" s="629"/>
      <c r="O15516" s="629"/>
      <c r="P15516" s="629"/>
      <c r="Q15516" s="629"/>
      <c r="R15516" s="629"/>
    </row>
    <row r="15517" spans="1:18" ht="24">
      <c r="A15517" s="471">
        <v>166</v>
      </c>
      <c r="B15517" s="468" t="s">
        <v>27838</v>
      </c>
      <c r="C15517" s="472" t="s">
        <v>27839</v>
      </c>
      <c r="D15517" s="473">
        <v>332.37</v>
      </c>
      <c r="E15517" s="473">
        <v>260.06</v>
      </c>
      <c r="F15517" s="473">
        <v>61.63</v>
      </c>
      <c r="G15517" s="473">
        <v>10.68</v>
      </c>
      <c r="H15517" s="474">
        <v>3409.07</v>
      </c>
      <c r="I15517" s="474">
        <v>2990.74</v>
      </c>
      <c r="J15517" s="474">
        <v>330.99</v>
      </c>
      <c r="K15517" s="474">
        <v>87.34</v>
      </c>
      <c r="L15517" s="43">
        <v>10.256852303156121</v>
      </c>
      <c r="M15517" s="43">
        <v>11.500192263323848</v>
      </c>
      <c r="N15517" s="43">
        <v>5.3705987343826056</v>
      </c>
      <c r="O15517" s="43">
        <v>8.177902621722847</v>
      </c>
      <c r="P15517" s="475"/>
      <c r="Q15517" s="475"/>
      <c r="R15517" s="475">
        <v>1</v>
      </c>
    </row>
    <row r="15518" spans="1:18" ht="48">
      <c r="A15518" s="471">
        <v>167</v>
      </c>
      <c r="B15518" s="468" t="s">
        <v>27840</v>
      </c>
      <c r="C15518" s="472" t="s">
        <v>27841</v>
      </c>
      <c r="D15518" s="473">
        <v>379.65</v>
      </c>
      <c r="E15518" s="473">
        <v>266.26</v>
      </c>
      <c r="F15518" s="473">
        <v>102.39</v>
      </c>
      <c r="G15518" s="473">
        <v>11</v>
      </c>
      <c r="H15518" s="474">
        <v>3703.12</v>
      </c>
      <c r="I15518" s="474">
        <v>3061.94</v>
      </c>
      <c r="J15518" s="474">
        <v>550.67999999999995</v>
      </c>
      <c r="K15518" s="474">
        <v>90.5</v>
      </c>
      <c r="L15518" s="43">
        <v>9.7540366126695641</v>
      </c>
      <c r="M15518" s="43">
        <v>11.499812213625781</v>
      </c>
      <c r="N15518" s="43">
        <v>5.3782595956636383</v>
      </c>
      <c r="O15518" s="43">
        <v>8.2272727272727266</v>
      </c>
      <c r="P15518" s="475"/>
      <c r="Q15518" s="475"/>
      <c r="R15518" s="475">
        <v>1</v>
      </c>
    </row>
    <row r="15519" spans="1:18" ht="36">
      <c r="A15519" s="471">
        <v>168</v>
      </c>
      <c r="B15519" s="468" t="s">
        <v>27842</v>
      </c>
      <c r="C15519" s="472" t="s">
        <v>27843</v>
      </c>
      <c r="D15519" s="473">
        <v>433.95</v>
      </c>
      <c r="E15519" s="473">
        <v>347.02</v>
      </c>
      <c r="F15519" s="473">
        <v>79.989999999999995</v>
      </c>
      <c r="G15519" s="473">
        <v>6.94</v>
      </c>
      <c r="H15519" s="474">
        <v>4500.32</v>
      </c>
      <c r="I15519" s="474">
        <v>3990.78</v>
      </c>
      <c r="J15519" s="474">
        <v>429.73</v>
      </c>
      <c r="K15519" s="474">
        <v>79.81</v>
      </c>
      <c r="L15519" s="43">
        <v>10.370595690747782</v>
      </c>
      <c r="M15519" s="43">
        <v>11.500144083914472</v>
      </c>
      <c r="N15519" s="43">
        <v>5.3722965370671343</v>
      </c>
      <c r="O15519" s="43">
        <v>11.5</v>
      </c>
      <c r="P15519" s="475"/>
      <c r="Q15519" s="475"/>
      <c r="R15519" s="475">
        <v>1</v>
      </c>
    </row>
    <row r="15520" spans="1:18" ht="12.75" customHeight="1">
      <c r="A15520" s="628" t="s">
        <v>27844</v>
      </c>
      <c r="B15520" s="629"/>
      <c r="C15520" s="629"/>
      <c r="D15520" s="629"/>
      <c r="E15520" s="629"/>
      <c r="F15520" s="629"/>
      <c r="G15520" s="629"/>
      <c r="H15520" s="629"/>
      <c r="I15520" s="629"/>
      <c r="J15520" s="629"/>
      <c r="K15520" s="629"/>
      <c r="L15520" s="629"/>
      <c r="M15520" s="629"/>
      <c r="N15520" s="629"/>
      <c r="O15520" s="629"/>
      <c r="P15520" s="629"/>
      <c r="Q15520" s="629"/>
      <c r="R15520" s="629"/>
    </row>
    <row r="15521" spans="1:18" ht="48">
      <c r="A15521" s="471">
        <v>169</v>
      </c>
      <c r="B15521" s="468" t="s">
        <v>27845</v>
      </c>
      <c r="C15521" s="472" t="s">
        <v>27846</v>
      </c>
      <c r="D15521" s="473">
        <v>775.41</v>
      </c>
      <c r="E15521" s="473">
        <v>522.65</v>
      </c>
      <c r="F15521" s="473">
        <v>236.05</v>
      </c>
      <c r="G15521" s="473">
        <v>16.71</v>
      </c>
      <c r="H15521" s="474">
        <v>7437.22</v>
      </c>
      <c r="I15521" s="474">
        <v>6010.5</v>
      </c>
      <c r="J15521" s="474">
        <v>1272.1500000000001</v>
      </c>
      <c r="K15521" s="474">
        <v>154.57</v>
      </c>
      <c r="L15521" s="43">
        <v>9.5913387756154815</v>
      </c>
      <c r="M15521" s="43">
        <v>11.500047833157945</v>
      </c>
      <c r="N15521" s="43">
        <v>5.3893242957000638</v>
      </c>
      <c r="O15521" s="43">
        <v>9.2501496110113699</v>
      </c>
      <c r="P15521" s="475"/>
      <c r="Q15521" s="475"/>
      <c r="R15521" s="475">
        <v>2</v>
      </c>
    </row>
    <row r="15522" spans="1:18" ht="36">
      <c r="A15522" s="471">
        <v>170</v>
      </c>
      <c r="B15522" s="468" t="s">
        <v>27847</v>
      </c>
      <c r="C15522" s="472" t="s">
        <v>27848</v>
      </c>
      <c r="D15522" s="473">
        <v>1144.0999999999999</v>
      </c>
      <c r="E15522" s="473">
        <v>811.15</v>
      </c>
      <c r="F15522" s="473">
        <v>310.47000000000003</v>
      </c>
      <c r="G15522" s="473">
        <v>22.48</v>
      </c>
      <c r="H15522" s="474">
        <v>11210.03</v>
      </c>
      <c r="I15522" s="474">
        <v>9328.25</v>
      </c>
      <c r="J15522" s="474">
        <v>1660.86</v>
      </c>
      <c r="K15522" s="474">
        <v>220.92</v>
      </c>
      <c r="L15522" s="43">
        <v>9.7981207936369206</v>
      </c>
      <c r="M15522" s="43">
        <v>11.500030820440116</v>
      </c>
      <c r="N15522" s="43">
        <v>5.3495023673784896</v>
      </c>
      <c r="O15522" s="43">
        <v>9.8274021352313152</v>
      </c>
      <c r="P15522" s="475"/>
      <c r="Q15522" s="475"/>
      <c r="R15522" s="475">
        <v>2</v>
      </c>
    </row>
    <row r="15523" spans="1:18" ht="36">
      <c r="A15523" s="471">
        <v>171</v>
      </c>
      <c r="B15523" s="468" t="s">
        <v>27849</v>
      </c>
      <c r="C15523" s="472" t="s">
        <v>27850</v>
      </c>
      <c r="D15523" s="473">
        <v>1246.55</v>
      </c>
      <c r="E15523" s="473">
        <v>914.38</v>
      </c>
      <c r="F15523" s="473">
        <v>307.62</v>
      </c>
      <c r="G15523" s="473">
        <v>24.55</v>
      </c>
      <c r="H15523" s="474">
        <v>12409.33</v>
      </c>
      <c r="I15523" s="474">
        <v>10515.75</v>
      </c>
      <c r="J15523" s="474">
        <v>1648.85</v>
      </c>
      <c r="K15523" s="474">
        <v>244.73</v>
      </c>
      <c r="L15523" s="43">
        <v>9.9549396333881521</v>
      </c>
      <c r="M15523" s="43">
        <v>11.500415582143091</v>
      </c>
      <c r="N15523" s="43">
        <v>5.3600221051947203</v>
      </c>
      <c r="O15523" s="43">
        <v>9.9686354378818738</v>
      </c>
      <c r="P15523" s="475"/>
      <c r="Q15523" s="475"/>
      <c r="R15523" s="475">
        <v>2</v>
      </c>
    </row>
    <row r="15524" spans="1:18" ht="60">
      <c r="A15524" s="471">
        <v>172</v>
      </c>
      <c r="B15524" s="468" t="s">
        <v>27851</v>
      </c>
      <c r="C15524" s="472" t="s">
        <v>27852</v>
      </c>
      <c r="D15524" s="473">
        <v>1669.4</v>
      </c>
      <c r="E15524" s="473">
        <v>1398.6</v>
      </c>
      <c r="F15524" s="473">
        <v>236.01</v>
      </c>
      <c r="G15524" s="473">
        <v>34.79</v>
      </c>
      <c r="H15524" s="474">
        <v>17716.169999999998</v>
      </c>
      <c r="I15524" s="474">
        <v>16083.9</v>
      </c>
      <c r="J15524" s="474">
        <v>1271.99</v>
      </c>
      <c r="K15524" s="474">
        <v>360.28</v>
      </c>
      <c r="L15524" s="43">
        <v>10.612297831556246</v>
      </c>
      <c r="M15524" s="43">
        <v>11.5</v>
      </c>
      <c r="N15524" s="43">
        <v>5.3895597644167621</v>
      </c>
      <c r="O15524" s="43">
        <v>10.355849382006323</v>
      </c>
      <c r="P15524" s="475"/>
      <c r="Q15524" s="475"/>
      <c r="R15524" s="475">
        <v>2</v>
      </c>
    </row>
    <row r="15525" spans="1:18" ht="48">
      <c r="A15525" s="471">
        <v>173</v>
      </c>
      <c r="B15525" s="468" t="s">
        <v>27853</v>
      </c>
      <c r="C15525" s="472" t="s">
        <v>27854</v>
      </c>
      <c r="D15525" s="473">
        <v>2002.44</v>
      </c>
      <c r="E15525" s="473">
        <v>1701.88</v>
      </c>
      <c r="F15525" s="473">
        <v>259.22000000000003</v>
      </c>
      <c r="G15525" s="473">
        <v>41.34</v>
      </c>
      <c r="H15525" s="474">
        <v>21407.03</v>
      </c>
      <c r="I15525" s="474">
        <v>19571.62</v>
      </c>
      <c r="J15525" s="474">
        <v>1401.16</v>
      </c>
      <c r="K15525" s="474">
        <v>434.25</v>
      </c>
      <c r="L15525" s="43">
        <v>10.690472623399451</v>
      </c>
      <c r="M15525" s="43">
        <v>11.499999999999998</v>
      </c>
      <c r="N15525" s="43">
        <v>5.4052928014813668</v>
      </c>
      <c r="O15525" s="43">
        <v>10.504354136429606</v>
      </c>
      <c r="P15525" s="475"/>
      <c r="Q15525" s="475"/>
      <c r="R15525" s="475">
        <v>2</v>
      </c>
    </row>
    <row r="15526" spans="1:18" ht="48">
      <c r="A15526" s="471">
        <v>174</v>
      </c>
      <c r="B15526" s="468" t="s">
        <v>27855</v>
      </c>
      <c r="C15526" s="472" t="s">
        <v>27856</v>
      </c>
      <c r="D15526" s="473">
        <v>2498.35</v>
      </c>
      <c r="E15526" s="473">
        <v>2172.06</v>
      </c>
      <c r="F15526" s="473">
        <v>275.55</v>
      </c>
      <c r="G15526" s="473">
        <v>50.74</v>
      </c>
      <c r="H15526" s="474">
        <v>26990.37</v>
      </c>
      <c r="I15526" s="474">
        <v>24979.68</v>
      </c>
      <c r="J15526" s="474">
        <v>1468.34</v>
      </c>
      <c r="K15526" s="474">
        <v>542.35</v>
      </c>
      <c r="L15526" s="43">
        <v>10.803278163587969</v>
      </c>
      <c r="M15526" s="43">
        <v>11.500455788514129</v>
      </c>
      <c r="N15526" s="43">
        <v>5.3287606604971867</v>
      </c>
      <c r="O15526" s="43">
        <v>10.688805675995271</v>
      </c>
      <c r="P15526" s="475"/>
      <c r="Q15526" s="475"/>
      <c r="R15526" s="475">
        <v>2</v>
      </c>
    </row>
    <row r="15527" spans="1:18" ht="36">
      <c r="A15527" s="471">
        <v>175</v>
      </c>
      <c r="B15527" s="468" t="s">
        <v>27857</v>
      </c>
      <c r="C15527" s="472" t="s">
        <v>27858</v>
      </c>
      <c r="D15527" s="473">
        <v>104.85</v>
      </c>
      <c r="E15527" s="473">
        <v>102.79</v>
      </c>
      <c r="F15527" s="473"/>
      <c r="G15527" s="473">
        <v>2.06</v>
      </c>
      <c r="H15527" s="474">
        <v>1205.73</v>
      </c>
      <c r="I15527" s="474">
        <v>1182.04</v>
      </c>
      <c r="J15527" s="474"/>
      <c r="K15527" s="474">
        <v>23.69</v>
      </c>
      <c r="L15527" s="43">
        <v>11.499570815450644</v>
      </c>
      <c r="M15527" s="43">
        <v>11.499562214223172</v>
      </c>
      <c r="N15527" s="43" t="s">
        <v>1690</v>
      </c>
      <c r="O15527" s="43">
        <v>11.5</v>
      </c>
      <c r="P15527" s="475"/>
      <c r="Q15527" s="475"/>
      <c r="R15527" s="475">
        <v>2</v>
      </c>
    </row>
    <row r="15528" spans="1:18" ht="48">
      <c r="A15528" s="471">
        <v>176</v>
      </c>
      <c r="B15528" s="468" t="s">
        <v>27859</v>
      </c>
      <c r="C15528" s="472" t="s">
        <v>27860</v>
      </c>
      <c r="D15528" s="473">
        <v>1872.18</v>
      </c>
      <c r="E15528" s="473">
        <v>1407.14</v>
      </c>
      <c r="F15528" s="473">
        <v>429.75</v>
      </c>
      <c r="G15528" s="473">
        <v>35.29</v>
      </c>
      <c r="H15528" s="474">
        <v>18840.810000000001</v>
      </c>
      <c r="I15528" s="474">
        <v>16182.11</v>
      </c>
      <c r="J15528" s="474">
        <v>2292.9499999999998</v>
      </c>
      <c r="K15528" s="474">
        <v>365.75</v>
      </c>
      <c r="L15528" s="43">
        <v>10.063567605678941</v>
      </c>
      <c r="M15528" s="43">
        <v>11.5</v>
      </c>
      <c r="N15528" s="43">
        <v>5.335543920884235</v>
      </c>
      <c r="O15528" s="43">
        <v>10.364125814678379</v>
      </c>
      <c r="P15528" s="475"/>
      <c r="Q15528" s="475"/>
      <c r="R15528" s="475">
        <v>2</v>
      </c>
    </row>
    <row r="15529" spans="1:18" ht="48">
      <c r="A15529" s="471">
        <v>177</v>
      </c>
      <c r="B15529" s="468" t="s">
        <v>27861</v>
      </c>
      <c r="C15529" s="472" t="s">
        <v>27862</v>
      </c>
      <c r="D15529" s="473">
        <v>1304.79</v>
      </c>
      <c r="E15529" s="473">
        <v>970.81</v>
      </c>
      <c r="F15529" s="473">
        <v>307.64</v>
      </c>
      <c r="G15529" s="473">
        <v>26.34</v>
      </c>
      <c r="H15529" s="474">
        <v>13066.67</v>
      </c>
      <c r="I15529" s="474">
        <v>11164.72</v>
      </c>
      <c r="J15529" s="474">
        <v>1639.17</v>
      </c>
      <c r="K15529" s="474">
        <v>262.77999999999997</v>
      </c>
      <c r="L15529" s="43">
        <v>10.014385456663526</v>
      </c>
      <c r="M15529" s="43">
        <v>11.500417177408556</v>
      </c>
      <c r="N15529" s="43">
        <v>5.3282082954102199</v>
      </c>
      <c r="O15529" s="43">
        <v>9.9764616552771432</v>
      </c>
      <c r="P15529" s="475"/>
      <c r="Q15529" s="475"/>
      <c r="R15529" s="475">
        <v>2</v>
      </c>
    </row>
    <row r="15530" spans="1:18" ht="60">
      <c r="A15530" s="471">
        <v>178</v>
      </c>
      <c r="B15530" s="468" t="s">
        <v>27863</v>
      </c>
      <c r="C15530" s="472" t="s">
        <v>27864</v>
      </c>
      <c r="D15530" s="473">
        <v>2594.2399999999998</v>
      </c>
      <c r="E15530" s="473">
        <v>2215.94</v>
      </c>
      <c r="F15530" s="473">
        <v>326.68</v>
      </c>
      <c r="G15530" s="473">
        <v>51.62</v>
      </c>
      <c r="H15530" s="474">
        <v>27776.77</v>
      </c>
      <c r="I15530" s="474">
        <v>25484.32</v>
      </c>
      <c r="J15530" s="474">
        <v>1739.98</v>
      </c>
      <c r="K15530" s="474">
        <v>552.47</v>
      </c>
      <c r="L15530" s="43">
        <v>10.707093406932282</v>
      </c>
      <c r="M15530" s="43">
        <v>11.500455788514129</v>
      </c>
      <c r="N15530" s="43">
        <v>5.3262519897147058</v>
      </c>
      <c r="O15530" s="43">
        <v>10.702634637737312</v>
      </c>
      <c r="P15530" s="475"/>
      <c r="Q15530" s="475"/>
      <c r="R15530" s="475">
        <v>2</v>
      </c>
    </row>
    <row r="15531" spans="1:18" ht="60">
      <c r="A15531" s="471">
        <v>179</v>
      </c>
      <c r="B15531" s="468" t="s">
        <v>27865</v>
      </c>
      <c r="C15531" s="472" t="s">
        <v>27866</v>
      </c>
      <c r="D15531" s="473">
        <v>1229.1199999999999</v>
      </c>
      <c r="E15531" s="473">
        <v>890.34</v>
      </c>
      <c r="F15531" s="473">
        <v>314.58</v>
      </c>
      <c r="G15531" s="473">
        <v>24.2</v>
      </c>
      <c r="H15531" s="474">
        <v>12162.93</v>
      </c>
      <c r="I15531" s="474">
        <v>10239.34</v>
      </c>
      <c r="J15531" s="474">
        <v>1683.91</v>
      </c>
      <c r="K15531" s="474">
        <v>239.68</v>
      </c>
      <c r="L15531" s="43">
        <v>9.8956407836500926</v>
      </c>
      <c r="M15531" s="43">
        <v>11.500482961565245</v>
      </c>
      <c r="N15531" s="43">
        <v>5.3528832093585104</v>
      </c>
      <c r="O15531" s="43">
        <v>9.9041322314049598</v>
      </c>
      <c r="P15531" s="475"/>
      <c r="Q15531" s="475"/>
      <c r="R15531" s="475">
        <v>2</v>
      </c>
    </row>
    <row r="15532" spans="1:18" ht="60">
      <c r="A15532" s="471">
        <v>180</v>
      </c>
      <c r="B15532" s="468" t="s">
        <v>27867</v>
      </c>
      <c r="C15532" s="472" t="s">
        <v>27868</v>
      </c>
      <c r="D15532" s="473">
        <v>1651.9</v>
      </c>
      <c r="E15532" s="473">
        <v>1180.8499999999999</v>
      </c>
      <c r="F15532" s="473">
        <v>440.51</v>
      </c>
      <c r="G15532" s="473">
        <v>30.54</v>
      </c>
      <c r="H15532" s="474">
        <v>16250.53</v>
      </c>
      <c r="I15532" s="474">
        <v>13580.34</v>
      </c>
      <c r="J15532" s="474">
        <v>2359.11</v>
      </c>
      <c r="K15532" s="474">
        <v>311.08</v>
      </c>
      <c r="L15532" s="43">
        <v>9.8374780555723706</v>
      </c>
      <c r="M15532" s="43">
        <v>11.500478468899523</v>
      </c>
      <c r="N15532" s="43">
        <v>5.3554062336836852</v>
      </c>
      <c r="O15532" s="43">
        <v>10.185985592665357</v>
      </c>
      <c r="P15532" s="475"/>
      <c r="Q15532" s="475"/>
      <c r="R15532" s="475">
        <v>2</v>
      </c>
    </row>
    <row r="15533" spans="1:18" ht="12.75" customHeight="1">
      <c r="A15533" s="628" t="s">
        <v>27869</v>
      </c>
      <c r="B15533" s="629"/>
      <c r="C15533" s="629"/>
      <c r="D15533" s="629"/>
      <c r="E15533" s="629"/>
      <c r="F15533" s="629"/>
      <c r="G15533" s="629"/>
      <c r="H15533" s="629"/>
      <c r="I15533" s="629"/>
      <c r="J15533" s="629"/>
      <c r="K15533" s="629"/>
      <c r="L15533" s="629"/>
      <c r="M15533" s="629"/>
      <c r="N15533" s="629"/>
      <c r="O15533" s="629"/>
      <c r="P15533" s="629"/>
      <c r="Q15533" s="629"/>
      <c r="R15533" s="629"/>
    </row>
    <row r="15534" spans="1:18" ht="60">
      <c r="A15534" s="471">
        <v>181</v>
      </c>
      <c r="B15534" s="468" t="s">
        <v>27870</v>
      </c>
      <c r="C15534" s="472" t="s">
        <v>27871</v>
      </c>
      <c r="D15534" s="473">
        <v>389.67</v>
      </c>
      <c r="E15534" s="473">
        <v>297.55</v>
      </c>
      <c r="F15534" s="473">
        <v>80.569999999999993</v>
      </c>
      <c r="G15534" s="473">
        <v>11.55</v>
      </c>
      <c r="H15534" s="474">
        <v>3950.91</v>
      </c>
      <c r="I15534" s="474">
        <v>3421.95</v>
      </c>
      <c r="J15534" s="474">
        <v>431.95</v>
      </c>
      <c r="K15534" s="474">
        <v>97.01</v>
      </c>
      <c r="L15534" s="43">
        <v>10.139117714989606</v>
      </c>
      <c r="M15534" s="43">
        <v>11.500420097462611</v>
      </c>
      <c r="N15534" s="43">
        <v>5.3611766166066781</v>
      </c>
      <c r="O15534" s="43">
        <v>8.399134199134199</v>
      </c>
      <c r="P15534" s="475"/>
      <c r="Q15534" s="475"/>
      <c r="R15534" s="475">
        <v>3</v>
      </c>
    </row>
    <row r="15535" spans="1:18" ht="24">
      <c r="A15535" s="471">
        <v>182</v>
      </c>
      <c r="B15535" s="468" t="s">
        <v>27872</v>
      </c>
      <c r="C15535" s="472" t="s">
        <v>27873</v>
      </c>
      <c r="D15535" s="473">
        <v>488.66</v>
      </c>
      <c r="E15535" s="473">
        <v>356.35</v>
      </c>
      <c r="F15535" s="473">
        <v>119.65</v>
      </c>
      <c r="G15535" s="473">
        <v>12.66</v>
      </c>
      <c r="H15535" s="474">
        <v>4851.71</v>
      </c>
      <c r="I15535" s="474">
        <v>4098.1400000000003</v>
      </c>
      <c r="J15535" s="474">
        <v>643.62</v>
      </c>
      <c r="K15535" s="474">
        <v>109.95</v>
      </c>
      <c r="L15535" s="43">
        <v>9.9286006630376953</v>
      </c>
      <c r="M15535" s="43">
        <v>11.500322716430476</v>
      </c>
      <c r="N15535" s="43">
        <v>5.3791893021312163</v>
      </c>
      <c r="O15535" s="43">
        <v>8.6848341232227497</v>
      </c>
      <c r="P15535" s="475"/>
      <c r="Q15535" s="475"/>
      <c r="R15535" s="475">
        <v>3</v>
      </c>
    </row>
    <row r="15536" spans="1:18" ht="48">
      <c r="A15536" s="471">
        <v>183</v>
      </c>
      <c r="B15536" s="468" t="s">
        <v>27874</v>
      </c>
      <c r="C15536" s="472" t="s">
        <v>27875</v>
      </c>
      <c r="D15536" s="473">
        <v>326.06</v>
      </c>
      <c r="E15536" s="473">
        <v>262.89999999999998</v>
      </c>
      <c r="F15536" s="473">
        <v>57.9</v>
      </c>
      <c r="G15536" s="473">
        <v>5.26</v>
      </c>
      <c r="H15536" s="474">
        <v>3395.02</v>
      </c>
      <c r="I15536" s="474">
        <v>3023.5</v>
      </c>
      <c r="J15536" s="474">
        <v>311.02999999999997</v>
      </c>
      <c r="K15536" s="474">
        <v>60.49</v>
      </c>
      <c r="L15536" s="43">
        <v>10.412255413114151</v>
      </c>
      <c r="M15536" s="43">
        <v>11.500570559147967</v>
      </c>
      <c r="N15536" s="43">
        <v>5.3718480138169253</v>
      </c>
      <c r="O15536" s="43">
        <v>11.5</v>
      </c>
      <c r="P15536" s="475"/>
      <c r="Q15536" s="475"/>
      <c r="R15536" s="475">
        <v>3</v>
      </c>
    </row>
    <row r="15537" spans="1:18" ht="36">
      <c r="A15537" s="471">
        <v>184</v>
      </c>
      <c r="B15537" s="468" t="s">
        <v>27876</v>
      </c>
      <c r="C15537" s="472" t="s">
        <v>27877</v>
      </c>
      <c r="D15537" s="473">
        <v>1391.36</v>
      </c>
      <c r="E15537" s="473">
        <v>1062.51</v>
      </c>
      <c r="F15537" s="473">
        <v>307.60000000000002</v>
      </c>
      <c r="G15537" s="473">
        <v>21.25</v>
      </c>
      <c r="H15537" s="474">
        <v>14065.99</v>
      </c>
      <c r="I15537" s="474">
        <v>12219.4</v>
      </c>
      <c r="J15537" s="474">
        <v>1602.21</v>
      </c>
      <c r="K15537" s="474">
        <v>244.38</v>
      </c>
      <c r="L15537" s="43">
        <v>10.109525931462741</v>
      </c>
      <c r="M15537" s="43">
        <v>11.500503524672709</v>
      </c>
      <c r="N15537" s="43">
        <v>5.208745123537061</v>
      </c>
      <c r="O15537" s="43">
        <v>11.500235294117648</v>
      </c>
      <c r="P15537" s="475"/>
      <c r="Q15537" s="475"/>
      <c r="R15537" s="475">
        <v>3</v>
      </c>
    </row>
    <row r="15538" spans="1:18" ht="12.75" customHeight="1">
      <c r="A15538" s="628" t="s">
        <v>27878</v>
      </c>
      <c r="B15538" s="629"/>
      <c r="C15538" s="629"/>
      <c r="D15538" s="629"/>
      <c r="E15538" s="629"/>
      <c r="F15538" s="629"/>
      <c r="G15538" s="629"/>
      <c r="H15538" s="629"/>
      <c r="I15538" s="629"/>
      <c r="J15538" s="629"/>
      <c r="K15538" s="629"/>
      <c r="L15538" s="629"/>
      <c r="M15538" s="629"/>
      <c r="N15538" s="629"/>
      <c r="O15538" s="629"/>
      <c r="P15538" s="629"/>
      <c r="Q15538" s="629"/>
      <c r="R15538" s="629"/>
    </row>
    <row r="15539" spans="1:18" ht="48">
      <c r="A15539" s="471">
        <v>185</v>
      </c>
      <c r="B15539" s="468" t="s">
        <v>27879</v>
      </c>
      <c r="C15539" s="472" t="s">
        <v>27880</v>
      </c>
      <c r="D15539" s="473">
        <v>15323.73</v>
      </c>
      <c r="E15539" s="473">
        <v>8092.8</v>
      </c>
      <c r="F15539" s="473">
        <v>5041.83</v>
      </c>
      <c r="G15539" s="473">
        <v>2189.1</v>
      </c>
      <c r="H15539" s="474">
        <v>129821.25</v>
      </c>
      <c r="I15539" s="474">
        <v>93067.199999999997</v>
      </c>
      <c r="J15539" s="474">
        <v>26080.86</v>
      </c>
      <c r="K15539" s="474">
        <v>10673.19</v>
      </c>
      <c r="L15539" s="43">
        <v>8.4719092544700274</v>
      </c>
      <c r="M15539" s="43">
        <v>11.5</v>
      </c>
      <c r="N15539" s="43">
        <v>5.1728955557803422</v>
      </c>
      <c r="O15539" s="43">
        <v>4.8756064135946282</v>
      </c>
      <c r="P15539" s="475"/>
      <c r="Q15539" s="475"/>
      <c r="R15539" s="475">
        <v>4</v>
      </c>
    </row>
    <row r="15540" spans="1:18" ht="12.75" customHeight="1">
      <c r="A15540" s="628" t="s">
        <v>27881</v>
      </c>
      <c r="B15540" s="629"/>
      <c r="C15540" s="629"/>
      <c r="D15540" s="629"/>
      <c r="E15540" s="629"/>
      <c r="F15540" s="629"/>
      <c r="G15540" s="629"/>
      <c r="H15540" s="629"/>
      <c r="I15540" s="629"/>
      <c r="J15540" s="629"/>
      <c r="K15540" s="629"/>
      <c r="L15540" s="629"/>
      <c r="M15540" s="629"/>
      <c r="N15540" s="629"/>
      <c r="O15540" s="629"/>
      <c r="P15540" s="629"/>
      <c r="Q15540" s="629"/>
      <c r="R15540" s="629"/>
    </row>
    <row r="15541" spans="1:18" ht="36">
      <c r="A15541" s="471">
        <v>186</v>
      </c>
      <c r="B15541" s="468" t="s">
        <v>27882</v>
      </c>
      <c r="C15541" s="472" t="s">
        <v>27883</v>
      </c>
      <c r="D15541" s="473">
        <v>2487.09</v>
      </c>
      <c r="E15541" s="473">
        <v>2105.2800000000002</v>
      </c>
      <c r="F15541" s="473">
        <v>231.92</v>
      </c>
      <c r="G15541" s="473">
        <v>149.88999999999999</v>
      </c>
      <c r="H15541" s="474">
        <v>26470.5</v>
      </c>
      <c r="I15541" s="474">
        <v>24210.720000000001</v>
      </c>
      <c r="J15541" s="474">
        <v>1249.1600000000001</v>
      </c>
      <c r="K15541" s="474">
        <v>1010.62</v>
      </c>
      <c r="L15541" s="43">
        <v>10.643161284875095</v>
      </c>
      <c r="M15541" s="43">
        <v>11.5</v>
      </c>
      <c r="N15541" s="43">
        <v>5.3861676440151784</v>
      </c>
      <c r="O15541" s="43">
        <v>6.7424111014744152</v>
      </c>
      <c r="P15541" s="475"/>
      <c r="Q15541" s="475"/>
      <c r="R15541" s="475">
        <v>5</v>
      </c>
    </row>
    <row r="15542" spans="1:18" ht="36">
      <c r="A15542" s="471">
        <v>187</v>
      </c>
      <c r="B15542" s="468" t="s">
        <v>27884</v>
      </c>
      <c r="C15542" s="472" t="s">
        <v>27885</v>
      </c>
      <c r="D15542" s="473">
        <v>6294.72</v>
      </c>
      <c r="E15542" s="473">
        <v>2393.0500000000002</v>
      </c>
      <c r="F15542" s="473">
        <v>1334.4</v>
      </c>
      <c r="G15542" s="473">
        <v>2567.27</v>
      </c>
      <c r="H15542" s="474">
        <v>46443.18</v>
      </c>
      <c r="I15542" s="474">
        <v>27521.22</v>
      </c>
      <c r="J15542" s="474">
        <v>7185.74</v>
      </c>
      <c r="K15542" s="474">
        <v>11736.22</v>
      </c>
      <c r="L15542" s="43">
        <v>7.3781168979716334</v>
      </c>
      <c r="M15542" s="43">
        <v>11.500478468899521</v>
      </c>
      <c r="N15542" s="43">
        <v>5.3849970023980811</v>
      </c>
      <c r="O15542" s="43">
        <v>4.5714786524206641</v>
      </c>
      <c r="P15542" s="475"/>
      <c r="Q15542" s="475"/>
      <c r="R15542" s="475">
        <v>5</v>
      </c>
    </row>
    <row r="15543" spans="1:18" ht="60">
      <c r="A15543" s="471">
        <v>188</v>
      </c>
      <c r="B15543" s="468" t="s">
        <v>27886</v>
      </c>
      <c r="C15543" s="472" t="s">
        <v>27887</v>
      </c>
      <c r="D15543" s="473">
        <v>7684.45</v>
      </c>
      <c r="E15543" s="473">
        <v>2905.1</v>
      </c>
      <c r="F15543" s="473">
        <v>2201.84</v>
      </c>
      <c r="G15543" s="473">
        <v>2577.5100000000002</v>
      </c>
      <c r="H15543" s="474">
        <v>57012.36</v>
      </c>
      <c r="I15543" s="474">
        <v>33410.04</v>
      </c>
      <c r="J15543" s="474">
        <v>11748.34</v>
      </c>
      <c r="K15543" s="474">
        <v>11853.98</v>
      </c>
      <c r="L15543" s="43">
        <v>7.4191854979861933</v>
      </c>
      <c r="M15543" s="43">
        <v>11.500478468899523</v>
      </c>
      <c r="N15543" s="43">
        <v>5.3356919667187439</v>
      </c>
      <c r="O15543" s="43">
        <v>4.5990044655500846</v>
      </c>
      <c r="P15543" s="475"/>
      <c r="Q15543" s="475"/>
      <c r="R15543" s="475">
        <v>5</v>
      </c>
    </row>
    <row r="15544" spans="1:18" ht="12.75" customHeight="1">
      <c r="A15544" s="628" t="s">
        <v>19144</v>
      </c>
      <c r="B15544" s="629"/>
      <c r="C15544" s="629"/>
      <c r="D15544" s="629"/>
      <c r="E15544" s="629"/>
      <c r="F15544" s="629"/>
      <c r="G15544" s="629"/>
      <c r="H15544" s="629"/>
      <c r="I15544" s="629"/>
      <c r="J15544" s="629"/>
      <c r="K15544" s="629"/>
      <c r="L15544" s="629"/>
      <c r="M15544" s="629"/>
      <c r="N15544" s="629"/>
      <c r="O15544" s="629"/>
      <c r="P15544" s="629"/>
      <c r="Q15544" s="629"/>
      <c r="R15544" s="629"/>
    </row>
    <row r="15545" spans="1:18" ht="24">
      <c r="A15545" s="471">
        <v>189</v>
      </c>
      <c r="B15545" s="468" t="s">
        <v>27888</v>
      </c>
      <c r="C15545" s="472" t="s">
        <v>27889</v>
      </c>
      <c r="D15545" s="473">
        <v>952.33</v>
      </c>
      <c r="E15545" s="473">
        <v>649.42999999999995</v>
      </c>
      <c r="F15545" s="473">
        <v>281.33999999999997</v>
      </c>
      <c r="G15545" s="473">
        <v>21.56</v>
      </c>
      <c r="H15545" s="474">
        <v>9184.48</v>
      </c>
      <c r="I15545" s="474">
        <v>7468.45</v>
      </c>
      <c r="J15545" s="474">
        <v>1511.99</v>
      </c>
      <c r="K15545" s="474">
        <v>204.04</v>
      </c>
      <c r="L15545" s="43">
        <v>9.6442199657681673</v>
      </c>
      <c r="M15545" s="43">
        <v>11.500007699059175</v>
      </c>
      <c r="N15545" s="43">
        <v>5.3742446861448787</v>
      </c>
      <c r="O15545" s="43">
        <v>9.4638218923933213</v>
      </c>
      <c r="P15545" s="475"/>
      <c r="Q15545" s="475"/>
      <c r="R15545" s="475">
        <v>6</v>
      </c>
    </row>
    <row r="15546" spans="1:18" ht="36">
      <c r="A15546" s="471">
        <v>190</v>
      </c>
      <c r="B15546" s="468" t="s">
        <v>27890</v>
      </c>
      <c r="C15546" s="472" t="s">
        <v>27891</v>
      </c>
      <c r="D15546" s="473">
        <v>296.83</v>
      </c>
      <c r="E15546" s="473">
        <v>217.05</v>
      </c>
      <c r="F15546" s="473">
        <v>69.25</v>
      </c>
      <c r="G15546" s="473">
        <v>10.53</v>
      </c>
      <c r="H15546" s="474">
        <v>2953.28</v>
      </c>
      <c r="I15546" s="474">
        <v>2496.15</v>
      </c>
      <c r="J15546" s="474">
        <v>373.43</v>
      </c>
      <c r="K15546" s="474">
        <v>83.7</v>
      </c>
      <c r="L15546" s="43">
        <v>9.9493986456894525</v>
      </c>
      <c r="M15546" s="43">
        <v>11.500345542501728</v>
      </c>
      <c r="N15546" s="43">
        <v>5.3924909747292418</v>
      </c>
      <c r="O15546" s="43">
        <v>7.9487179487179498</v>
      </c>
      <c r="P15546" s="475"/>
      <c r="Q15546" s="475"/>
      <c r="R15546" s="475">
        <v>6</v>
      </c>
    </row>
    <row r="15547" spans="1:18" ht="12.75" customHeight="1">
      <c r="A15547" s="628" t="s">
        <v>27892</v>
      </c>
      <c r="B15547" s="629"/>
      <c r="C15547" s="629"/>
      <c r="D15547" s="629"/>
      <c r="E15547" s="629"/>
      <c r="F15547" s="629"/>
      <c r="G15547" s="629"/>
      <c r="H15547" s="629"/>
      <c r="I15547" s="629"/>
      <c r="J15547" s="629"/>
      <c r="K15547" s="629"/>
      <c r="L15547" s="629"/>
      <c r="M15547" s="629"/>
      <c r="N15547" s="629"/>
      <c r="O15547" s="629"/>
      <c r="P15547" s="629"/>
      <c r="Q15547" s="629"/>
      <c r="R15547" s="629"/>
    </row>
    <row r="15548" spans="1:18" ht="12.75" customHeight="1">
      <c r="A15548" s="628" t="s">
        <v>27893</v>
      </c>
      <c r="B15548" s="629"/>
      <c r="C15548" s="629"/>
      <c r="D15548" s="629"/>
      <c r="E15548" s="629"/>
      <c r="F15548" s="629"/>
      <c r="G15548" s="629"/>
      <c r="H15548" s="629"/>
      <c r="I15548" s="629"/>
      <c r="J15548" s="629"/>
      <c r="K15548" s="629"/>
      <c r="L15548" s="629"/>
      <c r="M15548" s="629"/>
      <c r="N15548" s="629"/>
      <c r="O15548" s="629"/>
      <c r="P15548" s="629"/>
      <c r="Q15548" s="629"/>
      <c r="R15548" s="629"/>
    </row>
    <row r="15549" spans="1:18" ht="24">
      <c r="A15549" s="471">
        <v>191</v>
      </c>
      <c r="B15549" s="468" t="s">
        <v>27894</v>
      </c>
      <c r="C15549" s="472" t="s">
        <v>27895</v>
      </c>
      <c r="D15549" s="473">
        <v>1332.89</v>
      </c>
      <c r="E15549" s="473">
        <v>822.51</v>
      </c>
      <c r="F15549" s="473">
        <v>414.86</v>
      </c>
      <c r="G15549" s="473">
        <v>95.52</v>
      </c>
      <c r="H15549" s="474">
        <v>12500.91</v>
      </c>
      <c r="I15549" s="474">
        <v>9458.8700000000008</v>
      </c>
      <c r="J15549" s="474">
        <v>2217.91</v>
      </c>
      <c r="K15549" s="474">
        <v>824.13</v>
      </c>
      <c r="L15549" s="43">
        <v>9.3788009513163111</v>
      </c>
      <c r="M15549" s="43">
        <v>11.500006078953449</v>
      </c>
      <c r="N15549" s="43">
        <v>5.3461649713156243</v>
      </c>
      <c r="O15549" s="43">
        <v>8.6278266331658298</v>
      </c>
      <c r="P15549" s="475"/>
      <c r="Q15549" s="475"/>
      <c r="R15549" s="475">
        <v>1</v>
      </c>
    </row>
    <row r="15550" spans="1:18" ht="24">
      <c r="A15550" s="471">
        <v>192</v>
      </c>
      <c r="B15550" s="468" t="s">
        <v>27896</v>
      </c>
      <c r="C15550" s="472" t="s">
        <v>27897</v>
      </c>
      <c r="D15550" s="473">
        <v>3358.42</v>
      </c>
      <c r="E15550" s="473">
        <v>2291.94</v>
      </c>
      <c r="F15550" s="473">
        <v>904.76</v>
      </c>
      <c r="G15550" s="473">
        <v>161.72</v>
      </c>
      <c r="H15550" s="474">
        <v>32639.8</v>
      </c>
      <c r="I15550" s="474">
        <v>26358.38</v>
      </c>
      <c r="J15550" s="474">
        <v>4800.51</v>
      </c>
      <c r="K15550" s="474">
        <v>1480.91</v>
      </c>
      <c r="L15550" s="43">
        <v>9.7187963387545331</v>
      </c>
      <c r="M15550" s="43">
        <v>11.50046685340803</v>
      </c>
      <c r="N15550" s="43">
        <v>5.3058380122905522</v>
      </c>
      <c r="O15550" s="43">
        <v>9.1572470937422707</v>
      </c>
      <c r="P15550" s="475"/>
      <c r="Q15550" s="475"/>
      <c r="R15550" s="475">
        <v>1</v>
      </c>
    </row>
    <row r="15551" spans="1:18" ht="24">
      <c r="A15551" s="471">
        <v>193</v>
      </c>
      <c r="B15551" s="468" t="s">
        <v>27898</v>
      </c>
      <c r="C15551" s="472" t="s">
        <v>27899</v>
      </c>
      <c r="D15551" s="473">
        <v>2429.16</v>
      </c>
      <c r="E15551" s="473">
        <v>1651.1</v>
      </c>
      <c r="F15551" s="473">
        <v>681.65</v>
      </c>
      <c r="G15551" s="473">
        <v>96.41</v>
      </c>
      <c r="H15551" s="474">
        <v>23522.959999999999</v>
      </c>
      <c r="I15551" s="474">
        <v>18988.439999999999</v>
      </c>
      <c r="J15551" s="474">
        <v>3602.09</v>
      </c>
      <c r="K15551" s="474">
        <v>932.43</v>
      </c>
      <c r="L15551" s="43">
        <v>9.6835778623063113</v>
      </c>
      <c r="M15551" s="43">
        <v>11.500478468899521</v>
      </c>
      <c r="N15551" s="43">
        <v>5.2843688109733735</v>
      </c>
      <c r="O15551" s="43">
        <v>9.671507105072088</v>
      </c>
      <c r="P15551" s="475"/>
      <c r="Q15551" s="475"/>
      <c r="R15551" s="475">
        <v>1</v>
      </c>
    </row>
    <row r="15552" spans="1:18" ht="12.75" customHeight="1">
      <c r="A15552" s="628" t="s">
        <v>27900</v>
      </c>
      <c r="B15552" s="629"/>
      <c r="C15552" s="629"/>
      <c r="D15552" s="629"/>
      <c r="E15552" s="629"/>
      <c r="F15552" s="629"/>
      <c r="G15552" s="629"/>
      <c r="H15552" s="629"/>
      <c r="I15552" s="629"/>
      <c r="J15552" s="629"/>
      <c r="K15552" s="629"/>
      <c r="L15552" s="629"/>
      <c r="M15552" s="629"/>
      <c r="N15552" s="629"/>
      <c r="O15552" s="629"/>
      <c r="P15552" s="629"/>
      <c r="Q15552" s="629"/>
      <c r="R15552" s="629"/>
    </row>
    <row r="15553" spans="1:18" ht="24">
      <c r="A15553" s="471">
        <v>194</v>
      </c>
      <c r="B15553" s="468" t="s">
        <v>27901</v>
      </c>
      <c r="C15553" s="472" t="s">
        <v>27902</v>
      </c>
      <c r="D15553" s="473">
        <v>11194.47</v>
      </c>
      <c r="E15553" s="473">
        <v>6316.26</v>
      </c>
      <c r="F15553" s="473">
        <v>3671.54</v>
      </c>
      <c r="G15553" s="473">
        <v>1206.67</v>
      </c>
      <c r="H15553" s="474">
        <v>97688.79</v>
      </c>
      <c r="I15553" s="474">
        <v>72636.990000000005</v>
      </c>
      <c r="J15553" s="474">
        <v>19063.96</v>
      </c>
      <c r="K15553" s="474">
        <v>5987.84</v>
      </c>
      <c r="L15553" s="43">
        <v>8.7265221131505104</v>
      </c>
      <c r="M15553" s="43">
        <v>11.5</v>
      </c>
      <c r="N15553" s="43">
        <v>5.1923606987803481</v>
      </c>
      <c r="O15553" s="43">
        <v>4.9622846345728329</v>
      </c>
      <c r="P15553" s="475"/>
      <c r="Q15553" s="475"/>
      <c r="R15553" s="475">
        <v>2</v>
      </c>
    </row>
    <row r="15554" spans="1:18" ht="24">
      <c r="A15554" s="471">
        <v>195</v>
      </c>
      <c r="B15554" s="468" t="s">
        <v>27903</v>
      </c>
      <c r="C15554" s="472" t="s">
        <v>27904</v>
      </c>
      <c r="D15554" s="473">
        <v>5331.52</v>
      </c>
      <c r="E15554" s="473">
        <v>3099.94</v>
      </c>
      <c r="F15554" s="473">
        <v>895.26</v>
      </c>
      <c r="G15554" s="473">
        <v>1336.32</v>
      </c>
      <c r="H15554" s="474">
        <v>47347.82</v>
      </c>
      <c r="I15554" s="474">
        <v>35649.31</v>
      </c>
      <c r="J15554" s="474">
        <v>4715.92</v>
      </c>
      <c r="K15554" s="474">
        <v>6982.59</v>
      </c>
      <c r="L15554" s="43">
        <v>8.8807357001380467</v>
      </c>
      <c r="M15554" s="43">
        <v>11.499999999999998</v>
      </c>
      <c r="N15554" s="43">
        <v>5.2676540893148358</v>
      </c>
      <c r="O15554" s="43">
        <v>5.2252379669540234</v>
      </c>
      <c r="P15554" s="475"/>
      <c r="Q15554" s="475"/>
      <c r="R15554" s="475">
        <v>2</v>
      </c>
    </row>
    <row r="15555" spans="1:18" ht="24">
      <c r="A15555" s="471">
        <v>196</v>
      </c>
      <c r="B15555" s="468" t="s">
        <v>27905</v>
      </c>
      <c r="C15555" s="472" t="s">
        <v>27906</v>
      </c>
      <c r="D15555" s="473">
        <v>12318.32</v>
      </c>
      <c r="E15555" s="473">
        <v>7097.59</v>
      </c>
      <c r="F15555" s="473">
        <v>3744.49</v>
      </c>
      <c r="G15555" s="473">
        <v>1476.24</v>
      </c>
      <c r="H15555" s="474">
        <v>110535.75</v>
      </c>
      <c r="I15555" s="474">
        <v>81625.52</v>
      </c>
      <c r="J15555" s="474">
        <v>19884.52</v>
      </c>
      <c r="K15555" s="474">
        <v>9025.7099999999991</v>
      </c>
      <c r="L15555" s="43">
        <v>8.9732812591327384</v>
      </c>
      <c r="M15555" s="43">
        <v>11.500455788514129</v>
      </c>
      <c r="N15555" s="43">
        <v>5.3103413281915568</v>
      </c>
      <c r="O15555" s="43">
        <v>6.113985530807998</v>
      </c>
      <c r="P15555" s="475"/>
      <c r="Q15555" s="475"/>
      <c r="R15555" s="475">
        <v>2</v>
      </c>
    </row>
    <row r="15556" spans="1:18" ht="24">
      <c r="A15556" s="471">
        <v>197</v>
      </c>
      <c r="B15556" s="468" t="s">
        <v>27907</v>
      </c>
      <c r="C15556" s="472" t="s">
        <v>27908</v>
      </c>
      <c r="D15556" s="473">
        <v>10457.16</v>
      </c>
      <c r="E15556" s="473">
        <v>4780.4399999999996</v>
      </c>
      <c r="F15556" s="473">
        <v>2226.02</v>
      </c>
      <c r="G15556" s="473">
        <v>3450.7</v>
      </c>
      <c r="H15556" s="474">
        <v>81032.759999999995</v>
      </c>
      <c r="I15556" s="474">
        <v>54975.06</v>
      </c>
      <c r="J15556" s="474">
        <v>11979.83</v>
      </c>
      <c r="K15556" s="474">
        <v>14077.87</v>
      </c>
      <c r="L15556" s="43">
        <v>7.7490217229152076</v>
      </c>
      <c r="M15556" s="43">
        <v>11.5</v>
      </c>
      <c r="N15556" s="43">
        <v>5.3817261300437549</v>
      </c>
      <c r="O15556" s="43">
        <v>4.0797142608746055</v>
      </c>
      <c r="P15556" s="475"/>
      <c r="Q15556" s="475"/>
      <c r="R15556" s="475">
        <v>2</v>
      </c>
    </row>
    <row r="15557" spans="1:18" ht="24">
      <c r="A15557" s="471">
        <v>198</v>
      </c>
      <c r="B15557" s="468" t="s">
        <v>27909</v>
      </c>
      <c r="C15557" s="472" t="s">
        <v>27910</v>
      </c>
      <c r="D15557" s="473">
        <v>4185.28</v>
      </c>
      <c r="E15557" s="473">
        <v>2497.44</v>
      </c>
      <c r="F15557" s="473">
        <v>848.64</v>
      </c>
      <c r="G15557" s="473">
        <v>839.2</v>
      </c>
      <c r="H15557" s="474">
        <v>37219.58</v>
      </c>
      <c r="I15557" s="474">
        <v>28720.560000000001</v>
      </c>
      <c r="J15557" s="474">
        <v>4497.26</v>
      </c>
      <c r="K15557" s="474">
        <v>4001.76</v>
      </c>
      <c r="L15557" s="43">
        <v>8.8929725131890827</v>
      </c>
      <c r="M15557" s="43">
        <v>11.5</v>
      </c>
      <c r="N15557" s="43">
        <v>5.2993731146304679</v>
      </c>
      <c r="O15557" s="43">
        <v>4.7685414680648233</v>
      </c>
      <c r="P15557" s="475"/>
      <c r="Q15557" s="475"/>
      <c r="R15557" s="475">
        <v>2</v>
      </c>
    </row>
    <row r="15558" spans="1:18" ht="24">
      <c r="A15558" s="471">
        <v>199</v>
      </c>
      <c r="B15558" s="468" t="s">
        <v>27911</v>
      </c>
      <c r="C15558" s="472" t="s">
        <v>27912</v>
      </c>
      <c r="D15558" s="473">
        <v>5009.84</v>
      </c>
      <c r="E15558" s="473">
        <v>2549.7800000000002</v>
      </c>
      <c r="F15558" s="473">
        <v>1260.55</v>
      </c>
      <c r="G15558" s="473">
        <v>1199.51</v>
      </c>
      <c r="H15558" s="474">
        <v>41801.96</v>
      </c>
      <c r="I15558" s="474">
        <v>29322.47</v>
      </c>
      <c r="J15558" s="474">
        <v>6725.71</v>
      </c>
      <c r="K15558" s="474">
        <v>5753.78</v>
      </c>
      <c r="L15558" s="43">
        <v>8.3439710649441903</v>
      </c>
      <c r="M15558" s="43">
        <v>11.5</v>
      </c>
      <c r="N15558" s="43">
        <v>5.3355360755225893</v>
      </c>
      <c r="O15558" s="43">
        <v>4.7967753499345562</v>
      </c>
      <c r="P15558" s="475"/>
      <c r="Q15558" s="475"/>
      <c r="R15558" s="475">
        <v>2</v>
      </c>
    </row>
    <row r="15559" spans="1:18" ht="24">
      <c r="A15559" s="471">
        <v>200</v>
      </c>
      <c r="B15559" s="468" t="s">
        <v>27913</v>
      </c>
      <c r="C15559" s="472" t="s">
        <v>27914</v>
      </c>
      <c r="D15559" s="473">
        <v>4327.53</v>
      </c>
      <c r="E15559" s="473">
        <v>2539.1999999999998</v>
      </c>
      <c r="F15559" s="473">
        <v>695.77</v>
      </c>
      <c r="G15559" s="473">
        <v>1092.56</v>
      </c>
      <c r="H15559" s="474">
        <v>37602.19</v>
      </c>
      <c r="I15559" s="474">
        <v>29200.799999999999</v>
      </c>
      <c r="J15559" s="474">
        <v>3691.51</v>
      </c>
      <c r="K15559" s="474">
        <v>4709.88</v>
      </c>
      <c r="L15559" s="43">
        <v>8.6890651249095914</v>
      </c>
      <c r="M15559" s="43">
        <v>11.5</v>
      </c>
      <c r="N15559" s="43">
        <v>5.3056469810425861</v>
      </c>
      <c r="O15559" s="43">
        <v>4.3108662224500263</v>
      </c>
      <c r="P15559" s="475"/>
      <c r="Q15559" s="475"/>
      <c r="R15559" s="475">
        <v>2</v>
      </c>
    </row>
    <row r="15560" spans="1:18" ht="12.75" customHeight="1">
      <c r="A15560" s="628" t="s">
        <v>27915</v>
      </c>
      <c r="B15560" s="629"/>
      <c r="C15560" s="629"/>
      <c r="D15560" s="629"/>
      <c r="E15560" s="629"/>
      <c r="F15560" s="629"/>
      <c r="G15560" s="629"/>
      <c r="H15560" s="629"/>
      <c r="I15560" s="629"/>
      <c r="J15560" s="629"/>
      <c r="K15560" s="629"/>
      <c r="L15560" s="629"/>
      <c r="M15560" s="629"/>
      <c r="N15560" s="629"/>
      <c r="O15560" s="629"/>
      <c r="P15560" s="629"/>
      <c r="Q15560" s="629"/>
      <c r="R15560" s="629"/>
    </row>
    <row r="15561" spans="1:18" ht="24">
      <c r="A15561" s="471">
        <v>201</v>
      </c>
      <c r="B15561" s="468" t="s">
        <v>27916</v>
      </c>
      <c r="C15561" s="472" t="s">
        <v>27917</v>
      </c>
      <c r="D15561" s="473">
        <v>708.11</v>
      </c>
      <c r="E15561" s="473">
        <v>502.43</v>
      </c>
      <c r="F15561" s="473">
        <v>173.6</v>
      </c>
      <c r="G15561" s="473">
        <v>32.08</v>
      </c>
      <c r="H15561" s="474">
        <v>6939.14</v>
      </c>
      <c r="I15561" s="474">
        <v>5778.13</v>
      </c>
      <c r="J15561" s="474">
        <v>934.4</v>
      </c>
      <c r="K15561" s="474">
        <v>226.61</v>
      </c>
      <c r="L15561" s="43">
        <v>9.7995226730310261</v>
      </c>
      <c r="M15561" s="43">
        <v>11.500368210496985</v>
      </c>
      <c r="N15561" s="43">
        <v>5.3824884792626726</v>
      </c>
      <c r="O15561" s="43">
        <v>7.0639027431421457</v>
      </c>
      <c r="P15561" s="475"/>
      <c r="Q15561" s="475"/>
      <c r="R15561" s="475">
        <v>3</v>
      </c>
    </row>
    <row r="15562" spans="1:18" ht="24">
      <c r="A15562" s="471">
        <v>202</v>
      </c>
      <c r="B15562" s="468" t="s">
        <v>27918</v>
      </c>
      <c r="C15562" s="472" t="s">
        <v>27919</v>
      </c>
      <c r="D15562" s="473">
        <v>1236.06</v>
      </c>
      <c r="E15562" s="473">
        <v>781.74</v>
      </c>
      <c r="F15562" s="473">
        <v>385.87</v>
      </c>
      <c r="G15562" s="473">
        <v>68.45</v>
      </c>
      <c r="H15562" s="474">
        <v>11486.14</v>
      </c>
      <c r="I15562" s="474">
        <v>8990.01</v>
      </c>
      <c r="J15562" s="474">
        <v>2050.71</v>
      </c>
      <c r="K15562" s="474">
        <v>445.42</v>
      </c>
      <c r="L15562" s="43">
        <v>9.2925424332152158</v>
      </c>
      <c r="M15562" s="43">
        <v>11.5</v>
      </c>
      <c r="N15562" s="43">
        <v>5.31451006815767</v>
      </c>
      <c r="O15562" s="43">
        <v>6.5072315558802041</v>
      </c>
      <c r="P15562" s="475"/>
      <c r="Q15562" s="475"/>
      <c r="R15562" s="475">
        <v>3</v>
      </c>
    </row>
    <row r="15563" spans="1:18" ht="24">
      <c r="A15563" s="471">
        <v>203</v>
      </c>
      <c r="B15563" s="468" t="s">
        <v>27920</v>
      </c>
      <c r="C15563" s="472" t="s">
        <v>27921</v>
      </c>
      <c r="D15563" s="473">
        <v>3064.82</v>
      </c>
      <c r="E15563" s="473">
        <v>1893.82</v>
      </c>
      <c r="F15563" s="473">
        <v>1069.26</v>
      </c>
      <c r="G15563" s="473">
        <v>101.74</v>
      </c>
      <c r="H15563" s="474">
        <v>28321.73</v>
      </c>
      <c r="I15563" s="474">
        <v>21778.93</v>
      </c>
      <c r="J15563" s="474">
        <v>5694.69</v>
      </c>
      <c r="K15563" s="474">
        <v>848.11</v>
      </c>
      <c r="L15563" s="43">
        <v>9.2409113748931411</v>
      </c>
      <c r="M15563" s="43">
        <v>11.5</v>
      </c>
      <c r="N15563" s="43">
        <v>5.325823466696594</v>
      </c>
      <c r="O15563" s="43">
        <v>8.3360526833103989</v>
      </c>
      <c r="P15563" s="475"/>
      <c r="Q15563" s="475"/>
      <c r="R15563" s="475">
        <v>3</v>
      </c>
    </row>
    <row r="15564" spans="1:18" ht="24">
      <c r="A15564" s="471">
        <v>204</v>
      </c>
      <c r="B15564" s="468" t="s">
        <v>27922</v>
      </c>
      <c r="C15564" s="472" t="s">
        <v>27923</v>
      </c>
      <c r="D15564" s="473">
        <v>2243.14</v>
      </c>
      <c r="E15564" s="473">
        <v>1713.96</v>
      </c>
      <c r="F15564" s="473">
        <v>447.96</v>
      </c>
      <c r="G15564" s="473">
        <v>81.22</v>
      </c>
      <c r="H15564" s="474">
        <v>22764.240000000002</v>
      </c>
      <c r="I15564" s="474">
        <v>19710.54</v>
      </c>
      <c r="J15564" s="474">
        <v>2412.08</v>
      </c>
      <c r="K15564" s="474">
        <v>641.62</v>
      </c>
      <c r="L15564" s="43">
        <v>10.148381286945979</v>
      </c>
      <c r="M15564" s="43">
        <v>11.5</v>
      </c>
      <c r="N15564" s="43">
        <v>5.3845879096347886</v>
      </c>
      <c r="O15564" s="43">
        <v>7.8997783797094314</v>
      </c>
      <c r="P15564" s="475"/>
      <c r="Q15564" s="475"/>
      <c r="R15564" s="475">
        <v>3</v>
      </c>
    </row>
    <row r="15565" spans="1:18" ht="24">
      <c r="A15565" s="471">
        <v>205</v>
      </c>
      <c r="B15565" s="468" t="s">
        <v>27924</v>
      </c>
      <c r="C15565" s="472" t="s">
        <v>27925</v>
      </c>
      <c r="D15565" s="473">
        <v>617.64</v>
      </c>
      <c r="E15565" s="473">
        <v>355.63</v>
      </c>
      <c r="F15565" s="473">
        <v>233.55</v>
      </c>
      <c r="G15565" s="473">
        <v>28.46</v>
      </c>
      <c r="H15565" s="474">
        <v>5536.12</v>
      </c>
      <c r="I15565" s="474">
        <v>4089.93</v>
      </c>
      <c r="J15565" s="474">
        <v>1259.29</v>
      </c>
      <c r="K15565" s="474">
        <v>186.9</v>
      </c>
      <c r="L15565" s="43">
        <v>8.9633443429829676</v>
      </c>
      <c r="M15565" s="43">
        <v>11.500520203582374</v>
      </c>
      <c r="N15565" s="43">
        <v>5.3919503318347246</v>
      </c>
      <c r="O15565" s="43">
        <v>6.567111735769501</v>
      </c>
      <c r="P15565" s="475"/>
      <c r="Q15565" s="475"/>
      <c r="R15565" s="475">
        <v>3</v>
      </c>
    </row>
    <row r="15566" spans="1:18" ht="24">
      <c r="A15566" s="471">
        <v>206</v>
      </c>
      <c r="B15566" s="468" t="s">
        <v>27926</v>
      </c>
      <c r="C15566" s="472" t="s">
        <v>27927</v>
      </c>
      <c r="D15566" s="473">
        <v>1610.02</v>
      </c>
      <c r="E15566" s="473">
        <v>888.57</v>
      </c>
      <c r="F15566" s="473">
        <v>643.51</v>
      </c>
      <c r="G15566" s="473">
        <v>77.94</v>
      </c>
      <c r="H15566" s="474">
        <v>14179.12</v>
      </c>
      <c r="I15566" s="474">
        <v>10218.969999999999</v>
      </c>
      <c r="J15566" s="474">
        <v>3456.03</v>
      </c>
      <c r="K15566" s="474">
        <v>504.12</v>
      </c>
      <c r="L15566" s="43">
        <v>8.8067974310878139</v>
      </c>
      <c r="M15566" s="43">
        <v>11.500467042551515</v>
      </c>
      <c r="N15566" s="43">
        <v>5.3705925315845908</v>
      </c>
      <c r="O15566" s="43">
        <v>6.4680523479599694</v>
      </c>
      <c r="P15566" s="475"/>
      <c r="Q15566" s="475"/>
      <c r="R15566" s="475">
        <v>3</v>
      </c>
    </row>
    <row r="15567" spans="1:18" ht="12.75" customHeight="1">
      <c r="A15567" s="628" t="s">
        <v>19144</v>
      </c>
      <c r="B15567" s="629"/>
      <c r="C15567" s="629"/>
      <c r="D15567" s="629"/>
      <c r="E15567" s="629"/>
      <c r="F15567" s="629"/>
      <c r="G15567" s="629"/>
      <c r="H15567" s="629"/>
      <c r="I15567" s="629"/>
      <c r="J15567" s="629"/>
      <c r="K15567" s="629"/>
      <c r="L15567" s="629"/>
      <c r="M15567" s="629"/>
      <c r="N15567" s="629"/>
      <c r="O15567" s="629"/>
      <c r="P15567" s="629"/>
      <c r="Q15567" s="629"/>
      <c r="R15567" s="629"/>
    </row>
    <row r="15568" spans="1:18" ht="24">
      <c r="A15568" s="476">
        <v>207</v>
      </c>
      <c r="B15568" s="477" t="s">
        <v>27928</v>
      </c>
      <c r="C15568" s="478" t="s">
        <v>27929</v>
      </c>
      <c r="D15568" s="479">
        <v>365.84</v>
      </c>
      <c r="E15568" s="479">
        <v>240.48</v>
      </c>
      <c r="F15568" s="479">
        <v>98.63</v>
      </c>
      <c r="G15568" s="479">
        <v>26.73</v>
      </c>
      <c r="H15568" s="480">
        <v>3462.52</v>
      </c>
      <c r="I15568" s="480">
        <v>2765.52</v>
      </c>
      <c r="J15568" s="480">
        <v>531.54999999999995</v>
      </c>
      <c r="K15568" s="480">
        <v>165.45</v>
      </c>
      <c r="L15568" s="611">
        <v>9.4645746774546264</v>
      </c>
      <c r="M15568" s="611">
        <v>11.5</v>
      </c>
      <c r="N15568" s="611">
        <v>5.3893338740748247</v>
      </c>
      <c r="O15568" s="611">
        <v>6.1896745230078558</v>
      </c>
      <c r="P15568" s="481"/>
      <c r="Q15568" s="481"/>
      <c r="R15568" s="481">
        <v>4</v>
      </c>
    </row>
    <row r="15569" spans="1:18" ht="12.75" customHeight="1">
      <c r="A15569" s="630" t="s">
        <v>27930</v>
      </c>
      <c r="B15569" s="631"/>
      <c r="C15569" s="631"/>
      <c r="D15569" s="631"/>
      <c r="E15569" s="631"/>
      <c r="F15569" s="631"/>
      <c r="G15569" s="631"/>
      <c r="H15569" s="631"/>
      <c r="I15569" s="631"/>
      <c r="J15569" s="631"/>
      <c r="K15569" s="631"/>
      <c r="L15569" s="631"/>
      <c r="M15569" s="631"/>
      <c r="N15569" s="631"/>
      <c r="O15569" s="631"/>
      <c r="P15569" s="631"/>
      <c r="Q15569" s="631"/>
      <c r="R15569" s="631"/>
    </row>
    <row r="15570" spans="1:18" ht="12.75" customHeight="1">
      <c r="A15570" s="628" t="s">
        <v>27931</v>
      </c>
      <c r="B15570" s="629"/>
      <c r="C15570" s="629"/>
      <c r="D15570" s="629"/>
      <c r="E15570" s="629"/>
      <c r="F15570" s="629"/>
      <c r="G15570" s="629"/>
      <c r="H15570" s="629"/>
      <c r="I15570" s="629"/>
      <c r="J15570" s="629"/>
      <c r="K15570" s="629"/>
      <c r="L15570" s="629"/>
      <c r="M15570" s="629"/>
      <c r="N15570" s="629"/>
      <c r="O15570" s="629"/>
      <c r="P15570" s="629"/>
      <c r="Q15570" s="629"/>
      <c r="R15570" s="629"/>
    </row>
    <row r="15571" spans="1:18" ht="12.75" customHeight="1">
      <c r="A15571" s="628" t="s">
        <v>27932</v>
      </c>
      <c r="B15571" s="629"/>
      <c r="C15571" s="629"/>
      <c r="D15571" s="629"/>
      <c r="E15571" s="629"/>
      <c r="F15571" s="629"/>
      <c r="G15571" s="629"/>
      <c r="H15571" s="629"/>
      <c r="I15571" s="629"/>
      <c r="J15571" s="629"/>
      <c r="K15571" s="629"/>
      <c r="L15571" s="629"/>
      <c r="M15571" s="629"/>
      <c r="N15571" s="629"/>
      <c r="O15571" s="629"/>
      <c r="P15571" s="629"/>
      <c r="Q15571" s="629"/>
      <c r="R15571" s="629"/>
    </row>
    <row r="15572" spans="1:18" ht="24">
      <c r="A15572" s="471">
        <v>208</v>
      </c>
      <c r="B15572" s="468" t="s">
        <v>27933</v>
      </c>
      <c r="C15572" s="472" t="s">
        <v>27934</v>
      </c>
      <c r="D15572" s="473">
        <v>999.25</v>
      </c>
      <c r="E15572" s="473">
        <v>672.86</v>
      </c>
      <c r="F15572" s="473">
        <v>306.74</v>
      </c>
      <c r="G15572" s="473">
        <v>19.649999999999999</v>
      </c>
      <c r="H15572" s="474">
        <v>9567.52</v>
      </c>
      <c r="I15572" s="474">
        <v>7737.94</v>
      </c>
      <c r="J15572" s="474">
        <v>1641</v>
      </c>
      <c r="K15572" s="474">
        <v>188.58</v>
      </c>
      <c r="L15572" s="43">
        <v>9.5747010257693272</v>
      </c>
      <c r="M15572" s="43">
        <v>11.500074309663228</v>
      </c>
      <c r="N15572" s="43">
        <v>5.3498076546912694</v>
      </c>
      <c r="O15572" s="43">
        <v>9.5969465648854975</v>
      </c>
      <c r="P15572" s="475"/>
      <c r="Q15572" s="475"/>
      <c r="R15572" s="475">
        <v>1</v>
      </c>
    </row>
    <row r="15573" spans="1:18" ht="24">
      <c r="A15573" s="471">
        <v>209</v>
      </c>
      <c r="B15573" s="468" t="s">
        <v>27935</v>
      </c>
      <c r="C15573" s="472" t="s">
        <v>27936</v>
      </c>
      <c r="D15573" s="473">
        <v>753.09</v>
      </c>
      <c r="E15573" s="473">
        <v>594.41</v>
      </c>
      <c r="F15573" s="473">
        <v>140.80000000000001</v>
      </c>
      <c r="G15573" s="473">
        <v>17.88</v>
      </c>
      <c r="H15573" s="474">
        <v>7762.13</v>
      </c>
      <c r="I15573" s="474">
        <v>6835.94</v>
      </c>
      <c r="J15573" s="474">
        <v>757.44</v>
      </c>
      <c r="K15573" s="474">
        <v>168.75</v>
      </c>
      <c r="L15573" s="43">
        <v>10.307041655047868</v>
      </c>
      <c r="M15573" s="43">
        <v>11.500378526606214</v>
      </c>
      <c r="N15573" s="43">
        <v>5.3795454545454549</v>
      </c>
      <c r="O15573" s="43">
        <v>9.4379194630872494</v>
      </c>
      <c r="P15573" s="475"/>
      <c r="Q15573" s="475"/>
      <c r="R15573" s="475">
        <v>1</v>
      </c>
    </row>
    <row r="15574" spans="1:18" ht="12.75" customHeight="1">
      <c r="A15574" s="628" t="s">
        <v>27937</v>
      </c>
      <c r="B15574" s="629"/>
      <c r="C15574" s="629"/>
      <c r="D15574" s="629"/>
      <c r="E15574" s="629"/>
      <c r="F15574" s="629"/>
      <c r="G15574" s="629"/>
      <c r="H15574" s="629"/>
      <c r="I15574" s="629"/>
      <c r="J15574" s="629"/>
      <c r="K15574" s="629"/>
      <c r="L15574" s="629"/>
      <c r="M15574" s="629"/>
      <c r="N15574" s="629"/>
      <c r="O15574" s="629"/>
      <c r="P15574" s="629"/>
      <c r="Q15574" s="629"/>
      <c r="R15574" s="629"/>
    </row>
    <row r="15575" spans="1:18" ht="36">
      <c r="A15575" s="471">
        <v>210</v>
      </c>
      <c r="B15575" s="468" t="s">
        <v>27938</v>
      </c>
      <c r="C15575" s="472" t="s">
        <v>27939</v>
      </c>
      <c r="D15575" s="473">
        <v>698.02</v>
      </c>
      <c r="E15575" s="473">
        <v>417.13</v>
      </c>
      <c r="F15575" s="473">
        <v>266.45999999999998</v>
      </c>
      <c r="G15575" s="473">
        <v>14.43</v>
      </c>
      <c r="H15575" s="474">
        <v>6346.49</v>
      </c>
      <c r="I15575" s="474">
        <v>4797</v>
      </c>
      <c r="J15575" s="474">
        <v>1420.68</v>
      </c>
      <c r="K15575" s="474">
        <v>128.81</v>
      </c>
      <c r="L15575" s="43">
        <v>9.0921320306008422</v>
      </c>
      <c r="M15575" s="43">
        <v>11.500011986670822</v>
      </c>
      <c r="N15575" s="43">
        <v>5.3316820535915337</v>
      </c>
      <c r="O15575" s="43">
        <v>8.9265419265419261</v>
      </c>
      <c r="P15575" s="475"/>
      <c r="Q15575" s="475"/>
      <c r="R15575" s="475">
        <v>2</v>
      </c>
    </row>
    <row r="15576" spans="1:18" ht="36">
      <c r="A15576" s="471">
        <v>211</v>
      </c>
      <c r="B15576" s="468" t="s">
        <v>27940</v>
      </c>
      <c r="C15576" s="472" t="s">
        <v>27941</v>
      </c>
      <c r="D15576" s="473">
        <v>1322.85</v>
      </c>
      <c r="E15576" s="473">
        <v>1173.79</v>
      </c>
      <c r="F15576" s="473">
        <v>125.58</v>
      </c>
      <c r="G15576" s="473">
        <v>23.48</v>
      </c>
      <c r="H15576" s="474">
        <v>14445.16</v>
      </c>
      <c r="I15576" s="474">
        <v>13499.12</v>
      </c>
      <c r="J15576" s="474">
        <v>676.02</v>
      </c>
      <c r="K15576" s="474">
        <v>270.02</v>
      </c>
      <c r="L15576" s="43">
        <v>10.919726348414409</v>
      </c>
      <c r="M15576" s="43">
        <v>11.500455788514131</v>
      </c>
      <c r="N15576" s="43">
        <v>5.3831820353559481</v>
      </c>
      <c r="O15576" s="43">
        <v>11.499999999999998</v>
      </c>
      <c r="P15576" s="475"/>
      <c r="Q15576" s="475"/>
      <c r="R15576" s="475">
        <v>2</v>
      </c>
    </row>
    <row r="15577" spans="1:18" ht="48">
      <c r="A15577" s="471">
        <v>212</v>
      </c>
      <c r="B15577" s="468" t="s">
        <v>27942</v>
      </c>
      <c r="C15577" s="472" t="s">
        <v>27943</v>
      </c>
      <c r="D15577" s="473">
        <v>1652.34</v>
      </c>
      <c r="E15577" s="473">
        <v>1280.18</v>
      </c>
      <c r="F15577" s="473">
        <v>339.18</v>
      </c>
      <c r="G15577" s="473">
        <v>32.979999999999997</v>
      </c>
      <c r="H15577" s="474">
        <v>16875.48</v>
      </c>
      <c r="I15577" s="474">
        <v>14722.07</v>
      </c>
      <c r="J15577" s="474">
        <v>1814.79</v>
      </c>
      <c r="K15577" s="474">
        <v>338.62</v>
      </c>
      <c r="L15577" s="43">
        <v>10.213079632521152</v>
      </c>
      <c r="M15577" s="43">
        <v>11.5</v>
      </c>
      <c r="N15577" s="43">
        <v>5.3505218468070046</v>
      </c>
      <c r="O15577" s="43">
        <v>10.267434808975137</v>
      </c>
      <c r="P15577" s="475"/>
      <c r="Q15577" s="475"/>
      <c r="R15577" s="475">
        <v>2</v>
      </c>
    </row>
    <row r="15578" spans="1:18" ht="12.75" customHeight="1">
      <c r="A15578" s="628" t="s">
        <v>27944</v>
      </c>
      <c r="B15578" s="629"/>
      <c r="C15578" s="629"/>
      <c r="D15578" s="629"/>
      <c r="E15578" s="629"/>
      <c r="F15578" s="629"/>
      <c r="G15578" s="629"/>
      <c r="H15578" s="629"/>
      <c r="I15578" s="629"/>
      <c r="J15578" s="629"/>
      <c r="K15578" s="629"/>
      <c r="L15578" s="629"/>
      <c r="M15578" s="629"/>
      <c r="N15578" s="629"/>
      <c r="O15578" s="629"/>
      <c r="P15578" s="629"/>
      <c r="Q15578" s="629"/>
      <c r="R15578" s="629"/>
    </row>
    <row r="15579" spans="1:18" ht="12.75" customHeight="1">
      <c r="A15579" s="628" t="s">
        <v>27945</v>
      </c>
      <c r="B15579" s="629"/>
      <c r="C15579" s="629"/>
      <c r="D15579" s="629"/>
      <c r="E15579" s="629"/>
      <c r="F15579" s="629"/>
      <c r="G15579" s="629"/>
      <c r="H15579" s="629"/>
      <c r="I15579" s="629"/>
      <c r="J15579" s="629"/>
      <c r="K15579" s="629"/>
      <c r="L15579" s="629"/>
      <c r="M15579" s="629"/>
      <c r="N15579" s="629"/>
      <c r="O15579" s="629"/>
      <c r="P15579" s="629"/>
      <c r="Q15579" s="629"/>
      <c r="R15579" s="629"/>
    </row>
    <row r="15580" spans="1:18" ht="24">
      <c r="A15580" s="471">
        <v>213</v>
      </c>
      <c r="B15580" s="468" t="s">
        <v>27946</v>
      </c>
      <c r="C15580" s="472" t="s">
        <v>27947</v>
      </c>
      <c r="D15580" s="473">
        <v>1251.23</v>
      </c>
      <c r="E15580" s="473">
        <v>845.41</v>
      </c>
      <c r="F15580" s="473">
        <v>382.95</v>
      </c>
      <c r="G15580" s="473">
        <v>22.87</v>
      </c>
      <c r="H15580" s="474">
        <v>11992.86</v>
      </c>
      <c r="I15580" s="474">
        <v>9722.56</v>
      </c>
      <c r="J15580" s="474">
        <v>2044.12</v>
      </c>
      <c r="K15580" s="474">
        <v>226.18</v>
      </c>
      <c r="L15580" s="43">
        <v>9.5848565012028164</v>
      </c>
      <c r="M15580" s="43">
        <v>11.500408086017435</v>
      </c>
      <c r="N15580" s="43">
        <v>5.3378247813030422</v>
      </c>
      <c r="O15580" s="43">
        <v>9.8898119807608218</v>
      </c>
      <c r="P15580" s="475"/>
      <c r="Q15580" s="475"/>
      <c r="R15580" s="475">
        <v>1</v>
      </c>
    </row>
    <row r="15581" spans="1:18" ht="24">
      <c r="A15581" s="471">
        <v>214</v>
      </c>
      <c r="B15581" s="468" t="s">
        <v>27948</v>
      </c>
      <c r="C15581" s="472" t="s">
        <v>27949</v>
      </c>
      <c r="D15581" s="473">
        <v>1186.5999999999999</v>
      </c>
      <c r="E15581" s="473">
        <v>784.8</v>
      </c>
      <c r="F15581" s="473">
        <v>380.14</v>
      </c>
      <c r="G15581" s="473">
        <v>21.66</v>
      </c>
      <c r="H15581" s="474">
        <v>11266.96</v>
      </c>
      <c r="I15581" s="474">
        <v>9025.52</v>
      </c>
      <c r="J15581" s="474">
        <v>2029.18</v>
      </c>
      <c r="K15581" s="474">
        <v>212.26</v>
      </c>
      <c r="L15581" s="43">
        <v>9.4951626495870549</v>
      </c>
      <c r="M15581" s="43">
        <v>11.500407747196739</v>
      </c>
      <c r="N15581" s="43">
        <v>5.3379807439364448</v>
      </c>
      <c r="O15581" s="43">
        <v>9.7996306555863342</v>
      </c>
      <c r="P15581" s="475"/>
      <c r="Q15581" s="475"/>
      <c r="R15581" s="475">
        <v>1</v>
      </c>
    </row>
    <row r="15582" spans="1:18" ht="48">
      <c r="A15582" s="471">
        <v>215</v>
      </c>
      <c r="B15582" s="468" t="s">
        <v>27950</v>
      </c>
      <c r="C15582" s="472" t="s">
        <v>27951</v>
      </c>
      <c r="D15582" s="473">
        <v>1200.1600000000001</v>
      </c>
      <c r="E15582" s="473">
        <v>972.05</v>
      </c>
      <c r="F15582" s="473">
        <v>202.33</v>
      </c>
      <c r="G15582" s="473">
        <v>25.78</v>
      </c>
      <c r="H15582" s="474">
        <v>12526.56</v>
      </c>
      <c r="I15582" s="474">
        <v>11179.04</v>
      </c>
      <c r="J15582" s="474">
        <v>1088.9100000000001</v>
      </c>
      <c r="K15582" s="474">
        <v>258.61</v>
      </c>
      <c r="L15582" s="43">
        <v>10.437408345553925</v>
      </c>
      <c r="M15582" s="43">
        <v>11.500478370454196</v>
      </c>
      <c r="N15582" s="43">
        <v>5.381851430830821</v>
      </c>
      <c r="O15582" s="43">
        <v>10.031419705197829</v>
      </c>
      <c r="P15582" s="475"/>
      <c r="Q15582" s="475"/>
      <c r="R15582" s="475">
        <v>1</v>
      </c>
    </row>
    <row r="15583" spans="1:18" ht="36">
      <c r="A15583" s="471">
        <v>216</v>
      </c>
      <c r="B15583" s="468" t="s">
        <v>27952</v>
      </c>
      <c r="C15583" s="472" t="s">
        <v>27953</v>
      </c>
      <c r="D15583" s="473">
        <v>841.76</v>
      </c>
      <c r="E15583" s="473">
        <v>605.17999999999995</v>
      </c>
      <c r="F15583" s="473">
        <v>218.4</v>
      </c>
      <c r="G15583" s="473">
        <v>18.18</v>
      </c>
      <c r="H15583" s="474">
        <v>8292.02</v>
      </c>
      <c r="I15583" s="474">
        <v>6959.52</v>
      </c>
      <c r="J15583" s="474">
        <v>1160.5999999999999</v>
      </c>
      <c r="K15583" s="474">
        <v>171.9</v>
      </c>
      <c r="L15583" s="43">
        <v>9.8508125831590956</v>
      </c>
      <c r="M15583" s="43">
        <v>11.499917379953073</v>
      </c>
      <c r="N15583" s="43">
        <v>5.3141025641025639</v>
      </c>
      <c r="O15583" s="43">
        <v>9.4554455445544559</v>
      </c>
      <c r="P15583" s="475"/>
      <c r="Q15583" s="475"/>
      <c r="R15583" s="475">
        <v>1</v>
      </c>
    </row>
    <row r="15584" spans="1:18" ht="12.75" customHeight="1">
      <c r="A15584" s="628" t="s">
        <v>27954</v>
      </c>
      <c r="B15584" s="629"/>
      <c r="C15584" s="629"/>
      <c r="D15584" s="629"/>
      <c r="E15584" s="629"/>
      <c r="F15584" s="629"/>
      <c r="G15584" s="629"/>
      <c r="H15584" s="629"/>
      <c r="I15584" s="629"/>
      <c r="J15584" s="629"/>
      <c r="K15584" s="629"/>
      <c r="L15584" s="629"/>
      <c r="M15584" s="629"/>
      <c r="N15584" s="629"/>
      <c r="O15584" s="629"/>
      <c r="P15584" s="629"/>
      <c r="Q15584" s="629"/>
      <c r="R15584" s="629"/>
    </row>
    <row r="15585" spans="1:18" ht="12.75" customHeight="1">
      <c r="A15585" s="628" t="s">
        <v>27955</v>
      </c>
      <c r="B15585" s="629"/>
      <c r="C15585" s="629"/>
      <c r="D15585" s="629"/>
      <c r="E15585" s="629"/>
      <c r="F15585" s="629"/>
      <c r="G15585" s="629"/>
      <c r="H15585" s="629"/>
      <c r="I15585" s="629"/>
      <c r="J15585" s="629"/>
      <c r="K15585" s="629"/>
      <c r="L15585" s="629"/>
      <c r="M15585" s="629"/>
      <c r="N15585" s="629"/>
      <c r="O15585" s="629"/>
      <c r="P15585" s="629"/>
      <c r="Q15585" s="629"/>
      <c r="R15585" s="629"/>
    </row>
    <row r="15586" spans="1:18" ht="24">
      <c r="A15586" s="471">
        <v>217</v>
      </c>
      <c r="B15586" s="468" t="s">
        <v>27956</v>
      </c>
      <c r="C15586" s="472" t="s">
        <v>27957</v>
      </c>
      <c r="D15586" s="473">
        <v>287.89</v>
      </c>
      <c r="E15586" s="473">
        <v>221.12</v>
      </c>
      <c r="F15586" s="473">
        <v>56.97</v>
      </c>
      <c r="G15586" s="473">
        <v>9.8000000000000007</v>
      </c>
      <c r="H15586" s="474">
        <v>2927.5</v>
      </c>
      <c r="I15586" s="474">
        <v>2543.02</v>
      </c>
      <c r="J15586" s="474">
        <v>307.01</v>
      </c>
      <c r="K15586" s="474">
        <v>77.47</v>
      </c>
      <c r="L15586" s="43">
        <v>10.168814477751919</v>
      </c>
      <c r="M15586" s="43">
        <v>11.500633140376266</v>
      </c>
      <c r="N15586" s="43">
        <v>5.3889766543794977</v>
      </c>
      <c r="O15586" s="43">
        <v>7.9051020408163257</v>
      </c>
      <c r="P15586" s="475"/>
      <c r="Q15586" s="475"/>
      <c r="R15586" s="475">
        <v>1</v>
      </c>
    </row>
    <row r="15587" spans="1:18" ht="12.75" customHeight="1">
      <c r="A15587" s="628" t="s">
        <v>27958</v>
      </c>
      <c r="B15587" s="629"/>
      <c r="C15587" s="629"/>
      <c r="D15587" s="629"/>
      <c r="E15587" s="629"/>
      <c r="F15587" s="629"/>
      <c r="G15587" s="629"/>
      <c r="H15587" s="629"/>
      <c r="I15587" s="629"/>
      <c r="J15587" s="629"/>
      <c r="K15587" s="629"/>
      <c r="L15587" s="629"/>
      <c r="M15587" s="629"/>
      <c r="N15587" s="629"/>
      <c r="O15587" s="629"/>
      <c r="P15587" s="629"/>
      <c r="Q15587" s="629"/>
      <c r="R15587" s="629"/>
    </row>
    <row r="15588" spans="1:18" ht="24">
      <c r="A15588" s="471">
        <v>218</v>
      </c>
      <c r="B15588" s="468" t="s">
        <v>27959</v>
      </c>
      <c r="C15588" s="472" t="s">
        <v>27960</v>
      </c>
      <c r="D15588" s="473">
        <v>277.07</v>
      </c>
      <c r="E15588" s="473">
        <v>218.07</v>
      </c>
      <c r="F15588" s="473">
        <v>49.26</v>
      </c>
      <c r="G15588" s="473">
        <v>9.74</v>
      </c>
      <c r="H15588" s="474">
        <v>2849.78</v>
      </c>
      <c r="I15588" s="474">
        <v>2507.87</v>
      </c>
      <c r="J15588" s="474">
        <v>265.13</v>
      </c>
      <c r="K15588" s="474">
        <v>76.78</v>
      </c>
      <c r="L15588" s="43">
        <v>10.285415238026493</v>
      </c>
      <c r="M15588" s="43">
        <v>11.500298069427249</v>
      </c>
      <c r="N15588" s="43">
        <v>5.3822574096630129</v>
      </c>
      <c r="O15588" s="43">
        <v>7.882956878850103</v>
      </c>
      <c r="P15588" s="475"/>
      <c r="Q15588" s="475"/>
      <c r="R15588" s="475">
        <v>2</v>
      </c>
    </row>
    <row r="15589" spans="1:18" ht="48">
      <c r="A15589" s="471">
        <v>219</v>
      </c>
      <c r="B15589" s="468" t="s">
        <v>27961</v>
      </c>
      <c r="C15589" s="472" t="s">
        <v>27962</v>
      </c>
      <c r="D15589" s="473">
        <v>467.46</v>
      </c>
      <c r="E15589" s="473">
        <v>388.29</v>
      </c>
      <c r="F15589" s="473">
        <v>65.819999999999993</v>
      </c>
      <c r="G15589" s="473">
        <v>13.35</v>
      </c>
      <c r="H15589" s="474">
        <v>4937.71</v>
      </c>
      <c r="I15589" s="474">
        <v>4465.29</v>
      </c>
      <c r="J15589" s="474">
        <v>354.69</v>
      </c>
      <c r="K15589" s="474">
        <v>117.73</v>
      </c>
      <c r="L15589" s="43">
        <v>10.562850297351645</v>
      </c>
      <c r="M15589" s="43">
        <v>11.499884107239433</v>
      </c>
      <c r="N15589" s="43">
        <v>5.3887876025524166</v>
      </c>
      <c r="O15589" s="43">
        <v>8.8187265917602993</v>
      </c>
      <c r="P15589" s="475"/>
      <c r="Q15589" s="475"/>
      <c r="R15589" s="475">
        <v>2</v>
      </c>
    </row>
    <row r="15590" spans="1:18" ht="12.75" customHeight="1">
      <c r="A15590" s="628" t="s">
        <v>27963</v>
      </c>
      <c r="B15590" s="629"/>
      <c r="C15590" s="629"/>
      <c r="D15590" s="629"/>
      <c r="E15590" s="629"/>
      <c r="F15590" s="629"/>
      <c r="G15590" s="629"/>
      <c r="H15590" s="629"/>
      <c r="I15590" s="629"/>
      <c r="J15590" s="629"/>
      <c r="K15590" s="629"/>
      <c r="L15590" s="629"/>
      <c r="M15590" s="629"/>
      <c r="N15590" s="629"/>
      <c r="O15590" s="629"/>
      <c r="P15590" s="629"/>
      <c r="Q15590" s="629"/>
      <c r="R15590" s="629"/>
    </row>
    <row r="15591" spans="1:18" ht="24">
      <c r="A15591" s="471">
        <v>220</v>
      </c>
      <c r="B15591" s="468" t="s">
        <v>27964</v>
      </c>
      <c r="C15591" s="472" t="s">
        <v>27965</v>
      </c>
      <c r="D15591" s="473">
        <v>299.97000000000003</v>
      </c>
      <c r="E15591" s="473">
        <v>229.28</v>
      </c>
      <c r="F15591" s="473">
        <v>60.72</v>
      </c>
      <c r="G15591" s="473">
        <v>9.9700000000000006</v>
      </c>
      <c r="H15591" s="474">
        <v>3043.26</v>
      </c>
      <c r="I15591" s="474">
        <v>2636.78</v>
      </c>
      <c r="J15591" s="474">
        <v>327.05</v>
      </c>
      <c r="K15591" s="474">
        <v>79.430000000000007</v>
      </c>
      <c r="L15591" s="43">
        <v>10.145214521452145</v>
      </c>
      <c r="M15591" s="43">
        <v>11.50026168876483</v>
      </c>
      <c r="N15591" s="43">
        <v>5.3861989459815547</v>
      </c>
      <c r="O15591" s="43">
        <v>7.9669007021063187</v>
      </c>
      <c r="P15591" s="475"/>
      <c r="Q15591" s="475"/>
      <c r="R15591" s="475">
        <v>3</v>
      </c>
    </row>
    <row r="15592" spans="1:18" ht="12.75" customHeight="1">
      <c r="A15592" s="628" t="s">
        <v>27966</v>
      </c>
      <c r="B15592" s="629"/>
      <c r="C15592" s="629"/>
      <c r="D15592" s="629"/>
      <c r="E15592" s="629"/>
      <c r="F15592" s="629"/>
      <c r="G15592" s="629"/>
      <c r="H15592" s="629"/>
      <c r="I15592" s="629"/>
      <c r="J15592" s="629"/>
      <c r="K15592" s="629"/>
      <c r="L15592" s="629"/>
      <c r="M15592" s="629"/>
      <c r="N15592" s="629"/>
      <c r="O15592" s="629"/>
      <c r="P15592" s="629"/>
      <c r="Q15592" s="629"/>
      <c r="R15592" s="629"/>
    </row>
    <row r="15593" spans="1:18" ht="12.75" customHeight="1">
      <c r="A15593" s="628" t="s">
        <v>27967</v>
      </c>
      <c r="B15593" s="629"/>
      <c r="C15593" s="629"/>
      <c r="D15593" s="629"/>
      <c r="E15593" s="629"/>
      <c r="F15593" s="629"/>
      <c r="G15593" s="629"/>
      <c r="H15593" s="629"/>
      <c r="I15593" s="629"/>
      <c r="J15593" s="629"/>
      <c r="K15593" s="629"/>
      <c r="L15593" s="629"/>
      <c r="M15593" s="629"/>
      <c r="N15593" s="629"/>
      <c r="O15593" s="629"/>
      <c r="P15593" s="629"/>
      <c r="Q15593" s="629"/>
      <c r="R15593" s="629"/>
    </row>
    <row r="15594" spans="1:18" ht="36">
      <c r="A15594" s="471">
        <v>221</v>
      </c>
      <c r="B15594" s="468" t="s">
        <v>27968</v>
      </c>
      <c r="C15594" s="472" t="s">
        <v>27969</v>
      </c>
      <c r="D15594" s="473">
        <v>7287.67</v>
      </c>
      <c r="E15594" s="473">
        <v>2785.88</v>
      </c>
      <c r="F15594" s="473">
        <v>612.65</v>
      </c>
      <c r="G15594" s="473">
        <v>3889.14</v>
      </c>
      <c r="H15594" s="474">
        <v>45168.55</v>
      </c>
      <c r="I15594" s="474">
        <v>32037.62</v>
      </c>
      <c r="J15594" s="474">
        <v>3232.26</v>
      </c>
      <c r="K15594" s="474">
        <v>9898.67</v>
      </c>
      <c r="L15594" s="43">
        <v>6.1979411801028315</v>
      </c>
      <c r="M15594" s="43">
        <v>11.5</v>
      </c>
      <c r="N15594" s="43">
        <v>5.2758671345792871</v>
      </c>
      <c r="O15594" s="43">
        <v>2.5452079380017176</v>
      </c>
      <c r="P15594" s="475"/>
      <c r="Q15594" s="475"/>
      <c r="R15594" s="475">
        <v>1</v>
      </c>
    </row>
    <row r="15595" spans="1:18" ht="36">
      <c r="A15595" s="471">
        <v>222</v>
      </c>
      <c r="B15595" s="468" t="s">
        <v>27970</v>
      </c>
      <c r="C15595" s="472" t="s">
        <v>27971</v>
      </c>
      <c r="D15595" s="473">
        <v>13432.75</v>
      </c>
      <c r="E15595" s="473">
        <v>3236.15</v>
      </c>
      <c r="F15595" s="473">
        <v>1108.0999999999999</v>
      </c>
      <c r="G15595" s="473">
        <v>9088.5</v>
      </c>
      <c r="H15595" s="474">
        <v>63601.05</v>
      </c>
      <c r="I15595" s="474">
        <v>37217.199999999997</v>
      </c>
      <c r="J15595" s="474">
        <v>5993.08</v>
      </c>
      <c r="K15595" s="474">
        <v>20390.77</v>
      </c>
      <c r="L15595" s="43">
        <v>4.7347750832852542</v>
      </c>
      <c r="M15595" s="43">
        <v>11.500455788514127</v>
      </c>
      <c r="N15595" s="43">
        <v>5.4084288421622597</v>
      </c>
      <c r="O15595" s="43">
        <v>2.2435792485008528</v>
      </c>
      <c r="P15595" s="475"/>
      <c r="Q15595" s="475"/>
      <c r="R15595" s="475">
        <v>1</v>
      </c>
    </row>
    <row r="15596" spans="1:18" ht="12.75" customHeight="1">
      <c r="A15596" s="628" t="s">
        <v>27972</v>
      </c>
      <c r="B15596" s="629"/>
      <c r="C15596" s="629"/>
      <c r="D15596" s="629"/>
      <c r="E15596" s="629"/>
      <c r="F15596" s="629"/>
      <c r="G15596" s="629"/>
      <c r="H15596" s="629"/>
      <c r="I15596" s="629"/>
      <c r="J15596" s="629"/>
      <c r="K15596" s="629"/>
      <c r="L15596" s="629"/>
      <c r="M15596" s="629"/>
      <c r="N15596" s="629"/>
      <c r="O15596" s="629"/>
      <c r="P15596" s="629"/>
      <c r="Q15596" s="629"/>
      <c r="R15596" s="629"/>
    </row>
    <row r="15597" spans="1:18" ht="24">
      <c r="A15597" s="471">
        <v>223</v>
      </c>
      <c r="B15597" s="468" t="s">
        <v>27973</v>
      </c>
      <c r="C15597" s="472" t="s">
        <v>27974</v>
      </c>
      <c r="D15597" s="473">
        <v>245.48</v>
      </c>
      <c r="E15597" s="473">
        <v>218.07</v>
      </c>
      <c r="F15597" s="473">
        <v>21.05</v>
      </c>
      <c r="G15597" s="473">
        <v>6.36</v>
      </c>
      <c r="H15597" s="474">
        <v>2684.36</v>
      </c>
      <c r="I15597" s="474">
        <v>2507.87</v>
      </c>
      <c r="J15597" s="474">
        <v>112.92</v>
      </c>
      <c r="K15597" s="474">
        <v>63.57</v>
      </c>
      <c r="L15597" s="43">
        <v>10.935147466188692</v>
      </c>
      <c r="M15597" s="43">
        <v>11.500298069427249</v>
      </c>
      <c r="N15597" s="43">
        <v>5.3643705463182894</v>
      </c>
      <c r="O15597" s="43">
        <v>9.9952830188679247</v>
      </c>
      <c r="P15597" s="475"/>
      <c r="Q15597" s="475"/>
      <c r="R15597" s="475">
        <v>2</v>
      </c>
    </row>
    <row r="15598" spans="1:18" ht="24">
      <c r="A15598" s="471">
        <v>224</v>
      </c>
      <c r="B15598" s="468" t="s">
        <v>27975</v>
      </c>
      <c r="C15598" s="472" t="s">
        <v>27976</v>
      </c>
      <c r="D15598" s="473">
        <v>411.95</v>
      </c>
      <c r="E15598" s="473">
        <v>308.76</v>
      </c>
      <c r="F15598" s="473">
        <v>95.01</v>
      </c>
      <c r="G15598" s="473">
        <v>8.18</v>
      </c>
      <c r="H15598" s="474">
        <v>4147.5200000000004</v>
      </c>
      <c r="I15598" s="474">
        <v>3550.86</v>
      </c>
      <c r="J15598" s="474">
        <v>512.16</v>
      </c>
      <c r="K15598" s="474">
        <v>84.5</v>
      </c>
      <c r="L15598" s="43">
        <v>10.068017963345067</v>
      </c>
      <c r="M15598" s="43">
        <v>11.500388651379714</v>
      </c>
      <c r="N15598" s="43">
        <v>5.3905904641616669</v>
      </c>
      <c r="O15598" s="43">
        <v>10.330073349633253</v>
      </c>
      <c r="P15598" s="475"/>
      <c r="Q15598" s="475"/>
      <c r="R15598" s="475">
        <v>2</v>
      </c>
    </row>
    <row r="15599" spans="1:18" ht="24">
      <c r="A15599" s="471">
        <v>225</v>
      </c>
      <c r="B15599" s="468" t="s">
        <v>27977</v>
      </c>
      <c r="C15599" s="472" t="s">
        <v>27978</v>
      </c>
      <c r="D15599" s="473">
        <v>418.21</v>
      </c>
      <c r="E15599" s="473">
        <v>308.76</v>
      </c>
      <c r="F15599" s="473">
        <v>101.27</v>
      </c>
      <c r="G15599" s="473">
        <v>8.18</v>
      </c>
      <c r="H15599" s="474">
        <v>4181.1899999999996</v>
      </c>
      <c r="I15599" s="474">
        <v>3550.86</v>
      </c>
      <c r="J15599" s="474">
        <v>545.83000000000004</v>
      </c>
      <c r="K15599" s="474">
        <v>84.5</v>
      </c>
      <c r="L15599" s="43">
        <v>9.9978240596829338</v>
      </c>
      <c r="M15599" s="43">
        <v>11.500388651379714</v>
      </c>
      <c r="N15599" s="43">
        <v>5.3898489187321026</v>
      </c>
      <c r="O15599" s="43">
        <v>10.330073349633253</v>
      </c>
      <c r="P15599" s="475"/>
      <c r="Q15599" s="475"/>
      <c r="R15599" s="475">
        <v>2</v>
      </c>
    </row>
    <row r="15600" spans="1:18" ht="12.75" customHeight="1">
      <c r="A15600" s="628" t="s">
        <v>22687</v>
      </c>
      <c r="B15600" s="629"/>
      <c r="C15600" s="629"/>
      <c r="D15600" s="629"/>
      <c r="E15600" s="629"/>
      <c r="F15600" s="629"/>
      <c r="G15600" s="629"/>
      <c r="H15600" s="629"/>
      <c r="I15600" s="629"/>
      <c r="J15600" s="629"/>
      <c r="K15600" s="629"/>
      <c r="L15600" s="629"/>
      <c r="M15600" s="629"/>
      <c r="N15600" s="629"/>
      <c r="O15600" s="629"/>
      <c r="P15600" s="629"/>
      <c r="Q15600" s="629"/>
      <c r="R15600" s="629"/>
    </row>
    <row r="15601" spans="1:18" ht="24">
      <c r="A15601" s="471">
        <v>226</v>
      </c>
      <c r="B15601" s="468" t="s">
        <v>27979</v>
      </c>
      <c r="C15601" s="472" t="s">
        <v>27980</v>
      </c>
      <c r="D15601" s="473">
        <v>414.06</v>
      </c>
      <c r="E15601" s="473">
        <v>328.13</v>
      </c>
      <c r="F15601" s="473">
        <v>73.180000000000007</v>
      </c>
      <c r="G15601" s="473">
        <v>12.75</v>
      </c>
      <c r="H15601" s="474">
        <v>4276.97</v>
      </c>
      <c r="I15601" s="474">
        <v>3773.65</v>
      </c>
      <c r="J15601" s="474">
        <v>394.09</v>
      </c>
      <c r="K15601" s="474">
        <v>109.23</v>
      </c>
      <c r="L15601" s="43">
        <v>10.329348403613004</v>
      </c>
      <c r="M15601" s="43">
        <v>11.500472373754306</v>
      </c>
      <c r="N15601" s="43">
        <v>5.3852145394916633</v>
      </c>
      <c r="O15601" s="43">
        <v>8.5670588235294129</v>
      </c>
      <c r="P15601" s="475"/>
      <c r="Q15601" s="475"/>
      <c r="R15601" s="475">
        <v>3</v>
      </c>
    </row>
    <row r="15602" spans="1:18" ht="24">
      <c r="A15602" s="471">
        <v>227</v>
      </c>
      <c r="B15602" s="468" t="s">
        <v>27981</v>
      </c>
      <c r="C15602" s="472" t="s">
        <v>27982</v>
      </c>
      <c r="D15602" s="473">
        <v>271.58</v>
      </c>
      <c r="E15602" s="473">
        <v>218.07</v>
      </c>
      <c r="F15602" s="473">
        <v>42.96</v>
      </c>
      <c r="G15602" s="473">
        <v>10.55</v>
      </c>
      <c r="H15602" s="474">
        <v>2823.1</v>
      </c>
      <c r="I15602" s="474">
        <v>2507.87</v>
      </c>
      <c r="J15602" s="474">
        <v>231.3</v>
      </c>
      <c r="K15602" s="474">
        <v>83.93</v>
      </c>
      <c r="L15602" s="43">
        <v>10.395095367847413</v>
      </c>
      <c r="M15602" s="43">
        <v>11.500298069427249</v>
      </c>
      <c r="N15602" s="43">
        <v>5.3840782122905031</v>
      </c>
      <c r="O15602" s="43">
        <v>7.9554502369668247</v>
      </c>
      <c r="P15602" s="475"/>
      <c r="Q15602" s="475"/>
      <c r="R15602" s="475">
        <v>3</v>
      </c>
    </row>
    <row r="15603" spans="1:18" ht="24">
      <c r="A15603" s="471">
        <v>228</v>
      </c>
      <c r="B15603" s="468" t="s">
        <v>27983</v>
      </c>
      <c r="C15603" s="472" t="s">
        <v>27984</v>
      </c>
      <c r="D15603" s="473">
        <v>399.65</v>
      </c>
      <c r="E15603" s="473">
        <v>292.60000000000002</v>
      </c>
      <c r="F15603" s="473">
        <v>95.01</v>
      </c>
      <c r="G15603" s="473">
        <v>12.04</v>
      </c>
      <c r="H15603" s="474">
        <v>3978.27</v>
      </c>
      <c r="I15603" s="474">
        <v>3365.04</v>
      </c>
      <c r="J15603" s="474">
        <v>512.16</v>
      </c>
      <c r="K15603" s="474">
        <v>101.07</v>
      </c>
      <c r="L15603" s="43">
        <v>9.954385086951083</v>
      </c>
      <c r="M15603" s="43">
        <v>11.500478468899521</v>
      </c>
      <c r="N15603" s="43">
        <v>5.3905904641616669</v>
      </c>
      <c r="O15603" s="43">
        <v>8.3945182724252501</v>
      </c>
      <c r="P15603" s="475"/>
      <c r="Q15603" s="475"/>
      <c r="R15603" s="475">
        <v>3</v>
      </c>
    </row>
    <row r="15604" spans="1:18" ht="24">
      <c r="A15604" s="471">
        <v>229</v>
      </c>
      <c r="B15604" s="468" t="s">
        <v>27985</v>
      </c>
      <c r="C15604" s="472" t="s">
        <v>27986</v>
      </c>
      <c r="D15604" s="473">
        <v>254.97</v>
      </c>
      <c r="E15604" s="473">
        <v>218.07</v>
      </c>
      <c r="F15604" s="473">
        <v>26.35</v>
      </c>
      <c r="G15604" s="473">
        <v>10.55</v>
      </c>
      <c r="H15604" s="474">
        <v>2733.36</v>
      </c>
      <c r="I15604" s="474">
        <v>2507.87</v>
      </c>
      <c r="J15604" s="474">
        <v>141.56</v>
      </c>
      <c r="K15604" s="474">
        <v>83.93</v>
      </c>
      <c r="L15604" s="43">
        <v>10.720320037651488</v>
      </c>
      <c r="M15604" s="43">
        <v>11.500298069427249</v>
      </c>
      <c r="N15604" s="43">
        <v>5.3722960151802654</v>
      </c>
      <c r="O15604" s="43">
        <v>7.9554502369668247</v>
      </c>
      <c r="P15604" s="475"/>
      <c r="Q15604" s="475"/>
      <c r="R15604" s="475">
        <v>3</v>
      </c>
    </row>
    <row r="15605" spans="1:18" ht="12.75" customHeight="1">
      <c r="A15605" s="628" t="s">
        <v>27987</v>
      </c>
      <c r="B15605" s="629"/>
      <c r="C15605" s="629"/>
      <c r="D15605" s="629"/>
      <c r="E15605" s="629"/>
      <c r="F15605" s="629"/>
      <c r="G15605" s="629"/>
      <c r="H15605" s="629"/>
      <c r="I15605" s="629"/>
      <c r="J15605" s="629"/>
      <c r="K15605" s="629"/>
      <c r="L15605" s="629"/>
      <c r="M15605" s="629"/>
      <c r="N15605" s="629"/>
      <c r="O15605" s="629"/>
      <c r="P15605" s="629"/>
      <c r="Q15605" s="629"/>
      <c r="R15605" s="629"/>
    </row>
    <row r="15606" spans="1:18" ht="12.75" customHeight="1">
      <c r="A15606" s="628" t="s">
        <v>27988</v>
      </c>
      <c r="B15606" s="629"/>
      <c r="C15606" s="629"/>
      <c r="D15606" s="629"/>
      <c r="E15606" s="629"/>
      <c r="F15606" s="629"/>
      <c r="G15606" s="629"/>
      <c r="H15606" s="629"/>
      <c r="I15606" s="629"/>
      <c r="J15606" s="629"/>
      <c r="K15606" s="629"/>
      <c r="L15606" s="629"/>
      <c r="M15606" s="629"/>
      <c r="N15606" s="629"/>
      <c r="O15606" s="629"/>
      <c r="P15606" s="629"/>
      <c r="Q15606" s="629"/>
      <c r="R15606" s="629"/>
    </row>
    <row r="15607" spans="1:18" ht="24">
      <c r="A15607" s="471">
        <v>230</v>
      </c>
      <c r="B15607" s="468" t="s">
        <v>27989</v>
      </c>
      <c r="C15607" s="472" t="s">
        <v>27990</v>
      </c>
      <c r="D15607" s="473">
        <v>16079.42</v>
      </c>
      <c r="E15607" s="473">
        <v>9582.56</v>
      </c>
      <c r="F15607" s="473">
        <v>3937.38</v>
      </c>
      <c r="G15607" s="473">
        <v>2559.48</v>
      </c>
      <c r="H15607" s="474">
        <v>144556.82999999999</v>
      </c>
      <c r="I15607" s="474">
        <v>110199.44</v>
      </c>
      <c r="J15607" s="474">
        <v>21557.55</v>
      </c>
      <c r="K15607" s="474">
        <v>12799.84</v>
      </c>
      <c r="L15607" s="43">
        <v>8.9901768844896139</v>
      </c>
      <c r="M15607" s="43">
        <v>11.5</v>
      </c>
      <c r="N15607" s="43">
        <v>5.4751001935297072</v>
      </c>
      <c r="O15607" s="43">
        <v>5.000953318642849</v>
      </c>
      <c r="P15607" s="475"/>
      <c r="Q15607" s="475"/>
      <c r="R15607" s="475">
        <v>1</v>
      </c>
    </row>
    <row r="15608" spans="1:18" ht="24">
      <c r="A15608" s="471">
        <v>231</v>
      </c>
      <c r="B15608" s="468" t="s">
        <v>27991</v>
      </c>
      <c r="C15608" s="472" t="s">
        <v>27992</v>
      </c>
      <c r="D15608" s="473">
        <v>15083.62</v>
      </c>
      <c r="E15608" s="473">
        <v>8975.52</v>
      </c>
      <c r="F15608" s="473">
        <v>3716.89</v>
      </c>
      <c r="G15608" s="473">
        <v>2391.21</v>
      </c>
      <c r="H15608" s="474">
        <v>134978.76999999999</v>
      </c>
      <c r="I15608" s="474">
        <v>103218.48</v>
      </c>
      <c r="J15608" s="474">
        <v>20354.02</v>
      </c>
      <c r="K15608" s="474">
        <v>11406.27</v>
      </c>
      <c r="L15608" s="43">
        <v>8.9486986545670053</v>
      </c>
      <c r="M15608" s="43">
        <v>11.499999999999998</v>
      </c>
      <c r="N15608" s="43">
        <v>5.4760888807578381</v>
      </c>
      <c r="O15608" s="43">
        <v>4.7700829287264606</v>
      </c>
      <c r="P15608" s="475"/>
      <c r="Q15608" s="475"/>
      <c r="R15608" s="475">
        <v>1</v>
      </c>
    </row>
    <row r="15609" spans="1:18" ht="36">
      <c r="A15609" s="471">
        <v>232</v>
      </c>
      <c r="B15609" s="468" t="s">
        <v>27993</v>
      </c>
      <c r="C15609" s="472" t="s">
        <v>27994</v>
      </c>
      <c r="D15609" s="473">
        <v>10347.19</v>
      </c>
      <c r="E15609" s="473">
        <v>4905.18</v>
      </c>
      <c r="F15609" s="473">
        <v>1825.32</v>
      </c>
      <c r="G15609" s="473">
        <v>3616.69</v>
      </c>
      <c r="H15609" s="474">
        <v>81646.179999999993</v>
      </c>
      <c r="I15609" s="474">
        <v>56411.86</v>
      </c>
      <c r="J15609" s="474">
        <v>9730.81</v>
      </c>
      <c r="K15609" s="474">
        <v>15503.51</v>
      </c>
      <c r="L15609" s="43">
        <v>7.8906621024645327</v>
      </c>
      <c r="M15609" s="43">
        <v>11.50046685340803</v>
      </c>
      <c r="N15609" s="43">
        <v>5.3310159314531154</v>
      </c>
      <c r="O15609" s="43">
        <v>4.2866571367742328</v>
      </c>
      <c r="P15609" s="475"/>
      <c r="Q15609" s="475"/>
      <c r="R15609" s="475">
        <v>1</v>
      </c>
    </row>
    <row r="15610" spans="1:18" ht="36">
      <c r="A15610" s="471">
        <v>233</v>
      </c>
      <c r="B15610" s="468" t="s">
        <v>27995</v>
      </c>
      <c r="C15610" s="472" t="s">
        <v>27996</v>
      </c>
      <c r="D15610" s="473">
        <v>3114.62</v>
      </c>
      <c r="E15610" s="473">
        <v>1599.6</v>
      </c>
      <c r="F15610" s="473">
        <v>1469.43</v>
      </c>
      <c r="G15610" s="473">
        <v>45.59</v>
      </c>
      <c r="H15610" s="474">
        <v>26713.34</v>
      </c>
      <c r="I15610" s="474">
        <v>18395.400000000001</v>
      </c>
      <c r="J15610" s="474">
        <v>7830.85</v>
      </c>
      <c r="K15610" s="474">
        <v>487.09</v>
      </c>
      <c r="L15610" s="43">
        <v>8.5767573572378009</v>
      </c>
      <c r="M15610" s="43">
        <v>11.500000000000002</v>
      </c>
      <c r="N15610" s="43">
        <v>5.3291752584335423</v>
      </c>
      <c r="O15610" s="43">
        <v>10.684141259048035</v>
      </c>
      <c r="P15610" s="475"/>
      <c r="Q15610" s="475"/>
      <c r="R15610" s="475">
        <v>1</v>
      </c>
    </row>
    <row r="15611" spans="1:18" ht="36">
      <c r="A15611" s="471">
        <v>234</v>
      </c>
      <c r="B15611" s="468" t="s">
        <v>27997</v>
      </c>
      <c r="C15611" s="472" t="s">
        <v>27998</v>
      </c>
      <c r="D15611" s="473">
        <v>2873.3</v>
      </c>
      <c r="E15611" s="473">
        <v>1818.3</v>
      </c>
      <c r="F15611" s="473">
        <v>1011.07</v>
      </c>
      <c r="G15611" s="473">
        <v>43.93</v>
      </c>
      <c r="H15611" s="474">
        <v>26805.55</v>
      </c>
      <c r="I15611" s="474">
        <v>20911.32</v>
      </c>
      <c r="J15611" s="474">
        <v>5415.59</v>
      </c>
      <c r="K15611" s="474">
        <v>478.64</v>
      </c>
      <c r="L15611" s="43">
        <v>9.329185953433333</v>
      </c>
      <c r="M15611" s="43">
        <v>11.500478468899521</v>
      </c>
      <c r="N15611" s="43">
        <v>5.356295805433847</v>
      </c>
      <c r="O15611" s="43">
        <v>10.895515592988845</v>
      </c>
      <c r="P15611" s="475"/>
      <c r="Q15611" s="475"/>
      <c r="R15611" s="475">
        <v>1</v>
      </c>
    </row>
    <row r="15612" spans="1:18" ht="12.75" customHeight="1">
      <c r="A15612" s="628" t="s">
        <v>27999</v>
      </c>
      <c r="B15612" s="629"/>
      <c r="C15612" s="629"/>
      <c r="D15612" s="629"/>
      <c r="E15612" s="629"/>
      <c r="F15612" s="629"/>
      <c r="G15612" s="629"/>
      <c r="H15612" s="629"/>
      <c r="I15612" s="629"/>
      <c r="J15612" s="629"/>
      <c r="K15612" s="629"/>
      <c r="L15612" s="629"/>
      <c r="M15612" s="629"/>
      <c r="N15612" s="629"/>
      <c r="O15612" s="629"/>
      <c r="P15612" s="629"/>
      <c r="Q15612" s="629"/>
      <c r="R15612" s="629"/>
    </row>
    <row r="15613" spans="1:18" ht="24">
      <c r="A15613" s="476">
        <v>235</v>
      </c>
      <c r="B15613" s="477" t="s">
        <v>28000</v>
      </c>
      <c r="C15613" s="478" t="s">
        <v>28001</v>
      </c>
      <c r="D15613" s="479">
        <v>340.28</v>
      </c>
      <c r="E15613" s="479">
        <v>262.89999999999998</v>
      </c>
      <c r="F15613" s="479">
        <v>65.930000000000007</v>
      </c>
      <c r="G15613" s="479">
        <v>11.45</v>
      </c>
      <c r="H15613" s="480">
        <v>3473.03</v>
      </c>
      <c r="I15613" s="480">
        <v>3023.5</v>
      </c>
      <c r="J15613" s="480">
        <v>355.25</v>
      </c>
      <c r="K15613" s="480">
        <v>94.28</v>
      </c>
      <c r="L15613" s="611">
        <v>10.206388856236043</v>
      </c>
      <c r="M15613" s="611">
        <v>11.500570559147967</v>
      </c>
      <c r="N15613" s="611">
        <v>5.3882906112543605</v>
      </c>
      <c r="O15613" s="611">
        <v>8.2340611353711797</v>
      </c>
      <c r="P15613" s="481"/>
      <c r="Q15613" s="481"/>
      <c r="R15613" s="481">
        <v>2</v>
      </c>
    </row>
    <row r="15614" spans="1:18" ht="12.75" customHeight="1">
      <c r="A15614" s="630" t="s">
        <v>28002</v>
      </c>
      <c r="B15614" s="631"/>
      <c r="C15614" s="631"/>
      <c r="D15614" s="631"/>
      <c r="E15614" s="631"/>
      <c r="F15614" s="631"/>
      <c r="G15614" s="631"/>
      <c r="H15614" s="631"/>
      <c r="I15614" s="631"/>
      <c r="J15614" s="631"/>
      <c r="K15614" s="631"/>
      <c r="L15614" s="631"/>
      <c r="M15614" s="631"/>
      <c r="N15614" s="631"/>
      <c r="O15614" s="631"/>
      <c r="P15614" s="631"/>
      <c r="Q15614" s="631"/>
      <c r="R15614" s="631"/>
    </row>
    <row r="15615" spans="1:18" ht="12.75" customHeight="1">
      <c r="A15615" s="628" t="s">
        <v>28003</v>
      </c>
      <c r="B15615" s="629"/>
      <c r="C15615" s="629"/>
      <c r="D15615" s="629"/>
      <c r="E15615" s="629"/>
      <c r="F15615" s="629"/>
      <c r="G15615" s="629"/>
      <c r="H15615" s="629"/>
      <c r="I15615" s="629"/>
      <c r="J15615" s="629"/>
      <c r="K15615" s="629"/>
      <c r="L15615" s="629"/>
      <c r="M15615" s="629"/>
      <c r="N15615" s="629"/>
      <c r="O15615" s="629"/>
      <c r="P15615" s="629"/>
      <c r="Q15615" s="629"/>
      <c r="R15615" s="629"/>
    </row>
    <row r="15616" spans="1:18" ht="12.75" customHeight="1">
      <c r="A15616" s="628" t="s">
        <v>28004</v>
      </c>
      <c r="B15616" s="629"/>
      <c r="C15616" s="629"/>
      <c r="D15616" s="629"/>
      <c r="E15616" s="629"/>
      <c r="F15616" s="629"/>
      <c r="G15616" s="629"/>
      <c r="H15616" s="629"/>
      <c r="I15616" s="629"/>
      <c r="J15616" s="629"/>
      <c r="K15616" s="629"/>
      <c r="L15616" s="629"/>
      <c r="M15616" s="629"/>
      <c r="N15616" s="629"/>
      <c r="O15616" s="629"/>
      <c r="P15616" s="629"/>
      <c r="Q15616" s="629"/>
      <c r="R15616" s="629"/>
    </row>
    <row r="15617" spans="1:18" ht="24">
      <c r="A15617" s="471">
        <v>236</v>
      </c>
      <c r="B15617" s="468" t="s">
        <v>28005</v>
      </c>
      <c r="C15617" s="472" t="s">
        <v>28006</v>
      </c>
      <c r="D15617" s="473">
        <v>214.36</v>
      </c>
      <c r="E15617" s="473">
        <v>200.59</v>
      </c>
      <c r="F15617" s="473">
        <v>8.67</v>
      </c>
      <c r="G15617" s="473">
        <v>5.0999999999999996</v>
      </c>
      <c r="H15617" s="474">
        <v>2408.67</v>
      </c>
      <c r="I15617" s="474">
        <v>2306.84</v>
      </c>
      <c r="J15617" s="474">
        <v>46.17</v>
      </c>
      <c r="K15617" s="474">
        <v>55.66</v>
      </c>
      <c r="L15617" s="43">
        <v>11.236564657585371</v>
      </c>
      <c r="M15617" s="43">
        <v>11.50027419113615</v>
      </c>
      <c r="N15617" s="43">
        <v>5.3252595155709344</v>
      </c>
      <c r="O15617" s="43">
        <v>10.913725490196079</v>
      </c>
      <c r="P15617" s="475"/>
      <c r="Q15617" s="475"/>
      <c r="R15617" s="475">
        <v>1</v>
      </c>
    </row>
    <row r="15618" spans="1:18" ht="24">
      <c r="A15618" s="471">
        <v>237</v>
      </c>
      <c r="B15618" s="468" t="s">
        <v>28007</v>
      </c>
      <c r="C15618" s="472" t="s">
        <v>28008</v>
      </c>
      <c r="D15618" s="473">
        <v>665.26</v>
      </c>
      <c r="E15618" s="473">
        <v>498.32</v>
      </c>
      <c r="F15618" s="473">
        <v>153.1</v>
      </c>
      <c r="G15618" s="473">
        <v>13.84</v>
      </c>
      <c r="H15618" s="474">
        <v>6683.97</v>
      </c>
      <c r="I15618" s="474">
        <v>5730.66</v>
      </c>
      <c r="J15618" s="474">
        <v>819.05</v>
      </c>
      <c r="K15618" s="474">
        <v>134.26</v>
      </c>
      <c r="L15618" s="43">
        <v>10.047154495986533</v>
      </c>
      <c r="M15618" s="43">
        <v>11.499959865146893</v>
      </c>
      <c r="N15618" s="43">
        <v>5.3497713912475504</v>
      </c>
      <c r="O15618" s="43">
        <v>9.7008670520231206</v>
      </c>
      <c r="P15618" s="475"/>
      <c r="Q15618" s="475"/>
      <c r="R15618" s="475">
        <v>1</v>
      </c>
    </row>
    <row r="15619" spans="1:18" ht="24">
      <c r="A15619" s="471">
        <v>238</v>
      </c>
      <c r="B15619" s="468" t="s">
        <v>28009</v>
      </c>
      <c r="C15619" s="472" t="s">
        <v>28010</v>
      </c>
      <c r="D15619" s="473">
        <v>278.5</v>
      </c>
      <c r="E15619" s="473">
        <v>248.63</v>
      </c>
      <c r="F15619" s="473">
        <v>21.16</v>
      </c>
      <c r="G15619" s="473">
        <v>8.7100000000000009</v>
      </c>
      <c r="H15619" s="474">
        <v>3048.23</v>
      </c>
      <c r="I15619" s="474">
        <v>2859.25</v>
      </c>
      <c r="J15619" s="474">
        <v>113.41</v>
      </c>
      <c r="K15619" s="474">
        <v>75.569999999999993</v>
      </c>
      <c r="L15619" s="43">
        <v>10.945170556552963</v>
      </c>
      <c r="M15619" s="43">
        <v>11.500020110203918</v>
      </c>
      <c r="N15619" s="43">
        <v>5.3596408317580337</v>
      </c>
      <c r="O15619" s="43">
        <v>8.6762342135476445</v>
      </c>
      <c r="P15619" s="475"/>
      <c r="Q15619" s="475"/>
      <c r="R15619" s="475">
        <v>1</v>
      </c>
    </row>
    <row r="15620" spans="1:18" ht="24">
      <c r="A15620" s="471">
        <v>239</v>
      </c>
      <c r="B15620" s="468" t="s">
        <v>28011</v>
      </c>
      <c r="C15620" s="472" t="s">
        <v>28012</v>
      </c>
      <c r="D15620" s="473">
        <v>240.47</v>
      </c>
      <c r="E15620" s="473">
        <v>178.74</v>
      </c>
      <c r="F15620" s="473">
        <v>54.39</v>
      </c>
      <c r="G15620" s="473">
        <v>7.34</v>
      </c>
      <c r="H15620" s="474">
        <v>2408.35</v>
      </c>
      <c r="I15620" s="474">
        <v>2055.6</v>
      </c>
      <c r="J15620" s="474">
        <v>292.99</v>
      </c>
      <c r="K15620" s="474">
        <v>59.76</v>
      </c>
      <c r="L15620" s="43">
        <v>10.015178608558239</v>
      </c>
      <c r="M15620" s="43">
        <v>11.500503524672707</v>
      </c>
      <c r="N15620" s="43">
        <v>5.3868358154072444</v>
      </c>
      <c r="O15620" s="43">
        <v>8.1416893732970035</v>
      </c>
      <c r="P15620" s="475"/>
      <c r="Q15620" s="475"/>
      <c r="R15620" s="475">
        <v>1</v>
      </c>
    </row>
    <row r="15621" spans="1:18" ht="24">
      <c r="A15621" s="471">
        <v>240</v>
      </c>
      <c r="B15621" s="468" t="s">
        <v>28013</v>
      </c>
      <c r="C15621" s="472" t="s">
        <v>28014</v>
      </c>
      <c r="D15621" s="473">
        <v>223.2</v>
      </c>
      <c r="E15621" s="473">
        <v>200.59</v>
      </c>
      <c r="F15621" s="473">
        <v>14.91</v>
      </c>
      <c r="G15621" s="473">
        <v>7.7</v>
      </c>
      <c r="H15621" s="474">
        <v>2450.71</v>
      </c>
      <c r="I15621" s="474">
        <v>2306.84</v>
      </c>
      <c r="J15621" s="474">
        <v>79.760000000000005</v>
      </c>
      <c r="K15621" s="474">
        <v>64.11</v>
      </c>
      <c r="L15621" s="43">
        <v>10.979883512544804</v>
      </c>
      <c r="M15621" s="43">
        <v>11.50027419113615</v>
      </c>
      <c r="N15621" s="43">
        <v>5.3494299128101952</v>
      </c>
      <c r="O15621" s="43">
        <v>8.3259740259740251</v>
      </c>
      <c r="P15621" s="475"/>
      <c r="Q15621" s="475"/>
      <c r="R15621" s="475">
        <v>1</v>
      </c>
    </row>
    <row r="15622" spans="1:18" ht="24">
      <c r="A15622" s="471">
        <v>241</v>
      </c>
      <c r="B15622" s="468" t="s">
        <v>28015</v>
      </c>
      <c r="C15622" s="472" t="s">
        <v>28016</v>
      </c>
      <c r="D15622" s="473">
        <v>290.66000000000003</v>
      </c>
      <c r="E15622" s="473">
        <v>246.49</v>
      </c>
      <c r="F15622" s="473">
        <v>35.5</v>
      </c>
      <c r="G15622" s="473">
        <v>8.67</v>
      </c>
      <c r="H15622" s="474">
        <v>3100.56</v>
      </c>
      <c r="I15622" s="474">
        <v>2834.66</v>
      </c>
      <c r="J15622" s="474">
        <v>190.79</v>
      </c>
      <c r="K15622" s="474">
        <v>75.11</v>
      </c>
      <c r="L15622" s="43">
        <v>10.667308883231266</v>
      </c>
      <c r="M15622" s="43">
        <v>11.500101423992859</v>
      </c>
      <c r="N15622" s="43">
        <v>5.3743661971830985</v>
      </c>
      <c r="O15622" s="43">
        <v>8.6632064590542104</v>
      </c>
      <c r="P15622" s="475"/>
      <c r="Q15622" s="475"/>
      <c r="R15622" s="475">
        <v>1</v>
      </c>
    </row>
    <row r="15623" spans="1:18" ht="24">
      <c r="A15623" s="471">
        <v>242</v>
      </c>
      <c r="B15623" s="468" t="s">
        <v>28017</v>
      </c>
      <c r="C15623" s="472" t="s">
        <v>28018</v>
      </c>
      <c r="D15623" s="473">
        <v>261.8</v>
      </c>
      <c r="E15623" s="473">
        <v>218.44</v>
      </c>
      <c r="F15623" s="473">
        <v>35.22</v>
      </c>
      <c r="G15623" s="473">
        <v>8.14</v>
      </c>
      <c r="H15623" s="474">
        <v>2770.31</v>
      </c>
      <c r="I15623" s="474">
        <v>2512.0100000000002</v>
      </c>
      <c r="J15623" s="474">
        <v>189.34</v>
      </c>
      <c r="K15623" s="474">
        <v>68.959999999999994</v>
      </c>
      <c r="L15623" s="43">
        <v>10.581779984721161</v>
      </c>
      <c r="M15623" s="43">
        <v>11.499771104193373</v>
      </c>
      <c r="N15623" s="43">
        <v>5.3759227711527542</v>
      </c>
      <c r="O15623" s="43">
        <v>8.4717444717444703</v>
      </c>
      <c r="P15623" s="475"/>
      <c r="Q15623" s="475"/>
      <c r="R15623" s="475">
        <v>1</v>
      </c>
    </row>
    <row r="15624" spans="1:18" ht="12.75" customHeight="1">
      <c r="A15624" s="628" t="s">
        <v>28019</v>
      </c>
      <c r="B15624" s="629"/>
      <c r="C15624" s="629"/>
      <c r="D15624" s="629"/>
      <c r="E15624" s="629"/>
      <c r="F15624" s="629"/>
      <c r="G15624" s="629"/>
      <c r="H15624" s="629"/>
      <c r="I15624" s="629"/>
      <c r="J15624" s="629"/>
      <c r="K15624" s="629"/>
      <c r="L15624" s="629"/>
      <c r="M15624" s="629"/>
      <c r="N15624" s="629"/>
      <c r="O15624" s="629"/>
      <c r="P15624" s="629"/>
      <c r="Q15624" s="629"/>
      <c r="R15624" s="629"/>
    </row>
    <row r="15625" spans="1:18" ht="24">
      <c r="A15625" s="471">
        <v>243</v>
      </c>
      <c r="B15625" s="468" t="s">
        <v>28020</v>
      </c>
      <c r="C15625" s="472" t="s">
        <v>28021</v>
      </c>
      <c r="D15625" s="473">
        <v>1023.42</v>
      </c>
      <c r="E15625" s="473">
        <v>558.62</v>
      </c>
      <c r="F15625" s="473">
        <v>449.2</v>
      </c>
      <c r="G15625" s="473">
        <v>15.6</v>
      </c>
      <c r="H15625" s="474">
        <v>8992.67</v>
      </c>
      <c r="I15625" s="474">
        <v>6424.18</v>
      </c>
      <c r="J15625" s="474">
        <v>2415.54</v>
      </c>
      <c r="K15625" s="474">
        <v>152.94999999999999</v>
      </c>
      <c r="L15625" s="43">
        <v>8.7868812413280963</v>
      </c>
      <c r="M15625" s="43">
        <v>11.500089506283341</v>
      </c>
      <c r="N15625" s="43">
        <v>5.3774265360641138</v>
      </c>
      <c r="O15625" s="43">
        <v>9.8044871794871788</v>
      </c>
      <c r="P15625" s="475"/>
      <c r="Q15625" s="475"/>
      <c r="R15625" s="475">
        <v>2</v>
      </c>
    </row>
    <row r="15626" spans="1:18" ht="36">
      <c r="A15626" s="471">
        <v>244</v>
      </c>
      <c r="B15626" s="468" t="s">
        <v>28022</v>
      </c>
      <c r="C15626" s="472" t="s">
        <v>28023</v>
      </c>
      <c r="D15626" s="473">
        <v>393.52</v>
      </c>
      <c r="E15626" s="473">
        <v>343.85</v>
      </c>
      <c r="F15626" s="473">
        <v>38.93</v>
      </c>
      <c r="G15626" s="473">
        <v>10.74</v>
      </c>
      <c r="H15626" s="474">
        <v>4260.04</v>
      </c>
      <c r="I15626" s="474">
        <v>3954.28</v>
      </c>
      <c r="J15626" s="474">
        <v>207.16</v>
      </c>
      <c r="K15626" s="474">
        <v>98.6</v>
      </c>
      <c r="L15626" s="43">
        <v>10.825472657044115</v>
      </c>
      <c r="M15626" s="43">
        <v>11.50001454122437</v>
      </c>
      <c r="N15626" s="43">
        <v>5.3213460056511686</v>
      </c>
      <c r="O15626" s="43">
        <v>9.1806331471135927</v>
      </c>
      <c r="P15626" s="475"/>
      <c r="Q15626" s="475"/>
      <c r="R15626" s="475">
        <v>2</v>
      </c>
    </row>
    <row r="15627" spans="1:18" ht="24">
      <c r="A15627" s="471">
        <v>245</v>
      </c>
      <c r="B15627" s="468" t="s">
        <v>28024</v>
      </c>
      <c r="C15627" s="472" t="s">
        <v>28025</v>
      </c>
      <c r="D15627" s="473">
        <v>101.58</v>
      </c>
      <c r="E15627" s="473">
        <v>88.36</v>
      </c>
      <c r="F15627" s="473">
        <v>11.45</v>
      </c>
      <c r="G15627" s="473">
        <v>1.77</v>
      </c>
      <c r="H15627" s="474">
        <v>1098.3399999999999</v>
      </c>
      <c r="I15627" s="474">
        <v>1016.18</v>
      </c>
      <c r="J15627" s="474">
        <v>61.8</v>
      </c>
      <c r="K15627" s="474">
        <v>20.36</v>
      </c>
      <c r="L15627" s="43">
        <v>10.812561527859815</v>
      </c>
      <c r="M15627" s="43">
        <v>11.500452693526482</v>
      </c>
      <c r="N15627" s="43">
        <v>5.3973799126637552</v>
      </c>
      <c r="O15627" s="43">
        <v>11.502824858757062</v>
      </c>
      <c r="P15627" s="475"/>
      <c r="Q15627" s="475"/>
      <c r="R15627" s="475">
        <v>2</v>
      </c>
    </row>
    <row r="15628" spans="1:18" ht="12.75" customHeight="1">
      <c r="A15628" s="628" t="s">
        <v>28026</v>
      </c>
      <c r="B15628" s="629"/>
      <c r="C15628" s="629"/>
      <c r="D15628" s="629"/>
      <c r="E15628" s="629"/>
      <c r="F15628" s="629"/>
      <c r="G15628" s="629"/>
      <c r="H15628" s="629"/>
      <c r="I15628" s="629"/>
      <c r="J15628" s="629"/>
      <c r="K15628" s="629"/>
      <c r="L15628" s="629"/>
      <c r="M15628" s="629"/>
      <c r="N15628" s="629"/>
      <c r="O15628" s="629"/>
      <c r="P15628" s="629"/>
      <c r="Q15628" s="629"/>
      <c r="R15628" s="629"/>
    </row>
    <row r="15629" spans="1:18" ht="24">
      <c r="A15629" s="471">
        <v>246</v>
      </c>
      <c r="B15629" s="468" t="s">
        <v>28027</v>
      </c>
      <c r="C15629" s="472" t="s">
        <v>28028</v>
      </c>
      <c r="D15629" s="473">
        <v>760.58</v>
      </c>
      <c r="E15629" s="473">
        <v>548.22</v>
      </c>
      <c r="F15629" s="473">
        <v>197.36</v>
      </c>
      <c r="G15629" s="473">
        <v>15</v>
      </c>
      <c r="H15629" s="474">
        <v>7513.53</v>
      </c>
      <c r="I15629" s="474">
        <v>6304.82</v>
      </c>
      <c r="J15629" s="474">
        <v>1061.58</v>
      </c>
      <c r="K15629" s="474">
        <v>147.13</v>
      </c>
      <c r="L15629" s="43">
        <v>9.8786846880012611</v>
      </c>
      <c r="M15629" s="43">
        <v>11.500528984714165</v>
      </c>
      <c r="N15629" s="43">
        <v>5.3789014997973243</v>
      </c>
      <c r="O15629" s="43">
        <v>9.8086666666666655</v>
      </c>
      <c r="P15629" s="475"/>
      <c r="Q15629" s="475"/>
      <c r="R15629" s="475">
        <v>3</v>
      </c>
    </row>
    <row r="15630" spans="1:18" ht="24">
      <c r="A15630" s="471">
        <v>247</v>
      </c>
      <c r="B15630" s="468" t="s">
        <v>28029</v>
      </c>
      <c r="C15630" s="472" t="s">
        <v>28030</v>
      </c>
      <c r="D15630" s="473">
        <v>305.10000000000002</v>
      </c>
      <c r="E15630" s="473">
        <v>219.6</v>
      </c>
      <c r="F15630" s="473">
        <v>81.11</v>
      </c>
      <c r="G15630" s="473">
        <v>4.3899999999999997</v>
      </c>
      <c r="H15630" s="474">
        <v>3012.92</v>
      </c>
      <c r="I15630" s="474">
        <v>2525.4</v>
      </c>
      <c r="J15630" s="474">
        <v>437.03</v>
      </c>
      <c r="K15630" s="474">
        <v>50.49</v>
      </c>
      <c r="L15630" s="43">
        <v>9.8751884627990822</v>
      </c>
      <c r="M15630" s="43">
        <v>11.5</v>
      </c>
      <c r="N15630" s="43">
        <v>5.388114905683639</v>
      </c>
      <c r="O15630" s="43">
        <v>11.501138952164011</v>
      </c>
      <c r="P15630" s="475"/>
      <c r="Q15630" s="475"/>
      <c r="R15630" s="475">
        <v>3</v>
      </c>
    </row>
    <row r="15631" spans="1:18" ht="36">
      <c r="A15631" s="471">
        <v>248</v>
      </c>
      <c r="B15631" s="468" t="s">
        <v>28031</v>
      </c>
      <c r="C15631" s="472" t="s">
        <v>28032</v>
      </c>
      <c r="D15631" s="473">
        <v>2958.29</v>
      </c>
      <c r="E15631" s="473">
        <v>2016.24</v>
      </c>
      <c r="F15631" s="473">
        <v>897.24</v>
      </c>
      <c r="G15631" s="473">
        <v>44.81</v>
      </c>
      <c r="H15631" s="474">
        <v>28450.76</v>
      </c>
      <c r="I15631" s="474">
        <v>23186.76</v>
      </c>
      <c r="J15631" s="474">
        <v>4775.3599999999997</v>
      </c>
      <c r="K15631" s="474">
        <v>488.64</v>
      </c>
      <c r="L15631" s="43">
        <v>9.617299182973948</v>
      </c>
      <c r="M15631" s="43">
        <v>11.5</v>
      </c>
      <c r="N15631" s="43">
        <v>5.3222772056528909</v>
      </c>
      <c r="O15631" s="43">
        <v>10.904708770363758</v>
      </c>
      <c r="P15631" s="475"/>
      <c r="Q15631" s="475"/>
      <c r="R15631" s="475">
        <v>3</v>
      </c>
    </row>
    <row r="15632" spans="1:18" ht="24">
      <c r="A15632" s="471">
        <v>249</v>
      </c>
      <c r="B15632" s="468" t="s">
        <v>28033</v>
      </c>
      <c r="C15632" s="472" t="s">
        <v>28034</v>
      </c>
      <c r="D15632" s="473">
        <v>2283.08</v>
      </c>
      <c r="E15632" s="473">
        <v>1929.84</v>
      </c>
      <c r="F15632" s="473">
        <v>309.51</v>
      </c>
      <c r="G15632" s="473">
        <v>43.73</v>
      </c>
      <c r="H15632" s="474">
        <v>24316.14</v>
      </c>
      <c r="I15632" s="474">
        <v>22193.16</v>
      </c>
      <c r="J15632" s="474">
        <v>1648.46</v>
      </c>
      <c r="K15632" s="474">
        <v>474.52</v>
      </c>
      <c r="L15632" s="43">
        <v>10.650586050423113</v>
      </c>
      <c r="M15632" s="43">
        <v>11.5</v>
      </c>
      <c r="N15632" s="43">
        <v>5.3260314690963142</v>
      </c>
      <c r="O15632" s="43">
        <v>10.851131946032472</v>
      </c>
      <c r="P15632" s="475"/>
      <c r="Q15632" s="475"/>
      <c r="R15632" s="475">
        <v>3</v>
      </c>
    </row>
    <row r="15633" spans="1:18" ht="24">
      <c r="A15633" s="471">
        <v>250</v>
      </c>
      <c r="B15633" s="468" t="s">
        <v>28035</v>
      </c>
      <c r="C15633" s="472" t="s">
        <v>28036</v>
      </c>
      <c r="D15633" s="473">
        <v>81.91</v>
      </c>
      <c r="E15633" s="473">
        <v>76.569999999999993</v>
      </c>
      <c r="F15633" s="473">
        <v>3.67</v>
      </c>
      <c r="G15633" s="473">
        <v>1.67</v>
      </c>
      <c r="H15633" s="474">
        <v>918.96</v>
      </c>
      <c r="I15633" s="474">
        <v>880.51</v>
      </c>
      <c r="J15633" s="474">
        <v>19.66</v>
      </c>
      <c r="K15633" s="474">
        <v>18.79</v>
      </c>
      <c r="L15633" s="43">
        <v>11.219142961787329</v>
      </c>
      <c r="M15633" s="43">
        <v>11.499412302468331</v>
      </c>
      <c r="N15633" s="43">
        <v>5.3569482288828336</v>
      </c>
      <c r="O15633" s="43">
        <v>11.251497005988023</v>
      </c>
      <c r="P15633" s="475"/>
      <c r="Q15633" s="475"/>
      <c r="R15633" s="475">
        <v>3</v>
      </c>
    </row>
    <row r="15634" spans="1:18" ht="24">
      <c r="A15634" s="471">
        <v>251</v>
      </c>
      <c r="B15634" s="468" t="s">
        <v>28037</v>
      </c>
      <c r="C15634" s="472" t="s">
        <v>28038</v>
      </c>
      <c r="D15634" s="473">
        <v>631.52</v>
      </c>
      <c r="E15634" s="473">
        <v>480.88</v>
      </c>
      <c r="F15634" s="473">
        <v>135.58000000000001</v>
      </c>
      <c r="G15634" s="473">
        <v>15.06</v>
      </c>
      <c r="H15634" s="474">
        <v>6403.93</v>
      </c>
      <c r="I15634" s="474">
        <v>5530.33</v>
      </c>
      <c r="J15634" s="474">
        <v>729.66</v>
      </c>
      <c r="K15634" s="474">
        <v>143.94</v>
      </c>
      <c r="L15634" s="43">
        <v>10.14050228021282</v>
      </c>
      <c r="M15634" s="43">
        <v>11.500436699384462</v>
      </c>
      <c r="N15634" s="43">
        <v>5.3817672223041741</v>
      </c>
      <c r="O15634" s="43">
        <v>9.5577689243027883</v>
      </c>
      <c r="P15634" s="475"/>
      <c r="Q15634" s="475"/>
      <c r="R15634" s="475">
        <v>3</v>
      </c>
    </row>
    <row r="15635" spans="1:18" ht="24">
      <c r="A15635" s="471">
        <v>252</v>
      </c>
      <c r="B15635" s="468" t="s">
        <v>28039</v>
      </c>
      <c r="C15635" s="472" t="s">
        <v>28040</v>
      </c>
      <c r="D15635" s="473">
        <v>736.9</v>
      </c>
      <c r="E15635" s="473">
        <v>593.54</v>
      </c>
      <c r="F15635" s="473">
        <v>126.6</v>
      </c>
      <c r="G15635" s="473">
        <v>16.760000000000002</v>
      </c>
      <c r="H15635" s="474">
        <v>7669.94</v>
      </c>
      <c r="I15635" s="474">
        <v>6825.69</v>
      </c>
      <c r="J15635" s="474">
        <v>679.2</v>
      </c>
      <c r="K15635" s="474">
        <v>165.05</v>
      </c>
      <c r="L15635" s="43">
        <v>10.40838648391912</v>
      </c>
      <c r="M15635" s="43">
        <v>11.499966303871686</v>
      </c>
      <c r="N15635" s="43">
        <v>5.3649289099526074</v>
      </c>
      <c r="O15635" s="43">
        <v>9.8478520286396183</v>
      </c>
      <c r="P15635" s="475"/>
      <c r="Q15635" s="475"/>
      <c r="R15635" s="475">
        <v>3</v>
      </c>
    </row>
    <row r="15636" spans="1:18" ht="24">
      <c r="A15636" s="471">
        <v>253</v>
      </c>
      <c r="B15636" s="468" t="s">
        <v>28041</v>
      </c>
      <c r="C15636" s="472" t="s">
        <v>28042</v>
      </c>
      <c r="D15636" s="473">
        <v>98.75</v>
      </c>
      <c r="E15636" s="473">
        <v>89.18</v>
      </c>
      <c r="F15636" s="473">
        <v>3.95</v>
      </c>
      <c r="G15636" s="473">
        <v>5.62</v>
      </c>
      <c r="H15636" s="474">
        <v>1086.4100000000001</v>
      </c>
      <c r="I15636" s="474">
        <v>1025.52</v>
      </c>
      <c r="J15636" s="474">
        <v>21.12</v>
      </c>
      <c r="K15636" s="474">
        <v>39.770000000000003</v>
      </c>
      <c r="L15636" s="43">
        <v>11.001620253164559</v>
      </c>
      <c r="M15636" s="43">
        <v>11.49943933617403</v>
      </c>
      <c r="N15636" s="43">
        <v>5.3468354430379748</v>
      </c>
      <c r="O15636" s="43">
        <v>7.0765124555160144</v>
      </c>
      <c r="P15636" s="475"/>
      <c r="Q15636" s="475"/>
      <c r="R15636" s="475">
        <v>3</v>
      </c>
    </row>
    <row r="15637" spans="1:18" ht="24">
      <c r="A15637" s="471">
        <v>254</v>
      </c>
      <c r="B15637" s="468" t="s">
        <v>28043</v>
      </c>
      <c r="C15637" s="472" t="s">
        <v>28044</v>
      </c>
      <c r="D15637" s="473">
        <v>48.29</v>
      </c>
      <c r="E15637" s="473">
        <v>41.21</v>
      </c>
      <c r="F15637" s="473">
        <v>6.26</v>
      </c>
      <c r="G15637" s="473">
        <v>0.82</v>
      </c>
      <c r="H15637" s="474">
        <v>516.99</v>
      </c>
      <c r="I15637" s="474">
        <v>473.89</v>
      </c>
      <c r="J15637" s="474">
        <v>33.67</v>
      </c>
      <c r="K15637" s="474">
        <v>9.43</v>
      </c>
      <c r="L15637" s="43">
        <v>10.705943259474012</v>
      </c>
      <c r="M15637" s="43">
        <v>11.499393351128367</v>
      </c>
      <c r="N15637" s="43">
        <v>5.3785942492012788</v>
      </c>
      <c r="O15637" s="43">
        <v>11.5</v>
      </c>
      <c r="P15637" s="475"/>
      <c r="Q15637" s="475"/>
      <c r="R15637" s="475">
        <v>3</v>
      </c>
    </row>
    <row r="15638" spans="1:18" ht="24">
      <c r="A15638" s="471">
        <v>255</v>
      </c>
      <c r="B15638" s="468" t="s">
        <v>28045</v>
      </c>
      <c r="C15638" s="472" t="s">
        <v>28046</v>
      </c>
      <c r="D15638" s="473">
        <v>350.06</v>
      </c>
      <c r="E15638" s="473">
        <v>301.33999999999997</v>
      </c>
      <c r="F15638" s="473">
        <v>38.880000000000003</v>
      </c>
      <c r="G15638" s="473">
        <v>9.84</v>
      </c>
      <c r="H15638" s="474">
        <v>3762.7</v>
      </c>
      <c r="I15638" s="474">
        <v>3465.46</v>
      </c>
      <c r="J15638" s="474">
        <v>208.89</v>
      </c>
      <c r="K15638" s="474">
        <v>88.35</v>
      </c>
      <c r="L15638" s="43">
        <v>10.748728789350396</v>
      </c>
      <c r="M15638" s="43">
        <v>11.500165925532622</v>
      </c>
      <c r="N15638" s="43">
        <v>5.3726851851851842</v>
      </c>
      <c r="O15638" s="43">
        <v>8.9786585365853657</v>
      </c>
      <c r="P15638" s="475"/>
      <c r="Q15638" s="475"/>
      <c r="R15638" s="475">
        <v>3</v>
      </c>
    </row>
    <row r="15639" spans="1:18" ht="24">
      <c r="A15639" s="471">
        <v>256</v>
      </c>
      <c r="B15639" s="468" t="s">
        <v>28047</v>
      </c>
      <c r="C15639" s="472" t="s">
        <v>28048</v>
      </c>
      <c r="D15639" s="473">
        <v>432.17</v>
      </c>
      <c r="E15639" s="473">
        <v>379.82</v>
      </c>
      <c r="F15639" s="473">
        <v>44.75</v>
      </c>
      <c r="G15639" s="473">
        <v>7.6</v>
      </c>
      <c r="H15639" s="474">
        <v>4695.93</v>
      </c>
      <c r="I15639" s="474">
        <v>4367.95</v>
      </c>
      <c r="J15639" s="474">
        <v>240.58</v>
      </c>
      <c r="K15639" s="474">
        <v>87.4</v>
      </c>
      <c r="L15639" s="43">
        <v>10.865932387717796</v>
      </c>
      <c r="M15639" s="43">
        <v>11.500052656521509</v>
      </c>
      <c r="N15639" s="43">
        <v>5.3760893854748604</v>
      </c>
      <c r="O15639" s="43">
        <v>11.500000000000002</v>
      </c>
      <c r="P15639" s="475"/>
      <c r="Q15639" s="475"/>
      <c r="R15639" s="475">
        <v>3</v>
      </c>
    </row>
    <row r="15640" spans="1:18" ht="24">
      <c r="A15640" s="471">
        <v>257</v>
      </c>
      <c r="B15640" s="468" t="s">
        <v>28049</v>
      </c>
      <c r="C15640" s="472" t="s">
        <v>28050</v>
      </c>
      <c r="D15640" s="473">
        <v>536.17999999999995</v>
      </c>
      <c r="E15640" s="473">
        <v>410.66</v>
      </c>
      <c r="F15640" s="473">
        <v>117.31</v>
      </c>
      <c r="G15640" s="473">
        <v>8.2100000000000009</v>
      </c>
      <c r="H15640" s="474">
        <v>5449.18</v>
      </c>
      <c r="I15640" s="474">
        <v>4722.76</v>
      </c>
      <c r="J15640" s="474">
        <v>632</v>
      </c>
      <c r="K15640" s="474">
        <v>94.42</v>
      </c>
      <c r="L15640" s="43">
        <v>10.162967660114143</v>
      </c>
      <c r="M15640" s="43">
        <v>11.500413967759217</v>
      </c>
      <c r="N15640" s="43">
        <v>5.3874350012786634</v>
      </c>
      <c r="O15640" s="43">
        <v>11.500609013398293</v>
      </c>
      <c r="P15640" s="475"/>
      <c r="Q15640" s="475"/>
      <c r="R15640" s="475">
        <v>3</v>
      </c>
    </row>
    <row r="15641" spans="1:18" ht="12.75" customHeight="1">
      <c r="A15641" s="628" t="s">
        <v>19144</v>
      </c>
      <c r="B15641" s="629"/>
      <c r="C15641" s="629"/>
      <c r="D15641" s="629"/>
      <c r="E15641" s="629"/>
      <c r="F15641" s="629"/>
      <c r="G15641" s="629"/>
      <c r="H15641" s="629"/>
      <c r="I15641" s="629"/>
      <c r="J15641" s="629"/>
      <c r="K15641" s="629"/>
      <c r="L15641" s="629"/>
      <c r="M15641" s="629"/>
      <c r="N15641" s="629"/>
      <c r="O15641" s="629"/>
      <c r="P15641" s="629"/>
      <c r="Q15641" s="629"/>
      <c r="R15641" s="629"/>
    </row>
    <row r="15642" spans="1:18" ht="24">
      <c r="A15642" s="471">
        <v>258</v>
      </c>
      <c r="B15642" s="468" t="s">
        <v>28051</v>
      </c>
      <c r="C15642" s="472" t="s">
        <v>28052</v>
      </c>
      <c r="D15642" s="473">
        <v>226.42</v>
      </c>
      <c r="E15642" s="473">
        <v>178.74</v>
      </c>
      <c r="F15642" s="473">
        <v>40.369999999999997</v>
      </c>
      <c r="G15642" s="473">
        <v>7.31</v>
      </c>
      <c r="H15642" s="474">
        <v>2332.35</v>
      </c>
      <c r="I15642" s="474">
        <v>2055.6</v>
      </c>
      <c r="J15642" s="474">
        <v>217.28</v>
      </c>
      <c r="K15642" s="474">
        <v>59.47</v>
      </c>
      <c r="L15642" s="43">
        <v>10.300989311898242</v>
      </c>
      <c r="M15642" s="43">
        <v>11.500503524672707</v>
      </c>
      <c r="N15642" s="43">
        <v>5.382214515729502</v>
      </c>
      <c r="O15642" s="43">
        <v>8.1354309165526679</v>
      </c>
      <c r="P15642" s="475"/>
      <c r="Q15642" s="475"/>
      <c r="R15642" s="475">
        <v>4</v>
      </c>
    </row>
    <row r="15643" spans="1:18" ht="24">
      <c r="A15643" s="471">
        <v>259</v>
      </c>
      <c r="B15643" s="468" t="s">
        <v>28053</v>
      </c>
      <c r="C15643" s="472" t="s">
        <v>28054</v>
      </c>
      <c r="D15643" s="473">
        <v>270.86</v>
      </c>
      <c r="E15643" s="473">
        <v>189.66</v>
      </c>
      <c r="F15643" s="473">
        <v>73.260000000000005</v>
      </c>
      <c r="G15643" s="473">
        <v>7.94</v>
      </c>
      <c r="H15643" s="474">
        <v>2641.27</v>
      </c>
      <c r="I15643" s="474">
        <v>2181.2199999999998</v>
      </c>
      <c r="J15643" s="474">
        <v>394.48</v>
      </c>
      <c r="K15643" s="474">
        <v>65.569999999999993</v>
      </c>
      <c r="L15643" s="43">
        <v>9.7514213985084535</v>
      </c>
      <c r="M15643" s="43">
        <v>11.500685437097964</v>
      </c>
      <c r="N15643" s="43">
        <v>5.3846573846573849</v>
      </c>
      <c r="O15643" s="43">
        <v>8.2581863979848862</v>
      </c>
      <c r="P15643" s="475"/>
      <c r="Q15643" s="475"/>
      <c r="R15643" s="475">
        <v>4</v>
      </c>
    </row>
    <row r="15644" spans="1:18" ht="24">
      <c r="A15644" s="471">
        <v>260</v>
      </c>
      <c r="B15644" s="468" t="s">
        <v>28055</v>
      </c>
      <c r="C15644" s="472" t="s">
        <v>28056</v>
      </c>
      <c r="D15644" s="473">
        <v>240.15</v>
      </c>
      <c r="E15644" s="473">
        <v>189.66</v>
      </c>
      <c r="F15644" s="473">
        <v>42.96</v>
      </c>
      <c r="G15644" s="473">
        <v>7.53</v>
      </c>
      <c r="H15644" s="474">
        <v>2474.52</v>
      </c>
      <c r="I15644" s="474">
        <v>2181.2199999999998</v>
      </c>
      <c r="J15644" s="474">
        <v>231.3</v>
      </c>
      <c r="K15644" s="474">
        <v>62</v>
      </c>
      <c r="L15644" s="43">
        <v>10.304059962523423</v>
      </c>
      <c r="M15644" s="43">
        <v>11.500685437097964</v>
      </c>
      <c r="N15644" s="43">
        <v>5.3840782122905031</v>
      </c>
      <c r="O15644" s="43">
        <v>8.2337317397078351</v>
      </c>
      <c r="P15644" s="475"/>
      <c r="Q15644" s="475"/>
      <c r="R15644" s="475">
        <v>4</v>
      </c>
    </row>
    <row r="15645" spans="1:18" ht="24">
      <c r="A15645" s="471">
        <v>261</v>
      </c>
      <c r="B15645" s="468" t="s">
        <v>28057</v>
      </c>
      <c r="C15645" s="472" t="s">
        <v>28058</v>
      </c>
      <c r="D15645" s="473">
        <v>215.52</v>
      </c>
      <c r="E15645" s="473">
        <v>178.74</v>
      </c>
      <c r="F15645" s="473">
        <v>28.98</v>
      </c>
      <c r="G15645" s="473">
        <v>7.8</v>
      </c>
      <c r="H15645" s="474">
        <v>2272.79</v>
      </c>
      <c r="I15645" s="474">
        <v>2055.6</v>
      </c>
      <c r="J15645" s="474">
        <v>155.74</v>
      </c>
      <c r="K15645" s="474">
        <v>61.45</v>
      </c>
      <c r="L15645" s="43">
        <v>10.545610616184112</v>
      </c>
      <c r="M15645" s="43">
        <v>11.500503524672707</v>
      </c>
      <c r="N15645" s="43">
        <v>5.3740510697032438</v>
      </c>
      <c r="O15645" s="43">
        <v>7.8782051282051286</v>
      </c>
      <c r="P15645" s="475"/>
      <c r="Q15645" s="475"/>
      <c r="R15645" s="475">
        <v>4</v>
      </c>
    </row>
    <row r="15646" spans="1:18" ht="24">
      <c r="A15646" s="471">
        <v>262</v>
      </c>
      <c r="B15646" s="468" t="s">
        <v>28059</v>
      </c>
      <c r="C15646" s="472" t="s">
        <v>28060</v>
      </c>
      <c r="D15646" s="473">
        <v>60.52</v>
      </c>
      <c r="E15646" s="473">
        <v>55.71</v>
      </c>
      <c r="F15646" s="473">
        <v>3.67</v>
      </c>
      <c r="G15646" s="473">
        <v>1.1399999999999999</v>
      </c>
      <c r="H15646" s="474">
        <v>673.39</v>
      </c>
      <c r="I15646" s="474">
        <v>640.66</v>
      </c>
      <c r="J15646" s="474">
        <v>19.66</v>
      </c>
      <c r="K15646" s="474">
        <v>13.07</v>
      </c>
      <c r="L15646" s="43">
        <v>11.12673496364838</v>
      </c>
      <c r="M15646" s="43">
        <v>11.499910249506371</v>
      </c>
      <c r="N15646" s="43">
        <v>5.3569482288828336</v>
      </c>
      <c r="O15646" s="43">
        <v>11.464912280701755</v>
      </c>
      <c r="P15646" s="475"/>
      <c r="Q15646" s="475"/>
      <c r="R15646" s="475">
        <v>4</v>
      </c>
    </row>
    <row r="15647" spans="1:18" ht="24">
      <c r="A15647" s="471">
        <v>263</v>
      </c>
      <c r="B15647" s="468" t="s">
        <v>28061</v>
      </c>
      <c r="C15647" s="472" t="s">
        <v>28062</v>
      </c>
      <c r="D15647" s="473">
        <v>225.36</v>
      </c>
      <c r="E15647" s="473">
        <v>197.46</v>
      </c>
      <c r="F15647" s="473">
        <v>22.87</v>
      </c>
      <c r="G15647" s="473">
        <v>5.03</v>
      </c>
      <c r="H15647" s="474">
        <v>2444.46</v>
      </c>
      <c r="I15647" s="474">
        <v>2270.88</v>
      </c>
      <c r="J15647" s="474">
        <v>122.76</v>
      </c>
      <c r="K15647" s="474">
        <v>50.82</v>
      </c>
      <c r="L15647" s="43">
        <v>10.846911608093716</v>
      </c>
      <c r="M15647" s="43">
        <v>11.500455788514129</v>
      </c>
      <c r="N15647" s="43">
        <v>5.3677306515085261</v>
      </c>
      <c r="O15647" s="43">
        <v>10.103379721669979</v>
      </c>
      <c r="P15647" s="475"/>
      <c r="Q15647" s="475"/>
      <c r="R15647" s="475">
        <v>4</v>
      </c>
    </row>
    <row r="15648" spans="1:18" ht="24">
      <c r="A15648" s="471">
        <v>264</v>
      </c>
      <c r="B15648" s="468" t="s">
        <v>28063</v>
      </c>
      <c r="C15648" s="472" t="s">
        <v>28064</v>
      </c>
      <c r="D15648" s="473">
        <v>543.55999999999995</v>
      </c>
      <c r="E15648" s="473">
        <v>382.87</v>
      </c>
      <c r="F15648" s="473">
        <v>149.26</v>
      </c>
      <c r="G15648" s="473">
        <v>11.43</v>
      </c>
      <c r="H15648" s="474">
        <v>5311.52</v>
      </c>
      <c r="I15648" s="474">
        <v>4403.03</v>
      </c>
      <c r="J15648" s="474">
        <v>801.7</v>
      </c>
      <c r="K15648" s="474">
        <v>106.79</v>
      </c>
      <c r="L15648" s="43">
        <v>9.7717271322393131</v>
      </c>
      <c r="M15648" s="43">
        <v>11.500065296314675</v>
      </c>
      <c r="N15648" s="43">
        <v>5.3711644110947345</v>
      </c>
      <c r="O15648" s="43">
        <v>9.3429571303587053</v>
      </c>
      <c r="P15648" s="475"/>
      <c r="Q15648" s="475"/>
      <c r="R15648" s="475">
        <v>4</v>
      </c>
    </row>
    <row r="15649" spans="1:18" ht="24">
      <c r="A15649" s="471">
        <v>265</v>
      </c>
      <c r="B15649" s="468" t="s">
        <v>28065</v>
      </c>
      <c r="C15649" s="472" t="s">
        <v>28066</v>
      </c>
      <c r="D15649" s="473">
        <v>338.16</v>
      </c>
      <c r="E15649" s="473">
        <v>225.45</v>
      </c>
      <c r="F15649" s="473">
        <v>104.16</v>
      </c>
      <c r="G15649" s="473">
        <v>8.5500000000000007</v>
      </c>
      <c r="H15649" s="474">
        <v>3227.02</v>
      </c>
      <c r="I15649" s="474">
        <v>2592.6799999999998</v>
      </c>
      <c r="J15649" s="474">
        <v>561.38</v>
      </c>
      <c r="K15649" s="474">
        <v>72.959999999999994</v>
      </c>
      <c r="L15649" s="43">
        <v>9.5428791104802446</v>
      </c>
      <c r="M15649" s="43">
        <v>11.500022177866489</v>
      </c>
      <c r="N15649" s="43">
        <v>5.3895929339477728</v>
      </c>
      <c r="O15649" s="43">
        <v>8.5333333333333314</v>
      </c>
      <c r="P15649" s="475"/>
      <c r="Q15649" s="475"/>
      <c r="R15649" s="475">
        <v>4</v>
      </c>
    </row>
    <row r="15650" spans="1:18" ht="24">
      <c r="A15650" s="471">
        <v>266</v>
      </c>
      <c r="B15650" s="468" t="s">
        <v>28067</v>
      </c>
      <c r="C15650" s="472" t="s">
        <v>28068</v>
      </c>
      <c r="D15650" s="473">
        <v>298.99</v>
      </c>
      <c r="E15650" s="473">
        <v>254.9</v>
      </c>
      <c r="F15650" s="473">
        <v>35.22</v>
      </c>
      <c r="G15650" s="473">
        <v>8.8699999999999992</v>
      </c>
      <c r="H15650" s="474">
        <v>3198.09</v>
      </c>
      <c r="I15650" s="474">
        <v>2931.4</v>
      </c>
      <c r="J15650" s="474">
        <v>189.34</v>
      </c>
      <c r="K15650" s="474">
        <v>77.349999999999994</v>
      </c>
      <c r="L15650" s="43">
        <v>10.696310913408475</v>
      </c>
      <c r="M15650" s="43">
        <v>11.500196155355042</v>
      </c>
      <c r="N15650" s="43">
        <v>5.3759227711527542</v>
      </c>
      <c r="O15650" s="43">
        <v>8.7204058624577225</v>
      </c>
      <c r="P15650" s="475"/>
      <c r="Q15650" s="475"/>
      <c r="R15650" s="475">
        <v>4</v>
      </c>
    </row>
    <row r="15651" spans="1:18" ht="12.75" customHeight="1">
      <c r="A15651" s="628" t="s">
        <v>28069</v>
      </c>
      <c r="B15651" s="629"/>
      <c r="C15651" s="629"/>
      <c r="D15651" s="629"/>
      <c r="E15651" s="629"/>
      <c r="F15651" s="629"/>
      <c r="G15651" s="629"/>
      <c r="H15651" s="629"/>
      <c r="I15651" s="629"/>
      <c r="J15651" s="629"/>
      <c r="K15651" s="629"/>
      <c r="L15651" s="629"/>
      <c r="M15651" s="629"/>
      <c r="N15651" s="629"/>
      <c r="O15651" s="629"/>
      <c r="P15651" s="629"/>
      <c r="Q15651" s="629"/>
      <c r="R15651" s="629"/>
    </row>
    <row r="15652" spans="1:18" ht="12.75" customHeight="1">
      <c r="A15652" s="628" t="s">
        <v>28070</v>
      </c>
      <c r="B15652" s="629"/>
      <c r="C15652" s="629"/>
      <c r="D15652" s="629"/>
      <c r="E15652" s="629"/>
      <c r="F15652" s="629"/>
      <c r="G15652" s="629"/>
      <c r="H15652" s="629"/>
      <c r="I15652" s="629"/>
      <c r="J15652" s="629"/>
      <c r="K15652" s="629"/>
      <c r="L15652" s="629"/>
      <c r="M15652" s="629"/>
      <c r="N15652" s="629"/>
      <c r="O15652" s="629"/>
      <c r="P15652" s="629"/>
      <c r="Q15652" s="629"/>
      <c r="R15652" s="629"/>
    </row>
    <row r="15653" spans="1:18" ht="24">
      <c r="A15653" s="471">
        <v>267</v>
      </c>
      <c r="B15653" s="468" t="s">
        <v>28071</v>
      </c>
      <c r="C15653" s="472" t="s">
        <v>28072</v>
      </c>
      <c r="D15653" s="473">
        <v>146</v>
      </c>
      <c r="E15653" s="473">
        <v>105.55</v>
      </c>
      <c r="F15653" s="473">
        <v>37.22</v>
      </c>
      <c r="G15653" s="473">
        <v>3.23</v>
      </c>
      <c r="H15653" s="474">
        <v>1444.63</v>
      </c>
      <c r="I15653" s="474">
        <v>1213.82</v>
      </c>
      <c r="J15653" s="474">
        <v>200.85</v>
      </c>
      <c r="K15653" s="474">
        <v>29.96</v>
      </c>
      <c r="L15653" s="43">
        <v>9.8947260273972617</v>
      </c>
      <c r="M15653" s="43">
        <v>11.49995262908574</v>
      </c>
      <c r="N15653" s="43">
        <v>5.3962923159591618</v>
      </c>
      <c r="O15653" s="43">
        <v>9.2755417956656352</v>
      </c>
      <c r="P15653" s="475"/>
      <c r="Q15653" s="475"/>
      <c r="R15653" s="475">
        <v>1</v>
      </c>
    </row>
    <row r="15654" spans="1:18" ht="24">
      <c r="A15654" s="471">
        <v>268</v>
      </c>
      <c r="B15654" s="468" t="s">
        <v>28073</v>
      </c>
      <c r="C15654" s="472" t="s">
        <v>28074</v>
      </c>
      <c r="D15654" s="473">
        <v>164.29</v>
      </c>
      <c r="E15654" s="473">
        <v>128.54</v>
      </c>
      <c r="F15654" s="473">
        <v>32.06</v>
      </c>
      <c r="G15654" s="473">
        <v>3.69</v>
      </c>
      <c r="H15654" s="474">
        <v>1686.37</v>
      </c>
      <c r="I15654" s="474">
        <v>1478.21</v>
      </c>
      <c r="J15654" s="474">
        <v>172.91</v>
      </c>
      <c r="K15654" s="474">
        <v>35.25</v>
      </c>
      <c r="L15654" s="43">
        <v>10.264593097571368</v>
      </c>
      <c r="M15654" s="43">
        <v>11.500000000000002</v>
      </c>
      <c r="N15654" s="43">
        <v>5.3933250155957575</v>
      </c>
      <c r="O15654" s="43">
        <v>9.5528455284552845</v>
      </c>
      <c r="P15654" s="475"/>
      <c r="Q15654" s="475"/>
      <c r="R15654" s="475">
        <v>1</v>
      </c>
    </row>
    <row r="15655" spans="1:18" ht="24">
      <c r="A15655" s="471">
        <v>269</v>
      </c>
      <c r="B15655" s="468" t="s">
        <v>28075</v>
      </c>
      <c r="C15655" s="472" t="s">
        <v>28076</v>
      </c>
      <c r="D15655" s="473">
        <v>125.09</v>
      </c>
      <c r="E15655" s="473">
        <v>93.74</v>
      </c>
      <c r="F15655" s="473">
        <v>28.39</v>
      </c>
      <c r="G15655" s="473">
        <v>2.96</v>
      </c>
      <c r="H15655" s="474">
        <v>1258.22</v>
      </c>
      <c r="I15655" s="474">
        <v>1078.01</v>
      </c>
      <c r="J15655" s="474">
        <v>153.25</v>
      </c>
      <c r="K15655" s="474">
        <v>26.96</v>
      </c>
      <c r="L15655" s="43">
        <v>10.058517867135663</v>
      </c>
      <c r="M15655" s="43">
        <v>11.5</v>
      </c>
      <c r="N15655" s="43">
        <v>5.3980274744628387</v>
      </c>
      <c r="O15655" s="43">
        <v>9.1081081081081088</v>
      </c>
      <c r="P15655" s="475"/>
      <c r="Q15655" s="475"/>
      <c r="R15655" s="475">
        <v>1</v>
      </c>
    </row>
    <row r="15656" spans="1:18" ht="12.75" customHeight="1">
      <c r="A15656" s="628" t="s">
        <v>28077</v>
      </c>
      <c r="B15656" s="629"/>
      <c r="C15656" s="629"/>
      <c r="D15656" s="629"/>
      <c r="E15656" s="629"/>
      <c r="F15656" s="629"/>
      <c r="G15656" s="629"/>
      <c r="H15656" s="629"/>
      <c r="I15656" s="629"/>
      <c r="J15656" s="629"/>
      <c r="K15656" s="629"/>
      <c r="L15656" s="629"/>
      <c r="M15656" s="629"/>
      <c r="N15656" s="629"/>
      <c r="O15656" s="629"/>
      <c r="P15656" s="629"/>
      <c r="Q15656" s="629"/>
      <c r="R15656" s="629"/>
    </row>
    <row r="15657" spans="1:18" ht="24">
      <c r="A15657" s="471">
        <v>270</v>
      </c>
      <c r="B15657" s="468" t="s">
        <v>28078</v>
      </c>
      <c r="C15657" s="472" t="s">
        <v>28079</v>
      </c>
      <c r="D15657" s="473">
        <v>285.17</v>
      </c>
      <c r="E15657" s="473">
        <v>160.16</v>
      </c>
      <c r="F15657" s="473">
        <v>120.67</v>
      </c>
      <c r="G15657" s="473">
        <v>4.34</v>
      </c>
      <c r="H15657" s="474">
        <v>2538.9899999999998</v>
      </c>
      <c r="I15657" s="474">
        <v>1841.94</v>
      </c>
      <c r="J15657" s="474">
        <v>654.33000000000004</v>
      </c>
      <c r="K15657" s="474">
        <v>42.72</v>
      </c>
      <c r="L15657" s="43">
        <v>8.9034260265806342</v>
      </c>
      <c r="M15657" s="43">
        <v>11.500624375624376</v>
      </c>
      <c r="N15657" s="43">
        <v>5.4224745172785287</v>
      </c>
      <c r="O15657" s="43">
        <v>9.8433179723502313</v>
      </c>
      <c r="P15657" s="475"/>
      <c r="Q15657" s="475"/>
      <c r="R15657" s="475">
        <v>2</v>
      </c>
    </row>
    <row r="15658" spans="1:18" ht="24">
      <c r="A15658" s="471">
        <v>271</v>
      </c>
      <c r="B15658" s="468" t="s">
        <v>28080</v>
      </c>
      <c r="C15658" s="472" t="s">
        <v>28081</v>
      </c>
      <c r="D15658" s="473">
        <v>194.26</v>
      </c>
      <c r="E15658" s="473">
        <v>164.07</v>
      </c>
      <c r="F15658" s="473">
        <v>25.77</v>
      </c>
      <c r="G15658" s="473">
        <v>4.42</v>
      </c>
      <c r="H15658" s="474">
        <v>2069.48</v>
      </c>
      <c r="I15658" s="474">
        <v>1886.83</v>
      </c>
      <c r="J15658" s="474">
        <v>139.07</v>
      </c>
      <c r="K15658" s="474">
        <v>43.58</v>
      </c>
      <c r="L15658" s="43">
        <v>10.65314526922681</v>
      </c>
      <c r="M15658" s="43">
        <v>11.500152373986714</v>
      </c>
      <c r="N15658" s="43">
        <v>5.3965851765618931</v>
      </c>
      <c r="O15658" s="43">
        <v>9.8597285067873308</v>
      </c>
      <c r="P15658" s="475"/>
      <c r="Q15658" s="475"/>
      <c r="R15658" s="475">
        <v>2</v>
      </c>
    </row>
    <row r="15659" spans="1:18" ht="24">
      <c r="A15659" s="471">
        <v>272</v>
      </c>
      <c r="B15659" s="468" t="s">
        <v>28082</v>
      </c>
      <c r="C15659" s="472" t="s">
        <v>28083</v>
      </c>
      <c r="D15659" s="473">
        <v>168.56</v>
      </c>
      <c r="E15659" s="473">
        <v>141.08000000000001</v>
      </c>
      <c r="F15659" s="473">
        <v>23.14</v>
      </c>
      <c r="G15659" s="473">
        <v>4.34</v>
      </c>
      <c r="H15659" s="474">
        <v>1789.01</v>
      </c>
      <c r="I15659" s="474">
        <v>1622.43</v>
      </c>
      <c r="J15659" s="474">
        <v>124.89</v>
      </c>
      <c r="K15659" s="474">
        <v>41.69</v>
      </c>
      <c r="L15659" s="43">
        <v>10.613490745135262</v>
      </c>
      <c r="M15659" s="43">
        <v>11.500070881769208</v>
      </c>
      <c r="N15659" s="43">
        <v>5.3971477960242007</v>
      </c>
      <c r="O15659" s="43">
        <v>9.6059907834101388</v>
      </c>
      <c r="P15659" s="475"/>
      <c r="Q15659" s="475"/>
      <c r="R15659" s="475">
        <v>2</v>
      </c>
    </row>
    <row r="15660" spans="1:18" ht="24">
      <c r="A15660" s="471">
        <v>273</v>
      </c>
      <c r="B15660" s="468" t="s">
        <v>28084</v>
      </c>
      <c r="C15660" s="472" t="s">
        <v>28085</v>
      </c>
      <c r="D15660" s="473">
        <v>182.53</v>
      </c>
      <c r="E15660" s="473">
        <v>152.57</v>
      </c>
      <c r="F15660" s="473">
        <v>25.77</v>
      </c>
      <c r="G15660" s="473">
        <v>4.1900000000000004</v>
      </c>
      <c r="H15660" s="474">
        <v>1934.64</v>
      </c>
      <c r="I15660" s="474">
        <v>1754.63</v>
      </c>
      <c r="J15660" s="474">
        <v>139.07</v>
      </c>
      <c r="K15660" s="474">
        <v>40.94</v>
      </c>
      <c r="L15660" s="43">
        <v>10.599024817838163</v>
      </c>
      <c r="M15660" s="43">
        <v>11.500491577636495</v>
      </c>
      <c r="N15660" s="43">
        <v>5.3965851765618931</v>
      </c>
      <c r="O15660" s="43">
        <v>9.7708830548926002</v>
      </c>
      <c r="P15660" s="475"/>
      <c r="Q15660" s="475"/>
      <c r="R15660" s="475">
        <v>2</v>
      </c>
    </row>
    <row r="15661" spans="1:18" ht="36">
      <c r="A15661" s="471">
        <v>274</v>
      </c>
      <c r="B15661" s="468" t="s">
        <v>28086</v>
      </c>
      <c r="C15661" s="472" t="s">
        <v>28087</v>
      </c>
      <c r="D15661" s="473">
        <v>192.87</v>
      </c>
      <c r="E15661" s="473">
        <v>160.16</v>
      </c>
      <c r="F15661" s="473">
        <v>28.33</v>
      </c>
      <c r="G15661" s="473">
        <v>4.38</v>
      </c>
      <c r="H15661" s="474">
        <v>2037.99</v>
      </c>
      <c r="I15661" s="474">
        <v>1841.94</v>
      </c>
      <c r="J15661" s="474">
        <v>153</v>
      </c>
      <c r="K15661" s="474">
        <v>43.05</v>
      </c>
      <c r="L15661" s="43">
        <v>10.56665111214808</v>
      </c>
      <c r="M15661" s="43">
        <v>11.500624375624376</v>
      </c>
      <c r="N15661" s="43">
        <v>5.4006353688669257</v>
      </c>
      <c r="O15661" s="43">
        <v>9.8287671232876708</v>
      </c>
      <c r="P15661" s="475"/>
      <c r="Q15661" s="475"/>
      <c r="R15661" s="475">
        <v>2</v>
      </c>
    </row>
    <row r="15662" spans="1:18" ht="24">
      <c r="A15662" s="471">
        <v>275</v>
      </c>
      <c r="B15662" s="468" t="s">
        <v>28088</v>
      </c>
      <c r="C15662" s="472" t="s">
        <v>28089</v>
      </c>
      <c r="D15662" s="473">
        <v>204.91</v>
      </c>
      <c r="E15662" s="473">
        <v>142.83000000000001</v>
      </c>
      <c r="F15662" s="473">
        <v>58.08</v>
      </c>
      <c r="G15662" s="473">
        <v>4</v>
      </c>
      <c r="H15662" s="474">
        <v>1994.09</v>
      </c>
      <c r="I15662" s="474">
        <v>1642.55</v>
      </c>
      <c r="J15662" s="474">
        <v>312.73</v>
      </c>
      <c r="K15662" s="474">
        <v>38.81</v>
      </c>
      <c r="L15662" s="43">
        <v>9.7315406763945145</v>
      </c>
      <c r="M15662" s="43">
        <v>11.500035006651263</v>
      </c>
      <c r="N15662" s="43">
        <v>5.3844696969696972</v>
      </c>
      <c r="O15662" s="43">
        <v>9.7025000000000006</v>
      </c>
      <c r="P15662" s="475"/>
      <c r="Q15662" s="475"/>
      <c r="R15662" s="475">
        <v>2</v>
      </c>
    </row>
    <row r="15663" spans="1:18" ht="24">
      <c r="A15663" s="471">
        <v>276</v>
      </c>
      <c r="B15663" s="468" t="s">
        <v>28090</v>
      </c>
      <c r="C15663" s="472" t="s">
        <v>28091</v>
      </c>
      <c r="D15663" s="473">
        <v>163.95</v>
      </c>
      <c r="E15663" s="473">
        <v>128.54</v>
      </c>
      <c r="F15663" s="473">
        <v>30.96</v>
      </c>
      <c r="G15663" s="473">
        <v>4.45</v>
      </c>
      <c r="H15663" s="474">
        <v>1686.14</v>
      </c>
      <c r="I15663" s="474">
        <v>1478.21</v>
      </c>
      <c r="J15663" s="474">
        <v>167.19</v>
      </c>
      <c r="K15663" s="474">
        <v>40.74</v>
      </c>
      <c r="L15663" s="43">
        <v>10.284476974687406</v>
      </c>
      <c r="M15663" s="43">
        <v>11.500000000000002</v>
      </c>
      <c r="N15663" s="43">
        <v>5.400193798449612</v>
      </c>
      <c r="O15663" s="43">
        <v>9.155056179775281</v>
      </c>
      <c r="P15663" s="475"/>
      <c r="Q15663" s="475"/>
      <c r="R15663" s="475">
        <v>2</v>
      </c>
    </row>
    <row r="15664" spans="1:18" ht="24">
      <c r="A15664" s="471">
        <v>277</v>
      </c>
      <c r="B15664" s="468" t="s">
        <v>28092</v>
      </c>
      <c r="C15664" s="472" t="s">
        <v>28093</v>
      </c>
      <c r="D15664" s="473">
        <v>298.2</v>
      </c>
      <c r="E15664" s="473">
        <v>200.59</v>
      </c>
      <c r="F15664" s="473">
        <v>92.41</v>
      </c>
      <c r="G15664" s="473">
        <v>5.2</v>
      </c>
      <c r="H15664" s="474">
        <v>2857.36</v>
      </c>
      <c r="I15664" s="474">
        <v>2306.84</v>
      </c>
      <c r="J15664" s="474">
        <v>498.06</v>
      </c>
      <c r="K15664" s="474">
        <v>52.46</v>
      </c>
      <c r="L15664" s="43">
        <v>9.5820254862508385</v>
      </c>
      <c r="M15664" s="43">
        <v>11.50027419113615</v>
      </c>
      <c r="N15664" s="43">
        <v>5.3896764419435126</v>
      </c>
      <c r="O15664" s="43">
        <v>10.088461538461539</v>
      </c>
      <c r="P15664" s="475"/>
      <c r="Q15664" s="475"/>
      <c r="R15664" s="475">
        <v>2</v>
      </c>
    </row>
    <row r="15665" spans="1:18" ht="24">
      <c r="A15665" s="471">
        <v>278</v>
      </c>
      <c r="B15665" s="468" t="s">
        <v>28094</v>
      </c>
      <c r="C15665" s="472" t="s">
        <v>28095</v>
      </c>
      <c r="D15665" s="473">
        <v>83.72</v>
      </c>
      <c r="E15665" s="473">
        <v>73.06</v>
      </c>
      <c r="F15665" s="473">
        <v>6.54</v>
      </c>
      <c r="G15665" s="473">
        <v>4.12</v>
      </c>
      <c r="H15665" s="474">
        <v>908</v>
      </c>
      <c r="I15665" s="474">
        <v>840.21</v>
      </c>
      <c r="J15665" s="474">
        <v>35.130000000000003</v>
      </c>
      <c r="K15665" s="474">
        <v>32.659999999999997</v>
      </c>
      <c r="L15665" s="43">
        <v>10.845676063067367</v>
      </c>
      <c r="M15665" s="43">
        <v>11.500273747604709</v>
      </c>
      <c r="N15665" s="43">
        <v>5.3715596330275233</v>
      </c>
      <c r="O15665" s="43">
        <v>7.9271844660194164</v>
      </c>
      <c r="P15665" s="475"/>
      <c r="Q15665" s="475"/>
      <c r="R15665" s="475">
        <v>2</v>
      </c>
    </row>
    <row r="15666" spans="1:18" ht="24">
      <c r="A15666" s="471">
        <v>279</v>
      </c>
      <c r="B15666" s="468" t="s">
        <v>28096</v>
      </c>
      <c r="C15666" s="472" t="s">
        <v>28097</v>
      </c>
      <c r="D15666" s="473">
        <v>305.10000000000002</v>
      </c>
      <c r="E15666" s="473">
        <v>244.28</v>
      </c>
      <c r="F15666" s="473">
        <v>54.41</v>
      </c>
      <c r="G15666" s="473">
        <v>6.41</v>
      </c>
      <c r="H15666" s="474">
        <v>3167.89</v>
      </c>
      <c r="I15666" s="474">
        <v>2809.32</v>
      </c>
      <c r="J15666" s="474">
        <v>293.07</v>
      </c>
      <c r="K15666" s="474">
        <v>65.5</v>
      </c>
      <c r="L15666" s="43">
        <v>10.383120288430021</v>
      </c>
      <c r="M15666" s="43">
        <v>11.500409366300966</v>
      </c>
      <c r="N15666" s="43">
        <v>5.3863260430068003</v>
      </c>
      <c r="O15666" s="43">
        <v>10.218408736349454</v>
      </c>
      <c r="P15666" s="475"/>
      <c r="Q15666" s="475"/>
      <c r="R15666" s="475">
        <v>2</v>
      </c>
    </row>
    <row r="15667" spans="1:18" ht="24">
      <c r="A15667" s="471">
        <v>280</v>
      </c>
      <c r="B15667" s="468" t="s">
        <v>28098</v>
      </c>
      <c r="C15667" s="472" t="s">
        <v>28099</v>
      </c>
      <c r="D15667" s="473">
        <v>114.17</v>
      </c>
      <c r="E15667" s="473">
        <v>83.05</v>
      </c>
      <c r="F15667" s="473">
        <v>28.35</v>
      </c>
      <c r="G15667" s="473">
        <v>2.77</v>
      </c>
      <c r="H15667" s="474">
        <v>1132.92</v>
      </c>
      <c r="I15667" s="474">
        <v>955.11</v>
      </c>
      <c r="J15667" s="474">
        <v>153.06</v>
      </c>
      <c r="K15667" s="474">
        <v>24.75</v>
      </c>
      <c r="L15667" s="43">
        <v>9.9230971358500479</v>
      </c>
      <c r="M15667" s="43">
        <v>11.500421432871764</v>
      </c>
      <c r="N15667" s="43">
        <v>5.3989417989417987</v>
      </c>
      <c r="O15667" s="43">
        <v>8.9350180505415153</v>
      </c>
      <c r="P15667" s="475"/>
      <c r="Q15667" s="475"/>
      <c r="R15667" s="475">
        <v>2</v>
      </c>
    </row>
    <row r="15668" spans="1:18" ht="12.75" customHeight="1">
      <c r="A15668" s="628" t="s">
        <v>28100</v>
      </c>
      <c r="B15668" s="629"/>
      <c r="C15668" s="629"/>
      <c r="D15668" s="629"/>
      <c r="E15668" s="629"/>
      <c r="F15668" s="629"/>
      <c r="G15668" s="629"/>
      <c r="H15668" s="629"/>
      <c r="I15668" s="629"/>
      <c r="J15668" s="629"/>
      <c r="K15668" s="629"/>
      <c r="L15668" s="629"/>
      <c r="M15668" s="629"/>
      <c r="N15668" s="629"/>
      <c r="O15668" s="629"/>
      <c r="P15668" s="629"/>
      <c r="Q15668" s="629"/>
      <c r="R15668" s="629"/>
    </row>
    <row r="15669" spans="1:18" ht="24">
      <c r="A15669" s="471">
        <v>281</v>
      </c>
      <c r="B15669" s="468" t="s">
        <v>28101</v>
      </c>
      <c r="C15669" s="472" t="s">
        <v>28102</v>
      </c>
      <c r="D15669" s="473">
        <v>153.37</v>
      </c>
      <c r="E15669" s="473">
        <v>130.13</v>
      </c>
      <c r="F15669" s="473">
        <v>19.53</v>
      </c>
      <c r="G15669" s="473">
        <v>3.71</v>
      </c>
      <c r="H15669" s="474">
        <v>1637.55</v>
      </c>
      <c r="I15669" s="474">
        <v>1496.54</v>
      </c>
      <c r="J15669" s="474">
        <v>105.48</v>
      </c>
      <c r="K15669" s="474">
        <v>35.53</v>
      </c>
      <c r="L15669" s="43">
        <v>10.677120688531003</v>
      </c>
      <c r="M15669" s="43">
        <v>11.500345808038116</v>
      </c>
      <c r="N15669" s="43">
        <v>5.4009216589861753</v>
      </c>
      <c r="O15669" s="43">
        <v>9.5768194070080863</v>
      </c>
      <c r="P15669" s="475"/>
      <c r="Q15669" s="475"/>
      <c r="R15669" s="475">
        <v>3</v>
      </c>
    </row>
    <row r="15670" spans="1:18" ht="36">
      <c r="A15670" s="471">
        <v>282</v>
      </c>
      <c r="B15670" s="468" t="s">
        <v>28103</v>
      </c>
      <c r="C15670" s="472" t="s">
        <v>28104</v>
      </c>
      <c r="D15670" s="473">
        <v>168.1</v>
      </c>
      <c r="E15670" s="473">
        <v>118.5</v>
      </c>
      <c r="F15670" s="473">
        <v>46.06</v>
      </c>
      <c r="G15670" s="473">
        <v>3.54</v>
      </c>
      <c r="H15670" s="474">
        <v>1644.64</v>
      </c>
      <c r="I15670" s="474">
        <v>1362.7</v>
      </c>
      <c r="J15670" s="474">
        <v>248.53</v>
      </c>
      <c r="K15670" s="474">
        <v>33.409999999999997</v>
      </c>
      <c r="L15670" s="43">
        <v>9.7837001784651996</v>
      </c>
      <c r="M15670" s="43">
        <v>11.49957805907173</v>
      </c>
      <c r="N15670" s="43">
        <v>5.3957881024750325</v>
      </c>
      <c r="O15670" s="43">
        <v>9.4378531073446315</v>
      </c>
      <c r="P15670" s="475"/>
      <c r="Q15670" s="475"/>
      <c r="R15670" s="475">
        <v>3</v>
      </c>
    </row>
    <row r="15671" spans="1:18" ht="24">
      <c r="A15671" s="471">
        <v>283</v>
      </c>
      <c r="B15671" s="468" t="s">
        <v>28105</v>
      </c>
      <c r="C15671" s="472" t="s">
        <v>28106</v>
      </c>
      <c r="D15671" s="473">
        <v>153.44</v>
      </c>
      <c r="E15671" s="473">
        <v>117.04</v>
      </c>
      <c r="F15671" s="473">
        <v>32.06</v>
      </c>
      <c r="G15671" s="473">
        <v>4.34</v>
      </c>
      <c r="H15671" s="474">
        <v>1559.27</v>
      </c>
      <c r="I15671" s="474">
        <v>1346.02</v>
      </c>
      <c r="J15671" s="474">
        <v>172.91</v>
      </c>
      <c r="K15671" s="474">
        <v>40.340000000000003</v>
      </c>
      <c r="L15671" s="43">
        <v>10.162082898852972</v>
      </c>
      <c r="M15671" s="43">
        <v>11.500512645249486</v>
      </c>
      <c r="N15671" s="43">
        <v>5.3933250155957575</v>
      </c>
      <c r="O15671" s="43">
        <v>9.2949308755760374</v>
      </c>
      <c r="P15671" s="475"/>
      <c r="Q15671" s="475"/>
      <c r="R15671" s="475">
        <v>3</v>
      </c>
    </row>
    <row r="15672" spans="1:18" ht="24">
      <c r="A15672" s="471">
        <v>284</v>
      </c>
      <c r="B15672" s="468" t="s">
        <v>28107</v>
      </c>
      <c r="C15672" s="472" t="s">
        <v>28108</v>
      </c>
      <c r="D15672" s="473">
        <v>140.44</v>
      </c>
      <c r="E15672" s="473">
        <v>95.75</v>
      </c>
      <c r="F15672" s="473">
        <v>41.67</v>
      </c>
      <c r="G15672" s="473">
        <v>3.02</v>
      </c>
      <c r="H15672" s="474">
        <v>1349.72</v>
      </c>
      <c r="I15672" s="474">
        <v>1101.1400000000001</v>
      </c>
      <c r="J15672" s="474">
        <v>220.95</v>
      </c>
      <c r="K15672" s="474">
        <v>27.63</v>
      </c>
      <c r="L15672" s="43">
        <v>9.6106522358302477</v>
      </c>
      <c r="M15672" s="43">
        <v>11.500156657963448</v>
      </c>
      <c r="N15672" s="43">
        <v>5.3023758099352047</v>
      </c>
      <c r="O15672" s="43">
        <v>9.1490066225165556</v>
      </c>
      <c r="P15672" s="475"/>
      <c r="Q15672" s="475"/>
      <c r="R15672" s="475">
        <v>3</v>
      </c>
    </row>
    <row r="15673" spans="1:18" ht="24">
      <c r="A15673" s="471">
        <v>285</v>
      </c>
      <c r="B15673" s="468" t="s">
        <v>28109</v>
      </c>
      <c r="C15673" s="472" t="s">
        <v>28110</v>
      </c>
      <c r="D15673" s="473">
        <v>172.48</v>
      </c>
      <c r="E15673" s="473">
        <v>145.26</v>
      </c>
      <c r="F15673" s="473">
        <v>23.2</v>
      </c>
      <c r="G15673" s="473">
        <v>4.0199999999999996</v>
      </c>
      <c r="H15673" s="474">
        <v>1834.68</v>
      </c>
      <c r="I15673" s="474">
        <v>1670.44</v>
      </c>
      <c r="J15673" s="474">
        <v>125.14</v>
      </c>
      <c r="K15673" s="474">
        <v>39.1</v>
      </c>
      <c r="L15673" s="43">
        <v>10.637059369202227</v>
      </c>
      <c r="M15673" s="43">
        <v>11.499655789618616</v>
      </c>
      <c r="N15673" s="43">
        <v>5.3939655172413792</v>
      </c>
      <c r="O15673" s="43">
        <v>9.7263681592039823</v>
      </c>
      <c r="P15673" s="475"/>
      <c r="Q15673" s="475"/>
      <c r="R15673" s="475">
        <v>3</v>
      </c>
    </row>
    <row r="15674" spans="1:18" ht="24">
      <c r="A15674" s="471">
        <v>286</v>
      </c>
      <c r="B15674" s="468" t="s">
        <v>28111</v>
      </c>
      <c r="C15674" s="472" t="s">
        <v>28112</v>
      </c>
      <c r="D15674" s="473">
        <v>100.1</v>
      </c>
      <c r="E15674" s="473">
        <v>83.05</v>
      </c>
      <c r="F15674" s="473">
        <v>14.34</v>
      </c>
      <c r="G15674" s="473">
        <v>2.71</v>
      </c>
      <c r="H15674" s="474">
        <v>1056.6400000000001</v>
      </c>
      <c r="I15674" s="474">
        <v>955.11</v>
      </c>
      <c r="J15674" s="474">
        <v>77.349999999999994</v>
      </c>
      <c r="K15674" s="474">
        <v>24.18</v>
      </c>
      <c r="L15674" s="43">
        <v>10.555844155844158</v>
      </c>
      <c r="M15674" s="43">
        <v>11.500421432871764</v>
      </c>
      <c r="N15674" s="43">
        <v>5.3940027894002789</v>
      </c>
      <c r="O15674" s="43">
        <v>8.9225092250922504</v>
      </c>
      <c r="P15674" s="475"/>
      <c r="Q15674" s="475"/>
      <c r="R15674" s="475">
        <v>3</v>
      </c>
    </row>
    <row r="15675" spans="1:18" ht="24">
      <c r="A15675" s="471">
        <v>287</v>
      </c>
      <c r="B15675" s="468" t="s">
        <v>28113</v>
      </c>
      <c r="C15675" s="472" t="s">
        <v>28114</v>
      </c>
      <c r="D15675" s="473">
        <v>151.71</v>
      </c>
      <c r="E15675" s="473">
        <v>94.9</v>
      </c>
      <c r="F15675" s="473">
        <v>53.82</v>
      </c>
      <c r="G15675" s="473">
        <v>2.99</v>
      </c>
      <c r="H15675" s="474">
        <v>1409.29</v>
      </c>
      <c r="I15675" s="474">
        <v>1091.3800000000001</v>
      </c>
      <c r="J15675" s="474">
        <v>290.58</v>
      </c>
      <c r="K15675" s="474">
        <v>27.33</v>
      </c>
      <c r="L15675" s="43">
        <v>9.2893678729154292</v>
      </c>
      <c r="M15675" s="43">
        <v>11.500316122233931</v>
      </c>
      <c r="N15675" s="43">
        <v>5.3991081382385726</v>
      </c>
      <c r="O15675" s="43">
        <v>9.1404682274247477</v>
      </c>
      <c r="P15675" s="475"/>
      <c r="Q15675" s="475"/>
      <c r="R15675" s="475">
        <v>3</v>
      </c>
    </row>
    <row r="15676" spans="1:18" ht="24">
      <c r="A15676" s="471">
        <v>288</v>
      </c>
      <c r="B15676" s="468" t="s">
        <v>28115</v>
      </c>
      <c r="C15676" s="472" t="s">
        <v>28116</v>
      </c>
      <c r="D15676" s="473">
        <v>131.97999999999999</v>
      </c>
      <c r="E15676" s="473">
        <v>96.07</v>
      </c>
      <c r="F15676" s="473">
        <v>32.85</v>
      </c>
      <c r="G15676" s="473">
        <v>3.06</v>
      </c>
      <c r="H15676" s="474">
        <v>1309</v>
      </c>
      <c r="I15676" s="474">
        <v>1104.83</v>
      </c>
      <c r="J15676" s="474">
        <v>176.23</v>
      </c>
      <c r="K15676" s="474">
        <v>27.94</v>
      </c>
      <c r="L15676" s="43">
        <v>9.9181694196090326</v>
      </c>
      <c r="M15676" s="43">
        <v>11.500260226917872</v>
      </c>
      <c r="N15676" s="43">
        <v>5.3646879756468788</v>
      </c>
      <c r="O15676" s="43">
        <v>9.1307189542483655</v>
      </c>
      <c r="P15676" s="475"/>
      <c r="Q15676" s="475"/>
      <c r="R15676" s="475">
        <v>3</v>
      </c>
    </row>
    <row r="15677" spans="1:18" ht="24">
      <c r="A15677" s="471">
        <v>289</v>
      </c>
      <c r="B15677" s="468" t="s">
        <v>28117</v>
      </c>
      <c r="C15677" s="472" t="s">
        <v>28118</v>
      </c>
      <c r="D15677" s="473">
        <v>160.31</v>
      </c>
      <c r="E15677" s="473">
        <v>133.33000000000001</v>
      </c>
      <c r="F15677" s="473">
        <v>23.2</v>
      </c>
      <c r="G15677" s="473">
        <v>3.78</v>
      </c>
      <c r="H15677" s="474">
        <v>1694.83</v>
      </c>
      <c r="I15677" s="474">
        <v>1533.32</v>
      </c>
      <c r="J15677" s="474">
        <v>125.14</v>
      </c>
      <c r="K15677" s="474">
        <v>36.369999999999997</v>
      </c>
      <c r="L15677" s="43">
        <v>10.572203855030876</v>
      </c>
      <c r="M15677" s="43">
        <v>11.500187504687615</v>
      </c>
      <c r="N15677" s="43">
        <v>5.3939655172413792</v>
      </c>
      <c r="O15677" s="43">
        <v>9.6216931216931219</v>
      </c>
      <c r="P15677" s="475"/>
      <c r="Q15677" s="475"/>
      <c r="R15677" s="475">
        <v>3</v>
      </c>
    </row>
    <row r="15678" spans="1:18" ht="24">
      <c r="A15678" s="471">
        <v>290</v>
      </c>
      <c r="B15678" s="468" t="s">
        <v>28119</v>
      </c>
      <c r="C15678" s="472" t="s">
        <v>28120</v>
      </c>
      <c r="D15678" s="473">
        <v>188.36</v>
      </c>
      <c r="E15678" s="473">
        <v>158.26</v>
      </c>
      <c r="F15678" s="473">
        <v>25.79</v>
      </c>
      <c r="G15678" s="473">
        <v>4.3099999999999996</v>
      </c>
      <c r="H15678" s="474">
        <v>2001.51</v>
      </c>
      <c r="I15678" s="474">
        <v>1820.04</v>
      </c>
      <c r="J15678" s="474">
        <v>139.15</v>
      </c>
      <c r="K15678" s="474">
        <v>42.32</v>
      </c>
      <c r="L15678" s="43">
        <v>10.625982161817795</v>
      </c>
      <c r="M15678" s="43">
        <v>11.500315935801845</v>
      </c>
      <c r="N15678" s="43">
        <v>5.3955021326095389</v>
      </c>
      <c r="O15678" s="43">
        <v>9.8190255220417644</v>
      </c>
      <c r="P15678" s="475"/>
      <c r="Q15678" s="475"/>
      <c r="R15678" s="475">
        <v>3</v>
      </c>
    </row>
    <row r="15679" spans="1:18" ht="24">
      <c r="A15679" s="471">
        <v>291</v>
      </c>
      <c r="B15679" s="468" t="s">
        <v>28121</v>
      </c>
      <c r="C15679" s="472" t="s">
        <v>28122</v>
      </c>
      <c r="D15679" s="473">
        <v>153.52000000000001</v>
      </c>
      <c r="E15679" s="473">
        <v>104.23</v>
      </c>
      <c r="F15679" s="473">
        <v>46.06</v>
      </c>
      <c r="G15679" s="473">
        <v>3.23</v>
      </c>
      <c r="H15679" s="474">
        <v>1477.05</v>
      </c>
      <c r="I15679" s="474">
        <v>1198.67</v>
      </c>
      <c r="J15679" s="474">
        <v>248.53</v>
      </c>
      <c r="K15679" s="474">
        <v>29.85</v>
      </c>
      <c r="L15679" s="43">
        <v>9.6212219906201142</v>
      </c>
      <c r="M15679" s="43">
        <v>11.500239854168665</v>
      </c>
      <c r="N15679" s="43">
        <v>5.3957881024750325</v>
      </c>
      <c r="O15679" s="43">
        <v>9.2414860681114561</v>
      </c>
      <c r="P15679" s="475"/>
      <c r="Q15679" s="475"/>
      <c r="R15679" s="475">
        <v>3</v>
      </c>
    </row>
    <row r="15680" spans="1:18" ht="24">
      <c r="A15680" s="471">
        <v>292</v>
      </c>
      <c r="B15680" s="468" t="s">
        <v>28123</v>
      </c>
      <c r="C15680" s="472" t="s">
        <v>28124</v>
      </c>
      <c r="D15680" s="473">
        <v>137.86000000000001</v>
      </c>
      <c r="E15680" s="473">
        <v>95.01</v>
      </c>
      <c r="F15680" s="473">
        <v>39.799999999999997</v>
      </c>
      <c r="G15680" s="473">
        <v>3.05</v>
      </c>
      <c r="H15680" s="474">
        <v>1335.28</v>
      </c>
      <c r="I15680" s="474">
        <v>1092.5999999999999</v>
      </c>
      <c r="J15680" s="474">
        <v>214.88</v>
      </c>
      <c r="K15680" s="474">
        <v>27.8</v>
      </c>
      <c r="L15680" s="43">
        <v>9.6857681706078615</v>
      </c>
      <c r="M15680" s="43">
        <v>11.499842121881906</v>
      </c>
      <c r="N15680" s="43">
        <v>5.3989949748743724</v>
      </c>
      <c r="O15680" s="43">
        <v>9.1147540983606561</v>
      </c>
      <c r="P15680" s="475"/>
      <c r="Q15680" s="475"/>
      <c r="R15680" s="475">
        <v>3</v>
      </c>
    </row>
    <row r="15681" spans="1:18" ht="24">
      <c r="A15681" s="471">
        <v>293</v>
      </c>
      <c r="B15681" s="468" t="s">
        <v>28125</v>
      </c>
      <c r="C15681" s="472" t="s">
        <v>28126</v>
      </c>
      <c r="D15681" s="473">
        <v>180.62</v>
      </c>
      <c r="E15681" s="473">
        <v>117.04</v>
      </c>
      <c r="F15681" s="473">
        <v>60.08</v>
      </c>
      <c r="G15681" s="473">
        <v>3.5</v>
      </c>
      <c r="H15681" s="474">
        <v>1703.13</v>
      </c>
      <c r="I15681" s="474">
        <v>1346.02</v>
      </c>
      <c r="J15681" s="474">
        <v>324.26</v>
      </c>
      <c r="K15681" s="474">
        <v>32.85</v>
      </c>
      <c r="L15681" s="43">
        <v>9.4293544457978076</v>
      </c>
      <c r="M15681" s="43">
        <v>11.500512645249486</v>
      </c>
      <c r="N15681" s="43">
        <v>5.3971371504660457</v>
      </c>
      <c r="O15681" s="43">
        <v>9.3857142857142861</v>
      </c>
      <c r="P15681" s="475"/>
      <c r="Q15681" s="475"/>
      <c r="R15681" s="475">
        <v>3</v>
      </c>
    </row>
    <row r="15682" spans="1:18" ht="24">
      <c r="A15682" s="471">
        <v>294</v>
      </c>
      <c r="B15682" s="468" t="s">
        <v>28127</v>
      </c>
      <c r="C15682" s="472" t="s">
        <v>28128</v>
      </c>
      <c r="D15682" s="473">
        <v>169.19</v>
      </c>
      <c r="E15682" s="473">
        <v>117.04</v>
      </c>
      <c r="F15682" s="473">
        <v>48.67</v>
      </c>
      <c r="G15682" s="473">
        <v>3.48</v>
      </c>
      <c r="H15682" s="474">
        <v>1641.43</v>
      </c>
      <c r="I15682" s="474">
        <v>1346.02</v>
      </c>
      <c r="J15682" s="474">
        <v>262.64</v>
      </c>
      <c r="K15682" s="474">
        <v>32.770000000000003</v>
      </c>
      <c r="L15682" s="43">
        <v>9.7016963177492759</v>
      </c>
      <c r="M15682" s="43">
        <v>11.500512645249486</v>
      </c>
      <c r="N15682" s="43">
        <v>5.3963427162523114</v>
      </c>
      <c r="O15682" s="43">
        <v>9.4166666666666679</v>
      </c>
      <c r="P15682" s="475"/>
      <c r="Q15682" s="475"/>
      <c r="R15682" s="475">
        <v>3</v>
      </c>
    </row>
    <row r="15683" spans="1:18" ht="24">
      <c r="A15683" s="471">
        <v>295</v>
      </c>
      <c r="B15683" s="468" t="s">
        <v>28129</v>
      </c>
      <c r="C15683" s="472" t="s">
        <v>28130</v>
      </c>
      <c r="D15683" s="473">
        <v>368.85</v>
      </c>
      <c r="E15683" s="473">
        <v>235.47</v>
      </c>
      <c r="F15683" s="473">
        <v>126.91</v>
      </c>
      <c r="G15683" s="473">
        <v>6.47</v>
      </c>
      <c r="H15683" s="474">
        <v>3457.64</v>
      </c>
      <c r="I15683" s="474">
        <v>2707.91</v>
      </c>
      <c r="J15683" s="474">
        <v>684.21</v>
      </c>
      <c r="K15683" s="474">
        <v>65.52</v>
      </c>
      <c r="L15683" s="43">
        <v>9.3741087162803307</v>
      </c>
      <c r="M15683" s="43">
        <v>11.500021234127489</v>
      </c>
      <c r="N15683" s="43">
        <v>5.3913009219131673</v>
      </c>
      <c r="O15683" s="43">
        <v>10.126738794435857</v>
      </c>
      <c r="P15683" s="475"/>
      <c r="Q15683" s="475"/>
      <c r="R15683" s="475">
        <v>3</v>
      </c>
    </row>
    <row r="15684" spans="1:18" ht="12.75" customHeight="1">
      <c r="A15684" s="628" t="s">
        <v>19144</v>
      </c>
      <c r="B15684" s="629"/>
      <c r="C15684" s="629"/>
      <c r="D15684" s="629"/>
      <c r="E15684" s="629"/>
      <c r="F15684" s="629"/>
      <c r="G15684" s="629"/>
      <c r="H15684" s="629"/>
      <c r="I15684" s="629"/>
      <c r="J15684" s="629"/>
      <c r="K15684" s="629"/>
      <c r="L15684" s="629"/>
      <c r="M15684" s="629"/>
      <c r="N15684" s="629"/>
      <c r="O15684" s="629"/>
      <c r="P15684" s="629"/>
      <c r="Q15684" s="629"/>
      <c r="R15684" s="629"/>
    </row>
    <row r="15685" spans="1:18" ht="24">
      <c r="A15685" s="471">
        <v>296</v>
      </c>
      <c r="B15685" s="468" t="s">
        <v>28131</v>
      </c>
      <c r="C15685" s="472" t="s">
        <v>28132</v>
      </c>
      <c r="D15685" s="473">
        <v>94.94</v>
      </c>
      <c r="E15685" s="473">
        <v>81.010000000000005</v>
      </c>
      <c r="F15685" s="473">
        <v>12.31</v>
      </c>
      <c r="G15685" s="473">
        <v>1.62</v>
      </c>
      <c r="H15685" s="474">
        <v>1016.16</v>
      </c>
      <c r="I15685" s="474">
        <v>931.64</v>
      </c>
      <c r="J15685" s="474">
        <v>65.89</v>
      </c>
      <c r="K15685" s="474">
        <v>18.63</v>
      </c>
      <c r="L15685" s="43">
        <v>10.703180956393512</v>
      </c>
      <c r="M15685" s="43">
        <v>11.500308603876064</v>
      </c>
      <c r="N15685" s="43">
        <v>5.3525588952071486</v>
      </c>
      <c r="O15685" s="43">
        <v>11.499999999999998</v>
      </c>
      <c r="P15685" s="475"/>
      <c r="Q15685" s="475"/>
      <c r="R15685" s="475">
        <v>4</v>
      </c>
    </row>
    <row r="15686" spans="1:18" ht="12.75" customHeight="1">
      <c r="A15686" s="628" t="s">
        <v>28133</v>
      </c>
      <c r="B15686" s="629"/>
      <c r="C15686" s="629"/>
      <c r="D15686" s="629"/>
      <c r="E15686" s="629"/>
      <c r="F15686" s="629"/>
      <c r="G15686" s="629"/>
      <c r="H15686" s="629"/>
      <c r="I15686" s="629"/>
      <c r="J15686" s="629"/>
      <c r="K15686" s="629"/>
      <c r="L15686" s="629"/>
      <c r="M15686" s="629"/>
      <c r="N15686" s="629"/>
      <c r="O15686" s="629"/>
      <c r="P15686" s="629"/>
      <c r="Q15686" s="629"/>
      <c r="R15686" s="629"/>
    </row>
    <row r="15687" spans="1:18" ht="12.75" customHeight="1">
      <c r="A15687" s="628" t="s">
        <v>23841</v>
      </c>
      <c r="B15687" s="629"/>
      <c r="C15687" s="629"/>
      <c r="D15687" s="629"/>
      <c r="E15687" s="629"/>
      <c r="F15687" s="629"/>
      <c r="G15687" s="629"/>
      <c r="H15687" s="629"/>
      <c r="I15687" s="629"/>
      <c r="J15687" s="629"/>
      <c r="K15687" s="629"/>
      <c r="L15687" s="629"/>
      <c r="M15687" s="629"/>
      <c r="N15687" s="629"/>
      <c r="O15687" s="629"/>
      <c r="P15687" s="629"/>
      <c r="Q15687" s="629"/>
      <c r="R15687" s="629"/>
    </row>
    <row r="15688" spans="1:18" ht="24">
      <c r="A15688" s="471">
        <v>297</v>
      </c>
      <c r="B15688" s="468" t="s">
        <v>28134</v>
      </c>
      <c r="C15688" s="472" t="s">
        <v>28135</v>
      </c>
      <c r="D15688" s="473">
        <v>1797.21</v>
      </c>
      <c r="E15688" s="473">
        <v>200.59</v>
      </c>
      <c r="F15688" s="473">
        <v>40.39</v>
      </c>
      <c r="G15688" s="473">
        <v>1556.23</v>
      </c>
      <c r="H15688" s="474">
        <v>5674.82</v>
      </c>
      <c r="I15688" s="474">
        <v>2306.84</v>
      </c>
      <c r="J15688" s="474">
        <v>217.37</v>
      </c>
      <c r="K15688" s="474">
        <v>3150.61</v>
      </c>
      <c r="L15688" s="43">
        <v>3.1575720144000976</v>
      </c>
      <c r="M15688" s="43">
        <v>11.50027419113615</v>
      </c>
      <c r="N15688" s="43">
        <v>5.3817776677395397</v>
      </c>
      <c r="O15688" s="43">
        <v>2.0245143712690283</v>
      </c>
      <c r="P15688" s="475"/>
      <c r="Q15688" s="475"/>
      <c r="R15688" s="475">
        <v>1</v>
      </c>
    </row>
    <row r="15689" spans="1:18" ht="24">
      <c r="A15689" s="471">
        <v>298</v>
      </c>
      <c r="B15689" s="468" t="s">
        <v>28136</v>
      </c>
      <c r="C15689" s="472" t="s">
        <v>28137</v>
      </c>
      <c r="D15689" s="473">
        <v>1196.43</v>
      </c>
      <c r="E15689" s="473">
        <v>214.43</v>
      </c>
      <c r="F15689" s="473">
        <v>89.82</v>
      </c>
      <c r="G15689" s="473">
        <v>892.18</v>
      </c>
      <c r="H15689" s="474">
        <v>4779.6099999999997</v>
      </c>
      <c r="I15689" s="474">
        <v>2465.92</v>
      </c>
      <c r="J15689" s="474">
        <v>484.05</v>
      </c>
      <c r="K15689" s="474">
        <v>1829.64</v>
      </c>
      <c r="L15689" s="43">
        <v>3.9948931404261003</v>
      </c>
      <c r="M15689" s="43">
        <v>11.499883411836031</v>
      </c>
      <c r="N15689" s="43">
        <v>5.3891115564462266</v>
      </c>
      <c r="O15689" s="43">
        <v>2.0507520903853487</v>
      </c>
      <c r="P15689" s="475"/>
      <c r="Q15689" s="475"/>
      <c r="R15689" s="475">
        <v>1</v>
      </c>
    </row>
    <row r="15690" spans="1:18" ht="24">
      <c r="A15690" s="471">
        <v>299</v>
      </c>
      <c r="B15690" s="468" t="s">
        <v>28138</v>
      </c>
      <c r="C15690" s="472" t="s">
        <v>28139</v>
      </c>
      <c r="D15690" s="473">
        <v>573.09</v>
      </c>
      <c r="E15690" s="473">
        <v>235.47</v>
      </c>
      <c r="F15690" s="473">
        <v>117.87</v>
      </c>
      <c r="G15690" s="473">
        <v>219.75</v>
      </c>
      <c r="H15690" s="474">
        <v>4453.9799999999996</v>
      </c>
      <c r="I15690" s="474">
        <v>2707.91</v>
      </c>
      <c r="J15690" s="474">
        <v>635.55999999999995</v>
      </c>
      <c r="K15690" s="474">
        <v>1110.51</v>
      </c>
      <c r="L15690" s="43">
        <v>7.7718682929382812</v>
      </c>
      <c r="M15690" s="43">
        <v>11.500021234127489</v>
      </c>
      <c r="N15690" s="43">
        <v>5.3920420802579105</v>
      </c>
      <c r="O15690" s="43">
        <v>5.0535153583617749</v>
      </c>
      <c r="P15690" s="475"/>
      <c r="Q15690" s="475"/>
      <c r="R15690" s="475">
        <v>1</v>
      </c>
    </row>
    <row r="15691" spans="1:18" ht="24">
      <c r="A15691" s="471">
        <v>300</v>
      </c>
      <c r="B15691" s="468" t="s">
        <v>28140</v>
      </c>
      <c r="C15691" s="472" t="s">
        <v>28141</v>
      </c>
      <c r="D15691" s="473">
        <v>2081.7199999999998</v>
      </c>
      <c r="E15691" s="473">
        <v>214.43</v>
      </c>
      <c r="F15691" s="473">
        <v>92.45</v>
      </c>
      <c r="G15691" s="473">
        <v>1774.84</v>
      </c>
      <c r="H15691" s="474">
        <v>6532.72</v>
      </c>
      <c r="I15691" s="474">
        <v>2465.92</v>
      </c>
      <c r="J15691" s="474">
        <v>498.23</v>
      </c>
      <c r="K15691" s="474">
        <v>3568.57</v>
      </c>
      <c r="L15691" s="43">
        <v>3.1381357723421019</v>
      </c>
      <c r="M15691" s="43">
        <v>11.499883411836031</v>
      </c>
      <c r="N15691" s="43">
        <v>5.3891833423472146</v>
      </c>
      <c r="O15691" s="43">
        <v>2.0106432129093328</v>
      </c>
      <c r="P15691" s="475"/>
      <c r="Q15691" s="475"/>
      <c r="R15691" s="475">
        <v>1</v>
      </c>
    </row>
    <row r="15692" spans="1:18" ht="36">
      <c r="A15692" s="471">
        <v>301</v>
      </c>
      <c r="B15692" s="468" t="s">
        <v>28142</v>
      </c>
      <c r="C15692" s="472" t="s">
        <v>28143</v>
      </c>
      <c r="D15692" s="473">
        <v>423.45</v>
      </c>
      <c r="E15692" s="473">
        <v>282.8</v>
      </c>
      <c r="F15692" s="473">
        <v>117.44</v>
      </c>
      <c r="G15692" s="473">
        <v>23.21</v>
      </c>
      <c r="H15692" s="474">
        <v>4095.41</v>
      </c>
      <c r="I15692" s="474">
        <v>3252.2</v>
      </c>
      <c r="J15692" s="474">
        <v>631.54</v>
      </c>
      <c r="K15692" s="474">
        <v>211.67</v>
      </c>
      <c r="L15692" s="43">
        <v>9.6715314677057496</v>
      </c>
      <c r="M15692" s="43">
        <v>11.499999999999998</v>
      </c>
      <c r="N15692" s="43">
        <v>5.3775544959128068</v>
      </c>
      <c r="O15692" s="43">
        <v>9.1197759586385168</v>
      </c>
      <c r="P15692" s="475"/>
      <c r="Q15692" s="475"/>
      <c r="R15692" s="475">
        <v>1</v>
      </c>
    </row>
    <row r="15693" spans="1:18" ht="24">
      <c r="A15693" s="471">
        <v>302</v>
      </c>
      <c r="B15693" s="468" t="s">
        <v>28144</v>
      </c>
      <c r="C15693" s="472" t="s">
        <v>28145</v>
      </c>
      <c r="D15693" s="473">
        <v>244.7</v>
      </c>
      <c r="E15693" s="473">
        <v>202.4</v>
      </c>
      <c r="F15693" s="473">
        <v>35.22</v>
      </c>
      <c r="G15693" s="473">
        <v>7.08</v>
      </c>
      <c r="H15693" s="474">
        <v>2579.59</v>
      </c>
      <c r="I15693" s="474">
        <v>2327.65</v>
      </c>
      <c r="J15693" s="474">
        <v>189.34</v>
      </c>
      <c r="K15693" s="474">
        <v>62.6</v>
      </c>
      <c r="L15693" s="43">
        <v>10.541847159787496</v>
      </c>
      <c r="M15693" s="43">
        <v>11.500247035573123</v>
      </c>
      <c r="N15693" s="43">
        <v>5.3759227711527542</v>
      </c>
      <c r="O15693" s="43">
        <v>8.841807909604519</v>
      </c>
      <c r="P15693" s="475"/>
      <c r="Q15693" s="475"/>
      <c r="R15693" s="475">
        <v>1</v>
      </c>
    </row>
    <row r="15694" spans="1:18" ht="24">
      <c r="A15694" s="471">
        <v>303</v>
      </c>
      <c r="B15694" s="468" t="s">
        <v>28146</v>
      </c>
      <c r="C15694" s="472" t="s">
        <v>28147</v>
      </c>
      <c r="D15694" s="473">
        <v>277.45999999999998</v>
      </c>
      <c r="E15694" s="473">
        <v>213.43</v>
      </c>
      <c r="F15694" s="473">
        <v>56.97</v>
      </c>
      <c r="G15694" s="473">
        <v>7.06</v>
      </c>
      <c r="H15694" s="474">
        <v>2828.19</v>
      </c>
      <c r="I15694" s="474">
        <v>2454.4</v>
      </c>
      <c r="J15694" s="474">
        <v>307.01</v>
      </c>
      <c r="K15694" s="474">
        <v>66.78</v>
      </c>
      <c r="L15694" s="43">
        <v>10.193144957831761</v>
      </c>
      <c r="M15694" s="43">
        <v>11.499789158037764</v>
      </c>
      <c r="N15694" s="43">
        <v>5.3889766543794977</v>
      </c>
      <c r="O15694" s="43">
        <v>9.4589235127478766</v>
      </c>
      <c r="P15694" s="475"/>
      <c r="Q15694" s="475"/>
      <c r="R15694" s="475">
        <v>1</v>
      </c>
    </row>
    <row r="15695" spans="1:18" ht="24">
      <c r="A15695" s="471">
        <v>304</v>
      </c>
      <c r="B15695" s="468" t="s">
        <v>28148</v>
      </c>
      <c r="C15695" s="472" t="s">
        <v>28149</v>
      </c>
      <c r="D15695" s="473">
        <v>342.76</v>
      </c>
      <c r="E15695" s="473">
        <v>248.46</v>
      </c>
      <c r="F15695" s="473">
        <v>84.97</v>
      </c>
      <c r="G15695" s="473">
        <v>9.33</v>
      </c>
      <c r="H15695" s="474">
        <v>3407.23</v>
      </c>
      <c r="I15695" s="474">
        <v>2857.29</v>
      </c>
      <c r="J15695" s="474">
        <v>457.63</v>
      </c>
      <c r="K15695" s="474">
        <v>92.31</v>
      </c>
      <c r="L15695" s="43">
        <v>9.9405706616874792</v>
      </c>
      <c r="M15695" s="43">
        <v>11.5</v>
      </c>
      <c r="N15695" s="43">
        <v>5.3857832176062139</v>
      </c>
      <c r="O15695" s="43">
        <v>9.893890675241158</v>
      </c>
      <c r="P15695" s="475"/>
      <c r="Q15695" s="475"/>
      <c r="R15695" s="475">
        <v>1</v>
      </c>
    </row>
    <row r="15696" spans="1:18" ht="36">
      <c r="A15696" s="471">
        <v>305</v>
      </c>
      <c r="B15696" s="468" t="s">
        <v>28150</v>
      </c>
      <c r="C15696" s="472" t="s">
        <v>28151</v>
      </c>
      <c r="D15696" s="473">
        <v>389.43</v>
      </c>
      <c r="E15696" s="473">
        <v>260.58</v>
      </c>
      <c r="F15696" s="473">
        <v>115.5</v>
      </c>
      <c r="G15696" s="473">
        <v>13.35</v>
      </c>
      <c r="H15696" s="474">
        <v>3744.88</v>
      </c>
      <c r="I15696" s="474">
        <v>2996.67</v>
      </c>
      <c r="J15696" s="474">
        <v>622.59</v>
      </c>
      <c r="K15696" s="474">
        <v>125.62</v>
      </c>
      <c r="L15696" s="43">
        <v>9.616311018668311</v>
      </c>
      <c r="M15696" s="43">
        <v>11.500000000000002</v>
      </c>
      <c r="N15696" s="43">
        <v>5.3903896103896107</v>
      </c>
      <c r="O15696" s="43">
        <v>9.4097378277153556</v>
      </c>
      <c r="P15696" s="475"/>
      <c r="Q15696" s="475"/>
      <c r="R15696" s="475">
        <v>1</v>
      </c>
    </row>
    <row r="15697" spans="1:18" ht="24">
      <c r="A15697" s="471">
        <v>306</v>
      </c>
      <c r="B15697" s="468" t="s">
        <v>28152</v>
      </c>
      <c r="C15697" s="472" t="s">
        <v>28153</v>
      </c>
      <c r="D15697" s="473">
        <v>486.96</v>
      </c>
      <c r="E15697" s="473">
        <v>331.18</v>
      </c>
      <c r="F15697" s="473">
        <v>140.34</v>
      </c>
      <c r="G15697" s="473">
        <v>15.44</v>
      </c>
      <c r="H15697" s="474">
        <v>4709.6400000000003</v>
      </c>
      <c r="I15697" s="474">
        <v>3808.68</v>
      </c>
      <c r="J15697" s="474">
        <v>755.05</v>
      </c>
      <c r="K15697" s="474">
        <v>145.91</v>
      </c>
      <c r="L15697" s="43">
        <v>9.6715130606209971</v>
      </c>
      <c r="M15697" s="43">
        <v>11.50033214566097</v>
      </c>
      <c r="N15697" s="43">
        <v>5.3801482114863894</v>
      </c>
      <c r="O15697" s="43">
        <v>9.4501295336787567</v>
      </c>
      <c r="P15697" s="475"/>
      <c r="Q15697" s="475"/>
      <c r="R15697" s="475">
        <v>1</v>
      </c>
    </row>
    <row r="15698" spans="1:18" ht="24">
      <c r="A15698" s="471">
        <v>307</v>
      </c>
      <c r="B15698" s="468" t="s">
        <v>28154</v>
      </c>
      <c r="C15698" s="472" t="s">
        <v>28155</v>
      </c>
      <c r="D15698" s="473">
        <v>746.15</v>
      </c>
      <c r="E15698" s="473">
        <v>453.49</v>
      </c>
      <c r="F15698" s="473">
        <v>264.57</v>
      </c>
      <c r="G15698" s="473">
        <v>28.09</v>
      </c>
      <c r="H15698" s="474">
        <v>6890.68</v>
      </c>
      <c r="I15698" s="474">
        <v>5215.1400000000003</v>
      </c>
      <c r="J15698" s="474">
        <v>1417.43</v>
      </c>
      <c r="K15698" s="474">
        <v>258.11</v>
      </c>
      <c r="L15698" s="43">
        <v>9.2349795617503183</v>
      </c>
      <c r="M15698" s="43">
        <v>11.500011025601447</v>
      </c>
      <c r="N15698" s="43">
        <v>5.3574857315644255</v>
      </c>
      <c r="O15698" s="43">
        <v>9.1886792452830193</v>
      </c>
      <c r="P15698" s="475"/>
      <c r="Q15698" s="475"/>
      <c r="R15698" s="475">
        <v>1</v>
      </c>
    </row>
    <row r="15699" spans="1:18" ht="24">
      <c r="A15699" s="471">
        <v>308</v>
      </c>
      <c r="B15699" s="468" t="s">
        <v>28156</v>
      </c>
      <c r="C15699" s="472" t="s">
        <v>28157</v>
      </c>
      <c r="D15699" s="473">
        <v>359.13</v>
      </c>
      <c r="E15699" s="473">
        <v>225.45</v>
      </c>
      <c r="F15699" s="473">
        <v>121.94</v>
      </c>
      <c r="G15699" s="473">
        <v>11.74</v>
      </c>
      <c r="H15699" s="474">
        <v>3356.71</v>
      </c>
      <c r="I15699" s="474">
        <v>2592.6799999999998</v>
      </c>
      <c r="J15699" s="474">
        <v>653.29999999999995</v>
      </c>
      <c r="K15699" s="474">
        <v>110.73</v>
      </c>
      <c r="L15699" s="43">
        <v>9.3467825021579927</v>
      </c>
      <c r="M15699" s="43">
        <v>11.500022177866489</v>
      </c>
      <c r="N15699" s="43">
        <v>5.3575528948663278</v>
      </c>
      <c r="O15699" s="43">
        <v>9.4318568994889276</v>
      </c>
      <c r="P15699" s="475"/>
      <c r="Q15699" s="475"/>
      <c r="R15699" s="475">
        <v>1</v>
      </c>
    </row>
    <row r="15700" spans="1:18" ht="36">
      <c r="A15700" s="471">
        <v>309</v>
      </c>
      <c r="B15700" s="468" t="s">
        <v>28158</v>
      </c>
      <c r="C15700" s="472" t="s">
        <v>28159</v>
      </c>
      <c r="D15700" s="473">
        <v>541.38</v>
      </c>
      <c r="E15700" s="473">
        <v>368.4</v>
      </c>
      <c r="F15700" s="473">
        <v>152.56</v>
      </c>
      <c r="G15700" s="473">
        <v>20.420000000000002</v>
      </c>
      <c r="H15700" s="474">
        <v>5253.92</v>
      </c>
      <c r="I15700" s="474">
        <v>4236.82</v>
      </c>
      <c r="J15700" s="474">
        <v>822.6</v>
      </c>
      <c r="K15700" s="474">
        <v>194.5</v>
      </c>
      <c r="L15700" s="43">
        <v>9.7046806309800875</v>
      </c>
      <c r="M15700" s="43">
        <v>11.500597176981541</v>
      </c>
      <c r="N15700" s="43">
        <v>5.3919769271106448</v>
      </c>
      <c r="O15700" s="43">
        <v>9.5249755142017616</v>
      </c>
      <c r="P15700" s="475"/>
      <c r="Q15700" s="475"/>
      <c r="R15700" s="475">
        <v>1</v>
      </c>
    </row>
    <row r="15701" spans="1:18" ht="24">
      <c r="A15701" s="471">
        <v>310</v>
      </c>
      <c r="B15701" s="468" t="s">
        <v>28160</v>
      </c>
      <c r="C15701" s="472" t="s">
        <v>28161</v>
      </c>
      <c r="D15701" s="473">
        <v>640.4</v>
      </c>
      <c r="E15701" s="473">
        <v>441.37</v>
      </c>
      <c r="F15701" s="473">
        <v>185.22</v>
      </c>
      <c r="G15701" s="473">
        <v>13.81</v>
      </c>
      <c r="H15701" s="474">
        <v>6212.88</v>
      </c>
      <c r="I15701" s="474">
        <v>5075.76</v>
      </c>
      <c r="J15701" s="474">
        <v>997.58</v>
      </c>
      <c r="K15701" s="474">
        <v>139.54</v>
      </c>
      <c r="L15701" s="43">
        <v>9.7015615240474702</v>
      </c>
      <c r="M15701" s="43">
        <v>11.500011328363959</v>
      </c>
      <c r="N15701" s="43">
        <v>5.3859194471439373</v>
      </c>
      <c r="O15701" s="43">
        <v>10.104272266473568</v>
      </c>
      <c r="P15701" s="475"/>
      <c r="Q15701" s="475"/>
      <c r="R15701" s="475">
        <v>1</v>
      </c>
    </row>
    <row r="15702" spans="1:18" ht="24">
      <c r="A15702" s="471">
        <v>311</v>
      </c>
      <c r="B15702" s="468" t="s">
        <v>28162</v>
      </c>
      <c r="C15702" s="472" t="s">
        <v>28163</v>
      </c>
      <c r="D15702" s="473">
        <v>273.70999999999998</v>
      </c>
      <c r="E15702" s="473">
        <v>202.4</v>
      </c>
      <c r="F15702" s="473">
        <v>63.9</v>
      </c>
      <c r="G15702" s="473">
        <v>7.41</v>
      </c>
      <c r="H15702" s="474">
        <v>2736.32</v>
      </c>
      <c r="I15702" s="474">
        <v>2327.65</v>
      </c>
      <c r="J15702" s="474">
        <v>340.84</v>
      </c>
      <c r="K15702" s="474">
        <v>67.83</v>
      </c>
      <c r="L15702" s="43">
        <v>9.9971502685323905</v>
      </c>
      <c r="M15702" s="43">
        <v>11.500247035573123</v>
      </c>
      <c r="N15702" s="43">
        <v>5.3339593114241</v>
      </c>
      <c r="O15702" s="43">
        <v>9.1538461538461533</v>
      </c>
      <c r="P15702" s="475"/>
      <c r="Q15702" s="475"/>
      <c r="R15702" s="475">
        <v>1</v>
      </c>
    </row>
    <row r="15703" spans="1:18" ht="36">
      <c r="A15703" s="471">
        <v>312</v>
      </c>
      <c r="B15703" s="468" t="s">
        <v>28164</v>
      </c>
      <c r="C15703" s="472" t="s">
        <v>28165</v>
      </c>
      <c r="D15703" s="473">
        <v>820.62</v>
      </c>
      <c r="E15703" s="473">
        <v>513.38</v>
      </c>
      <c r="F15703" s="473">
        <v>289.58</v>
      </c>
      <c r="G15703" s="473">
        <v>17.66</v>
      </c>
      <c r="H15703" s="474">
        <v>7626.38</v>
      </c>
      <c r="I15703" s="474">
        <v>5904.14</v>
      </c>
      <c r="J15703" s="474">
        <v>1549.3</v>
      </c>
      <c r="K15703" s="474">
        <v>172.94</v>
      </c>
      <c r="L15703" s="43">
        <v>9.2934366698350033</v>
      </c>
      <c r="M15703" s="43">
        <v>11.5005259262145</v>
      </c>
      <c r="N15703" s="43">
        <v>5.3501623040265214</v>
      </c>
      <c r="O15703" s="43">
        <v>9.7927519818799542</v>
      </c>
      <c r="P15703" s="475"/>
      <c r="Q15703" s="475"/>
      <c r="R15703" s="475">
        <v>1</v>
      </c>
    </row>
    <row r="15704" spans="1:18" ht="24">
      <c r="A15704" s="471">
        <v>313</v>
      </c>
      <c r="B15704" s="468" t="s">
        <v>28166</v>
      </c>
      <c r="C15704" s="472" t="s">
        <v>28167</v>
      </c>
      <c r="D15704" s="473">
        <v>128.83000000000001</v>
      </c>
      <c r="E15704" s="473">
        <v>109.48</v>
      </c>
      <c r="F15704" s="473">
        <v>14.34</v>
      </c>
      <c r="G15704" s="473">
        <v>5.01</v>
      </c>
      <c r="H15704" s="474">
        <v>1376.74</v>
      </c>
      <c r="I15704" s="474">
        <v>1259.07</v>
      </c>
      <c r="J15704" s="474">
        <v>77.349999999999994</v>
      </c>
      <c r="K15704" s="474">
        <v>40.32</v>
      </c>
      <c r="L15704" s="43">
        <v>10.686486066909881</v>
      </c>
      <c r="M15704" s="43">
        <v>11.500456704420898</v>
      </c>
      <c r="N15704" s="43">
        <v>5.3940027894002789</v>
      </c>
      <c r="O15704" s="43">
        <v>8.0479041916167677</v>
      </c>
      <c r="P15704" s="475"/>
      <c r="Q15704" s="475"/>
      <c r="R15704" s="475">
        <v>1</v>
      </c>
    </row>
    <row r="15705" spans="1:18" ht="24">
      <c r="A15705" s="471">
        <v>314</v>
      </c>
      <c r="B15705" s="468" t="s">
        <v>28168</v>
      </c>
      <c r="C15705" s="472" t="s">
        <v>28169</v>
      </c>
      <c r="D15705" s="473">
        <v>608.41</v>
      </c>
      <c r="E15705" s="473">
        <v>385.82</v>
      </c>
      <c r="F15705" s="473">
        <v>202.41</v>
      </c>
      <c r="G15705" s="473">
        <v>20.18</v>
      </c>
      <c r="H15705" s="474">
        <v>5709.74</v>
      </c>
      <c r="I15705" s="474">
        <v>4436.93</v>
      </c>
      <c r="J15705" s="474">
        <v>1089.1300000000001</v>
      </c>
      <c r="K15705" s="474">
        <v>183.68</v>
      </c>
      <c r="L15705" s="43">
        <v>9.3846912443911172</v>
      </c>
      <c r="M15705" s="43">
        <v>11.500000000000002</v>
      </c>
      <c r="N15705" s="43">
        <v>5.3808112247418611</v>
      </c>
      <c r="O15705" s="43">
        <v>9.1020812685827561</v>
      </c>
      <c r="P15705" s="475"/>
      <c r="Q15705" s="475"/>
      <c r="R15705" s="475">
        <v>1</v>
      </c>
    </row>
    <row r="15706" spans="1:18" ht="36">
      <c r="A15706" s="471">
        <v>315</v>
      </c>
      <c r="B15706" s="468" t="s">
        <v>28170</v>
      </c>
      <c r="C15706" s="472" t="s">
        <v>28171</v>
      </c>
      <c r="D15706" s="473">
        <v>5330.54</v>
      </c>
      <c r="E15706" s="473">
        <v>3953.72</v>
      </c>
      <c r="F15706" s="473">
        <v>1179.98</v>
      </c>
      <c r="G15706" s="473">
        <v>196.84</v>
      </c>
      <c r="H15706" s="474">
        <v>53330.59</v>
      </c>
      <c r="I15706" s="474">
        <v>45469.72</v>
      </c>
      <c r="J15706" s="474">
        <v>6294.89</v>
      </c>
      <c r="K15706" s="474">
        <v>1565.98</v>
      </c>
      <c r="L15706" s="43">
        <v>10.004725600033018</v>
      </c>
      <c r="M15706" s="43">
        <v>11.500490677134447</v>
      </c>
      <c r="N15706" s="43">
        <v>5.3347429617451141</v>
      </c>
      <c r="O15706" s="43">
        <v>7.9555984555984551</v>
      </c>
      <c r="P15706" s="475"/>
      <c r="Q15706" s="475"/>
      <c r="R15706" s="475">
        <v>1</v>
      </c>
    </row>
    <row r="15707" spans="1:18" ht="24">
      <c r="A15707" s="471">
        <v>316</v>
      </c>
      <c r="B15707" s="468" t="s">
        <v>28172</v>
      </c>
      <c r="C15707" s="472" t="s">
        <v>28173</v>
      </c>
      <c r="D15707" s="473">
        <v>264.77</v>
      </c>
      <c r="E15707" s="473">
        <v>200.59</v>
      </c>
      <c r="F15707" s="473">
        <v>57.53</v>
      </c>
      <c r="G15707" s="473">
        <v>6.65</v>
      </c>
      <c r="H15707" s="474">
        <v>2673.23</v>
      </c>
      <c r="I15707" s="474">
        <v>2306.84</v>
      </c>
      <c r="J15707" s="474">
        <v>306.54000000000002</v>
      </c>
      <c r="K15707" s="474">
        <v>59.85</v>
      </c>
      <c r="L15707" s="43">
        <v>10.096423310798052</v>
      </c>
      <c r="M15707" s="43">
        <v>11.50027419113615</v>
      </c>
      <c r="N15707" s="43">
        <v>5.328350425864766</v>
      </c>
      <c r="O15707" s="43">
        <v>9</v>
      </c>
      <c r="P15707" s="475"/>
      <c r="Q15707" s="475"/>
      <c r="R15707" s="475">
        <v>1</v>
      </c>
    </row>
    <row r="15708" spans="1:18" ht="24">
      <c r="A15708" s="471">
        <v>317</v>
      </c>
      <c r="B15708" s="468" t="s">
        <v>28174</v>
      </c>
      <c r="C15708" s="472" t="s">
        <v>28175</v>
      </c>
      <c r="D15708" s="473">
        <v>230.21</v>
      </c>
      <c r="E15708" s="473">
        <v>189.66</v>
      </c>
      <c r="F15708" s="473">
        <v>34.28</v>
      </c>
      <c r="G15708" s="473">
        <v>6.27</v>
      </c>
      <c r="H15708" s="474">
        <v>2419.7600000000002</v>
      </c>
      <c r="I15708" s="474">
        <v>2181.2199999999998</v>
      </c>
      <c r="J15708" s="474">
        <v>181.53</v>
      </c>
      <c r="K15708" s="474">
        <v>57.01</v>
      </c>
      <c r="L15708" s="43">
        <v>10.511098562182356</v>
      </c>
      <c r="M15708" s="43">
        <v>11.500685437097964</v>
      </c>
      <c r="N15708" s="43">
        <v>5.2955075845974324</v>
      </c>
      <c r="O15708" s="43">
        <v>9.0925039872408302</v>
      </c>
      <c r="P15708" s="475"/>
      <c r="Q15708" s="475"/>
      <c r="R15708" s="475">
        <v>1</v>
      </c>
    </row>
    <row r="15709" spans="1:18" ht="24">
      <c r="A15709" s="471">
        <v>318</v>
      </c>
      <c r="B15709" s="468" t="s">
        <v>28176</v>
      </c>
      <c r="C15709" s="472" t="s">
        <v>28177</v>
      </c>
      <c r="D15709" s="473">
        <v>230.21</v>
      </c>
      <c r="E15709" s="473">
        <v>189.66</v>
      </c>
      <c r="F15709" s="473">
        <v>34.28</v>
      </c>
      <c r="G15709" s="473">
        <v>6.27</v>
      </c>
      <c r="H15709" s="474">
        <v>2419.7600000000002</v>
      </c>
      <c r="I15709" s="474">
        <v>2181.2199999999998</v>
      </c>
      <c r="J15709" s="474">
        <v>181.53</v>
      </c>
      <c r="K15709" s="474">
        <v>57.01</v>
      </c>
      <c r="L15709" s="43">
        <v>10.511098562182356</v>
      </c>
      <c r="M15709" s="43">
        <v>11.500685437097964</v>
      </c>
      <c r="N15709" s="43">
        <v>5.2955075845974324</v>
      </c>
      <c r="O15709" s="43">
        <v>9.0925039872408302</v>
      </c>
      <c r="P15709" s="475"/>
      <c r="Q15709" s="475"/>
      <c r="R15709" s="475">
        <v>1</v>
      </c>
    </row>
    <row r="15710" spans="1:18" ht="24">
      <c r="A15710" s="471">
        <v>319</v>
      </c>
      <c r="B15710" s="468" t="s">
        <v>28178</v>
      </c>
      <c r="C15710" s="472" t="s">
        <v>28179</v>
      </c>
      <c r="D15710" s="473">
        <v>261.52</v>
      </c>
      <c r="E15710" s="473">
        <v>200.59</v>
      </c>
      <c r="F15710" s="473">
        <v>52.32</v>
      </c>
      <c r="G15710" s="473">
        <v>8.61</v>
      </c>
      <c r="H15710" s="474">
        <v>2662.94</v>
      </c>
      <c r="I15710" s="474">
        <v>2306.84</v>
      </c>
      <c r="J15710" s="474">
        <v>278.35000000000002</v>
      </c>
      <c r="K15710" s="474">
        <v>77.75</v>
      </c>
      <c r="L15710" s="43">
        <v>10.182548179871521</v>
      </c>
      <c r="M15710" s="43">
        <v>11.50027419113615</v>
      </c>
      <c r="N15710" s="43">
        <v>5.3201452599388386</v>
      </c>
      <c r="O15710" s="43">
        <v>9.0301974448315914</v>
      </c>
      <c r="P15710" s="475"/>
      <c r="Q15710" s="475"/>
      <c r="R15710" s="475">
        <v>1</v>
      </c>
    </row>
    <row r="15711" spans="1:18" ht="24">
      <c r="A15711" s="471">
        <v>320</v>
      </c>
      <c r="B15711" s="468" t="s">
        <v>28180</v>
      </c>
      <c r="C15711" s="472" t="s">
        <v>28181</v>
      </c>
      <c r="D15711" s="473">
        <v>262.13</v>
      </c>
      <c r="E15711" s="473">
        <v>201.58</v>
      </c>
      <c r="F15711" s="473">
        <v>52.32</v>
      </c>
      <c r="G15711" s="473">
        <v>8.23</v>
      </c>
      <c r="H15711" s="474">
        <v>2670.4</v>
      </c>
      <c r="I15711" s="474">
        <v>2318.2600000000002</v>
      </c>
      <c r="J15711" s="474">
        <v>278.35000000000002</v>
      </c>
      <c r="K15711" s="474">
        <v>73.790000000000006</v>
      </c>
      <c r="L15711" s="43">
        <v>10.187311639262962</v>
      </c>
      <c r="M15711" s="43">
        <v>11.500446472864372</v>
      </c>
      <c r="N15711" s="43">
        <v>5.3201452599388386</v>
      </c>
      <c r="O15711" s="43">
        <v>8.9659781287970848</v>
      </c>
      <c r="P15711" s="475"/>
      <c r="Q15711" s="475"/>
      <c r="R15711" s="475">
        <v>1</v>
      </c>
    </row>
    <row r="15712" spans="1:18" ht="36">
      <c r="A15712" s="471">
        <v>321</v>
      </c>
      <c r="B15712" s="468" t="s">
        <v>28182</v>
      </c>
      <c r="C15712" s="472" t="s">
        <v>28183</v>
      </c>
      <c r="D15712" s="473">
        <v>713.53</v>
      </c>
      <c r="E15712" s="473">
        <v>433.94</v>
      </c>
      <c r="F15712" s="473">
        <v>263.74</v>
      </c>
      <c r="G15712" s="473">
        <v>15.85</v>
      </c>
      <c r="H15712" s="474">
        <v>6550.33</v>
      </c>
      <c r="I15712" s="474">
        <v>4990.54</v>
      </c>
      <c r="J15712" s="474">
        <v>1406.1</v>
      </c>
      <c r="K15712" s="474">
        <v>153.69</v>
      </c>
      <c r="L15712" s="43">
        <v>9.1801746247529881</v>
      </c>
      <c r="M15712" s="43">
        <v>11.500530027192699</v>
      </c>
      <c r="N15712" s="43">
        <v>5.3313869720178957</v>
      </c>
      <c r="O15712" s="43">
        <v>9.696529968454259</v>
      </c>
      <c r="P15712" s="475"/>
      <c r="Q15712" s="475"/>
      <c r="R15712" s="475">
        <v>1</v>
      </c>
    </row>
    <row r="15713" spans="1:18" ht="36">
      <c r="A15713" s="471">
        <v>322</v>
      </c>
      <c r="B15713" s="468" t="s">
        <v>28184</v>
      </c>
      <c r="C15713" s="472" t="s">
        <v>28185</v>
      </c>
      <c r="D15713" s="473">
        <v>244.15</v>
      </c>
      <c r="E15713" s="473">
        <v>191.38</v>
      </c>
      <c r="F15713" s="473">
        <v>45.87</v>
      </c>
      <c r="G15713" s="473">
        <v>6.9</v>
      </c>
      <c r="H15713" s="474">
        <v>2507.19</v>
      </c>
      <c r="I15713" s="474">
        <v>2200.89</v>
      </c>
      <c r="J15713" s="474">
        <v>243.88</v>
      </c>
      <c r="K15713" s="474">
        <v>62.42</v>
      </c>
      <c r="L15713" s="43">
        <v>10.269055908253122</v>
      </c>
      <c r="M15713" s="43">
        <v>11.500104504127913</v>
      </c>
      <c r="N15713" s="43">
        <v>5.3167647700021803</v>
      </c>
      <c r="O15713" s="43">
        <v>9.046376811594202</v>
      </c>
      <c r="P15713" s="475"/>
      <c r="Q15713" s="475"/>
      <c r="R15713" s="475">
        <v>1</v>
      </c>
    </row>
    <row r="15714" spans="1:18" ht="24">
      <c r="A15714" s="471">
        <v>323</v>
      </c>
      <c r="B15714" s="468" t="s">
        <v>28186</v>
      </c>
      <c r="C15714" s="472" t="s">
        <v>28187</v>
      </c>
      <c r="D15714" s="473">
        <v>157.29</v>
      </c>
      <c r="E15714" s="473">
        <v>141.77000000000001</v>
      </c>
      <c r="F15714" s="473">
        <v>12.46</v>
      </c>
      <c r="G15714" s="473">
        <v>3.06</v>
      </c>
      <c r="H15714" s="474">
        <v>1731.44</v>
      </c>
      <c r="I15714" s="474">
        <v>1630.38</v>
      </c>
      <c r="J15714" s="474">
        <v>66.680000000000007</v>
      </c>
      <c r="K15714" s="474">
        <v>34.380000000000003</v>
      </c>
      <c r="L15714" s="43">
        <v>11.007947104075276</v>
      </c>
      <c r="M15714" s="43">
        <v>11.500176341962334</v>
      </c>
      <c r="N15714" s="43">
        <v>5.3515248796147672</v>
      </c>
      <c r="O15714" s="43">
        <v>11.23529411764706</v>
      </c>
      <c r="P15714" s="475"/>
      <c r="Q15714" s="475"/>
      <c r="R15714" s="475">
        <v>1</v>
      </c>
    </row>
    <row r="15715" spans="1:18" ht="36">
      <c r="A15715" s="471">
        <v>324</v>
      </c>
      <c r="B15715" s="468" t="s">
        <v>28188</v>
      </c>
      <c r="C15715" s="472" t="s">
        <v>28189</v>
      </c>
      <c r="D15715" s="473">
        <v>722.84</v>
      </c>
      <c r="E15715" s="473">
        <v>593.54</v>
      </c>
      <c r="F15715" s="473">
        <v>79.78</v>
      </c>
      <c r="G15715" s="473">
        <v>49.52</v>
      </c>
      <c r="H15715" s="474">
        <v>7574.5</v>
      </c>
      <c r="I15715" s="474">
        <v>6825.69</v>
      </c>
      <c r="J15715" s="474">
        <v>425.82</v>
      </c>
      <c r="K15715" s="474">
        <v>322.99</v>
      </c>
      <c r="L15715" s="43">
        <v>10.478805821481933</v>
      </c>
      <c r="M15715" s="43">
        <v>11.499966303871686</v>
      </c>
      <c r="N15715" s="43">
        <v>5.3374279267986964</v>
      </c>
      <c r="O15715" s="43">
        <v>6.5224151857835215</v>
      </c>
      <c r="P15715" s="475"/>
      <c r="Q15715" s="475"/>
      <c r="R15715" s="475">
        <v>1</v>
      </c>
    </row>
    <row r="15716" spans="1:18" ht="36">
      <c r="A15716" s="471">
        <v>325</v>
      </c>
      <c r="B15716" s="468" t="s">
        <v>28190</v>
      </c>
      <c r="C15716" s="472" t="s">
        <v>28191</v>
      </c>
      <c r="D15716" s="473">
        <v>665.73</v>
      </c>
      <c r="E15716" s="473">
        <v>552.64</v>
      </c>
      <c r="F15716" s="473">
        <v>64.39</v>
      </c>
      <c r="G15716" s="473">
        <v>48.7</v>
      </c>
      <c r="H15716" s="474">
        <v>7012.39</v>
      </c>
      <c r="I15716" s="474">
        <v>6355.57</v>
      </c>
      <c r="J15716" s="474">
        <v>343.26</v>
      </c>
      <c r="K15716" s="474">
        <v>313.56</v>
      </c>
      <c r="L15716" s="43">
        <v>10.53338440508915</v>
      </c>
      <c r="M15716" s="43">
        <v>11.500379994209611</v>
      </c>
      <c r="N15716" s="43">
        <v>5.3309520111818607</v>
      </c>
      <c r="O15716" s="43">
        <v>6.4386036960985624</v>
      </c>
      <c r="P15716" s="475"/>
      <c r="Q15716" s="475"/>
      <c r="R15716" s="475">
        <v>1</v>
      </c>
    </row>
    <row r="15717" spans="1:18" ht="24">
      <c r="A15717" s="471">
        <v>326</v>
      </c>
      <c r="B15717" s="468" t="s">
        <v>28192</v>
      </c>
      <c r="C15717" s="472" t="s">
        <v>28193</v>
      </c>
      <c r="D15717" s="473">
        <v>308.72000000000003</v>
      </c>
      <c r="E15717" s="473">
        <v>194.63</v>
      </c>
      <c r="F15717" s="473">
        <v>105.48</v>
      </c>
      <c r="G15717" s="473">
        <v>8.61</v>
      </c>
      <c r="H15717" s="474">
        <v>2880.17</v>
      </c>
      <c r="I15717" s="474">
        <v>2238.33</v>
      </c>
      <c r="J15717" s="474">
        <v>563.97</v>
      </c>
      <c r="K15717" s="474">
        <v>77.87</v>
      </c>
      <c r="L15717" s="43">
        <v>9.3293923296190719</v>
      </c>
      <c r="M15717" s="43">
        <v>11.500436726095669</v>
      </c>
      <c r="N15717" s="43">
        <v>5.3467007963594995</v>
      </c>
      <c r="O15717" s="43">
        <v>9.0441347270615573</v>
      </c>
      <c r="P15717" s="475"/>
      <c r="Q15717" s="475"/>
      <c r="R15717" s="475">
        <v>1</v>
      </c>
    </row>
    <row r="15718" spans="1:18" ht="24">
      <c r="A15718" s="471">
        <v>327</v>
      </c>
      <c r="B15718" s="468" t="s">
        <v>28194</v>
      </c>
      <c r="C15718" s="472" t="s">
        <v>28195</v>
      </c>
      <c r="D15718" s="473">
        <v>182.15</v>
      </c>
      <c r="E15718" s="473">
        <v>154.47</v>
      </c>
      <c r="F15718" s="473">
        <v>24.46</v>
      </c>
      <c r="G15718" s="473">
        <v>3.22</v>
      </c>
      <c r="H15718" s="474">
        <v>1944.04</v>
      </c>
      <c r="I15718" s="474">
        <v>1776.38</v>
      </c>
      <c r="J15718" s="474">
        <v>131.26</v>
      </c>
      <c r="K15718" s="474">
        <v>36.4</v>
      </c>
      <c r="L15718" s="43">
        <v>10.672742245402141</v>
      </c>
      <c r="M15718" s="43">
        <v>11.499838156276301</v>
      </c>
      <c r="N15718" s="43">
        <v>5.3663123466884706</v>
      </c>
      <c r="O15718" s="43">
        <v>11.304347826086955</v>
      </c>
      <c r="P15718" s="475"/>
      <c r="Q15718" s="475"/>
      <c r="R15718" s="475">
        <v>1</v>
      </c>
    </row>
    <row r="15719" spans="1:18" ht="36">
      <c r="A15719" s="471">
        <v>328</v>
      </c>
      <c r="B15719" s="468" t="s">
        <v>28196</v>
      </c>
      <c r="C15719" s="472" t="s">
        <v>28197</v>
      </c>
      <c r="D15719" s="473">
        <v>4295.12</v>
      </c>
      <c r="E15719" s="473">
        <v>2838.1</v>
      </c>
      <c r="F15719" s="473">
        <v>1309.99</v>
      </c>
      <c r="G15719" s="473">
        <v>147.03</v>
      </c>
      <c r="H15719" s="474">
        <v>41002.879999999997</v>
      </c>
      <c r="I15719" s="474">
        <v>32638.15</v>
      </c>
      <c r="J15719" s="474">
        <v>6893.66</v>
      </c>
      <c r="K15719" s="474">
        <v>1471.07</v>
      </c>
      <c r="L15719" s="43">
        <v>9.5463875281715058</v>
      </c>
      <c r="M15719" s="43">
        <v>11.5</v>
      </c>
      <c r="N15719" s="43">
        <v>5.2623760486721274</v>
      </c>
      <c r="O15719" s="43">
        <v>10.005237026457186</v>
      </c>
      <c r="P15719" s="475"/>
      <c r="Q15719" s="475"/>
      <c r="R15719" s="475">
        <v>1</v>
      </c>
    </row>
    <row r="15720" spans="1:18" ht="24">
      <c r="A15720" s="471">
        <v>329</v>
      </c>
      <c r="B15720" s="468" t="s">
        <v>28198</v>
      </c>
      <c r="C15720" s="472" t="s">
        <v>28199</v>
      </c>
      <c r="D15720" s="473">
        <v>342.93</v>
      </c>
      <c r="E15720" s="473">
        <v>260.58</v>
      </c>
      <c r="F15720" s="473">
        <v>69.19</v>
      </c>
      <c r="G15720" s="473">
        <v>13.16</v>
      </c>
      <c r="H15720" s="474">
        <v>3498.98</v>
      </c>
      <c r="I15720" s="474">
        <v>2996.67</v>
      </c>
      <c r="J15720" s="474">
        <v>369.2</v>
      </c>
      <c r="K15720" s="474">
        <v>133.11000000000001</v>
      </c>
      <c r="L15720" s="43">
        <v>10.203190155425306</v>
      </c>
      <c r="M15720" s="43">
        <v>11.500000000000002</v>
      </c>
      <c r="N15720" s="43">
        <v>5.3360312183841598</v>
      </c>
      <c r="O15720" s="43">
        <v>10.114741641337387</v>
      </c>
      <c r="P15720" s="475"/>
      <c r="Q15720" s="475"/>
      <c r="R15720" s="475">
        <v>1</v>
      </c>
    </row>
    <row r="15721" spans="1:18" ht="24">
      <c r="A15721" s="471">
        <v>330</v>
      </c>
      <c r="B15721" s="468" t="s">
        <v>28200</v>
      </c>
      <c r="C15721" s="472" t="s">
        <v>28201</v>
      </c>
      <c r="D15721" s="473">
        <v>346.03</v>
      </c>
      <c r="E15721" s="473">
        <v>225.45</v>
      </c>
      <c r="F15721" s="473">
        <v>108.12</v>
      </c>
      <c r="G15721" s="473">
        <v>12.46</v>
      </c>
      <c r="H15721" s="474">
        <v>3295.97</v>
      </c>
      <c r="I15721" s="474">
        <v>2592.6799999999998</v>
      </c>
      <c r="J15721" s="474">
        <v>578.23</v>
      </c>
      <c r="K15721" s="474">
        <v>125.06</v>
      </c>
      <c r="L15721" s="43">
        <v>9.5250989798572387</v>
      </c>
      <c r="M15721" s="43">
        <v>11.500022177866489</v>
      </c>
      <c r="N15721" s="43">
        <v>5.3480392156862742</v>
      </c>
      <c r="O15721" s="43">
        <v>10.036918138041733</v>
      </c>
      <c r="P15721" s="475"/>
      <c r="Q15721" s="475"/>
      <c r="R15721" s="475">
        <v>1</v>
      </c>
    </row>
    <row r="15722" spans="1:18" ht="36">
      <c r="A15722" s="471">
        <v>331</v>
      </c>
      <c r="B15722" s="468" t="s">
        <v>28202</v>
      </c>
      <c r="C15722" s="472" t="s">
        <v>28203</v>
      </c>
      <c r="D15722" s="473">
        <v>320.19</v>
      </c>
      <c r="E15722" s="473">
        <v>214.43</v>
      </c>
      <c r="F15722" s="473">
        <v>93.52</v>
      </c>
      <c r="G15722" s="473">
        <v>12.24</v>
      </c>
      <c r="H15722" s="474">
        <v>3088.32</v>
      </c>
      <c r="I15722" s="474">
        <v>2465.92</v>
      </c>
      <c r="J15722" s="474">
        <v>499.87</v>
      </c>
      <c r="K15722" s="474">
        <v>122.53</v>
      </c>
      <c r="L15722" s="43">
        <v>9.6452731190855427</v>
      </c>
      <c r="M15722" s="43">
        <v>11.499883411836031</v>
      </c>
      <c r="N15722" s="43">
        <v>5.3450598802395213</v>
      </c>
      <c r="O15722" s="43">
        <v>10.01062091503268</v>
      </c>
      <c r="P15722" s="475"/>
      <c r="Q15722" s="475"/>
      <c r="R15722" s="475">
        <v>1</v>
      </c>
    </row>
    <row r="15723" spans="1:18" ht="24">
      <c r="A15723" s="471">
        <v>332</v>
      </c>
      <c r="B15723" s="468" t="s">
        <v>28204</v>
      </c>
      <c r="C15723" s="472" t="s">
        <v>28205</v>
      </c>
      <c r="D15723" s="473">
        <v>280.87</v>
      </c>
      <c r="E15723" s="473">
        <v>202.4</v>
      </c>
      <c r="F15723" s="473">
        <v>66.47</v>
      </c>
      <c r="G15723" s="473">
        <v>12</v>
      </c>
      <c r="H15723" s="474">
        <v>2802.05</v>
      </c>
      <c r="I15723" s="474">
        <v>2327.65</v>
      </c>
      <c r="J15723" s="474">
        <v>354.63</v>
      </c>
      <c r="K15723" s="474">
        <v>119.77</v>
      </c>
      <c r="L15723" s="43">
        <v>9.9763235660625913</v>
      </c>
      <c r="M15723" s="43">
        <v>11.500247035573123</v>
      </c>
      <c r="N15723" s="43">
        <v>5.3351888069805931</v>
      </c>
      <c r="O15723" s="43">
        <v>9.980833333333333</v>
      </c>
      <c r="P15723" s="475"/>
      <c r="Q15723" s="475"/>
      <c r="R15723" s="475">
        <v>1</v>
      </c>
    </row>
    <row r="15724" spans="1:18" ht="36">
      <c r="A15724" s="471">
        <v>333</v>
      </c>
      <c r="B15724" s="468" t="s">
        <v>28206</v>
      </c>
      <c r="C15724" s="472" t="s">
        <v>28207</v>
      </c>
      <c r="D15724" s="473">
        <v>340.52</v>
      </c>
      <c r="E15724" s="473">
        <v>225.45</v>
      </c>
      <c r="F15724" s="473">
        <v>102.61</v>
      </c>
      <c r="G15724" s="473">
        <v>12.46</v>
      </c>
      <c r="H15724" s="474">
        <v>3266.33</v>
      </c>
      <c r="I15724" s="474">
        <v>2592.6799999999998</v>
      </c>
      <c r="J15724" s="474">
        <v>548.59</v>
      </c>
      <c r="K15724" s="474">
        <v>125.06</v>
      </c>
      <c r="L15724" s="43">
        <v>9.5921825443439452</v>
      </c>
      <c r="M15724" s="43">
        <v>11.500022177866489</v>
      </c>
      <c r="N15724" s="43">
        <v>5.3463600038982557</v>
      </c>
      <c r="O15724" s="43">
        <v>10.036918138041733</v>
      </c>
      <c r="P15724" s="475"/>
      <c r="Q15724" s="475"/>
      <c r="R15724" s="475">
        <v>1</v>
      </c>
    </row>
    <row r="15725" spans="1:18" ht="36">
      <c r="A15725" s="471">
        <v>334</v>
      </c>
      <c r="B15725" s="468" t="s">
        <v>28208</v>
      </c>
      <c r="C15725" s="472" t="s">
        <v>28209</v>
      </c>
      <c r="D15725" s="473">
        <v>971.83</v>
      </c>
      <c r="E15725" s="473">
        <v>534.23</v>
      </c>
      <c r="F15725" s="473">
        <v>418.97</v>
      </c>
      <c r="G15725" s="473">
        <v>18.63</v>
      </c>
      <c r="H15725" s="474">
        <v>8472.7000000000007</v>
      </c>
      <c r="I15725" s="474">
        <v>6143.96</v>
      </c>
      <c r="J15725" s="474">
        <v>2132.73</v>
      </c>
      <c r="K15725" s="474">
        <v>196.01</v>
      </c>
      <c r="L15725" s="43">
        <v>8.7182943518928209</v>
      </c>
      <c r="M15725" s="43">
        <v>11.500589633678377</v>
      </c>
      <c r="N15725" s="43">
        <v>5.0904122013509321</v>
      </c>
      <c r="O15725" s="43">
        <v>10.521202361782072</v>
      </c>
      <c r="P15725" s="475"/>
      <c r="Q15725" s="475"/>
      <c r="R15725" s="475">
        <v>1</v>
      </c>
    </row>
    <row r="15726" spans="1:18" ht="36">
      <c r="A15726" s="471">
        <v>335</v>
      </c>
      <c r="B15726" s="468" t="s">
        <v>28210</v>
      </c>
      <c r="C15726" s="472" t="s">
        <v>28211</v>
      </c>
      <c r="D15726" s="473">
        <v>392.03</v>
      </c>
      <c r="E15726" s="473">
        <v>233.36</v>
      </c>
      <c r="F15726" s="473">
        <v>146.05000000000001</v>
      </c>
      <c r="G15726" s="473">
        <v>12.62</v>
      </c>
      <c r="H15726" s="474">
        <v>3592.74</v>
      </c>
      <c r="I15726" s="474">
        <v>2683.7</v>
      </c>
      <c r="J15726" s="474">
        <v>782.14</v>
      </c>
      <c r="K15726" s="474">
        <v>126.9</v>
      </c>
      <c r="L15726" s="43">
        <v>9.1644517001249906</v>
      </c>
      <c r="M15726" s="43">
        <v>11.500257113472745</v>
      </c>
      <c r="N15726" s="43">
        <v>5.3552892844916116</v>
      </c>
      <c r="O15726" s="43">
        <v>10.055467511885896</v>
      </c>
      <c r="P15726" s="475"/>
      <c r="Q15726" s="475"/>
      <c r="R15726" s="475">
        <v>1</v>
      </c>
    </row>
    <row r="15727" spans="1:18" ht="36">
      <c r="A15727" s="471">
        <v>336</v>
      </c>
      <c r="B15727" s="468" t="s">
        <v>28212</v>
      </c>
      <c r="C15727" s="472" t="s">
        <v>28213</v>
      </c>
      <c r="D15727" s="473">
        <v>340.67</v>
      </c>
      <c r="E15727" s="473">
        <v>225.45</v>
      </c>
      <c r="F15727" s="473">
        <v>102.76</v>
      </c>
      <c r="G15727" s="473">
        <v>12.46</v>
      </c>
      <c r="H15727" s="474">
        <v>3267.12</v>
      </c>
      <c r="I15727" s="474">
        <v>2592.6799999999998</v>
      </c>
      <c r="J15727" s="474">
        <v>549.38</v>
      </c>
      <c r="K15727" s="474">
        <v>125.06</v>
      </c>
      <c r="L15727" s="43">
        <v>9.5902779816244443</v>
      </c>
      <c r="M15727" s="43">
        <v>11.500022177866489</v>
      </c>
      <c r="N15727" s="43">
        <v>5.3462436745815491</v>
      </c>
      <c r="O15727" s="43">
        <v>10.036918138041733</v>
      </c>
      <c r="P15727" s="475"/>
      <c r="Q15727" s="475"/>
      <c r="R15727" s="475">
        <v>1</v>
      </c>
    </row>
    <row r="15728" spans="1:18" ht="36">
      <c r="A15728" s="471">
        <v>337</v>
      </c>
      <c r="B15728" s="468" t="s">
        <v>28214</v>
      </c>
      <c r="C15728" s="472" t="s">
        <v>28215</v>
      </c>
      <c r="D15728" s="473">
        <v>173.25</v>
      </c>
      <c r="E15728" s="473">
        <v>139.32</v>
      </c>
      <c r="F15728" s="473">
        <v>29.33</v>
      </c>
      <c r="G15728" s="473">
        <v>4.5999999999999996</v>
      </c>
      <c r="H15728" s="474">
        <v>1813.15</v>
      </c>
      <c r="I15728" s="474">
        <v>1602.18</v>
      </c>
      <c r="J15728" s="474">
        <v>157.46</v>
      </c>
      <c r="K15728" s="474">
        <v>53.51</v>
      </c>
      <c r="L15728" s="43">
        <v>10.465512265512267</v>
      </c>
      <c r="M15728" s="43">
        <v>11.500000000000002</v>
      </c>
      <c r="N15728" s="43">
        <v>5.3685646096147295</v>
      </c>
      <c r="O15728" s="43">
        <v>11.632608695652175</v>
      </c>
      <c r="P15728" s="475"/>
      <c r="Q15728" s="475"/>
      <c r="R15728" s="475">
        <v>1</v>
      </c>
    </row>
    <row r="15729" spans="1:18" ht="24">
      <c r="A15729" s="471">
        <v>338</v>
      </c>
      <c r="B15729" s="468" t="s">
        <v>28216</v>
      </c>
      <c r="C15729" s="472" t="s">
        <v>28217</v>
      </c>
      <c r="D15729" s="473">
        <v>140.02000000000001</v>
      </c>
      <c r="E15729" s="473">
        <v>104.23</v>
      </c>
      <c r="F15729" s="473">
        <v>31.9</v>
      </c>
      <c r="G15729" s="473">
        <v>3.89</v>
      </c>
      <c r="H15729" s="474">
        <v>1415.41</v>
      </c>
      <c r="I15729" s="474">
        <v>1198.67</v>
      </c>
      <c r="J15729" s="474">
        <v>171.4</v>
      </c>
      <c r="K15729" s="474">
        <v>45.34</v>
      </c>
      <c r="L15729" s="43">
        <v>10.108627338951578</v>
      </c>
      <c r="M15729" s="43">
        <v>11.500239854168665</v>
      </c>
      <c r="N15729" s="43">
        <v>5.3730407523510975</v>
      </c>
      <c r="O15729" s="43">
        <v>11.655526992287918</v>
      </c>
      <c r="P15729" s="475"/>
      <c r="Q15729" s="475"/>
      <c r="R15729" s="475">
        <v>1</v>
      </c>
    </row>
    <row r="15730" spans="1:18" ht="36">
      <c r="A15730" s="471">
        <v>339</v>
      </c>
      <c r="B15730" s="468" t="s">
        <v>28218</v>
      </c>
      <c r="C15730" s="472" t="s">
        <v>28219</v>
      </c>
      <c r="D15730" s="473">
        <v>659.72</v>
      </c>
      <c r="E15730" s="473">
        <v>480.88</v>
      </c>
      <c r="F15730" s="473">
        <v>146.13999999999999</v>
      </c>
      <c r="G15730" s="473">
        <v>32.700000000000003</v>
      </c>
      <c r="H15730" s="474">
        <v>6608.47</v>
      </c>
      <c r="I15730" s="474">
        <v>5530.33</v>
      </c>
      <c r="J15730" s="474">
        <v>777.51</v>
      </c>
      <c r="K15730" s="474">
        <v>300.63</v>
      </c>
      <c r="L15730" s="43">
        <v>10.017083004911175</v>
      </c>
      <c r="M15730" s="43">
        <v>11.500436699384462</v>
      </c>
      <c r="N15730" s="43">
        <v>5.3203092924592861</v>
      </c>
      <c r="O15730" s="43">
        <v>9.1935779816513747</v>
      </c>
      <c r="P15730" s="475"/>
      <c r="Q15730" s="475"/>
      <c r="R15730" s="475">
        <v>1</v>
      </c>
    </row>
    <row r="15731" spans="1:18" ht="24">
      <c r="A15731" s="471">
        <v>340</v>
      </c>
      <c r="B15731" s="468" t="s">
        <v>28220</v>
      </c>
      <c r="C15731" s="472" t="s">
        <v>28221</v>
      </c>
      <c r="D15731" s="473">
        <v>991.07</v>
      </c>
      <c r="E15731" s="473">
        <v>612.67999999999995</v>
      </c>
      <c r="F15731" s="473">
        <v>327.43</v>
      </c>
      <c r="G15731" s="473">
        <v>50.96</v>
      </c>
      <c r="H15731" s="474">
        <v>9169</v>
      </c>
      <c r="I15731" s="474">
        <v>7046.14</v>
      </c>
      <c r="J15731" s="474">
        <v>1745.35</v>
      </c>
      <c r="K15731" s="474">
        <v>377.51</v>
      </c>
      <c r="L15731" s="43">
        <v>9.2516169392676595</v>
      </c>
      <c r="M15731" s="43">
        <v>11.500522295488674</v>
      </c>
      <c r="N15731" s="43">
        <v>5.3304523104174937</v>
      </c>
      <c r="O15731" s="43">
        <v>7.4079670329670328</v>
      </c>
      <c r="P15731" s="475"/>
      <c r="Q15731" s="475"/>
      <c r="R15731" s="475">
        <v>1</v>
      </c>
    </row>
    <row r="15732" spans="1:18" ht="12.75" customHeight="1">
      <c r="A15732" s="628" t="s">
        <v>28222</v>
      </c>
      <c r="B15732" s="629"/>
      <c r="C15732" s="629"/>
      <c r="D15732" s="629"/>
      <c r="E15732" s="629"/>
      <c r="F15732" s="629"/>
      <c r="G15732" s="629"/>
      <c r="H15732" s="629"/>
      <c r="I15732" s="629"/>
      <c r="J15732" s="629"/>
      <c r="K15732" s="629"/>
      <c r="L15732" s="629"/>
      <c r="M15732" s="629"/>
      <c r="N15732" s="629"/>
      <c r="O15732" s="629"/>
      <c r="P15732" s="629"/>
      <c r="Q15732" s="629"/>
      <c r="R15732" s="629"/>
    </row>
    <row r="15733" spans="1:18" ht="24">
      <c r="A15733" s="471">
        <v>341</v>
      </c>
      <c r="B15733" s="468" t="s">
        <v>28223</v>
      </c>
      <c r="C15733" s="472" t="s">
        <v>28224</v>
      </c>
      <c r="D15733" s="473">
        <v>79.849999999999994</v>
      </c>
      <c r="E15733" s="473">
        <v>69.760000000000005</v>
      </c>
      <c r="F15733" s="473">
        <v>6.24</v>
      </c>
      <c r="G15733" s="473">
        <v>3.85</v>
      </c>
      <c r="H15733" s="474">
        <v>873.42</v>
      </c>
      <c r="I15733" s="474">
        <v>802.28</v>
      </c>
      <c r="J15733" s="474">
        <v>33.58</v>
      </c>
      <c r="K15733" s="474">
        <v>37.56</v>
      </c>
      <c r="L15733" s="43">
        <v>10.938259236067626</v>
      </c>
      <c r="M15733" s="43">
        <v>11.500573394495412</v>
      </c>
      <c r="N15733" s="43">
        <v>5.3814102564102564</v>
      </c>
      <c r="O15733" s="43">
        <v>9.7558441558441569</v>
      </c>
      <c r="P15733" s="475"/>
      <c r="Q15733" s="475"/>
      <c r="R15733" s="475">
        <v>2</v>
      </c>
    </row>
    <row r="15734" spans="1:18" ht="12.75" customHeight="1">
      <c r="A15734" s="628" t="s">
        <v>19144</v>
      </c>
      <c r="B15734" s="629"/>
      <c r="C15734" s="629"/>
      <c r="D15734" s="629"/>
      <c r="E15734" s="629"/>
      <c r="F15734" s="629"/>
      <c r="G15734" s="629"/>
      <c r="H15734" s="629"/>
      <c r="I15734" s="629"/>
      <c r="J15734" s="629"/>
      <c r="K15734" s="629"/>
      <c r="L15734" s="629"/>
      <c r="M15734" s="629"/>
      <c r="N15734" s="629"/>
      <c r="O15734" s="629"/>
      <c r="P15734" s="629"/>
      <c r="Q15734" s="629"/>
      <c r="R15734" s="629"/>
    </row>
    <row r="15735" spans="1:18" ht="24">
      <c r="A15735" s="471">
        <v>342</v>
      </c>
      <c r="B15735" s="468" t="s">
        <v>28225</v>
      </c>
      <c r="C15735" s="472" t="s">
        <v>28226</v>
      </c>
      <c r="D15735" s="473">
        <v>1285.54</v>
      </c>
      <c r="E15735" s="473">
        <v>855.86</v>
      </c>
      <c r="F15735" s="473">
        <v>369.5</v>
      </c>
      <c r="G15735" s="473">
        <v>60.18</v>
      </c>
      <c r="H15735" s="474">
        <v>12394.99</v>
      </c>
      <c r="I15735" s="474">
        <v>9842.74</v>
      </c>
      <c r="J15735" s="474">
        <v>1990.32</v>
      </c>
      <c r="K15735" s="474">
        <v>561.92999999999995</v>
      </c>
      <c r="L15735" s="43">
        <v>9.6418547847597118</v>
      </c>
      <c r="M15735" s="43">
        <v>11.500408945388264</v>
      </c>
      <c r="N15735" s="43">
        <v>5.3865223274695531</v>
      </c>
      <c r="O15735" s="43">
        <v>9.337487537387835</v>
      </c>
      <c r="P15735" s="475"/>
      <c r="Q15735" s="475"/>
      <c r="R15735" s="475">
        <v>3</v>
      </c>
    </row>
    <row r="15736" spans="1:18" ht="24">
      <c r="A15736" s="471">
        <v>343</v>
      </c>
      <c r="B15736" s="468" t="s">
        <v>28227</v>
      </c>
      <c r="C15736" s="472" t="s">
        <v>28228</v>
      </c>
      <c r="D15736" s="473">
        <v>141.09</v>
      </c>
      <c r="E15736" s="473">
        <v>104.23</v>
      </c>
      <c r="F15736" s="473">
        <v>34.630000000000003</v>
      </c>
      <c r="G15736" s="473">
        <v>2.23</v>
      </c>
      <c r="H15736" s="474">
        <v>1410.9</v>
      </c>
      <c r="I15736" s="474">
        <v>1198.67</v>
      </c>
      <c r="J15736" s="474">
        <v>186.85</v>
      </c>
      <c r="K15736" s="474">
        <v>25.38</v>
      </c>
      <c r="L15736" s="43">
        <v>10</v>
      </c>
      <c r="M15736" s="43">
        <v>11.500239854168665</v>
      </c>
      <c r="N15736" s="43">
        <v>5.3956107421310993</v>
      </c>
      <c r="O15736" s="43">
        <v>11.381165919282511</v>
      </c>
      <c r="P15736" s="475"/>
      <c r="Q15736" s="475"/>
      <c r="R15736" s="475">
        <v>3</v>
      </c>
    </row>
    <row r="15737" spans="1:18" ht="24">
      <c r="A15737" s="471">
        <v>344</v>
      </c>
      <c r="B15737" s="468" t="s">
        <v>28229</v>
      </c>
      <c r="C15737" s="472" t="s">
        <v>28230</v>
      </c>
      <c r="D15737" s="473">
        <v>233.01</v>
      </c>
      <c r="E15737" s="473">
        <v>191.38</v>
      </c>
      <c r="F15737" s="473">
        <v>31.55</v>
      </c>
      <c r="G15737" s="473">
        <v>10.08</v>
      </c>
      <c r="H15737" s="474">
        <v>2469.12</v>
      </c>
      <c r="I15737" s="474">
        <v>2200.89</v>
      </c>
      <c r="J15737" s="474">
        <v>169.68</v>
      </c>
      <c r="K15737" s="474">
        <v>98.55</v>
      </c>
      <c r="L15737" s="43">
        <v>10.596626754216556</v>
      </c>
      <c r="M15737" s="43">
        <v>11.500104504127913</v>
      </c>
      <c r="N15737" s="43">
        <v>5.3781299524564181</v>
      </c>
      <c r="O15737" s="43">
        <v>9.7767857142857135</v>
      </c>
      <c r="P15737" s="475"/>
      <c r="Q15737" s="475"/>
      <c r="R15737" s="475">
        <v>3</v>
      </c>
    </row>
    <row r="15738" spans="1:18" ht="24">
      <c r="A15738" s="471">
        <v>345</v>
      </c>
      <c r="B15738" s="468" t="s">
        <v>28231</v>
      </c>
      <c r="C15738" s="472" t="s">
        <v>28232</v>
      </c>
      <c r="D15738" s="473">
        <v>348.02</v>
      </c>
      <c r="E15738" s="473">
        <v>237.35</v>
      </c>
      <c r="F15738" s="473">
        <v>99.25</v>
      </c>
      <c r="G15738" s="473">
        <v>11.42</v>
      </c>
      <c r="H15738" s="474">
        <v>3356.84</v>
      </c>
      <c r="I15738" s="474">
        <v>2729.53</v>
      </c>
      <c r="J15738" s="474">
        <v>534.71</v>
      </c>
      <c r="K15738" s="474">
        <v>92.6</v>
      </c>
      <c r="L15738" s="43">
        <v>9.6455376127808758</v>
      </c>
      <c r="M15738" s="43">
        <v>11.500021065936382</v>
      </c>
      <c r="N15738" s="43">
        <v>5.3875062972292191</v>
      </c>
      <c r="O15738" s="43">
        <v>8.1085814360770581</v>
      </c>
      <c r="P15738" s="475"/>
      <c r="Q15738" s="475"/>
      <c r="R15738" s="475">
        <v>3</v>
      </c>
    </row>
    <row r="15739" spans="1:18" ht="24">
      <c r="A15739" s="471">
        <v>346</v>
      </c>
      <c r="B15739" s="468" t="s">
        <v>28233</v>
      </c>
      <c r="C15739" s="472" t="s">
        <v>28234</v>
      </c>
      <c r="D15739" s="473">
        <v>64.349999999999994</v>
      </c>
      <c r="E15739" s="473">
        <v>56.66</v>
      </c>
      <c r="F15739" s="473">
        <v>6.56</v>
      </c>
      <c r="G15739" s="473">
        <v>1.1299999999999999</v>
      </c>
      <c r="H15739" s="474">
        <v>699.81</v>
      </c>
      <c r="I15739" s="474">
        <v>651.6</v>
      </c>
      <c r="J15739" s="474">
        <v>35.21</v>
      </c>
      <c r="K15739" s="474">
        <v>13</v>
      </c>
      <c r="L15739" s="43">
        <v>10.875058275058276</v>
      </c>
      <c r="M15739" s="43">
        <v>11.500176491351924</v>
      </c>
      <c r="N15739" s="43">
        <v>5.3673780487804885</v>
      </c>
      <c r="O15739" s="43">
        <v>11.504424778761063</v>
      </c>
      <c r="P15739" s="475"/>
      <c r="Q15739" s="475"/>
      <c r="R15739" s="475">
        <v>3</v>
      </c>
    </row>
    <row r="15740" spans="1:18" ht="12.75" customHeight="1">
      <c r="A15740" s="628" t="s">
        <v>28235</v>
      </c>
      <c r="B15740" s="629"/>
      <c r="C15740" s="629"/>
      <c r="D15740" s="629"/>
      <c r="E15740" s="629"/>
      <c r="F15740" s="629"/>
      <c r="G15740" s="629"/>
      <c r="H15740" s="629"/>
      <c r="I15740" s="629"/>
      <c r="J15740" s="629"/>
      <c r="K15740" s="629"/>
      <c r="L15740" s="629"/>
      <c r="M15740" s="629"/>
      <c r="N15740" s="629"/>
      <c r="O15740" s="629"/>
      <c r="P15740" s="629"/>
      <c r="Q15740" s="629"/>
      <c r="R15740" s="629"/>
    </row>
    <row r="15741" spans="1:18" ht="12.75" customHeight="1">
      <c r="A15741" s="628" t="s">
        <v>22607</v>
      </c>
      <c r="B15741" s="629"/>
      <c r="C15741" s="629"/>
      <c r="D15741" s="629"/>
      <c r="E15741" s="629"/>
      <c r="F15741" s="629"/>
      <c r="G15741" s="629"/>
      <c r="H15741" s="629"/>
      <c r="I15741" s="629"/>
      <c r="J15741" s="629"/>
      <c r="K15741" s="629"/>
      <c r="L15741" s="629"/>
      <c r="M15741" s="629"/>
      <c r="N15741" s="629"/>
      <c r="O15741" s="629"/>
      <c r="P15741" s="629"/>
      <c r="Q15741" s="629"/>
      <c r="R15741" s="629"/>
    </row>
    <row r="15742" spans="1:18" ht="24">
      <c r="A15742" s="471">
        <v>347</v>
      </c>
      <c r="B15742" s="468" t="s">
        <v>28236</v>
      </c>
      <c r="C15742" s="472" t="s">
        <v>28237</v>
      </c>
      <c r="D15742" s="473">
        <v>2815.8</v>
      </c>
      <c r="E15742" s="473">
        <v>2270.79</v>
      </c>
      <c r="F15742" s="473">
        <v>461.56</v>
      </c>
      <c r="G15742" s="473">
        <v>83.45</v>
      </c>
      <c r="H15742" s="474">
        <v>29299.35</v>
      </c>
      <c r="I15742" s="474">
        <v>26115.119999999999</v>
      </c>
      <c r="J15742" s="474">
        <v>2472.14</v>
      </c>
      <c r="K15742" s="474">
        <v>712.09</v>
      </c>
      <c r="L15742" s="43">
        <v>10.405337737055188</v>
      </c>
      <c r="M15742" s="43">
        <v>11.500455788514129</v>
      </c>
      <c r="N15742" s="43">
        <v>5.3560533841754046</v>
      </c>
      <c r="O15742" s="43">
        <v>8.5331336129418816</v>
      </c>
      <c r="P15742" s="475"/>
      <c r="Q15742" s="475"/>
      <c r="R15742" s="475">
        <v>1</v>
      </c>
    </row>
    <row r="15743" spans="1:18" ht="24">
      <c r="A15743" s="471">
        <v>348</v>
      </c>
      <c r="B15743" s="468" t="s">
        <v>28238</v>
      </c>
      <c r="C15743" s="472" t="s">
        <v>28239</v>
      </c>
      <c r="D15743" s="473">
        <v>108.86</v>
      </c>
      <c r="E15743" s="473">
        <v>92.67</v>
      </c>
      <c r="F15743" s="473">
        <v>14.34</v>
      </c>
      <c r="G15743" s="473">
        <v>1.85</v>
      </c>
      <c r="H15743" s="474">
        <v>1164.3800000000001</v>
      </c>
      <c r="I15743" s="474">
        <v>1065.75</v>
      </c>
      <c r="J15743" s="474">
        <v>77.349999999999994</v>
      </c>
      <c r="K15743" s="474">
        <v>21.28</v>
      </c>
      <c r="L15743" s="43">
        <v>10.696123461326476</v>
      </c>
      <c r="M15743" s="43">
        <v>11.500485594043379</v>
      </c>
      <c r="N15743" s="43">
        <v>5.3940027894002789</v>
      </c>
      <c r="O15743" s="43">
        <v>11.502702702702702</v>
      </c>
      <c r="P15743" s="475"/>
      <c r="Q15743" s="475"/>
      <c r="R15743" s="475">
        <v>1</v>
      </c>
    </row>
    <row r="15744" spans="1:18" ht="24">
      <c r="A15744" s="471">
        <v>349</v>
      </c>
      <c r="B15744" s="468" t="s">
        <v>28240</v>
      </c>
      <c r="C15744" s="472" t="s">
        <v>28241</v>
      </c>
      <c r="D15744" s="473">
        <v>1299.3800000000001</v>
      </c>
      <c r="E15744" s="473">
        <v>1058.6099999999999</v>
      </c>
      <c r="F15744" s="473">
        <v>181.06</v>
      </c>
      <c r="G15744" s="473">
        <v>59.71</v>
      </c>
      <c r="H15744" s="474">
        <v>13583.09</v>
      </c>
      <c r="I15744" s="474">
        <v>12174.44</v>
      </c>
      <c r="J15744" s="474">
        <v>970.96</v>
      </c>
      <c r="K15744" s="474">
        <v>437.69</v>
      </c>
      <c r="L15744" s="43">
        <v>10.453516292385599</v>
      </c>
      <c r="M15744" s="43">
        <v>11.500401469851978</v>
      </c>
      <c r="N15744" s="43">
        <v>5.3626422180492659</v>
      </c>
      <c r="O15744" s="43">
        <v>7.3302629375314012</v>
      </c>
      <c r="P15744" s="475"/>
      <c r="Q15744" s="475"/>
      <c r="R15744" s="475">
        <v>1</v>
      </c>
    </row>
    <row r="15745" spans="1:18" ht="24">
      <c r="A15745" s="471">
        <v>350</v>
      </c>
      <c r="B15745" s="468" t="s">
        <v>28242</v>
      </c>
      <c r="C15745" s="472" t="s">
        <v>28243</v>
      </c>
      <c r="D15745" s="473">
        <v>1882.56</v>
      </c>
      <c r="E15745" s="473">
        <v>1579.68</v>
      </c>
      <c r="F15745" s="473">
        <v>232.75</v>
      </c>
      <c r="G15745" s="473">
        <v>70.13</v>
      </c>
      <c r="H15745" s="474">
        <v>19971.689999999999</v>
      </c>
      <c r="I15745" s="474">
        <v>18167.04</v>
      </c>
      <c r="J15745" s="474">
        <v>1247.1300000000001</v>
      </c>
      <c r="K15745" s="474">
        <v>557.52</v>
      </c>
      <c r="L15745" s="43">
        <v>10.608793345232025</v>
      </c>
      <c r="M15745" s="43">
        <v>11.500455788514129</v>
      </c>
      <c r="N15745" s="43">
        <v>5.3582384532760479</v>
      </c>
      <c r="O15745" s="43">
        <v>7.9498075003564814</v>
      </c>
      <c r="P15745" s="475"/>
      <c r="Q15745" s="475"/>
      <c r="R15745" s="475">
        <v>1</v>
      </c>
    </row>
    <row r="15746" spans="1:18" ht="24">
      <c r="A15746" s="471">
        <v>351</v>
      </c>
      <c r="B15746" s="468" t="s">
        <v>28244</v>
      </c>
      <c r="C15746" s="472" t="s">
        <v>28245</v>
      </c>
      <c r="D15746" s="473">
        <v>2496.44</v>
      </c>
      <c r="E15746" s="473">
        <v>2092.12</v>
      </c>
      <c r="F15746" s="473">
        <v>323.94</v>
      </c>
      <c r="G15746" s="473">
        <v>80.38</v>
      </c>
      <c r="H15746" s="474">
        <v>26469.16</v>
      </c>
      <c r="I15746" s="474">
        <v>24059.38</v>
      </c>
      <c r="J15746" s="474">
        <v>1734.39</v>
      </c>
      <c r="K15746" s="474">
        <v>675.39</v>
      </c>
      <c r="L15746" s="43">
        <v>10.602762333562993</v>
      </c>
      <c r="M15746" s="43">
        <v>11.500000000000002</v>
      </c>
      <c r="N15746" s="43">
        <v>5.3540470457492129</v>
      </c>
      <c r="O15746" s="43">
        <v>8.4024632993281916</v>
      </c>
      <c r="P15746" s="475"/>
      <c r="Q15746" s="475"/>
      <c r="R15746" s="475">
        <v>1</v>
      </c>
    </row>
    <row r="15747" spans="1:18" ht="24">
      <c r="A15747" s="471">
        <v>352</v>
      </c>
      <c r="B15747" s="468" t="s">
        <v>28246</v>
      </c>
      <c r="C15747" s="472" t="s">
        <v>28247</v>
      </c>
      <c r="D15747" s="473">
        <v>4404.71</v>
      </c>
      <c r="E15747" s="473">
        <v>3754.16</v>
      </c>
      <c r="F15747" s="473">
        <v>535.85</v>
      </c>
      <c r="G15747" s="473">
        <v>114.7</v>
      </c>
      <c r="H15747" s="474">
        <v>47110.35</v>
      </c>
      <c r="I15747" s="474">
        <v>43172.84</v>
      </c>
      <c r="J15747" s="474">
        <v>2870.32</v>
      </c>
      <c r="K15747" s="474">
        <v>1067.19</v>
      </c>
      <c r="L15747" s="43">
        <v>10.695448735558072</v>
      </c>
      <c r="M15747" s="43">
        <v>11.5</v>
      </c>
      <c r="N15747" s="43">
        <v>5.3565736680041054</v>
      </c>
      <c r="O15747" s="43">
        <v>9.3041848299912822</v>
      </c>
      <c r="P15747" s="475"/>
      <c r="Q15747" s="475"/>
      <c r="R15747" s="475">
        <v>1</v>
      </c>
    </row>
    <row r="15748" spans="1:18" ht="24">
      <c r="A15748" s="471">
        <v>353</v>
      </c>
      <c r="B15748" s="468" t="s">
        <v>28248</v>
      </c>
      <c r="C15748" s="472" t="s">
        <v>28249</v>
      </c>
      <c r="D15748" s="473">
        <v>5025.8999999999996</v>
      </c>
      <c r="E15748" s="473">
        <v>4316.16</v>
      </c>
      <c r="F15748" s="473">
        <v>583.79999999999995</v>
      </c>
      <c r="G15748" s="473">
        <v>125.94</v>
      </c>
      <c r="H15748" s="474">
        <v>53959.49</v>
      </c>
      <c r="I15748" s="474">
        <v>49635.839999999997</v>
      </c>
      <c r="J15748" s="474">
        <v>3127.2</v>
      </c>
      <c r="K15748" s="474">
        <v>1196.45</v>
      </c>
      <c r="L15748" s="43">
        <v>10.736284048628107</v>
      </c>
      <c r="M15748" s="43">
        <v>11.5</v>
      </c>
      <c r="N15748" s="43">
        <v>5.3566289825282629</v>
      </c>
      <c r="O15748" s="43">
        <v>9.5001588057805311</v>
      </c>
      <c r="P15748" s="475"/>
      <c r="Q15748" s="475"/>
      <c r="R15748" s="475">
        <v>1</v>
      </c>
    </row>
    <row r="15749" spans="1:18" ht="24">
      <c r="A15749" s="471">
        <v>354</v>
      </c>
      <c r="B15749" s="468" t="s">
        <v>28250</v>
      </c>
      <c r="C15749" s="472" t="s">
        <v>28251</v>
      </c>
      <c r="D15749" s="473">
        <v>8092.32</v>
      </c>
      <c r="E15749" s="473">
        <v>7126.2</v>
      </c>
      <c r="F15749" s="473">
        <v>781.05</v>
      </c>
      <c r="G15749" s="473">
        <v>185.07</v>
      </c>
      <c r="H15749" s="474">
        <v>87973.01</v>
      </c>
      <c r="I15749" s="474">
        <v>81951.3</v>
      </c>
      <c r="J15749" s="474">
        <v>4153.33</v>
      </c>
      <c r="K15749" s="474">
        <v>1868.38</v>
      </c>
      <c r="L15749" s="43">
        <v>10.871172914565909</v>
      </c>
      <c r="M15749" s="43">
        <v>11.5</v>
      </c>
      <c r="N15749" s="43">
        <v>5.3176237116701879</v>
      </c>
      <c r="O15749" s="43">
        <v>10.09553142054358</v>
      </c>
      <c r="P15749" s="475"/>
      <c r="Q15749" s="475"/>
      <c r="R15749" s="475">
        <v>1</v>
      </c>
    </row>
    <row r="15750" spans="1:18" ht="36">
      <c r="A15750" s="471">
        <v>355</v>
      </c>
      <c r="B15750" s="468" t="s">
        <v>28252</v>
      </c>
      <c r="C15750" s="472" t="s">
        <v>28253</v>
      </c>
      <c r="D15750" s="473">
        <v>116.76</v>
      </c>
      <c r="E15750" s="473">
        <v>105.55</v>
      </c>
      <c r="F15750" s="473">
        <v>9.1</v>
      </c>
      <c r="G15750" s="473">
        <v>2.11</v>
      </c>
      <c r="H15750" s="474">
        <v>1287.0999999999999</v>
      </c>
      <c r="I15750" s="474">
        <v>1213.82</v>
      </c>
      <c r="J15750" s="474">
        <v>49.01</v>
      </c>
      <c r="K15750" s="474">
        <v>24.27</v>
      </c>
      <c r="L15750" s="43">
        <v>11.023466940733126</v>
      </c>
      <c r="M15750" s="43">
        <v>11.49995262908574</v>
      </c>
      <c r="N15750" s="43">
        <v>5.3857142857142861</v>
      </c>
      <c r="O15750" s="43">
        <v>11.502369668246446</v>
      </c>
      <c r="P15750" s="475"/>
      <c r="Q15750" s="475"/>
      <c r="R15750" s="475">
        <v>1</v>
      </c>
    </row>
    <row r="15751" spans="1:18" ht="24">
      <c r="A15751" s="471">
        <v>356</v>
      </c>
      <c r="B15751" s="468" t="s">
        <v>28254</v>
      </c>
      <c r="C15751" s="472" t="s">
        <v>28255</v>
      </c>
      <c r="D15751" s="473">
        <v>2922.51</v>
      </c>
      <c r="E15751" s="473">
        <v>2553</v>
      </c>
      <c r="F15751" s="473">
        <v>279.23</v>
      </c>
      <c r="G15751" s="473">
        <v>90.28</v>
      </c>
      <c r="H15751" s="474">
        <v>31649.84</v>
      </c>
      <c r="I15751" s="474">
        <v>29359.5</v>
      </c>
      <c r="J15751" s="474">
        <v>1502.96</v>
      </c>
      <c r="K15751" s="474">
        <v>787.38</v>
      </c>
      <c r="L15751" s="43">
        <v>10.829677229504775</v>
      </c>
      <c r="M15751" s="43">
        <v>11.5</v>
      </c>
      <c r="N15751" s="43">
        <v>5.3825162052788018</v>
      </c>
      <c r="O15751" s="43">
        <v>8.7215330084182536</v>
      </c>
      <c r="P15751" s="475"/>
      <c r="Q15751" s="475"/>
      <c r="R15751" s="475">
        <v>1</v>
      </c>
    </row>
    <row r="15752" spans="1:18" ht="24">
      <c r="A15752" s="471">
        <v>357</v>
      </c>
      <c r="B15752" s="468" t="s">
        <v>28256</v>
      </c>
      <c r="C15752" s="472" t="s">
        <v>28257</v>
      </c>
      <c r="D15752" s="473">
        <v>187.65</v>
      </c>
      <c r="E15752" s="473">
        <v>170.19</v>
      </c>
      <c r="F15752" s="473">
        <v>14.06</v>
      </c>
      <c r="G15752" s="473">
        <v>3.4</v>
      </c>
      <c r="H15752" s="474">
        <v>2072.15</v>
      </c>
      <c r="I15752" s="474">
        <v>1957.16</v>
      </c>
      <c r="J15752" s="474">
        <v>75.89</v>
      </c>
      <c r="K15752" s="474">
        <v>39.1</v>
      </c>
      <c r="L15752" s="43">
        <v>11.042632560618172</v>
      </c>
      <c r="M15752" s="43">
        <v>11.499853105352841</v>
      </c>
      <c r="N15752" s="43">
        <v>5.3975817923186344</v>
      </c>
      <c r="O15752" s="43">
        <v>11.5</v>
      </c>
      <c r="P15752" s="475"/>
      <c r="Q15752" s="475"/>
      <c r="R15752" s="475">
        <v>1</v>
      </c>
    </row>
    <row r="15753" spans="1:18" ht="12.75" customHeight="1">
      <c r="A15753" s="628" t="s">
        <v>349</v>
      </c>
      <c r="B15753" s="629"/>
      <c r="C15753" s="629"/>
      <c r="D15753" s="629"/>
      <c r="E15753" s="629"/>
      <c r="F15753" s="629"/>
      <c r="G15753" s="629"/>
      <c r="H15753" s="629"/>
      <c r="I15753" s="629"/>
      <c r="J15753" s="629"/>
      <c r="K15753" s="629"/>
      <c r="L15753" s="629"/>
      <c r="M15753" s="629"/>
      <c r="N15753" s="629"/>
      <c r="O15753" s="629"/>
      <c r="P15753" s="629"/>
      <c r="Q15753" s="629"/>
      <c r="R15753" s="629"/>
    </row>
    <row r="15754" spans="1:18" ht="12.75" customHeight="1">
      <c r="A15754" s="628" t="s">
        <v>19144</v>
      </c>
      <c r="B15754" s="629"/>
      <c r="C15754" s="629"/>
      <c r="D15754" s="629"/>
      <c r="E15754" s="629"/>
      <c r="F15754" s="629"/>
      <c r="G15754" s="629"/>
      <c r="H15754" s="629"/>
      <c r="I15754" s="629"/>
      <c r="J15754" s="629"/>
      <c r="K15754" s="629"/>
      <c r="L15754" s="629"/>
      <c r="M15754" s="629"/>
      <c r="N15754" s="629"/>
      <c r="O15754" s="629"/>
      <c r="P15754" s="629"/>
      <c r="Q15754" s="629"/>
      <c r="R15754" s="629"/>
    </row>
    <row r="15755" spans="1:18" ht="24">
      <c r="A15755" s="471">
        <v>358</v>
      </c>
      <c r="B15755" s="468" t="s">
        <v>28258</v>
      </c>
      <c r="C15755" s="472" t="s">
        <v>28259</v>
      </c>
      <c r="D15755" s="473">
        <v>374.54</v>
      </c>
      <c r="E15755" s="473">
        <v>248.46</v>
      </c>
      <c r="F15755" s="473">
        <v>114.44</v>
      </c>
      <c r="G15755" s="473">
        <v>11.64</v>
      </c>
      <c r="H15755" s="474">
        <v>3567.86</v>
      </c>
      <c r="I15755" s="474">
        <v>2857.29</v>
      </c>
      <c r="J15755" s="474">
        <v>615.44000000000005</v>
      </c>
      <c r="K15755" s="474">
        <v>95.13</v>
      </c>
      <c r="L15755" s="43">
        <v>9.5259785336679652</v>
      </c>
      <c r="M15755" s="43">
        <v>11.5</v>
      </c>
      <c r="N15755" s="43">
        <v>5.3778399161132473</v>
      </c>
      <c r="O15755" s="43">
        <v>8.1726804123711325</v>
      </c>
      <c r="P15755" s="475"/>
      <c r="Q15755" s="475"/>
      <c r="R15755" s="475">
        <v>1</v>
      </c>
    </row>
    <row r="15756" spans="1:18" ht="24">
      <c r="A15756" s="476">
        <v>359</v>
      </c>
      <c r="B15756" s="477" t="s">
        <v>28260</v>
      </c>
      <c r="C15756" s="478" t="s">
        <v>28261</v>
      </c>
      <c r="D15756" s="479">
        <v>799.85</v>
      </c>
      <c r="E15756" s="479">
        <v>523.57000000000005</v>
      </c>
      <c r="F15756" s="479">
        <v>255.33</v>
      </c>
      <c r="G15756" s="479">
        <v>20.95</v>
      </c>
      <c r="H15756" s="480">
        <v>7584.8</v>
      </c>
      <c r="I15756" s="480">
        <v>6021.08</v>
      </c>
      <c r="J15756" s="480">
        <v>1371.97</v>
      </c>
      <c r="K15756" s="480">
        <v>191.75</v>
      </c>
      <c r="L15756" s="611">
        <v>9.4827780208789143</v>
      </c>
      <c r="M15756" s="611">
        <v>11.50004774910709</v>
      </c>
      <c r="N15756" s="611">
        <v>5.3733208005326443</v>
      </c>
      <c r="O15756" s="611">
        <v>9.1527446300715987</v>
      </c>
      <c r="P15756" s="481"/>
      <c r="Q15756" s="481"/>
      <c r="R15756" s="481">
        <v>1</v>
      </c>
    </row>
    <row r="15757" spans="1:18" ht="12.75" customHeight="1">
      <c r="A15757" s="630" t="s">
        <v>28262</v>
      </c>
      <c r="B15757" s="631"/>
      <c r="C15757" s="631"/>
      <c r="D15757" s="631"/>
      <c r="E15757" s="631"/>
      <c r="F15757" s="631"/>
      <c r="G15757" s="631"/>
      <c r="H15757" s="631"/>
      <c r="I15757" s="631"/>
      <c r="J15757" s="631"/>
      <c r="K15757" s="631"/>
      <c r="L15757" s="631"/>
      <c r="M15757" s="631"/>
      <c r="N15757" s="631"/>
      <c r="O15757" s="631"/>
      <c r="P15757" s="631"/>
      <c r="Q15757" s="631"/>
      <c r="R15757" s="631"/>
    </row>
    <row r="15758" spans="1:18" ht="12.75" customHeight="1">
      <c r="A15758" s="628" t="s">
        <v>28263</v>
      </c>
      <c r="B15758" s="629"/>
      <c r="C15758" s="629"/>
      <c r="D15758" s="629"/>
      <c r="E15758" s="629"/>
      <c r="F15758" s="629"/>
      <c r="G15758" s="629"/>
      <c r="H15758" s="629"/>
      <c r="I15758" s="629"/>
      <c r="J15758" s="629"/>
      <c r="K15758" s="629"/>
      <c r="L15758" s="629"/>
      <c r="M15758" s="629"/>
      <c r="N15758" s="629"/>
      <c r="O15758" s="629"/>
      <c r="P15758" s="629"/>
      <c r="Q15758" s="629"/>
      <c r="R15758" s="629"/>
    </row>
    <row r="15759" spans="1:18" ht="24">
      <c r="A15759" s="471">
        <v>360</v>
      </c>
      <c r="B15759" s="468" t="s">
        <v>28264</v>
      </c>
      <c r="C15759" s="472" t="s">
        <v>28265</v>
      </c>
      <c r="D15759" s="473">
        <v>100.06</v>
      </c>
      <c r="E15759" s="473">
        <v>85.09</v>
      </c>
      <c r="F15759" s="473">
        <v>13.16</v>
      </c>
      <c r="G15759" s="473">
        <v>1.81</v>
      </c>
      <c r="H15759" s="474">
        <v>1067.21</v>
      </c>
      <c r="I15759" s="474">
        <v>978.58</v>
      </c>
      <c r="J15759" s="474">
        <v>68.13</v>
      </c>
      <c r="K15759" s="474">
        <v>20.5</v>
      </c>
      <c r="L15759" s="43">
        <v>10.665700579652208</v>
      </c>
      <c r="M15759" s="43">
        <v>11.500528851803972</v>
      </c>
      <c r="N15759" s="43">
        <v>5.1770516717325226</v>
      </c>
      <c r="O15759" s="43">
        <v>11.325966850828729</v>
      </c>
      <c r="P15759" s="475"/>
      <c r="Q15759" s="475"/>
      <c r="R15759" s="475">
        <v>1</v>
      </c>
    </row>
    <row r="15760" spans="1:18" ht="24">
      <c r="A15760" s="471">
        <v>361</v>
      </c>
      <c r="B15760" s="468" t="s">
        <v>28266</v>
      </c>
      <c r="C15760" s="472" t="s">
        <v>28267</v>
      </c>
      <c r="D15760" s="473">
        <v>118.13</v>
      </c>
      <c r="E15760" s="473">
        <v>96.91</v>
      </c>
      <c r="F15760" s="473">
        <v>17.78</v>
      </c>
      <c r="G15760" s="473">
        <v>3.44</v>
      </c>
      <c r="H15760" s="474">
        <v>1241.71</v>
      </c>
      <c r="I15760" s="474">
        <v>1114.46</v>
      </c>
      <c r="J15760" s="474">
        <v>91.83</v>
      </c>
      <c r="K15760" s="474">
        <v>35.42</v>
      </c>
      <c r="L15760" s="43">
        <v>10.511385761449251</v>
      </c>
      <c r="M15760" s="43">
        <v>11.499948405737284</v>
      </c>
      <c r="N15760" s="43">
        <v>5.1647919010123733</v>
      </c>
      <c r="O15760" s="43">
        <v>10.296511627906977</v>
      </c>
      <c r="P15760" s="475"/>
      <c r="Q15760" s="475"/>
      <c r="R15760" s="475">
        <v>1</v>
      </c>
    </row>
    <row r="15761" spans="1:18" ht="24">
      <c r="A15761" s="471">
        <v>362</v>
      </c>
      <c r="B15761" s="468" t="s">
        <v>28268</v>
      </c>
      <c r="C15761" s="472" t="s">
        <v>28269</v>
      </c>
      <c r="D15761" s="473">
        <v>103.77</v>
      </c>
      <c r="E15761" s="473">
        <v>100.81</v>
      </c>
      <c r="F15761" s="473">
        <v>0.4</v>
      </c>
      <c r="G15761" s="473">
        <v>2.56</v>
      </c>
      <c r="H15761" s="474">
        <v>1189.3</v>
      </c>
      <c r="I15761" s="474">
        <v>1159.3399999999999</v>
      </c>
      <c r="J15761" s="474">
        <v>1.96</v>
      </c>
      <c r="K15761" s="474">
        <v>28</v>
      </c>
      <c r="L15761" s="43">
        <v>11.460923195528572</v>
      </c>
      <c r="M15761" s="43">
        <v>11.500247991270706</v>
      </c>
      <c r="N15761" s="43">
        <v>4.8999999999999995</v>
      </c>
      <c r="O15761" s="43">
        <v>10.9375</v>
      </c>
      <c r="P15761" s="475"/>
      <c r="Q15761" s="475"/>
      <c r="R15761" s="475">
        <v>1</v>
      </c>
    </row>
    <row r="15762" spans="1:18" ht="24">
      <c r="A15762" s="471">
        <v>363</v>
      </c>
      <c r="B15762" s="468" t="s">
        <v>28270</v>
      </c>
      <c r="C15762" s="472" t="s">
        <v>28271</v>
      </c>
      <c r="D15762" s="473">
        <v>149.66</v>
      </c>
      <c r="E15762" s="473">
        <v>145.26</v>
      </c>
      <c r="F15762" s="473">
        <v>0.95</v>
      </c>
      <c r="G15762" s="473">
        <v>3.45</v>
      </c>
      <c r="H15762" s="474">
        <v>1712.99</v>
      </c>
      <c r="I15762" s="474">
        <v>1670.44</v>
      </c>
      <c r="J15762" s="474">
        <v>4.3099999999999996</v>
      </c>
      <c r="K15762" s="474">
        <v>38.24</v>
      </c>
      <c r="L15762" s="43">
        <v>11.445877321929707</v>
      </c>
      <c r="M15762" s="43">
        <v>11.499655789618616</v>
      </c>
      <c r="N15762" s="43">
        <v>4.5368421052631573</v>
      </c>
      <c r="O15762" s="43">
        <v>11.084057971014493</v>
      </c>
      <c r="P15762" s="475"/>
      <c r="Q15762" s="475"/>
      <c r="R15762" s="475">
        <v>1</v>
      </c>
    </row>
    <row r="15763" spans="1:18" ht="24">
      <c r="A15763" s="471">
        <v>364</v>
      </c>
      <c r="B15763" s="468" t="s">
        <v>28272</v>
      </c>
      <c r="C15763" s="472" t="s">
        <v>28273</v>
      </c>
      <c r="D15763" s="473">
        <v>131.58000000000001</v>
      </c>
      <c r="E15763" s="473">
        <v>127.97</v>
      </c>
      <c r="F15763" s="473">
        <v>0.87</v>
      </c>
      <c r="G15763" s="473">
        <v>2.74</v>
      </c>
      <c r="H15763" s="474">
        <v>1506.65</v>
      </c>
      <c r="I15763" s="474">
        <v>1471.63</v>
      </c>
      <c r="J15763" s="474">
        <v>3.97</v>
      </c>
      <c r="K15763" s="474">
        <v>31.05</v>
      </c>
      <c r="L15763" s="43">
        <v>11.450448396412828</v>
      </c>
      <c r="M15763" s="43">
        <v>11.499804641712903</v>
      </c>
      <c r="N15763" s="43">
        <v>4.5632183908045976</v>
      </c>
      <c r="O15763" s="43">
        <v>11.332116788321168</v>
      </c>
      <c r="P15763" s="475"/>
      <c r="Q15763" s="475"/>
      <c r="R15763" s="475">
        <v>1</v>
      </c>
    </row>
    <row r="15764" spans="1:18" ht="24">
      <c r="A15764" s="471">
        <v>365</v>
      </c>
      <c r="B15764" s="468" t="s">
        <v>28274</v>
      </c>
      <c r="C15764" s="472" t="s">
        <v>28275</v>
      </c>
      <c r="D15764" s="473">
        <v>137.35</v>
      </c>
      <c r="E15764" s="473">
        <v>130.13</v>
      </c>
      <c r="F15764" s="473">
        <v>3.87</v>
      </c>
      <c r="G15764" s="473">
        <v>3.35</v>
      </c>
      <c r="H15764" s="474">
        <v>1552.81</v>
      </c>
      <c r="I15764" s="474">
        <v>1496.54</v>
      </c>
      <c r="J15764" s="474">
        <v>19.809999999999999</v>
      </c>
      <c r="K15764" s="474">
        <v>36.46</v>
      </c>
      <c r="L15764" s="43">
        <v>11.305496905715327</v>
      </c>
      <c r="M15764" s="43">
        <v>11.500345808038116</v>
      </c>
      <c r="N15764" s="43">
        <v>5.1188630490956069</v>
      </c>
      <c r="O15764" s="43">
        <v>10.883582089552238</v>
      </c>
      <c r="P15764" s="475"/>
      <c r="Q15764" s="475"/>
      <c r="R15764" s="475">
        <v>1</v>
      </c>
    </row>
    <row r="15765" spans="1:18" ht="24">
      <c r="A15765" s="471">
        <v>366</v>
      </c>
      <c r="B15765" s="468" t="s">
        <v>28276</v>
      </c>
      <c r="C15765" s="472" t="s">
        <v>28277</v>
      </c>
      <c r="D15765" s="473">
        <v>142.12</v>
      </c>
      <c r="E15765" s="473">
        <v>131.19</v>
      </c>
      <c r="F15765" s="473">
        <v>0.83</v>
      </c>
      <c r="G15765" s="473">
        <v>10.1</v>
      </c>
      <c r="H15765" s="474">
        <v>1608.18</v>
      </c>
      <c r="I15765" s="474">
        <v>1508.71</v>
      </c>
      <c r="J15765" s="474">
        <v>3.78</v>
      </c>
      <c r="K15765" s="474">
        <v>95.69</v>
      </c>
      <c r="L15765" s="43">
        <v>11.315648747537292</v>
      </c>
      <c r="M15765" s="43">
        <v>11.50019056330513</v>
      </c>
      <c r="N15765" s="43">
        <v>4.5542168674698793</v>
      </c>
      <c r="O15765" s="43">
        <v>9.4742574257425751</v>
      </c>
      <c r="P15765" s="475"/>
      <c r="Q15765" s="475"/>
      <c r="R15765" s="475">
        <v>1</v>
      </c>
    </row>
    <row r="15766" spans="1:18" ht="24">
      <c r="A15766" s="471">
        <v>367</v>
      </c>
      <c r="B15766" s="468" t="s">
        <v>28278</v>
      </c>
      <c r="C15766" s="472" t="s">
        <v>28279</v>
      </c>
      <c r="D15766" s="473">
        <v>147.99</v>
      </c>
      <c r="E15766" s="473">
        <v>141.77000000000001</v>
      </c>
      <c r="F15766" s="473">
        <v>1.34</v>
      </c>
      <c r="G15766" s="473">
        <v>4.88</v>
      </c>
      <c r="H15766" s="474">
        <v>1686.94</v>
      </c>
      <c r="I15766" s="474">
        <v>1630.38</v>
      </c>
      <c r="J15766" s="474">
        <v>6.02</v>
      </c>
      <c r="K15766" s="474">
        <v>50.54</v>
      </c>
      <c r="L15766" s="43">
        <v>11.399013446854516</v>
      </c>
      <c r="M15766" s="43">
        <v>11.500176341962334</v>
      </c>
      <c r="N15766" s="43">
        <v>4.4925373134328348</v>
      </c>
      <c r="O15766" s="43">
        <v>10.35655737704918</v>
      </c>
      <c r="P15766" s="475"/>
      <c r="Q15766" s="475"/>
      <c r="R15766" s="475">
        <v>1</v>
      </c>
    </row>
    <row r="15767" spans="1:18" ht="24">
      <c r="A15767" s="471">
        <v>368</v>
      </c>
      <c r="B15767" s="468" t="s">
        <v>28280</v>
      </c>
      <c r="C15767" s="472" t="s">
        <v>28281</v>
      </c>
      <c r="D15767" s="473">
        <v>132.11000000000001</v>
      </c>
      <c r="E15767" s="473">
        <v>109.48</v>
      </c>
      <c r="F15767" s="473">
        <v>18.940000000000001</v>
      </c>
      <c r="G15767" s="473">
        <v>3.69</v>
      </c>
      <c r="H15767" s="474">
        <v>1395.17</v>
      </c>
      <c r="I15767" s="474">
        <v>1259.07</v>
      </c>
      <c r="J15767" s="474">
        <v>97.8</v>
      </c>
      <c r="K15767" s="474">
        <v>38.299999999999997</v>
      </c>
      <c r="L15767" s="43">
        <v>10.560669139353568</v>
      </c>
      <c r="M15767" s="43">
        <v>11.500456704420898</v>
      </c>
      <c r="N15767" s="43">
        <v>5.1636747624076023</v>
      </c>
      <c r="O15767" s="43">
        <v>10.379403794037939</v>
      </c>
      <c r="P15767" s="475"/>
      <c r="Q15767" s="475"/>
      <c r="R15767" s="475">
        <v>1</v>
      </c>
    </row>
    <row r="15768" spans="1:18" ht="24">
      <c r="A15768" s="471">
        <v>369</v>
      </c>
      <c r="B15768" s="468" t="s">
        <v>28282</v>
      </c>
      <c r="C15768" s="472" t="s">
        <v>28283</v>
      </c>
      <c r="D15768" s="473">
        <v>190.53</v>
      </c>
      <c r="E15768" s="473">
        <v>180.6</v>
      </c>
      <c r="F15768" s="473">
        <v>4.28</v>
      </c>
      <c r="G15768" s="473">
        <v>5.65</v>
      </c>
      <c r="H15768" s="474">
        <v>2155.5100000000002</v>
      </c>
      <c r="I15768" s="474">
        <v>2076.9</v>
      </c>
      <c r="J15768" s="474">
        <v>19.21</v>
      </c>
      <c r="K15768" s="474">
        <v>59.4</v>
      </c>
      <c r="L15768" s="43">
        <v>11.313231512097833</v>
      </c>
      <c r="M15768" s="43">
        <v>11.5</v>
      </c>
      <c r="N15768" s="43">
        <v>4.4883177570093453</v>
      </c>
      <c r="O15768" s="43">
        <v>10.513274336283185</v>
      </c>
      <c r="P15768" s="475"/>
      <c r="Q15768" s="475"/>
      <c r="R15768" s="475">
        <v>1</v>
      </c>
    </row>
    <row r="15769" spans="1:18" ht="24">
      <c r="A15769" s="471">
        <v>370</v>
      </c>
      <c r="B15769" s="468" t="s">
        <v>28284</v>
      </c>
      <c r="C15769" s="472" t="s">
        <v>28285</v>
      </c>
      <c r="D15769" s="473">
        <v>486.82</v>
      </c>
      <c r="E15769" s="473">
        <v>457.18</v>
      </c>
      <c r="F15769" s="473">
        <v>17.100000000000001</v>
      </c>
      <c r="G15769" s="473">
        <v>12.54</v>
      </c>
      <c r="H15769" s="474">
        <v>5472.53</v>
      </c>
      <c r="I15769" s="474">
        <v>5257.52</v>
      </c>
      <c r="J15769" s="474">
        <v>80.099999999999994</v>
      </c>
      <c r="K15769" s="474">
        <v>134.91</v>
      </c>
      <c r="L15769" s="43">
        <v>11.241382851978143</v>
      </c>
      <c r="M15769" s="43">
        <v>11.499890633885997</v>
      </c>
      <c r="N15769" s="43">
        <v>4.6842105263157885</v>
      </c>
      <c r="O15769" s="43">
        <v>10.758373205741627</v>
      </c>
      <c r="P15769" s="475"/>
      <c r="Q15769" s="475"/>
      <c r="R15769" s="475">
        <v>1</v>
      </c>
    </row>
    <row r="15770" spans="1:18" ht="24">
      <c r="A15770" s="476">
        <v>371</v>
      </c>
      <c r="B15770" s="477" t="s">
        <v>28286</v>
      </c>
      <c r="C15770" s="478" t="s">
        <v>28287</v>
      </c>
      <c r="D15770" s="479">
        <v>302.58999999999997</v>
      </c>
      <c r="E15770" s="479">
        <v>286.89999999999998</v>
      </c>
      <c r="F15770" s="479">
        <v>6.55</v>
      </c>
      <c r="G15770" s="479">
        <v>9.14</v>
      </c>
      <c r="H15770" s="480">
        <v>3426.2</v>
      </c>
      <c r="I15770" s="480">
        <v>3299.3</v>
      </c>
      <c r="J15770" s="480">
        <v>31.09</v>
      </c>
      <c r="K15770" s="480">
        <v>95.81</v>
      </c>
      <c r="L15770" s="611">
        <v>11.322912191414124</v>
      </c>
      <c r="M15770" s="611">
        <v>11.49982572324852</v>
      </c>
      <c r="N15770" s="611">
        <v>4.7465648854961833</v>
      </c>
      <c r="O15770" s="611">
        <v>10.482494529540482</v>
      </c>
      <c r="P15770" s="481"/>
      <c r="Q15770" s="481"/>
      <c r="R15770" s="481">
        <v>1</v>
      </c>
    </row>
    <row r="15771" spans="1:18" ht="12.75" customHeight="1">
      <c r="A15771" s="630" t="s">
        <v>28288</v>
      </c>
      <c r="B15771" s="631"/>
      <c r="C15771" s="631"/>
      <c r="D15771" s="631"/>
      <c r="E15771" s="631"/>
      <c r="F15771" s="631"/>
      <c r="G15771" s="631"/>
      <c r="H15771" s="631"/>
      <c r="I15771" s="631"/>
      <c r="J15771" s="631"/>
      <c r="K15771" s="631"/>
      <c r="L15771" s="631"/>
      <c r="M15771" s="631"/>
      <c r="N15771" s="631"/>
      <c r="O15771" s="631"/>
      <c r="P15771" s="631"/>
      <c r="Q15771" s="631"/>
      <c r="R15771" s="631"/>
    </row>
    <row r="15772" spans="1:18" ht="12.75" customHeight="1">
      <c r="A15772" s="628" t="s">
        <v>28289</v>
      </c>
      <c r="B15772" s="629"/>
      <c r="C15772" s="629"/>
      <c r="D15772" s="629"/>
      <c r="E15772" s="629"/>
      <c r="F15772" s="629"/>
      <c r="G15772" s="629"/>
      <c r="H15772" s="629"/>
      <c r="I15772" s="629"/>
      <c r="J15772" s="629"/>
      <c r="K15772" s="629"/>
      <c r="L15772" s="629"/>
      <c r="M15772" s="629"/>
      <c r="N15772" s="629"/>
      <c r="O15772" s="629"/>
      <c r="P15772" s="629"/>
      <c r="Q15772" s="629"/>
      <c r="R15772" s="629"/>
    </row>
    <row r="15773" spans="1:18" ht="12.75" customHeight="1">
      <c r="A15773" s="628" t="s">
        <v>28290</v>
      </c>
      <c r="B15773" s="629"/>
      <c r="C15773" s="629"/>
      <c r="D15773" s="629"/>
      <c r="E15773" s="629"/>
      <c r="F15773" s="629"/>
      <c r="G15773" s="629"/>
      <c r="H15773" s="629"/>
      <c r="I15773" s="629"/>
      <c r="J15773" s="629"/>
      <c r="K15773" s="629"/>
      <c r="L15773" s="629"/>
      <c r="M15773" s="629"/>
      <c r="N15773" s="629"/>
      <c r="O15773" s="629"/>
      <c r="P15773" s="629"/>
      <c r="Q15773" s="629"/>
      <c r="R15773" s="629"/>
    </row>
    <row r="15774" spans="1:18" ht="24">
      <c r="A15774" s="471">
        <v>372</v>
      </c>
      <c r="B15774" s="468" t="s">
        <v>28291</v>
      </c>
      <c r="C15774" s="472" t="s">
        <v>28292</v>
      </c>
      <c r="D15774" s="473">
        <v>209.21</v>
      </c>
      <c r="E15774" s="473">
        <v>174.57</v>
      </c>
      <c r="F15774" s="473">
        <v>1.72</v>
      </c>
      <c r="G15774" s="473">
        <v>32.92</v>
      </c>
      <c r="H15774" s="474">
        <v>2167.52</v>
      </c>
      <c r="I15774" s="474">
        <v>2007.56</v>
      </c>
      <c r="J15774" s="474">
        <v>7.3</v>
      </c>
      <c r="K15774" s="474">
        <v>152.66</v>
      </c>
      <c r="L15774" s="43">
        <v>10.360499020123321</v>
      </c>
      <c r="M15774" s="43">
        <v>11.50002864180558</v>
      </c>
      <c r="N15774" s="43">
        <v>4.2441860465116275</v>
      </c>
      <c r="O15774" s="43">
        <v>4.6373025516403397</v>
      </c>
      <c r="P15774" s="475"/>
      <c r="Q15774" s="475"/>
      <c r="R15774" s="475">
        <v>1</v>
      </c>
    </row>
    <row r="15775" spans="1:18" ht="24">
      <c r="A15775" s="471">
        <v>373</v>
      </c>
      <c r="B15775" s="468" t="s">
        <v>28293</v>
      </c>
      <c r="C15775" s="472" t="s">
        <v>28294</v>
      </c>
      <c r="D15775" s="473">
        <v>549.1</v>
      </c>
      <c r="E15775" s="473">
        <v>367.86</v>
      </c>
      <c r="F15775" s="473">
        <v>12.4</v>
      </c>
      <c r="G15775" s="473">
        <v>168.84</v>
      </c>
      <c r="H15775" s="474">
        <v>4983.05</v>
      </c>
      <c r="I15775" s="474">
        <v>4230.5600000000004</v>
      </c>
      <c r="J15775" s="474">
        <v>52.29</v>
      </c>
      <c r="K15775" s="474">
        <v>700.2</v>
      </c>
      <c r="L15775" s="43">
        <v>9.0749408122382071</v>
      </c>
      <c r="M15775" s="43">
        <v>11.500462132332954</v>
      </c>
      <c r="N15775" s="43">
        <v>4.2169354838709676</v>
      </c>
      <c r="O15775" s="43">
        <v>4.1471215351812365</v>
      </c>
      <c r="P15775" s="475"/>
      <c r="Q15775" s="475"/>
      <c r="R15775" s="475">
        <v>1</v>
      </c>
    </row>
    <row r="15776" spans="1:18" ht="24">
      <c r="A15776" s="471">
        <v>374</v>
      </c>
      <c r="B15776" s="468" t="s">
        <v>28295</v>
      </c>
      <c r="C15776" s="472" t="s">
        <v>28296</v>
      </c>
      <c r="D15776" s="473">
        <v>162.08000000000001</v>
      </c>
      <c r="E15776" s="473">
        <v>129.58000000000001</v>
      </c>
      <c r="F15776" s="473">
        <v>0.96</v>
      </c>
      <c r="G15776" s="473">
        <v>31.54</v>
      </c>
      <c r="H15776" s="474">
        <v>1632.43</v>
      </c>
      <c r="I15776" s="474">
        <v>1490.23</v>
      </c>
      <c r="J15776" s="474">
        <v>4.07</v>
      </c>
      <c r="K15776" s="474">
        <v>138.13</v>
      </c>
      <c r="L15776" s="43">
        <v>10.071754689042448</v>
      </c>
      <c r="M15776" s="43">
        <v>11.500463034418891</v>
      </c>
      <c r="N15776" s="43">
        <v>4.2395833333333339</v>
      </c>
      <c r="O15776" s="43">
        <v>4.3795180722891569</v>
      </c>
      <c r="P15776" s="475"/>
      <c r="Q15776" s="475"/>
      <c r="R15776" s="475">
        <v>1</v>
      </c>
    </row>
    <row r="15777" spans="1:18" ht="24">
      <c r="A15777" s="471">
        <v>375</v>
      </c>
      <c r="B15777" s="468" t="s">
        <v>28297</v>
      </c>
      <c r="C15777" s="472" t="s">
        <v>28298</v>
      </c>
      <c r="D15777" s="473">
        <v>223.17</v>
      </c>
      <c r="E15777" s="473">
        <v>160.93</v>
      </c>
      <c r="F15777" s="473">
        <v>1.1200000000000001</v>
      </c>
      <c r="G15777" s="473">
        <v>61.12</v>
      </c>
      <c r="H15777" s="474">
        <v>2109.2199999999998</v>
      </c>
      <c r="I15777" s="474">
        <v>1850.77</v>
      </c>
      <c r="J15777" s="474">
        <v>4.7300000000000004</v>
      </c>
      <c r="K15777" s="474">
        <v>253.72</v>
      </c>
      <c r="L15777" s="43">
        <v>9.4511807142537076</v>
      </c>
      <c r="M15777" s="43">
        <v>11.500466041135898</v>
      </c>
      <c r="N15777" s="43">
        <v>4.2232142857142856</v>
      </c>
      <c r="O15777" s="43">
        <v>4.1511780104712042</v>
      </c>
      <c r="P15777" s="475"/>
      <c r="Q15777" s="475"/>
      <c r="R15777" s="475">
        <v>1</v>
      </c>
    </row>
    <row r="15778" spans="1:18" ht="24">
      <c r="A15778" s="471">
        <v>376</v>
      </c>
      <c r="B15778" s="468" t="s">
        <v>28299</v>
      </c>
      <c r="C15778" s="472" t="s">
        <v>28300</v>
      </c>
      <c r="D15778" s="473">
        <v>205.24</v>
      </c>
      <c r="E15778" s="473">
        <v>172.43</v>
      </c>
      <c r="F15778" s="473">
        <v>0.41</v>
      </c>
      <c r="G15778" s="473">
        <v>32.4</v>
      </c>
      <c r="H15778" s="474">
        <v>2132.73</v>
      </c>
      <c r="I15778" s="474">
        <v>1982.97</v>
      </c>
      <c r="J15778" s="474">
        <v>1.74</v>
      </c>
      <c r="K15778" s="474">
        <v>148.02000000000001</v>
      </c>
      <c r="L15778" s="43">
        <v>10.39139543948548</v>
      </c>
      <c r="M15778" s="43">
        <v>11.50014498637128</v>
      </c>
      <c r="N15778" s="43">
        <v>4.2439024390243905</v>
      </c>
      <c r="O15778" s="43">
        <v>4.5685185185185189</v>
      </c>
      <c r="P15778" s="475"/>
      <c r="Q15778" s="475"/>
      <c r="R15778" s="475">
        <v>1</v>
      </c>
    </row>
    <row r="15779" spans="1:18" ht="24">
      <c r="A15779" s="471">
        <v>377</v>
      </c>
      <c r="B15779" s="468" t="s">
        <v>28301</v>
      </c>
      <c r="C15779" s="472" t="s">
        <v>28302</v>
      </c>
      <c r="D15779" s="473">
        <v>332.11</v>
      </c>
      <c r="E15779" s="473">
        <v>236.17</v>
      </c>
      <c r="F15779" s="473">
        <v>4.6399999999999997</v>
      </c>
      <c r="G15779" s="473">
        <v>91.3</v>
      </c>
      <c r="H15779" s="474">
        <v>3112.85</v>
      </c>
      <c r="I15779" s="474">
        <v>2716.07</v>
      </c>
      <c r="J15779" s="474">
        <v>19.850000000000001</v>
      </c>
      <c r="K15779" s="474">
        <v>376.93</v>
      </c>
      <c r="L15779" s="43">
        <v>9.3729487218090384</v>
      </c>
      <c r="M15779" s="43">
        <v>11.500486937375621</v>
      </c>
      <c r="N15779" s="43">
        <v>4.2780172413793114</v>
      </c>
      <c r="O15779" s="43">
        <v>4.1284775465498358</v>
      </c>
      <c r="P15779" s="475"/>
      <c r="Q15779" s="475"/>
      <c r="R15779" s="475">
        <v>1</v>
      </c>
    </row>
    <row r="15780" spans="1:18" ht="24">
      <c r="A15780" s="471">
        <v>378</v>
      </c>
      <c r="B15780" s="468" t="s">
        <v>28303</v>
      </c>
      <c r="C15780" s="472" t="s">
        <v>28304</v>
      </c>
      <c r="D15780" s="473">
        <v>621.67999999999995</v>
      </c>
      <c r="E15780" s="473">
        <v>440.99</v>
      </c>
      <c r="F15780" s="473">
        <v>12.63</v>
      </c>
      <c r="G15780" s="473">
        <v>168.06</v>
      </c>
      <c r="H15780" s="474">
        <v>5822.19</v>
      </c>
      <c r="I15780" s="474">
        <v>5071.6000000000004</v>
      </c>
      <c r="J15780" s="474">
        <v>53.27</v>
      </c>
      <c r="K15780" s="474">
        <v>697.32</v>
      </c>
      <c r="L15780" s="43">
        <v>9.3652522197915324</v>
      </c>
      <c r="M15780" s="43">
        <v>11.500487539399987</v>
      </c>
      <c r="N15780" s="43">
        <v>4.2177355502771183</v>
      </c>
      <c r="O15780" s="43">
        <v>4.1492324169939314</v>
      </c>
      <c r="P15780" s="475"/>
      <c r="Q15780" s="475"/>
      <c r="R15780" s="475">
        <v>1</v>
      </c>
    </row>
    <row r="15781" spans="1:18" ht="12.75" customHeight="1">
      <c r="A15781" s="628" t="s">
        <v>28305</v>
      </c>
      <c r="B15781" s="629"/>
      <c r="C15781" s="629"/>
      <c r="D15781" s="629"/>
      <c r="E15781" s="629"/>
      <c r="F15781" s="629"/>
      <c r="G15781" s="629"/>
      <c r="H15781" s="629"/>
      <c r="I15781" s="629"/>
      <c r="J15781" s="629"/>
      <c r="K15781" s="629"/>
      <c r="L15781" s="629"/>
      <c r="M15781" s="629"/>
      <c r="N15781" s="629"/>
      <c r="O15781" s="629"/>
      <c r="P15781" s="629"/>
      <c r="Q15781" s="629"/>
      <c r="R15781" s="629"/>
    </row>
    <row r="15782" spans="1:18" ht="12.75" customHeight="1">
      <c r="A15782" s="628" t="s">
        <v>28306</v>
      </c>
      <c r="B15782" s="629"/>
      <c r="C15782" s="629"/>
      <c r="D15782" s="629"/>
      <c r="E15782" s="629"/>
      <c r="F15782" s="629"/>
      <c r="G15782" s="629"/>
      <c r="H15782" s="629"/>
      <c r="I15782" s="629"/>
      <c r="J15782" s="629"/>
      <c r="K15782" s="629"/>
      <c r="L15782" s="629"/>
      <c r="M15782" s="629"/>
      <c r="N15782" s="629"/>
      <c r="O15782" s="629"/>
      <c r="P15782" s="629"/>
      <c r="Q15782" s="629"/>
      <c r="R15782" s="629"/>
    </row>
    <row r="15783" spans="1:18" ht="24">
      <c r="A15783" s="471">
        <v>379</v>
      </c>
      <c r="B15783" s="468" t="s">
        <v>28307</v>
      </c>
      <c r="C15783" s="472" t="s">
        <v>28308</v>
      </c>
      <c r="D15783" s="473">
        <v>141.44</v>
      </c>
      <c r="E15783" s="473">
        <v>96.91</v>
      </c>
      <c r="F15783" s="473">
        <v>13.16</v>
      </c>
      <c r="G15783" s="473">
        <v>31.37</v>
      </c>
      <c r="H15783" s="474">
        <v>1317.42</v>
      </c>
      <c r="I15783" s="474">
        <v>1114.46</v>
      </c>
      <c r="J15783" s="474">
        <v>68.13</v>
      </c>
      <c r="K15783" s="474">
        <v>134.83000000000001</v>
      </c>
      <c r="L15783" s="43">
        <v>9.3143382352941178</v>
      </c>
      <c r="M15783" s="43">
        <v>11.499948405737284</v>
      </c>
      <c r="N15783" s="43">
        <v>5.1770516717325226</v>
      </c>
      <c r="O15783" s="43">
        <v>4.2980554670066944</v>
      </c>
      <c r="P15783" s="475"/>
      <c r="Q15783" s="475"/>
      <c r="R15783" s="475">
        <v>1</v>
      </c>
    </row>
    <row r="15784" spans="1:18" ht="24">
      <c r="A15784" s="471">
        <v>380</v>
      </c>
      <c r="B15784" s="468" t="s">
        <v>28309</v>
      </c>
      <c r="C15784" s="472" t="s">
        <v>28310</v>
      </c>
      <c r="D15784" s="473">
        <v>218.54</v>
      </c>
      <c r="E15784" s="473">
        <v>156.1</v>
      </c>
      <c r="F15784" s="473">
        <v>0.94</v>
      </c>
      <c r="G15784" s="473">
        <v>61.5</v>
      </c>
      <c r="H15784" s="474">
        <v>2055.8200000000002</v>
      </c>
      <c r="I15784" s="474">
        <v>1795.1</v>
      </c>
      <c r="J15784" s="474">
        <v>3.98</v>
      </c>
      <c r="K15784" s="474">
        <v>256.74</v>
      </c>
      <c r="L15784" s="43">
        <v>9.4070650681797385</v>
      </c>
      <c r="M15784" s="43">
        <v>11.499679692504804</v>
      </c>
      <c r="N15784" s="43">
        <v>4.2340425531914896</v>
      </c>
      <c r="O15784" s="43">
        <v>4.1746341463414636</v>
      </c>
      <c r="P15784" s="475"/>
      <c r="Q15784" s="475"/>
      <c r="R15784" s="475">
        <v>1</v>
      </c>
    </row>
    <row r="15785" spans="1:18" ht="24">
      <c r="A15785" s="471">
        <v>381</v>
      </c>
      <c r="B15785" s="468" t="s">
        <v>28311</v>
      </c>
      <c r="C15785" s="472" t="s">
        <v>28312</v>
      </c>
      <c r="D15785" s="473">
        <v>140.94</v>
      </c>
      <c r="E15785" s="473">
        <v>96.91</v>
      </c>
      <c r="F15785" s="473">
        <v>13.14</v>
      </c>
      <c r="G15785" s="473">
        <v>30.89</v>
      </c>
      <c r="H15785" s="474">
        <v>1313.16</v>
      </c>
      <c r="I15785" s="474">
        <v>1114.46</v>
      </c>
      <c r="J15785" s="474">
        <v>68.05</v>
      </c>
      <c r="K15785" s="474">
        <v>130.65</v>
      </c>
      <c r="L15785" s="43">
        <v>9.3171562366964675</v>
      </c>
      <c r="M15785" s="43">
        <v>11.499948405737284</v>
      </c>
      <c r="N15785" s="43">
        <v>5.1788432267884321</v>
      </c>
      <c r="O15785" s="43">
        <v>4.2295241178374878</v>
      </c>
      <c r="P15785" s="475"/>
      <c r="Q15785" s="475"/>
      <c r="R15785" s="475">
        <v>1</v>
      </c>
    </row>
    <row r="15786" spans="1:18" ht="24">
      <c r="A15786" s="471">
        <v>382</v>
      </c>
      <c r="B15786" s="468" t="s">
        <v>28313</v>
      </c>
      <c r="C15786" s="472" t="s">
        <v>28314</v>
      </c>
      <c r="D15786" s="473">
        <v>192.83</v>
      </c>
      <c r="E15786" s="473">
        <v>145.26</v>
      </c>
      <c r="F15786" s="473">
        <v>1.1000000000000001</v>
      </c>
      <c r="G15786" s="473">
        <v>46.47</v>
      </c>
      <c r="H15786" s="474">
        <v>1872.27</v>
      </c>
      <c r="I15786" s="474">
        <v>1670.44</v>
      </c>
      <c r="J15786" s="474">
        <v>4.6500000000000004</v>
      </c>
      <c r="K15786" s="474">
        <v>197.18</v>
      </c>
      <c r="L15786" s="43">
        <v>9.7094331794845186</v>
      </c>
      <c r="M15786" s="43">
        <v>11.499655789618616</v>
      </c>
      <c r="N15786" s="43">
        <v>4.2272727272727275</v>
      </c>
      <c r="O15786" s="43">
        <v>4.2431676350333554</v>
      </c>
      <c r="P15786" s="475"/>
      <c r="Q15786" s="475"/>
      <c r="R15786" s="475">
        <v>1</v>
      </c>
    </row>
    <row r="15787" spans="1:18" ht="24">
      <c r="A15787" s="471">
        <v>383</v>
      </c>
      <c r="B15787" s="468" t="s">
        <v>28315</v>
      </c>
      <c r="C15787" s="472" t="s">
        <v>28316</v>
      </c>
      <c r="D15787" s="473">
        <v>272.23</v>
      </c>
      <c r="E15787" s="473">
        <v>220.1</v>
      </c>
      <c r="F15787" s="473">
        <v>3.96</v>
      </c>
      <c r="G15787" s="473">
        <v>48.17</v>
      </c>
      <c r="H15787" s="474">
        <v>2764.37</v>
      </c>
      <c r="I15787" s="474">
        <v>2531.3000000000002</v>
      </c>
      <c r="J15787" s="474">
        <v>16.97</v>
      </c>
      <c r="K15787" s="474">
        <v>216.1</v>
      </c>
      <c r="L15787" s="43">
        <v>10.154538441758806</v>
      </c>
      <c r="M15787" s="43">
        <v>11.500681508405272</v>
      </c>
      <c r="N15787" s="43">
        <v>4.2853535353535355</v>
      </c>
      <c r="O15787" s="43">
        <v>4.4861947270085114</v>
      </c>
      <c r="P15787" s="475"/>
      <c r="Q15787" s="475"/>
      <c r="R15787" s="475">
        <v>1</v>
      </c>
    </row>
    <row r="15788" spans="1:18" ht="24">
      <c r="A15788" s="471">
        <v>384</v>
      </c>
      <c r="B15788" s="468" t="s">
        <v>28317</v>
      </c>
      <c r="C15788" s="472" t="s">
        <v>28318</v>
      </c>
      <c r="D15788" s="473">
        <v>211.03</v>
      </c>
      <c r="E15788" s="473">
        <v>170.28</v>
      </c>
      <c r="F15788" s="473">
        <v>1.18</v>
      </c>
      <c r="G15788" s="473">
        <v>39.57</v>
      </c>
      <c r="H15788" s="474">
        <v>2173.94</v>
      </c>
      <c r="I15788" s="474">
        <v>1958.22</v>
      </c>
      <c r="J15788" s="474">
        <v>4.9800000000000004</v>
      </c>
      <c r="K15788" s="474">
        <v>210.74</v>
      </c>
      <c r="L15788" s="43">
        <v>10.301568497370042</v>
      </c>
      <c r="M15788" s="43">
        <v>11.5</v>
      </c>
      <c r="N15788" s="43">
        <v>4.2203389830508478</v>
      </c>
      <c r="O15788" s="43">
        <v>5.3257518321961079</v>
      </c>
      <c r="P15788" s="475"/>
      <c r="Q15788" s="475"/>
      <c r="R15788" s="475">
        <v>1</v>
      </c>
    </row>
    <row r="15789" spans="1:18" ht="12.75" customHeight="1">
      <c r="A15789" s="628" t="s">
        <v>28319</v>
      </c>
      <c r="B15789" s="629"/>
      <c r="C15789" s="629"/>
      <c r="D15789" s="629"/>
      <c r="E15789" s="629"/>
      <c r="F15789" s="629"/>
      <c r="G15789" s="629"/>
      <c r="H15789" s="629"/>
      <c r="I15789" s="629"/>
      <c r="J15789" s="629"/>
      <c r="K15789" s="629"/>
      <c r="L15789" s="629"/>
      <c r="M15789" s="629"/>
      <c r="N15789" s="629"/>
      <c r="O15789" s="629"/>
      <c r="P15789" s="629"/>
      <c r="Q15789" s="629"/>
      <c r="R15789" s="629"/>
    </row>
    <row r="15790" spans="1:18" ht="12.75" customHeight="1">
      <c r="A15790" s="628" t="s">
        <v>28320</v>
      </c>
      <c r="B15790" s="629"/>
      <c r="C15790" s="629"/>
      <c r="D15790" s="629"/>
      <c r="E15790" s="629"/>
      <c r="F15790" s="629"/>
      <c r="G15790" s="629"/>
      <c r="H15790" s="629"/>
      <c r="I15790" s="629"/>
      <c r="J15790" s="629"/>
      <c r="K15790" s="629"/>
      <c r="L15790" s="629"/>
      <c r="M15790" s="629"/>
      <c r="N15790" s="629"/>
      <c r="O15790" s="629"/>
      <c r="P15790" s="629"/>
      <c r="Q15790" s="629"/>
      <c r="R15790" s="629"/>
    </row>
    <row r="15791" spans="1:18" ht="24">
      <c r="A15791" s="471">
        <v>385</v>
      </c>
      <c r="B15791" s="468" t="s">
        <v>28321</v>
      </c>
      <c r="C15791" s="472" t="s">
        <v>28322</v>
      </c>
      <c r="D15791" s="473">
        <v>139.63999999999999</v>
      </c>
      <c r="E15791" s="473">
        <v>95.75</v>
      </c>
      <c r="F15791" s="473">
        <v>13.16</v>
      </c>
      <c r="G15791" s="473">
        <v>30.73</v>
      </c>
      <c r="H15791" s="474">
        <v>1298.3900000000001</v>
      </c>
      <c r="I15791" s="474">
        <v>1101.1400000000001</v>
      </c>
      <c r="J15791" s="474">
        <v>68.13</v>
      </c>
      <c r="K15791" s="474">
        <v>129.12</v>
      </c>
      <c r="L15791" s="43">
        <v>9.2981237467774296</v>
      </c>
      <c r="M15791" s="43">
        <v>11.500156657963448</v>
      </c>
      <c r="N15791" s="43">
        <v>5.1770516717325226</v>
      </c>
      <c r="O15791" s="43">
        <v>4.2017572404816139</v>
      </c>
      <c r="P15791" s="475"/>
      <c r="Q15791" s="475"/>
      <c r="R15791" s="475">
        <v>1</v>
      </c>
    </row>
    <row r="15792" spans="1:18" ht="24">
      <c r="A15792" s="471">
        <v>386</v>
      </c>
      <c r="B15792" s="468" t="s">
        <v>28323</v>
      </c>
      <c r="C15792" s="472" t="s">
        <v>28324</v>
      </c>
      <c r="D15792" s="473">
        <v>206.62</v>
      </c>
      <c r="E15792" s="473">
        <v>158.93</v>
      </c>
      <c r="F15792" s="473">
        <v>0.74</v>
      </c>
      <c r="G15792" s="473">
        <v>46.95</v>
      </c>
      <c r="H15792" s="474">
        <v>2032.89</v>
      </c>
      <c r="I15792" s="474">
        <v>1827.67</v>
      </c>
      <c r="J15792" s="474">
        <v>3.15</v>
      </c>
      <c r="K15792" s="474">
        <v>202.07</v>
      </c>
      <c r="L15792" s="43">
        <v>9.8387861775239571</v>
      </c>
      <c r="M15792" s="43">
        <v>11.499842698043164</v>
      </c>
      <c r="N15792" s="43">
        <v>4.256756756756757</v>
      </c>
      <c r="O15792" s="43">
        <v>4.3039403620873262</v>
      </c>
      <c r="P15792" s="475"/>
      <c r="Q15792" s="475"/>
      <c r="R15792" s="475">
        <v>1</v>
      </c>
    </row>
    <row r="15793" spans="1:18" ht="36">
      <c r="A15793" s="471">
        <v>387</v>
      </c>
      <c r="B15793" s="468" t="s">
        <v>28325</v>
      </c>
      <c r="C15793" s="472" t="s">
        <v>28326</v>
      </c>
      <c r="D15793" s="473">
        <v>613.46</v>
      </c>
      <c r="E15793" s="473">
        <v>433.44</v>
      </c>
      <c r="F15793" s="473">
        <v>12.86</v>
      </c>
      <c r="G15793" s="473">
        <v>167.16</v>
      </c>
      <c r="H15793" s="474">
        <v>5727.85</v>
      </c>
      <c r="I15793" s="474">
        <v>4984.5600000000004</v>
      </c>
      <c r="J15793" s="474">
        <v>54.24</v>
      </c>
      <c r="K15793" s="474">
        <v>689.05</v>
      </c>
      <c r="L15793" s="43">
        <v>9.3369575848466084</v>
      </c>
      <c r="M15793" s="43">
        <v>11.500000000000002</v>
      </c>
      <c r="N15793" s="43">
        <v>4.2177293934681188</v>
      </c>
      <c r="O15793" s="43">
        <v>4.1220985881789902</v>
      </c>
      <c r="P15793" s="475"/>
      <c r="Q15793" s="475"/>
      <c r="R15793" s="475">
        <v>1</v>
      </c>
    </row>
    <row r="15794" spans="1:18" ht="12.75" customHeight="1">
      <c r="A15794" s="628" t="s">
        <v>28327</v>
      </c>
      <c r="B15794" s="629"/>
      <c r="C15794" s="629"/>
      <c r="D15794" s="629"/>
      <c r="E15794" s="629"/>
      <c r="F15794" s="629"/>
      <c r="G15794" s="629"/>
      <c r="H15794" s="629"/>
      <c r="I15794" s="629"/>
      <c r="J15794" s="629"/>
      <c r="K15794" s="629"/>
      <c r="L15794" s="629"/>
      <c r="M15794" s="629"/>
      <c r="N15794" s="629"/>
      <c r="O15794" s="629"/>
      <c r="P15794" s="629"/>
      <c r="Q15794" s="629"/>
      <c r="R15794" s="629"/>
    </row>
    <row r="15795" spans="1:18" ht="12.75" customHeight="1">
      <c r="A15795" s="628" t="s">
        <v>28328</v>
      </c>
      <c r="B15795" s="629"/>
      <c r="C15795" s="629"/>
      <c r="D15795" s="629"/>
      <c r="E15795" s="629"/>
      <c r="F15795" s="629"/>
      <c r="G15795" s="629"/>
      <c r="H15795" s="629"/>
      <c r="I15795" s="629"/>
      <c r="J15795" s="629"/>
      <c r="K15795" s="629"/>
      <c r="L15795" s="629"/>
      <c r="M15795" s="629"/>
      <c r="N15795" s="629"/>
      <c r="O15795" s="629"/>
      <c r="P15795" s="629"/>
      <c r="Q15795" s="629"/>
      <c r="R15795" s="629"/>
    </row>
    <row r="15796" spans="1:18" ht="24">
      <c r="A15796" s="471">
        <v>388</v>
      </c>
      <c r="B15796" s="468" t="s">
        <v>28329</v>
      </c>
      <c r="C15796" s="472" t="s">
        <v>28330</v>
      </c>
      <c r="D15796" s="473">
        <v>232.61</v>
      </c>
      <c r="E15796" s="473">
        <v>170.28</v>
      </c>
      <c r="F15796" s="473">
        <v>1.02</v>
      </c>
      <c r="G15796" s="473">
        <v>61.31</v>
      </c>
      <c r="H15796" s="474">
        <v>2218.4499999999998</v>
      </c>
      <c r="I15796" s="474">
        <v>1958.22</v>
      </c>
      <c r="J15796" s="474">
        <v>4.32</v>
      </c>
      <c r="K15796" s="474">
        <v>255.91</v>
      </c>
      <c r="L15796" s="43">
        <v>9.5372082025708256</v>
      </c>
      <c r="M15796" s="43">
        <v>11.5</v>
      </c>
      <c r="N15796" s="43">
        <v>4.2352941176470589</v>
      </c>
      <c r="O15796" s="43">
        <v>4.1740335997390305</v>
      </c>
      <c r="P15796" s="475"/>
      <c r="Q15796" s="475"/>
      <c r="R15796" s="475">
        <v>1</v>
      </c>
    </row>
    <row r="15797" spans="1:18" ht="24">
      <c r="A15797" s="471">
        <v>389</v>
      </c>
      <c r="B15797" s="468" t="s">
        <v>28331</v>
      </c>
      <c r="C15797" s="472" t="s">
        <v>28332</v>
      </c>
      <c r="D15797" s="473">
        <v>136.53</v>
      </c>
      <c r="E15797" s="473">
        <v>92.26</v>
      </c>
      <c r="F15797" s="473">
        <v>13.2</v>
      </c>
      <c r="G15797" s="473">
        <v>31.07</v>
      </c>
      <c r="H15797" s="474">
        <v>1261.3</v>
      </c>
      <c r="I15797" s="474">
        <v>1061</v>
      </c>
      <c r="J15797" s="474">
        <v>68.290000000000006</v>
      </c>
      <c r="K15797" s="474">
        <v>132.01</v>
      </c>
      <c r="L15797" s="43">
        <v>9.2382626528967986</v>
      </c>
      <c r="M15797" s="43">
        <v>11.500108389334489</v>
      </c>
      <c r="N15797" s="43">
        <v>5.1734848484848488</v>
      </c>
      <c r="O15797" s="43">
        <v>4.2487930479562275</v>
      </c>
      <c r="P15797" s="475"/>
      <c r="Q15797" s="475"/>
      <c r="R15797" s="475">
        <v>1</v>
      </c>
    </row>
    <row r="15798" spans="1:18" ht="24">
      <c r="A15798" s="471">
        <v>390</v>
      </c>
      <c r="B15798" s="468" t="s">
        <v>28333</v>
      </c>
      <c r="C15798" s="472" t="s">
        <v>28334</v>
      </c>
      <c r="D15798" s="473">
        <v>160.77000000000001</v>
      </c>
      <c r="E15798" s="473">
        <v>127.97</v>
      </c>
      <c r="F15798" s="473">
        <v>1.02</v>
      </c>
      <c r="G15798" s="473">
        <v>31.78</v>
      </c>
      <c r="H15798" s="474">
        <v>1616.12</v>
      </c>
      <c r="I15798" s="474">
        <v>1471.63</v>
      </c>
      <c r="J15798" s="474">
        <v>4.32</v>
      </c>
      <c r="K15798" s="474">
        <v>140.16999999999999</v>
      </c>
      <c r="L15798" s="43">
        <v>10.052372955153324</v>
      </c>
      <c r="M15798" s="43">
        <v>11.499804641712903</v>
      </c>
      <c r="N15798" s="43">
        <v>4.2352941176470589</v>
      </c>
      <c r="O15798" s="43">
        <v>4.4106356198867207</v>
      </c>
      <c r="P15798" s="475"/>
      <c r="Q15798" s="475"/>
      <c r="R15798" s="475">
        <v>1</v>
      </c>
    </row>
    <row r="15799" spans="1:18" ht="24">
      <c r="A15799" s="476">
        <v>391</v>
      </c>
      <c r="B15799" s="477" t="s">
        <v>28335</v>
      </c>
      <c r="C15799" s="478" t="s">
        <v>28336</v>
      </c>
      <c r="D15799" s="479">
        <v>312.43</v>
      </c>
      <c r="E15799" s="479">
        <v>218.16</v>
      </c>
      <c r="F15799" s="479">
        <v>3.33</v>
      </c>
      <c r="G15799" s="479">
        <v>90.94</v>
      </c>
      <c r="H15799" s="480">
        <v>2895.88</v>
      </c>
      <c r="I15799" s="480">
        <v>2508.84</v>
      </c>
      <c r="J15799" s="480">
        <v>14.25</v>
      </c>
      <c r="K15799" s="480">
        <v>372.79</v>
      </c>
      <c r="L15799" s="611">
        <v>9.2688922318599367</v>
      </c>
      <c r="M15799" s="611">
        <v>11.5</v>
      </c>
      <c r="N15799" s="611">
        <v>4.2792792792792795</v>
      </c>
      <c r="O15799" s="611">
        <v>4.0992962392786456</v>
      </c>
      <c r="P15799" s="481"/>
      <c r="Q15799" s="481"/>
      <c r="R15799" s="481">
        <v>1</v>
      </c>
    </row>
    <row r="15800" spans="1:18" ht="12.75" customHeight="1">
      <c r="A15800" s="630" t="s">
        <v>28337</v>
      </c>
      <c r="B15800" s="631"/>
      <c r="C15800" s="631"/>
      <c r="D15800" s="631"/>
      <c r="E15800" s="631"/>
      <c r="F15800" s="631"/>
      <c r="G15800" s="631"/>
      <c r="H15800" s="631"/>
      <c r="I15800" s="631"/>
      <c r="J15800" s="631"/>
      <c r="K15800" s="631"/>
      <c r="L15800" s="631"/>
      <c r="M15800" s="631"/>
      <c r="N15800" s="631"/>
      <c r="O15800" s="631"/>
      <c r="P15800" s="631"/>
      <c r="Q15800" s="631"/>
      <c r="R15800" s="631"/>
    </row>
    <row r="15801" spans="1:18" ht="12.75" customHeight="1">
      <c r="A15801" s="628" t="s">
        <v>28338</v>
      </c>
      <c r="B15801" s="629"/>
      <c r="C15801" s="629"/>
      <c r="D15801" s="629"/>
      <c r="E15801" s="629"/>
      <c r="F15801" s="629"/>
      <c r="G15801" s="629"/>
      <c r="H15801" s="629"/>
      <c r="I15801" s="629"/>
      <c r="J15801" s="629"/>
      <c r="K15801" s="629"/>
      <c r="L15801" s="629"/>
      <c r="M15801" s="629"/>
      <c r="N15801" s="629"/>
      <c r="O15801" s="629"/>
      <c r="P15801" s="629"/>
      <c r="Q15801" s="629"/>
      <c r="R15801" s="629"/>
    </row>
    <row r="15802" spans="1:18" ht="12.75" customHeight="1">
      <c r="A15802" s="628" t="s">
        <v>28339</v>
      </c>
      <c r="B15802" s="629"/>
      <c r="C15802" s="629"/>
      <c r="D15802" s="629"/>
      <c r="E15802" s="629"/>
      <c r="F15802" s="629"/>
      <c r="G15802" s="629"/>
      <c r="H15802" s="629"/>
      <c r="I15802" s="629"/>
      <c r="J15802" s="629"/>
      <c r="K15802" s="629"/>
      <c r="L15802" s="629"/>
      <c r="M15802" s="629"/>
      <c r="N15802" s="629"/>
      <c r="O15802" s="629"/>
      <c r="P15802" s="629"/>
      <c r="Q15802" s="629"/>
      <c r="R15802" s="629"/>
    </row>
    <row r="15803" spans="1:18" ht="36">
      <c r="A15803" s="471">
        <v>392</v>
      </c>
      <c r="B15803" s="468" t="s">
        <v>28340</v>
      </c>
      <c r="C15803" s="472" t="s">
        <v>28341</v>
      </c>
      <c r="D15803" s="473">
        <v>10817.94</v>
      </c>
      <c r="E15803" s="473">
        <v>7392.88</v>
      </c>
      <c r="F15803" s="473">
        <v>1416.11</v>
      </c>
      <c r="G15803" s="473">
        <v>2008.95</v>
      </c>
      <c r="H15803" s="474">
        <v>102734.47</v>
      </c>
      <c r="I15803" s="474">
        <v>85018.12</v>
      </c>
      <c r="J15803" s="474">
        <v>7553.24</v>
      </c>
      <c r="K15803" s="474">
        <v>10163.11</v>
      </c>
      <c r="L15803" s="43">
        <v>9.4966758920829655</v>
      </c>
      <c r="M15803" s="43">
        <v>11.5</v>
      </c>
      <c r="N15803" s="43">
        <v>5.3337946910903815</v>
      </c>
      <c r="O15803" s="43">
        <v>5.0589163493367186</v>
      </c>
      <c r="P15803" s="475"/>
      <c r="Q15803" s="475"/>
      <c r="R15803" s="475">
        <v>1</v>
      </c>
    </row>
    <row r="15804" spans="1:18" ht="24">
      <c r="A15804" s="476">
        <v>393</v>
      </c>
      <c r="B15804" s="477" t="s">
        <v>28342</v>
      </c>
      <c r="C15804" s="478" t="s">
        <v>28343</v>
      </c>
      <c r="D15804" s="479">
        <v>761.67</v>
      </c>
      <c r="E15804" s="479">
        <v>540.86</v>
      </c>
      <c r="F15804" s="479">
        <v>103.77</v>
      </c>
      <c r="G15804" s="479">
        <v>117.04</v>
      </c>
      <c r="H15804" s="480">
        <v>7419.35</v>
      </c>
      <c r="I15804" s="480">
        <v>6220.09</v>
      </c>
      <c r="J15804" s="480">
        <v>553.94000000000005</v>
      </c>
      <c r="K15804" s="480">
        <v>645.32000000000005</v>
      </c>
      <c r="L15804" s="611">
        <v>9.7408982892853864</v>
      </c>
      <c r="M15804" s="611">
        <v>11.500369781459158</v>
      </c>
      <c r="N15804" s="611">
        <v>5.3381516816035468</v>
      </c>
      <c r="O15804" s="611">
        <v>5.5136705399863297</v>
      </c>
      <c r="P15804" s="481"/>
      <c r="Q15804" s="481"/>
      <c r="R15804" s="481">
        <v>1</v>
      </c>
    </row>
    <row r="15805" spans="1:18" ht="12.75" customHeight="1">
      <c r="A15805" s="630" t="s">
        <v>28344</v>
      </c>
      <c r="B15805" s="631"/>
      <c r="C15805" s="631"/>
      <c r="D15805" s="631"/>
      <c r="E15805" s="631"/>
      <c r="F15805" s="631"/>
      <c r="G15805" s="631"/>
      <c r="H15805" s="631"/>
      <c r="I15805" s="631"/>
      <c r="J15805" s="631"/>
      <c r="K15805" s="631"/>
      <c r="L15805" s="631"/>
      <c r="M15805" s="631"/>
      <c r="N15805" s="631"/>
      <c r="O15805" s="631"/>
      <c r="P15805" s="631"/>
      <c r="Q15805" s="631"/>
      <c r="R15805" s="631"/>
    </row>
    <row r="15806" spans="1:18" ht="12.75" customHeight="1">
      <c r="A15806" s="628" t="s">
        <v>28345</v>
      </c>
      <c r="B15806" s="629"/>
      <c r="C15806" s="629"/>
      <c r="D15806" s="629"/>
      <c r="E15806" s="629"/>
      <c r="F15806" s="629"/>
      <c r="G15806" s="629"/>
      <c r="H15806" s="629"/>
      <c r="I15806" s="629"/>
      <c r="J15806" s="629"/>
      <c r="K15806" s="629"/>
      <c r="L15806" s="629"/>
      <c r="M15806" s="629"/>
      <c r="N15806" s="629"/>
      <c r="O15806" s="629"/>
      <c r="P15806" s="629"/>
      <c r="Q15806" s="629"/>
      <c r="R15806" s="629"/>
    </row>
    <row r="15807" spans="1:18" ht="12.75" customHeight="1">
      <c r="A15807" s="628" t="s">
        <v>28346</v>
      </c>
      <c r="B15807" s="629"/>
      <c r="C15807" s="629"/>
      <c r="D15807" s="629"/>
      <c r="E15807" s="629"/>
      <c r="F15807" s="629"/>
      <c r="G15807" s="629"/>
      <c r="H15807" s="629"/>
      <c r="I15807" s="629"/>
      <c r="J15807" s="629"/>
      <c r="K15807" s="629"/>
      <c r="L15807" s="629"/>
      <c r="M15807" s="629"/>
      <c r="N15807" s="629"/>
      <c r="O15807" s="629"/>
      <c r="P15807" s="629"/>
      <c r="Q15807" s="629"/>
      <c r="R15807" s="629"/>
    </row>
    <row r="15808" spans="1:18" ht="24">
      <c r="A15808" s="471">
        <v>394</v>
      </c>
      <c r="B15808" s="468" t="s">
        <v>28347</v>
      </c>
      <c r="C15808" s="472" t="s">
        <v>28348</v>
      </c>
      <c r="D15808" s="473">
        <v>1553.16</v>
      </c>
      <c r="E15808" s="473">
        <v>999.37</v>
      </c>
      <c r="F15808" s="473">
        <v>438.92</v>
      </c>
      <c r="G15808" s="473">
        <v>114.87</v>
      </c>
      <c r="H15808" s="474">
        <v>14561.67</v>
      </c>
      <c r="I15808" s="474">
        <v>11493.18</v>
      </c>
      <c r="J15808" s="474">
        <v>2443.2399999999998</v>
      </c>
      <c r="K15808" s="474">
        <v>625.25</v>
      </c>
      <c r="L15808" s="43">
        <v>9.375511859692498</v>
      </c>
      <c r="M15808" s="43">
        <v>11.500425267918789</v>
      </c>
      <c r="N15808" s="43">
        <v>5.5664813633463952</v>
      </c>
      <c r="O15808" s="43">
        <v>5.4431096021589624</v>
      </c>
      <c r="P15808" s="475"/>
      <c r="Q15808" s="475"/>
      <c r="R15808" s="475">
        <v>1</v>
      </c>
    </row>
    <row r="15809" spans="1:18" ht="24">
      <c r="A15809" s="471">
        <v>395</v>
      </c>
      <c r="B15809" s="468" t="s">
        <v>28349</v>
      </c>
      <c r="C15809" s="472" t="s">
        <v>28350</v>
      </c>
      <c r="D15809" s="473">
        <v>171.23</v>
      </c>
      <c r="E15809" s="473">
        <v>138.29</v>
      </c>
      <c r="F15809" s="473">
        <v>0.74</v>
      </c>
      <c r="G15809" s="473">
        <v>32.200000000000003</v>
      </c>
      <c r="H15809" s="474">
        <v>1737.84</v>
      </c>
      <c r="I15809" s="474">
        <v>1590.31</v>
      </c>
      <c r="J15809" s="474">
        <v>3.15</v>
      </c>
      <c r="K15809" s="474">
        <v>144.38</v>
      </c>
      <c r="L15809" s="43">
        <v>10.149156105822579</v>
      </c>
      <c r="M15809" s="43">
        <v>11.499819220478704</v>
      </c>
      <c r="N15809" s="43">
        <v>4.256756756756757</v>
      </c>
      <c r="O15809" s="43">
        <v>4.4838509316770185</v>
      </c>
      <c r="P15809" s="475"/>
      <c r="Q15809" s="475"/>
      <c r="R15809" s="475">
        <v>1</v>
      </c>
    </row>
    <row r="15810" spans="1:18" ht="24">
      <c r="A15810" s="471">
        <v>396</v>
      </c>
      <c r="B15810" s="468" t="s">
        <v>28351</v>
      </c>
      <c r="C15810" s="472" t="s">
        <v>28352</v>
      </c>
      <c r="D15810" s="473">
        <v>635.08000000000004</v>
      </c>
      <c r="E15810" s="473">
        <v>485.04</v>
      </c>
      <c r="F15810" s="473">
        <v>52.26</v>
      </c>
      <c r="G15810" s="473">
        <v>97.78</v>
      </c>
      <c r="H15810" s="474">
        <v>6282.23</v>
      </c>
      <c r="I15810" s="474">
        <v>5577.96</v>
      </c>
      <c r="J15810" s="474">
        <v>256.95999999999998</v>
      </c>
      <c r="K15810" s="474">
        <v>447.31</v>
      </c>
      <c r="L15810" s="43">
        <v>9.8920293506329902</v>
      </c>
      <c r="M15810" s="43">
        <v>11.5</v>
      </c>
      <c r="N15810" s="43">
        <v>4.9169536930730962</v>
      </c>
      <c r="O15810" s="43">
        <v>4.5746573941501332</v>
      </c>
      <c r="P15810" s="475"/>
      <c r="Q15810" s="475"/>
      <c r="R15810" s="475">
        <v>1</v>
      </c>
    </row>
    <row r="15811" spans="1:18" ht="24">
      <c r="A15811" s="471">
        <v>397</v>
      </c>
      <c r="B15811" s="468" t="s">
        <v>28353</v>
      </c>
      <c r="C15811" s="472" t="s">
        <v>28354</v>
      </c>
      <c r="D15811" s="473">
        <v>1165.53</v>
      </c>
      <c r="E15811" s="473">
        <v>737.77</v>
      </c>
      <c r="F15811" s="473">
        <v>181.66</v>
      </c>
      <c r="G15811" s="473">
        <v>246.1</v>
      </c>
      <c r="H15811" s="474">
        <v>10413.31</v>
      </c>
      <c r="I15811" s="474">
        <v>8484.7099999999991</v>
      </c>
      <c r="J15811" s="474">
        <v>894.49</v>
      </c>
      <c r="K15811" s="474">
        <v>1034.1099999999999</v>
      </c>
      <c r="L15811" s="43">
        <v>8.9343989429701498</v>
      </c>
      <c r="M15811" s="43">
        <v>11.500481179771473</v>
      </c>
      <c r="N15811" s="43">
        <v>4.9239788616096005</v>
      </c>
      <c r="O15811" s="43">
        <v>4.2019910605444935</v>
      </c>
      <c r="P15811" s="475"/>
      <c r="Q15811" s="475"/>
      <c r="R15811" s="475">
        <v>1</v>
      </c>
    </row>
    <row r="15812" spans="1:18" ht="24">
      <c r="A15812" s="471">
        <v>398</v>
      </c>
      <c r="B15812" s="468" t="s">
        <v>28355</v>
      </c>
      <c r="C15812" s="472" t="s">
        <v>28356</v>
      </c>
      <c r="D15812" s="473">
        <v>1187.98</v>
      </c>
      <c r="E15812" s="473">
        <v>996.93</v>
      </c>
      <c r="F15812" s="473">
        <v>169.95</v>
      </c>
      <c r="G15812" s="473">
        <v>21.1</v>
      </c>
      <c r="H15812" s="474">
        <v>12549.44</v>
      </c>
      <c r="I15812" s="474">
        <v>11465.17</v>
      </c>
      <c r="J15812" s="474">
        <v>844.83</v>
      </c>
      <c r="K15812" s="474">
        <v>239.44</v>
      </c>
      <c r="L15812" s="43">
        <v>10.563679523224296</v>
      </c>
      <c r="M15812" s="43">
        <v>11.500476462740615</v>
      </c>
      <c r="N15812" s="43">
        <v>4.9710503089143874</v>
      </c>
      <c r="O15812" s="43">
        <v>11.347867298578198</v>
      </c>
      <c r="P15812" s="475"/>
      <c r="Q15812" s="475"/>
      <c r="R15812" s="475">
        <v>1</v>
      </c>
    </row>
    <row r="15813" spans="1:18" ht="24">
      <c r="A15813" s="471">
        <v>399</v>
      </c>
      <c r="B15813" s="468" t="s">
        <v>28357</v>
      </c>
      <c r="C15813" s="472" t="s">
        <v>28358</v>
      </c>
      <c r="D15813" s="473">
        <v>1074.8</v>
      </c>
      <c r="E15813" s="473">
        <v>843.23</v>
      </c>
      <c r="F15813" s="473">
        <v>156.22999999999999</v>
      </c>
      <c r="G15813" s="473">
        <v>75.34</v>
      </c>
      <c r="H15813" s="474">
        <v>11290.35</v>
      </c>
      <c r="I15813" s="474">
        <v>9697.1</v>
      </c>
      <c r="J15813" s="474">
        <v>886.8</v>
      </c>
      <c r="K15813" s="474">
        <v>706.45</v>
      </c>
      <c r="L15813" s="43">
        <v>10.50460550800149</v>
      </c>
      <c r="M15813" s="43">
        <v>11.499946633777261</v>
      </c>
      <c r="N15813" s="43">
        <v>5.6762465595596234</v>
      </c>
      <c r="O15813" s="43">
        <v>9.376825059729228</v>
      </c>
      <c r="P15813" s="475"/>
      <c r="Q15813" s="475"/>
      <c r="R15813" s="475">
        <v>1</v>
      </c>
    </row>
    <row r="15814" spans="1:18" ht="12.75" customHeight="1">
      <c r="A15814" s="628" t="s">
        <v>28359</v>
      </c>
      <c r="B15814" s="629"/>
      <c r="C15814" s="629"/>
      <c r="D15814" s="629"/>
      <c r="E15814" s="629"/>
      <c r="F15814" s="629"/>
      <c r="G15814" s="629"/>
      <c r="H15814" s="629"/>
      <c r="I15814" s="629"/>
      <c r="J15814" s="629"/>
      <c r="K15814" s="629"/>
      <c r="L15814" s="629"/>
      <c r="M15814" s="629"/>
      <c r="N15814" s="629"/>
      <c r="O15814" s="629"/>
      <c r="P15814" s="629"/>
      <c r="Q15814" s="629"/>
      <c r="R15814" s="629"/>
    </row>
    <row r="15815" spans="1:18" ht="12.75" customHeight="1">
      <c r="A15815" s="628" t="s">
        <v>28360</v>
      </c>
      <c r="B15815" s="629"/>
      <c r="C15815" s="629"/>
      <c r="D15815" s="629"/>
      <c r="E15815" s="629"/>
      <c r="F15815" s="629"/>
      <c r="G15815" s="629"/>
      <c r="H15815" s="629"/>
      <c r="I15815" s="629"/>
      <c r="J15815" s="629"/>
      <c r="K15815" s="629"/>
      <c r="L15815" s="629"/>
      <c r="M15815" s="629"/>
      <c r="N15815" s="629"/>
      <c r="O15815" s="629"/>
      <c r="P15815" s="629"/>
      <c r="Q15815" s="629"/>
      <c r="R15815" s="629"/>
    </row>
    <row r="15816" spans="1:18" ht="24">
      <c r="A15816" s="471">
        <v>400</v>
      </c>
      <c r="B15816" s="468" t="s">
        <v>28361</v>
      </c>
      <c r="C15816" s="472" t="s">
        <v>28362</v>
      </c>
      <c r="D15816" s="473">
        <v>156.16</v>
      </c>
      <c r="E15816" s="473">
        <v>150.47999999999999</v>
      </c>
      <c r="F15816" s="473">
        <v>0.63</v>
      </c>
      <c r="G15816" s="473">
        <v>5.05</v>
      </c>
      <c r="H15816" s="474">
        <v>1785.75</v>
      </c>
      <c r="I15816" s="474">
        <v>1730.59</v>
      </c>
      <c r="J15816" s="474">
        <v>2.66</v>
      </c>
      <c r="K15816" s="474">
        <v>52.5</v>
      </c>
      <c r="L15816" s="43">
        <v>11.435386782786885</v>
      </c>
      <c r="M15816" s="43">
        <v>11.500465178096757</v>
      </c>
      <c r="N15816" s="43">
        <v>4.2222222222222223</v>
      </c>
      <c r="O15816" s="43">
        <v>10.396039603960396</v>
      </c>
      <c r="P15816" s="475"/>
      <c r="Q15816" s="475"/>
      <c r="R15816" s="475">
        <v>1</v>
      </c>
    </row>
    <row r="15817" spans="1:18" ht="24">
      <c r="A15817" s="471">
        <v>401</v>
      </c>
      <c r="B15817" s="468" t="s">
        <v>28363</v>
      </c>
      <c r="C15817" s="472" t="s">
        <v>28364</v>
      </c>
      <c r="D15817" s="473">
        <v>163.15</v>
      </c>
      <c r="E15817" s="473">
        <v>158.93</v>
      </c>
      <c r="F15817" s="473">
        <v>0.63</v>
      </c>
      <c r="G15817" s="473">
        <v>3.59</v>
      </c>
      <c r="H15817" s="474">
        <v>1870.48</v>
      </c>
      <c r="I15817" s="474">
        <v>1827.67</v>
      </c>
      <c r="J15817" s="474">
        <v>2.66</v>
      </c>
      <c r="K15817" s="474">
        <v>40.15</v>
      </c>
      <c r="L15817" s="43">
        <v>11.464787005822862</v>
      </c>
      <c r="M15817" s="43">
        <v>11.499842698043164</v>
      </c>
      <c r="N15817" s="43">
        <v>4.2222222222222223</v>
      </c>
      <c r="O15817" s="43">
        <v>11.183844011142062</v>
      </c>
      <c r="P15817" s="475"/>
      <c r="Q15817" s="475"/>
      <c r="R15817" s="475">
        <v>1</v>
      </c>
    </row>
    <row r="15818" spans="1:18" ht="24">
      <c r="A15818" s="471">
        <v>402</v>
      </c>
      <c r="B15818" s="468" t="s">
        <v>28365</v>
      </c>
      <c r="C15818" s="472" t="s">
        <v>28366</v>
      </c>
      <c r="D15818" s="473">
        <v>152.72</v>
      </c>
      <c r="E15818" s="473">
        <v>148.61000000000001</v>
      </c>
      <c r="F15818" s="473">
        <v>0.73</v>
      </c>
      <c r="G15818" s="473">
        <v>3.38</v>
      </c>
      <c r="H15818" s="474">
        <v>1749.8</v>
      </c>
      <c r="I15818" s="474">
        <v>1708.99</v>
      </c>
      <c r="J15818" s="474">
        <v>3.07</v>
      </c>
      <c r="K15818" s="474">
        <v>37.74</v>
      </c>
      <c r="L15818" s="43">
        <v>11.45756940806705</v>
      </c>
      <c r="M15818" s="43">
        <v>11.499831774443173</v>
      </c>
      <c r="N15818" s="43">
        <v>4.205479452054794</v>
      </c>
      <c r="O15818" s="43">
        <v>11.165680473372783</v>
      </c>
      <c r="P15818" s="475"/>
      <c r="Q15818" s="475"/>
      <c r="R15818" s="475">
        <v>1</v>
      </c>
    </row>
    <row r="15819" spans="1:18" ht="24">
      <c r="A15819" s="471">
        <v>403</v>
      </c>
      <c r="B15819" s="468" t="s">
        <v>28367</v>
      </c>
      <c r="C15819" s="472" t="s">
        <v>28368</v>
      </c>
      <c r="D15819" s="473">
        <v>359.18</v>
      </c>
      <c r="E15819" s="473">
        <v>341.65</v>
      </c>
      <c r="F15819" s="473">
        <v>10.29</v>
      </c>
      <c r="G15819" s="473">
        <v>7.24</v>
      </c>
      <c r="H15819" s="474">
        <v>4054.83</v>
      </c>
      <c r="I15819" s="474">
        <v>3929.12</v>
      </c>
      <c r="J15819" s="474">
        <v>43.58</v>
      </c>
      <c r="K15819" s="474">
        <v>82.13</v>
      </c>
      <c r="L15819" s="43">
        <v>11.289130797928614</v>
      </c>
      <c r="M15819" s="43">
        <v>11.500424410946875</v>
      </c>
      <c r="N15819" s="43">
        <v>4.2351797862001943</v>
      </c>
      <c r="O15819" s="43">
        <v>11.343922651933701</v>
      </c>
      <c r="P15819" s="475"/>
      <c r="Q15819" s="475"/>
      <c r="R15819" s="475">
        <v>1</v>
      </c>
    </row>
    <row r="15820" spans="1:18" ht="24">
      <c r="A15820" s="471">
        <v>404</v>
      </c>
      <c r="B15820" s="468" t="s">
        <v>28369</v>
      </c>
      <c r="C15820" s="472" t="s">
        <v>28370</v>
      </c>
      <c r="D15820" s="473">
        <v>193.44</v>
      </c>
      <c r="E15820" s="473">
        <v>188.52</v>
      </c>
      <c r="F15820" s="473">
        <v>0.74</v>
      </c>
      <c r="G15820" s="473">
        <v>4.18</v>
      </c>
      <c r="H15820" s="474">
        <v>2218.11</v>
      </c>
      <c r="I15820" s="474">
        <v>2168.02</v>
      </c>
      <c r="J15820" s="474">
        <v>3.15</v>
      </c>
      <c r="K15820" s="474">
        <v>46.94</v>
      </c>
      <c r="L15820" s="43">
        <v>11.466656327543426</v>
      </c>
      <c r="M15820" s="43">
        <v>11.500212179079142</v>
      </c>
      <c r="N15820" s="43">
        <v>4.256756756756757</v>
      </c>
      <c r="O15820" s="43">
        <v>11.229665071770334</v>
      </c>
      <c r="P15820" s="475"/>
      <c r="Q15820" s="475"/>
      <c r="R15820" s="475">
        <v>1</v>
      </c>
    </row>
    <row r="15821" spans="1:18" ht="24">
      <c r="A15821" s="471">
        <v>405</v>
      </c>
      <c r="B15821" s="468" t="s">
        <v>28371</v>
      </c>
      <c r="C15821" s="472" t="s">
        <v>28372</v>
      </c>
      <c r="D15821" s="473">
        <v>247.72</v>
      </c>
      <c r="E15821" s="473">
        <v>241.5</v>
      </c>
      <c r="F15821" s="473">
        <v>0.98</v>
      </c>
      <c r="G15821" s="473">
        <v>5.24</v>
      </c>
      <c r="H15821" s="474">
        <v>2840.68</v>
      </c>
      <c r="I15821" s="474">
        <v>2777.4</v>
      </c>
      <c r="J15821" s="474">
        <v>4.1500000000000004</v>
      </c>
      <c r="K15821" s="474">
        <v>59.13</v>
      </c>
      <c r="L15821" s="43">
        <v>11.467301792346197</v>
      </c>
      <c r="M15821" s="43">
        <v>11.500621118012424</v>
      </c>
      <c r="N15821" s="43">
        <v>4.2346938775510212</v>
      </c>
      <c r="O15821" s="43">
        <v>11.284351145038167</v>
      </c>
      <c r="P15821" s="475"/>
      <c r="Q15821" s="475"/>
      <c r="R15821" s="475">
        <v>1</v>
      </c>
    </row>
    <row r="15822" spans="1:18" ht="24">
      <c r="A15822" s="471">
        <v>406</v>
      </c>
      <c r="B15822" s="468" t="s">
        <v>28373</v>
      </c>
      <c r="C15822" s="472" t="s">
        <v>28374</v>
      </c>
      <c r="D15822" s="473">
        <v>236.43</v>
      </c>
      <c r="E15822" s="473">
        <v>230.29</v>
      </c>
      <c r="F15822" s="473">
        <v>1.1200000000000001</v>
      </c>
      <c r="G15822" s="473">
        <v>5.0199999999999996</v>
      </c>
      <c r="H15822" s="474">
        <v>2709.82</v>
      </c>
      <c r="I15822" s="474">
        <v>2648.49</v>
      </c>
      <c r="J15822" s="474">
        <v>4.7300000000000004</v>
      </c>
      <c r="K15822" s="474">
        <v>56.6</v>
      </c>
      <c r="L15822" s="43">
        <v>11.46140506703887</v>
      </c>
      <c r="M15822" s="43">
        <v>11.500673064397064</v>
      </c>
      <c r="N15822" s="43">
        <v>4.2232142857142856</v>
      </c>
      <c r="O15822" s="43">
        <v>11.274900398406375</v>
      </c>
      <c r="P15822" s="475"/>
      <c r="Q15822" s="475"/>
      <c r="R15822" s="475">
        <v>1</v>
      </c>
    </row>
    <row r="15823" spans="1:18" ht="24">
      <c r="A15823" s="471">
        <v>407</v>
      </c>
      <c r="B15823" s="468" t="s">
        <v>28375</v>
      </c>
      <c r="C15823" s="472" t="s">
        <v>28376</v>
      </c>
      <c r="D15823" s="473">
        <v>238.53</v>
      </c>
      <c r="E15823" s="473">
        <v>230.29</v>
      </c>
      <c r="F15823" s="473">
        <v>3.22</v>
      </c>
      <c r="G15823" s="473">
        <v>5.0199999999999996</v>
      </c>
      <c r="H15823" s="474">
        <v>2718.86</v>
      </c>
      <c r="I15823" s="474">
        <v>2648.49</v>
      </c>
      <c r="J15823" s="474">
        <v>13.77</v>
      </c>
      <c r="K15823" s="474">
        <v>56.6</v>
      </c>
      <c r="L15823" s="43">
        <v>11.398398524294638</v>
      </c>
      <c r="M15823" s="43">
        <v>11.500673064397064</v>
      </c>
      <c r="N15823" s="43">
        <v>4.2763975155279503</v>
      </c>
      <c r="O15823" s="43">
        <v>11.274900398406375</v>
      </c>
      <c r="P15823" s="475"/>
      <c r="Q15823" s="475"/>
      <c r="R15823" s="475">
        <v>1</v>
      </c>
    </row>
    <row r="15824" spans="1:18" ht="24">
      <c r="A15824" s="471">
        <v>408</v>
      </c>
      <c r="B15824" s="468" t="s">
        <v>28377</v>
      </c>
      <c r="C15824" s="472" t="s">
        <v>28378</v>
      </c>
      <c r="D15824" s="473">
        <v>903.33</v>
      </c>
      <c r="E15824" s="473">
        <v>782.9</v>
      </c>
      <c r="F15824" s="473">
        <v>104.36</v>
      </c>
      <c r="G15824" s="473">
        <v>16.07</v>
      </c>
      <c r="H15824" s="474">
        <v>9629.08</v>
      </c>
      <c r="I15824" s="474">
        <v>9003.73</v>
      </c>
      <c r="J15824" s="474">
        <v>441.68</v>
      </c>
      <c r="K15824" s="474">
        <v>183.67</v>
      </c>
      <c r="L15824" s="43">
        <v>10.659537489068224</v>
      </c>
      <c r="M15824" s="43">
        <v>11.500485374888235</v>
      </c>
      <c r="N15824" s="43">
        <v>4.2322729014948255</v>
      </c>
      <c r="O15824" s="43">
        <v>11.429371499688861</v>
      </c>
      <c r="P15824" s="475"/>
      <c r="Q15824" s="475"/>
      <c r="R15824" s="475">
        <v>1</v>
      </c>
    </row>
    <row r="15825" spans="1:18" ht="12.75" customHeight="1">
      <c r="A15825" s="628" t="s">
        <v>28379</v>
      </c>
      <c r="B15825" s="629"/>
      <c r="C15825" s="629"/>
      <c r="D15825" s="629"/>
      <c r="E15825" s="629"/>
      <c r="F15825" s="629"/>
      <c r="G15825" s="629"/>
      <c r="H15825" s="629"/>
      <c r="I15825" s="629"/>
      <c r="J15825" s="629"/>
      <c r="K15825" s="629"/>
      <c r="L15825" s="629"/>
      <c r="M15825" s="629"/>
      <c r="N15825" s="629"/>
      <c r="O15825" s="629"/>
      <c r="P15825" s="629"/>
      <c r="Q15825" s="629"/>
      <c r="R15825" s="629"/>
    </row>
    <row r="15826" spans="1:18" ht="12.75" customHeight="1">
      <c r="A15826" s="628" t="s">
        <v>28380</v>
      </c>
      <c r="B15826" s="629"/>
      <c r="C15826" s="629"/>
      <c r="D15826" s="629"/>
      <c r="E15826" s="629"/>
      <c r="F15826" s="629"/>
      <c r="G15826" s="629"/>
      <c r="H15826" s="629"/>
      <c r="I15826" s="629"/>
      <c r="J15826" s="629"/>
      <c r="K15826" s="629"/>
      <c r="L15826" s="629"/>
      <c r="M15826" s="629"/>
      <c r="N15826" s="629"/>
      <c r="O15826" s="629"/>
      <c r="P15826" s="629"/>
      <c r="Q15826" s="629"/>
      <c r="R15826" s="629"/>
    </row>
    <row r="15827" spans="1:18" ht="24">
      <c r="A15827" s="471">
        <v>409</v>
      </c>
      <c r="B15827" s="468" t="s">
        <v>28381</v>
      </c>
      <c r="C15827" s="472" t="s">
        <v>28382</v>
      </c>
      <c r="D15827" s="473">
        <v>144.41999999999999</v>
      </c>
      <c r="E15827" s="473">
        <v>140.03</v>
      </c>
      <c r="F15827" s="473">
        <v>0.56999999999999995</v>
      </c>
      <c r="G15827" s="473">
        <v>3.82</v>
      </c>
      <c r="H15827" s="474">
        <v>1653.96</v>
      </c>
      <c r="I15827" s="474">
        <v>1610.41</v>
      </c>
      <c r="J15827" s="474">
        <v>2.41</v>
      </c>
      <c r="K15827" s="474">
        <v>41.14</v>
      </c>
      <c r="L15827" s="43">
        <v>11.452430411300375</v>
      </c>
      <c r="M15827" s="43">
        <v>11.500464186245805</v>
      </c>
      <c r="N15827" s="43">
        <v>4.2280701754385968</v>
      </c>
      <c r="O15827" s="43">
        <v>10.769633507853404</v>
      </c>
      <c r="P15827" s="475"/>
      <c r="Q15827" s="475"/>
      <c r="R15827" s="475">
        <v>1</v>
      </c>
    </row>
    <row r="15828" spans="1:18" ht="24">
      <c r="A15828" s="471">
        <v>410</v>
      </c>
      <c r="B15828" s="468" t="s">
        <v>28383</v>
      </c>
      <c r="C15828" s="472" t="s">
        <v>28384</v>
      </c>
      <c r="D15828" s="473">
        <v>144.52000000000001</v>
      </c>
      <c r="E15828" s="473">
        <v>140.03</v>
      </c>
      <c r="F15828" s="473">
        <v>0.67</v>
      </c>
      <c r="G15828" s="473">
        <v>3.82</v>
      </c>
      <c r="H15828" s="474">
        <v>1654.37</v>
      </c>
      <c r="I15828" s="474">
        <v>1610.41</v>
      </c>
      <c r="J15828" s="474">
        <v>2.82</v>
      </c>
      <c r="K15828" s="474">
        <v>41.14</v>
      </c>
      <c r="L15828" s="43">
        <v>11.447342928314418</v>
      </c>
      <c r="M15828" s="43">
        <v>11.500464186245805</v>
      </c>
      <c r="N15828" s="43">
        <v>4.2089552238805963</v>
      </c>
      <c r="O15828" s="43">
        <v>10.769633507853404</v>
      </c>
      <c r="P15828" s="475"/>
      <c r="Q15828" s="475"/>
      <c r="R15828" s="475">
        <v>1</v>
      </c>
    </row>
    <row r="15829" spans="1:18" ht="24">
      <c r="A15829" s="471">
        <v>411</v>
      </c>
      <c r="B15829" s="468" t="s">
        <v>28385</v>
      </c>
      <c r="C15829" s="472" t="s">
        <v>28386</v>
      </c>
      <c r="D15829" s="473">
        <v>395.33</v>
      </c>
      <c r="E15829" s="473">
        <v>376.2</v>
      </c>
      <c r="F15829" s="473">
        <v>10.39</v>
      </c>
      <c r="G15829" s="473">
        <v>8.74</v>
      </c>
      <c r="H15829" s="474">
        <v>4467.68</v>
      </c>
      <c r="I15829" s="474">
        <v>4326.4799999999996</v>
      </c>
      <c r="J15829" s="474">
        <v>43.99</v>
      </c>
      <c r="K15829" s="474">
        <v>97.21</v>
      </c>
      <c r="L15829" s="43">
        <v>11.301140819062557</v>
      </c>
      <c r="M15829" s="43">
        <v>11.500478468899521</v>
      </c>
      <c r="N15829" s="43">
        <v>4.2338787295476417</v>
      </c>
      <c r="O15829" s="43">
        <v>11.122425629290618</v>
      </c>
      <c r="P15829" s="475"/>
      <c r="Q15829" s="475"/>
      <c r="R15829" s="475">
        <v>1</v>
      </c>
    </row>
    <row r="15830" spans="1:18" ht="24">
      <c r="A15830" s="471">
        <v>412</v>
      </c>
      <c r="B15830" s="468" t="s">
        <v>28387</v>
      </c>
      <c r="C15830" s="472" t="s">
        <v>28388</v>
      </c>
      <c r="D15830" s="473">
        <v>560.24</v>
      </c>
      <c r="E15830" s="473">
        <v>538.17999999999995</v>
      </c>
      <c r="F15830" s="473">
        <v>10.62</v>
      </c>
      <c r="G15830" s="473">
        <v>11.44</v>
      </c>
      <c r="H15830" s="474">
        <v>6363.96</v>
      </c>
      <c r="I15830" s="474">
        <v>6189.27</v>
      </c>
      <c r="J15830" s="474">
        <v>44.99</v>
      </c>
      <c r="K15830" s="474">
        <v>129.69999999999999</v>
      </c>
      <c r="L15830" s="43">
        <v>11.359345994573754</v>
      </c>
      <c r="M15830" s="43">
        <v>11.500371622877106</v>
      </c>
      <c r="N15830" s="43">
        <v>4.2363465160075338</v>
      </c>
      <c r="O15830" s="43">
        <v>11.337412587412587</v>
      </c>
      <c r="P15830" s="475"/>
      <c r="Q15830" s="475"/>
      <c r="R15830" s="475">
        <v>1</v>
      </c>
    </row>
    <row r="15831" spans="1:18" ht="24">
      <c r="A15831" s="471">
        <v>413</v>
      </c>
      <c r="B15831" s="468" t="s">
        <v>28389</v>
      </c>
      <c r="C15831" s="472" t="s">
        <v>28390</v>
      </c>
      <c r="D15831" s="473">
        <v>261.82</v>
      </c>
      <c r="E15831" s="473">
        <v>251.69</v>
      </c>
      <c r="F15831" s="473">
        <v>3.74</v>
      </c>
      <c r="G15831" s="473">
        <v>6.39</v>
      </c>
      <c r="H15831" s="474">
        <v>2980.37</v>
      </c>
      <c r="I15831" s="474">
        <v>2894.59</v>
      </c>
      <c r="J15831" s="474">
        <v>16.010000000000002</v>
      </c>
      <c r="K15831" s="474">
        <v>69.77</v>
      </c>
      <c r="L15831" s="43">
        <v>11.383278588343137</v>
      </c>
      <c r="M15831" s="43">
        <v>11.500615836942272</v>
      </c>
      <c r="N15831" s="43">
        <v>4.2807486631016047</v>
      </c>
      <c r="O15831" s="43">
        <v>10.918622848200313</v>
      </c>
      <c r="P15831" s="475"/>
      <c r="Q15831" s="475"/>
      <c r="R15831" s="475">
        <v>1</v>
      </c>
    </row>
    <row r="15832" spans="1:18" ht="24">
      <c r="A15832" s="471">
        <v>414</v>
      </c>
      <c r="B15832" s="468" t="s">
        <v>28391</v>
      </c>
      <c r="C15832" s="472" t="s">
        <v>28392</v>
      </c>
      <c r="D15832" s="473">
        <v>626.29</v>
      </c>
      <c r="E15832" s="473">
        <v>591.47</v>
      </c>
      <c r="F15832" s="473">
        <v>21.77</v>
      </c>
      <c r="G15832" s="473">
        <v>13.05</v>
      </c>
      <c r="H15832" s="474">
        <v>7042.15</v>
      </c>
      <c r="I15832" s="474">
        <v>6802.19</v>
      </c>
      <c r="J15832" s="474">
        <v>93.18</v>
      </c>
      <c r="K15832" s="474">
        <v>146.78</v>
      </c>
      <c r="L15832" s="43">
        <v>11.244231905347362</v>
      </c>
      <c r="M15832" s="43">
        <v>11.500481850305171</v>
      </c>
      <c r="N15832" s="43">
        <v>4.2802021129995413</v>
      </c>
      <c r="O15832" s="43">
        <v>11.247509578544062</v>
      </c>
      <c r="P15832" s="475"/>
      <c r="Q15832" s="475"/>
      <c r="R15832" s="475">
        <v>1</v>
      </c>
    </row>
    <row r="15833" spans="1:18" ht="24">
      <c r="A15833" s="471">
        <v>415</v>
      </c>
      <c r="B15833" s="468" t="s">
        <v>28393</v>
      </c>
      <c r="C15833" s="472" t="s">
        <v>28394</v>
      </c>
      <c r="D15833" s="473">
        <v>706.61</v>
      </c>
      <c r="E15833" s="473">
        <v>668.74</v>
      </c>
      <c r="F15833" s="473">
        <v>23.34</v>
      </c>
      <c r="G15833" s="473">
        <v>14.53</v>
      </c>
      <c r="H15833" s="474">
        <v>7954.25</v>
      </c>
      <c r="I15833" s="474">
        <v>7690.46</v>
      </c>
      <c r="J15833" s="474">
        <v>99.9</v>
      </c>
      <c r="K15833" s="474">
        <v>163.89</v>
      </c>
      <c r="L15833" s="43">
        <v>11.256916828236227</v>
      </c>
      <c r="M15833" s="43">
        <v>11.499925232526842</v>
      </c>
      <c r="N15833" s="43">
        <v>4.2802056555269923</v>
      </c>
      <c r="O15833" s="43">
        <v>11.279421885753612</v>
      </c>
      <c r="P15833" s="475"/>
      <c r="Q15833" s="475"/>
      <c r="R15833" s="475">
        <v>1</v>
      </c>
    </row>
    <row r="15834" spans="1:18" ht="24">
      <c r="A15834" s="471">
        <v>416</v>
      </c>
      <c r="B15834" s="468" t="s">
        <v>28395</v>
      </c>
      <c r="C15834" s="472" t="s">
        <v>28396</v>
      </c>
      <c r="D15834" s="473">
        <v>163.87</v>
      </c>
      <c r="E15834" s="473">
        <v>158.93</v>
      </c>
      <c r="F15834" s="473">
        <v>0.94</v>
      </c>
      <c r="G15834" s="473">
        <v>4</v>
      </c>
      <c r="H15834" s="474">
        <v>1875.37</v>
      </c>
      <c r="I15834" s="474">
        <v>1827.67</v>
      </c>
      <c r="J15834" s="474">
        <v>3.98</v>
      </c>
      <c r="K15834" s="474">
        <v>43.72</v>
      </c>
      <c r="L15834" s="43">
        <v>11.444254592054676</v>
      </c>
      <c r="M15834" s="43">
        <v>11.499842698043164</v>
      </c>
      <c r="N15834" s="43">
        <v>4.2340425531914896</v>
      </c>
      <c r="O15834" s="43">
        <v>10.93</v>
      </c>
      <c r="P15834" s="475"/>
      <c r="Q15834" s="475"/>
      <c r="R15834" s="475">
        <v>1</v>
      </c>
    </row>
    <row r="15835" spans="1:18" ht="24">
      <c r="A15835" s="471">
        <v>417</v>
      </c>
      <c r="B15835" s="468" t="s">
        <v>28397</v>
      </c>
      <c r="C15835" s="472" t="s">
        <v>28398</v>
      </c>
      <c r="D15835" s="473">
        <v>366.76</v>
      </c>
      <c r="E15835" s="473">
        <v>345.8</v>
      </c>
      <c r="F15835" s="473">
        <v>11.05</v>
      </c>
      <c r="G15835" s="473">
        <v>9.91</v>
      </c>
      <c r="H15835" s="474">
        <v>4129.26</v>
      </c>
      <c r="I15835" s="474">
        <v>3976.65</v>
      </c>
      <c r="J15835" s="474">
        <v>46.81</v>
      </c>
      <c r="K15835" s="474">
        <v>105.8</v>
      </c>
      <c r="L15835" s="43">
        <v>11.258752317591886</v>
      </c>
      <c r="M15835" s="43">
        <v>11.499855407750145</v>
      </c>
      <c r="N15835" s="43">
        <v>4.2361990950226245</v>
      </c>
      <c r="O15835" s="43">
        <v>10.676084762865791</v>
      </c>
      <c r="P15835" s="475"/>
      <c r="Q15835" s="475"/>
      <c r="R15835" s="475">
        <v>1</v>
      </c>
    </row>
    <row r="15836" spans="1:18" ht="24">
      <c r="A15836" s="471">
        <v>418</v>
      </c>
      <c r="B15836" s="468" t="s">
        <v>28399</v>
      </c>
      <c r="C15836" s="472" t="s">
        <v>28400</v>
      </c>
      <c r="D15836" s="473">
        <v>331.99</v>
      </c>
      <c r="E15836" s="473">
        <v>301.35000000000002</v>
      </c>
      <c r="F15836" s="473">
        <v>21.62</v>
      </c>
      <c r="G15836" s="473">
        <v>9.02</v>
      </c>
      <c r="H15836" s="474">
        <v>3653.66</v>
      </c>
      <c r="I15836" s="474">
        <v>3465.55</v>
      </c>
      <c r="J15836" s="474">
        <v>92.54</v>
      </c>
      <c r="K15836" s="474">
        <v>95.57</v>
      </c>
      <c r="L15836" s="43">
        <v>11.005331485888128</v>
      </c>
      <c r="M15836" s="43">
        <v>11.500082960013273</v>
      </c>
      <c r="N15836" s="43">
        <v>4.2802960222016653</v>
      </c>
      <c r="O15836" s="43">
        <v>10.595343680709535</v>
      </c>
      <c r="P15836" s="475"/>
      <c r="Q15836" s="475"/>
      <c r="R15836" s="475">
        <v>1</v>
      </c>
    </row>
    <row r="15837" spans="1:18" ht="24">
      <c r="A15837" s="471">
        <v>419</v>
      </c>
      <c r="B15837" s="468" t="s">
        <v>28401</v>
      </c>
      <c r="C15837" s="472" t="s">
        <v>28402</v>
      </c>
      <c r="D15837" s="473">
        <v>218.12</v>
      </c>
      <c r="E15837" s="473">
        <v>202.27</v>
      </c>
      <c r="F15837" s="473">
        <v>10.64</v>
      </c>
      <c r="G15837" s="473">
        <v>5.21</v>
      </c>
      <c r="H15837" s="474">
        <v>2429.1799999999998</v>
      </c>
      <c r="I15837" s="474">
        <v>2326.13</v>
      </c>
      <c r="J15837" s="474">
        <v>46.34</v>
      </c>
      <c r="K15837" s="474">
        <v>56.71</v>
      </c>
      <c r="L15837" s="43">
        <v>11.136897120850907</v>
      </c>
      <c r="M15837" s="43">
        <v>11.500123597172097</v>
      </c>
      <c r="N15837" s="43">
        <v>4.3552631578947372</v>
      </c>
      <c r="O15837" s="43">
        <v>10.884836852207293</v>
      </c>
      <c r="P15837" s="475"/>
      <c r="Q15837" s="475"/>
      <c r="R15837" s="475">
        <v>1</v>
      </c>
    </row>
    <row r="15838" spans="1:18" ht="24">
      <c r="A15838" s="471">
        <v>420</v>
      </c>
      <c r="B15838" s="468" t="s">
        <v>28403</v>
      </c>
      <c r="C15838" s="472" t="s">
        <v>28404</v>
      </c>
      <c r="D15838" s="473">
        <v>593.04999999999995</v>
      </c>
      <c r="E15838" s="473">
        <v>529.07000000000005</v>
      </c>
      <c r="F15838" s="473">
        <v>51.36</v>
      </c>
      <c r="G15838" s="473">
        <v>12.62</v>
      </c>
      <c r="H15838" s="474">
        <v>6440.79</v>
      </c>
      <c r="I15838" s="474">
        <v>6084.6</v>
      </c>
      <c r="J15838" s="474">
        <v>216.64</v>
      </c>
      <c r="K15838" s="474">
        <v>139.55000000000001</v>
      </c>
      <c r="L15838" s="43">
        <v>10.860450214990305</v>
      </c>
      <c r="M15838" s="43">
        <v>11.50055758217249</v>
      </c>
      <c r="N15838" s="43">
        <v>4.2180685358255445</v>
      </c>
      <c r="O15838" s="43">
        <v>11.057844690966721</v>
      </c>
      <c r="P15838" s="475"/>
      <c r="Q15838" s="475"/>
      <c r="R15838" s="475">
        <v>1</v>
      </c>
    </row>
    <row r="15839" spans="1:18" ht="24">
      <c r="A15839" s="471">
        <v>421</v>
      </c>
      <c r="B15839" s="468" t="s">
        <v>28405</v>
      </c>
      <c r="C15839" s="472" t="s">
        <v>28406</v>
      </c>
      <c r="D15839" s="473">
        <v>261.95</v>
      </c>
      <c r="E15839" s="473">
        <v>242.05</v>
      </c>
      <c r="F15839" s="473">
        <v>10.98</v>
      </c>
      <c r="G15839" s="473">
        <v>8.92</v>
      </c>
      <c r="H15839" s="474">
        <v>2923.18</v>
      </c>
      <c r="I15839" s="474">
        <v>2783.64</v>
      </c>
      <c r="J15839" s="474">
        <v>48.12</v>
      </c>
      <c r="K15839" s="474">
        <v>91.42</v>
      </c>
      <c r="L15839" s="43">
        <v>11.159305210918115</v>
      </c>
      <c r="M15839" s="43">
        <v>11.500268539557942</v>
      </c>
      <c r="N15839" s="43">
        <v>4.3825136612021858</v>
      </c>
      <c r="O15839" s="43">
        <v>10.248878923766817</v>
      </c>
      <c r="P15839" s="475"/>
      <c r="Q15839" s="475"/>
      <c r="R15839" s="475">
        <v>1</v>
      </c>
    </row>
    <row r="15840" spans="1:18" ht="24">
      <c r="A15840" s="471">
        <v>422</v>
      </c>
      <c r="B15840" s="468" t="s">
        <v>28407</v>
      </c>
      <c r="C15840" s="472" t="s">
        <v>28408</v>
      </c>
      <c r="D15840" s="473">
        <v>224.79</v>
      </c>
      <c r="E15840" s="473">
        <v>206.41</v>
      </c>
      <c r="F15840" s="473">
        <v>10.24</v>
      </c>
      <c r="G15840" s="473">
        <v>8.14</v>
      </c>
      <c r="H15840" s="474">
        <v>2499.6</v>
      </c>
      <c r="I15840" s="474">
        <v>2373.7399999999998</v>
      </c>
      <c r="J15840" s="474">
        <v>43.2</v>
      </c>
      <c r="K15840" s="474">
        <v>82.66</v>
      </c>
      <c r="L15840" s="43">
        <v>11.119711730948886</v>
      </c>
      <c r="M15840" s="43">
        <v>11.500121118162879</v>
      </c>
      <c r="N15840" s="43">
        <v>4.21875</v>
      </c>
      <c r="O15840" s="43">
        <v>10.154791154791154</v>
      </c>
      <c r="P15840" s="475"/>
      <c r="Q15840" s="475"/>
      <c r="R15840" s="475">
        <v>1</v>
      </c>
    </row>
    <row r="15841" spans="1:18" ht="24">
      <c r="A15841" s="471">
        <v>423</v>
      </c>
      <c r="B15841" s="468" t="s">
        <v>28409</v>
      </c>
      <c r="C15841" s="472" t="s">
        <v>28410</v>
      </c>
      <c r="D15841" s="473">
        <v>305.74</v>
      </c>
      <c r="E15841" s="473">
        <v>283.54000000000002</v>
      </c>
      <c r="F15841" s="473">
        <v>15.03</v>
      </c>
      <c r="G15841" s="473">
        <v>7.17</v>
      </c>
      <c r="H15841" s="474">
        <v>3404.48</v>
      </c>
      <c r="I15841" s="474">
        <v>3260.76</v>
      </c>
      <c r="J15841" s="474">
        <v>65.400000000000006</v>
      </c>
      <c r="K15841" s="474">
        <v>78.319999999999993</v>
      </c>
      <c r="L15841" s="43">
        <v>11.135212926015569</v>
      </c>
      <c r="M15841" s="43">
        <v>11.500176341962334</v>
      </c>
      <c r="N15841" s="43">
        <v>4.3512974051896212</v>
      </c>
      <c r="O15841" s="43">
        <v>10.923291492329149</v>
      </c>
      <c r="P15841" s="475"/>
      <c r="Q15841" s="475"/>
      <c r="R15841" s="475">
        <v>1</v>
      </c>
    </row>
    <row r="15842" spans="1:18" ht="24">
      <c r="A15842" s="471">
        <v>424</v>
      </c>
      <c r="B15842" s="468" t="s">
        <v>28411</v>
      </c>
      <c r="C15842" s="472" t="s">
        <v>28412</v>
      </c>
      <c r="D15842" s="473">
        <v>1199.92</v>
      </c>
      <c r="E15842" s="473">
        <v>609.41</v>
      </c>
      <c r="F15842" s="473">
        <v>48.48</v>
      </c>
      <c r="G15842" s="473">
        <v>542.03</v>
      </c>
      <c r="H15842" s="474">
        <v>9380.0300000000007</v>
      </c>
      <c r="I15842" s="474">
        <v>7008.19</v>
      </c>
      <c r="J15842" s="474">
        <v>205.17</v>
      </c>
      <c r="K15842" s="474">
        <v>2166.67</v>
      </c>
      <c r="L15842" s="43">
        <v>7.8172128141876129</v>
      </c>
      <c r="M15842" s="43">
        <v>11.499958976715183</v>
      </c>
      <c r="N15842" s="43">
        <v>4.2320544554455441</v>
      </c>
      <c r="O15842" s="43">
        <v>3.9973248713170859</v>
      </c>
      <c r="P15842" s="475"/>
      <c r="Q15842" s="475"/>
      <c r="R15842" s="475">
        <v>1</v>
      </c>
    </row>
    <row r="15843" spans="1:18" ht="24">
      <c r="A15843" s="471">
        <v>425</v>
      </c>
      <c r="B15843" s="468" t="s">
        <v>28413</v>
      </c>
      <c r="C15843" s="472" t="s">
        <v>28414</v>
      </c>
      <c r="D15843" s="473">
        <v>766.7</v>
      </c>
      <c r="E15843" s="473">
        <v>689.82</v>
      </c>
      <c r="F15843" s="473">
        <v>62.33</v>
      </c>
      <c r="G15843" s="473">
        <v>14.55</v>
      </c>
      <c r="H15843" s="474">
        <v>8361.93</v>
      </c>
      <c r="I15843" s="474">
        <v>7932.88</v>
      </c>
      <c r="J15843" s="474">
        <v>263.79000000000002</v>
      </c>
      <c r="K15843" s="474">
        <v>165.26</v>
      </c>
      <c r="L15843" s="43">
        <v>10.90639102647711</v>
      </c>
      <c r="M15843" s="43">
        <v>11.499927517323359</v>
      </c>
      <c r="N15843" s="43">
        <v>4.2321514519493029</v>
      </c>
      <c r="O15843" s="43">
        <v>11.358075601374569</v>
      </c>
      <c r="P15843" s="475"/>
      <c r="Q15843" s="475"/>
      <c r="R15843" s="475">
        <v>1</v>
      </c>
    </row>
    <row r="15844" spans="1:18" ht="24">
      <c r="A15844" s="471">
        <v>426</v>
      </c>
      <c r="B15844" s="468" t="s">
        <v>28415</v>
      </c>
      <c r="C15844" s="472" t="s">
        <v>28416</v>
      </c>
      <c r="D15844" s="473">
        <v>598.52</v>
      </c>
      <c r="E15844" s="473">
        <v>529.41999999999996</v>
      </c>
      <c r="F15844" s="473">
        <v>57.15</v>
      </c>
      <c r="G15844" s="473">
        <v>11.95</v>
      </c>
      <c r="H15844" s="474">
        <v>6463.88</v>
      </c>
      <c r="I15844" s="474">
        <v>6088.28</v>
      </c>
      <c r="J15844" s="474">
        <v>241.89</v>
      </c>
      <c r="K15844" s="474">
        <v>133.71</v>
      </c>
      <c r="L15844" s="43">
        <v>10.799772772839672</v>
      </c>
      <c r="M15844" s="43">
        <v>11.499905557024668</v>
      </c>
      <c r="N15844" s="43">
        <v>4.2325459317585299</v>
      </c>
      <c r="O15844" s="43">
        <v>11.189121338912136</v>
      </c>
      <c r="P15844" s="475"/>
      <c r="Q15844" s="475"/>
      <c r="R15844" s="475">
        <v>1</v>
      </c>
    </row>
    <row r="15845" spans="1:18" ht="24">
      <c r="A15845" s="471">
        <v>427</v>
      </c>
      <c r="B15845" s="468" t="s">
        <v>28417</v>
      </c>
      <c r="C15845" s="472" t="s">
        <v>28418</v>
      </c>
      <c r="D15845" s="473">
        <v>762.95</v>
      </c>
      <c r="E15845" s="473">
        <v>690.41</v>
      </c>
      <c r="F15845" s="473">
        <v>57.23</v>
      </c>
      <c r="G15845" s="473">
        <v>15.31</v>
      </c>
      <c r="H15845" s="474">
        <v>8353.85</v>
      </c>
      <c r="I15845" s="474">
        <v>7939.69</v>
      </c>
      <c r="J15845" s="474">
        <v>242.23</v>
      </c>
      <c r="K15845" s="474">
        <v>171.93</v>
      </c>
      <c r="L15845" s="43">
        <v>10.949406907398911</v>
      </c>
      <c r="M15845" s="43">
        <v>11.499963789632247</v>
      </c>
      <c r="N15845" s="43">
        <v>4.2325703302463742</v>
      </c>
      <c r="O15845" s="43">
        <v>11.229915088177663</v>
      </c>
      <c r="P15845" s="475"/>
      <c r="Q15845" s="475"/>
      <c r="R15845" s="475">
        <v>1</v>
      </c>
    </row>
    <row r="15846" spans="1:18" ht="24">
      <c r="A15846" s="471">
        <v>428</v>
      </c>
      <c r="B15846" s="468" t="s">
        <v>28419</v>
      </c>
      <c r="C15846" s="472" t="s">
        <v>28420</v>
      </c>
      <c r="D15846" s="473">
        <v>2338.0100000000002</v>
      </c>
      <c r="E15846" s="473">
        <v>1734.7</v>
      </c>
      <c r="F15846" s="473">
        <v>566.51</v>
      </c>
      <c r="G15846" s="473">
        <v>36.799999999999997</v>
      </c>
      <c r="H15846" s="474">
        <v>23396.58</v>
      </c>
      <c r="I15846" s="474">
        <v>19949.88</v>
      </c>
      <c r="J15846" s="474">
        <v>3029.28</v>
      </c>
      <c r="K15846" s="474">
        <v>417.42</v>
      </c>
      <c r="L15846" s="43">
        <v>10.007048729475066</v>
      </c>
      <c r="M15846" s="43">
        <v>11.500478468899521</v>
      </c>
      <c r="N15846" s="43">
        <v>5.3472665972357065</v>
      </c>
      <c r="O15846" s="43">
        <v>11.342934782608697</v>
      </c>
      <c r="P15846" s="475"/>
      <c r="Q15846" s="475"/>
      <c r="R15846" s="475">
        <v>1</v>
      </c>
    </row>
    <row r="15847" spans="1:18" ht="24">
      <c r="A15847" s="471">
        <v>429</v>
      </c>
      <c r="B15847" s="468" t="s">
        <v>28421</v>
      </c>
      <c r="C15847" s="472" t="s">
        <v>28422</v>
      </c>
      <c r="D15847" s="473">
        <v>965.25</v>
      </c>
      <c r="E15847" s="473">
        <v>849.85</v>
      </c>
      <c r="F15847" s="473">
        <v>97.04</v>
      </c>
      <c r="G15847" s="473">
        <v>18.36</v>
      </c>
      <c r="H15847" s="474">
        <v>10392.780000000001</v>
      </c>
      <c r="I15847" s="474">
        <v>9773.65</v>
      </c>
      <c r="J15847" s="474">
        <v>411.71</v>
      </c>
      <c r="K15847" s="474">
        <v>207.42</v>
      </c>
      <c r="L15847" s="43">
        <v>10.766930846930848</v>
      </c>
      <c r="M15847" s="43">
        <v>11.500441254339</v>
      </c>
      <c r="N15847" s="43">
        <v>4.242683429513602</v>
      </c>
      <c r="O15847" s="43">
        <v>11.297385620915032</v>
      </c>
      <c r="P15847" s="475"/>
      <c r="Q15847" s="475"/>
      <c r="R15847" s="475">
        <v>1</v>
      </c>
    </row>
    <row r="15848" spans="1:18" ht="24">
      <c r="A15848" s="471">
        <v>430</v>
      </c>
      <c r="B15848" s="468" t="s">
        <v>28423</v>
      </c>
      <c r="C15848" s="472" t="s">
        <v>28424</v>
      </c>
      <c r="D15848" s="473">
        <v>875.84</v>
      </c>
      <c r="E15848" s="473">
        <v>764.25</v>
      </c>
      <c r="F15848" s="473">
        <v>94.4</v>
      </c>
      <c r="G15848" s="473">
        <v>17.190000000000001</v>
      </c>
      <c r="H15848" s="474">
        <v>9382.2800000000007</v>
      </c>
      <c r="I15848" s="474">
        <v>8789.25</v>
      </c>
      <c r="J15848" s="474">
        <v>400.5</v>
      </c>
      <c r="K15848" s="474">
        <v>192.53</v>
      </c>
      <c r="L15848" s="43">
        <v>10.71232188527585</v>
      </c>
      <c r="M15848" s="43">
        <v>11.500490677134446</v>
      </c>
      <c r="N15848" s="43">
        <v>4.2425847457627119</v>
      </c>
      <c r="O15848" s="43">
        <v>11.200116346713205</v>
      </c>
      <c r="P15848" s="475"/>
      <c r="Q15848" s="475"/>
      <c r="R15848" s="475">
        <v>1</v>
      </c>
    </row>
    <row r="15849" spans="1:18" ht="24">
      <c r="A15849" s="471">
        <v>431</v>
      </c>
      <c r="B15849" s="468" t="s">
        <v>28425</v>
      </c>
      <c r="C15849" s="472" t="s">
        <v>28426</v>
      </c>
      <c r="D15849" s="473">
        <v>1039.43</v>
      </c>
      <c r="E15849" s="473">
        <v>913.02</v>
      </c>
      <c r="F15849" s="473">
        <v>99.31</v>
      </c>
      <c r="G15849" s="473">
        <v>27.1</v>
      </c>
      <c r="H15849" s="474">
        <v>11209.02</v>
      </c>
      <c r="I15849" s="474">
        <v>10500.22</v>
      </c>
      <c r="J15849" s="474">
        <v>421.33</v>
      </c>
      <c r="K15849" s="474">
        <v>287.47000000000003</v>
      </c>
      <c r="L15849" s="43">
        <v>10.783814205862829</v>
      </c>
      <c r="M15849" s="43">
        <v>11.500536680467022</v>
      </c>
      <c r="N15849" s="43">
        <v>4.242573758936663</v>
      </c>
      <c r="O15849" s="43">
        <v>10.607749077490775</v>
      </c>
      <c r="P15849" s="475"/>
      <c r="Q15849" s="475"/>
      <c r="R15849" s="475">
        <v>1</v>
      </c>
    </row>
    <row r="15850" spans="1:18" ht="24">
      <c r="A15850" s="471">
        <v>432</v>
      </c>
      <c r="B15850" s="468" t="s">
        <v>28427</v>
      </c>
      <c r="C15850" s="472" t="s">
        <v>28428</v>
      </c>
      <c r="D15850" s="473">
        <v>367.61</v>
      </c>
      <c r="E15850" s="473">
        <v>343.4</v>
      </c>
      <c r="F15850" s="473">
        <v>13.94</v>
      </c>
      <c r="G15850" s="473">
        <v>10.27</v>
      </c>
      <c r="H15850" s="474">
        <v>4116.7</v>
      </c>
      <c r="I15850" s="474">
        <v>3949.1</v>
      </c>
      <c r="J15850" s="474">
        <v>58.79</v>
      </c>
      <c r="K15850" s="474">
        <v>108.81</v>
      </c>
      <c r="L15850" s="43">
        <v>11.198552814123662</v>
      </c>
      <c r="M15850" s="43">
        <v>11.5</v>
      </c>
      <c r="N15850" s="43">
        <v>4.2173601147776187</v>
      </c>
      <c r="O15850" s="43">
        <v>10.594936708860761</v>
      </c>
      <c r="P15850" s="475"/>
      <c r="Q15850" s="475"/>
      <c r="R15850" s="475">
        <v>1</v>
      </c>
    </row>
    <row r="15851" spans="1:18" ht="24">
      <c r="A15851" s="471">
        <v>433</v>
      </c>
      <c r="B15851" s="468" t="s">
        <v>28429</v>
      </c>
      <c r="C15851" s="472" t="s">
        <v>28430</v>
      </c>
      <c r="D15851" s="473">
        <v>1571.3</v>
      </c>
      <c r="E15851" s="473">
        <v>1355.27</v>
      </c>
      <c r="F15851" s="473">
        <v>184.5</v>
      </c>
      <c r="G15851" s="473">
        <v>31.53</v>
      </c>
      <c r="H15851" s="474">
        <v>16969.810000000001</v>
      </c>
      <c r="I15851" s="474">
        <v>15586.27</v>
      </c>
      <c r="J15851" s="474">
        <v>1033.03</v>
      </c>
      <c r="K15851" s="474">
        <v>350.51</v>
      </c>
      <c r="L15851" s="43">
        <v>10.799853624387451</v>
      </c>
      <c r="M15851" s="43">
        <v>11.500490677134446</v>
      </c>
      <c r="N15851" s="43">
        <v>5.5990785907859077</v>
      </c>
      <c r="O15851" s="43">
        <v>11.116714240405962</v>
      </c>
      <c r="P15851" s="475"/>
      <c r="Q15851" s="475"/>
      <c r="R15851" s="475">
        <v>1</v>
      </c>
    </row>
    <row r="15852" spans="1:18" ht="24">
      <c r="A15852" s="471">
        <v>434</v>
      </c>
      <c r="B15852" s="468" t="s">
        <v>28431</v>
      </c>
      <c r="C15852" s="472" t="s">
        <v>28432</v>
      </c>
      <c r="D15852" s="473">
        <v>2917.91</v>
      </c>
      <c r="E15852" s="473">
        <v>2027.3</v>
      </c>
      <c r="F15852" s="473">
        <v>835.1</v>
      </c>
      <c r="G15852" s="473">
        <v>55.51</v>
      </c>
      <c r="H15852" s="474">
        <v>28558.97</v>
      </c>
      <c r="I15852" s="474">
        <v>23314.92</v>
      </c>
      <c r="J15852" s="474">
        <v>4646.6000000000004</v>
      </c>
      <c r="K15852" s="474">
        <v>597.45000000000005</v>
      </c>
      <c r="L15852" s="43">
        <v>9.7874745965434169</v>
      </c>
      <c r="M15852" s="43">
        <v>11.500478468899521</v>
      </c>
      <c r="N15852" s="43">
        <v>5.5641240569991623</v>
      </c>
      <c r="O15852" s="43">
        <v>10.762925598991174</v>
      </c>
      <c r="P15852" s="475"/>
      <c r="Q15852" s="475"/>
      <c r="R15852" s="475">
        <v>1</v>
      </c>
    </row>
    <row r="15853" spans="1:18" ht="24">
      <c r="A15853" s="471">
        <v>435</v>
      </c>
      <c r="B15853" s="468" t="s">
        <v>28433</v>
      </c>
      <c r="C15853" s="472" t="s">
        <v>28434</v>
      </c>
      <c r="D15853" s="473">
        <v>5609.29</v>
      </c>
      <c r="E15853" s="473">
        <v>4209.03</v>
      </c>
      <c r="F15853" s="473">
        <v>1265.76</v>
      </c>
      <c r="G15853" s="473">
        <v>134.5</v>
      </c>
      <c r="H15853" s="474">
        <v>56876.22</v>
      </c>
      <c r="I15853" s="474">
        <v>48405.81</v>
      </c>
      <c r="J15853" s="474">
        <v>7061.3</v>
      </c>
      <c r="K15853" s="474">
        <v>1409.11</v>
      </c>
      <c r="L15853" s="43">
        <v>10.139646907184332</v>
      </c>
      <c r="M15853" s="43">
        <v>11.50046685340803</v>
      </c>
      <c r="N15853" s="43">
        <v>5.5787037037037042</v>
      </c>
      <c r="O15853" s="43">
        <v>10.476654275092937</v>
      </c>
      <c r="P15853" s="475"/>
      <c r="Q15853" s="475"/>
      <c r="R15853" s="475">
        <v>1</v>
      </c>
    </row>
    <row r="15854" spans="1:18" ht="24">
      <c r="A15854" s="471">
        <v>436</v>
      </c>
      <c r="B15854" s="468" t="s">
        <v>28435</v>
      </c>
      <c r="C15854" s="472" t="s">
        <v>28436</v>
      </c>
      <c r="D15854" s="473">
        <v>8476.77</v>
      </c>
      <c r="E15854" s="473">
        <v>6415.8</v>
      </c>
      <c r="F15854" s="473">
        <v>1750.41</v>
      </c>
      <c r="G15854" s="473">
        <v>310.56</v>
      </c>
      <c r="H15854" s="474">
        <v>86703.18</v>
      </c>
      <c r="I15854" s="474">
        <v>73781.7</v>
      </c>
      <c r="J15854" s="474">
        <v>9848.52</v>
      </c>
      <c r="K15854" s="474">
        <v>3072.96</v>
      </c>
      <c r="L15854" s="43">
        <v>10.228327535134254</v>
      </c>
      <c r="M15854" s="43">
        <v>11.5</v>
      </c>
      <c r="N15854" s="43">
        <v>5.6264075273792997</v>
      </c>
      <c r="O15854" s="43">
        <v>9.8948995363214838</v>
      </c>
      <c r="P15854" s="475"/>
      <c r="Q15854" s="475"/>
      <c r="R15854" s="475">
        <v>1</v>
      </c>
    </row>
    <row r="15855" spans="1:18" ht="24">
      <c r="A15855" s="471">
        <v>437</v>
      </c>
      <c r="B15855" s="468" t="s">
        <v>28437</v>
      </c>
      <c r="C15855" s="472" t="s">
        <v>28438</v>
      </c>
      <c r="D15855" s="473">
        <v>843.86</v>
      </c>
      <c r="E15855" s="473">
        <v>293.47000000000003</v>
      </c>
      <c r="F15855" s="473">
        <v>13.32</v>
      </c>
      <c r="G15855" s="473">
        <v>537.07000000000005</v>
      </c>
      <c r="H15855" s="474">
        <v>5537.17</v>
      </c>
      <c r="I15855" s="474">
        <v>3375.07</v>
      </c>
      <c r="J15855" s="474">
        <v>56.19</v>
      </c>
      <c r="K15855" s="474">
        <v>2105.91</v>
      </c>
      <c r="L15855" s="43">
        <v>6.5617163984547195</v>
      </c>
      <c r="M15855" s="43">
        <v>11.500562238048182</v>
      </c>
      <c r="N15855" s="43">
        <v>4.2184684684684681</v>
      </c>
      <c r="O15855" s="43">
        <v>3.9211089802074213</v>
      </c>
      <c r="P15855" s="475"/>
      <c r="Q15855" s="475"/>
      <c r="R15855" s="475">
        <v>1</v>
      </c>
    </row>
    <row r="15856" spans="1:18" ht="12.75" customHeight="1">
      <c r="A15856" s="628" t="s">
        <v>28439</v>
      </c>
      <c r="B15856" s="629"/>
      <c r="C15856" s="629"/>
      <c r="D15856" s="629"/>
      <c r="E15856" s="629"/>
      <c r="F15856" s="629"/>
      <c r="G15856" s="629"/>
      <c r="H15856" s="629"/>
      <c r="I15856" s="629"/>
      <c r="J15856" s="629"/>
      <c r="K15856" s="629"/>
      <c r="L15856" s="629"/>
      <c r="M15856" s="629"/>
      <c r="N15856" s="629"/>
      <c r="O15856" s="629"/>
      <c r="P15856" s="629"/>
      <c r="Q15856" s="629"/>
      <c r="R15856" s="629"/>
    </row>
    <row r="15857" spans="1:18" ht="12.75" customHeight="1">
      <c r="A15857" s="628" t="s">
        <v>28440</v>
      </c>
      <c r="B15857" s="629"/>
      <c r="C15857" s="629"/>
      <c r="D15857" s="629"/>
      <c r="E15857" s="629"/>
      <c r="F15857" s="629"/>
      <c r="G15857" s="629"/>
      <c r="H15857" s="629"/>
      <c r="I15857" s="629"/>
      <c r="J15857" s="629"/>
      <c r="K15857" s="629"/>
      <c r="L15857" s="629"/>
      <c r="M15857" s="629"/>
      <c r="N15857" s="629"/>
      <c r="O15857" s="629"/>
      <c r="P15857" s="629"/>
      <c r="Q15857" s="629"/>
      <c r="R15857" s="629"/>
    </row>
    <row r="15858" spans="1:18" ht="24">
      <c r="A15858" s="471">
        <v>438</v>
      </c>
      <c r="B15858" s="468" t="s">
        <v>28441</v>
      </c>
      <c r="C15858" s="472" t="s">
        <v>28442</v>
      </c>
      <c r="D15858" s="473">
        <v>533.41</v>
      </c>
      <c r="E15858" s="473">
        <v>471.54</v>
      </c>
      <c r="F15858" s="473">
        <v>50.13</v>
      </c>
      <c r="G15858" s="473">
        <v>11.74</v>
      </c>
      <c r="H15858" s="474">
        <v>5762.86</v>
      </c>
      <c r="I15858" s="474">
        <v>5422.71</v>
      </c>
      <c r="J15858" s="474">
        <v>211.44</v>
      </c>
      <c r="K15858" s="474">
        <v>128.71</v>
      </c>
      <c r="L15858" s="43">
        <v>10.803809452391219</v>
      </c>
      <c r="M15858" s="43">
        <v>11.5</v>
      </c>
      <c r="N15858" s="43">
        <v>4.2178336325553554</v>
      </c>
      <c r="O15858" s="43">
        <v>10.963373083475298</v>
      </c>
      <c r="P15858" s="475"/>
      <c r="Q15858" s="475"/>
      <c r="R15858" s="475">
        <v>1</v>
      </c>
    </row>
    <row r="15859" spans="1:18" ht="24">
      <c r="A15859" s="471">
        <v>439</v>
      </c>
      <c r="B15859" s="468" t="s">
        <v>28443</v>
      </c>
      <c r="C15859" s="472" t="s">
        <v>28444</v>
      </c>
      <c r="D15859" s="473">
        <v>569.09</v>
      </c>
      <c r="E15859" s="473">
        <v>495.39</v>
      </c>
      <c r="F15859" s="473">
        <v>59.78</v>
      </c>
      <c r="G15859" s="473">
        <v>13.92</v>
      </c>
      <c r="H15859" s="474">
        <v>6099.1</v>
      </c>
      <c r="I15859" s="474">
        <v>5696.96</v>
      </c>
      <c r="J15859" s="474">
        <v>253.01</v>
      </c>
      <c r="K15859" s="474">
        <v>149.13</v>
      </c>
      <c r="L15859" s="43">
        <v>10.717285490871392</v>
      </c>
      <c r="M15859" s="43">
        <v>11.499949534710026</v>
      </c>
      <c r="N15859" s="43">
        <v>4.2323519571763129</v>
      </c>
      <c r="O15859" s="43">
        <v>10.713362068965518</v>
      </c>
      <c r="P15859" s="475"/>
      <c r="Q15859" s="475"/>
      <c r="R15859" s="475">
        <v>1</v>
      </c>
    </row>
    <row r="15860" spans="1:18" ht="24">
      <c r="A15860" s="471">
        <v>440</v>
      </c>
      <c r="B15860" s="468" t="s">
        <v>28445</v>
      </c>
      <c r="C15860" s="472" t="s">
        <v>28446</v>
      </c>
      <c r="D15860" s="473">
        <v>619.01</v>
      </c>
      <c r="E15860" s="473">
        <v>532.24</v>
      </c>
      <c r="F15860" s="473">
        <v>72.12</v>
      </c>
      <c r="G15860" s="473">
        <v>14.65</v>
      </c>
      <c r="H15860" s="474">
        <v>6584.31</v>
      </c>
      <c r="I15860" s="474">
        <v>6120.81</v>
      </c>
      <c r="J15860" s="474">
        <v>305.98</v>
      </c>
      <c r="K15860" s="474">
        <v>157.52000000000001</v>
      </c>
      <c r="L15860" s="43">
        <v>10.636839469475454</v>
      </c>
      <c r="M15860" s="43">
        <v>11.500093942582295</v>
      </c>
      <c r="N15860" s="43">
        <v>4.2426511369938993</v>
      </c>
      <c r="O15860" s="43">
        <v>10.75221843003413</v>
      </c>
      <c r="P15860" s="475"/>
      <c r="Q15860" s="475"/>
      <c r="R15860" s="475">
        <v>1</v>
      </c>
    </row>
    <row r="15861" spans="1:18" ht="12.75" customHeight="1">
      <c r="A15861" s="628" t="s">
        <v>28447</v>
      </c>
      <c r="B15861" s="629"/>
      <c r="C15861" s="629"/>
      <c r="D15861" s="629"/>
      <c r="E15861" s="629"/>
      <c r="F15861" s="629"/>
      <c r="G15861" s="629"/>
      <c r="H15861" s="629"/>
      <c r="I15861" s="629"/>
      <c r="J15861" s="629"/>
      <c r="K15861" s="629"/>
      <c r="L15861" s="629"/>
      <c r="M15861" s="629"/>
      <c r="N15861" s="629"/>
      <c r="O15861" s="629"/>
      <c r="P15861" s="629"/>
      <c r="Q15861" s="629"/>
      <c r="R15861" s="629"/>
    </row>
    <row r="15862" spans="1:18" ht="12.75" customHeight="1">
      <c r="A15862" s="628" t="s">
        <v>28448</v>
      </c>
      <c r="B15862" s="629"/>
      <c r="C15862" s="629"/>
      <c r="D15862" s="629"/>
      <c r="E15862" s="629"/>
      <c r="F15862" s="629"/>
      <c r="G15862" s="629"/>
      <c r="H15862" s="629"/>
      <c r="I15862" s="629"/>
      <c r="J15862" s="629"/>
      <c r="K15862" s="629"/>
      <c r="L15862" s="629"/>
      <c r="M15862" s="629"/>
      <c r="N15862" s="629"/>
      <c r="O15862" s="629"/>
      <c r="P15862" s="629"/>
      <c r="Q15862" s="629"/>
      <c r="R15862" s="629"/>
    </row>
    <row r="15863" spans="1:18" ht="24">
      <c r="A15863" s="471">
        <v>441</v>
      </c>
      <c r="B15863" s="468" t="s">
        <v>28449</v>
      </c>
      <c r="C15863" s="472" t="s">
        <v>28450</v>
      </c>
      <c r="D15863" s="473">
        <v>238.08</v>
      </c>
      <c r="E15863" s="473">
        <v>183.42</v>
      </c>
      <c r="F15863" s="473">
        <v>49.83</v>
      </c>
      <c r="G15863" s="473">
        <v>4.83</v>
      </c>
      <c r="H15863" s="474">
        <v>2428.19</v>
      </c>
      <c r="I15863" s="474">
        <v>2109.42</v>
      </c>
      <c r="J15863" s="474">
        <v>266.43</v>
      </c>
      <c r="K15863" s="474">
        <v>52.34</v>
      </c>
      <c r="L15863" s="43">
        <v>10.199050739247312</v>
      </c>
      <c r="M15863" s="43">
        <v>11.500490677134447</v>
      </c>
      <c r="N15863" s="43">
        <v>5.3467790487658045</v>
      </c>
      <c r="O15863" s="43">
        <v>10.836438923395447</v>
      </c>
      <c r="P15863" s="475"/>
      <c r="Q15863" s="475"/>
      <c r="R15863" s="475">
        <v>1</v>
      </c>
    </row>
    <row r="15864" spans="1:18" ht="24">
      <c r="A15864" s="471">
        <v>442</v>
      </c>
      <c r="B15864" s="468" t="s">
        <v>28451</v>
      </c>
      <c r="C15864" s="472" t="s">
        <v>28452</v>
      </c>
      <c r="D15864" s="473">
        <v>592.65</v>
      </c>
      <c r="E15864" s="473">
        <v>531.48</v>
      </c>
      <c r="F15864" s="473">
        <v>50.2</v>
      </c>
      <c r="G15864" s="473">
        <v>10.97</v>
      </c>
      <c r="H15864" s="474">
        <v>6449.02</v>
      </c>
      <c r="I15864" s="474">
        <v>6112.02</v>
      </c>
      <c r="J15864" s="474">
        <v>211.77</v>
      </c>
      <c r="K15864" s="474">
        <v>125.23</v>
      </c>
      <c r="L15864" s="43">
        <v>10.881667088500803</v>
      </c>
      <c r="M15864" s="43">
        <v>11.5</v>
      </c>
      <c r="N15864" s="43">
        <v>4.2185258964143424</v>
      </c>
      <c r="O15864" s="43">
        <v>11.415679124886053</v>
      </c>
      <c r="P15864" s="475"/>
      <c r="Q15864" s="475"/>
      <c r="R15864" s="475">
        <v>1</v>
      </c>
    </row>
    <row r="15865" spans="1:18" ht="24">
      <c r="A15865" s="471">
        <v>443</v>
      </c>
      <c r="B15865" s="468" t="s">
        <v>28453</v>
      </c>
      <c r="C15865" s="472" t="s">
        <v>28454</v>
      </c>
      <c r="D15865" s="473">
        <v>211.66</v>
      </c>
      <c r="E15865" s="473">
        <v>202.27</v>
      </c>
      <c r="F15865" s="473">
        <v>3.44</v>
      </c>
      <c r="G15865" s="473">
        <v>5.95</v>
      </c>
      <c r="H15865" s="474">
        <v>2404.13</v>
      </c>
      <c r="I15865" s="474">
        <v>2326.13</v>
      </c>
      <c r="J15865" s="474">
        <v>14.73</v>
      </c>
      <c r="K15865" s="474">
        <v>63.27</v>
      </c>
      <c r="L15865" s="43">
        <v>11.358452234716054</v>
      </c>
      <c r="M15865" s="43">
        <v>11.500123597172097</v>
      </c>
      <c r="N15865" s="43">
        <v>4.2819767441860463</v>
      </c>
      <c r="O15865" s="43">
        <v>10.633613445378151</v>
      </c>
      <c r="P15865" s="475"/>
      <c r="Q15865" s="475"/>
      <c r="R15865" s="475">
        <v>1</v>
      </c>
    </row>
    <row r="15866" spans="1:18" ht="24">
      <c r="A15866" s="471">
        <v>444</v>
      </c>
      <c r="B15866" s="468" t="s">
        <v>28455</v>
      </c>
      <c r="C15866" s="472" t="s">
        <v>28456</v>
      </c>
      <c r="D15866" s="473">
        <v>538.41999999999996</v>
      </c>
      <c r="E15866" s="473">
        <v>473.38</v>
      </c>
      <c r="F15866" s="473">
        <v>52.51</v>
      </c>
      <c r="G15866" s="473">
        <v>12.53</v>
      </c>
      <c r="H15866" s="474">
        <v>5801.35</v>
      </c>
      <c r="I15866" s="474">
        <v>5444.11</v>
      </c>
      <c r="J15866" s="474">
        <v>221.51</v>
      </c>
      <c r="K15866" s="474">
        <v>135.72999999999999</v>
      </c>
      <c r="L15866" s="43">
        <v>10.774766910590246</v>
      </c>
      <c r="M15866" s="43">
        <v>11.500506992268367</v>
      </c>
      <c r="N15866" s="43">
        <v>4.2184345838887829</v>
      </c>
      <c r="O15866" s="43">
        <v>10.832402234636872</v>
      </c>
      <c r="P15866" s="475"/>
      <c r="Q15866" s="475"/>
      <c r="R15866" s="475">
        <v>1</v>
      </c>
    </row>
    <row r="15867" spans="1:18" ht="24">
      <c r="A15867" s="471">
        <v>445</v>
      </c>
      <c r="B15867" s="468" t="s">
        <v>28457</v>
      </c>
      <c r="C15867" s="472" t="s">
        <v>28458</v>
      </c>
      <c r="D15867" s="473">
        <v>1053.6600000000001</v>
      </c>
      <c r="E15867" s="473">
        <v>695.1</v>
      </c>
      <c r="F15867" s="473">
        <v>36.72</v>
      </c>
      <c r="G15867" s="473">
        <v>321.83999999999997</v>
      </c>
      <c r="H15867" s="474">
        <v>9481.82</v>
      </c>
      <c r="I15867" s="474">
        <v>7994</v>
      </c>
      <c r="J15867" s="474">
        <v>155.79</v>
      </c>
      <c r="K15867" s="474">
        <v>1332.03</v>
      </c>
      <c r="L15867" s="43">
        <v>8.9989370385133718</v>
      </c>
      <c r="M15867" s="43">
        <v>11.500503524672709</v>
      </c>
      <c r="N15867" s="43">
        <v>4.242647058823529</v>
      </c>
      <c r="O15867" s="43">
        <v>4.1387956748695007</v>
      </c>
      <c r="P15867" s="475"/>
      <c r="Q15867" s="475"/>
      <c r="R15867" s="475">
        <v>1</v>
      </c>
    </row>
    <row r="15868" spans="1:18" ht="24">
      <c r="A15868" s="471">
        <v>446</v>
      </c>
      <c r="B15868" s="468" t="s">
        <v>28459</v>
      </c>
      <c r="C15868" s="472" t="s">
        <v>28460</v>
      </c>
      <c r="D15868" s="473">
        <v>238.14</v>
      </c>
      <c r="E15868" s="473">
        <v>228.26</v>
      </c>
      <c r="F15868" s="473">
        <v>4.1500000000000004</v>
      </c>
      <c r="G15868" s="473">
        <v>5.73</v>
      </c>
      <c r="H15868" s="474">
        <v>2705.45</v>
      </c>
      <c r="I15868" s="474">
        <v>2624.99</v>
      </c>
      <c r="J15868" s="474">
        <v>17.77</v>
      </c>
      <c r="K15868" s="474">
        <v>62.69</v>
      </c>
      <c r="L15868" s="43">
        <v>11.360754178214496</v>
      </c>
      <c r="M15868" s="43">
        <v>11.5</v>
      </c>
      <c r="N15868" s="43">
        <v>4.2819277108433731</v>
      </c>
      <c r="O15868" s="43">
        <v>10.94066317626527</v>
      </c>
      <c r="P15868" s="475"/>
      <c r="Q15868" s="475"/>
      <c r="R15868" s="475">
        <v>1</v>
      </c>
    </row>
    <row r="15869" spans="1:18" ht="24">
      <c r="A15869" s="471">
        <v>447</v>
      </c>
      <c r="B15869" s="468" t="s">
        <v>28461</v>
      </c>
      <c r="C15869" s="472" t="s">
        <v>28462</v>
      </c>
      <c r="D15869" s="473">
        <v>213.92</v>
      </c>
      <c r="E15869" s="473">
        <v>208.06</v>
      </c>
      <c r="F15869" s="473">
        <v>1.02</v>
      </c>
      <c r="G15869" s="473">
        <v>4.84</v>
      </c>
      <c r="H15869" s="474">
        <v>2450.81</v>
      </c>
      <c r="I15869" s="474">
        <v>2392.69</v>
      </c>
      <c r="J15869" s="474">
        <v>4.32</v>
      </c>
      <c r="K15869" s="474">
        <v>53.8</v>
      </c>
      <c r="L15869" s="43">
        <v>11.456666043380704</v>
      </c>
      <c r="M15869" s="43">
        <v>11.5</v>
      </c>
      <c r="N15869" s="43">
        <v>4.2352941176470589</v>
      </c>
      <c r="O15869" s="43">
        <v>11.115702479338843</v>
      </c>
      <c r="P15869" s="475"/>
      <c r="Q15869" s="475"/>
      <c r="R15869" s="475">
        <v>1</v>
      </c>
    </row>
    <row r="15870" spans="1:18" ht="24">
      <c r="A15870" s="471">
        <v>448</v>
      </c>
      <c r="B15870" s="468" t="s">
        <v>28463</v>
      </c>
      <c r="C15870" s="472" t="s">
        <v>28464</v>
      </c>
      <c r="D15870" s="473">
        <v>225.62</v>
      </c>
      <c r="E15870" s="473">
        <v>218.16</v>
      </c>
      <c r="F15870" s="473">
        <v>2.69</v>
      </c>
      <c r="G15870" s="473">
        <v>4.7699999999999996</v>
      </c>
      <c r="H15870" s="474">
        <v>2574.09</v>
      </c>
      <c r="I15870" s="474">
        <v>2508.84</v>
      </c>
      <c r="J15870" s="474">
        <v>11.53</v>
      </c>
      <c r="K15870" s="474">
        <v>53.72</v>
      </c>
      <c r="L15870" s="43">
        <v>11.408961971456431</v>
      </c>
      <c r="M15870" s="43">
        <v>11.5</v>
      </c>
      <c r="N15870" s="43">
        <v>4.2862453531598508</v>
      </c>
      <c r="O15870" s="43">
        <v>11.262054507337528</v>
      </c>
      <c r="P15870" s="475"/>
      <c r="Q15870" s="475"/>
      <c r="R15870" s="475">
        <v>1</v>
      </c>
    </row>
    <row r="15871" spans="1:18" ht="24">
      <c r="A15871" s="471">
        <v>449</v>
      </c>
      <c r="B15871" s="468" t="s">
        <v>28465</v>
      </c>
      <c r="C15871" s="472" t="s">
        <v>28466</v>
      </c>
      <c r="D15871" s="473">
        <v>138</v>
      </c>
      <c r="E15871" s="473">
        <v>131.19</v>
      </c>
      <c r="F15871" s="473">
        <v>1.2</v>
      </c>
      <c r="G15871" s="473">
        <v>5.61</v>
      </c>
      <c r="H15871" s="474">
        <v>1570.5</v>
      </c>
      <c r="I15871" s="474">
        <v>1508.71</v>
      </c>
      <c r="J15871" s="474">
        <v>5.44</v>
      </c>
      <c r="K15871" s="474">
        <v>56.35</v>
      </c>
      <c r="L15871" s="43">
        <v>11.380434782608695</v>
      </c>
      <c r="M15871" s="43">
        <v>11.50019056330513</v>
      </c>
      <c r="N15871" s="43">
        <v>4.5333333333333341</v>
      </c>
      <c r="O15871" s="43">
        <v>10.044563279857398</v>
      </c>
      <c r="P15871" s="475"/>
      <c r="Q15871" s="475"/>
      <c r="R15871" s="475">
        <v>1</v>
      </c>
    </row>
    <row r="15872" spans="1:18" ht="24">
      <c r="A15872" s="471">
        <v>450</v>
      </c>
      <c r="B15872" s="468" t="s">
        <v>28467</v>
      </c>
      <c r="C15872" s="472" t="s">
        <v>28468</v>
      </c>
      <c r="D15872" s="473">
        <v>160.52000000000001</v>
      </c>
      <c r="E15872" s="473">
        <v>152.35</v>
      </c>
      <c r="F15872" s="473">
        <v>3.76</v>
      </c>
      <c r="G15872" s="473">
        <v>4.41</v>
      </c>
      <c r="H15872" s="474">
        <v>1816.02</v>
      </c>
      <c r="I15872" s="474">
        <v>1752.05</v>
      </c>
      <c r="J15872" s="474">
        <v>16.97</v>
      </c>
      <c r="K15872" s="474">
        <v>47</v>
      </c>
      <c r="L15872" s="43">
        <v>11.313356591078993</v>
      </c>
      <c r="M15872" s="43">
        <v>11.500164095831966</v>
      </c>
      <c r="N15872" s="43">
        <v>4.5132978723404253</v>
      </c>
      <c r="O15872" s="43">
        <v>10.657596371882086</v>
      </c>
      <c r="P15872" s="475"/>
      <c r="Q15872" s="475"/>
      <c r="R15872" s="475">
        <v>1</v>
      </c>
    </row>
    <row r="15873" spans="1:18" ht="24">
      <c r="A15873" s="471">
        <v>451</v>
      </c>
      <c r="B15873" s="468" t="s">
        <v>28469</v>
      </c>
      <c r="C15873" s="472" t="s">
        <v>28470</v>
      </c>
      <c r="D15873" s="473">
        <v>191.86</v>
      </c>
      <c r="E15873" s="473">
        <v>186.85</v>
      </c>
      <c r="F15873" s="473">
        <v>0.86</v>
      </c>
      <c r="G15873" s="473">
        <v>4.1500000000000004</v>
      </c>
      <c r="H15873" s="474">
        <v>2199.02</v>
      </c>
      <c r="I15873" s="474">
        <v>2148.7800000000002</v>
      </c>
      <c r="J15873" s="474">
        <v>3.65</v>
      </c>
      <c r="K15873" s="474">
        <v>46.59</v>
      </c>
      <c r="L15873" s="43">
        <v>11.461586573543208</v>
      </c>
      <c r="M15873" s="43">
        <v>11.500026759432702</v>
      </c>
      <c r="N15873" s="43">
        <v>4.2441860465116275</v>
      </c>
      <c r="O15873" s="43">
        <v>11.226506024096386</v>
      </c>
      <c r="P15873" s="475"/>
      <c r="Q15873" s="475"/>
      <c r="R15873" s="475">
        <v>1</v>
      </c>
    </row>
    <row r="15874" spans="1:18" ht="24">
      <c r="A15874" s="471">
        <v>452</v>
      </c>
      <c r="B15874" s="468" t="s">
        <v>28471</v>
      </c>
      <c r="C15874" s="472" t="s">
        <v>28472</v>
      </c>
      <c r="D15874" s="473">
        <v>832.14</v>
      </c>
      <c r="E15874" s="473">
        <v>722.92</v>
      </c>
      <c r="F15874" s="473">
        <v>92.86</v>
      </c>
      <c r="G15874" s="473">
        <v>16.36</v>
      </c>
      <c r="H15874" s="474">
        <v>8888.6299999999992</v>
      </c>
      <c r="I15874" s="474">
        <v>8313.94</v>
      </c>
      <c r="J15874" s="474">
        <v>391.71</v>
      </c>
      <c r="K15874" s="474">
        <v>182.98</v>
      </c>
      <c r="L15874" s="43">
        <v>10.681652125844208</v>
      </c>
      <c r="M15874" s="43">
        <v>11.500497980412772</v>
      </c>
      <c r="N15874" s="43">
        <v>4.2182855912125783</v>
      </c>
      <c r="O15874" s="43">
        <v>11.184596577017114</v>
      </c>
      <c r="P15874" s="475"/>
      <c r="Q15874" s="475"/>
      <c r="R15874" s="475">
        <v>1</v>
      </c>
    </row>
    <row r="15875" spans="1:18" ht="12.75" customHeight="1">
      <c r="A15875" s="628" t="s">
        <v>28473</v>
      </c>
      <c r="B15875" s="629"/>
      <c r="C15875" s="629"/>
      <c r="D15875" s="629"/>
      <c r="E15875" s="629"/>
      <c r="F15875" s="629"/>
      <c r="G15875" s="629"/>
      <c r="H15875" s="629"/>
      <c r="I15875" s="629"/>
      <c r="J15875" s="629"/>
      <c r="K15875" s="629"/>
      <c r="L15875" s="629"/>
      <c r="M15875" s="629"/>
      <c r="N15875" s="629"/>
      <c r="O15875" s="629"/>
      <c r="P15875" s="629"/>
      <c r="Q15875" s="629"/>
      <c r="R15875" s="629"/>
    </row>
    <row r="15876" spans="1:18" ht="12.75" customHeight="1">
      <c r="A15876" s="628" t="s">
        <v>28474</v>
      </c>
      <c r="B15876" s="629"/>
      <c r="C15876" s="629"/>
      <c r="D15876" s="629"/>
      <c r="E15876" s="629"/>
      <c r="F15876" s="629"/>
      <c r="G15876" s="629"/>
      <c r="H15876" s="629"/>
      <c r="I15876" s="629"/>
      <c r="J15876" s="629"/>
      <c r="K15876" s="629"/>
      <c r="L15876" s="629"/>
      <c r="M15876" s="629"/>
      <c r="N15876" s="629"/>
      <c r="O15876" s="629"/>
      <c r="P15876" s="629"/>
      <c r="Q15876" s="629"/>
      <c r="R15876" s="629"/>
    </row>
    <row r="15877" spans="1:18" ht="24">
      <c r="A15877" s="471">
        <v>453</v>
      </c>
      <c r="B15877" s="468" t="s">
        <v>28475</v>
      </c>
      <c r="C15877" s="472" t="s">
        <v>28476</v>
      </c>
      <c r="D15877" s="473">
        <v>207.48</v>
      </c>
      <c r="E15877" s="473">
        <v>202</v>
      </c>
      <c r="F15877" s="473">
        <v>0.76</v>
      </c>
      <c r="G15877" s="473">
        <v>4.72</v>
      </c>
      <c r="H15877" s="474">
        <v>2378.66</v>
      </c>
      <c r="I15877" s="474">
        <v>2323</v>
      </c>
      <c r="J15877" s="474">
        <v>3.24</v>
      </c>
      <c r="K15877" s="474">
        <v>52.42</v>
      </c>
      <c r="L15877" s="43">
        <v>11.464526701368806</v>
      </c>
      <c r="M15877" s="43">
        <v>11.5</v>
      </c>
      <c r="N15877" s="43">
        <v>4.2631578947368425</v>
      </c>
      <c r="O15877" s="43">
        <v>11.105932203389832</v>
      </c>
      <c r="P15877" s="475"/>
      <c r="Q15877" s="475"/>
      <c r="R15877" s="475">
        <v>1</v>
      </c>
    </row>
    <row r="15878" spans="1:18" ht="24">
      <c r="A15878" s="471">
        <v>454</v>
      </c>
      <c r="B15878" s="468" t="s">
        <v>28477</v>
      </c>
      <c r="C15878" s="472" t="s">
        <v>28478</v>
      </c>
      <c r="D15878" s="473">
        <v>566.11</v>
      </c>
      <c r="E15878" s="473">
        <v>543.4</v>
      </c>
      <c r="F15878" s="473">
        <v>10.68</v>
      </c>
      <c r="G15878" s="473">
        <v>12.03</v>
      </c>
      <c r="H15878" s="474">
        <v>6429.74</v>
      </c>
      <c r="I15878" s="474">
        <v>6249.36</v>
      </c>
      <c r="J15878" s="474">
        <v>45.24</v>
      </c>
      <c r="K15878" s="474">
        <v>135.13999999999999</v>
      </c>
      <c r="L15878" s="43">
        <v>11.357757326314672</v>
      </c>
      <c r="M15878" s="43">
        <v>11.500478468899521</v>
      </c>
      <c r="N15878" s="43">
        <v>4.2359550561797752</v>
      </c>
      <c r="O15878" s="43">
        <v>11.233582709891936</v>
      </c>
      <c r="P15878" s="475"/>
      <c r="Q15878" s="475"/>
      <c r="R15878" s="475">
        <v>1</v>
      </c>
    </row>
    <row r="15879" spans="1:18" ht="24">
      <c r="A15879" s="471">
        <v>455</v>
      </c>
      <c r="B15879" s="468" t="s">
        <v>28479</v>
      </c>
      <c r="C15879" s="472" t="s">
        <v>28480</v>
      </c>
      <c r="D15879" s="473">
        <v>511.08</v>
      </c>
      <c r="E15879" s="473">
        <v>476.1</v>
      </c>
      <c r="F15879" s="473">
        <v>23.15</v>
      </c>
      <c r="G15879" s="473">
        <v>11.83</v>
      </c>
      <c r="H15879" s="474">
        <v>5703.99</v>
      </c>
      <c r="I15879" s="474">
        <v>5475.15</v>
      </c>
      <c r="J15879" s="474">
        <v>99.1</v>
      </c>
      <c r="K15879" s="474">
        <v>129.74</v>
      </c>
      <c r="L15879" s="43">
        <v>11.160659779290913</v>
      </c>
      <c r="M15879" s="43">
        <v>11.499999999999998</v>
      </c>
      <c r="N15879" s="43">
        <v>4.2807775377969763</v>
      </c>
      <c r="O15879" s="43">
        <v>10.967032967032967</v>
      </c>
      <c r="P15879" s="475"/>
      <c r="Q15879" s="475"/>
      <c r="R15879" s="475">
        <v>1</v>
      </c>
    </row>
    <row r="15880" spans="1:18" ht="24">
      <c r="A15880" s="471">
        <v>456</v>
      </c>
      <c r="B15880" s="468" t="s">
        <v>28481</v>
      </c>
      <c r="C15880" s="472" t="s">
        <v>28482</v>
      </c>
      <c r="D15880" s="473">
        <v>419.13</v>
      </c>
      <c r="E15880" s="473">
        <v>357.72</v>
      </c>
      <c r="F15880" s="473">
        <v>51.13</v>
      </c>
      <c r="G15880" s="473">
        <v>10.28</v>
      </c>
      <c r="H15880" s="474">
        <v>4439.1000000000004</v>
      </c>
      <c r="I15880" s="474">
        <v>4113.78</v>
      </c>
      <c r="J15880" s="474">
        <v>215.67</v>
      </c>
      <c r="K15880" s="474">
        <v>109.65</v>
      </c>
      <c r="L15880" s="43">
        <v>10.591224679693653</v>
      </c>
      <c r="M15880" s="43">
        <v>11.499999999999998</v>
      </c>
      <c r="N15880" s="43">
        <v>4.218071582241345</v>
      </c>
      <c r="O15880" s="43">
        <v>10.666342412451364</v>
      </c>
      <c r="P15880" s="475"/>
      <c r="Q15880" s="475"/>
      <c r="R15880" s="475">
        <v>1</v>
      </c>
    </row>
    <row r="15881" spans="1:18" ht="24">
      <c r="A15881" s="471">
        <v>457</v>
      </c>
      <c r="B15881" s="468" t="s">
        <v>28483</v>
      </c>
      <c r="C15881" s="472" t="s">
        <v>28484</v>
      </c>
      <c r="D15881" s="473">
        <v>1667.29</v>
      </c>
      <c r="E15881" s="473">
        <v>1467.27</v>
      </c>
      <c r="F15881" s="473">
        <v>148.91</v>
      </c>
      <c r="G15881" s="473">
        <v>51.11</v>
      </c>
      <c r="H15881" s="474">
        <v>18246.150000000001</v>
      </c>
      <c r="I15881" s="474">
        <v>16874.29</v>
      </c>
      <c r="J15881" s="474">
        <v>843.61</v>
      </c>
      <c r="K15881" s="474">
        <v>528.25</v>
      </c>
      <c r="L15881" s="43">
        <v>10.943597094686588</v>
      </c>
      <c r="M15881" s="43">
        <v>11.50046685340803</v>
      </c>
      <c r="N15881" s="43">
        <v>5.6652340339802567</v>
      </c>
      <c r="O15881" s="43">
        <v>10.335550772842888</v>
      </c>
      <c r="P15881" s="475"/>
      <c r="Q15881" s="475"/>
      <c r="R15881" s="475">
        <v>1</v>
      </c>
    </row>
    <row r="15882" spans="1:18" ht="24">
      <c r="A15882" s="471">
        <v>458</v>
      </c>
      <c r="B15882" s="468" t="s">
        <v>28485</v>
      </c>
      <c r="C15882" s="472" t="s">
        <v>28486</v>
      </c>
      <c r="D15882" s="473">
        <v>1162.94</v>
      </c>
      <c r="E15882" s="473">
        <v>869.65</v>
      </c>
      <c r="F15882" s="473">
        <v>240.2</v>
      </c>
      <c r="G15882" s="473">
        <v>53.09</v>
      </c>
      <c r="H15882" s="474">
        <v>11909.31</v>
      </c>
      <c r="I15882" s="474">
        <v>10001.4</v>
      </c>
      <c r="J15882" s="474">
        <v>1395.02</v>
      </c>
      <c r="K15882" s="474">
        <v>512.89</v>
      </c>
      <c r="L15882" s="43">
        <v>10.240691695186337</v>
      </c>
      <c r="M15882" s="43">
        <v>11.50048870235152</v>
      </c>
      <c r="N15882" s="43">
        <v>5.8077435470441303</v>
      </c>
      <c r="O15882" s="43">
        <v>9.6607647391222446</v>
      </c>
      <c r="P15882" s="475"/>
      <c r="Q15882" s="475"/>
      <c r="R15882" s="475">
        <v>1</v>
      </c>
    </row>
    <row r="15883" spans="1:18" ht="24">
      <c r="A15883" s="471">
        <v>459</v>
      </c>
      <c r="B15883" s="468" t="s">
        <v>28487</v>
      </c>
      <c r="C15883" s="472" t="s">
        <v>28488</v>
      </c>
      <c r="D15883" s="473">
        <v>4398.3500000000004</v>
      </c>
      <c r="E15883" s="473">
        <v>3748.5</v>
      </c>
      <c r="F15883" s="473">
        <v>549.45000000000005</v>
      </c>
      <c r="G15883" s="473">
        <v>100.4</v>
      </c>
      <c r="H15883" s="474">
        <v>47174.82</v>
      </c>
      <c r="I15883" s="474">
        <v>43109.5</v>
      </c>
      <c r="J15883" s="474">
        <v>2980.26</v>
      </c>
      <c r="K15883" s="474">
        <v>1085.06</v>
      </c>
      <c r="L15883" s="43">
        <v>10.725572089533575</v>
      </c>
      <c r="M15883" s="43">
        <v>11.50046685340803</v>
      </c>
      <c r="N15883" s="43">
        <v>5.4240786240786241</v>
      </c>
      <c r="O15883" s="43">
        <v>10.807370517928286</v>
      </c>
      <c r="P15883" s="475"/>
      <c r="Q15883" s="475"/>
      <c r="R15883" s="475">
        <v>1</v>
      </c>
    </row>
    <row r="15884" spans="1:18" ht="24">
      <c r="A15884" s="471">
        <v>460</v>
      </c>
      <c r="B15884" s="468" t="s">
        <v>28489</v>
      </c>
      <c r="C15884" s="472" t="s">
        <v>28490</v>
      </c>
      <c r="D15884" s="473">
        <v>703</v>
      </c>
      <c r="E15884" s="473">
        <v>610.47</v>
      </c>
      <c r="F15884" s="473">
        <v>78.010000000000005</v>
      </c>
      <c r="G15884" s="473">
        <v>14.52</v>
      </c>
      <c r="H15884" s="474">
        <v>7511.53</v>
      </c>
      <c r="I15884" s="474">
        <v>7020.69</v>
      </c>
      <c r="J15884" s="474">
        <v>330.16</v>
      </c>
      <c r="K15884" s="474">
        <v>160.68</v>
      </c>
      <c r="L15884" s="43">
        <v>10.684964438122332</v>
      </c>
      <c r="M15884" s="43">
        <v>11.500466853408028</v>
      </c>
      <c r="N15884" s="43">
        <v>4.2322779130880654</v>
      </c>
      <c r="O15884" s="43">
        <v>11.06611570247934</v>
      </c>
      <c r="P15884" s="475"/>
      <c r="Q15884" s="475"/>
      <c r="R15884" s="475">
        <v>1</v>
      </c>
    </row>
    <row r="15885" spans="1:18" ht="24">
      <c r="A15885" s="471">
        <v>461</v>
      </c>
      <c r="B15885" s="468" t="s">
        <v>28491</v>
      </c>
      <c r="C15885" s="472" t="s">
        <v>28492</v>
      </c>
      <c r="D15885" s="473">
        <v>1477.9</v>
      </c>
      <c r="E15885" s="473">
        <v>1248.44</v>
      </c>
      <c r="F15885" s="473">
        <v>200.41</v>
      </c>
      <c r="G15885" s="473">
        <v>29.05</v>
      </c>
      <c r="H15885" s="474">
        <v>15825.61</v>
      </c>
      <c r="I15885" s="474">
        <v>14357.06</v>
      </c>
      <c r="J15885" s="474">
        <v>1145.6300000000001</v>
      </c>
      <c r="K15885" s="474">
        <v>322.92</v>
      </c>
      <c r="L15885" s="43">
        <v>10.708173760064957</v>
      </c>
      <c r="M15885" s="43">
        <v>11.499999999999998</v>
      </c>
      <c r="N15885" s="43">
        <v>5.7164313158026054</v>
      </c>
      <c r="O15885" s="43">
        <v>11.116006884681584</v>
      </c>
      <c r="P15885" s="475"/>
      <c r="Q15885" s="475"/>
      <c r="R15885" s="475">
        <v>1</v>
      </c>
    </row>
    <row r="15886" spans="1:18" ht="24">
      <c r="A15886" s="471">
        <v>462</v>
      </c>
      <c r="B15886" s="468" t="s">
        <v>28493</v>
      </c>
      <c r="C15886" s="472" t="s">
        <v>28494</v>
      </c>
      <c r="D15886" s="473">
        <v>461.01</v>
      </c>
      <c r="E15886" s="473">
        <v>420.84</v>
      </c>
      <c r="F15886" s="473">
        <v>12.71</v>
      </c>
      <c r="G15886" s="473">
        <v>27.46</v>
      </c>
      <c r="H15886" s="474">
        <v>5156.96</v>
      </c>
      <c r="I15886" s="474">
        <v>4839.66</v>
      </c>
      <c r="J15886" s="474">
        <v>53.59</v>
      </c>
      <c r="K15886" s="474">
        <v>263.70999999999998</v>
      </c>
      <c r="L15886" s="43">
        <v>11.186221557016117</v>
      </c>
      <c r="M15886" s="43">
        <v>11.5</v>
      </c>
      <c r="N15886" s="43">
        <v>4.2163650668764756</v>
      </c>
      <c r="O15886" s="43">
        <v>9.6034231609613965</v>
      </c>
      <c r="P15886" s="475"/>
      <c r="Q15886" s="475"/>
      <c r="R15886" s="475">
        <v>1</v>
      </c>
    </row>
    <row r="15887" spans="1:18" ht="12.75" customHeight="1">
      <c r="A15887" s="628" t="s">
        <v>28495</v>
      </c>
      <c r="B15887" s="629"/>
      <c r="C15887" s="629"/>
      <c r="D15887" s="629"/>
      <c r="E15887" s="629"/>
      <c r="F15887" s="629"/>
      <c r="G15887" s="629"/>
      <c r="H15887" s="629"/>
      <c r="I15887" s="629"/>
      <c r="J15887" s="629"/>
      <c r="K15887" s="629"/>
      <c r="L15887" s="629"/>
      <c r="M15887" s="629"/>
      <c r="N15887" s="629"/>
      <c r="O15887" s="629"/>
      <c r="P15887" s="629"/>
      <c r="Q15887" s="629"/>
      <c r="R15887" s="629"/>
    </row>
    <row r="15888" spans="1:18" ht="12.75" customHeight="1">
      <c r="A15888" s="628" t="s">
        <v>28496</v>
      </c>
      <c r="B15888" s="629"/>
      <c r="C15888" s="629"/>
      <c r="D15888" s="629"/>
      <c r="E15888" s="629"/>
      <c r="F15888" s="629"/>
      <c r="G15888" s="629"/>
      <c r="H15888" s="629"/>
      <c r="I15888" s="629"/>
      <c r="J15888" s="629"/>
      <c r="K15888" s="629"/>
      <c r="L15888" s="629"/>
      <c r="M15888" s="629"/>
      <c r="N15888" s="629"/>
      <c r="O15888" s="629"/>
      <c r="P15888" s="629"/>
      <c r="Q15888" s="629"/>
      <c r="R15888" s="629"/>
    </row>
    <row r="15889" spans="1:18" ht="24">
      <c r="A15889" s="471">
        <v>463</v>
      </c>
      <c r="B15889" s="468" t="s">
        <v>28497</v>
      </c>
      <c r="C15889" s="472" t="s">
        <v>28498</v>
      </c>
      <c r="D15889" s="473">
        <v>110.74</v>
      </c>
      <c r="E15889" s="473">
        <v>94.52</v>
      </c>
      <c r="F15889" s="473">
        <v>14.13</v>
      </c>
      <c r="G15889" s="473">
        <v>2.09</v>
      </c>
      <c r="H15889" s="474">
        <v>1183.8399999999999</v>
      </c>
      <c r="I15889" s="474">
        <v>1087.04</v>
      </c>
      <c r="J15889" s="474">
        <v>73.27</v>
      </c>
      <c r="K15889" s="474">
        <v>23.53</v>
      </c>
      <c r="L15889" s="43">
        <v>10.690265486725664</v>
      </c>
      <c r="M15889" s="43">
        <v>11.500634786288616</v>
      </c>
      <c r="N15889" s="43">
        <v>5.1854210898796884</v>
      </c>
      <c r="O15889" s="43">
        <v>11.258373205741629</v>
      </c>
      <c r="P15889" s="475"/>
      <c r="Q15889" s="475"/>
      <c r="R15889" s="475">
        <v>1</v>
      </c>
    </row>
    <row r="15890" spans="1:18" ht="24">
      <c r="A15890" s="471">
        <v>464</v>
      </c>
      <c r="B15890" s="468" t="s">
        <v>28499</v>
      </c>
      <c r="C15890" s="472" t="s">
        <v>28500</v>
      </c>
      <c r="D15890" s="473">
        <v>352.57</v>
      </c>
      <c r="E15890" s="473">
        <v>323.95</v>
      </c>
      <c r="F15890" s="473">
        <v>21.73</v>
      </c>
      <c r="G15890" s="473">
        <v>6.89</v>
      </c>
      <c r="H15890" s="474">
        <v>3896.7</v>
      </c>
      <c r="I15890" s="474">
        <v>3725.58</v>
      </c>
      <c r="J15890" s="474">
        <v>93.02</v>
      </c>
      <c r="K15890" s="474">
        <v>78.099999999999994</v>
      </c>
      <c r="L15890" s="43">
        <v>11.052273307428312</v>
      </c>
      <c r="M15890" s="43">
        <v>11.500478468899521</v>
      </c>
      <c r="N15890" s="43">
        <v>4.2807179015186376</v>
      </c>
      <c r="O15890" s="43">
        <v>11.335268505079826</v>
      </c>
      <c r="P15890" s="475"/>
      <c r="Q15890" s="475"/>
      <c r="R15890" s="475">
        <v>1</v>
      </c>
    </row>
    <row r="15891" spans="1:18" ht="24">
      <c r="A15891" s="471">
        <v>465</v>
      </c>
      <c r="B15891" s="468" t="s">
        <v>28501</v>
      </c>
      <c r="C15891" s="472" t="s">
        <v>28502</v>
      </c>
      <c r="D15891" s="473">
        <v>148.86000000000001</v>
      </c>
      <c r="E15891" s="473">
        <v>144.47999999999999</v>
      </c>
      <c r="F15891" s="473">
        <v>1.08</v>
      </c>
      <c r="G15891" s="473">
        <v>3.3</v>
      </c>
      <c r="H15891" s="474">
        <v>1703.23</v>
      </c>
      <c r="I15891" s="474">
        <v>1661.52</v>
      </c>
      <c r="J15891" s="474">
        <v>4.8899999999999997</v>
      </c>
      <c r="K15891" s="474">
        <v>36.82</v>
      </c>
      <c r="L15891" s="43">
        <v>11.441824533118366</v>
      </c>
      <c r="M15891" s="43">
        <v>11.5</v>
      </c>
      <c r="N15891" s="43">
        <v>4.5277777777777768</v>
      </c>
      <c r="O15891" s="43">
        <v>11.157575757575758</v>
      </c>
      <c r="P15891" s="475"/>
      <c r="Q15891" s="475"/>
      <c r="R15891" s="475">
        <v>1</v>
      </c>
    </row>
    <row r="15892" spans="1:18" ht="24">
      <c r="A15892" s="471">
        <v>466</v>
      </c>
      <c r="B15892" s="468" t="s">
        <v>28503</v>
      </c>
      <c r="C15892" s="472" t="s">
        <v>28504</v>
      </c>
      <c r="D15892" s="473">
        <v>364.01</v>
      </c>
      <c r="E15892" s="473">
        <v>334.4</v>
      </c>
      <c r="F15892" s="473">
        <v>22.51</v>
      </c>
      <c r="G15892" s="473">
        <v>7.1</v>
      </c>
      <c r="H15892" s="474">
        <v>4022.66</v>
      </c>
      <c r="I15892" s="474">
        <v>3845.76</v>
      </c>
      <c r="J15892" s="474">
        <v>96.38</v>
      </c>
      <c r="K15892" s="474">
        <v>80.52</v>
      </c>
      <c r="L15892" s="43">
        <v>11.050960138457734</v>
      </c>
      <c r="M15892" s="43">
        <v>11.500478468899523</v>
      </c>
      <c r="N15892" s="43">
        <v>4.281652598844957</v>
      </c>
      <c r="O15892" s="43">
        <v>11.340845070422535</v>
      </c>
      <c r="P15892" s="475"/>
      <c r="Q15892" s="475"/>
      <c r="R15892" s="475">
        <v>1</v>
      </c>
    </row>
    <row r="15893" spans="1:18" ht="24">
      <c r="A15893" s="471">
        <v>467</v>
      </c>
      <c r="B15893" s="468" t="s">
        <v>28505</v>
      </c>
      <c r="C15893" s="472" t="s">
        <v>28506</v>
      </c>
      <c r="D15893" s="473">
        <v>170.32</v>
      </c>
      <c r="E15893" s="473">
        <v>165.12</v>
      </c>
      <c r="F15893" s="473">
        <v>1.08</v>
      </c>
      <c r="G15893" s="473">
        <v>4.12</v>
      </c>
      <c r="H15893" s="474">
        <v>1948.87</v>
      </c>
      <c r="I15893" s="474">
        <v>1898.88</v>
      </c>
      <c r="J15893" s="474">
        <v>4.8899999999999997</v>
      </c>
      <c r="K15893" s="474">
        <v>45.1</v>
      </c>
      <c r="L15893" s="43">
        <v>11.442402536402067</v>
      </c>
      <c r="M15893" s="43">
        <v>11.5</v>
      </c>
      <c r="N15893" s="43">
        <v>4.5277777777777768</v>
      </c>
      <c r="O15893" s="43">
        <v>10.946601941747574</v>
      </c>
      <c r="P15893" s="475"/>
      <c r="Q15893" s="475"/>
      <c r="R15893" s="475">
        <v>1</v>
      </c>
    </row>
    <row r="15894" spans="1:18" ht="24">
      <c r="A15894" s="471">
        <v>468</v>
      </c>
      <c r="B15894" s="468" t="s">
        <v>28507</v>
      </c>
      <c r="C15894" s="472" t="s">
        <v>28508</v>
      </c>
      <c r="D15894" s="473">
        <v>216.58</v>
      </c>
      <c r="E15894" s="473">
        <v>206.4</v>
      </c>
      <c r="F15894" s="473">
        <v>3.74</v>
      </c>
      <c r="G15894" s="473">
        <v>6.44</v>
      </c>
      <c r="H15894" s="474">
        <v>2457.37</v>
      </c>
      <c r="I15894" s="474">
        <v>2373.6</v>
      </c>
      <c r="J15894" s="474">
        <v>16.010000000000002</v>
      </c>
      <c r="K15894" s="474">
        <v>67.760000000000005</v>
      </c>
      <c r="L15894" s="43">
        <v>11.346246190784004</v>
      </c>
      <c r="M15894" s="43">
        <v>11.5</v>
      </c>
      <c r="N15894" s="43">
        <v>4.2807486631016047</v>
      </c>
      <c r="O15894" s="43">
        <v>10.521739130434783</v>
      </c>
      <c r="P15894" s="475"/>
      <c r="Q15894" s="475"/>
      <c r="R15894" s="475">
        <v>1</v>
      </c>
    </row>
    <row r="15895" spans="1:18" ht="24">
      <c r="A15895" s="471">
        <v>469</v>
      </c>
      <c r="B15895" s="468" t="s">
        <v>28509</v>
      </c>
      <c r="C15895" s="472" t="s">
        <v>28510</v>
      </c>
      <c r="D15895" s="473">
        <v>567.11</v>
      </c>
      <c r="E15895" s="473">
        <v>501.6</v>
      </c>
      <c r="F15895" s="473">
        <v>53.17</v>
      </c>
      <c r="G15895" s="473">
        <v>12.34</v>
      </c>
      <c r="H15895" s="474">
        <v>6129.3</v>
      </c>
      <c r="I15895" s="474">
        <v>5768.64</v>
      </c>
      <c r="J15895" s="474">
        <v>225.05</v>
      </c>
      <c r="K15895" s="474">
        <v>135.61000000000001</v>
      </c>
      <c r="L15895" s="43">
        <v>10.80795612844069</v>
      </c>
      <c r="M15895" s="43">
        <v>11.500478468899521</v>
      </c>
      <c r="N15895" s="43">
        <v>4.232649990596201</v>
      </c>
      <c r="O15895" s="43">
        <v>10.989465153970828</v>
      </c>
      <c r="P15895" s="475"/>
      <c r="Q15895" s="475"/>
      <c r="R15895" s="475">
        <v>1</v>
      </c>
    </row>
    <row r="15896" spans="1:18" ht="24">
      <c r="A15896" s="471">
        <v>470</v>
      </c>
      <c r="B15896" s="468" t="s">
        <v>28511</v>
      </c>
      <c r="C15896" s="472" t="s">
        <v>28512</v>
      </c>
      <c r="D15896" s="473">
        <v>283.64</v>
      </c>
      <c r="E15896" s="473">
        <v>193.33</v>
      </c>
      <c r="F15896" s="473">
        <v>13.24</v>
      </c>
      <c r="G15896" s="473">
        <v>77.069999999999993</v>
      </c>
      <c r="H15896" s="474">
        <v>2612.2600000000002</v>
      </c>
      <c r="I15896" s="474">
        <v>2223.33</v>
      </c>
      <c r="J15896" s="474">
        <v>66.41</v>
      </c>
      <c r="K15896" s="474">
        <v>322.52</v>
      </c>
      <c r="L15896" s="43">
        <v>9.2097729516288265</v>
      </c>
      <c r="M15896" s="43">
        <v>11.500181037604095</v>
      </c>
      <c r="N15896" s="43">
        <v>5.0158610271903319</v>
      </c>
      <c r="O15896" s="43">
        <v>4.1847670948488389</v>
      </c>
      <c r="P15896" s="475"/>
      <c r="Q15896" s="475"/>
      <c r="R15896" s="475">
        <v>1</v>
      </c>
    </row>
    <row r="15897" spans="1:18" ht="24">
      <c r="A15897" s="471">
        <v>471</v>
      </c>
      <c r="B15897" s="468" t="s">
        <v>28513</v>
      </c>
      <c r="C15897" s="472" t="s">
        <v>28514</v>
      </c>
      <c r="D15897" s="473">
        <v>242.43</v>
      </c>
      <c r="E15897" s="473">
        <v>163.04</v>
      </c>
      <c r="F15897" s="473">
        <v>2.93</v>
      </c>
      <c r="G15897" s="473">
        <v>76.459999999999994</v>
      </c>
      <c r="H15897" s="474">
        <v>2203.9899999999998</v>
      </c>
      <c r="I15897" s="474">
        <v>1875.04</v>
      </c>
      <c r="J15897" s="474">
        <v>13.45</v>
      </c>
      <c r="K15897" s="474">
        <v>315.5</v>
      </c>
      <c r="L15897" s="43">
        <v>9.0912428329827151</v>
      </c>
      <c r="M15897" s="43">
        <v>11.500490677134446</v>
      </c>
      <c r="N15897" s="43">
        <v>4.5904436860068252</v>
      </c>
      <c r="O15897" s="43">
        <v>4.1263405702328022</v>
      </c>
      <c r="P15897" s="475"/>
      <c r="Q15897" s="475"/>
      <c r="R15897" s="475">
        <v>1</v>
      </c>
    </row>
    <row r="15898" spans="1:18" ht="12.75" customHeight="1">
      <c r="A15898" s="628" t="s">
        <v>28515</v>
      </c>
      <c r="B15898" s="629"/>
      <c r="C15898" s="629"/>
      <c r="D15898" s="629"/>
      <c r="E15898" s="629"/>
      <c r="F15898" s="629"/>
      <c r="G15898" s="629"/>
      <c r="H15898" s="629"/>
      <c r="I15898" s="629"/>
      <c r="J15898" s="629"/>
      <c r="K15898" s="629"/>
      <c r="L15898" s="629"/>
      <c r="M15898" s="629"/>
      <c r="N15898" s="629"/>
      <c r="O15898" s="629"/>
      <c r="P15898" s="629"/>
      <c r="Q15898" s="629"/>
      <c r="R15898" s="629"/>
    </row>
    <row r="15899" spans="1:18" ht="12.75" customHeight="1">
      <c r="A15899" s="628" t="s">
        <v>28516</v>
      </c>
      <c r="B15899" s="629"/>
      <c r="C15899" s="629"/>
      <c r="D15899" s="629"/>
      <c r="E15899" s="629"/>
      <c r="F15899" s="629"/>
      <c r="G15899" s="629"/>
      <c r="H15899" s="629"/>
      <c r="I15899" s="629"/>
      <c r="J15899" s="629"/>
      <c r="K15899" s="629"/>
      <c r="L15899" s="629"/>
      <c r="M15899" s="629"/>
      <c r="N15899" s="629"/>
      <c r="O15899" s="629"/>
      <c r="P15899" s="629"/>
      <c r="Q15899" s="629"/>
      <c r="R15899" s="629"/>
    </row>
    <row r="15900" spans="1:18" ht="24">
      <c r="A15900" s="471">
        <v>472</v>
      </c>
      <c r="B15900" s="468" t="s">
        <v>28517</v>
      </c>
      <c r="C15900" s="472" t="s">
        <v>28518</v>
      </c>
      <c r="D15900" s="473">
        <v>157.86000000000001</v>
      </c>
      <c r="E15900" s="473">
        <v>152.85</v>
      </c>
      <c r="F15900" s="473">
        <v>0.45</v>
      </c>
      <c r="G15900" s="473">
        <v>4.5599999999999996</v>
      </c>
      <c r="H15900" s="474">
        <v>1808.06</v>
      </c>
      <c r="I15900" s="474">
        <v>1757.85</v>
      </c>
      <c r="J15900" s="474">
        <v>1.91</v>
      </c>
      <c r="K15900" s="474">
        <v>48.3</v>
      </c>
      <c r="L15900" s="43">
        <v>11.453566451285948</v>
      </c>
      <c r="M15900" s="43">
        <v>11.500490677134446</v>
      </c>
      <c r="N15900" s="43">
        <v>4.2444444444444445</v>
      </c>
      <c r="O15900" s="43">
        <v>10.592105263157896</v>
      </c>
      <c r="P15900" s="475"/>
      <c r="Q15900" s="475"/>
      <c r="R15900" s="475">
        <v>1</v>
      </c>
    </row>
    <row r="15901" spans="1:18" ht="24">
      <c r="A15901" s="471">
        <v>473</v>
      </c>
      <c r="B15901" s="468" t="s">
        <v>28519</v>
      </c>
      <c r="C15901" s="472" t="s">
        <v>28520</v>
      </c>
      <c r="D15901" s="473">
        <v>330.56</v>
      </c>
      <c r="E15901" s="473">
        <v>299.88</v>
      </c>
      <c r="F15901" s="473">
        <v>21.62</v>
      </c>
      <c r="G15901" s="473">
        <v>9.06</v>
      </c>
      <c r="H15901" s="474">
        <v>3637.12</v>
      </c>
      <c r="I15901" s="474">
        <v>3448.76</v>
      </c>
      <c r="J15901" s="474">
        <v>92.54</v>
      </c>
      <c r="K15901" s="474">
        <v>95.82</v>
      </c>
      <c r="L15901" s="43">
        <v>11.002904162633108</v>
      </c>
      <c r="M15901" s="43">
        <v>11.500466853408032</v>
      </c>
      <c r="N15901" s="43">
        <v>4.2802960222016653</v>
      </c>
      <c r="O15901" s="43">
        <v>10.576158940397349</v>
      </c>
      <c r="P15901" s="475"/>
      <c r="Q15901" s="475"/>
      <c r="R15901" s="475">
        <v>1</v>
      </c>
    </row>
    <row r="15902" spans="1:18" ht="24">
      <c r="A15902" s="471">
        <v>474</v>
      </c>
      <c r="B15902" s="468" t="s">
        <v>28521</v>
      </c>
      <c r="C15902" s="472" t="s">
        <v>28522</v>
      </c>
      <c r="D15902" s="473">
        <v>212.3</v>
      </c>
      <c r="E15902" s="473">
        <v>203.8</v>
      </c>
      <c r="F15902" s="473">
        <v>3.74</v>
      </c>
      <c r="G15902" s="473">
        <v>4.76</v>
      </c>
      <c r="H15902" s="474">
        <v>2412.69</v>
      </c>
      <c r="I15902" s="474">
        <v>2343.8000000000002</v>
      </c>
      <c r="J15902" s="474">
        <v>16.010000000000002</v>
      </c>
      <c r="K15902" s="474">
        <v>52.88</v>
      </c>
      <c r="L15902" s="43">
        <v>11.364531323598682</v>
      </c>
      <c r="M15902" s="43">
        <v>11.500490677134446</v>
      </c>
      <c r="N15902" s="43">
        <v>4.2807486631016047</v>
      </c>
      <c r="O15902" s="43">
        <v>11.109243697478993</v>
      </c>
      <c r="P15902" s="475"/>
      <c r="Q15902" s="475"/>
      <c r="R15902" s="475">
        <v>1</v>
      </c>
    </row>
    <row r="15903" spans="1:18" ht="24">
      <c r="A15903" s="471">
        <v>475</v>
      </c>
      <c r="B15903" s="468" t="s">
        <v>28523</v>
      </c>
      <c r="C15903" s="472" t="s">
        <v>28524</v>
      </c>
      <c r="D15903" s="473">
        <v>405.01</v>
      </c>
      <c r="E15903" s="473">
        <v>344.85</v>
      </c>
      <c r="F15903" s="473">
        <v>47.82</v>
      </c>
      <c r="G15903" s="473">
        <v>12.34</v>
      </c>
      <c r="H15903" s="474">
        <v>4294.67</v>
      </c>
      <c r="I15903" s="474">
        <v>3965.94</v>
      </c>
      <c r="J15903" s="474">
        <v>201.7</v>
      </c>
      <c r="K15903" s="474">
        <v>127.03</v>
      </c>
      <c r="L15903" s="43">
        <v>10.603861633046098</v>
      </c>
      <c r="M15903" s="43">
        <v>11.500478468899521</v>
      </c>
      <c r="N15903" s="43">
        <v>4.2179004600585523</v>
      </c>
      <c r="O15903" s="43">
        <v>10.294165316045381</v>
      </c>
      <c r="P15903" s="475"/>
      <c r="Q15903" s="475"/>
      <c r="R15903" s="475">
        <v>1</v>
      </c>
    </row>
    <row r="15904" spans="1:18" ht="24">
      <c r="A15904" s="471">
        <v>476</v>
      </c>
      <c r="B15904" s="468" t="s">
        <v>28525</v>
      </c>
      <c r="C15904" s="472" t="s">
        <v>28526</v>
      </c>
      <c r="D15904" s="473">
        <v>618.42999999999995</v>
      </c>
      <c r="E15904" s="473">
        <v>514.08000000000004</v>
      </c>
      <c r="F15904" s="473">
        <v>88.63</v>
      </c>
      <c r="G15904" s="473">
        <v>15.72</v>
      </c>
      <c r="H15904" s="474">
        <v>6451.9</v>
      </c>
      <c r="I15904" s="474">
        <v>5912.16</v>
      </c>
      <c r="J15904" s="474">
        <v>373.84</v>
      </c>
      <c r="K15904" s="474">
        <v>165.9</v>
      </c>
      <c r="L15904" s="43">
        <v>10.432708633151691</v>
      </c>
      <c r="M15904" s="43">
        <v>11.500466853408028</v>
      </c>
      <c r="N15904" s="43">
        <v>4.2179848809658127</v>
      </c>
      <c r="O15904" s="43">
        <v>10.553435114503817</v>
      </c>
      <c r="P15904" s="475"/>
      <c r="Q15904" s="475"/>
      <c r="R15904" s="475">
        <v>1</v>
      </c>
    </row>
    <row r="15905" spans="1:18" ht="24">
      <c r="A15905" s="471">
        <v>477</v>
      </c>
      <c r="B15905" s="468" t="s">
        <v>28527</v>
      </c>
      <c r="C15905" s="472" t="s">
        <v>28528</v>
      </c>
      <c r="D15905" s="473">
        <v>1525.97</v>
      </c>
      <c r="E15905" s="473">
        <v>810.02</v>
      </c>
      <c r="F15905" s="473">
        <v>334.45</v>
      </c>
      <c r="G15905" s="473">
        <v>381.5</v>
      </c>
      <c r="H15905" s="474">
        <v>12726.97</v>
      </c>
      <c r="I15905" s="474">
        <v>9315.23</v>
      </c>
      <c r="J15905" s="474">
        <v>1841.34</v>
      </c>
      <c r="K15905" s="474">
        <v>1570.4</v>
      </c>
      <c r="L15905" s="43">
        <v>8.3402491529977656</v>
      </c>
      <c r="M15905" s="43">
        <v>11.5</v>
      </c>
      <c r="N15905" s="43">
        <v>5.5055763193302436</v>
      </c>
      <c r="O15905" s="43">
        <v>4.1163826998689386</v>
      </c>
      <c r="P15905" s="475"/>
      <c r="Q15905" s="475"/>
      <c r="R15905" s="475">
        <v>1</v>
      </c>
    </row>
    <row r="15906" spans="1:18" ht="12.75" customHeight="1">
      <c r="A15906" s="628" t="s">
        <v>28529</v>
      </c>
      <c r="B15906" s="629"/>
      <c r="C15906" s="629"/>
      <c r="D15906" s="629"/>
      <c r="E15906" s="629"/>
      <c r="F15906" s="629"/>
      <c r="G15906" s="629"/>
      <c r="H15906" s="629"/>
      <c r="I15906" s="629"/>
      <c r="J15906" s="629"/>
      <c r="K15906" s="629"/>
      <c r="L15906" s="629"/>
      <c r="M15906" s="629"/>
      <c r="N15906" s="629"/>
      <c r="O15906" s="629"/>
      <c r="P15906" s="629"/>
      <c r="Q15906" s="629"/>
      <c r="R15906" s="629"/>
    </row>
    <row r="15907" spans="1:18" ht="12.75" customHeight="1">
      <c r="A15907" s="628" t="s">
        <v>28530</v>
      </c>
      <c r="B15907" s="629"/>
      <c r="C15907" s="629"/>
      <c r="D15907" s="629"/>
      <c r="E15907" s="629"/>
      <c r="F15907" s="629"/>
      <c r="G15907" s="629"/>
      <c r="H15907" s="629"/>
      <c r="I15907" s="629"/>
      <c r="J15907" s="629"/>
      <c r="K15907" s="629"/>
      <c r="L15907" s="629"/>
      <c r="M15907" s="629"/>
      <c r="N15907" s="629"/>
      <c r="O15907" s="629"/>
      <c r="P15907" s="629"/>
      <c r="Q15907" s="629"/>
      <c r="R15907" s="629"/>
    </row>
    <row r="15908" spans="1:18" ht="24">
      <c r="A15908" s="471">
        <v>478</v>
      </c>
      <c r="B15908" s="468" t="s">
        <v>28531</v>
      </c>
      <c r="C15908" s="472" t="s">
        <v>28532</v>
      </c>
      <c r="D15908" s="473">
        <v>134.56</v>
      </c>
      <c r="E15908" s="473">
        <v>128.52000000000001</v>
      </c>
      <c r="F15908" s="473">
        <v>2.79</v>
      </c>
      <c r="G15908" s="473">
        <v>3.25</v>
      </c>
      <c r="H15908" s="474">
        <v>1527.73</v>
      </c>
      <c r="I15908" s="474">
        <v>1478.04</v>
      </c>
      <c r="J15908" s="474">
        <v>14.17</v>
      </c>
      <c r="K15908" s="474">
        <v>35.520000000000003</v>
      </c>
      <c r="L15908" s="43">
        <v>11.353522592152199</v>
      </c>
      <c r="M15908" s="43">
        <v>11.500466853408028</v>
      </c>
      <c r="N15908" s="43">
        <v>5.0788530465949817</v>
      </c>
      <c r="O15908" s="43">
        <v>10.92923076923077</v>
      </c>
      <c r="P15908" s="475"/>
      <c r="Q15908" s="475"/>
      <c r="R15908" s="475">
        <v>1</v>
      </c>
    </row>
    <row r="15909" spans="1:18" ht="24">
      <c r="A15909" s="471">
        <v>479</v>
      </c>
      <c r="B15909" s="468" t="s">
        <v>28533</v>
      </c>
      <c r="C15909" s="472" t="s">
        <v>28534</v>
      </c>
      <c r="D15909" s="473">
        <v>136.29</v>
      </c>
      <c r="E15909" s="473">
        <v>126.96</v>
      </c>
      <c r="F15909" s="473">
        <v>4.4800000000000004</v>
      </c>
      <c r="G15909" s="473">
        <v>4.8499999999999996</v>
      </c>
      <c r="H15909" s="474">
        <v>1531.89</v>
      </c>
      <c r="I15909" s="474">
        <v>1460.04</v>
      </c>
      <c r="J15909" s="474">
        <v>22.38</v>
      </c>
      <c r="K15909" s="474">
        <v>49.47</v>
      </c>
      <c r="L15909" s="43">
        <v>11.239929561963462</v>
      </c>
      <c r="M15909" s="43">
        <v>11.5</v>
      </c>
      <c r="N15909" s="43">
        <v>4.9955357142857135</v>
      </c>
      <c r="O15909" s="43">
        <v>10.200000000000001</v>
      </c>
      <c r="P15909" s="475"/>
      <c r="Q15909" s="475"/>
      <c r="R15909" s="475">
        <v>1</v>
      </c>
    </row>
    <row r="15910" spans="1:18" ht="24">
      <c r="A15910" s="471">
        <v>480</v>
      </c>
      <c r="B15910" s="468" t="s">
        <v>28535</v>
      </c>
      <c r="C15910" s="472" t="s">
        <v>28536</v>
      </c>
      <c r="D15910" s="473">
        <v>134.16999999999999</v>
      </c>
      <c r="E15910" s="473">
        <v>125.4</v>
      </c>
      <c r="F15910" s="473">
        <v>3.95</v>
      </c>
      <c r="G15910" s="473">
        <v>4.82</v>
      </c>
      <c r="H15910" s="474">
        <v>1511.43</v>
      </c>
      <c r="I15910" s="474">
        <v>1442.16</v>
      </c>
      <c r="J15910" s="474">
        <v>20.14</v>
      </c>
      <c r="K15910" s="474">
        <v>49.13</v>
      </c>
      <c r="L15910" s="43">
        <v>11.265036893493331</v>
      </c>
      <c r="M15910" s="43">
        <v>11.500478468899521</v>
      </c>
      <c r="N15910" s="43">
        <v>5.0987341772151895</v>
      </c>
      <c r="O15910" s="43">
        <v>10.192946058091286</v>
      </c>
      <c r="P15910" s="475"/>
      <c r="Q15910" s="475"/>
      <c r="R15910" s="475">
        <v>1</v>
      </c>
    </row>
    <row r="15911" spans="1:18" ht="24">
      <c r="A15911" s="471">
        <v>481</v>
      </c>
      <c r="B15911" s="468" t="s">
        <v>28537</v>
      </c>
      <c r="C15911" s="472" t="s">
        <v>28538</v>
      </c>
      <c r="D15911" s="473">
        <v>192.45</v>
      </c>
      <c r="E15911" s="473">
        <v>163.86</v>
      </c>
      <c r="F15911" s="473">
        <v>24.63</v>
      </c>
      <c r="G15911" s="473">
        <v>3.96</v>
      </c>
      <c r="H15911" s="474">
        <v>2055.2399999999998</v>
      </c>
      <c r="I15911" s="474">
        <v>1884.5</v>
      </c>
      <c r="J15911" s="474">
        <v>127.06</v>
      </c>
      <c r="K15911" s="474">
        <v>43.68</v>
      </c>
      <c r="L15911" s="43">
        <v>10.679345284489477</v>
      </c>
      <c r="M15911" s="43">
        <v>11.500671304772366</v>
      </c>
      <c r="N15911" s="43">
        <v>5.1587494924888349</v>
      </c>
      <c r="O15911" s="43">
        <v>11.030303030303031</v>
      </c>
      <c r="P15911" s="475"/>
      <c r="Q15911" s="475"/>
      <c r="R15911" s="475">
        <v>1</v>
      </c>
    </row>
    <row r="15912" spans="1:18" ht="24">
      <c r="A15912" s="471">
        <v>482</v>
      </c>
      <c r="B15912" s="468" t="s">
        <v>28539</v>
      </c>
      <c r="C15912" s="472" t="s">
        <v>28540</v>
      </c>
      <c r="D15912" s="473">
        <v>208.8</v>
      </c>
      <c r="E15912" s="473">
        <v>198.14</v>
      </c>
      <c r="F15912" s="473">
        <v>5.27</v>
      </c>
      <c r="G15912" s="473">
        <v>5.39</v>
      </c>
      <c r="H15912" s="474">
        <v>2363.5300000000002</v>
      </c>
      <c r="I15912" s="474">
        <v>2278.65</v>
      </c>
      <c r="J15912" s="474">
        <v>26.82</v>
      </c>
      <c r="K15912" s="474">
        <v>58.06</v>
      </c>
      <c r="L15912" s="43">
        <v>11.319588122605364</v>
      </c>
      <c r="M15912" s="43">
        <v>11.500201877460382</v>
      </c>
      <c r="N15912" s="43">
        <v>5.0891840607210632</v>
      </c>
      <c r="O15912" s="43">
        <v>10.771799628942487</v>
      </c>
      <c r="P15912" s="475"/>
      <c r="Q15912" s="475"/>
      <c r="R15912" s="475">
        <v>1</v>
      </c>
    </row>
    <row r="15913" spans="1:18" ht="24">
      <c r="A15913" s="471">
        <v>483</v>
      </c>
      <c r="B15913" s="468" t="s">
        <v>28541</v>
      </c>
      <c r="C15913" s="472" t="s">
        <v>28542</v>
      </c>
      <c r="D15913" s="473">
        <v>191.16</v>
      </c>
      <c r="E15913" s="473">
        <v>185.76</v>
      </c>
      <c r="F15913" s="473">
        <v>1</v>
      </c>
      <c r="G15913" s="473">
        <v>4.4000000000000004</v>
      </c>
      <c r="H15913" s="474">
        <v>2189.21</v>
      </c>
      <c r="I15913" s="474">
        <v>2136.2399999999998</v>
      </c>
      <c r="J15913" s="474">
        <v>4.2300000000000004</v>
      </c>
      <c r="K15913" s="474">
        <v>48.74</v>
      </c>
      <c r="L15913" s="43">
        <v>11.452238962125968</v>
      </c>
      <c r="M15913" s="43">
        <v>11.5</v>
      </c>
      <c r="N15913" s="43">
        <v>4.2300000000000004</v>
      </c>
      <c r="O15913" s="43">
        <v>11.077272727272726</v>
      </c>
      <c r="P15913" s="475"/>
      <c r="Q15913" s="475"/>
      <c r="R15913" s="475">
        <v>1</v>
      </c>
    </row>
    <row r="15914" spans="1:18" ht="24">
      <c r="A15914" s="471">
        <v>484</v>
      </c>
      <c r="B15914" s="468" t="s">
        <v>28543</v>
      </c>
      <c r="C15914" s="472" t="s">
        <v>28544</v>
      </c>
      <c r="D15914" s="473">
        <v>136.91</v>
      </c>
      <c r="E15914" s="473">
        <v>128.52000000000001</v>
      </c>
      <c r="F15914" s="473">
        <v>5.14</v>
      </c>
      <c r="G15914" s="473">
        <v>3.25</v>
      </c>
      <c r="H15914" s="474">
        <v>1539.74</v>
      </c>
      <c r="I15914" s="474">
        <v>1478.04</v>
      </c>
      <c r="J15914" s="474">
        <v>26.18</v>
      </c>
      <c r="K15914" s="474">
        <v>35.520000000000003</v>
      </c>
      <c r="L15914" s="43">
        <v>11.246366225987876</v>
      </c>
      <c r="M15914" s="43">
        <v>11.500466853408028</v>
      </c>
      <c r="N15914" s="43">
        <v>5.0933852140077827</v>
      </c>
      <c r="O15914" s="43">
        <v>10.92923076923077</v>
      </c>
      <c r="P15914" s="475"/>
      <c r="Q15914" s="475"/>
      <c r="R15914" s="475">
        <v>1</v>
      </c>
    </row>
    <row r="15915" spans="1:18" ht="12.75" customHeight="1">
      <c r="A15915" s="628" t="s">
        <v>28545</v>
      </c>
      <c r="B15915" s="629"/>
      <c r="C15915" s="629"/>
      <c r="D15915" s="629"/>
      <c r="E15915" s="629"/>
      <c r="F15915" s="629"/>
      <c r="G15915" s="629"/>
      <c r="H15915" s="629"/>
      <c r="I15915" s="629"/>
      <c r="J15915" s="629"/>
      <c r="K15915" s="629"/>
      <c r="L15915" s="629"/>
      <c r="M15915" s="629"/>
      <c r="N15915" s="629"/>
      <c r="O15915" s="629"/>
      <c r="P15915" s="629"/>
      <c r="Q15915" s="629"/>
      <c r="R15915" s="629"/>
    </row>
    <row r="15916" spans="1:18" ht="12.75" customHeight="1">
      <c r="A15916" s="628" t="s">
        <v>28546</v>
      </c>
      <c r="B15916" s="629"/>
      <c r="C15916" s="629"/>
      <c r="D15916" s="629"/>
      <c r="E15916" s="629"/>
      <c r="F15916" s="629"/>
      <c r="G15916" s="629"/>
      <c r="H15916" s="629"/>
      <c r="I15916" s="629"/>
      <c r="J15916" s="629"/>
      <c r="K15916" s="629"/>
      <c r="L15916" s="629"/>
      <c r="M15916" s="629"/>
      <c r="N15916" s="629"/>
      <c r="O15916" s="629"/>
      <c r="P15916" s="629"/>
      <c r="Q15916" s="629"/>
      <c r="R15916" s="629"/>
    </row>
    <row r="15917" spans="1:18" ht="24">
      <c r="A15917" s="471">
        <v>485</v>
      </c>
      <c r="B15917" s="468" t="s">
        <v>28547</v>
      </c>
      <c r="C15917" s="472" t="s">
        <v>28548</v>
      </c>
      <c r="D15917" s="473">
        <v>121.91</v>
      </c>
      <c r="E15917" s="473">
        <v>106.34</v>
      </c>
      <c r="F15917" s="473">
        <v>13.2</v>
      </c>
      <c r="G15917" s="473">
        <v>2.37</v>
      </c>
      <c r="H15917" s="474">
        <v>1317.85</v>
      </c>
      <c r="I15917" s="474">
        <v>1222.9100000000001</v>
      </c>
      <c r="J15917" s="474">
        <v>68.290000000000006</v>
      </c>
      <c r="K15917" s="474">
        <v>26.65</v>
      </c>
      <c r="L15917" s="43">
        <v>10.810023788040358</v>
      </c>
      <c r="M15917" s="43">
        <v>11.5</v>
      </c>
      <c r="N15917" s="43">
        <v>5.1734848484848488</v>
      </c>
      <c r="O15917" s="43">
        <v>11.244725738396623</v>
      </c>
      <c r="P15917" s="475"/>
      <c r="Q15917" s="475"/>
      <c r="R15917" s="475">
        <v>1</v>
      </c>
    </row>
    <row r="15918" spans="1:18" ht="24">
      <c r="A15918" s="471">
        <v>486</v>
      </c>
      <c r="B15918" s="468" t="s">
        <v>28549</v>
      </c>
      <c r="C15918" s="472" t="s">
        <v>28550</v>
      </c>
      <c r="D15918" s="473">
        <v>122.68</v>
      </c>
      <c r="E15918" s="473">
        <v>116.74</v>
      </c>
      <c r="F15918" s="473">
        <v>2.79</v>
      </c>
      <c r="G15918" s="473">
        <v>3.15</v>
      </c>
      <c r="H15918" s="474">
        <v>1390.67</v>
      </c>
      <c r="I15918" s="474">
        <v>1342.55</v>
      </c>
      <c r="J15918" s="474">
        <v>14.17</v>
      </c>
      <c r="K15918" s="474">
        <v>33.950000000000003</v>
      </c>
      <c r="L15918" s="43">
        <v>11.335751548744701</v>
      </c>
      <c r="M15918" s="43">
        <v>11.500342641768032</v>
      </c>
      <c r="N15918" s="43">
        <v>5.0788530465949817</v>
      </c>
      <c r="O15918" s="43">
        <v>10.777777777777779</v>
      </c>
      <c r="P15918" s="475"/>
      <c r="Q15918" s="475"/>
      <c r="R15918" s="475">
        <v>1</v>
      </c>
    </row>
    <row r="15919" spans="1:18" ht="24">
      <c r="A15919" s="471">
        <v>487</v>
      </c>
      <c r="B15919" s="468" t="s">
        <v>28551</v>
      </c>
      <c r="C15919" s="472" t="s">
        <v>28552</v>
      </c>
      <c r="D15919" s="473">
        <v>164.83</v>
      </c>
      <c r="E15919" s="473">
        <v>118.16</v>
      </c>
      <c r="F15919" s="473">
        <v>43.9</v>
      </c>
      <c r="G15919" s="473">
        <v>2.77</v>
      </c>
      <c r="H15919" s="474">
        <v>1616.77</v>
      </c>
      <c r="I15919" s="474">
        <v>1358.79</v>
      </c>
      <c r="J15919" s="474">
        <v>227.26</v>
      </c>
      <c r="K15919" s="474">
        <v>30.72</v>
      </c>
      <c r="L15919" s="43">
        <v>9.8087120063095306</v>
      </c>
      <c r="M15919" s="43">
        <v>11.499576844955993</v>
      </c>
      <c r="N15919" s="43">
        <v>5.176765375854214</v>
      </c>
      <c r="O15919" s="43">
        <v>11.090252707581227</v>
      </c>
      <c r="P15919" s="475"/>
      <c r="Q15919" s="475"/>
      <c r="R15919" s="475">
        <v>1</v>
      </c>
    </row>
    <row r="15920" spans="1:18" ht="24">
      <c r="A15920" s="471">
        <v>488</v>
      </c>
      <c r="B15920" s="468" t="s">
        <v>28553</v>
      </c>
      <c r="C15920" s="472" t="s">
        <v>28554</v>
      </c>
      <c r="D15920" s="473">
        <v>190.63</v>
      </c>
      <c r="E15920" s="473">
        <v>185.76</v>
      </c>
      <c r="F15920" s="473">
        <v>0.74</v>
      </c>
      <c r="G15920" s="473">
        <v>4.13</v>
      </c>
      <c r="H15920" s="474">
        <v>2185.75</v>
      </c>
      <c r="I15920" s="474">
        <v>2136.2399999999998</v>
      </c>
      <c r="J15920" s="474">
        <v>3.15</v>
      </c>
      <c r="K15920" s="474">
        <v>46.36</v>
      </c>
      <c r="L15920" s="43">
        <v>11.465928762524262</v>
      </c>
      <c r="M15920" s="43">
        <v>11.5</v>
      </c>
      <c r="N15920" s="43">
        <v>4.256756756756757</v>
      </c>
      <c r="O15920" s="43">
        <v>11.225181598062955</v>
      </c>
      <c r="P15920" s="475"/>
      <c r="Q15920" s="475"/>
      <c r="R15920" s="475">
        <v>1</v>
      </c>
    </row>
    <row r="15921" spans="1:18" ht="24">
      <c r="A15921" s="471">
        <v>489</v>
      </c>
      <c r="B15921" s="468" t="s">
        <v>28555</v>
      </c>
      <c r="C15921" s="472" t="s">
        <v>28556</v>
      </c>
      <c r="D15921" s="473">
        <v>248.93</v>
      </c>
      <c r="E15921" s="473">
        <v>242.4</v>
      </c>
      <c r="F15921" s="473">
        <v>1</v>
      </c>
      <c r="G15921" s="473">
        <v>5.53</v>
      </c>
      <c r="H15921" s="474">
        <v>2853.57</v>
      </c>
      <c r="I15921" s="474">
        <v>2787.6</v>
      </c>
      <c r="J15921" s="474">
        <v>4.2300000000000004</v>
      </c>
      <c r="K15921" s="474">
        <v>61.74</v>
      </c>
      <c r="L15921" s="43">
        <v>11.463343108504398</v>
      </c>
      <c r="M15921" s="43">
        <v>11.5</v>
      </c>
      <c r="N15921" s="43">
        <v>4.2300000000000004</v>
      </c>
      <c r="O15921" s="43">
        <v>11.164556962025316</v>
      </c>
      <c r="P15921" s="475"/>
      <c r="Q15921" s="475"/>
      <c r="R15921" s="475">
        <v>1</v>
      </c>
    </row>
    <row r="15922" spans="1:18" ht="24">
      <c r="A15922" s="471">
        <v>490</v>
      </c>
      <c r="B15922" s="468" t="s">
        <v>28557</v>
      </c>
      <c r="C15922" s="472" t="s">
        <v>28558</v>
      </c>
      <c r="D15922" s="473">
        <v>423.13</v>
      </c>
      <c r="E15922" s="473">
        <v>365.75</v>
      </c>
      <c r="F15922" s="473">
        <v>48.9</v>
      </c>
      <c r="G15922" s="473">
        <v>8.48</v>
      </c>
      <c r="H15922" s="474">
        <v>4506.8599999999997</v>
      </c>
      <c r="I15922" s="474">
        <v>4206.3</v>
      </c>
      <c r="J15922" s="474">
        <v>206.25</v>
      </c>
      <c r="K15922" s="474">
        <v>94.31</v>
      </c>
      <c r="L15922" s="43">
        <v>10.651241935102686</v>
      </c>
      <c r="M15922" s="43">
        <v>11.500478468899521</v>
      </c>
      <c r="N15922" s="43">
        <v>4.2177914110429446</v>
      </c>
      <c r="O15922" s="43">
        <v>11.121462264150944</v>
      </c>
      <c r="P15922" s="475"/>
      <c r="Q15922" s="475"/>
      <c r="R15922" s="475">
        <v>1</v>
      </c>
    </row>
    <row r="15923" spans="1:18" ht="24">
      <c r="A15923" s="471">
        <v>491</v>
      </c>
      <c r="B15923" s="468" t="s">
        <v>28559</v>
      </c>
      <c r="C15923" s="472" t="s">
        <v>28560</v>
      </c>
      <c r="D15923" s="473">
        <v>144.07</v>
      </c>
      <c r="E15923" s="473">
        <v>116.74</v>
      </c>
      <c r="F15923" s="473">
        <v>24.59</v>
      </c>
      <c r="G15923" s="473">
        <v>2.74</v>
      </c>
      <c r="H15923" s="474">
        <v>1499.83</v>
      </c>
      <c r="I15923" s="474">
        <v>1342.55</v>
      </c>
      <c r="J15923" s="474">
        <v>126.9</v>
      </c>
      <c r="K15923" s="474">
        <v>30.38</v>
      </c>
      <c r="L15923" s="43">
        <v>10.410425487610189</v>
      </c>
      <c r="M15923" s="43">
        <v>11.500342641768032</v>
      </c>
      <c r="N15923" s="43">
        <v>5.1606344042293619</v>
      </c>
      <c r="O15923" s="43">
        <v>11.087591240875911</v>
      </c>
      <c r="P15923" s="475"/>
      <c r="Q15923" s="475"/>
      <c r="R15923" s="475">
        <v>1</v>
      </c>
    </row>
    <row r="15924" spans="1:18" ht="24">
      <c r="A15924" s="471">
        <v>492</v>
      </c>
      <c r="B15924" s="468" t="s">
        <v>28561</v>
      </c>
      <c r="C15924" s="472" t="s">
        <v>28562</v>
      </c>
      <c r="D15924" s="473">
        <v>245.17</v>
      </c>
      <c r="E15924" s="473">
        <v>227.04</v>
      </c>
      <c r="F15924" s="473">
        <v>11.55</v>
      </c>
      <c r="G15924" s="473">
        <v>6.58</v>
      </c>
      <c r="H15924" s="474">
        <v>2729.77</v>
      </c>
      <c r="I15924" s="474">
        <v>2610.96</v>
      </c>
      <c r="J15924" s="474">
        <v>48.72</v>
      </c>
      <c r="K15924" s="474">
        <v>70.09</v>
      </c>
      <c r="L15924" s="43">
        <v>11.134192601052332</v>
      </c>
      <c r="M15924" s="43">
        <v>11.5</v>
      </c>
      <c r="N15924" s="43">
        <v>4.2181818181818178</v>
      </c>
      <c r="O15924" s="43">
        <v>10.651975683890578</v>
      </c>
      <c r="P15924" s="475"/>
      <c r="Q15924" s="475"/>
      <c r="R15924" s="475">
        <v>1</v>
      </c>
    </row>
    <row r="15925" spans="1:18" ht="24">
      <c r="A15925" s="471">
        <v>493</v>
      </c>
      <c r="B15925" s="468" t="s">
        <v>28563</v>
      </c>
      <c r="C15925" s="472" t="s">
        <v>28564</v>
      </c>
      <c r="D15925" s="473">
        <v>545.23</v>
      </c>
      <c r="E15925" s="473">
        <v>486.68</v>
      </c>
      <c r="F15925" s="473">
        <v>47.66</v>
      </c>
      <c r="G15925" s="473">
        <v>10.89</v>
      </c>
      <c r="H15925" s="474">
        <v>5919.9</v>
      </c>
      <c r="I15925" s="474">
        <v>5596.82</v>
      </c>
      <c r="J15925" s="474">
        <v>201.05</v>
      </c>
      <c r="K15925" s="474">
        <v>122.03</v>
      </c>
      <c r="L15925" s="43">
        <v>10.857619720118114</v>
      </c>
      <c r="M15925" s="43">
        <v>11.5</v>
      </c>
      <c r="N15925" s="43">
        <v>4.218422156945028</v>
      </c>
      <c r="O15925" s="43">
        <v>11.205693296602387</v>
      </c>
      <c r="P15925" s="475"/>
      <c r="Q15925" s="475"/>
      <c r="R15925" s="475">
        <v>1</v>
      </c>
    </row>
    <row r="15926" spans="1:18" ht="24">
      <c r="A15926" s="471">
        <v>494</v>
      </c>
      <c r="B15926" s="468" t="s">
        <v>28565</v>
      </c>
      <c r="C15926" s="472" t="s">
        <v>28566</v>
      </c>
      <c r="D15926" s="473">
        <v>300.77</v>
      </c>
      <c r="E15926" s="473">
        <v>278.64</v>
      </c>
      <c r="F15926" s="473">
        <v>15.4</v>
      </c>
      <c r="G15926" s="473">
        <v>6.73</v>
      </c>
      <c r="H15926" s="474">
        <v>3343.51</v>
      </c>
      <c r="I15926" s="474">
        <v>3204.36</v>
      </c>
      <c r="J15926" s="474">
        <v>64.959999999999994</v>
      </c>
      <c r="K15926" s="474">
        <v>74.19</v>
      </c>
      <c r="L15926" s="43">
        <v>11.116500980815907</v>
      </c>
      <c r="M15926" s="43">
        <v>11.500000000000002</v>
      </c>
      <c r="N15926" s="43">
        <v>4.2181818181818178</v>
      </c>
      <c r="O15926" s="43">
        <v>11.02377414561664</v>
      </c>
      <c r="P15926" s="475"/>
      <c r="Q15926" s="475"/>
      <c r="R15926" s="475">
        <v>1</v>
      </c>
    </row>
    <row r="15927" spans="1:18" ht="24">
      <c r="A15927" s="471">
        <v>495</v>
      </c>
      <c r="B15927" s="468" t="s">
        <v>28567</v>
      </c>
      <c r="C15927" s="472" t="s">
        <v>28568</v>
      </c>
      <c r="D15927" s="473">
        <v>376.57</v>
      </c>
      <c r="E15927" s="473">
        <v>350.88</v>
      </c>
      <c r="F15927" s="473">
        <v>17.989999999999998</v>
      </c>
      <c r="G15927" s="473">
        <v>7.7</v>
      </c>
      <c r="H15927" s="474">
        <v>4197.95</v>
      </c>
      <c r="I15927" s="474">
        <v>4035.12</v>
      </c>
      <c r="J15927" s="474">
        <v>76.14</v>
      </c>
      <c r="K15927" s="474">
        <v>86.69</v>
      </c>
      <c r="L15927" s="43">
        <v>11.147860955466447</v>
      </c>
      <c r="M15927" s="43">
        <v>11.5</v>
      </c>
      <c r="N15927" s="43">
        <v>4.2323513062812674</v>
      </c>
      <c r="O15927" s="43">
        <v>11.258441558441557</v>
      </c>
      <c r="P15927" s="475"/>
      <c r="Q15927" s="475"/>
      <c r="R15927" s="475">
        <v>1</v>
      </c>
    </row>
    <row r="15928" spans="1:18" ht="24">
      <c r="A15928" s="476">
        <v>496</v>
      </c>
      <c r="B15928" s="477" t="s">
        <v>28569</v>
      </c>
      <c r="C15928" s="478" t="s">
        <v>28570</v>
      </c>
      <c r="D15928" s="479">
        <v>429.6</v>
      </c>
      <c r="E15928" s="479">
        <v>402.48</v>
      </c>
      <c r="F15928" s="479">
        <v>17.91</v>
      </c>
      <c r="G15928" s="479">
        <v>9.2100000000000009</v>
      </c>
      <c r="H15928" s="480">
        <v>4807.03</v>
      </c>
      <c r="I15928" s="480">
        <v>4628.5200000000004</v>
      </c>
      <c r="J15928" s="480">
        <v>75.8</v>
      </c>
      <c r="K15928" s="480">
        <v>102.71</v>
      </c>
      <c r="L15928" s="611">
        <v>11.189548417132215</v>
      </c>
      <c r="M15928" s="611">
        <v>11.5</v>
      </c>
      <c r="N15928" s="611">
        <v>4.2322724734785035</v>
      </c>
      <c r="O15928" s="611">
        <v>11.152008686210639</v>
      </c>
      <c r="P15928" s="481"/>
      <c r="Q15928" s="481"/>
      <c r="R15928" s="481">
        <v>1</v>
      </c>
    </row>
    <row r="15929" spans="1:18" ht="12.75" customHeight="1">
      <c r="A15929" s="630" t="s">
        <v>28571</v>
      </c>
      <c r="B15929" s="631"/>
      <c r="C15929" s="631"/>
      <c r="D15929" s="631"/>
      <c r="E15929" s="631"/>
      <c r="F15929" s="631"/>
      <c r="G15929" s="631"/>
      <c r="H15929" s="631"/>
      <c r="I15929" s="631"/>
      <c r="J15929" s="631"/>
      <c r="K15929" s="631"/>
      <c r="L15929" s="631"/>
      <c r="M15929" s="631"/>
      <c r="N15929" s="631"/>
      <c r="O15929" s="631"/>
      <c r="P15929" s="631"/>
      <c r="Q15929" s="631"/>
      <c r="R15929" s="631"/>
    </row>
    <row r="15930" spans="1:18" ht="12.75" customHeight="1">
      <c r="A15930" s="628" t="s">
        <v>28572</v>
      </c>
      <c r="B15930" s="629"/>
      <c r="C15930" s="629"/>
      <c r="D15930" s="629"/>
      <c r="E15930" s="629"/>
      <c r="F15930" s="629"/>
      <c r="G15930" s="629"/>
      <c r="H15930" s="629"/>
      <c r="I15930" s="629"/>
      <c r="J15930" s="629"/>
      <c r="K15930" s="629"/>
      <c r="L15930" s="629"/>
      <c r="M15930" s="629"/>
      <c r="N15930" s="629"/>
      <c r="O15930" s="629"/>
      <c r="P15930" s="629"/>
      <c r="Q15930" s="629"/>
      <c r="R15930" s="629"/>
    </row>
    <row r="15931" spans="1:18" ht="12.75" customHeight="1">
      <c r="A15931" s="628" t="s">
        <v>28573</v>
      </c>
      <c r="B15931" s="629"/>
      <c r="C15931" s="629"/>
      <c r="D15931" s="629"/>
      <c r="E15931" s="629"/>
      <c r="F15931" s="629"/>
      <c r="G15931" s="629"/>
      <c r="H15931" s="629"/>
      <c r="I15931" s="629"/>
      <c r="J15931" s="629"/>
      <c r="K15931" s="629"/>
      <c r="L15931" s="629"/>
      <c r="M15931" s="629"/>
      <c r="N15931" s="629"/>
      <c r="O15931" s="629"/>
      <c r="P15931" s="629"/>
      <c r="Q15931" s="629"/>
      <c r="R15931" s="629"/>
    </row>
    <row r="15932" spans="1:18" ht="24">
      <c r="A15932" s="471">
        <v>497</v>
      </c>
      <c r="B15932" s="468" t="s">
        <v>28574</v>
      </c>
      <c r="C15932" s="472" t="s">
        <v>28575</v>
      </c>
      <c r="D15932" s="473">
        <v>153.76</v>
      </c>
      <c r="E15932" s="473">
        <v>148.61000000000001</v>
      </c>
      <c r="F15932" s="473">
        <v>1.43</v>
      </c>
      <c r="G15932" s="473">
        <v>3.72</v>
      </c>
      <c r="H15932" s="474">
        <v>1756.15</v>
      </c>
      <c r="I15932" s="474">
        <v>1708.99</v>
      </c>
      <c r="J15932" s="474">
        <v>6.44</v>
      </c>
      <c r="K15932" s="474">
        <v>40.72</v>
      </c>
      <c r="L15932" s="43">
        <v>11.421370967741936</v>
      </c>
      <c r="M15932" s="43">
        <v>11.499831774443173</v>
      </c>
      <c r="N15932" s="43">
        <v>4.5034965034965042</v>
      </c>
      <c r="O15932" s="43">
        <v>10.946236559139784</v>
      </c>
      <c r="P15932" s="475"/>
      <c r="Q15932" s="475"/>
      <c r="R15932" s="475">
        <v>1</v>
      </c>
    </row>
    <row r="15933" spans="1:18" ht="24">
      <c r="A15933" s="471">
        <v>498</v>
      </c>
      <c r="B15933" s="468" t="s">
        <v>28576</v>
      </c>
      <c r="C15933" s="472" t="s">
        <v>28577</v>
      </c>
      <c r="D15933" s="473">
        <v>288.92</v>
      </c>
      <c r="E15933" s="473">
        <v>270.68</v>
      </c>
      <c r="F15933" s="473">
        <v>10.93</v>
      </c>
      <c r="G15933" s="473">
        <v>7.31</v>
      </c>
      <c r="H15933" s="474">
        <v>3237.85</v>
      </c>
      <c r="I15933" s="474">
        <v>3112.82</v>
      </c>
      <c r="J15933" s="474">
        <v>46.12</v>
      </c>
      <c r="K15933" s="474">
        <v>78.91</v>
      </c>
      <c r="L15933" s="43">
        <v>11.206735428492316</v>
      </c>
      <c r="M15933" s="43">
        <v>11.5</v>
      </c>
      <c r="N15933" s="43">
        <v>4.2195791399817013</v>
      </c>
      <c r="O15933" s="43">
        <v>10.794801641586867</v>
      </c>
      <c r="P15933" s="475"/>
      <c r="Q15933" s="475"/>
      <c r="R15933" s="475">
        <v>1</v>
      </c>
    </row>
    <row r="15934" spans="1:18" ht="24">
      <c r="A15934" s="471">
        <v>499</v>
      </c>
      <c r="B15934" s="468" t="s">
        <v>28578</v>
      </c>
      <c r="C15934" s="472" t="s">
        <v>28579</v>
      </c>
      <c r="D15934" s="473">
        <v>439.5</v>
      </c>
      <c r="E15934" s="473">
        <v>412.82</v>
      </c>
      <c r="F15934" s="473">
        <v>15.36</v>
      </c>
      <c r="G15934" s="473">
        <v>11.32</v>
      </c>
      <c r="H15934" s="474">
        <v>4934.3100000000004</v>
      </c>
      <c r="I15934" s="474">
        <v>4747.4799999999996</v>
      </c>
      <c r="J15934" s="474">
        <v>65.02</v>
      </c>
      <c r="K15934" s="474">
        <v>121.81</v>
      </c>
      <c r="L15934" s="43">
        <v>11.227098976109216</v>
      </c>
      <c r="M15934" s="43">
        <v>11.500121118162879</v>
      </c>
      <c r="N15934" s="43">
        <v>4.233072916666667</v>
      </c>
      <c r="O15934" s="43">
        <v>10.760600706713781</v>
      </c>
      <c r="P15934" s="475"/>
      <c r="Q15934" s="475"/>
      <c r="R15934" s="475">
        <v>1</v>
      </c>
    </row>
    <row r="15935" spans="1:18" ht="12.75" customHeight="1">
      <c r="A15935" s="628" t="s">
        <v>28580</v>
      </c>
      <c r="B15935" s="629"/>
      <c r="C15935" s="629"/>
      <c r="D15935" s="629"/>
      <c r="E15935" s="629"/>
      <c r="F15935" s="629"/>
      <c r="G15935" s="629"/>
      <c r="H15935" s="629"/>
      <c r="I15935" s="629"/>
      <c r="J15935" s="629"/>
      <c r="K15935" s="629"/>
      <c r="L15935" s="629"/>
      <c r="M15935" s="629"/>
      <c r="N15935" s="629"/>
      <c r="O15935" s="629"/>
      <c r="P15935" s="629"/>
      <c r="Q15935" s="629"/>
      <c r="R15935" s="629"/>
    </row>
    <row r="15936" spans="1:18" ht="12.75" customHeight="1">
      <c r="A15936" s="628" t="s">
        <v>25464</v>
      </c>
      <c r="B15936" s="629"/>
      <c r="C15936" s="629"/>
      <c r="D15936" s="629"/>
      <c r="E15936" s="629"/>
      <c r="F15936" s="629"/>
      <c r="G15936" s="629"/>
      <c r="H15936" s="629"/>
      <c r="I15936" s="629"/>
      <c r="J15936" s="629"/>
      <c r="K15936" s="629"/>
      <c r="L15936" s="629"/>
      <c r="M15936" s="629"/>
      <c r="N15936" s="629"/>
      <c r="O15936" s="629"/>
      <c r="P15936" s="629"/>
      <c r="Q15936" s="629"/>
      <c r="R15936" s="629"/>
    </row>
    <row r="15937" spans="1:18" ht="24">
      <c r="A15937" s="471">
        <v>500</v>
      </c>
      <c r="B15937" s="468" t="s">
        <v>28581</v>
      </c>
      <c r="C15937" s="472" t="s">
        <v>28582</v>
      </c>
      <c r="D15937" s="473">
        <v>205.12</v>
      </c>
      <c r="E15937" s="473">
        <v>196.08</v>
      </c>
      <c r="F15937" s="473">
        <v>3.96</v>
      </c>
      <c r="G15937" s="473">
        <v>5.08</v>
      </c>
      <c r="H15937" s="474">
        <v>2327.1</v>
      </c>
      <c r="I15937" s="474">
        <v>2254.92</v>
      </c>
      <c r="J15937" s="474">
        <v>16.97</v>
      </c>
      <c r="K15937" s="474">
        <v>55.21</v>
      </c>
      <c r="L15937" s="43">
        <v>11.345066302652105</v>
      </c>
      <c r="M15937" s="43">
        <v>11.5</v>
      </c>
      <c r="N15937" s="43">
        <v>4.2853535353535355</v>
      </c>
      <c r="O15937" s="43">
        <v>10.868110236220472</v>
      </c>
      <c r="P15937" s="475"/>
      <c r="Q15937" s="475"/>
      <c r="R15937" s="475">
        <v>1</v>
      </c>
    </row>
    <row r="15938" spans="1:18" ht="24">
      <c r="A15938" s="471">
        <v>501</v>
      </c>
      <c r="B15938" s="468" t="s">
        <v>28583</v>
      </c>
      <c r="C15938" s="472" t="s">
        <v>28584</v>
      </c>
      <c r="D15938" s="473">
        <v>388.93</v>
      </c>
      <c r="E15938" s="473">
        <v>363.6</v>
      </c>
      <c r="F15938" s="473">
        <v>16.16</v>
      </c>
      <c r="G15938" s="473">
        <v>9.17</v>
      </c>
      <c r="H15938" s="474">
        <v>4350.09</v>
      </c>
      <c r="I15938" s="474">
        <v>4181.3999999999996</v>
      </c>
      <c r="J15938" s="474">
        <v>68.39</v>
      </c>
      <c r="K15938" s="474">
        <v>100.3</v>
      </c>
      <c r="L15938" s="43">
        <v>11.184763325019926</v>
      </c>
      <c r="M15938" s="43">
        <v>11.499999999999998</v>
      </c>
      <c r="N15938" s="43">
        <v>4.2320544554455441</v>
      </c>
      <c r="O15938" s="43">
        <v>10.93784078516903</v>
      </c>
      <c r="P15938" s="475"/>
      <c r="Q15938" s="475"/>
      <c r="R15938" s="475">
        <v>1</v>
      </c>
    </row>
    <row r="15939" spans="1:18" ht="12.75" customHeight="1">
      <c r="A15939" s="628" t="s">
        <v>28585</v>
      </c>
      <c r="B15939" s="629"/>
      <c r="C15939" s="629"/>
      <c r="D15939" s="629"/>
      <c r="E15939" s="629"/>
      <c r="F15939" s="629"/>
      <c r="G15939" s="629"/>
      <c r="H15939" s="629"/>
      <c r="I15939" s="629"/>
      <c r="J15939" s="629"/>
      <c r="K15939" s="629"/>
      <c r="L15939" s="629"/>
      <c r="M15939" s="629"/>
      <c r="N15939" s="629"/>
      <c r="O15939" s="629"/>
      <c r="P15939" s="629"/>
      <c r="Q15939" s="629"/>
      <c r="R15939" s="629"/>
    </row>
    <row r="15940" spans="1:18" ht="12.75" customHeight="1">
      <c r="A15940" s="628" t="s">
        <v>28586</v>
      </c>
      <c r="B15940" s="629"/>
      <c r="C15940" s="629"/>
      <c r="D15940" s="629"/>
      <c r="E15940" s="629"/>
      <c r="F15940" s="629"/>
      <c r="G15940" s="629"/>
      <c r="H15940" s="629"/>
      <c r="I15940" s="629"/>
      <c r="J15940" s="629"/>
      <c r="K15940" s="629"/>
      <c r="L15940" s="629"/>
      <c r="M15940" s="629"/>
      <c r="N15940" s="629"/>
      <c r="O15940" s="629"/>
      <c r="P15940" s="629"/>
      <c r="Q15940" s="629"/>
      <c r="R15940" s="629"/>
    </row>
    <row r="15941" spans="1:18" ht="24">
      <c r="A15941" s="471">
        <v>502</v>
      </c>
      <c r="B15941" s="468" t="s">
        <v>28587</v>
      </c>
      <c r="C15941" s="472" t="s">
        <v>28588</v>
      </c>
      <c r="D15941" s="473">
        <v>252.58</v>
      </c>
      <c r="E15941" s="473">
        <v>164.07</v>
      </c>
      <c r="F15941" s="473">
        <v>10.81</v>
      </c>
      <c r="G15941" s="473">
        <v>77.7</v>
      </c>
      <c r="H15941" s="474">
        <v>2269.29</v>
      </c>
      <c r="I15941" s="474">
        <v>1886.83</v>
      </c>
      <c r="J15941" s="474">
        <v>56</v>
      </c>
      <c r="K15941" s="474">
        <v>326.45999999999998</v>
      </c>
      <c r="L15941" s="43">
        <v>8.9844405732837114</v>
      </c>
      <c r="M15941" s="43">
        <v>11.500152373986714</v>
      </c>
      <c r="N15941" s="43">
        <v>5.1803885291396856</v>
      </c>
      <c r="O15941" s="43">
        <v>4.2015444015444015</v>
      </c>
      <c r="P15941" s="475"/>
      <c r="Q15941" s="475"/>
      <c r="R15941" s="475">
        <v>1</v>
      </c>
    </row>
    <row r="15942" spans="1:18" ht="24">
      <c r="A15942" s="471">
        <v>503</v>
      </c>
      <c r="B15942" s="468" t="s">
        <v>28589</v>
      </c>
      <c r="C15942" s="472" t="s">
        <v>28590</v>
      </c>
      <c r="D15942" s="473">
        <v>567.96</v>
      </c>
      <c r="E15942" s="473">
        <v>386.65</v>
      </c>
      <c r="F15942" s="473">
        <v>13.94</v>
      </c>
      <c r="G15942" s="473">
        <v>167.37</v>
      </c>
      <c r="H15942" s="474">
        <v>5193.82</v>
      </c>
      <c r="I15942" s="474">
        <v>4446.66</v>
      </c>
      <c r="J15942" s="474">
        <v>58.79</v>
      </c>
      <c r="K15942" s="474">
        <v>688.37</v>
      </c>
      <c r="L15942" s="43">
        <v>9.1446932882597363</v>
      </c>
      <c r="M15942" s="43">
        <v>11.500478468899521</v>
      </c>
      <c r="N15942" s="43">
        <v>4.2173601147776187</v>
      </c>
      <c r="O15942" s="43">
        <v>4.1128637151221845</v>
      </c>
      <c r="P15942" s="475"/>
      <c r="Q15942" s="475"/>
      <c r="R15942" s="475">
        <v>1</v>
      </c>
    </row>
    <row r="15943" spans="1:18" ht="24">
      <c r="A15943" s="471">
        <v>504</v>
      </c>
      <c r="B15943" s="468" t="s">
        <v>28591</v>
      </c>
      <c r="C15943" s="472" t="s">
        <v>28592</v>
      </c>
      <c r="D15943" s="473">
        <v>810.12</v>
      </c>
      <c r="E15943" s="473">
        <v>471.8</v>
      </c>
      <c r="F15943" s="473">
        <v>21.62</v>
      </c>
      <c r="G15943" s="473">
        <v>316.7</v>
      </c>
      <c r="H15943" s="474">
        <v>6792.39</v>
      </c>
      <c r="I15943" s="474">
        <v>5425.9</v>
      </c>
      <c r="J15943" s="474">
        <v>91.71</v>
      </c>
      <c r="K15943" s="474">
        <v>1274.78</v>
      </c>
      <c r="L15943" s="43">
        <v>8.3844245296993041</v>
      </c>
      <c r="M15943" s="43">
        <v>11.500423908435776</v>
      </c>
      <c r="N15943" s="43">
        <v>4.2419056429232187</v>
      </c>
      <c r="O15943" s="43">
        <v>4.0251973476476159</v>
      </c>
      <c r="P15943" s="475"/>
      <c r="Q15943" s="475"/>
      <c r="R15943" s="475">
        <v>1</v>
      </c>
    </row>
    <row r="15944" spans="1:18" ht="12.75" customHeight="1">
      <c r="A15944" s="628" t="s">
        <v>28593</v>
      </c>
      <c r="B15944" s="629"/>
      <c r="C15944" s="629"/>
      <c r="D15944" s="629"/>
      <c r="E15944" s="629"/>
      <c r="F15944" s="629"/>
      <c r="G15944" s="629"/>
      <c r="H15944" s="629"/>
      <c r="I15944" s="629"/>
      <c r="J15944" s="629"/>
      <c r="K15944" s="629"/>
      <c r="L15944" s="629"/>
      <c r="M15944" s="629"/>
      <c r="N15944" s="629"/>
      <c r="O15944" s="629"/>
      <c r="P15944" s="629"/>
      <c r="Q15944" s="629"/>
      <c r="R15944" s="629"/>
    </row>
    <row r="15945" spans="1:18" ht="12.75" customHeight="1">
      <c r="A15945" s="628" t="s">
        <v>28594</v>
      </c>
      <c r="B15945" s="629"/>
      <c r="C15945" s="629"/>
      <c r="D15945" s="629"/>
      <c r="E15945" s="629"/>
      <c r="F15945" s="629"/>
      <c r="G15945" s="629"/>
      <c r="H15945" s="629"/>
      <c r="I15945" s="629"/>
      <c r="J15945" s="629"/>
      <c r="K15945" s="629"/>
      <c r="L15945" s="629"/>
      <c r="M15945" s="629"/>
      <c r="N15945" s="629"/>
      <c r="O15945" s="629"/>
      <c r="P15945" s="629"/>
      <c r="Q15945" s="629"/>
      <c r="R15945" s="629"/>
    </row>
    <row r="15946" spans="1:18" ht="24">
      <c r="A15946" s="471">
        <v>505</v>
      </c>
      <c r="B15946" s="468" t="s">
        <v>28595</v>
      </c>
      <c r="C15946" s="472" t="s">
        <v>28596</v>
      </c>
      <c r="D15946" s="473">
        <v>1659.93</v>
      </c>
      <c r="E15946" s="473">
        <v>1231.32</v>
      </c>
      <c r="F15946" s="473">
        <v>399.22</v>
      </c>
      <c r="G15946" s="473">
        <v>29.39</v>
      </c>
      <c r="H15946" s="474">
        <v>16625.02</v>
      </c>
      <c r="I15946" s="474">
        <v>14160.8</v>
      </c>
      <c r="J15946" s="474">
        <v>2139.25</v>
      </c>
      <c r="K15946" s="474">
        <v>324.97000000000003</v>
      </c>
      <c r="L15946" s="43">
        <v>10.015494629291597</v>
      </c>
      <c r="M15946" s="43">
        <v>11.500503524672709</v>
      </c>
      <c r="N15946" s="43">
        <v>5.35857421972847</v>
      </c>
      <c r="O15946" s="43">
        <v>11.057162300102076</v>
      </c>
      <c r="P15946" s="475"/>
      <c r="Q15946" s="475"/>
      <c r="R15946" s="475">
        <v>1</v>
      </c>
    </row>
    <row r="15947" spans="1:18" ht="24">
      <c r="A15947" s="471">
        <v>506</v>
      </c>
      <c r="B15947" s="468" t="s">
        <v>28597</v>
      </c>
      <c r="C15947" s="472" t="s">
        <v>28598</v>
      </c>
      <c r="D15947" s="473">
        <v>1760.24</v>
      </c>
      <c r="E15947" s="473">
        <v>1310.76</v>
      </c>
      <c r="F15947" s="473">
        <v>417.14</v>
      </c>
      <c r="G15947" s="473">
        <v>32.340000000000003</v>
      </c>
      <c r="H15947" s="474">
        <v>17684.28</v>
      </c>
      <c r="I15947" s="474">
        <v>15074.4</v>
      </c>
      <c r="J15947" s="474">
        <v>2254.71</v>
      </c>
      <c r="K15947" s="474">
        <v>355.17</v>
      </c>
      <c r="L15947" s="43">
        <v>10.046516384129436</v>
      </c>
      <c r="M15947" s="43">
        <v>11.500503524672709</v>
      </c>
      <c r="N15947" s="43">
        <v>5.4051637339981786</v>
      </c>
      <c r="O15947" s="43">
        <v>10.982374768089054</v>
      </c>
      <c r="P15947" s="475"/>
      <c r="Q15947" s="475"/>
      <c r="R15947" s="475">
        <v>1</v>
      </c>
    </row>
    <row r="15948" spans="1:18" ht="12.75" customHeight="1">
      <c r="A15948" s="628" t="s">
        <v>28599</v>
      </c>
      <c r="B15948" s="629"/>
      <c r="C15948" s="629"/>
      <c r="D15948" s="629"/>
      <c r="E15948" s="629"/>
      <c r="F15948" s="629"/>
      <c r="G15948" s="629"/>
      <c r="H15948" s="629"/>
      <c r="I15948" s="629"/>
      <c r="J15948" s="629"/>
      <c r="K15948" s="629"/>
      <c r="L15948" s="629"/>
      <c r="M15948" s="629"/>
      <c r="N15948" s="629"/>
      <c r="O15948" s="629"/>
      <c r="P15948" s="629"/>
      <c r="Q15948" s="629"/>
      <c r="R15948" s="629"/>
    </row>
    <row r="15949" spans="1:18" ht="12.75" customHeight="1">
      <c r="A15949" s="628" t="s">
        <v>28600</v>
      </c>
      <c r="B15949" s="629"/>
      <c r="C15949" s="629"/>
      <c r="D15949" s="629"/>
      <c r="E15949" s="629"/>
      <c r="F15949" s="629"/>
      <c r="G15949" s="629"/>
      <c r="H15949" s="629"/>
      <c r="I15949" s="629"/>
      <c r="J15949" s="629"/>
      <c r="K15949" s="629"/>
      <c r="L15949" s="629"/>
      <c r="M15949" s="629"/>
      <c r="N15949" s="629"/>
      <c r="O15949" s="629"/>
      <c r="P15949" s="629"/>
      <c r="Q15949" s="629"/>
      <c r="R15949" s="629"/>
    </row>
    <row r="15950" spans="1:18" ht="24">
      <c r="A15950" s="471">
        <v>507</v>
      </c>
      <c r="B15950" s="468" t="s">
        <v>28601</v>
      </c>
      <c r="C15950" s="472" t="s">
        <v>28602</v>
      </c>
      <c r="D15950" s="473">
        <v>622.29</v>
      </c>
      <c r="E15950" s="473">
        <v>585.79999999999995</v>
      </c>
      <c r="F15950" s="473">
        <v>14.57</v>
      </c>
      <c r="G15950" s="473">
        <v>21.92</v>
      </c>
      <c r="H15950" s="474">
        <v>7022.53</v>
      </c>
      <c r="I15950" s="474">
        <v>6736.7</v>
      </c>
      <c r="J15950" s="474">
        <v>61.65</v>
      </c>
      <c r="K15950" s="474">
        <v>224.18</v>
      </c>
      <c r="L15950" s="43">
        <v>11.284979671857172</v>
      </c>
      <c r="M15950" s="43">
        <v>11.5</v>
      </c>
      <c r="N15950" s="43">
        <v>4.2312971859986268</v>
      </c>
      <c r="O15950" s="43">
        <v>10.227189781021897</v>
      </c>
      <c r="P15950" s="475"/>
      <c r="Q15950" s="475"/>
      <c r="R15950" s="475">
        <v>1</v>
      </c>
    </row>
    <row r="15951" spans="1:18" ht="24">
      <c r="A15951" s="471">
        <v>508</v>
      </c>
      <c r="B15951" s="468" t="s">
        <v>28603</v>
      </c>
      <c r="C15951" s="472" t="s">
        <v>28604</v>
      </c>
      <c r="D15951" s="473">
        <v>2782.17</v>
      </c>
      <c r="E15951" s="473">
        <v>1922.72</v>
      </c>
      <c r="F15951" s="473">
        <v>817.94</v>
      </c>
      <c r="G15951" s="473">
        <v>41.51</v>
      </c>
      <c r="H15951" s="474">
        <v>26927.51</v>
      </c>
      <c r="I15951" s="474">
        <v>22111.279999999999</v>
      </c>
      <c r="J15951" s="474">
        <v>4347.2299999999996</v>
      </c>
      <c r="K15951" s="474">
        <v>469</v>
      </c>
      <c r="L15951" s="43">
        <v>9.6785997979994018</v>
      </c>
      <c r="M15951" s="43">
        <v>11.5</v>
      </c>
      <c r="N15951" s="43">
        <v>5.3148519451304486</v>
      </c>
      <c r="O15951" s="43">
        <v>11.298482293423271</v>
      </c>
      <c r="P15951" s="475"/>
      <c r="Q15951" s="475"/>
      <c r="R15951" s="475">
        <v>1</v>
      </c>
    </row>
    <row r="15952" spans="1:18" ht="12.75" customHeight="1">
      <c r="A15952" s="628" t="s">
        <v>28605</v>
      </c>
      <c r="B15952" s="629"/>
      <c r="C15952" s="629"/>
      <c r="D15952" s="629"/>
      <c r="E15952" s="629"/>
      <c r="F15952" s="629"/>
      <c r="G15952" s="629"/>
      <c r="H15952" s="629"/>
      <c r="I15952" s="629"/>
      <c r="J15952" s="629"/>
      <c r="K15952" s="629"/>
      <c r="L15952" s="629"/>
      <c r="M15952" s="629"/>
      <c r="N15952" s="629"/>
      <c r="O15952" s="629"/>
      <c r="P15952" s="629"/>
      <c r="Q15952" s="629"/>
      <c r="R15952" s="629"/>
    </row>
    <row r="15953" spans="1:18" ht="12.75" customHeight="1">
      <c r="A15953" s="628" t="s">
        <v>19144</v>
      </c>
      <c r="B15953" s="629"/>
      <c r="C15953" s="629"/>
      <c r="D15953" s="629"/>
      <c r="E15953" s="629"/>
      <c r="F15953" s="629"/>
      <c r="G15953" s="629"/>
      <c r="H15953" s="629"/>
      <c r="I15953" s="629"/>
      <c r="J15953" s="629"/>
      <c r="K15953" s="629"/>
      <c r="L15953" s="629"/>
      <c r="M15953" s="629"/>
      <c r="N15953" s="629"/>
      <c r="O15953" s="629"/>
      <c r="P15953" s="629"/>
      <c r="Q15953" s="629"/>
      <c r="R15953" s="629"/>
    </row>
    <row r="15954" spans="1:18" ht="24">
      <c r="A15954" s="471">
        <v>509</v>
      </c>
      <c r="B15954" s="468" t="s">
        <v>28606</v>
      </c>
      <c r="C15954" s="472" t="s">
        <v>28607</v>
      </c>
      <c r="D15954" s="473">
        <v>202.93</v>
      </c>
      <c r="E15954" s="473">
        <v>154.80000000000001</v>
      </c>
      <c r="F15954" s="473">
        <v>0.92</v>
      </c>
      <c r="G15954" s="473">
        <v>47.21</v>
      </c>
      <c r="H15954" s="474">
        <v>1988.61</v>
      </c>
      <c r="I15954" s="474">
        <v>1780.2</v>
      </c>
      <c r="J15954" s="474">
        <v>4.28</v>
      </c>
      <c r="K15954" s="474">
        <v>204.13</v>
      </c>
      <c r="L15954" s="43">
        <v>9.7994875080076866</v>
      </c>
      <c r="M15954" s="43">
        <v>11.5</v>
      </c>
      <c r="N15954" s="43">
        <v>4.6521739130434785</v>
      </c>
      <c r="O15954" s="43">
        <v>4.3238720610040247</v>
      </c>
      <c r="P15954" s="475"/>
      <c r="Q15954" s="475"/>
      <c r="R15954" s="475">
        <v>1</v>
      </c>
    </row>
    <row r="15955" spans="1:18" ht="24">
      <c r="A15955" s="471">
        <v>510</v>
      </c>
      <c r="B15955" s="468" t="s">
        <v>28608</v>
      </c>
      <c r="C15955" s="472" t="s">
        <v>28609</v>
      </c>
      <c r="D15955" s="473">
        <v>703.88</v>
      </c>
      <c r="E15955" s="473">
        <v>662.35</v>
      </c>
      <c r="F15955" s="473">
        <v>24.54</v>
      </c>
      <c r="G15955" s="473">
        <v>16.989999999999998</v>
      </c>
      <c r="H15955" s="474">
        <v>7906.64</v>
      </c>
      <c r="I15955" s="474">
        <v>7617.35</v>
      </c>
      <c r="J15955" s="474">
        <v>104.13</v>
      </c>
      <c r="K15955" s="474">
        <v>185.16</v>
      </c>
      <c r="L15955" s="43">
        <v>11.232937432516907</v>
      </c>
      <c r="M15955" s="43">
        <v>11.500490677134446</v>
      </c>
      <c r="N15955" s="43">
        <v>4.2432762836185818</v>
      </c>
      <c r="O15955" s="43">
        <v>10.898175397292526</v>
      </c>
      <c r="P15955" s="475"/>
      <c r="Q15955" s="475"/>
      <c r="R15955" s="475">
        <v>1</v>
      </c>
    </row>
    <row r="15956" spans="1:18" ht="12.75">
      <c r="A15956" s="632" t="s">
        <v>18</v>
      </c>
      <c r="B15956" s="632"/>
      <c r="C15956" s="632"/>
      <c r="D15956" s="469">
        <v>472370.36</v>
      </c>
      <c r="E15956" s="469">
        <v>311471.94</v>
      </c>
      <c r="F15956" s="469">
        <v>84170.240000000005</v>
      </c>
      <c r="G15956" s="469">
        <v>76728.179999999993</v>
      </c>
      <c r="H15956" s="470">
        <v>4365388.1900000004</v>
      </c>
      <c r="I15956" s="470">
        <v>3581984.32</v>
      </c>
      <c r="J15956" s="470">
        <v>447159.28</v>
      </c>
      <c r="K15956" s="470">
        <v>336244.59</v>
      </c>
      <c r="L15956" s="612">
        <v>9.2414523849464238</v>
      </c>
      <c r="M15956" s="612">
        <v>11.500183034144262</v>
      </c>
      <c r="N15956" s="612">
        <v>5.3125579777365495</v>
      </c>
      <c r="O15956" s="612">
        <v>4.3822828848540398</v>
      </c>
      <c r="P15956" s="467"/>
      <c r="Q15956" s="467"/>
      <c r="R15956" s="467"/>
    </row>
    <row r="15957" spans="1:18" ht="18">
      <c r="A15957" s="616" t="s">
        <v>28610</v>
      </c>
      <c r="B15957" s="626"/>
      <c r="C15957" s="626"/>
      <c r="D15957" s="626"/>
      <c r="E15957" s="626"/>
      <c r="F15957" s="626"/>
      <c r="G15957" s="626"/>
      <c r="H15957" s="626"/>
      <c r="I15957" s="626"/>
      <c r="J15957" s="626"/>
      <c r="K15957" s="626"/>
      <c r="L15957" s="626"/>
      <c r="M15957" s="626"/>
      <c r="N15957" s="626"/>
      <c r="O15957" s="626"/>
      <c r="P15957" s="626"/>
      <c r="Q15957" s="626"/>
      <c r="R15957" s="627"/>
    </row>
    <row r="15958" spans="1:18" ht="12.75" customHeight="1">
      <c r="A15958" s="630" t="s">
        <v>28611</v>
      </c>
      <c r="B15958" s="631"/>
      <c r="C15958" s="631"/>
      <c r="D15958" s="631"/>
      <c r="E15958" s="631"/>
      <c r="F15958" s="631"/>
      <c r="G15958" s="631"/>
      <c r="H15958" s="631"/>
      <c r="I15958" s="631"/>
      <c r="J15958" s="631"/>
      <c r="K15958" s="631"/>
      <c r="L15958" s="631"/>
      <c r="M15958" s="631"/>
      <c r="N15958" s="631"/>
      <c r="O15958" s="631"/>
      <c r="P15958" s="631"/>
      <c r="Q15958" s="631"/>
      <c r="R15958" s="631"/>
    </row>
    <row r="15959" spans="1:18" ht="12.75" customHeight="1">
      <c r="A15959" s="628" t="s">
        <v>28612</v>
      </c>
      <c r="B15959" s="629"/>
      <c r="C15959" s="629"/>
      <c r="D15959" s="629"/>
      <c r="E15959" s="629"/>
      <c r="F15959" s="629"/>
      <c r="G15959" s="629"/>
      <c r="H15959" s="629"/>
      <c r="I15959" s="629"/>
      <c r="J15959" s="629"/>
      <c r="K15959" s="629"/>
      <c r="L15959" s="629"/>
      <c r="M15959" s="629"/>
      <c r="N15959" s="629"/>
      <c r="O15959" s="629"/>
      <c r="P15959" s="629"/>
      <c r="Q15959" s="629"/>
      <c r="R15959" s="629"/>
    </row>
    <row r="15960" spans="1:18" ht="12.75" customHeight="1">
      <c r="A15960" s="628" t="s">
        <v>28613</v>
      </c>
      <c r="B15960" s="629"/>
      <c r="C15960" s="629"/>
      <c r="D15960" s="629"/>
      <c r="E15960" s="629"/>
      <c r="F15960" s="629"/>
      <c r="G15960" s="629"/>
      <c r="H15960" s="629"/>
      <c r="I15960" s="629"/>
      <c r="J15960" s="629"/>
      <c r="K15960" s="629"/>
      <c r="L15960" s="629"/>
      <c r="M15960" s="629"/>
      <c r="N15960" s="629"/>
      <c r="O15960" s="629"/>
      <c r="P15960" s="629"/>
      <c r="Q15960" s="629"/>
      <c r="R15960" s="629"/>
    </row>
    <row r="15961" spans="1:18" ht="36">
      <c r="A15961" s="486">
        <v>1</v>
      </c>
      <c r="B15961" s="483" t="s">
        <v>28614</v>
      </c>
      <c r="C15961" s="487" t="s">
        <v>28615</v>
      </c>
      <c r="D15961" s="488">
        <v>256.95</v>
      </c>
      <c r="E15961" s="488">
        <v>247.61</v>
      </c>
      <c r="F15961" s="488"/>
      <c r="G15961" s="488">
        <v>9.34</v>
      </c>
      <c r="H15961" s="489">
        <v>2942.91</v>
      </c>
      <c r="I15961" s="489">
        <v>2847.54</v>
      </c>
      <c r="J15961" s="489"/>
      <c r="K15961" s="489">
        <v>95.37</v>
      </c>
      <c r="L15961" s="43">
        <v>11.453239929947461</v>
      </c>
      <c r="M15961" s="43">
        <v>11.500100965227574</v>
      </c>
      <c r="N15961" s="43" t="s">
        <v>1690</v>
      </c>
      <c r="O15961" s="43">
        <v>10.210920770877944</v>
      </c>
      <c r="P15961" s="490"/>
      <c r="Q15961" s="490"/>
      <c r="R15961" s="490">
        <v>1</v>
      </c>
    </row>
    <row r="15962" spans="1:18" ht="36">
      <c r="A15962" s="486">
        <v>2</v>
      </c>
      <c r="B15962" s="483" t="s">
        <v>28616</v>
      </c>
      <c r="C15962" s="487" t="s">
        <v>28617</v>
      </c>
      <c r="D15962" s="488">
        <v>178.23</v>
      </c>
      <c r="E15962" s="488">
        <v>172.05</v>
      </c>
      <c r="F15962" s="488"/>
      <c r="G15962" s="488">
        <v>6.18</v>
      </c>
      <c r="H15962" s="489">
        <v>2042.16</v>
      </c>
      <c r="I15962" s="489">
        <v>1978.58</v>
      </c>
      <c r="J15962" s="489"/>
      <c r="K15962" s="489">
        <v>63.58</v>
      </c>
      <c r="L15962" s="43">
        <v>11.458003703080291</v>
      </c>
      <c r="M15962" s="43">
        <v>11.500029061319383</v>
      </c>
      <c r="N15962" s="43" t="s">
        <v>1690</v>
      </c>
      <c r="O15962" s="43">
        <v>10.288025889967638</v>
      </c>
      <c r="P15962" s="490"/>
      <c r="Q15962" s="490"/>
      <c r="R15962" s="490">
        <v>1</v>
      </c>
    </row>
    <row r="15963" spans="1:18" ht="36">
      <c r="A15963" s="486">
        <v>3</v>
      </c>
      <c r="B15963" s="483" t="s">
        <v>28618</v>
      </c>
      <c r="C15963" s="487" t="s">
        <v>28619</v>
      </c>
      <c r="D15963" s="488">
        <v>366.69</v>
      </c>
      <c r="E15963" s="488">
        <v>329.43</v>
      </c>
      <c r="F15963" s="488"/>
      <c r="G15963" s="488">
        <v>37.26</v>
      </c>
      <c r="H15963" s="489">
        <v>4133.17</v>
      </c>
      <c r="I15963" s="489">
        <v>3788.58</v>
      </c>
      <c r="J15963" s="489"/>
      <c r="K15963" s="489">
        <v>344.59</v>
      </c>
      <c r="L15963" s="43">
        <v>11.271564536802204</v>
      </c>
      <c r="M15963" s="43">
        <v>11.500409798743283</v>
      </c>
      <c r="N15963" s="43" t="s">
        <v>1690</v>
      </c>
      <c r="O15963" s="43">
        <v>9.2482555018786901</v>
      </c>
      <c r="P15963" s="490"/>
      <c r="Q15963" s="490"/>
      <c r="R15963" s="490">
        <v>1</v>
      </c>
    </row>
    <row r="15964" spans="1:18" ht="36">
      <c r="A15964" s="486">
        <v>4</v>
      </c>
      <c r="B15964" s="483" t="s">
        <v>28620</v>
      </c>
      <c r="C15964" s="487" t="s">
        <v>28621</v>
      </c>
      <c r="D15964" s="488">
        <v>412.56</v>
      </c>
      <c r="E15964" s="488">
        <v>372.27</v>
      </c>
      <c r="F15964" s="488"/>
      <c r="G15964" s="488">
        <v>40.29</v>
      </c>
      <c r="H15964" s="489">
        <v>4654.8500000000004</v>
      </c>
      <c r="I15964" s="489">
        <v>4281.3</v>
      </c>
      <c r="J15964" s="489"/>
      <c r="K15964" s="489">
        <v>373.55</v>
      </c>
      <c r="L15964" s="43">
        <v>11.282843707581929</v>
      </c>
      <c r="M15964" s="43">
        <v>11.500523813361271</v>
      </c>
      <c r="N15964" s="43" t="s">
        <v>1690</v>
      </c>
      <c r="O15964" s="43">
        <v>9.2715313973690741</v>
      </c>
      <c r="P15964" s="490"/>
      <c r="Q15964" s="490"/>
      <c r="R15964" s="490">
        <v>1</v>
      </c>
    </row>
    <row r="15965" spans="1:18" ht="36">
      <c r="A15965" s="486">
        <v>5</v>
      </c>
      <c r="B15965" s="483" t="s">
        <v>28622</v>
      </c>
      <c r="C15965" s="487" t="s">
        <v>28623</v>
      </c>
      <c r="D15965" s="488">
        <v>270.23</v>
      </c>
      <c r="E15965" s="488">
        <v>252.07</v>
      </c>
      <c r="F15965" s="488"/>
      <c r="G15965" s="488">
        <v>18.16</v>
      </c>
      <c r="H15965" s="489">
        <v>3071.93</v>
      </c>
      <c r="I15965" s="489">
        <v>2898.94</v>
      </c>
      <c r="J15965" s="489"/>
      <c r="K15965" s="489">
        <v>172.99</v>
      </c>
      <c r="L15965" s="43">
        <v>11.367834807386298</v>
      </c>
      <c r="M15965" s="43">
        <v>11.500535565517515</v>
      </c>
      <c r="N15965" s="43" t="s">
        <v>1690</v>
      </c>
      <c r="O15965" s="43">
        <v>9.5258810572687231</v>
      </c>
      <c r="P15965" s="490"/>
      <c r="Q15965" s="490"/>
      <c r="R15965" s="490">
        <v>1</v>
      </c>
    </row>
    <row r="15966" spans="1:18" ht="36">
      <c r="A15966" s="486">
        <v>6</v>
      </c>
      <c r="B15966" s="483" t="s">
        <v>28624</v>
      </c>
      <c r="C15966" s="487" t="s">
        <v>28625</v>
      </c>
      <c r="D15966" s="488">
        <v>400.65</v>
      </c>
      <c r="E15966" s="488">
        <v>360.6</v>
      </c>
      <c r="F15966" s="488"/>
      <c r="G15966" s="488">
        <v>40.049999999999997</v>
      </c>
      <c r="H15966" s="489">
        <v>4517.88</v>
      </c>
      <c r="I15966" s="489">
        <v>4147.09</v>
      </c>
      <c r="J15966" s="489"/>
      <c r="K15966" s="489">
        <v>370.79</v>
      </c>
      <c r="L15966" s="43">
        <v>11.276375889180084</v>
      </c>
      <c r="M15966" s="43">
        <v>11.500526899611758</v>
      </c>
      <c r="N15966" s="43" t="s">
        <v>1690</v>
      </c>
      <c r="O15966" s="43">
        <v>9.2581772784019982</v>
      </c>
      <c r="P15966" s="490"/>
      <c r="Q15966" s="490"/>
      <c r="R15966" s="490">
        <v>1</v>
      </c>
    </row>
    <row r="15967" spans="1:18" ht="24">
      <c r="A15967" s="486">
        <v>7</v>
      </c>
      <c r="B15967" s="483" t="s">
        <v>28626</v>
      </c>
      <c r="C15967" s="487" t="s">
        <v>28627</v>
      </c>
      <c r="D15967" s="488">
        <v>3549.94</v>
      </c>
      <c r="E15967" s="488">
        <v>2623</v>
      </c>
      <c r="F15967" s="488"/>
      <c r="G15967" s="488">
        <v>926.94</v>
      </c>
      <c r="H15967" s="489">
        <v>38432.35</v>
      </c>
      <c r="I15967" s="489">
        <v>30164.5</v>
      </c>
      <c r="J15967" s="489"/>
      <c r="K15967" s="489">
        <v>8267.85</v>
      </c>
      <c r="L15967" s="43">
        <v>10.826197062485562</v>
      </c>
      <c r="M15967" s="43">
        <v>11.5</v>
      </c>
      <c r="N15967" s="43" t="s">
        <v>1690</v>
      </c>
      <c r="O15967" s="43">
        <v>8.9195093533562044</v>
      </c>
      <c r="P15967" s="490"/>
      <c r="Q15967" s="490"/>
      <c r="R15967" s="490">
        <v>1</v>
      </c>
    </row>
    <row r="15968" spans="1:18" ht="12.75" customHeight="1">
      <c r="A15968" s="628" t="s">
        <v>28628</v>
      </c>
      <c r="B15968" s="629"/>
      <c r="C15968" s="629"/>
      <c r="D15968" s="629"/>
      <c r="E15968" s="629"/>
      <c r="F15968" s="629"/>
      <c r="G15968" s="629"/>
      <c r="H15968" s="629"/>
      <c r="I15968" s="629"/>
      <c r="J15968" s="629"/>
      <c r="K15968" s="629"/>
      <c r="L15968" s="629"/>
      <c r="M15968" s="629"/>
      <c r="N15968" s="629"/>
      <c r="O15968" s="629"/>
      <c r="P15968" s="629"/>
      <c r="Q15968" s="629"/>
      <c r="R15968" s="629"/>
    </row>
    <row r="15969" spans="1:18" ht="24">
      <c r="A15969" s="486">
        <v>8</v>
      </c>
      <c r="B15969" s="483" t="s">
        <v>28629</v>
      </c>
      <c r="C15969" s="487" t="s">
        <v>28630</v>
      </c>
      <c r="D15969" s="488">
        <v>313.83999999999997</v>
      </c>
      <c r="E15969" s="488">
        <v>305.73</v>
      </c>
      <c r="F15969" s="488"/>
      <c r="G15969" s="488">
        <v>8.11</v>
      </c>
      <c r="H15969" s="489">
        <v>3603.81</v>
      </c>
      <c r="I15969" s="489">
        <v>3516.02</v>
      </c>
      <c r="J15969" s="489"/>
      <c r="K15969" s="489">
        <v>87.79</v>
      </c>
      <c r="L15969" s="43">
        <v>11.482953097119552</v>
      </c>
      <c r="M15969" s="43">
        <v>11.500408857488633</v>
      </c>
      <c r="N15969" s="43" t="s">
        <v>1690</v>
      </c>
      <c r="O15969" s="43">
        <v>10.8249075215783</v>
      </c>
      <c r="P15969" s="490"/>
      <c r="Q15969" s="490"/>
      <c r="R15969" s="490">
        <v>2</v>
      </c>
    </row>
    <row r="15970" spans="1:18" ht="12.75" customHeight="1">
      <c r="A15970" s="628" t="s">
        <v>28631</v>
      </c>
      <c r="B15970" s="629"/>
      <c r="C15970" s="629"/>
      <c r="D15970" s="629"/>
      <c r="E15970" s="629"/>
      <c r="F15970" s="629"/>
      <c r="G15970" s="629"/>
      <c r="H15970" s="629"/>
      <c r="I15970" s="629"/>
      <c r="J15970" s="629"/>
      <c r="K15970" s="629"/>
      <c r="L15970" s="629"/>
      <c r="M15970" s="629"/>
      <c r="N15970" s="629"/>
      <c r="O15970" s="629"/>
      <c r="P15970" s="629"/>
      <c r="Q15970" s="629"/>
      <c r="R15970" s="629"/>
    </row>
    <row r="15971" spans="1:18" ht="12.75" customHeight="1">
      <c r="A15971" s="628" t="s">
        <v>28632</v>
      </c>
      <c r="B15971" s="629"/>
      <c r="C15971" s="629"/>
      <c r="D15971" s="629"/>
      <c r="E15971" s="629"/>
      <c r="F15971" s="629"/>
      <c r="G15971" s="629"/>
      <c r="H15971" s="629"/>
      <c r="I15971" s="629"/>
      <c r="J15971" s="629"/>
      <c r="K15971" s="629"/>
      <c r="L15971" s="629"/>
      <c r="M15971" s="629"/>
      <c r="N15971" s="629"/>
      <c r="O15971" s="629"/>
      <c r="P15971" s="629"/>
      <c r="Q15971" s="629"/>
      <c r="R15971" s="629"/>
    </row>
    <row r="15972" spans="1:18" ht="24">
      <c r="A15972" s="486">
        <v>9</v>
      </c>
      <c r="B15972" s="483" t="s">
        <v>28633</v>
      </c>
      <c r="C15972" s="487" t="s">
        <v>28634</v>
      </c>
      <c r="D15972" s="488">
        <v>105.35</v>
      </c>
      <c r="E15972" s="488">
        <v>103.23</v>
      </c>
      <c r="F15972" s="488"/>
      <c r="G15972" s="488">
        <v>2.12</v>
      </c>
      <c r="H15972" s="489">
        <v>1211.3599999999999</v>
      </c>
      <c r="I15972" s="489">
        <v>1187.1500000000001</v>
      </c>
      <c r="J15972" s="489"/>
      <c r="K15972" s="489">
        <v>24.21</v>
      </c>
      <c r="L15972" s="43">
        <v>11.498433792121499</v>
      </c>
      <c r="M15972" s="43">
        <v>11.500048435532307</v>
      </c>
      <c r="N15972" s="43" t="s">
        <v>1690</v>
      </c>
      <c r="O15972" s="43">
        <v>11.500158277936057</v>
      </c>
      <c r="P15972" s="490"/>
      <c r="Q15972" s="490"/>
      <c r="R15972" s="490">
        <v>1</v>
      </c>
    </row>
    <row r="15973" spans="1:18" ht="12.75" customHeight="1">
      <c r="A15973" s="628" t="s">
        <v>2739</v>
      </c>
      <c r="B15973" s="629"/>
      <c r="C15973" s="629"/>
      <c r="D15973" s="629"/>
      <c r="E15973" s="629"/>
      <c r="F15973" s="629"/>
      <c r="G15973" s="629"/>
      <c r="H15973" s="629"/>
      <c r="I15973" s="629"/>
      <c r="J15973" s="629"/>
      <c r="K15973" s="629"/>
      <c r="L15973" s="629"/>
      <c r="M15973" s="629"/>
      <c r="N15973" s="629"/>
      <c r="O15973" s="629"/>
      <c r="P15973" s="629"/>
      <c r="Q15973" s="629"/>
      <c r="R15973" s="629"/>
    </row>
    <row r="15974" spans="1:18" ht="24">
      <c r="A15974" s="486">
        <v>10</v>
      </c>
      <c r="B15974" s="483" t="s">
        <v>28635</v>
      </c>
      <c r="C15974" s="487" t="s">
        <v>28636</v>
      </c>
      <c r="D15974" s="488">
        <v>142.22</v>
      </c>
      <c r="E15974" s="488">
        <v>139.38</v>
      </c>
      <c r="F15974" s="488"/>
      <c r="G15974" s="488">
        <v>2.84</v>
      </c>
      <c r="H15974" s="489">
        <v>1635.39</v>
      </c>
      <c r="I15974" s="489">
        <v>1602.82</v>
      </c>
      <c r="J15974" s="489"/>
      <c r="K15974" s="489">
        <v>32.57</v>
      </c>
      <c r="L15974" s="43">
        <v>11.499015609618901</v>
      </c>
      <c r="M15974" s="43">
        <v>11.499641268474674</v>
      </c>
      <c r="N15974" s="43" t="s">
        <v>1690</v>
      </c>
      <c r="O15974" s="43">
        <v>11.500158277936057</v>
      </c>
      <c r="P15974" s="490"/>
      <c r="Q15974" s="490"/>
      <c r="R15974" s="490">
        <v>2</v>
      </c>
    </row>
    <row r="15975" spans="1:18" ht="36">
      <c r="A15975" s="486">
        <v>11</v>
      </c>
      <c r="B15975" s="483" t="s">
        <v>28637</v>
      </c>
      <c r="C15975" s="487" t="s">
        <v>28638</v>
      </c>
      <c r="D15975" s="488">
        <v>142.16999999999999</v>
      </c>
      <c r="E15975" s="488">
        <v>139.38</v>
      </c>
      <c r="F15975" s="488"/>
      <c r="G15975" s="488">
        <v>2.79</v>
      </c>
      <c r="H15975" s="489">
        <v>1634.91</v>
      </c>
      <c r="I15975" s="489">
        <v>1602.82</v>
      </c>
      <c r="J15975" s="489"/>
      <c r="K15975" s="489">
        <v>32.090000000000003</v>
      </c>
      <c r="L15975" s="43">
        <v>11.499683477526906</v>
      </c>
      <c r="M15975" s="43">
        <v>11.499641268474674</v>
      </c>
      <c r="N15975" s="43" t="s">
        <v>1690</v>
      </c>
      <c r="O15975" s="43">
        <v>11.501792114695341</v>
      </c>
      <c r="P15975" s="490"/>
      <c r="Q15975" s="490"/>
      <c r="R15975" s="490">
        <v>2</v>
      </c>
    </row>
    <row r="15976" spans="1:18" ht="12.75" customHeight="1">
      <c r="A15976" s="628" t="s">
        <v>28639</v>
      </c>
      <c r="B15976" s="629"/>
      <c r="C15976" s="629"/>
      <c r="D15976" s="629"/>
      <c r="E15976" s="629"/>
      <c r="F15976" s="629"/>
      <c r="G15976" s="629"/>
      <c r="H15976" s="629"/>
      <c r="I15976" s="629"/>
      <c r="J15976" s="629"/>
      <c r="K15976" s="629"/>
      <c r="L15976" s="629"/>
      <c r="M15976" s="629"/>
      <c r="N15976" s="629"/>
      <c r="O15976" s="629"/>
      <c r="P15976" s="629"/>
      <c r="Q15976" s="629"/>
      <c r="R15976" s="629"/>
    </row>
    <row r="15977" spans="1:18" ht="12.75" customHeight="1">
      <c r="A15977" s="628" t="s">
        <v>28640</v>
      </c>
      <c r="B15977" s="629"/>
      <c r="C15977" s="629"/>
      <c r="D15977" s="629"/>
      <c r="E15977" s="629"/>
      <c r="F15977" s="629"/>
      <c r="G15977" s="629"/>
      <c r="H15977" s="629"/>
      <c r="I15977" s="629"/>
      <c r="J15977" s="629"/>
      <c r="K15977" s="629"/>
      <c r="L15977" s="629"/>
      <c r="M15977" s="629"/>
      <c r="N15977" s="629"/>
      <c r="O15977" s="629"/>
      <c r="P15977" s="629"/>
      <c r="Q15977" s="629"/>
      <c r="R15977" s="629"/>
    </row>
    <row r="15978" spans="1:18" ht="24">
      <c r="A15978" s="486">
        <v>12</v>
      </c>
      <c r="B15978" s="483" t="s">
        <v>28641</v>
      </c>
      <c r="C15978" s="487" t="s">
        <v>28642</v>
      </c>
      <c r="D15978" s="488">
        <v>229.92</v>
      </c>
      <c r="E15978" s="488">
        <v>223.57</v>
      </c>
      <c r="F15978" s="488"/>
      <c r="G15978" s="488">
        <v>6.35</v>
      </c>
      <c r="H15978" s="489">
        <v>2639</v>
      </c>
      <c r="I15978" s="489">
        <v>2571.08</v>
      </c>
      <c r="J15978" s="489"/>
      <c r="K15978" s="489">
        <v>67.92</v>
      </c>
      <c r="L15978" s="43">
        <v>11.477905358385526</v>
      </c>
      <c r="M15978" s="43">
        <v>11.500111821800779</v>
      </c>
      <c r="N15978" s="43" t="s">
        <v>1690</v>
      </c>
      <c r="O15978" s="43">
        <v>10.696062992125984</v>
      </c>
      <c r="P15978" s="490"/>
      <c r="Q15978" s="490"/>
      <c r="R15978" s="490">
        <v>1</v>
      </c>
    </row>
    <row r="15979" spans="1:18" ht="24">
      <c r="A15979" s="486">
        <v>13</v>
      </c>
      <c r="B15979" s="483" t="s">
        <v>28643</v>
      </c>
      <c r="C15979" s="487" t="s">
        <v>28644</v>
      </c>
      <c r="D15979" s="488">
        <v>988.79</v>
      </c>
      <c r="E15979" s="488">
        <v>965.21</v>
      </c>
      <c r="F15979" s="488"/>
      <c r="G15979" s="488">
        <v>23.58</v>
      </c>
      <c r="H15979" s="489">
        <v>11359.37</v>
      </c>
      <c r="I15979" s="489">
        <v>11099.87</v>
      </c>
      <c r="J15979" s="489"/>
      <c r="K15979" s="489">
        <v>259.5</v>
      </c>
      <c r="L15979" s="43">
        <v>11.488152186005118</v>
      </c>
      <c r="M15979" s="43">
        <v>11.499953378021363</v>
      </c>
      <c r="N15979" s="43" t="s">
        <v>1690</v>
      </c>
      <c r="O15979" s="43">
        <v>11.005089058524174</v>
      </c>
      <c r="P15979" s="490"/>
      <c r="Q15979" s="490"/>
      <c r="R15979" s="490">
        <v>1</v>
      </c>
    </row>
    <row r="15980" spans="1:18" ht="12.75" customHeight="1">
      <c r="A15980" s="628" t="s">
        <v>28645</v>
      </c>
      <c r="B15980" s="629"/>
      <c r="C15980" s="629"/>
      <c r="D15980" s="629"/>
      <c r="E15980" s="629"/>
      <c r="F15980" s="629"/>
      <c r="G15980" s="629"/>
      <c r="H15980" s="629"/>
      <c r="I15980" s="629"/>
      <c r="J15980" s="629"/>
      <c r="K15980" s="629"/>
      <c r="L15980" s="629"/>
      <c r="M15980" s="629"/>
      <c r="N15980" s="629"/>
      <c r="O15980" s="629"/>
      <c r="P15980" s="629"/>
      <c r="Q15980" s="629"/>
      <c r="R15980" s="629"/>
    </row>
    <row r="15981" spans="1:18" ht="24">
      <c r="A15981" s="486">
        <v>14</v>
      </c>
      <c r="B15981" s="483" t="s">
        <v>28646</v>
      </c>
      <c r="C15981" s="487" t="s">
        <v>28647</v>
      </c>
      <c r="D15981" s="488">
        <v>72.66</v>
      </c>
      <c r="E15981" s="488">
        <v>71.239999999999995</v>
      </c>
      <c r="F15981" s="488"/>
      <c r="G15981" s="488">
        <v>1.42</v>
      </c>
      <c r="H15981" s="489">
        <v>835.6</v>
      </c>
      <c r="I15981" s="489">
        <v>819.27</v>
      </c>
      <c r="J15981" s="489"/>
      <c r="K15981" s="489">
        <v>16.329999999999998</v>
      </c>
      <c r="L15981" s="43">
        <v>11.500137627305259</v>
      </c>
      <c r="M15981" s="43">
        <v>11.500140370578327</v>
      </c>
      <c r="N15981" s="43" t="s">
        <v>1690</v>
      </c>
      <c r="O15981" s="43">
        <v>11.500158277936057</v>
      </c>
      <c r="P15981" s="490"/>
      <c r="Q15981" s="490"/>
      <c r="R15981" s="490">
        <v>2</v>
      </c>
    </row>
    <row r="15982" spans="1:18" ht="24">
      <c r="A15982" s="486">
        <v>15</v>
      </c>
      <c r="B15982" s="483" t="s">
        <v>28648</v>
      </c>
      <c r="C15982" s="487" t="s">
        <v>28649</v>
      </c>
      <c r="D15982" s="488">
        <v>109</v>
      </c>
      <c r="E15982" s="488">
        <v>106.86</v>
      </c>
      <c r="F15982" s="488"/>
      <c r="G15982" s="488">
        <v>2.14</v>
      </c>
      <c r="H15982" s="489">
        <v>1253.51</v>
      </c>
      <c r="I15982" s="489">
        <v>1228.9000000000001</v>
      </c>
      <c r="J15982" s="489"/>
      <c r="K15982" s="489">
        <v>24.61</v>
      </c>
      <c r="L15982" s="43">
        <v>11.500091743119267</v>
      </c>
      <c r="M15982" s="43">
        <v>11.500093580385553</v>
      </c>
      <c r="N15982" s="43" t="s">
        <v>1690</v>
      </c>
      <c r="O15982" s="43">
        <v>11.500158277936057</v>
      </c>
      <c r="P15982" s="490"/>
      <c r="Q15982" s="490"/>
      <c r="R15982" s="490">
        <v>2</v>
      </c>
    </row>
    <row r="15983" spans="1:18" ht="24">
      <c r="A15983" s="486">
        <v>16</v>
      </c>
      <c r="B15983" s="483" t="s">
        <v>28650</v>
      </c>
      <c r="C15983" s="487" t="s">
        <v>28651</v>
      </c>
      <c r="D15983" s="488">
        <v>109</v>
      </c>
      <c r="E15983" s="488">
        <v>106.86</v>
      </c>
      <c r="F15983" s="488"/>
      <c r="G15983" s="488">
        <v>2.14</v>
      </c>
      <c r="H15983" s="489">
        <v>1253.51</v>
      </c>
      <c r="I15983" s="489">
        <v>1228.9000000000001</v>
      </c>
      <c r="J15983" s="489"/>
      <c r="K15983" s="489">
        <v>24.61</v>
      </c>
      <c r="L15983" s="43">
        <v>11.500091743119267</v>
      </c>
      <c r="M15983" s="43">
        <v>11.500093580385553</v>
      </c>
      <c r="N15983" s="43" t="s">
        <v>1690</v>
      </c>
      <c r="O15983" s="43">
        <v>11.500158277936057</v>
      </c>
      <c r="P15983" s="490"/>
      <c r="Q15983" s="490"/>
      <c r="R15983" s="490">
        <v>2</v>
      </c>
    </row>
    <row r="15984" spans="1:18" ht="12.75" customHeight="1">
      <c r="A15984" s="628" t="s">
        <v>28652</v>
      </c>
      <c r="B15984" s="629"/>
      <c r="C15984" s="629"/>
      <c r="D15984" s="629"/>
      <c r="E15984" s="629"/>
      <c r="F15984" s="629"/>
      <c r="G15984" s="629"/>
      <c r="H15984" s="629"/>
      <c r="I15984" s="629"/>
      <c r="J15984" s="629"/>
      <c r="K15984" s="629"/>
      <c r="L15984" s="629"/>
      <c r="M15984" s="629"/>
      <c r="N15984" s="629"/>
      <c r="O15984" s="629"/>
      <c r="P15984" s="629"/>
      <c r="Q15984" s="629"/>
      <c r="R15984" s="629"/>
    </row>
    <row r="15985" spans="1:18" ht="24">
      <c r="A15985" s="486">
        <v>17</v>
      </c>
      <c r="B15985" s="483" t="s">
        <v>28653</v>
      </c>
      <c r="C15985" s="487" t="s">
        <v>28654</v>
      </c>
      <c r="D15985" s="488">
        <v>104.11</v>
      </c>
      <c r="E15985" s="488">
        <v>102.02</v>
      </c>
      <c r="F15985" s="488"/>
      <c r="G15985" s="488">
        <v>2.09</v>
      </c>
      <c r="H15985" s="489">
        <v>1197.23</v>
      </c>
      <c r="I15985" s="489">
        <v>1173.29</v>
      </c>
      <c r="J15985" s="489"/>
      <c r="K15985" s="489">
        <v>23.94</v>
      </c>
      <c r="L15985" s="43">
        <v>11.499663817116511</v>
      </c>
      <c r="M15985" s="43">
        <v>11.500588119976475</v>
      </c>
      <c r="N15985" s="43" t="s">
        <v>1690</v>
      </c>
      <c r="O15985" s="43">
        <v>11.500158277936057</v>
      </c>
      <c r="P15985" s="490"/>
      <c r="Q15985" s="490"/>
      <c r="R15985" s="490">
        <v>3</v>
      </c>
    </row>
    <row r="15986" spans="1:18" ht="24">
      <c r="A15986" s="486">
        <v>18</v>
      </c>
      <c r="B15986" s="483" t="s">
        <v>28655</v>
      </c>
      <c r="C15986" s="487" t="s">
        <v>28656</v>
      </c>
      <c r="D15986" s="488">
        <v>104.13</v>
      </c>
      <c r="E15986" s="488">
        <v>102.02</v>
      </c>
      <c r="F15986" s="488"/>
      <c r="G15986" s="488">
        <v>2.11</v>
      </c>
      <c r="H15986" s="489">
        <v>1197.3499999999999</v>
      </c>
      <c r="I15986" s="489">
        <v>1173.29</v>
      </c>
      <c r="J15986" s="489"/>
      <c r="K15986" s="489">
        <v>24.06</v>
      </c>
      <c r="L15986" s="43">
        <v>11.498607509843465</v>
      </c>
      <c r="M15986" s="43">
        <v>11.500588119976475</v>
      </c>
      <c r="N15986" s="43" t="s">
        <v>1690</v>
      </c>
      <c r="O15986" s="43">
        <v>11.500158277936057</v>
      </c>
      <c r="P15986" s="490"/>
      <c r="Q15986" s="490"/>
      <c r="R15986" s="490">
        <v>3</v>
      </c>
    </row>
    <row r="15987" spans="1:18" ht="24">
      <c r="A15987" s="486">
        <v>19</v>
      </c>
      <c r="B15987" s="483" t="s">
        <v>28657</v>
      </c>
      <c r="C15987" s="487" t="s">
        <v>28658</v>
      </c>
      <c r="D15987" s="488">
        <v>104.13</v>
      </c>
      <c r="E15987" s="488">
        <v>102.02</v>
      </c>
      <c r="F15987" s="488"/>
      <c r="G15987" s="488">
        <v>2.11</v>
      </c>
      <c r="H15987" s="489">
        <v>1197.3499999999999</v>
      </c>
      <c r="I15987" s="489">
        <v>1173.29</v>
      </c>
      <c r="J15987" s="489"/>
      <c r="K15987" s="489">
        <v>24.06</v>
      </c>
      <c r="L15987" s="43">
        <v>11.498607509843465</v>
      </c>
      <c r="M15987" s="43">
        <v>11.500588119976475</v>
      </c>
      <c r="N15987" s="43" t="s">
        <v>1690</v>
      </c>
      <c r="O15987" s="43">
        <v>11.500158277936057</v>
      </c>
      <c r="P15987" s="490"/>
      <c r="Q15987" s="490"/>
      <c r="R15987" s="490">
        <v>3</v>
      </c>
    </row>
    <row r="15988" spans="1:18" ht="12.75" customHeight="1">
      <c r="A15988" s="628" t="s">
        <v>28659</v>
      </c>
      <c r="B15988" s="629"/>
      <c r="C15988" s="629"/>
      <c r="D15988" s="629"/>
      <c r="E15988" s="629"/>
      <c r="F15988" s="629"/>
      <c r="G15988" s="629"/>
      <c r="H15988" s="629"/>
      <c r="I15988" s="629"/>
      <c r="J15988" s="629"/>
      <c r="K15988" s="629"/>
      <c r="L15988" s="629"/>
      <c r="M15988" s="629"/>
      <c r="N15988" s="629"/>
      <c r="O15988" s="629"/>
      <c r="P15988" s="629"/>
      <c r="Q15988" s="629"/>
      <c r="R15988" s="629"/>
    </row>
    <row r="15989" spans="1:18" ht="12.75" customHeight="1">
      <c r="A15989" s="628" t="s">
        <v>28660</v>
      </c>
      <c r="B15989" s="629"/>
      <c r="C15989" s="629"/>
      <c r="D15989" s="629"/>
      <c r="E15989" s="629"/>
      <c r="F15989" s="629"/>
      <c r="G15989" s="629"/>
      <c r="H15989" s="629"/>
      <c r="I15989" s="629"/>
      <c r="J15989" s="629"/>
      <c r="K15989" s="629"/>
      <c r="L15989" s="629"/>
      <c r="M15989" s="629"/>
      <c r="N15989" s="629"/>
      <c r="O15989" s="629"/>
      <c r="P15989" s="629"/>
      <c r="Q15989" s="629"/>
      <c r="R15989" s="629"/>
    </row>
    <row r="15990" spans="1:18" ht="24">
      <c r="A15990" s="486">
        <v>20</v>
      </c>
      <c r="B15990" s="483" t="s">
        <v>28661</v>
      </c>
      <c r="C15990" s="487" t="s">
        <v>28662</v>
      </c>
      <c r="D15990" s="488">
        <v>96.67</v>
      </c>
      <c r="E15990" s="488">
        <v>94.22</v>
      </c>
      <c r="F15990" s="488"/>
      <c r="G15990" s="488">
        <v>2.4500000000000002</v>
      </c>
      <c r="H15990" s="489">
        <v>1110.18</v>
      </c>
      <c r="I15990" s="489">
        <v>1083.55</v>
      </c>
      <c r="J15990" s="489"/>
      <c r="K15990" s="489">
        <v>26.63</v>
      </c>
      <c r="L15990" s="43">
        <v>11.484224681907522</v>
      </c>
      <c r="M15990" s="43">
        <v>11.500212269157291</v>
      </c>
      <c r="N15990" s="43" t="s">
        <v>1690</v>
      </c>
      <c r="O15990" s="43">
        <v>10.869387755102039</v>
      </c>
      <c r="P15990" s="490"/>
      <c r="Q15990" s="490"/>
      <c r="R15990" s="490">
        <v>1</v>
      </c>
    </row>
    <row r="15991" spans="1:18" ht="24">
      <c r="A15991" s="486">
        <v>21</v>
      </c>
      <c r="B15991" s="483" t="s">
        <v>28663</v>
      </c>
      <c r="C15991" s="487" t="s">
        <v>28664</v>
      </c>
      <c r="D15991" s="488">
        <v>207.01</v>
      </c>
      <c r="E15991" s="488">
        <v>202.95</v>
      </c>
      <c r="F15991" s="488"/>
      <c r="G15991" s="488">
        <v>4.0599999999999996</v>
      </c>
      <c r="H15991" s="489">
        <v>2380.65</v>
      </c>
      <c r="I15991" s="489">
        <v>2333.96</v>
      </c>
      <c r="J15991" s="489"/>
      <c r="K15991" s="489">
        <v>46.69</v>
      </c>
      <c r="L15991" s="43">
        <v>11.50016907395778</v>
      </c>
      <c r="M15991" s="43">
        <v>11.500172456270018</v>
      </c>
      <c r="N15991" s="43" t="s">
        <v>1690</v>
      </c>
      <c r="O15991" s="43">
        <v>11.5</v>
      </c>
      <c r="P15991" s="490"/>
      <c r="Q15991" s="490"/>
      <c r="R15991" s="490">
        <v>1</v>
      </c>
    </row>
    <row r="15992" spans="1:18" ht="24">
      <c r="A15992" s="486">
        <v>22</v>
      </c>
      <c r="B15992" s="483" t="s">
        <v>28665</v>
      </c>
      <c r="C15992" s="487" t="s">
        <v>28666</v>
      </c>
      <c r="D15992" s="488">
        <v>80.59</v>
      </c>
      <c r="E15992" s="488">
        <v>78.98</v>
      </c>
      <c r="F15992" s="488"/>
      <c r="G15992" s="488">
        <v>1.61</v>
      </c>
      <c r="H15992" s="489">
        <v>926.82</v>
      </c>
      <c r="I15992" s="489">
        <v>908.35</v>
      </c>
      <c r="J15992" s="489"/>
      <c r="K15992" s="489">
        <v>18.47</v>
      </c>
      <c r="L15992" s="43">
        <v>11.500434297059188</v>
      </c>
      <c r="M15992" s="43">
        <v>11.50101291466194</v>
      </c>
      <c r="N15992" s="43" t="s">
        <v>1690</v>
      </c>
      <c r="O15992" s="43">
        <v>11.500158277936057</v>
      </c>
      <c r="P15992" s="490"/>
      <c r="Q15992" s="490"/>
      <c r="R15992" s="490">
        <v>1</v>
      </c>
    </row>
    <row r="15993" spans="1:18" ht="24">
      <c r="A15993" s="486">
        <v>23</v>
      </c>
      <c r="B15993" s="483" t="s">
        <v>28667</v>
      </c>
      <c r="C15993" s="487" t="s">
        <v>28668</v>
      </c>
      <c r="D15993" s="488">
        <v>116.74</v>
      </c>
      <c r="E15993" s="488">
        <v>114.33</v>
      </c>
      <c r="F15993" s="488"/>
      <c r="G15993" s="488">
        <v>2.41</v>
      </c>
      <c r="H15993" s="489">
        <v>1342.15</v>
      </c>
      <c r="I15993" s="489">
        <v>1314.8</v>
      </c>
      <c r="J15993" s="489"/>
      <c r="K15993" s="489">
        <v>27.35</v>
      </c>
      <c r="L15993" s="43">
        <v>11.496916224087718</v>
      </c>
      <c r="M15993" s="43">
        <v>11.500043733053442</v>
      </c>
      <c r="N15993" s="43" t="s">
        <v>1690</v>
      </c>
      <c r="O15993" s="43">
        <v>11.500158277936057</v>
      </c>
      <c r="P15993" s="490"/>
      <c r="Q15993" s="490"/>
      <c r="R15993" s="490">
        <v>1</v>
      </c>
    </row>
    <row r="15994" spans="1:18" ht="12.75" customHeight="1">
      <c r="A15994" s="628" t="s">
        <v>28669</v>
      </c>
      <c r="B15994" s="629"/>
      <c r="C15994" s="629"/>
      <c r="D15994" s="629"/>
      <c r="E15994" s="629"/>
      <c r="F15994" s="629"/>
      <c r="G15994" s="629"/>
      <c r="H15994" s="629"/>
      <c r="I15994" s="629"/>
      <c r="J15994" s="629"/>
      <c r="K15994" s="629"/>
      <c r="L15994" s="629"/>
      <c r="M15994" s="629"/>
      <c r="N15994" s="629"/>
      <c r="O15994" s="629"/>
      <c r="P15994" s="629"/>
      <c r="Q15994" s="629"/>
      <c r="R15994" s="629"/>
    </row>
    <row r="15995" spans="1:18" ht="24">
      <c r="A15995" s="486">
        <v>24</v>
      </c>
      <c r="B15995" s="483" t="s">
        <v>28670</v>
      </c>
      <c r="C15995" s="487" t="s">
        <v>28671</v>
      </c>
      <c r="D15995" s="488">
        <v>100.53</v>
      </c>
      <c r="E15995" s="488">
        <v>98.56</v>
      </c>
      <c r="F15995" s="488"/>
      <c r="G15995" s="488">
        <v>1.97</v>
      </c>
      <c r="H15995" s="489">
        <v>1156.1500000000001</v>
      </c>
      <c r="I15995" s="489">
        <v>1133.49</v>
      </c>
      <c r="J15995" s="489"/>
      <c r="K15995" s="489">
        <v>22.66</v>
      </c>
      <c r="L15995" s="43">
        <v>11.500547100368051</v>
      </c>
      <c r="M15995" s="43">
        <v>11.500507305194805</v>
      </c>
      <c r="N15995" s="43" t="s">
        <v>1690</v>
      </c>
      <c r="O15995" s="43">
        <v>11.50253807106599</v>
      </c>
      <c r="P15995" s="490"/>
      <c r="Q15995" s="490"/>
      <c r="R15995" s="490">
        <v>2</v>
      </c>
    </row>
    <row r="15996" spans="1:18" ht="24">
      <c r="A15996" s="486">
        <v>25</v>
      </c>
      <c r="B15996" s="483" t="s">
        <v>28672</v>
      </c>
      <c r="C15996" s="487" t="s">
        <v>28673</v>
      </c>
      <c r="D15996" s="488">
        <v>100.8</v>
      </c>
      <c r="E15996" s="488">
        <v>98.56</v>
      </c>
      <c r="F15996" s="488"/>
      <c r="G15996" s="488">
        <v>2.2400000000000002</v>
      </c>
      <c r="H15996" s="489">
        <v>1158.5</v>
      </c>
      <c r="I15996" s="489">
        <v>1133.49</v>
      </c>
      <c r="J15996" s="489"/>
      <c r="K15996" s="489">
        <v>25.01</v>
      </c>
      <c r="L15996" s="43">
        <v>11.493055555555555</v>
      </c>
      <c r="M15996" s="43">
        <v>11.500507305194805</v>
      </c>
      <c r="N15996" s="43" t="s">
        <v>1690</v>
      </c>
      <c r="O15996" s="43">
        <v>11.165178571428571</v>
      </c>
      <c r="P15996" s="490"/>
      <c r="Q15996" s="490"/>
      <c r="R15996" s="490">
        <v>2</v>
      </c>
    </row>
    <row r="15997" spans="1:18" ht="12.75" customHeight="1">
      <c r="A15997" s="628" t="s">
        <v>28674</v>
      </c>
      <c r="B15997" s="629"/>
      <c r="C15997" s="629"/>
      <c r="D15997" s="629"/>
      <c r="E15997" s="629"/>
      <c r="F15997" s="629"/>
      <c r="G15997" s="629"/>
      <c r="H15997" s="629"/>
      <c r="I15997" s="629"/>
      <c r="J15997" s="629"/>
      <c r="K15997" s="629"/>
      <c r="L15997" s="629"/>
      <c r="M15997" s="629"/>
      <c r="N15997" s="629"/>
      <c r="O15997" s="629"/>
      <c r="P15997" s="629"/>
      <c r="Q15997" s="629"/>
      <c r="R15997" s="629"/>
    </row>
    <row r="15998" spans="1:18" ht="24">
      <c r="A15998" s="486">
        <v>26</v>
      </c>
      <c r="B15998" s="483" t="s">
        <v>28675</v>
      </c>
      <c r="C15998" s="487" t="s">
        <v>28676</v>
      </c>
      <c r="D15998" s="488">
        <v>836.97</v>
      </c>
      <c r="E15998" s="488">
        <v>817.36</v>
      </c>
      <c r="F15998" s="488"/>
      <c r="G15998" s="488">
        <v>19.61</v>
      </c>
      <c r="H15998" s="489">
        <v>9616.2199999999993</v>
      </c>
      <c r="I15998" s="489">
        <v>9399.64</v>
      </c>
      <c r="J15998" s="489"/>
      <c r="K15998" s="489">
        <v>216.58</v>
      </c>
      <c r="L15998" s="43">
        <v>11.489324587500148</v>
      </c>
      <c r="M15998" s="43">
        <v>11.499999999999998</v>
      </c>
      <c r="N15998" s="43" t="s">
        <v>1690</v>
      </c>
      <c r="O15998" s="43">
        <v>11.044365119836819</v>
      </c>
      <c r="P15998" s="490"/>
      <c r="Q15998" s="490"/>
      <c r="R15998" s="490">
        <v>3</v>
      </c>
    </row>
    <row r="15999" spans="1:18" ht="36">
      <c r="A15999" s="486">
        <v>27</v>
      </c>
      <c r="B15999" s="483" t="s">
        <v>28677</v>
      </c>
      <c r="C15999" s="487" t="s">
        <v>28678</v>
      </c>
      <c r="D15999" s="488">
        <v>200.63</v>
      </c>
      <c r="E15999" s="488">
        <v>196.7</v>
      </c>
      <c r="F15999" s="488"/>
      <c r="G15999" s="488">
        <v>3.93</v>
      </c>
      <c r="H15999" s="489">
        <v>2307.25</v>
      </c>
      <c r="I15999" s="489">
        <v>2262.0500000000002</v>
      </c>
      <c r="J15999" s="489"/>
      <c r="K15999" s="489">
        <v>45.2</v>
      </c>
      <c r="L15999" s="43">
        <v>11.500024921497284</v>
      </c>
      <c r="M15999" s="43">
        <v>11.500000000000002</v>
      </c>
      <c r="N15999" s="43" t="s">
        <v>1690</v>
      </c>
      <c r="O15999" s="43">
        <v>11.501272264631044</v>
      </c>
      <c r="P15999" s="490"/>
      <c r="Q15999" s="490"/>
      <c r="R15999" s="490">
        <v>3</v>
      </c>
    </row>
    <row r="16000" spans="1:18" ht="36">
      <c r="A16000" s="486">
        <v>28</v>
      </c>
      <c r="B16000" s="483" t="s">
        <v>28679</v>
      </c>
      <c r="C16000" s="487" t="s">
        <v>28680</v>
      </c>
      <c r="D16000" s="488">
        <v>96.54</v>
      </c>
      <c r="E16000" s="488">
        <v>92.17</v>
      </c>
      <c r="F16000" s="488"/>
      <c r="G16000" s="488">
        <v>4.37</v>
      </c>
      <c r="H16000" s="489">
        <v>1103.29</v>
      </c>
      <c r="I16000" s="489">
        <v>1059.93</v>
      </c>
      <c r="J16000" s="489"/>
      <c r="K16000" s="489">
        <v>43.36</v>
      </c>
      <c r="L16000" s="43">
        <v>11.428319867412471</v>
      </c>
      <c r="M16000" s="43">
        <v>11.499728762070088</v>
      </c>
      <c r="N16000" s="43" t="s">
        <v>1690</v>
      </c>
      <c r="O16000" s="43">
        <v>9.9221967963386728</v>
      </c>
      <c r="P16000" s="490"/>
      <c r="Q16000" s="490"/>
      <c r="R16000" s="490">
        <v>3</v>
      </c>
    </row>
    <row r="16001" spans="1:18" ht="24">
      <c r="A16001" s="486">
        <v>29</v>
      </c>
      <c r="B16001" s="483" t="s">
        <v>28681</v>
      </c>
      <c r="C16001" s="487" t="s">
        <v>28682</v>
      </c>
      <c r="D16001" s="488">
        <v>82.55</v>
      </c>
      <c r="E16001" s="488">
        <v>80.930000000000007</v>
      </c>
      <c r="F16001" s="488"/>
      <c r="G16001" s="488">
        <v>1.62</v>
      </c>
      <c r="H16001" s="489">
        <v>949.3</v>
      </c>
      <c r="I16001" s="489">
        <v>930.67</v>
      </c>
      <c r="J16001" s="489"/>
      <c r="K16001" s="489">
        <v>18.63</v>
      </c>
      <c r="L16001" s="43">
        <v>11.49969715324046</v>
      </c>
      <c r="M16001" s="43">
        <v>11.499691091066353</v>
      </c>
      <c r="N16001" s="43" t="s">
        <v>1690</v>
      </c>
      <c r="O16001" s="43">
        <v>11.499999999999998</v>
      </c>
      <c r="P16001" s="490"/>
      <c r="Q16001" s="490"/>
      <c r="R16001" s="490">
        <v>3</v>
      </c>
    </row>
    <row r="16002" spans="1:18" ht="24">
      <c r="A16002" s="486">
        <v>30</v>
      </c>
      <c r="B16002" s="483" t="s">
        <v>28683</v>
      </c>
      <c r="C16002" s="487" t="s">
        <v>28684</v>
      </c>
      <c r="D16002" s="488">
        <v>47</v>
      </c>
      <c r="E16002" s="488">
        <v>46.08</v>
      </c>
      <c r="F16002" s="488"/>
      <c r="G16002" s="488">
        <v>0.92</v>
      </c>
      <c r="H16002" s="489">
        <v>540.54999999999995</v>
      </c>
      <c r="I16002" s="489">
        <v>529.97</v>
      </c>
      <c r="J16002" s="489"/>
      <c r="K16002" s="489">
        <v>10.58</v>
      </c>
      <c r="L16002" s="43">
        <v>11.501063829787233</v>
      </c>
      <c r="M16002" s="43">
        <v>11.501085069444445</v>
      </c>
      <c r="N16002" s="43" t="s">
        <v>1690</v>
      </c>
      <c r="O16002" s="43">
        <v>11.5</v>
      </c>
      <c r="P16002" s="490"/>
      <c r="Q16002" s="490"/>
      <c r="R16002" s="490">
        <v>3</v>
      </c>
    </row>
    <row r="16003" spans="1:18" ht="36">
      <c r="A16003" s="486">
        <v>31</v>
      </c>
      <c r="B16003" s="483" t="s">
        <v>28685</v>
      </c>
      <c r="C16003" s="487" t="s">
        <v>28686</v>
      </c>
      <c r="D16003" s="488">
        <v>234.02</v>
      </c>
      <c r="E16003" s="488">
        <v>228.73</v>
      </c>
      <c r="F16003" s="488"/>
      <c r="G16003" s="488">
        <v>5.29</v>
      </c>
      <c r="H16003" s="489">
        <v>2689.34</v>
      </c>
      <c r="I16003" s="489">
        <v>2630.43</v>
      </c>
      <c r="J16003" s="489"/>
      <c r="K16003" s="489">
        <v>58.91</v>
      </c>
      <c r="L16003" s="43">
        <v>11.491923767199385</v>
      </c>
      <c r="M16003" s="43">
        <v>11.500153018843177</v>
      </c>
      <c r="N16003" s="43" t="s">
        <v>1690</v>
      </c>
      <c r="O16003" s="43">
        <v>11.136105860113421</v>
      </c>
      <c r="P16003" s="490"/>
      <c r="Q16003" s="490"/>
      <c r="R16003" s="490">
        <v>3</v>
      </c>
    </row>
    <row r="16004" spans="1:18" ht="36">
      <c r="A16004" s="486">
        <v>32</v>
      </c>
      <c r="B16004" s="483" t="s">
        <v>28687</v>
      </c>
      <c r="C16004" s="487" t="s">
        <v>28688</v>
      </c>
      <c r="D16004" s="488">
        <v>696.86</v>
      </c>
      <c r="E16004" s="488">
        <v>681.6</v>
      </c>
      <c r="F16004" s="488"/>
      <c r="G16004" s="488">
        <v>15.26</v>
      </c>
      <c r="H16004" s="489">
        <v>8009.42</v>
      </c>
      <c r="I16004" s="489">
        <v>7838.4</v>
      </c>
      <c r="J16004" s="489"/>
      <c r="K16004" s="489">
        <v>171.02</v>
      </c>
      <c r="L16004" s="43">
        <v>11.493585512154521</v>
      </c>
      <c r="M16004" s="43">
        <v>11.499999999999998</v>
      </c>
      <c r="N16004" s="43" t="s">
        <v>1690</v>
      </c>
      <c r="O16004" s="43">
        <v>11.207077326343382</v>
      </c>
      <c r="P16004" s="490"/>
      <c r="Q16004" s="490"/>
      <c r="R16004" s="490">
        <v>3</v>
      </c>
    </row>
    <row r="16005" spans="1:18" ht="24">
      <c r="A16005" s="486">
        <v>33</v>
      </c>
      <c r="B16005" s="483" t="s">
        <v>28689</v>
      </c>
      <c r="C16005" s="487" t="s">
        <v>28690</v>
      </c>
      <c r="D16005" s="488">
        <v>941.27</v>
      </c>
      <c r="E16005" s="488">
        <v>920.16</v>
      </c>
      <c r="F16005" s="488"/>
      <c r="G16005" s="488">
        <v>21.11</v>
      </c>
      <c r="H16005" s="489">
        <v>10817.22</v>
      </c>
      <c r="I16005" s="489">
        <v>10581.84</v>
      </c>
      <c r="J16005" s="489"/>
      <c r="K16005" s="489">
        <v>235.38</v>
      </c>
      <c r="L16005" s="43">
        <v>11.492154217174669</v>
      </c>
      <c r="M16005" s="43">
        <v>11.5</v>
      </c>
      <c r="N16005" s="43" t="s">
        <v>1690</v>
      </c>
      <c r="O16005" s="43">
        <v>11.150165798199906</v>
      </c>
      <c r="P16005" s="490"/>
      <c r="Q16005" s="490"/>
      <c r="R16005" s="490">
        <v>3</v>
      </c>
    </row>
    <row r="16006" spans="1:18" ht="12.75" customHeight="1">
      <c r="A16006" s="628" t="s">
        <v>28691</v>
      </c>
      <c r="B16006" s="629"/>
      <c r="C16006" s="629"/>
      <c r="D16006" s="629"/>
      <c r="E16006" s="629"/>
      <c r="F16006" s="629"/>
      <c r="G16006" s="629"/>
      <c r="H16006" s="629"/>
      <c r="I16006" s="629"/>
      <c r="J16006" s="629"/>
      <c r="K16006" s="629"/>
      <c r="L16006" s="629"/>
      <c r="M16006" s="629"/>
      <c r="N16006" s="629"/>
      <c r="O16006" s="629"/>
      <c r="P16006" s="629"/>
      <c r="Q16006" s="629"/>
      <c r="R16006" s="629"/>
    </row>
    <row r="16007" spans="1:18" ht="24">
      <c r="A16007" s="486">
        <v>34</v>
      </c>
      <c r="B16007" s="483" t="s">
        <v>28692</v>
      </c>
      <c r="C16007" s="487" t="s">
        <v>28693</v>
      </c>
      <c r="D16007" s="488">
        <v>370.85</v>
      </c>
      <c r="E16007" s="488">
        <v>363.56</v>
      </c>
      <c r="F16007" s="488"/>
      <c r="G16007" s="488">
        <v>7.29</v>
      </c>
      <c r="H16007" s="489">
        <v>4264.7</v>
      </c>
      <c r="I16007" s="489">
        <v>4180.9399999999996</v>
      </c>
      <c r="J16007" s="489"/>
      <c r="K16007" s="489">
        <v>83.76</v>
      </c>
      <c r="L16007" s="43">
        <v>11.499797761898341</v>
      </c>
      <c r="M16007" s="43">
        <v>11.499999999999998</v>
      </c>
      <c r="N16007" s="43" t="s">
        <v>1690</v>
      </c>
      <c r="O16007" s="43">
        <v>11.500158277936057</v>
      </c>
      <c r="P16007" s="490"/>
      <c r="Q16007" s="490"/>
      <c r="R16007" s="490">
        <v>4</v>
      </c>
    </row>
    <row r="16008" spans="1:18" ht="24">
      <c r="A16008" s="486">
        <v>35</v>
      </c>
      <c r="B16008" s="483" t="s">
        <v>28694</v>
      </c>
      <c r="C16008" s="487" t="s">
        <v>28695</v>
      </c>
      <c r="D16008" s="488">
        <v>45.63</v>
      </c>
      <c r="E16008" s="488">
        <v>44.51</v>
      </c>
      <c r="F16008" s="488"/>
      <c r="G16008" s="488">
        <v>1.1200000000000001</v>
      </c>
      <c r="H16008" s="489">
        <v>524.12</v>
      </c>
      <c r="I16008" s="489">
        <v>511.88</v>
      </c>
      <c r="J16008" s="489"/>
      <c r="K16008" s="489">
        <v>12.24</v>
      </c>
      <c r="L16008" s="43">
        <v>11.486302870918255</v>
      </c>
      <c r="M16008" s="43">
        <v>11.500337002920693</v>
      </c>
      <c r="N16008" s="43" t="s">
        <v>1690</v>
      </c>
      <c r="O16008" s="43">
        <v>10.928571428571427</v>
      </c>
      <c r="P16008" s="490"/>
      <c r="Q16008" s="490"/>
      <c r="R16008" s="490">
        <v>4</v>
      </c>
    </row>
    <row r="16009" spans="1:18" ht="12.75" customHeight="1">
      <c r="A16009" s="628" t="s">
        <v>28696</v>
      </c>
      <c r="B16009" s="629"/>
      <c r="C16009" s="629"/>
      <c r="D16009" s="629"/>
      <c r="E16009" s="629"/>
      <c r="F16009" s="629"/>
      <c r="G16009" s="629"/>
      <c r="H16009" s="629"/>
      <c r="I16009" s="629"/>
      <c r="J16009" s="629"/>
      <c r="K16009" s="629"/>
      <c r="L16009" s="629"/>
      <c r="M16009" s="629"/>
      <c r="N16009" s="629"/>
      <c r="O16009" s="629"/>
      <c r="P16009" s="629"/>
      <c r="Q16009" s="629"/>
      <c r="R16009" s="629"/>
    </row>
    <row r="16010" spans="1:18" ht="24">
      <c r="A16010" s="486">
        <v>36</v>
      </c>
      <c r="B16010" s="483" t="s">
        <v>28697</v>
      </c>
      <c r="C16010" s="487" t="s">
        <v>28698</v>
      </c>
      <c r="D16010" s="488">
        <v>349.85</v>
      </c>
      <c r="E16010" s="488">
        <v>342.99</v>
      </c>
      <c r="F16010" s="488"/>
      <c r="G16010" s="488">
        <v>6.86</v>
      </c>
      <c r="H16010" s="489">
        <v>4023.28</v>
      </c>
      <c r="I16010" s="489">
        <v>3944.39</v>
      </c>
      <c r="J16010" s="489"/>
      <c r="K16010" s="489">
        <v>78.89</v>
      </c>
      <c r="L16010" s="43">
        <v>11.50001429183936</v>
      </c>
      <c r="M16010" s="43">
        <v>11.50001457768448</v>
      </c>
      <c r="N16010" s="43" t="s">
        <v>1690</v>
      </c>
      <c r="O16010" s="43">
        <v>11.5</v>
      </c>
      <c r="P16010" s="490"/>
      <c r="Q16010" s="490"/>
      <c r="R16010" s="490">
        <v>5</v>
      </c>
    </row>
    <row r="16011" spans="1:18" ht="24">
      <c r="A16011" s="486">
        <v>37</v>
      </c>
      <c r="B16011" s="483" t="s">
        <v>28699</v>
      </c>
      <c r="C16011" s="487" t="s">
        <v>28700</v>
      </c>
      <c r="D16011" s="488">
        <v>89.81</v>
      </c>
      <c r="E16011" s="488">
        <v>87.84</v>
      </c>
      <c r="F16011" s="488"/>
      <c r="G16011" s="488">
        <v>1.97</v>
      </c>
      <c r="H16011" s="489">
        <v>1032.22</v>
      </c>
      <c r="I16011" s="489">
        <v>1010.16</v>
      </c>
      <c r="J16011" s="489"/>
      <c r="K16011" s="489">
        <v>22.06</v>
      </c>
      <c r="L16011" s="43">
        <v>11.493374902572096</v>
      </c>
      <c r="M16011" s="43">
        <v>11.5</v>
      </c>
      <c r="N16011" s="43" t="s">
        <v>1690</v>
      </c>
      <c r="O16011" s="43">
        <v>11.197969543147208</v>
      </c>
      <c r="P16011" s="490"/>
      <c r="Q16011" s="490"/>
      <c r="R16011" s="490">
        <v>5</v>
      </c>
    </row>
    <row r="16012" spans="1:18" ht="24">
      <c r="A16012" s="486">
        <v>38</v>
      </c>
      <c r="B16012" s="483" t="s">
        <v>28701</v>
      </c>
      <c r="C16012" s="487" t="s">
        <v>28702</v>
      </c>
      <c r="D16012" s="488">
        <v>92.84</v>
      </c>
      <c r="E16012" s="488">
        <v>91.02</v>
      </c>
      <c r="F16012" s="488"/>
      <c r="G16012" s="488">
        <v>1.82</v>
      </c>
      <c r="H16012" s="489">
        <v>1067.6600000000001</v>
      </c>
      <c r="I16012" s="489">
        <v>1046.73</v>
      </c>
      <c r="J16012" s="489"/>
      <c r="K16012" s="489">
        <v>20.93</v>
      </c>
      <c r="L16012" s="43">
        <v>11.5</v>
      </c>
      <c r="M16012" s="43">
        <v>11.5</v>
      </c>
      <c r="N16012" s="43" t="s">
        <v>1690</v>
      </c>
      <c r="O16012" s="43">
        <v>11.5</v>
      </c>
      <c r="P16012" s="490"/>
      <c r="Q16012" s="490"/>
      <c r="R16012" s="490">
        <v>5</v>
      </c>
    </row>
    <row r="16013" spans="1:18" ht="24">
      <c r="A16013" s="486">
        <v>39</v>
      </c>
      <c r="B16013" s="483" t="s">
        <v>28703</v>
      </c>
      <c r="C16013" s="487" t="s">
        <v>28704</v>
      </c>
      <c r="D16013" s="488">
        <v>244.71</v>
      </c>
      <c r="E16013" s="488">
        <v>239.76</v>
      </c>
      <c r="F16013" s="488"/>
      <c r="G16013" s="488">
        <v>4.95</v>
      </c>
      <c r="H16013" s="489">
        <v>2813.72</v>
      </c>
      <c r="I16013" s="489">
        <v>2757.24</v>
      </c>
      <c r="J16013" s="489"/>
      <c r="K16013" s="489">
        <v>56.48</v>
      </c>
      <c r="L16013" s="43">
        <v>11.498181520984021</v>
      </c>
      <c r="M16013" s="43">
        <v>11.5</v>
      </c>
      <c r="N16013" s="43" t="s">
        <v>1690</v>
      </c>
      <c r="O16013" s="43">
        <v>11.410101010101009</v>
      </c>
      <c r="P16013" s="490"/>
      <c r="Q16013" s="490"/>
      <c r="R16013" s="490">
        <v>5</v>
      </c>
    </row>
    <row r="16014" spans="1:18" ht="24">
      <c r="A16014" s="486">
        <v>40</v>
      </c>
      <c r="B16014" s="483" t="s">
        <v>28705</v>
      </c>
      <c r="C16014" s="487" t="s">
        <v>28706</v>
      </c>
      <c r="D16014" s="488">
        <v>198.35</v>
      </c>
      <c r="E16014" s="488">
        <v>194.25</v>
      </c>
      <c r="F16014" s="488"/>
      <c r="G16014" s="488">
        <v>4.0999999999999996</v>
      </c>
      <c r="H16014" s="489">
        <v>2280.44</v>
      </c>
      <c r="I16014" s="489">
        <v>2233.88</v>
      </c>
      <c r="J16014" s="489"/>
      <c r="K16014" s="489">
        <v>46.56</v>
      </c>
      <c r="L16014" s="43">
        <v>11.497050668011092</v>
      </c>
      <c r="M16014" s="43">
        <v>11.500025740025741</v>
      </c>
      <c r="N16014" s="43" t="s">
        <v>1690</v>
      </c>
      <c r="O16014" s="43">
        <v>11.356097560975611</v>
      </c>
      <c r="P16014" s="490"/>
      <c r="Q16014" s="490"/>
      <c r="R16014" s="490">
        <v>5</v>
      </c>
    </row>
    <row r="16015" spans="1:18" ht="24">
      <c r="A16015" s="486">
        <v>41</v>
      </c>
      <c r="B16015" s="483" t="s">
        <v>28707</v>
      </c>
      <c r="C16015" s="487" t="s">
        <v>28708</v>
      </c>
      <c r="D16015" s="488">
        <v>105.34</v>
      </c>
      <c r="E16015" s="488">
        <v>103.23</v>
      </c>
      <c r="F16015" s="488"/>
      <c r="G16015" s="488">
        <v>2.11</v>
      </c>
      <c r="H16015" s="489">
        <v>1211.26</v>
      </c>
      <c r="I16015" s="489">
        <v>1187.1500000000001</v>
      </c>
      <c r="J16015" s="489"/>
      <c r="K16015" s="489">
        <v>24.11</v>
      </c>
      <c r="L16015" s="43">
        <v>11.498576039491171</v>
      </c>
      <c r="M16015" s="43">
        <v>11.500048435532307</v>
      </c>
      <c r="N16015" s="43" t="s">
        <v>1690</v>
      </c>
      <c r="O16015" s="43">
        <v>11.42654028436019</v>
      </c>
      <c r="P16015" s="490"/>
      <c r="Q16015" s="490"/>
      <c r="R16015" s="490">
        <v>5</v>
      </c>
    </row>
    <row r="16016" spans="1:18" ht="24">
      <c r="A16016" s="486">
        <v>42</v>
      </c>
      <c r="B16016" s="483" t="s">
        <v>28709</v>
      </c>
      <c r="C16016" s="487" t="s">
        <v>28710</v>
      </c>
      <c r="D16016" s="488">
        <v>129.77000000000001</v>
      </c>
      <c r="E16016" s="488">
        <v>127.01</v>
      </c>
      <c r="F16016" s="488"/>
      <c r="G16016" s="488">
        <v>2.76</v>
      </c>
      <c r="H16016" s="489">
        <v>1491.79</v>
      </c>
      <c r="I16016" s="489">
        <v>1460.64</v>
      </c>
      <c r="J16016" s="489"/>
      <c r="K16016" s="489">
        <v>31.15</v>
      </c>
      <c r="L16016" s="43">
        <v>11.495646143176387</v>
      </c>
      <c r="M16016" s="43">
        <v>11.50019683489489</v>
      </c>
      <c r="N16016" s="43" t="s">
        <v>1690</v>
      </c>
      <c r="O16016" s="43">
        <v>11.286231884057971</v>
      </c>
      <c r="P16016" s="490"/>
      <c r="Q16016" s="490"/>
      <c r="R16016" s="490">
        <v>5</v>
      </c>
    </row>
    <row r="16017" spans="1:18" ht="24">
      <c r="A16017" s="486">
        <v>43</v>
      </c>
      <c r="B16017" s="483" t="s">
        <v>28711</v>
      </c>
      <c r="C16017" s="487" t="s">
        <v>28712</v>
      </c>
      <c r="D16017" s="488">
        <v>130.13999999999999</v>
      </c>
      <c r="E16017" s="488">
        <v>127.01</v>
      </c>
      <c r="F16017" s="488"/>
      <c r="G16017" s="488">
        <v>3.13</v>
      </c>
      <c r="H16017" s="489">
        <v>1495.04</v>
      </c>
      <c r="I16017" s="489">
        <v>1460.64</v>
      </c>
      <c r="J16017" s="489"/>
      <c r="K16017" s="489">
        <v>34.4</v>
      </c>
      <c r="L16017" s="43">
        <v>11.487936068848933</v>
      </c>
      <c r="M16017" s="43">
        <v>11.50019683489489</v>
      </c>
      <c r="N16017" s="43" t="s">
        <v>1690</v>
      </c>
      <c r="O16017" s="43">
        <v>10.990415335463259</v>
      </c>
      <c r="P16017" s="490"/>
      <c r="Q16017" s="490"/>
      <c r="R16017" s="490">
        <v>5</v>
      </c>
    </row>
    <row r="16018" spans="1:18" ht="12.75" customHeight="1">
      <c r="A16018" s="628" t="s">
        <v>28713</v>
      </c>
      <c r="B16018" s="629"/>
      <c r="C16018" s="629"/>
      <c r="D16018" s="629"/>
      <c r="E16018" s="629"/>
      <c r="F16018" s="629"/>
      <c r="G16018" s="629"/>
      <c r="H16018" s="629"/>
      <c r="I16018" s="629"/>
      <c r="J16018" s="629"/>
      <c r="K16018" s="629"/>
      <c r="L16018" s="629"/>
      <c r="M16018" s="629"/>
      <c r="N16018" s="629"/>
      <c r="O16018" s="629"/>
      <c r="P16018" s="629"/>
      <c r="Q16018" s="629"/>
      <c r="R16018" s="629"/>
    </row>
    <row r="16019" spans="1:18" ht="12.75" customHeight="1">
      <c r="A16019" s="628" t="s">
        <v>28714</v>
      </c>
      <c r="B16019" s="629"/>
      <c r="C16019" s="629"/>
      <c r="D16019" s="629"/>
      <c r="E16019" s="629"/>
      <c r="F16019" s="629"/>
      <c r="G16019" s="629"/>
      <c r="H16019" s="629"/>
      <c r="I16019" s="629"/>
      <c r="J16019" s="629"/>
      <c r="K16019" s="629"/>
      <c r="L16019" s="629"/>
      <c r="M16019" s="629"/>
      <c r="N16019" s="629"/>
      <c r="O16019" s="629"/>
      <c r="P16019" s="629"/>
      <c r="Q16019" s="629"/>
      <c r="R16019" s="629"/>
    </row>
    <row r="16020" spans="1:18" ht="36">
      <c r="A16020" s="486">
        <v>44</v>
      </c>
      <c r="B16020" s="483" t="s">
        <v>28715</v>
      </c>
      <c r="C16020" s="487" t="s">
        <v>28716</v>
      </c>
      <c r="D16020" s="488">
        <v>177.77</v>
      </c>
      <c r="E16020" s="488">
        <v>174.22</v>
      </c>
      <c r="F16020" s="488"/>
      <c r="G16020" s="488">
        <v>3.55</v>
      </c>
      <c r="H16020" s="489">
        <v>2044.15</v>
      </c>
      <c r="I16020" s="489">
        <v>2003.53</v>
      </c>
      <c r="J16020" s="489"/>
      <c r="K16020" s="489">
        <v>40.619999999999997</v>
      </c>
      <c r="L16020" s="43">
        <v>11.498846824548574</v>
      </c>
      <c r="M16020" s="43">
        <v>11.5</v>
      </c>
      <c r="N16020" s="43" t="s">
        <v>1690</v>
      </c>
      <c r="O16020" s="43">
        <v>11.44225352112676</v>
      </c>
      <c r="P16020" s="490"/>
      <c r="Q16020" s="490"/>
      <c r="R16020" s="490">
        <v>1</v>
      </c>
    </row>
    <row r="16021" spans="1:18" ht="12.75" customHeight="1">
      <c r="A16021" s="628" t="s">
        <v>28717</v>
      </c>
      <c r="B16021" s="629"/>
      <c r="C16021" s="629"/>
      <c r="D16021" s="629"/>
      <c r="E16021" s="629"/>
      <c r="F16021" s="629"/>
      <c r="G16021" s="629"/>
      <c r="H16021" s="629"/>
      <c r="I16021" s="629"/>
      <c r="J16021" s="629"/>
      <c r="K16021" s="629"/>
      <c r="L16021" s="629"/>
      <c r="M16021" s="629"/>
      <c r="N16021" s="629"/>
      <c r="O16021" s="629"/>
      <c r="P16021" s="629"/>
      <c r="Q16021" s="629"/>
      <c r="R16021" s="629"/>
    </row>
    <row r="16022" spans="1:18" ht="36">
      <c r="A16022" s="486">
        <v>45</v>
      </c>
      <c r="B16022" s="483" t="s">
        <v>28718</v>
      </c>
      <c r="C16022" s="487" t="s">
        <v>28719</v>
      </c>
      <c r="D16022" s="488">
        <v>350.6</v>
      </c>
      <c r="E16022" s="488">
        <v>342.99</v>
      </c>
      <c r="F16022" s="488"/>
      <c r="G16022" s="488">
        <v>7.61</v>
      </c>
      <c r="H16022" s="489">
        <v>4029.84</v>
      </c>
      <c r="I16022" s="489">
        <v>3944.39</v>
      </c>
      <c r="J16022" s="489"/>
      <c r="K16022" s="489">
        <v>85.45</v>
      </c>
      <c r="L16022" s="43">
        <v>11.494124358243011</v>
      </c>
      <c r="M16022" s="43">
        <v>11.50001457768448</v>
      </c>
      <c r="N16022" s="43" t="s">
        <v>1690</v>
      </c>
      <c r="O16022" s="43">
        <v>11.228646517739817</v>
      </c>
      <c r="P16022" s="490"/>
      <c r="Q16022" s="490"/>
      <c r="R16022" s="490">
        <v>2</v>
      </c>
    </row>
    <row r="16023" spans="1:18" ht="24">
      <c r="A16023" s="486">
        <v>46</v>
      </c>
      <c r="B16023" s="483" t="s">
        <v>28720</v>
      </c>
      <c r="C16023" s="487" t="s">
        <v>28721</v>
      </c>
      <c r="D16023" s="488">
        <v>164.82</v>
      </c>
      <c r="E16023" s="488">
        <v>160.94999999999999</v>
      </c>
      <c r="F16023" s="488"/>
      <c r="G16023" s="488">
        <v>3.87</v>
      </c>
      <c r="H16023" s="489">
        <v>1893.62</v>
      </c>
      <c r="I16023" s="489">
        <v>1850.93</v>
      </c>
      <c r="J16023" s="489"/>
      <c r="K16023" s="489">
        <v>42.69</v>
      </c>
      <c r="L16023" s="43">
        <v>11.489018323019051</v>
      </c>
      <c r="M16023" s="43">
        <v>11.500031065548308</v>
      </c>
      <c r="N16023" s="43" t="s">
        <v>1690</v>
      </c>
      <c r="O16023" s="43">
        <v>11.031007751937983</v>
      </c>
      <c r="P16023" s="490"/>
      <c r="Q16023" s="490"/>
      <c r="R16023" s="490">
        <v>2</v>
      </c>
    </row>
    <row r="16024" spans="1:18" ht="24">
      <c r="A16024" s="486">
        <v>47</v>
      </c>
      <c r="B16024" s="483" t="s">
        <v>28722</v>
      </c>
      <c r="C16024" s="487" t="s">
        <v>28723</v>
      </c>
      <c r="D16024" s="488">
        <v>537.23</v>
      </c>
      <c r="E16024" s="488">
        <v>525.91</v>
      </c>
      <c r="F16024" s="488"/>
      <c r="G16024" s="488">
        <v>11.32</v>
      </c>
      <c r="H16024" s="489">
        <v>6176.17</v>
      </c>
      <c r="I16024" s="489">
        <v>6048.19</v>
      </c>
      <c r="J16024" s="489"/>
      <c r="K16024" s="489">
        <v>127.98</v>
      </c>
      <c r="L16024" s="43">
        <v>11.496323734713251</v>
      </c>
      <c r="M16024" s="43">
        <v>11.50042782985682</v>
      </c>
      <c r="N16024" s="43" t="s">
        <v>1690</v>
      </c>
      <c r="O16024" s="43">
        <v>11.30565371024735</v>
      </c>
      <c r="P16024" s="490"/>
      <c r="Q16024" s="490"/>
      <c r="R16024" s="490">
        <v>2</v>
      </c>
    </row>
    <row r="16025" spans="1:18" ht="12.75" customHeight="1">
      <c r="A16025" s="628" t="s">
        <v>28724</v>
      </c>
      <c r="B16025" s="629"/>
      <c r="C16025" s="629"/>
      <c r="D16025" s="629"/>
      <c r="E16025" s="629"/>
      <c r="F16025" s="629"/>
      <c r="G16025" s="629"/>
      <c r="H16025" s="629"/>
      <c r="I16025" s="629"/>
      <c r="J16025" s="629"/>
      <c r="K16025" s="629"/>
      <c r="L16025" s="629"/>
      <c r="M16025" s="629"/>
      <c r="N16025" s="629"/>
      <c r="O16025" s="629"/>
      <c r="P16025" s="629"/>
      <c r="Q16025" s="629"/>
      <c r="R16025" s="629"/>
    </row>
    <row r="16026" spans="1:18" ht="12.75" customHeight="1">
      <c r="A16026" s="628" t="s">
        <v>28725</v>
      </c>
      <c r="B16026" s="629"/>
      <c r="C16026" s="629"/>
      <c r="D16026" s="629"/>
      <c r="E16026" s="629"/>
      <c r="F16026" s="629"/>
      <c r="G16026" s="629"/>
      <c r="H16026" s="629"/>
      <c r="I16026" s="629"/>
      <c r="J16026" s="629"/>
      <c r="K16026" s="629"/>
      <c r="L16026" s="629"/>
      <c r="M16026" s="629"/>
      <c r="N16026" s="629"/>
      <c r="O16026" s="629"/>
      <c r="P16026" s="629"/>
      <c r="Q16026" s="629"/>
      <c r="R16026" s="629"/>
    </row>
    <row r="16027" spans="1:18" ht="24">
      <c r="A16027" s="486">
        <v>48</v>
      </c>
      <c r="B16027" s="483" t="s">
        <v>28726</v>
      </c>
      <c r="C16027" s="487" t="s">
        <v>28727</v>
      </c>
      <c r="D16027" s="488">
        <v>164.69</v>
      </c>
      <c r="E16027" s="488">
        <v>161.07</v>
      </c>
      <c r="F16027" s="488"/>
      <c r="G16027" s="488">
        <v>3.62</v>
      </c>
      <c r="H16027" s="489">
        <v>1892.86</v>
      </c>
      <c r="I16027" s="489">
        <v>1852.28</v>
      </c>
      <c r="J16027" s="489"/>
      <c r="K16027" s="489">
        <v>40.58</v>
      </c>
      <c r="L16027" s="43">
        <v>11.493472584856397</v>
      </c>
      <c r="M16027" s="43">
        <v>11.499844787980381</v>
      </c>
      <c r="N16027" s="43" t="s">
        <v>1690</v>
      </c>
      <c r="O16027" s="43">
        <v>11.209944751381215</v>
      </c>
      <c r="P16027" s="490"/>
      <c r="Q16027" s="490"/>
      <c r="R16027" s="490">
        <v>1</v>
      </c>
    </row>
    <row r="16028" spans="1:18" ht="24">
      <c r="A16028" s="486">
        <v>49</v>
      </c>
      <c r="B16028" s="483" t="s">
        <v>28728</v>
      </c>
      <c r="C16028" s="487" t="s">
        <v>28729</v>
      </c>
      <c r="D16028" s="488">
        <v>379.73</v>
      </c>
      <c r="E16028" s="488">
        <v>371.42</v>
      </c>
      <c r="F16028" s="488"/>
      <c r="G16028" s="488">
        <v>8.31</v>
      </c>
      <c r="H16028" s="489">
        <v>4364.51</v>
      </c>
      <c r="I16028" s="489">
        <v>4271.3100000000004</v>
      </c>
      <c r="J16028" s="489"/>
      <c r="K16028" s="489">
        <v>93.2</v>
      </c>
      <c r="L16028" s="43">
        <v>11.493719221552155</v>
      </c>
      <c r="M16028" s="43">
        <v>11.499946152603522</v>
      </c>
      <c r="N16028" s="43" t="s">
        <v>1690</v>
      </c>
      <c r="O16028" s="43">
        <v>11.21540312876053</v>
      </c>
      <c r="P16028" s="490"/>
      <c r="Q16028" s="490"/>
      <c r="R16028" s="490">
        <v>1</v>
      </c>
    </row>
    <row r="16029" spans="1:18" ht="24">
      <c r="A16029" s="486">
        <v>50</v>
      </c>
      <c r="B16029" s="483" t="s">
        <v>28730</v>
      </c>
      <c r="C16029" s="487" t="s">
        <v>28731</v>
      </c>
      <c r="D16029" s="488">
        <v>100.59</v>
      </c>
      <c r="E16029" s="488">
        <v>98.56</v>
      </c>
      <c r="F16029" s="488"/>
      <c r="G16029" s="488">
        <v>2.0299999999999998</v>
      </c>
      <c r="H16029" s="489">
        <v>1156.6600000000001</v>
      </c>
      <c r="I16029" s="489">
        <v>1133.49</v>
      </c>
      <c r="J16029" s="489"/>
      <c r="K16029" s="489">
        <v>23.17</v>
      </c>
      <c r="L16029" s="43">
        <v>11.498757331742718</v>
      </c>
      <c r="M16029" s="43">
        <v>11.500507305194805</v>
      </c>
      <c r="N16029" s="43" t="s">
        <v>1690</v>
      </c>
      <c r="O16029" s="43">
        <v>11.413793103448278</v>
      </c>
      <c r="P16029" s="490"/>
      <c r="Q16029" s="490"/>
      <c r="R16029" s="490">
        <v>1</v>
      </c>
    </row>
    <row r="16030" spans="1:18" ht="24">
      <c r="A16030" s="486">
        <v>51</v>
      </c>
      <c r="B16030" s="483" t="s">
        <v>28732</v>
      </c>
      <c r="C16030" s="487" t="s">
        <v>28733</v>
      </c>
      <c r="D16030" s="488">
        <v>107.82</v>
      </c>
      <c r="E16030" s="488">
        <v>105.65</v>
      </c>
      <c r="F16030" s="488"/>
      <c r="G16030" s="488">
        <v>2.17</v>
      </c>
      <c r="H16030" s="489">
        <v>1239.73</v>
      </c>
      <c r="I16030" s="489">
        <v>1214.95</v>
      </c>
      <c r="J16030" s="489"/>
      <c r="K16030" s="489">
        <v>24.78</v>
      </c>
      <c r="L16030" s="43">
        <v>11.498145056575776</v>
      </c>
      <c r="M16030" s="43">
        <v>11.499763369616659</v>
      </c>
      <c r="N16030" s="43" t="s">
        <v>1690</v>
      </c>
      <c r="O16030" s="43">
        <v>11.419354838709678</v>
      </c>
      <c r="P16030" s="490"/>
      <c r="Q16030" s="490"/>
      <c r="R16030" s="490">
        <v>1</v>
      </c>
    </row>
    <row r="16031" spans="1:18" ht="24">
      <c r="A16031" s="486">
        <v>52</v>
      </c>
      <c r="B16031" s="483" t="s">
        <v>28734</v>
      </c>
      <c r="C16031" s="487" t="s">
        <v>28735</v>
      </c>
      <c r="D16031" s="488">
        <v>238.8</v>
      </c>
      <c r="E16031" s="488">
        <v>234.02</v>
      </c>
      <c r="F16031" s="488"/>
      <c r="G16031" s="488">
        <v>4.78</v>
      </c>
      <c r="H16031" s="489">
        <v>2745.83</v>
      </c>
      <c r="I16031" s="489">
        <v>2691.18</v>
      </c>
      <c r="J16031" s="489"/>
      <c r="K16031" s="489">
        <v>54.65</v>
      </c>
      <c r="L16031" s="43">
        <v>11.498450586264656</v>
      </c>
      <c r="M16031" s="43">
        <v>11.499786343047601</v>
      </c>
      <c r="N16031" s="43" t="s">
        <v>1690</v>
      </c>
      <c r="O16031" s="43">
        <v>11.433054393305438</v>
      </c>
      <c r="P16031" s="490"/>
      <c r="Q16031" s="490"/>
      <c r="R16031" s="490">
        <v>1</v>
      </c>
    </row>
    <row r="16032" spans="1:18" ht="24">
      <c r="A16032" s="486">
        <v>53</v>
      </c>
      <c r="B16032" s="483" t="s">
        <v>28736</v>
      </c>
      <c r="C16032" s="487" t="s">
        <v>28737</v>
      </c>
      <c r="D16032" s="488">
        <v>107.79</v>
      </c>
      <c r="E16032" s="488">
        <v>105.65</v>
      </c>
      <c r="F16032" s="488"/>
      <c r="G16032" s="488">
        <v>2.14</v>
      </c>
      <c r="H16032" s="489">
        <v>1239.49</v>
      </c>
      <c r="I16032" s="489">
        <v>1214.95</v>
      </c>
      <c r="J16032" s="489"/>
      <c r="K16032" s="489">
        <v>24.54</v>
      </c>
      <c r="L16032" s="43">
        <v>11.499118656647184</v>
      </c>
      <c r="M16032" s="43">
        <v>11.499763369616659</v>
      </c>
      <c r="N16032" s="43" t="s">
        <v>1690</v>
      </c>
      <c r="O16032" s="43">
        <v>11.467289719626168</v>
      </c>
      <c r="P16032" s="490"/>
      <c r="Q16032" s="490"/>
      <c r="R16032" s="490">
        <v>1</v>
      </c>
    </row>
    <row r="16033" spans="1:18" ht="24">
      <c r="A16033" s="486">
        <v>54</v>
      </c>
      <c r="B16033" s="483" t="s">
        <v>28738</v>
      </c>
      <c r="C16033" s="487" t="s">
        <v>28739</v>
      </c>
      <c r="D16033" s="488">
        <v>143.81</v>
      </c>
      <c r="E16033" s="488">
        <v>140.86000000000001</v>
      </c>
      <c r="F16033" s="488"/>
      <c r="G16033" s="488">
        <v>2.95</v>
      </c>
      <c r="H16033" s="489">
        <v>1653.53</v>
      </c>
      <c r="I16033" s="489">
        <v>1619.94</v>
      </c>
      <c r="J16033" s="489"/>
      <c r="K16033" s="489">
        <v>33.590000000000003</v>
      </c>
      <c r="L16033" s="43">
        <v>11.49801821848272</v>
      </c>
      <c r="M16033" s="43">
        <v>11.500354962373988</v>
      </c>
      <c r="N16033" s="43" t="s">
        <v>1690</v>
      </c>
      <c r="O16033" s="43">
        <v>11.386440677966101</v>
      </c>
      <c r="P16033" s="490"/>
      <c r="Q16033" s="490"/>
      <c r="R16033" s="490">
        <v>1</v>
      </c>
    </row>
    <row r="16034" spans="1:18" ht="24">
      <c r="A16034" s="486">
        <v>55</v>
      </c>
      <c r="B16034" s="483" t="s">
        <v>28740</v>
      </c>
      <c r="C16034" s="487" t="s">
        <v>28741</v>
      </c>
      <c r="D16034" s="488">
        <v>343.32</v>
      </c>
      <c r="E16034" s="488">
        <v>336.1</v>
      </c>
      <c r="F16034" s="488"/>
      <c r="G16034" s="488">
        <v>7.22</v>
      </c>
      <c r="H16034" s="489">
        <v>3946.91</v>
      </c>
      <c r="I16034" s="489">
        <v>3865.25</v>
      </c>
      <c r="J16034" s="489"/>
      <c r="K16034" s="489">
        <v>81.66</v>
      </c>
      <c r="L16034" s="43">
        <v>11.49630082721659</v>
      </c>
      <c r="M16034" s="43">
        <v>11.500297530496875</v>
      </c>
      <c r="N16034" s="43" t="s">
        <v>1690</v>
      </c>
      <c r="O16034" s="43">
        <v>11.310249307479225</v>
      </c>
      <c r="P16034" s="490"/>
      <c r="Q16034" s="490"/>
      <c r="R16034" s="490">
        <v>1</v>
      </c>
    </row>
    <row r="16035" spans="1:18" ht="12.75" customHeight="1">
      <c r="A16035" s="628" t="s">
        <v>28742</v>
      </c>
      <c r="B16035" s="629"/>
      <c r="C16035" s="629"/>
      <c r="D16035" s="629"/>
      <c r="E16035" s="629"/>
      <c r="F16035" s="629"/>
      <c r="G16035" s="629"/>
      <c r="H16035" s="629"/>
      <c r="I16035" s="629"/>
      <c r="J16035" s="629"/>
      <c r="K16035" s="629"/>
      <c r="L16035" s="629"/>
      <c r="M16035" s="629"/>
      <c r="N16035" s="629"/>
      <c r="O16035" s="629"/>
      <c r="P16035" s="629"/>
      <c r="Q16035" s="629"/>
      <c r="R16035" s="629"/>
    </row>
    <row r="16036" spans="1:18" ht="24">
      <c r="A16036" s="486">
        <v>56</v>
      </c>
      <c r="B16036" s="483" t="s">
        <v>28743</v>
      </c>
      <c r="C16036" s="487" t="s">
        <v>28744</v>
      </c>
      <c r="D16036" s="488">
        <v>120.89</v>
      </c>
      <c r="E16036" s="488">
        <v>118.35</v>
      </c>
      <c r="F16036" s="488"/>
      <c r="G16036" s="488">
        <v>2.54</v>
      </c>
      <c r="H16036" s="489">
        <v>1389.79</v>
      </c>
      <c r="I16036" s="489">
        <v>1361.04</v>
      </c>
      <c r="J16036" s="489"/>
      <c r="K16036" s="489">
        <v>28.75</v>
      </c>
      <c r="L16036" s="43">
        <v>11.496318967656547</v>
      </c>
      <c r="M16036" s="43">
        <v>11.500126742712295</v>
      </c>
      <c r="N16036" s="43" t="s">
        <v>1690</v>
      </c>
      <c r="O16036" s="43">
        <v>11.318897637795276</v>
      </c>
      <c r="P16036" s="490"/>
      <c r="Q16036" s="490"/>
      <c r="R16036" s="490">
        <v>2</v>
      </c>
    </row>
    <row r="16037" spans="1:18" ht="24">
      <c r="A16037" s="486">
        <v>57</v>
      </c>
      <c r="B16037" s="483" t="s">
        <v>28745</v>
      </c>
      <c r="C16037" s="487" t="s">
        <v>28746</v>
      </c>
      <c r="D16037" s="488">
        <v>84.67</v>
      </c>
      <c r="E16037" s="488">
        <v>82.73</v>
      </c>
      <c r="F16037" s="488"/>
      <c r="G16037" s="488">
        <v>1.94</v>
      </c>
      <c r="H16037" s="489">
        <v>972.89</v>
      </c>
      <c r="I16037" s="489">
        <v>951.41</v>
      </c>
      <c r="J16037" s="489"/>
      <c r="K16037" s="489">
        <v>21.48</v>
      </c>
      <c r="L16037" s="43">
        <v>11.490374394708869</v>
      </c>
      <c r="M16037" s="43">
        <v>11.500181312703976</v>
      </c>
      <c r="N16037" s="43" t="s">
        <v>1690</v>
      </c>
      <c r="O16037" s="43">
        <v>11.072164948453608</v>
      </c>
      <c r="P16037" s="490"/>
      <c r="Q16037" s="490"/>
      <c r="R16037" s="490">
        <v>2</v>
      </c>
    </row>
    <row r="16038" spans="1:18" ht="24">
      <c r="A16038" s="486">
        <v>58</v>
      </c>
      <c r="B16038" s="483" t="s">
        <v>28747</v>
      </c>
      <c r="C16038" s="487" t="s">
        <v>28748</v>
      </c>
      <c r="D16038" s="488">
        <v>96.22</v>
      </c>
      <c r="E16038" s="488">
        <v>94.22</v>
      </c>
      <c r="F16038" s="488"/>
      <c r="G16038" s="488">
        <v>2</v>
      </c>
      <c r="H16038" s="489">
        <v>1106.18</v>
      </c>
      <c r="I16038" s="489">
        <v>1083.55</v>
      </c>
      <c r="J16038" s="489"/>
      <c r="K16038" s="489">
        <v>22.63</v>
      </c>
      <c r="L16038" s="43">
        <v>11.496362502598213</v>
      </c>
      <c r="M16038" s="43">
        <v>11.500212269157291</v>
      </c>
      <c r="N16038" s="43" t="s">
        <v>1690</v>
      </c>
      <c r="O16038" s="43">
        <v>11.315</v>
      </c>
      <c r="P16038" s="490"/>
      <c r="Q16038" s="490"/>
      <c r="R16038" s="490">
        <v>2</v>
      </c>
    </row>
    <row r="16039" spans="1:18" ht="24">
      <c r="A16039" s="486">
        <v>59</v>
      </c>
      <c r="B16039" s="483" t="s">
        <v>28749</v>
      </c>
      <c r="C16039" s="487" t="s">
        <v>28750</v>
      </c>
      <c r="D16039" s="488">
        <v>78.44</v>
      </c>
      <c r="E16039" s="488">
        <v>76.180000000000007</v>
      </c>
      <c r="F16039" s="488"/>
      <c r="G16039" s="488">
        <v>2.2599999999999998</v>
      </c>
      <c r="H16039" s="489">
        <v>900</v>
      </c>
      <c r="I16039" s="489">
        <v>876.02</v>
      </c>
      <c r="J16039" s="489"/>
      <c r="K16039" s="489">
        <v>23.98</v>
      </c>
      <c r="L16039" s="43">
        <v>11.473737888832229</v>
      </c>
      <c r="M16039" s="43">
        <v>11.499343659753215</v>
      </c>
      <c r="N16039" s="43" t="s">
        <v>1690</v>
      </c>
      <c r="O16039" s="43">
        <v>10.610619469026551</v>
      </c>
      <c r="P16039" s="490"/>
      <c r="Q16039" s="490"/>
      <c r="R16039" s="490">
        <v>2</v>
      </c>
    </row>
    <row r="16040" spans="1:18" ht="48">
      <c r="A16040" s="486">
        <v>60</v>
      </c>
      <c r="B16040" s="483" t="s">
        <v>28751</v>
      </c>
      <c r="C16040" s="487" t="s">
        <v>28752</v>
      </c>
      <c r="D16040" s="488">
        <v>111.72</v>
      </c>
      <c r="E16040" s="488">
        <v>108.97</v>
      </c>
      <c r="F16040" s="488"/>
      <c r="G16040" s="488">
        <v>2.75</v>
      </c>
      <c r="H16040" s="489">
        <v>1283.28</v>
      </c>
      <c r="I16040" s="489">
        <v>1253.2</v>
      </c>
      <c r="J16040" s="489"/>
      <c r="K16040" s="489">
        <v>30.08</v>
      </c>
      <c r="L16040" s="43">
        <v>11.48657357679914</v>
      </c>
      <c r="M16040" s="43">
        <v>11.500412957694779</v>
      </c>
      <c r="N16040" s="43" t="s">
        <v>1690</v>
      </c>
      <c r="O16040" s="43">
        <v>10.938181818181818</v>
      </c>
      <c r="P16040" s="490"/>
      <c r="Q16040" s="490"/>
      <c r="R16040" s="490">
        <v>2</v>
      </c>
    </row>
    <row r="16041" spans="1:18" ht="24">
      <c r="A16041" s="486">
        <v>61</v>
      </c>
      <c r="B16041" s="483" t="s">
        <v>28753</v>
      </c>
      <c r="C16041" s="487" t="s">
        <v>28754</v>
      </c>
      <c r="D16041" s="488">
        <v>155.58000000000001</v>
      </c>
      <c r="E16041" s="488">
        <v>152.35</v>
      </c>
      <c r="F16041" s="488"/>
      <c r="G16041" s="488">
        <v>3.23</v>
      </c>
      <c r="H16041" s="489">
        <v>1788.68</v>
      </c>
      <c r="I16041" s="489">
        <v>1752.05</v>
      </c>
      <c r="J16041" s="489"/>
      <c r="K16041" s="489">
        <v>36.630000000000003</v>
      </c>
      <c r="L16041" s="43">
        <v>11.496850494922226</v>
      </c>
      <c r="M16041" s="43">
        <v>11.500164095831966</v>
      </c>
      <c r="N16041" s="43" t="s">
        <v>1690</v>
      </c>
      <c r="O16041" s="43">
        <v>11.340557275541796</v>
      </c>
      <c r="P16041" s="490"/>
      <c r="Q16041" s="490"/>
      <c r="R16041" s="490">
        <v>2</v>
      </c>
    </row>
    <row r="16042" spans="1:18" ht="24">
      <c r="A16042" s="486">
        <v>62</v>
      </c>
      <c r="B16042" s="483" t="s">
        <v>28755</v>
      </c>
      <c r="C16042" s="487" t="s">
        <v>28756</v>
      </c>
      <c r="D16042" s="488">
        <v>233.67</v>
      </c>
      <c r="E16042" s="488">
        <v>228.53</v>
      </c>
      <c r="F16042" s="488"/>
      <c r="G16042" s="488">
        <v>5.14</v>
      </c>
      <c r="H16042" s="489">
        <v>2685.64</v>
      </c>
      <c r="I16042" s="489">
        <v>2628.07</v>
      </c>
      <c r="J16042" s="489"/>
      <c r="K16042" s="489">
        <v>57.57</v>
      </c>
      <c r="L16042" s="43">
        <v>11.493302520648779</v>
      </c>
      <c r="M16042" s="43">
        <v>11.499890605172189</v>
      </c>
      <c r="N16042" s="43" t="s">
        <v>1690</v>
      </c>
      <c r="O16042" s="43">
        <v>11.200389105058367</v>
      </c>
      <c r="P16042" s="490"/>
      <c r="Q16042" s="490"/>
      <c r="R16042" s="490">
        <v>2</v>
      </c>
    </row>
    <row r="16043" spans="1:18" ht="24">
      <c r="A16043" s="486">
        <v>63</v>
      </c>
      <c r="B16043" s="483" t="s">
        <v>28757</v>
      </c>
      <c r="C16043" s="487" t="s">
        <v>28758</v>
      </c>
      <c r="D16043" s="488">
        <v>146.47</v>
      </c>
      <c r="E16043" s="488">
        <v>142.47999999999999</v>
      </c>
      <c r="F16043" s="488"/>
      <c r="G16043" s="488">
        <v>3.99</v>
      </c>
      <c r="H16043" s="489">
        <v>1681.33</v>
      </c>
      <c r="I16043" s="489">
        <v>1638.54</v>
      </c>
      <c r="J16043" s="489"/>
      <c r="K16043" s="489">
        <v>42.79</v>
      </c>
      <c r="L16043" s="43">
        <v>11.479005939782891</v>
      </c>
      <c r="M16043" s="43">
        <v>11.500140370578327</v>
      </c>
      <c r="N16043" s="43" t="s">
        <v>1690</v>
      </c>
      <c r="O16043" s="43">
        <v>10.724310776942355</v>
      </c>
      <c r="P16043" s="490"/>
      <c r="Q16043" s="490"/>
      <c r="R16043" s="490">
        <v>2</v>
      </c>
    </row>
    <row r="16044" spans="1:18" ht="12.75" customHeight="1">
      <c r="A16044" s="628" t="s">
        <v>28759</v>
      </c>
      <c r="B16044" s="629"/>
      <c r="C16044" s="629"/>
      <c r="D16044" s="629"/>
      <c r="E16044" s="629"/>
      <c r="F16044" s="629"/>
      <c r="G16044" s="629"/>
      <c r="H16044" s="629"/>
      <c r="I16044" s="629"/>
      <c r="J16044" s="629"/>
      <c r="K16044" s="629"/>
      <c r="L16044" s="629"/>
      <c r="M16044" s="629"/>
      <c r="N16044" s="629"/>
      <c r="O16044" s="629"/>
      <c r="P16044" s="629"/>
      <c r="Q16044" s="629"/>
      <c r="R16044" s="629"/>
    </row>
    <row r="16045" spans="1:18" ht="24">
      <c r="A16045" s="486">
        <v>64</v>
      </c>
      <c r="B16045" s="483" t="s">
        <v>28760</v>
      </c>
      <c r="C16045" s="487" t="s">
        <v>28761</v>
      </c>
      <c r="D16045" s="488">
        <v>254</v>
      </c>
      <c r="E16045" s="488">
        <v>249.02</v>
      </c>
      <c r="F16045" s="488"/>
      <c r="G16045" s="488">
        <v>4.9800000000000004</v>
      </c>
      <c r="H16045" s="489">
        <v>2921.1</v>
      </c>
      <c r="I16045" s="489">
        <v>2863.83</v>
      </c>
      <c r="J16045" s="489"/>
      <c r="K16045" s="489">
        <v>57.27</v>
      </c>
      <c r="L16045" s="43">
        <v>11.5003937007874</v>
      </c>
      <c r="M16045" s="43">
        <v>11.500401574170748</v>
      </c>
      <c r="N16045" s="43" t="s">
        <v>1690</v>
      </c>
      <c r="O16045" s="43">
        <v>11.5</v>
      </c>
      <c r="P16045" s="490"/>
      <c r="Q16045" s="490"/>
      <c r="R16045" s="490">
        <v>3</v>
      </c>
    </row>
    <row r="16046" spans="1:18" ht="24">
      <c r="A16046" s="486">
        <v>65</v>
      </c>
      <c r="B16046" s="483" t="s">
        <v>28762</v>
      </c>
      <c r="C16046" s="487" t="s">
        <v>28763</v>
      </c>
      <c r="D16046" s="488">
        <v>314.08999999999997</v>
      </c>
      <c r="E16046" s="488">
        <v>307.93</v>
      </c>
      <c r="F16046" s="488"/>
      <c r="G16046" s="488">
        <v>6.16</v>
      </c>
      <c r="H16046" s="489">
        <v>3612.19</v>
      </c>
      <c r="I16046" s="489">
        <v>3541.35</v>
      </c>
      <c r="J16046" s="489"/>
      <c r="K16046" s="489">
        <v>70.84</v>
      </c>
      <c r="L16046" s="43">
        <v>11.500493489127321</v>
      </c>
      <c r="M16046" s="43">
        <v>11.500503361153509</v>
      </c>
      <c r="N16046" s="43" t="s">
        <v>1690</v>
      </c>
      <c r="O16046" s="43">
        <v>11.5</v>
      </c>
      <c r="P16046" s="490"/>
      <c r="Q16046" s="490"/>
      <c r="R16046" s="490">
        <v>3</v>
      </c>
    </row>
    <row r="16047" spans="1:18" ht="24">
      <c r="A16047" s="486">
        <v>66</v>
      </c>
      <c r="B16047" s="483" t="s">
        <v>28764</v>
      </c>
      <c r="C16047" s="487" t="s">
        <v>28765</v>
      </c>
      <c r="D16047" s="488">
        <v>314.32</v>
      </c>
      <c r="E16047" s="488">
        <v>301.23</v>
      </c>
      <c r="F16047" s="488"/>
      <c r="G16047" s="488">
        <v>13.09</v>
      </c>
      <c r="H16047" s="489">
        <v>3570.05</v>
      </c>
      <c r="I16047" s="489">
        <v>3464.17</v>
      </c>
      <c r="J16047" s="489"/>
      <c r="K16047" s="489">
        <v>105.88</v>
      </c>
      <c r="L16047" s="43">
        <v>11.358010944260627</v>
      </c>
      <c r="M16047" s="43">
        <v>11.500082993061779</v>
      </c>
      <c r="N16047" s="43" t="s">
        <v>1690</v>
      </c>
      <c r="O16047" s="43">
        <v>8.0886172650878532</v>
      </c>
      <c r="P16047" s="490"/>
      <c r="Q16047" s="490"/>
      <c r="R16047" s="490">
        <v>3</v>
      </c>
    </row>
    <row r="16048" spans="1:18" ht="24">
      <c r="A16048" s="486">
        <v>67</v>
      </c>
      <c r="B16048" s="483" t="s">
        <v>28766</v>
      </c>
      <c r="C16048" s="487" t="s">
        <v>28767</v>
      </c>
      <c r="D16048" s="488">
        <v>672.99</v>
      </c>
      <c r="E16048" s="488">
        <v>659.79</v>
      </c>
      <c r="F16048" s="488"/>
      <c r="G16048" s="488">
        <v>13.2</v>
      </c>
      <c r="H16048" s="489">
        <v>7739.36</v>
      </c>
      <c r="I16048" s="489">
        <v>7587.56</v>
      </c>
      <c r="J16048" s="489"/>
      <c r="K16048" s="489">
        <v>151.80000000000001</v>
      </c>
      <c r="L16048" s="43">
        <v>11.499962852345503</v>
      </c>
      <c r="M16048" s="43">
        <v>11.499962109155945</v>
      </c>
      <c r="N16048" s="43" t="s">
        <v>1690</v>
      </c>
      <c r="O16048" s="43">
        <v>11.500000000000002</v>
      </c>
      <c r="P16048" s="490"/>
      <c r="Q16048" s="490"/>
      <c r="R16048" s="490">
        <v>3</v>
      </c>
    </row>
    <row r="16049" spans="1:18" ht="24">
      <c r="A16049" s="486">
        <v>68</v>
      </c>
      <c r="B16049" s="483" t="s">
        <v>28768</v>
      </c>
      <c r="C16049" s="487" t="s">
        <v>28769</v>
      </c>
      <c r="D16049" s="488">
        <v>652.83000000000004</v>
      </c>
      <c r="E16049" s="488">
        <v>624.94000000000005</v>
      </c>
      <c r="F16049" s="488"/>
      <c r="G16049" s="488">
        <v>27.89</v>
      </c>
      <c r="H16049" s="489">
        <v>7410.38</v>
      </c>
      <c r="I16049" s="489">
        <v>7186.86</v>
      </c>
      <c r="J16049" s="489"/>
      <c r="K16049" s="489">
        <v>223.52</v>
      </c>
      <c r="L16049" s="43">
        <v>11.351163396289998</v>
      </c>
      <c r="M16049" s="43">
        <v>11.500080007680737</v>
      </c>
      <c r="N16049" s="43" t="s">
        <v>1690</v>
      </c>
      <c r="O16049" s="43">
        <v>8.0143420580853348</v>
      </c>
      <c r="P16049" s="490"/>
      <c r="Q16049" s="490"/>
      <c r="R16049" s="490">
        <v>3</v>
      </c>
    </row>
    <row r="16050" spans="1:18" ht="24">
      <c r="A16050" s="486">
        <v>69</v>
      </c>
      <c r="B16050" s="483" t="s">
        <v>28770</v>
      </c>
      <c r="C16050" s="487" t="s">
        <v>28771</v>
      </c>
      <c r="D16050" s="488">
        <v>201.64</v>
      </c>
      <c r="E16050" s="488">
        <v>196.7</v>
      </c>
      <c r="F16050" s="488"/>
      <c r="G16050" s="488">
        <v>4.9400000000000004</v>
      </c>
      <c r="H16050" s="489">
        <v>2316.1</v>
      </c>
      <c r="I16050" s="489">
        <v>2262.0500000000002</v>
      </c>
      <c r="J16050" s="489"/>
      <c r="K16050" s="489">
        <v>54.05</v>
      </c>
      <c r="L16050" s="43">
        <v>11.486312239634993</v>
      </c>
      <c r="M16050" s="43">
        <v>11.500000000000002</v>
      </c>
      <c r="N16050" s="43" t="s">
        <v>1690</v>
      </c>
      <c r="O16050" s="43">
        <v>10.941295546558703</v>
      </c>
      <c r="P16050" s="490"/>
      <c r="Q16050" s="490"/>
      <c r="R16050" s="490">
        <v>3</v>
      </c>
    </row>
    <row r="16051" spans="1:18" ht="12.75" customHeight="1">
      <c r="A16051" s="628" t="s">
        <v>28772</v>
      </c>
      <c r="B16051" s="629"/>
      <c r="C16051" s="629"/>
      <c r="D16051" s="629"/>
      <c r="E16051" s="629"/>
      <c r="F16051" s="629"/>
      <c r="G16051" s="629"/>
      <c r="H16051" s="629"/>
      <c r="I16051" s="629"/>
      <c r="J16051" s="629"/>
      <c r="K16051" s="629"/>
      <c r="L16051" s="629"/>
      <c r="M16051" s="629"/>
      <c r="N16051" s="629"/>
      <c r="O16051" s="629"/>
      <c r="P16051" s="629"/>
      <c r="Q16051" s="629"/>
      <c r="R16051" s="629"/>
    </row>
    <row r="16052" spans="1:18" ht="24">
      <c r="A16052" s="486">
        <v>70</v>
      </c>
      <c r="B16052" s="483" t="s">
        <v>28773</v>
      </c>
      <c r="C16052" s="487" t="s">
        <v>28774</v>
      </c>
      <c r="D16052" s="488">
        <v>242.17</v>
      </c>
      <c r="E16052" s="488">
        <v>236.69</v>
      </c>
      <c r="F16052" s="488"/>
      <c r="G16052" s="488">
        <v>5.48</v>
      </c>
      <c r="H16052" s="489">
        <v>2783.04</v>
      </c>
      <c r="I16052" s="489">
        <v>2722.08</v>
      </c>
      <c r="J16052" s="489"/>
      <c r="K16052" s="489">
        <v>60.96</v>
      </c>
      <c r="L16052" s="43">
        <v>11.49209233183301</v>
      </c>
      <c r="M16052" s="43">
        <v>11.500612615657611</v>
      </c>
      <c r="N16052" s="43" t="s">
        <v>1690</v>
      </c>
      <c r="O16052" s="43">
        <v>11.124087591240874</v>
      </c>
      <c r="P16052" s="490"/>
      <c r="Q16052" s="490"/>
      <c r="R16052" s="490">
        <v>4</v>
      </c>
    </row>
    <row r="16053" spans="1:18" ht="24">
      <c r="A16053" s="486">
        <v>71</v>
      </c>
      <c r="B16053" s="483" t="s">
        <v>28775</v>
      </c>
      <c r="C16053" s="487" t="s">
        <v>28776</v>
      </c>
      <c r="D16053" s="488">
        <v>857.22</v>
      </c>
      <c r="E16053" s="488">
        <v>839.92</v>
      </c>
      <c r="F16053" s="488"/>
      <c r="G16053" s="488">
        <v>17.3</v>
      </c>
      <c r="H16053" s="489">
        <v>9857.01</v>
      </c>
      <c r="I16053" s="489">
        <v>9659.43</v>
      </c>
      <c r="J16053" s="489"/>
      <c r="K16053" s="489">
        <v>197.58</v>
      </c>
      <c r="L16053" s="43">
        <v>11.498810107090362</v>
      </c>
      <c r="M16053" s="43">
        <v>11.500416706352986</v>
      </c>
      <c r="N16053" s="43" t="s">
        <v>1690</v>
      </c>
      <c r="O16053" s="43">
        <v>11.420809248554914</v>
      </c>
      <c r="P16053" s="490"/>
      <c r="Q16053" s="490"/>
      <c r="R16053" s="490">
        <v>4</v>
      </c>
    </row>
    <row r="16054" spans="1:18" ht="24">
      <c r="A16054" s="486">
        <v>72</v>
      </c>
      <c r="B16054" s="483" t="s">
        <v>28777</v>
      </c>
      <c r="C16054" s="487" t="s">
        <v>28778</v>
      </c>
      <c r="D16054" s="488">
        <v>296.77</v>
      </c>
      <c r="E16054" s="488">
        <v>287.02999999999997</v>
      </c>
      <c r="F16054" s="488"/>
      <c r="G16054" s="488">
        <v>9.74</v>
      </c>
      <c r="H16054" s="489">
        <v>3402.01</v>
      </c>
      <c r="I16054" s="489">
        <v>3300.96</v>
      </c>
      <c r="J16054" s="489"/>
      <c r="K16054" s="489">
        <v>101.05</v>
      </c>
      <c r="L16054" s="43">
        <v>11.46345654884254</v>
      </c>
      <c r="M16054" s="43">
        <v>11.500400654983801</v>
      </c>
      <c r="N16054" s="43" t="s">
        <v>1690</v>
      </c>
      <c r="O16054" s="43">
        <v>10.374743326488705</v>
      </c>
      <c r="P16054" s="490"/>
      <c r="Q16054" s="490"/>
      <c r="R16054" s="490">
        <v>4</v>
      </c>
    </row>
    <row r="16055" spans="1:18" ht="24">
      <c r="A16055" s="486">
        <v>73</v>
      </c>
      <c r="B16055" s="483" t="s">
        <v>28779</v>
      </c>
      <c r="C16055" s="487" t="s">
        <v>28780</v>
      </c>
      <c r="D16055" s="488">
        <v>120.72</v>
      </c>
      <c r="E16055" s="488">
        <v>118.35</v>
      </c>
      <c r="F16055" s="488"/>
      <c r="G16055" s="488">
        <v>2.37</v>
      </c>
      <c r="H16055" s="489">
        <v>1388.3</v>
      </c>
      <c r="I16055" s="489">
        <v>1361.04</v>
      </c>
      <c r="J16055" s="489"/>
      <c r="K16055" s="489">
        <v>27.26</v>
      </c>
      <c r="L16055" s="43">
        <v>11.500165672630882</v>
      </c>
      <c r="M16055" s="43">
        <v>11.500126742712295</v>
      </c>
      <c r="N16055" s="43" t="s">
        <v>1690</v>
      </c>
      <c r="O16055" s="43">
        <v>11.502109704641351</v>
      </c>
      <c r="P16055" s="490"/>
      <c r="Q16055" s="490"/>
      <c r="R16055" s="490">
        <v>4</v>
      </c>
    </row>
    <row r="16056" spans="1:18" ht="12.75" customHeight="1">
      <c r="A16056" s="628" t="s">
        <v>28781</v>
      </c>
      <c r="B16056" s="629"/>
      <c r="C16056" s="629"/>
      <c r="D16056" s="629"/>
      <c r="E16056" s="629"/>
      <c r="F16056" s="629"/>
      <c r="G16056" s="629"/>
      <c r="H16056" s="629"/>
      <c r="I16056" s="629"/>
      <c r="J16056" s="629"/>
      <c r="K16056" s="629"/>
      <c r="L16056" s="629"/>
      <c r="M16056" s="629"/>
      <c r="N16056" s="629"/>
      <c r="O16056" s="629"/>
      <c r="P16056" s="629"/>
      <c r="Q16056" s="629"/>
      <c r="R16056" s="629"/>
    </row>
    <row r="16057" spans="1:18" ht="12.75" customHeight="1">
      <c r="A16057" s="628" t="s">
        <v>28782</v>
      </c>
      <c r="B16057" s="629"/>
      <c r="C16057" s="629"/>
      <c r="D16057" s="629"/>
      <c r="E16057" s="629"/>
      <c r="F16057" s="629"/>
      <c r="G16057" s="629"/>
      <c r="H16057" s="629"/>
      <c r="I16057" s="629"/>
      <c r="J16057" s="629"/>
      <c r="K16057" s="629"/>
      <c r="L16057" s="629"/>
      <c r="M16057" s="629"/>
      <c r="N16057" s="629"/>
      <c r="O16057" s="629"/>
      <c r="P16057" s="629"/>
      <c r="Q16057" s="629"/>
      <c r="R16057" s="629"/>
    </row>
    <row r="16058" spans="1:18" ht="24">
      <c r="A16058" s="486">
        <v>74</v>
      </c>
      <c r="B16058" s="483" t="s">
        <v>28783</v>
      </c>
      <c r="C16058" s="487" t="s">
        <v>28784</v>
      </c>
      <c r="D16058" s="488">
        <v>4229.13</v>
      </c>
      <c r="E16058" s="488">
        <v>4123.68</v>
      </c>
      <c r="F16058" s="488"/>
      <c r="G16058" s="488">
        <v>105.45</v>
      </c>
      <c r="H16058" s="489">
        <v>48572.18</v>
      </c>
      <c r="I16058" s="489">
        <v>47422.32</v>
      </c>
      <c r="J16058" s="489"/>
      <c r="K16058" s="489">
        <v>1149.8599999999999</v>
      </c>
      <c r="L16058" s="43">
        <v>11.485147063343998</v>
      </c>
      <c r="M16058" s="43">
        <v>11.5</v>
      </c>
      <c r="N16058" s="43" t="s">
        <v>1690</v>
      </c>
      <c r="O16058" s="43">
        <v>10.904314841156944</v>
      </c>
      <c r="P16058" s="490"/>
      <c r="Q16058" s="490"/>
      <c r="R16058" s="490">
        <v>1</v>
      </c>
    </row>
    <row r="16059" spans="1:18" ht="24">
      <c r="A16059" s="486">
        <v>75</v>
      </c>
      <c r="B16059" s="483" t="s">
        <v>28785</v>
      </c>
      <c r="C16059" s="487" t="s">
        <v>28786</v>
      </c>
      <c r="D16059" s="488">
        <v>10038.69</v>
      </c>
      <c r="E16059" s="488">
        <v>8848.39</v>
      </c>
      <c r="F16059" s="488">
        <v>28.01</v>
      </c>
      <c r="G16059" s="488">
        <v>1162.29</v>
      </c>
      <c r="H16059" s="489">
        <v>112576.33</v>
      </c>
      <c r="I16059" s="489">
        <v>101759.87</v>
      </c>
      <c r="J16059" s="489">
        <v>145.26</v>
      </c>
      <c r="K16059" s="489">
        <v>10671.2</v>
      </c>
      <c r="L16059" s="43">
        <v>11.214245085763181</v>
      </c>
      <c r="M16059" s="43">
        <v>11.500382555470544</v>
      </c>
      <c r="N16059" s="43">
        <v>5.1860049982149228</v>
      </c>
      <c r="O16059" s="43">
        <v>9.1811854184411814</v>
      </c>
      <c r="P16059" s="490"/>
      <c r="Q16059" s="490"/>
      <c r="R16059" s="490">
        <v>1</v>
      </c>
    </row>
    <row r="16060" spans="1:18" ht="24">
      <c r="A16060" s="486">
        <v>76</v>
      </c>
      <c r="B16060" s="483" t="s">
        <v>28787</v>
      </c>
      <c r="C16060" s="487" t="s">
        <v>28788</v>
      </c>
      <c r="D16060" s="488">
        <v>11016.14</v>
      </c>
      <c r="E16060" s="488">
        <v>9802.5</v>
      </c>
      <c r="F16060" s="488">
        <v>32.270000000000003</v>
      </c>
      <c r="G16060" s="488">
        <v>1181.3699999999999</v>
      </c>
      <c r="H16060" s="489">
        <v>123790.41</v>
      </c>
      <c r="I16060" s="489">
        <v>112732.5</v>
      </c>
      <c r="J16060" s="489">
        <v>167.29</v>
      </c>
      <c r="K16060" s="489">
        <v>10890.62</v>
      </c>
      <c r="L16060" s="43">
        <v>11.237185620371564</v>
      </c>
      <c r="M16060" s="43">
        <v>11.500382555470543</v>
      </c>
      <c r="N16060" s="43">
        <v>5.1840718933994419</v>
      </c>
      <c r="O16060" s="43">
        <v>9.2186359904179067</v>
      </c>
      <c r="P16060" s="490"/>
      <c r="Q16060" s="490"/>
      <c r="R16060" s="490">
        <v>1</v>
      </c>
    </row>
    <row r="16061" spans="1:18" ht="24">
      <c r="A16061" s="486">
        <v>77</v>
      </c>
      <c r="B16061" s="483" t="s">
        <v>28789</v>
      </c>
      <c r="C16061" s="487" t="s">
        <v>28790</v>
      </c>
      <c r="D16061" s="488">
        <v>14778.46</v>
      </c>
      <c r="E16061" s="488">
        <v>13488.24</v>
      </c>
      <c r="F16061" s="488">
        <v>35.14</v>
      </c>
      <c r="G16061" s="488">
        <v>1255.08</v>
      </c>
      <c r="H16061" s="489">
        <v>167040.34</v>
      </c>
      <c r="I16061" s="489">
        <v>155119.92000000001</v>
      </c>
      <c r="J16061" s="489">
        <v>182.14</v>
      </c>
      <c r="K16061" s="489">
        <v>11738.28</v>
      </c>
      <c r="L16061" s="43">
        <v>11.302959848319786</v>
      </c>
      <c r="M16061" s="43">
        <v>11.500382555470544</v>
      </c>
      <c r="N16061" s="43">
        <v>5.1832669322709162</v>
      </c>
      <c r="O16061" s="43">
        <v>9.3526149727507413</v>
      </c>
      <c r="P16061" s="490"/>
      <c r="Q16061" s="490"/>
      <c r="R16061" s="490">
        <v>1</v>
      </c>
    </row>
    <row r="16062" spans="1:18" ht="24">
      <c r="A16062" s="486">
        <v>78</v>
      </c>
      <c r="B16062" s="483" t="s">
        <v>28791</v>
      </c>
      <c r="C16062" s="487" t="s">
        <v>28792</v>
      </c>
      <c r="D16062" s="488">
        <v>17293.16</v>
      </c>
      <c r="E16062" s="488">
        <v>15945.4</v>
      </c>
      <c r="F16062" s="488">
        <v>43.53</v>
      </c>
      <c r="G16062" s="488">
        <v>1304.23</v>
      </c>
      <c r="H16062" s="489">
        <v>195907.3</v>
      </c>
      <c r="I16062" s="489">
        <v>183378.2</v>
      </c>
      <c r="J16062" s="489">
        <v>225.59</v>
      </c>
      <c r="K16062" s="489">
        <v>12303.51</v>
      </c>
      <c r="L16062" s="43">
        <v>11.32860044086795</v>
      </c>
      <c r="M16062" s="43">
        <v>11.500382555470544</v>
      </c>
      <c r="N16062" s="43">
        <v>5.1824029405008041</v>
      </c>
      <c r="O16062" s="43">
        <v>9.4335431633990936</v>
      </c>
      <c r="P16062" s="490"/>
      <c r="Q16062" s="490"/>
      <c r="R16062" s="490">
        <v>1</v>
      </c>
    </row>
    <row r="16063" spans="1:18" ht="24">
      <c r="A16063" s="486">
        <v>79</v>
      </c>
      <c r="B16063" s="483" t="s">
        <v>28793</v>
      </c>
      <c r="C16063" s="487" t="s">
        <v>28794</v>
      </c>
      <c r="D16063" s="488">
        <v>16876.349999999999</v>
      </c>
      <c r="E16063" s="488">
        <v>15579.44</v>
      </c>
      <c r="F16063" s="488"/>
      <c r="G16063" s="488">
        <v>1296.9100000000001</v>
      </c>
      <c r="H16063" s="489">
        <v>191388.85</v>
      </c>
      <c r="I16063" s="489">
        <v>179169.52</v>
      </c>
      <c r="J16063" s="489"/>
      <c r="K16063" s="489">
        <v>12219.33</v>
      </c>
      <c r="L16063" s="43">
        <v>11.340654229143151</v>
      </c>
      <c r="M16063" s="43">
        <v>11.500382555470543</v>
      </c>
      <c r="N16063" s="43" t="s">
        <v>1690</v>
      </c>
      <c r="O16063" s="43">
        <v>9.4218796986683735</v>
      </c>
      <c r="P16063" s="490"/>
      <c r="Q16063" s="490"/>
      <c r="R16063" s="490">
        <v>1</v>
      </c>
    </row>
    <row r="16064" spans="1:18" ht="24">
      <c r="A16064" s="486">
        <v>80</v>
      </c>
      <c r="B16064" s="483" t="s">
        <v>28795</v>
      </c>
      <c r="C16064" s="487" t="s">
        <v>28796</v>
      </c>
      <c r="D16064" s="488">
        <v>18664.66</v>
      </c>
      <c r="E16064" s="488">
        <v>17017.14</v>
      </c>
      <c r="F16064" s="488">
        <v>51.9</v>
      </c>
      <c r="G16064" s="488">
        <v>1595.62</v>
      </c>
      <c r="H16064" s="489">
        <v>210888.43</v>
      </c>
      <c r="I16064" s="489">
        <v>195703.62</v>
      </c>
      <c r="J16064" s="489">
        <v>268.74</v>
      </c>
      <c r="K16064" s="489">
        <v>14916.07</v>
      </c>
      <c r="L16064" s="43">
        <v>11.298809086262487</v>
      </c>
      <c r="M16064" s="43">
        <v>11.500382555470543</v>
      </c>
      <c r="N16064" s="43">
        <v>5.1780346820809253</v>
      </c>
      <c r="O16064" s="43">
        <v>9.3481342675574393</v>
      </c>
      <c r="P16064" s="490"/>
      <c r="Q16064" s="490"/>
      <c r="R16064" s="490">
        <v>1</v>
      </c>
    </row>
    <row r="16065" spans="1:18" ht="24">
      <c r="A16065" s="486">
        <v>81</v>
      </c>
      <c r="B16065" s="483" t="s">
        <v>28797</v>
      </c>
      <c r="C16065" s="487" t="s">
        <v>28798</v>
      </c>
      <c r="D16065" s="488">
        <v>13756.8</v>
      </c>
      <c r="E16065" s="488">
        <v>12521.06</v>
      </c>
      <c r="F16065" s="488"/>
      <c r="G16065" s="488">
        <v>1235.74</v>
      </c>
      <c r="H16065" s="489">
        <v>155512.85</v>
      </c>
      <c r="I16065" s="489">
        <v>143996.98000000001</v>
      </c>
      <c r="J16065" s="489"/>
      <c r="K16065" s="489">
        <v>11515.87</v>
      </c>
      <c r="L16065" s="43">
        <v>11.304434897650617</v>
      </c>
      <c r="M16065" s="43">
        <v>11.500382555470544</v>
      </c>
      <c r="N16065" s="43" t="s">
        <v>1690</v>
      </c>
      <c r="O16065" s="43">
        <v>9.3190072345315365</v>
      </c>
      <c r="P16065" s="490"/>
      <c r="Q16065" s="490"/>
      <c r="R16065" s="490">
        <v>1</v>
      </c>
    </row>
    <row r="16066" spans="1:18" ht="24">
      <c r="A16066" s="486">
        <v>82</v>
      </c>
      <c r="B16066" s="483" t="s">
        <v>28799</v>
      </c>
      <c r="C16066" s="487" t="s">
        <v>28800</v>
      </c>
      <c r="D16066" s="488">
        <v>18447.91</v>
      </c>
      <c r="E16066" s="488">
        <v>16154.52</v>
      </c>
      <c r="F16066" s="488"/>
      <c r="G16066" s="488">
        <v>2293.39</v>
      </c>
      <c r="H16066" s="489">
        <v>206767.8</v>
      </c>
      <c r="I16066" s="489">
        <v>185783.16</v>
      </c>
      <c r="J16066" s="489"/>
      <c r="K16066" s="489">
        <v>20984.639999999999</v>
      </c>
      <c r="L16066" s="43">
        <v>11.208196484046161</v>
      </c>
      <c r="M16066" s="43">
        <v>11.500382555470543</v>
      </c>
      <c r="N16066" s="43" t="s">
        <v>1690</v>
      </c>
      <c r="O16066" s="43">
        <v>9.1500529783421047</v>
      </c>
      <c r="P16066" s="490"/>
      <c r="Q16066" s="490"/>
      <c r="R16066" s="490">
        <v>1</v>
      </c>
    </row>
    <row r="16067" spans="1:18" ht="24">
      <c r="A16067" s="486">
        <v>83</v>
      </c>
      <c r="B16067" s="483" t="s">
        <v>28801</v>
      </c>
      <c r="C16067" s="487" t="s">
        <v>28802</v>
      </c>
      <c r="D16067" s="488">
        <v>2799.59</v>
      </c>
      <c r="E16067" s="488">
        <v>2744.7</v>
      </c>
      <c r="F16067" s="488"/>
      <c r="G16067" s="488">
        <v>54.89</v>
      </c>
      <c r="H16067" s="489">
        <v>32196.34</v>
      </c>
      <c r="I16067" s="489">
        <v>31565.1</v>
      </c>
      <c r="J16067" s="489"/>
      <c r="K16067" s="489">
        <v>631.24</v>
      </c>
      <c r="L16067" s="43">
        <v>11.500376840894559</v>
      </c>
      <c r="M16067" s="43">
        <v>11.500382555470544</v>
      </c>
      <c r="N16067" s="43" t="s">
        <v>1690</v>
      </c>
      <c r="O16067" s="43">
        <v>11.500091091273456</v>
      </c>
      <c r="P16067" s="490"/>
      <c r="Q16067" s="490"/>
      <c r="R16067" s="490">
        <v>1</v>
      </c>
    </row>
    <row r="16068" spans="1:18" ht="24">
      <c r="A16068" s="486">
        <v>84</v>
      </c>
      <c r="B16068" s="483" t="s">
        <v>28803</v>
      </c>
      <c r="C16068" s="487" t="s">
        <v>28804</v>
      </c>
      <c r="D16068" s="488">
        <v>815.16</v>
      </c>
      <c r="E16068" s="488">
        <v>799.18</v>
      </c>
      <c r="F16068" s="488"/>
      <c r="G16068" s="488">
        <v>15.98</v>
      </c>
      <c r="H16068" s="489">
        <v>9374.65</v>
      </c>
      <c r="I16068" s="489">
        <v>9190.8799999999992</v>
      </c>
      <c r="J16068" s="489"/>
      <c r="K16068" s="489">
        <v>183.77</v>
      </c>
      <c r="L16068" s="43">
        <v>11.500380293439324</v>
      </c>
      <c r="M16068" s="43">
        <v>11.500387897595035</v>
      </c>
      <c r="N16068" s="43" t="s">
        <v>1690</v>
      </c>
      <c r="O16068" s="43">
        <v>11.5</v>
      </c>
      <c r="P16068" s="490"/>
      <c r="Q16068" s="490"/>
      <c r="R16068" s="490">
        <v>1</v>
      </c>
    </row>
    <row r="16069" spans="1:18" ht="24">
      <c r="A16069" s="486">
        <v>85</v>
      </c>
      <c r="B16069" s="483" t="s">
        <v>28805</v>
      </c>
      <c r="C16069" s="487" t="s">
        <v>28806</v>
      </c>
      <c r="D16069" s="488">
        <v>285.14999999999998</v>
      </c>
      <c r="E16069" s="488">
        <v>279.56</v>
      </c>
      <c r="F16069" s="488"/>
      <c r="G16069" s="488">
        <v>5.59</v>
      </c>
      <c r="H16069" s="489">
        <v>3279.37</v>
      </c>
      <c r="I16069" s="489">
        <v>3215.08</v>
      </c>
      <c r="J16069" s="489"/>
      <c r="K16069" s="489">
        <v>64.290000000000006</v>
      </c>
      <c r="L16069" s="43">
        <v>11.500508504295984</v>
      </c>
      <c r="M16069" s="43">
        <v>11.500500786950923</v>
      </c>
      <c r="N16069" s="43" t="s">
        <v>1690</v>
      </c>
      <c r="O16069" s="43">
        <v>11.500894454382827</v>
      </c>
      <c r="P16069" s="490"/>
      <c r="Q16069" s="490"/>
      <c r="R16069" s="490">
        <v>1</v>
      </c>
    </row>
    <row r="16070" spans="1:18" ht="24">
      <c r="A16070" s="486">
        <v>86</v>
      </c>
      <c r="B16070" s="483" t="s">
        <v>28807</v>
      </c>
      <c r="C16070" s="487" t="s">
        <v>28808</v>
      </c>
      <c r="D16070" s="488">
        <v>199.44</v>
      </c>
      <c r="E16070" s="488">
        <v>195.53</v>
      </c>
      <c r="F16070" s="488"/>
      <c r="G16070" s="488">
        <v>3.91</v>
      </c>
      <c r="H16070" s="489">
        <v>2293.59</v>
      </c>
      <c r="I16070" s="489">
        <v>2248.62</v>
      </c>
      <c r="J16070" s="489"/>
      <c r="K16070" s="489">
        <v>44.97</v>
      </c>
      <c r="L16070" s="43">
        <v>11.500150421179303</v>
      </c>
      <c r="M16070" s="43">
        <v>11.500127857617755</v>
      </c>
      <c r="N16070" s="43" t="s">
        <v>1690</v>
      </c>
      <c r="O16070" s="43">
        <v>11.501278772378516</v>
      </c>
      <c r="P16070" s="490"/>
      <c r="Q16070" s="490"/>
      <c r="R16070" s="490">
        <v>1</v>
      </c>
    </row>
    <row r="16071" spans="1:18" ht="24">
      <c r="A16071" s="486">
        <v>87</v>
      </c>
      <c r="B16071" s="483" t="s">
        <v>28809</v>
      </c>
      <c r="C16071" s="487" t="s">
        <v>28810</v>
      </c>
      <c r="D16071" s="488">
        <v>4411.76</v>
      </c>
      <c r="E16071" s="488">
        <v>4325.25</v>
      </c>
      <c r="F16071" s="488"/>
      <c r="G16071" s="488">
        <v>86.51</v>
      </c>
      <c r="H16071" s="489">
        <v>50737.07</v>
      </c>
      <c r="I16071" s="489">
        <v>49742.2</v>
      </c>
      <c r="J16071" s="489"/>
      <c r="K16071" s="489">
        <v>994.87</v>
      </c>
      <c r="L16071" s="43">
        <v>11.500414800442453</v>
      </c>
      <c r="M16071" s="43">
        <v>11.50042194092827</v>
      </c>
      <c r="N16071" s="43" t="s">
        <v>1690</v>
      </c>
      <c r="O16071" s="43">
        <v>11.500057796786498</v>
      </c>
      <c r="P16071" s="490"/>
      <c r="Q16071" s="490"/>
      <c r="R16071" s="490">
        <v>1</v>
      </c>
    </row>
    <row r="16072" spans="1:18" ht="24">
      <c r="A16072" s="486">
        <v>88</v>
      </c>
      <c r="B16072" s="483" t="s">
        <v>28811</v>
      </c>
      <c r="C16072" s="487" t="s">
        <v>28812</v>
      </c>
      <c r="D16072" s="488">
        <v>2959.57</v>
      </c>
      <c r="E16072" s="488">
        <v>2901.54</v>
      </c>
      <c r="F16072" s="488"/>
      <c r="G16072" s="488">
        <v>58.03</v>
      </c>
      <c r="H16072" s="489">
        <v>34036.17</v>
      </c>
      <c r="I16072" s="489">
        <v>33368.82</v>
      </c>
      <c r="J16072" s="489"/>
      <c r="K16072" s="489">
        <v>667.35</v>
      </c>
      <c r="L16072" s="43">
        <v>11.50037674391888</v>
      </c>
      <c r="M16072" s="43">
        <v>11.500382555470543</v>
      </c>
      <c r="N16072" s="43" t="s">
        <v>1690</v>
      </c>
      <c r="O16072" s="43">
        <v>11.500086162329829</v>
      </c>
      <c r="P16072" s="490"/>
      <c r="Q16072" s="490"/>
      <c r="R16072" s="490">
        <v>1</v>
      </c>
    </row>
    <row r="16073" spans="1:18" ht="24">
      <c r="A16073" s="486">
        <v>89</v>
      </c>
      <c r="B16073" s="483" t="s">
        <v>28813</v>
      </c>
      <c r="C16073" s="487" t="s">
        <v>28814</v>
      </c>
      <c r="D16073" s="488">
        <v>628.41999999999996</v>
      </c>
      <c r="E16073" s="488">
        <v>616.1</v>
      </c>
      <c r="F16073" s="488"/>
      <c r="G16073" s="488">
        <v>12.32</v>
      </c>
      <c r="H16073" s="489">
        <v>7226.83</v>
      </c>
      <c r="I16073" s="489">
        <v>7085.15</v>
      </c>
      <c r="J16073" s="489"/>
      <c r="K16073" s="489">
        <v>141.68</v>
      </c>
      <c r="L16073" s="43">
        <v>11.5</v>
      </c>
      <c r="M16073" s="43">
        <v>11.499999999999998</v>
      </c>
      <c r="N16073" s="43" t="s">
        <v>1690</v>
      </c>
      <c r="O16073" s="43">
        <v>11.5</v>
      </c>
      <c r="P16073" s="490"/>
      <c r="Q16073" s="490"/>
      <c r="R16073" s="490">
        <v>1</v>
      </c>
    </row>
    <row r="16074" spans="1:18" ht="24">
      <c r="A16074" s="486">
        <v>90</v>
      </c>
      <c r="B16074" s="483" t="s">
        <v>28815</v>
      </c>
      <c r="C16074" s="487" t="s">
        <v>28816</v>
      </c>
      <c r="D16074" s="488">
        <v>1386.47</v>
      </c>
      <c r="E16074" s="488">
        <v>1359.28</v>
      </c>
      <c r="F16074" s="488"/>
      <c r="G16074" s="488">
        <v>27.19</v>
      </c>
      <c r="H16074" s="489">
        <v>15944.93</v>
      </c>
      <c r="I16074" s="489">
        <v>15632.24</v>
      </c>
      <c r="J16074" s="489"/>
      <c r="K16074" s="489">
        <v>312.69</v>
      </c>
      <c r="L16074" s="43">
        <v>11.500378659473339</v>
      </c>
      <c r="M16074" s="43">
        <v>11.500382555470543</v>
      </c>
      <c r="N16074" s="43" t="s">
        <v>1690</v>
      </c>
      <c r="O16074" s="43">
        <v>11.500183891136446</v>
      </c>
      <c r="P16074" s="490"/>
      <c r="Q16074" s="490"/>
      <c r="R16074" s="490">
        <v>1</v>
      </c>
    </row>
    <row r="16075" spans="1:18" ht="24">
      <c r="A16075" s="486">
        <v>91</v>
      </c>
      <c r="B16075" s="483" t="s">
        <v>28817</v>
      </c>
      <c r="C16075" s="487" t="s">
        <v>28818</v>
      </c>
      <c r="D16075" s="488">
        <v>314.08999999999997</v>
      </c>
      <c r="E16075" s="488">
        <v>307.93</v>
      </c>
      <c r="F16075" s="488"/>
      <c r="G16075" s="488">
        <v>6.16</v>
      </c>
      <c r="H16075" s="489">
        <v>3612.19</v>
      </c>
      <c r="I16075" s="489">
        <v>3541.35</v>
      </c>
      <c r="J16075" s="489"/>
      <c r="K16075" s="489">
        <v>70.84</v>
      </c>
      <c r="L16075" s="43">
        <v>11.500493489127321</v>
      </c>
      <c r="M16075" s="43">
        <v>11.500503361153509</v>
      </c>
      <c r="N16075" s="43" t="s">
        <v>1690</v>
      </c>
      <c r="O16075" s="43">
        <v>11.5</v>
      </c>
      <c r="P16075" s="490"/>
      <c r="Q16075" s="490"/>
      <c r="R16075" s="490">
        <v>1</v>
      </c>
    </row>
    <row r="16076" spans="1:18" ht="24">
      <c r="A16076" s="486">
        <v>92</v>
      </c>
      <c r="B16076" s="483" t="s">
        <v>28819</v>
      </c>
      <c r="C16076" s="487" t="s">
        <v>28820</v>
      </c>
      <c r="D16076" s="488">
        <v>8784.19</v>
      </c>
      <c r="E16076" s="488">
        <v>7645.95</v>
      </c>
      <c r="F16076" s="488"/>
      <c r="G16076" s="488">
        <v>1138.24</v>
      </c>
      <c r="H16076" s="489">
        <v>98325.97</v>
      </c>
      <c r="I16076" s="489">
        <v>87931.35</v>
      </c>
      <c r="J16076" s="489"/>
      <c r="K16076" s="489">
        <v>10394.620000000001</v>
      </c>
      <c r="L16076" s="43">
        <v>11.193515850636199</v>
      </c>
      <c r="M16076" s="43">
        <v>11.500382555470544</v>
      </c>
      <c r="N16076" s="43" t="s">
        <v>1690</v>
      </c>
      <c r="O16076" s="43">
        <v>9.1321865335957266</v>
      </c>
      <c r="P16076" s="490"/>
      <c r="Q16076" s="490"/>
      <c r="R16076" s="490">
        <v>1</v>
      </c>
    </row>
    <row r="16077" spans="1:18" ht="12.75" customHeight="1">
      <c r="A16077" s="628" t="s">
        <v>28821</v>
      </c>
      <c r="B16077" s="629"/>
      <c r="C16077" s="629"/>
      <c r="D16077" s="629"/>
      <c r="E16077" s="629"/>
      <c r="F16077" s="629"/>
      <c r="G16077" s="629"/>
      <c r="H16077" s="629"/>
      <c r="I16077" s="629"/>
      <c r="J16077" s="629"/>
      <c r="K16077" s="629"/>
      <c r="L16077" s="629"/>
      <c r="M16077" s="629"/>
      <c r="N16077" s="629"/>
      <c r="O16077" s="629"/>
      <c r="P16077" s="629"/>
      <c r="Q16077" s="629"/>
      <c r="R16077" s="629"/>
    </row>
    <row r="16078" spans="1:18" ht="24">
      <c r="A16078" s="486">
        <v>93</v>
      </c>
      <c r="B16078" s="483" t="s">
        <v>28822</v>
      </c>
      <c r="C16078" s="487" t="s">
        <v>28823</v>
      </c>
      <c r="D16078" s="488">
        <v>162.4</v>
      </c>
      <c r="E16078" s="488">
        <v>139.38</v>
      </c>
      <c r="F16078" s="488"/>
      <c r="G16078" s="488">
        <v>23.02</v>
      </c>
      <c r="H16078" s="489">
        <v>1812.22</v>
      </c>
      <c r="I16078" s="489">
        <v>1602.82</v>
      </c>
      <c r="J16078" s="489"/>
      <c r="K16078" s="489">
        <v>209.4</v>
      </c>
      <c r="L16078" s="43">
        <v>11.158990147783252</v>
      </c>
      <c r="M16078" s="43">
        <v>11.499641268474674</v>
      </c>
      <c r="N16078" s="43" t="s">
        <v>1690</v>
      </c>
      <c r="O16078" s="43">
        <v>9.0964378801042578</v>
      </c>
      <c r="P16078" s="490"/>
      <c r="Q16078" s="490"/>
      <c r="R16078" s="490">
        <v>2</v>
      </c>
    </row>
    <row r="16079" spans="1:18" ht="12.75" customHeight="1">
      <c r="A16079" s="628" t="s">
        <v>28824</v>
      </c>
      <c r="B16079" s="629"/>
      <c r="C16079" s="629"/>
      <c r="D16079" s="629"/>
      <c r="E16079" s="629"/>
      <c r="F16079" s="629"/>
      <c r="G16079" s="629"/>
      <c r="H16079" s="629"/>
      <c r="I16079" s="629"/>
      <c r="J16079" s="629"/>
      <c r="K16079" s="629"/>
      <c r="L16079" s="629"/>
      <c r="M16079" s="629"/>
      <c r="N16079" s="629"/>
      <c r="O16079" s="629"/>
      <c r="P16079" s="629"/>
      <c r="Q16079" s="629"/>
      <c r="R16079" s="629"/>
    </row>
    <row r="16080" spans="1:18" ht="24">
      <c r="A16080" s="486">
        <v>94</v>
      </c>
      <c r="B16080" s="483" t="s">
        <v>28825</v>
      </c>
      <c r="C16080" s="487" t="s">
        <v>28826</v>
      </c>
      <c r="D16080" s="488">
        <v>5000.05</v>
      </c>
      <c r="E16080" s="488">
        <v>4886.1499999999996</v>
      </c>
      <c r="F16080" s="488"/>
      <c r="G16080" s="488">
        <v>113.9</v>
      </c>
      <c r="H16080" s="489">
        <v>57458.33</v>
      </c>
      <c r="I16080" s="489">
        <v>56192.7</v>
      </c>
      <c r="J16080" s="489"/>
      <c r="K16080" s="489">
        <v>1265.6300000000001</v>
      </c>
      <c r="L16080" s="43">
        <v>11.491551084489155</v>
      </c>
      <c r="M16080" s="43">
        <v>11.500404203718675</v>
      </c>
      <c r="N16080" s="43" t="s">
        <v>1690</v>
      </c>
      <c r="O16080" s="43">
        <v>11.111764705882353</v>
      </c>
      <c r="P16080" s="490"/>
      <c r="Q16080" s="490"/>
      <c r="R16080" s="490">
        <v>3</v>
      </c>
    </row>
    <row r="16081" spans="1:18" ht="24">
      <c r="A16081" s="486">
        <v>95</v>
      </c>
      <c r="B16081" s="483" t="s">
        <v>28827</v>
      </c>
      <c r="C16081" s="487" t="s">
        <v>28828</v>
      </c>
      <c r="D16081" s="488">
        <v>554.21</v>
      </c>
      <c r="E16081" s="488">
        <v>519.54</v>
      </c>
      <c r="F16081" s="488"/>
      <c r="G16081" s="488">
        <v>34.67</v>
      </c>
      <c r="H16081" s="489">
        <v>6307.18</v>
      </c>
      <c r="I16081" s="489">
        <v>5974.92</v>
      </c>
      <c r="J16081" s="489"/>
      <c r="K16081" s="489">
        <v>332.26</v>
      </c>
      <c r="L16081" s="43">
        <v>11.380487540823875</v>
      </c>
      <c r="M16081" s="43">
        <v>11.500404203718675</v>
      </c>
      <c r="N16081" s="43" t="s">
        <v>1690</v>
      </c>
      <c r="O16081" s="43">
        <v>9.583501586385923</v>
      </c>
      <c r="P16081" s="490"/>
      <c r="Q16081" s="490"/>
      <c r="R16081" s="490">
        <v>3</v>
      </c>
    </row>
    <row r="16082" spans="1:18" ht="24">
      <c r="A16082" s="486">
        <v>96</v>
      </c>
      <c r="B16082" s="483" t="s">
        <v>28829</v>
      </c>
      <c r="C16082" s="487" t="s">
        <v>28830</v>
      </c>
      <c r="D16082" s="488">
        <v>3451.34</v>
      </c>
      <c r="E16082" s="488">
        <v>3364.64</v>
      </c>
      <c r="F16082" s="488"/>
      <c r="G16082" s="488">
        <v>86.7</v>
      </c>
      <c r="H16082" s="489">
        <v>39638.720000000001</v>
      </c>
      <c r="I16082" s="489">
        <v>38694.720000000001</v>
      </c>
      <c r="J16082" s="489"/>
      <c r="K16082" s="489">
        <v>944</v>
      </c>
      <c r="L16082" s="43">
        <v>11.485023208377036</v>
      </c>
      <c r="M16082" s="43">
        <v>11.500404203718675</v>
      </c>
      <c r="N16082" s="43" t="s">
        <v>1690</v>
      </c>
      <c r="O16082" s="43">
        <v>10.888119953863898</v>
      </c>
      <c r="P16082" s="490"/>
      <c r="Q16082" s="490"/>
      <c r="R16082" s="490">
        <v>3</v>
      </c>
    </row>
    <row r="16083" spans="1:18" ht="12.75" customHeight="1">
      <c r="A16083" s="628" t="s">
        <v>28831</v>
      </c>
      <c r="B16083" s="629"/>
      <c r="C16083" s="629"/>
      <c r="D16083" s="629"/>
      <c r="E16083" s="629"/>
      <c r="F16083" s="629"/>
      <c r="G16083" s="629"/>
      <c r="H16083" s="629"/>
      <c r="I16083" s="629"/>
      <c r="J16083" s="629"/>
      <c r="K16083" s="629"/>
      <c r="L16083" s="629"/>
      <c r="M16083" s="629"/>
      <c r="N16083" s="629"/>
      <c r="O16083" s="629"/>
      <c r="P16083" s="629"/>
      <c r="Q16083" s="629"/>
      <c r="R16083" s="629"/>
    </row>
    <row r="16084" spans="1:18" ht="24">
      <c r="A16084" s="486">
        <v>97</v>
      </c>
      <c r="B16084" s="483" t="s">
        <v>28832</v>
      </c>
      <c r="C16084" s="487" t="s">
        <v>28833</v>
      </c>
      <c r="D16084" s="488">
        <v>1819.9</v>
      </c>
      <c r="E16084" s="488">
        <v>1730.88</v>
      </c>
      <c r="F16084" s="488"/>
      <c r="G16084" s="488">
        <v>89.02</v>
      </c>
      <c r="H16084" s="489">
        <v>20780.05</v>
      </c>
      <c r="I16084" s="489">
        <v>19905.12</v>
      </c>
      <c r="J16084" s="489"/>
      <c r="K16084" s="489">
        <v>874.93</v>
      </c>
      <c r="L16084" s="43">
        <v>11.418237265783834</v>
      </c>
      <c r="M16084" s="43">
        <v>11.499999999999998</v>
      </c>
      <c r="N16084" s="43" t="s">
        <v>1690</v>
      </c>
      <c r="O16084" s="43">
        <v>9.8284655133677816</v>
      </c>
      <c r="P16084" s="490"/>
      <c r="Q16084" s="490"/>
      <c r="R16084" s="490">
        <v>4</v>
      </c>
    </row>
    <row r="16085" spans="1:18" ht="12.75" customHeight="1">
      <c r="A16085" s="628" t="s">
        <v>2739</v>
      </c>
      <c r="B16085" s="629"/>
      <c r="C16085" s="629"/>
      <c r="D16085" s="629"/>
      <c r="E16085" s="629"/>
      <c r="F16085" s="629"/>
      <c r="G16085" s="629"/>
      <c r="H16085" s="629"/>
      <c r="I16085" s="629"/>
      <c r="J16085" s="629"/>
      <c r="K16085" s="629"/>
      <c r="L16085" s="629"/>
      <c r="M16085" s="629"/>
      <c r="N16085" s="629"/>
      <c r="O16085" s="629"/>
      <c r="P16085" s="629"/>
      <c r="Q16085" s="629"/>
      <c r="R16085" s="629"/>
    </row>
    <row r="16086" spans="1:18" ht="24">
      <c r="A16086" s="486">
        <v>98</v>
      </c>
      <c r="B16086" s="483" t="s">
        <v>28834</v>
      </c>
      <c r="C16086" s="487" t="s">
        <v>28835</v>
      </c>
      <c r="D16086" s="488">
        <v>171.27</v>
      </c>
      <c r="E16086" s="488">
        <v>165.76</v>
      </c>
      <c r="F16086" s="488"/>
      <c r="G16086" s="488">
        <v>5.51</v>
      </c>
      <c r="H16086" s="489">
        <v>1963.65</v>
      </c>
      <c r="I16086" s="489">
        <v>1906.28</v>
      </c>
      <c r="J16086" s="489"/>
      <c r="K16086" s="489">
        <v>57.37</v>
      </c>
      <c r="L16086" s="43">
        <v>11.465230338062709</v>
      </c>
      <c r="M16086" s="43">
        <v>11.500241312741313</v>
      </c>
      <c r="N16086" s="43" t="s">
        <v>1690</v>
      </c>
      <c r="O16086" s="43">
        <v>10.411978221415607</v>
      </c>
      <c r="P16086" s="490"/>
      <c r="Q16086" s="490"/>
      <c r="R16086" s="490">
        <v>5</v>
      </c>
    </row>
    <row r="16087" spans="1:18" ht="24">
      <c r="A16087" s="486">
        <v>99</v>
      </c>
      <c r="B16087" s="483" t="s">
        <v>28836</v>
      </c>
      <c r="C16087" s="487" t="s">
        <v>28837</v>
      </c>
      <c r="D16087" s="488">
        <v>248.07</v>
      </c>
      <c r="E16087" s="488">
        <v>242.45</v>
      </c>
      <c r="F16087" s="488"/>
      <c r="G16087" s="488">
        <v>5.62</v>
      </c>
      <c r="H16087" s="489">
        <v>2850.79</v>
      </c>
      <c r="I16087" s="489">
        <v>2788.3</v>
      </c>
      <c r="J16087" s="489"/>
      <c r="K16087" s="489">
        <v>62.49</v>
      </c>
      <c r="L16087" s="43">
        <v>11.491877292699641</v>
      </c>
      <c r="M16087" s="43">
        <v>11.500515570220665</v>
      </c>
      <c r="N16087" s="43" t="s">
        <v>1690</v>
      </c>
      <c r="O16087" s="43">
        <v>11.119217081850534</v>
      </c>
      <c r="P16087" s="490"/>
      <c r="Q16087" s="490"/>
      <c r="R16087" s="490">
        <v>5</v>
      </c>
    </row>
    <row r="16088" spans="1:18" ht="24">
      <c r="A16088" s="486">
        <v>100</v>
      </c>
      <c r="B16088" s="483" t="s">
        <v>28838</v>
      </c>
      <c r="C16088" s="487" t="s">
        <v>28839</v>
      </c>
      <c r="D16088" s="488">
        <v>208.23</v>
      </c>
      <c r="E16088" s="488">
        <v>204.11</v>
      </c>
      <c r="F16088" s="488"/>
      <c r="G16088" s="488">
        <v>4.12</v>
      </c>
      <c r="H16088" s="489">
        <v>2394.54</v>
      </c>
      <c r="I16088" s="489">
        <v>2347.29</v>
      </c>
      <c r="J16088" s="489"/>
      <c r="K16088" s="489">
        <v>47.25</v>
      </c>
      <c r="L16088" s="43">
        <v>11.499495749891947</v>
      </c>
      <c r="M16088" s="43">
        <v>11.500122482974865</v>
      </c>
      <c r="N16088" s="43" t="s">
        <v>1690</v>
      </c>
      <c r="O16088" s="43">
        <v>11.468446601941748</v>
      </c>
      <c r="P16088" s="490"/>
      <c r="Q16088" s="490"/>
      <c r="R16088" s="490">
        <v>5</v>
      </c>
    </row>
    <row r="16089" spans="1:18" ht="24">
      <c r="A16089" s="486">
        <v>101</v>
      </c>
      <c r="B16089" s="483" t="s">
        <v>28840</v>
      </c>
      <c r="C16089" s="487" t="s">
        <v>28841</v>
      </c>
      <c r="D16089" s="488">
        <v>910.16</v>
      </c>
      <c r="E16089" s="488">
        <v>891.88</v>
      </c>
      <c r="F16089" s="488"/>
      <c r="G16089" s="488">
        <v>18.28</v>
      </c>
      <c r="H16089" s="489">
        <v>10465.950000000001</v>
      </c>
      <c r="I16089" s="489">
        <v>10256.950000000001</v>
      </c>
      <c r="J16089" s="489"/>
      <c r="K16089" s="489">
        <v>209</v>
      </c>
      <c r="L16089" s="43">
        <v>11.499022149951658</v>
      </c>
      <c r="M16089" s="43">
        <v>11.5003700049334</v>
      </c>
      <c r="N16089" s="43" t="s">
        <v>1690</v>
      </c>
      <c r="O16089" s="43">
        <v>11.433260393873084</v>
      </c>
      <c r="P16089" s="490"/>
      <c r="Q16089" s="490"/>
      <c r="R16089" s="490">
        <v>5</v>
      </c>
    </row>
    <row r="16090" spans="1:18" ht="24">
      <c r="A16090" s="486">
        <v>102</v>
      </c>
      <c r="B16090" s="483" t="s">
        <v>28842</v>
      </c>
      <c r="C16090" s="487" t="s">
        <v>28843</v>
      </c>
      <c r="D16090" s="488">
        <v>324.64</v>
      </c>
      <c r="E16090" s="488">
        <v>317.58</v>
      </c>
      <c r="F16090" s="488"/>
      <c r="G16090" s="488">
        <v>7.06</v>
      </c>
      <c r="H16090" s="489">
        <v>3731.56</v>
      </c>
      <c r="I16090" s="489">
        <v>3652.3</v>
      </c>
      <c r="J16090" s="489"/>
      <c r="K16090" s="489">
        <v>79.260000000000005</v>
      </c>
      <c r="L16090" s="43">
        <v>11.494455396747167</v>
      </c>
      <c r="M16090" s="43">
        <v>11.500409345676681</v>
      </c>
      <c r="N16090" s="43" t="s">
        <v>1690</v>
      </c>
      <c r="O16090" s="43">
        <v>11.226628895184138</v>
      </c>
      <c r="P16090" s="490"/>
      <c r="Q16090" s="490"/>
      <c r="R16090" s="490">
        <v>5</v>
      </c>
    </row>
    <row r="16091" spans="1:18" ht="24">
      <c r="A16091" s="486">
        <v>103</v>
      </c>
      <c r="B16091" s="483" t="s">
        <v>28844</v>
      </c>
      <c r="C16091" s="487" t="s">
        <v>28845</v>
      </c>
      <c r="D16091" s="488">
        <v>1072.71</v>
      </c>
      <c r="E16091" s="488">
        <v>1034.51</v>
      </c>
      <c r="F16091" s="488"/>
      <c r="G16091" s="488">
        <v>38.200000000000003</v>
      </c>
      <c r="H16091" s="489">
        <v>12288.65</v>
      </c>
      <c r="I16091" s="489">
        <v>11897.24</v>
      </c>
      <c r="J16091" s="489"/>
      <c r="K16091" s="489">
        <v>391.41</v>
      </c>
      <c r="L16091" s="43">
        <v>11.455705642717975</v>
      </c>
      <c r="M16091" s="43">
        <v>11.500362490454417</v>
      </c>
      <c r="N16091" s="43" t="s">
        <v>1690</v>
      </c>
      <c r="O16091" s="43">
        <v>10.246335078534031</v>
      </c>
      <c r="P16091" s="490"/>
      <c r="Q16091" s="490"/>
      <c r="R16091" s="490">
        <v>5</v>
      </c>
    </row>
    <row r="16092" spans="1:18" ht="24">
      <c r="A16092" s="486">
        <v>104</v>
      </c>
      <c r="B16092" s="483" t="s">
        <v>28846</v>
      </c>
      <c r="C16092" s="487" t="s">
        <v>28847</v>
      </c>
      <c r="D16092" s="488">
        <v>1195.57</v>
      </c>
      <c r="E16092" s="488">
        <v>1171.97</v>
      </c>
      <c r="F16092" s="488"/>
      <c r="G16092" s="488">
        <v>23.6</v>
      </c>
      <c r="H16092" s="489">
        <v>13749.08</v>
      </c>
      <c r="I16092" s="489">
        <v>13478.09</v>
      </c>
      <c r="J16092" s="489"/>
      <c r="K16092" s="489">
        <v>270.99</v>
      </c>
      <c r="L16092" s="43">
        <v>11.500020910528033</v>
      </c>
      <c r="M16092" s="43">
        <v>11.500371169910492</v>
      </c>
      <c r="N16092" s="43" t="s">
        <v>1690</v>
      </c>
      <c r="O16092" s="43">
        <v>11.482627118644068</v>
      </c>
      <c r="P16092" s="490"/>
      <c r="Q16092" s="490"/>
      <c r="R16092" s="490">
        <v>5</v>
      </c>
    </row>
    <row r="16093" spans="1:18" ht="24">
      <c r="A16093" s="486">
        <v>105</v>
      </c>
      <c r="B16093" s="483" t="s">
        <v>28848</v>
      </c>
      <c r="C16093" s="487" t="s">
        <v>28849</v>
      </c>
      <c r="D16093" s="488">
        <v>1060.1300000000001</v>
      </c>
      <c r="E16093" s="488">
        <v>1038.06</v>
      </c>
      <c r="F16093" s="488"/>
      <c r="G16093" s="488">
        <v>22.07</v>
      </c>
      <c r="H16093" s="489">
        <v>12188.37</v>
      </c>
      <c r="I16093" s="489">
        <v>11938.13</v>
      </c>
      <c r="J16093" s="489"/>
      <c r="K16093" s="489">
        <v>250.24</v>
      </c>
      <c r="L16093" s="43">
        <v>11.497052248309169</v>
      </c>
      <c r="M16093" s="43">
        <v>11.500423867599174</v>
      </c>
      <c r="N16093" s="43" t="s">
        <v>1690</v>
      </c>
      <c r="O16093" s="43">
        <v>11.338468509288628</v>
      </c>
      <c r="P16093" s="490"/>
      <c r="Q16093" s="490"/>
      <c r="R16093" s="490">
        <v>5</v>
      </c>
    </row>
    <row r="16094" spans="1:18" ht="24">
      <c r="A16094" s="486">
        <v>106</v>
      </c>
      <c r="B16094" s="483" t="s">
        <v>28850</v>
      </c>
      <c r="C16094" s="487" t="s">
        <v>28851</v>
      </c>
      <c r="D16094" s="488">
        <v>139.21</v>
      </c>
      <c r="E16094" s="488">
        <v>136.47999999999999</v>
      </c>
      <c r="F16094" s="488"/>
      <c r="G16094" s="488">
        <v>2.73</v>
      </c>
      <c r="H16094" s="489">
        <v>1600.91</v>
      </c>
      <c r="I16094" s="489">
        <v>1569.51</v>
      </c>
      <c r="J16094" s="489"/>
      <c r="K16094" s="489">
        <v>31.4</v>
      </c>
      <c r="L16094" s="43">
        <v>11.499964083040011</v>
      </c>
      <c r="M16094" s="43">
        <v>11.499926729191092</v>
      </c>
      <c r="N16094" s="43" t="s">
        <v>1690</v>
      </c>
      <c r="O16094" s="43">
        <v>11.501831501831502</v>
      </c>
      <c r="P16094" s="490"/>
      <c r="Q16094" s="490"/>
      <c r="R16094" s="490">
        <v>5</v>
      </c>
    </row>
    <row r="16095" spans="1:18" ht="24">
      <c r="A16095" s="486">
        <v>107</v>
      </c>
      <c r="B16095" s="483" t="s">
        <v>28852</v>
      </c>
      <c r="C16095" s="487" t="s">
        <v>28853</v>
      </c>
      <c r="D16095" s="488">
        <v>561.34</v>
      </c>
      <c r="E16095" s="488">
        <v>549.84</v>
      </c>
      <c r="F16095" s="488"/>
      <c r="G16095" s="488">
        <v>11.5</v>
      </c>
      <c r="H16095" s="489">
        <v>6454.3</v>
      </c>
      <c r="I16095" s="489">
        <v>6323.39</v>
      </c>
      <c r="J16095" s="489"/>
      <c r="K16095" s="489">
        <v>130.91</v>
      </c>
      <c r="L16095" s="43">
        <v>11.498022588805359</v>
      </c>
      <c r="M16095" s="43">
        <v>11.500418303506475</v>
      </c>
      <c r="N16095" s="43" t="s">
        <v>1690</v>
      </c>
      <c r="O16095" s="43">
        <v>11.383478260869564</v>
      </c>
      <c r="P16095" s="490"/>
      <c r="Q16095" s="490"/>
      <c r="R16095" s="490">
        <v>5</v>
      </c>
    </row>
    <row r="16096" spans="1:18" ht="24">
      <c r="A16096" s="486">
        <v>108</v>
      </c>
      <c r="B16096" s="483" t="s">
        <v>28854</v>
      </c>
      <c r="C16096" s="487" t="s">
        <v>28855</v>
      </c>
      <c r="D16096" s="488">
        <v>200.97</v>
      </c>
      <c r="E16096" s="488">
        <v>195.53</v>
      </c>
      <c r="F16096" s="488"/>
      <c r="G16096" s="488">
        <v>5.44</v>
      </c>
      <c r="H16096" s="489">
        <v>2307</v>
      </c>
      <c r="I16096" s="489">
        <v>2248.62</v>
      </c>
      <c r="J16096" s="489"/>
      <c r="K16096" s="489">
        <v>58.38</v>
      </c>
      <c r="L16096" s="43">
        <v>11.479325272428721</v>
      </c>
      <c r="M16096" s="43">
        <v>11.500127857617755</v>
      </c>
      <c r="N16096" s="43" t="s">
        <v>1690</v>
      </c>
      <c r="O16096" s="43">
        <v>10.731617647058822</v>
      </c>
      <c r="P16096" s="490"/>
      <c r="Q16096" s="490"/>
      <c r="R16096" s="490">
        <v>5</v>
      </c>
    </row>
    <row r="16097" spans="1:18" ht="24">
      <c r="A16097" s="486">
        <v>109</v>
      </c>
      <c r="B16097" s="483" t="s">
        <v>28856</v>
      </c>
      <c r="C16097" s="487" t="s">
        <v>28857</v>
      </c>
      <c r="D16097" s="488">
        <v>260.08</v>
      </c>
      <c r="E16097" s="488">
        <v>254.82</v>
      </c>
      <c r="F16097" s="488"/>
      <c r="G16097" s="488">
        <v>5.26</v>
      </c>
      <c r="H16097" s="489">
        <v>2990.64</v>
      </c>
      <c r="I16097" s="489">
        <v>2930.56</v>
      </c>
      <c r="J16097" s="489"/>
      <c r="K16097" s="489">
        <v>60.08</v>
      </c>
      <c r="L16097" s="43">
        <v>11.498923408182097</v>
      </c>
      <c r="M16097" s="43">
        <v>11.50051016403736</v>
      </c>
      <c r="N16097" s="43" t="s">
        <v>1690</v>
      </c>
      <c r="O16097" s="43">
        <v>11.422053231939163</v>
      </c>
      <c r="P16097" s="490"/>
      <c r="Q16097" s="490"/>
      <c r="R16097" s="490">
        <v>5</v>
      </c>
    </row>
    <row r="16098" spans="1:18" ht="12.75" customHeight="1">
      <c r="A16098" s="628" t="s">
        <v>28858</v>
      </c>
      <c r="B16098" s="629"/>
      <c r="C16098" s="629"/>
      <c r="D16098" s="629"/>
      <c r="E16098" s="629"/>
      <c r="F16098" s="629"/>
      <c r="G16098" s="629"/>
      <c r="H16098" s="629"/>
      <c r="I16098" s="629"/>
      <c r="J16098" s="629"/>
      <c r="K16098" s="629"/>
      <c r="L16098" s="629"/>
      <c r="M16098" s="629"/>
      <c r="N16098" s="629"/>
      <c r="O16098" s="629"/>
      <c r="P16098" s="629"/>
      <c r="Q16098" s="629"/>
      <c r="R16098" s="629"/>
    </row>
    <row r="16099" spans="1:18" ht="12.75" customHeight="1">
      <c r="A16099" s="628" t="s">
        <v>28859</v>
      </c>
      <c r="B16099" s="629"/>
      <c r="C16099" s="629"/>
      <c r="D16099" s="629"/>
      <c r="E16099" s="629"/>
      <c r="F16099" s="629"/>
      <c r="G16099" s="629"/>
      <c r="H16099" s="629"/>
      <c r="I16099" s="629"/>
      <c r="J16099" s="629"/>
      <c r="K16099" s="629"/>
      <c r="L16099" s="629"/>
      <c r="M16099" s="629"/>
      <c r="N16099" s="629"/>
      <c r="O16099" s="629"/>
      <c r="P16099" s="629"/>
      <c r="Q16099" s="629"/>
      <c r="R16099" s="629"/>
    </row>
    <row r="16100" spans="1:18" ht="36">
      <c r="A16100" s="486">
        <v>110</v>
      </c>
      <c r="B16100" s="483" t="s">
        <v>28860</v>
      </c>
      <c r="C16100" s="487" t="s">
        <v>28861</v>
      </c>
      <c r="D16100" s="488">
        <v>688.78</v>
      </c>
      <c r="E16100" s="488">
        <v>674.46</v>
      </c>
      <c r="F16100" s="488">
        <v>0.83</v>
      </c>
      <c r="G16100" s="488">
        <v>13.49</v>
      </c>
      <c r="H16100" s="489">
        <v>7916.1</v>
      </c>
      <c r="I16100" s="489">
        <v>7756.62</v>
      </c>
      <c r="J16100" s="489">
        <v>4.34</v>
      </c>
      <c r="K16100" s="489">
        <v>155.13999999999999</v>
      </c>
      <c r="L16100" s="43">
        <v>11.492929527570489</v>
      </c>
      <c r="M16100" s="43">
        <v>11.500489280313138</v>
      </c>
      <c r="N16100" s="43">
        <v>5.2289156626506026</v>
      </c>
      <c r="O16100" s="43">
        <v>11.500370644922164</v>
      </c>
      <c r="P16100" s="490"/>
      <c r="Q16100" s="490"/>
      <c r="R16100" s="490">
        <v>1</v>
      </c>
    </row>
    <row r="16101" spans="1:18" ht="24">
      <c r="A16101" s="486">
        <v>111</v>
      </c>
      <c r="B16101" s="483" t="s">
        <v>28862</v>
      </c>
      <c r="C16101" s="487" t="s">
        <v>28863</v>
      </c>
      <c r="D16101" s="488">
        <v>399.2</v>
      </c>
      <c r="E16101" s="488">
        <v>390.66</v>
      </c>
      <c r="F16101" s="488">
        <v>0.73</v>
      </c>
      <c r="G16101" s="488">
        <v>7.81</v>
      </c>
      <c r="H16101" s="489">
        <v>4586.33</v>
      </c>
      <c r="I16101" s="489">
        <v>4492.76</v>
      </c>
      <c r="J16101" s="489">
        <v>3.75</v>
      </c>
      <c r="K16101" s="489">
        <v>89.82</v>
      </c>
      <c r="L16101" s="43">
        <v>11.48880260521042</v>
      </c>
      <c r="M16101" s="43">
        <v>11.500435161009573</v>
      </c>
      <c r="N16101" s="43">
        <v>5.1369863013698636</v>
      </c>
      <c r="O16101" s="43">
        <v>11.500640204865556</v>
      </c>
      <c r="P16101" s="490"/>
      <c r="Q16101" s="490"/>
      <c r="R16101" s="490">
        <v>1</v>
      </c>
    </row>
    <row r="16102" spans="1:18" ht="36">
      <c r="A16102" s="486">
        <v>112</v>
      </c>
      <c r="B16102" s="483" t="s">
        <v>28864</v>
      </c>
      <c r="C16102" s="487" t="s">
        <v>28865</v>
      </c>
      <c r="D16102" s="488">
        <v>503.31</v>
      </c>
      <c r="E16102" s="488">
        <v>484.88</v>
      </c>
      <c r="F16102" s="488">
        <v>0.73</v>
      </c>
      <c r="G16102" s="488">
        <v>17.7</v>
      </c>
      <c r="H16102" s="489">
        <v>5761.7</v>
      </c>
      <c r="I16102" s="489">
        <v>5576.31</v>
      </c>
      <c r="J16102" s="489">
        <v>3.75</v>
      </c>
      <c r="K16102" s="489">
        <v>181.64</v>
      </c>
      <c r="L16102" s="43">
        <v>11.447616776936679</v>
      </c>
      <c r="M16102" s="43">
        <v>11.500391849529782</v>
      </c>
      <c r="N16102" s="43">
        <v>5.1369863013698636</v>
      </c>
      <c r="O16102" s="43">
        <v>10.262146892655366</v>
      </c>
      <c r="P16102" s="490"/>
      <c r="Q16102" s="490"/>
      <c r="R16102" s="490">
        <v>1</v>
      </c>
    </row>
    <row r="16103" spans="1:18" ht="24">
      <c r="A16103" s="486">
        <v>113</v>
      </c>
      <c r="B16103" s="483" t="s">
        <v>28866</v>
      </c>
      <c r="C16103" s="487" t="s">
        <v>28867</v>
      </c>
      <c r="D16103" s="488">
        <v>568.25</v>
      </c>
      <c r="E16103" s="488">
        <v>544.63</v>
      </c>
      <c r="F16103" s="488">
        <v>0.73</v>
      </c>
      <c r="G16103" s="488">
        <v>22.89</v>
      </c>
      <c r="H16103" s="489">
        <v>6497.56</v>
      </c>
      <c r="I16103" s="489">
        <v>6263.44</v>
      </c>
      <c r="J16103" s="489">
        <v>3.75</v>
      </c>
      <c r="K16103" s="489">
        <v>230.37</v>
      </c>
      <c r="L16103" s="43">
        <v>11.434333479982403</v>
      </c>
      <c r="M16103" s="43">
        <v>11.500358041239005</v>
      </c>
      <c r="N16103" s="43">
        <v>5.1369863013698636</v>
      </c>
      <c r="O16103" s="43">
        <v>10.064220183486238</v>
      </c>
      <c r="P16103" s="490"/>
      <c r="Q16103" s="490"/>
      <c r="R16103" s="490">
        <v>1</v>
      </c>
    </row>
    <row r="16104" spans="1:18" ht="24">
      <c r="A16104" s="486">
        <v>114</v>
      </c>
      <c r="B16104" s="483" t="s">
        <v>28868</v>
      </c>
      <c r="C16104" s="487" t="s">
        <v>28869</v>
      </c>
      <c r="D16104" s="488">
        <v>854.2</v>
      </c>
      <c r="E16104" s="488">
        <v>828.43</v>
      </c>
      <c r="F16104" s="488"/>
      <c r="G16104" s="488">
        <v>25.77</v>
      </c>
      <c r="H16104" s="489">
        <v>9811.36</v>
      </c>
      <c r="I16104" s="489">
        <v>9527.2900000000009</v>
      </c>
      <c r="J16104" s="489"/>
      <c r="K16104" s="489">
        <v>284.07</v>
      </c>
      <c r="L16104" s="43">
        <v>11.486022008897214</v>
      </c>
      <c r="M16104" s="43">
        <v>11.500416450394122</v>
      </c>
      <c r="N16104" s="43" t="s">
        <v>1690</v>
      </c>
      <c r="O16104" s="43">
        <v>11.023282887077997</v>
      </c>
      <c r="P16104" s="490"/>
      <c r="Q16104" s="490"/>
      <c r="R16104" s="490">
        <v>1</v>
      </c>
    </row>
    <row r="16105" spans="1:18" ht="24">
      <c r="A16105" s="486">
        <v>115</v>
      </c>
      <c r="B16105" s="483" t="s">
        <v>28870</v>
      </c>
      <c r="C16105" s="487" t="s">
        <v>28871</v>
      </c>
      <c r="D16105" s="488">
        <v>1065.05</v>
      </c>
      <c r="E16105" s="488">
        <v>1040.99</v>
      </c>
      <c r="F16105" s="488">
        <v>1.64</v>
      </c>
      <c r="G16105" s="488">
        <v>22.42</v>
      </c>
      <c r="H16105" s="489">
        <v>12233.76</v>
      </c>
      <c r="I16105" s="489">
        <v>11971.88</v>
      </c>
      <c r="J16105" s="489">
        <v>8.44</v>
      </c>
      <c r="K16105" s="489">
        <v>253.44</v>
      </c>
      <c r="L16105" s="43">
        <v>11.486559316464016</v>
      </c>
      <c r="M16105" s="43">
        <v>11.500475508890574</v>
      </c>
      <c r="N16105" s="43">
        <v>5.1463414634146343</v>
      </c>
      <c r="O16105" s="43">
        <v>11.304192685102587</v>
      </c>
      <c r="P16105" s="490"/>
      <c r="Q16105" s="490"/>
      <c r="R16105" s="490">
        <v>1</v>
      </c>
    </row>
    <row r="16106" spans="1:18" ht="24">
      <c r="A16106" s="486">
        <v>116</v>
      </c>
      <c r="B16106" s="483" t="s">
        <v>28872</v>
      </c>
      <c r="C16106" s="487" t="s">
        <v>28873</v>
      </c>
      <c r="D16106" s="488">
        <v>1270.3499999999999</v>
      </c>
      <c r="E16106" s="488">
        <v>1240.92</v>
      </c>
      <c r="F16106" s="488">
        <v>3.01</v>
      </c>
      <c r="G16106" s="488">
        <v>26.42</v>
      </c>
      <c r="H16106" s="489">
        <v>14586.08</v>
      </c>
      <c r="I16106" s="489">
        <v>14271.12</v>
      </c>
      <c r="J16106" s="489">
        <v>15.52</v>
      </c>
      <c r="K16106" s="489">
        <v>299.44</v>
      </c>
      <c r="L16106" s="43">
        <v>11.481938048569292</v>
      </c>
      <c r="M16106" s="43">
        <v>11.500435161009573</v>
      </c>
      <c r="N16106" s="43">
        <v>5.1561461794019934</v>
      </c>
      <c r="O16106" s="43">
        <v>11.333838001514003</v>
      </c>
      <c r="P16106" s="490"/>
      <c r="Q16106" s="490"/>
      <c r="R16106" s="490">
        <v>1</v>
      </c>
    </row>
    <row r="16107" spans="1:18" ht="12.75" customHeight="1">
      <c r="A16107" s="628" t="s">
        <v>28874</v>
      </c>
      <c r="B16107" s="629"/>
      <c r="C16107" s="629"/>
      <c r="D16107" s="629"/>
      <c r="E16107" s="629"/>
      <c r="F16107" s="629"/>
      <c r="G16107" s="629"/>
      <c r="H16107" s="629"/>
      <c r="I16107" s="629"/>
      <c r="J16107" s="629"/>
      <c r="K16107" s="629"/>
      <c r="L16107" s="629"/>
      <c r="M16107" s="629"/>
      <c r="N16107" s="629"/>
      <c r="O16107" s="629"/>
      <c r="P16107" s="629"/>
      <c r="Q16107" s="629"/>
      <c r="R16107" s="629"/>
    </row>
    <row r="16108" spans="1:18" ht="24">
      <c r="A16108" s="486">
        <v>117</v>
      </c>
      <c r="B16108" s="483" t="s">
        <v>28875</v>
      </c>
      <c r="C16108" s="487" t="s">
        <v>28876</v>
      </c>
      <c r="D16108" s="488">
        <v>114.05</v>
      </c>
      <c r="E16108" s="488">
        <v>111.65</v>
      </c>
      <c r="F16108" s="488"/>
      <c r="G16108" s="488">
        <v>2.4</v>
      </c>
      <c r="H16108" s="489">
        <v>1311.11</v>
      </c>
      <c r="I16108" s="489">
        <v>1284</v>
      </c>
      <c r="J16108" s="489"/>
      <c r="K16108" s="489">
        <v>27.11</v>
      </c>
      <c r="L16108" s="43">
        <v>11.495922840859272</v>
      </c>
      <c r="M16108" s="43">
        <v>11.500223914017017</v>
      </c>
      <c r="N16108" s="43" t="s">
        <v>1690</v>
      </c>
      <c r="O16108" s="43">
        <v>11.295833333333334</v>
      </c>
      <c r="P16108" s="490"/>
      <c r="Q16108" s="490"/>
      <c r="R16108" s="490">
        <v>2</v>
      </c>
    </row>
    <row r="16109" spans="1:18" ht="24">
      <c r="A16109" s="486">
        <v>118</v>
      </c>
      <c r="B16109" s="483" t="s">
        <v>28877</v>
      </c>
      <c r="C16109" s="487" t="s">
        <v>28878</v>
      </c>
      <c r="D16109" s="488">
        <v>125.44</v>
      </c>
      <c r="E16109" s="488">
        <v>122.49</v>
      </c>
      <c r="F16109" s="488"/>
      <c r="G16109" s="488">
        <v>2.95</v>
      </c>
      <c r="H16109" s="489">
        <v>1441.22</v>
      </c>
      <c r="I16109" s="489">
        <v>1408.66</v>
      </c>
      <c r="J16109" s="489"/>
      <c r="K16109" s="489">
        <v>32.56</v>
      </c>
      <c r="L16109" s="43">
        <v>11.489317602040817</v>
      </c>
      <c r="M16109" s="43">
        <v>11.500204098293739</v>
      </c>
      <c r="N16109" s="43" t="s">
        <v>1690</v>
      </c>
      <c r="O16109" s="43">
        <v>11.03728813559322</v>
      </c>
      <c r="P16109" s="490"/>
      <c r="Q16109" s="490"/>
      <c r="R16109" s="490">
        <v>2</v>
      </c>
    </row>
    <row r="16110" spans="1:18" ht="12.75" customHeight="1">
      <c r="A16110" s="628" t="s">
        <v>2739</v>
      </c>
      <c r="B16110" s="629"/>
      <c r="C16110" s="629"/>
      <c r="D16110" s="629"/>
      <c r="E16110" s="629"/>
      <c r="F16110" s="629"/>
      <c r="G16110" s="629"/>
      <c r="H16110" s="629"/>
      <c r="I16110" s="629"/>
      <c r="J16110" s="629"/>
      <c r="K16110" s="629"/>
      <c r="L16110" s="629"/>
      <c r="M16110" s="629"/>
      <c r="N16110" s="629"/>
      <c r="O16110" s="629"/>
      <c r="P16110" s="629"/>
      <c r="Q16110" s="629"/>
      <c r="R16110" s="629"/>
    </row>
    <row r="16111" spans="1:18" ht="24">
      <c r="A16111" s="486">
        <v>119</v>
      </c>
      <c r="B16111" s="483" t="s">
        <v>28879</v>
      </c>
      <c r="C16111" s="487" t="s">
        <v>28880</v>
      </c>
      <c r="D16111" s="488">
        <v>353.6</v>
      </c>
      <c r="E16111" s="488">
        <v>346.18</v>
      </c>
      <c r="F16111" s="488"/>
      <c r="G16111" s="488">
        <v>7.42</v>
      </c>
      <c r="H16111" s="489">
        <v>4064.98</v>
      </c>
      <c r="I16111" s="489">
        <v>3981.02</v>
      </c>
      <c r="J16111" s="489"/>
      <c r="K16111" s="489">
        <v>83.96</v>
      </c>
      <c r="L16111" s="43">
        <v>11.495984162895926</v>
      </c>
      <c r="M16111" s="43">
        <v>11.499855566468311</v>
      </c>
      <c r="N16111" s="43" t="s">
        <v>1690</v>
      </c>
      <c r="O16111" s="43">
        <v>11.315363881401616</v>
      </c>
      <c r="P16111" s="490"/>
      <c r="Q16111" s="490"/>
      <c r="R16111" s="490">
        <v>3</v>
      </c>
    </row>
    <row r="16112" spans="1:18" ht="24">
      <c r="A16112" s="486">
        <v>120</v>
      </c>
      <c r="B16112" s="483" t="s">
        <v>28881</v>
      </c>
      <c r="C16112" s="487" t="s">
        <v>28882</v>
      </c>
      <c r="D16112" s="488">
        <v>437.58</v>
      </c>
      <c r="E16112" s="488">
        <v>322.14</v>
      </c>
      <c r="F16112" s="488"/>
      <c r="G16112" s="488">
        <v>115.44</v>
      </c>
      <c r="H16112" s="489">
        <v>4807.62</v>
      </c>
      <c r="I16112" s="489">
        <v>3704.56</v>
      </c>
      <c r="J16112" s="489"/>
      <c r="K16112" s="489">
        <v>1103.06</v>
      </c>
      <c r="L16112" s="43">
        <v>10.986836692719045</v>
      </c>
      <c r="M16112" s="43">
        <v>11.499844787980381</v>
      </c>
      <c r="N16112" s="43" t="s">
        <v>1690</v>
      </c>
      <c r="O16112" s="43">
        <v>9.5552668052668057</v>
      </c>
      <c r="P16112" s="490"/>
      <c r="Q16112" s="490"/>
      <c r="R16112" s="490">
        <v>3</v>
      </c>
    </row>
    <row r="16113" spans="1:18" ht="12.75" customHeight="1">
      <c r="A16113" s="628" t="s">
        <v>28883</v>
      </c>
      <c r="B16113" s="629"/>
      <c r="C16113" s="629"/>
      <c r="D16113" s="629"/>
      <c r="E16113" s="629"/>
      <c r="F16113" s="629"/>
      <c r="G16113" s="629"/>
      <c r="H16113" s="629"/>
      <c r="I16113" s="629"/>
      <c r="J16113" s="629"/>
      <c r="K16113" s="629"/>
      <c r="L16113" s="629"/>
      <c r="M16113" s="629"/>
      <c r="N16113" s="629"/>
      <c r="O16113" s="629"/>
      <c r="P16113" s="629"/>
      <c r="Q16113" s="629"/>
      <c r="R16113" s="629"/>
    </row>
    <row r="16114" spans="1:18" ht="12.75" customHeight="1">
      <c r="A16114" s="628" t="s">
        <v>28884</v>
      </c>
      <c r="B16114" s="629"/>
      <c r="C16114" s="629"/>
      <c r="D16114" s="629"/>
      <c r="E16114" s="629"/>
      <c r="F16114" s="629"/>
      <c r="G16114" s="629"/>
      <c r="H16114" s="629"/>
      <c r="I16114" s="629"/>
      <c r="J16114" s="629"/>
      <c r="K16114" s="629"/>
      <c r="L16114" s="629"/>
      <c r="M16114" s="629"/>
      <c r="N16114" s="629"/>
      <c r="O16114" s="629"/>
      <c r="P16114" s="629"/>
      <c r="Q16114" s="629"/>
      <c r="R16114" s="629"/>
    </row>
    <row r="16115" spans="1:18" ht="24">
      <c r="A16115" s="486">
        <v>121</v>
      </c>
      <c r="B16115" s="483" t="s">
        <v>28885</v>
      </c>
      <c r="C16115" s="487" t="s">
        <v>28886</v>
      </c>
      <c r="D16115" s="488">
        <v>204.1</v>
      </c>
      <c r="E16115" s="488">
        <v>198.33</v>
      </c>
      <c r="F16115" s="488"/>
      <c r="G16115" s="488">
        <v>5.77</v>
      </c>
      <c r="H16115" s="489">
        <v>2342.2199999999998</v>
      </c>
      <c r="I16115" s="489">
        <v>2280.8000000000002</v>
      </c>
      <c r="J16115" s="489"/>
      <c r="K16115" s="489">
        <v>61.42</v>
      </c>
      <c r="L16115" s="43">
        <v>11.475845173934346</v>
      </c>
      <c r="M16115" s="43">
        <v>11.50002521050774</v>
      </c>
      <c r="N16115" s="43" t="s">
        <v>1690</v>
      </c>
      <c r="O16115" s="43">
        <v>10.644714038128251</v>
      </c>
      <c r="P16115" s="490"/>
      <c r="Q16115" s="490"/>
      <c r="R16115" s="490">
        <v>1</v>
      </c>
    </row>
    <row r="16116" spans="1:18" ht="24">
      <c r="A16116" s="486">
        <v>122</v>
      </c>
      <c r="B16116" s="483" t="s">
        <v>28887</v>
      </c>
      <c r="C16116" s="487" t="s">
        <v>28888</v>
      </c>
      <c r="D16116" s="488">
        <v>100.75</v>
      </c>
      <c r="E16116" s="488">
        <v>98.56</v>
      </c>
      <c r="F16116" s="488"/>
      <c r="G16116" s="488">
        <v>2.19</v>
      </c>
      <c r="H16116" s="489">
        <v>1158.0899999999999</v>
      </c>
      <c r="I16116" s="489">
        <v>1133.49</v>
      </c>
      <c r="J16116" s="489"/>
      <c r="K16116" s="489">
        <v>24.6</v>
      </c>
      <c r="L16116" s="43">
        <v>11.494689826302729</v>
      </c>
      <c r="M16116" s="43">
        <v>11.500507305194805</v>
      </c>
      <c r="N16116" s="43" t="s">
        <v>1690</v>
      </c>
      <c r="O16116" s="43">
        <v>11.232876712328768</v>
      </c>
      <c r="P16116" s="490"/>
      <c r="Q16116" s="490"/>
      <c r="R16116" s="490">
        <v>1</v>
      </c>
    </row>
    <row r="16117" spans="1:18" ht="24">
      <c r="A16117" s="486">
        <v>123</v>
      </c>
      <c r="B16117" s="483" t="s">
        <v>28889</v>
      </c>
      <c r="C16117" s="487" t="s">
        <v>28890</v>
      </c>
      <c r="D16117" s="488">
        <v>163.57</v>
      </c>
      <c r="E16117" s="488">
        <v>159.87</v>
      </c>
      <c r="F16117" s="488"/>
      <c r="G16117" s="488">
        <v>3.7</v>
      </c>
      <c r="H16117" s="489">
        <v>1879.64</v>
      </c>
      <c r="I16117" s="489">
        <v>1838.46</v>
      </c>
      <c r="J16117" s="489"/>
      <c r="K16117" s="489">
        <v>41.18</v>
      </c>
      <c r="L16117" s="43">
        <v>11.491349269425935</v>
      </c>
      <c r="M16117" s="43">
        <v>11.499718521298554</v>
      </c>
      <c r="N16117" s="43" t="s">
        <v>1690</v>
      </c>
      <c r="O16117" s="43">
        <v>11.129729729729728</v>
      </c>
      <c r="P16117" s="490"/>
      <c r="Q16117" s="490"/>
      <c r="R16117" s="490">
        <v>1</v>
      </c>
    </row>
    <row r="16118" spans="1:18" ht="24">
      <c r="A16118" s="486">
        <v>124</v>
      </c>
      <c r="B16118" s="483" t="s">
        <v>28891</v>
      </c>
      <c r="C16118" s="487" t="s">
        <v>28892</v>
      </c>
      <c r="D16118" s="488">
        <v>126.79</v>
      </c>
      <c r="E16118" s="488">
        <v>123.81</v>
      </c>
      <c r="F16118" s="488"/>
      <c r="G16118" s="488">
        <v>2.98</v>
      </c>
      <c r="H16118" s="489">
        <v>1456.67</v>
      </c>
      <c r="I16118" s="489">
        <v>1423.77</v>
      </c>
      <c r="J16118" s="489"/>
      <c r="K16118" s="489">
        <v>32.9</v>
      </c>
      <c r="L16118" s="43">
        <v>11.488839813865447</v>
      </c>
      <c r="M16118" s="43">
        <v>11.499636539859461</v>
      </c>
      <c r="N16118" s="43" t="s">
        <v>1690</v>
      </c>
      <c r="O16118" s="43">
        <v>11.040268456375838</v>
      </c>
      <c r="P16118" s="490"/>
      <c r="Q16118" s="490"/>
      <c r="R16118" s="490">
        <v>1</v>
      </c>
    </row>
    <row r="16119" spans="1:18" ht="24">
      <c r="A16119" s="486">
        <v>125</v>
      </c>
      <c r="B16119" s="483" t="s">
        <v>28893</v>
      </c>
      <c r="C16119" s="487" t="s">
        <v>28894</v>
      </c>
      <c r="D16119" s="488">
        <v>126.39</v>
      </c>
      <c r="E16119" s="488">
        <v>123.81</v>
      </c>
      <c r="F16119" s="488"/>
      <c r="G16119" s="488">
        <v>2.58</v>
      </c>
      <c r="H16119" s="489">
        <v>1453.15</v>
      </c>
      <c r="I16119" s="489">
        <v>1423.77</v>
      </c>
      <c r="J16119" s="489"/>
      <c r="K16119" s="489">
        <v>29.38</v>
      </c>
      <c r="L16119" s="43">
        <v>11.497349473850781</v>
      </c>
      <c r="M16119" s="43">
        <v>11.499636539859461</v>
      </c>
      <c r="N16119" s="43" t="s">
        <v>1690</v>
      </c>
      <c r="O16119" s="43">
        <v>11.387596899224805</v>
      </c>
      <c r="P16119" s="490"/>
      <c r="Q16119" s="490"/>
      <c r="R16119" s="490">
        <v>1</v>
      </c>
    </row>
    <row r="16120" spans="1:18" ht="24">
      <c r="A16120" s="486">
        <v>126</v>
      </c>
      <c r="B16120" s="483" t="s">
        <v>28895</v>
      </c>
      <c r="C16120" s="487" t="s">
        <v>28896</v>
      </c>
      <c r="D16120" s="488">
        <v>316.49</v>
      </c>
      <c r="E16120" s="488">
        <v>308.91000000000003</v>
      </c>
      <c r="F16120" s="488"/>
      <c r="G16120" s="488">
        <v>7.58</v>
      </c>
      <c r="H16120" s="489">
        <v>3635.86</v>
      </c>
      <c r="I16120" s="489">
        <v>3552.51</v>
      </c>
      <c r="J16120" s="489"/>
      <c r="K16120" s="489">
        <v>83.35</v>
      </c>
      <c r="L16120" s="43">
        <v>11.488072292963443</v>
      </c>
      <c r="M16120" s="43">
        <v>11.500145673497135</v>
      </c>
      <c r="N16120" s="43" t="s">
        <v>1690</v>
      </c>
      <c r="O16120" s="43">
        <v>10.996042216358838</v>
      </c>
      <c r="P16120" s="490"/>
      <c r="Q16120" s="490"/>
      <c r="R16120" s="490">
        <v>1</v>
      </c>
    </row>
    <row r="16121" spans="1:18" ht="24">
      <c r="A16121" s="486">
        <v>127</v>
      </c>
      <c r="B16121" s="483" t="s">
        <v>28897</v>
      </c>
      <c r="C16121" s="487" t="s">
        <v>28898</v>
      </c>
      <c r="D16121" s="488">
        <v>2285.4299999999998</v>
      </c>
      <c r="E16121" s="488">
        <v>2235.7199999999998</v>
      </c>
      <c r="F16121" s="488"/>
      <c r="G16121" s="488">
        <v>49.71</v>
      </c>
      <c r="H16121" s="489">
        <v>26268.76</v>
      </c>
      <c r="I16121" s="489">
        <v>25710.78</v>
      </c>
      <c r="J16121" s="489"/>
      <c r="K16121" s="489">
        <v>557.98</v>
      </c>
      <c r="L16121" s="43">
        <v>11.494012067750926</v>
      </c>
      <c r="M16121" s="43">
        <v>11.5</v>
      </c>
      <c r="N16121" s="43" t="s">
        <v>1690</v>
      </c>
      <c r="O16121" s="43">
        <v>11.224703279018307</v>
      </c>
      <c r="P16121" s="490"/>
      <c r="Q16121" s="490"/>
      <c r="R16121" s="490">
        <v>1</v>
      </c>
    </row>
    <row r="16122" spans="1:18" ht="12.75" customHeight="1">
      <c r="A16122" s="628" t="s">
        <v>28899</v>
      </c>
      <c r="B16122" s="629"/>
      <c r="C16122" s="629"/>
      <c r="D16122" s="629"/>
      <c r="E16122" s="629"/>
      <c r="F16122" s="629"/>
      <c r="G16122" s="629"/>
      <c r="H16122" s="629"/>
      <c r="I16122" s="629"/>
      <c r="J16122" s="629"/>
      <c r="K16122" s="629"/>
      <c r="L16122" s="629"/>
      <c r="M16122" s="629"/>
      <c r="N16122" s="629"/>
      <c r="O16122" s="629"/>
      <c r="P16122" s="629"/>
      <c r="Q16122" s="629"/>
      <c r="R16122" s="629"/>
    </row>
    <row r="16123" spans="1:18" ht="24">
      <c r="A16123" s="486">
        <v>128</v>
      </c>
      <c r="B16123" s="483" t="s">
        <v>28900</v>
      </c>
      <c r="C16123" s="487" t="s">
        <v>28901</v>
      </c>
      <c r="D16123" s="488">
        <v>819.13</v>
      </c>
      <c r="E16123" s="488">
        <v>802.81</v>
      </c>
      <c r="F16123" s="488"/>
      <c r="G16123" s="488">
        <v>16.32</v>
      </c>
      <c r="H16123" s="489">
        <v>9419.6200000000008</v>
      </c>
      <c r="I16123" s="489">
        <v>9232.67</v>
      </c>
      <c r="J16123" s="489"/>
      <c r="K16123" s="489">
        <v>186.95</v>
      </c>
      <c r="L16123" s="43">
        <v>11.499542197209236</v>
      </c>
      <c r="M16123" s="43">
        <v>11.500442196783798</v>
      </c>
      <c r="N16123" s="43" t="s">
        <v>1690</v>
      </c>
      <c r="O16123" s="43">
        <v>11.455269607843137</v>
      </c>
      <c r="P16123" s="490"/>
      <c r="Q16123" s="490"/>
      <c r="R16123" s="490">
        <v>2</v>
      </c>
    </row>
    <row r="16124" spans="1:18" ht="24">
      <c r="A16124" s="486">
        <v>129</v>
      </c>
      <c r="B16124" s="483" t="s">
        <v>28902</v>
      </c>
      <c r="C16124" s="487" t="s">
        <v>28903</v>
      </c>
      <c r="D16124" s="488">
        <v>272.52999999999997</v>
      </c>
      <c r="E16124" s="488">
        <v>267.19</v>
      </c>
      <c r="F16124" s="488"/>
      <c r="G16124" s="488">
        <v>5.34</v>
      </c>
      <c r="H16124" s="489">
        <v>3134.23</v>
      </c>
      <c r="I16124" s="489">
        <v>3072.82</v>
      </c>
      <c r="J16124" s="489"/>
      <c r="K16124" s="489">
        <v>61.41</v>
      </c>
      <c r="L16124" s="43">
        <v>11.500495358309179</v>
      </c>
      <c r="M16124" s="43">
        <v>11.500505258430332</v>
      </c>
      <c r="N16124" s="43" t="s">
        <v>1690</v>
      </c>
      <c r="O16124" s="43">
        <v>11.5</v>
      </c>
      <c r="P16124" s="490"/>
      <c r="Q16124" s="490"/>
      <c r="R16124" s="490">
        <v>2</v>
      </c>
    </row>
    <row r="16125" spans="1:18" ht="12.75" customHeight="1">
      <c r="A16125" s="628" t="s">
        <v>28904</v>
      </c>
      <c r="B16125" s="629"/>
      <c r="C16125" s="629"/>
      <c r="D16125" s="629"/>
      <c r="E16125" s="629"/>
      <c r="F16125" s="629"/>
      <c r="G16125" s="629"/>
      <c r="H16125" s="629"/>
      <c r="I16125" s="629"/>
      <c r="J16125" s="629"/>
      <c r="K16125" s="629"/>
      <c r="L16125" s="629"/>
      <c r="M16125" s="629"/>
      <c r="N16125" s="629"/>
      <c r="O16125" s="629"/>
      <c r="P16125" s="629"/>
      <c r="Q16125" s="629"/>
      <c r="R16125" s="629"/>
    </row>
    <row r="16126" spans="1:18" ht="36">
      <c r="A16126" s="486">
        <v>130</v>
      </c>
      <c r="B16126" s="483" t="s">
        <v>28905</v>
      </c>
      <c r="C16126" s="487" t="s">
        <v>28906</v>
      </c>
      <c r="D16126" s="488">
        <v>2335.85</v>
      </c>
      <c r="E16126" s="488">
        <v>2288.4499999999998</v>
      </c>
      <c r="F16126" s="488"/>
      <c r="G16126" s="488">
        <v>47.4</v>
      </c>
      <c r="H16126" s="489">
        <v>26858.76</v>
      </c>
      <c r="I16126" s="489">
        <v>26318.1</v>
      </c>
      <c r="J16126" s="489"/>
      <c r="K16126" s="489">
        <v>540.66</v>
      </c>
      <c r="L16126" s="43">
        <v>11.498495194468823</v>
      </c>
      <c r="M16126" s="43">
        <v>11.500404203718675</v>
      </c>
      <c r="N16126" s="43" t="s">
        <v>1690</v>
      </c>
      <c r="O16126" s="43">
        <v>11.40632911392405</v>
      </c>
      <c r="P16126" s="490"/>
      <c r="Q16126" s="490"/>
      <c r="R16126" s="490">
        <v>3</v>
      </c>
    </row>
    <row r="16127" spans="1:18" ht="24">
      <c r="A16127" s="486">
        <v>131</v>
      </c>
      <c r="B16127" s="483" t="s">
        <v>28907</v>
      </c>
      <c r="C16127" s="487" t="s">
        <v>28908</v>
      </c>
      <c r="D16127" s="488">
        <v>481.61</v>
      </c>
      <c r="E16127" s="488">
        <v>471.3</v>
      </c>
      <c r="F16127" s="488"/>
      <c r="G16127" s="488">
        <v>10.31</v>
      </c>
      <c r="H16127" s="489">
        <v>5536.31</v>
      </c>
      <c r="I16127" s="489">
        <v>5420.11</v>
      </c>
      <c r="J16127" s="489"/>
      <c r="K16127" s="489">
        <v>116.2</v>
      </c>
      <c r="L16127" s="43">
        <v>11.495421606694213</v>
      </c>
      <c r="M16127" s="43">
        <v>11.500339486526627</v>
      </c>
      <c r="N16127" s="43" t="s">
        <v>1690</v>
      </c>
      <c r="O16127" s="43">
        <v>11.270611057225993</v>
      </c>
      <c r="P16127" s="490"/>
      <c r="Q16127" s="490"/>
      <c r="R16127" s="490">
        <v>3</v>
      </c>
    </row>
    <row r="16128" spans="1:18" ht="12.75" customHeight="1">
      <c r="A16128" s="628" t="s">
        <v>28909</v>
      </c>
      <c r="B16128" s="629"/>
      <c r="C16128" s="629"/>
      <c r="D16128" s="629"/>
      <c r="E16128" s="629"/>
      <c r="F16128" s="629"/>
      <c r="G16128" s="629"/>
      <c r="H16128" s="629"/>
      <c r="I16128" s="629"/>
      <c r="J16128" s="629"/>
      <c r="K16128" s="629"/>
      <c r="L16128" s="629"/>
      <c r="M16128" s="629"/>
      <c r="N16128" s="629"/>
      <c r="O16128" s="629"/>
      <c r="P16128" s="629"/>
      <c r="Q16128" s="629"/>
      <c r="R16128" s="629"/>
    </row>
    <row r="16129" spans="1:18" ht="12.75" customHeight="1">
      <c r="A16129" s="628" t="s">
        <v>28910</v>
      </c>
      <c r="B16129" s="629"/>
      <c r="C16129" s="629"/>
      <c r="D16129" s="629"/>
      <c r="E16129" s="629"/>
      <c r="F16129" s="629"/>
      <c r="G16129" s="629"/>
      <c r="H16129" s="629"/>
      <c r="I16129" s="629"/>
      <c r="J16129" s="629"/>
      <c r="K16129" s="629"/>
      <c r="L16129" s="629"/>
      <c r="M16129" s="629"/>
      <c r="N16129" s="629"/>
      <c r="O16129" s="629"/>
      <c r="P16129" s="629"/>
      <c r="Q16129" s="629"/>
      <c r="R16129" s="629"/>
    </row>
    <row r="16130" spans="1:18" ht="24">
      <c r="A16130" s="486">
        <v>132</v>
      </c>
      <c r="B16130" s="483" t="s">
        <v>28911</v>
      </c>
      <c r="C16130" s="487" t="s">
        <v>28912</v>
      </c>
      <c r="D16130" s="488">
        <v>109.03</v>
      </c>
      <c r="E16130" s="488">
        <v>106.86</v>
      </c>
      <c r="F16130" s="488"/>
      <c r="G16130" s="488">
        <v>2.17</v>
      </c>
      <c r="H16130" s="489">
        <v>1253.78</v>
      </c>
      <c r="I16130" s="489">
        <v>1228.9000000000001</v>
      </c>
      <c r="J16130" s="489"/>
      <c r="K16130" s="489">
        <v>24.88</v>
      </c>
      <c r="L16130" s="43">
        <v>11.499403833807209</v>
      </c>
      <c r="M16130" s="43">
        <v>11.500093580385553</v>
      </c>
      <c r="N16130" s="43" t="s">
        <v>1690</v>
      </c>
      <c r="O16130" s="43">
        <v>11.465437788018432</v>
      </c>
      <c r="P16130" s="490"/>
      <c r="Q16130" s="490"/>
      <c r="R16130" s="490">
        <v>1</v>
      </c>
    </row>
    <row r="16131" spans="1:18" ht="24">
      <c r="A16131" s="486">
        <v>133</v>
      </c>
      <c r="B16131" s="483" t="s">
        <v>28913</v>
      </c>
      <c r="C16131" s="487" t="s">
        <v>28914</v>
      </c>
      <c r="D16131" s="488">
        <v>109.03</v>
      </c>
      <c r="E16131" s="488">
        <v>106.86</v>
      </c>
      <c r="F16131" s="488"/>
      <c r="G16131" s="488">
        <v>2.17</v>
      </c>
      <c r="H16131" s="489">
        <v>1253.81</v>
      </c>
      <c r="I16131" s="489">
        <v>1228.9000000000001</v>
      </c>
      <c r="J16131" s="489"/>
      <c r="K16131" s="489">
        <v>24.91</v>
      </c>
      <c r="L16131" s="43">
        <v>11.499678987434651</v>
      </c>
      <c r="M16131" s="43">
        <v>11.500093580385553</v>
      </c>
      <c r="N16131" s="43" t="s">
        <v>1690</v>
      </c>
      <c r="O16131" s="43">
        <v>11.47926267281106</v>
      </c>
      <c r="P16131" s="490"/>
      <c r="Q16131" s="490"/>
      <c r="R16131" s="490">
        <v>1</v>
      </c>
    </row>
    <row r="16132" spans="1:18" ht="24">
      <c r="A16132" s="486">
        <v>134</v>
      </c>
      <c r="B16132" s="483" t="s">
        <v>28915</v>
      </c>
      <c r="C16132" s="487" t="s">
        <v>28916</v>
      </c>
      <c r="D16132" s="488">
        <v>617.20000000000005</v>
      </c>
      <c r="E16132" s="488">
        <v>604.37</v>
      </c>
      <c r="F16132" s="488"/>
      <c r="G16132" s="488">
        <v>12.83</v>
      </c>
      <c r="H16132" s="489">
        <v>7096.07</v>
      </c>
      <c r="I16132" s="489">
        <v>6950.56</v>
      </c>
      <c r="J16132" s="489"/>
      <c r="K16132" s="489">
        <v>145.51</v>
      </c>
      <c r="L16132" s="43">
        <v>11.497197018794555</v>
      </c>
      <c r="M16132" s="43">
        <v>11.500504657742773</v>
      </c>
      <c r="N16132" s="43" t="s">
        <v>1690</v>
      </c>
      <c r="O16132" s="43">
        <v>11.341387373343725</v>
      </c>
      <c r="P16132" s="490"/>
      <c r="Q16132" s="490"/>
      <c r="R16132" s="490">
        <v>1</v>
      </c>
    </row>
    <row r="16133" spans="1:18" ht="24">
      <c r="A16133" s="486">
        <v>135</v>
      </c>
      <c r="B16133" s="483" t="s">
        <v>28917</v>
      </c>
      <c r="C16133" s="487" t="s">
        <v>28918</v>
      </c>
      <c r="D16133" s="488">
        <v>120.78</v>
      </c>
      <c r="E16133" s="488">
        <v>118.35</v>
      </c>
      <c r="F16133" s="488"/>
      <c r="G16133" s="488">
        <v>2.4300000000000002</v>
      </c>
      <c r="H16133" s="489">
        <v>1388.81</v>
      </c>
      <c r="I16133" s="489">
        <v>1361.04</v>
      </c>
      <c r="J16133" s="489"/>
      <c r="K16133" s="489">
        <v>27.77</v>
      </c>
      <c r="L16133" s="43">
        <v>11.498675277363802</v>
      </c>
      <c r="M16133" s="43">
        <v>11.500126742712295</v>
      </c>
      <c r="N16133" s="43" t="s">
        <v>1690</v>
      </c>
      <c r="O16133" s="43">
        <v>11.427983539094649</v>
      </c>
      <c r="P16133" s="490"/>
      <c r="Q16133" s="490"/>
      <c r="R16133" s="490">
        <v>1</v>
      </c>
    </row>
    <row r="16134" spans="1:18" ht="24">
      <c r="A16134" s="486">
        <v>136</v>
      </c>
      <c r="B16134" s="483" t="s">
        <v>28919</v>
      </c>
      <c r="C16134" s="487" t="s">
        <v>28920</v>
      </c>
      <c r="D16134" s="488">
        <v>398.47</v>
      </c>
      <c r="E16134" s="488">
        <v>390.66</v>
      </c>
      <c r="F16134" s="488"/>
      <c r="G16134" s="488">
        <v>7.81</v>
      </c>
      <c r="H16134" s="489">
        <v>4582.58</v>
      </c>
      <c r="I16134" s="489">
        <v>4492.76</v>
      </c>
      <c r="J16134" s="489"/>
      <c r="K16134" s="489">
        <v>89.82</v>
      </c>
      <c r="L16134" s="43">
        <v>11.500439179862974</v>
      </c>
      <c r="M16134" s="43">
        <v>11.500435161009573</v>
      </c>
      <c r="N16134" s="43" t="s">
        <v>1690</v>
      </c>
      <c r="O16134" s="43">
        <v>11.500640204865556</v>
      </c>
      <c r="P16134" s="490"/>
      <c r="Q16134" s="490"/>
      <c r="R16134" s="490">
        <v>1</v>
      </c>
    </row>
    <row r="16135" spans="1:18" ht="24">
      <c r="A16135" s="486">
        <v>137</v>
      </c>
      <c r="B16135" s="483" t="s">
        <v>28921</v>
      </c>
      <c r="C16135" s="487" t="s">
        <v>28922</v>
      </c>
      <c r="D16135" s="488">
        <v>96.23</v>
      </c>
      <c r="E16135" s="488">
        <v>94.22</v>
      </c>
      <c r="F16135" s="488"/>
      <c r="G16135" s="488">
        <v>2.0099999999999998</v>
      </c>
      <c r="H16135" s="489">
        <v>1106.27</v>
      </c>
      <c r="I16135" s="489">
        <v>1083.55</v>
      </c>
      <c r="J16135" s="489"/>
      <c r="K16135" s="489">
        <v>22.72</v>
      </c>
      <c r="L16135" s="43">
        <v>11.496103086355605</v>
      </c>
      <c r="M16135" s="43">
        <v>11.500212269157291</v>
      </c>
      <c r="N16135" s="43" t="s">
        <v>1690</v>
      </c>
      <c r="O16135" s="43">
        <v>11.303482587064677</v>
      </c>
      <c r="P16135" s="490"/>
      <c r="Q16135" s="490"/>
      <c r="R16135" s="490">
        <v>1</v>
      </c>
    </row>
    <row r="16136" spans="1:18" ht="24">
      <c r="A16136" s="486">
        <v>138</v>
      </c>
      <c r="B16136" s="483" t="s">
        <v>28923</v>
      </c>
      <c r="C16136" s="487" t="s">
        <v>28924</v>
      </c>
      <c r="D16136" s="488">
        <v>168.81</v>
      </c>
      <c r="E16136" s="488">
        <v>165.46</v>
      </c>
      <c r="F16136" s="488"/>
      <c r="G16136" s="488">
        <v>3.35</v>
      </c>
      <c r="H16136" s="489">
        <v>1941.22</v>
      </c>
      <c r="I16136" s="489">
        <v>1902.82</v>
      </c>
      <c r="J16136" s="489"/>
      <c r="K16136" s="489">
        <v>38.4</v>
      </c>
      <c r="L16136" s="43">
        <v>11.499437237130502</v>
      </c>
      <c r="M16136" s="43">
        <v>11.500181312703976</v>
      </c>
      <c r="N16136" s="43" t="s">
        <v>1690</v>
      </c>
      <c r="O16136" s="43">
        <v>11.462686567164178</v>
      </c>
      <c r="P16136" s="490"/>
      <c r="Q16136" s="490"/>
      <c r="R16136" s="490">
        <v>1</v>
      </c>
    </row>
    <row r="16137" spans="1:18" ht="24">
      <c r="A16137" s="486">
        <v>139</v>
      </c>
      <c r="B16137" s="483" t="s">
        <v>28925</v>
      </c>
      <c r="C16137" s="487" t="s">
        <v>28926</v>
      </c>
      <c r="D16137" s="488">
        <v>279.97000000000003</v>
      </c>
      <c r="E16137" s="488">
        <v>272.31</v>
      </c>
      <c r="F16137" s="488"/>
      <c r="G16137" s="488">
        <v>7.66</v>
      </c>
      <c r="H16137" s="489">
        <v>3213.8</v>
      </c>
      <c r="I16137" s="489">
        <v>3131.72</v>
      </c>
      <c r="J16137" s="489"/>
      <c r="K16137" s="489">
        <v>82.08</v>
      </c>
      <c r="L16137" s="43">
        <v>11.47908704504054</v>
      </c>
      <c r="M16137" s="43">
        <v>11.500569204215783</v>
      </c>
      <c r="N16137" s="43" t="s">
        <v>1690</v>
      </c>
      <c r="O16137" s="43">
        <v>10.715404699738903</v>
      </c>
      <c r="P16137" s="490"/>
      <c r="Q16137" s="490"/>
      <c r="R16137" s="490">
        <v>1</v>
      </c>
    </row>
    <row r="16138" spans="1:18" ht="24">
      <c r="A16138" s="486">
        <v>140</v>
      </c>
      <c r="B16138" s="483" t="s">
        <v>28927</v>
      </c>
      <c r="C16138" s="487" t="s">
        <v>28928</v>
      </c>
      <c r="D16138" s="488">
        <v>92.87</v>
      </c>
      <c r="E16138" s="488">
        <v>91.02</v>
      </c>
      <c r="F16138" s="488"/>
      <c r="G16138" s="488">
        <v>1.85</v>
      </c>
      <c r="H16138" s="489">
        <v>1067.9000000000001</v>
      </c>
      <c r="I16138" s="489">
        <v>1046.73</v>
      </c>
      <c r="J16138" s="489"/>
      <c r="K16138" s="489">
        <v>21.17</v>
      </c>
      <c r="L16138" s="43">
        <v>11.498869387315603</v>
      </c>
      <c r="M16138" s="43">
        <v>11.5</v>
      </c>
      <c r="N16138" s="43" t="s">
        <v>1690</v>
      </c>
      <c r="O16138" s="43">
        <v>11.443243243243243</v>
      </c>
      <c r="P16138" s="490"/>
      <c r="Q16138" s="490"/>
      <c r="R16138" s="490">
        <v>1</v>
      </c>
    </row>
    <row r="16139" spans="1:18" ht="24">
      <c r="A16139" s="486">
        <v>141</v>
      </c>
      <c r="B16139" s="483" t="s">
        <v>28929</v>
      </c>
      <c r="C16139" s="487" t="s">
        <v>28930</v>
      </c>
      <c r="D16139" s="488">
        <v>92.88</v>
      </c>
      <c r="E16139" s="488">
        <v>91.02</v>
      </c>
      <c r="F16139" s="488"/>
      <c r="G16139" s="488">
        <v>1.86</v>
      </c>
      <c r="H16139" s="489">
        <v>1067.99</v>
      </c>
      <c r="I16139" s="489">
        <v>1046.73</v>
      </c>
      <c r="J16139" s="489"/>
      <c r="K16139" s="489">
        <v>21.26</v>
      </c>
      <c r="L16139" s="43">
        <v>11.498600344530578</v>
      </c>
      <c r="M16139" s="43">
        <v>11.5</v>
      </c>
      <c r="N16139" s="43" t="s">
        <v>1690</v>
      </c>
      <c r="O16139" s="43">
        <v>11.43010752688172</v>
      </c>
      <c r="P16139" s="490"/>
      <c r="Q16139" s="490"/>
      <c r="R16139" s="490">
        <v>1</v>
      </c>
    </row>
    <row r="16140" spans="1:18" ht="24">
      <c r="A16140" s="486">
        <v>142</v>
      </c>
      <c r="B16140" s="483" t="s">
        <v>28931</v>
      </c>
      <c r="C16140" s="487" t="s">
        <v>28932</v>
      </c>
      <c r="D16140" s="488">
        <v>149.88999999999999</v>
      </c>
      <c r="E16140" s="488">
        <v>146.94</v>
      </c>
      <c r="F16140" s="488"/>
      <c r="G16140" s="488">
        <v>2.95</v>
      </c>
      <c r="H16140" s="489">
        <v>1723.8</v>
      </c>
      <c r="I16140" s="489">
        <v>1689.87</v>
      </c>
      <c r="J16140" s="489"/>
      <c r="K16140" s="489">
        <v>33.93</v>
      </c>
      <c r="L16140" s="43">
        <v>11.50043365134432</v>
      </c>
      <c r="M16140" s="43">
        <v>11.500408329930583</v>
      </c>
      <c r="N16140" s="43" t="s">
        <v>1690</v>
      </c>
      <c r="O16140" s="43">
        <v>11.501694915254237</v>
      </c>
      <c r="P16140" s="490"/>
      <c r="Q16140" s="490"/>
      <c r="R16140" s="490">
        <v>1</v>
      </c>
    </row>
    <row r="16141" spans="1:18" ht="24">
      <c r="A16141" s="486">
        <v>143</v>
      </c>
      <c r="B16141" s="483" t="s">
        <v>28933</v>
      </c>
      <c r="C16141" s="487" t="s">
        <v>28934</v>
      </c>
      <c r="D16141" s="488">
        <v>132.55000000000001</v>
      </c>
      <c r="E16141" s="488">
        <v>129.84</v>
      </c>
      <c r="F16141" s="488"/>
      <c r="G16141" s="488">
        <v>2.71</v>
      </c>
      <c r="H16141" s="489">
        <v>1524.06</v>
      </c>
      <c r="I16141" s="489">
        <v>1493.18</v>
      </c>
      <c r="J16141" s="489"/>
      <c r="K16141" s="489">
        <v>30.88</v>
      </c>
      <c r="L16141" s="43">
        <v>11.498000754432288</v>
      </c>
      <c r="M16141" s="43">
        <v>11.500154035736291</v>
      </c>
      <c r="N16141" s="43" t="s">
        <v>1690</v>
      </c>
      <c r="O16141" s="43">
        <v>11.394833948339484</v>
      </c>
      <c r="P16141" s="490"/>
      <c r="Q16141" s="490"/>
      <c r="R16141" s="490">
        <v>1</v>
      </c>
    </row>
    <row r="16142" spans="1:18" ht="24">
      <c r="A16142" s="486">
        <v>144</v>
      </c>
      <c r="B16142" s="483" t="s">
        <v>28935</v>
      </c>
      <c r="C16142" s="487" t="s">
        <v>28936</v>
      </c>
      <c r="D16142" s="488">
        <v>109.02</v>
      </c>
      <c r="E16142" s="488">
        <v>106.86</v>
      </c>
      <c r="F16142" s="488"/>
      <c r="G16142" s="488">
        <v>2.16</v>
      </c>
      <c r="H16142" s="489">
        <v>1253.69</v>
      </c>
      <c r="I16142" s="489">
        <v>1228.9000000000001</v>
      </c>
      <c r="J16142" s="489"/>
      <c r="K16142" s="489">
        <v>24.79</v>
      </c>
      <c r="L16142" s="43">
        <v>11.499633094844983</v>
      </c>
      <c r="M16142" s="43">
        <v>11.500093580385553</v>
      </c>
      <c r="N16142" s="43" t="s">
        <v>1690</v>
      </c>
      <c r="O16142" s="43">
        <v>11.476851851851851</v>
      </c>
      <c r="P16142" s="490"/>
      <c r="Q16142" s="490"/>
      <c r="R16142" s="490">
        <v>1</v>
      </c>
    </row>
    <row r="16143" spans="1:18" ht="24">
      <c r="A16143" s="486">
        <v>145</v>
      </c>
      <c r="B16143" s="483" t="s">
        <v>28937</v>
      </c>
      <c r="C16143" s="487" t="s">
        <v>28938</v>
      </c>
      <c r="D16143" s="488">
        <v>120.77</v>
      </c>
      <c r="E16143" s="488">
        <v>118.35</v>
      </c>
      <c r="F16143" s="488"/>
      <c r="G16143" s="488">
        <v>2.42</v>
      </c>
      <c r="H16143" s="489">
        <v>1388.78</v>
      </c>
      <c r="I16143" s="489">
        <v>1361.04</v>
      </c>
      <c r="J16143" s="489"/>
      <c r="K16143" s="489">
        <v>27.74</v>
      </c>
      <c r="L16143" s="43">
        <v>11.49937898484723</v>
      </c>
      <c r="M16143" s="43">
        <v>11.500126742712295</v>
      </c>
      <c r="N16143" s="43" t="s">
        <v>1690</v>
      </c>
      <c r="O16143" s="43">
        <v>11.462809917355372</v>
      </c>
      <c r="P16143" s="490"/>
      <c r="Q16143" s="490"/>
      <c r="R16143" s="490">
        <v>1</v>
      </c>
    </row>
    <row r="16144" spans="1:18" ht="24">
      <c r="A16144" s="486">
        <v>146</v>
      </c>
      <c r="B16144" s="483" t="s">
        <v>28939</v>
      </c>
      <c r="C16144" s="487" t="s">
        <v>28940</v>
      </c>
      <c r="D16144" s="488">
        <v>168.82</v>
      </c>
      <c r="E16144" s="488">
        <v>165.46</v>
      </c>
      <c r="F16144" s="488"/>
      <c r="G16144" s="488">
        <v>3.36</v>
      </c>
      <c r="H16144" s="489">
        <v>1941.37</v>
      </c>
      <c r="I16144" s="489">
        <v>1902.82</v>
      </c>
      <c r="J16144" s="489"/>
      <c r="K16144" s="489">
        <v>38.549999999999997</v>
      </c>
      <c r="L16144" s="43">
        <v>11.499644591873</v>
      </c>
      <c r="M16144" s="43">
        <v>11.500181312703976</v>
      </c>
      <c r="N16144" s="43" t="s">
        <v>1690</v>
      </c>
      <c r="O16144" s="43">
        <v>11.473214285714285</v>
      </c>
      <c r="P16144" s="490"/>
      <c r="Q16144" s="490"/>
      <c r="R16144" s="490">
        <v>1</v>
      </c>
    </row>
    <row r="16145" spans="1:18" ht="12.75" customHeight="1">
      <c r="A16145" s="628" t="s">
        <v>28941</v>
      </c>
      <c r="B16145" s="629"/>
      <c r="C16145" s="629"/>
      <c r="D16145" s="629"/>
      <c r="E16145" s="629"/>
      <c r="F16145" s="629"/>
      <c r="G16145" s="629"/>
      <c r="H16145" s="629"/>
      <c r="I16145" s="629"/>
      <c r="J16145" s="629"/>
      <c r="K16145" s="629"/>
      <c r="L16145" s="629"/>
      <c r="M16145" s="629"/>
      <c r="N16145" s="629"/>
      <c r="O16145" s="629"/>
      <c r="P16145" s="629"/>
      <c r="Q16145" s="629"/>
      <c r="R16145" s="629"/>
    </row>
    <row r="16146" spans="1:18" ht="24">
      <c r="A16146" s="486">
        <v>147</v>
      </c>
      <c r="B16146" s="483" t="s">
        <v>28942</v>
      </c>
      <c r="C16146" s="487" t="s">
        <v>28943</v>
      </c>
      <c r="D16146" s="488">
        <v>3731.19</v>
      </c>
      <c r="E16146" s="488">
        <v>3657</v>
      </c>
      <c r="F16146" s="488"/>
      <c r="G16146" s="488">
        <v>74.19</v>
      </c>
      <c r="H16146" s="489">
        <v>42907.17</v>
      </c>
      <c r="I16146" s="489">
        <v>42056.88</v>
      </c>
      <c r="J16146" s="489"/>
      <c r="K16146" s="489">
        <v>850.29</v>
      </c>
      <c r="L16146" s="43">
        <v>11.499593963320013</v>
      </c>
      <c r="M16146" s="43">
        <v>11.500377358490566</v>
      </c>
      <c r="N16146" s="43" t="s">
        <v>1690</v>
      </c>
      <c r="O16146" s="43">
        <v>11.460978568540234</v>
      </c>
      <c r="P16146" s="490"/>
      <c r="Q16146" s="490"/>
      <c r="R16146" s="490">
        <v>2</v>
      </c>
    </row>
    <row r="16147" spans="1:18" ht="12.75" customHeight="1">
      <c r="A16147" s="628" t="s">
        <v>28944</v>
      </c>
      <c r="B16147" s="629"/>
      <c r="C16147" s="629"/>
      <c r="D16147" s="629"/>
      <c r="E16147" s="629"/>
      <c r="F16147" s="629"/>
      <c r="G16147" s="629"/>
      <c r="H16147" s="629"/>
      <c r="I16147" s="629"/>
      <c r="J16147" s="629"/>
      <c r="K16147" s="629"/>
      <c r="L16147" s="629"/>
      <c r="M16147" s="629"/>
      <c r="N16147" s="629"/>
      <c r="O16147" s="629"/>
      <c r="P16147" s="629"/>
      <c r="Q16147" s="629"/>
      <c r="R16147" s="629"/>
    </row>
    <row r="16148" spans="1:18" ht="12.75" customHeight="1">
      <c r="A16148" s="628" t="s">
        <v>28945</v>
      </c>
      <c r="B16148" s="629"/>
      <c r="C16148" s="629"/>
      <c r="D16148" s="629"/>
      <c r="E16148" s="629"/>
      <c r="F16148" s="629"/>
      <c r="G16148" s="629"/>
      <c r="H16148" s="629"/>
      <c r="I16148" s="629"/>
      <c r="J16148" s="629"/>
      <c r="K16148" s="629"/>
      <c r="L16148" s="629"/>
      <c r="M16148" s="629"/>
      <c r="N16148" s="629"/>
      <c r="O16148" s="629"/>
      <c r="P16148" s="629"/>
      <c r="Q16148" s="629"/>
      <c r="R16148" s="629"/>
    </row>
    <row r="16149" spans="1:18" ht="24">
      <c r="A16149" s="486">
        <v>148</v>
      </c>
      <c r="B16149" s="483" t="s">
        <v>28946</v>
      </c>
      <c r="C16149" s="487" t="s">
        <v>28947</v>
      </c>
      <c r="D16149" s="488">
        <v>69.37</v>
      </c>
      <c r="E16149" s="488">
        <v>68.010000000000005</v>
      </c>
      <c r="F16149" s="488"/>
      <c r="G16149" s="488">
        <v>1.36</v>
      </c>
      <c r="H16149" s="489">
        <v>797.83</v>
      </c>
      <c r="I16149" s="489">
        <v>782.19</v>
      </c>
      <c r="J16149" s="489"/>
      <c r="K16149" s="489">
        <v>15.64</v>
      </c>
      <c r="L16149" s="43">
        <v>11.501081159002451</v>
      </c>
      <c r="M16149" s="43">
        <v>11.501102779003087</v>
      </c>
      <c r="N16149" s="43" t="s">
        <v>1690</v>
      </c>
      <c r="O16149" s="43">
        <v>11.5</v>
      </c>
      <c r="P16149" s="490"/>
      <c r="Q16149" s="490"/>
      <c r="R16149" s="490">
        <v>1</v>
      </c>
    </row>
    <row r="16150" spans="1:18" ht="24">
      <c r="A16150" s="486">
        <v>149</v>
      </c>
      <c r="B16150" s="483" t="s">
        <v>28948</v>
      </c>
      <c r="C16150" s="487" t="s">
        <v>28949</v>
      </c>
      <c r="D16150" s="488">
        <v>85.7</v>
      </c>
      <c r="E16150" s="488">
        <v>84.02</v>
      </c>
      <c r="F16150" s="488"/>
      <c r="G16150" s="488">
        <v>1.68</v>
      </c>
      <c r="H16150" s="489">
        <v>985.63</v>
      </c>
      <c r="I16150" s="489">
        <v>966.31</v>
      </c>
      <c r="J16150" s="489"/>
      <c r="K16150" s="489">
        <v>19.32</v>
      </c>
      <c r="L16150" s="43">
        <v>11.500933488914818</v>
      </c>
      <c r="M16150" s="43">
        <v>11.500952154248989</v>
      </c>
      <c r="N16150" s="43" t="s">
        <v>1690</v>
      </c>
      <c r="O16150" s="43">
        <v>11.5</v>
      </c>
      <c r="P16150" s="490"/>
      <c r="Q16150" s="490"/>
      <c r="R16150" s="490">
        <v>1</v>
      </c>
    </row>
    <row r="16151" spans="1:18" ht="12.75" customHeight="1">
      <c r="A16151" s="628" t="s">
        <v>28950</v>
      </c>
      <c r="B16151" s="629"/>
      <c r="C16151" s="629"/>
      <c r="D16151" s="629"/>
      <c r="E16151" s="629"/>
      <c r="F16151" s="629"/>
      <c r="G16151" s="629"/>
      <c r="H16151" s="629"/>
      <c r="I16151" s="629"/>
      <c r="J16151" s="629"/>
      <c r="K16151" s="629"/>
      <c r="L16151" s="629"/>
      <c r="M16151" s="629"/>
      <c r="N16151" s="629"/>
      <c r="O16151" s="629"/>
      <c r="P16151" s="629"/>
      <c r="Q16151" s="629"/>
      <c r="R16151" s="629"/>
    </row>
    <row r="16152" spans="1:18" ht="24">
      <c r="A16152" s="486">
        <v>150</v>
      </c>
      <c r="B16152" s="483" t="s">
        <v>28951</v>
      </c>
      <c r="C16152" s="487" t="s">
        <v>28952</v>
      </c>
      <c r="D16152" s="488">
        <v>303.27</v>
      </c>
      <c r="E16152" s="488">
        <v>296.89</v>
      </c>
      <c r="F16152" s="488"/>
      <c r="G16152" s="488">
        <v>6.38</v>
      </c>
      <c r="H16152" s="489">
        <v>3486.43</v>
      </c>
      <c r="I16152" s="489">
        <v>3414.28</v>
      </c>
      <c r="J16152" s="489"/>
      <c r="K16152" s="489">
        <v>72.150000000000006</v>
      </c>
      <c r="L16152" s="43">
        <v>11.496125564678339</v>
      </c>
      <c r="M16152" s="43">
        <v>11.500151571289031</v>
      </c>
      <c r="N16152" s="43" t="s">
        <v>1690</v>
      </c>
      <c r="O16152" s="43">
        <v>11.308777429467085</v>
      </c>
      <c r="P16152" s="490"/>
      <c r="Q16152" s="490"/>
      <c r="R16152" s="490">
        <v>2</v>
      </c>
    </row>
    <row r="16153" spans="1:18" ht="24">
      <c r="A16153" s="486">
        <v>151</v>
      </c>
      <c r="B16153" s="483" t="s">
        <v>28953</v>
      </c>
      <c r="C16153" s="487" t="s">
        <v>28954</v>
      </c>
      <c r="D16153" s="488">
        <v>171.4</v>
      </c>
      <c r="E16153" s="488">
        <v>168.04</v>
      </c>
      <c r="F16153" s="488"/>
      <c r="G16153" s="488">
        <v>3.36</v>
      </c>
      <c r="H16153" s="489">
        <v>1971.05</v>
      </c>
      <c r="I16153" s="489">
        <v>1932.41</v>
      </c>
      <c r="J16153" s="489"/>
      <c r="K16153" s="489">
        <v>38.64</v>
      </c>
      <c r="L16153" s="43">
        <v>11.499708284714119</v>
      </c>
      <c r="M16153" s="43">
        <v>11.499702451797193</v>
      </c>
      <c r="N16153" s="43" t="s">
        <v>1690</v>
      </c>
      <c r="O16153" s="43">
        <v>11.5</v>
      </c>
      <c r="P16153" s="490"/>
      <c r="Q16153" s="490"/>
      <c r="R16153" s="490">
        <v>2</v>
      </c>
    </row>
    <row r="16154" spans="1:18" ht="12.75" customHeight="1">
      <c r="A16154" s="628" t="s">
        <v>2739</v>
      </c>
      <c r="B16154" s="629"/>
      <c r="C16154" s="629"/>
      <c r="D16154" s="629"/>
      <c r="E16154" s="629"/>
      <c r="F16154" s="629"/>
      <c r="G16154" s="629"/>
      <c r="H16154" s="629"/>
      <c r="I16154" s="629"/>
      <c r="J16154" s="629"/>
      <c r="K16154" s="629"/>
      <c r="L16154" s="629"/>
      <c r="M16154" s="629"/>
      <c r="N16154" s="629"/>
      <c r="O16154" s="629"/>
      <c r="P16154" s="629"/>
      <c r="Q16154" s="629"/>
      <c r="R16154" s="629"/>
    </row>
    <row r="16155" spans="1:18" ht="24">
      <c r="A16155" s="486">
        <v>152</v>
      </c>
      <c r="B16155" s="483" t="s">
        <v>28955</v>
      </c>
      <c r="C16155" s="487" t="s">
        <v>28956</v>
      </c>
      <c r="D16155" s="488">
        <v>96.33</v>
      </c>
      <c r="E16155" s="488">
        <v>94.22</v>
      </c>
      <c r="F16155" s="488"/>
      <c r="G16155" s="488">
        <v>2.11</v>
      </c>
      <c r="H16155" s="489">
        <v>1107.17</v>
      </c>
      <c r="I16155" s="489">
        <v>1083.55</v>
      </c>
      <c r="J16155" s="489"/>
      <c r="K16155" s="489">
        <v>23.62</v>
      </c>
      <c r="L16155" s="43">
        <v>11.493511886224438</v>
      </c>
      <c r="M16155" s="43">
        <v>11.500212269157291</v>
      </c>
      <c r="N16155" s="43" t="s">
        <v>1690</v>
      </c>
      <c r="O16155" s="43">
        <v>11.194312796208532</v>
      </c>
      <c r="P16155" s="490"/>
      <c r="Q16155" s="490"/>
      <c r="R16155" s="490">
        <v>3</v>
      </c>
    </row>
    <row r="16156" spans="1:18" ht="24">
      <c r="A16156" s="486">
        <v>153</v>
      </c>
      <c r="B16156" s="483" t="s">
        <v>28957</v>
      </c>
      <c r="C16156" s="487" t="s">
        <v>28958</v>
      </c>
      <c r="D16156" s="488">
        <v>84.39</v>
      </c>
      <c r="E16156" s="488">
        <v>82.73</v>
      </c>
      <c r="F16156" s="488"/>
      <c r="G16156" s="488">
        <v>1.66</v>
      </c>
      <c r="H16156" s="489">
        <v>970.48</v>
      </c>
      <c r="I16156" s="489">
        <v>951.41</v>
      </c>
      <c r="J16156" s="489"/>
      <c r="K16156" s="489">
        <v>19.07</v>
      </c>
      <c r="L16156" s="43">
        <v>11.499940751273847</v>
      </c>
      <c r="M16156" s="43">
        <v>11.500181312703976</v>
      </c>
      <c r="N16156" s="43" t="s">
        <v>1690</v>
      </c>
      <c r="O16156" s="43">
        <v>11.487951807228916</v>
      </c>
      <c r="P16156" s="490"/>
      <c r="Q16156" s="490"/>
      <c r="R16156" s="490">
        <v>3</v>
      </c>
    </row>
    <row r="16157" spans="1:18" ht="24">
      <c r="A16157" s="486">
        <v>154</v>
      </c>
      <c r="B16157" s="483" t="s">
        <v>28959</v>
      </c>
      <c r="C16157" s="487" t="s">
        <v>28960</v>
      </c>
      <c r="D16157" s="488">
        <v>145.36000000000001</v>
      </c>
      <c r="E16157" s="488">
        <v>142.47999999999999</v>
      </c>
      <c r="F16157" s="488"/>
      <c r="G16157" s="488">
        <v>2.88</v>
      </c>
      <c r="H16157" s="489">
        <v>1671.56</v>
      </c>
      <c r="I16157" s="489">
        <v>1638.54</v>
      </c>
      <c r="J16157" s="489"/>
      <c r="K16157" s="489">
        <v>33.020000000000003</v>
      </c>
      <c r="L16157" s="43">
        <v>11.499449642267473</v>
      </c>
      <c r="M16157" s="43">
        <v>11.500140370578327</v>
      </c>
      <c r="N16157" s="43" t="s">
        <v>1690</v>
      </c>
      <c r="O16157" s="43">
        <v>11.465277777777779</v>
      </c>
      <c r="P16157" s="490"/>
      <c r="Q16157" s="490"/>
      <c r="R16157" s="490">
        <v>3</v>
      </c>
    </row>
    <row r="16158" spans="1:18" ht="24">
      <c r="A16158" s="486">
        <v>155</v>
      </c>
      <c r="B16158" s="483" t="s">
        <v>28961</v>
      </c>
      <c r="C16158" s="487" t="s">
        <v>28962</v>
      </c>
      <c r="D16158" s="488">
        <v>145.33000000000001</v>
      </c>
      <c r="E16158" s="488">
        <v>142.47999999999999</v>
      </c>
      <c r="F16158" s="488"/>
      <c r="G16158" s="488">
        <v>2.85</v>
      </c>
      <c r="H16158" s="489">
        <v>1671.32</v>
      </c>
      <c r="I16158" s="489">
        <v>1638.54</v>
      </c>
      <c r="J16158" s="489"/>
      <c r="K16158" s="489">
        <v>32.78</v>
      </c>
      <c r="L16158" s="43">
        <v>11.500172022294088</v>
      </c>
      <c r="M16158" s="43">
        <v>11.500140370578327</v>
      </c>
      <c r="N16158" s="43" t="s">
        <v>1690</v>
      </c>
      <c r="O16158" s="43">
        <v>11.501754385964912</v>
      </c>
      <c r="P16158" s="490"/>
      <c r="Q16158" s="490"/>
      <c r="R16158" s="490">
        <v>3</v>
      </c>
    </row>
    <row r="16159" spans="1:18" ht="24">
      <c r="A16159" s="486">
        <v>156</v>
      </c>
      <c r="B16159" s="483" t="s">
        <v>28963</v>
      </c>
      <c r="C16159" s="487" t="s">
        <v>28964</v>
      </c>
      <c r="D16159" s="488">
        <v>114.05</v>
      </c>
      <c r="E16159" s="488">
        <v>111.65</v>
      </c>
      <c r="F16159" s="488"/>
      <c r="G16159" s="488">
        <v>2.4</v>
      </c>
      <c r="H16159" s="489">
        <v>1311.14</v>
      </c>
      <c r="I16159" s="489">
        <v>1284</v>
      </c>
      <c r="J16159" s="489"/>
      <c r="K16159" s="489">
        <v>27.14</v>
      </c>
      <c r="L16159" s="43">
        <v>11.496185883384481</v>
      </c>
      <c r="M16159" s="43">
        <v>11.500223914017017</v>
      </c>
      <c r="N16159" s="43" t="s">
        <v>1690</v>
      </c>
      <c r="O16159" s="43">
        <v>11.308333333333334</v>
      </c>
      <c r="P16159" s="490"/>
      <c r="Q16159" s="490"/>
      <c r="R16159" s="490">
        <v>3</v>
      </c>
    </row>
    <row r="16160" spans="1:18" ht="12.75" customHeight="1">
      <c r="A16160" s="628" t="s">
        <v>28965</v>
      </c>
      <c r="B16160" s="629"/>
      <c r="C16160" s="629"/>
      <c r="D16160" s="629"/>
      <c r="E16160" s="629"/>
      <c r="F16160" s="629"/>
      <c r="G16160" s="629"/>
      <c r="H16160" s="629"/>
      <c r="I16160" s="629"/>
      <c r="J16160" s="629"/>
      <c r="K16160" s="629"/>
      <c r="L16160" s="629"/>
      <c r="M16160" s="629"/>
      <c r="N16160" s="629"/>
      <c r="O16160" s="629"/>
      <c r="P16160" s="629"/>
      <c r="Q16160" s="629"/>
      <c r="R16160" s="629"/>
    </row>
    <row r="16161" spans="1:18" ht="12.75" customHeight="1">
      <c r="A16161" s="628" t="s">
        <v>28966</v>
      </c>
      <c r="B16161" s="629"/>
      <c r="C16161" s="629"/>
      <c r="D16161" s="629"/>
      <c r="E16161" s="629"/>
      <c r="F16161" s="629"/>
      <c r="G16161" s="629"/>
      <c r="H16161" s="629"/>
      <c r="I16161" s="629"/>
      <c r="J16161" s="629"/>
      <c r="K16161" s="629"/>
      <c r="L16161" s="629"/>
      <c r="M16161" s="629"/>
      <c r="N16161" s="629"/>
      <c r="O16161" s="629"/>
      <c r="P16161" s="629"/>
      <c r="Q16161" s="629"/>
      <c r="R16161" s="629"/>
    </row>
    <row r="16162" spans="1:18" ht="24">
      <c r="A16162" s="486">
        <v>157</v>
      </c>
      <c r="B16162" s="483" t="s">
        <v>28967</v>
      </c>
      <c r="C16162" s="487" t="s">
        <v>28968</v>
      </c>
      <c r="D16162" s="488">
        <v>139.22</v>
      </c>
      <c r="E16162" s="488">
        <v>136.47999999999999</v>
      </c>
      <c r="F16162" s="488"/>
      <c r="G16162" s="488">
        <v>2.74</v>
      </c>
      <c r="H16162" s="489">
        <v>1600.97</v>
      </c>
      <c r="I16162" s="489">
        <v>1569.51</v>
      </c>
      <c r="J16162" s="489"/>
      <c r="K16162" s="489">
        <v>31.46</v>
      </c>
      <c r="L16162" s="43">
        <v>11.499569027438588</v>
      </c>
      <c r="M16162" s="43">
        <v>11.499926729191092</v>
      </c>
      <c r="N16162" s="43" t="s">
        <v>1690</v>
      </c>
      <c r="O16162" s="43">
        <v>11.481751824817518</v>
      </c>
      <c r="P16162" s="490"/>
      <c r="Q16162" s="490"/>
      <c r="R16162" s="490">
        <v>1</v>
      </c>
    </row>
    <row r="16163" spans="1:18" ht="24">
      <c r="A16163" s="486">
        <v>158</v>
      </c>
      <c r="B16163" s="483" t="s">
        <v>28969</v>
      </c>
      <c r="C16163" s="487" t="s">
        <v>28970</v>
      </c>
      <c r="D16163" s="488">
        <v>260.06</v>
      </c>
      <c r="E16163" s="488">
        <v>254.82</v>
      </c>
      <c r="F16163" s="488"/>
      <c r="G16163" s="488">
        <v>5.24</v>
      </c>
      <c r="H16163" s="489">
        <v>2990.43</v>
      </c>
      <c r="I16163" s="489">
        <v>2930.56</v>
      </c>
      <c r="J16163" s="489"/>
      <c r="K16163" s="489">
        <v>59.87</v>
      </c>
      <c r="L16163" s="43">
        <v>11.499000230715987</v>
      </c>
      <c r="M16163" s="43">
        <v>11.50051016403736</v>
      </c>
      <c r="N16163" s="43" t="s">
        <v>1690</v>
      </c>
      <c r="O16163" s="43">
        <v>11.425572519083968</v>
      </c>
      <c r="P16163" s="490"/>
      <c r="Q16163" s="490"/>
      <c r="R16163" s="490">
        <v>1</v>
      </c>
    </row>
    <row r="16164" spans="1:18" ht="12.75" customHeight="1">
      <c r="A16164" s="628" t="s">
        <v>2739</v>
      </c>
      <c r="B16164" s="629"/>
      <c r="C16164" s="629"/>
      <c r="D16164" s="629"/>
      <c r="E16164" s="629"/>
      <c r="F16164" s="629"/>
      <c r="G16164" s="629"/>
      <c r="H16164" s="629"/>
      <c r="I16164" s="629"/>
      <c r="J16164" s="629"/>
      <c r="K16164" s="629"/>
      <c r="L16164" s="629"/>
      <c r="M16164" s="629"/>
      <c r="N16164" s="629"/>
      <c r="O16164" s="629"/>
      <c r="P16164" s="629"/>
      <c r="Q16164" s="629"/>
      <c r="R16164" s="629"/>
    </row>
    <row r="16165" spans="1:18" ht="24">
      <c r="A16165" s="486">
        <v>159</v>
      </c>
      <c r="B16165" s="483" t="s">
        <v>28971</v>
      </c>
      <c r="C16165" s="487" t="s">
        <v>28972</v>
      </c>
      <c r="D16165" s="488">
        <v>552.39</v>
      </c>
      <c r="E16165" s="488">
        <v>541.49</v>
      </c>
      <c r="F16165" s="488"/>
      <c r="G16165" s="488">
        <v>10.9</v>
      </c>
      <c r="H16165" s="489">
        <v>6352.52</v>
      </c>
      <c r="I16165" s="489">
        <v>6227.34</v>
      </c>
      <c r="J16165" s="489"/>
      <c r="K16165" s="489">
        <v>125.18</v>
      </c>
      <c r="L16165" s="43">
        <v>11.500063361031156</v>
      </c>
      <c r="M16165" s="43">
        <v>11.500378585015421</v>
      </c>
      <c r="N16165" s="43" t="s">
        <v>1690</v>
      </c>
      <c r="O16165" s="43">
        <v>11.48440366972477</v>
      </c>
      <c r="P16165" s="490"/>
      <c r="Q16165" s="490"/>
      <c r="R16165" s="490">
        <v>2</v>
      </c>
    </row>
    <row r="16166" spans="1:18" ht="24">
      <c r="A16166" s="486">
        <v>160</v>
      </c>
      <c r="B16166" s="483" t="s">
        <v>28973</v>
      </c>
      <c r="C16166" s="487" t="s">
        <v>28974</v>
      </c>
      <c r="D16166" s="488">
        <v>220.29</v>
      </c>
      <c r="E16166" s="488">
        <v>215.9</v>
      </c>
      <c r="F16166" s="488"/>
      <c r="G16166" s="488">
        <v>4.3899999999999997</v>
      </c>
      <c r="H16166" s="489">
        <v>2533.1999999999998</v>
      </c>
      <c r="I16166" s="489">
        <v>2482.89</v>
      </c>
      <c r="J16166" s="489"/>
      <c r="K16166" s="489">
        <v>50.31</v>
      </c>
      <c r="L16166" s="43">
        <v>11.499387171455808</v>
      </c>
      <c r="M16166" s="43">
        <v>11.500185270958776</v>
      </c>
      <c r="N16166" s="43" t="s">
        <v>1690</v>
      </c>
      <c r="O16166" s="43">
        <v>11.460136674259683</v>
      </c>
      <c r="P16166" s="490"/>
      <c r="Q16166" s="490"/>
      <c r="R16166" s="490">
        <v>2</v>
      </c>
    </row>
    <row r="16167" spans="1:18" ht="24">
      <c r="A16167" s="486">
        <v>161</v>
      </c>
      <c r="B16167" s="483" t="s">
        <v>28975</v>
      </c>
      <c r="C16167" s="487" t="s">
        <v>28976</v>
      </c>
      <c r="D16167" s="488">
        <v>78.66</v>
      </c>
      <c r="E16167" s="488">
        <v>77.11</v>
      </c>
      <c r="F16167" s="488"/>
      <c r="G16167" s="488">
        <v>1.55</v>
      </c>
      <c r="H16167" s="489">
        <v>904.62</v>
      </c>
      <c r="I16167" s="489">
        <v>886.82</v>
      </c>
      <c r="J16167" s="489"/>
      <c r="K16167" s="489">
        <v>17.8</v>
      </c>
      <c r="L16167" s="43">
        <v>11.500381388253242</v>
      </c>
      <c r="M16167" s="43">
        <v>11.500713266761769</v>
      </c>
      <c r="N16167" s="43" t="s">
        <v>1690</v>
      </c>
      <c r="O16167" s="43">
        <v>11.483870967741936</v>
      </c>
      <c r="P16167" s="490"/>
      <c r="Q16167" s="490"/>
      <c r="R16167" s="490">
        <v>2</v>
      </c>
    </row>
    <row r="16168" spans="1:18" ht="12.75" customHeight="1">
      <c r="A16168" s="628" t="s">
        <v>28977</v>
      </c>
      <c r="B16168" s="629"/>
      <c r="C16168" s="629"/>
      <c r="D16168" s="629"/>
      <c r="E16168" s="629"/>
      <c r="F16168" s="629"/>
      <c r="G16168" s="629"/>
      <c r="H16168" s="629"/>
      <c r="I16168" s="629"/>
      <c r="J16168" s="629"/>
      <c r="K16168" s="629"/>
      <c r="L16168" s="629"/>
      <c r="M16168" s="629"/>
      <c r="N16168" s="629"/>
      <c r="O16168" s="629"/>
      <c r="P16168" s="629"/>
      <c r="Q16168" s="629"/>
      <c r="R16168" s="629"/>
    </row>
    <row r="16169" spans="1:18" ht="12.75" customHeight="1">
      <c r="A16169" s="628" t="s">
        <v>28978</v>
      </c>
      <c r="B16169" s="629"/>
      <c r="C16169" s="629"/>
      <c r="D16169" s="629"/>
      <c r="E16169" s="629"/>
      <c r="F16169" s="629"/>
      <c r="G16169" s="629"/>
      <c r="H16169" s="629"/>
      <c r="I16169" s="629"/>
      <c r="J16169" s="629"/>
      <c r="K16169" s="629"/>
      <c r="L16169" s="629"/>
      <c r="M16169" s="629"/>
      <c r="N16169" s="629"/>
      <c r="O16169" s="629"/>
      <c r="P16169" s="629"/>
      <c r="Q16169" s="629"/>
      <c r="R16169" s="629"/>
    </row>
    <row r="16170" spans="1:18" ht="24">
      <c r="A16170" s="486">
        <v>162</v>
      </c>
      <c r="B16170" s="483" t="s">
        <v>28979</v>
      </c>
      <c r="C16170" s="487" t="s">
        <v>28980</v>
      </c>
      <c r="D16170" s="488">
        <v>501.41</v>
      </c>
      <c r="E16170" s="488">
        <v>491.58</v>
      </c>
      <c r="F16170" s="488"/>
      <c r="G16170" s="488">
        <v>9.83</v>
      </c>
      <c r="H16170" s="489">
        <v>5766.35</v>
      </c>
      <c r="I16170" s="489">
        <v>5653.3</v>
      </c>
      <c r="J16170" s="489"/>
      <c r="K16170" s="489">
        <v>113.05</v>
      </c>
      <c r="L16170" s="43">
        <v>11.50026924074111</v>
      </c>
      <c r="M16170" s="43">
        <v>11.500264453395175</v>
      </c>
      <c r="N16170" s="43" t="s">
        <v>1690</v>
      </c>
      <c r="O16170" s="43">
        <v>11.500508646998982</v>
      </c>
      <c r="P16170" s="490"/>
      <c r="Q16170" s="490"/>
      <c r="R16170" s="490">
        <v>1</v>
      </c>
    </row>
    <row r="16171" spans="1:18" ht="24">
      <c r="A16171" s="486">
        <v>163</v>
      </c>
      <c r="B16171" s="483" t="s">
        <v>28981</v>
      </c>
      <c r="C16171" s="487" t="s">
        <v>28982</v>
      </c>
      <c r="D16171" s="488">
        <v>139.21</v>
      </c>
      <c r="E16171" s="488">
        <v>136.47999999999999</v>
      </c>
      <c r="F16171" s="488"/>
      <c r="G16171" s="488">
        <v>2.73</v>
      </c>
      <c r="H16171" s="489">
        <v>1600.91</v>
      </c>
      <c r="I16171" s="489">
        <v>1569.51</v>
      </c>
      <c r="J16171" s="489"/>
      <c r="K16171" s="489">
        <v>31.4</v>
      </c>
      <c r="L16171" s="43">
        <v>11.499964083040011</v>
      </c>
      <c r="M16171" s="43">
        <v>11.499926729191092</v>
      </c>
      <c r="N16171" s="43" t="s">
        <v>1690</v>
      </c>
      <c r="O16171" s="43">
        <v>11.501831501831502</v>
      </c>
      <c r="P16171" s="490"/>
      <c r="Q16171" s="490"/>
      <c r="R16171" s="490">
        <v>1</v>
      </c>
    </row>
    <row r="16172" spans="1:18" ht="36">
      <c r="A16172" s="486">
        <v>164</v>
      </c>
      <c r="B16172" s="483" t="s">
        <v>28983</v>
      </c>
      <c r="C16172" s="487" t="s">
        <v>28984</v>
      </c>
      <c r="D16172" s="488">
        <v>186.83</v>
      </c>
      <c r="E16172" s="488">
        <v>183.17</v>
      </c>
      <c r="F16172" s="488"/>
      <c r="G16172" s="488">
        <v>3.66</v>
      </c>
      <c r="H16172" s="489">
        <v>2148.52</v>
      </c>
      <c r="I16172" s="489">
        <v>2106.4299999999998</v>
      </c>
      <c r="J16172" s="489"/>
      <c r="K16172" s="489">
        <v>42.09</v>
      </c>
      <c r="L16172" s="43">
        <v>11.499866188513622</v>
      </c>
      <c r="M16172" s="43">
        <v>11.499863514767702</v>
      </c>
      <c r="N16172" s="43" t="s">
        <v>1690</v>
      </c>
      <c r="O16172" s="43">
        <v>11.5</v>
      </c>
      <c r="P16172" s="490"/>
      <c r="Q16172" s="490"/>
      <c r="R16172" s="490">
        <v>1</v>
      </c>
    </row>
    <row r="16173" spans="1:18" ht="24">
      <c r="A16173" s="486">
        <v>165</v>
      </c>
      <c r="B16173" s="483" t="s">
        <v>28985</v>
      </c>
      <c r="C16173" s="487" t="s">
        <v>28986</v>
      </c>
      <c r="D16173" s="488">
        <v>600.72</v>
      </c>
      <c r="E16173" s="488">
        <v>588.94000000000005</v>
      </c>
      <c r="F16173" s="488"/>
      <c r="G16173" s="488">
        <v>11.78</v>
      </c>
      <c r="H16173" s="489">
        <v>6908.23</v>
      </c>
      <c r="I16173" s="489">
        <v>6772.76</v>
      </c>
      <c r="J16173" s="489"/>
      <c r="K16173" s="489">
        <v>135.47</v>
      </c>
      <c r="L16173" s="43">
        <v>11.499916766546809</v>
      </c>
      <c r="M16173" s="43">
        <v>11.499915101708153</v>
      </c>
      <c r="N16173" s="43" t="s">
        <v>1690</v>
      </c>
      <c r="O16173" s="43">
        <v>11.5</v>
      </c>
      <c r="P16173" s="490"/>
      <c r="Q16173" s="490"/>
      <c r="R16173" s="490">
        <v>1</v>
      </c>
    </row>
    <row r="16174" spans="1:18" ht="36">
      <c r="A16174" s="486">
        <v>166</v>
      </c>
      <c r="B16174" s="483" t="s">
        <v>28987</v>
      </c>
      <c r="C16174" s="487" t="s">
        <v>28988</v>
      </c>
      <c r="D16174" s="488">
        <v>230.21</v>
      </c>
      <c r="E16174" s="488">
        <v>225.7</v>
      </c>
      <c r="F16174" s="488"/>
      <c r="G16174" s="488">
        <v>4.51</v>
      </c>
      <c r="H16174" s="489">
        <v>2647.42</v>
      </c>
      <c r="I16174" s="489">
        <v>2595.5500000000002</v>
      </c>
      <c r="J16174" s="489"/>
      <c r="K16174" s="489">
        <v>51.87</v>
      </c>
      <c r="L16174" s="43">
        <v>11.50002171929977</v>
      </c>
      <c r="M16174" s="43">
        <v>11.500000000000002</v>
      </c>
      <c r="N16174" s="43" t="s">
        <v>1690</v>
      </c>
      <c r="O16174" s="43">
        <v>11.501108647450112</v>
      </c>
      <c r="P16174" s="490"/>
      <c r="Q16174" s="490"/>
      <c r="R16174" s="490">
        <v>1</v>
      </c>
    </row>
    <row r="16175" spans="1:18" ht="24">
      <c r="A16175" s="486">
        <v>167</v>
      </c>
      <c r="B16175" s="483" t="s">
        <v>28989</v>
      </c>
      <c r="C16175" s="487" t="s">
        <v>28990</v>
      </c>
      <c r="D16175" s="488">
        <v>247.77</v>
      </c>
      <c r="E16175" s="488">
        <v>213.5</v>
      </c>
      <c r="F16175" s="488"/>
      <c r="G16175" s="488">
        <v>34.270000000000003</v>
      </c>
      <c r="H16175" s="489">
        <v>2859.36</v>
      </c>
      <c r="I16175" s="489">
        <v>2455.25</v>
      </c>
      <c r="J16175" s="489"/>
      <c r="K16175" s="489">
        <v>404.11</v>
      </c>
      <c r="L16175" s="43">
        <v>11.540380191306454</v>
      </c>
      <c r="M16175" s="43">
        <v>11.5</v>
      </c>
      <c r="N16175" s="43" t="s">
        <v>1690</v>
      </c>
      <c r="O16175" s="43">
        <v>11.791946308724832</v>
      </c>
      <c r="P16175" s="490"/>
      <c r="Q16175" s="490"/>
      <c r="R16175" s="490">
        <v>1</v>
      </c>
    </row>
    <row r="16176" spans="1:18" ht="24">
      <c r="A16176" s="486">
        <v>168</v>
      </c>
      <c r="B16176" s="483" t="s">
        <v>28991</v>
      </c>
      <c r="C16176" s="487" t="s">
        <v>28992</v>
      </c>
      <c r="D16176" s="488">
        <v>129.97999999999999</v>
      </c>
      <c r="E16176" s="488">
        <v>127.41</v>
      </c>
      <c r="F16176" s="488"/>
      <c r="G16176" s="488">
        <v>2.57</v>
      </c>
      <c r="H16176" s="489">
        <v>1494.79</v>
      </c>
      <c r="I16176" s="489">
        <v>1465.28</v>
      </c>
      <c r="J16176" s="489"/>
      <c r="K16176" s="489">
        <v>29.51</v>
      </c>
      <c r="L16176" s="43">
        <v>11.500153869826129</v>
      </c>
      <c r="M16176" s="43">
        <v>11.50051016403736</v>
      </c>
      <c r="N16176" s="43" t="s">
        <v>1690</v>
      </c>
      <c r="O16176" s="43">
        <v>11.482490272373543</v>
      </c>
      <c r="P16176" s="490"/>
      <c r="Q16176" s="490"/>
      <c r="R16176" s="490">
        <v>1</v>
      </c>
    </row>
    <row r="16177" spans="1:18" ht="24">
      <c r="A16177" s="486">
        <v>169</v>
      </c>
      <c r="B16177" s="483" t="s">
        <v>28993</v>
      </c>
      <c r="C16177" s="487" t="s">
        <v>28994</v>
      </c>
      <c r="D16177" s="488">
        <v>142.58000000000001</v>
      </c>
      <c r="E16177" s="488">
        <v>139.78</v>
      </c>
      <c r="F16177" s="488"/>
      <c r="G16177" s="488">
        <v>2.8</v>
      </c>
      <c r="H16177" s="489">
        <v>1639.74</v>
      </c>
      <c r="I16177" s="489">
        <v>1607.54</v>
      </c>
      <c r="J16177" s="489"/>
      <c r="K16177" s="489">
        <v>32.200000000000003</v>
      </c>
      <c r="L16177" s="43">
        <v>11.500490952447748</v>
      </c>
      <c r="M16177" s="43">
        <v>11.500500786950923</v>
      </c>
      <c r="N16177" s="43" t="s">
        <v>1690</v>
      </c>
      <c r="O16177" s="43">
        <v>11.500000000000002</v>
      </c>
      <c r="P16177" s="490"/>
      <c r="Q16177" s="490"/>
      <c r="R16177" s="490">
        <v>1</v>
      </c>
    </row>
    <row r="16178" spans="1:18" ht="24">
      <c r="A16178" s="486">
        <v>170</v>
      </c>
      <c r="B16178" s="483" t="s">
        <v>28995</v>
      </c>
      <c r="C16178" s="487" t="s">
        <v>28996</v>
      </c>
      <c r="D16178" s="488">
        <v>363.48</v>
      </c>
      <c r="E16178" s="488">
        <v>356.26</v>
      </c>
      <c r="F16178" s="488"/>
      <c r="G16178" s="488">
        <v>7.22</v>
      </c>
      <c r="H16178" s="489">
        <v>4179.84</v>
      </c>
      <c r="I16178" s="489">
        <v>4097.09</v>
      </c>
      <c r="J16178" s="489"/>
      <c r="K16178" s="489">
        <v>82.75</v>
      </c>
      <c r="L16178" s="43">
        <v>11.499504787058434</v>
      </c>
      <c r="M16178" s="43">
        <v>11.50028069387526</v>
      </c>
      <c r="N16178" s="43" t="s">
        <v>1690</v>
      </c>
      <c r="O16178" s="43">
        <v>11.461218836565097</v>
      </c>
      <c r="P16178" s="490"/>
      <c r="Q16178" s="490"/>
      <c r="R16178" s="490">
        <v>1</v>
      </c>
    </row>
    <row r="16179" spans="1:18" ht="24">
      <c r="A16179" s="486">
        <v>171</v>
      </c>
      <c r="B16179" s="483" t="s">
        <v>28997</v>
      </c>
      <c r="C16179" s="487" t="s">
        <v>28998</v>
      </c>
      <c r="D16179" s="488">
        <v>237.16</v>
      </c>
      <c r="E16179" s="488">
        <v>231.99</v>
      </c>
      <c r="F16179" s="488"/>
      <c r="G16179" s="488">
        <v>5.17</v>
      </c>
      <c r="H16179" s="489">
        <v>2725.87</v>
      </c>
      <c r="I16179" s="489">
        <v>2667.89</v>
      </c>
      <c r="J16179" s="489"/>
      <c r="K16179" s="489">
        <v>57.98</v>
      </c>
      <c r="L16179" s="43">
        <v>11.493801652892561</v>
      </c>
      <c r="M16179" s="43">
        <v>11.500021552653131</v>
      </c>
      <c r="N16179" s="43" t="s">
        <v>1690</v>
      </c>
      <c r="O16179" s="43">
        <v>11.214700193423598</v>
      </c>
      <c r="P16179" s="490"/>
      <c r="Q16179" s="490"/>
      <c r="R16179" s="490">
        <v>1</v>
      </c>
    </row>
    <row r="16180" spans="1:18" ht="24">
      <c r="A16180" s="486">
        <v>172</v>
      </c>
      <c r="B16180" s="483" t="s">
        <v>28999</v>
      </c>
      <c r="C16180" s="487" t="s">
        <v>29000</v>
      </c>
      <c r="D16180" s="488">
        <v>171.4</v>
      </c>
      <c r="E16180" s="488">
        <v>168.04</v>
      </c>
      <c r="F16180" s="488"/>
      <c r="G16180" s="488">
        <v>3.36</v>
      </c>
      <c r="H16180" s="489">
        <v>1971.05</v>
      </c>
      <c r="I16180" s="489">
        <v>1932.41</v>
      </c>
      <c r="J16180" s="489"/>
      <c r="K16180" s="489">
        <v>38.64</v>
      </c>
      <c r="L16180" s="43">
        <v>11.499708284714119</v>
      </c>
      <c r="M16180" s="43">
        <v>11.499702451797193</v>
      </c>
      <c r="N16180" s="43" t="s">
        <v>1690</v>
      </c>
      <c r="O16180" s="43">
        <v>11.5</v>
      </c>
      <c r="P16180" s="490"/>
      <c r="Q16180" s="490"/>
      <c r="R16180" s="490">
        <v>1</v>
      </c>
    </row>
    <row r="16181" spans="1:18" ht="24">
      <c r="A16181" s="486">
        <v>173</v>
      </c>
      <c r="B16181" s="483" t="s">
        <v>29001</v>
      </c>
      <c r="C16181" s="487" t="s">
        <v>29002</v>
      </c>
      <c r="D16181" s="488">
        <v>140.57</v>
      </c>
      <c r="E16181" s="488">
        <v>137.80000000000001</v>
      </c>
      <c r="F16181" s="488"/>
      <c r="G16181" s="488">
        <v>2.77</v>
      </c>
      <c r="H16181" s="489">
        <v>1616.55</v>
      </c>
      <c r="I16181" s="489">
        <v>1584.75</v>
      </c>
      <c r="J16181" s="489"/>
      <c r="K16181" s="489">
        <v>31.8</v>
      </c>
      <c r="L16181" s="43">
        <v>11.499964430532831</v>
      </c>
      <c r="M16181" s="43">
        <v>11.500362844702467</v>
      </c>
      <c r="N16181" s="43" t="s">
        <v>1690</v>
      </c>
      <c r="O16181" s="43">
        <v>11.48014440433213</v>
      </c>
      <c r="P16181" s="490"/>
      <c r="Q16181" s="490"/>
      <c r="R16181" s="490">
        <v>1</v>
      </c>
    </row>
    <row r="16182" spans="1:18" ht="24">
      <c r="A16182" s="486">
        <v>174</v>
      </c>
      <c r="B16182" s="483" t="s">
        <v>29003</v>
      </c>
      <c r="C16182" s="487" t="s">
        <v>29004</v>
      </c>
      <c r="D16182" s="488">
        <v>352.44</v>
      </c>
      <c r="E16182" s="488">
        <v>345.12</v>
      </c>
      <c r="F16182" s="488"/>
      <c r="G16182" s="488">
        <v>7.32</v>
      </c>
      <c r="H16182" s="489">
        <v>4052.07</v>
      </c>
      <c r="I16182" s="489">
        <v>3969.05</v>
      </c>
      <c r="J16182" s="489"/>
      <c r="K16182" s="489">
        <v>83.02</v>
      </c>
      <c r="L16182" s="43">
        <v>11.497191011235955</v>
      </c>
      <c r="M16182" s="43">
        <v>11.500492582290219</v>
      </c>
      <c r="N16182" s="43" t="s">
        <v>1690</v>
      </c>
      <c r="O16182" s="43">
        <v>11.341530054644808</v>
      </c>
      <c r="P16182" s="490"/>
      <c r="Q16182" s="490"/>
      <c r="R16182" s="490">
        <v>1</v>
      </c>
    </row>
    <row r="16183" spans="1:18" ht="24">
      <c r="A16183" s="486">
        <v>175</v>
      </c>
      <c r="B16183" s="483" t="s">
        <v>29005</v>
      </c>
      <c r="C16183" s="487" t="s">
        <v>29006</v>
      </c>
      <c r="D16183" s="488">
        <v>181.8</v>
      </c>
      <c r="E16183" s="488">
        <v>178.13</v>
      </c>
      <c r="F16183" s="488"/>
      <c r="G16183" s="488">
        <v>3.67</v>
      </c>
      <c r="H16183" s="489">
        <v>2090.4</v>
      </c>
      <c r="I16183" s="489">
        <v>2048.54</v>
      </c>
      <c r="J16183" s="489"/>
      <c r="K16183" s="489">
        <v>41.86</v>
      </c>
      <c r="L16183" s="43">
        <v>11.498349834983498</v>
      </c>
      <c r="M16183" s="43">
        <v>11.500252624487734</v>
      </c>
      <c r="N16183" s="43" t="s">
        <v>1690</v>
      </c>
      <c r="O16183" s="43">
        <v>11.405994550408719</v>
      </c>
      <c r="P16183" s="490"/>
      <c r="Q16183" s="490"/>
      <c r="R16183" s="490">
        <v>1</v>
      </c>
    </row>
    <row r="16184" spans="1:18" ht="24">
      <c r="A16184" s="486">
        <v>176</v>
      </c>
      <c r="B16184" s="483" t="s">
        <v>29007</v>
      </c>
      <c r="C16184" s="487" t="s">
        <v>29008</v>
      </c>
      <c r="D16184" s="488">
        <v>260.02999999999997</v>
      </c>
      <c r="E16184" s="488">
        <v>254.82</v>
      </c>
      <c r="F16184" s="488"/>
      <c r="G16184" s="488">
        <v>5.21</v>
      </c>
      <c r="H16184" s="489">
        <v>2990.16</v>
      </c>
      <c r="I16184" s="489">
        <v>2930.56</v>
      </c>
      <c r="J16184" s="489"/>
      <c r="K16184" s="489">
        <v>59.6</v>
      </c>
      <c r="L16184" s="43">
        <v>11.499288543629582</v>
      </c>
      <c r="M16184" s="43">
        <v>11.50051016403736</v>
      </c>
      <c r="N16184" s="43" t="s">
        <v>1690</v>
      </c>
      <c r="O16184" s="43">
        <v>11.439539347408829</v>
      </c>
      <c r="P16184" s="490"/>
      <c r="Q16184" s="490"/>
      <c r="R16184" s="490">
        <v>1</v>
      </c>
    </row>
    <row r="16185" spans="1:18" ht="24">
      <c r="A16185" s="486">
        <v>177</v>
      </c>
      <c r="B16185" s="483" t="s">
        <v>29009</v>
      </c>
      <c r="C16185" s="487" t="s">
        <v>29010</v>
      </c>
      <c r="D16185" s="488">
        <v>176.18</v>
      </c>
      <c r="E16185" s="488">
        <v>172.73</v>
      </c>
      <c r="F16185" s="488"/>
      <c r="G16185" s="488">
        <v>3.45</v>
      </c>
      <c r="H16185" s="489">
        <v>2026.1</v>
      </c>
      <c r="I16185" s="489">
        <v>1986.42</v>
      </c>
      <c r="J16185" s="489"/>
      <c r="K16185" s="489">
        <v>39.68</v>
      </c>
      <c r="L16185" s="43">
        <v>11.50017028039505</v>
      </c>
      <c r="M16185" s="43">
        <v>11.500144734556823</v>
      </c>
      <c r="N16185" s="43" t="s">
        <v>1690</v>
      </c>
      <c r="O16185" s="43">
        <v>11.501449275362319</v>
      </c>
      <c r="P16185" s="490"/>
      <c r="Q16185" s="490"/>
      <c r="R16185" s="490">
        <v>1</v>
      </c>
    </row>
    <row r="16186" spans="1:18" ht="12.75" customHeight="1">
      <c r="A16186" s="628" t="s">
        <v>29011</v>
      </c>
      <c r="B16186" s="629"/>
      <c r="C16186" s="629"/>
      <c r="D16186" s="629"/>
      <c r="E16186" s="629"/>
      <c r="F16186" s="629"/>
      <c r="G16186" s="629"/>
      <c r="H16186" s="629"/>
      <c r="I16186" s="629"/>
      <c r="J16186" s="629"/>
      <c r="K16186" s="629"/>
      <c r="L16186" s="629"/>
      <c r="M16186" s="629"/>
      <c r="N16186" s="629"/>
      <c r="O16186" s="629"/>
      <c r="P16186" s="629"/>
      <c r="Q16186" s="629"/>
      <c r="R16186" s="629"/>
    </row>
    <row r="16187" spans="1:18" ht="24">
      <c r="A16187" s="486">
        <v>178</v>
      </c>
      <c r="B16187" s="483" t="s">
        <v>29012</v>
      </c>
      <c r="C16187" s="487" t="s">
        <v>29013</v>
      </c>
      <c r="D16187" s="488">
        <v>111.15</v>
      </c>
      <c r="E16187" s="488">
        <v>108.97</v>
      </c>
      <c r="F16187" s="488"/>
      <c r="G16187" s="488">
        <v>2.1800000000000002</v>
      </c>
      <c r="H16187" s="489">
        <v>1278.27</v>
      </c>
      <c r="I16187" s="489">
        <v>1253.2</v>
      </c>
      <c r="J16187" s="489"/>
      <c r="K16187" s="489">
        <v>25.07</v>
      </c>
      <c r="L16187" s="43">
        <v>11.500404858299595</v>
      </c>
      <c r="M16187" s="43">
        <v>11.500412957694779</v>
      </c>
      <c r="N16187" s="43" t="s">
        <v>1690</v>
      </c>
      <c r="O16187" s="43">
        <v>11.5</v>
      </c>
      <c r="P16187" s="490"/>
      <c r="Q16187" s="490"/>
      <c r="R16187" s="490">
        <v>2</v>
      </c>
    </row>
    <row r="16188" spans="1:18" ht="12.75" customHeight="1">
      <c r="A16188" s="628" t="s">
        <v>2739</v>
      </c>
      <c r="B16188" s="629"/>
      <c r="C16188" s="629"/>
      <c r="D16188" s="629"/>
      <c r="E16188" s="629"/>
      <c r="F16188" s="629"/>
      <c r="G16188" s="629"/>
      <c r="H16188" s="629"/>
      <c r="I16188" s="629"/>
      <c r="J16188" s="629"/>
      <c r="K16188" s="629"/>
      <c r="L16188" s="629"/>
      <c r="M16188" s="629"/>
      <c r="N16188" s="629"/>
      <c r="O16188" s="629"/>
      <c r="P16188" s="629"/>
      <c r="Q16188" s="629"/>
      <c r="R16188" s="629"/>
    </row>
    <row r="16189" spans="1:18" ht="24">
      <c r="A16189" s="486">
        <v>179</v>
      </c>
      <c r="B16189" s="483" t="s">
        <v>29014</v>
      </c>
      <c r="C16189" s="487" t="s">
        <v>29015</v>
      </c>
      <c r="D16189" s="488">
        <v>1576.31</v>
      </c>
      <c r="E16189" s="488">
        <v>1542.9</v>
      </c>
      <c r="F16189" s="488"/>
      <c r="G16189" s="488">
        <v>33.409999999999997</v>
      </c>
      <c r="H16189" s="489">
        <v>18119.54</v>
      </c>
      <c r="I16189" s="489">
        <v>17743.349999999999</v>
      </c>
      <c r="J16189" s="489"/>
      <c r="K16189" s="489">
        <v>376.19</v>
      </c>
      <c r="L16189" s="43">
        <v>11.494908996326865</v>
      </c>
      <c r="M16189" s="43">
        <v>11.499999999999998</v>
      </c>
      <c r="N16189" s="43" t="s">
        <v>1690</v>
      </c>
      <c r="O16189" s="43">
        <v>11.259802454354984</v>
      </c>
      <c r="P16189" s="490"/>
      <c r="Q16189" s="490"/>
      <c r="R16189" s="490">
        <v>3</v>
      </c>
    </row>
    <row r="16190" spans="1:18" ht="36">
      <c r="A16190" s="486">
        <v>180</v>
      </c>
      <c r="B16190" s="483" t="s">
        <v>29016</v>
      </c>
      <c r="C16190" s="487" t="s">
        <v>29017</v>
      </c>
      <c r="D16190" s="488">
        <v>163.04</v>
      </c>
      <c r="E16190" s="488">
        <v>159.84</v>
      </c>
      <c r="F16190" s="488"/>
      <c r="G16190" s="488">
        <v>3.2</v>
      </c>
      <c r="H16190" s="489">
        <v>1874.96</v>
      </c>
      <c r="I16190" s="489">
        <v>1838.16</v>
      </c>
      <c r="J16190" s="489"/>
      <c r="K16190" s="489">
        <v>36.799999999999997</v>
      </c>
      <c r="L16190" s="43">
        <v>11.5</v>
      </c>
      <c r="M16190" s="43">
        <v>11.5</v>
      </c>
      <c r="N16190" s="43" t="s">
        <v>1690</v>
      </c>
      <c r="O16190" s="43">
        <v>11.499999999999998</v>
      </c>
      <c r="P16190" s="490"/>
      <c r="Q16190" s="490"/>
      <c r="R16190" s="490">
        <v>3</v>
      </c>
    </row>
    <row r="16191" spans="1:18" ht="48">
      <c r="A16191" s="486">
        <v>181</v>
      </c>
      <c r="B16191" s="483" t="s">
        <v>29018</v>
      </c>
      <c r="C16191" s="487" t="s">
        <v>29019</v>
      </c>
      <c r="D16191" s="488">
        <v>42.82</v>
      </c>
      <c r="E16191" s="488">
        <v>41.98</v>
      </c>
      <c r="F16191" s="488"/>
      <c r="G16191" s="488">
        <v>0.84</v>
      </c>
      <c r="H16191" s="489">
        <v>492.48</v>
      </c>
      <c r="I16191" s="489">
        <v>482.82</v>
      </c>
      <c r="J16191" s="489"/>
      <c r="K16191" s="489">
        <v>9.66</v>
      </c>
      <c r="L16191" s="43">
        <v>11.501167678654834</v>
      </c>
      <c r="M16191" s="43">
        <v>11.501191043353979</v>
      </c>
      <c r="N16191" s="43" t="s">
        <v>1690</v>
      </c>
      <c r="O16191" s="43">
        <v>11.5</v>
      </c>
      <c r="P16191" s="490"/>
      <c r="Q16191" s="490"/>
      <c r="R16191" s="490">
        <v>3</v>
      </c>
    </row>
    <row r="16192" spans="1:18" ht="48">
      <c r="A16192" s="486">
        <v>182</v>
      </c>
      <c r="B16192" s="483" t="s">
        <v>29020</v>
      </c>
      <c r="C16192" s="487" t="s">
        <v>29021</v>
      </c>
      <c r="D16192" s="488">
        <v>53.53</v>
      </c>
      <c r="E16192" s="488">
        <v>52.48</v>
      </c>
      <c r="F16192" s="488"/>
      <c r="G16192" s="488">
        <v>1.05</v>
      </c>
      <c r="H16192" s="489">
        <v>615.61</v>
      </c>
      <c r="I16192" s="489">
        <v>603.53</v>
      </c>
      <c r="J16192" s="489"/>
      <c r="K16192" s="489">
        <v>12.08</v>
      </c>
      <c r="L16192" s="43">
        <v>11.500280216700915</v>
      </c>
      <c r="M16192" s="43">
        <v>11.500190548780488</v>
      </c>
      <c r="N16192" s="43" t="s">
        <v>1690</v>
      </c>
      <c r="O16192" s="43">
        <v>11.504761904761905</v>
      </c>
      <c r="P16192" s="490"/>
      <c r="Q16192" s="490"/>
      <c r="R16192" s="490">
        <v>3</v>
      </c>
    </row>
    <row r="16193" spans="1:18" ht="48">
      <c r="A16193" s="486">
        <v>183</v>
      </c>
      <c r="B16193" s="483" t="s">
        <v>29022</v>
      </c>
      <c r="C16193" s="487" t="s">
        <v>29023</v>
      </c>
      <c r="D16193" s="488">
        <v>35.42</v>
      </c>
      <c r="E16193" s="488">
        <v>34.729999999999997</v>
      </c>
      <c r="F16193" s="488"/>
      <c r="G16193" s="488">
        <v>0.69</v>
      </c>
      <c r="H16193" s="489">
        <v>407.35</v>
      </c>
      <c r="I16193" s="489">
        <v>399.41</v>
      </c>
      <c r="J16193" s="489"/>
      <c r="K16193" s="489">
        <v>7.94</v>
      </c>
      <c r="L16193" s="43">
        <v>11.500564652738566</v>
      </c>
      <c r="M16193" s="43">
        <v>11.500431903253673</v>
      </c>
      <c r="N16193" s="43" t="s">
        <v>1690</v>
      </c>
      <c r="O16193" s="43">
        <v>11.507246376811596</v>
      </c>
      <c r="P16193" s="490"/>
      <c r="Q16193" s="490"/>
      <c r="R16193" s="490">
        <v>3</v>
      </c>
    </row>
    <row r="16194" spans="1:18" ht="36">
      <c r="A16194" s="486">
        <v>184</v>
      </c>
      <c r="B16194" s="483" t="s">
        <v>29024</v>
      </c>
      <c r="C16194" s="487" t="s">
        <v>29025</v>
      </c>
      <c r="D16194" s="488">
        <v>32.119999999999997</v>
      </c>
      <c r="E16194" s="488">
        <v>31.49</v>
      </c>
      <c r="F16194" s="488"/>
      <c r="G16194" s="488">
        <v>0.63</v>
      </c>
      <c r="H16194" s="489">
        <v>369.37</v>
      </c>
      <c r="I16194" s="489">
        <v>362.12</v>
      </c>
      <c r="J16194" s="489"/>
      <c r="K16194" s="489">
        <v>7.25</v>
      </c>
      <c r="L16194" s="43">
        <v>11.499688667496887</v>
      </c>
      <c r="M16194" s="43">
        <v>11.499523658304224</v>
      </c>
      <c r="N16194" s="43" t="s">
        <v>1690</v>
      </c>
      <c r="O16194" s="43">
        <v>11.507936507936508</v>
      </c>
      <c r="P16194" s="490"/>
      <c r="Q16194" s="490"/>
      <c r="R16194" s="490">
        <v>3</v>
      </c>
    </row>
    <row r="16195" spans="1:18" ht="36">
      <c r="A16195" s="486">
        <v>185</v>
      </c>
      <c r="B16195" s="483" t="s">
        <v>29026</v>
      </c>
      <c r="C16195" s="487" t="s">
        <v>29027</v>
      </c>
      <c r="D16195" s="488">
        <v>501.56</v>
      </c>
      <c r="E16195" s="488">
        <v>491.73</v>
      </c>
      <c r="F16195" s="488"/>
      <c r="G16195" s="488">
        <v>9.83</v>
      </c>
      <c r="H16195" s="489">
        <v>5767.95</v>
      </c>
      <c r="I16195" s="489">
        <v>5654.9</v>
      </c>
      <c r="J16195" s="489"/>
      <c r="K16195" s="489">
        <v>113.05</v>
      </c>
      <c r="L16195" s="43">
        <v>11.500019937794082</v>
      </c>
      <c r="M16195" s="43">
        <v>11.500010168181724</v>
      </c>
      <c r="N16195" s="43" t="s">
        <v>1690</v>
      </c>
      <c r="O16195" s="43">
        <v>11.500508646998982</v>
      </c>
      <c r="P16195" s="490"/>
      <c r="Q16195" s="490"/>
      <c r="R16195" s="490">
        <v>3</v>
      </c>
    </row>
    <row r="16196" spans="1:18" ht="36">
      <c r="A16196" s="486">
        <v>186</v>
      </c>
      <c r="B16196" s="483" t="s">
        <v>29028</v>
      </c>
      <c r="C16196" s="487" t="s">
        <v>29029</v>
      </c>
      <c r="D16196" s="488">
        <v>244.68</v>
      </c>
      <c r="E16196" s="488">
        <v>239.76</v>
      </c>
      <c r="F16196" s="488"/>
      <c r="G16196" s="488">
        <v>4.92</v>
      </c>
      <c r="H16196" s="489">
        <v>2812.96</v>
      </c>
      <c r="I16196" s="489">
        <v>2757.24</v>
      </c>
      <c r="J16196" s="489"/>
      <c r="K16196" s="489">
        <v>55.72</v>
      </c>
      <c r="L16196" s="43">
        <v>11.49648520516593</v>
      </c>
      <c r="M16196" s="43">
        <v>11.5</v>
      </c>
      <c r="N16196" s="43" t="s">
        <v>1690</v>
      </c>
      <c r="O16196" s="43">
        <v>11.325203252032519</v>
      </c>
      <c r="P16196" s="490"/>
      <c r="Q16196" s="490"/>
      <c r="R16196" s="490">
        <v>3</v>
      </c>
    </row>
    <row r="16197" spans="1:18" ht="36">
      <c r="A16197" s="486">
        <v>187</v>
      </c>
      <c r="B16197" s="483" t="s">
        <v>29030</v>
      </c>
      <c r="C16197" s="487" t="s">
        <v>29031</v>
      </c>
      <c r="D16197" s="488">
        <v>257.13</v>
      </c>
      <c r="E16197" s="488">
        <v>251.97</v>
      </c>
      <c r="F16197" s="488"/>
      <c r="G16197" s="488">
        <v>5.16</v>
      </c>
      <c r="H16197" s="489">
        <v>2956.14</v>
      </c>
      <c r="I16197" s="489">
        <v>2897.66</v>
      </c>
      <c r="J16197" s="489"/>
      <c r="K16197" s="489">
        <v>58.48</v>
      </c>
      <c r="L16197" s="43">
        <v>11.496674833741686</v>
      </c>
      <c r="M16197" s="43">
        <v>11.500019843632177</v>
      </c>
      <c r="N16197" s="43" t="s">
        <v>1690</v>
      </c>
      <c r="O16197" s="43">
        <v>11.333333333333332</v>
      </c>
      <c r="P16197" s="490"/>
      <c r="Q16197" s="490"/>
      <c r="R16197" s="490">
        <v>3</v>
      </c>
    </row>
    <row r="16198" spans="1:18" ht="36">
      <c r="A16198" s="486">
        <v>188</v>
      </c>
      <c r="B16198" s="483" t="s">
        <v>29032</v>
      </c>
      <c r="C16198" s="487" t="s">
        <v>29033</v>
      </c>
      <c r="D16198" s="488">
        <v>23.33</v>
      </c>
      <c r="E16198" s="488">
        <v>22.87</v>
      </c>
      <c r="F16198" s="488"/>
      <c r="G16198" s="488">
        <v>0.46</v>
      </c>
      <c r="H16198" s="489">
        <v>268.25</v>
      </c>
      <c r="I16198" s="489">
        <v>262.95999999999998</v>
      </c>
      <c r="J16198" s="489"/>
      <c r="K16198" s="489">
        <v>5.29</v>
      </c>
      <c r="L16198" s="43">
        <v>11.498071153021861</v>
      </c>
      <c r="M16198" s="43">
        <v>11.4980323567993</v>
      </c>
      <c r="N16198" s="43" t="s">
        <v>1690</v>
      </c>
      <c r="O16198" s="43">
        <v>11.5</v>
      </c>
      <c r="P16198" s="490"/>
      <c r="Q16198" s="490"/>
      <c r="R16198" s="490">
        <v>3</v>
      </c>
    </row>
    <row r="16199" spans="1:18" ht="36">
      <c r="A16199" s="486">
        <v>189</v>
      </c>
      <c r="B16199" s="483" t="s">
        <v>29034</v>
      </c>
      <c r="C16199" s="487" t="s">
        <v>29035</v>
      </c>
      <c r="D16199" s="488">
        <v>186.81</v>
      </c>
      <c r="E16199" s="488">
        <v>183.15</v>
      </c>
      <c r="F16199" s="488"/>
      <c r="G16199" s="488">
        <v>3.66</v>
      </c>
      <c r="H16199" s="489">
        <v>2148.3200000000002</v>
      </c>
      <c r="I16199" s="489">
        <v>2106.23</v>
      </c>
      <c r="J16199" s="489"/>
      <c r="K16199" s="489">
        <v>42.09</v>
      </c>
      <c r="L16199" s="43">
        <v>11.500026765162465</v>
      </c>
      <c r="M16199" s="43">
        <v>11.5000273000273</v>
      </c>
      <c r="N16199" s="43" t="s">
        <v>1690</v>
      </c>
      <c r="O16199" s="43">
        <v>11.5</v>
      </c>
      <c r="P16199" s="490"/>
      <c r="Q16199" s="490"/>
      <c r="R16199" s="490">
        <v>3</v>
      </c>
    </row>
    <row r="16200" spans="1:18" ht="24">
      <c r="A16200" s="486">
        <v>190</v>
      </c>
      <c r="B16200" s="483" t="s">
        <v>29036</v>
      </c>
      <c r="C16200" s="487" t="s">
        <v>29037</v>
      </c>
      <c r="D16200" s="488">
        <v>443.43</v>
      </c>
      <c r="E16200" s="488">
        <v>433.92</v>
      </c>
      <c r="F16200" s="488"/>
      <c r="G16200" s="488">
        <v>9.51</v>
      </c>
      <c r="H16200" s="489">
        <v>5094.2299999999996</v>
      </c>
      <c r="I16200" s="489">
        <v>4990.1000000000004</v>
      </c>
      <c r="J16200" s="489"/>
      <c r="K16200" s="489">
        <v>104.13</v>
      </c>
      <c r="L16200" s="43">
        <v>11.48823940644521</v>
      </c>
      <c r="M16200" s="43">
        <v>11.500046091445428</v>
      </c>
      <c r="N16200" s="43" t="s">
        <v>1690</v>
      </c>
      <c r="O16200" s="43">
        <v>10.949526813880126</v>
      </c>
      <c r="P16200" s="490"/>
      <c r="Q16200" s="490"/>
      <c r="R16200" s="490">
        <v>3</v>
      </c>
    </row>
    <row r="16201" spans="1:18" ht="24">
      <c r="A16201" s="486">
        <v>191</v>
      </c>
      <c r="B16201" s="483" t="s">
        <v>29038</v>
      </c>
      <c r="C16201" s="487" t="s">
        <v>29039</v>
      </c>
      <c r="D16201" s="488">
        <v>555.52</v>
      </c>
      <c r="E16201" s="488">
        <v>544.63</v>
      </c>
      <c r="F16201" s="488"/>
      <c r="G16201" s="488">
        <v>10.89</v>
      </c>
      <c r="H16201" s="489">
        <v>6388.68</v>
      </c>
      <c r="I16201" s="489">
        <v>6263.44</v>
      </c>
      <c r="J16201" s="489"/>
      <c r="K16201" s="489">
        <v>125.24</v>
      </c>
      <c r="L16201" s="43">
        <v>11.500360023041475</v>
      </c>
      <c r="M16201" s="43">
        <v>11.500358041239005</v>
      </c>
      <c r="N16201" s="43" t="s">
        <v>1690</v>
      </c>
      <c r="O16201" s="43">
        <v>11.500459136822773</v>
      </c>
      <c r="P16201" s="490"/>
      <c r="Q16201" s="490"/>
      <c r="R16201" s="490">
        <v>3</v>
      </c>
    </row>
    <row r="16202" spans="1:18" ht="24">
      <c r="A16202" s="486">
        <v>192</v>
      </c>
      <c r="B16202" s="483" t="s">
        <v>29040</v>
      </c>
      <c r="C16202" s="487" t="s">
        <v>29041</v>
      </c>
      <c r="D16202" s="488">
        <v>51.73</v>
      </c>
      <c r="E16202" s="488">
        <v>50.72</v>
      </c>
      <c r="F16202" s="488"/>
      <c r="G16202" s="488">
        <v>1.01</v>
      </c>
      <c r="H16202" s="489">
        <v>594.89</v>
      </c>
      <c r="I16202" s="489">
        <v>583.27</v>
      </c>
      <c r="J16202" s="489"/>
      <c r="K16202" s="489">
        <v>11.62</v>
      </c>
      <c r="L16202" s="43">
        <v>11.499903344287647</v>
      </c>
      <c r="M16202" s="43">
        <v>11.49980283911672</v>
      </c>
      <c r="N16202" s="43" t="s">
        <v>1690</v>
      </c>
      <c r="O16202" s="43">
        <v>11.504950495049505</v>
      </c>
      <c r="P16202" s="490"/>
      <c r="Q16202" s="490"/>
      <c r="R16202" s="490">
        <v>3</v>
      </c>
    </row>
    <row r="16203" spans="1:18" ht="24">
      <c r="A16203" s="486">
        <v>193</v>
      </c>
      <c r="B16203" s="483" t="s">
        <v>29042</v>
      </c>
      <c r="C16203" s="487" t="s">
        <v>29043</v>
      </c>
      <c r="D16203" s="488">
        <v>10.71</v>
      </c>
      <c r="E16203" s="488">
        <v>10.5</v>
      </c>
      <c r="F16203" s="488"/>
      <c r="G16203" s="488">
        <v>0.21</v>
      </c>
      <c r="H16203" s="489">
        <v>123.13</v>
      </c>
      <c r="I16203" s="489">
        <v>120.71</v>
      </c>
      <c r="J16203" s="489"/>
      <c r="K16203" s="489">
        <v>2.42</v>
      </c>
      <c r="L16203" s="43">
        <v>11.496732026143789</v>
      </c>
      <c r="M16203" s="43">
        <v>11.496190476190476</v>
      </c>
      <c r="N16203" s="43" t="s">
        <v>1690</v>
      </c>
      <c r="O16203" s="43">
        <v>11.523809523809524</v>
      </c>
      <c r="P16203" s="490"/>
      <c r="Q16203" s="490"/>
      <c r="R16203" s="490">
        <v>3</v>
      </c>
    </row>
    <row r="16204" spans="1:18" ht="24">
      <c r="A16204" s="486">
        <v>194</v>
      </c>
      <c r="B16204" s="483" t="s">
        <v>29044</v>
      </c>
      <c r="C16204" s="487" t="s">
        <v>29045</v>
      </c>
      <c r="D16204" s="488">
        <v>12.07</v>
      </c>
      <c r="E16204" s="488">
        <v>11.83</v>
      </c>
      <c r="F16204" s="488"/>
      <c r="G16204" s="488">
        <v>0.24</v>
      </c>
      <c r="H16204" s="489">
        <v>138.86000000000001</v>
      </c>
      <c r="I16204" s="489">
        <v>136.1</v>
      </c>
      <c r="J16204" s="489"/>
      <c r="K16204" s="489">
        <v>2.76</v>
      </c>
      <c r="L16204" s="43">
        <v>11.504556752278377</v>
      </c>
      <c r="M16204" s="43">
        <v>11.504649196956889</v>
      </c>
      <c r="N16204" s="43" t="s">
        <v>1690</v>
      </c>
      <c r="O16204" s="43">
        <v>11.5</v>
      </c>
      <c r="P16204" s="490"/>
      <c r="Q16204" s="490"/>
      <c r="R16204" s="490">
        <v>3</v>
      </c>
    </row>
    <row r="16205" spans="1:18" ht="24">
      <c r="A16205" s="486">
        <v>195</v>
      </c>
      <c r="B16205" s="483" t="s">
        <v>29046</v>
      </c>
      <c r="C16205" s="487" t="s">
        <v>29047</v>
      </c>
      <c r="D16205" s="488">
        <v>53.62</v>
      </c>
      <c r="E16205" s="488">
        <v>52.48</v>
      </c>
      <c r="F16205" s="488"/>
      <c r="G16205" s="488">
        <v>1.1399999999999999</v>
      </c>
      <c r="H16205" s="489">
        <v>616</v>
      </c>
      <c r="I16205" s="489">
        <v>603.53</v>
      </c>
      <c r="J16205" s="489"/>
      <c r="K16205" s="489">
        <v>12.47</v>
      </c>
      <c r="L16205" s="43">
        <v>11.488250652741515</v>
      </c>
      <c r="M16205" s="43">
        <v>11.500190548780488</v>
      </c>
      <c r="N16205" s="43" t="s">
        <v>1690</v>
      </c>
      <c r="O16205" s="43">
        <v>10.938596491228072</v>
      </c>
      <c r="P16205" s="490"/>
      <c r="Q16205" s="490"/>
      <c r="R16205" s="490">
        <v>3</v>
      </c>
    </row>
    <row r="16206" spans="1:18" ht="24">
      <c r="A16206" s="486">
        <v>196</v>
      </c>
      <c r="B16206" s="483" t="s">
        <v>29048</v>
      </c>
      <c r="C16206" s="487" t="s">
        <v>29049</v>
      </c>
      <c r="D16206" s="488">
        <v>42.77</v>
      </c>
      <c r="E16206" s="488">
        <v>41.78</v>
      </c>
      <c r="F16206" s="488"/>
      <c r="G16206" s="488">
        <v>0.99</v>
      </c>
      <c r="H16206" s="489">
        <v>490.79</v>
      </c>
      <c r="I16206" s="489">
        <v>480.48</v>
      </c>
      <c r="J16206" s="489"/>
      <c r="K16206" s="489">
        <v>10.31</v>
      </c>
      <c r="L16206" s="43">
        <v>11.475099368716389</v>
      </c>
      <c r="M16206" s="43">
        <v>11.500239348970799</v>
      </c>
      <c r="N16206" s="43" t="s">
        <v>1690</v>
      </c>
      <c r="O16206" s="43">
        <v>10.414141414141415</v>
      </c>
      <c r="P16206" s="490"/>
      <c r="Q16206" s="490"/>
      <c r="R16206" s="490">
        <v>3</v>
      </c>
    </row>
    <row r="16207" spans="1:18" ht="24">
      <c r="A16207" s="486">
        <v>197</v>
      </c>
      <c r="B16207" s="483" t="s">
        <v>29050</v>
      </c>
      <c r="C16207" s="487" t="s">
        <v>29051</v>
      </c>
      <c r="D16207" s="488">
        <v>247.64</v>
      </c>
      <c r="E16207" s="488">
        <v>242.78</v>
      </c>
      <c r="F16207" s="488"/>
      <c r="G16207" s="488">
        <v>4.8600000000000003</v>
      </c>
      <c r="H16207" s="489">
        <v>2847.91</v>
      </c>
      <c r="I16207" s="489">
        <v>2792.02</v>
      </c>
      <c r="J16207" s="489"/>
      <c r="K16207" s="489">
        <v>55.89</v>
      </c>
      <c r="L16207" s="43">
        <v>11.50020190599257</v>
      </c>
      <c r="M16207" s="43">
        <v>11.500205947771645</v>
      </c>
      <c r="N16207" s="43" t="s">
        <v>1690</v>
      </c>
      <c r="O16207" s="43">
        <v>11.5</v>
      </c>
      <c r="P16207" s="490"/>
      <c r="Q16207" s="490"/>
      <c r="R16207" s="490">
        <v>3</v>
      </c>
    </row>
    <row r="16208" spans="1:18" ht="24">
      <c r="A16208" s="486">
        <v>198</v>
      </c>
      <c r="B16208" s="483" t="s">
        <v>29052</v>
      </c>
      <c r="C16208" s="487" t="s">
        <v>29053</v>
      </c>
      <c r="D16208" s="488">
        <v>32.18</v>
      </c>
      <c r="E16208" s="488">
        <v>31.49</v>
      </c>
      <c r="F16208" s="488"/>
      <c r="G16208" s="488">
        <v>0.69</v>
      </c>
      <c r="H16208" s="489">
        <v>369.63</v>
      </c>
      <c r="I16208" s="489">
        <v>362.12</v>
      </c>
      <c r="J16208" s="489"/>
      <c r="K16208" s="489">
        <v>7.51</v>
      </c>
      <c r="L16208" s="43">
        <v>11.486326911124923</v>
      </c>
      <c r="M16208" s="43">
        <v>11.499523658304224</v>
      </c>
      <c r="N16208" s="43" t="s">
        <v>1690</v>
      </c>
      <c r="O16208" s="43">
        <v>10.884057971014494</v>
      </c>
      <c r="P16208" s="490"/>
      <c r="Q16208" s="490"/>
      <c r="R16208" s="490">
        <v>3</v>
      </c>
    </row>
    <row r="16209" spans="1:18" ht="12.75" customHeight="1">
      <c r="A16209" s="628" t="s">
        <v>29054</v>
      </c>
      <c r="B16209" s="629"/>
      <c r="C16209" s="629"/>
      <c r="D16209" s="629"/>
      <c r="E16209" s="629"/>
      <c r="F16209" s="629"/>
      <c r="G16209" s="629"/>
      <c r="H16209" s="629"/>
      <c r="I16209" s="629"/>
      <c r="J16209" s="629"/>
      <c r="K16209" s="629"/>
      <c r="L16209" s="629"/>
      <c r="M16209" s="629"/>
      <c r="N16209" s="629"/>
      <c r="O16209" s="629"/>
      <c r="P16209" s="629"/>
      <c r="Q16209" s="629"/>
      <c r="R16209" s="629"/>
    </row>
    <row r="16210" spans="1:18" ht="12.75" customHeight="1">
      <c r="A16210" s="628" t="s">
        <v>29055</v>
      </c>
      <c r="B16210" s="629"/>
      <c r="C16210" s="629"/>
      <c r="D16210" s="629"/>
      <c r="E16210" s="629"/>
      <c r="F16210" s="629"/>
      <c r="G16210" s="629"/>
      <c r="H16210" s="629"/>
      <c r="I16210" s="629"/>
      <c r="J16210" s="629"/>
      <c r="K16210" s="629"/>
      <c r="L16210" s="629"/>
      <c r="M16210" s="629"/>
      <c r="N16210" s="629"/>
      <c r="O16210" s="629"/>
      <c r="P16210" s="629"/>
      <c r="Q16210" s="629"/>
      <c r="R16210" s="629"/>
    </row>
    <row r="16211" spans="1:18" ht="24">
      <c r="A16211" s="486">
        <v>199</v>
      </c>
      <c r="B16211" s="483" t="s">
        <v>29056</v>
      </c>
      <c r="C16211" s="487" t="s">
        <v>29057</v>
      </c>
      <c r="D16211" s="488">
        <v>137.43</v>
      </c>
      <c r="E16211" s="488">
        <v>134.62</v>
      </c>
      <c r="F16211" s="488"/>
      <c r="G16211" s="488">
        <v>2.81</v>
      </c>
      <c r="H16211" s="489">
        <v>1580.2</v>
      </c>
      <c r="I16211" s="489">
        <v>1548.19</v>
      </c>
      <c r="J16211" s="489"/>
      <c r="K16211" s="489">
        <v>32.01</v>
      </c>
      <c r="L16211" s="43">
        <v>11.498217274248708</v>
      </c>
      <c r="M16211" s="43">
        <v>11.500445699004606</v>
      </c>
      <c r="N16211" s="43" t="s">
        <v>1690</v>
      </c>
      <c r="O16211" s="43">
        <v>11.391459074733095</v>
      </c>
      <c r="P16211" s="490"/>
      <c r="Q16211" s="490"/>
      <c r="R16211" s="490">
        <v>1</v>
      </c>
    </row>
    <row r="16212" spans="1:18" ht="24">
      <c r="A16212" s="486">
        <v>200</v>
      </c>
      <c r="B16212" s="483" t="s">
        <v>29058</v>
      </c>
      <c r="C16212" s="487" t="s">
        <v>29059</v>
      </c>
      <c r="D16212" s="488">
        <v>738.14</v>
      </c>
      <c r="E16212" s="488">
        <v>723.56</v>
      </c>
      <c r="F16212" s="488"/>
      <c r="G16212" s="488">
        <v>14.58</v>
      </c>
      <c r="H16212" s="489">
        <v>8488.31</v>
      </c>
      <c r="I16212" s="489">
        <v>8320.92</v>
      </c>
      <c r="J16212" s="489"/>
      <c r="K16212" s="489">
        <v>167.39</v>
      </c>
      <c r="L16212" s="43">
        <v>11.499593573034925</v>
      </c>
      <c r="M16212" s="43">
        <v>11.499972358892146</v>
      </c>
      <c r="N16212" s="43" t="s">
        <v>1690</v>
      </c>
      <c r="O16212" s="43">
        <v>11.48079561042524</v>
      </c>
      <c r="P16212" s="490"/>
      <c r="Q16212" s="490"/>
      <c r="R16212" s="490">
        <v>1</v>
      </c>
    </row>
    <row r="16213" spans="1:18" ht="24">
      <c r="A16213" s="486">
        <v>201</v>
      </c>
      <c r="B16213" s="483" t="s">
        <v>29060</v>
      </c>
      <c r="C16213" s="487" t="s">
        <v>29061</v>
      </c>
      <c r="D16213" s="488">
        <v>263.55</v>
      </c>
      <c r="E16213" s="488">
        <v>258.32</v>
      </c>
      <c r="F16213" s="488"/>
      <c r="G16213" s="488">
        <v>5.23</v>
      </c>
      <c r="H16213" s="489">
        <v>3030.73</v>
      </c>
      <c r="I16213" s="489">
        <v>2970.73</v>
      </c>
      <c r="J16213" s="489"/>
      <c r="K16213" s="489">
        <v>60</v>
      </c>
      <c r="L16213" s="43">
        <v>11.499639537089736</v>
      </c>
      <c r="M16213" s="43">
        <v>11.500193558377207</v>
      </c>
      <c r="N16213" s="43" t="s">
        <v>1690</v>
      </c>
      <c r="O16213" s="43">
        <v>11.47227533460803</v>
      </c>
      <c r="P16213" s="490"/>
      <c r="Q16213" s="490"/>
      <c r="R16213" s="490">
        <v>1</v>
      </c>
    </row>
    <row r="16214" spans="1:18" ht="24">
      <c r="A16214" s="486">
        <v>202</v>
      </c>
      <c r="B16214" s="483" t="s">
        <v>29062</v>
      </c>
      <c r="C16214" s="487" t="s">
        <v>29063</v>
      </c>
      <c r="D16214" s="488">
        <v>131.74</v>
      </c>
      <c r="E16214" s="488">
        <v>129.16</v>
      </c>
      <c r="F16214" s="488"/>
      <c r="G16214" s="488">
        <v>2.58</v>
      </c>
      <c r="H16214" s="489">
        <v>1515.06</v>
      </c>
      <c r="I16214" s="489">
        <v>1485.36</v>
      </c>
      <c r="J16214" s="489"/>
      <c r="K16214" s="489">
        <v>29.7</v>
      </c>
      <c r="L16214" s="43">
        <v>11.50037953544861</v>
      </c>
      <c r="M16214" s="43">
        <v>11.500154846701765</v>
      </c>
      <c r="N16214" s="43" t="s">
        <v>1690</v>
      </c>
      <c r="O16214" s="43">
        <v>11.500158277936057</v>
      </c>
      <c r="P16214" s="490"/>
      <c r="Q16214" s="490"/>
      <c r="R16214" s="490">
        <v>1</v>
      </c>
    </row>
    <row r="16215" spans="1:18" ht="24">
      <c r="A16215" s="486">
        <v>203</v>
      </c>
      <c r="B16215" s="483" t="s">
        <v>29064</v>
      </c>
      <c r="C16215" s="487" t="s">
        <v>29065</v>
      </c>
      <c r="D16215" s="488">
        <v>156.46</v>
      </c>
      <c r="E16215" s="488">
        <v>153.38999999999999</v>
      </c>
      <c r="F16215" s="488"/>
      <c r="G16215" s="488">
        <v>3.07</v>
      </c>
      <c r="H16215" s="489">
        <v>1799.36</v>
      </c>
      <c r="I16215" s="489">
        <v>1764.02</v>
      </c>
      <c r="J16215" s="489"/>
      <c r="K16215" s="489">
        <v>35.340000000000003</v>
      </c>
      <c r="L16215" s="43">
        <v>11.500447398696151</v>
      </c>
      <c r="M16215" s="43">
        <v>11.500228176543452</v>
      </c>
      <c r="N16215" s="43" t="s">
        <v>1690</v>
      </c>
      <c r="O16215" s="43">
        <v>11.500158277936057</v>
      </c>
      <c r="P16215" s="490"/>
      <c r="Q16215" s="490"/>
      <c r="R16215" s="490">
        <v>1</v>
      </c>
    </row>
    <row r="16216" spans="1:18" ht="24">
      <c r="A16216" s="486">
        <v>204</v>
      </c>
      <c r="B16216" s="483" t="s">
        <v>29066</v>
      </c>
      <c r="C16216" s="487" t="s">
        <v>29067</v>
      </c>
      <c r="D16216" s="488">
        <v>117.39</v>
      </c>
      <c r="E16216" s="488">
        <v>115.04</v>
      </c>
      <c r="F16216" s="488"/>
      <c r="G16216" s="488">
        <v>2.35</v>
      </c>
      <c r="H16216" s="489">
        <v>1349.92</v>
      </c>
      <c r="I16216" s="489">
        <v>1323.02</v>
      </c>
      <c r="J16216" s="489"/>
      <c r="K16216" s="489">
        <v>26.9</v>
      </c>
      <c r="L16216" s="43">
        <v>11.499446290143965</v>
      </c>
      <c r="M16216" s="43">
        <v>11.500521557719054</v>
      </c>
      <c r="N16216" s="43" t="s">
        <v>1690</v>
      </c>
      <c r="O16216" s="43">
        <v>11.446808510638297</v>
      </c>
      <c r="P16216" s="490"/>
      <c r="Q16216" s="490"/>
      <c r="R16216" s="490">
        <v>1</v>
      </c>
    </row>
    <row r="16217" spans="1:18" ht="24">
      <c r="A16217" s="486">
        <v>205</v>
      </c>
      <c r="B16217" s="483" t="s">
        <v>29068</v>
      </c>
      <c r="C16217" s="487" t="s">
        <v>29069</v>
      </c>
      <c r="D16217" s="488">
        <v>324.61</v>
      </c>
      <c r="E16217" s="488">
        <v>317.91000000000003</v>
      </c>
      <c r="F16217" s="488"/>
      <c r="G16217" s="488">
        <v>6.7</v>
      </c>
      <c r="H16217" s="489">
        <v>3732.2</v>
      </c>
      <c r="I16217" s="489">
        <v>3656.08</v>
      </c>
      <c r="J16217" s="489"/>
      <c r="K16217" s="489">
        <v>76.12</v>
      </c>
      <c r="L16217" s="43">
        <v>11.497489294846122</v>
      </c>
      <c r="M16217" s="43">
        <v>11.50036173759869</v>
      </c>
      <c r="N16217" s="43" t="s">
        <v>1690</v>
      </c>
      <c r="O16217" s="43">
        <v>11.361194029850747</v>
      </c>
      <c r="P16217" s="490"/>
      <c r="Q16217" s="490"/>
      <c r="R16217" s="490">
        <v>1</v>
      </c>
    </row>
    <row r="16218" spans="1:18" ht="24">
      <c r="A16218" s="486">
        <v>206</v>
      </c>
      <c r="B16218" s="483" t="s">
        <v>29070</v>
      </c>
      <c r="C16218" s="487" t="s">
        <v>29071</v>
      </c>
      <c r="D16218" s="488">
        <v>129.97</v>
      </c>
      <c r="E16218" s="488">
        <v>127.41</v>
      </c>
      <c r="F16218" s="488"/>
      <c r="G16218" s="488">
        <v>2.56</v>
      </c>
      <c r="H16218" s="489">
        <v>1494.7</v>
      </c>
      <c r="I16218" s="489">
        <v>1465.28</v>
      </c>
      <c r="J16218" s="489"/>
      <c r="K16218" s="489">
        <v>29.42</v>
      </c>
      <c r="L16218" s="43">
        <v>11.500346233746249</v>
      </c>
      <c r="M16218" s="43">
        <v>11.50051016403736</v>
      </c>
      <c r="N16218" s="43" t="s">
        <v>1690</v>
      </c>
      <c r="O16218" s="43">
        <v>11.500158277936057</v>
      </c>
      <c r="P16218" s="490"/>
      <c r="Q16218" s="490"/>
      <c r="R16218" s="490">
        <v>1</v>
      </c>
    </row>
    <row r="16219" spans="1:18" ht="24">
      <c r="A16219" s="486">
        <v>207</v>
      </c>
      <c r="B16219" s="483" t="s">
        <v>29072</v>
      </c>
      <c r="C16219" s="487" t="s">
        <v>29073</v>
      </c>
      <c r="D16219" s="488">
        <v>338.31</v>
      </c>
      <c r="E16219" s="488">
        <v>331.52</v>
      </c>
      <c r="F16219" s="488"/>
      <c r="G16219" s="488">
        <v>6.79</v>
      </c>
      <c r="H16219" s="489">
        <v>3890.19</v>
      </c>
      <c r="I16219" s="489">
        <v>3812.57</v>
      </c>
      <c r="J16219" s="489"/>
      <c r="K16219" s="489">
        <v>77.62</v>
      </c>
      <c r="L16219" s="43">
        <v>11.498891549170878</v>
      </c>
      <c r="M16219" s="43">
        <v>11.500271476833978</v>
      </c>
      <c r="N16219" s="43" t="s">
        <v>1690</v>
      </c>
      <c r="O16219" s="43">
        <v>11.431516936671576</v>
      </c>
      <c r="P16219" s="490"/>
      <c r="Q16219" s="490"/>
      <c r="R16219" s="490">
        <v>1</v>
      </c>
    </row>
    <row r="16220" spans="1:18" ht="24">
      <c r="A16220" s="486">
        <v>208</v>
      </c>
      <c r="B16220" s="483" t="s">
        <v>29074</v>
      </c>
      <c r="C16220" s="487" t="s">
        <v>29075</v>
      </c>
      <c r="D16220" s="488">
        <v>146.61000000000001</v>
      </c>
      <c r="E16220" s="488">
        <v>143.74</v>
      </c>
      <c r="F16220" s="488"/>
      <c r="G16220" s="488">
        <v>2.87</v>
      </c>
      <c r="H16220" s="489">
        <v>1685.98</v>
      </c>
      <c r="I16220" s="489">
        <v>1652.96</v>
      </c>
      <c r="J16220" s="489"/>
      <c r="K16220" s="489">
        <v>33.020000000000003</v>
      </c>
      <c r="L16220" s="43">
        <v>11.499761271400313</v>
      </c>
      <c r="M16220" s="43">
        <v>11.499652149714763</v>
      </c>
      <c r="N16220" s="43" t="s">
        <v>1690</v>
      </c>
      <c r="O16220" s="43">
        <v>11.500158277936057</v>
      </c>
      <c r="P16220" s="490"/>
      <c r="Q16220" s="490"/>
      <c r="R16220" s="490">
        <v>1</v>
      </c>
    </row>
    <row r="16221" spans="1:18" ht="24">
      <c r="A16221" s="486">
        <v>209</v>
      </c>
      <c r="B16221" s="483" t="s">
        <v>29076</v>
      </c>
      <c r="C16221" s="487" t="s">
        <v>29077</v>
      </c>
      <c r="D16221" s="488">
        <v>154.31</v>
      </c>
      <c r="E16221" s="488">
        <v>151.28</v>
      </c>
      <c r="F16221" s="488"/>
      <c r="G16221" s="488">
        <v>3.03</v>
      </c>
      <c r="H16221" s="489">
        <v>1774.57</v>
      </c>
      <c r="I16221" s="489">
        <v>1739.72</v>
      </c>
      <c r="J16221" s="489"/>
      <c r="K16221" s="489">
        <v>34.85</v>
      </c>
      <c r="L16221" s="43">
        <v>11.500032402307044</v>
      </c>
      <c r="M16221" s="43">
        <v>11.5</v>
      </c>
      <c r="N16221" s="43" t="s">
        <v>1690</v>
      </c>
      <c r="O16221" s="43">
        <v>11.501650165016503</v>
      </c>
      <c r="P16221" s="490"/>
      <c r="Q16221" s="490"/>
      <c r="R16221" s="490">
        <v>1</v>
      </c>
    </row>
    <row r="16222" spans="1:18" ht="24">
      <c r="A16222" s="486">
        <v>210</v>
      </c>
      <c r="B16222" s="483" t="s">
        <v>29078</v>
      </c>
      <c r="C16222" s="487" t="s">
        <v>29079</v>
      </c>
      <c r="D16222" s="488">
        <v>128.16999999999999</v>
      </c>
      <c r="E16222" s="488">
        <v>125.66</v>
      </c>
      <c r="F16222" s="488"/>
      <c r="G16222" s="488">
        <v>2.5099999999999998</v>
      </c>
      <c r="H16222" s="489">
        <v>1473.96</v>
      </c>
      <c r="I16222" s="489">
        <v>1445.09</v>
      </c>
      <c r="J16222" s="489"/>
      <c r="K16222" s="489">
        <v>28.87</v>
      </c>
      <c r="L16222" s="43">
        <v>11.50003901068893</v>
      </c>
      <c r="M16222" s="43">
        <v>11.5</v>
      </c>
      <c r="N16222" s="43" t="s">
        <v>1690</v>
      </c>
      <c r="O16222" s="43">
        <v>11.501992031872511</v>
      </c>
      <c r="P16222" s="490"/>
      <c r="Q16222" s="490"/>
      <c r="R16222" s="490">
        <v>1</v>
      </c>
    </row>
    <row r="16223" spans="1:18" ht="24">
      <c r="A16223" s="486">
        <v>211</v>
      </c>
      <c r="B16223" s="483" t="s">
        <v>29080</v>
      </c>
      <c r="C16223" s="487" t="s">
        <v>29081</v>
      </c>
      <c r="D16223" s="488">
        <v>133.63999999999999</v>
      </c>
      <c r="E16223" s="488">
        <v>131.02000000000001</v>
      </c>
      <c r="F16223" s="488"/>
      <c r="G16223" s="488">
        <v>2.62</v>
      </c>
      <c r="H16223" s="489">
        <v>1536.84</v>
      </c>
      <c r="I16223" s="489">
        <v>1506.68</v>
      </c>
      <c r="J16223" s="489"/>
      <c r="K16223" s="489">
        <v>30.16</v>
      </c>
      <c r="L16223" s="43">
        <v>11.499850344208321</v>
      </c>
      <c r="M16223" s="43">
        <v>11.499618378873453</v>
      </c>
      <c r="N16223" s="43" t="s">
        <v>1690</v>
      </c>
      <c r="O16223" s="43">
        <v>11.500158277936057</v>
      </c>
      <c r="P16223" s="490"/>
      <c r="Q16223" s="490"/>
      <c r="R16223" s="490">
        <v>1</v>
      </c>
    </row>
    <row r="16224" spans="1:18" ht="24">
      <c r="A16224" s="486">
        <v>212</v>
      </c>
      <c r="B16224" s="483" t="s">
        <v>29082</v>
      </c>
      <c r="C16224" s="487" t="s">
        <v>29083</v>
      </c>
      <c r="D16224" s="488">
        <v>227.06</v>
      </c>
      <c r="E16224" s="488">
        <v>222.6</v>
      </c>
      <c r="F16224" s="488"/>
      <c r="G16224" s="488">
        <v>4.46</v>
      </c>
      <c r="H16224" s="489">
        <v>2611.14</v>
      </c>
      <c r="I16224" s="489">
        <v>2559.9</v>
      </c>
      <c r="J16224" s="489"/>
      <c r="K16224" s="489">
        <v>51.24</v>
      </c>
      <c r="L16224" s="43">
        <v>11.499779793887077</v>
      </c>
      <c r="M16224" s="43">
        <v>11.5</v>
      </c>
      <c r="N16224" s="43" t="s">
        <v>1690</v>
      </c>
      <c r="O16224" s="43">
        <v>11.500158277936057</v>
      </c>
      <c r="P16224" s="490"/>
      <c r="Q16224" s="490"/>
      <c r="R16224" s="490">
        <v>1</v>
      </c>
    </row>
    <row r="16225" spans="1:20" ht="24">
      <c r="A16225" s="486">
        <v>213</v>
      </c>
      <c r="B16225" s="483" t="s">
        <v>29084</v>
      </c>
      <c r="C16225" s="487" t="s">
        <v>29085</v>
      </c>
      <c r="D16225" s="488">
        <v>2550.73</v>
      </c>
      <c r="E16225" s="488">
        <v>2500.35</v>
      </c>
      <c r="F16225" s="488"/>
      <c r="G16225" s="488">
        <v>50.38</v>
      </c>
      <c r="H16225" s="489">
        <v>29333.42</v>
      </c>
      <c r="I16225" s="489">
        <v>28755.08</v>
      </c>
      <c r="J16225" s="489"/>
      <c r="K16225" s="489">
        <v>578.34</v>
      </c>
      <c r="L16225" s="43">
        <v>11.500009801115759</v>
      </c>
      <c r="M16225" s="43">
        <v>11.500421940928272</v>
      </c>
      <c r="N16225" s="43" t="s">
        <v>1690</v>
      </c>
      <c r="O16225" s="43">
        <v>11.500158277936057</v>
      </c>
      <c r="P16225" s="490"/>
      <c r="Q16225" s="490"/>
      <c r="R16225" s="490">
        <v>1</v>
      </c>
    </row>
    <row r="16226" spans="1:20" ht="24">
      <c r="A16226" s="486">
        <v>214</v>
      </c>
      <c r="B16226" s="483" t="s">
        <v>29086</v>
      </c>
      <c r="C16226" s="487" t="s">
        <v>29087</v>
      </c>
      <c r="D16226" s="488">
        <v>3421.04</v>
      </c>
      <c r="E16226" s="488">
        <v>3353.55</v>
      </c>
      <c r="F16226" s="488"/>
      <c r="G16226" s="488">
        <v>67.489999999999995</v>
      </c>
      <c r="H16226" s="489">
        <v>39342.22</v>
      </c>
      <c r="I16226" s="489">
        <v>38567.24</v>
      </c>
      <c r="J16226" s="489"/>
      <c r="K16226" s="489">
        <v>774.98</v>
      </c>
      <c r="L16226" s="43">
        <v>11.500076000280616</v>
      </c>
      <c r="M16226" s="43">
        <v>11.500421940928268</v>
      </c>
      <c r="N16226" s="43" t="s">
        <v>1690</v>
      </c>
      <c r="O16226" s="43">
        <v>11.500158277936057</v>
      </c>
      <c r="P16226" s="490"/>
      <c r="Q16226" s="490"/>
      <c r="R16226" s="490">
        <v>1</v>
      </c>
    </row>
    <row r="16227" spans="1:20" ht="24">
      <c r="A16227" s="486">
        <v>215</v>
      </c>
      <c r="B16227" s="483" t="s">
        <v>29088</v>
      </c>
      <c r="C16227" s="487" t="s">
        <v>29089</v>
      </c>
      <c r="D16227" s="488">
        <v>386.79</v>
      </c>
      <c r="E16227" s="488">
        <v>379.17</v>
      </c>
      <c r="F16227" s="488"/>
      <c r="G16227" s="488">
        <v>7.62</v>
      </c>
      <c r="H16227" s="489">
        <v>4448.1499999999996</v>
      </c>
      <c r="I16227" s="489">
        <v>4360.62</v>
      </c>
      <c r="J16227" s="489"/>
      <c r="K16227" s="489">
        <v>87.53</v>
      </c>
      <c r="L16227" s="43">
        <v>11.500168049846168</v>
      </c>
      <c r="M16227" s="43">
        <v>11.500435161009573</v>
      </c>
      <c r="N16227" s="43" t="s">
        <v>1690</v>
      </c>
      <c r="O16227" s="43">
        <v>11.500158277936057</v>
      </c>
      <c r="P16227" s="490"/>
      <c r="Q16227" s="490"/>
      <c r="R16227" s="490">
        <v>1</v>
      </c>
    </row>
    <row r="16228" spans="1:20" ht="36">
      <c r="A16228" s="486">
        <v>216</v>
      </c>
      <c r="B16228" s="483" t="s">
        <v>29090</v>
      </c>
      <c r="C16228" s="487" t="s">
        <v>29091</v>
      </c>
      <c r="D16228" s="488">
        <v>133.65</v>
      </c>
      <c r="E16228" s="488">
        <v>131.02000000000001</v>
      </c>
      <c r="F16228" s="488"/>
      <c r="G16228" s="488">
        <v>2.63</v>
      </c>
      <c r="H16228" s="489">
        <v>1536.93</v>
      </c>
      <c r="I16228" s="489">
        <v>1506.68</v>
      </c>
      <c r="J16228" s="489"/>
      <c r="K16228" s="489">
        <v>30.25</v>
      </c>
      <c r="L16228" s="43">
        <v>11.4996632996633</v>
      </c>
      <c r="M16228" s="43">
        <v>11.499618378873453</v>
      </c>
      <c r="N16228" s="43" t="s">
        <v>1690</v>
      </c>
      <c r="O16228" s="43">
        <v>11.501901140684412</v>
      </c>
      <c r="P16228" s="490"/>
      <c r="Q16228" s="490"/>
      <c r="R16228" s="490">
        <v>1</v>
      </c>
    </row>
    <row r="16229" spans="1:20" ht="36">
      <c r="A16229" s="486">
        <v>217</v>
      </c>
      <c r="B16229" s="483" t="s">
        <v>29092</v>
      </c>
      <c r="C16229" s="487" t="s">
        <v>29093</v>
      </c>
      <c r="D16229" s="488">
        <v>160.88999999999999</v>
      </c>
      <c r="E16229" s="488">
        <v>157.72999999999999</v>
      </c>
      <c r="F16229" s="488"/>
      <c r="G16229" s="488">
        <v>3.16</v>
      </c>
      <c r="H16229" s="489">
        <v>1850.22</v>
      </c>
      <c r="I16229" s="489">
        <v>1813.87</v>
      </c>
      <c r="J16229" s="489"/>
      <c r="K16229" s="489">
        <v>36.35</v>
      </c>
      <c r="L16229" s="43">
        <v>11.499906768599665</v>
      </c>
      <c r="M16229" s="43">
        <v>11.49984150129969</v>
      </c>
      <c r="N16229" s="43" t="s">
        <v>1690</v>
      </c>
      <c r="O16229" s="43">
        <v>11.503164556962025</v>
      </c>
      <c r="P16229" s="490"/>
      <c r="Q16229" s="490"/>
      <c r="R16229" s="490">
        <v>1</v>
      </c>
    </row>
    <row r="16230" spans="1:20" ht="36">
      <c r="A16230" s="486">
        <v>218</v>
      </c>
      <c r="B16230" s="483" t="s">
        <v>29094</v>
      </c>
      <c r="C16230" s="487" t="s">
        <v>29095</v>
      </c>
      <c r="D16230" s="488">
        <v>201.11</v>
      </c>
      <c r="E16230" s="488">
        <v>197.16</v>
      </c>
      <c r="F16230" s="488"/>
      <c r="G16230" s="488">
        <v>3.95</v>
      </c>
      <c r="H16230" s="489">
        <v>2312.77</v>
      </c>
      <c r="I16230" s="489">
        <v>2267.34</v>
      </c>
      <c r="J16230" s="489"/>
      <c r="K16230" s="489">
        <v>45.43</v>
      </c>
      <c r="L16230" s="43">
        <v>11.500024862015811</v>
      </c>
      <c r="M16230" s="43">
        <v>11.500000000000002</v>
      </c>
      <c r="N16230" s="43" t="s">
        <v>1690</v>
      </c>
      <c r="O16230" s="43">
        <v>11.501265822784809</v>
      </c>
      <c r="P16230" s="490"/>
      <c r="Q16230" s="490"/>
      <c r="R16230" s="490">
        <v>1</v>
      </c>
    </row>
    <row r="16231" spans="1:20" ht="36">
      <c r="A16231" s="486">
        <v>219</v>
      </c>
      <c r="B16231" s="483" t="s">
        <v>29096</v>
      </c>
      <c r="C16231" s="487" t="s">
        <v>29097</v>
      </c>
      <c r="D16231" s="488">
        <v>240.05</v>
      </c>
      <c r="E16231" s="488">
        <v>235.32</v>
      </c>
      <c r="F16231" s="488"/>
      <c r="G16231" s="488">
        <v>4.7300000000000004</v>
      </c>
      <c r="H16231" s="489">
        <v>2760.5</v>
      </c>
      <c r="I16231" s="489">
        <v>2706.18</v>
      </c>
      <c r="J16231" s="489"/>
      <c r="K16231" s="489">
        <v>54.32</v>
      </c>
      <c r="L16231" s="43">
        <v>11.499687565090605</v>
      </c>
      <c r="M16231" s="43">
        <v>11.5</v>
      </c>
      <c r="N16231" s="43" t="s">
        <v>1690</v>
      </c>
      <c r="O16231" s="43">
        <v>11.500158277936057</v>
      </c>
      <c r="P16231" s="490"/>
      <c r="Q16231" s="490"/>
      <c r="R16231" s="490">
        <v>1</v>
      </c>
    </row>
    <row r="16232" spans="1:20" ht="24">
      <c r="A16232" s="486">
        <v>220</v>
      </c>
      <c r="B16232" s="483" t="s">
        <v>29098</v>
      </c>
      <c r="C16232" s="487" t="s">
        <v>29099</v>
      </c>
      <c r="D16232" s="488">
        <v>140.63</v>
      </c>
      <c r="E16232" s="488">
        <v>137.86000000000001</v>
      </c>
      <c r="F16232" s="488"/>
      <c r="G16232" s="488">
        <v>2.77</v>
      </c>
      <c r="H16232" s="489">
        <v>1617.19</v>
      </c>
      <c r="I16232" s="489">
        <v>1585.39</v>
      </c>
      <c r="J16232" s="489"/>
      <c r="K16232" s="489">
        <v>31.8</v>
      </c>
      <c r="L16232" s="43">
        <v>11.499608902794568</v>
      </c>
      <c r="M16232" s="43">
        <v>11.5</v>
      </c>
      <c r="N16232" s="43" t="s">
        <v>1690</v>
      </c>
      <c r="O16232" s="43">
        <v>11.503164556962025</v>
      </c>
      <c r="P16232" s="490"/>
      <c r="Q16232" s="490"/>
      <c r="R16232" s="490">
        <v>1</v>
      </c>
    </row>
    <row r="16233" spans="1:20" ht="24">
      <c r="A16233" s="486">
        <v>221</v>
      </c>
      <c r="B16233" s="483" t="s">
        <v>29100</v>
      </c>
      <c r="C16233" s="487" t="s">
        <v>29101</v>
      </c>
      <c r="D16233" s="488">
        <v>628.42999999999995</v>
      </c>
      <c r="E16233" s="488">
        <v>616.1</v>
      </c>
      <c r="F16233" s="488"/>
      <c r="G16233" s="488">
        <v>12.33</v>
      </c>
      <c r="H16233" s="489">
        <v>7226.89</v>
      </c>
      <c r="I16233" s="489">
        <v>7085.15</v>
      </c>
      <c r="J16233" s="489"/>
      <c r="K16233" s="489">
        <v>141.74</v>
      </c>
      <c r="L16233" s="43">
        <v>11.499912480308071</v>
      </c>
      <c r="M16233" s="43">
        <v>11.499999999999998</v>
      </c>
      <c r="N16233" s="43" t="s">
        <v>1690</v>
      </c>
      <c r="O16233" s="43">
        <v>11.503164556962025</v>
      </c>
      <c r="P16233" s="490"/>
      <c r="Q16233" s="490"/>
      <c r="R16233" s="490">
        <v>1</v>
      </c>
      <c r="T16233" s="43"/>
    </row>
    <row r="16234" spans="1:20" ht="24">
      <c r="A16234" s="486">
        <v>222</v>
      </c>
      <c r="B16234" s="483" t="s">
        <v>29102</v>
      </c>
      <c r="C16234" s="487" t="s">
        <v>29103</v>
      </c>
      <c r="D16234" s="488">
        <v>384.57</v>
      </c>
      <c r="E16234" s="488">
        <v>376.98</v>
      </c>
      <c r="F16234" s="488"/>
      <c r="G16234" s="488">
        <v>7.59</v>
      </c>
      <c r="H16234" s="489">
        <v>4422.43</v>
      </c>
      <c r="I16234" s="489">
        <v>4335.2700000000004</v>
      </c>
      <c r="J16234" s="489"/>
      <c r="K16234" s="489">
        <v>87.16</v>
      </c>
      <c r="L16234" s="43">
        <v>11.499674961645475</v>
      </c>
      <c r="M16234" s="43">
        <v>11.5</v>
      </c>
      <c r="N16234" s="43" t="s">
        <v>1690</v>
      </c>
      <c r="O16234" s="43">
        <v>11.503164556962025</v>
      </c>
      <c r="P16234" s="490"/>
      <c r="Q16234" s="490"/>
      <c r="R16234" s="490">
        <v>1</v>
      </c>
    </row>
    <row r="16235" spans="1:20" ht="24">
      <c r="A16235" s="486">
        <v>223</v>
      </c>
      <c r="B16235" s="483" t="s">
        <v>29104</v>
      </c>
      <c r="C16235" s="487" t="s">
        <v>29105</v>
      </c>
      <c r="D16235" s="488">
        <v>423.38</v>
      </c>
      <c r="E16235" s="488">
        <v>414.8</v>
      </c>
      <c r="F16235" s="488"/>
      <c r="G16235" s="488">
        <v>8.58</v>
      </c>
      <c r="H16235" s="489">
        <v>4868.0600000000004</v>
      </c>
      <c r="I16235" s="489">
        <v>4770.2</v>
      </c>
      <c r="J16235" s="489"/>
      <c r="K16235" s="489">
        <v>97.86</v>
      </c>
      <c r="L16235" s="43">
        <v>11.498086825074402</v>
      </c>
      <c r="M16235" s="43">
        <v>11.5</v>
      </c>
      <c r="N16235" s="43" t="s">
        <v>1690</v>
      </c>
      <c r="O16235" s="43">
        <v>11.503164556962025</v>
      </c>
      <c r="P16235" s="490"/>
      <c r="Q16235" s="490"/>
      <c r="R16235" s="490">
        <v>1</v>
      </c>
    </row>
    <row r="16236" spans="1:20" ht="24">
      <c r="A16236" s="486">
        <v>224</v>
      </c>
      <c r="B16236" s="483" t="s">
        <v>29106</v>
      </c>
      <c r="C16236" s="487" t="s">
        <v>29107</v>
      </c>
      <c r="D16236" s="488">
        <v>166.76</v>
      </c>
      <c r="E16236" s="488">
        <v>163.47999999999999</v>
      </c>
      <c r="F16236" s="488"/>
      <c r="G16236" s="488">
        <v>3.28</v>
      </c>
      <c r="H16236" s="489">
        <v>1917.75</v>
      </c>
      <c r="I16236" s="489">
        <v>1880.02</v>
      </c>
      <c r="J16236" s="489"/>
      <c r="K16236" s="489">
        <v>37.729999999999997</v>
      </c>
      <c r="L16236" s="43">
        <v>11.500059966418807</v>
      </c>
      <c r="M16236" s="43">
        <v>11.5</v>
      </c>
      <c r="N16236" s="43" t="s">
        <v>1690</v>
      </c>
      <c r="O16236" s="43">
        <v>11.503164556962025</v>
      </c>
      <c r="P16236" s="490"/>
      <c r="Q16236" s="490"/>
      <c r="R16236" s="490">
        <v>1</v>
      </c>
    </row>
    <row r="16237" spans="1:20" ht="24">
      <c r="A16237" s="486">
        <v>225</v>
      </c>
      <c r="B16237" s="483" t="s">
        <v>29108</v>
      </c>
      <c r="C16237" s="487" t="s">
        <v>29109</v>
      </c>
      <c r="D16237" s="488">
        <v>243.93</v>
      </c>
      <c r="E16237" s="488">
        <v>239.12</v>
      </c>
      <c r="F16237" s="488"/>
      <c r="G16237" s="488">
        <v>4.8099999999999996</v>
      </c>
      <c r="H16237" s="489">
        <v>2805.12</v>
      </c>
      <c r="I16237" s="489">
        <v>2749.88</v>
      </c>
      <c r="J16237" s="489"/>
      <c r="K16237" s="489">
        <v>55.24</v>
      </c>
      <c r="L16237" s="43">
        <v>11.499692534743573</v>
      </c>
      <c r="M16237" s="43">
        <v>11.5</v>
      </c>
      <c r="N16237" s="43" t="s">
        <v>1690</v>
      </c>
      <c r="O16237" s="43">
        <v>11.503164556962025</v>
      </c>
      <c r="P16237" s="490"/>
      <c r="Q16237" s="490"/>
      <c r="R16237" s="490">
        <v>1</v>
      </c>
    </row>
    <row r="16238" spans="1:20" ht="24">
      <c r="A16238" s="486">
        <v>226</v>
      </c>
      <c r="B16238" s="483" t="s">
        <v>29110</v>
      </c>
      <c r="C16238" s="487" t="s">
        <v>29111</v>
      </c>
      <c r="D16238" s="488">
        <v>140.62</v>
      </c>
      <c r="E16238" s="488">
        <v>137.86000000000001</v>
      </c>
      <c r="F16238" s="488"/>
      <c r="G16238" s="488">
        <v>2.76</v>
      </c>
      <c r="H16238" s="489">
        <v>1617.16</v>
      </c>
      <c r="I16238" s="489">
        <v>1585.39</v>
      </c>
      <c r="J16238" s="489"/>
      <c r="K16238" s="489">
        <v>31.77</v>
      </c>
      <c r="L16238" s="43">
        <v>11.500213340918789</v>
      </c>
      <c r="M16238" s="43">
        <v>11.5</v>
      </c>
      <c r="N16238" s="43" t="s">
        <v>1690</v>
      </c>
      <c r="O16238" s="43">
        <v>11.503164556962025</v>
      </c>
      <c r="P16238" s="490"/>
      <c r="Q16238" s="490"/>
      <c r="R16238" s="490">
        <v>1</v>
      </c>
    </row>
    <row r="16239" spans="1:20" ht="24">
      <c r="A16239" s="486">
        <v>227</v>
      </c>
      <c r="B16239" s="483" t="s">
        <v>29112</v>
      </c>
      <c r="C16239" s="487" t="s">
        <v>29113</v>
      </c>
      <c r="D16239" s="488">
        <v>397</v>
      </c>
      <c r="E16239" s="488">
        <v>389.18</v>
      </c>
      <c r="F16239" s="488"/>
      <c r="G16239" s="488">
        <v>7.82</v>
      </c>
      <c r="H16239" s="489">
        <v>4565.43</v>
      </c>
      <c r="I16239" s="489">
        <v>4475.57</v>
      </c>
      <c r="J16239" s="489"/>
      <c r="K16239" s="489">
        <v>89.86</v>
      </c>
      <c r="L16239" s="43">
        <v>11.499823677581865</v>
      </c>
      <c r="M16239" s="43">
        <v>11.499999999999998</v>
      </c>
      <c r="N16239" s="43" t="s">
        <v>1690</v>
      </c>
      <c r="O16239" s="43">
        <v>11.503164556962025</v>
      </c>
      <c r="P16239" s="490"/>
      <c r="Q16239" s="490"/>
      <c r="R16239" s="490">
        <v>1</v>
      </c>
    </row>
    <row r="16240" spans="1:20" ht="12.75" customHeight="1">
      <c r="A16240" s="628" t="s">
        <v>29114</v>
      </c>
      <c r="B16240" s="629"/>
      <c r="C16240" s="629"/>
      <c r="D16240" s="629"/>
      <c r="E16240" s="629"/>
      <c r="F16240" s="629"/>
      <c r="G16240" s="629"/>
      <c r="H16240" s="629"/>
      <c r="I16240" s="629"/>
      <c r="J16240" s="629"/>
      <c r="K16240" s="629"/>
      <c r="L16240" s="629"/>
      <c r="M16240" s="629"/>
      <c r="N16240" s="629"/>
      <c r="O16240" s="629"/>
      <c r="P16240" s="629"/>
      <c r="Q16240" s="629"/>
      <c r="R16240" s="629"/>
    </row>
    <row r="16241" spans="1:18" ht="24">
      <c r="A16241" s="486">
        <v>228</v>
      </c>
      <c r="B16241" s="483" t="s">
        <v>29115</v>
      </c>
      <c r="C16241" s="487" t="s">
        <v>29116</v>
      </c>
      <c r="D16241" s="488">
        <v>151.72999999999999</v>
      </c>
      <c r="E16241" s="488">
        <v>148.74</v>
      </c>
      <c r="F16241" s="488"/>
      <c r="G16241" s="488">
        <v>2.99</v>
      </c>
      <c r="H16241" s="489">
        <v>1744.82</v>
      </c>
      <c r="I16241" s="489">
        <v>1710.51</v>
      </c>
      <c r="J16241" s="489"/>
      <c r="K16241" s="489">
        <v>34.31</v>
      </c>
      <c r="L16241" s="43">
        <v>11.499505700916101</v>
      </c>
      <c r="M16241" s="43">
        <v>11.5</v>
      </c>
      <c r="N16241" s="43" t="s">
        <v>1690</v>
      </c>
      <c r="O16241" s="43">
        <v>11.474916387959865</v>
      </c>
      <c r="P16241" s="490"/>
      <c r="Q16241" s="490"/>
      <c r="R16241" s="490">
        <v>2</v>
      </c>
    </row>
    <row r="16242" spans="1:18" ht="24">
      <c r="A16242" s="486">
        <v>229</v>
      </c>
      <c r="B16242" s="483" t="s">
        <v>29117</v>
      </c>
      <c r="C16242" s="487" t="s">
        <v>29118</v>
      </c>
      <c r="D16242" s="488">
        <v>81.540000000000006</v>
      </c>
      <c r="E16242" s="488">
        <v>79.92</v>
      </c>
      <c r="F16242" s="488"/>
      <c r="G16242" s="488">
        <v>1.62</v>
      </c>
      <c r="H16242" s="489">
        <v>937.66</v>
      </c>
      <c r="I16242" s="489">
        <v>919.08</v>
      </c>
      <c r="J16242" s="489"/>
      <c r="K16242" s="489">
        <v>18.579999999999998</v>
      </c>
      <c r="L16242" s="43">
        <v>11.499386804022564</v>
      </c>
      <c r="M16242" s="43">
        <v>11.5</v>
      </c>
      <c r="N16242" s="43" t="s">
        <v>1690</v>
      </c>
      <c r="O16242" s="43">
        <v>11.469135802469134</v>
      </c>
      <c r="P16242" s="490"/>
      <c r="Q16242" s="490"/>
      <c r="R16242" s="490">
        <v>2</v>
      </c>
    </row>
    <row r="16243" spans="1:18" ht="24">
      <c r="A16243" s="486">
        <v>230</v>
      </c>
      <c r="B16243" s="483" t="s">
        <v>29119</v>
      </c>
      <c r="C16243" s="487" t="s">
        <v>29120</v>
      </c>
      <c r="D16243" s="488">
        <v>92.85</v>
      </c>
      <c r="E16243" s="488">
        <v>91.02</v>
      </c>
      <c r="F16243" s="488"/>
      <c r="G16243" s="488">
        <v>1.83</v>
      </c>
      <c r="H16243" s="489">
        <v>1067.78</v>
      </c>
      <c r="I16243" s="489">
        <v>1046.73</v>
      </c>
      <c r="J16243" s="489"/>
      <c r="K16243" s="489">
        <v>21.05</v>
      </c>
      <c r="L16243" s="43">
        <v>11.500053850296178</v>
      </c>
      <c r="M16243" s="43">
        <v>11.5</v>
      </c>
      <c r="N16243" s="43" t="s">
        <v>1690</v>
      </c>
      <c r="O16243" s="43">
        <v>11.502732240437158</v>
      </c>
      <c r="P16243" s="490"/>
      <c r="Q16243" s="490"/>
      <c r="R16243" s="490">
        <v>2</v>
      </c>
    </row>
    <row r="16244" spans="1:18" ht="24">
      <c r="A16244" s="486">
        <v>231</v>
      </c>
      <c r="B16244" s="483" t="s">
        <v>29121</v>
      </c>
      <c r="C16244" s="487" t="s">
        <v>29122</v>
      </c>
      <c r="D16244" s="488">
        <v>513.02</v>
      </c>
      <c r="E16244" s="488">
        <v>502.83</v>
      </c>
      <c r="F16244" s="488"/>
      <c r="G16244" s="488">
        <v>10.19</v>
      </c>
      <c r="H16244" s="489">
        <v>5899.34</v>
      </c>
      <c r="I16244" s="489">
        <v>5782.55</v>
      </c>
      <c r="J16244" s="489"/>
      <c r="K16244" s="489">
        <v>116.79</v>
      </c>
      <c r="L16244" s="43">
        <v>11.499239795719467</v>
      </c>
      <c r="M16244" s="43">
        <v>11.500009943718554</v>
      </c>
      <c r="N16244" s="43" t="s">
        <v>1690</v>
      </c>
      <c r="O16244" s="43">
        <v>11.461236506378803</v>
      </c>
      <c r="P16244" s="490"/>
      <c r="Q16244" s="490"/>
      <c r="R16244" s="490">
        <v>2</v>
      </c>
    </row>
    <row r="16245" spans="1:18" ht="24">
      <c r="A16245" s="486">
        <v>232</v>
      </c>
      <c r="B16245" s="483" t="s">
        <v>29123</v>
      </c>
      <c r="C16245" s="487" t="s">
        <v>29124</v>
      </c>
      <c r="D16245" s="488">
        <v>1256.83</v>
      </c>
      <c r="E16245" s="488">
        <v>1232.0999999999999</v>
      </c>
      <c r="F16245" s="488"/>
      <c r="G16245" s="488">
        <v>24.73</v>
      </c>
      <c r="H16245" s="489">
        <v>14453.26</v>
      </c>
      <c r="I16245" s="489">
        <v>14169.15</v>
      </c>
      <c r="J16245" s="489"/>
      <c r="K16245" s="489">
        <v>284.11</v>
      </c>
      <c r="L16245" s="43">
        <v>11.499773239021986</v>
      </c>
      <c r="M16245" s="43">
        <v>11.5</v>
      </c>
      <c r="N16245" s="43" t="s">
        <v>1690</v>
      </c>
      <c r="O16245" s="43">
        <v>11.488475535786494</v>
      </c>
      <c r="P16245" s="490"/>
      <c r="Q16245" s="490"/>
      <c r="R16245" s="490">
        <v>2</v>
      </c>
    </row>
    <row r="16246" spans="1:18" ht="12.75" customHeight="1">
      <c r="A16246" s="628" t="s">
        <v>29125</v>
      </c>
      <c r="B16246" s="629"/>
      <c r="C16246" s="629"/>
      <c r="D16246" s="629"/>
      <c r="E16246" s="629"/>
      <c r="F16246" s="629"/>
      <c r="G16246" s="629"/>
      <c r="H16246" s="629"/>
      <c r="I16246" s="629"/>
      <c r="J16246" s="629"/>
      <c r="K16246" s="629"/>
      <c r="L16246" s="629"/>
      <c r="M16246" s="629"/>
      <c r="N16246" s="629"/>
      <c r="O16246" s="629"/>
      <c r="P16246" s="629"/>
      <c r="Q16246" s="629"/>
      <c r="R16246" s="629"/>
    </row>
    <row r="16247" spans="1:18" ht="24">
      <c r="A16247" s="486">
        <v>233</v>
      </c>
      <c r="B16247" s="483" t="s">
        <v>29126</v>
      </c>
      <c r="C16247" s="487" t="s">
        <v>29127</v>
      </c>
      <c r="D16247" s="488">
        <v>63.23</v>
      </c>
      <c r="E16247" s="488">
        <v>61.9</v>
      </c>
      <c r="F16247" s="488"/>
      <c r="G16247" s="488">
        <v>1.33</v>
      </c>
      <c r="H16247" s="489">
        <v>726.89</v>
      </c>
      <c r="I16247" s="489">
        <v>711.88</v>
      </c>
      <c r="J16247" s="489"/>
      <c r="K16247" s="489">
        <v>15.01</v>
      </c>
      <c r="L16247" s="43">
        <v>11.495967104222679</v>
      </c>
      <c r="M16247" s="43">
        <v>11.500484652665589</v>
      </c>
      <c r="N16247" s="43" t="s">
        <v>1690</v>
      </c>
      <c r="O16247" s="43">
        <v>11.285714285714285</v>
      </c>
      <c r="P16247" s="490"/>
      <c r="Q16247" s="490"/>
      <c r="R16247" s="490">
        <v>3</v>
      </c>
    </row>
    <row r="16248" spans="1:18" ht="24">
      <c r="A16248" s="486">
        <v>234</v>
      </c>
      <c r="B16248" s="483" t="s">
        <v>29128</v>
      </c>
      <c r="C16248" s="487" t="s">
        <v>29129</v>
      </c>
      <c r="D16248" s="488">
        <v>88.39</v>
      </c>
      <c r="E16248" s="488">
        <v>86.66</v>
      </c>
      <c r="F16248" s="488"/>
      <c r="G16248" s="488">
        <v>1.73</v>
      </c>
      <c r="H16248" s="489">
        <v>1016.54</v>
      </c>
      <c r="I16248" s="489">
        <v>996.64</v>
      </c>
      <c r="J16248" s="489"/>
      <c r="K16248" s="489">
        <v>19.899999999999999</v>
      </c>
      <c r="L16248" s="43">
        <v>11.500622242335105</v>
      </c>
      <c r="M16248" s="43">
        <v>11.500576967459036</v>
      </c>
      <c r="N16248" s="43" t="s">
        <v>1690</v>
      </c>
      <c r="O16248" s="43">
        <v>11.502890173410403</v>
      </c>
      <c r="P16248" s="490"/>
      <c r="Q16248" s="490"/>
      <c r="R16248" s="490">
        <v>3</v>
      </c>
    </row>
    <row r="16249" spans="1:18" ht="12.75" customHeight="1">
      <c r="A16249" s="628" t="s">
        <v>2739</v>
      </c>
      <c r="B16249" s="629"/>
      <c r="C16249" s="629"/>
      <c r="D16249" s="629"/>
      <c r="E16249" s="629"/>
      <c r="F16249" s="629"/>
      <c r="G16249" s="629"/>
      <c r="H16249" s="629"/>
      <c r="I16249" s="629"/>
      <c r="J16249" s="629"/>
      <c r="K16249" s="629"/>
      <c r="L16249" s="629"/>
      <c r="M16249" s="629"/>
      <c r="N16249" s="629"/>
      <c r="O16249" s="629"/>
      <c r="P16249" s="629"/>
      <c r="Q16249" s="629"/>
      <c r="R16249" s="629"/>
    </row>
    <row r="16250" spans="1:18" ht="24">
      <c r="A16250" s="486">
        <v>235</v>
      </c>
      <c r="B16250" s="483" t="s">
        <v>29130</v>
      </c>
      <c r="C16250" s="487" t="s">
        <v>29131</v>
      </c>
      <c r="D16250" s="488">
        <v>205.47</v>
      </c>
      <c r="E16250" s="488">
        <v>201.3</v>
      </c>
      <c r="F16250" s="488"/>
      <c r="G16250" s="488">
        <v>4.17</v>
      </c>
      <c r="H16250" s="489">
        <v>2362.5500000000002</v>
      </c>
      <c r="I16250" s="489">
        <v>2314.9499999999998</v>
      </c>
      <c r="J16250" s="489"/>
      <c r="K16250" s="489">
        <v>47.6</v>
      </c>
      <c r="L16250" s="43">
        <v>11.498272253857012</v>
      </c>
      <c r="M16250" s="43">
        <v>11.499999999999998</v>
      </c>
      <c r="N16250" s="43" t="s">
        <v>1690</v>
      </c>
      <c r="O16250" s="43">
        <v>11.414868105515588</v>
      </c>
      <c r="P16250" s="490"/>
      <c r="Q16250" s="490"/>
      <c r="R16250" s="490">
        <v>4</v>
      </c>
    </row>
    <row r="16251" spans="1:18" ht="36">
      <c r="A16251" s="486">
        <v>236</v>
      </c>
      <c r="B16251" s="483" t="s">
        <v>29132</v>
      </c>
      <c r="C16251" s="487" t="s">
        <v>29133</v>
      </c>
      <c r="D16251" s="488">
        <v>539.88</v>
      </c>
      <c r="E16251" s="488">
        <v>528.26</v>
      </c>
      <c r="F16251" s="488"/>
      <c r="G16251" s="488">
        <v>11.62</v>
      </c>
      <c r="H16251" s="489">
        <v>6205.73</v>
      </c>
      <c r="I16251" s="489">
        <v>6074.99</v>
      </c>
      <c r="J16251" s="489"/>
      <c r="K16251" s="489">
        <v>130.74</v>
      </c>
      <c r="L16251" s="43">
        <v>11.494646958583388</v>
      </c>
      <c r="M16251" s="43">
        <v>11.5</v>
      </c>
      <c r="N16251" s="43" t="s">
        <v>1690</v>
      </c>
      <c r="O16251" s="43">
        <v>11.251290877796903</v>
      </c>
      <c r="P16251" s="490"/>
      <c r="Q16251" s="490"/>
      <c r="R16251" s="490">
        <v>4</v>
      </c>
    </row>
    <row r="16252" spans="1:18" ht="24">
      <c r="A16252" s="486">
        <v>237</v>
      </c>
      <c r="B16252" s="483" t="s">
        <v>29134</v>
      </c>
      <c r="C16252" s="487" t="s">
        <v>29135</v>
      </c>
      <c r="D16252" s="488">
        <v>3500.47</v>
      </c>
      <c r="E16252" s="488">
        <v>3431.75</v>
      </c>
      <c r="F16252" s="488"/>
      <c r="G16252" s="488">
        <v>68.72</v>
      </c>
      <c r="H16252" s="489">
        <v>40256.5</v>
      </c>
      <c r="I16252" s="489">
        <v>39466.42</v>
      </c>
      <c r="J16252" s="489"/>
      <c r="K16252" s="489">
        <v>790.08</v>
      </c>
      <c r="L16252" s="43">
        <v>11.500312815136255</v>
      </c>
      <c r="M16252" s="43">
        <v>11.500377358490566</v>
      </c>
      <c r="N16252" s="43" t="s">
        <v>1690</v>
      </c>
      <c r="O16252" s="43">
        <v>11.49708963911525</v>
      </c>
      <c r="P16252" s="490"/>
      <c r="Q16252" s="490"/>
      <c r="R16252" s="490">
        <v>4</v>
      </c>
    </row>
    <row r="16253" spans="1:18" ht="36">
      <c r="A16253" s="486">
        <v>238</v>
      </c>
      <c r="B16253" s="483" t="s">
        <v>29136</v>
      </c>
      <c r="C16253" s="487" t="s">
        <v>29137</v>
      </c>
      <c r="D16253" s="488">
        <v>324.52999999999997</v>
      </c>
      <c r="E16253" s="488">
        <v>318.06</v>
      </c>
      <c r="F16253" s="488"/>
      <c r="G16253" s="488">
        <v>6.47</v>
      </c>
      <c r="H16253" s="489">
        <v>3731.86</v>
      </c>
      <c r="I16253" s="489">
        <v>3657.74</v>
      </c>
      <c r="J16253" s="489"/>
      <c r="K16253" s="489">
        <v>74.12</v>
      </c>
      <c r="L16253" s="43">
        <v>11.499275875882047</v>
      </c>
      <c r="M16253" s="43">
        <v>11.50015720304345</v>
      </c>
      <c r="N16253" s="43" t="s">
        <v>1690</v>
      </c>
      <c r="O16253" s="43">
        <v>11.45595054095827</v>
      </c>
      <c r="P16253" s="490"/>
      <c r="Q16253" s="490"/>
      <c r="R16253" s="490">
        <v>4</v>
      </c>
    </row>
    <row r="16254" spans="1:18" ht="24">
      <c r="A16254" s="486">
        <v>239</v>
      </c>
      <c r="B16254" s="483" t="s">
        <v>29138</v>
      </c>
      <c r="C16254" s="487" t="s">
        <v>29139</v>
      </c>
      <c r="D16254" s="488">
        <v>190.05</v>
      </c>
      <c r="E16254" s="488">
        <v>186.31</v>
      </c>
      <c r="F16254" s="488"/>
      <c r="G16254" s="488">
        <v>3.74</v>
      </c>
      <c r="H16254" s="489">
        <v>2185.5300000000002</v>
      </c>
      <c r="I16254" s="489">
        <v>2142.5700000000002</v>
      </c>
      <c r="J16254" s="489"/>
      <c r="K16254" s="489">
        <v>42.96</v>
      </c>
      <c r="L16254" s="43">
        <v>11.49976322020521</v>
      </c>
      <c r="M16254" s="43">
        <v>11.500026836992111</v>
      </c>
      <c r="N16254" s="43" t="s">
        <v>1690</v>
      </c>
      <c r="O16254" s="43">
        <v>11.503164556962025</v>
      </c>
      <c r="P16254" s="490"/>
      <c r="Q16254" s="490"/>
      <c r="R16254" s="490">
        <v>4</v>
      </c>
    </row>
    <row r="16255" spans="1:18" ht="24">
      <c r="A16255" s="486">
        <v>240</v>
      </c>
      <c r="B16255" s="483" t="s">
        <v>29140</v>
      </c>
      <c r="C16255" s="487" t="s">
        <v>29141</v>
      </c>
      <c r="D16255" s="488">
        <v>129.97</v>
      </c>
      <c r="E16255" s="488">
        <v>127.41</v>
      </c>
      <c r="F16255" s="488"/>
      <c r="G16255" s="488">
        <v>2.56</v>
      </c>
      <c r="H16255" s="489">
        <v>1494.7</v>
      </c>
      <c r="I16255" s="489">
        <v>1465.28</v>
      </c>
      <c r="J16255" s="489"/>
      <c r="K16255" s="489">
        <v>29.42</v>
      </c>
      <c r="L16255" s="43">
        <v>11.500346233746249</v>
      </c>
      <c r="M16255" s="43">
        <v>11.50051016403736</v>
      </c>
      <c r="N16255" s="43" t="s">
        <v>1690</v>
      </c>
      <c r="O16255" s="43">
        <v>11.503164556962025</v>
      </c>
      <c r="P16255" s="490"/>
      <c r="Q16255" s="490"/>
      <c r="R16255" s="490">
        <v>4</v>
      </c>
    </row>
    <row r="16256" spans="1:18" ht="24">
      <c r="A16256" s="486">
        <v>241</v>
      </c>
      <c r="B16256" s="483" t="s">
        <v>29142</v>
      </c>
      <c r="C16256" s="487" t="s">
        <v>29143</v>
      </c>
      <c r="D16256" s="488">
        <v>267.39999999999998</v>
      </c>
      <c r="E16256" s="488">
        <v>262.02999999999997</v>
      </c>
      <c r="F16256" s="488"/>
      <c r="G16256" s="488">
        <v>5.37</v>
      </c>
      <c r="H16256" s="489">
        <v>3074.76</v>
      </c>
      <c r="I16256" s="489">
        <v>3013.37</v>
      </c>
      <c r="J16256" s="489"/>
      <c r="K16256" s="489">
        <v>61.39</v>
      </c>
      <c r="L16256" s="43">
        <v>11.498728496634257</v>
      </c>
      <c r="M16256" s="43">
        <v>11.500095408922643</v>
      </c>
      <c r="N16256" s="43" t="s">
        <v>1690</v>
      </c>
      <c r="O16256" s="43">
        <v>11.503164556962025</v>
      </c>
      <c r="P16256" s="490"/>
      <c r="Q16256" s="490"/>
      <c r="R16256" s="490">
        <v>4</v>
      </c>
    </row>
    <row r="16257" spans="1:18" ht="24">
      <c r="A16257" s="486">
        <v>242</v>
      </c>
      <c r="B16257" s="483" t="s">
        <v>29144</v>
      </c>
      <c r="C16257" s="487" t="s">
        <v>29145</v>
      </c>
      <c r="D16257" s="488">
        <v>227.13</v>
      </c>
      <c r="E16257" s="488">
        <v>222.6</v>
      </c>
      <c r="F16257" s="488"/>
      <c r="G16257" s="488">
        <v>4.53</v>
      </c>
      <c r="H16257" s="489">
        <v>2611.8000000000002</v>
      </c>
      <c r="I16257" s="489">
        <v>2559.9</v>
      </c>
      <c r="J16257" s="489"/>
      <c r="K16257" s="489">
        <v>51.9</v>
      </c>
      <c r="L16257" s="43">
        <v>11.499141460837407</v>
      </c>
      <c r="M16257" s="43">
        <v>11.5</v>
      </c>
      <c r="N16257" s="43" t="s">
        <v>1690</v>
      </c>
      <c r="O16257" s="43">
        <v>11.503164556962025</v>
      </c>
      <c r="P16257" s="490"/>
      <c r="Q16257" s="490"/>
      <c r="R16257" s="490">
        <v>4</v>
      </c>
    </row>
    <row r="16258" spans="1:18" ht="24">
      <c r="A16258" s="486">
        <v>243</v>
      </c>
      <c r="B16258" s="483" t="s">
        <v>29146</v>
      </c>
      <c r="C16258" s="487" t="s">
        <v>29147</v>
      </c>
      <c r="D16258" s="488">
        <v>169.1</v>
      </c>
      <c r="E16258" s="488">
        <v>165.76</v>
      </c>
      <c r="F16258" s="488"/>
      <c r="G16258" s="488">
        <v>3.34</v>
      </c>
      <c r="H16258" s="489">
        <v>1944.64</v>
      </c>
      <c r="I16258" s="489">
        <v>1906.28</v>
      </c>
      <c r="J16258" s="489"/>
      <c r="K16258" s="489">
        <v>38.36</v>
      </c>
      <c r="L16258" s="43">
        <v>11.499940863394443</v>
      </c>
      <c r="M16258" s="43">
        <v>11.500241312741313</v>
      </c>
      <c r="N16258" s="43" t="s">
        <v>1690</v>
      </c>
      <c r="O16258" s="43">
        <v>11.503164556962025</v>
      </c>
      <c r="P16258" s="490"/>
      <c r="Q16258" s="490"/>
      <c r="R16258" s="490">
        <v>4</v>
      </c>
    </row>
    <row r="16259" spans="1:18" ht="12.75" customHeight="1">
      <c r="A16259" s="628" t="s">
        <v>29148</v>
      </c>
      <c r="B16259" s="629"/>
      <c r="C16259" s="629"/>
      <c r="D16259" s="629"/>
      <c r="E16259" s="629"/>
      <c r="F16259" s="629"/>
      <c r="G16259" s="629"/>
      <c r="H16259" s="629"/>
      <c r="I16259" s="629"/>
      <c r="J16259" s="629"/>
      <c r="K16259" s="629"/>
      <c r="L16259" s="629"/>
      <c r="M16259" s="629"/>
      <c r="N16259" s="629"/>
      <c r="O16259" s="629"/>
      <c r="P16259" s="629"/>
      <c r="Q16259" s="629"/>
      <c r="R16259" s="629"/>
    </row>
    <row r="16260" spans="1:18" ht="12.75" customHeight="1">
      <c r="A16260" s="628" t="s">
        <v>29149</v>
      </c>
      <c r="B16260" s="629"/>
      <c r="C16260" s="629"/>
      <c r="D16260" s="629"/>
      <c r="E16260" s="629"/>
      <c r="F16260" s="629"/>
      <c r="G16260" s="629"/>
      <c r="H16260" s="629"/>
      <c r="I16260" s="629"/>
      <c r="J16260" s="629"/>
      <c r="K16260" s="629"/>
      <c r="L16260" s="629"/>
      <c r="M16260" s="629"/>
      <c r="N16260" s="629"/>
      <c r="O16260" s="629"/>
      <c r="P16260" s="629"/>
      <c r="Q16260" s="629"/>
      <c r="R16260" s="629"/>
    </row>
    <row r="16261" spans="1:18" ht="48">
      <c r="A16261" s="486">
        <v>244</v>
      </c>
      <c r="B16261" s="483" t="s">
        <v>29150</v>
      </c>
      <c r="C16261" s="487" t="s">
        <v>29151</v>
      </c>
      <c r="D16261" s="488">
        <v>155.26</v>
      </c>
      <c r="E16261" s="488">
        <v>152.22</v>
      </c>
      <c r="F16261" s="488"/>
      <c r="G16261" s="488">
        <v>3.04</v>
      </c>
      <c r="H16261" s="489">
        <v>1785.54</v>
      </c>
      <c r="I16261" s="489">
        <v>1750.58</v>
      </c>
      <c r="J16261" s="489"/>
      <c r="K16261" s="489">
        <v>34.96</v>
      </c>
      <c r="L16261" s="43">
        <v>11.50032204044828</v>
      </c>
      <c r="M16261" s="43">
        <v>11.500328471948496</v>
      </c>
      <c r="N16261" s="43" t="s">
        <v>1690</v>
      </c>
      <c r="O16261" s="43">
        <v>11.5</v>
      </c>
      <c r="P16261" s="490"/>
      <c r="Q16261" s="490"/>
      <c r="R16261" s="490">
        <v>1</v>
      </c>
    </row>
    <row r="16262" spans="1:18" ht="12.75" customHeight="1">
      <c r="A16262" s="628" t="s">
        <v>29152</v>
      </c>
      <c r="B16262" s="629"/>
      <c r="C16262" s="629"/>
      <c r="D16262" s="629"/>
      <c r="E16262" s="629"/>
      <c r="F16262" s="629"/>
      <c r="G16262" s="629"/>
      <c r="H16262" s="629"/>
      <c r="I16262" s="629"/>
      <c r="J16262" s="629"/>
      <c r="K16262" s="629"/>
      <c r="L16262" s="629"/>
      <c r="M16262" s="629"/>
      <c r="N16262" s="629"/>
      <c r="O16262" s="629"/>
      <c r="P16262" s="629"/>
      <c r="Q16262" s="629"/>
      <c r="R16262" s="629"/>
    </row>
    <row r="16263" spans="1:18" ht="24">
      <c r="A16263" s="486">
        <v>245</v>
      </c>
      <c r="B16263" s="483" t="s">
        <v>29153</v>
      </c>
      <c r="C16263" s="487" t="s">
        <v>29154</v>
      </c>
      <c r="D16263" s="488">
        <v>406.67</v>
      </c>
      <c r="E16263" s="488">
        <v>396.66</v>
      </c>
      <c r="F16263" s="488"/>
      <c r="G16263" s="488">
        <v>10.01</v>
      </c>
      <c r="H16263" s="489">
        <v>4663.57</v>
      </c>
      <c r="I16263" s="489">
        <v>4561.59</v>
      </c>
      <c r="J16263" s="489"/>
      <c r="K16263" s="489">
        <v>101.98</v>
      </c>
      <c r="L16263" s="43">
        <v>11.467701084417339</v>
      </c>
      <c r="M16263" s="43">
        <v>11.5</v>
      </c>
      <c r="N16263" s="43" t="s">
        <v>1690</v>
      </c>
      <c r="O16263" s="43">
        <v>10.187812187812188</v>
      </c>
      <c r="P16263" s="490"/>
      <c r="Q16263" s="490"/>
      <c r="R16263" s="490">
        <v>2</v>
      </c>
    </row>
    <row r="16264" spans="1:18" ht="24">
      <c r="A16264" s="486">
        <v>246</v>
      </c>
      <c r="B16264" s="483" t="s">
        <v>29155</v>
      </c>
      <c r="C16264" s="487" t="s">
        <v>29156</v>
      </c>
      <c r="D16264" s="488">
        <v>108.64</v>
      </c>
      <c r="E16264" s="488">
        <v>106.51</v>
      </c>
      <c r="F16264" s="488"/>
      <c r="G16264" s="488">
        <v>2.13</v>
      </c>
      <c r="H16264" s="489">
        <v>1249.44</v>
      </c>
      <c r="I16264" s="489">
        <v>1224.94</v>
      </c>
      <c r="J16264" s="489"/>
      <c r="K16264" s="489">
        <v>24.5</v>
      </c>
      <c r="L16264" s="43">
        <v>11.500736377025037</v>
      </c>
      <c r="M16264" s="43">
        <v>11.500704159233875</v>
      </c>
      <c r="N16264" s="43" t="s">
        <v>1690</v>
      </c>
      <c r="O16264" s="43">
        <v>11.502347417840376</v>
      </c>
      <c r="P16264" s="490"/>
      <c r="Q16264" s="490"/>
      <c r="R16264" s="490">
        <v>2</v>
      </c>
    </row>
    <row r="16265" spans="1:18" ht="24">
      <c r="A16265" s="486">
        <v>247</v>
      </c>
      <c r="B16265" s="483" t="s">
        <v>29157</v>
      </c>
      <c r="C16265" s="487" t="s">
        <v>29158</v>
      </c>
      <c r="D16265" s="488">
        <v>216.95</v>
      </c>
      <c r="E16265" s="488">
        <v>212.57</v>
      </c>
      <c r="F16265" s="488"/>
      <c r="G16265" s="488">
        <v>4.38</v>
      </c>
      <c r="H16265" s="489">
        <v>2494.5700000000002</v>
      </c>
      <c r="I16265" s="489">
        <v>2444.59</v>
      </c>
      <c r="J16265" s="489"/>
      <c r="K16265" s="489">
        <v>49.98</v>
      </c>
      <c r="L16265" s="43">
        <v>11.498363678266884</v>
      </c>
      <c r="M16265" s="43">
        <v>11.500164651644166</v>
      </c>
      <c r="N16265" s="43" t="s">
        <v>1690</v>
      </c>
      <c r="O16265" s="43">
        <v>11.410958904109588</v>
      </c>
      <c r="P16265" s="490"/>
      <c r="Q16265" s="490"/>
      <c r="R16265" s="490">
        <v>2</v>
      </c>
    </row>
    <row r="16266" spans="1:18" ht="24">
      <c r="A16266" s="486">
        <v>248</v>
      </c>
      <c r="B16266" s="483" t="s">
        <v>29159</v>
      </c>
      <c r="C16266" s="487" t="s">
        <v>29160</v>
      </c>
      <c r="D16266" s="488">
        <v>181.66</v>
      </c>
      <c r="E16266" s="488">
        <v>178.1</v>
      </c>
      <c r="F16266" s="488"/>
      <c r="G16266" s="488">
        <v>3.56</v>
      </c>
      <c r="H16266" s="489">
        <v>2089.11</v>
      </c>
      <c r="I16266" s="489">
        <v>2048.17</v>
      </c>
      <c r="J16266" s="489"/>
      <c r="K16266" s="489">
        <v>40.94</v>
      </c>
      <c r="L16266" s="43">
        <v>11.500110095783333</v>
      </c>
      <c r="M16266" s="43">
        <v>11.500112296462662</v>
      </c>
      <c r="N16266" s="43" t="s">
        <v>1690</v>
      </c>
      <c r="O16266" s="43">
        <v>11.5</v>
      </c>
      <c r="P16266" s="490"/>
      <c r="Q16266" s="490"/>
      <c r="R16266" s="490">
        <v>2</v>
      </c>
    </row>
    <row r="16267" spans="1:18" ht="12.75" customHeight="1">
      <c r="A16267" s="628" t="s">
        <v>29161</v>
      </c>
      <c r="B16267" s="629"/>
      <c r="C16267" s="629"/>
      <c r="D16267" s="629"/>
      <c r="E16267" s="629"/>
      <c r="F16267" s="629"/>
      <c r="G16267" s="629"/>
      <c r="H16267" s="629"/>
      <c r="I16267" s="629"/>
      <c r="J16267" s="629"/>
      <c r="K16267" s="629"/>
      <c r="L16267" s="629"/>
      <c r="M16267" s="629"/>
      <c r="N16267" s="629"/>
      <c r="O16267" s="629"/>
      <c r="P16267" s="629"/>
      <c r="Q16267" s="629"/>
      <c r="R16267" s="629"/>
    </row>
    <row r="16268" spans="1:18" ht="24">
      <c r="A16268" s="486">
        <v>249</v>
      </c>
      <c r="B16268" s="483" t="s">
        <v>29162</v>
      </c>
      <c r="C16268" s="487" t="s">
        <v>29163</v>
      </c>
      <c r="D16268" s="488">
        <v>150.01</v>
      </c>
      <c r="E16268" s="488">
        <v>146.94</v>
      </c>
      <c r="F16268" s="488"/>
      <c r="G16268" s="488">
        <v>3.07</v>
      </c>
      <c r="H16268" s="489">
        <v>1724.78</v>
      </c>
      <c r="I16268" s="489">
        <v>1689.87</v>
      </c>
      <c r="J16268" s="489"/>
      <c r="K16268" s="489">
        <v>34.909999999999997</v>
      </c>
      <c r="L16268" s="43">
        <v>11.497766815545631</v>
      </c>
      <c r="M16268" s="43">
        <v>11.500408329930583</v>
      </c>
      <c r="N16268" s="43" t="s">
        <v>1690</v>
      </c>
      <c r="O16268" s="43">
        <v>11.371335504885993</v>
      </c>
      <c r="P16268" s="490"/>
      <c r="Q16268" s="490"/>
      <c r="R16268" s="490">
        <v>3</v>
      </c>
    </row>
    <row r="16269" spans="1:18" ht="24">
      <c r="A16269" s="486">
        <v>250</v>
      </c>
      <c r="B16269" s="483" t="s">
        <v>29164</v>
      </c>
      <c r="C16269" s="487" t="s">
        <v>29165</v>
      </c>
      <c r="D16269" s="488">
        <v>376.21</v>
      </c>
      <c r="E16269" s="488">
        <v>367.68</v>
      </c>
      <c r="F16269" s="488"/>
      <c r="G16269" s="488">
        <v>8.5299999999999994</v>
      </c>
      <c r="H16269" s="489">
        <v>4319.6499999999996</v>
      </c>
      <c r="I16269" s="489">
        <v>4228.4799999999996</v>
      </c>
      <c r="J16269" s="489"/>
      <c r="K16269" s="489">
        <v>91.17</v>
      </c>
      <c r="L16269" s="43">
        <v>11.482018021849498</v>
      </c>
      <c r="M16269" s="43">
        <v>11.500435161009571</v>
      </c>
      <c r="N16269" s="43" t="s">
        <v>1690</v>
      </c>
      <c r="O16269" s="43">
        <v>10.688159437280188</v>
      </c>
      <c r="P16269" s="490"/>
      <c r="Q16269" s="490"/>
      <c r="R16269" s="490">
        <v>3</v>
      </c>
    </row>
    <row r="16270" spans="1:18" ht="12.75" customHeight="1">
      <c r="A16270" s="628" t="s">
        <v>2739</v>
      </c>
      <c r="B16270" s="629"/>
      <c r="C16270" s="629"/>
      <c r="D16270" s="629"/>
      <c r="E16270" s="629"/>
      <c r="F16270" s="629"/>
      <c r="G16270" s="629"/>
      <c r="H16270" s="629"/>
      <c r="I16270" s="629"/>
      <c r="J16270" s="629"/>
      <c r="K16270" s="629"/>
      <c r="L16270" s="629"/>
      <c r="M16270" s="629"/>
      <c r="N16270" s="629"/>
      <c r="O16270" s="629"/>
      <c r="P16270" s="629"/>
      <c r="Q16270" s="629"/>
      <c r="R16270" s="629"/>
    </row>
    <row r="16271" spans="1:18" ht="24">
      <c r="A16271" s="486">
        <v>251</v>
      </c>
      <c r="B16271" s="483" t="s">
        <v>29166</v>
      </c>
      <c r="C16271" s="487" t="s">
        <v>29167</v>
      </c>
      <c r="D16271" s="488">
        <v>228.71</v>
      </c>
      <c r="E16271" s="488">
        <v>220.3</v>
      </c>
      <c r="F16271" s="488"/>
      <c r="G16271" s="488">
        <v>8.41</v>
      </c>
      <c r="H16271" s="489">
        <v>2613.2800000000002</v>
      </c>
      <c r="I16271" s="489">
        <v>2533.5</v>
      </c>
      <c r="J16271" s="489"/>
      <c r="K16271" s="489">
        <v>79.78</v>
      </c>
      <c r="L16271" s="43">
        <v>11.426172882689869</v>
      </c>
      <c r="M16271" s="43">
        <v>11.500226963231956</v>
      </c>
      <c r="N16271" s="43" t="s">
        <v>1690</v>
      </c>
      <c r="O16271" s="43">
        <v>9.4863258026159336</v>
      </c>
      <c r="P16271" s="490"/>
      <c r="Q16271" s="490"/>
      <c r="R16271" s="490">
        <v>4</v>
      </c>
    </row>
    <row r="16272" spans="1:18" ht="36">
      <c r="A16272" s="486">
        <v>252</v>
      </c>
      <c r="B16272" s="483" t="s">
        <v>29168</v>
      </c>
      <c r="C16272" s="487" t="s">
        <v>29169</v>
      </c>
      <c r="D16272" s="488">
        <v>129.55000000000001</v>
      </c>
      <c r="E16272" s="488">
        <v>127.01</v>
      </c>
      <c r="F16272" s="488"/>
      <c r="G16272" s="488">
        <v>2.54</v>
      </c>
      <c r="H16272" s="489">
        <v>1489.85</v>
      </c>
      <c r="I16272" s="489">
        <v>1460.64</v>
      </c>
      <c r="J16272" s="489"/>
      <c r="K16272" s="489">
        <v>29.21</v>
      </c>
      <c r="L16272" s="43">
        <v>11.500192975685062</v>
      </c>
      <c r="M16272" s="43">
        <v>11.50019683489489</v>
      </c>
      <c r="N16272" s="43" t="s">
        <v>1690</v>
      </c>
      <c r="O16272" s="43">
        <v>11.5</v>
      </c>
      <c r="P16272" s="490"/>
      <c r="Q16272" s="490"/>
      <c r="R16272" s="490">
        <v>4</v>
      </c>
    </row>
    <row r="16273" spans="1:18" ht="24">
      <c r="A16273" s="486">
        <v>253</v>
      </c>
      <c r="B16273" s="483" t="s">
        <v>29170</v>
      </c>
      <c r="C16273" s="487" t="s">
        <v>29171</v>
      </c>
      <c r="D16273" s="488">
        <v>94.13</v>
      </c>
      <c r="E16273" s="488">
        <v>92.28</v>
      </c>
      <c r="F16273" s="488"/>
      <c r="G16273" s="488">
        <v>1.85</v>
      </c>
      <c r="H16273" s="489">
        <v>1082.5</v>
      </c>
      <c r="I16273" s="489">
        <v>1061.22</v>
      </c>
      <c r="J16273" s="489"/>
      <c r="K16273" s="489">
        <v>21.28</v>
      </c>
      <c r="L16273" s="43">
        <v>11.500053118028259</v>
      </c>
      <c r="M16273" s="43">
        <v>11.5</v>
      </c>
      <c r="N16273" s="43" t="s">
        <v>1690</v>
      </c>
      <c r="O16273" s="43">
        <v>11.502702702702702</v>
      </c>
      <c r="P16273" s="490"/>
      <c r="Q16273" s="490"/>
      <c r="R16273" s="490">
        <v>4</v>
      </c>
    </row>
    <row r="16274" spans="1:18" ht="24">
      <c r="A16274" s="486">
        <v>254</v>
      </c>
      <c r="B16274" s="483" t="s">
        <v>29172</v>
      </c>
      <c r="C16274" s="487" t="s">
        <v>29173</v>
      </c>
      <c r="D16274" s="488">
        <v>911.35</v>
      </c>
      <c r="E16274" s="488">
        <v>891.88</v>
      </c>
      <c r="F16274" s="488"/>
      <c r="G16274" s="488">
        <v>19.47</v>
      </c>
      <c r="H16274" s="489">
        <v>10476.129999999999</v>
      </c>
      <c r="I16274" s="489">
        <v>10256.67</v>
      </c>
      <c r="J16274" s="489"/>
      <c r="K16274" s="489">
        <v>219.46</v>
      </c>
      <c r="L16274" s="43">
        <v>11.495177483952377</v>
      </c>
      <c r="M16274" s="43">
        <v>11.500056061353545</v>
      </c>
      <c r="N16274" s="43" t="s">
        <v>1690</v>
      </c>
      <c r="O16274" s="43">
        <v>11.271700051361069</v>
      </c>
      <c r="P16274" s="490"/>
      <c r="Q16274" s="490"/>
      <c r="R16274" s="490">
        <v>4</v>
      </c>
    </row>
    <row r="16275" spans="1:18" ht="24">
      <c r="A16275" s="486">
        <v>255</v>
      </c>
      <c r="B16275" s="483" t="s">
        <v>29174</v>
      </c>
      <c r="C16275" s="487" t="s">
        <v>29175</v>
      </c>
      <c r="D16275" s="488">
        <v>543.89</v>
      </c>
      <c r="E16275" s="488">
        <v>532.49</v>
      </c>
      <c r="F16275" s="488"/>
      <c r="G16275" s="488">
        <v>11.4</v>
      </c>
      <c r="H16275" s="489">
        <v>6252.63</v>
      </c>
      <c r="I16275" s="489">
        <v>6123.59</v>
      </c>
      <c r="J16275" s="489"/>
      <c r="K16275" s="489">
        <v>129.04</v>
      </c>
      <c r="L16275" s="43">
        <v>11.49612973211495</v>
      </c>
      <c r="M16275" s="43">
        <v>11.49991549137073</v>
      </c>
      <c r="N16275" s="43" t="s">
        <v>1690</v>
      </c>
      <c r="O16275" s="43">
        <v>11.319298245614034</v>
      </c>
      <c r="P16275" s="490"/>
      <c r="Q16275" s="490"/>
      <c r="R16275" s="490">
        <v>4</v>
      </c>
    </row>
    <row r="16276" spans="1:18" ht="24">
      <c r="A16276" s="486">
        <v>256</v>
      </c>
      <c r="B16276" s="483" t="s">
        <v>29176</v>
      </c>
      <c r="C16276" s="487" t="s">
        <v>29177</v>
      </c>
      <c r="D16276" s="488">
        <v>107.42</v>
      </c>
      <c r="E16276" s="488">
        <v>105.31</v>
      </c>
      <c r="F16276" s="488"/>
      <c r="G16276" s="488">
        <v>2.11</v>
      </c>
      <c r="H16276" s="489">
        <v>1235.3</v>
      </c>
      <c r="I16276" s="489">
        <v>1211.03</v>
      </c>
      <c r="J16276" s="489"/>
      <c r="K16276" s="489">
        <v>24.27</v>
      </c>
      <c r="L16276" s="43">
        <v>11.499720722398063</v>
      </c>
      <c r="M16276" s="43">
        <v>11.499667647896686</v>
      </c>
      <c r="N16276" s="43" t="s">
        <v>1690</v>
      </c>
      <c r="O16276" s="43">
        <v>11.502369668246446</v>
      </c>
      <c r="P16276" s="490"/>
      <c r="Q16276" s="490"/>
      <c r="R16276" s="490">
        <v>4</v>
      </c>
    </row>
    <row r="16277" spans="1:18" ht="24">
      <c r="A16277" s="486">
        <v>257</v>
      </c>
      <c r="B16277" s="483" t="s">
        <v>29178</v>
      </c>
      <c r="C16277" s="487" t="s">
        <v>29179</v>
      </c>
      <c r="D16277" s="488">
        <v>286.20999999999998</v>
      </c>
      <c r="E16277" s="488">
        <v>280.58999999999997</v>
      </c>
      <c r="F16277" s="488"/>
      <c r="G16277" s="488">
        <v>5.62</v>
      </c>
      <c r="H16277" s="489">
        <v>3291.4</v>
      </c>
      <c r="I16277" s="489">
        <v>3226.81</v>
      </c>
      <c r="J16277" s="489"/>
      <c r="K16277" s="489">
        <v>64.59</v>
      </c>
      <c r="L16277" s="43">
        <v>11.499947590929738</v>
      </c>
      <c r="M16277" s="43">
        <v>11.500089097972131</v>
      </c>
      <c r="N16277" s="43" t="s">
        <v>1690</v>
      </c>
      <c r="O16277" s="43">
        <v>11.503164556962025</v>
      </c>
      <c r="P16277" s="490"/>
      <c r="Q16277" s="490"/>
      <c r="R16277" s="490">
        <v>4</v>
      </c>
    </row>
    <row r="16278" spans="1:18" ht="12.75" customHeight="1">
      <c r="A16278" s="628" t="s">
        <v>29180</v>
      </c>
      <c r="B16278" s="629"/>
      <c r="C16278" s="629"/>
      <c r="D16278" s="629"/>
      <c r="E16278" s="629"/>
      <c r="F16278" s="629"/>
      <c r="G16278" s="629"/>
      <c r="H16278" s="629"/>
      <c r="I16278" s="629"/>
      <c r="J16278" s="629"/>
      <c r="K16278" s="629"/>
      <c r="L16278" s="629"/>
      <c r="M16278" s="629"/>
      <c r="N16278" s="629"/>
      <c r="O16278" s="629"/>
      <c r="P16278" s="629"/>
      <c r="Q16278" s="629"/>
      <c r="R16278" s="629"/>
    </row>
    <row r="16279" spans="1:18" ht="12.75" customHeight="1">
      <c r="A16279" s="628" t="s">
        <v>29181</v>
      </c>
      <c r="B16279" s="629"/>
      <c r="C16279" s="629"/>
      <c r="D16279" s="629"/>
      <c r="E16279" s="629"/>
      <c r="F16279" s="629"/>
      <c r="G16279" s="629"/>
      <c r="H16279" s="629"/>
      <c r="I16279" s="629"/>
      <c r="J16279" s="629"/>
      <c r="K16279" s="629"/>
      <c r="L16279" s="629"/>
      <c r="M16279" s="629"/>
      <c r="N16279" s="629"/>
      <c r="O16279" s="629"/>
      <c r="P16279" s="629"/>
      <c r="Q16279" s="629"/>
      <c r="R16279" s="629"/>
    </row>
    <row r="16280" spans="1:18" ht="24">
      <c r="A16280" s="486">
        <v>258</v>
      </c>
      <c r="B16280" s="483" t="s">
        <v>29182</v>
      </c>
      <c r="C16280" s="487" t="s">
        <v>29183</v>
      </c>
      <c r="D16280" s="488">
        <v>120.88</v>
      </c>
      <c r="E16280" s="488">
        <v>118.35</v>
      </c>
      <c r="F16280" s="488"/>
      <c r="G16280" s="488">
        <v>2.5299999999999998</v>
      </c>
      <c r="H16280" s="489">
        <v>1389.67</v>
      </c>
      <c r="I16280" s="489">
        <v>1361.04</v>
      </c>
      <c r="J16280" s="489"/>
      <c r="K16280" s="489">
        <v>28.63</v>
      </c>
      <c r="L16280" s="43">
        <v>11.496277299801458</v>
      </c>
      <c r="M16280" s="43">
        <v>11.500126742712295</v>
      </c>
      <c r="N16280" s="43" t="s">
        <v>1690</v>
      </c>
      <c r="O16280" s="43">
        <v>11.316205533596838</v>
      </c>
      <c r="P16280" s="490"/>
      <c r="Q16280" s="490"/>
      <c r="R16280" s="490">
        <v>1</v>
      </c>
    </row>
    <row r="16281" spans="1:18" ht="24">
      <c r="A16281" s="486">
        <v>259</v>
      </c>
      <c r="B16281" s="483" t="s">
        <v>29184</v>
      </c>
      <c r="C16281" s="487" t="s">
        <v>29185</v>
      </c>
      <c r="D16281" s="488">
        <v>72.430000000000007</v>
      </c>
      <c r="E16281" s="488">
        <v>71.010000000000005</v>
      </c>
      <c r="F16281" s="488"/>
      <c r="G16281" s="488">
        <v>1.42</v>
      </c>
      <c r="H16281" s="489">
        <v>832.96</v>
      </c>
      <c r="I16281" s="489">
        <v>816.63</v>
      </c>
      <c r="J16281" s="489"/>
      <c r="K16281" s="489">
        <v>16.329999999999998</v>
      </c>
      <c r="L16281" s="43">
        <v>11.500207096506971</v>
      </c>
      <c r="M16281" s="43">
        <v>11.500211237853822</v>
      </c>
      <c r="N16281" s="43" t="s">
        <v>1690</v>
      </c>
      <c r="O16281" s="43">
        <v>11.5</v>
      </c>
      <c r="P16281" s="490"/>
      <c r="Q16281" s="490"/>
      <c r="R16281" s="490">
        <v>1</v>
      </c>
    </row>
    <row r="16282" spans="1:18" ht="24">
      <c r="A16282" s="486">
        <v>260</v>
      </c>
      <c r="B16282" s="483" t="s">
        <v>29186</v>
      </c>
      <c r="C16282" s="487" t="s">
        <v>29187</v>
      </c>
      <c r="D16282" s="488">
        <v>96.57</v>
      </c>
      <c r="E16282" s="488">
        <v>94.68</v>
      </c>
      <c r="F16282" s="488"/>
      <c r="G16282" s="488">
        <v>1.89</v>
      </c>
      <c r="H16282" s="489">
        <v>1110.57</v>
      </c>
      <c r="I16282" s="489">
        <v>1088.83</v>
      </c>
      <c r="J16282" s="489"/>
      <c r="K16282" s="489">
        <v>21.74</v>
      </c>
      <c r="L16282" s="43">
        <v>11.500155327741535</v>
      </c>
      <c r="M16282" s="43">
        <v>11.500105618926909</v>
      </c>
      <c r="N16282" s="43" t="s">
        <v>1690</v>
      </c>
      <c r="O16282" s="43">
        <v>11.502645502645503</v>
      </c>
      <c r="P16282" s="490"/>
      <c r="Q16282" s="490"/>
      <c r="R16282" s="490">
        <v>1</v>
      </c>
    </row>
    <row r="16283" spans="1:18" ht="24">
      <c r="A16283" s="486">
        <v>261</v>
      </c>
      <c r="B16283" s="483" t="s">
        <v>29188</v>
      </c>
      <c r="C16283" s="487" t="s">
        <v>29189</v>
      </c>
      <c r="D16283" s="488">
        <v>206.15</v>
      </c>
      <c r="E16283" s="488">
        <v>201.08</v>
      </c>
      <c r="F16283" s="488"/>
      <c r="G16283" s="488">
        <v>5.07</v>
      </c>
      <c r="H16283" s="489">
        <v>2367.86</v>
      </c>
      <c r="I16283" s="489">
        <v>2312.4499999999998</v>
      </c>
      <c r="J16283" s="489"/>
      <c r="K16283" s="489">
        <v>55.41</v>
      </c>
      <c r="L16283" s="43">
        <v>11.486102352655834</v>
      </c>
      <c r="M16283" s="43">
        <v>11.500149194350506</v>
      </c>
      <c r="N16283" s="43" t="s">
        <v>1690</v>
      </c>
      <c r="O16283" s="43">
        <v>10.928994082840235</v>
      </c>
      <c r="P16283" s="490"/>
      <c r="Q16283" s="490"/>
      <c r="R16283" s="490">
        <v>1</v>
      </c>
    </row>
    <row r="16284" spans="1:18" ht="12.75" customHeight="1">
      <c r="A16284" s="628" t="s">
        <v>29190</v>
      </c>
      <c r="B16284" s="629"/>
      <c r="C16284" s="629"/>
      <c r="D16284" s="629"/>
      <c r="E16284" s="629"/>
      <c r="F16284" s="629"/>
      <c r="G16284" s="629"/>
      <c r="H16284" s="629"/>
      <c r="I16284" s="629"/>
      <c r="J16284" s="629"/>
      <c r="K16284" s="629"/>
      <c r="L16284" s="629"/>
      <c r="M16284" s="629"/>
      <c r="N16284" s="629"/>
      <c r="O16284" s="629"/>
      <c r="P16284" s="629"/>
      <c r="Q16284" s="629"/>
      <c r="R16284" s="629"/>
    </row>
    <row r="16285" spans="1:18" ht="24">
      <c r="A16285" s="486">
        <v>262</v>
      </c>
      <c r="B16285" s="483" t="s">
        <v>29191</v>
      </c>
      <c r="C16285" s="487" t="s">
        <v>29192</v>
      </c>
      <c r="D16285" s="488">
        <v>145.34</v>
      </c>
      <c r="E16285" s="488">
        <v>142.47999999999999</v>
      </c>
      <c r="F16285" s="488"/>
      <c r="G16285" s="488">
        <v>2.86</v>
      </c>
      <c r="H16285" s="489">
        <v>1671.38</v>
      </c>
      <c r="I16285" s="489">
        <v>1638.54</v>
      </c>
      <c r="J16285" s="489"/>
      <c r="K16285" s="489">
        <v>32.840000000000003</v>
      </c>
      <c r="L16285" s="43">
        <v>11.499793587450117</v>
      </c>
      <c r="M16285" s="43">
        <v>11.500140370578327</v>
      </c>
      <c r="N16285" s="43" t="s">
        <v>1690</v>
      </c>
      <c r="O16285" s="43">
        <v>11.503164556962025</v>
      </c>
      <c r="P16285" s="490"/>
      <c r="Q16285" s="490"/>
      <c r="R16285" s="490">
        <v>2</v>
      </c>
    </row>
    <row r="16286" spans="1:18" ht="24">
      <c r="A16286" s="486">
        <v>263</v>
      </c>
      <c r="B16286" s="483" t="s">
        <v>29193</v>
      </c>
      <c r="C16286" s="487" t="s">
        <v>29194</v>
      </c>
      <c r="D16286" s="488">
        <v>132.44999999999999</v>
      </c>
      <c r="E16286" s="488">
        <v>129.84</v>
      </c>
      <c r="F16286" s="488"/>
      <c r="G16286" s="488">
        <v>2.61</v>
      </c>
      <c r="H16286" s="489">
        <v>1523.17</v>
      </c>
      <c r="I16286" s="489">
        <v>1493.18</v>
      </c>
      <c r="J16286" s="489"/>
      <c r="K16286" s="489">
        <v>29.99</v>
      </c>
      <c r="L16286" s="43">
        <v>11.499962249905627</v>
      </c>
      <c r="M16286" s="43">
        <v>11.500154035736291</v>
      </c>
      <c r="N16286" s="43" t="s">
        <v>1690</v>
      </c>
      <c r="O16286" s="43">
        <v>11.503164556962025</v>
      </c>
      <c r="P16286" s="490"/>
      <c r="Q16286" s="490"/>
      <c r="R16286" s="490">
        <v>2</v>
      </c>
    </row>
    <row r="16287" spans="1:18" ht="24">
      <c r="A16287" s="486">
        <v>264</v>
      </c>
      <c r="B16287" s="483" t="s">
        <v>29195</v>
      </c>
      <c r="C16287" s="487" t="s">
        <v>29196</v>
      </c>
      <c r="D16287" s="488">
        <v>302.39</v>
      </c>
      <c r="E16287" s="488">
        <v>296.44</v>
      </c>
      <c r="F16287" s="488"/>
      <c r="G16287" s="488">
        <v>5.95</v>
      </c>
      <c r="H16287" s="489">
        <v>3477.59</v>
      </c>
      <c r="I16287" s="489">
        <v>3409.21</v>
      </c>
      <c r="J16287" s="489"/>
      <c r="K16287" s="489">
        <v>68.38</v>
      </c>
      <c r="L16287" s="43">
        <v>11.500347233704819</v>
      </c>
      <c r="M16287" s="43">
        <v>11.500506004587775</v>
      </c>
      <c r="N16287" s="43" t="s">
        <v>1690</v>
      </c>
      <c r="O16287" s="43">
        <v>11.503164556962025</v>
      </c>
      <c r="P16287" s="490"/>
      <c r="Q16287" s="490"/>
      <c r="R16287" s="490">
        <v>2</v>
      </c>
    </row>
    <row r="16288" spans="1:18" ht="24">
      <c r="A16288" s="486">
        <v>265</v>
      </c>
      <c r="B16288" s="483" t="s">
        <v>29197</v>
      </c>
      <c r="C16288" s="487" t="s">
        <v>29198</v>
      </c>
      <c r="D16288" s="488">
        <v>410.21</v>
      </c>
      <c r="E16288" s="488">
        <v>402.15</v>
      </c>
      <c r="F16288" s="488"/>
      <c r="G16288" s="488">
        <v>8.06</v>
      </c>
      <c r="H16288" s="489">
        <v>4717.57</v>
      </c>
      <c r="I16288" s="489">
        <v>4624.8999999999996</v>
      </c>
      <c r="J16288" s="489"/>
      <c r="K16288" s="489">
        <v>92.67</v>
      </c>
      <c r="L16288" s="43">
        <v>11.500377855244874</v>
      </c>
      <c r="M16288" s="43">
        <v>11.500435161009573</v>
      </c>
      <c r="N16288" s="43" t="s">
        <v>1690</v>
      </c>
      <c r="O16288" s="43">
        <v>11.497518610421835</v>
      </c>
      <c r="P16288" s="490"/>
      <c r="Q16288" s="490"/>
      <c r="R16288" s="490">
        <v>2</v>
      </c>
    </row>
    <row r="16289" spans="1:18" ht="24">
      <c r="A16289" s="486">
        <v>266</v>
      </c>
      <c r="B16289" s="483" t="s">
        <v>29199</v>
      </c>
      <c r="C16289" s="487" t="s">
        <v>29200</v>
      </c>
      <c r="D16289" s="488">
        <v>494.61</v>
      </c>
      <c r="E16289" s="488">
        <v>484.88</v>
      </c>
      <c r="F16289" s="488"/>
      <c r="G16289" s="488">
        <v>9.73</v>
      </c>
      <c r="H16289" s="489">
        <v>5688.13</v>
      </c>
      <c r="I16289" s="489">
        <v>5576.31</v>
      </c>
      <c r="J16289" s="489"/>
      <c r="K16289" s="489">
        <v>111.82</v>
      </c>
      <c r="L16289" s="43">
        <v>11.500232506419199</v>
      </c>
      <c r="M16289" s="43">
        <v>11.500391849529782</v>
      </c>
      <c r="N16289" s="43" t="s">
        <v>1690</v>
      </c>
      <c r="O16289" s="43">
        <v>11.503164556962025</v>
      </c>
      <c r="P16289" s="490"/>
      <c r="Q16289" s="490"/>
      <c r="R16289" s="490">
        <v>2</v>
      </c>
    </row>
    <row r="16290" spans="1:18" ht="24">
      <c r="A16290" s="486">
        <v>267</v>
      </c>
      <c r="B16290" s="483" t="s">
        <v>29201</v>
      </c>
      <c r="C16290" s="487" t="s">
        <v>29202</v>
      </c>
      <c r="D16290" s="488">
        <v>96.6</v>
      </c>
      <c r="E16290" s="488">
        <v>94.68</v>
      </c>
      <c r="F16290" s="488"/>
      <c r="G16290" s="488">
        <v>1.92</v>
      </c>
      <c r="H16290" s="489">
        <v>1110.81</v>
      </c>
      <c r="I16290" s="489">
        <v>1088.83</v>
      </c>
      <c r="J16290" s="489"/>
      <c r="K16290" s="489">
        <v>21.98</v>
      </c>
      <c r="L16290" s="43">
        <v>11.499068322981367</v>
      </c>
      <c r="M16290" s="43">
        <v>11.500105618926909</v>
      </c>
      <c r="N16290" s="43" t="s">
        <v>1690</v>
      </c>
      <c r="O16290" s="43">
        <v>11.447916666666668</v>
      </c>
      <c r="P16290" s="490"/>
      <c r="Q16290" s="490"/>
      <c r="R16290" s="490">
        <v>2</v>
      </c>
    </row>
    <row r="16291" spans="1:18" ht="24">
      <c r="A16291" s="486">
        <v>268</v>
      </c>
      <c r="B16291" s="483" t="s">
        <v>29203</v>
      </c>
      <c r="C16291" s="487" t="s">
        <v>29204</v>
      </c>
      <c r="D16291" s="488">
        <v>132.44999999999999</v>
      </c>
      <c r="E16291" s="488">
        <v>129.84</v>
      </c>
      <c r="F16291" s="488"/>
      <c r="G16291" s="488">
        <v>2.61</v>
      </c>
      <c r="H16291" s="489">
        <v>1523.14</v>
      </c>
      <c r="I16291" s="489">
        <v>1493.18</v>
      </c>
      <c r="J16291" s="489"/>
      <c r="K16291" s="489">
        <v>29.96</v>
      </c>
      <c r="L16291" s="43">
        <v>11.499735749339376</v>
      </c>
      <c r="M16291" s="43">
        <v>11.500154035736291</v>
      </c>
      <c r="N16291" s="43" t="s">
        <v>1690</v>
      </c>
      <c r="O16291" s="43">
        <v>11.478927203065135</v>
      </c>
      <c r="P16291" s="490"/>
      <c r="Q16291" s="490"/>
      <c r="R16291" s="490">
        <v>2</v>
      </c>
    </row>
    <row r="16292" spans="1:18" ht="24">
      <c r="A16292" s="486">
        <v>269</v>
      </c>
      <c r="B16292" s="483" t="s">
        <v>29205</v>
      </c>
      <c r="C16292" s="487" t="s">
        <v>29206</v>
      </c>
      <c r="D16292" s="488">
        <v>108.64</v>
      </c>
      <c r="E16292" s="488">
        <v>106.51</v>
      </c>
      <c r="F16292" s="488"/>
      <c r="G16292" s="488">
        <v>2.13</v>
      </c>
      <c r="H16292" s="489">
        <v>1249.44</v>
      </c>
      <c r="I16292" s="489">
        <v>1224.94</v>
      </c>
      <c r="J16292" s="489"/>
      <c r="K16292" s="489">
        <v>24.5</v>
      </c>
      <c r="L16292" s="43">
        <v>11.500736377025037</v>
      </c>
      <c r="M16292" s="43">
        <v>11.500704159233875</v>
      </c>
      <c r="N16292" s="43" t="s">
        <v>1690</v>
      </c>
      <c r="O16292" s="43">
        <v>11.502347417840376</v>
      </c>
      <c r="P16292" s="490"/>
      <c r="Q16292" s="490"/>
      <c r="R16292" s="490">
        <v>2</v>
      </c>
    </row>
    <row r="16293" spans="1:18" ht="24">
      <c r="A16293" s="486">
        <v>270</v>
      </c>
      <c r="B16293" s="483" t="s">
        <v>29207</v>
      </c>
      <c r="C16293" s="487" t="s">
        <v>29208</v>
      </c>
      <c r="D16293" s="488">
        <v>120.72</v>
      </c>
      <c r="E16293" s="488">
        <v>118.35</v>
      </c>
      <c r="F16293" s="488"/>
      <c r="G16293" s="488">
        <v>2.37</v>
      </c>
      <c r="H16293" s="489">
        <v>1388.3</v>
      </c>
      <c r="I16293" s="489">
        <v>1361.04</v>
      </c>
      <c r="J16293" s="489"/>
      <c r="K16293" s="489">
        <v>27.26</v>
      </c>
      <c r="L16293" s="43">
        <v>11.500165672630882</v>
      </c>
      <c r="M16293" s="43">
        <v>11.500126742712295</v>
      </c>
      <c r="N16293" s="43" t="s">
        <v>1690</v>
      </c>
      <c r="O16293" s="43">
        <v>11.502109704641351</v>
      </c>
      <c r="P16293" s="490"/>
      <c r="Q16293" s="490"/>
      <c r="R16293" s="490">
        <v>2</v>
      </c>
    </row>
    <row r="16294" spans="1:18" ht="24">
      <c r="A16294" s="486">
        <v>271</v>
      </c>
      <c r="B16294" s="483" t="s">
        <v>29209</v>
      </c>
      <c r="C16294" s="487" t="s">
        <v>29210</v>
      </c>
      <c r="D16294" s="488">
        <v>216.82</v>
      </c>
      <c r="E16294" s="488">
        <v>212.57</v>
      </c>
      <c r="F16294" s="488"/>
      <c r="G16294" s="488">
        <v>4.25</v>
      </c>
      <c r="H16294" s="489">
        <v>2493.4699999999998</v>
      </c>
      <c r="I16294" s="489">
        <v>2444.59</v>
      </c>
      <c r="J16294" s="489"/>
      <c r="K16294" s="489">
        <v>48.88</v>
      </c>
      <c r="L16294" s="43">
        <v>11.500184484826123</v>
      </c>
      <c r="M16294" s="43">
        <v>11.500164651644166</v>
      </c>
      <c r="N16294" s="43" t="s">
        <v>1690</v>
      </c>
      <c r="O16294" s="43">
        <v>11.501176470588236</v>
      </c>
      <c r="P16294" s="490"/>
      <c r="Q16294" s="490"/>
      <c r="R16294" s="490">
        <v>2</v>
      </c>
    </row>
    <row r="16295" spans="1:18" ht="24">
      <c r="A16295" s="486">
        <v>272</v>
      </c>
      <c r="B16295" s="483" t="s">
        <v>29211</v>
      </c>
      <c r="C16295" s="487" t="s">
        <v>29212</v>
      </c>
      <c r="D16295" s="488">
        <v>168.77</v>
      </c>
      <c r="E16295" s="488">
        <v>165.46</v>
      </c>
      <c r="F16295" s="488"/>
      <c r="G16295" s="488">
        <v>3.31</v>
      </c>
      <c r="H16295" s="489">
        <v>1940.89</v>
      </c>
      <c r="I16295" s="489">
        <v>1902.82</v>
      </c>
      <c r="J16295" s="489"/>
      <c r="K16295" s="489">
        <v>38.07</v>
      </c>
      <c r="L16295" s="43">
        <v>11.500207382828702</v>
      </c>
      <c r="M16295" s="43">
        <v>11.500181312703976</v>
      </c>
      <c r="N16295" s="43" t="s">
        <v>1690</v>
      </c>
      <c r="O16295" s="43">
        <v>11.501510574018127</v>
      </c>
      <c r="P16295" s="490"/>
      <c r="Q16295" s="490"/>
      <c r="R16295" s="490">
        <v>2</v>
      </c>
    </row>
    <row r="16296" spans="1:18" ht="24">
      <c r="A16296" s="486">
        <v>273</v>
      </c>
      <c r="B16296" s="483" t="s">
        <v>29213</v>
      </c>
      <c r="C16296" s="487" t="s">
        <v>29214</v>
      </c>
      <c r="D16296" s="488">
        <v>289.88</v>
      </c>
      <c r="E16296" s="488">
        <v>283.8</v>
      </c>
      <c r="F16296" s="488"/>
      <c r="G16296" s="488">
        <v>6.08</v>
      </c>
      <c r="H16296" s="489">
        <v>3332.73</v>
      </c>
      <c r="I16296" s="489">
        <v>3263.86</v>
      </c>
      <c r="J16296" s="489"/>
      <c r="K16296" s="489">
        <v>68.87</v>
      </c>
      <c r="L16296" s="43">
        <v>11.496929764040292</v>
      </c>
      <c r="M16296" s="43">
        <v>11.500563777307963</v>
      </c>
      <c r="N16296" s="43" t="s">
        <v>1690</v>
      </c>
      <c r="O16296" s="43">
        <v>11.327302631578949</v>
      </c>
      <c r="P16296" s="490"/>
      <c r="Q16296" s="490"/>
      <c r="R16296" s="490">
        <v>2</v>
      </c>
    </row>
    <row r="16297" spans="1:18" ht="12.75" customHeight="1">
      <c r="A16297" s="628" t="s">
        <v>29215</v>
      </c>
      <c r="B16297" s="629"/>
      <c r="C16297" s="629"/>
      <c r="D16297" s="629"/>
      <c r="E16297" s="629"/>
      <c r="F16297" s="629"/>
      <c r="G16297" s="629"/>
      <c r="H16297" s="629"/>
      <c r="I16297" s="629"/>
      <c r="J16297" s="629"/>
      <c r="K16297" s="629"/>
      <c r="L16297" s="629"/>
      <c r="M16297" s="629"/>
      <c r="N16297" s="629"/>
      <c r="O16297" s="629"/>
      <c r="P16297" s="629"/>
      <c r="Q16297" s="629"/>
      <c r="R16297" s="629"/>
    </row>
    <row r="16298" spans="1:18" ht="24">
      <c r="A16298" s="486">
        <v>274</v>
      </c>
      <c r="B16298" s="483" t="s">
        <v>29216</v>
      </c>
      <c r="C16298" s="487" t="s">
        <v>29217</v>
      </c>
      <c r="D16298" s="488">
        <v>155.59</v>
      </c>
      <c r="E16298" s="488">
        <v>149.72999999999999</v>
      </c>
      <c r="F16298" s="488"/>
      <c r="G16298" s="488">
        <v>5.86</v>
      </c>
      <c r="H16298" s="489">
        <v>1775.45</v>
      </c>
      <c r="I16298" s="489">
        <v>1721.89</v>
      </c>
      <c r="J16298" s="489"/>
      <c r="K16298" s="489">
        <v>53.56</v>
      </c>
      <c r="L16298" s="43">
        <v>11.411080403624911</v>
      </c>
      <c r="M16298" s="43">
        <v>11.499966606558473</v>
      </c>
      <c r="N16298" s="43" t="s">
        <v>1690</v>
      </c>
      <c r="O16298" s="43">
        <v>9.139931740614335</v>
      </c>
      <c r="P16298" s="490"/>
      <c r="Q16298" s="490"/>
      <c r="R16298" s="490">
        <v>3</v>
      </c>
    </row>
    <row r="16299" spans="1:18" ht="24">
      <c r="A16299" s="486">
        <v>275</v>
      </c>
      <c r="B16299" s="483" t="s">
        <v>29218</v>
      </c>
      <c r="C16299" s="487" t="s">
        <v>29219</v>
      </c>
      <c r="D16299" s="488">
        <v>177.62</v>
      </c>
      <c r="E16299" s="488">
        <v>152.22</v>
      </c>
      <c r="F16299" s="488"/>
      <c r="G16299" s="488">
        <v>25.4</v>
      </c>
      <c r="H16299" s="489">
        <v>1907.02</v>
      </c>
      <c r="I16299" s="489">
        <v>1750.58</v>
      </c>
      <c r="J16299" s="489"/>
      <c r="K16299" s="489">
        <v>156.44</v>
      </c>
      <c r="L16299" s="43">
        <v>10.736516158090305</v>
      </c>
      <c r="M16299" s="43">
        <v>11.500328471948496</v>
      </c>
      <c r="N16299" s="43" t="s">
        <v>1690</v>
      </c>
      <c r="O16299" s="43">
        <v>6.1590551181102366</v>
      </c>
      <c r="P16299" s="490"/>
      <c r="Q16299" s="490"/>
      <c r="R16299" s="490">
        <v>3</v>
      </c>
    </row>
    <row r="16300" spans="1:18" ht="24">
      <c r="A16300" s="486">
        <v>276</v>
      </c>
      <c r="B16300" s="483" t="s">
        <v>29220</v>
      </c>
      <c r="C16300" s="487" t="s">
        <v>29221</v>
      </c>
      <c r="D16300" s="488">
        <v>131.37</v>
      </c>
      <c r="E16300" s="488">
        <v>128.37</v>
      </c>
      <c r="F16300" s="488"/>
      <c r="G16300" s="488">
        <v>3</v>
      </c>
      <c r="H16300" s="489">
        <v>1509.54</v>
      </c>
      <c r="I16300" s="489">
        <v>1476.23</v>
      </c>
      <c r="J16300" s="489"/>
      <c r="K16300" s="489">
        <v>33.31</v>
      </c>
      <c r="L16300" s="43">
        <v>11.490751313085179</v>
      </c>
      <c r="M16300" s="43">
        <v>11.499805250447924</v>
      </c>
      <c r="N16300" s="43" t="s">
        <v>1690</v>
      </c>
      <c r="O16300" s="43">
        <v>11.103333333333333</v>
      </c>
      <c r="P16300" s="490"/>
      <c r="Q16300" s="490"/>
      <c r="R16300" s="490">
        <v>3</v>
      </c>
    </row>
    <row r="16301" spans="1:18" ht="36">
      <c r="A16301" s="486">
        <v>277</v>
      </c>
      <c r="B16301" s="483" t="s">
        <v>29222</v>
      </c>
      <c r="C16301" s="487" t="s">
        <v>29223</v>
      </c>
      <c r="D16301" s="488">
        <v>155.6</v>
      </c>
      <c r="E16301" s="488">
        <v>152.22</v>
      </c>
      <c r="F16301" s="488"/>
      <c r="G16301" s="488">
        <v>3.38</v>
      </c>
      <c r="H16301" s="489">
        <v>1788.55</v>
      </c>
      <c r="I16301" s="489">
        <v>1750.58</v>
      </c>
      <c r="J16301" s="489"/>
      <c r="K16301" s="489">
        <v>37.97</v>
      </c>
      <c r="L16301" s="43">
        <v>11.494537275064268</v>
      </c>
      <c r="M16301" s="43">
        <v>11.500328471948496</v>
      </c>
      <c r="N16301" s="43" t="s">
        <v>1690</v>
      </c>
      <c r="O16301" s="43">
        <v>11.233727810650887</v>
      </c>
      <c r="P16301" s="490"/>
      <c r="Q16301" s="490"/>
      <c r="R16301" s="490">
        <v>3</v>
      </c>
    </row>
    <row r="16302" spans="1:18" ht="24">
      <c r="A16302" s="486">
        <v>278</v>
      </c>
      <c r="B16302" s="483" t="s">
        <v>29224</v>
      </c>
      <c r="C16302" s="487" t="s">
        <v>29225</v>
      </c>
      <c r="D16302" s="488">
        <v>150.24</v>
      </c>
      <c r="E16302" s="488">
        <v>140.86000000000001</v>
      </c>
      <c r="F16302" s="488"/>
      <c r="G16302" s="488">
        <v>9.3800000000000008</v>
      </c>
      <c r="H16302" s="489">
        <v>1691.98</v>
      </c>
      <c r="I16302" s="489">
        <v>1619.94</v>
      </c>
      <c r="J16302" s="489"/>
      <c r="K16302" s="489">
        <v>72.040000000000006</v>
      </c>
      <c r="L16302" s="43">
        <v>11.261847710330137</v>
      </c>
      <c r="M16302" s="43">
        <v>11.500354962373988</v>
      </c>
      <c r="N16302" s="43" t="s">
        <v>1690</v>
      </c>
      <c r="O16302" s="43">
        <v>7.6801705756929639</v>
      </c>
      <c r="P16302" s="490"/>
      <c r="Q16302" s="490"/>
      <c r="R16302" s="490">
        <v>3</v>
      </c>
    </row>
    <row r="16303" spans="1:18" ht="12.75" customHeight="1">
      <c r="A16303" s="628" t="s">
        <v>19513</v>
      </c>
      <c r="B16303" s="629"/>
      <c r="C16303" s="629"/>
      <c r="D16303" s="629"/>
      <c r="E16303" s="629"/>
      <c r="F16303" s="629"/>
      <c r="G16303" s="629"/>
      <c r="H16303" s="629"/>
      <c r="I16303" s="629"/>
      <c r="J16303" s="629"/>
      <c r="K16303" s="629"/>
      <c r="L16303" s="629"/>
      <c r="M16303" s="629"/>
      <c r="N16303" s="629"/>
      <c r="O16303" s="629"/>
      <c r="P16303" s="629"/>
      <c r="Q16303" s="629"/>
      <c r="R16303" s="629"/>
    </row>
    <row r="16304" spans="1:18" ht="24">
      <c r="A16304" s="486">
        <v>279</v>
      </c>
      <c r="B16304" s="483" t="s">
        <v>29226</v>
      </c>
      <c r="C16304" s="487" t="s">
        <v>29227</v>
      </c>
      <c r="D16304" s="488">
        <v>119.41</v>
      </c>
      <c r="E16304" s="488">
        <v>117.01</v>
      </c>
      <c r="F16304" s="488"/>
      <c r="G16304" s="488">
        <v>2.4</v>
      </c>
      <c r="H16304" s="489">
        <v>1373.04</v>
      </c>
      <c r="I16304" s="489">
        <v>1345.59</v>
      </c>
      <c r="J16304" s="489"/>
      <c r="K16304" s="489">
        <v>27.45</v>
      </c>
      <c r="L16304" s="43">
        <v>11.498534461100411</v>
      </c>
      <c r="M16304" s="43">
        <v>11.499786343047601</v>
      </c>
      <c r="N16304" s="43" t="s">
        <v>1690</v>
      </c>
      <c r="O16304" s="43">
        <v>11.4375</v>
      </c>
      <c r="P16304" s="490"/>
      <c r="Q16304" s="490"/>
      <c r="R16304" s="490">
        <v>4</v>
      </c>
    </row>
    <row r="16305" spans="1:18" ht="24">
      <c r="A16305" s="486">
        <v>280</v>
      </c>
      <c r="B16305" s="483" t="s">
        <v>29228</v>
      </c>
      <c r="C16305" s="487" t="s">
        <v>29229</v>
      </c>
      <c r="D16305" s="488">
        <v>167.38</v>
      </c>
      <c r="E16305" s="488">
        <v>163.58000000000001</v>
      </c>
      <c r="F16305" s="488"/>
      <c r="G16305" s="488">
        <v>3.8</v>
      </c>
      <c r="H16305" s="489">
        <v>1923.45</v>
      </c>
      <c r="I16305" s="489">
        <v>1881.22</v>
      </c>
      <c r="J16305" s="489"/>
      <c r="K16305" s="489">
        <v>42.23</v>
      </c>
      <c r="L16305" s="43">
        <v>11.491516310192377</v>
      </c>
      <c r="M16305" s="43">
        <v>11.500305660838732</v>
      </c>
      <c r="N16305" s="43" t="s">
        <v>1690</v>
      </c>
      <c r="O16305" s="43">
        <v>11.113157894736842</v>
      </c>
      <c r="P16305" s="490"/>
      <c r="Q16305" s="490"/>
      <c r="R16305" s="490">
        <v>4</v>
      </c>
    </row>
    <row r="16306" spans="1:18" ht="24">
      <c r="A16306" s="486">
        <v>281</v>
      </c>
      <c r="B16306" s="483" t="s">
        <v>29230</v>
      </c>
      <c r="C16306" s="487" t="s">
        <v>29231</v>
      </c>
      <c r="D16306" s="488">
        <v>502.99</v>
      </c>
      <c r="E16306" s="488">
        <v>491.89</v>
      </c>
      <c r="F16306" s="488"/>
      <c r="G16306" s="488">
        <v>11.1</v>
      </c>
      <c r="H16306" s="489">
        <v>5780.9</v>
      </c>
      <c r="I16306" s="489">
        <v>5656.71</v>
      </c>
      <c r="J16306" s="489"/>
      <c r="K16306" s="489">
        <v>124.19</v>
      </c>
      <c r="L16306" s="43">
        <v>11.493071432831666</v>
      </c>
      <c r="M16306" s="43">
        <v>11.499949175628698</v>
      </c>
      <c r="N16306" s="43" t="s">
        <v>1690</v>
      </c>
      <c r="O16306" s="43">
        <v>11.188288288288289</v>
      </c>
      <c r="P16306" s="490"/>
      <c r="Q16306" s="490"/>
      <c r="R16306" s="490">
        <v>4</v>
      </c>
    </row>
    <row r="16307" spans="1:18" ht="24">
      <c r="A16307" s="486">
        <v>282</v>
      </c>
      <c r="B16307" s="483" t="s">
        <v>29232</v>
      </c>
      <c r="C16307" s="487" t="s">
        <v>29233</v>
      </c>
      <c r="D16307" s="488">
        <v>383.52</v>
      </c>
      <c r="E16307" s="488">
        <v>374.88</v>
      </c>
      <c r="F16307" s="488"/>
      <c r="G16307" s="488">
        <v>8.64</v>
      </c>
      <c r="H16307" s="489">
        <v>4407.32</v>
      </c>
      <c r="I16307" s="489">
        <v>4311.12</v>
      </c>
      <c r="J16307" s="489"/>
      <c r="K16307" s="489">
        <v>96.2</v>
      </c>
      <c r="L16307" s="43">
        <v>11.491760534000834</v>
      </c>
      <c r="M16307" s="43">
        <v>11.5</v>
      </c>
      <c r="N16307" s="43" t="s">
        <v>1690</v>
      </c>
      <c r="O16307" s="43">
        <v>11.13425925925926</v>
      </c>
      <c r="P16307" s="490"/>
      <c r="Q16307" s="490"/>
      <c r="R16307" s="490">
        <v>4</v>
      </c>
    </row>
    <row r="16308" spans="1:18" ht="12.75" customHeight="1">
      <c r="A16308" s="628" t="s">
        <v>29234</v>
      </c>
      <c r="B16308" s="629"/>
      <c r="C16308" s="629"/>
      <c r="D16308" s="629"/>
      <c r="E16308" s="629"/>
      <c r="F16308" s="629"/>
      <c r="G16308" s="629"/>
      <c r="H16308" s="629"/>
      <c r="I16308" s="629"/>
      <c r="J16308" s="629"/>
      <c r="K16308" s="629"/>
      <c r="L16308" s="629"/>
      <c r="M16308" s="629"/>
      <c r="N16308" s="629"/>
      <c r="O16308" s="629"/>
      <c r="P16308" s="629"/>
      <c r="Q16308" s="629"/>
      <c r="R16308" s="629"/>
    </row>
    <row r="16309" spans="1:18" ht="24">
      <c r="A16309" s="486">
        <v>283</v>
      </c>
      <c r="B16309" s="483" t="s">
        <v>29235</v>
      </c>
      <c r="C16309" s="487" t="s">
        <v>29236</v>
      </c>
      <c r="D16309" s="488">
        <v>266.7</v>
      </c>
      <c r="E16309" s="488">
        <v>259.99</v>
      </c>
      <c r="F16309" s="488"/>
      <c r="G16309" s="488">
        <v>6.71</v>
      </c>
      <c r="H16309" s="489">
        <v>3063.05</v>
      </c>
      <c r="I16309" s="489">
        <v>2989.99</v>
      </c>
      <c r="J16309" s="489"/>
      <c r="K16309" s="489">
        <v>73.06</v>
      </c>
      <c r="L16309" s="43">
        <v>11.485001874765656</v>
      </c>
      <c r="M16309" s="43">
        <v>11.500403861686987</v>
      </c>
      <c r="N16309" s="43" t="s">
        <v>1690</v>
      </c>
      <c r="O16309" s="43">
        <v>10.88822652757079</v>
      </c>
      <c r="P16309" s="490"/>
      <c r="Q16309" s="490"/>
      <c r="R16309" s="490">
        <v>5</v>
      </c>
    </row>
    <row r="16310" spans="1:18" ht="24">
      <c r="A16310" s="486">
        <v>284</v>
      </c>
      <c r="B16310" s="483" t="s">
        <v>29237</v>
      </c>
      <c r="C16310" s="487" t="s">
        <v>29238</v>
      </c>
      <c r="D16310" s="488">
        <v>326.82</v>
      </c>
      <c r="E16310" s="488">
        <v>315.94</v>
      </c>
      <c r="F16310" s="488"/>
      <c r="G16310" s="488">
        <v>10.88</v>
      </c>
      <c r="H16310" s="489">
        <v>3746.02</v>
      </c>
      <c r="I16310" s="489">
        <v>3633.41</v>
      </c>
      <c r="J16310" s="489"/>
      <c r="K16310" s="489">
        <v>112.61</v>
      </c>
      <c r="L16310" s="43">
        <v>11.462028027660486</v>
      </c>
      <c r="M16310" s="43">
        <v>11.500316515794138</v>
      </c>
      <c r="N16310" s="43" t="s">
        <v>1690</v>
      </c>
      <c r="O16310" s="43">
        <v>10.350183823529411</v>
      </c>
      <c r="P16310" s="490"/>
      <c r="Q16310" s="490"/>
      <c r="R16310" s="490">
        <v>5</v>
      </c>
    </row>
    <row r="16311" spans="1:18" ht="12.75" customHeight="1">
      <c r="A16311" s="628" t="s">
        <v>2739</v>
      </c>
      <c r="B16311" s="629"/>
      <c r="C16311" s="629"/>
      <c r="D16311" s="629"/>
      <c r="E16311" s="629"/>
      <c r="F16311" s="629"/>
      <c r="G16311" s="629"/>
      <c r="H16311" s="629"/>
      <c r="I16311" s="629"/>
      <c r="J16311" s="629"/>
      <c r="K16311" s="629"/>
      <c r="L16311" s="629"/>
      <c r="M16311" s="629"/>
      <c r="N16311" s="629"/>
      <c r="O16311" s="629"/>
      <c r="P16311" s="629"/>
      <c r="Q16311" s="629"/>
      <c r="R16311" s="629"/>
    </row>
    <row r="16312" spans="1:18" ht="24">
      <c r="A16312" s="486">
        <v>285</v>
      </c>
      <c r="B16312" s="483" t="s">
        <v>29239</v>
      </c>
      <c r="C16312" s="487" t="s">
        <v>29240</v>
      </c>
      <c r="D16312" s="488">
        <v>564.4</v>
      </c>
      <c r="E16312" s="488">
        <v>553.16</v>
      </c>
      <c r="F16312" s="488"/>
      <c r="G16312" s="488">
        <v>11.24</v>
      </c>
      <c r="H16312" s="489">
        <v>6490.32</v>
      </c>
      <c r="I16312" s="489">
        <v>6361.55</v>
      </c>
      <c r="J16312" s="489"/>
      <c r="K16312" s="489">
        <v>128.77000000000001</v>
      </c>
      <c r="L16312" s="43">
        <v>11.49950389794472</v>
      </c>
      <c r="M16312" s="43">
        <v>11.500379636994722</v>
      </c>
      <c r="N16312" s="43" t="s">
        <v>1690</v>
      </c>
      <c r="O16312" s="43">
        <v>11.456405693950179</v>
      </c>
      <c r="P16312" s="490"/>
      <c r="Q16312" s="490"/>
      <c r="R16312" s="490">
        <v>6</v>
      </c>
    </row>
    <row r="16313" spans="1:18" ht="24">
      <c r="A16313" s="486">
        <v>286</v>
      </c>
      <c r="B16313" s="483" t="s">
        <v>29241</v>
      </c>
      <c r="C16313" s="487" t="s">
        <v>29242</v>
      </c>
      <c r="D16313" s="488">
        <v>294.07</v>
      </c>
      <c r="E16313" s="488">
        <v>288.25</v>
      </c>
      <c r="F16313" s="488"/>
      <c r="G16313" s="488">
        <v>5.82</v>
      </c>
      <c r="H16313" s="489">
        <v>3381.77</v>
      </c>
      <c r="I16313" s="489">
        <v>3314.99</v>
      </c>
      <c r="J16313" s="489"/>
      <c r="K16313" s="489">
        <v>66.78</v>
      </c>
      <c r="L16313" s="43">
        <v>11.499880980718876</v>
      </c>
      <c r="M16313" s="43">
        <v>11.500398959236772</v>
      </c>
      <c r="N16313" s="43" t="s">
        <v>1690</v>
      </c>
      <c r="O16313" s="43">
        <v>11.474226804123711</v>
      </c>
      <c r="P16313" s="490"/>
      <c r="Q16313" s="490"/>
      <c r="R16313" s="490">
        <v>6</v>
      </c>
    </row>
    <row r="16314" spans="1:18" ht="24">
      <c r="A16314" s="486">
        <v>287</v>
      </c>
      <c r="B16314" s="483" t="s">
        <v>29243</v>
      </c>
      <c r="C16314" s="487" t="s">
        <v>29244</v>
      </c>
      <c r="D16314" s="488">
        <v>110.37</v>
      </c>
      <c r="E16314" s="488">
        <v>108.18</v>
      </c>
      <c r="F16314" s="488"/>
      <c r="G16314" s="488">
        <v>2.19</v>
      </c>
      <c r="H16314" s="489">
        <v>1269.24</v>
      </c>
      <c r="I16314" s="489">
        <v>1244.1300000000001</v>
      </c>
      <c r="J16314" s="489"/>
      <c r="K16314" s="489">
        <v>25.11</v>
      </c>
      <c r="L16314" s="43">
        <v>11.499864093503669</v>
      </c>
      <c r="M16314" s="43">
        <v>11.500554631170273</v>
      </c>
      <c r="N16314" s="43" t="s">
        <v>1690</v>
      </c>
      <c r="O16314" s="43">
        <v>11.465753424657533</v>
      </c>
      <c r="P16314" s="490"/>
      <c r="Q16314" s="490"/>
      <c r="R16314" s="490">
        <v>6</v>
      </c>
    </row>
    <row r="16315" spans="1:18" ht="24">
      <c r="A16315" s="486">
        <v>288</v>
      </c>
      <c r="B16315" s="483" t="s">
        <v>29245</v>
      </c>
      <c r="C16315" s="487" t="s">
        <v>29246</v>
      </c>
      <c r="D16315" s="488">
        <v>131.9</v>
      </c>
      <c r="E16315" s="488">
        <v>112.99</v>
      </c>
      <c r="F16315" s="488"/>
      <c r="G16315" s="488">
        <v>18.91</v>
      </c>
      <c r="H16315" s="489">
        <v>1411.8</v>
      </c>
      <c r="I16315" s="489">
        <v>1299.45</v>
      </c>
      <c r="J16315" s="489"/>
      <c r="K16315" s="489">
        <v>112.35</v>
      </c>
      <c r="L16315" s="43">
        <v>10.703563305534495</v>
      </c>
      <c r="M16315" s="43">
        <v>11.500575272147978</v>
      </c>
      <c r="N16315" s="43" t="s">
        <v>1690</v>
      </c>
      <c r="O16315" s="43">
        <v>5.9413008989952401</v>
      </c>
      <c r="P16315" s="490"/>
      <c r="Q16315" s="490"/>
      <c r="R16315" s="490">
        <v>6</v>
      </c>
    </row>
    <row r="16316" spans="1:18" ht="24">
      <c r="A16316" s="486">
        <v>289</v>
      </c>
      <c r="B16316" s="483" t="s">
        <v>29247</v>
      </c>
      <c r="C16316" s="487" t="s">
        <v>29248</v>
      </c>
      <c r="D16316" s="488">
        <v>128.27000000000001</v>
      </c>
      <c r="E16316" s="488">
        <v>125.66</v>
      </c>
      <c r="F16316" s="488"/>
      <c r="G16316" s="488">
        <v>2.61</v>
      </c>
      <c r="H16316" s="489">
        <v>1474.82</v>
      </c>
      <c r="I16316" s="489">
        <v>1445.09</v>
      </c>
      <c r="J16316" s="489"/>
      <c r="K16316" s="489">
        <v>29.73</v>
      </c>
      <c r="L16316" s="43">
        <v>11.497778124269118</v>
      </c>
      <c r="M16316" s="43">
        <v>11.5</v>
      </c>
      <c r="N16316" s="43" t="s">
        <v>1690</v>
      </c>
      <c r="O16316" s="43">
        <v>11.39080459770115</v>
      </c>
      <c r="P16316" s="490"/>
      <c r="Q16316" s="490"/>
      <c r="R16316" s="490">
        <v>6</v>
      </c>
    </row>
    <row r="16317" spans="1:18" ht="24">
      <c r="A16317" s="486">
        <v>290</v>
      </c>
      <c r="B16317" s="483" t="s">
        <v>29249</v>
      </c>
      <c r="C16317" s="487" t="s">
        <v>29250</v>
      </c>
      <c r="D16317" s="488">
        <v>110.48</v>
      </c>
      <c r="E16317" s="488">
        <v>108.18</v>
      </c>
      <c r="F16317" s="488"/>
      <c r="G16317" s="488">
        <v>2.2999999999999998</v>
      </c>
      <c r="H16317" s="489">
        <v>1270.1600000000001</v>
      </c>
      <c r="I16317" s="489">
        <v>1244.1300000000001</v>
      </c>
      <c r="J16317" s="489"/>
      <c r="K16317" s="489">
        <v>26.03</v>
      </c>
      <c r="L16317" s="43">
        <v>11.496741491672701</v>
      </c>
      <c r="M16317" s="43">
        <v>11.500554631170273</v>
      </c>
      <c r="N16317" s="43" t="s">
        <v>1690</v>
      </c>
      <c r="O16317" s="43">
        <v>11.317391304347828</v>
      </c>
      <c r="P16317" s="490"/>
      <c r="Q16317" s="490"/>
      <c r="R16317" s="490">
        <v>6</v>
      </c>
    </row>
    <row r="16318" spans="1:18" ht="24">
      <c r="A16318" s="486">
        <v>291</v>
      </c>
      <c r="B16318" s="483" t="s">
        <v>29251</v>
      </c>
      <c r="C16318" s="487" t="s">
        <v>29252</v>
      </c>
      <c r="D16318" s="488">
        <v>92.21</v>
      </c>
      <c r="E16318" s="488">
        <v>90.39</v>
      </c>
      <c r="F16318" s="488"/>
      <c r="G16318" s="488">
        <v>1.82</v>
      </c>
      <c r="H16318" s="489">
        <v>1060.5</v>
      </c>
      <c r="I16318" s="489">
        <v>1039.56</v>
      </c>
      <c r="J16318" s="489"/>
      <c r="K16318" s="489">
        <v>20.94</v>
      </c>
      <c r="L16318" s="43">
        <v>11.500921808914436</v>
      </c>
      <c r="M16318" s="43">
        <v>11.500829737802853</v>
      </c>
      <c r="N16318" s="43" t="s">
        <v>1690</v>
      </c>
      <c r="O16318" s="43">
        <v>11.503164556962025</v>
      </c>
      <c r="P16318" s="490"/>
      <c r="Q16318" s="490"/>
      <c r="R16318" s="490">
        <v>6</v>
      </c>
    </row>
    <row r="16319" spans="1:18" ht="24">
      <c r="A16319" s="486">
        <v>292</v>
      </c>
      <c r="B16319" s="483" t="s">
        <v>29253</v>
      </c>
      <c r="C16319" s="487" t="s">
        <v>29254</v>
      </c>
      <c r="D16319" s="488">
        <v>527.36</v>
      </c>
      <c r="E16319" s="488">
        <v>516.98</v>
      </c>
      <c r="F16319" s="488"/>
      <c r="G16319" s="488">
        <v>10.38</v>
      </c>
      <c r="H16319" s="489">
        <v>6064.74</v>
      </c>
      <c r="I16319" s="489">
        <v>5945.5</v>
      </c>
      <c r="J16319" s="489"/>
      <c r="K16319" s="489">
        <v>119.24</v>
      </c>
      <c r="L16319" s="43">
        <v>11.500189623786406</v>
      </c>
      <c r="M16319" s="43">
        <v>11.500444891485163</v>
      </c>
      <c r="N16319" s="43" t="s">
        <v>1690</v>
      </c>
      <c r="O16319" s="43">
        <v>11.503164556962025</v>
      </c>
      <c r="P16319" s="490"/>
      <c r="Q16319" s="490"/>
      <c r="R16319" s="490">
        <v>6</v>
      </c>
    </row>
    <row r="16320" spans="1:18" ht="24">
      <c r="A16320" s="486">
        <v>293</v>
      </c>
      <c r="B16320" s="483" t="s">
        <v>29255</v>
      </c>
      <c r="C16320" s="487" t="s">
        <v>29256</v>
      </c>
      <c r="D16320" s="488">
        <v>128.18</v>
      </c>
      <c r="E16320" s="488">
        <v>125.66</v>
      </c>
      <c r="F16320" s="488"/>
      <c r="G16320" s="488">
        <v>2.52</v>
      </c>
      <c r="H16320" s="489">
        <v>1474.02</v>
      </c>
      <c r="I16320" s="489">
        <v>1445.09</v>
      </c>
      <c r="J16320" s="489"/>
      <c r="K16320" s="489">
        <v>28.93</v>
      </c>
      <c r="L16320" s="43">
        <v>11.499609923545014</v>
      </c>
      <c r="M16320" s="43">
        <v>11.5</v>
      </c>
      <c r="N16320" s="43" t="s">
        <v>1690</v>
      </c>
      <c r="O16320" s="43">
        <v>11.503164556962025</v>
      </c>
      <c r="P16320" s="490"/>
      <c r="Q16320" s="490"/>
      <c r="R16320" s="490">
        <v>6</v>
      </c>
    </row>
    <row r="16321" spans="1:18" ht="24">
      <c r="A16321" s="486">
        <v>294</v>
      </c>
      <c r="B16321" s="483" t="s">
        <v>29257</v>
      </c>
      <c r="C16321" s="487" t="s">
        <v>29258</v>
      </c>
      <c r="D16321" s="488">
        <v>90.41</v>
      </c>
      <c r="E16321" s="488">
        <v>87.96</v>
      </c>
      <c r="F16321" s="488"/>
      <c r="G16321" s="488">
        <v>2.4500000000000002</v>
      </c>
      <c r="H16321" s="489">
        <v>1037.82</v>
      </c>
      <c r="I16321" s="489">
        <v>1011.56</v>
      </c>
      <c r="J16321" s="489"/>
      <c r="K16321" s="489">
        <v>26.26</v>
      </c>
      <c r="L16321" s="43">
        <v>11.479039929211369</v>
      </c>
      <c r="M16321" s="43">
        <v>11.500227376080037</v>
      </c>
      <c r="N16321" s="43" t="s">
        <v>1690</v>
      </c>
      <c r="O16321" s="43">
        <v>10.718367346938775</v>
      </c>
      <c r="P16321" s="490"/>
      <c r="Q16321" s="490"/>
      <c r="R16321" s="490">
        <v>6</v>
      </c>
    </row>
    <row r="16322" spans="1:18" ht="24">
      <c r="A16322" s="486">
        <v>295</v>
      </c>
      <c r="B16322" s="483" t="s">
        <v>29259</v>
      </c>
      <c r="C16322" s="487" t="s">
        <v>29260</v>
      </c>
      <c r="D16322" s="488">
        <v>1183.49</v>
      </c>
      <c r="E16322" s="488">
        <v>1146.48</v>
      </c>
      <c r="F16322" s="488"/>
      <c r="G16322" s="488">
        <v>37.01</v>
      </c>
      <c r="H16322" s="489">
        <v>13564.13</v>
      </c>
      <c r="I16322" s="489">
        <v>13184.52</v>
      </c>
      <c r="J16322" s="489"/>
      <c r="K16322" s="489">
        <v>379.61</v>
      </c>
      <c r="L16322" s="43">
        <v>11.461127681687213</v>
      </c>
      <c r="M16322" s="43">
        <v>11.5</v>
      </c>
      <c r="N16322" s="43" t="s">
        <v>1690</v>
      </c>
      <c r="O16322" s="43">
        <v>10.256957579032695</v>
      </c>
      <c r="P16322" s="490"/>
      <c r="Q16322" s="490"/>
      <c r="R16322" s="490">
        <v>6</v>
      </c>
    </row>
    <row r="16323" spans="1:18" ht="24">
      <c r="A16323" s="486">
        <v>296</v>
      </c>
      <c r="B16323" s="483" t="s">
        <v>29261</v>
      </c>
      <c r="C16323" s="487" t="s">
        <v>29262</v>
      </c>
      <c r="D16323" s="488">
        <v>645.19000000000005</v>
      </c>
      <c r="E16323" s="488">
        <v>613.70000000000005</v>
      </c>
      <c r="F16323" s="488"/>
      <c r="G16323" s="488">
        <v>31.49</v>
      </c>
      <c r="H16323" s="489">
        <v>7359.68</v>
      </c>
      <c r="I16323" s="489">
        <v>7057.6</v>
      </c>
      <c r="J16323" s="489"/>
      <c r="K16323" s="489">
        <v>302.08</v>
      </c>
      <c r="L16323" s="43">
        <v>11.406996388660705</v>
      </c>
      <c r="M16323" s="43">
        <v>11.500081473032425</v>
      </c>
      <c r="N16323" s="43" t="s">
        <v>1690</v>
      </c>
      <c r="O16323" s="43">
        <v>9.5928866306764053</v>
      </c>
      <c r="P16323" s="490"/>
      <c r="Q16323" s="490"/>
      <c r="R16323" s="490">
        <v>6</v>
      </c>
    </row>
    <row r="16324" spans="1:18" ht="24">
      <c r="A16324" s="486">
        <v>297</v>
      </c>
      <c r="B16324" s="483" t="s">
        <v>29263</v>
      </c>
      <c r="C16324" s="487" t="s">
        <v>29264</v>
      </c>
      <c r="D16324" s="488">
        <v>267.26</v>
      </c>
      <c r="E16324" s="488">
        <v>259.67</v>
      </c>
      <c r="F16324" s="488"/>
      <c r="G16324" s="488">
        <v>7.59</v>
      </c>
      <c r="H16324" s="489">
        <v>3059.66</v>
      </c>
      <c r="I16324" s="489">
        <v>2986.36</v>
      </c>
      <c r="J16324" s="489"/>
      <c r="K16324" s="489">
        <v>73.3</v>
      </c>
      <c r="L16324" s="43">
        <v>11.448252637880715</v>
      </c>
      <c r="M16324" s="43">
        <v>11.500596911464552</v>
      </c>
      <c r="N16324" s="43" t="s">
        <v>1690</v>
      </c>
      <c r="O16324" s="43">
        <v>9.6574440052700918</v>
      </c>
      <c r="P16324" s="490"/>
      <c r="Q16324" s="490"/>
      <c r="R16324" s="490">
        <v>6</v>
      </c>
    </row>
    <row r="16325" spans="1:18" ht="24">
      <c r="A16325" s="486">
        <v>298</v>
      </c>
      <c r="B16325" s="483" t="s">
        <v>29265</v>
      </c>
      <c r="C16325" s="487" t="s">
        <v>29266</v>
      </c>
      <c r="D16325" s="488">
        <v>220.34</v>
      </c>
      <c r="E16325" s="488">
        <v>215.9</v>
      </c>
      <c r="F16325" s="488"/>
      <c r="G16325" s="488">
        <v>4.4400000000000004</v>
      </c>
      <c r="H16325" s="489">
        <v>2533.61</v>
      </c>
      <c r="I16325" s="489">
        <v>2482.89</v>
      </c>
      <c r="J16325" s="489"/>
      <c r="K16325" s="489">
        <v>50.72</v>
      </c>
      <c r="L16325" s="43">
        <v>11.498638467822456</v>
      </c>
      <c r="M16325" s="43">
        <v>11.500185270958776</v>
      </c>
      <c r="N16325" s="43" t="s">
        <v>1690</v>
      </c>
      <c r="O16325" s="43">
        <v>11.423423423423422</v>
      </c>
      <c r="P16325" s="490"/>
      <c r="Q16325" s="490"/>
      <c r="R16325" s="490">
        <v>6</v>
      </c>
    </row>
    <row r="16326" spans="1:18" ht="24">
      <c r="A16326" s="486">
        <v>299</v>
      </c>
      <c r="B16326" s="483" t="s">
        <v>29267</v>
      </c>
      <c r="C16326" s="487" t="s">
        <v>29268</v>
      </c>
      <c r="D16326" s="488">
        <v>90.47</v>
      </c>
      <c r="E16326" s="488">
        <v>87.96</v>
      </c>
      <c r="F16326" s="488"/>
      <c r="G16326" s="488">
        <v>2.5099999999999998</v>
      </c>
      <c r="H16326" s="489">
        <v>1038.42</v>
      </c>
      <c r="I16326" s="489">
        <v>1011.56</v>
      </c>
      <c r="J16326" s="489"/>
      <c r="K16326" s="489">
        <v>26.86</v>
      </c>
      <c r="L16326" s="43">
        <v>11.478059025091191</v>
      </c>
      <c r="M16326" s="43">
        <v>11.500227376080037</v>
      </c>
      <c r="N16326" s="43" t="s">
        <v>1690</v>
      </c>
      <c r="O16326" s="43">
        <v>10.701195219123507</v>
      </c>
      <c r="P16326" s="490"/>
      <c r="Q16326" s="490"/>
      <c r="R16326" s="490">
        <v>6</v>
      </c>
    </row>
    <row r="16327" spans="1:18" ht="24">
      <c r="A16327" s="486">
        <v>300</v>
      </c>
      <c r="B16327" s="483" t="s">
        <v>29269</v>
      </c>
      <c r="C16327" s="487" t="s">
        <v>29270</v>
      </c>
      <c r="D16327" s="488">
        <v>99.6</v>
      </c>
      <c r="E16327" s="488">
        <v>97.64</v>
      </c>
      <c r="F16327" s="488"/>
      <c r="G16327" s="488">
        <v>1.96</v>
      </c>
      <c r="H16327" s="489">
        <v>1145.47</v>
      </c>
      <c r="I16327" s="489">
        <v>1122.95</v>
      </c>
      <c r="J16327" s="489"/>
      <c r="K16327" s="489">
        <v>22.52</v>
      </c>
      <c r="L16327" s="43">
        <v>11.500702811244981</v>
      </c>
      <c r="M16327" s="43">
        <v>11.500921753379762</v>
      </c>
      <c r="N16327" s="43" t="s">
        <v>1690</v>
      </c>
      <c r="O16327" s="43">
        <v>11.503164556962025</v>
      </c>
      <c r="P16327" s="490"/>
      <c r="Q16327" s="490"/>
      <c r="R16327" s="490">
        <v>6</v>
      </c>
    </row>
    <row r="16328" spans="1:18" ht="24">
      <c r="A16328" s="486">
        <v>301</v>
      </c>
      <c r="B16328" s="483" t="s">
        <v>29271</v>
      </c>
      <c r="C16328" s="487" t="s">
        <v>29272</v>
      </c>
      <c r="D16328" s="488">
        <v>102.59</v>
      </c>
      <c r="E16328" s="488">
        <v>100.53</v>
      </c>
      <c r="F16328" s="488"/>
      <c r="G16328" s="488">
        <v>2.06</v>
      </c>
      <c r="H16328" s="489">
        <v>1179.6099999999999</v>
      </c>
      <c r="I16328" s="489">
        <v>1156.07</v>
      </c>
      <c r="J16328" s="489"/>
      <c r="K16328" s="489">
        <v>23.54</v>
      </c>
      <c r="L16328" s="43">
        <v>11.498294180719366</v>
      </c>
      <c r="M16328" s="43">
        <v>11.499751318014523</v>
      </c>
      <c r="N16328" s="43" t="s">
        <v>1690</v>
      </c>
      <c r="O16328" s="43">
        <v>11.427184466019417</v>
      </c>
      <c r="P16328" s="490"/>
      <c r="Q16328" s="490"/>
      <c r="R16328" s="490">
        <v>6</v>
      </c>
    </row>
    <row r="16329" spans="1:18" ht="24">
      <c r="A16329" s="486">
        <v>302</v>
      </c>
      <c r="B16329" s="483" t="s">
        <v>29273</v>
      </c>
      <c r="C16329" s="487" t="s">
        <v>29274</v>
      </c>
      <c r="D16329" s="488">
        <v>135.34</v>
      </c>
      <c r="E16329" s="488">
        <v>131.87</v>
      </c>
      <c r="F16329" s="488"/>
      <c r="G16329" s="488">
        <v>3.47</v>
      </c>
      <c r="H16329" s="489">
        <v>1554.17</v>
      </c>
      <c r="I16329" s="489">
        <v>1516.57</v>
      </c>
      <c r="J16329" s="489"/>
      <c r="K16329" s="489">
        <v>37.6</v>
      </c>
      <c r="L16329" s="43">
        <v>11.483449091177775</v>
      </c>
      <c r="M16329" s="43">
        <v>11.500492909683778</v>
      </c>
      <c r="N16329" s="43" t="s">
        <v>1690</v>
      </c>
      <c r="O16329" s="43">
        <v>10.835734870317003</v>
      </c>
      <c r="P16329" s="490"/>
      <c r="Q16329" s="490"/>
      <c r="R16329" s="490">
        <v>6</v>
      </c>
    </row>
    <row r="16330" spans="1:18" ht="24">
      <c r="A16330" s="486">
        <v>303</v>
      </c>
      <c r="B16330" s="483" t="s">
        <v>29275</v>
      </c>
      <c r="C16330" s="487" t="s">
        <v>29276</v>
      </c>
      <c r="D16330" s="488">
        <v>208.33</v>
      </c>
      <c r="E16330" s="488">
        <v>204.23</v>
      </c>
      <c r="F16330" s="488"/>
      <c r="G16330" s="488">
        <v>4.0999999999999996</v>
      </c>
      <c r="H16330" s="489">
        <v>2395.81</v>
      </c>
      <c r="I16330" s="489">
        <v>2348.6799999999998</v>
      </c>
      <c r="J16330" s="489"/>
      <c r="K16330" s="489">
        <v>47.13</v>
      </c>
      <c r="L16330" s="43">
        <v>11.500072001152018</v>
      </c>
      <c r="M16330" s="43">
        <v>11.500171375410076</v>
      </c>
      <c r="N16330" s="43" t="s">
        <v>1690</v>
      </c>
      <c r="O16330" s="43">
        <v>11.495121951219513</v>
      </c>
      <c r="P16330" s="490"/>
      <c r="Q16330" s="490"/>
      <c r="R16330" s="490">
        <v>6</v>
      </c>
    </row>
    <row r="16331" spans="1:18" ht="24">
      <c r="A16331" s="486">
        <v>304</v>
      </c>
      <c r="B16331" s="483" t="s">
        <v>29277</v>
      </c>
      <c r="C16331" s="487" t="s">
        <v>29278</v>
      </c>
      <c r="D16331" s="488">
        <v>87.33</v>
      </c>
      <c r="E16331" s="488">
        <v>85.44</v>
      </c>
      <c r="F16331" s="488"/>
      <c r="G16331" s="488">
        <v>1.89</v>
      </c>
      <c r="H16331" s="489">
        <v>1003.8</v>
      </c>
      <c r="I16331" s="489">
        <v>982.58</v>
      </c>
      <c r="J16331" s="489"/>
      <c r="K16331" s="489">
        <v>21.22</v>
      </c>
      <c r="L16331" s="43">
        <v>11.494331844726897</v>
      </c>
      <c r="M16331" s="43">
        <v>11.500234082397004</v>
      </c>
      <c r="N16331" s="43" t="s">
        <v>1690</v>
      </c>
      <c r="O16331" s="43">
        <v>11.227513227513228</v>
      </c>
      <c r="P16331" s="490"/>
      <c r="Q16331" s="490"/>
      <c r="R16331" s="490">
        <v>6</v>
      </c>
    </row>
    <row r="16332" spans="1:18" ht="12.75" customHeight="1">
      <c r="A16332" s="628" t="s">
        <v>29279</v>
      </c>
      <c r="B16332" s="629"/>
      <c r="C16332" s="629"/>
      <c r="D16332" s="629"/>
      <c r="E16332" s="629"/>
      <c r="F16332" s="629"/>
      <c r="G16332" s="629"/>
      <c r="H16332" s="629"/>
      <c r="I16332" s="629"/>
      <c r="J16332" s="629"/>
      <c r="K16332" s="629"/>
      <c r="L16332" s="629"/>
      <c r="M16332" s="629"/>
      <c r="N16332" s="629"/>
      <c r="O16332" s="629"/>
      <c r="P16332" s="629"/>
      <c r="Q16332" s="629"/>
      <c r="R16332" s="629"/>
    </row>
    <row r="16333" spans="1:18" ht="12.75" customHeight="1">
      <c r="A16333" s="628" t="s">
        <v>29280</v>
      </c>
      <c r="B16333" s="629"/>
      <c r="C16333" s="629"/>
      <c r="D16333" s="629"/>
      <c r="E16333" s="629"/>
      <c r="F16333" s="629"/>
      <c r="G16333" s="629"/>
      <c r="H16333" s="629"/>
      <c r="I16333" s="629"/>
      <c r="J16333" s="629"/>
      <c r="K16333" s="629"/>
      <c r="L16333" s="629"/>
      <c r="M16333" s="629"/>
      <c r="N16333" s="629"/>
      <c r="O16333" s="629"/>
      <c r="P16333" s="629"/>
      <c r="Q16333" s="629"/>
      <c r="R16333" s="629"/>
    </row>
    <row r="16334" spans="1:18" ht="24">
      <c r="A16334" s="486">
        <v>305</v>
      </c>
      <c r="B16334" s="483" t="s">
        <v>29281</v>
      </c>
      <c r="C16334" s="487" t="s">
        <v>29282</v>
      </c>
      <c r="D16334" s="488">
        <v>694.15</v>
      </c>
      <c r="E16334" s="488">
        <v>673.36</v>
      </c>
      <c r="F16334" s="488"/>
      <c r="G16334" s="488">
        <v>20.79</v>
      </c>
      <c r="H16334" s="489">
        <v>7955.5</v>
      </c>
      <c r="I16334" s="489">
        <v>7743.92</v>
      </c>
      <c r="J16334" s="489"/>
      <c r="K16334" s="489">
        <v>211.58</v>
      </c>
      <c r="L16334" s="43">
        <v>11.460779370453073</v>
      </c>
      <c r="M16334" s="43">
        <v>11.500415825115837</v>
      </c>
      <c r="N16334" s="43" t="s">
        <v>1690</v>
      </c>
      <c r="O16334" s="43">
        <v>10.177008177008178</v>
      </c>
      <c r="P16334" s="490"/>
      <c r="Q16334" s="490"/>
      <c r="R16334" s="490">
        <v>1</v>
      </c>
    </row>
    <row r="16335" spans="1:18" ht="24">
      <c r="A16335" s="486">
        <v>306</v>
      </c>
      <c r="B16335" s="483" t="s">
        <v>29283</v>
      </c>
      <c r="C16335" s="487" t="s">
        <v>29284</v>
      </c>
      <c r="D16335" s="488">
        <v>1783.62</v>
      </c>
      <c r="E16335" s="488">
        <v>1692.15</v>
      </c>
      <c r="F16335" s="488">
        <v>33.79</v>
      </c>
      <c r="G16335" s="488">
        <v>57.68</v>
      </c>
      <c r="H16335" s="489">
        <v>20194.2</v>
      </c>
      <c r="I16335" s="489">
        <v>19460.45</v>
      </c>
      <c r="J16335" s="489">
        <v>143.09</v>
      </c>
      <c r="K16335" s="489">
        <v>590.66</v>
      </c>
      <c r="L16335" s="43">
        <v>11.32203047734383</v>
      </c>
      <c r="M16335" s="43">
        <v>11.500428449014567</v>
      </c>
      <c r="N16335" s="43">
        <v>4.2346848179934895</v>
      </c>
      <c r="O16335" s="43">
        <v>10.240291262135921</v>
      </c>
      <c r="P16335" s="490"/>
      <c r="Q16335" s="490"/>
      <c r="R16335" s="490">
        <v>1</v>
      </c>
    </row>
    <row r="16336" spans="1:18" ht="24">
      <c r="A16336" s="486">
        <v>307</v>
      </c>
      <c r="B16336" s="483" t="s">
        <v>29285</v>
      </c>
      <c r="C16336" s="487" t="s">
        <v>29286</v>
      </c>
      <c r="D16336" s="488">
        <v>3436.32</v>
      </c>
      <c r="E16336" s="488">
        <v>3232.59</v>
      </c>
      <c r="F16336" s="488">
        <v>103.49</v>
      </c>
      <c r="G16336" s="488">
        <v>100.24</v>
      </c>
      <c r="H16336" s="489">
        <v>38659.360000000001</v>
      </c>
      <c r="I16336" s="489">
        <v>37176.17</v>
      </c>
      <c r="J16336" s="489">
        <v>438.24</v>
      </c>
      <c r="K16336" s="489">
        <v>1044.95</v>
      </c>
      <c r="L16336" s="43">
        <v>11.250221166829631</v>
      </c>
      <c r="M16336" s="43">
        <v>11.500428449014565</v>
      </c>
      <c r="N16336" s="43">
        <v>4.2346120398106102</v>
      </c>
      <c r="O16336" s="43">
        <v>10.424481245011972</v>
      </c>
      <c r="P16336" s="490"/>
      <c r="Q16336" s="490"/>
      <c r="R16336" s="490">
        <v>1</v>
      </c>
    </row>
    <row r="16337" spans="1:18" ht="12.75" customHeight="1">
      <c r="A16337" s="628" t="s">
        <v>2739</v>
      </c>
      <c r="B16337" s="629"/>
      <c r="C16337" s="629"/>
      <c r="D16337" s="629"/>
      <c r="E16337" s="629"/>
      <c r="F16337" s="629"/>
      <c r="G16337" s="629"/>
      <c r="H16337" s="629"/>
      <c r="I16337" s="629"/>
      <c r="J16337" s="629"/>
      <c r="K16337" s="629"/>
      <c r="L16337" s="629"/>
      <c r="M16337" s="629"/>
      <c r="N16337" s="629"/>
      <c r="O16337" s="629"/>
      <c r="P16337" s="629"/>
      <c r="Q16337" s="629"/>
      <c r="R16337" s="629"/>
    </row>
    <row r="16338" spans="1:18" ht="24">
      <c r="A16338" s="486">
        <v>308</v>
      </c>
      <c r="B16338" s="483" t="s">
        <v>29287</v>
      </c>
      <c r="C16338" s="487" t="s">
        <v>29288</v>
      </c>
      <c r="D16338" s="488">
        <v>321.05</v>
      </c>
      <c r="E16338" s="488">
        <v>312.47000000000003</v>
      </c>
      <c r="F16338" s="488"/>
      <c r="G16338" s="488">
        <v>8.58</v>
      </c>
      <c r="H16338" s="489">
        <v>3678.3</v>
      </c>
      <c r="I16338" s="489">
        <v>3593.43</v>
      </c>
      <c r="J16338" s="489"/>
      <c r="K16338" s="489">
        <v>84.87</v>
      </c>
      <c r="L16338" s="43">
        <v>11.457093910605824</v>
      </c>
      <c r="M16338" s="43">
        <v>11.500080007680737</v>
      </c>
      <c r="N16338" s="43" t="s">
        <v>1690</v>
      </c>
      <c r="O16338" s="43">
        <v>9.8916083916083917</v>
      </c>
      <c r="P16338" s="490"/>
      <c r="Q16338" s="490"/>
      <c r="R16338" s="490">
        <v>2</v>
      </c>
    </row>
    <row r="16339" spans="1:18" ht="24">
      <c r="A16339" s="486">
        <v>309</v>
      </c>
      <c r="B16339" s="483" t="s">
        <v>29289</v>
      </c>
      <c r="C16339" s="487" t="s">
        <v>29290</v>
      </c>
      <c r="D16339" s="488">
        <v>392.13</v>
      </c>
      <c r="E16339" s="488">
        <v>382.16</v>
      </c>
      <c r="F16339" s="488"/>
      <c r="G16339" s="488">
        <v>9.9700000000000006</v>
      </c>
      <c r="H16339" s="489">
        <v>4495.6899999999996</v>
      </c>
      <c r="I16339" s="489">
        <v>4394.84</v>
      </c>
      <c r="J16339" s="489"/>
      <c r="K16339" s="489">
        <v>100.85</v>
      </c>
      <c r="L16339" s="43">
        <v>11.464794838446434</v>
      </c>
      <c r="M16339" s="43">
        <v>11.5</v>
      </c>
      <c r="N16339" s="43" t="s">
        <v>1690</v>
      </c>
      <c r="O16339" s="43">
        <v>10.115346038114343</v>
      </c>
      <c r="P16339" s="490"/>
      <c r="Q16339" s="490"/>
      <c r="R16339" s="490">
        <v>2</v>
      </c>
    </row>
    <row r="16340" spans="1:18" ht="12.75" customHeight="1">
      <c r="A16340" s="628" t="s">
        <v>29291</v>
      </c>
      <c r="B16340" s="629"/>
      <c r="C16340" s="629"/>
      <c r="D16340" s="629"/>
      <c r="E16340" s="629"/>
      <c r="F16340" s="629"/>
      <c r="G16340" s="629"/>
      <c r="H16340" s="629"/>
      <c r="I16340" s="629"/>
      <c r="J16340" s="629"/>
      <c r="K16340" s="629"/>
      <c r="L16340" s="629"/>
      <c r="M16340" s="629"/>
      <c r="N16340" s="629"/>
      <c r="O16340" s="629"/>
      <c r="P16340" s="629"/>
      <c r="Q16340" s="629"/>
      <c r="R16340" s="629"/>
    </row>
    <row r="16341" spans="1:18" ht="12.75" customHeight="1">
      <c r="A16341" s="628" t="s">
        <v>29292</v>
      </c>
      <c r="B16341" s="629"/>
      <c r="C16341" s="629"/>
      <c r="D16341" s="629"/>
      <c r="E16341" s="629"/>
      <c r="F16341" s="629"/>
      <c r="G16341" s="629"/>
      <c r="H16341" s="629"/>
      <c r="I16341" s="629"/>
      <c r="J16341" s="629"/>
      <c r="K16341" s="629"/>
      <c r="L16341" s="629"/>
      <c r="M16341" s="629"/>
      <c r="N16341" s="629"/>
      <c r="O16341" s="629"/>
      <c r="P16341" s="629"/>
      <c r="Q16341" s="629"/>
      <c r="R16341" s="629"/>
    </row>
    <row r="16342" spans="1:18" ht="24">
      <c r="A16342" s="486">
        <v>310</v>
      </c>
      <c r="B16342" s="483" t="s">
        <v>29293</v>
      </c>
      <c r="C16342" s="487" t="s">
        <v>29294</v>
      </c>
      <c r="D16342" s="488">
        <v>208.2</v>
      </c>
      <c r="E16342" s="488">
        <v>204.11</v>
      </c>
      <c r="F16342" s="488"/>
      <c r="G16342" s="488">
        <v>4.09</v>
      </c>
      <c r="H16342" s="489">
        <v>2394.3000000000002</v>
      </c>
      <c r="I16342" s="489">
        <v>2347.29</v>
      </c>
      <c r="J16342" s="489"/>
      <c r="K16342" s="489">
        <v>47.01</v>
      </c>
      <c r="L16342" s="43">
        <v>11.500000000000002</v>
      </c>
      <c r="M16342" s="43">
        <v>11.500122482974865</v>
      </c>
      <c r="N16342" s="43" t="s">
        <v>1690</v>
      </c>
      <c r="O16342" s="43">
        <v>11.503164556962025</v>
      </c>
      <c r="P16342" s="490"/>
      <c r="Q16342" s="490"/>
      <c r="R16342" s="490">
        <v>1</v>
      </c>
    </row>
    <row r="16343" spans="1:18" ht="24">
      <c r="A16343" s="486">
        <v>311</v>
      </c>
      <c r="B16343" s="483" t="s">
        <v>29295</v>
      </c>
      <c r="C16343" s="487" t="s">
        <v>29296</v>
      </c>
      <c r="D16343" s="488">
        <v>338.18</v>
      </c>
      <c r="E16343" s="488">
        <v>331.52</v>
      </c>
      <c r="F16343" s="488"/>
      <c r="G16343" s="488">
        <v>6.66</v>
      </c>
      <c r="H16343" s="489">
        <v>3889.06</v>
      </c>
      <c r="I16343" s="489">
        <v>3812.57</v>
      </c>
      <c r="J16343" s="489"/>
      <c r="K16343" s="489">
        <v>76.489999999999995</v>
      </c>
      <c r="L16343" s="43">
        <v>11.499970429948547</v>
      </c>
      <c r="M16343" s="43">
        <v>11.500271476833978</v>
      </c>
      <c r="N16343" s="43" t="s">
        <v>1690</v>
      </c>
      <c r="O16343" s="43">
        <v>11.503164556962025</v>
      </c>
      <c r="P16343" s="490"/>
      <c r="Q16343" s="490"/>
      <c r="R16343" s="490">
        <v>1</v>
      </c>
    </row>
    <row r="16344" spans="1:18" ht="24">
      <c r="A16344" s="486">
        <v>312</v>
      </c>
      <c r="B16344" s="483" t="s">
        <v>29297</v>
      </c>
      <c r="C16344" s="487" t="s">
        <v>29298</v>
      </c>
      <c r="D16344" s="488">
        <v>377.26</v>
      </c>
      <c r="E16344" s="488">
        <v>369.86</v>
      </c>
      <c r="F16344" s="488"/>
      <c r="G16344" s="488">
        <v>7.4</v>
      </c>
      <c r="H16344" s="489">
        <v>4338.67</v>
      </c>
      <c r="I16344" s="489">
        <v>4253.57</v>
      </c>
      <c r="J16344" s="489"/>
      <c r="K16344" s="489">
        <v>85.1</v>
      </c>
      <c r="L16344" s="43">
        <v>11.500477124529503</v>
      </c>
      <c r="M16344" s="43">
        <v>11.50048667063213</v>
      </c>
      <c r="N16344" s="43" t="s">
        <v>1690</v>
      </c>
      <c r="O16344" s="43">
        <v>11.499999999999998</v>
      </c>
      <c r="P16344" s="490"/>
      <c r="Q16344" s="490"/>
      <c r="R16344" s="490">
        <v>1</v>
      </c>
    </row>
    <row r="16345" spans="1:18" ht="24">
      <c r="A16345" s="486">
        <v>313</v>
      </c>
      <c r="B16345" s="483" t="s">
        <v>29299</v>
      </c>
      <c r="C16345" s="487" t="s">
        <v>29300</v>
      </c>
      <c r="D16345" s="488">
        <v>208.22</v>
      </c>
      <c r="E16345" s="488">
        <v>204.11</v>
      </c>
      <c r="F16345" s="488"/>
      <c r="G16345" s="488">
        <v>4.1100000000000003</v>
      </c>
      <c r="H16345" s="489">
        <v>2394.5100000000002</v>
      </c>
      <c r="I16345" s="489">
        <v>2347.29</v>
      </c>
      <c r="J16345" s="489"/>
      <c r="K16345" s="489">
        <v>47.22</v>
      </c>
      <c r="L16345" s="43">
        <v>11.499903947747576</v>
      </c>
      <c r="M16345" s="43">
        <v>11.500122482974865</v>
      </c>
      <c r="N16345" s="43" t="s">
        <v>1690</v>
      </c>
      <c r="O16345" s="43">
        <v>11.503164556962025</v>
      </c>
      <c r="P16345" s="490"/>
      <c r="Q16345" s="490"/>
      <c r="R16345" s="490">
        <v>1</v>
      </c>
    </row>
    <row r="16346" spans="1:18" ht="24">
      <c r="A16346" s="486">
        <v>314</v>
      </c>
      <c r="B16346" s="483" t="s">
        <v>29301</v>
      </c>
      <c r="C16346" s="487" t="s">
        <v>29302</v>
      </c>
      <c r="D16346" s="488">
        <v>208.2</v>
      </c>
      <c r="E16346" s="488">
        <v>204.11</v>
      </c>
      <c r="F16346" s="488"/>
      <c r="G16346" s="488">
        <v>4.09</v>
      </c>
      <c r="H16346" s="489">
        <v>2394.3000000000002</v>
      </c>
      <c r="I16346" s="489">
        <v>2347.29</v>
      </c>
      <c r="J16346" s="489"/>
      <c r="K16346" s="489">
        <v>47.01</v>
      </c>
      <c r="L16346" s="43">
        <v>11.500000000000002</v>
      </c>
      <c r="M16346" s="43">
        <v>11.500122482974865</v>
      </c>
      <c r="N16346" s="43" t="s">
        <v>1690</v>
      </c>
      <c r="O16346" s="43">
        <v>11.503164556962025</v>
      </c>
      <c r="P16346" s="490"/>
      <c r="Q16346" s="490"/>
      <c r="R16346" s="490">
        <v>1</v>
      </c>
    </row>
    <row r="16347" spans="1:18" ht="24">
      <c r="A16347" s="486">
        <v>315</v>
      </c>
      <c r="B16347" s="483" t="s">
        <v>29303</v>
      </c>
      <c r="C16347" s="487" t="s">
        <v>29304</v>
      </c>
      <c r="D16347" s="488">
        <v>623.44000000000005</v>
      </c>
      <c r="E16347" s="488">
        <v>611.08000000000004</v>
      </c>
      <c r="F16347" s="488"/>
      <c r="G16347" s="488">
        <v>12.36</v>
      </c>
      <c r="H16347" s="489">
        <v>7169.36</v>
      </c>
      <c r="I16347" s="489">
        <v>7027.64</v>
      </c>
      <c r="J16347" s="489"/>
      <c r="K16347" s="489">
        <v>141.72</v>
      </c>
      <c r="L16347" s="43">
        <v>11.499679199281404</v>
      </c>
      <c r="M16347" s="43">
        <v>11.500360018328205</v>
      </c>
      <c r="N16347" s="43" t="s">
        <v>1690</v>
      </c>
      <c r="O16347" s="43">
        <v>11.466019417475728</v>
      </c>
      <c r="P16347" s="490"/>
      <c r="Q16347" s="490"/>
      <c r="R16347" s="490">
        <v>1</v>
      </c>
    </row>
    <row r="16348" spans="1:18" ht="24">
      <c r="A16348" s="486">
        <v>316</v>
      </c>
      <c r="B16348" s="483" t="s">
        <v>29305</v>
      </c>
      <c r="C16348" s="487" t="s">
        <v>29306</v>
      </c>
      <c r="D16348" s="488">
        <v>623.64</v>
      </c>
      <c r="E16348" s="488">
        <v>611.08000000000004</v>
      </c>
      <c r="F16348" s="488"/>
      <c r="G16348" s="488">
        <v>12.56</v>
      </c>
      <c r="H16348" s="489">
        <v>7171.18</v>
      </c>
      <c r="I16348" s="489">
        <v>7027.64</v>
      </c>
      <c r="J16348" s="489"/>
      <c r="K16348" s="489">
        <v>143.54</v>
      </c>
      <c r="L16348" s="43">
        <v>11.498909627349112</v>
      </c>
      <c r="M16348" s="43">
        <v>11.500360018328205</v>
      </c>
      <c r="N16348" s="43" t="s">
        <v>1690</v>
      </c>
      <c r="O16348" s="43">
        <v>11.428343949044585</v>
      </c>
      <c r="P16348" s="490"/>
      <c r="Q16348" s="490"/>
      <c r="R16348" s="490">
        <v>1</v>
      </c>
    </row>
    <row r="16349" spans="1:18" ht="24">
      <c r="A16349" s="486">
        <v>317</v>
      </c>
      <c r="B16349" s="483" t="s">
        <v>29307</v>
      </c>
      <c r="C16349" s="487" t="s">
        <v>29308</v>
      </c>
      <c r="D16349" s="488">
        <v>455.48</v>
      </c>
      <c r="E16349" s="488">
        <v>446.47</v>
      </c>
      <c r="F16349" s="488"/>
      <c r="G16349" s="488">
        <v>9.01</v>
      </c>
      <c r="H16349" s="489">
        <v>5237.8500000000004</v>
      </c>
      <c r="I16349" s="489">
        <v>5134.43</v>
      </c>
      <c r="J16349" s="489"/>
      <c r="K16349" s="489">
        <v>103.42</v>
      </c>
      <c r="L16349" s="43">
        <v>11.499626767366296</v>
      </c>
      <c r="M16349" s="43">
        <v>11.500055994803683</v>
      </c>
      <c r="N16349" s="43" t="s">
        <v>1690</v>
      </c>
      <c r="O16349" s="43">
        <v>11.478357380688125</v>
      </c>
      <c r="P16349" s="490"/>
      <c r="Q16349" s="490"/>
      <c r="R16349" s="490">
        <v>1</v>
      </c>
    </row>
    <row r="16350" spans="1:18" ht="24">
      <c r="A16350" s="486">
        <v>318</v>
      </c>
      <c r="B16350" s="483" t="s">
        <v>29309</v>
      </c>
      <c r="C16350" s="487" t="s">
        <v>29310</v>
      </c>
      <c r="D16350" s="488">
        <v>294.58</v>
      </c>
      <c r="E16350" s="488">
        <v>288.74</v>
      </c>
      <c r="F16350" s="488"/>
      <c r="G16350" s="488">
        <v>5.84</v>
      </c>
      <c r="H16350" s="489">
        <v>3387.52</v>
      </c>
      <c r="I16350" s="489">
        <v>3320.56</v>
      </c>
      <c r="J16350" s="489"/>
      <c r="K16350" s="489">
        <v>66.959999999999994</v>
      </c>
      <c r="L16350" s="43">
        <v>11.499490800461675</v>
      </c>
      <c r="M16350" s="43">
        <v>11.500173166170256</v>
      </c>
      <c r="N16350" s="43" t="s">
        <v>1690</v>
      </c>
      <c r="O16350" s="43">
        <v>11.465753424657533</v>
      </c>
      <c r="P16350" s="490"/>
      <c r="Q16350" s="490"/>
      <c r="R16350" s="490">
        <v>1</v>
      </c>
    </row>
    <row r="16351" spans="1:18" ht="24">
      <c r="A16351" s="486">
        <v>319</v>
      </c>
      <c r="B16351" s="483" t="s">
        <v>29311</v>
      </c>
      <c r="C16351" s="487" t="s">
        <v>29312</v>
      </c>
      <c r="D16351" s="488">
        <v>227.09</v>
      </c>
      <c r="E16351" s="488">
        <v>222.6</v>
      </c>
      <c r="F16351" s="488"/>
      <c r="G16351" s="488">
        <v>4.49</v>
      </c>
      <c r="H16351" s="489">
        <v>2611.44</v>
      </c>
      <c r="I16351" s="489">
        <v>2559.9</v>
      </c>
      <c r="J16351" s="489"/>
      <c r="K16351" s="489">
        <v>51.54</v>
      </c>
      <c r="L16351" s="43">
        <v>11.499581663657581</v>
      </c>
      <c r="M16351" s="43">
        <v>11.5</v>
      </c>
      <c r="N16351" s="43" t="s">
        <v>1690</v>
      </c>
      <c r="O16351" s="43">
        <v>11.478841870824052</v>
      </c>
      <c r="P16351" s="490"/>
      <c r="Q16351" s="490"/>
      <c r="R16351" s="490">
        <v>1</v>
      </c>
    </row>
    <row r="16352" spans="1:18" ht="24">
      <c r="A16352" s="486">
        <v>320</v>
      </c>
      <c r="B16352" s="483" t="s">
        <v>29313</v>
      </c>
      <c r="C16352" s="487" t="s">
        <v>29314</v>
      </c>
      <c r="D16352" s="488">
        <v>487.46</v>
      </c>
      <c r="E16352" s="488">
        <v>477.77</v>
      </c>
      <c r="F16352" s="488"/>
      <c r="G16352" s="488">
        <v>9.69</v>
      </c>
      <c r="H16352" s="489">
        <v>5605.44</v>
      </c>
      <c r="I16352" s="489">
        <v>5494.4</v>
      </c>
      <c r="J16352" s="489"/>
      <c r="K16352" s="489">
        <v>111.04</v>
      </c>
      <c r="L16352" s="43">
        <v>11.499281992368605</v>
      </c>
      <c r="M16352" s="43">
        <v>11.500094187579798</v>
      </c>
      <c r="N16352" s="43" t="s">
        <v>1690</v>
      </c>
      <c r="O16352" s="43">
        <v>11.459236326109393</v>
      </c>
      <c r="P16352" s="490"/>
      <c r="Q16352" s="490"/>
      <c r="R16352" s="490">
        <v>1</v>
      </c>
    </row>
    <row r="16353" spans="1:18" ht="24">
      <c r="A16353" s="486">
        <v>321</v>
      </c>
      <c r="B16353" s="483" t="s">
        <v>29315</v>
      </c>
      <c r="C16353" s="487" t="s">
        <v>29316</v>
      </c>
      <c r="D16353" s="488">
        <v>201.14</v>
      </c>
      <c r="E16353" s="488">
        <v>197.16</v>
      </c>
      <c r="F16353" s="488"/>
      <c r="G16353" s="488">
        <v>3.98</v>
      </c>
      <c r="H16353" s="489">
        <v>2312.98</v>
      </c>
      <c r="I16353" s="489">
        <v>2267.34</v>
      </c>
      <c r="J16353" s="489"/>
      <c r="K16353" s="489">
        <v>45.64</v>
      </c>
      <c r="L16353" s="43">
        <v>11.499353684001195</v>
      </c>
      <c r="M16353" s="43">
        <v>11.500000000000002</v>
      </c>
      <c r="N16353" s="43" t="s">
        <v>1690</v>
      </c>
      <c r="O16353" s="43">
        <v>11.467336683417086</v>
      </c>
      <c r="P16353" s="490"/>
      <c r="Q16353" s="490"/>
      <c r="R16353" s="490">
        <v>1</v>
      </c>
    </row>
    <row r="16354" spans="1:18" ht="24">
      <c r="A16354" s="486">
        <v>322</v>
      </c>
      <c r="B16354" s="483" t="s">
        <v>29317</v>
      </c>
      <c r="C16354" s="487" t="s">
        <v>29318</v>
      </c>
      <c r="D16354" s="488">
        <v>330</v>
      </c>
      <c r="E16354" s="488">
        <v>323.52999999999997</v>
      </c>
      <c r="F16354" s="488"/>
      <c r="G16354" s="488">
        <v>6.47</v>
      </c>
      <c r="H16354" s="489">
        <v>3795.03</v>
      </c>
      <c r="I16354" s="489">
        <v>3720.62</v>
      </c>
      <c r="J16354" s="489"/>
      <c r="K16354" s="489">
        <v>74.41</v>
      </c>
      <c r="L16354" s="43">
        <v>11.500090909090909</v>
      </c>
      <c r="M16354" s="43">
        <v>11.500077272586777</v>
      </c>
      <c r="N16354" s="43" t="s">
        <v>1690</v>
      </c>
      <c r="O16354" s="43">
        <v>11.500772797527048</v>
      </c>
      <c r="P16354" s="490"/>
      <c r="Q16354" s="490"/>
      <c r="R16354" s="490">
        <v>1</v>
      </c>
    </row>
    <row r="16355" spans="1:18" ht="24">
      <c r="A16355" s="486">
        <v>323</v>
      </c>
      <c r="B16355" s="483" t="s">
        <v>29319</v>
      </c>
      <c r="C16355" s="487" t="s">
        <v>29320</v>
      </c>
      <c r="D16355" s="488">
        <v>434.89</v>
      </c>
      <c r="E16355" s="488">
        <v>426.36</v>
      </c>
      <c r="F16355" s="488"/>
      <c r="G16355" s="488">
        <v>8.5299999999999994</v>
      </c>
      <c r="H16355" s="489">
        <v>5001.24</v>
      </c>
      <c r="I16355" s="489">
        <v>4903.1400000000003</v>
      </c>
      <c r="J16355" s="489"/>
      <c r="K16355" s="489">
        <v>98.1</v>
      </c>
      <c r="L16355" s="43">
        <v>11.500011497160202</v>
      </c>
      <c r="M16355" s="43">
        <v>11.5</v>
      </c>
      <c r="N16355" s="43" t="s">
        <v>1690</v>
      </c>
      <c r="O16355" s="43">
        <v>11.500586166471278</v>
      </c>
      <c r="P16355" s="490"/>
      <c r="Q16355" s="490"/>
      <c r="R16355" s="490">
        <v>1</v>
      </c>
    </row>
    <row r="16356" spans="1:18" ht="12.75" customHeight="1">
      <c r="A16356" s="628" t="s">
        <v>29321</v>
      </c>
      <c r="B16356" s="629"/>
      <c r="C16356" s="629"/>
      <c r="D16356" s="629"/>
      <c r="E16356" s="629"/>
      <c r="F16356" s="629"/>
      <c r="G16356" s="629"/>
      <c r="H16356" s="629"/>
      <c r="I16356" s="629"/>
      <c r="J16356" s="629"/>
      <c r="K16356" s="629"/>
      <c r="L16356" s="629"/>
      <c r="M16356" s="629"/>
      <c r="N16356" s="629"/>
      <c r="O16356" s="629"/>
      <c r="P16356" s="629"/>
      <c r="Q16356" s="629"/>
      <c r="R16356" s="629"/>
    </row>
    <row r="16357" spans="1:18" ht="24">
      <c r="A16357" s="486">
        <v>324</v>
      </c>
      <c r="B16357" s="483" t="s">
        <v>29322</v>
      </c>
      <c r="C16357" s="487" t="s">
        <v>29323</v>
      </c>
      <c r="D16357" s="488">
        <v>2452.1</v>
      </c>
      <c r="E16357" s="488">
        <v>2403.4</v>
      </c>
      <c r="F16357" s="488"/>
      <c r="G16357" s="488">
        <v>48.7</v>
      </c>
      <c r="H16357" s="489">
        <v>28197.39</v>
      </c>
      <c r="I16357" s="489">
        <v>27639.1</v>
      </c>
      <c r="J16357" s="489"/>
      <c r="K16357" s="489">
        <v>558.29</v>
      </c>
      <c r="L16357" s="43">
        <v>11.499282247869173</v>
      </c>
      <c r="M16357" s="43">
        <v>11.499999999999998</v>
      </c>
      <c r="N16357" s="43" t="s">
        <v>1690</v>
      </c>
      <c r="O16357" s="43">
        <v>11.463860369609854</v>
      </c>
      <c r="P16357" s="490"/>
      <c r="Q16357" s="490"/>
      <c r="R16357" s="490">
        <v>2</v>
      </c>
    </row>
    <row r="16358" spans="1:18" ht="24">
      <c r="A16358" s="486">
        <v>325</v>
      </c>
      <c r="B16358" s="483" t="s">
        <v>29324</v>
      </c>
      <c r="C16358" s="487" t="s">
        <v>29325</v>
      </c>
      <c r="D16358" s="488">
        <v>1742.74</v>
      </c>
      <c r="E16358" s="488">
        <v>1708</v>
      </c>
      <c r="F16358" s="488"/>
      <c r="G16358" s="488">
        <v>34.74</v>
      </c>
      <c r="H16358" s="489">
        <v>20039.97</v>
      </c>
      <c r="I16358" s="489">
        <v>19642</v>
      </c>
      <c r="J16358" s="489"/>
      <c r="K16358" s="489">
        <v>397.97</v>
      </c>
      <c r="L16358" s="43">
        <v>11.499116334048683</v>
      </c>
      <c r="M16358" s="43">
        <v>11.5</v>
      </c>
      <c r="N16358" s="43" t="s">
        <v>1690</v>
      </c>
      <c r="O16358" s="43">
        <v>11.45567069660334</v>
      </c>
      <c r="P16358" s="490"/>
      <c r="Q16358" s="490"/>
      <c r="R16358" s="490">
        <v>2</v>
      </c>
    </row>
    <row r="16359" spans="1:18" ht="36">
      <c r="A16359" s="486">
        <v>326</v>
      </c>
      <c r="B16359" s="483" t="s">
        <v>29326</v>
      </c>
      <c r="C16359" s="487" t="s">
        <v>29327</v>
      </c>
      <c r="D16359" s="488">
        <v>2016.35</v>
      </c>
      <c r="E16359" s="488">
        <v>1976.4</v>
      </c>
      <c r="F16359" s="488"/>
      <c r="G16359" s="488">
        <v>39.950000000000003</v>
      </c>
      <c r="H16359" s="489">
        <v>23186.87</v>
      </c>
      <c r="I16359" s="489">
        <v>22728.6</v>
      </c>
      <c r="J16359" s="489"/>
      <c r="K16359" s="489">
        <v>458.27</v>
      </c>
      <c r="L16359" s="43">
        <v>11.499427182780767</v>
      </c>
      <c r="M16359" s="43">
        <v>11.499999999999998</v>
      </c>
      <c r="N16359" s="43" t="s">
        <v>1690</v>
      </c>
      <c r="O16359" s="43">
        <v>11.471088861076344</v>
      </c>
      <c r="P16359" s="490"/>
      <c r="Q16359" s="490"/>
      <c r="R16359" s="490">
        <v>2</v>
      </c>
    </row>
    <row r="16360" spans="1:18" ht="48">
      <c r="A16360" s="486">
        <v>327</v>
      </c>
      <c r="B16360" s="483" t="s">
        <v>29328</v>
      </c>
      <c r="C16360" s="487" t="s">
        <v>29329</v>
      </c>
      <c r="D16360" s="488">
        <v>2439.39</v>
      </c>
      <c r="E16360" s="488">
        <v>2391.1999999999998</v>
      </c>
      <c r="F16360" s="488"/>
      <c r="G16360" s="488">
        <v>48.19</v>
      </c>
      <c r="H16360" s="489">
        <v>28052.01</v>
      </c>
      <c r="I16360" s="489">
        <v>27498.799999999999</v>
      </c>
      <c r="J16360" s="489"/>
      <c r="K16360" s="489">
        <v>553.21</v>
      </c>
      <c r="L16360" s="43">
        <v>11.499600309913545</v>
      </c>
      <c r="M16360" s="43">
        <v>11.5</v>
      </c>
      <c r="N16360" s="43" t="s">
        <v>1690</v>
      </c>
      <c r="O16360" s="43">
        <v>11.479767586636234</v>
      </c>
      <c r="P16360" s="490"/>
      <c r="Q16360" s="490"/>
      <c r="R16360" s="490">
        <v>2</v>
      </c>
    </row>
    <row r="16361" spans="1:18" ht="12.75" customHeight="1">
      <c r="A16361" s="628" t="s">
        <v>29330</v>
      </c>
      <c r="B16361" s="629"/>
      <c r="C16361" s="629"/>
      <c r="D16361" s="629"/>
      <c r="E16361" s="629"/>
      <c r="F16361" s="629"/>
      <c r="G16361" s="629"/>
      <c r="H16361" s="629"/>
      <c r="I16361" s="629"/>
      <c r="J16361" s="629"/>
      <c r="K16361" s="629"/>
      <c r="L16361" s="629"/>
      <c r="M16361" s="629"/>
      <c r="N16361" s="629"/>
      <c r="O16361" s="629"/>
      <c r="P16361" s="629"/>
      <c r="Q16361" s="629"/>
      <c r="R16361" s="629"/>
    </row>
    <row r="16362" spans="1:18" ht="24">
      <c r="A16362" s="486">
        <v>328</v>
      </c>
      <c r="B16362" s="483" t="s">
        <v>29331</v>
      </c>
      <c r="C16362" s="487" t="s">
        <v>29332</v>
      </c>
      <c r="D16362" s="488">
        <v>376.29</v>
      </c>
      <c r="E16362" s="488">
        <v>367.68</v>
      </c>
      <c r="F16362" s="488"/>
      <c r="G16362" s="488">
        <v>8.61</v>
      </c>
      <c r="H16362" s="489">
        <v>4324.04</v>
      </c>
      <c r="I16362" s="489">
        <v>4228.4799999999996</v>
      </c>
      <c r="J16362" s="489"/>
      <c r="K16362" s="489">
        <v>95.56</v>
      </c>
      <c r="L16362" s="43">
        <v>11.491243455845225</v>
      </c>
      <c r="M16362" s="43">
        <v>11.500435161009571</v>
      </c>
      <c r="N16362" s="43" t="s">
        <v>1690</v>
      </c>
      <c r="O16362" s="43">
        <v>11.098722415795587</v>
      </c>
      <c r="P16362" s="490"/>
      <c r="Q16362" s="490"/>
      <c r="R16362" s="490">
        <v>3</v>
      </c>
    </row>
    <row r="16363" spans="1:18" ht="24">
      <c r="A16363" s="491">
        <v>329</v>
      </c>
      <c r="B16363" s="492" t="s">
        <v>29333</v>
      </c>
      <c r="C16363" s="493" t="s">
        <v>29334</v>
      </c>
      <c r="D16363" s="494">
        <v>446.53</v>
      </c>
      <c r="E16363" s="494">
        <v>437.77</v>
      </c>
      <c r="F16363" s="494"/>
      <c r="G16363" s="494">
        <v>8.76</v>
      </c>
      <c r="H16363" s="495">
        <v>5135.2700000000004</v>
      </c>
      <c r="I16363" s="495">
        <v>5034.53</v>
      </c>
      <c r="J16363" s="495"/>
      <c r="K16363" s="495">
        <v>100.74</v>
      </c>
      <c r="L16363" s="611">
        <v>11.500391910957832</v>
      </c>
      <c r="M16363" s="611">
        <v>11.50039975329511</v>
      </c>
      <c r="N16363" s="611" t="s">
        <v>1690</v>
      </c>
      <c r="O16363" s="611">
        <v>11.5</v>
      </c>
      <c r="P16363" s="496"/>
      <c r="Q16363" s="496"/>
      <c r="R16363" s="496">
        <v>3</v>
      </c>
    </row>
    <row r="16364" spans="1:18" ht="12.75" customHeight="1">
      <c r="A16364" s="630" t="s">
        <v>29335</v>
      </c>
      <c r="B16364" s="631"/>
      <c r="C16364" s="631"/>
      <c r="D16364" s="631"/>
      <c r="E16364" s="631"/>
      <c r="F16364" s="631"/>
      <c r="G16364" s="631"/>
      <c r="H16364" s="631"/>
      <c r="I16364" s="631"/>
      <c r="J16364" s="631"/>
      <c r="K16364" s="631"/>
      <c r="L16364" s="631"/>
      <c r="M16364" s="631"/>
      <c r="N16364" s="631"/>
      <c r="O16364" s="631"/>
      <c r="P16364" s="631"/>
      <c r="Q16364" s="631"/>
      <c r="R16364" s="631"/>
    </row>
    <row r="16365" spans="1:18" ht="12.75" customHeight="1">
      <c r="A16365" s="628" t="s">
        <v>29336</v>
      </c>
      <c r="B16365" s="629"/>
      <c r="C16365" s="629"/>
      <c r="D16365" s="629"/>
      <c r="E16365" s="629"/>
      <c r="F16365" s="629"/>
      <c r="G16365" s="629"/>
      <c r="H16365" s="629"/>
      <c r="I16365" s="629"/>
      <c r="J16365" s="629"/>
      <c r="K16365" s="629"/>
      <c r="L16365" s="629"/>
      <c r="M16365" s="629"/>
      <c r="N16365" s="629"/>
      <c r="O16365" s="629"/>
      <c r="P16365" s="629"/>
      <c r="Q16365" s="629"/>
      <c r="R16365" s="629"/>
    </row>
    <row r="16366" spans="1:18" ht="24">
      <c r="A16366" s="486">
        <v>330</v>
      </c>
      <c r="B16366" s="483" t="s">
        <v>29337</v>
      </c>
      <c r="C16366" s="487" t="s">
        <v>29338</v>
      </c>
      <c r="D16366" s="488">
        <v>293.35000000000002</v>
      </c>
      <c r="E16366" s="488">
        <v>215.79</v>
      </c>
      <c r="F16366" s="488">
        <v>67.12</v>
      </c>
      <c r="G16366" s="488">
        <v>10.44</v>
      </c>
      <c r="H16366" s="489">
        <v>2949.18</v>
      </c>
      <c r="I16366" s="489">
        <v>2481.56</v>
      </c>
      <c r="J16366" s="489">
        <v>364.3</v>
      </c>
      <c r="K16366" s="489">
        <v>103.32</v>
      </c>
      <c r="L16366" s="43">
        <v>10.05345150843702</v>
      </c>
      <c r="M16366" s="43">
        <v>11.499884146624034</v>
      </c>
      <c r="N16366" s="43">
        <v>5.4275923718712749</v>
      </c>
      <c r="O16366" s="43">
        <v>9.8965517241379306</v>
      </c>
      <c r="P16366" s="490"/>
      <c r="Q16366" s="490"/>
      <c r="R16366" s="490">
        <v>1</v>
      </c>
    </row>
    <row r="16367" spans="1:18" ht="24">
      <c r="A16367" s="486">
        <v>331</v>
      </c>
      <c r="B16367" s="483" t="s">
        <v>29339</v>
      </c>
      <c r="C16367" s="487" t="s">
        <v>29340</v>
      </c>
      <c r="D16367" s="488">
        <v>507.06</v>
      </c>
      <c r="E16367" s="488">
        <v>282.3</v>
      </c>
      <c r="F16367" s="488">
        <v>207.89</v>
      </c>
      <c r="G16367" s="488">
        <v>16.87</v>
      </c>
      <c r="H16367" s="489">
        <v>4535.87</v>
      </c>
      <c r="I16367" s="489">
        <v>3246.43</v>
      </c>
      <c r="J16367" s="489">
        <v>1126.1199999999999</v>
      </c>
      <c r="K16367" s="489">
        <v>163.32</v>
      </c>
      <c r="L16367" s="43">
        <v>8.9454305210428746</v>
      </c>
      <c r="M16367" s="43">
        <v>11.499929153382926</v>
      </c>
      <c r="N16367" s="43">
        <v>5.4169031699456438</v>
      </c>
      <c r="O16367" s="43">
        <v>9.6810906935388257</v>
      </c>
      <c r="P16367" s="490"/>
      <c r="Q16367" s="490"/>
      <c r="R16367" s="490">
        <v>1</v>
      </c>
    </row>
    <row r="16368" spans="1:18" ht="24">
      <c r="A16368" s="486">
        <v>332</v>
      </c>
      <c r="B16368" s="483" t="s">
        <v>29341</v>
      </c>
      <c r="C16368" s="487" t="s">
        <v>29342</v>
      </c>
      <c r="D16368" s="488">
        <v>759.59</v>
      </c>
      <c r="E16368" s="488">
        <v>365.07</v>
      </c>
      <c r="F16368" s="488">
        <v>374.98</v>
      </c>
      <c r="G16368" s="488">
        <v>19.54</v>
      </c>
      <c r="H16368" s="489">
        <v>6420.27</v>
      </c>
      <c r="I16368" s="489">
        <v>4198.26</v>
      </c>
      <c r="J16368" s="489">
        <v>2030.78</v>
      </c>
      <c r="K16368" s="489">
        <v>191.23</v>
      </c>
      <c r="L16368" s="43">
        <v>8.4522834687133859</v>
      </c>
      <c r="M16368" s="43">
        <v>11.499876735968446</v>
      </c>
      <c r="N16368" s="43">
        <v>5.4157021707824411</v>
      </c>
      <c r="O16368" s="43">
        <v>9.7865916069600818</v>
      </c>
      <c r="P16368" s="490"/>
      <c r="Q16368" s="490"/>
      <c r="R16368" s="490">
        <v>1</v>
      </c>
    </row>
    <row r="16369" spans="1:18" ht="24">
      <c r="A16369" s="486">
        <v>333</v>
      </c>
      <c r="B16369" s="483" t="s">
        <v>29343</v>
      </c>
      <c r="C16369" s="487" t="s">
        <v>29344</v>
      </c>
      <c r="D16369" s="488">
        <v>235.76</v>
      </c>
      <c r="E16369" s="488">
        <v>199.53</v>
      </c>
      <c r="F16369" s="488">
        <v>31.12</v>
      </c>
      <c r="G16369" s="488">
        <v>5.1100000000000003</v>
      </c>
      <c r="H16369" s="489">
        <v>2519.1799999999998</v>
      </c>
      <c r="I16369" s="489">
        <v>2294.6</v>
      </c>
      <c r="J16369" s="489">
        <v>168.86</v>
      </c>
      <c r="K16369" s="489">
        <v>55.72</v>
      </c>
      <c r="L16369" s="43">
        <v>10.685357991177469</v>
      </c>
      <c r="M16369" s="43">
        <v>11.500025058888387</v>
      </c>
      <c r="N16369" s="43">
        <v>5.4260925449871467</v>
      </c>
      <c r="O16369" s="43">
        <v>10.904109589041095</v>
      </c>
      <c r="P16369" s="490"/>
      <c r="Q16369" s="490"/>
      <c r="R16369" s="490">
        <v>1</v>
      </c>
    </row>
    <row r="16370" spans="1:18" ht="24">
      <c r="A16370" s="486">
        <v>334</v>
      </c>
      <c r="B16370" s="483" t="s">
        <v>29345</v>
      </c>
      <c r="C16370" s="487" t="s">
        <v>29346</v>
      </c>
      <c r="D16370" s="488">
        <v>246.35</v>
      </c>
      <c r="E16370" s="488">
        <v>199.53</v>
      </c>
      <c r="F16370" s="488">
        <v>28.55</v>
      </c>
      <c r="G16370" s="488">
        <v>18.27</v>
      </c>
      <c r="H16370" s="489">
        <v>2620.5700000000002</v>
      </c>
      <c r="I16370" s="489">
        <v>2294.6</v>
      </c>
      <c r="J16370" s="489">
        <v>154.91999999999999</v>
      </c>
      <c r="K16370" s="489">
        <v>171.05</v>
      </c>
      <c r="L16370" s="43">
        <v>10.637588796427847</v>
      </c>
      <c r="M16370" s="43">
        <v>11.500025058888387</v>
      </c>
      <c r="N16370" s="43">
        <v>5.4262697022767066</v>
      </c>
      <c r="O16370" s="43">
        <v>9.3623426382047086</v>
      </c>
      <c r="P16370" s="490"/>
      <c r="Q16370" s="490"/>
      <c r="R16370" s="490">
        <v>1</v>
      </c>
    </row>
    <row r="16371" spans="1:18" ht="24">
      <c r="A16371" s="486">
        <v>335</v>
      </c>
      <c r="B16371" s="483" t="s">
        <v>29347</v>
      </c>
      <c r="C16371" s="487" t="s">
        <v>29348</v>
      </c>
      <c r="D16371" s="488">
        <v>690.09</v>
      </c>
      <c r="E16371" s="488">
        <v>365.07</v>
      </c>
      <c r="F16371" s="488">
        <v>307.52</v>
      </c>
      <c r="G16371" s="488">
        <v>17.5</v>
      </c>
      <c r="H16371" s="489">
        <v>6037.58</v>
      </c>
      <c r="I16371" s="489">
        <v>4198.26</v>
      </c>
      <c r="J16371" s="489">
        <v>1665.97</v>
      </c>
      <c r="K16371" s="489">
        <v>173.35</v>
      </c>
      <c r="L16371" s="43">
        <v>8.7489747714066279</v>
      </c>
      <c r="M16371" s="43">
        <v>11.499876735968446</v>
      </c>
      <c r="N16371" s="43">
        <v>5.4174362643080132</v>
      </c>
      <c r="O16371" s="43">
        <v>9.9057142857142857</v>
      </c>
      <c r="P16371" s="490"/>
      <c r="Q16371" s="490"/>
      <c r="R16371" s="490">
        <v>1</v>
      </c>
    </row>
    <row r="16372" spans="1:18" ht="24">
      <c r="A16372" s="486">
        <v>336</v>
      </c>
      <c r="B16372" s="483" t="s">
        <v>29349</v>
      </c>
      <c r="C16372" s="487" t="s">
        <v>29350</v>
      </c>
      <c r="D16372" s="488">
        <v>831.79</v>
      </c>
      <c r="E16372" s="488">
        <v>431.58</v>
      </c>
      <c r="F16372" s="488">
        <v>354.86</v>
      </c>
      <c r="G16372" s="488">
        <v>45.35</v>
      </c>
      <c r="H16372" s="489">
        <v>7306.06</v>
      </c>
      <c r="I16372" s="489">
        <v>4963.12</v>
      </c>
      <c r="J16372" s="489">
        <v>1921.85</v>
      </c>
      <c r="K16372" s="489">
        <v>421.09</v>
      </c>
      <c r="L16372" s="43">
        <v>8.7835391144399431</v>
      </c>
      <c r="M16372" s="43">
        <v>11.499884146624034</v>
      </c>
      <c r="N16372" s="43">
        <v>5.4157977794059624</v>
      </c>
      <c r="O16372" s="43">
        <v>9.2853362734288858</v>
      </c>
      <c r="P16372" s="490"/>
      <c r="Q16372" s="490"/>
      <c r="R16372" s="490">
        <v>1</v>
      </c>
    </row>
    <row r="16373" spans="1:18" ht="24">
      <c r="A16373" s="486">
        <v>337</v>
      </c>
      <c r="B16373" s="483" t="s">
        <v>29351</v>
      </c>
      <c r="C16373" s="487" t="s">
        <v>29352</v>
      </c>
      <c r="D16373" s="488">
        <v>245.25</v>
      </c>
      <c r="E16373" s="488">
        <v>202.5</v>
      </c>
      <c r="F16373" s="488">
        <v>36.25</v>
      </c>
      <c r="G16373" s="488">
        <v>6.5</v>
      </c>
      <c r="H16373" s="489">
        <v>2593.5100000000002</v>
      </c>
      <c r="I16373" s="489">
        <v>2328.75</v>
      </c>
      <c r="J16373" s="489">
        <v>196.72</v>
      </c>
      <c r="K16373" s="489">
        <v>68.040000000000006</v>
      </c>
      <c r="L16373" s="43">
        <v>10.574964322120286</v>
      </c>
      <c r="M16373" s="43">
        <v>11.5</v>
      </c>
      <c r="N16373" s="43">
        <v>5.4267586206896548</v>
      </c>
      <c r="O16373" s="43">
        <v>10.467692307692309</v>
      </c>
      <c r="P16373" s="490"/>
      <c r="Q16373" s="490"/>
      <c r="R16373" s="490">
        <v>1</v>
      </c>
    </row>
    <row r="16374" spans="1:18" ht="24">
      <c r="A16374" s="486">
        <v>338</v>
      </c>
      <c r="B16374" s="483" t="s">
        <v>29353</v>
      </c>
      <c r="C16374" s="487" t="s">
        <v>29354</v>
      </c>
      <c r="D16374" s="488">
        <v>773.7</v>
      </c>
      <c r="E16374" s="488">
        <v>421.5</v>
      </c>
      <c r="F16374" s="488">
        <v>321.33</v>
      </c>
      <c r="G16374" s="488">
        <v>30.87</v>
      </c>
      <c r="H16374" s="489">
        <v>6881.49</v>
      </c>
      <c r="I16374" s="489">
        <v>4847.25</v>
      </c>
      <c r="J16374" s="489">
        <v>1740.61</v>
      </c>
      <c r="K16374" s="489">
        <v>293.63</v>
      </c>
      <c r="L16374" s="43">
        <v>8.8942613416052723</v>
      </c>
      <c r="M16374" s="43">
        <v>11.5</v>
      </c>
      <c r="N16374" s="43">
        <v>5.4168922914138111</v>
      </c>
      <c r="O16374" s="43">
        <v>9.5118237771298997</v>
      </c>
      <c r="P16374" s="490"/>
      <c r="Q16374" s="490"/>
      <c r="R16374" s="490">
        <v>1</v>
      </c>
    </row>
    <row r="16375" spans="1:18" ht="24">
      <c r="A16375" s="486">
        <v>339</v>
      </c>
      <c r="B16375" s="483" t="s">
        <v>29355</v>
      </c>
      <c r="C16375" s="487" t="s">
        <v>29356</v>
      </c>
      <c r="D16375" s="488">
        <v>719.73</v>
      </c>
      <c r="E16375" s="488">
        <v>370.5</v>
      </c>
      <c r="F16375" s="488">
        <v>337.33</v>
      </c>
      <c r="G16375" s="488">
        <v>11.9</v>
      </c>
      <c r="H16375" s="489">
        <v>6213.36</v>
      </c>
      <c r="I16375" s="489">
        <v>4260.75</v>
      </c>
      <c r="J16375" s="489">
        <v>1828.05</v>
      </c>
      <c r="K16375" s="489">
        <v>124.56</v>
      </c>
      <c r="L16375" s="43">
        <v>8.6329040056687916</v>
      </c>
      <c r="M16375" s="43">
        <v>11.5</v>
      </c>
      <c r="N16375" s="43">
        <v>5.4191741025108948</v>
      </c>
      <c r="O16375" s="43">
        <v>10.467226890756303</v>
      </c>
      <c r="P16375" s="490"/>
      <c r="Q16375" s="490"/>
      <c r="R16375" s="490">
        <v>1</v>
      </c>
    </row>
    <row r="16376" spans="1:18" ht="24">
      <c r="A16376" s="486">
        <v>340</v>
      </c>
      <c r="B16376" s="483" t="s">
        <v>29357</v>
      </c>
      <c r="C16376" s="487" t="s">
        <v>29358</v>
      </c>
      <c r="D16376" s="488">
        <v>1060.1500000000001</v>
      </c>
      <c r="E16376" s="488">
        <v>489</v>
      </c>
      <c r="F16376" s="488">
        <v>548.30999999999995</v>
      </c>
      <c r="G16376" s="488">
        <v>22.84</v>
      </c>
      <c r="H16376" s="489">
        <v>8819.32</v>
      </c>
      <c r="I16376" s="489">
        <v>5623.5</v>
      </c>
      <c r="J16376" s="489">
        <v>2968.92</v>
      </c>
      <c r="K16376" s="489">
        <v>226.9</v>
      </c>
      <c r="L16376" s="43">
        <v>8.3189359996226937</v>
      </c>
      <c r="M16376" s="43">
        <v>11.5</v>
      </c>
      <c r="N16376" s="43">
        <v>5.4146741806642238</v>
      </c>
      <c r="O16376" s="43">
        <v>9.9343257443082322</v>
      </c>
      <c r="P16376" s="490"/>
      <c r="Q16376" s="490"/>
      <c r="R16376" s="490">
        <v>1</v>
      </c>
    </row>
    <row r="16377" spans="1:18" ht="12.75" customHeight="1">
      <c r="A16377" s="628" t="s">
        <v>29359</v>
      </c>
      <c r="B16377" s="629"/>
      <c r="C16377" s="629"/>
      <c r="D16377" s="629"/>
      <c r="E16377" s="629"/>
      <c r="F16377" s="629"/>
      <c r="G16377" s="629"/>
      <c r="H16377" s="629"/>
      <c r="I16377" s="629"/>
      <c r="J16377" s="629"/>
      <c r="K16377" s="629"/>
      <c r="L16377" s="629"/>
      <c r="M16377" s="629"/>
      <c r="N16377" s="629"/>
      <c r="O16377" s="629"/>
      <c r="P16377" s="629"/>
      <c r="Q16377" s="629"/>
      <c r="R16377" s="629"/>
    </row>
    <row r="16378" spans="1:18" ht="24">
      <c r="A16378" s="486">
        <v>341</v>
      </c>
      <c r="B16378" s="483" t="s">
        <v>29360</v>
      </c>
      <c r="C16378" s="487" t="s">
        <v>29361</v>
      </c>
      <c r="D16378" s="488">
        <v>596.14</v>
      </c>
      <c r="E16378" s="488">
        <v>337.5</v>
      </c>
      <c r="F16378" s="488">
        <v>241.69</v>
      </c>
      <c r="G16378" s="488">
        <v>16.95</v>
      </c>
      <c r="H16378" s="489">
        <v>5357.74</v>
      </c>
      <c r="I16378" s="489">
        <v>3881.25</v>
      </c>
      <c r="J16378" s="489">
        <v>1309.46</v>
      </c>
      <c r="K16378" s="489">
        <v>167.03</v>
      </c>
      <c r="L16378" s="43">
        <v>8.9873855134699898</v>
      </c>
      <c r="M16378" s="43">
        <v>11.5</v>
      </c>
      <c r="N16378" s="43">
        <v>5.4179320617319711</v>
      </c>
      <c r="O16378" s="43">
        <v>9.8542772861356944</v>
      </c>
      <c r="P16378" s="490"/>
      <c r="Q16378" s="490"/>
      <c r="R16378" s="490">
        <v>2</v>
      </c>
    </row>
    <row r="16379" spans="1:18" ht="24">
      <c r="A16379" s="486">
        <v>342</v>
      </c>
      <c r="B16379" s="483" t="s">
        <v>29362</v>
      </c>
      <c r="C16379" s="487" t="s">
        <v>29363</v>
      </c>
      <c r="D16379" s="488">
        <v>833.3</v>
      </c>
      <c r="E16379" s="488">
        <v>454.5</v>
      </c>
      <c r="F16379" s="488">
        <v>353.39</v>
      </c>
      <c r="G16379" s="488">
        <v>25.41</v>
      </c>
      <c r="H16379" s="489">
        <v>7388.23</v>
      </c>
      <c r="I16379" s="489">
        <v>5226.75</v>
      </c>
      <c r="J16379" s="489">
        <v>1913.9</v>
      </c>
      <c r="K16379" s="489">
        <v>247.58</v>
      </c>
      <c r="L16379" s="43">
        <v>8.8662306492259688</v>
      </c>
      <c r="M16379" s="43">
        <v>11.5</v>
      </c>
      <c r="N16379" s="43">
        <v>5.4158295367724048</v>
      </c>
      <c r="O16379" s="43">
        <v>9.7434081070444716</v>
      </c>
      <c r="P16379" s="490"/>
      <c r="Q16379" s="490"/>
      <c r="R16379" s="490">
        <v>2</v>
      </c>
    </row>
    <row r="16380" spans="1:18" ht="24">
      <c r="A16380" s="486">
        <v>343</v>
      </c>
      <c r="B16380" s="483" t="s">
        <v>29364</v>
      </c>
      <c r="C16380" s="487" t="s">
        <v>29365</v>
      </c>
      <c r="D16380" s="488">
        <v>917.88</v>
      </c>
      <c r="E16380" s="488">
        <v>337.5</v>
      </c>
      <c r="F16380" s="488">
        <v>569.38</v>
      </c>
      <c r="G16380" s="488">
        <v>11</v>
      </c>
      <c r="H16380" s="489">
        <v>7084.97</v>
      </c>
      <c r="I16380" s="489">
        <v>3881.25</v>
      </c>
      <c r="J16380" s="489">
        <v>3088.84</v>
      </c>
      <c r="K16380" s="489">
        <v>114.88</v>
      </c>
      <c r="L16380" s="43">
        <v>7.7188412428639914</v>
      </c>
      <c r="M16380" s="43">
        <v>11.5</v>
      </c>
      <c r="N16380" s="43">
        <v>5.4249183322210124</v>
      </c>
      <c r="O16380" s="43">
        <v>10.443636363636363</v>
      </c>
      <c r="P16380" s="490"/>
      <c r="Q16380" s="490"/>
      <c r="R16380" s="490">
        <v>2</v>
      </c>
    </row>
    <row r="16381" spans="1:18" ht="24">
      <c r="A16381" s="486">
        <v>344</v>
      </c>
      <c r="B16381" s="483" t="s">
        <v>29366</v>
      </c>
      <c r="C16381" s="487" t="s">
        <v>29367</v>
      </c>
      <c r="D16381" s="488">
        <v>355.36</v>
      </c>
      <c r="E16381" s="488">
        <v>235.5</v>
      </c>
      <c r="F16381" s="488">
        <v>113.11</v>
      </c>
      <c r="G16381" s="488">
        <v>6.75</v>
      </c>
      <c r="H16381" s="489">
        <v>3393.47</v>
      </c>
      <c r="I16381" s="489">
        <v>2708.25</v>
      </c>
      <c r="J16381" s="489">
        <v>613.16999999999996</v>
      </c>
      <c r="K16381" s="489">
        <v>72.05</v>
      </c>
      <c r="L16381" s="43">
        <v>9.5493865375956766</v>
      </c>
      <c r="M16381" s="43">
        <v>11.5</v>
      </c>
      <c r="N16381" s="43">
        <v>5.4210061002563874</v>
      </c>
      <c r="O16381" s="43">
        <v>10.674074074074074</v>
      </c>
      <c r="P16381" s="490"/>
      <c r="Q16381" s="490"/>
      <c r="R16381" s="490">
        <v>2</v>
      </c>
    </row>
    <row r="16382" spans="1:18" ht="24">
      <c r="A16382" s="486">
        <v>345</v>
      </c>
      <c r="B16382" s="483" t="s">
        <v>29368</v>
      </c>
      <c r="C16382" s="487" t="s">
        <v>29369</v>
      </c>
      <c r="D16382" s="488">
        <v>608.29999999999995</v>
      </c>
      <c r="E16382" s="488">
        <v>337.5</v>
      </c>
      <c r="F16382" s="488">
        <v>255.89</v>
      </c>
      <c r="G16382" s="488">
        <v>14.91</v>
      </c>
      <c r="H16382" s="489">
        <v>5419.27</v>
      </c>
      <c r="I16382" s="489">
        <v>3881.25</v>
      </c>
      <c r="J16382" s="489">
        <v>1388.87</v>
      </c>
      <c r="K16382" s="489">
        <v>149.15</v>
      </c>
      <c r="L16382" s="43">
        <v>8.9088771987506181</v>
      </c>
      <c r="M16382" s="43">
        <v>11.5</v>
      </c>
      <c r="N16382" s="43">
        <v>5.4276056117863147</v>
      </c>
      <c r="O16382" s="43">
        <v>10.003353454057679</v>
      </c>
      <c r="P16382" s="490"/>
      <c r="Q16382" s="490"/>
      <c r="R16382" s="490">
        <v>2</v>
      </c>
    </row>
    <row r="16383" spans="1:18" ht="24">
      <c r="A16383" s="486">
        <v>346</v>
      </c>
      <c r="B16383" s="483" t="s">
        <v>29370</v>
      </c>
      <c r="C16383" s="487" t="s">
        <v>29371</v>
      </c>
      <c r="D16383" s="488">
        <v>236.63</v>
      </c>
      <c r="E16383" s="488">
        <v>202.5</v>
      </c>
      <c r="F16383" s="488">
        <v>28.55</v>
      </c>
      <c r="G16383" s="488">
        <v>5.58</v>
      </c>
      <c r="H16383" s="489">
        <v>2543.66</v>
      </c>
      <c r="I16383" s="489">
        <v>2328.75</v>
      </c>
      <c r="J16383" s="489">
        <v>154.91999999999999</v>
      </c>
      <c r="K16383" s="489">
        <v>59.99</v>
      </c>
      <c r="L16383" s="43">
        <v>10.74952457422981</v>
      </c>
      <c r="M16383" s="43">
        <v>11.5</v>
      </c>
      <c r="N16383" s="43">
        <v>5.4262697022767066</v>
      </c>
      <c r="O16383" s="43">
        <v>10.750896057347671</v>
      </c>
      <c r="P16383" s="490"/>
      <c r="Q16383" s="490"/>
      <c r="R16383" s="490">
        <v>2</v>
      </c>
    </row>
    <row r="16384" spans="1:18" ht="24">
      <c r="A16384" s="486">
        <v>347</v>
      </c>
      <c r="B16384" s="483" t="s">
        <v>29372</v>
      </c>
      <c r="C16384" s="487" t="s">
        <v>29373</v>
      </c>
      <c r="D16384" s="488">
        <v>336.7</v>
      </c>
      <c r="E16384" s="488">
        <v>219</v>
      </c>
      <c r="F16384" s="488">
        <v>111.38</v>
      </c>
      <c r="G16384" s="488">
        <v>6.32</v>
      </c>
      <c r="H16384" s="489">
        <v>3190.28</v>
      </c>
      <c r="I16384" s="489">
        <v>2518.5</v>
      </c>
      <c r="J16384" s="489">
        <v>604.41999999999996</v>
      </c>
      <c r="K16384" s="489">
        <v>67.36</v>
      </c>
      <c r="L16384" s="43">
        <v>9.4751410751410763</v>
      </c>
      <c r="M16384" s="43">
        <v>11.5</v>
      </c>
      <c r="N16384" s="43">
        <v>5.4266475130184952</v>
      </c>
      <c r="O16384" s="43">
        <v>10.658227848101266</v>
      </c>
      <c r="P16384" s="490"/>
      <c r="Q16384" s="490"/>
      <c r="R16384" s="490">
        <v>2</v>
      </c>
    </row>
    <row r="16385" spans="1:18" ht="12.75" customHeight="1">
      <c r="A16385" s="628" t="s">
        <v>29374</v>
      </c>
      <c r="B16385" s="629"/>
      <c r="C16385" s="629"/>
      <c r="D16385" s="629"/>
      <c r="E16385" s="629"/>
      <c r="F16385" s="629"/>
      <c r="G16385" s="629"/>
      <c r="H16385" s="629"/>
      <c r="I16385" s="629"/>
      <c r="J16385" s="629"/>
      <c r="K16385" s="629"/>
      <c r="L16385" s="629"/>
      <c r="M16385" s="629"/>
      <c r="N16385" s="629"/>
      <c r="O16385" s="629"/>
      <c r="P16385" s="629"/>
      <c r="Q16385" s="629"/>
      <c r="R16385" s="629"/>
    </row>
    <row r="16386" spans="1:18" ht="24">
      <c r="A16386" s="486">
        <v>348</v>
      </c>
      <c r="B16386" s="483" t="s">
        <v>29375</v>
      </c>
      <c r="C16386" s="487" t="s">
        <v>29376</v>
      </c>
      <c r="D16386" s="488">
        <v>821.31</v>
      </c>
      <c r="E16386" s="488">
        <v>387</v>
      </c>
      <c r="F16386" s="488">
        <v>385.77</v>
      </c>
      <c r="G16386" s="488">
        <v>48.54</v>
      </c>
      <c r="H16386" s="489">
        <v>6990.76</v>
      </c>
      <c r="I16386" s="489">
        <v>4450.5</v>
      </c>
      <c r="J16386" s="489">
        <v>2093.65</v>
      </c>
      <c r="K16386" s="489">
        <v>446.61</v>
      </c>
      <c r="L16386" s="43">
        <v>8.5117190829284937</v>
      </c>
      <c r="M16386" s="43">
        <v>11.5</v>
      </c>
      <c r="N16386" s="43">
        <v>5.4271975529460565</v>
      </c>
      <c r="O16386" s="43">
        <v>9.2008652657601981</v>
      </c>
      <c r="P16386" s="490"/>
      <c r="Q16386" s="490"/>
      <c r="R16386" s="490">
        <v>3</v>
      </c>
    </row>
    <row r="16387" spans="1:18" ht="24">
      <c r="A16387" s="486">
        <v>349</v>
      </c>
      <c r="B16387" s="483" t="s">
        <v>29377</v>
      </c>
      <c r="C16387" s="487" t="s">
        <v>29378</v>
      </c>
      <c r="D16387" s="488">
        <v>866.23</v>
      </c>
      <c r="E16387" s="488">
        <v>431.58</v>
      </c>
      <c r="F16387" s="488">
        <v>414.8</v>
      </c>
      <c r="G16387" s="488">
        <v>19.850000000000001</v>
      </c>
      <c r="H16387" s="489">
        <v>7407.62</v>
      </c>
      <c r="I16387" s="489">
        <v>4963.12</v>
      </c>
      <c r="J16387" s="489">
        <v>2246.91</v>
      </c>
      <c r="K16387" s="489">
        <v>197.59</v>
      </c>
      <c r="L16387" s="43">
        <v>8.5515625180379349</v>
      </c>
      <c r="M16387" s="43">
        <v>11.499884146624034</v>
      </c>
      <c r="N16387" s="43">
        <v>5.4168514946962389</v>
      </c>
      <c r="O16387" s="43">
        <v>9.9541561712846338</v>
      </c>
      <c r="P16387" s="490"/>
      <c r="Q16387" s="490"/>
      <c r="R16387" s="490">
        <v>3</v>
      </c>
    </row>
    <row r="16388" spans="1:18" ht="24">
      <c r="A16388" s="486">
        <v>350</v>
      </c>
      <c r="B16388" s="483" t="s">
        <v>29379</v>
      </c>
      <c r="C16388" s="487" t="s">
        <v>29380</v>
      </c>
      <c r="D16388" s="488">
        <v>345.58</v>
      </c>
      <c r="E16388" s="488">
        <v>235.5</v>
      </c>
      <c r="F16388" s="488">
        <v>103.68</v>
      </c>
      <c r="G16388" s="488">
        <v>6.4</v>
      </c>
      <c r="H16388" s="489">
        <v>3339.87</v>
      </c>
      <c r="I16388" s="489">
        <v>2708.25</v>
      </c>
      <c r="J16388" s="489">
        <v>562.61</v>
      </c>
      <c r="K16388" s="489">
        <v>69.010000000000005</v>
      </c>
      <c r="L16388" s="43">
        <v>9.6645349846634652</v>
      </c>
      <c r="M16388" s="43">
        <v>11.5</v>
      </c>
      <c r="N16388" s="43">
        <v>5.4264081790123457</v>
      </c>
      <c r="O16388" s="43">
        <v>10.7828125</v>
      </c>
      <c r="P16388" s="490"/>
      <c r="Q16388" s="490"/>
      <c r="R16388" s="490">
        <v>3</v>
      </c>
    </row>
    <row r="16389" spans="1:18" ht="24">
      <c r="A16389" s="486">
        <v>351</v>
      </c>
      <c r="B16389" s="483" t="s">
        <v>29381</v>
      </c>
      <c r="C16389" s="487" t="s">
        <v>29382</v>
      </c>
      <c r="D16389" s="488">
        <v>201.87</v>
      </c>
      <c r="E16389" s="488">
        <v>184.5</v>
      </c>
      <c r="F16389" s="488">
        <v>13.11</v>
      </c>
      <c r="G16389" s="488">
        <v>4.26</v>
      </c>
      <c r="H16389" s="489">
        <v>2240.33</v>
      </c>
      <c r="I16389" s="489">
        <v>2121.75</v>
      </c>
      <c r="J16389" s="489">
        <v>71.13</v>
      </c>
      <c r="K16389" s="489">
        <v>47.45</v>
      </c>
      <c r="L16389" s="43">
        <v>11.097884777331945</v>
      </c>
      <c r="M16389" s="43">
        <v>11.5</v>
      </c>
      <c r="N16389" s="43">
        <v>5.4256292906178487</v>
      </c>
      <c r="O16389" s="43">
        <v>11.138497652582162</v>
      </c>
      <c r="P16389" s="490"/>
      <c r="Q16389" s="490"/>
      <c r="R16389" s="490">
        <v>3</v>
      </c>
    </row>
    <row r="16390" spans="1:18" ht="24">
      <c r="A16390" s="486">
        <v>352</v>
      </c>
      <c r="B16390" s="483" t="s">
        <v>29383</v>
      </c>
      <c r="C16390" s="487" t="s">
        <v>29384</v>
      </c>
      <c r="D16390" s="488">
        <v>406.45</v>
      </c>
      <c r="E16390" s="488">
        <v>253.5</v>
      </c>
      <c r="F16390" s="488">
        <v>147.31</v>
      </c>
      <c r="G16390" s="488">
        <v>5.64</v>
      </c>
      <c r="H16390" s="489">
        <v>3778.05</v>
      </c>
      <c r="I16390" s="489">
        <v>2915.25</v>
      </c>
      <c r="J16390" s="489">
        <v>799.48</v>
      </c>
      <c r="K16390" s="489">
        <v>63.32</v>
      </c>
      <c r="L16390" s="43">
        <v>9.2952392668224881</v>
      </c>
      <c r="M16390" s="43">
        <v>11.5</v>
      </c>
      <c r="N16390" s="43">
        <v>5.4271943520467039</v>
      </c>
      <c r="O16390" s="43">
        <v>11.226950354609929</v>
      </c>
      <c r="P16390" s="490"/>
      <c r="Q16390" s="490"/>
      <c r="R16390" s="490">
        <v>3</v>
      </c>
    </row>
    <row r="16391" spans="1:18" ht="24">
      <c r="A16391" s="486">
        <v>353</v>
      </c>
      <c r="B16391" s="483" t="s">
        <v>29385</v>
      </c>
      <c r="C16391" s="487" t="s">
        <v>29386</v>
      </c>
      <c r="D16391" s="488">
        <v>418.67</v>
      </c>
      <c r="E16391" s="488">
        <v>242.41</v>
      </c>
      <c r="F16391" s="488">
        <v>167.84</v>
      </c>
      <c r="G16391" s="488">
        <v>8.42</v>
      </c>
      <c r="H16391" s="489">
        <v>3785.71</v>
      </c>
      <c r="I16391" s="489">
        <v>2787.69</v>
      </c>
      <c r="J16391" s="489">
        <v>910.95</v>
      </c>
      <c r="K16391" s="489">
        <v>87.07</v>
      </c>
      <c r="L16391" s="43">
        <v>9.0422289631451971</v>
      </c>
      <c r="M16391" s="43">
        <v>11.49989686894105</v>
      </c>
      <c r="N16391" s="43">
        <v>5.4274904671115349</v>
      </c>
      <c r="O16391" s="43">
        <v>10.340855106888361</v>
      </c>
      <c r="P16391" s="490"/>
      <c r="Q16391" s="490"/>
      <c r="R16391" s="490">
        <v>3</v>
      </c>
    </row>
    <row r="16392" spans="1:18" ht="24">
      <c r="A16392" s="486">
        <v>354</v>
      </c>
      <c r="B16392" s="483" t="s">
        <v>29387</v>
      </c>
      <c r="C16392" s="487" t="s">
        <v>29388</v>
      </c>
      <c r="D16392" s="488">
        <v>724.67</v>
      </c>
      <c r="E16392" s="488">
        <v>381.37</v>
      </c>
      <c r="F16392" s="488">
        <v>305.07</v>
      </c>
      <c r="G16392" s="488">
        <v>38.229999999999997</v>
      </c>
      <c r="H16392" s="489">
        <v>6397.45</v>
      </c>
      <c r="I16392" s="489">
        <v>4385.7299999999996</v>
      </c>
      <c r="J16392" s="489">
        <v>1655.77</v>
      </c>
      <c r="K16392" s="489">
        <v>355.95</v>
      </c>
      <c r="L16392" s="43">
        <v>8.828087267307879</v>
      </c>
      <c r="M16392" s="43">
        <v>11.499934446862625</v>
      </c>
      <c r="N16392" s="43">
        <v>5.4275084406857443</v>
      </c>
      <c r="O16392" s="43">
        <v>9.31075071933037</v>
      </c>
      <c r="P16392" s="490"/>
      <c r="Q16392" s="490"/>
      <c r="R16392" s="490">
        <v>3</v>
      </c>
    </row>
    <row r="16393" spans="1:18" ht="24">
      <c r="A16393" s="486">
        <v>355</v>
      </c>
      <c r="B16393" s="483" t="s">
        <v>29389</v>
      </c>
      <c r="C16393" s="487" t="s">
        <v>29390</v>
      </c>
      <c r="D16393" s="488">
        <v>234.13</v>
      </c>
      <c r="E16393" s="488">
        <v>208.44</v>
      </c>
      <c r="F16393" s="488">
        <v>21.11</v>
      </c>
      <c r="G16393" s="488">
        <v>4.58</v>
      </c>
      <c r="H16393" s="489">
        <v>2563.08</v>
      </c>
      <c r="I16393" s="489">
        <v>2397.06</v>
      </c>
      <c r="J16393" s="489">
        <v>114.48</v>
      </c>
      <c r="K16393" s="489">
        <v>51.54</v>
      </c>
      <c r="L16393" s="43">
        <v>10.947251526929483</v>
      </c>
      <c r="M16393" s="43">
        <v>11.5</v>
      </c>
      <c r="N16393" s="43">
        <v>5.4230222643297017</v>
      </c>
      <c r="O16393" s="43">
        <v>11.253275109170305</v>
      </c>
      <c r="P16393" s="490"/>
      <c r="Q16393" s="490"/>
      <c r="R16393" s="490">
        <v>3</v>
      </c>
    </row>
    <row r="16394" spans="1:18" ht="24">
      <c r="A16394" s="486">
        <v>356</v>
      </c>
      <c r="B16394" s="483" t="s">
        <v>29391</v>
      </c>
      <c r="C16394" s="487" t="s">
        <v>29392</v>
      </c>
      <c r="D16394" s="488">
        <v>358.63</v>
      </c>
      <c r="E16394" s="488">
        <v>225.42</v>
      </c>
      <c r="F16394" s="488">
        <v>124.21</v>
      </c>
      <c r="G16394" s="488">
        <v>9</v>
      </c>
      <c r="H16394" s="489">
        <v>3357.67</v>
      </c>
      <c r="I16394" s="489">
        <v>2592.38</v>
      </c>
      <c r="J16394" s="489">
        <v>674.08</v>
      </c>
      <c r="K16394" s="489">
        <v>91.21</v>
      </c>
      <c r="L16394" s="43">
        <v>9.3624905891866277</v>
      </c>
      <c r="M16394" s="43">
        <v>11.500221808180287</v>
      </c>
      <c r="N16394" s="43">
        <v>5.4269382497383472</v>
      </c>
      <c r="O16394" s="43">
        <v>10.134444444444444</v>
      </c>
      <c r="P16394" s="490"/>
      <c r="Q16394" s="490"/>
      <c r="R16394" s="490">
        <v>3</v>
      </c>
    </row>
    <row r="16395" spans="1:18" ht="12.75" customHeight="1">
      <c r="A16395" s="628" t="s">
        <v>29393</v>
      </c>
      <c r="B16395" s="629"/>
      <c r="C16395" s="629"/>
      <c r="D16395" s="629"/>
      <c r="E16395" s="629"/>
      <c r="F16395" s="629"/>
      <c r="G16395" s="629"/>
      <c r="H16395" s="629"/>
      <c r="I16395" s="629"/>
      <c r="J16395" s="629"/>
      <c r="K16395" s="629"/>
      <c r="L16395" s="629"/>
      <c r="M16395" s="629"/>
      <c r="N16395" s="629"/>
      <c r="O16395" s="629"/>
      <c r="P16395" s="629"/>
      <c r="Q16395" s="629"/>
      <c r="R16395" s="629"/>
    </row>
    <row r="16396" spans="1:18" ht="24">
      <c r="A16396" s="486">
        <v>357</v>
      </c>
      <c r="B16396" s="483" t="s">
        <v>29394</v>
      </c>
      <c r="C16396" s="487" t="s">
        <v>29395</v>
      </c>
      <c r="D16396" s="488">
        <v>944.15</v>
      </c>
      <c r="E16396" s="488">
        <v>506.69</v>
      </c>
      <c r="F16396" s="488">
        <v>424.68</v>
      </c>
      <c r="G16396" s="488">
        <v>12.78</v>
      </c>
      <c r="H16396" s="489">
        <v>8250.35</v>
      </c>
      <c r="I16396" s="489">
        <v>5826.91</v>
      </c>
      <c r="J16396" s="489">
        <v>2283.6999999999998</v>
      </c>
      <c r="K16396" s="489">
        <v>139.74</v>
      </c>
      <c r="L16396" s="43">
        <v>8.7383890271672939</v>
      </c>
      <c r="M16396" s="43">
        <v>11.499950660166967</v>
      </c>
      <c r="N16396" s="43">
        <v>5.3774606762739001</v>
      </c>
      <c r="O16396" s="43">
        <v>10.934272300469484</v>
      </c>
      <c r="P16396" s="490"/>
      <c r="Q16396" s="490"/>
      <c r="R16396" s="490">
        <v>4</v>
      </c>
    </row>
    <row r="16397" spans="1:18" ht="24">
      <c r="A16397" s="486">
        <v>358</v>
      </c>
      <c r="B16397" s="483" t="s">
        <v>29396</v>
      </c>
      <c r="C16397" s="487" t="s">
        <v>29397</v>
      </c>
      <c r="D16397" s="488">
        <v>661.5</v>
      </c>
      <c r="E16397" s="488">
        <v>347.33</v>
      </c>
      <c r="F16397" s="488">
        <v>303.14</v>
      </c>
      <c r="G16397" s="488">
        <v>11.03</v>
      </c>
      <c r="H16397" s="489">
        <v>5740.31</v>
      </c>
      <c r="I16397" s="489">
        <v>3994.3</v>
      </c>
      <c r="J16397" s="489">
        <v>1630.32</v>
      </c>
      <c r="K16397" s="489">
        <v>115.69</v>
      </c>
      <c r="L16397" s="43">
        <v>8.6777173091458817</v>
      </c>
      <c r="M16397" s="43">
        <v>11.500014395531627</v>
      </c>
      <c r="N16397" s="43">
        <v>5.3781091244969321</v>
      </c>
      <c r="O16397" s="43">
        <v>10.488667271078876</v>
      </c>
      <c r="P16397" s="490"/>
      <c r="Q16397" s="490"/>
      <c r="R16397" s="490">
        <v>4</v>
      </c>
    </row>
    <row r="16398" spans="1:18" ht="24">
      <c r="A16398" s="486">
        <v>359</v>
      </c>
      <c r="B16398" s="483" t="s">
        <v>29398</v>
      </c>
      <c r="C16398" s="487" t="s">
        <v>29399</v>
      </c>
      <c r="D16398" s="488">
        <v>1287.3900000000001</v>
      </c>
      <c r="E16398" s="488">
        <v>585.98</v>
      </c>
      <c r="F16398" s="488">
        <v>681.53</v>
      </c>
      <c r="G16398" s="488">
        <v>19.88</v>
      </c>
      <c r="H16398" s="489">
        <v>10610.71</v>
      </c>
      <c r="I16398" s="489">
        <v>6738.77</v>
      </c>
      <c r="J16398" s="489">
        <v>3665.64</v>
      </c>
      <c r="K16398" s="489">
        <v>206.3</v>
      </c>
      <c r="L16398" s="43">
        <v>8.2420323289756787</v>
      </c>
      <c r="M16398" s="43">
        <v>11.5</v>
      </c>
      <c r="N16398" s="43">
        <v>5.3785453318269187</v>
      </c>
      <c r="O16398" s="43">
        <v>10.377263581488934</v>
      </c>
      <c r="P16398" s="490"/>
      <c r="Q16398" s="490"/>
      <c r="R16398" s="490">
        <v>4</v>
      </c>
    </row>
    <row r="16399" spans="1:18" ht="24">
      <c r="A16399" s="486">
        <v>360</v>
      </c>
      <c r="B16399" s="483" t="s">
        <v>29400</v>
      </c>
      <c r="C16399" s="487" t="s">
        <v>29401</v>
      </c>
      <c r="D16399" s="488">
        <v>1273.25</v>
      </c>
      <c r="E16399" s="488">
        <v>332.55</v>
      </c>
      <c r="F16399" s="488">
        <v>298.58999999999997</v>
      </c>
      <c r="G16399" s="488">
        <v>642.11</v>
      </c>
      <c r="H16399" s="489">
        <v>11076.69</v>
      </c>
      <c r="I16399" s="489">
        <v>3824.33</v>
      </c>
      <c r="J16399" s="489">
        <v>1606.26</v>
      </c>
      <c r="K16399" s="489">
        <v>5646.1</v>
      </c>
      <c r="L16399" s="43">
        <v>8.6995405458472419</v>
      </c>
      <c r="M16399" s="43">
        <v>11.500015035333032</v>
      </c>
      <c r="N16399" s="43">
        <v>5.3794835727921235</v>
      </c>
      <c r="O16399" s="43">
        <v>8.793041690676052</v>
      </c>
      <c r="P16399" s="490"/>
      <c r="Q16399" s="490"/>
      <c r="R16399" s="490">
        <v>4</v>
      </c>
    </row>
    <row r="16400" spans="1:18" ht="24">
      <c r="A16400" s="486">
        <v>361</v>
      </c>
      <c r="B16400" s="483" t="s">
        <v>29402</v>
      </c>
      <c r="C16400" s="487" t="s">
        <v>29403</v>
      </c>
      <c r="D16400" s="488">
        <v>260.48</v>
      </c>
      <c r="E16400" s="488">
        <v>215.79</v>
      </c>
      <c r="F16400" s="488">
        <v>39.15</v>
      </c>
      <c r="G16400" s="488">
        <v>5.54</v>
      </c>
      <c r="H16400" s="489">
        <v>2752.55</v>
      </c>
      <c r="I16400" s="489">
        <v>2481.56</v>
      </c>
      <c r="J16400" s="489">
        <v>210.58</v>
      </c>
      <c r="K16400" s="489">
        <v>60.41</v>
      </c>
      <c r="L16400" s="43">
        <v>10.567222051597051</v>
      </c>
      <c r="M16400" s="43">
        <v>11.499884146624034</v>
      </c>
      <c r="N16400" s="43">
        <v>5.3787994891443169</v>
      </c>
      <c r="O16400" s="43">
        <v>10.904332129963898</v>
      </c>
      <c r="P16400" s="490"/>
      <c r="Q16400" s="490"/>
      <c r="R16400" s="490">
        <v>4</v>
      </c>
    </row>
    <row r="16401" spans="1:18" ht="24">
      <c r="A16401" s="486">
        <v>362</v>
      </c>
      <c r="B16401" s="483" t="s">
        <v>29404</v>
      </c>
      <c r="C16401" s="487" t="s">
        <v>29405</v>
      </c>
      <c r="D16401" s="488">
        <v>788.37</v>
      </c>
      <c r="E16401" s="488">
        <v>365.07</v>
      </c>
      <c r="F16401" s="488">
        <v>383.36</v>
      </c>
      <c r="G16401" s="488">
        <v>39.94</v>
      </c>
      <c r="H16401" s="489">
        <v>6630.35</v>
      </c>
      <c r="I16401" s="489">
        <v>4198.26</v>
      </c>
      <c r="J16401" s="489">
        <v>2062.06</v>
      </c>
      <c r="K16401" s="489">
        <v>370.03</v>
      </c>
      <c r="L16401" s="43">
        <v>8.4102007940434067</v>
      </c>
      <c r="M16401" s="43">
        <v>11.499876735968446</v>
      </c>
      <c r="N16401" s="43">
        <v>5.3789127712854752</v>
      </c>
      <c r="O16401" s="43">
        <v>9.2646469704556829</v>
      </c>
      <c r="P16401" s="490"/>
      <c r="Q16401" s="490"/>
      <c r="R16401" s="490">
        <v>4</v>
      </c>
    </row>
    <row r="16402" spans="1:18" ht="24">
      <c r="A16402" s="486">
        <v>363</v>
      </c>
      <c r="B16402" s="483" t="s">
        <v>29406</v>
      </c>
      <c r="C16402" s="487" t="s">
        <v>29407</v>
      </c>
      <c r="D16402" s="488">
        <v>244.2</v>
      </c>
      <c r="E16402" s="488">
        <v>199.53</v>
      </c>
      <c r="F16402" s="488">
        <v>39.15</v>
      </c>
      <c r="G16402" s="488">
        <v>5.52</v>
      </c>
      <c r="H16402" s="489">
        <v>2564.48</v>
      </c>
      <c r="I16402" s="489">
        <v>2294.6</v>
      </c>
      <c r="J16402" s="489">
        <v>210.58</v>
      </c>
      <c r="K16402" s="489">
        <v>59.3</v>
      </c>
      <c r="L16402" s="43">
        <v>10.501556101556103</v>
      </c>
      <c r="M16402" s="43">
        <v>11.500025058888387</v>
      </c>
      <c r="N16402" s="43">
        <v>5.3787994891443169</v>
      </c>
      <c r="O16402" s="43">
        <v>10.742753623188406</v>
      </c>
      <c r="P16402" s="490"/>
      <c r="Q16402" s="490"/>
      <c r="R16402" s="490">
        <v>4</v>
      </c>
    </row>
    <row r="16403" spans="1:18" ht="24">
      <c r="A16403" s="486">
        <v>364</v>
      </c>
      <c r="B16403" s="483" t="s">
        <v>29408</v>
      </c>
      <c r="C16403" s="487" t="s">
        <v>29409</v>
      </c>
      <c r="D16403" s="488">
        <v>378.9</v>
      </c>
      <c r="E16403" s="488">
        <v>266.04000000000002</v>
      </c>
      <c r="F16403" s="488">
        <v>106.42</v>
      </c>
      <c r="G16403" s="488">
        <v>6.44</v>
      </c>
      <c r="H16403" s="489">
        <v>3702.84</v>
      </c>
      <c r="I16403" s="489">
        <v>3059.46</v>
      </c>
      <c r="J16403" s="489">
        <v>572.37</v>
      </c>
      <c r="K16403" s="489">
        <v>71.010000000000005</v>
      </c>
      <c r="L16403" s="43">
        <v>9.7726049089469527</v>
      </c>
      <c r="M16403" s="43">
        <v>11.5</v>
      </c>
      <c r="N16403" s="43">
        <v>5.3784063146025183</v>
      </c>
      <c r="O16403" s="43">
        <v>11.02639751552795</v>
      </c>
      <c r="P16403" s="490"/>
      <c r="Q16403" s="490"/>
      <c r="R16403" s="490">
        <v>4</v>
      </c>
    </row>
    <row r="16404" spans="1:18" ht="24">
      <c r="A16404" s="486">
        <v>365</v>
      </c>
      <c r="B16404" s="483" t="s">
        <v>29410</v>
      </c>
      <c r="C16404" s="487" t="s">
        <v>29411</v>
      </c>
      <c r="D16404" s="488">
        <v>4284.2700000000004</v>
      </c>
      <c r="E16404" s="488">
        <v>2793.42</v>
      </c>
      <c r="F16404" s="488">
        <v>1377.18</v>
      </c>
      <c r="G16404" s="488">
        <v>113.67</v>
      </c>
      <c r="H16404" s="489">
        <v>40683.089999999997</v>
      </c>
      <c r="I16404" s="489">
        <v>32124.33</v>
      </c>
      <c r="J16404" s="489">
        <v>7409.65</v>
      </c>
      <c r="K16404" s="489">
        <v>1149.1099999999999</v>
      </c>
      <c r="L16404" s="43">
        <v>9.4959211254192653</v>
      </c>
      <c r="M16404" s="43">
        <v>11.5</v>
      </c>
      <c r="N16404" s="43">
        <v>5.3803061328221435</v>
      </c>
      <c r="O16404" s="43">
        <v>10.109175683997536</v>
      </c>
      <c r="P16404" s="490"/>
      <c r="Q16404" s="490"/>
      <c r="R16404" s="490">
        <v>4</v>
      </c>
    </row>
    <row r="16405" spans="1:18" ht="24">
      <c r="A16405" s="486">
        <v>366</v>
      </c>
      <c r="B16405" s="483" t="s">
        <v>29412</v>
      </c>
      <c r="C16405" s="487" t="s">
        <v>29413</v>
      </c>
      <c r="D16405" s="488">
        <v>1292.46</v>
      </c>
      <c r="E16405" s="488">
        <v>645.70000000000005</v>
      </c>
      <c r="F16405" s="488">
        <v>621.1</v>
      </c>
      <c r="G16405" s="488">
        <v>25.66</v>
      </c>
      <c r="H16405" s="489">
        <v>11025.5</v>
      </c>
      <c r="I16405" s="489">
        <v>7425.5</v>
      </c>
      <c r="J16405" s="489">
        <v>3339.78</v>
      </c>
      <c r="K16405" s="489">
        <v>260.22000000000003</v>
      </c>
      <c r="L16405" s="43">
        <v>8.5306315089054969</v>
      </c>
      <c r="M16405" s="43">
        <v>11.49992256465851</v>
      </c>
      <c r="N16405" s="43">
        <v>5.3772017388504265</v>
      </c>
      <c r="O16405" s="43">
        <v>10.141075604053002</v>
      </c>
      <c r="P16405" s="490"/>
      <c r="Q16405" s="490"/>
      <c r="R16405" s="490">
        <v>4</v>
      </c>
    </row>
    <row r="16406" spans="1:18" ht="24">
      <c r="A16406" s="486">
        <v>367</v>
      </c>
      <c r="B16406" s="483" t="s">
        <v>29414</v>
      </c>
      <c r="C16406" s="487" t="s">
        <v>29415</v>
      </c>
      <c r="D16406" s="488">
        <v>326.27</v>
      </c>
      <c r="E16406" s="488">
        <v>232.05</v>
      </c>
      <c r="F16406" s="488">
        <v>85.09</v>
      </c>
      <c r="G16406" s="488">
        <v>9.1300000000000008</v>
      </c>
      <c r="H16406" s="489">
        <v>3223.07</v>
      </c>
      <c r="I16406" s="489">
        <v>2668.53</v>
      </c>
      <c r="J16406" s="489">
        <v>461.84</v>
      </c>
      <c r="K16406" s="489">
        <v>92.7</v>
      </c>
      <c r="L16406" s="43">
        <v>9.8785361816900128</v>
      </c>
      <c r="M16406" s="43">
        <v>11.499806076276665</v>
      </c>
      <c r="N16406" s="43">
        <v>5.4276648254789039</v>
      </c>
      <c r="O16406" s="43">
        <v>10.153340635268346</v>
      </c>
      <c r="P16406" s="490"/>
      <c r="Q16406" s="490"/>
      <c r="R16406" s="490">
        <v>4</v>
      </c>
    </row>
    <row r="16407" spans="1:18" ht="24">
      <c r="A16407" s="486">
        <v>368</v>
      </c>
      <c r="B16407" s="483" t="s">
        <v>29416</v>
      </c>
      <c r="C16407" s="487" t="s">
        <v>29417</v>
      </c>
      <c r="D16407" s="488">
        <v>274.64</v>
      </c>
      <c r="E16407" s="488">
        <v>199.53</v>
      </c>
      <c r="F16407" s="488">
        <v>69.69</v>
      </c>
      <c r="G16407" s="488">
        <v>5.42</v>
      </c>
      <c r="H16407" s="489">
        <v>2731.25</v>
      </c>
      <c r="I16407" s="489">
        <v>2294.6</v>
      </c>
      <c r="J16407" s="489">
        <v>378.24</v>
      </c>
      <c r="K16407" s="489">
        <v>58.41</v>
      </c>
      <c r="L16407" s="43">
        <v>9.9448368773667344</v>
      </c>
      <c r="M16407" s="43">
        <v>11.500025058888387</v>
      </c>
      <c r="N16407" s="43">
        <v>5.4274644855789926</v>
      </c>
      <c r="O16407" s="43">
        <v>10.776752767527675</v>
      </c>
      <c r="P16407" s="490"/>
      <c r="Q16407" s="490"/>
      <c r="R16407" s="490">
        <v>4</v>
      </c>
    </row>
    <row r="16408" spans="1:18" ht="24">
      <c r="A16408" s="486">
        <v>369</v>
      </c>
      <c r="B16408" s="483" t="s">
        <v>29418</v>
      </c>
      <c r="C16408" s="487" t="s">
        <v>29419</v>
      </c>
      <c r="D16408" s="488">
        <v>492.23</v>
      </c>
      <c r="E16408" s="488">
        <v>298.56</v>
      </c>
      <c r="F16408" s="488">
        <v>186.68</v>
      </c>
      <c r="G16408" s="488">
        <v>6.99</v>
      </c>
      <c r="H16408" s="489">
        <v>4522.57</v>
      </c>
      <c r="I16408" s="489">
        <v>3433.39</v>
      </c>
      <c r="J16408" s="489">
        <v>1011.58</v>
      </c>
      <c r="K16408" s="489">
        <v>77.599999999999994</v>
      </c>
      <c r="L16408" s="43">
        <v>9.1879202811693705</v>
      </c>
      <c r="M16408" s="43">
        <v>11.499832529474812</v>
      </c>
      <c r="N16408" s="43">
        <v>5.4187915148917938</v>
      </c>
      <c r="O16408" s="43">
        <v>11.101573676680971</v>
      </c>
      <c r="P16408" s="490"/>
      <c r="Q16408" s="490"/>
      <c r="R16408" s="490">
        <v>4</v>
      </c>
    </row>
    <row r="16409" spans="1:18" ht="24">
      <c r="A16409" s="486">
        <v>370</v>
      </c>
      <c r="B16409" s="483" t="s">
        <v>29420</v>
      </c>
      <c r="C16409" s="487" t="s">
        <v>29421</v>
      </c>
      <c r="D16409" s="488">
        <v>343.02</v>
      </c>
      <c r="E16409" s="488">
        <v>232.05</v>
      </c>
      <c r="F16409" s="488">
        <v>103.68</v>
      </c>
      <c r="G16409" s="488">
        <v>7.29</v>
      </c>
      <c r="H16409" s="489">
        <v>3307.74</v>
      </c>
      <c r="I16409" s="489">
        <v>2668.53</v>
      </c>
      <c r="J16409" s="489">
        <v>562.61</v>
      </c>
      <c r="K16409" s="489">
        <v>76.599999999999994</v>
      </c>
      <c r="L16409" s="43">
        <v>9.6429945775756511</v>
      </c>
      <c r="M16409" s="43">
        <v>11.499806076276665</v>
      </c>
      <c r="N16409" s="43">
        <v>5.4264081790123457</v>
      </c>
      <c r="O16409" s="43">
        <v>10.507544581618655</v>
      </c>
      <c r="P16409" s="490"/>
      <c r="Q16409" s="490"/>
      <c r="R16409" s="490">
        <v>4</v>
      </c>
    </row>
    <row r="16410" spans="1:18" ht="24">
      <c r="A16410" s="486">
        <v>371</v>
      </c>
      <c r="B16410" s="483" t="s">
        <v>29422</v>
      </c>
      <c r="C16410" s="487" t="s">
        <v>29423</v>
      </c>
      <c r="D16410" s="488">
        <v>503.89</v>
      </c>
      <c r="E16410" s="488">
        <v>266.04000000000002</v>
      </c>
      <c r="F16410" s="488">
        <v>155.01</v>
      </c>
      <c r="G16410" s="488">
        <v>82.84</v>
      </c>
      <c r="H16410" s="489">
        <v>4641.37</v>
      </c>
      <c r="I16410" s="489">
        <v>3059.46</v>
      </c>
      <c r="J16410" s="489">
        <v>841.29</v>
      </c>
      <c r="K16410" s="489">
        <v>740.62</v>
      </c>
      <c r="L16410" s="43">
        <v>9.2110778146023939</v>
      </c>
      <c r="M16410" s="43">
        <v>11.5</v>
      </c>
      <c r="N16410" s="43">
        <v>5.4273272692084387</v>
      </c>
      <c r="O16410" s="43">
        <v>8.9403669724770634</v>
      </c>
      <c r="P16410" s="490"/>
      <c r="Q16410" s="490"/>
      <c r="R16410" s="490">
        <v>4</v>
      </c>
    </row>
    <row r="16411" spans="1:18" ht="36">
      <c r="A16411" s="486">
        <v>372</v>
      </c>
      <c r="B16411" s="483" t="s">
        <v>29424</v>
      </c>
      <c r="C16411" s="487" t="s">
        <v>29425</v>
      </c>
      <c r="D16411" s="488">
        <v>6498.6</v>
      </c>
      <c r="E16411" s="488">
        <v>2535</v>
      </c>
      <c r="F16411" s="488">
        <v>3595.34</v>
      </c>
      <c r="G16411" s="488">
        <v>368.26</v>
      </c>
      <c r="H16411" s="489">
        <v>51991.64</v>
      </c>
      <c r="I16411" s="489">
        <v>29152.5</v>
      </c>
      <c r="J16411" s="489">
        <v>19472.77</v>
      </c>
      <c r="K16411" s="489">
        <v>3366.37</v>
      </c>
      <c r="L16411" s="43">
        <v>8.0004370172037049</v>
      </c>
      <c r="M16411" s="43">
        <v>11.5</v>
      </c>
      <c r="N16411" s="43">
        <v>5.4161136359843578</v>
      </c>
      <c r="O16411" s="43">
        <v>9.1412860479009392</v>
      </c>
      <c r="P16411" s="490"/>
      <c r="Q16411" s="490"/>
      <c r="R16411" s="490">
        <v>4</v>
      </c>
    </row>
    <row r="16412" spans="1:18" ht="24">
      <c r="A16412" s="486">
        <v>373</v>
      </c>
      <c r="B16412" s="483" t="s">
        <v>29426</v>
      </c>
      <c r="C16412" s="487" t="s">
        <v>29427</v>
      </c>
      <c r="D16412" s="488">
        <v>928.74</v>
      </c>
      <c r="E16412" s="488">
        <v>454.5</v>
      </c>
      <c r="F16412" s="488">
        <v>452.5</v>
      </c>
      <c r="G16412" s="488">
        <v>21.74</v>
      </c>
      <c r="H16412" s="489">
        <v>7898.06</v>
      </c>
      <c r="I16412" s="489">
        <v>5226.75</v>
      </c>
      <c r="J16412" s="489">
        <v>2455.91</v>
      </c>
      <c r="K16412" s="489">
        <v>215.4</v>
      </c>
      <c r="L16412" s="43">
        <v>8.5040592630876244</v>
      </c>
      <c r="M16412" s="43">
        <v>11.5</v>
      </c>
      <c r="N16412" s="43">
        <v>5.4274254143646408</v>
      </c>
      <c r="O16412" s="43">
        <v>9.9080036798528077</v>
      </c>
      <c r="P16412" s="490"/>
      <c r="Q16412" s="490"/>
      <c r="R16412" s="490">
        <v>4</v>
      </c>
    </row>
    <row r="16413" spans="1:18" ht="24">
      <c r="A16413" s="486">
        <v>374</v>
      </c>
      <c r="B16413" s="483" t="s">
        <v>29428</v>
      </c>
      <c r="C16413" s="487" t="s">
        <v>29429</v>
      </c>
      <c r="D16413" s="488">
        <v>7159.3</v>
      </c>
      <c r="E16413" s="488">
        <v>3285</v>
      </c>
      <c r="F16413" s="488">
        <v>3802.48</v>
      </c>
      <c r="G16413" s="488">
        <v>71.819999999999993</v>
      </c>
      <c r="H16413" s="489">
        <v>59181.01</v>
      </c>
      <c r="I16413" s="489">
        <v>37777.5</v>
      </c>
      <c r="J16413" s="489">
        <v>20594.32</v>
      </c>
      <c r="K16413" s="489">
        <v>809.19</v>
      </c>
      <c r="L16413" s="43">
        <v>8.2663123489726651</v>
      </c>
      <c r="M16413" s="43">
        <v>11.5</v>
      </c>
      <c r="N16413" s="43">
        <v>5.4160232269466242</v>
      </c>
      <c r="O16413" s="43">
        <v>11.266917293233085</v>
      </c>
      <c r="P16413" s="490"/>
      <c r="Q16413" s="490"/>
      <c r="R16413" s="490">
        <v>4</v>
      </c>
    </row>
    <row r="16414" spans="1:18" ht="24">
      <c r="A16414" s="486">
        <v>375</v>
      </c>
      <c r="B16414" s="483" t="s">
        <v>29430</v>
      </c>
      <c r="C16414" s="487" t="s">
        <v>29431</v>
      </c>
      <c r="D16414" s="488">
        <v>776.96</v>
      </c>
      <c r="E16414" s="488">
        <v>431.58</v>
      </c>
      <c r="F16414" s="488">
        <v>335.12</v>
      </c>
      <c r="G16414" s="488">
        <v>10.26</v>
      </c>
      <c r="H16414" s="489">
        <v>6892.17</v>
      </c>
      <c r="I16414" s="489">
        <v>4963.12</v>
      </c>
      <c r="J16414" s="489">
        <v>1815.5</v>
      </c>
      <c r="K16414" s="489">
        <v>113.55</v>
      </c>
      <c r="L16414" s="43">
        <v>8.870688323723229</v>
      </c>
      <c r="M16414" s="43">
        <v>11.499884146624034</v>
      </c>
      <c r="N16414" s="43">
        <v>5.4174624015278106</v>
      </c>
      <c r="O16414" s="43">
        <v>11.067251461988304</v>
      </c>
      <c r="P16414" s="490"/>
      <c r="Q16414" s="490"/>
      <c r="R16414" s="490">
        <v>4</v>
      </c>
    </row>
    <row r="16415" spans="1:18" ht="24">
      <c r="A16415" s="486">
        <v>376</v>
      </c>
      <c r="B16415" s="483" t="s">
        <v>29432</v>
      </c>
      <c r="C16415" s="487" t="s">
        <v>29433</v>
      </c>
      <c r="D16415" s="488">
        <v>468.12</v>
      </c>
      <c r="E16415" s="488">
        <v>286.5</v>
      </c>
      <c r="F16415" s="488">
        <v>174.87</v>
      </c>
      <c r="G16415" s="488">
        <v>6.75</v>
      </c>
      <c r="H16415" s="489">
        <v>4316.26</v>
      </c>
      <c r="I16415" s="489">
        <v>3294.75</v>
      </c>
      <c r="J16415" s="489">
        <v>946.67</v>
      </c>
      <c r="K16415" s="489">
        <v>74.84</v>
      </c>
      <c r="L16415" s="43">
        <v>9.2204135691702991</v>
      </c>
      <c r="M16415" s="43">
        <v>11.5</v>
      </c>
      <c r="N16415" s="43">
        <v>5.4135643620975582</v>
      </c>
      <c r="O16415" s="43">
        <v>11.087407407407408</v>
      </c>
      <c r="P16415" s="490"/>
      <c r="Q16415" s="490"/>
      <c r="R16415" s="490">
        <v>4</v>
      </c>
    </row>
    <row r="16416" spans="1:18" ht="24">
      <c r="A16416" s="486">
        <v>377</v>
      </c>
      <c r="B16416" s="483" t="s">
        <v>29434</v>
      </c>
      <c r="C16416" s="487" t="s">
        <v>29435</v>
      </c>
      <c r="D16416" s="488">
        <v>445.66</v>
      </c>
      <c r="E16416" s="488">
        <v>282.3</v>
      </c>
      <c r="F16416" s="488">
        <v>98.55</v>
      </c>
      <c r="G16416" s="488">
        <v>64.81</v>
      </c>
      <c r="H16416" s="489">
        <v>4364.68</v>
      </c>
      <c r="I16416" s="489">
        <v>3246.43</v>
      </c>
      <c r="J16416" s="489">
        <v>534.75</v>
      </c>
      <c r="K16416" s="489">
        <v>583.5</v>
      </c>
      <c r="L16416" s="43">
        <v>9.793744109859535</v>
      </c>
      <c r="M16416" s="43">
        <v>11.499929153382926</v>
      </c>
      <c r="N16416" s="43">
        <v>5.4261796042617965</v>
      </c>
      <c r="O16416" s="43">
        <v>9.0032402407035956</v>
      </c>
      <c r="P16416" s="490"/>
      <c r="Q16416" s="490"/>
      <c r="R16416" s="490">
        <v>4</v>
      </c>
    </row>
    <row r="16417" spans="1:18" ht="24">
      <c r="A16417" s="486">
        <v>378</v>
      </c>
      <c r="B16417" s="483" t="s">
        <v>29436</v>
      </c>
      <c r="C16417" s="487" t="s">
        <v>29437</v>
      </c>
      <c r="D16417" s="488">
        <v>1580.78</v>
      </c>
      <c r="E16417" s="488">
        <v>614.23</v>
      </c>
      <c r="F16417" s="488">
        <v>558.51</v>
      </c>
      <c r="G16417" s="488">
        <v>408.04</v>
      </c>
      <c r="H16417" s="489">
        <v>13698.49</v>
      </c>
      <c r="I16417" s="489">
        <v>7063.67</v>
      </c>
      <c r="J16417" s="489">
        <v>3024.88</v>
      </c>
      <c r="K16417" s="489">
        <v>3609.94</v>
      </c>
      <c r="L16417" s="43">
        <v>8.6656523994483727</v>
      </c>
      <c r="M16417" s="43">
        <v>11.500040701365938</v>
      </c>
      <c r="N16417" s="43">
        <v>5.4159818087411153</v>
      </c>
      <c r="O16417" s="43">
        <v>8.8470248014900505</v>
      </c>
      <c r="P16417" s="490"/>
      <c r="Q16417" s="490"/>
      <c r="R16417" s="490">
        <v>4</v>
      </c>
    </row>
    <row r="16418" spans="1:18" ht="24">
      <c r="A16418" s="486">
        <v>379</v>
      </c>
      <c r="B16418" s="483" t="s">
        <v>29438</v>
      </c>
      <c r="C16418" s="487" t="s">
        <v>29439</v>
      </c>
      <c r="D16418" s="488">
        <v>627.36</v>
      </c>
      <c r="E16418" s="488">
        <v>591.22</v>
      </c>
      <c r="F16418" s="488">
        <v>23.1</v>
      </c>
      <c r="G16418" s="488">
        <v>13.04</v>
      </c>
      <c r="H16418" s="489">
        <v>7071.3</v>
      </c>
      <c r="I16418" s="489">
        <v>6799.24</v>
      </c>
      <c r="J16418" s="489">
        <v>125.4</v>
      </c>
      <c r="K16418" s="489">
        <v>146.66</v>
      </c>
      <c r="L16418" s="43">
        <v>11.271518745218057</v>
      </c>
      <c r="M16418" s="43">
        <v>11.500355197726734</v>
      </c>
      <c r="N16418" s="43">
        <v>5.4285714285714288</v>
      </c>
      <c r="O16418" s="43">
        <v>11.246932515337424</v>
      </c>
      <c r="P16418" s="490"/>
      <c r="Q16418" s="490"/>
      <c r="R16418" s="490">
        <v>4</v>
      </c>
    </row>
    <row r="16419" spans="1:18" ht="24">
      <c r="A16419" s="486">
        <v>380</v>
      </c>
      <c r="B16419" s="483" t="s">
        <v>29440</v>
      </c>
      <c r="C16419" s="487" t="s">
        <v>29441</v>
      </c>
      <c r="D16419" s="488">
        <v>681.21</v>
      </c>
      <c r="E16419" s="488">
        <v>621.36</v>
      </c>
      <c r="F16419" s="488">
        <v>46.2</v>
      </c>
      <c r="G16419" s="488">
        <v>13.65</v>
      </c>
      <c r="H16419" s="489">
        <v>7550.28</v>
      </c>
      <c r="I16419" s="489">
        <v>7145.8</v>
      </c>
      <c r="J16419" s="489">
        <v>250.8</v>
      </c>
      <c r="K16419" s="489">
        <v>153.68</v>
      </c>
      <c r="L16419" s="43">
        <v>11.083630598493855</v>
      </c>
      <c r="M16419" s="43">
        <v>11.500257499678126</v>
      </c>
      <c r="N16419" s="43">
        <v>5.4285714285714288</v>
      </c>
      <c r="O16419" s="43">
        <v>11.258608058608059</v>
      </c>
      <c r="P16419" s="490"/>
      <c r="Q16419" s="490"/>
      <c r="R16419" s="490">
        <v>4</v>
      </c>
    </row>
    <row r="16420" spans="1:18" ht="24">
      <c r="A16420" s="486">
        <v>381</v>
      </c>
      <c r="B16420" s="483" t="s">
        <v>29442</v>
      </c>
      <c r="C16420" s="487" t="s">
        <v>29443</v>
      </c>
      <c r="D16420" s="488">
        <v>711.08</v>
      </c>
      <c r="E16420" s="488">
        <v>630.12</v>
      </c>
      <c r="F16420" s="488">
        <v>66.73</v>
      </c>
      <c r="G16420" s="488">
        <v>14.23</v>
      </c>
      <c r="H16420" s="489">
        <v>7768.1</v>
      </c>
      <c r="I16420" s="489">
        <v>7246.64</v>
      </c>
      <c r="J16420" s="489">
        <v>362.26</v>
      </c>
      <c r="K16420" s="489">
        <v>159.19999999999999</v>
      </c>
      <c r="L16420" s="43">
        <v>10.924368566124768</v>
      </c>
      <c r="M16420" s="43">
        <v>11.500412619818448</v>
      </c>
      <c r="N16420" s="43">
        <v>5.428742694440281</v>
      </c>
      <c r="O16420" s="43">
        <v>11.187631763879127</v>
      </c>
      <c r="P16420" s="490"/>
      <c r="Q16420" s="490"/>
      <c r="R16420" s="490">
        <v>4</v>
      </c>
    </row>
    <row r="16421" spans="1:18" ht="24">
      <c r="A16421" s="486">
        <v>382</v>
      </c>
      <c r="B16421" s="483" t="s">
        <v>29444</v>
      </c>
      <c r="C16421" s="487" t="s">
        <v>29445</v>
      </c>
      <c r="D16421" s="488">
        <v>542.69000000000005</v>
      </c>
      <c r="E16421" s="488">
        <v>311.89</v>
      </c>
      <c r="F16421" s="488">
        <v>193.96</v>
      </c>
      <c r="G16421" s="488">
        <v>36.840000000000003</v>
      </c>
      <c r="H16421" s="489">
        <v>4979.3599999999997</v>
      </c>
      <c r="I16421" s="489">
        <v>3586.71</v>
      </c>
      <c r="J16421" s="489">
        <v>1052.69</v>
      </c>
      <c r="K16421" s="489">
        <v>339.96</v>
      </c>
      <c r="L16421" s="43">
        <v>9.175330299065763</v>
      </c>
      <c r="M16421" s="43">
        <v>11.499919843534579</v>
      </c>
      <c r="N16421" s="43">
        <v>5.4273561559084351</v>
      </c>
      <c r="O16421" s="43">
        <v>9.2280130293159601</v>
      </c>
      <c r="P16421" s="490"/>
      <c r="Q16421" s="490"/>
      <c r="R16421" s="490">
        <v>4</v>
      </c>
    </row>
    <row r="16422" spans="1:18" ht="24">
      <c r="A16422" s="486">
        <v>383</v>
      </c>
      <c r="B16422" s="483" t="s">
        <v>29446</v>
      </c>
      <c r="C16422" s="487" t="s">
        <v>29447</v>
      </c>
      <c r="D16422" s="488">
        <v>43590.77</v>
      </c>
      <c r="E16422" s="488">
        <v>28427.35</v>
      </c>
      <c r="F16422" s="488">
        <v>14431.67</v>
      </c>
      <c r="G16422" s="488">
        <v>731.75</v>
      </c>
      <c r="H16422" s="489">
        <v>414055.8</v>
      </c>
      <c r="I16422" s="489">
        <v>326924.43</v>
      </c>
      <c r="J16422" s="489">
        <v>79162.64</v>
      </c>
      <c r="K16422" s="489">
        <v>7968.73</v>
      </c>
      <c r="L16422" s="43">
        <v>9.4987035099402934</v>
      </c>
      <c r="M16422" s="43">
        <v>11.50034843205575</v>
      </c>
      <c r="N16422" s="43">
        <v>5.4853416132713679</v>
      </c>
      <c r="O16422" s="43">
        <v>10.8899624188589</v>
      </c>
      <c r="P16422" s="490"/>
      <c r="Q16422" s="490"/>
      <c r="R16422" s="490">
        <v>4</v>
      </c>
    </row>
    <row r="16423" spans="1:18" ht="12.75" customHeight="1">
      <c r="A16423" s="628" t="s">
        <v>29448</v>
      </c>
      <c r="B16423" s="629"/>
      <c r="C16423" s="629"/>
      <c r="D16423" s="629"/>
      <c r="E16423" s="629"/>
      <c r="F16423" s="629"/>
      <c r="G16423" s="629"/>
      <c r="H16423" s="629"/>
      <c r="I16423" s="629"/>
      <c r="J16423" s="629"/>
      <c r="K16423" s="629"/>
      <c r="L16423" s="629"/>
      <c r="M16423" s="629"/>
      <c r="N16423" s="629"/>
      <c r="O16423" s="629"/>
      <c r="P16423" s="629"/>
      <c r="Q16423" s="629"/>
      <c r="R16423" s="629"/>
    </row>
    <row r="16424" spans="1:18" ht="24">
      <c r="A16424" s="486">
        <v>384</v>
      </c>
      <c r="B16424" s="483" t="s">
        <v>29449</v>
      </c>
      <c r="C16424" s="487" t="s">
        <v>29450</v>
      </c>
      <c r="D16424" s="488">
        <v>380.93</v>
      </c>
      <c r="E16424" s="488">
        <v>253.5</v>
      </c>
      <c r="F16424" s="488">
        <v>118.55</v>
      </c>
      <c r="G16424" s="488">
        <v>8.8800000000000008</v>
      </c>
      <c r="H16424" s="489">
        <v>3650.44</v>
      </c>
      <c r="I16424" s="489">
        <v>2915.25</v>
      </c>
      <c r="J16424" s="489">
        <v>643.5</v>
      </c>
      <c r="K16424" s="489">
        <v>91.69</v>
      </c>
      <c r="L16424" s="43">
        <v>9.5829679993699628</v>
      </c>
      <c r="M16424" s="43">
        <v>11.5</v>
      </c>
      <c r="N16424" s="43">
        <v>5.4280894137494728</v>
      </c>
      <c r="O16424" s="43">
        <v>10.325450450450449</v>
      </c>
      <c r="P16424" s="490"/>
      <c r="Q16424" s="490"/>
      <c r="R16424" s="490">
        <v>5</v>
      </c>
    </row>
    <row r="16425" spans="1:18" ht="24">
      <c r="A16425" s="486">
        <v>385</v>
      </c>
      <c r="B16425" s="483" t="s">
        <v>29451</v>
      </c>
      <c r="C16425" s="487" t="s">
        <v>29452</v>
      </c>
      <c r="D16425" s="488">
        <v>954.18</v>
      </c>
      <c r="E16425" s="488">
        <v>454.5</v>
      </c>
      <c r="F16425" s="488">
        <v>442.65</v>
      </c>
      <c r="G16425" s="488">
        <v>57.03</v>
      </c>
      <c r="H16425" s="489">
        <v>8149.47</v>
      </c>
      <c r="I16425" s="489">
        <v>5226.75</v>
      </c>
      <c r="J16425" s="489">
        <v>2398</v>
      </c>
      <c r="K16425" s="489">
        <v>524.72</v>
      </c>
      <c r="L16425" s="43">
        <v>8.5408099100798598</v>
      </c>
      <c r="M16425" s="43">
        <v>11.5</v>
      </c>
      <c r="N16425" s="43">
        <v>5.4173726420422454</v>
      </c>
      <c r="O16425" s="43">
        <v>9.2007715237594248</v>
      </c>
      <c r="P16425" s="490"/>
      <c r="Q16425" s="490"/>
      <c r="R16425" s="490">
        <v>5</v>
      </c>
    </row>
    <row r="16426" spans="1:18" ht="24">
      <c r="A16426" s="486">
        <v>386</v>
      </c>
      <c r="B16426" s="483" t="s">
        <v>29453</v>
      </c>
      <c r="C16426" s="487" t="s">
        <v>29454</v>
      </c>
      <c r="D16426" s="488">
        <v>1563.55</v>
      </c>
      <c r="E16426" s="488">
        <v>743.33</v>
      </c>
      <c r="F16426" s="488">
        <v>791.75</v>
      </c>
      <c r="G16426" s="488">
        <v>28.47</v>
      </c>
      <c r="H16426" s="489">
        <v>13126.18</v>
      </c>
      <c r="I16426" s="489">
        <v>8548.52</v>
      </c>
      <c r="J16426" s="489">
        <v>4287.45</v>
      </c>
      <c r="K16426" s="489">
        <v>290.20999999999998</v>
      </c>
      <c r="L16426" s="43">
        <v>8.3951136836046185</v>
      </c>
      <c r="M16426" s="43">
        <v>11.500302691940323</v>
      </c>
      <c r="N16426" s="43">
        <v>5.4151562993369113</v>
      </c>
      <c r="O16426" s="43">
        <v>10.193537056550754</v>
      </c>
      <c r="P16426" s="490"/>
      <c r="Q16426" s="490"/>
      <c r="R16426" s="490">
        <v>5</v>
      </c>
    </row>
    <row r="16427" spans="1:18" ht="24">
      <c r="A16427" s="486">
        <v>387</v>
      </c>
      <c r="B16427" s="483" t="s">
        <v>29455</v>
      </c>
      <c r="C16427" s="487" t="s">
        <v>29456</v>
      </c>
      <c r="D16427" s="488">
        <v>847.21</v>
      </c>
      <c r="E16427" s="488">
        <v>454.5</v>
      </c>
      <c r="F16427" s="488">
        <v>377.36</v>
      </c>
      <c r="G16427" s="488">
        <v>15.35</v>
      </c>
      <c r="H16427" s="489">
        <v>7431.35</v>
      </c>
      <c r="I16427" s="489">
        <v>5226.75</v>
      </c>
      <c r="J16427" s="489">
        <v>2045.23</v>
      </c>
      <c r="K16427" s="489">
        <v>159.37</v>
      </c>
      <c r="L16427" s="43">
        <v>8.7715560486774233</v>
      </c>
      <c r="M16427" s="43">
        <v>11.5</v>
      </c>
      <c r="N16427" s="43">
        <v>5.4198378206487172</v>
      </c>
      <c r="O16427" s="43">
        <v>10.38241042345277</v>
      </c>
      <c r="P16427" s="490"/>
      <c r="Q16427" s="490"/>
      <c r="R16427" s="490">
        <v>5</v>
      </c>
    </row>
    <row r="16428" spans="1:18" ht="24">
      <c r="A16428" s="486">
        <v>388</v>
      </c>
      <c r="B16428" s="483" t="s">
        <v>29457</v>
      </c>
      <c r="C16428" s="487" t="s">
        <v>29458</v>
      </c>
      <c r="D16428" s="488">
        <v>329.49</v>
      </c>
      <c r="E16428" s="488">
        <v>235.5</v>
      </c>
      <c r="F16428" s="488">
        <v>87.65</v>
      </c>
      <c r="G16428" s="488">
        <v>6.34</v>
      </c>
      <c r="H16428" s="489">
        <v>3252.49</v>
      </c>
      <c r="I16428" s="489">
        <v>2708.25</v>
      </c>
      <c r="J16428" s="489">
        <v>475.77</v>
      </c>
      <c r="K16428" s="489">
        <v>68.47</v>
      </c>
      <c r="L16428" s="43">
        <v>9.871285926735256</v>
      </c>
      <c r="M16428" s="43">
        <v>11.5</v>
      </c>
      <c r="N16428" s="43">
        <v>5.4280661722760977</v>
      </c>
      <c r="O16428" s="43">
        <v>10.799684542586752</v>
      </c>
      <c r="P16428" s="490"/>
      <c r="Q16428" s="490"/>
      <c r="R16428" s="490">
        <v>5</v>
      </c>
    </row>
    <row r="16429" spans="1:18" ht="24">
      <c r="A16429" s="486">
        <v>389</v>
      </c>
      <c r="B16429" s="483" t="s">
        <v>29459</v>
      </c>
      <c r="C16429" s="487" t="s">
        <v>29460</v>
      </c>
      <c r="D16429" s="488">
        <v>204.26</v>
      </c>
      <c r="E16429" s="488">
        <v>181.79</v>
      </c>
      <c r="F16429" s="488">
        <v>18.28</v>
      </c>
      <c r="G16429" s="488">
        <v>4.1900000000000004</v>
      </c>
      <c r="H16429" s="489">
        <v>2236.5</v>
      </c>
      <c r="I16429" s="489">
        <v>2090.63</v>
      </c>
      <c r="J16429" s="489">
        <v>99.18</v>
      </c>
      <c r="K16429" s="489">
        <v>46.69</v>
      </c>
      <c r="L16429" s="43">
        <v>10.949280328992462</v>
      </c>
      <c r="M16429" s="43">
        <v>11.500247538368448</v>
      </c>
      <c r="N16429" s="43">
        <v>5.4256017505470462</v>
      </c>
      <c r="O16429" s="43">
        <v>11.143198090692122</v>
      </c>
      <c r="P16429" s="490"/>
      <c r="Q16429" s="490"/>
      <c r="R16429" s="490">
        <v>5</v>
      </c>
    </row>
    <row r="16430" spans="1:18" ht="24">
      <c r="A16430" s="486">
        <v>390</v>
      </c>
      <c r="B16430" s="483" t="s">
        <v>29461</v>
      </c>
      <c r="C16430" s="487" t="s">
        <v>29462</v>
      </c>
      <c r="D16430" s="488">
        <v>230.23</v>
      </c>
      <c r="E16430" s="488">
        <v>199.53</v>
      </c>
      <c r="F16430" s="488">
        <v>25.98</v>
      </c>
      <c r="G16430" s="488">
        <v>4.72</v>
      </c>
      <c r="H16430" s="489">
        <v>2487.91</v>
      </c>
      <c r="I16430" s="489">
        <v>2294.6</v>
      </c>
      <c r="J16430" s="489">
        <v>140.97999999999999</v>
      </c>
      <c r="K16430" s="489">
        <v>52.33</v>
      </c>
      <c r="L16430" s="43">
        <v>10.806193806193805</v>
      </c>
      <c r="M16430" s="43">
        <v>11.500025058888387</v>
      </c>
      <c r="N16430" s="43">
        <v>5.4264819091608922</v>
      </c>
      <c r="O16430" s="43">
        <v>11.086864406779661</v>
      </c>
      <c r="P16430" s="490"/>
      <c r="Q16430" s="490"/>
      <c r="R16430" s="490">
        <v>5</v>
      </c>
    </row>
    <row r="16431" spans="1:18" ht="24">
      <c r="A16431" s="486">
        <v>391</v>
      </c>
      <c r="B16431" s="483" t="s">
        <v>29463</v>
      </c>
      <c r="C16431" s="487" t="s">
        <v>29464</v>
      </c>
      <c r="D16431" s="488">
        <v>386.5</v>
      </c>
      <c r="E16431" s="488">
        <v>249.78</v>
      </c>
      <c r="F16431" s="488">
        <v>129.35</v>
      </c>
      <c r="G16431" s="488">
        <v>7.37</v>
      </c>
      <c r="H16431" s="489">
        <v>3652.69</v>
      </c>
      <c r="I16431" s="489">
        <v>2872.49</v>
      </c>
      <c r="J16431" s="489">
        <v>701.96</v>
      </c>
      <c r="K16431" s="489">
        <v>78.239999999999995</v>
      </c>
      <c r="L16431" s="43">
        <v>9.4506856403622255</v>
      </c>
      <c r="M16431" s="43">
        <v>11.500080070462005</v>
      </c>
      <c r="N16431" s="43">
        <v>5.4268264398917667</v>
      </c>
      <c r="O16431" s="43">
        <v>10.616010854816825</v>
      </c>
      <c r="P16431" s="490"/>
      <c r="Q16431" s="490"/>
      <c r="R16431" s="490">
        <v>5</v>
      </c>
    </row>
    <row r="16432" spans="1:18" ht="24">
      <c r="A16432" s="486">
        <v>392</v>
      </c>
      <c r="B16432" s="483" t="s">
        <v>29465</v>
      </c>
      <c r="C16432" s="487" t="s">
        <v>29466</v>
      </c>
      <c r="D16432" s="488">
        <v>333.97</v>
      </c>
      <c r="E16432" s="488">
        <v>232.05</v>
      </c>
      <c r="F16432" s="488">
        <v>96.2</v>
      </c>
      <c r="G16432" s="488">
        <v>5.72</v>
      </c>
      <c r="H16432" s="489">
        <v>3252.78</v>
      </c>
      <c r="I16432" s="489">
        <v>2668.53</v>
      </c>
      <c r="J16432" s="489">
        <v>521.41</v>
      </c>
      <c r="K16432" s="489">
        <v>62.84</v>
      </c>
      <c r="L16432" s="43">
        <v>9.7397371021349226</v>
      </c>
      <c r="M16432" s="43">
        <v>11.499806076276665</v>
      </c>
      <c r="N16432" s="43">
        <v>5.4200623700623698</v>
      </c>
      <c r="O16432" s="43">
        <v>10.986013986013987</v>
      </c>
      <c r="P16432" s="490"/>
      <c r="Q16432" s="490"/>
      <c r="R16432" s="490">
        <v>5</v>
      </c>
    </row>
    <row r="16433" spans="1:18" ht="24">
      <c r="A16433" s="486">
        <v>393</v>
      </c>
      <c r="B16433" s="483" t="s">
        <v>29467</v>
      </c>
      <c r="C16433" s="487" t="s">
        <v>29468</v>
      </c>
      <c r="D16433" s="488">
        <v>280.20999999999998</v>
      </c>
      <c r="E16433" s="488">
        <v>215.79</v>
      </c>
      <c r="F16433" s="488">
        <v>59.35</v>
      </c>
      <c r="G16433" s="488">
        <v>5.07</v>
      </c>
      <c r="H16433" s="489">
        <v>2859.97</v>
      </c>
      <c r="I16433" s="489">
        <v>2481.56</v>
      </c>
      <c r="J16433" s="489">
        <v>322.11</v>
      </c>
      <c r="K16433" s="489">
        <v>56.3</v>
      </c>
      <c r="L16433" s="43">
        <v>10.206523678669569</v>
      </c>
      <c r="M16433" s="43">
        <v>11.499884146624034</v>
      </c>
      <c r="N16433" s="43">
        <v>5.4272957034540861</v>
      </c>
      <c r="O16433" s="43">
        <v>11.104536489151872</v>
      </c>
      <c r="P16433" s="490"/>
      <c r="Q16433" s="490"/>
      <c r="R16433" s="490">
        <v>5</v>
      </c>
    </row>
    <row r="16434" spans="1:18" ht="24">
      <c r="A16434" s="486">
        <v>394</v>
      </c>
      <c r="B16434" s="483" t="s">
        <v>29469</v>
      </c>
      <c r="C16434" s="487" t="s">
        <v>29470</v>
      </c>
      <c r="D16434" s="488">
        <v>2184.3000000000002</v>
      </c>
      <c r="E16434" s="488">
        <v>945.92</v>
      </c>
      <c r="F16434" s="488">
        <v>1206.4000000000001</v>
      </c>
      <c r="G16434" s="488">
        <v>31.98</v>
      </c>
      <c r="H16434" s="489">
        <v>17745.23</v>
      </c>
      <c r="I16434" s="489">
        <v>10878.08</v>
      </c>
      <c r="J16434" s="489">
        <v>6535.14</v>
      </c>
      <c r="K16434" s="489">
        <v>332.01</v>
      </c>
      <c r="L16434" s="43">
        <v>8.1239893787483393</v>
      </c>
      <c r="M16434" s="43">
        <v>11.5</v>
      </c>
      <c r="N16434" s="43">
        <v>5.4170590185676391</v>
      </c>
      <c r="O16434" s="43">
        <v>10.381801125703564</v>
      </c>
      <c r="P16434" s="490"/>
      <c r="Q16434" s="490"/>
      <c r="R16434" s="490">
        <v>5</v>
      </c>
    </row>
    <row r="16435" spans="1:18" ht="24">
      <c r="A16435" s="486">
        <v>395</v>
      </c>
      <c r="B16435" s="483" t="s">
        <v>29471</v>
      </c>
      <c r="C16435" s="487" t="s">
        <v>29472</v>
      </c>
      <c r="D16435" s="488">
        <v>303.18</v>
      </c>
      <c r="E16435" s="488">
        <v>215.79</v>
      </c>
      <c r="F16435" s="488">
        <v>82.52</v>
      </c>
      <c r="G16435" s="488">
        <v>4.87</v>
      </c>
      <c r="H16435" s="489">
        <v>2983.98</v>
      </c>
      <c r="I16435" s="489">
        <v>2481.56</v>
      </c>
      <c r="J16435" s="489">
        <v>447.91</v>
      </c>
      <c r="K16435" s="489">
        <v>54.51</v>
      </c>
      <c r="L16435" s="43">
        <v>9.8422719176726687</v>
      </c>
      <c r="M16435" s="43">
        <v>11.499884146624034</v>
      </c>
      <c r="N16435" s="43">
        <v>5.4278962675714988</v>
      </c>
      <c r="O16435" s="43">
        <v>11.193018480492812</v>
      </c>
      <c r="P16435" s="490"/>
      <c r="Q16435" s="490"/>
      <c r="R16435" s="490">
        <v>5</v>
      </c>
    </row>
    <row r="16436" spans="1:18" ht="24">
      <c r="A16436" s="486">
        <v>396</v>
      </c>
      <c r="B16436" s="483" t="s">
        <v>29473</v>
      </c>
      <c r="C16436" s="487" t="s">
        <v>29474</v>
      </c>
      <c r="D16436" s="488">
        <v>240.32</v>
      </c>
      <c r="E16436" s="488">
        <v>199.53</v>
      </c>
      <c r="F16436" s="488">
        <v>36.25</v>
      </c>
      <c r="G16436" s="488">
        <v>4.54</v>
      </c>
      <c r="H16436" s="489">
        <v>2542.04</v>
      </c>
      <c r="I16436" s="489">
        <v>2294.6</v>
      </c>
      <c r="J16436" s="489">
        <v>196.72</v>
      </c>
      <c r="K16436" s="489">
        <v>50.72</v>
      </c>
      <c r="L16436" s="43">
        <v>10.577729693741677</v>
      </c>
      <c r="M16436" s="43">
        <v>11.500025058888387</v>
      </c>
      <c r="N16436" s="43">
        <v>5.4267586206896548</v>
      </c>
      <c r="O16436" s="43">
        <v>11.171806167400881</v>
      </c>
      <c r="P16436" s="490"/>
      <c r="Q16436" s="490"/>
      <c r="R16436" s="490">
        <v>5</v>
      </c>
    </row>
    <row r="16437" spans="1:18" ht="24">
      <c r="A16437" s="486">
        <v>397</v>
      </c>
      <c r="B16437" s="483" t="s">
        <v>29475</v>
      </c>
      <c r="C16437" s="487" t="s">
        <v>29476</v>
      </c>
      <c r="D16437" s="488">
        <v>231.68</v>
      </c>
      <c r="E16437" s="488">
        <v>199.53</v>
      </c>
      <c r="F16437" s="488">
        <v>25.98</v>
      </c>
      <c r="G16437" s="488">
        <v>6.17</v>
      </c>
      <c r="H16437" s="489">
        <v>2500.6</v>
      </c>
      <c r="I16437" s="489">
        <v>2294.6</v>
      </c>
      <c r="J16437" s="489">
        <v>140.97999999999999</v>
      </c>
      <c r="K16437" s="489">
        <v>65.02</v>
      </c>
      <c r="L16437" s="43">
        <v>10.793335635359115</v>
      </c>
      <c r="M16437" s="43">
        <v>11.500025058888387</v>
      </c>
      <c r="N16437" s="43">
        <v>5.4264819091608922</v>
      </c>
      <c r="O16437" s="43">
        <v>10.538087520259319</v>
      </c>
      <c r="P16437" s="490"/>
      <c r="Q16437" s="490"/>
      <c r="R16437" s="490">
        <v>5</v>
      </c>
    </row>
    <row r="16438" spans="1:18" ht="24">
      <c r="A16438" s="486">
        <v>398</v>
      </c>
      <c r="B16438" s="483" t="s">
        <v>29477</v>
      </c>
      <c r="C16438" s="487" t="s">
        <v>29478</v>
      </c>
      <c r="D16438" s="488">
        <v>379.54</v>
      </c>
      <c r="E16438" s="488">
        <v>249.78</v>
      </c>
      <c r="F16438" s="488">
        <v>124.21</v>
      </c>
      <c r="G16438" s="488">
        <v>5.55</v>
      </c>
      <c r="H16438" s="489">
        <v>3608.9</v>
      </c>
      <c r="I16438" s="489">
        <v>2872.49</v>
      </c>
      <c r="J16438" s="489">
        <v>674.08</v>
      </c>
      <c r="K16438" s="489">
        <v>62.33</v>
      </c>
      <c r="L16438" s="43">
        <v>9.5086156926806122</v>
      </c>
      <c r="M16438" s="43">
        <v>11.500080070462005</v>
      </c>
      <c r="N16438" s="43">
        <v>5.4269382497383472</v>
      </c>
      <c r="O16438" s="43">
        <v>11.23063063063063</v>
      </c>
      <c r="P16438" s="490"/>
      <c r="Q16438" s="490"/>
      <c r="R16438" s="490">
        <v>5</v>
      </c>
    </row>
    <row r="16439" spans="1:18" ht="24">
      <c r="A16439" s="486">
        <v>399</v>
      </c>
      <c r="B16439" s="483" t="s">
        <v>29479</v>
      </c>
      <c r="C16439" s="487" t="s">
        <v>29480</v>
      </c>
      <c r="D16439" s="488">
        <v>325.04000000000002</v>
      </c>
      <c r="E16439" s="488">
        <v>232.05</v>
      </c>
      <c r="F16439" s="488">
        <v>85.09</v>
      </c>
      <c r="G16439" s="488">
        <v>7.9</v>
      </c>
      <c r="H16439" s="489">
        <v>3212.34</v>
      </c>
      <c r="I16439" s="489">
        <v>2668.53</v>
      </c>
      <c r="J16439" s="489">
        <v>461.84</v>
      </c>
      <c r="K16439" s="489">
        <v>81.97</v>
      </c>
      <c r="L16439" s="43">
        <v>9.8829067191730253</v>
      </c>
      <c r="M16439" s="43">
        <v>11.499806076276665</v>
      </c>
      <c r="N16439" s="43">
        <v>5.4276648254789039</v>
      </c>
      <c r="O16439" s="43">
        <v>10.375949367088607</v>
      </c>
      <c r="P16439" s="490"/>
      <c r="Q16439" s="490"/>
      <c r="R16439" s="490">
        <v>5</v>
      </c>
    </row>
    <row r="16440" spans="1:18" ht="24">
      <c r="A16440" s="486">
        <v>400</v>
      </c>
      <c r="B16440" s="483" t="s">
        <v>29481</v>
      </c>
      <c r="C16440" s="487" t="s">
        <v>29482</v>
      </c>
      <c r="D16440" s="488">
        <v>229.56</v>
      </c>
      <c r="E16440" s="488">
        <v>199.53</v>
      </c>
      <c r="F16440" s="488">
        <v>25.98</v>
      </c>
      <c r="G16440" s="488">
        <v>4.05</v>
      </c>
      <c r="H16440" s="489">
        <v>2482.0100000000002</v>
      </c>
      <c r="I16440" s="489">
        <v>2294.6</v>
      </c>
      <c r="J16440" s="489">
        <v>140.97999999999999</v>
      </c>
      <c r="K16440" s="489">
        <v>46.43</v>
      </c>
      <c r="L16440" s="43">
        <v>10.812031712841959</v>
      </c>
      <c r="M16440" s="43">
        <v>11.500025058888387</v>
      </c>
      <c r="N16440" s="43">
        <v>5.4264819091608922</v>
      </c>
      <c r="O16440" s="43">
        <v>11.464197530864197</v>
      </c>
      <c r="P16440" s="490"/>
      <c r="Q16440" s="490"/>
      <c r="R16440" s="490">
        <v>5</v>
      </c>
    </row>
    <row r="16441" spans="1:18" ht="24">
      <c r="A16441" s="486">
        <v>401</v>
      </c>
      <c r="B16441" s="483" t="s">
        <v>29483</v>
      </c>
      <c r="C16441" s="487" t="s">
        <v>29484</v>
      </c>
      <c r="D16441" s="488">
        <v>301.24</v>
      </c>
      <c r="E16441" s="488">
        <v>232.05</v>
      </c>
      <c r="F16441" s="488">
        <v>64.55</v>
      </c>
      <c r="G16441" s="488">
        <v>4.6399999999999997</v>
      </c>
      <c r="H16441" s="489">
        <v>3072.27</v>
      </c>
      <c r="I16441" s="489">
        <v>2668.53</v>
      </c>
      <c r="J16441" s="489">
        <v>350.38</v>
      </c>
      <c r="K16441" s="489">
        <v>53.36</v>
      </c>
      <c r="L16441" s="43">
        <v>10.19874518656221</v>
      </c>
      <c r="M16441" s="43">
        <v>11.499806076276665</v>
      </c>
      <c r="N16441" s="43">
        <v>5.4280402788536017</v>
      </c>
      <c r="O16441" s="43">
        <v>11.5</v>
      </c>
      <c r="P16441" s="490"/>
      <c r="Q16441" s="490"/>
      <c r="R16441" s="490">
        <v>5</v>
      </c>
    </row>
    <row r="16442" spans="1:18" ht="24">
      <c r="A16442" s="486">
        <v>402</v>
      </c>
      <c r="B16442" s="483" t="s">
        <v>29485</v>
      </c>
      <c r="C16442" s="487" t="s">
        <v>29486</v>
      </c>
      <c r="D16442" s="488">
        <v>202.88</v>
      </c>
      <c r="E16442" s="488">
        <v>183.27</v>
      </c>
      <c r="F16442" s="488">
        <v>15.4</v>
      </c>
      <c r="G16442" s="488">
        <v>4.21</v>
      </c>
      <c r="H16442" s="489">
        <v>2238.1799999999998</v>
      </c>
      <c r="I16442" s="489">
        <v>2107.63</v>
      </c>
      <c r="J16442" s="489">
        <v>83.6</v>
      </c>
      <c r="K16442" s="489">
        <v>46.95</v>
      </c>
      <c r="L16442" s="43">
        <v>11.032038643533122</v>
      </c>
      <c r="M16442" s="43">
        <v>11.500136410760081</v>
      </c>
      <c r="N16442" s="43">
        <v>5.4285714285714279</v>
      </c>
      <c r="O16442" s="43">
        <v>11.152019002375297</v>
      </c>
      <c r="P16442" s="490"/>
      <c r="Q16442" s="490"/>
      <c r="R16442" s="490">
        <v>5</v>
      </c>
    </row>
    <row r="16443" spans="1:18" ht="24">
      <c r="A16443" s="486">
        <v>403</v>
      </c>
      <c r="B16443" s="483" t="s">
        <v>29487</v>
      </c>
      <c r="C16443" s="487" t="s">
        <v>29488</v>
      </c>
      <c r="D16443" s="488">
        <v>398.67</v>
      </c>
      <c r="E16443" s="488">
        <v>220.88</v>
      </c>
      <c r="F16443" s="488">
        <v>155.01</v>
      </c>
      <c r="G16443" s="488">
        <v>22.78</v>
      </c>
      <c r="H16443" s="489">
        <v>3593.28</v>
      </c>
      <c r="I16443" s="489">
        <v>2540.2399999999998</v>
      </c>
      <c r="J16443" s="489">
        <v>841.29</v>
      </c>
      <c r="K16443" s="489">
        <v>211.75</v>
      </c>
      <c r="L16443" s="43">
        <v>9.0131687862141625</v>
      </c>
      <c r="M16443" s="43">
        <v>11.500543281419775</v>
      </c>
      <c r="N16443" s="43">
        <v>5.4273272692084387</v>
      </c>
      <c r="O16443" s="43">
        <v>9.2954345917471457</v>
      </c>
      <c r="P16443" s="490"/>
      <c r="Q16443" s="490"/>
      <c r="R16443" s="490">
        <v>5</v>
      </c>
    </row>
    <row r="16444" spans="1:18" ht="24">
      <c r="A16444" s="486">
        <v>404</v>
      </c>
      <c r="B16444" s="483" t="s">
        <v>29489</v>
      </c>
      <c r="C16444" s="487" t="s">
        <v>29490</v>
      </c>
      <c r="D16444" s="488">
        <v>349.11</v>
      </c>
      <c r="E16444" s="488">
        <v>220.88</v>
      </c>
      <c r="F16444" s="488">
        <v>121.1</v>
      </c>
      <c r="G16444" s="488">
        <v>7.13</v>
      </c>
      <c r="H16444" s="489">
        <v>3266.23</v>
      </c>
      <c r="I16444" s="489">
        <v>2540.2399999999998</v>
      </c>
      <c r="J16444" s="489">
        <v>651.38</v>
      </c>
      <c r="K16444" s="489">
        <v>74.61</v>
      </c>
      <c r="L16444" s="43">
        <v>9.3558763713442747</v>
      </c>
      <c r="M16444" s="43">
        <v>11.500543281419775</v>
      </c>
      <c r="N16444" s="43">
        <v>5.3788604459124691</v>
      </c>
      <c r="O16444" s="43">
        <v>10.464235624123422</v>
      </c>
      <c r="P16444" s="490"/>
      <c r="Q16444" s="490"/>
      <c r="R16444" s="490">
        <v>5</v>
      </c>
    </row>
    <row r="16445" spans="1:18" ht="24">
      <c r="A16445" s="486">
        <v>405</v>
      </c>
      <c r="B16445" s="483" t="s">
        <v>29491</v>
      </c>
      <c r="C16445" s="487" t="s">
        <v>29492</v>
      </c>
      <c r="D16445" s="488">
        <v>298.51</v>
      </c>
      <c r="E16445" s="488">
        <v>128.69</v>
      </c>
      <c r="F16445" s="488">
        <v>167.25</v>
      </c>
      <c r="G16445" s="488">
        <v>2.57</v>
      </c>
      <c r="H16445" s="489">
        <v>2409.23</v>
      </c>
      <c r="I16445" s="489">
        <v>1479.97</v>
      </c>
      <c r="J16445" s="489">
        <v>899.7</v>
      </c>
      <c r="K16445" s="489">
        <v>29.56</v>
      </c>
      <c r="L16445" s="43">
        <v>8.0708518977588692</v>
      </c>
      <c r="M16445" s="43">
        <v>11.50027197140415</v>
      </c>
      <c r="N16445" s="43">
        <v>5.3793721973094177</v>
      </c>
      <c r="O16445" s="43">
        <v>11.501945525291829</v>
      </c>
      <c r="P16445" s="490"/>
      <c r="Q16445" s="490"/>
      <c r="R16445" s="490">
        <v>5</v>
      </c>
    </row>
    <row r="16446" spans="1:18" ht="24">
      <c r="A16446" s="486">
        <v>406</v>
      </c>
      <c r="B16446" s="483" t="s">
        <v>29493</v>
      </c>
      <c r="C16446" s="487" t="s">
        <v>29494</v>
      </c>
      <c r="D16446" s="488">
        <v>260.79000000000002</v>
      </c>
      <c r="E16446" s="488">
        <v>190.82</v>
      </c>
      <c r="F16446" s="488">
        <v>64.11</v>
      </c>
      <c r="G16446" s="488">
        <v>5.86</v>
      </c>
      <c r="H16446" s="489">
        <v>2601.2199999999998</v>
      </c>
      <c r="I16446" s="489">
        <v>2194.5300000000002</v>
      </c>
      <c r="J16446" s="489">
        <v>344.88</v>
      </c>
      <c r="K16446" s="489">
        <v>61.81</v>
      </c>
      <c r="L16446" s="43">
        <v>9.9743855209172114</v>
      </c>
      <c r="M16446" s="43">
        <v>11.500524054082383</v>
      </c>
      <c r="N16446" s="43">
        <v>5.3795039775386053</v>
      </c>
      <c r="O16446" s="43">
        <v>10.547781569965871</v>
      </c>
      <c r="P16446" s="490"/>
      <c r="Q16446" s="490"/>
      <c r="R16446" s="490">
        <v>5</v>
      </c>
    </row>
    <row r="16447" spans="1:18" ht="24">
      <c r="A16447" s="486">
        <v>407</v>
      </c>
      <c r="B16447" s="483" t="s">
        <v>29495</v>
      </c>
      <c r="C16447" s="487" t="s">
        <v>29496</v>
      </c>
      <c r="D16447" s="488">
        <v>567.79</v>
      </c>
      <c r="E16447" s="488">
        <v>294.08</v>
      </c>
      <c r="F16447" s="488">
        <v>264.97000000000003</v>
      </c>
      <c r="G16447" s="488">
        <v>8.74</v>
      </c>
      <c r="H16447" s="489">
        <v>4900.03</v>
      </c>
      <c r="I16447" s="489">
        <v>3381.98</v>
      </c>
      <c r="J16447" s="489">
        <v>1425.4</v>
      </c>
      <c r="K16447" s="489">
        <v>92.65</v>
      </c>
      <c r="L16447" s="43">
        <v>8.6300040507934277</v>
      </c>
      <c r="M16447" s="43">
        <v>11.500204026115343</v>
      </c>
      <c r="N16447" s="43">
        <v>5.3794769219156882</v>
      </c>
      <c r="O16447" s="43">
        <v>10.600686498855836</v>
      </c>
      <c r="P16447" s="490"/>
      <c r="Q16447" s="490"/>
      <c r="R16447" s="490">
        <v>5</v>
      </c>
    </row>
    <row r="16448" spans="1:18" ht="12.75" customHeight="1">
      <c r="A16448" s="628" t="s">
        <v>29497</v>
      </c>
      <c r="B16448" s="629"/>
      <c r="C16448" s="629"/>
      <c r="D16448" s="629"/>
      <c r="E16448" s="629"/>
      <c r="F16448" s="629"/>
      <c r="G16448" s="629"/>
      <c r="H16448" s="629"/>
      <c r="I16448" s="629"/>
      <c r="J16448" s="629"/>
      <c r="K16448" s="629"/>
      <c r="L16448" s="629"/>
      <c r="M16448" s="629"/>
      <c r="N16448" s="629"/>
      <c r="O16448" s="629"/>
      <c r="P16448" s="629"/>
      <c r="Q16448" s="629"/>
      <c r="R16448" s="629"/>
    </row>
    <row r="16449" spans="1:18" ht="24">
      <c r="A16449" s="486">
        <v>408</v>
      </c>
      <c r="B16449" s="483" t="s">
        <v>29498</v>
      </c>
      <c r="C16449" s="487" t="s">
        <v>29499</v>
      </c>
      <c r="D16449" s="488">
        <v>219.44</v>
      </c>
      <c r="E16449" s="488">
        <v>174.02</v>
      </c>
      <c r="F16449" s="488">
        <v>41.38</v>
      </c>
      <c r="G16449" s="488">
        <v>4.04</v>
      </c>
      <c r="H16449" s="489">
        <v>2270.7600000000002</v>
      </c>
      <c r="I16449" s="489">
        <v>2001.24</v>
      </c>
      <c r="J16449" s="489">
        <v>224.58</v>
      </c>
      <c r="K16449" s="489">
        <v>44.94</v>
      </c>
      <c r="L16449" s="43">
        <v>10.347976667881882</v>
      </c>
      <c r="M16449" s="43">
        <v>11.500057464659234</v>
      </c>
      <c r="N16449" s="43">
        <v>5.4272595456742385</v>
      </c>
      <c r="O16449" s="43">
        <v>11.123762376237623</v>
      </c>
      <c r="P16449" s="490"/>
      <c r="Q16449" s="490"/>
      <c r="R16449" s="490">
        <v>6</v>
      </c>
    </row>
    <row r="16450" spans="1:18" ht="24">
      <c r="A16450" s="486">
        <v>409</v>
      </c>
      <c r="B16450" s="483" t="s">
        <v>29500</v>
      </c>
      <c r="C16450" s="487" t="s">
        <v>29501</v>
      </c>
      <c r="D16450" s="488">
        <v>222.65</v>
      </c>
      <c r="E16450" s="488">
        <v>193.73</v>
      </c>
      <c r="F16450" s="488">
        <v>23.42</v>
      </c>
      <c r="G16450" s="488">
        <v>5.5</v>
      </c>
      <c r="H16450" s="489">
        <v>2413.77</v>
      </c>
      <c r="I16450" s="489">
        <v>2227.91</v>
      </c>
      <c r="J16450" s="489">
        <v>127.05</v>
      </c>
      <c r="K16450" s="489">
        <v>58.81</v>
      </c>
      <c r="L16450" s="43">
        <v>10.841095890410958</v>
      </c>
      <c r="M16450" s="43">
        <v>11.500077427347339</v>
      </c>
      <c r="N16450" s="43">
        <v>5.424850555081127</v>
      </c>
      <c r="O16450" s="43">
        <v>10.692727272727273</v>
      </c>
      <c r="P16450" s="490"/>
      <c r="Q16450" s="490"/>
      <c r="R16450" s="490">
        <v>6</v>
      </c>
    </row>
    <row r="16451" spans="1:18" ht="24">
      <c r="A16451" s="486">
        <v>410</v>
      </c>
      <c r="B16451" s="483" t="s">
        <v>29502</v>
      </c>
      <c r="C16451" s="487" t="s">
        <v>29503</v>
      </c>
      <c r="D16451" s="488">
        <v>412.74</v>
      </c>
      <c r="E16451" s="488">
        <v>274.08999999999997</v>
      </c>
      <c r="F16451" s="488">
        <v>130.72</v>
      </c>
      <c r="G16451" s="488">
        <v>7.93</v>
      </c>
      <c r="H16451" s="489">
        <v>3945.03</v>
      </c>
      <c r="I16451" s="489">
        <v>3152.07</v>
      </c>
      <c r="J16451" s="489">
        <v>708.48</v>
      </c>
      <c r="K16451" s="489">
        <v>84.48</v>
      </c>
      <c r="L16451" s="43">
        <v>9.5581479866259631</v>
      </c>
      <c r="M16451" s="43">
        <v>11.500127695282574</v>
      </c>
      <c r="N16451" s="43">
        <v>5.4198286413708692</v>
      </c>
      <c r="O16451" s="43">
        <v>10.653215636822194</v>
      </c>
      <c r="P16451" s="490"/>
      <c r="Q16451" s="490"/>
      <c r="R16451" s="490">
        <v>6</v>
      </c>
    </row>
    <row r="16452" spans="1:18" ht="24">
      <c r="A16452" s="486">
        <v>411</v>
      </c>
      <c r="B16452" s="483" t="s">
        <v>29504</v>
      </c>
      <c r="C16452" s="487" t="s">
        <v>29505</v>
      </c>
      <c r="D16452" s="488">
        <v>324.41000000000003</v>
      </c>
      <c r="E16452" s="488">
        <v>225.3</v>
      </c>
      <c r="F16452" s="488">
        <v>92.97</v>
      </c>
      <c r="G16452" s="488">
        <v>6.14</v>
      </c>
      <c r="H16452" s="489">
        <v>3161.76</v>
      </c>
      <c r="I16452" s="489">
        <v>2590.9699999999998</v>
      </c>
      <c r="J16452" s="489">
        <v>504.62</v>
      </c>
      <c r="K16452" s="489">
        <v>66.17</v>
      </c>
      <c r="L16452" s="43">
        <v>9.7461853826947387</v>
      </c>
      <c r="M16452" s="43">
        <v>11.500088770528183</v>
      </c>
      <c r="N16452" s="43">
        <v>5.4277723996988279</v>
      </c>
      <c r="O16452" s="43">
        <v>10.776872964169382</v>
      </c>
      <c r="P16452" s="490"/>
      <c r="Q16452" s="490"/>
      <c r="R16452" s="490">
        <v>6</v>
      </c>
    </row>
    <row r="16453" spans="1:18" ht="24">
      <c r="A16453" s="486">
        <v>412</v>
      </c>
      <c r="B16453" s="483" t="s">
        <v>29506</v>
      </c>
      <c r="C16453" s="487" t="s">
        <v>29507</v>
      </c>
      <c r="D16453" s="488">
        <v>412.17</v>
      </c>
      <c r="E16453" s="488">
        <v>258.3</v>
      </c>
      <c r="F16453" s="488">
        <v>142.16999999999999</v>
      </c>
      <c r="G16453" s="488">
        <v>11.7</v>
      </c>
      <c r="H16453" s="489">
        <v>3857.5</v>
      </c>
      <c r="I16453" s="489">
        <v>2970.54</v>
      </c>
      <c r="J16453" s="489">
        <v>770.28</v>
      </c>
      <c r="K16453" s="489">
        <v>116.68</v>
      </c>
      <c r="L16453" s="43">
        <v>9.3590023533978695</v>
      </c>
      <c r="M16453" s="43">
        <v>11.500348432055748</v>
      </c>
      <c r="N16453" s="43">
        <v>5.4180206794682428</v>
      </c>
      <c r="O16453" s="43">
        <v>9.9726495726495745</v>
      </c>
      <c r="P16453" s="490"/>
      <c r="Q16453" s="490"/>
      <c r="R16453" s="490">
        <v>6</v>
      </c>
    </row>
    <row r="16454" spans="1:18" ht="24">
      <c r="A16454" s="486">
        <v>413</v>
      </c>
      <c r="B16454" s="483" t="s">
        <v>29508</v>
      </c>
      <c r="C16454" s="487" t="s">
        <v>29509</v>
      </c>
      <c r="D16454" s="488">
        <v>192.34</v>
      </c>
      <c r="E16454" s="488">
        <v>176.51</v>
      </c>
      <c r="F16454" s="488">
        <v>11.38</v>
      </c>
      <c r="G16454" s="488">
        <v>4.45</v>
      </c>
      <c r="H16454" s="489">
        <v>2139.67</v>
      </c>
      <c r="I16454" s="489">
        <v>2029.87</v>
      </c>
      <c r="J16454" s="489">
        <v>61.15</v>
      </c>
      <c r="K16454" s="489">
        <v>48.65</v>
      </c>
      <c r="L16454" s="43">
        <v>11.124415098263492</v>
      </c>
      <c r="M16454" s="43">
        <v>11.500028327006968</v>
      </c>
      <c r="N16454" s="43">
        <v>5.3734622144112469</v>
      </c>
      <c r="O16454" s="43">
        <v>10.93258426966292</v>
      </c>
      <c r="P16454" s="490"/>
      <c r="Q16454" s="490"/>
      <c r="R16454" s="490">
        <v>6</v>
      </c>
    </row>
    <row r="16455" spans="1:18" ht="24">
      <c r="A16455" s="486">
        <v>414</v>
      </c>
      <c r="B16455" s="483" t="s">
        <v>29510</v>
      </c>
      <c r="C16455" s="487" t="s">
        <v>29511</v>
      </c>
      <c r="D16455" s="488">
        <v>354.28</v>
      </c>
      <c r="E16455" s="488">
        <v>242.52</v>
      </c>
      <c r="F16455" s="488">
        <v>103.65</v>
      </c>
      <c r="G16455" s="488">
        <v>8.11</v>
      </c>
      <c r="H16455" s="489">
        <v>3430.84</v>
      </c>
      <c r="I16455" s="489">
        <v>2789.01</v>
      </c>
      <c r="J16455" s="489">
        <v>557.44000000000005</v>
      </c>
      <c r="K16455" s="489">
        <v>84.39</v>
      </c>
      <c r="L16455" s="43">
        <v>9.6839787738511927</v>
      </c>
      <c r="M16455" s="43">
        <v>11.500123701138051</v>
      </c>
      <c r="N16455" s="43">
        <v>5.3780993728895323</v>
      </c>
      <c r="O16455" s="43">
        <v>10.405672009864366</v>
      </c>
      <c r="P16455" s="490"/>
      <c r="Q16455" s="490"/>
      <c r="R16455" s="490">
        <v>6</v>
      </c>
    </row>
    <row r="16456" spans="1:18" ht="24">
      <c r="A16456" s="486">
        <v>415</v>
      </c>
      <c r="B16456" s="483" t="s">
        <v>29512</v>
      </c>
      <c r="C16456" s="487" t="s">
        <v>29513</v>
      </c>
      <c r="D16456" s="488">
        <v>471.69</v>
      </c>
      <c r="E16456" s="488">
        <v>274.08999999999997</v>
      </c>
      <c r="F16456" s="488">
        <v>191</v>
      </c>
      <c r="G16456" s="488">
        <v>6.6</v>
      </c>
      <c r="H16456" s="489">
        <v>4252.38</v>
      </c>
      <c r="I16456" s="489">
        <v>3152.07</v>
      </c>
      <c r="J16456" s="489">
        <v>1027.46</v>
      </c>
      <c r="K16456" s="489">
        <v>72.849999999999994</v>
      </c>
      <c r="L16456" s="43">
        <v>9.0152006614513773</v>
      </c>
      <c r="M16456" s="43">
        <v>11.500127695282574</v>
      </c>
      <c r="N16456" s="43">
        <v>5.3793717277486914</v>
      </c>
      <c r="O16456" s="43">
        <v>11.037878787878787</v>
      </c>
      <c r="P16456" s="490"/>
      <c r="Q16456" s="490"/>
      <c r="R16456" s="490">
        <v>6</v>
      </c>
    </row>
    <row r="16457" spans="1:18" ht="24">
      <c r="A16457" s="486">
        <v>416</v>
      </c>
      <c r="B16457" s="483" t="s">
        <v>29514</v>
      </c>
      <c r="C16457" s="487" t="s">
        <v>29515</v>
      </c>
      <c r="D16457" s="488">
        <v>356.97</v>
      </c>
      <c r="E16457" s="488">
        <v>225.3</v>
      </c>
      <c r="F16457" s="488">
        <v>125.94</v>
      </c>
      <c r="G16457" s="488">
        <v>5.73</v>
      </c>
      <c r="H16457" s="489">
        <v>3336.41</v>
      </c>
      <c r="I16457" s="489">
        <v>2590.9699999999998</v>
      </c>
      <c r="J16457" s="489">
        <v>682.84</v>
      </c>
      <c r="K16457" s="489">
        <v>62.6</v>
      </c>
      <c r="L16457" s="43">
        <v>9.3464716922990725</v>
      </c>
      <c r="M16457" s="43">
        <v>11.500088770528183</v>
      </c>
      <c r="N16457" s="43">
        <v>5.4219469588693032</v>
      </c>
      <c r="O16457" s="43">
        <v>10.924956369982548</v>
      </c>
      <c r="P16457" s="490"/>
      <c r="Q16457" s="490"/>
      <c r="R16457" s="490">
        <v>6</v>
      </c>
    </row>
    <row r="16458" spans="1:18" ht="24">
      <c r="A16458" s="486">
        <v>417</v>
      </c>
      <c r="B16458" s="483" t="s">
        <v>29516</v>
      </c>
      <c r="C16458" s="487" t="s">
        <v>29517</v>
      </c>
      <c r="D16458" s="488">
        <v>320.63</v>
      </c>
      <c r="E16458" s="488">
        <v>225.3</v>
      </c>
      <c r="F16458" s="488">
        <v>85.72</v>
      </c>
      <c r="G16458" s="488">
        <v>9.61</v>
      </c>
      <c r="H16458" s="489">
        <v>3152.62</v>
      </c>
      <c r="I16458" s="489">
        <v>2590.9699999999998</v>
      </c>
      <c r="J16458" s="489">
        <v>465.08</v>
      </c>
      <c r="K16458" s="489">
        <v>96.57</v>
      </c>
      <c r="L16458" s="43">
        <v>9.8325796088949886</v>
      </c>
      <c r="M16458" s="43">
        <v>11.500088770528183</v>
      </c>
      <c r="N16458" s="43">
        <v>5.4255716285580959</v>
      </c>
      <c r="O16458" s="43">
        <v>10.048907388137357</v>
      </c>
      <c r="P16458" s="490"/>
      <c r="Q16458" s="490"/>
      <c r="R16458" s="490">
        <v>6</v>
      </c>
    </row>
    <row r="16459" spans="1:18" ht="24">
      <c r="A16459" s="486">
        <v>418</v>
      </c>
      <c r="B16459" s="483" t="s">
        <v>29518</v>
      </c>
      <c r="C16459" s="487" t="s">
        <v>29519</v>
      </c>
      <c r="D16459" s="488">
        <v>425.42</v>
      </c>
      <c r="E16459" s="488">
        <v>258.3</v>
      </c>
      <c r="F16459" s="488">
        <v>155.01</v>
      </c>
      <c r="G16459" s="488">
        <v>12.11</v>
      </c>
      <c r="H16459" s="489">
        <v>3932.08</v>
      </c>
      <c r="I16459" s="489">
        <v>2970.54</v>
      </c>
      <c r="J16459" s="489">
        <v>841.29</v>
      </c>
      <c r="K16459" s="489">
        <v>120.25</v>
      </c>
      <c r="L16459" s="43">
        <v>9.2428188613605364</v>
      </c>
      <c r="M16459" s="43">
        <v>11.500348432055748</v>
      </c>
      <c r="N16459" s="43">
        <v>5.4273272692084387</v>
      </c>
      <c r="O16459" s="43">
        <v>9.9298100743187447</v>
      </c>
      <c r="P16459" s="490"/>
      <c r="Q16459" s="490"/>
      <c r="R16459" s="490">
        <v>6</v>
      </c>
    </row>
    <row r="16460" spans="1:18" ht="12.75" customHeight="1">
      <c r="A16460" s="628" t="s">
        <v>29520</v>
      </c>
      <c r="B16460" s="629"/>
      <c r="C16460" s="629"/>
      <c r="D16460" s="629"/>
      <c r="E16460" s="629"/>
      <c r="F16460" s="629"/>
      <c r="G16460" s="629"/>
      <c r="H16460" s="629"/>
      <c r="I16460" s="629"/>
      <c r="J16460" s="629"/>
      <c r="K16460" s="629"/>
      <c r="L16460" s="629"/>
      <c r="M16460" s="629"/>
      <c r="N16460" s="629"/>
      <c r="O16460" s="629"/>
      <c r="P16460" s="629"/>
      <c r="Q16460" s="629"/>
      <c r="R16460" s="629"/>
    </row>
    <row r="16461" spans="1:18" ht="24">
      <c r="A16461" s="486">
        <v>419</v>
      </c>
      <c r="B16461" s="483" t="s">
        <v>29521</v>
      </c>
      <c r="C16461" s="487" t="s">
        <v>29522</v>
      </c>
      <c r="D16461" s="488">
        <v>976.06</v>
      </c>
      <c r="E16461" s="488">
        <v>461.17</v>
      </c>
      <c r="F16461" s="488">
        <v>504.45</v>
      </c>
      <c r="G16461" s="488">
        <v>10.44</v>
      </c>
      <c r="H16461" s="489">
        <v>8152.28</v>
      </c>
      <c r="I16461" s="489">
        <v>5303.41</v>
      </c>
      <c r="J16461" s="489">
        <v>2732.11</v>
      </c>
      <c r="K16461" s="489">
        <v>116.76</v>
      </c>
      <c r="L16461" s="43">
        <v>8.3522324447267593</v>
      </c>
      <c r="M16461" s="43">
        <v>11.499902422100309</v>
      </c>
      <c r="N16461" s="43">
        <v>5.4160174447417981</v>
      </c>
      <c r="O16461" s="43">
        <v>11.183908045977013</v>
      </c>
      <c r="P16461" s="490"/>
      <c r="Q16461" s="490"/>
      <c r="R16461" s="490">
        <v>7</v>
      </c>
    </row>
    <row r="16462" spans="1:18" ht="24">
      <c r="A16462" s="486">
        <v>420</v>
      </c>
      <c r="B16462" s="483" t="s">
        <v>29523</v>
      </c>
      <c r="C16462" s="487" t="s">
        <v>29524</v>
      </c>
      <c r="D16462" s="488">
        <v>1466.81</v>
      </c>
      <c r="E16462" s="488">
        <v>654.54999999999995</v>
      </c>
      <c r="F16462" s="488">
        <v>784.89</v>
      </c>
      <c r="G16462" s="488">
        <v>27.37</v>
      </c>
      <c r="H16462" s="489">
        <v>12057.16</v>
      </c>
      <c r="I16462" s="489">
        <v>7527.57</v>
      </c>
      <c r="J16462" s="489">
        <v>4253.8900000000003</v>
      </c>
      <c r="K16462" s="489">
        <v>275.7</v>
      </c>
      <c r="L16462" s="43">
        <v>8.2199875921216794</v>
      </c>
      <c r="M16462" s="43">
        <v>11.50037430295623</v>
      </c>
      <c r="N16462" s="43">
        <v>5.4197276051421222</v>
      </c>
      <c r="O16462" s="43">
        <v>10.073072707343806</v>
      </c>
      <c r="P16462" s="490"/>
      <c r="Q16462" s="490"/>
      <c r="R16462" s="490">
        <v>7</v>
      </c>
    </row>
    <row r="16463" spans="1:18" ht="12.75" customHeight="1">
      <c r="A16463" s="628" t="s">
        <v>2739</v>
      </c>
      <c r="B16463" s="629"/>
      <c r="C16463" s="629"/>
      <c r="D16463" s="629"/>
      <c r="E16463" s="629"/>
      <c r="F16463" s="629"/>
      <c r="G16463" s="629"/>
      <c r="H16463" s="629"/>
      <c r="I16463" s="629"/>
      <c r="J16463" s="629"/>
      <c r="K16463" s="629"/>
      <c r="L16463" s="629"/>
      <c r="M16463" s="629"/>
      <c r="N16463" s="629"/>
      <c r="O16463" s="629"/>
      <c r="P16463" s="629"/>
      <c r="Q16463" s="629"/>
      <c r="R16463" s="629"/>
    </row>
    <row r="16464" spans="1:18" ht="24">
      <c r="A16464" s="486">
        <v>421</v>
      </c>
      <c r="B16464" s="483" t="s">
        <v>29525</v>
      </c>
      <c r="C16464" s="487" t="s">
        <v>29526</v>
      </c>
      <c r="D16464" s="488">
        <v>396.37</v>
      </c>
      <c r="E16464" s="488">
        <v>258.3</v>
      </c>
      <c r="F16464" s="488">
        <v>126.78</v>
      </c>
      <c r="G16464" s="488">
        <v>11.29</v>
      </c>
      <c r="H16464" s="489">
        <v>3771.66</v>
      </c>
      <c r="I16464" s="489">
        <v>2970.54</v>
      </c>
      <c r="J16464" s="489">
        <v>688.02</v>
      </c>
      <c r="K16464" s="489">
        <v>113.1</v>
      </c>
      <c r="L16464" s="43">
        <v>9.5155031914625212</v>
      </c>
      <c r="M16464" s="43">
        <v>11.500348432055748</v>
      </c>
      <c r="N16464" s="43">
        <v>5.4268812115475624</v>
      </c>
      <c r="O16464" s="43">
        <v>10.017714791851196</v>
      </c>
      <c r="P16464" s="490"/>
      <c r="Q16464" s="490"/>
      <c r="R16464" s="490">
        <v>8</v>
      </c>
    </row>
    <row r="16465" spans="1:18" ht="24">
      <c r="A16465" s="486">
        <v>422</v>
      </c>
      <c r="B16465" s="483" t="s">
        <v>29527</v>
      </c>
      <c r="C16465" s="487" t="s">
        <v>29528</v>
      </c>
      <c r="D16465" s="488">
        <v>768.08</v>
      </c>
      <c r="E16465" s="488">
        <v>386.02</v>
      </c>
      <c r="F16465" s="488">
        <v>367.81</v>
      </c>
      <c r="G16465" s="488">
        <v>14.25</v>
      </c>
      <c r="H16465" s="489">
        <v>6581.42</v>
      </c>
      <c r="I16465" s="489">
        <v>4439.3100000000004</v>
      </c>
      <c r="J16465" s="489">
        <v>1996.11</v>
      </c>
      <c r="K16465" s="489">
        <v>146</v>
      </c>
      <c r="L16465" s="43">
        <v>8.5686647224247476</v>
      </c>
      <c r="M16465" s="43">
        <v>11.500207243148026</v>
      </c>
      <c r="N16465" s="43">
        <v>5.4270139474185042</v>
      </c>
      <c r="O16465" s="43">
        <v>10.245614035087719</v>
      </c>
      <c r="P16465" s="490"/>
      <c r="Q16465" s="490"/>
      <c r="R16465" s="490">
        <v>8</v>
      </c>
    </row>
    <row r="16466" spans="1:18" ht="24">
      <c r="A16466" s="486">
        <v>423</v>
      </c>
      <c r="B16466" s="483" t="s">
        <v>29529</v>
      </c>
      <c r="C16466" s="487" t="s">
        <v>29530</v>
      </c>
      <c r="D16466" s="488">
        <v>201.65</v>
      </c>
      <c r="E16466" s="488">
        <v>179.09</v>
      </c>
      <c r="F16466" s="488">
        <v>18.25</v>
      </c>
      <c r="G16466" s="488">
        <v>4.3099999999999996</v>
      </c>
      <c r="H16466" s="489">
        <v>2206.11</v>
      </c>
      <c r="I16466" s="489">
        <v>2059.5100000000002</v>
      </c>
      <c r="J16466" s="489">
        <v>98.99</v>
      </c>
      <c r="K16466" s="489">
        <v>47.61</v>
      </c>
      <c r="L16466" s="43">
        <v>10.940292586164146</v>
      </c>
      <c r="M16466" s="43">
        <v>11.499860405382769</v>
      </c>
      <c r="N16466" s="43">
        <v>5.4241095890410955</v>
      </c>
      <c r="O16466" s="43">
        <v>11.046403712296984</v>
      </c>
      <c r="P16466" s="490"/>
      <c r="Q16466" s="490"/>
      <c r="R16466" s="490">
        <v>8</v>
      </c>
    </row>
    <row r="16467" spans="1:18" ht="24">
      <c r="A16467" s="486">
        <v>424</v>
      </c>
      <c r="B16467" s="483" t="s">
        <v>29531</v>
      </c>
      <c r="C16467" s="487" t="s">
        <v>29532</v>
      </c>
      <c r="D16467" s="488">
        <v>1789.27</v>
      </c>
      <c r="E16467" s="488">
        <v>915.82</v>
      </c>
      <c r="F16467" s="488">
        <v>787.13</v>
      </c>
      <c r="G16467" s="488">
        <v>86.32</v>
      </c>
      <c r="H16467" s="489">
        <v>15601.3</v>
      </c>
      <c r="I16467" s="489">
        <v>10531.98</v>
      </c>
      <c r="J16467" s="489">
        <v>4262.6400000000003</v>
      </c>
      <c r="K16467" s="489">
        <v>806.68</v>
      </c>
      <c r="L16467" s="43">
        <v>8.7193659984239371</v>
      </c>
      <c r="M16467" s="43">
        <v>11.500054595881286</v>
      </c>
      <c r="N16467" s="43">
        <v>5.4154205785575451</v>
      </c>
      <c r="O16467" s="43">
        <v>9.3452270620945317</v>
      </c>
      <c r="P16467" s="490"/>
      <c r="Q16467" s="490"/>
      <c r="R16467" s="490">
        <v>8</v>
      </c>
    </row>
    <row r="16468" spans="1:18" ht="24">
      <c r="A16468" s="486">
        <v>425</v>
      </c>
      <c r="B16468" s="483" t="s">
        <v>29533</v>
      </c>
      <c r="C16468" s="487" t="s">
        <v>29534</v>
      </c>
      <c r="D16468" s="488">
        <v>996.43</v>
      </c>
      <c r="E16468" s="488">
        <v>490.67</v>
      </c>
      <c r="F16468" s="488">
        <v>480.65</v>
      </c>
      <c r="G16468" s="488">
        <v>25.11</v>
      </c>
      <c r="H16468" s="489">
        <v>8494.02</v>
      </c>
      <c r="I16468" s="489">
        <v>5642.73</v>
      </c>
      <c r="J16468" s="489">
        <v>2604.37</v>
      </c>
      <c r="K16468" s="489">
        <v>246.92</v>
      </c>
      <c r="L16468" s="43">
        <v>8.5244522946920522</v>
      </c>
      <c r="M16468" s="43">
        <v>11.500050950740823</v>
      </c>
      <c r="N16468" s="43">
        <v>5.4184333714761257</v>
      </c>
      <c r="O16468" s="43">
        <v>9.8335324571883707</v>
      </c>
      <c r="P16468" s="490"/>
      <c r="Q16468" s="490"/>
      <c r="R16468" s="490">
        <v>8</v>
      </c>
    </row>
    <row r="16469" spans="1:18" ht="24">
      <c r="A16469" s="486">
        <v>426</v>
      </c>
      <c r="B16469" s="483" t="s">
        <v>29535</v>
      </c>
      <c r="C16469" s="487" t="s">
        <v>29536</v>
      </c>
      <c r="D16469" s="488">
        <v>1879.69</v>
      </c>
      <c r="E16469" s="488">
        <v>913.4</v>
      </c>
      <c r="F16469" s="488">
        <v>754.22</v>
      </c>
      <c r="G16469" s="488">
        <v>212.07</v>
      </c>
      <c r="H16469" s="489">
        <v>16497.41</v>
      </c>
      <c r="I16469" s="489">
        <v>10504.15</v>
      </c>
      <c r="J16469" s="489">
        <v>4084.55</v>
      </c>
      <c r="K16469" s="489">
        <v>1908.71</v>
      </c>
      <c r="L16469" s="43">
        <v>8.7766653011932814</v>
      </c>
      <c r="M16469" s="43">
        <v>11.500054740529889</v>
      </c>
      <c r="N16469" s="43">
        <v>5.4155949192543291</v>
      </c>
      <c r="O16469" s="43">
        <v>9.000377233932193</v>
      </c>
      <c r="P16469" s="490"/>
      <c r="Q16469" s="490"/>
      <c r="R16469" s="490">
        <v>8</v>
      </c>
    </row>
    <row r="16470" spans="1:18" ht="24">
      <c r="A16470" s="486">
        <v>427</v>
      </c>
      <c r="B16470" s="483" t="s">
        <v>29537</v>
      </c>
      <c r="C16470" s="487" t="s">
        <v>29538</v>
      </c>
      <c r="D16470" s="488">
        <v>370.25</v>
      </c>
      <c r="E16470" s="488">
        <v>246.2</v>
      </c>
      <c r="F16470" s="488">
        <v>119.13</v>
      </c>
      <c r="G16470" s="488">
        <v>4.92</v>
      </c>
      <c r="H16470" s="489">
        <v>3533.52</v>
      </c>
      <c r="I16470" s="489">
        <v>2831.38</v>
      </c>
      <c r="J16470" s="489">
        <v>645.55999999999995</v>
      </c>
      <c r="K16470" s="489">
        <v>56.58</v>
      </c>
      <c r="L16470" s="43">
        <v>9.5436056718433484</v>
      </c>
      <c r="M16470" s="43">
        <v>11.500324939073925</v>
      </c>
      <c r="N16470" s="43">
        <v>5.418954083774028</v>
      </c>
      <c r="O16470" s="43">
        <v>11.5</v>
      </c>
      <c r="P16470" s="490"/>
      <c r="Q16470" s="490"/>
      <c r="R16470" s="490">
        <v>8</v>
      </c>
    </row>
    <row r="16471" spans="1:18" ht="24">
      <c r="A16471" s="486">
        <v>428</v>
      </c>
      <c r="B16471" s="483" t="s">
        <v>29539</v>
      </c>
      <c r="C16471" s="487" t="s">
        <v>29540</v>
      </c>
      <c r="D16471" s="488">
        <v>531.65</v>
      </c>
      <c r="E16471" s="488">
        <v>267.64999999999998</v>
      </c>
      <c r="F16471" s="488">
        <v>252.53</v>
      </c>
      <c r="G16471" s="488">
        <v>11.47</v>
      </c>
      <c r="H16471" s="489">
        <v>4564.01</v>
      </c>
      <c r="I16471" s="489">
        <v>3078.08</v>
      </c>
      <c r="J16471" s="489">
        <v>1370.76</v>
      </c>
      <c r="K16471" s="489">
        <v>115.17</v>
      </c>
      <c r="L16471" s="43">
        <v>8.5846139377409951</v>
      </c>
      <c r="M16471" s="43">
        <v>11.500392303381282</v>
      </c>
      <c r="N16471" s="43">
        <v>5.4281075515780302</v>
      </c>
      <c r="O16471" s="43">
        <v>10.040976460331299</v>
      </c>
      <c r="P16471" s="490"/>
      <c r="Q16471" s="490"/>
      <c r="R16471" s="490">
        <v>8</v>
      </c>
    </row>
    <row r="16472" spans="1:18" ht="24">
      <c r="A16472" s="486">
        <v>429</v>
      </c>
      <c r="B16472" s="483" t="s">
        <v>29541</v>
      </c>
      <c r="C16472" s="487" t="s">
        <v>29542</v>
      </c>
      <c r="D16472" s="488">
        <v>261.27</v>
      </c>
      <c r="E16472" s="488">
        <v>193.45</v>
      </c>
      <c r="F16472" s="488">
        <v>61.91</v>
      </c>
      <c r="G16472" s="488">
        <v>5.91</v>
      </c>
      <c r="H16472" s="489">
        <v>2623.19</v>
      </c>
      <c r="I16472" s="489">
        <v>2224.75</v>
      </c>
      <c r="J16472" s="489">
        <v>336.05</v>
      </c>
      <c r="K16472" s="489">
        <v>62.39</v>
      </c>
      <c r="L16472" s="43">
        <v>10.040150036360854</v>
      </c>
      <c r="M16472" s="43">
        <v>11.500387697079349</v>
      </c>
      <c r="N16472" s="43">
        <v>5.4280407042481027</v>
      </c>
      <c r="O16472" s="43">
        <v>10.556683587140439</v>
      </c>
      <c r="P16472" s="490"/>
      <c r="Q16472" s="490"/>
      <c r="R16472" s="490">
        <v>8</v>
      </c>
    </row>
    <row r="16473" spans="1:18" ht="24">
      <c r="A16473" s="486">
        <v>430</v>
      </c>
      <c r="B16473" s="483" t="s">
        <v>29543</v>
      </c>
      <c r="C16473" s="487" t="s">
        <v>29544</v>
      </c>
      <c r="D16473" s="488">
        <v>632.14</v>
      </c>
      <c r="E16473" s="488">
        <v>316.55</v>
      </c>
      <c r="F16473" s="488">
        <v>307.22000000000003</v>
      </c>
      <c r="G16473" s="488">
        <v>8.3699999999999992</v>
      </c>
      <c r="H16473" s="489">
        <v>5398.61</v>
      </c>
      <c r="I16473" s="489">
        <v>3640.39</v>
      </c>
      <c r="J16473" s="489">
        <v>1667.54</v>
      </c>
      <c r="K16473" s="489">
        <v>90.68</v>
      </c>
      <c r="L16473" s="43">
        <v>8.5402126111304462</v>
      </c>
      <c r="M16473" s="43">
        <v>11.500205338809034</v>
      </c>
      <c r="N16473" s="43">
        <v>5.4278367293795968</v>
      </c>
      <c r="O16473" s="43">
        <v>10.833930704898449</v>
      </c>
      <c r="P16473" s="490"/>
      <c r="Q16473" s="490"/>
      <c r="R16473" s="490">
        <v>8</v>
      </c>
    </row>
    <row r="16474" spans="1:18" ht="24">
      <c r="A16474" s="486">
        <v>431</v>
      </c>
      <c r="B16474" s="483" t="s">
        <v>29545</v>
      </c>
      <c r="C16474" s="487" t="s">
        <v>29546</v>
      </c>
      <c r="D16474" s="488">
        <v>637.34</v>
      </c>
      <c r="E16474" s="488">
        <v>332.56</v>
      </c>
      <c r="F16474" s="488">
        <v>294.05</v>
      </c>
      <c r="G16474" s="488">
        <v>10.73</v>
      </c>
      <c r="H16474" s="489">
        <v>5532.93</v>
      </c>
      <c r="I16474" s="489">
        <v>3824.59</v>
      </c>
      <c r="J16474" s="489">
        <v>1596.1</v>
      </c>
      <c r="K16474" s="489">
        <v>112.24</v>
      </c>
      <c r="L16474" s="43">
        <v>8.6812847145950354</v>
      </c>
      <c r="M16474" s="43">
        <v>11.500451046427713</v>
      </c>
      <c r="N16474" s="43">
        <v>5.4279884373405878</v>
      </c>
      <c r="O16474" s="43">
        <v>10.460391425908666</v>
      </c>
      <c r="P16474" s="490"/>
      <c r="Q16474" s="490"/>
      <c r="R16474" s="490">
        <v>8</v>
      </c>
    </row>
    <row r="16475" spans="1:18" ht="24">
      <c r="A16475" s="486">
        <v>432</v>
      </c>
      <c r="B16475" s="483" t="s">
        <v>29547</v>
      </c>
      <c r="C16475" s="487" t="s">
        <v>29548</v>
      </c>
      <c r="D16475" s="488">
        <v>2174.71</v>
      </c>
      <c r="E16475" s="488">
        <v>905.54</v>
      </c>
      <c r="F16475" s="488">
        <v>1220.46</v>
      </c>
      <c r="G16475" s="488">
        <v>48.71</v>
      </c>
      <c r="H16475" s="489">
        <v>17499.89</v>
      </c>
      <c r="I16475" s="489">
        <v>10414.049999999999</v>
      </c>
      <c r="J16475" s="489">
        <v>6609.37</v>
      </c>
      <c r="K16475" s="489">
        <v>476.47</v>
      </c>
      <c r="L16475" s="43">
        <v>8.0469993700309459</v>
      </c>
      <c r="M16475" s="43">
        <v>11.500375466572432</v>
      </c>
      <c r="N16475" s="43">
        <v>5.4154744932238659</v>
      </c>
      <c r="O16475" s="43">
        <v>9.7817696571545891</v>
      </c>
      <c r="P16475" s="490"/>
      <c r="Q16475" s="490"/>
      <c r="R16475" s="490">
        <v>8</v>
      </c>
    </row>
    <row r="16476" spans="1:18" ht="24">
      <c r="A16476" s="486">
        <v>433</v>
      </c>
      <c r="B16476" s="483" t="s">
        <v>29549</v>
      </c>
      <c r="C16476" s="487" t="s">
        <v>29550</v>
      </c>
      <c r="D16476" s="488">
        <v>271.83</v>
      </c>
      <c r="E16476" s="488">
        <v>188.19</v>
      </c>
      <c r="F16476" s="488">
        <v>79.88</v>
      </c>
      <c r="G16476" s="488">
        <v>3.76</v>
      </c>
      <c r="H16476" s="489">
        <v>2641.13</v>
      </c>
      <c r="I16476" s="489">
        <v>2164.3000000000002</v>
      </c>
      <c r="J16476" s="489">
        <v>433.59</v>
      </c>
      <c r="K16476" s="489">
        <v>43.24</v>
      </c>
      <c r="L16476" s="43">
        <v>9.7161093330390322</v>
      </c>
      <c r="M16476" s="43">
        <v>11.50061108454222</v>
      </c>
      <c r="N16476" s="43">
        <v>5.4280170255383071</v>
      </c>
      <c r="O16476" s="43">
        <v>11.500000000000002</v>
      </c>
      <c r="P16476" s="490"/>
      <c r="Q16476" s="490"/>
      <c r="R16476" s="490">
        <v>8</v>
      </c>
    </row>
    <row r="16477" spans="1:18" ht="24">
      <c r="A16477" s="486">
        <v>434</v>
      </c>
      <c r="B16477" s="483" t="s">
        <v>29551</v>
      </c>
      <c r="C16477" s="487" t="s">
        <v>29552</v>
      </c>
      <c r="D16477" s="488">
        <v>610.22</v>
      </c>
      <c r="E16477" s="488">
        <v>316.55</v>
      </c>
      <c r="F16477" s="488">
        <v>281.22000000000003</v>
      </c>
      <c r="G16477" s="488">
        <v>12.45</v>
      </c>
      <c r="H16477" s="489">
        <v>5293.26</v>
      </c>
      <c r="I16477" s="489">
        <v>3640.39</v>
      </c>
      <c r="J16477" s="489">
        <v>1526.43</v>
      </c>
      <c r="K16477" s="489">
        <v>126.44</v>
      </c>
      <c r="L16477" s="43">
        <v>8.6743469568352403</v>
      </c>
      <c r="M16477" s="43">
        <v>11.500205338809034</v>
      </c>
      <c r="N16477" s="43">
        <v>5.4278856411350542</v>
      </c>
      <c r="O16477" s="43">
        <v>10.155823293172691</v>
      </c>
      <c r="P16477" s="490"/>
      <c r="Q16477" s="490"/>
      <c r="R16477" s="490">
        <v>8</v>
      </c>
    </row>
    <row r="16478" spans="1:18" ht="24">
      <c r="A16478" s="486">
        <v>435</v>
      </c>
      <c r="B16478" s="483" t="s">
        <v>29553</v>
      </c>
      <c r="C16478" s="487" t="s">
        <v>29554</v>
      </c>
      <c r="D16478" s="488">
        <v>160.74</v>
      </c>
      <c r="E16478" s="488">
        <v>152.15</v>
      </c>
      <c r="F16478" s="488">
        <v>5.41</v>
      </c>
      <c r="G16478" s="488">
        <v>3.18</v>
      </c>
      <c r="H16478" s="489">
        <v>1815.33</v>
      </c>
      <c r="I16478" s="489">
        <v>1749.8</v>
      </c>
      <c r="J16478" s="489">
        <v>29.32</v>
      </c>
      <c r="K16478" s="489">
        <v>36.21</v>
      </c>
      <c r="L16478" s="43">
        <v>11.293579693915639</v>
      </c>
      <c r="M16478" s="43">
        <v>11.500492934604008</v>
      </c>
      <c r="N16478" s="43">
        <v>5.4195933456561924</v>
      </c>
      <c r="O16478" s="43">
        <v>11.386792452830189</v>
      </c>
      <c r="P16478" s="490"/>
      <c r="Q16478" s="490"/>
      <c r="R16478" s="490">
        <v>8</v>
      </c>
    </row>
    <row r="16479" spans="1:18" ht="24">
      <c r="A16479" s="486">
        <v>436</v>
      </c>
      <c r="B16479" s="483" t="s">
        <v>29555</v>
      </c>
      <c r="C16479" s="487" t="s">
        <v>29556</v>
      </c>
      <c r="D16479" s="488">
        <v>315.39999999999998</v>
      </c>
      <c r="E16479" s="488">
        <v>188.19</v>
      </c>
      <c r="F16479" s="488">
        <v>103.05</v>
      </c>
      <c r="G16479" s="488">
        <v>24.16</v>
      </c>
      <c r="H16479" s="489">
        <v>2945.71</v>
      </c>
      <c r="I16479" s="489">
        <v>2164.3000000000002</v>
      </c>
      <c r="J16479" s="489">
        <v>559.37</v>
      </c>
      <c r="K16479" s="489">
        <v>222.04</v>
      </c>
      <c r="L16479" s="43">
        <v>9.339600507292328</v>
      </c>
      <c r="M16479" s="43">
        <v>11.50061108454222</v>
      </c>
      <c r="N16479" s="43">
        <v>5.4281416787967007</v>
      </c>
      <c r="O16479" s="43">
        <v>9.1903973509933774</v>
      </c>
      <c r="P16479" s="490"/>
      <c r="Q16479" s="490"/>
      <c r="R16479" s="490">
        <v>8</v>
      </c>
    </row>
    <row r="16480" spans="1:18" ht="24">
      <c r="A16480" s="486">
        <v>437</v>
      </c>
      <c r="B16480" s="483" t="s">
        <v>29557</v>
      </c>
      <c r="C16480" s="487" t="s">
        <v>29558</v>
      </c>
      <c r="D16480" s="488">
        <v>582.08000000000004</v>
      </c>
      <c r="E16480" s="488">
        <v>260.38</v>
      </c>
      <c r="F16480" s="488">
        <v>294.05</v>
      </c>
      <c r="G16480" s="488">
        <v>27.65</v>
      </c>
      <c r="H16480" s="489">
        <v>4847.1499999999996</v>
      </c>
      <c r="I16480" s="489">
        <v>2994.45</v>
      </c>
      <c r="J16480" s="489">
        <v>1596.1</v>
      </c>
      <c r="K16480" s="489">
        <v>256.60000000000002</v>
      </c>
      <c r="L16480" s="43">
        <v>8.3272917811984595</v>
      </c>
      <c r="M16480" s="43">
        <v>11.500307243259851</v>
      </c>
      <c r="N16480" s="43">
        <v>5.4279884373405878</v>
      </c>
      <c r="O16480" s="43">
        <v>9.2802893309222441</v>
      </c>
      <c r="P16480" s="490"/>
      <c r="Q16480" s="490"/>
      <c r="R16480" s="490">
        <v>8</v>
      </c>
    </row>
    <row r="16481" spans="1:18" ht="24">
      <c r="A16481" s="486">
        <v>438</v>
      </c>
      <c r="B16481" s="483" t="s">
        <v>29559</v>
      </c>
      <c r="C16481" s="487" t="s">
        <v>29560</v>
      </c>
      <c r="D16481" s="488">
        <v>815.66</v>
      </c>
      <c r="E16481" s="488">
        <v>302.92</v>
      </c>
      <c r="F16481" s="488">
        <v>394.48</v>
      </c>
      <c r="G16481" s="488">
        <v>118.26</v>
      </c>
      <c r="H16481" s="489">
        <v>6678.01</v>
      </c>
      <c r="I16481" s="489">
        <v>3483.64</v>
      </c>
      <c r="J16481" s="489">
        <v>2141.2800000000002</v>
      </c>
      <c r="K16481" s="489">
        <v>1053.0899999999999</v>
      </c>
      <c r="L16481" s="43">
        <v>8.1872471372875957</v>
      </c>
      <c r="M16481" s="43">
        <v>11.500198072098243</v>
      </c>
      <c r="N16481" s="43">
        <v>5.4281078888663563</v>
      </c>
      <c r="O16481" s="43">
        <v>8.904870624048705</v>
      </c>
      <c r="P16481" s="490"/>
      <c r="Q16481" s="490"/>
      <c r="R16481" s="490">
        <v>8</v>
      </c>
    </row>
    <row r="16482" spans="1:18" ht="24">
      <c r="A16482" s="486">
        <v>439</v>
      </c>
      <c r="B16482" s="483" t="s">
        <v>29561</v>
      </c>
      <c r="C16482" s="487" t="s">
        <v>29562</v>
      </c>
      <c r="D16482" s="488">
        <v>828.4</v>
      </c>
      <c r="E16482" s="488">
        <v>305.54000000000002</v>
      </c>
      <c r="F16482" s="488">
        <v>373.95</v>
      </c>
      <c r="G16482" s="488">
        <v>148.91</v>
      </c>
      <c r="H16482" s="489">
        <v>6865.5</v>
      </c>
      <c r="I16482" s="489">
        <v>3513.82</v>
      </c>
      <c r="J16482" s="489">
        <v>2029.81</v>
      </c>
      <c r="K16482" s="489">
        <v>1321.87</v>
      </c>
      <c r="L16482" s="43">
        <v>8.2876629647513287</v>
      </c>
      <c r="M16482" s="43">
        <v>11.500360018328205</v>
      </c>
      <c r="N16482" s="43">
        <v>5.4280251370504082</v>
      </c>
      <c r="O16482" s="43">
        <v>8.8769726680545293</v>
      </c>
      <c r="P16482" s="490"/>
      <c r="Q16482" s="490"/>
      <c r="R16482" s="490">
        <v>8</v>
      </c>
    </row>
    <row r="16483" spans="1:18" ht="24">
      <c r="A16483" s="486">
        <v>440</v>
      </c>
      <c r="B16483" s="483" t="s">
        <v>29563</v>
      </c>
      <c r="C16483" s="487" t="s">
        <v>29564</v>
      </c>
      <c r="D16483" s="488">
        <v>395.95</v>
      </c>
      <c r="E16483" s="488">
        <v>249.87</v>
      </c>
      <c r="F16483" s="488">
        <v>79.88</v>
      </c>
      <c r="G16483" s="488">
        <v>66.2</v>
      </c>
      <c r="H16483" s="489">
        <v>3901.14</v>
      </c>
      <c r="I16483" s="489">
        <v>2873.65</v>
      </c>
      <c r="J16483" s="489">
        <v>433.59</v>
      </c>
      <c r="K16483" s="489">
        <v>593.9</v>
      </c>
      <c r="L16483" s="43">
        <v>9.8526076524813746</v>
      </c>
      <c r="M16483" s="43">
        <v>11.500580301756914</v>
      </c>
      <c r="N16483" s="43">
        <v>5.4280170255383071</v>
      </c>
      <c r="O16483" s="43">
        <v>8.9712990936555883</v>
      </c>
      <c r="P16483" s="490"/>
      <c r="Q16483" s="490"/>
      <c r="R16483" s="490">
        <v>8</v>
      </c>
    </row>
    <row r="16484" spans="1:18" ht="24">
      <c r="A16484" s="486">
        <v>441</v>
      </c>
      <c r="B16484" s="483" t="s">
        <v>29565</v>
      </c>
      <c r="C16484" s="487" t="s">
        <v>29566</v>
      </c>
      <c r="D16484" s="488">
        <v>630.42999999999995</v>
      </c>
      <c r="E16484" s="488">
        <v>286.2</v>
      </c>
      <c r="F16484" s="488">
        <v>335.45</v>
      </c>
      <c r="G16484" s="488">
        <v>8.7799999999999994</v>
      </c>
      <c r="H16484" s="489">
        <v>5204.71</v>
      </c>
      <c r="I16484" s="489">
        <v>3291.3</v>
      </c>
      <c r="J16484" s="489">
        <v>1820.81</v>
      </c>
      <c r="K16484" s="489">
        <v>92.6</v>
      </c>
      <c r="L16484" s="43">
        <v>8.2558095268308946</v>
      </c>
      <c r="M16484" s="43">
        <v>11.500000000000002</v>
      </c>
      <c r="N16484" s="43">
        <v>5.4279624385154275</v>
      </c>
      <c r="O16484" s="43">
        <v>10.546697038724373</v>
      </c>
      <c r="P16484" s="490"/>
      <c r="Q16484" s="490"/>
      <c r="R16484" s="490">
        <v>8</v>
      </c>
    </row>
    <row r="16485" spans="1:18" ht="24">
      <c r="A16485" s="486">
        <v>442</v>
      </c>
      <c r="B16485" s="483" t="s">
        <v>29567</v>
      </c>
      <c r="C16485" s="487" t="s">
        <v>29568</v>
      </c>
      <c r="D16485" s="488">
        <v>193.39</v>
      </c>
      <c r="E16485" s="488">
        <v>171.72</v>
      </c>
      <c r="F16485" s="488">
        <v>10.59</v>
      </c>
      <c r="G16485" s="488">
        <v>11.08</v>
      </c>
      <c r="H16485" s="489">
        <v>2138.67</v>
      </c>
      <c r="I16485" s="489">
        <v>1974.78</v>
      </c>
      <c r="J16485" s="489">
        <v>57.39</v>
      </c>
      <c r="K16485" s="489">
        <v>106.5</v>
      </c>
      <c r="L16485" s="43">
        <v>11.058844821345469</v>
      </c>
      <c r="M16485" s="43">
        <v>11.5</v>
      </c>
      <c r="N16485" s="43">
        <v>5.4192634560906514</v>
      </c>
      <c r="O16485" s="43">
        <v>9.6119133574007218</v>
      </c>
      <c r="P16485" s="490"/>
      <c r="Q16485" s="490"/>
      <c r="R16485" s="490">
        <v>8</v>
      </c>
    </row>
    <row r="16486" spans="1:18" ht="24">
      <c r="A16486" s="486">
        <v>443</v>
      </c>
      <c r="B16486" s="483" t="s">
        <v>29569</v>
      </c>
      <c r="C16486" s="487" t="s">
        <v>29570</v>
      </c>
      <c r="D16486" s="488">
        <v>580.17999999999995</v>
      </c>
      <c r="E16486" s="488">
        <v>272.20999999999998</v>
      </c>
      <c r="F16486" s="488">
        <v>301.82</v>
      </c>
      <c r="G16486" s="488">
        <v>6.15</v>
      </c>
      <c r="H16486" s="489">
        <v>4835.74</v>
      </c>
      <c r="I16486" s="489">
        <v>3130.39</v>
      </c>
      <c r="J16486" s="489">
        <v>1636.53</v>
      </c>
      <c r="K16486" s="489">
        <v>68.819999999999993</v>
      </c>
      <c r="L16486" s="43">
        <v>8.3348960667379099</v>
      </c>
      <c r="M16486" s="43">
        <v>11.499908159141839</v>
      </c>
      <c r="N16486" s="43">
        <v>5.4222052879199527</v>
      </c>
      <c r="O16486" s="43">
        <v>11.190243902439022</v>
      </c>
      <c r="P16486" s="490"/>
      <c r="Q16486" s="490"/>
      <c r="R16486" s="490">
        <v>8</v>
      </c>
    </row>
    <row r="16487" spans="1:18" ht="24">
      <c r="A16487" s="486">
        <v>444</v>
      </c>
      <c r="B16487" s="483" t="s">
        <v>29571</v>
      </c>
      <c r="C16487" s="487" t="s">
        <v>29572</v>
      </c>
      <c r="D16487" s="488">
        <v>319.45999999999998</v>
      </c>
      <c r="E16487" s="488">
        <v>199.7</v>
      </c>
      <c r="F16487" s="488">
        <v>113.32</v>
      </c>
      <c r="G16487" s="488">
        <v>6.44</v>
      </c>
      <c r="H16487" s="489">
        <v>2979.06</v>
      </c>
      <c r="I16487" s="489">
        <v>2296.6</v>
      </c>
      <c r="J16487" s="489">
        <v>615.11</v>
      </c>
      <c r="K16487" s="489">
        <v>67.349999999999994</v>
      </c>
      <c r="L16487" s="43">
        <v>9.3252989419645651</v>
      </c>
      <c r="M16487" s="43">
        <v>11.500250375563345</v>
      </c>
      <c r="N16487" s="43">
        <v>5.4280797740910698</v>
      </c>
      <c r="O16487" s="43">
        <v>10.45807453416149</v>
      </c>
      <c r="P16487" s="490"/>
      <c r="Q16487" s="490"/>
      <c r="R16487" s="490">
        <v>8</v>
      </c>
    </row>
    <row r="16488" spans="1:18" ht="24">
      <c r="A16488" s="486">
        <v>445</v>
      </c>
      <c r="B16488" s="483" t="s">
        <v>29573</v>
      </c>
      <c r="C16488" s="487" t="s">
        <v>29574</v>
      </c>
      <c r="D16488" s="488">
        <v>365.51</v>
      </c>
      <c r="E16488" s="488">
        <v>208.03</v>
      </c>
      <c r="F16488" s="488">
        <v>79.88</v>
      </c>
      <c r="G16488" s="488">
        <v>77.599999999999994</v>
      </c>
      <c r="H16488" s="489">
        <v>3517.48</v>
      </c>
      <c r="I16488" s="489">
        <v>2392.37</v>
      </c>
      <c r="J16488" s="489">
        <v>433.59</v>
      </c>
      <c r="K16488" s="489">
        <v>691.52</v>
      </c>
      <c r="L16488" s="43">
        <v>9.6234849935706279</v>
      </c>
      <c r="M16488" s="43">
        <v>11.500120174974763</v>
      </c>
      <c r="N16488" s="43">
        <v>5.4280170255383071</v>
      </c>
      <c r="O16488" s="43">
        <v>8.9113402061855673</v>
      </c>
      <c r="P16488" s="490"/>
      <c r="Q16488" s="490"/>
      <c r="R16488" s="490">
        <v>8</v>
      </c>
    </row>
    <row r="16489" spans="1:18" ht="24">
      <c r="A16489" s="486">
        <v>446</v>
      </c>
      <c r="B16489" s="483" t="s">
        <v>29575</v>
      </c>
      <c r="C16489" s="487" t="s">
        <v>29576</v>
      </c>
      <c r="D16489" s="488">
        <v>212.23</v>
      </c>
      <c r="E16489" s="488">
        <v>167</v>
      </c>
      <c r="F16489" s="488">
        <v>41.38</v>
      </c>
      <c r="G16489" s="488">
        <v>3.85</v>
      </c>
      <c r="H16489" s="489">
        <v>2187.9699999999998</v>
      </c>
      <c r="I16489" s="489">
        <v>1920.51</v>
      </c>
      <c r="J16489" s="489">
        <v>224.58</v>
      </c>
      <c r="K16489" s="489">
        <v>42.88</v>
      </c>
      <c r="L16489" s="43">
        <v>10.309428450266219</v>
      </c>
      <c r="M16489" s="43">
        <v>11.500059880239521</v>
      </c>
      <c r="N16489" s="43">
        <v>5.4272595456742385</v>
      </c>
      <c r="O16489" s="43">
        <v>11.137662337662338</v>
      </c>
      <c r="P16489" s="490"/>
      <c r="Q16489" s="490"/>
      <c r="R16489" s="490">
        <v>8</v>
      </c>
    </row>
    <row r="16490" spans="1:18" ht="24">
      <c r="A16490" s="486">
        <v>447</v>
      </c>
      <c r="B16490" s="483" t="s">
        <v>29577</v>
      </c>
      <c r="C16490" s="487" t="s">
        <v>29578</v>
      </c>
      <c r="D16490" s="488">
        <v>237.37</v>
      </c>
      <c r="E16490" s="488">
        <v>167</v>
      </c>
      <c r="F16490" s="488">
        <v>64.48</v>
      </c>
      <c r="G16490" s="488">
        <v>5.89</v>
      </c>
      <c r="H16490" s="489">
        <v>2331.2600000000002</v>
      </c>
      <c r="I16490" s="489">
        <v>1920.51</v>
      </c>
      <c r="J16490" s="489">
        <v>349.99</v>
      </c>
      <c r="K16490" s="489">
        <v>60.76</v>
      </c>
      <c r="L16490" s="43">
        <v>9.821207397733497</v>
      </c>
      <c r="M16490" s="43">
        <v>11.500059880239521</v>
      </c>
      <c r="N16490" s="43">
        <v>5.427884615384615</v>
      </c>
      <c r="O16490" s="43">
        <v>10.315789473684211</v>
      </c>
      <c r="P16490" s="490"/>
      <c r="Q16490" s="490"/>
      <c r="R16490" s="490">
        <v>8</v>
      </c>
    </row>
    <row r="16491" spans="1:18" ht="24">
      <c r="A16491" s="486">
        <v>448</v>
      </c>
      <c r="B16491" s="483" t="s">
        <v>29579</v>
      </c>
      <c r="C16491" s="487" t="s">
        <v>29580</v>
      </c>
      <c r="D16491" s="488">
        <v>238.42</v>
      </c>
      <c r="E16491" s="488">
        <v>194.21</v>
      </c>
      <c r="F16491" s="488">
        <v>38.82</v>
      </c>
      <c r="G16491" s="488">
        <v>5.39</v>
      </c>
      <c r="H16491" s="489">
        <v>2501.98</v>
      </c>
      <c r="I16491" s="489">
        <v>2233.48</v>
      </c>
      <c r="J16491" s="489">
        <v>210.65</v>
      </c>
      <c r="K16491" s="489">
        <v>57.85</v>
      </c>
      <c r="L16491" s="43">
        <v>10.494002181025083</v>
      </c>
      <c r="M16491" s="43">
        <v>11.500334689253901</v>
      </c>
      <c r="N16491" s="43">
        <v>5.4263266357547657</v>
      </c>
      <c r="O16491" s="43">
        <v>10.732838589981448</v>
      </c>
      <c r="P16491" s="490"/>
      <c r="Q16491" s="490"/>
      <c r="R16491" s="490">
        <v>8</v>
      </c>
    </row>
    <row r="16492" spans="1:18" ht="24">
      <c r="A16492" s="486">
        <v>449</v>
      </c>
      <c r="B16492" s="483" t="s">
        <v>29581</v>
      </c>
      <c r="C16492" s="487" t="s">
        <v>29582</v>
      </c>
      <c r="D16492" s="488">
        <v>718.03</v>
      </c>
      <c r="E16492" s="488">
        <v>356.43</v>
      </c>
      <c r="F16492" s="488">
        <v>334.07</v>
      </c>
      <c r="G16492" s="488">
        <v>27.53</v>
      </c>
      <c r="H16492" s="489">
        <v>6169.54</v>
      </c>
      <c r="I16492" s="489">
        <v>4099.0200000000004</v>
      </c>
      <c r="J16492" s="489">
        <v>1809.72</v>
      </c>
      <c r="K16492" s="489">
        <v>260.8</v>
      </c>
      <c r="L16492" s="43">
        <v>8.5923150843279537</v>
      </c>
      <c r="M16492" s="43">
        <v>11.500210419998318</v>
      </c>
      <c r="N16492" s="43">
        <v>5.4171880144879818</v>
      </c>
      <c r="O16492" s="43">
        <v>9.4733018525245178</v>
      </c>
      <c r="P16492" s="490"/>
      <c r="Q16492" s="490"/>
      <c r="R16492" s="490">
        <v>8</v>
      </c>
    </row>
    <row r="16493" spans="1:18" ht="24">
      <c r="A16493" s="486">
        <v>450</v>
      </c>
      <c r="B16493" s="483" t="s">
        <v>29583</v>
      </c>
      <c r="C16493" s="487" t="s">
        <v>29584</v>
      </c>
      <c r="D16493" s="488">
        <v>497.36</v>
      </c>
      <c r="E16493" s="488">
        <v>283.55</v>
      </c>
      <c r="F16493" s="488">
        <v>204.06</v>
      </c>
      <c r="G16493" s="488">
        <v>9.75</v>
      </c>
      <c r="H16493" s="489">
        <v>4467.6099999999997</v>
      </c>
      <c r="I16493" s="489">
        <v>3260.93</v>
      </c>
      <c r="J16493" s="489">
        <v>1105.71</v>
      </c>
      <c r="K16493" s="489">
        <v>100.97</v>
      </c>
      <c r="L16493" s="43">
        <v>8.9826483834646922</v>
      </c>
      <c r="M16493" s="43">
        <v>11.500370305060835</v>
      </c>
      <c r="N16493" s="43">
        <v>5.4185533666568659</v>
      </c>
      <c r="O16493" s="43">
        <v>10.355897435897436</v>
      </c>
      <c r="P16493" s="490"/>
      <c r="Q16493" s="490"/>
      <c r="R16493" s="490">
        <v>8</v>
      </c>
    </row>
    <row r="16494" spans="1:18" ht="24">
      <c r="A16494" s="486">
        <v>451</v>
      </c>
      <c r="B16494" s="483" t="s">
        <v>29585</v>
      </c>
      <c r="C16494" s="487" t="s">
        <v>29586</v>
      </c>
      <c r="D16494" s="488">
        <v>255.88</v>
      </c>
      <c r="E16494" s="488">
        <v>178.88</v>
      </c>
      <c r="F16494" s="488">
        <v>53.02</v>
      </c>
      <c r="G16494" s="488">
        <v>23.98</v>
      </c>
      <c r="H16494" s="489">
        <v>2562.29</v>
      </c>
      <c r="I16494" s="489">
        <v>2057.13</v>
      </c>
      <c r="J16494" s="489">
        <v>285.19</v>
      </c>
      <c r="K16494" s="489">
        <v>219.97</v>
      </c>
      <c r="L16494" s="43">
        <v>10.013639205877755</v>
      </c>
      <c r="M16494" s="43">
        <v>11.500055903398927</v>
      </c>
      <c r="N16494" s="43">
        <v>5.3789136175028291</v>
      </c>
      <c r="O16494" s="43">
        <v>9.1730608840700576</v>
      </c>
      <c r="P16494" s="490"/>
      <c r="Q16494" s="490"/>
      <c r="R16494" s="490">
        <v>8</v>
      </c>
    </row>
    <row r="16495" spans="1:18" ht="24">
      <c r="A16495" s="486">
        <v>452</v>
      </c>
      <c r="B16495" s="483" t="s">
        <v>29587</v>
      </c>
      <c r="C16495" s="487" t="s">
        <v>29588</v>
      </c>
      <c r="D16495" s="488">
        <v>264.83999999999997</v>
      </c>
      <c r="E16495" s="488">
        <v>193.45</v>
      </c>
      <c r="F16495" s="488">
        <v>66.959999999999994</v>
      </c>
      <c r="G16495" s="488">
        <v>4.43</v>
      </c>
      <c r="H16495" s="489">
        <v>2634.38</v>
      </c>
      <c r="I16495" s="489">
        <v>2224.75</v>
      </c>
      <c r="J16495" s="489">
        <v>360.2</v>
      </c>
      <c r="K16495" s="489">
        <v>49.43</v>
      </c>
      <c r="L16495" s="43">
        <v>9.9470623772844</v>
      </c>
      <c r="M16495" s="43">
        <v>11.500387697079349</v>
      </c>
      <c r="N16495" s="43">
        <v>5.3793309438470729</v>
      </c>
      <c r="O16495" s="43">
        <v>11.158013544018059</v>
      </c>
      <c r="P16495" s="490"/>
      <c r="Q16495" s="490"/>
      <c r="R16495" s="490">
        <v>8</v>
      </c>
    </row>
    <row r="16496" spans="1:18" ht="24">
      <c r="A16496" s="486">
        <v>453</v>
      </c>
      <c r="B16496" s="483" t="s">
        <v>29589</v>
      </c>
      <c r="C16496" s="487" t="s">
        <v>29590</v>
      </c>
      <c r="D16496" s="488">
        <v>661.05</v>
      </c>
      <c r="E16496" s="488">
        <v>327.27999999999997</v>
      </c>
      <c r="F16496" s="488">
        <v>319.57</v>
      </c>
      <c r="G16496" s="488">
        <v>14.2</v>
      </c>
      <c r="H16496" s="489">
        <v>5625</v>
      </c>
      <c r="I16496" s="489">
        <v>3763.79</v>
      </c>
      <c r="J16496" s="489">
        <v>1718.83</v>
      </c>
      <c r="K16496" s="489">
        <v>142.38</v>
      </c>
      <c r="L16496" s="43">
        <v>8.509189925119129</v>
      </c>
      <c r="M16496" s="43">
        <v>11.500213884135908</v>
      </c>
      <c r="N16496" s="43">
        <v>5.3785712050567946</v>
      </c>
      <c r="O16496" s="43">
        <v>10.026760563380282</v>
      </c>
      <c r="P16496" s="490"/>
      <c r="Q16496" s="490"/>
      <c r="R16496" s="490">
        <v>8</v>
      </c>
    </row>
    <row r="16497" spans="1:18" ht="24">
      <c r="A16497" s="486">
        <v>454</v>
      </c>
      <c r="B16497" s="483" t="s">
        <v>29591</v>
      </c>
      <c r="C16497" s="487" t="s">
        <v>29592</v>
      </c>
      <c r="D16497" s="488">
        <v>500.28</v>
      </c>
      <c r="E16497" s="488">
        <v>267.64999999999998</v>
      </c>
      <c r="F16497" s="488">
        <v>224.83</v>
      </c>
      <c r="G16497" s="488">
        <v>7.8</v>
      </c>
      <c r="H16497" s="489">
        <v>4370.26</v>
      </c>
      <c r="I16497" s="489">
        <v>3078.08</v>
      </c>
      <c r="J16497" s="489">
        <v>1209.19</v>
      </c>
      <c r="K16497" s="489">
        <v>82.99</v>
      </c>
      <c r="L16497" s="43">
        <v>8.7356280482929574</v>
      </c>
      <c r="M16497" s="43">
        <v>11.500392303381282</v>
      </c>
      <c r="N16497" s="43">
        <v>5.3782413378997465</v>
      </c>
      <c r="O16497" s="43">
        <v>10.63974358974359</v>
      </c>
      <c r="P16497" s="490"/>
      <c r="Q16497" s="490"/>
      <c r="R16497" s="490">
        <v>8</v>
      </c>
    </row>
    <row r="16498" spans="1:18" ht="24">
      <c r="A16498" s="486">
        <v>455</v>
      </c>
      <c r="B16498" s="483" t="s">
        <v>29593</v>
      </c>
      <c r="C16498" s="487" t="s">
        <v>29594</v>
      </c>
      <c r="D16498" s="488">
        <v>714.39</v>
      </c>
      <c r="E16498" s="488">
        <v>267.64999999999998</v>
      </c>
      <c r="F16498" s="488">
        <v>433.23</v>
      </c>
      <c r="G16498" s="488">
        <v>13.51</v>
      </c>
      <c r="H16498" s="489">
        <v>5541.14</v>
      </c>
      <c r="I16498" s="489">
        <v>3078.08</v>
      </c>
      <c r="J16498" s="489">
        <v>2330.0100000000002</v>
      </c>
      <c r="K16498" s="489">
        <v>133.05000000000001</v>
      </c>
      <c r="L16498" s="43">
        <v>7.756463556320778</v>
      </c>
      <c r="M16498" s="43">
        <v>11.500392303381282</v>
      </c>
      <c r="N16498" s="43">
        <v>5.3782286545253104</v>
      </c>
      <c r="O16498" s="43">
        <v>9.8482605477424148</v>
      </c>
      <c r="P16498" s="490"/>
      <c r="Q16498" s="490"/>
      <c r="R16498" s="490">
        <v>8</v>
      </c>
    </row>
    <row r="16499" spans="1:18" ht="24">
      <c r="A16499" s="486">
        <v>456</v>
      </c>
      <c r="B16499" s="483" t="s">
        <v>29595</v>
      </c>
      <c r="C16499" s="487" t="s">
        <v>29596</v>
      </c>
      <c r="D16499" s="488">
        <v>775.18</v>
      </c>
      <c r="E16499" s="488">
        <v>401.48</v>
      </c>
      <c r="F16499" s="488">
        <v>358.53</v>
      </c>
      <c r="G16499" s="488">
        <v>15.17</v>
      </c>
      <c r="H16499" s="489">
        <v>6713.82</v>
      </c>
      <c r="I16499" s="489">
        <v>4617.1099999999997</v>
      </c>
      <c r="J16499" s="489">
        <v>1941.78</v>
      </c>
      <c r="K16499" s="489">
        <v>154.93</v>
      </c>
      <c r="L16499" s="43">
        <v>8.6609819654789852</v>
      </c>
      <c r="M16499" s="43">
        <v>11.500224170568893</v>
      </c>
      <c r="N16499" s="43">
        <v>5.4159484561961344</v>
      </c>
      <c r="O16499" s="43">
        <v>10.212920237310481</v>
      </c>
      <c r="P16499" s="490"/>
      <c r="Q16499" s="490"/>
      <c r="R16499" s="490">
        <v>8</v>
      </c>
    </row>
    <row r="16500" spans="1:18" ht="24">
      <c r="A16500" s="486">
        <v>457</v>
      </c>
      <c r="B16500" s="483" t="s">
        <v>29597</v>
      </c>
      <c r="C16500" s="487" t="s">
        <v>29598</v>
      </c>
      <c r="D16500" s="488">
        <v>1111.67</v>
      </c>
      <c r="E16500" s="488">
        <v>414.5</v>
      </c>
      <c r="F16500" s="488">
        <v>667.12</v>
      </c>
      <c r="G16500" s="488">
        <v>30.05</v>
      </c>
      <c r="H16500" s="489">
        <v>8665.74</v>
      </c>
      <c r="I16500" s="489">
        <v>4766.8</v>
      </c>
      <c r="J16500" s="489">
        <v>3612.88</v>
      </c>
      <c r="K16500" s="489">
        <v>286.06</v>
      </c>
      <c r="L16500" s="43">
        <v>7.7952449917691391</v>
      </c>
      <c r="M16500" s="43">
        <v>11.500120627261762</v>
      </c>
      <c r="N16500" s="43">
        <v>5.415637366590718</v>
      </c>
      <c r="O16500" s="43">
        <v>9.5194675540765381</v>
      </c>
      <c r="P16500" s="490"/>
      <c r="Q16500" s="490"/>
      <c r="R16500" s="490">
        <v>8</v>
      </c>
    </row>
    <row r="16501" spans="1:18" ht="24">
      <c r="A16501" s="486">
        <v>458</v>
      </c>
      <c r="B16501" s="483" t="s">
        <v>29599</v>
      </c>
      <c r="C16501" s="487" t="s">
        <v>29600</v>
      </c>
      <c r="D16501" s="488">
        <v>1286.3900000000001</v>
      </c>
      <c r="E16501" s="488">
        <v>491.11</v>
      </c>
      <c r="F16501" s="488">
        <v>763.7</v>
      </c>
      <c r="G16501" s="488">
        <v>31.58</v>
      </c>
      <c r="H16501" s="489">
        <v>10087.879999999999</v>
      </c>
      <c r="I16501" s="489">
        <v>5647.79</v>
      </c>
      <c r="J16501" s="489">
        <v>4136.4399999999996</v>
      </c>
      <c r="K16501" s="489">
        <v>303.64999999999998</v>
      </c>
      <c r="L16501" s="43">
        <v>7.8420074782919631</v>
      </c>
      <c r="M16501" s="43">
        <v>11.500050905092545</v>
      </c>
      <c r="N16501" s="43">
        <v>5.4163153070577446</v>
      </c>
      <c r="O16501" s="43">
        <v>9.6152628245725147</v>
      </c>
      <c r="P16501" s="490"/>
      <c r="Q16501" s="490"/>
      <c r="R16501" s="490">
        <v>8</v>
      </c>
    </row>
    <row r="16502" spans="1:18" ht="24">
      <c r="A16502" s="486">
        <v>459</v>
      </c>
      <c r="B16502" s="483" t="s">
        <v>29601</v>
      </c>
      <c r="C16502" s="487" t="s">
        <v>29602</v>
      </c>
      <c r="D16502" s="488">
        <v>407.39</v>
      </c>
      <c r="E16502" s="488">
        <v>246.24</v>
      </c>
      <c r="F16502" s="488">
        <v>155.01</v>
      </c>
      <c r="G16502" s="488">
        <v>6.14</v>
      </c>
      <c r="H16502" s="489">
        <v>3740.36</v>
      </c>
      <c r="I16502" s="489">
        <v>2831.76</v>
      </c>
      <c r="J16502" s="489">
        <v>841.29</v>
      </c>
      <c r="K16502" s="489">
        <v>67.31</v>
      </c>
      <c r="L16502" s="43">
        <v>9.1812759272441653</v>
      </c>
      <c r="M16502" s="43">
        <v>11.5</v>
      </c>
      <c r="N16502" s="43">
        <v>5.4273272692084387</v>
      </c>
      <c r="O16502" s="43">
        <v>10.962540716612379</v>
      </c>
      <c r="P16502" s="490"/>
      <c r="Q16502" s="490"/>
      <c r="R16502" s="490">
        <v>8</v>
      </c>
    </row>
    <row r="16503" spans="1:18" ht="24">
      <c r="A16503" s="486">
        <v>460</v>
      </c>
      <c r="B16503" s="483" t="s">
        <v>29603</v>
      </c>
      <c r="C16503" s="487" t="s">
        <v>29604</v>
      </c>
      <c r="D16503" s="488">
        <v>487.94</v>
      </c>
      <c r="E16503" s="488">
        <v>276.33999999999997</v>
      </c>
      <c r="F16503" s="488">
        <v>204.54</v>
      </c>
      <c r="G16503" s="488">
        <v>7.06</v>
      </c>
      <c r="H16503" s="489">
        <v>4363.46</v>
      </c>
      <c r="I16503" s="489">
        <v>3177.86</v>
      </c>
      <c r="J16503" s="489">
        <v>1108.5899999999999</v>
      </c>
      <c r="K16503" s="489">
        <v>77.010000000000005</v>
      </c>
      <c r="L16503" s="43">
        <v>8.9426158953969743</v>
      </c>
      <c r="M16503" s="43">
        <v>11.499819063472536</v>
      </c>
      <c r="N16503" s="43">
        <v>5.4199178644763855</v>
      </c>
      <c r="O16503" s="43">
        <v>10.907932011331447</v>
      </c>
      <c r="P16503" s="490"/>
      <c r="Q16503" s="490"/>
      <c r="R16503" s="490">
        <v>8</v>
      </c>
    </row>
    <row r="16504" spans="1:18" ht="24">
      <c r="A16504" s="486">
        <v>461</v>
      </c>
      <c r="B16504" s="483" t="s">
        <v>29605</v>
      </c>
      <c r="C16504" s="487" t="s">
        <v>29606</v>
      </c>
      <c r="D16504" s="488">
        <v>790.57</v>
      </c>
      <c r="E16504" s="488">
        <v>419.02</v>
      </c>
      <c r="F16504" s="488">
        <v>346.85</v>
      </c>
      <c r="G16504" s="488">
        <v>24.7</v>
      </c>
      <c r="H16504" s="489">
        <v>6937.84</v>
      </c>
      <c r="I16504" s="489">
        <v>4818.88</v>
      </c>
      <c r="J16504" s="489">
        <v>1879.55</v>
      </c>
      <c r="K16504" s="489">
        <v>239.41</v>
      </c>
      <c r="L16504" s="43">
        <v>8.7757440833828753</v>
      </c>
      <c r="M16504" s="43">
        <v>11.500357978139469</v>
      </c>
      <c r="N16504" s="43">
        <v>5.4189130748162029</v>
      </c>
      <c r="O16504" s="43">
        <v>9.692712550607288</v>
      </c>
      <c r="P16504" s="490"/>
      <c r="Q16504" s="490"/>
      <c r="R16504" s="490">
        <v>8</v>
      </c>
    </row>
    <row r="16505" spans="1:18" ht="24">
      <c r="A16505" s="486">
        <v>462</v>
      </c>
      <c r="B16505" s="483" t="s">
        <v>29607</v>
      </c>
      <c r="C16505" s="487" t="s">
        <v>29608</v>
      </c>
      <c r="D16505" s="488">
        <v>294.61</v>
      </c>
      <c r="E16505" s="488">
        <v>202.37</v>
      </c>
      <c r="F16505" s="488">
        <v>87.65</v>
      </c>
      <c r="G16505" s="488">
        <v>4.59</v>
      </c>
      <c r="H16505" s="489">
        <v>2854.49</v>
      </c>
      <c r="I16505" s="489">
        <v>2327.37</v>
      </c>
      <c r="J16505" s="489">
        <v>475.77</v>
      </c>
      <c r="K16505" s="489">
        <v>51.35</v>
      </c>
      <c r="L16505" s="43">
        <v>9.6890465360985694</v>
      </c>
      <c r="M16505" s="43">
        <v>11.500568266047338</v>
      </c>
      <c r="N16505" s="43">
        <v>5.4280661722760977</v>
      </c>
      <c r="O16505" s="43">
        <v>11.187363834422658</v>
      </c>
      <c r="P16505" s="490"/>
      <c r="Q16505" s="490"/>
      <c r="R16505" s="490">
        <v>8</v>
      </c>
    </row>
    <row r="16506" spans="1:18" ht="24">
      <c r="A16506" s="486">
        <v>463</v>
      </c>
      <c r="B16506" s="483" t="s">
        <v>29609</v>
      </c>
      <c r="C16506" s="487" t="s">
        <v>29610</v>
      </c>
      <c r="D16506" s="488">
        <v>234.32</v>
      </c>
      <c r="E16506" s="488">
        <v>188.19</v>
      </c>
      <c r="F16506" s="488">
        <v>41.55</v>
      </c>
      <c r="G16506" s="488">
        <v>4.58</v>
      </c>
      <c r="H16506" s="489">
        <v>2440.14</v>
      </c>
      <c r="I16506" s="489">
        <v>2164.3000000000002</v>
      </c>
      <c r="J16506" s="489">
        <v>225.45</v>
      </c>
      <c r="K16506" s="489">
        <v>50.39</v>
      </c>
      <c r="L16506" s="43">
        <v>10.413707750085353</v>
      </c>
      <c r="M16506" s="43">
        <v>11.50061108454222</v>
      </c>
      <c r="N16506" s="43">
        <v>5.4259927797833933</v>
      </c>
      <c r="O16506" s="43">
        <v>11.002183406113538</v>
      </c>
      <c r="P16506" s="490"/>
      <c r="Q16506" s="490"/>
      <c r="R16506" s="490">
        <v>8</v>
      </c>
    </row>
    <row r="16507" spans="1:18" ht="24">
      <c r="A16507" s="486">
        <v>464</v>
      </c>
      <c r="B16507" s="483" t="s">
        <v>29611</v>
      </c>
      <c r="C16507" s="487" t="s">
        <v>29612</v>
      </c>
      <c r="D16507" s="488">
        <v>297.67</v>
      </c>
      <c r="E16507" s="488">
        <v>193.45</v>
      </c>
      <c r="F16507" s="488">
        <v>79.95</v>
      </c>
      <c r="G16507" s="488">
        <v>24.27</v>
      </c>
      <c r="H16507" s="489">
        <v>2882.04</v>
      </c>
      <c r="I16507" s="489">
        <v>2224.75</v>
      </c>
      <c r="J16507" s="489">
        <v>433.98</v>
      </c>
      <c r="K16507" s="489">
        <v>223.31</v>
      </c>
      <c r="L16507" s="43">
        <v>9.6819968421406255</v>
      </c>
      <c r="M16507" s="43">
        <v>11.500387697079349</v>
      </c>
      <c r="N16507" s="43">
        <v>5.4281425891181989</v>
      </c>
      <c r="O16507" s="43">
        <v>9.2010712814173878</v>
      </c>
      <c r="P16507" s="490"/>
      <c r="Q16507" s="490"/>
      <c r="R16507" s="490">
        <v>8</v>
      </c>
    </row>
    <row r="16508" spans="1:18" ht="24">
      <c r="A16508" s="486">
        <v>465</v>
      </c>
      <c r="B16508" s="483" t="s">
        <v>29613</v>
      </c>
      <c r="C16508" s="487" t="s">
        <v>29614</v>
      </c>
      <c r="D16508" s="488">
        <v>18.68</v>
      </c>
      <c r="E16508" s="488">
        <v>13.28</v>
      </c>
      <c r="F16508" s="488">
        <v>5.13</v>
      </c>
      <c r="G16508" s="488">
        <v>0.27</v>
      </c>
      <c r="H16508" s="489">
        <v>183.66</v>
      </c>
      <c r="I16508" s="489">
        <v>152.69</v>
      </c>
      <c r="J16508" s="489">
        <v>27.86</v>
      </c>
      <c r="K16508" s="489">
        <v>3.11</v>
      </c>
      <c r="L16508" s="43">
        <v>9.8319057815845827</v>
      </c>
      <c r="M16508" s="43">
        <v>11.497740963855422</v>
      </c>
      <c r="N16508" s="43">
        <v>5.4307992202729043</v>
      </c>
      <c r="O16508" s="43">
        <v>11.518518518518517</v>
      </c>
      <c r="P16508" s="490"/>
      <c r="Q16508" s="490"/>
      <c r="R16508" s="490">
        <v>8</v>
      </c>
    </row>
    <row r="16509" spans="1:18" ht="24">
      <c r="A16509" s="486">
        <v>466</v>
      </c>
      <c r="B16509" s="483" t="s">
        <v>29615</v>
      </c>
      <c r="C16509" s="487" t="s">
        <v>29616</v>
      </c>
      <c r="D16509" s="488">
        <v>6.32</v>
      </c>
      <c r="E16509" s="488">
        <v>3.68</v>
      </c>
      <c r="F16509" s="488">
        <v>2.57</v>
      </c>
      <c r="G16509" s="488">
        <v>7.0000000000000007E-2</v>
      </c>
      <c r="H16509" s="489">
        <v>57.03</v>
      </c>
      <c r="I16509" s="489">
        <v>42.28</v>
      </c>
      <c r="J16509" s="489">
        <v>13.94</v>
      </c>
      <c r="K16509" s="489">
        <v>0.81</v>
      </c>
      <c r="L16509" s="43">
        <v>9.0237341772151893</v>
      </c>
      <c r="M16509" s="43">
        <v>11.5</v>
      </c>
      <c r="N16509" s="43">
        <v>5.4241245136186773</v>
      </c>
      <c r="O16509" s="43">
        <v>11.571428571428571</v>
      </c>
      <c r="P16509" s="490"/>
      <c r="Q16509" s="490"/>
      <c r="R16509" s="490">
        <v>8</v>
      </c>
    </row>
    <row r="16510" spans="1:18" ht="24">
      <c r="A16510" s="486">
        <v>467</v>
      </c>
      <c r="B16510" s="483" t="s">
        <v>29617</v>
      </c>
      <c r="C16510" s="487" t="s">
        <v>29618</v>
      </c>
      <c r="D16510" s="488">
        <v>6.32</v>
      </c>
      <c r="E16510" s="488">
        <v>3.68</v>
      </c>
      <c r="F16510" s="488">
        <v>2.57</v>
      </c>
      <c r="G16510" s="488">
        <v>7.0000000000000007E-2</v>
      </c>
      <c r="H16510" s="489">
        <v>57.03</v>
      </c>
      <c r="I16510" s="489">
        <v>42.28</v>
      </c>
      <c r="J16510" s="489">
        <v>13.94</v>
      </c>
      <c r="K16510" s="489">
        <v>0.81</v>
      </c>
      <c r="L16510" s="43">
        <v>9.0237341772151893</v>
      </c>
      <c r="M16510" s="43">
        <v>11.5</v>
      </c>
      <c r="N16510" s="43">
        <v>5.4241245136186773</v>
      </c>
      <c r="O16510" s="43">
        <v>11.571428571428571</v>
      </c>
      <c r="P16510" s="490"/>
      <c r="Q16510" s="490"/>
      <c r="R16510" s="490">
        <v>8</v>
      </c>
    </row>
    <row r="16511" spans="1:18" ht="24">
      <c r="A16511" s="486">
        <v>468</v>
      </c>
      <c r="B16511" s="483" t="s">
        <v>29619</v>
      </c>
      <c r="C16511" s="487" t="s">
        <v>29620</v>
      </c>
      <c r="D16511" s="488">
        <v>6.32</v>
      </c>
      <c r="E16511" s="488">
        <v>3.68</v>
      </c>
      <c r="F16511" s="488">
        <v>2.57</v>
      </c>
      <c r="G16511" s="488">
        <v>7.0000000000000007E-2</v>
      </c>
      <c r="H16511" s="489">
        <v>57.03</v>
      </c>
      <c r="I16511" s="489">
        <v>42.28</v>
      </c>
      <c r="J16511" s="489">
        <v>13.94</v>
      </c>
      <c r="K16511" s="489">
        <v>0.81</v>
      </c>
      <c r="L16511" s="43">
        <v>9.0237341772151893</v>
      </c>
      <c r="M16511" s="43">
        <v>11.5</v>
      </c>
      <c r="N16511" s="43">
        <v>5.4241245136186773</v>
      </c>
      <c r="O16511" s="43">
        <v>11.571428571428571</v>
      </c>
      <c r="P16511" s="490"/>
      <c r="Q16511" s="490"/>
      <c r="R16511" s="490">
        <v>8</v>
      </c>
    </row>
    <row r="16512" spans="1:18" ht="24">
      <c r="A16512" s="486">
        <v>469</v>
      </c>
      <c r="B16512" s="483" t="s">
        <v>29621</v>
      </c>
      <c r="C16512" s="487" t="s">
        <v>29622</v>
      </c>
      <c r="D16512" s="488">
        <v>15.56</v>
      </c>
      <c r="E16512" s="488">
        <v>12.74</v>
      </c>
      <c r="F16512" s="488">
        <v>2.57</v>
      </c>
      <c r="G16512" s="488">
        <v>0.25</v>
      </c>
      <c r="H16512" s="489">
        <v>163.35</v>
      </c>
      <c r="I16512" s="489">
        <v>146.53</v>
      </c>
      <c r="J16512" s="489">
        <v>13.94</v>
      </c>
      <c r="K16512" s="489">
        <v>2.88</v>
      </c>
      <c r="L16512" s="43">
        <v>10.498071979434446</v>
      </c>
      <c r="M16512" s="43">
        <v>11.501569858712715</v>
      </c>
      <c r="N16512" s="43">
        <v>5.4241245136186773</v>
      </c>
      <c r="O16512" s="43">
        <v>11.52</v>
      </c>
      <c r="P16512" s="490"/>
      <c r="Q16512" s="490"/>
      <c r="R16512" s="490">
        <v>8</v>
      </c>
    </row>
    <row r="16513" spans="1:18" ht="24">
      <c r="A16513" s="486">
        <v>470</v>
      </c>
      <c r="B16513" s="483" t="s">
        <v>29623</v>
      </c>
      <c r="C16513" s="487" t="s">
        <v>29624</v>
      </c>
      <c r="D16513" s="488">
        <v>18.68</v>
      </c>
      <c r="E16513" s="488">
        <v>13.28</v>
      </c>
      <c r="F16513" s="488">
        <v>5.13</v>
      </c>
      <c r="G16513" s="488">
        <v>0.27</v>
      </c>
      <c r="H16513" s="489">
        <v>183.66</v>
      </c>
      <c r="I16513" s="489">
        <v>152.69</v>
      </c>
      <c r="J16513" s="489">
        <v>27.86</v>
      </c>
      <c r="K16513" s="489">
        <v>3.11</v>
      </c>
      <c r="L16513" s="43">
        <v>9.8319057815845827</v>
      </c>
      <c r="M16513" s="43">
        <v>11.497740963855422</v>
      </c>
      <c r="N16513" s="43">
        <v>5.4307992202729043</v>
      </c>
      <c r="O16513" s="43">
        <v>11.518518518518517</v>
      </c>
      <c r="P16513" s="490"/>
      <c r="Q16513" s="490"/>
      <c r="R16513" s="490">
        <v>8</v>
      </c>
    </row>
    <row r="16514" spans="1:18" ht="24">
      <c r="A16514" s="486">
        <v>471</v>
      </c>
      <c r="B16514" s="483" t="s">
        <v>29625</v>
      </c>
      <c r="C16514" s="487" t="s">
        <v>29626</v>
      </c>
      <c r="D16514" s="488">
        <v>15.76</v>
      </c>
      <c r="E16514" s="488">
        <v>12.74</v>
      </c>
      <c r="F16514" s="488">
        <v>2.77</v>
      </c>
      <c r="G16514" s="488">
        <v>0.25</v>
      </c>
      <c r="H16514" s="489">
        <v>164.34</v>
      </c>
      <c r="I16514" s="489">
        <v>146.53</v>
      </c>
      <c r="J16514" s="489">
        <v>14.93</v>
      </c>
      <c r="K16514" s="489">
        <v>2.88</v>
      </c>
      <c r="L16514" s="43">
        <v>10.42766497461929</v>
      </c>
      <c r="M16514" s="43">
        <v>11.501569858712715</v>
      </c>
      <c r="N16514" s="43">
        <v>5.3898916967509027</v>
      </c>
      <c r="O16514" s="43">
        <v>11.52</v>
      </c>
      <c r="P16514" s="490"/>
      <c r="Q16514" s="490"/>
      <c r="R16514" s="490">
        <v>8</v>
      </c>
    </row>
    <row r="16515" spans="1:18" ht="24">
      <c r="A16515" s="486">
        <v>472</v>
      </c>
      <c r="B16515" s="483" t="s">
        <v>29627</v>
      </c>
      <c r="C16515" s="487" t="s">
        <v>29628</v>
      </c>
      <c r="D16515" s="488">
        <v>18.54</v>
      </c>
      <c r="E16515" s="488">
        <v>12.74</v>
      </c>
      <c r="F16515" s="488">
        <v>5.55</v>
      </c>
      <c r="G16515" s="488">
        <v>0.25</v>
      </c>
      <c r="H16515" s="489">
        <v>179.25</v>
      </c>
      <c r="I16515" s="489">
        <v>146.53</v>
      </c>
      <c r="J16515" s="489">
        <v>29.84</v>
      </c>
      <c r="K16515" s="489">
        <v>2.88</v>
      </c>
      <c r="L16515" s="43">
        <v>9.6682847896440141</v>
      </c>
      <c r="M16515" s="43">
        <v>11.501569858712715</v>
      </c>
      <c r="N16515" s="43">
        <v>5.3765765765765767</v>
      </c>
      <c r="O16515" s="43">
        <v>11.52</v>
      </c>
      <c r="P16515" s="490"/>
      <c r="Q16515" s="490"/>
      <c r="R16515" s="490">
        <v>8</v>
      </c>
    </row>
    <row r="16516" spans="1:18" ht="24">
      <c r="A16516" s="486">
        <v>473</v>
      </c>
      <c r="B16516" s="483" t="s">
        <v>29629</v>
      </c>
      <c r="C16516" s="487" t="s">
        <v>29630</v>
      </c>
      <c r="D16516" s="488">
        <v>15.4</v>
      </c>
      <c r="E16516" s="488">
        <v>12.38</v>
      </c>
      <c r="F16516" s="488">
        <v>2.77</v>
      </c>
      <c r="G16516" s="488">
        <v>0.25</v>
      </c>
      <c r="H16516" s="489">
        <v>160.19</v>
      </c>
      <c r="I16516" s="489">
        <v>142.38</v>
      </c>
      <c r="J16516" s="489">
        <v>14.93</v>
      </c>
      <c r="K16516" s="489">
        <v>2.88</v>
      </c>
      <c r="L16516" s="43">
        <v>10.401948051948052</v>
      </c>
      <c r="M16516" s="43">
        <v>11.500807754442649</v>
      </c>
      <c r="N16516" s="43">
        <v>5.3898916967509027</v>
      </c>
      <c r="O16516" s="43">
        <v>11.52</v>
      </c>
      <c r="P16516" s="490"/>
      <c r="Q16516" s="490"/>
      <c r="R16516" s="490">
        <v>8</v>
      </c>
    </row>
    <row r="16517" spans="1:18" ht="24">
      <c r="A16517" s="486">
        <v>474</v>
      </c>
      <c r="B16517" s="483" t="s">
        <v>29631</v>
      </c>
      <c r="C16517" s="487" t="s">
        <v>29632</v>
      </c>
      <c r="D16517" s="488">
        <v>15.76</v>
      </c>
      <c r="E16517" s="488">
        <v>12.74</v>
      </c>
      <c r="F16517" s="488">
        <v>2.77</v>
      </c>
      <c r="G16517" s="488">
        <v>0.25</v>
      </c>
      <c r="H16517" s="489">
        <v>164.34</v>
      </c>
      <c r="I16517" s="489">
        <v>146.53</v>
      </c>
      <c r="J16517" s="489">
        <v>14.93</v>
      </c>
      <c r="K16517" s="489">
        <v>2.88</v>
      </c>
      <c r="L16517" s="43">
        <v>10.42766497461929</v>
      </c>
      <c r="M16517" s="43">
        <v>11.501569858712715</v>
      </c>
      <c r="N16517" s="43">
        <v>5.3898916967509027</v>
      </c>
      <c r="O16517" s="43">
        <v>11.52</v>
      </c>
      <c r="P16517" s="490"/>
      <c r="Q16517" s="490"/>
      <c r="R16517" s="490">
        <v>8</v>
      </c>
    </row>
    <row r="16518" spans="1:18" ht="24">
      <c r="A16518" s="486">
        <v>475</v>
      </c>
      <c r="B16518" s="483" t="s">
        <v>29633</v>
      </c>
      <c r="C16518" s="487" t="s">
        <v>29634</v>
      </c>
      <c r="D16518" s="488">
        <v>6.7</v>
      </c>
      <c r="E16518" s="488">
        <v>3.85</v>
      </c>
      <c r="F16518" s="488">
        <v>2.77</v>
      </c>
      <c r="G16518" s="488">
        <v>0.08</v>
      </c>
      <c r="H16518" s="489">
        <v>60.08</v>
      </c>
      <c r="I16518" s="489">
        <v>44.23</v>
      </c>
      <c r="J16518" s="489">
        <v>14.93</v>
      </c>
      <c r="K16518" s="489">
        <v>0.92</v>
      </c>
      <c r="L16518" s="43">
        <v>8.9671641791044774</v>
      </c>
      <c r="M16518" s="43">
        <v>11.5</v>
      </c>
      <c r="N16518" s="43">
        <v>5.3898916967509027</v>
      </c>
      <c r="O16518" s="43">
        <v>11.5</v>
      </c>
      <c r="P16518" s="490"/>
      <c r="Q16518" s="490"/>
      <c r="R16518" s="490">
        <v>8</v>
      </c>
    </row>
    <row r="16519" spans="1:18" ht="24">
      <c r="A16519" s="486">
        <v>476</v>
      </c>
      <c r="B16519" s="483" t="s">
        <v>29635</v>
      </c>
      <c r="C16519" s="487" t="s">
        <v>29636</v>
      </c>
      <c r="D16519" s="488">
        <v>19.05</v>
      </c>
      <c r="E16519" s="488">
        <v>13.65</v>
      </c>
      <c r="F16519" s="488">
        <v>5.13</v>
      </c>
      <c r="G16519" s="488">
        <v>0.27</v>
      </c>
      <c r="H16519" s="489">
        <v>187.92</v>
      </c>
      <c r="I16519" s="489">
        <v>156.94999999999999</v>
      </c>
      <c r="J16519" s="489">
        <v>27.86</v>
      </c>
      <c r="K16519" s="489">
        <v>3.11</v>
      </c>
      <c r="L16519" s="43">
        <v>9.8645669291338578</v>
      </c>
      <c r="M16519" s="43">
        <v>11.498168498168496</v>
      </c>
      <c r="N16519" s="43">
        <v>5.4307992202729043</v>
      </c>
      <c r="O16519" s="43">
        <v>11.518518518518517</v>
      </c>
      <c r="P16519" s="490"/>
      <c r="Q16519" s="490"/>
      <c r="R16519" s="490">
        <v>8</v>
      </c>
    </row>
    <row r="16520" spans="1:18" ht="24">
      <c r="A16520" s="486">
        <v>477</v>
      </c>
      <c r="B16520" s="483" t="s">
        <v>29637</v>
      </c>
      <c r="C16520" s="487" t="s">
        <v>29638</v>
      </c>
      <c r="D16520" s="488">
        <v>614.27</v>
      </c>
      <c r="E16520" s="488">
        <v>303.08</v>
      </c>
      <c r="F16520" s="488">
        <v>295.95</v>
      </c>
      <c r="G16520" s="488">
        <v>15.24</v>
      </c>
      <c r="H16520" s="489">
        <v>5241.6099999999997</v>
      </c>
      <c r="I16520" s="489">
        <v>3485.48</v>
      </c>
      <c r="J16520" s="489">
        <v>1605.98</v>
      </c>
      <c r="K16520" s="489">
        <v>150.15</v>
      </c>
      <c r="L16520" s="43">
        <v>8.5330717762547419</v>
      </c>
      <c r="M16520" s="43">
        <v>11.500197967533325</v>
      </c>
      <c r="N16520" s="43">
        <v>5.4265247508025007</v>
      </c>
      <c r="O16520" s="43">
        <v>9.8523622047244093</v>
      </c>
      <c r="P16520" s="490"/>
      <c r="Q16520" s="490"/>
      <c r="R16520" s="490">
        <v>8</v>
      </c>
    </row>
    <row r="16521" spans="1:18" ht="24">
      <c r="A16521" s="486">
        <v>478</v>
      </c>
      <c r="B16521" s="483" t="s">
        <v>29639</v>
      </c>
      <c r="C16521" s="487" t="s">
        <v>29640</v>
      </c>
      <c r="D16521" s="488">
        <v>465.88</v>
      </c>
      <c r="E16521" s="488">
        <v>242.46</v>
      </c>
      <c r="F16521" s="488">
        <v>214.49</v>
      </c>
      <c r="G16521" s="488">
        <v>8.93</v>
      </c>
      <c r="H16521" s="489">
        <v>4044.08</v>
      </c>
      <c r="I16521" s="489">
        <v>2788.38</v>
      </c>
      <c r="J16521" s="489">
        <v>1164.1600000000001</v>
      </c>
      <c r="K16521" s="489">
        <v>91.54</v>
      </c>
      <c r="L16521" s="43">
        <v>8.6805185884777192</v>
      </c>
      <c r="M16521" s="43">
        <v>11.5003711952487</v>
      </c>
      <c r="N16521" s="43">
        <v>5.4275723809967831</v>
      </c>
      <c r="O16521" s="43">
        <v>10.250839865621501</v>
      </c>
      <c r="P16521" s="490"/>
      <c r="Q16521" s="490"/>
      <c r="R16521" s="490">
        <v>8</v>
      </c>
    </row>
    <row r="16522" spans="1:18" ht="24">
      <c r="A16522" s="486">
        <v>479</v>
      </c>
      <c r="B16522" s="483" t="s">
        <v>29641</v>
      </c>
      <c r="C16522" s="487" t="s">
        <v>29642</v>
      </c>
      <c r="D16522" s="488">
        <v>740.63</v>
      </c>
      <c r="E16522" s="488">
        <v>337.9</v>
      </c>
      <c r="F16522" s="488">
        <v>385.77</v>
      </c>
      <c r="G16522" s="488">
        <v>16.96</v>
      </c>
      <c r="H16522" s="489">
        <v>6146.59</v>
      </c>
      <c r="I16522" s="489">
        <v>3885.8</v>
      </c>
      <c r="J16522" s="489">
        <v>2093.65</v>
      </c>
      <c r="K16522" s="489">
        <v>167.14</v>
      </c>
      <c r="L16522" s="43">
        <v>8.2991372210145418</v>
      </c>
      <c r="M16522" s="43">
        <v>11.499852027226991</v>
      </c>
      <c r="N16522" s="43">
        <v>5.4271975529460565</v>
      </c>
      <c r="O16522" s="43">
        <v>9.8549528301886777</v>
      </c>
      <c r="P16522" s="490"/>
      <c r="Q16522" s="490"/>
      <c r="R16522" s="490">
        <v>8</v>
      </c>
    </row>
    <row r="16523" spans="1:18" ht="24">
      <c r="A16523" s="486">
        <v>480</v>
      </c>
      <c r="B16523" s="483" t="s">
        <v>29643</v>
      </c>
      <c r="C16523" s="487" t="s">
        <v>29644</v>
      </c>
      <c r="D16523" s="488">
        <v>255.64</v>
      </c>
      <c r="E16523" s="488">
        <v>188.19</v>
      </c>
      <c r="F16523" s="488">
        <v>59.61</v>
      </c>
      <c r="G16523" s="488">
        <v>7.84</v>
      </c>
      <c r="H16523" s="489">
        <v>2566.77</v>
      </c>
      <c r="I16523" s="489">
        <v>2164.3000000000002</v>
      </c>
      <c r="J16523" s="489">
        <v>323.47000000000003</v>
      </c>
      <c r="K16523" s="489">
        <v>79</v>
      </c>
      <c r="L16523" s="43">
        <v>10.040564856829917</v>
      </c>
      <c r="M16523" s="43">
        <v>11.50061108454222</v>
      </c>
      <c r="N16523" s="43">
        <v>5.4264385170273446</v>
      </c>
      <c r="O16523" s="43">
        <v>10.076530612244898</v>
      </c>
      <c r="P16523" s="490"/>
      <c r="Q16523" s="490"/>
      <c r="R16523" s="490">
        <v>8</v>
      </c>
    </row>
    <row r="16524" spans="1:18" ht="24">
      <c r="A16524" s="486">
        <v>481</v>
      </c>
      <c r="B16524" s="483" t="s">
        <v>29645</v>
      </c>
      <c r="C16524" s="487" t="s">
        <v>29646</v>
      </c>
      <c r="D16524" s="488">
        <v>297.62</v>
      </c>
      <c r="E16524" s="488">
        <v>188.19</v>
      </c>
      <c r="F16524" s="488">
        <v>100.67</v>
      </c>
      <c r="G16524" s="488">
        <v>8.76</v>
      </c>
      <c r="H16524" s="489">
        <v>2797.77</v>
      </c>
      <c r="I16524" s="489">
        <v>2164.3000000000002</v>
      </c>
      <c r="J16524" s="489">
        <v>546.41999999999996</v>
      </c>
      <c r="K16524" s="489">
        <v>87.05</v>
      </c>
      <c r="L16524" s="43">
        <v>9.400477118473221</v>
      </c>
      <c r="M16524" s="43">
        <v>11.50061108454222</v>
      </c>
      <c r="N16524" s="43">
        <v>5.4278335154465083</v>
      </c>
      <c r="O16524" s="43">
        <v>9.9372146118721467</v>
      </c>
      <c r="P16524" s="490"/>
      <c r="Q16524" s="490"/>
      <c r="R16524" s="490">
        <v>8</v>
      </c>
    </row>
    <row r="16525" spans="1:18" ht="24">
      <c r="A16525" s="486">
        <v>482</v>
      </c>
      <c r="B16525" s="483" t="s">
        <v>29647</v>
      </c>
      <c r="C16525" s="487" t="s">
        <v>29648</v>
      </c>
      <c r="D16525" s="488">
        <v>116.35</v>
      </c>
      <c r="E16525" s="488">
        <v>111.08</v>
      </c>
      <c r="F16525" s="488">
        <v>2.85</v>
      </c>
      <c r="G16525" s="488">
        <v>2.42</v>
      </c>
      <c r="H16525" s="489">
        <v>1320.21</v>
      </c>
      <c r="I16525" s="489">
        <v>1277.49</v>
      </c>
      <c r="J16525" s="489">
        <v>15.4</v>
      </c>
      <c r="K16525" s="489">
        <v>27.32</v>
      </c>
      <c r="L16525" s="43">
        <v>11.346884400515686</v>
      </c>
      <c r="M16525" s="43">
        <v>11.500630176449405</v>
      </c>
      <c r="N16525" s="43">
        <v>5.4035087719298245</v>
      </c>
      <c r="O16525" s="43">
        <v>11.289256198347108</v>
      </c>
      <c r="P16525" s="490"/>
      <c r="Q16525" s="490"/>
      <c r="R16525" s="490">
        <v>8</v>
      </c>
    </row>
    <row r="16526" spans="1:18" ht="24">
      <c r="A16526" s="486">
        <v>483</v>
      </c>
      <c r="B16526" s="483" t="s">
        <v>29649</v>
      </c>
      <c r="C16526" s="487" t="s">
        <v>29650</v>
      </c>
      <c r="D16526" s="488">
        <v>280.10000000000002</v>
      </c>
      <c r="E16526" s="488">
        <v>188.19</v>
      </c>
      <c r="F16526" s="488">
        <v>85.09</v>
      </c>
      <c r="G16526" s="488">
        <v>6.82</v>
      </c>
      <c r="H16526" s="489">
        <v>2696.2</v>
      </c>
      <c r="I16526" s="489">
        <v>2164.3000000000002</v>
      </c>
      <c r="J16526" s="489">
        <v>461.84</v>
      </c>
      <c r="K16526" s="489">
        <v>70.06</v>
      </c>
      <c r="L16526" s="43">
        <v>9.6258479114601911</v>
      </c>
      <c r="M16526" s="43">
        <v>11.50061108454222</v>
      </c>
      <c r="N16526" s="43">
        <v>5.4276648254789039</v>
      </c>
      <c r="O16526" s="43">
        <v>10.272727272727273</v>
      </c>
      <c r="P16526" s="490"/>
      <c r="Q16526" s="490"/>
      <c r="R16526" s="490">
        <v>8</v>
      </c>
    </row>
    <row r="16527" spans="1:18" ht="24">
      <c r="A16527" s="486">
        <v>484</v>
      </c>
      <c r="B16527" s="483" t="s">
        <v>29651</v>
      </c>
      <c r="C16527" s="487" t="s">
        <v>29652</v>
      </c>
      <c r="D16527" s="488">
        <v>442.4</v>
      </c>
      <c r="E16527" s="488">
        <v>232.02</v>
      </c>
      <c r="F16527" s="488">
        <v>201.66</v>
      </c>
      <c r="G16527" s="488">
        <v>8.7200000000000006</v>
      </c>
      <c r="H16527" s="489">
        <v>3851.93</v>
      </c>
      <c r="I16527" s="489">
        <v>2668.32</v>
      </c>
      <c r="J16527" s="489">
        <v>1094.49</v>
      </c>
      <c r="K16527" s="489">
        <v>89.12</v>
      </c>
      <c r="L16527" s="43">
        <v>8.7068942133815561</v>
      </c>
      <c r="M16527" s="43">
        <v>11.500387897595035</v>
      </c>
      <c r="N16527" s="43">
        <v>5.4274025587622736</v>
      </c>
      <c r="O16527" s="43">
        <v>10.220183486238533</v>
      </c>
      <c r="P16527" s="490"/>
      <c r="Q16527" s="490"/>
      <c r="R16527" s="490">
        <v>8</v>
      </c>
    </row>
    <row r="16528" spans="1:18" ht="24">
      <c r="A16528" s="486">
        <v>485</v>
      </c>
      <c r="B16528" s="483" t="s">
        <v>29653</v>
      </c>
      <c r="C16528" s="487" t="s">
        <v>29654</v>
      </c>
      <c r="D16528" s="488">
        <v>1120.1400000000001</v>
      </c>
      <c r="E16528" s="488">
        <v>483.57</v>
      </c>
      <c r="F16528" s="488">
        <v>617.72</v>
      </c>
      <c r="G16528" s="488">
        <v>18.850000000000001</v>
      </c>
      <c r="H16528" s="489">
        <v>9097.41</v>
      </c>
      <c r="I16528" s="489">
        <v>5561.27</v>
      </c>
      <c r="J16528" s="489">
        <v>3344.47</v>
      </c>
      <c r="K16528" s="489">
        <v>191.67</v>
      </c>
      <c r="L16528" s="43">
        <v>8.1216722909636285</v>
      </c>
      <c r="M16528" s="43">
        <v>11.500444609880681</v>
      </c>
      <c r="N16528" s="43">
        <v>5.4142167972544186</v>
      </c>
      <c r="O16528" s="43">
        <v>10.168169761273209</v>
      </c>
      <c r="P16528" s="490"/>
      <c r="Q16528" s="490"/>
      <c r="R16528" s="490">
        <v>8</v>
      </c>
    </row>
    <row r="16529" spans="1:18" ht="24">
      <c r="A16529" s="486">
        <v>486</v>
      </c>
      <c r="B16529" s="483" t="s">
        <v>29655</v>
      </c>
      <c r="C16529" s="487" t="s">
        <v>26358</v>
      </c>
      <c r="D16529" s="488">
        <v>379.53</v>
      </c>
      <c r="E16529" s="488">
        <v>217.84</v>
      </c>
      <c r="F16529" s="488">
        <v>136.93</v>
      </c>
      <c r="G16529" s="488">
        <v>24.76</v>
      </c>
      <c r="H16529" s="489">
        <v>3470.72</v>
      </c>
      <c r="I16529" s="489">
        <v>2505.2600000000002</v>
      </c>
      <c r="J16529" s="489">
        <v>736.52</v>
      </c>
      <c r="K16529" s="489">
        <v>228.94</v>
      </c>
      <c r="L16529" s="43">
        <v>9.144784338523964</v>
      </c>
      <c r="M16529" s="43">
        <v>11.500459052515609</v>
      </c>
      <c r="N16529" s="43">
        <v>5.3788066895494042</v>
      </c>
      <c r="O16529" s="43">
        <v>9.2463651050080777</v>
      </c>
      <c r="P16529" s="490"/>
      <c r="Q16529" s="490"/>
      <c r="R16529" s="490">
        <v>8</v>
      </c>
    </row>
    <row r="16530" spans="1:18" ht="24">
      <c r="A16530" s="486">
        <v>487</v>
      </c>
      <c r="B16530" s="483" t="s">
        <v>29656</v>
      </c>
      <c r="C16530" s="487" t="s">
        <v>29657</v>
      </c>
      <c r="D16530" s="488">
        <v>751.19</v>
      </c>
      <c r="E16530" s="488">
        <v>332.56</v>
      </c>
      <c r="F16530" s="488">
        <v>403.82</v>
      </c>
      <c r="G16530" s="488">
        <v>14.81</v>
      </c>
      <c r="H16530" s="489">
        <v>6144.45</v>
      </c>
      <c r="I16530" s="489">
        <v>3824.59</v>
      </c>
      <c r="J16530" s="489">
        <v>2171.86</v>
      </c>
      <c r="K16530" s="489">
        <v>148</v>
      </c>
      <c r="L16530" s="43">
        <v>8.1796216669550965</v>
      </c>
      <c r="M16530" s="43">
        <v>11.500451046427713</v>
      </c>
      <c r="N16530" s="43">
        <v>5.3782873557525637</v>
      </c>
      <c r="O16530" s="43">
        <v>9.9932478055367984</v>
      </c>
      <c r="P16530" s="490"/>
      <c r="Q16530" s="490"/>
      <c r="R16530" s="490">
        <v>8</v>
      </c>
    </row>
    <row r="16531" spans="1:18" ht="24">
      <c r="A16531" s="486">
        <v>488</v>
      </c>
      <c r="B16531" s="483" t="s">
        <v>29658</v>
      </c>
      <c r="C16531" s="487" t="s">
        <v>29659</v>
      </c>
      <c r="D16531" s="488">
        <v>122.48</v>
      </c>
      <c r="E16531" s="488">
        <v>111.08</v>
      </c>
      <c r="F16531" s="488">
        <v>3.06</v>
      </c>
      <c r="G16531" s="488">
        <v>8.34</v>
      </c>
      <c r="H16531" s="489">
        <v>1373.05</v>
      </c>
      <c r="I16531" s="489">
        <v>1277.49</v>
      </c>
      <c r="J16531" s="489">
        <v>16.39</v>
      </c>
      <c r="K16531" s="489">
        <v>79.17</v>
      </c>
      <c r="L16531" s="43">
        <v>11.210401698236446</v>
      </c>
      <c r="M16531" s="43">
        <v>11.500630176449405</v>
      </c>
      <c r="N16531" s="43">
        <v>5.3562091503267979</v>
      </c>
      <c r="O16531" s="43">
        <v>9.4928057553956844</v>
      </c>
      <c r="P16531" s="490"/>
      <c r="Q16531" s="490"/>
      <c r="R16531" s="490">
        <v>8</v>
      </c>
    </row>
    <row r="16532" spans="1:18" ht="24">
      <c r="A16532" s="486">
        <v>489</v>
      </c>
      <c r="B16532" s="483" t="s">
        <v>29660</v>
      </c>
      <c r="C16532" s="487" t="s">
        <v>29661</v>
      </c>
      <c r="D16532" s="488">
        <v>1423.56</v>
      </c>
      <c r="E16532" s="488">
        <v>549.11</v>
      </c>
      <c r="F16532" s="488">
        <v>700.27</v>
      </c>
      <c r="G16532" s="488">
        <v>174.18</v>
      </c>
      <c r="H16532" s="489">
        <v>11637.78</v>
      </c>
      <c r="I16532" s="489">
        <v>6315.02</v>
      </c>
      <c r="J16532" s="489">
        <v>3766.09</v>
      </c>
      <c r="K16532" s="489">
        <v>1556.67</v>
      </c>
      <c r="L16532" s="43">
        <v>8.1751243361712902</v>
      </c>
      <c r="M16532" s="43">
        <v>11.500464387827575</v>
      </c>
      <c r="N16532" s="43">
        <v>5.3780541791023468</v>
      </c>
      <c r="O16532" s="43">
        <v>8.9371339993110581</v>
      </c>
      <c r="P16532" s="490"/>
      <c r="Q16532" s="490"/>
      <c r="R16532" s="490">
        <v>8</v>
      </c>
    </row>
    <row r="16533" spans="1:18" ht="24">
      <c r="A16533" s="486">
        <v>490</v>
      </c>
      <c r="B16533" s="483" t="s">
        <v>29662</v>
      </c>
      <c r="C16533" s="487" t="s">
        <v>29663</v>
      </c>
      <c r="D16533" s="488">
        <v>202.3</v>
      </c>
      <c r="E16533" s="488">
        <v>174.02</v>
      </c>
      <c r="F16533" s="488">
        <v>19.7</v>
      </c>
      <c r="G16533" s="488">
        <v>8.58</v>
      </c>
      <c r="H16533" s="489">
        <v>2191.88</v>
      </c>
      <c r="I16533" s="489">
        <v>2001.24</v>
      </c>
      <c r="J16533" s="489">
        <v>105.92</v>
      </c>
      <c r="K16533" s="489">
        <v>84.72</v>
      </c>
      <c r="L16533" s="43">
        <v>10.834799802273851</v>
      </c>
      <c r="M16533" s="43">
        <v>11.500057464659234</v>
      </c>
      <c r="N16533" s="43">
        <v>5.3766497461928937</v>
      </c>
      <c r="O16533" s="43">
        <v>9.8741258741258733</v>
      </c>
      <c r="P16533" s="490"/>
      <c r="Q16533" s="490"/>
      <c r="R16533" s="490">
        <v>8</v>
      </c>
    </row>
    <row r="16534" spans="1:18" ht="12.75">
      <c r="A16534" s="632" t="s">
        <v>18</v>
      </c>
      <c r="B16534" s="632"/>
      <c r="C16534" s="632"/>
      <c r="D16534" s="484">
        <v>418099.95</v>
      </c>
      <c r="E16534" s="484">
        <v>339157.95</v>
      </c>
      <c r="F16534" s="484">
        <v>56937.8</v>
      </c>
      <c r="G16534" s="484">
        <v>22004.2</v>
      </c>
      <c r="H16534" s="485">
        <v>4420697.5199999996</v>
      </c>
      <c r="I16534" s="485">
        <v>3900409.02</v>
      </c>
      <c r="J16534" s="485">
        <v>309019.21000000002</v>
      </c>
      <c r="K16534" s="485">
        <v>211269.29</v>
      </c>
      <c r="L16534" s="612">
        <v>10.573303153946799</v>
      </c>
      <c r="M16534" s="612">
        <v>11.500273014387544</v>
      </c>
      <c r="N16534" s="612">
        <v>5.4273120844149227</v>
      </c>
      <c r="O16534" s="612">
        <v>9.6013165668372409</v>
      </c>
      <c r="P16534" s="482"/>
      <c r="Q16534" s="482"/>
      <c r="R16534" s="482"/>
    </row>
    <row r="16535" spans="1:18" ht="18">
      <c r="A16535" s="616" t="s">
        <v>30106</v>
      </c>
      <c r="B16535" s="626"/>
      <c r="C16535" s="626"/>
      <c r="D16535" s="626"/>
      <c r="E16535" s="626"/>
      <c r="F16535" s="626"/>
      <c r="G16535" s="626"/>
      <c r="H16535" s="626"/>
      <c r="I16535" s="626"/>
      <c r="J16535" s="626"/>
      <c r="K16535" s="626"/>
      <c r="L16535" s="626"/>
      <c r="M16535" s="626"/>
      <c r="N16535" s="626"/>
      <c r="O16535" s="626"/>
      <c r="P16535" s="626"/>
      <c r="Q16535" s="626"/>
      <c r="R16535" s="627"/>
    </row>
    <row r="16536" spans="1:18" ht="12.75" customHeight="1">
      <c r="A16536" s="630" t="s">
        <v>29664</v>
      </c>
      <c r="B16536" s="631"/>
      <c r="C16536" s="631"/>
      <c r="D16536" s="631"/>
      <c r="E16536" s="631"/>
      <c r="F16536" s="631"/>
      <c r="G16536" s="631"/>
      <c r="H16536" s="631"/>
      <c r="I16536" s="631"/>
      <c r="J16536" s="631"/>
      <c r="K16536" s="631"/>
      <c r="L16536" s="631"/>
      <c r="M16536" s="631"/>
      <c r="N16536" s="631"/>
      <c r="O16536" s="631"/>
      <c r="P16536" s="631"/>
      <c r="Q16536" s="631"/>
      <c r="R16536" s="631"/>
    </row>
    <row r="16537" spans="1:18" ht="12.75" customHeight="1">
      <c r="A16537" s="628" t="s">
        <v>29665</v>
      </c>
      <c r="B16537" s="629"/>
      <c r="C16537" s="629"/>
      <c r="D16537" s="629"/>
      <c r="E16537" s="629"/>
      <c r="F16537" s="629"/>
      <c r="G16537" s="629"/>
      <c r="H16537" s="629"/>
      <c r="I16537" s="629"/>
      <c r="J16537" s="629"/>
      <c r="K16537" s="629"/>
      <c r="L16537" s="629"/>
      <c r="M16537" s="629"/>
      <c r="N16537" s="629"/>
      <c r="O16537" s="629"/>
      <c r="P16537" s="629"/>
      <c r="Q16537" s="629"/>
      <c r="R16537" s="629"/>
    </row>
    <row r="16538" spans="1:18" ht="12.75" customHeight="1">
      <c r="A16538" s="628" t="s">
        <v>29666</v>
      </c>
      <c r="B16538" s="629"/>
      <c r="C16538" s="629"/>
      <c r="D16538" s="629"/>
      <c r="E16538" s="629"/>
      <c r="F16538" s="629"/>
      <c r="G16538" s="629"/>
      <c r="H16538" s="629"/>
      <c r="I16538" s="629"/>
      <c r="J16538" s="629"/>
      <c r="K16538" s="629"/>
      <c r="L16538" s="629"/>
      <c r="M16538" s="629"/>
      <c r="N16538" s="629"/>
      <c r="O16538" s="629"/>
      <c r="P16538" s="629"/>
      <c r="Q16538" s="629"/>
      <c r="R16538" s="629"/>
    </row>
    <row r="16539" spans="1:18" ht="24">
      <c r="A16539" s="501">
        <v>1</v>
      </c>
      <c r="B16539" s="498" t="s">
        <v>29667</v>
      </c>
      <c r="C16539" s="502" t="s">
        <v>29668</v>
      </c>
      <c r="D16539" s="503">
        <v>4183.22</v>
      </c>
      <c r="E16539" s="503">
        <v>2822.63</v>
      </c>
      <c r="F16539" s="503">
        <v>1052.17</v>
      </c>
      <c r="G16539" s="503">
        <v>308.42</v>
      </c>
      <c r="H16539" s="504">
        <v>39185.94</v>
      </c>
      <c r="I16539" s="504">
        <v>32461.63</v>
      </c>
      <c r="J16539" s="504">
        <v>5156.5600000000004</v>
      </c>
      <c r="K16539" s="504">
        <v>1567.75</v>
      </c>
      <c r="L16539" s="43">
        <v>9.3674107505701354</v>
      </c>
      <c r="M16539" s="43">
        <v>11.500490677134446</v>
      </c>
      <c r="N16539" s="43">
        <v>4.9008810363344324</v>
      </c>
      <c r="O16539" s="43">
        <v>5.0831658128526032</v>
      </c>
      <c r="P16539" s="505"/>
      <c r="Q16539" s="505"/>
      <c r="R16539" s="505">
        <v>1</v>
      </c>
    </row>
    <row r="16540" spans="1:18" ht="24">
      <c r="A16540" s="501">
        <v>2</v>
      </c>
      <c r="B16540" s="498" t="s">
        <v>29669</v>
      </c>
      <c r="C16540" s="502" t="s">
        <v>29670</v>
      </c>
      <c r="D16540" s="503">
        <v>5391.44</v>
      </c>
      <c r="E16540" s="503">
        <v>3811.06</v>
      </c>
      <c r="F16540" s="503">
        <v>1246.08</v>
      </c>
      <c r="G16540" s="503">
        <v>334.3</v>
      </c>
      <c r="H16540" s="504">
        <v>51621.91</v>
      </c>
      <c r="I16540" s="504">
        <v>43829.06</v>
      </c>
      <c r="J16540" s="504">
        <v>5977.25</v>
      </c>
      <c r="K16540" s="504">
        <v>1815.6</v>
      </c>
      <c r="L16540" s="43">
        <v>9.5747907794578087</v>
      </c>
      <c r="M16540" s="43">
        <v>11.500490677134446</v>
      </c>
      <c r="N16540" s="43">
        <v>4.7968428993323062</v>
      </c>
      <c r="O16540" s="43">
        <v>5.4310499551301223</v>
      </c>
      <c r="P16540" s="505"/>
      <c r="Q16540" s="505"/>
      <c r="R16540" s="505">
        <v>1</v>
      </c>
    </row>
    <row r="16541" spans="1:18" ht="24">
      <c r="A16541" s="501">
        <v>3</v>
      </c>
      <c r="B16541" s="498" t="s">
        <v>29671</v>
      </c>
      <c r="C16541" s="502" t="s">
        <v>29672</v>
      </c>
      <c r="D16541" s="503">
        <v>4827.1000000000004</v>
      </c>
      <c r="E16541" s="503">
        <v>3457.2</v>
      </c>
      <c r="F16541" s="503">
        <v>1000.57</v>
      </c>
      <c r="G16541" s="503">
        <v>369.33</v>
      </c>
      <c r="H16541" s="504">
        <v>46526.13</v>
      </c>
      <c r="I16541" s="504">
        <v>39757.800000000003</v>
      </c>
      <c r="J16541" s="504">
        <v>4769.24</v>
      </c>
      <c r="K16541" s="504">
        <v>1999.09</v>
      </c>
      <c r="L16541" s="43">
        <v>9.6385262372853262</v>
      </c>
      <c r="M16541" s="43">
        <v>11.500000000000002</v>
      </c>
      <c r="N16541" s="43">
        <v>4.7665230818433493</v>
      </c>
      <c r="O16541" s="43">
        <v>5.4127474074675765</v>
      </c>
      <c r="P16541" s="505"/>
      <c r="Q16541" s="505"/>
      <c r="R16541" s="505">
        <v>1</v>
      </c>
    </row>
    <row r="16542" spans="1:18" ht="24">
      <c r="A16542" s="501">
        <v>4</v>
      </c>
      <c r="B16542" s="498" t="s">
        <v>29673</v>
      </c>
      <c r="C16542" s="502" t="s">
        <v>29674</v>
      </c>
      <c r="D16542" s="503">
        <v>9749.16</v>
      </c>
      <c r="E16542" s="503">
        <v>7131.12</v>
      </c>
      <c r="F16542" s="503">
        <v>1927.19</v>
      </c>
      <c r="G16542" s="503">
        <v>690.85</v>
      </c>
      <c r="H16542" s="504">
        <v>95077.01</v>
      </c>
      <c r="I16542" s="504">
        <v>82007.88</v>
      </c>
      <c r="J16542" s="504">
        <v>9059.6299999999992</v>
      </c>
      <c r="K16542" s="504">
        <v>4009.5</v>
      </c>
      <c r="L16542" s="43">
        <v>9.7523284057293136</v>
      </c>
      <c r="M16542" s="43">
        <v>11.5</v>
      </c>
      <c r="N16542" s="43">
        <v>4.7009532012930739</v>
      </c>
      <c r="O16542" s="43">
        <v>5.8037200550047041</v>
      </c>
      <c r="P16542" s="505"/>
      <c r="Q16542" s="505"/>
      <c r="R16542" s="505">
        <v>1</v>
      </c>
    </row>
    <row r="16543" spans="1:18" ht="24">
      <c r="A16543" s="501">
        <v>5</v>
      </c>
      <c r="B16543" s="498" t="s">
        <v>29675</v>
      </c>
      <c r="C16543" s="502" t="s">
        <v>29676</v>
      </c>
      <c r="D16543" s="503">
        <v>5940.05</v>
      </c>
      <c r="E16543" s="503">
        <v>4458.24</v>
      </c>
      <c r="F16543" s="503">
        <v>1103.2</v>
      </c>
      <c r="G16543" s="503">
        <v>378.61</v>
      </c>
      <c r="H16543" s="504">
        <v>58768.639999999999</v>
      </c>
      <c r="I16543" s="504">
        <v>51269.760000000002</v>
      </c>
      <c r="J16543" s="504">
        <v>5271.17</v>
      </c>
      <c r="K16543" s="504">
        <v>2227.71</v>
      </c>
      <c r="L16543" s="43">
        <v>9.8936271580205553</v>
      </c>
      <c r="M16543" s="43">
        <v>11.500000000000002</v>
      </c>
      <c r="N16543" s="43">
        <v>4.7780728788977518</v>
      </c>
      <c r="O16543" s="43">
        <v>5.8839174876522016</v>
      </c>
      <c r="P16543" s="505"/>
      <c r="Q16543" s="505"/>
      <c r="R16543" s="505">
        <v>1</v>
      </c>
    </row>
    <row r="16544" spans="1:18" ht="24">
      <c r="A16544" s="501">
        <v>6</v>
      </c>
      <c r="B16544" s="498" t="s">
        <v>29677</v>
      </c>
      <c r="C16544" s="502" t="s">
        <v>29678</v>
      </c>
      <c r="D16544" s="503">
        <v>2864.53</v>
      </c>
      <c r="E16544" s="503">
        <v>2115.6</v>
      </c>
      <c r="F16544" s="503">
        <v>525.23</v>
      </c>
      <c r="G16544" s="503">
        <v>223.7</v>
      </c>
      <c r="H16544" s="504">
        <v>27856.54</v>
      </c>
      <c r="I16544" s="504">
        <v>24329.4</v>
      </c>
      <c r="J16544" s="504">
        <v>2386.44</v>
      </c>
      <c r="K16544" s="504">
        <v>1140.7</v>
      </c>
      <c r="L16544" s="43">
        <v>9.7246459279532758</v>
      </c>
      <c r="M16544" s="43">
        <v>11.500000000000002</v>
      </c>
      <c r="N16544" s="43">
        <v>4.5436094663290367</v>
      </c>
      <c r="O16544" s="43">
        <v>5.0992400536432729</v>
      </c>
      <c r="P16544" s="505"/>
      <c r="Q16544" s="505"/>
      <c r="R16544" s="505">
        <v>1</v>
      </c>
    </row>
    <row r="16545" spans="1:18" ht="24">
      <c r="A16545" s="501">
        <v>7</v>
      </c>
      <c r="B16545" s="498" t="s">
        <v>29679</v>
      </c>
      <c r="C16545" s="502" t="s">
        <v>29680</v>
      </c>
      <c r="D16545" s="503">
        <v>1397.38</v>
      </c>
      <c r="E16545" s="503">
        <v>910.94</v>
      </c>
      <c r="F16545" s="503">
        <v>466.24</v>
      </c>
      <c r="G16545" s="503">
        <v>20.2</v>
      </c>
      <c r="H16545" s="504">
        <v>13008.16</v>
      </c>
      <c r="I16545" s="504">
        <v>10475.790000000001</v>
      </c>
      <c r="J16545" s="504">
        <v>2308.1</v>
      </c>
      <c r="K16545" s="504">
        <v>224.27</v>
      </c>
      <c r="L16545" s="43">
        <v>9.3089639181897539</v>
      </c>
      <c r="M16545" s="43">
        <v>11.499978044657167</v>
      </c>
      <c r="N16545" s="43">
        <v>4.9504547014413172</v>
      </c>
      <c r="O16545" s="43">
        <v>11.102475247524753</v>
      </c>
      <c r="P16545" s="505"/>
      <c r="Q16545" s="505"/>
      <c r="R16545" s="505">
        <v>1</v>
      </c>
    </row>
    <row r="16546" spans="1:18" ht="36">
      <c r="A16546" s="501">
        <v>8</v>
      </c>
      <c r="B16546" s="498" t="s">
        <v>29681</v>
      </c>
      <c r="C16546" s="502" t="s">
        <v>29682</v>
      </c>
      <c r="D16546" s="503">
        <v>61.92</v>
      </c>
      <c r="E16546" s="503">
        <v>12.36</v>
      </c>
      <c r="F16546" s="503">
        <v>43.63</v>
      </c>
      <c r="G16546" s="503">
        <v>5.93</v>
      </c>
      <c r="H16546" s="504">
        <v>407.11</v>
      </c>
      <c r="I16546" s="504">
        <v>142.19</v>
      </c>
      <c r="J16546" s="504">
        <v>236.87</v>
      </c>
      <c r="K16546" s="504">
        <v>28.05</v>
      </c>
      <c r="L16546" s="43">
        <v>6.5747739018087854</v>
      </c>
      <c r="M16546" s="43">
        <v>11.504045307443366</v>
      </c>
      <c r="N16546" s="43">
        <v>5.4290625716250283</v>
      </c>
      <c r="O16546" s="43">
        <v>4.7301854974704893</v>
      </c>
      <c r="P16546" s="505"/>
      <c r="Q16546" s="505"/>
      <c r="R16546" s="505">
        <v>1</v>
      </c>
    </row>
    <row r="16547" spans="1:18" ht="36">
      <c r="A16547" s="501">
        <v>9</v>
      </c>
      <c r="B16547" s="498" t="s">
        <v>29683</v>
      </c>
      <c r="C16547" s="502" t="s">
        <v>29684</v>
      </c>
      <c r="D16547" s="503">
        <v>60.65</v>
      </c>
      <c r="E16547" s="503">
        <v>12.36</v>
      </c>
      <c r="F16547" s="503">
        <v>43.63</v>
      </c>
      <c r="G16547" s="503">
        <v>4.66</v>
      </c>
      <c r="H16547" s="504">
        <v>402.78</v>
      </c>
      <c r="I16547" s="504">
        <v>142.19</v>
      </c>
      <c r="J16547" s="504">
        <v>236.87</v>
      </c>
      <c r="K16547" s="504">
        <v>23.72</v>
      </c>
      <c r="L16547" s="43">
        <v>6.6410552349546572</v>
      </c>
      <c r="M16547" s="43">
        <v>11.504045307443366</v>
      </c>
      <c r="N16547" s="43">
        <v>5.4290625716250283</v>
      </c>
      <c r="O16547" s="43">
        <v>5.0901287553648062</v>
      </c>
      <c r="P16547" s="505"/>
      <c r="Q16547" s="505"/>
      <c r="R16547" s="505">
        <v>1</v>
      </c>
    </row>
    <row r="16548" spans="1:18" ht="24">
      <c r="A16548" s="501">
        <v>10</v>
      </c>
      <c r="B16548" s="498" t="s">
        <v>29685</v>
      </c>
      <c r="C16548" s="502" t="s">
        <v>29686</v>
      </c>
      <c r="D16548" s="503">
        <v>4908.3599999999997</v>
      </c>
      <c r="E16548" s="503">
        <v>3908.3</v>
      </c>
      <c r="F16548" s="503">
        <v>663.66</v>
      </c>
      <c r="G16548" s="503">
        <v>336.4</v>
      </c>
      <c r="H16548" s="504">
        <v>49927.519999999997</v>
      </c>
      <c r="I16548" s="504">
        <v>44947.32</v>
      </c>
      <c r="J16548" s="504">
        <v>3129.78</v>
      </c>
      <c r="K16548" s="504">
        <v>1850.42</v>
      </c>
      <c r="L16548" s="43">
        <v>10.171935228874817</v>
      </c>
      <c r="M16548" s="43">
        <v>11.500478468899521</v>
      </c>
      <c r="N16548" s="43">
        <v>4.7159388843685024</v>
      </c>
      <c r="O16548" s="43">
        <v>5.5006539833531516</v>
      </c>
      <c r="P16548" s="505"/>
      <c r="Q16548" s="505"/>
      <c r="R16548" s="505">
        <v>1</v>
      </c>
    </row>
    <row r="16549" spans="1:18" ht="24">
      <c r="A16549" s="501">
        <v>11</v>
      </c>
      <c r="B16549" s="498" t="s">
        <v>29687</v>
      </c>
      <c r="C16549" s="502" t="s">
        <v>29688</v>
      </c>
      <c r="D16549" s="503">
        <v>9782.81</v>
      </c>
      <c r="E16549" s="503">
        <v>7847.95</v>
      </c>
      <c r="F16549" s="503">
        <v>1279.53</v>
      </c>
      <c r="G16549" s="503">
        <v>655.33000000000004</v>
      </c>
      <c r="H16549" s="504">
        <v>99962.31</v>
      </c>
      <c r="I16549" s="504">
        <v>90255.18</v>
      </c>
      <c r="J16549" s="504">
        <v>5990.17</v>
      </c>
      <c r="K16549" s="504">
        <v>3716.96</v>
      </c>
      <c r="L16549" s="43">
        <v>10.218159199657359</v>
      </c>
      <c r="M16549" s="43">
        <v>11.500478468899521</v>
      </c>
      <c r="N16549" s="43">
        <v>4.6815393152173064</v>
      </c>
      <c r="O16549" s="43">
        <v>5.6718904979170794</v>
      </c>
      <c r="P16549" s="505"/>
      <c r="Q16549" s="505"/>
      <c r="R16549" s="505">
        <v>1</v>
      </c>
    </row>
    <row r="16550" spans="1:18" ht="24">
      <c r="A16550" s="501">
        <v>12</v>
      </c>
      <c r="B16550" s="498" t="s">
        <v>29689</v>
      </c>
      <c r="C16550" s="502" t="s">
        <v>29690</v>
      </c>
      <c r="D16550" s="503">
        <v>2391.0700000000002</v>
      </c>
      <c r="E16550" s="503">
        <v>1818.3</v>
      </c>
      <c r="F16550" s="503">
        <v>331.92</v>
      </c>
      <c r="G16550" s="503">
        <v>240.85</v>
      </c>
      <c r="H16550" s="504">
        <v>23795.24</v>
      </c>
      <c r="I16550" s="504">
        <v>20911.32</v>
      </c>
      <c r="J16550" s="504">
        <v>1587.91</v>
      </c>
      <c r="K16550" s="504">
        <v>1296.01</v>
      </c>
      <c r="L16550" s="43">
        <v>9.9517119950482424</v>
      </c>
      <c r="M16550" s="43">
        <v>11.500478468899521</v>
      </c>
      <c r="N16550" s="43">
        <v>4.784014220294047</v>
      </c>
      <c r="O16550" s="43">
        <v>5.3809840149470629</v>
      </c>
      <c r="P16550" s="505"/>
      <c r="Q16550" s="505"/>
      <c r="R16550" s="505">
        <v>1</v>
      </c>
    </row>
    <row r="16551" spans="1:18" ht="24">
      <c r="A16551" s="501">
        <v>13</v>
      </c>
      <c r="B16551" s="498" t="s">
        <v>29691</v>
      </c>
      <c r="C16551" s="502" t="s">
        <v>29692</v>
      </c>
      <c r="D16551" s="503">
        <v>9155.33</v>
      </c>
      <c r="E16551" s="503">
        <v>7310.78</v>
      </c>
      <c r="F16551" s="503">
        <v>1260.1600000000001</v>
      </c>
      <c r="G16551" s="503">
        <v>584.39</v>
      </c>
      <c r="H16551" s="504">
        <v>94114.17</v>
      </c>
      <c r="I16551" s="504">
        <v>84073.97</v>
      </c>
      <c r="J16551" s="504">
        <v>6069.35</v>
      </c>
      <c r="K16551" s="504">
        <v>3970.85</v>
      </c>
      <c r="L16551" s="43">
        <v>10.279713565758962</v>
      </c>
      <c r="M16551" s="43">
        <v>11.5</v>
      </c>
      <c r="N16551" s="43">
        <v>4.8163328466226512</v>
      </c>
      <c r="O16551" s="43">
        <v>6.7948630195588562</v>
      </c>
      <c r="P16551" s="505"/>
      <c r="Q16551" s="505"/>
      <c r="R16551" s="505">
        <v>1</v>
      </c>
    </row>
    <row r="16552" spans="1:18" ht="24">
      <c r="A16552" s="501">
        <v>14</v>
      </c>
      <c r="B16552" s="498" t="s">
        <v>29693</v>
      </c>
      <c r="C16552" s="502" t="s">
        <v>29694</v>
      </c>
      <c r="D16552" s="503">
        <v>8921.1299999999992</v>
      </c>
      <c r="E16552" s="503">
        <v>7300.2</v>
      </c>
      <c r="F16552" s="503">
        <v>1260.1600000000001</v>
      </c>
      <c r="G16552" s="503">
        <v>360.77</v>
      </c>
      <c r="H16552" s="504">
        <v>92829.79</v>
      </c>
      <c r="I16552" s="504">
        <v>83952.3</v>
      </c>
      <c r="J16552" s="504">
        <v>6069.35</v>
      </c>
      <c r="K16552" s="504">
        <v>2808.14</v>
      </c>
      <c r="L16552" s="43">
        <v>10.405608930707208</v>
      </c>
      <c r="M16552" s="43">
        <v>11.5</v>
      </c>
      <c r="N16552" s="43">
        <v>4.8163328466226512</v>
      </c>
      <c r="O16552" s="43">
        <v>7.7837403331762616</v>
      </c>
      <c r="P16552" s="505"/>
      <c r="Q16552" s="505"/>
      <c r="R16552" s="505">
        <v>1</v>
      </c>
    </row>
    <row r="16553" spans="1:18" ht="12.75" customHeight="1">
      <c r="A16553" s="628" t="s">
        <v>29695</v>
      </c>
      <c r="B16553" s="629"/>
      <c r="C16553" s="629"/>
      <c r="D16553" s="629"/>
      <c r="E16553" s="629"/>
      <c r="F16553" s="629"/>
      <c r="G16553" s="629"/>
      <c r="H16553" s="629"/>
      <c r="I16553" s="629"/>
      <c r="J16553" s="629"/>
      <c r="K16553" s="629"/>
      <c r="L16553" s="629"/>
      <c r="M16553" s="629"/>
      <c r="N16553" s="629"/>
      <c r="O16553" s="629"/>
      <c r="P16553" s="629"/>
      <c r="Q16553" s="629"/>
      <c r="R16553" s="629"/>
    </row>
    <row r="16554" spans="1:18" ht="24">
      <c r="A16554" s="501">
        <v>15</v>
      </c>
      <c r="B16554" s="498" t="s">
        <v>29696</v>
      </c>
      <c r="C16554" s="502" t="s">
        <v>29697</v>
      </c>
      <c r="D16554" s="503">
        <v>4029.41</v>
      </c>
      <c r="E16554" s="503">
        <v>2476.17</v>
      </c>
      <c r="F16554" s="503">
        <v>1265.0999999999999</v>
      </c>
      <c r="G16554" s="503">
        <v>288.14</v>
      </c>
      <c r="H16554" s="504">
        <v>35988.74</v>
      </c>
      <c r="I16554" s="504">
        <v>28477.17</v>
      </c>
      <c r="J16554" s="504">
        <v>6013.95</v>
      </c>
      <c r="K16554" s="504">
        <v>1497.62</v>
      </c>
      <c r="L16554" s="43">
        <v>8.9315160284011803</v>
      </c>
      <c r="M16554" s="43">
        <v>11.500490677134444</v>
      </c>
      <c r="N16554" s="43">
        <v>4.7537348826179748</v>
      </c>
      <c r="O16554" s="43">
        <v>5.1975428611091825</v>
      </c>
      <c r="P16554" s="505"/>
      <c r="Q16554" s="505"/>
      <c r="R16554" s="505">
        <v>2</v>
      </c>
    </row>
    <row r="16555" spans="1:18" ht="36">
      <c r="A16555" s="501">
        <v>16</v>
      </c>
      <c r="B16555" s="498" t="s">
        <v>29698</v>
      </c>
      <c r="C16555" s="502" t="s">
        <v>29699</v>
      </c>
      <c r="D16555" s="503">
        <v>45.76</v>
      </c>
      <c r="E16555" s="503">
        <v>31.08</v>
      </c>
      <c r="F16555" s="503">
        <v>14.06</v>
      </c>
      <c r="G16555" s="503">
        <v>0.62</v>
      </c>
      <c r="H16555" s="504">
        <v>430.1</v>
      </c>
      <c r="I16555" s="504">
        <v>357.43</v>
      </c>
      <c r="J16555" s="504">
        <v>65.540000000000006</v>
      </c>
      <c r="K16555" s="504">
        <v>7.13</v>
      </c>
      <c r="L16555" s="43">
        <v>9.3990384615384617</v>
      </c>
      <c r="M16555" s="43">
        <v>11.500321750321751</v>
      </c>
      <c r="N16555" s="43">
        <v>4.66145092460882</v>
      </c>
      <c r="O16555" s="43">
        <v>11.5</v>
      </c>
      <c r="P16555" s="505"/>
      <c r="Q16555" s="505"/>
      <c r="R16555" s="505">
        <v>2</v>
      </c>
    </row>
    <row r="16556" spans="1:18" ht="24">
      <c r="A16556" s="501">
        <v>17</v>
      </c>
      <c r="B16556" s="498" t="s">
        <v>29700</v>
      </c>
      <c r="C16556" s="502" t="s">
        <v>29701</v>
      </c>
      <c r="D16556" s="503">
        <v>2198.4899999999998</v>
      </c>
      <c r="E16556" s="503">
        <v>1406.22</v>
      </c>
      <c r="F16556" s="503">
        <v>525.53</v>
      </c>
      <c r="G16556" s="503">
        <v>266.74</v>
      </c>
      <c r="H16556" s="504">
        <v>19876.72</v>
      </c>
      <c r="I16556" s="504">
        <v>16172.22</v>
      </c>
      <c r="J16556" s="504">
        <v>2452.98</v>
      </c>
      <c r="K16556" s="504">
        <v>1251.52</v>
      </c>
      <c r="L16556" s="43">
        <v>9.0410781945790077</v>
      </c>
      <c r="M16556" s="43">
        <v>11.500490677134446</v>
      </c>
      <c r="N16556" s="43">
        <v>4.6676307727437063</v>
      </c>
      <c r="O16556" s="43">
        <v>4.6919097248256731</v>
      </c>
      <c r="P16556" s="505"/>
      <c r="Q16556" s="505"/>
      <c r="R16556" s="505">
        <v>2</v>
      </c>
    </row>
    <row r="16557" spans="1:18" ht="36">
      <c r="A16557" s="501">
        <v>18</v>
      </c>
      <c r="B16557" s="498" t="s">
        <v>29702</v>
      </c>
      <c r="C16557" s="502" t="s">
        <v>29703</v>
      </c>
      <c r="D16557" s="503">
        <v>22.73</v>
      </c>
      <c r="E16557" s="503">
        <v>17.73</v>
      </c>
      <c r="F16557" s="503">
        <v>4.6500000000000004</v>
      </c>
      <c r="G16557" s="503">
        <v>0.35</v>
      </c>
      <c r="H16557" s="504">
        <v>230.65</v>
      </c>
      <c r="I16557" s="504">
        <v>203.91</v>
      </c>
      <c r="J16557" s="504">
        <v>22.71</v>
      </c>
      <c r="K16557" s="504">
        <v>4.03</v>
      </c>
      <c r="L16557" s="43">
        <v>10.147382314122305</v>
      </c>
      <c r="M16557" s="43">
        <v>11.500846023688663</v>
      </c>
      <c r="N16557" s="43">
        <v>4.8838709677419354</v>
      </c>
      <c r="O16557" s="43">
        <v>11.503164556962025</v>
      </c>
      <c r="P16557" s="505"/>
      <c r="Q16557" s="505"/>
      <c r="R16557" s="505">
        <v>2</v>
      </c>
    </row>
    <row r="16558" spans="1:18" ht="36">
      <c r="A16558" s="501">
        <v>19</v>
      </c>
      <c r="B16558" s="498" t="s">
        <v>29704</v>
      </c>
      <c r="C16558" s="502" t="s">
        <v>29705</v>
      </c>
      <c r="D16558" s="503">
        <v>2715.44</v>
      </c>
      <c r="E16558" s="503">
        <v>1956.48</v>
      </c>
      <c r="F16558" s="503">
        <v>709.91</v>
      </c>
      <c r="G16558" s="503">
        <v>49.05</v>
      </c>
      <c r="H16558" s="504">
        <v>26368.58</v>
      </c>
      <c r="I16558" s="504">
        <v>22500.48</v>
      </c>
      <c r="J16558" s="504">
        <v>3367.47</v>
      </c>
      <c r="K16558" s="504">
        <v>500.63</v>
      </c>
      <c r="L16558" s="43">
        <v>9.7106104351412661</v>
      </c>
      <c r="M16558" s="43">
        <v>11.500490677134446</v>
      </c>
      <c r="N16558" s="43">
        <v>4.7435167838176673</v>
      </c>
      <c r="O16558" s="43">
        <v>10.206523955147809</v>
      </c>
      <c r="P16558" s="505"/>
      <c r="Q16558" s="505"/>
      <c r="R16558" s="505">
        <v>2</v>
      </c>
    </row>
    <row r="16559" spans="1:18" ht="36">
      <c r="A16559" s="501">
        <v>20</v>
      </c>
      <c r="B16559" s="498" t="s">
        <v>29706</v>
      </c>
      <c r="C16559" s="502" t="s">
        <v>29707</v>
      </c>
      <c r="D16559" s="503">
        <v>35.659999999999997</v>
      </c>
      <c r="E16559" s="503">
        <v>23.34</v>
      </c>
      <c r="F16559" s="503">
        <v>8.98</v>
      </c>
      <c r="G16559" s="503">
        <v>3.34</v>
      </c>
      <c r="H16559" s="504">
        <v>328.48</v>
      </c>
      <c r="I16559" s="504">
        <v>268.37</v>
      </c>
      <c r="J16559" s="504">
        <v>44.1</v>
      </c>
      <c r="K16559" s="504">
        <v>16.010000000000002</v>
      </c>
      <c r="L16559" s="43">
        <v>9.2114413909141906</v>
      </c>
      <c r="M16559" s="43">
        <v>11.498286203941731</v>
      </c>
      <c r="N16559" s="43">
        <v>4.9109131403118038</v>
      </c>
      <c r="O16559" s="43">
        <v>4.793413173652695</v>
      </c>
      <c r="P16559" s="505"/>
      <c r="Q16559" s="505"/>
      <c r="R16559" s="505">
        <v>2</v>
      </c>
    </row>
    <row r="16560" spans="1:18" ht="36">
      <c r="A16560" s="501">
        <v>21</v>
      </c>
      <c r="B16560" s="498" t="s">
        <v>29708</v>
      </c>
      <c r="C16560" s="502" t="s">
        <v>29709</v>
      </c>
      <c r="D16560" s="503">
        <v>1160.55</v>
      </c>
      <c r="E16560" s="503">
        <v>777.5</v>
      </c>
      <c r="F16560" s="503">
        <v>352.79</v>
      </c>
      <c r="G16560" s="503">
        <v>30.26</v>
      </c>
      <c r="H16560" s="504">
        <v>10935.21</v>
      </c>
      <c r="I16560" s="504">
        <v>8941.6</v>
      </c>
      <c r="J16560" s="504">
        <v>1758.52</v>
      </c>
      <c r="K16560" s="504">
        <v>235.09</v>
      </c>
      <c r="L16560" s="43">
        <v>9.4224376373271284</v>
      </c>
      <c r="M16560" s="43">
        <v>11.500450160771704</v>
      </c>
      <c r="N16560" s="43">
        <v>4.9846084072677792</v>
      </c>
      <c r="O16560" s="43">
        <v>7.7690019828155981</v>
      </c>
      <c r="P16560" s="505"/>
      <c r="Q16560" s="505"/>
      <c r="R16560" s="505">
        <v>2</v>
      </c>
    </row>
    <row r="16561" spans="1:18" ht="36">
      <c r="A16561" s="501">
        <v>22</v>
      </c>
      <c r="B16561" s="498" t="s">
        <v>29710</v>
      </c>
      <c r="C16561" s="502" t="s">
        <v>29711</v>
      </c>
      <c r="D16561" s="503">
        <v>63.25</v>
      </c>
      <c r="E16561" s="503">
        <v>34.44</v>
      </c>
      <c r="F16561" s="503">
        <v>27.82</v>
      </c>
      <c r="G16561" s="503">
        <v>0.99</v>
      </c>
      <c r="H16561" s="504">
        <v>545.01</v>
      </c>
      <c r="I16561" s="504">
        <v>396.1</v>
      </c>
      <c r="J16561" s="504">
        <v>139.1</v>
      </c>
      <c r="K16561" s="504">
        <v>9.81</v>
      </c>
      <c r="L16561" s="43">
        <v>8.6167588932806325</v>
      </c>
      <c r="M16561" s="43">
        <v>11.501161440185832</v>
      </c>
      <c r="N16561" s="43">
        <v>5</v>
      </c>
      <c r="O16561" s="43">
        <v>9.9090909090909101</v>
      </c>
      <c r="P16561" s="505"/>
      <c r="Q16561" s="505"/>
      <c r="R16561" s="505">
        <v>2</v>
      </c>
    </row>
    <row r="16562" spans="1:18" ht="24">
      <c r="A16562" s="501">
        <v>23</v>
      </c>
      <c r="B16562" s="498" t="s">
        <v>29712</v>
      </c>
      <c r="C16562" s="502" t="s">
        <v>29713</v>
      </c>
      <c r="D16562" s="503">
        <v>3291.99</v>
      </c>
      <c r="E16562" s="503">
        <v>2109.33</v>
      </c>
      <c r="F16562" s="503">
        <v>851.19</v>
      </c>
      <c r="G16562" s="503">
        <v>331.47</v>
      </c>
      <c r="H16562" s="504">
        <v>29956.11</v>
      </c>
      <c r="I16562" s="504">
        <v>24258.33</v>
      </c>
      <c r="J16562" s="504">
        <v>4131.24</v>
      </c>
      <c r="K16562" s="504">
        <v>1566.54</v>
      </c>
      <c r="L16562" s="43">
        <v>9.0996965361377171</v>
      </c>
      <c r="M16562" s="43">
        <v>11.500490677134447</v>
      </c>
      <c r="N16562" s="43">
        <v>4.8534874704825004</v>
      </c>
      <c r="O16562" s="43">
        <v>4.7260385555253865</v>
      </c>
      <c r="P16562" s="505"/>
      <c r="Q16562" s="505"/>
      <c r="R16562" s="505">
        <v>2</v>
      </c>
    </row>
    <row r="16563" spans="1:18" ht="24">
      <c r="A16563" s="501">
        <v>24</v>
      </c>
      <c r="B16563" s="498" t="s">
        <v>29714</v>
      </c>
      <c r="C16563" s="502" t="s">
        <v>29715</v>
      </c>
      <c r="D16563" s="503">
        <v>35.119999999999997</v>
      </c>
      <c r="E16563" s="503">
        <v>23.34</v>
      </c>
      <c r="F16563" s="503">
        <v>8.44</v>
      </c>
      <c r="G16563" s="503">
        <v>3.34</v>
      </c>
      <c r="H16563" s="504">
        <v>326.20999999999998</v>
      </c>
      <c r="I16563" s="504">
        <v>268.37</v>
      </c>
      <c r="J16563" s="504">
        <v>41.83</v>
      </c>
      <c r="K16563" s="504">
        <v>16.010000000000002</v>
      </c>
      <c r="L16563" s="43">
        <v>9.2884396355353083</v>
      </c>
      <c r="M16563" s="43">
        <v>11.498286203941731</v>
      </c>
      <c r="N16563" s="43">
        <v>4.9561611374407581</v>
      </c>
      <c r="O16563" s="43">
        <v>4.793413173652695</v>
      </c>
      <c r="P16563" s="505"/>
      <c r="Q16563" s="505"/>
      <c r="R16563" s="505">
        <v>2</v>
      </c>
    </row>
    <row r="16564" spans="1:18" ht="24">
      <c r="A16564" s="501">
        <v>25</v>
      </c>
      <c r="B16564" s="498" t="s">
        <v>29716</v>
      </c>
      <c r="C16564" s="502" t="s">
        <v>29717</v>
      </c>
      <c r="D16564" s="503">
        <v>4808.05</v>
      </c>
      <c r="E16564" s="503">
        <v>3040.95</v>
      </c>
      <c r="F16564" s="503">
        <v>1520.41</v>
      </c>
      <c r="G16564" s="503">
        <v>246.69</v>
      </c>
      <c r="H16564" s="504">
        <v>44456.58</v>
      </c>
      <c r="I16564" s="504">
        <v>34972.379999999997</v>
      </c>
      <c r="J16564" s="504">
        <v>7721.56</v>
      </c>
      <c r="K16564" s="504">
        <v>1762.64</v>
      </c>
      <c r="L16564" s="43">
        <v>9.2462807167146757</v>
      </c>
      <c r="M16564" s="43">
        <v>11.500478468899521</v>
      </c>
      <c r="N16564" s="43">
        <v>5.0786037976598415</v>
      </c>
      <c r="O16564" s="43">
        <v>7.1451619441404199</v>
      </c>
      <c r="P16564" s="505"/>
      <c r="Q16564" s="505"/>
      <c r="R16564" s="505">
        <v>2</v>
      </c>
    </row>
    <row r="16565" spans="1:18" ht="12.75" customHeight="1">
      <c r="A16565" s="628" t="s">
        <v>29718</v>
      </c>
      <c r="B16565" s="629"/>
      <c r="C16565" s="629"/>
      <c r="D16565" s="629"/>
      <c r="E16565" s="629"/>
      <c r="F16565" s="629"/>
      <c r="G16565" s="629"/>
      <c r="H16565" s="629"/>
      <c r="I16565" s="629"/>
      <c r="J16565" s="629"/>
      <c r="K16565" s="629"/>
      <c r="L16565" s="629"/>
      <c r="M16565" s="629"/>
      <c r="N16565" s="629"/>
      <c r="O16565" s="629"/>
      <c r="P16565" s="629"/>
      <c r="Q16565" s="629"/>
      <c r="R16565" s="629"/>
    </row>
    <row r="16566" spans="1:18" ht="36">
      <c r="A16566" s="501">
        <v>26</v>
      </c>
      <c r="B16566" s="498" t="s">
        <v>29719</v>
      </c>
      <c r="C16566" s="502" t="s">
        <v>29720</v>
      </c>
      <c r="D16566" s="503">
        <v>2679.77</v>
      </c>
      <c r="E16566" s="503">
        <v>1608.16</v>
      </c>
      <c r="F16566" s="503">
        <v>608.79</v>
      </c>
      <c r="G16566" s="503">
        <v>462.82</v>
      </c>
      <c r="H16566" s="504">
        <v>23329.65</v>
      </c>
      <c r="I16566" s="504">
        <v>18493.84</v>
      </c>
      <c r="J16566" s="504">
        <v>2872.55</v>
      </c>
      <c r="K16566" s="504">
        <v>1963.26</v>
      </c>
      <c r="L16566" s="43">
        <v>8.7058404266037765</v>
      </c>
      <c r="M16566" s="43">
        <v>11.5</v>
      </c>
      <c r="N16566" s="43">
        <v>4.7184579247359526</v>
      </c>
      <c r="O16566" s="43">
        <v>4.2419515146277167</v>
      </c>
      <c r="P16566" s="505"/>
      <c r="Q16566" s="505"/>
      <c r="R16566" s="505">
        <v>3</v>
      </c>
    </row>
    <row r="16567" spans="1:18" ht="24">
      <c r="A16567" s="501">
        <v>27</v>
      </c>
      <c r="B16567" s="498" t="s">
        <v>29721</v>
      </c>
      <c r="C16567" s="502" t="s">
        <v>29722</v>
      </c>
      <c r="D16567" s="503">
        <v>11.95</v>
      </c>
      <c r="E16567" s="503">
        <v>11.11</v>
      </c>
      <c r="F16567" s="503">
        <v>0.62</v>
      </c>
      <c r="G16567" s="503">
        <v>0.22</v>
      </c>
      <c r="H16567" s="504">
        <v>132.88</v>
      </c>
      <c r="I16567" s="504">
        <v>127.75</v>
      </c>
      <c r="J16567" s="504">
        <v>2.6</v>
      </c>
      <c r="K16567" s="504">
        <v>2.5299999999999998</v>
      </c>
      <c r="L16567" s="43">
        <v>11.119665271966527</v>
      </c>
      <c r="M16567" s="43">
        <v>11.498649864986499</v>
      </c>
      <c r="N16567" s="43">
        <v>4.193548387096774</v>
      </c>
      <c r="O16567" s="43">
        <v>11.499999999999998</v>
      </c>
      <c r="P16567" s="505"/>
      <c r="Q16567" s="505"/>
      <c r="R16567" s="505">
        <v>3</v>
      </c>
    </row>
    <row r="16568" spans="1:18" ht="36">
      <c r="A16568" s="501">
        <v>28</v>
      </c>
      <c r="B16568" s="498" t="s">
        <v>29723</v>
      </c>
      <c r="C16568" s="502" t="s">
        <v>29724</v>
      </c>
      <c r="D16568" s="503">
        <v>3958.74</v>
      </c>
      <c r="E16568" s="503">
        <v>2727.45</v>
      </c>
      <c r="F16568" s="503">
        <v>738.14</v>
      </c>
      <c r="G16568" s="503">
        <v>493.15</v>
      </c>
      <c r="H16568" s="504">
        <v>37178.06</v>
      </c>
      <c r="I16568" s="504">
        <v>31366.98</v>
      </c>
      <c r="J16568" s="504">
        <v>3520.74</v>
      </c>
      <c r="K16568" s="504">
        <v>2290.34</v>
      </c>
      <c r="L16568" s="43">
        <v>9.3913871585403434</v>
      </c>
      <c r="M16568" s="43">
        <v>11.500478468899523</v>
      </c>
      <c r="N16568" s="43">
        <v>4.7697455767198633</v>
      </c>
      <c r="O16568" s="43">
        <v>4.6443070059819531</v>
      </c>
      <c r="P16568" s="505"/>
      <c r="Q16568" s="505"/>
      <c r="R16568" s="505">
        <v>3</v>
      </c>
    </row>
    <row r="16569" spans="1:18" ht="24">
      <c r="A16569" s="501">
        <v>29</v>
      </c>
      <c r="B16569" s="498" t="s">
        <v>29725</v>
      </c>
      <c r="C16569" s="502" t="s">
        <v>29726</v>
      </c>
      <c r="D16569" s="503">
        <v>12.73</v>
      </c>
      <c r="E16569" s="503">
        <v>10.97</v>
      </c>
      <c r="F16569" s="503">
        <v>1.54</v>
      </c>
      <c r="G16569" s="503">
        <v>0.22</v>
      </c>
      <c r="H16569" s="504">
        <v>135.22</v>
      </c>
      <c r="I16569" s="504">
        <v>126.19</v>
      </c>
      <c r="J16569" s="504">
        <v>6.5</v>
      </c>
      <c r="K16569" s="504">
        <v>2.5299999999999998</v>
      </c>
      <c r="L16569" s="43">
        <v>10.62215239591516</v>
      </c>
      <c r="M16569" s="43">
        <v>11.503190519598904</v>
      </c>
      <c r="N16569" s="43">
        <v>4.220779220779221</v>
      </c>
      <c r="O16569" s="43">
        <v>11.499999999999998</v>
      </c>
      <c r="P16569" s="505"/>
      <c r="Q16569" s="505"/>
      <c r="R16569" s="505">
        <v>3</v>
      </c>
    </row>
    <row r="16570" spans="1:18" ht="24">
      <c r="A16570" s="501">
        <v>30</v>
      </c>
      <c r="B16570" s="498" t="s">
        <v>29727</v>
      </c>
      <c r="C16570" s="502" t="s">
        <v>29728</v>
      </c>
      <c r="D16570" s="503">
        <v>4079.16</v>
      </c>
      <c r="E16570" s="503">
        <v>2863.3</v>
      </c>
      <c r="F16570" s="503">
        <v>864.92</v>
      </c>
      <c r="G16570" s="503">
        <v>350.94</v>
      </c>
      <c r="H16570" s="504">
        <v>38862.720000000001</v>
      </c>
      <c r="I16570" s="504">
        <v>32929.32</v>
      </c>
      <c r="J16570" s="504">
        <v>4154.99</v>
      </c>
      <c r="K16570" s="504">
        <v>1778.41</v>
      </c>
      <c r="L16570" s="43">
        <v>9.5271379401641525</v>
      </c>
      <c r="M16570" s="43">
        <v>11.500478468899521</v>
      </c>
      <c r="N16570" s="43">
        <v>4.8039009388151506</v>
      </c>
      <c r="O16570" s="43">
        <v>5.0675614065082355</v>
      </c>
      <c r="P16570" s="505"/>
      <c r="Q16570" s="505"/>
      <c r="R16570" s="505">
        <v>3</v>
      </c>
    </row>
    <row r="16571" spans="1:18" ht="24">
      <c r="A16571" s="501">
        <v>31</v>
      </c>
      <c r="B16571" s="498" t="s">
        <v>29729</v>
      </c>
      <c r="C16571" s="502" t="s">
        <v>29730</v>
      </c>
      <c r="D16571" s="503">
        <v>14.87</v>
      </c>
      <c r="E16571" s="503">
        <v>11.91</v>
      </c>
      <c r="F16571" s="503">
        <v>2.72</v>
      </c>
      <c r="G16571" s="503">
        <v>0.24</v>
      </c>
      <c r="H16571" s="504">
        <v>154.36000000000001</v>
      </c>
      <c r="I16571" s="504">
        <v>137.01</v>
      </c>
      <c r="J16571" s="504">
        <v>14.59</v>
      </c>
      <c r="K16571" s="504">
        <v>2.76</v>
      </c>
      <c r="L16571" s="43">
        <v>10.380632145258913</v>
      </c>
      <c r="M16571" s="43">
        <v>11.503778337531486</v>
      </c>
      <c r="N16571" s="43">
        <v>5.3639705882352935</v>
      </c>
      <c r="O16571" s="43">
        <v>11.5</v>
      </c>
      <c r="P16571" s="505"/>
      <c r="Q16571" s="505"/>
      <c r="R16571" s="505">
        <v>3</v>
      </c>
    </row>
    <row r="16572" spans="1:18" ht="36">
      <c r="A16572" s="501">
        <v>32</v>
      </c>
      <c r="B16572" s="498" t="s">
        <v>29731</v>
      </c>
      <c r="C16572" s="502" t="s">
        <v>29732</v>
      </c>
      <c r="D16572" s="503">
        <v>2420.7800000000002</v>
      </c>
      <c r="E16572" s="503">
        <v>1828.75</v>
      </c>
      <c r="F16572" s="503">
        <v>419.46</v>
      </c>
      <c r="G16572" s="503">
        <v>172.57</v>
      </c>
      <c r="H16572" s="504">
        <v>23996.68</v>
      </c>
      <c r="I16572" s="504">
        <v>21031.5</v>
      </c>
      <c r="J16572" s="504">
        <v>1993.41</v>
      </c>
      <c r="K16572" s="504">
        <v>971.77</v>
      </c>
      <c r="L16572" s="43">
        <v>9.9127884400895567</v>
      </c>
      <c r="M16572" s="43">
        <v>11.500478468899521</v>
      </c>
      <c r="N16572" s="43">
        <v>4.7523244171077099</v>
      </c>
      <c r="O16572" s="43">
        <v>5.6311641652662692</v>
      </c>
      <c r="P16572" s="505"/>
      <c r="Q16572" s="505"/>
      <c r="R16572" s="505">
        <v>3</v>
      </c>
    </row>
    <row r="16573" spans="1:18" ht="24">
      <c r="A16573" s="501">
        <v>33</v>
      </c>
      <c r="B16573" s="498" t="s">
        <v>29733</v>
      </c>
      <c r="C16573" s="502" t="s">
        <v>29734</v>
      </c>
      <c r="D16573" s="503">
        <v>18.59</v>
      </c>
      <c r="E16573" s="503">
        <v>11.91</v>
      </c>
      <c r="F16573" s="503">
        <v>4.43</v>
      </c>
      <c r="G16573" s="503">
        <v>2.25</v>
      </c>
      <c r="H16573" s="504">
        <v>170.67</v>
      </c>
      <c r="I16573" s="504">
        <v>137.01</v>
      </c>
      <c r="J16573" s="504">
        <v>22.54</v>
      </c>
      <c r="K16573" s="504">
        <v>11.12</v>
      </c>
      <c r="L16573" s="43">
        <v>9.1807423345884871</v>
      </c>
      <c r="M16573" s="43">
        <v>11.503778337531486</v>
      </c>
      <c r="N16573" s="43">
        <v>5.0880361173814901</v>
      </c>
      <c r="O16573" s="43">
        <v>4.9422222222222221</v>
      </c>
      <c r="P16573" s="505"/>
      <c r="Q16573" s="505"/>
      <c r="R16573" s="505">
        <v>3</v>
      </c>
    </row>
    <row r="16574" spans="1:18" ht="24">
      <c r="A16574" s="501">
        <v>34</v>
      </c>
      <c r="B16574" s="498" t="s">
        <v>29735</v>
      </c>
      <c r="C16574" s="502" t="s">
        <v>29736</v>
      </c>
      <c r="D16574" s="503">
        <v>1950.08</v>
      </c>
      <c r="E16574" s="503">
        <v>977.22</v>
      </c>
      <c r="F16574" s="503">
        <v>790.97</v>
      </c>
      <c r="G16574" s="503">
        <v>181.89</v>
      </c>
      <c r="H16574" s="504">
        <v>15755.79</v>
      </c>
      <c r="I16574" s="504">
        <v>11238.52</v>
      </c>
      <c r="J16574" s="504">
        <v>3641.03</v>
      </c>
      <c r="K16574" s="504">
        <v>876.24</v>
      </c>
      <c r="L16574" s="43">
        <v>8.0795608385297015</v>
      </c>
      <c r="M16574" s="43">
        <v>11.500501422402325</v>
      </c>
      <c r="N16574" s="43">
        <v>4.6032466465226243</v>
      </c>
      <c r="O16574" s="43">
        <v>4.8174171202375069</v>
      </c>
      <c r="P16574" s="505"/>
      <c r="Q16574" s="505"/>
      <c r="R16574" s="505">
        <v>3</v>
      </c>
    </row>
    <row r="16575" spans="1:18" ht="24">
      <c r="A16575" s="501">
        <v>35</v>
      </c>
      <c r="B16575" s="498" t="s">
        <v>29737</v>
      </c>
      <c r="C16575" s="502" t="s">
        <v>29738</v>
      </c>
      <c r="D16575" s="503">
        <v>2170.34</v>
      </c>
      <c r="E16575" s="503">
        <v>1528.5</v>
      </c>
      <c r="F16575" s="503">
        <v>400.48</v>
      </c>
      <c r="G16575" s="503">
        <v>241.36</v>
      </c>
      <c r="H16575" s="504">
        <v>20685.2</v>
      </c>
      <c r="I16575" s="504">
        <v>17578.5</v>
      </c>
      <c r="J16575" s="504">
        <v>1925.51</v>
      </c>
      <c r="K16575" s="504">
        <v>1181.19</v>
      </c>
      <c r="L16575" s="43">
        <v>9.5308569164278403</v>
      </c>
      <c r="M16575" s="43">
        <v>11.500490677134446</v>
      </c>
      <c r="N16575" s="43">
        <v>4.8080053935277665</v>
      </c>
      <c r="O16575" s="43">
        <v>4.8938929400066291</v>
      </c>
      <c r="P16575" s="505"/>
      <c r="Q16575" s="505"/>
      <c r="R16575" s="505">
        <v>3</v>
      </c>
    </row>
    <row r="16576" spans="1:18" ht="24">
      <c r="A16576" s="501">
        <v>36</v>
      </c>
      <c r="B16576" s="498" t="s">
        <v>29739</v>
      </c>
      <c r="C16576" s="502" t="s">
        <v>29740</v>
      </c>
      <c r="D16576" s="503">
        <v>2742.96</v>
      </c>
      <c r="E16576" s="503">
        <v>1536.15</v>
      </c>
      <c r="F16576" s="503">
        <v>799.54</v>
      </c>
      <c r="G16576" s="503">
        <v>407.27</v>
      </c>
      <c r="H16576" s="504">
        <v>23505.22</v>
      </c>
      <c r="I16576" s="504">
        <v>17666.46</v>
      </c>
      <c r="J16576" s="504">
        <v>3946.04</v>
      </c>
      <c r="K16576" s="504">
        <v>1892.72</v>
      </c>
      <c r="L16576" s="43">
        <v>8.5692901099542098</v>
      </c>
      <c r="M16576" s="43">
        <v>11.500478468899519</v>
      </c>
      <c r="N16576" s="43">
        <v>4.9353878480126072</v>
      </c>
      <c r="O16576" s="43">
        <v>4.6473346919733842</v>
      </c>
      <c r="P16576" s="505"/>
      <c r="Q16576" s="505"/>
      <c r="R16576" s="505">
        <v>3</v>
      </c>
    </row>
    <row r="16577" spans="1:18" ht="24">
      <c r="A16577" s="501">
        <v>37</v>
      </c>
      <c r="B16577" s="498" t="s">
        <v>29741</v>
      </c>
      <c r="C16577" s="502" t="s">
        <v>29742</v>
      </c>
      <c r="D16577" s="503">
        <v>15.65</v>
      </c>
      <c r="E16577" s="503">
        <v>11.91</v>
      </c>
      <c r="F16577" s="503">
        <v>3.49</v>
      </c>
      <c r="G16577" s="503">
        <v>0.25</v>
      </c>
      <c r="H16577" s="504">
        <v>157.66999999999999</v>
      </c>
      <c r="I16577" s="504">
        <v>137.01</v>
      </c>
      <c r="J16577" s="504">
        <v>17.84</v>
      </c>
      <c r="K16577" s="504">
        <v>2.82</v>
      </c>
      <c r="L16577" s="43">
        <v>10.074760383386581</v>
      </c>
      <c r="M16577" s="43">
        <v>11.503778337531486</v>
      </c>
      <c r="N16577" s="43">
        <v>5.1117478510028649</v>
      </c>
      <c r="O16577" s="43">
        <v>11.28</v>
      </c>
      <c r="P16577" s="505"/>
      <c r="Q16577" s="505"/>
      <c r="R16577" s="505">
        <v>3</v>
      </c>
    </row>
    <row r="16578" spans="1:18" ht="24">
      <c r="A16578" s="501">
        <v>38</v>
      </c>
      <c r="B16578" s="498" t="s">
        <v>29743</v>
      </c>
      <c r="C16578" s="502" t="s">
        <v>29744</v>
      </c>
      <c r="D16578" s="503">
        <v>6587.15</v>
      </c>
      <c r="E16578" s="503">
        <v>3929.2</v>
      </c>
      <c r="F16578" s="503">
        <v>1858.55</v>
      </c>
      <c r="G16578" s="503">
        <v>799.4</v>
      </c>
      <c r="H16578" s="504">
        <v>59257.57</v>
      </c>
      <c r="I16578" s="504">
        <v>45187.68</v>
      </c>
      <c r="J16578" s="504">
        <v>9404.18</v>
      </c>
      <c r="K16578" s="504">
        <v>4665.71</v>
      </c>
      <c r="L16578" s="43">
        <v>8.9959345088543614</v>
      </c>
      <c r="M16578" s="43">
        <v>11.500478468899523</v>
      </c>
      <c r="N16578" s="43">
        <v>5.0599553415296876</v>
      </c>
      <c r="O16578" s="43">
        <v>5.8365148861646237</v>
      </c>
      <c r="P16578" s="505"/>
      <c r="Q16578" s="505"/>
      <c r="R16578" s="505">
        <v>3</v>
      </c>
    </row>
    <row r="16579" spans="1:18" ht="24">
      <c r="A16579" s="501">
        <v>39</v>
      </c>
      <c r="B16579" s="498" t="s">
        <v>29745</v>
      </c>
      <c r="C16579" s="502" t="s">
        <v>29746</v>
      </c>
      <c r="D16579" s="503">
        <v>11617.95</v>
      </c>
      <c r="E16579" s="503">
        <v>7116.45</v>
      </c>
      <c r="F16579" s="503">
        <v>3211.6</v>
      </c>
      <c r="G16579" s="503">
        <v>1289.9000000000001</v>
      </c>
      <c r="H16579" s="504">
        <v>105466.18</v>
      </c>
      <c r="I16579" s="504">
        <v>81842.58</v>
      </c>
      <c r="J16579" s="504">
        <v>16194.18</v>
      </c>
      <c r="K16579" s="504">
        <v>7429.42</v>
      </c>
      <c r="L16579" s="43">
        <v>9.0778648556759141</v>
      </c>
      <c r="M16579" s="43">
        <v>11.500478468899521</v>
      </c>
      <c r="N16579" s="43">
        <v>5.042402540789638</v>
      </c>
      <c r="O16579" s="43">
        <v>5.7596867974261565</v>
      </c>
      <c r="P16579" s="505"/>
      <c r="Q16579" s="505"/>
      <c r="R16579" s="505">
        <v>3</v>
      </c>
    </row>
    <row r="16580" spans="1:18" ht="24">
      <c r="A16580" s="501">
        <v>40</v>
      </c>
      <c r="B16580" s="498" t="s">
        <v>29747</v>
      </c>
      <c r="C16580" s="502" t="s">
        <v>29748</v>
      </c>
      <c r="D16580" s="503">
        <v>16401.63</v>
      </c>
      <c r="E16580" s="503">
        <v>10042.450000000001</v>
      </c>
      <c r="F16580" s="503">
        <v>4617.25</v>
      </c>
      <c r="G16580" s="503">
        <v>1741.93</v>
      </c>
      <c r="H16580" s="504">
        <v>148707.01999999999</v>
      </c>
      <c r="I16580" s="504">
        <v>115492.98</v>
      </c>
      <c r="J16580" s="504">
        <v>23312.78</v>
      </c>
      <c r="K16580" s="504">
        <v>9901.26</v>
      </c>
      <c r="L16580" s="43">
        <v>9.0666000879180899</v>
      </c>
      <c r="M16580" s="43">
        <v>11.500478468899519</v>
      </c>
      <c r="N16580" s="43">
        <v>5.0490616709080074</v>
      </c>
      <c r="O16580" s="43">
        <v>5.6840745609754695</v>
      </c>
      <c r="P16580" s="505"/>
      <c r="Q16580" s="505"/>
      <c r="R16580" s="505">
        <v>3</v>
      </c>
    </row>
    <row r="16581" spans="1:18" ht="24">
      <c r="A16581" s="501">
        <v>41</v>
      </c>
      <c r="B16581" s="498" t="s">
        <v>29749</v>
      </c>
      <c r="C16581" s="502" t="s">
        <v>29750</v>
      </c>
      <c r="D16581" s="503">
        <v>2068.0700000000002</v>
      </c>
      <c r="E16581" s="503">
        <v>484.01</v>
      </c>
      <c r="F16581" s="503">
        <v>1301.18</v>
      </c>
      <c r="G16581" s="503">
        <v>282.88</v>
      </c>
      <c r="H16581" s="504">
        <v>13810.19</v>
      </c>
      <c r="I16581" s="504">
        <v>5566.09</v>
      </c>
      <c r="J16581" s="504">
        <v>7001.5</v>
      </c>
      <c r="K16581" s="504">
        <v>1242.5999999999999</v>
      </c>
      <c r="L16581" s="43">
        <v>6.6778155478296188</v>
      </c>
      <c r="M16581" s="43">
        <v>11.499948348174625</v>
      </c>
      <c r="N16581" s="43">
        <v>5.3808850428072974</v>
      </c>
      <c r="O16581" s="43">
        <v>4.3926753393665159</v>
      </c>
      <c r="P16581" s="505"/>
      <c r="Q16581" s="505"/>
      <c r="R16581" s="505">
        <v>3</v>
      </c>
    </row>
    <row r="16582" spans="1:18" ht="24">
      <c r="A16582" s="501">
        <v>42</v>
      </c>
      <c r="B16582" s="498" t="s">
        <v>29751</v>
      </c>
      <c r="C16582" s="502" t="s">
        <v>29752</v>
      </c>
      <c r="D16582" s="503">
        <v>3954.44</v>
      </c>
      <c r="E16582" s="503">
        <v>899.9</v>
      </c>
      <c r="F16582" s="503">
        <v>2735.39</v>
      </c>
      <c r="G16582" s="503">
        <v>319.14999999999998</v>
      </c>
      <c r="H16582" s="504">
        <v>26468.3</v>
      </c>
      <c r="I16582" s="504">
        <v>10348.9</v>
      </c>
      <c r="J16582" s="504">
        <v>14727.04</v>
      </c>
      <c r="K16582" s="504">
        <v>1392.36</v>
      </c>
      <c r="L16582" s="43">
        <v>6.6933118216485772</v>
      </c>
      <c r="M16582" s="43">
        <v>11.500055561729081</v>
      </c>
      <c r="N16582" s="43">
        <v>5.383890414163977</v>
      </c>
      <c r="O16582" s="43">
        <v>4.3627134576218083</v>
      </c>
      <c r="P16582" s="505"/>
      <c r="Q16582" s="505"/>
      <c r="R16582" s="505">
        <v>3</v>
      </c>
    </row>
    <row r="16583" spans="1:18" ht="24">
      <c r="A16583" s="501">
        <v>43</v>
      </c>
      <c r="B16583" s="498" t="s">
        <v>29753</v>
      </c>
      <c r="C16583" s="502" t="s">
        <v>29754</v>
      </c>
      <c r="D16583" s="503">
        <v>3286.52</v>
      </c>
      <c r="E16583" s="503">
        <v>1207.44</v>
      </c>
      <c r="F16583" s="503">
        <v>1738.46</v>
      </c>
      <c r="G16583" s="503">
        <v>340.62</v>
      </c>
      <c r="H16583" s="504">
        <v>24566.18</v>
      </c>
      <c r="I16583" s="504">
        <v>13885.56</v>
      </c>
      <c r="J16583" s="504">
        <v>9111.69</v>
      </c>
      <c r="K16583" s="504">
        <v>1568.93</v>
      </c>
      <c r="L16583" s="43">
        <v>7.4748305198203573</v>
      </c>
      <c r="M16583" s="43">
        <v>11.499999999999998</v>
      </c>
      <c r="N16583" s="43">
        <v>5.2412422488869463</v>
      </c>
      <c r="O16583" s="43">
        <v>4.6061006400093945</v>
      </c>
      <c r="P16583" s="505"/>
      <c r="Q16583" s="505"/>
      <c r="R16583" s="505">
        <v>3</v>
      </c>
    </row>
    <row r="16584" spans="1:18" ht="12.75" customHeight="1">
      <c r="A16584" s="628" t="s">
        <v>29755</v>
      </c>
      <c r="B16584" s="629"/>
      <c r="C16584" s="629"/>
      <c r="D16584" s="629"/>
      <c r="E16584" s="629"/>
      <c r="F16584" s="629"/>
      <c r="G16584" s="629"/>
      <c r="H16584" s="629"/>
      <c r="I16584" s="629"/>
      <c r="J16584" s="629"/>
      <c r="K16584" s="629"/>
      <c r="L16584" s="629"/>
      <c r="M16584" s="629"/>
      <c r="N16584" s="629"/>
      <c r="O16584" s="629"/>
      <c r="P16584" s="629"/>
      <c r="Q16584" s="629"/>
      <c r="R16584" s="629"/>
    </row>
    <row r="16585" spans="1:18" ht="24">
      <c r="A16585" s="501">
        <v>44</v>
      </c>
      <c r="B16585" s="498" t="s">
        <v>29756</v>
      </c>
      <c r="C16585" s="502" t="s">
        <v>29757</v>
      </c>
      <c r="D16585" s="503">
        <v>617.64</v>
      </c>
      <c r="E16585" s="503">
        <v>421.87</v>
      </c>
      <c r="F16585" s="503">
        <v>141.12</v>
      </c>
      <c r="G16585" s="503">
        <v>54.65</v>
      </c>
      <c r="H16585" s="504">
        <v>5869.59</v>
      </c>
      <c r="I16585" s="504">
        <v>4851.67</v>
      </c>
      <c r="J16585" s="504">
        <v>733.79</v>
      </c>
      <c r="K16585" s="504">
        <v>284.13</v>
      </c>
      <c r="L16585" s="43">
        <v>9.5032543229065478</v>
      </c>
      <c r="M16585" s="43">
        <v>11.500391115746558</v>
      </c>
      <c r="N16585" s="43">
        <v>5.1997590702947845</v>
      </c>
      <c r="O16585" s="43">
        <v>5.1990850869167433</v>
      </c>
      <c r="P16585" s="505"/>
      <c r="Q16585" s="505"/>
      <c r="R16585" s="505">
        <v>4</v>
      </c>
    </row>
    <row r="16586" spans="1:18" ht="24">
      <c r="A16586" s="501">
        <v>45</v>
      </c>
      <c r="B16586" s="498" t="s">
        <v>29758</v>
      </c>
      <c r="C16586" s="502" t="s">
        <v>29759</v>
      </c>
      <c r="D16586" s="503">
        <v>639.92999999999995</v>
      </c>
      <c r="E16586" s="503">
        <v>399.45</v>
      </c>
      <c r="F16586" s="503">
        <v>176.72</v>
      </c>
      <c r="G16586" s="503">
        <v>63.76</v>
      </c>
      <c r="H16586" s="504">
        <v>5847.22</v>
      </c>
      <c r="I16586" s="504">
        <v>4593.8500000000004</v>
      </c>
      <c r="J16586" s="504">
        <v>918.6</v>
      </c>
      <c r="K16586" s="504">
        <v>334.77</v>
      </c>
      <c r="L16586" s="43">
        <v>9.1372806400700082</v>
      </c>
      <c r="M16586" s="43">
        <v>11.500438102390788</v>
      </c>
      <c r="N16586" s="43">
        <v>5.1980534178361255</v>
      </c>
      <c r="O16586" s="43">
        <v>5.2504705144291091</v>
      </c>
      <c r="P16586" s="505"/>
      <c r="Q16586" s="505"/>
      <c r="R16586" s="505">
        <v>4</v>
      </c>
    </row>
    <row r="16587" spans="1:18" ht="24">
      <c r="A16587" s="501">
        <v>46</v>
      </c>
      <c r="B16587" s="498" t="s">
        <v>29760</v>
      </c>
      <c r="C16587" s="502" t="s">
        <v>29761</v>
      </c>
      <c r="D16587" s="503">
        <v>1207.92</v>
      </c>
      <c r="E16587" s="503">
        <v>611.4</v>
      </c>
      <c r="F16587" s="503">
        <v>293.61</v>
      </c>
      <c r="G16587" s="503">
        <v>302.91000000000003</v>
      </c>
      <c r="H16587" s="504">
        <v>9843.76</v>
      </c>
      <c r="I16587" s="504">
        <v>7031.4</v>
      </c>
      <c r="J16587" s="504">
        <v>1578.14</v>
      </c>
      <c r="K16587" s="504">
        <v>1234.22</v>
      </c>
      <c r="L16587" s="43">
        <v>8.1493476389164847</v>
      </c>
      <c r="M16587" s="43">
        <v>11.500490677134446</v>
      </c>
      <c r="N16587" s="43">
        <v>5.3749531691699879</v>
      </c>
      <c r="O16587" s="43">
        <v>4.0745435938067409</v>
      </c>
      <c r="P16587" s="505"/>
      <c r="Q16587" s="505"/>
      <c r="R16587" s="505">
        <v>4</v>
      </c>
    </row>
    <row r="16588" spans="1:18" ht="24">
      <c r="A16588" s="501">
        <v>47</v>
      </c>
      <c r="B16588" s="498" t="s">
        <v>29762</v>
      </c>
      <c r="C16588" s="502" t="s">
        <v>29763</v>
      </c>
      <c r="D16588" s="503">
        <v>501.87</v>
      </c>
      <c r="E16588" s="503">
        <v>250.8</v>
      </c>
      <c r="F16588" s="503">
        <v>122.23</v>
      </c>
      <c r="G16588" s="503">
        <v>128.84</v>
      </c>
      <c r="H16588" s="504">
        <v>4066.92</v>
      </c>
      <c r="I16588" s="504">
        <v>2884.32</v>
      </c>
      <c r="J16588" s="504">
        <v>638.19000000000005</v>
      </c>
      <c r="K16588" s="504">
        <v>544.41</v>
      </c>
      <c r="L16588" s="43">
        <v>8.103532787375217</v>
      </c>
      <c r="M16588" s="43">
        <v>11.500478468899521</v>
      </c>
      <c r="N16588" s="43">
        <v>5.2212222858545365</v>
      </c>
      <c r="O16588" s="43">
        <v>4.2254734554486184</v>
      </c>
      <c r="P16588" s="505"/>
      <c r="Q16588" s="505"/>
      <c r="R16588" s="505">
        <v>4</v>
      </c>
    </row>
    <row r="16589" spans="1:18" ht="24">
      <c r="A16589" s="501">
        <v>48</v>
      </c>
      <c r="B16589" s="498" t="s">
        <v>29764</v>
      </c>
      <c r="C16589" s="502" t="s">
        <v>29765</v>
      </c>
      <c r="D16589" s="503">
        <v>372.66</v>
      </c>
      <c r="E16589" s="503">
        <v>204.82</v>
      </c>
      <c r="F16589" s="503">
        <v>86.18</v>
      </c>
      <c r="G16589" s="503">
        <v>81.66</v>
      </c>
      <c r="H16589" s="504">
        <v>3159.62</v>
      </c>
      <c r="I16589" s="504">
        <v>2355.5300000000002</v>
      </c>
      <c r="J16589" s="504">
        <v>451.46</v>
      </c>
      <c r="K16589" s="504">
        <v>352.63</v>
      </c>
      <c r="L16589" s="43">
        <v>8.4785595448934679</v>
      </c>
      <c r="M16589" s="43">
        <v>11.500488233570941</v>
      </c>
      <c r="N16589" s="43">
        <v>5.2385704339753998</v>
      </c>
      <c r="O16589" s="43">
        <v>4.3182708792554498</v>
      </c>
      <c r="P16589" s="505"/>
      <c r="Q16589" s="505"/>
      <c r="R16589" s="505">
        <v>4</v>
      </c>
    </row>
    <row r="16590" spans="1:18" ht="24">
      <c r="A16590" s="501">
        <v>49</v>
      </c>
      <c r="B16590" s="498" t="s">
        <v>29766</v>
      </c>
      <c r="C16590" s="502" t="s">
        <v>29767</v>
      </c>
      <c r="D16590" s="503">
        <v>537.91</v>
      </c>
      <c r="E16590" s="503">
        <v>295.74</v>
      </c>
      <c r="F16590" s="503">
        <v>110.66</v>
      </c>
      <c r="G16590" s="503">
        <v>131.51</v>
      </c>
      <c r="H16590" s="504">
        <v>4551.6099999999997</v>
      </c>
      <c r="I16590" s="504">
        <v>3401.09</v>
      </c>
      <c r="J16590" s="504">
        <v>576.85</v>
      </c>
      <c r="K16590" s="504">
        <v>573.66999999999996</v>
      </c>
      <c r="L16590" s="43">
        <v>8.461657154542582</v>
      </c>
      <c r="M16590" s="43">
        <v>11.500270507878541</v>
      </c>
      <c r="N16590" s="43">
        <v>5.2128140249412622</v>
      </c>
      <c r="O16590" s="43">
        <v>4.3621777811573264</v>
      </c>
      <c r="P16590" s="505"/>
      <c r="Q16590" s="505"/>
      <c r="R16590" s="505">
        <v>4</v>
      </c>
    </row>
    <row r="16591" spans="1:18" ht="12.75" customHeight="1">
      <c r="A16591" s="628" t="s">
        <v>2739</v>
      </c>
      <c r="B16591" s="629"/>
      <c r="C16591" s="629"/>
      <c r="D16591" s="629"/>
      <c r="E16591" s="629"/>
      <c r="F16591" s="629"/>
      <c r="G16591" s="629"/>
      <c r="H16591" s="629"/>
      <c r="I16591" s="629"/>
      <c r="J16591" s="629"/>
      <c r="K16591" s="629"/>
      <c r="L16591" s="629"/>
      <c r="M16591" s="629"/>
      <c r="N16591" s="629"/>
      <c r="O16591" s="629"/>
      <c r="P16591" s="629"/>
      <c r="Q16591" s="629"/>
      <c r="R16591" s="629"/>
    </row>
    <row r="16592" spans="1:18" ht="24">
      <c r="A16592" s="501">
        <v>50</v>
      </c>
      <c r="B16592" s="498" t="s">
        <v>29768</v>
      </c>
      <c r="C16592" s="502" t="s">
        <v>29769</v>
      </c>
      <c r="D16592" s="503">
        <v>539.91999999999996</v>
      </c>
      <c r="E16592" s="503">
        <v>397.9</v>
      </c>
      <c r="F16592" s="503">
        <v>84.49</v>
      </c>
      <c r="G16592" s="503">
        <v>57.53</v>
      </c>
      <c r="H16592" s="504">
        <v>5269.42</v>
      </c>
      <c r="I16592" s="504">
        <v>4575.8</v>
      </c>
      <c r="J16592" s="504">
        <v>415.44</v>
      </c>
      <c r="K16592" s="504">
        <v>278.18</v>
      </c>
      <c r="L16592" s="43">
        <v>9.7596310564528093</v>
      </c>
      <c r="M16592" s="43">
        <v>11.499874340286505</v>
      </c>
      <c r="N16592" s="43">
        <v>4.917031601372944</v>
      </c>
      <c r="O16592" s="43">
        <v>4.8353902311837302</v>
      </c>
      <c r="P16592" s="505"/>
      <c r="Q16592" s="505"/>
      <c r="R16592" s="505">
        <v>5</v>
      </c>
    </row>
    <row r="16593" spans="1:18" ht="24">
      <c r="A16593" s="501">
        <v>51</v>
      </c>
      <c r="B16593" s="498" t="s">
        <v>29770</v>
      </c>
      <c r="C16593" s="502" t="s">
        <v>29771</v>
      </c>
      <c r="D16593" s="503">
        <v>202.94</v>
      </c>
      <c r="E16593" s="503">
        <v>197.66</v>
      </c>
      <c r="F16593" s="503">
        <v>1.0900000000000001</v>
      </c>
      <c r="G16593" s="503">
        <v>4.1900000000000004</v>
      </c>
      <c r="H16593" s="504">
        <v>2326.3000000000002</v>
      </c>
      <c r="I16593" s="504">
        <v>2273.14</v>
      </c>
      <c r="J16593" s="504">
        <v>5.64</v>
      </c>
      <c r="K16593" s="504">
        <v>47.52</v>
      </c>
      <c r="L16593" s="43">
        <v>11.462993988370949</v>
      </c>
      <c r="M16593" s="43">
        <v>11.500252959627643</v>
      </c>
      <c r="N16593" s="43">
        <v>5.1743119266055038</v>
      </c>
      <c r="O16593" s="43">
        <v>11.341288782816228</v>
      </c>
      <c r="P16593" s="505"/>
      <c r="Q16593" s="505"/>
      <c r="R16593" s="505">
        <v>5</v>
      </c>
    </row>
    <row r="16594" spans="1:18" ht="24">
      <c r="A16594" s="501">
        <v>52</v>
      </c>
      <c r="B16594" s="498" t="s">
        <v>29772</v>
      </c>
      <c r="C16594" s="502" t="s">
        <v>29773</v>
      </c>
      <c r="D16594" s="503">
        <v>2559.16</v>
      </c>
      <c r="E16594" s="503">
        <v>692.96</v>
      </c>
      <c r="F16594" s="503">
        <v>1777.16</v>
      </c>
      <c r="G16594" s="503">
        <v>89.04</v>
      </c>
      <c r="H16594" s="504">
        <v>17754.43</v>
      </c>
      <c r="I16594" s="504">
        <v>7969.04</v>
      </c>
      <c r="J16594" s="504">
        <v>9257.93</v>
      </c>
      <c r="K16594" s="504">
        <v>527.46</v>
      </c>
      <c r="L16594" s="43">
        <v>6.9376006189530948</v>
      </c>
      <c r="M16594" s="43">
        <v>11.5</v>
      </c>
      <c r="N16594" s="43">
        <v>5.2093958900718</v>
      </c>
      <c r="O16594" s="43">
        <v>5.9238544474393535</v>
      </c>
      <c r="P16594" s="505"/>
      <c r="Q16594" s="505"/>
      <c r="R16594" s="505">
        <v>5</v>
      </c>
    </row>
    <row r="16595" spans="1:18" ht="24">
      <c r="A16595" s="501">
        <v>53</v>
      </c>
      <c r="B16595" s="498" t="s">
        <v>29774</v>
      </c>
      <c r="C16595" s="502" t="s">
        <v>29775</v>
      </c>
      <c r="D16595" s="503">
        <v>1702.98</v>
      </c>
      <c r="E16595" s="503">
        <v>482.8</v>
      </c>
      <c r="F16595" s="503">
        <v>1148.54</v>
      </c>
      <c r="G16595" s="503">
        <v>71.64</v>
      </c>
      <c r="H16595" s="504">
        <v>11872.78</v>
      </c>
      <c r="I16595" s="504">
        <v>5552.2</v>
      </c>
      <c r="J16595" s="504">
        <v>5957.04</v>
      </c>
      <c r="K16595" s="504">
        <v>363.54</v>
      </c>
      <c r="L16595" s="43">
        <v>6.9717671376058439</v>
      </c>
      <c r="M16595" s="43">
        <v>11.5</v>
      </c>
      <c r="N16595" s="43">
        <v>5.1866195343653683</v>
      </c>
      <c r="O16595" s="43">
        <v>5.074539363484087</v>
      </c>
      <c r="P16595" s="505"/>
      <c r="Q16595" s="505"/>
      <c r="R16595" s="505">
        <v>5</v>
      </c>
    </row>
    <row r="16596" spans="1:18" ht="24">
      <c r="A16596" s="501">
        <v>54</v>
      </c>
      <c r="B16596" s="498" t="s">
        <v>29776</v>
      </c>
      <c r="C16596" s="502" t="s">
        <v>29777</v>
      </c>
      <c r="D16596" s="503">
        <v>565.57000000000005</v>
      </c>
      <c r="E16596" s="503">
        <v>299.48</v>
      </c>
      <c r="F16596" s="503">
        <v>144.53</v>
      </c>
      <c r="G16596" s="503">
        <v>121.56</v>
      </c>
      <c r="H16596" s="504">
        <v>4698.6400000000003</v>
      </c>
      <c r="I16596" s="504">
        <v>3444.17</v>
      </c>
      <c r="J16596" s="504">
        <v>754.29</v>
      </c>
      <c r="K16596" s="504">
        <v>500.18</v>
      </c>
      <c r="L16596" s="43">
        <v>8.3077956751595732</v>
      </c>
      <c r="M16596" s="43">
        <v>11.500500868171496</v>
      </c>
      <c r="N16596" s="43">
        <v>5.2189164879263821</v>
      </c>
      <c r="O16596" s="43">
        <v>4.114675880223758</v>
      </c>
      <c r="P16596" s="505"/>
      <c r="Q16596" s="505"/>
      <c r="R16596" s="505">
        <v>5</v>
      </c>
    </row>
    <row r="16597" spans="1:18" ht="24">
      <c r="A16597" s="501">
        <v>55</v>
      </c>
      <c r="B16597" s="498" t="s">
        <v>29778</v>
      </c>
      <c r="C16597" s="502" t="s">
        <v>29779</v>
      </c>
      <c r="D16597" s="503">
        <v>1512.94</v>
      </c>
      <c r="E16597" s="503">
        <v>817.17</v>
      </c>
      <c r="F16597" s="503">
        <v>352.29</v>
      </c>
      <c r="G16597" s="503">
        <v>343.48</v>
      </c>
      <c r="H16597" s="504">
        <v>12925.99</v>
      </c>
      <c r="I16597" s="504">
        <v>9397.8700000000008</v>
      </c>
      <c r="J16597" s="504">
        <v>1831.24</v>
      </c>
      <c r="K16597" s="504">
        <v>1696.88</v>
      </c>
      <c r="L16597" s="43">
        <v>8.5436236731132755</v>
      </c>
      <c r="M16597" s="43">
        <v>11.500507850263716</v>
      </c>
      <c r="N16597" s="43">
        <v>5.1981038349087401</v>
      </c>
      <c r="O16597" s="43">
        <v>4.9402585303365552</v>
      </c>
      <c r="P16597" s="505"/>
      <c r="Q16597" s="505"/>
      <c r="R16597" s="505">
        <v>5</v>
      </c>
    </row>
    <row r="16598" spans="1:18" ht="24">
      <c r="A16598" s="501">
        <v>56</v>
      </c>
      <c r="B16598" s="498" t="s">
        <v>29780</v>
      </c>
      <c r="C16598" s="502" t="s">
        <v>29781</v>
      </c>
      <c r="D16598" s="503">
        <v>666.83</v>
      </c>
      <c r="E16598" s="503">
        <v>499.82</v>
      </c>
      <c r="F16598" s="503">
        <v>105.73</v>
      </c>
      <c r="G16598" s="503">
        <v>61.28</v>
      </c>
      <c r="H16598" s="504">
        <v>6719.27</v>
      </c>
      <c r="I16598" s="504">
        <v>5748.09</v>
      </c>
      <c r="J16598" s="504">
        <v>544.84</v>
      </c>
      <c r="K16598" s="504">
        <v>426.34</v>
      </c>
      <c r="L16598" s="43">
        <v>10.076436273113087</v>
      </c>
      <c r="M16598" s="43">
        <v>11.500320115241488</v>
      </c>
      <c r="N16598" s="43">
        <v>5.1531258866925187</v>
      </c>
      <c r="O16598" s="43">
        <v>6.9572454308093992</v>
      </c>
      <c r="P16598" s="505"/>
      <c r="Q16598" s="505"/>
      <c r="R16598" s="505">
        <v>5</v>
      </c>
    </row>
    <row r="16599" spans="1:18" ht="24">
      <c r="A16599" s="501">
        <v>57</v>
      </c>
      <c r="B16599" s="498" t="s">
        <v>29782</v>
      </c>
      <c r="C16599" s="502" t="s">
        <v>29783</v>
      </c>
      <c r="D16599" s="503">
        <v>1592.83</v>
      </c>
      <c r="E16599" s="503">
        <v>1203.24</v>
      </c>
      <c r="F16599" s="503">
        <v>290.58</v>
      </c>
      <c r="G16599" s="503">
        <v>99.01</v>
      </c>
      <c r="H16599" s="504">
        <v>16087.9</v>
      </c>
      <c r="I16599" s="504">
        <v>13837.26</v>
      </c>
      <c r="J16599" s="504">
        <v>1479.7</v>
      </c>
      <c r="K16599" s="504">
        <v>770.94</v>
      </c>
      <c r="L16599" s="43">
        <v>10.100199016844233</v>
      </c>
      <c r="M16599" s="43">
        <v>11.5</v>
      </c>
      <c r="N16599" s="43">
        <v>5.0922293344345793</v>
      </c>
      <c r="O16599" s="43">
        <v>7.7864862135137862</v>
      </c>
      <c r="P16599" s="505"/>
      <c r="Q16599" s="505"/>
      <c r="R16599" s="505">
        <v>5</v>
      </c>
    </row>
    <row r="16600" spans="1:18" ht="24">
      <c r="A16600" s="501">
        <v>58</v>
      </c>
      <c r="B16600" s="498" t="s">
        <v>29784</v>
      </c>
      <c r="C16600" s="502" t="s">
        <v>29785</v>
      </c>
      <c r="D16600" s="503">
        <v>4063.07</v>
      </c>
      <c r="E16600" s="503">
        <v>3008.1</v>
      </c>
      <c r="F16600" s="503">
        <v>564.61</v>
      </c>
      <c r="G16600" s="503">
        <v>490.36</v>
      </c>
      <c r="H16600" s="504">
        <v>39939.74</v>
      </c>
      <c r="I16600" s="504">
        <v>34593.15</v>
      </c>
      <c r="J16600" s="504">
        <v>3065.35</v>
      </c>
      <c r="K16600" s="504">
        <v>2281.2399999999998</v>
      </c>
      <c r="L16600" s="43">
        <v>9.8299413989914015</v>
      </c>
      <c r="M16600" s="43">
        <v>11.5</v>
      </c>
      <c r="N16600" s="43">
        <v>5.4291457820442428</v>
      </c>
      <c r="O16600" s="43">
        <v>4.6521739130434776</v>
      </c>
      <c r="P16600" s="505"/>
      <c r="Q16600" s="505"/>
      <c r="R16600" s="505">
        <v>5</v>
      </c>
    </row>
    <row r="16601" spans="1:18" ht="12.75" customHeight="1">
      <c r="A16601" s="628" t="s">
        <v>29786</v>
      </c>
      <c r="B16601" s="629"/>
      <c r="C16601" s="629"/>
      <c r="D16601" s="629"/>
      <c r="E16601" s="629"/>
      <c r="F16601" s="629"/>
      <c r="G16601" s="629"/>
      <c r="H16601" s="629"/>
      <c r="I16601" s="629"/>
      <c r="J16601" s="629"/>
      <c r="K16601" s="629"/>
      <c r="L16601" s="629"/>
      <c r="M16601" s="629"/>
      <c r="N16601" s="629"/>
      <c r="O16601" s="629"/>
      <c r="P16601" s="629"/>
      <c r="Q16601" s="629"/>
      <c r="R16601" s="629"/>
    </row>
    <row r="16602" spans="1:18" ht="12.75" customHeight="1">
      <c r="A16602" s="628" t="s">
        <v>29787</v>
      </c>
      <c r="B16602" s="629"/>
      <c r="C16602" s="629"/>
      <c r="D16602" s="629"/>
      <c r="E16602" s="629"/>
      <c r="F16602" s="629"/>
      <c r="G16602" s="629"/>
      <c r="H16602" s="629"/>
      <c r="I16602" s="629"/>
      <c r="J16602" s="629"/>
      <c r="K16602" s="629"/>
      <c r="L16602" s="629"/>
      <c r="M16602" s="629"/>
      <c r="N16602" s="629"/>
      <c r="O16602" s="629"/>
      <c r="P16602" s="629"/>
      <c r="Q16602" s="629"/>
      <c r="R16602" s="629"/>
    </row>
    <row r="16603" spans="1:18" ht="36">
      <c r="A16603" s="501">
        <v>59</v>
      </c>
      <c r="B16603" s="498" t="s">
        <v>29788</v>
      </c>
      <c r="C16603" s="502" t="s">
        <v>29789</v>
      </c>
      <c r="D16603" s="503">
        <v>7846.06</v>
      </c>
      <c r="E16603" s="503">
        <v>4300.24</v>
      </c>
      <c r="F16603" s="503">
        <v>2147.4299999999998</v>
      </c>
      <c r="G16603" s="503">
        <v>1398.39</v>
      </c>
      <c r="H16603" s="504">
        <v>66057.73</v>
      </c>
      <c r="I16603" s="504">
        <v>49454.720000000001</v>
      </c>
      <c r="J16603" s="504">
        <v>10931.6</v>
      </c>
      <c r="K16603" s="504">
        <v>5671.41</v>
      </c>
      <c r="L16603" s="43">
        <v>8.419223151492595</v>
      </c>
      <c r="M16603" s="43">
        <v>11.500455788514131</v>
      </c>
      <c r="N16603" s="43">
        <v>5.0905500994211694</v>
      </c>
      <c r="O16603" s="43">
        <v>4.0556711646965438</v>
      </c>
      <c r="P16603" s="505"/>
      <c r="Q16603" s="505"/>
      <c r="R16603" s="505">
        <v>1</v>
      </c>
    </row>
    <row r="16604" spans="1:18" ht="36">
      <c r="A16604" s="501">
        <v>60</v>
      </c>
      <c r="B16604" s="498" t="s">
        <v>29790</v>
      </c>
      <c r="C16604" s="502" t="s">
        <v>29791</v>
      </c>
      <c r="D16604" s="503">
        <v>182.51</v>
      </c>
      <c r="E16604" s="503">
        <v>114.09</v>
      </c>
      <c r="F16604" s="503">
        <v>53.14</v>
      </c>
      <c r="G16604" s="503">
        <v>15.28</v>
      </c>
      <c r="H16604" s="504">
        <v>1667.84</v>
      </c>
      <c r="I16604" s="504">
        <v>1312.06</v>
      </c>
      <c r="J16604" s="504">
        <v>283.26</v>
      </c>
      <c r="K16604" s="504">
        <v>72.52</v>
      </c>
      <c r="L16604" s="43">
        <v>9.1383485836392531</v>
      </c>
      <c r="M16604" s="43">
        <v>11.500219125251993</v>
      </c>
      <c r="N16604" s="43">
        <v>5.3304478735415879</v>
      </c>
      <c r="O16604" s="43">
        <v>4.7460732984293195</v>
      </c>
      <c r="P16604" s="505"/>
      <c r="Q16604" s="505"/>
      <c r="R16604" s="505">
        <v>1</v>
      </c>
    </row>
    <row r="16605" spans="1:18" ht="24">
      <c r="A16605" s="501">
        <v>61</v>
      </c>
      <c r="B16605" s="498" t="s">
        <v>29792</v>
      </c>
      <c r="C16605" s="502" t="s">
        <v>29793</v>
      </c>
      <c r="D16605" s="503">
        <v>7187.52</v>
      </c>
      <c r="E16605" s="503">
        <v>4975.68</v>
      </c>
      <c r="F16605" s="503">
        <v>1873.91</v>
      </c>
      <c r="G16605" s="503">
        <v>337.93</v>
      </c>
      <c r="H16605" s="504">
        <v>68218.37</v>
      </c>
      <c r="I16605" s="504">
        <v>57220.32</v>
      </c>
      <c r="J16605" s="504">
        <v>8969.25</v>
      </c>
      <c r="K16605" s="504">
        <v>2028.8</v>
      </c>
      <c r="L16605" s="43">
        <v>9.4912250678954617</v>
      </c>
      <c r="M16605" s="43">
        <v>11.5</v>
      </c>
      <c r="N16605" s="43">
        <v>4.7863824836838482</v>
      </c>
      <c r="O16605" s="43">
        <v>6.0036102151333113</v>
      </c>
      <c r="P16605" s="505"/>
      <c r="Q16605" s="505"/>
      <c r="R16605" s="505">
        <v>1</v>
      </c>
    </row>
    <row r="16606" spans="1:18" ht="36">
      <c r="A16606" s="501">
        <v>62</v>
      </c>
      <c r="B16606" s="498" t="s">
        <v>29794</v>
      </c>
      <c r="C16606" s="502" t="s">
        <v>29795</v>
      </c>
      <c r="D16606" s="503">
        <v>119.84</v>
      </c>
      <c r="E16606" s="503">
        <v>56.91</v>
      </c>
      <c r="F16606" s="503">
        <v>60.78</v>
      </c>
      <c r="G16606" s="503">
        <v>2.15</v>
      </c>
      <c r="H16606" s="504">
        <v>986.3</v>
      </c>
      <c r="I16606" s="504">
        <v>654.51</v>
      </c>
      <c r="J16606" s="504">
        <v>315.60000000000002</v>
      </c>
      <c r="K16606" s="504">
        <v>16.190000000000001</v>
      </c>
      <c r="L16606" s="43">
        <v>8.2301401869158877</v>
      </c>
      <c r="M16606" s="43">
        <v>11.500790722192937</v>
      </c>
      <c r="N16606" s="43">
        <v>5.1924975320829221</v>
      </c>
      <c r="O16606" s="43">
        <v>7.5302325581395362</v>
      </c>
      <c r="P16606" s="505"/>
      <c r="Q16606" s="505"/>
      <c r="R16606" s="505">
        <v>1</v>
      </c>
    </row>
    <row r="16607" spans="1:18" ht="24">
      <c r="A16607" s="501">
        <v>63</v>
      </c>
      <c r="B16607" s="498" t="s">
        <v>29796</v>
      </c>
      <c r="C16607" s="502" t="s">
        <v>29797</v>
      </c>
      <c r="D16607" s="503">
        <v>12572.09</v>
      </c>
      <c r="E16607" s="503">
        <v>8917.6</v>
      </c>
      <c r="F16607" s="503">
        <v>3143.76</v>
      </c>
      <c r="G16607" s="503">
        <v>510.73</v>
      </c>
      <c r="H16607" s="504">
        <v>120670.45</v>
      </c>
      <c r="I16607" s="504">
        <v>102552.4</v>
      </c>
      <c r="J16607" s="504">
        <v>14813.7</v>
      </c>
      <c r="K16607" s="504">
        <v>3304.35</v>
      </c>
      <c r="L16607" s="43">
        <v>9.5982807949990807</v>
      </c>
      <c r="M16607" s="43">
        <v>11.499999999999998</v>
      </c>
      <c r="N16607" s="43">
        <v>4.7120963432323073</v>
      </c>
      <c r="O16607" s="43">
        <v>6.4698568715368197</v>
      </c>
      <c r="P16607" s="505"/>
      <c r="Q16607" s="505"/>
      <c r="R16607" s="505">
        <v>1</v>
      </c>
    </row>
    <row r="16608" spans="1:18" ht="36">
      <c r="A16608" s="501">
        <v>64</v>
      </c>
      <c r="B16608" s="498" t="s">
        <v>29798</v>
      </c>
      <c r="C16608" s="502" t="s">
        <v>29799</v>
      </c>
      <c r="D16608" s="503">
        <v>174.98</v>
      </c>
      <c r="E16608" s="503">
        <v>104.06</v>
      </c>
      <c r="F16608" s="503">
        <v>67.23</v>
      </c>
      <c r="G16608" s="503">
        <v>3.69</v>
      </c>
      <c r="H16608" s="504">
        <v>1568.36</v>
      </c>
      <c r="I16608" s="504">
        <v>1196.6600000000001</v>
      </c>
      <c r="J16608" s="504">
        <v>342.89</v>
      </c>
      <c r="K16608" s="504">
        <v>28.81</v>
      </c>
      <c r="L16608" s="43">
        <v>8.9630814950280033</v>
      </c>
      <c r="M16608" s="43">
        <v>11.499711704785701</v>
      </c>
      <c r="N16608" s="43">
        <v>5.1002528633050712</v>
      </c>
      <c r="O16608" s="43">
        <v>7.8075880758807585</v>
      </c>
      <c r="P16608" s="505"/>
      <c r="Q16608" s="505"/>
      <c r="R16608" s="505">
        <v>1</v>
      </c>
    </row>
    <row r="16609" spans="1:18" ht="24">
      <c r="A16609" s="501">
        <v>65</v>
      </c>
      <c r="B16609" s="498" t="s">
        <v>29800</v>
      </c>
      <c r="C16609" s="502" t="s">
        <v>29801</v>
      </c>
      <c r="D16609" s="503">
        <v>4909.68</v>
      </c>
      <c r="E16609" s="503">
        <v>3214.88</v>
      </c>
      <c r="F16609" s="503">
        <v>1198.8499999999999</v>
      </c>
      <c r="G16609" s="503">
        <v>495.95</v>
      </c>
      <c r="H16609" s="504">
        <v>44988.67</v>
      </c>
      <c r="I16609" s="504">
        <v>36971.120000000003</v>
      </c>
      <c r="J16609" s="504">
        <v>5709.79</v>
      </c>
      <c r="K16609" s="504">
        <v>2307.7600000000002</v>
      </c>
      <c r="L16609" s="43">
        <v>9.1632591126101897</v>
      </c>
      <c r="M16609" s="43">
        <v>11.5</v>
      </c>
      <c r="N16609" s="43">
        <v>4.7627226091671186</v>
      </c>
      <c r="O16609" s="43">
        <v>4.6532110091743126</v>
      </c>
      <c r="P16609" s="505"/>
      <c r="Q16609" s="505"/>
      <c r="R16609" s="505">
        <v>1</v>
      </c>
    </row>
    <row r="16610" spans="1:18" ht="36">
      <c r="A16610" s="501">
        <v>66</v>
      </c>
      <c r="B16610" s="498" t="s">
        <v>29802</v>
      </c>
      <c r="C16610" s="502" t="s">
        <v>29803</v>
      </c>
      <c r="D16610" s="503">
        <v>82.95</v>
      </c>
      <c r="E16610" s="503">
        <v>26.01</v>
      </c>
      <c r="F16610" s="503">
        <v>53.38</v>
      </c>
      <c r="G16610" s="503">
        <v>3.56</v>
      </c>
      <c r="H16610" s="504">
        <v>599.9</v>
      </c>
      <c r="I16610" s="504">
        <v>299.17</v>
      </c>
      <c r="J16610" s="504">
        <v>284.27</v>
      </c>
      <c r="K16610" s="504">
        <v>16.46</v>
      </c>
      <c r="L16610" s="43">
        <v>7.2320675105485224</v>
      </c>
      <c r="M16610" s="43">
        <v>11.502114571318723</v>
      </c>
      <c r="N16610" s="43">
        <v>5.3254027725739972</v>
      </c>
      <c r="O16610" s="43">
        <v>4.6235955056179776</v>
      </c>
      <c r="P16610" s="505"/>
      <c r="Q16610" s="505"/>
      <c r="R16610" s="505">
        <v>1</v>
      </c>
    </row>
    <row r="16611" spans="1:18" ht="24">
      <c r="A16611" s="501">
        <v>67</v>
      </c>
      <c r="B16611" s="498" t="s">
        <v>29804</v>
      </c>
      <c r="C16611" s="502" t="s">
        <v>29805</v>
      </c>
      <c r="D16611" s="503">
        <v>5901.9</v>
      </c>
      <c r="E16611" s="503">
        <v>4214.5600000000004</v>
      </c>
      <c r="F16611" s="503">
        <v>1167.75</v>
      </c>
      <c r="G16611" s="503">
        <v>519.59</v>
      </c>
      <c r="H16611" s="504">
        <v>56449.41</v>
      </c>
      <c r="I16611" s="504">
        <v>48467.44</v>
      </c>
      <c r="J16611" s="504">
        <v>5378.53</v>
      </c>
      <c r="K16611" s="504">
        <v>2603.44</v>
      </c>
      <c r="L16611" s="43">
        <v>9.5646164794388255</v>
      </c>
      <c r="M16611" s="43">
        <v>11.5</v>
      </c>
      <c r="N16611" s="43">
        <v>4.6058916720188394</v>
      </c>
      <c r="O16611" s="43">
        <v>5.0105660232106084</v>
      </c>
      <c r="P16611" s="505"/>
      <c r="Q16611" s="505"/>
      <c r="R16611" s="505">
        <v>1</v>
      </c>
    </row>
    <row r="16612" spans="1:18" ht="36">
      <c r="A16612" s="501">
        <v>68</v>
      </c>
      <c r="B16612" s="498" t="s">
        <v>29806</v>
      </c>
      <c r="C16612" s="502" t="s">
        <v>29807</v>
      </c>
      <c r="D16612" s="503">
        <v>84.85</v>
      </c>
      <c r="E16612" s="503">
        <v>26.01</v>
      </c>
      <c r="F16612" s="503">
        <v>54.02</v>
      </c>
      <c r="G16612" s="503">
        <v>4.82</v>
      </c>
      <c r="H16612" s="504">
        <v>608.01</v>
      </c>
      <c r="I16612" s="504">
        <v>299.17</v>
      </c>
      <c r="J16612" s="504">
        <v>286.97000000000003</v>
      </c>
      <c r="K16612" s="504">
        <v>21.87</v>
      </c>
      <c r="L16612" s="43">
        <v>7.16570418385386</v>
      </c>
      <c r="M16612" s="43">
        <v>11.502114571318723</v>
      </c>
      <c r="N16612" s="43">
        <v>5.3122917437985935</v>
      </c>
      <c r="O16612" s="43">
        <v>4.5373443983402488</v>
      </c>
      <c r="P16612" s="505"/>
      <c r="Q16612" s="505"/>
      <c r="R16612" s="505">
        <v>1</v>
      </c>
    </row>
    <row r="16613" spans="1:18" ht="24">
      <c r="A16613" s="501">
        <v>69</v>
      </c>
      <c r="B16613" s="498" t="s">
        <v>29808</v>
      </c>
      <c r="C16613" s="502" t="s">
        <v>29809</v>
      </c>
      <c r="D16613" s="503">
        <v>674.48</v>
      </c>
      <c r="E16613" s="503">
        <v>321.45999999999998</v>
      </c>
      <c r="F16613" s="503">
        <v>131.93</v>
      </c>
      <c r="G16613" s="503">
        <v>221.09</v>
      </c>
      <c r="H16613" s="504">
        <v>5509.54</v>
      </c>
      <c r="I16613" s="504">
        <v>3696.84</v>
      </c>
      <c r="J16613" s="504">
        <v>700.34</v>
      </c>
      <c r="K16613" s="504">
        <v>1112.3599999999999</v>
      </c>
      <c r="L16613" s="43">
        <v>8.1685743090973784</v>
      </c>
      <c r="M16613" s="43">
        <v>11.500155540347167</v>
      </c>
      <c r="N16613" s="43">
        <v>5.3084211324187072</v>
      </c>
      <c r="O16613" s="43">
        <v>5.0312542403546061</v>
      </c>
      <c r="P16613" s="505"/>
      <c r="Q16613" s="505"/>
      <c r="R16613" s="505">
        <v>1</v>
      </c>
    </row>
    <row r="16614" spans="1:18" ht="12.75" customHeight="1">
      <c r="A16614" s="628" t="s">
        <v>29718</v>
      </c>
      <c r="B16614" s="629"/>
      <c r="C16614" s="629"/>
      <c r="D16614" s="629"/>
      <c r="E16614" s="629"/>
      <c r="F16614" s="629"/>
      <c r="G16614" s="629"/>
      <c r="H16614" s="629"/>
      <c r="I16614" s="629"/>
      <c r="J16614" s="629"/>
      <c r="K16614" s="629"/>
      <c r="L16614" s="629"/>
      <c r="M16614" s="629"/>
      <c r="N16614" s="629"/>
      <c r="O16614" s="629"/>
      <c r="P16614" s="629"/>
      <c r="Q16614" s="629"/>
      <c r="R16614" s="629"/>
    </row>
    <row r="16615" spans="1:18" ht="24">
      <c r="A16615" s="501">
        <v>70</v>
      </c>
      <c r="B16615" s="498" t="s">
        <v>29810</v>
      </c>
      <c r="C16615" s="502" t="s">
        <v>29811</v>
      </c>
      <c r="D16615" s="503">
        <v>2613.56</v>
      </c>
      <c r="E16615" s="503">
        <v>1647.2</v>
      </c>
      <c r="F16615" s="503">
        <v>699.84</v>
      </c>
      <c r="G16615" s="503">
        <v>266.52</v>
      </c>
      <c r="H16615" s="504">
        <v>23630.28</v>
      </c>
      <c r="I16615" s="504">
        <v>18942.8</v>
      </c>
      <c r="J16615" s="504">
        <v>3411.14</v>
      </c>
      <c r="K16615" s="504">
        <v>1276.3399999999999</v>
      </c>
      <c r="L16615" s="43">
        <v>9.0414147752490859</v>
      </c>
      <c r="M16615" s="43">
        <v>11.5</v>
      </c>
      <c r="N16615" s="43">
        <v>4.8741712391403746</v>
      </c>
      <c r="O16615" s="43">
        <v>4.7889088998949418</v>
      </c>
      <c r="P16615" s="505"/>
      <c r="Q16615" s="505"/>
      <c r="R16615" s="505">
        <v>2</v>
      </c>
    </row>
    <row r="16616" spans="1:18" ht="36">
      <c r="A16616" s="501">
        <v>71</v>
      </c>
      <c r="B16616" s="498" t="s">
        <v>29812</v>
      </c>
      <c r="C16616" s="502" t="s">
        <v>29813</v>
      </c>
      <c r="D16616" s="503">
        <v>197.57</v>
      </c>
      <c r="E16616" s="503">
        <v>143.13999999999999</v>
      </c>
      <c r="F16616" s="503">
        <v>51.57</v>
      </c>
      <c r="G16616" s="503">
        <v>2.86</v>
      </c>
      <c r="H16616" s="504">
        <v>1958.63</v>
      </c>
      <c r="I16616" s="504">
        <v>1646.06</v>
      </c>
      <c r="J16616" s="504">
        <v>279.68</v>
      </c>
      <c r="K16616" s="504">
        <v>32.89</v>
      </c>
      <c r="L16616" s="43">
        <v>9.9136002429518655</v>
      </c>
      <c r="M16616" s="43">
        <v>11.499650691630572</v>
      </c>
      <c r="N16616" s="43">
        <v>5.4233081248788055</v>
      </c>
      <c r="O16616" s="43">
        <v>11.5</v>
      </c>
      <c r="P16616" s="505"/>
      <c r="Q16616" s="505"/>
      <c r="R16616" s="505">
        <v>2</v>
      </c>
    </row>
    <row r="16617" spans="1:18" ht="24">
      <c r="A16617" s="501">
        <v>72</v>
      </c>
      <c r="B16617" s="498" t="s">
        <v>29814</v>
      </c>
      <c r="C16617" s="502" t="s">
        <v>29815</v>
      </c>
      <c r="D16617" s="503">
        <v>2918.79</v>
      </c>
      <c r="E16617" s="503">
        <v>1874.4</v>
      </c>
      <c r="F16617" s="503">
        <v>763.27</v>
      </c>
      <c r="G16617" s="503">
        <v>281.12</v>
      </c>
      <c r="H16617" s="504">
        <v>26652.35</v>
      </c>
      <c r="I16617" s="504">
        <v>21555.599999999999</v>
      </c>
      <c r="J16617" s="504">
        <v>3714.53</v>
      </c>
      <c r="K16617" s="504">
        <v>1382.22</v>
      </c>
      <c r="L16617" s="43">
        <v>9.1313009843119914</v>
      </c>
      <c r="M16617" s="43">
        <v>11.499999999999998</v>
      </c>
      <c r="N16617" s="43">
        <v>4.8666002856132176</v>
      </c>
      <c r="O16617" s="43">
        <v>4.9168326693227096</v>
      </c>
      <c r="P16617" s="505"/>
      <c r="Q16617" s="505"/>
      <c r="R16617" s="505">
        <v>2</v>
      </c>
    </row>
    <row r="16618" spans="1:18" ht="36">
      <c r="A16618" s="501">
        <v>73</v>
      </c>
      <c r="B16618" s="498" t="s">
        <v>29816</v>
      </c>
      <c r="C16618" s="502" t="s">
        <v>29817</v>
      </c>
      <c r="D16618" s="503">
        <v>189.87</v>
      </c>
      <c r="E16618" s="503">
        <v>143.13999999999999</v>
      </c>
      <c r="F16618" s="503">
        <v>43.87</v>
      </c>
      <c r="G16618" s="503">
        <v>2.86</v>
      </c>
      <c r="H16618" s="504">
        <v>1916.83</v>
      </c>
      <c r="I16618" s="504">
        <v>1646.06</v>
      </c>
      <c r="J16618" s="504">
        <v>237.88</v>
      </c>
      <c r="K16618" s="504">
        <v>32.89</v>
      </c>
      <c r="L16618" s="43">
        <v>10.095486385421603</v>
      </c>
      <c r="M16618" s="43">
        <v>11.499650691630572</v>
      </c>
      <c r="N16618" s="43">
        <v>5.422384317301117</v>
      </c>
      <c r="O16618" s="43">
        <v>11.5</v>
      </c>
      <c r="P16618" s="505"/>
      <c r="Q16618" s="505"/>
      <c r="R16618" s="505">
        <v>2</v>
      </c>
    </row>
    <row r="16619" spans="1:18" ht="24">
      <c r="A16619" s="501">
        <v>74</v>
      </c>
      <c r="B16619" s="498" t="s">
        <v>29818</v>
      </c>
      <c r="C16619" s="502" t="s">
        <v>29819</v>
      </c>
      <c r="D16619" s="503">
        <v>2246.1</v>
      </c>
      <c r="E16619" s="503">
        <v>1719.72</v>
      </c>
      <c r="F16619" s="503">
        <v>400.48</v>
      </c>
      <c r="G16619" s="503">
        <v>125.9</v>
      </c>
      <c r="H16619" s="504">
        <v>22463.64</v>
      </c>
      <c r="I16619" s="504">
        <v>19776.78</v>
      </c>
      <c r="J16619" s="504">
        <v>1925.51</v>
      </c>
      <c r="K16619" s="504">
        <v>761.35</v>
      </c>
      <c r="L16619" s="43">
        <v>10.001175370642446</v>
      </c>
      <c r="M16619" s="43">
        <v>11.5</v>
      </c>
      <c r="N16619" s="43">
        <v>4.8080053935277665</v>
      </c>
      <c r="O16619" s="43">
        <v>6.0472597299444004</v>
      </c>
      <c r="P16619" s="505"/>
      <c r="Q16619" s="505"/>
      <c r="R16619" s="505">
        <v>2</v>
      </c>
    </row>
    <row r="16620" spans="1:18" ht="24">
      <c r="A16620" s="501">
        <v>75</v>
      </c>
      <c r="B16620" s="498" t="s">
        <v>29820</v>
      </c>
      <c r="C16620" s="502" t="s">
        <v>29821</v>
      </c>
      <c r="D16620" s="503">
        <v>1553.35</v>
      </c>
      <c r="E16620" s="503">
        <v>513.6</v>
      </c>
      <c r="F16620" s="503">
        <v>154.44</v>
      </c>
      <c r="G16620" s="503">
        <v>885.31</v>
      </c>
      <c r="H16620" s="504">
        <v>12078</v>
      </c>
      <c r="I16620" s="504">
        <v>5906.66</v>
      </c>
      <c r="J16620" s="504">
        <v>767.22</v>
      </c>
      <c r="K16620" s="504">
        <v>5404.12</v>
      </c>
      <c r="L16620" s="43">
        <v>7.7754530530788299</v>
      </c>
      <c r="M16620" s="43">
        <v>11.500506230529595</v>
      </c>
      <c r="N16620" s="43">
        <v>4.9677544677544683</v>
      </c>
      <c r="O16620" s="43">
        <v>6.104212083902814</v>
      </c>
      <c r="P16620" s="505"/>
      <c r="Q16620" s="505"/>
      <c r="R16620" s="505">
        <v>2</v>
      </c>
    </row>
    <row r="16621" spans="1:18" ht="24">
      <c r="A16621" s="501">
        <v>76</v>
      </c>
      <c r="B16621" s="498" t="s">
        <v>29822</v>
      </c>
      <c r="C16621" s="502" t="s">
        <v>29823</v>
      </c>
      <c r="D16621" s="503">
        <v>1524.54</v>
      </c>
      <c r="E16621" s="503">
        <v>891.76</v>
      </c>
      <c r="F16621" s="503">
        <v>361.53</v>
      </c>
      <c r="G16621" s="503">
        <v>271.25</v>
      </c>
      <c r="H16621" s="504">
        <v>13447.77</v>
      </c>
      <c r="I16621" s="504">
        <v>10255.24</v>
      </c>
      <c r="J16621" s="504">
        <v>1853.27</v>
      </c>
      <c r="K16621" s="504">
        <v>1339.26</v>
      </c>
      <c r="L16621" s="43">
        <v>8.8208705576764146</v>
      </c>
      <c r="M16621" s="43">
        <v>11.5</v>
      </c>
      <c r="N16621" s="43">
        <v>5.1261859320111753</v>
      </c>
      <c r="O16621" s="43">
        <v>4.9373640552995388</v>
      </c>
      <c r="P16621" s="505"/>
      <c r="Q16621" s="505"/>
      <c r="R16621" s="505">
        <v>2</v>
      </c>
    </row>
    <row r="16622" spans="1:18" ht="12.75" customHeight="1">
      <c r="A16622" s="628" t="s">
        <v>29824</v>
      </c>
      <c r="B16622" s="629"/>
      <c r="C16622" s="629"/>
      <c r="D16622" s="629"/>
      <c r="E16622" s="629"/>
      <c r="F16622" s="629"/>
      <c r="G16622" s="629"/>
      <c r="H16622" s="629"/>
      <c r="I16622" s="629"/>
      <c r="J16622" s="629"/>
      <c r="K16622" s="629"/>
      <c r="L16622" s="629"/>
      <c r="M16622" s="629"/>
      <c r="N16622" s="629"/>
      <c r="O16622" s="629"/>
      <c r="P16622" s="629"/>
      <c r="Q16622" s="629"/>
      <c r="R16622" s="629"/>
    </row>
    <row r="16623" spans="1:18" ht="24">
      <c r="A16623" s="501">
        <v>77</v>
      </c>
      <c r="B16623" s="498" t="s">
        <v>29825</v>
      </c>
      <c r="C16623" s="502" t="s">
        <v>29826</v>
      </c>
      <c r="D16623" s="503">
        <v>50.85</v>
      </c>
      <c r="E16623" s="503">
        <v>36.020000000000003</v>
      </c>
      <c r="F16623" s="503">
        <v>14.11</v>
      </c>
      <c r="G16623" s="503">
        <v>0.72</v>
      </c>
      <c r="H16623" s="504">
        <v>497.54</v>
      </c>
      <c r="I16623" s="504">
        <v>414.19</v>
      </c>
      <c r="J16623" s="504">
        <v>75.069999999999993</v>
      </c>
      <c r="K16623" s="504">
        <v>8.2799999999999994</v>
      </c>
      <c r="L16623" s="43">
        <v>9.7844641101278267</v>
      </c>
      <c r="M16623" s="43">
        <v>11.498889505830093</v>
      </c>
      <c r="N16623" s="43">
        <v>5.3203401842664775</v>
      </c>
      <c r="O16623" s="43">
        <v>11.5</v>
      </c>
      <c r="P16623" s="505"/>
      <c r="Q16623" s="505"/>
      <c r="R16623" s="505">
        <v>3</v>
      </c>
    </row>
    <row r="16624" spans="1:18" ht="24">
      <c r="A16624" s="501">
        <v>78</v>
      </c>
      <c r="B16624" s="498" t="s">
        <v>29827</v>
      </c>
      <c r="C16624" s="502" t="s">
        <v>29828</v>
      </c>
      <c r="D16624" s="503">
        <v>74.37</v>
      </c>
      <c r="E16624" s="503">
        <v>23.63</v>
      </c>
      <c r="F16624" s="503">
        <v>50.27</v>
      </c>
      <c r="G16624" s="503">
        <v>0.47</v>
      </c>
      <c r="H16624" s="504">
        <v>548.30999999999995</v>
      </c>
      <c r="I16624" s="504">
        <v>271.77999999999997</v>
      </c>
      <c r="J16624" s="504">
        <v>271.12</v>
      </c>
      <c r="K16624" s="504">
        <v>5.41</v>
      </c>
      <c r="L16624" s="43">
        <v>7.372730939895118</v>
      </c>
      <c r="M16624" s="43">
        <v>11.501481168006771</v>
      </c>
      <c r="N16624" s="43">
        <v>5.3932763079371391</v>
      </c>
      <c r="O16624" s="43">
        <v>11.503164556962025</v>
      </c>
      <c r="P16624" s="505"/>
      <c r="Q16624" s="505"/>
      <c r="R16624" s="505">
        <v>3</v>
      </c>
    </row>
    <row r="16625" spans="1:18" ht="24">
      <c r="A16625" s="501">
        <v>79</v>
      </c>
      <c r="B16625" s="498" t="s">
        <v>29829</v>
      </c>
      <c r="C16625" s="502" t="s">
        <v>29830</v>
      </c>
      <c r="D16625" s="503">
        <v>591.63</v>
      </c>
      <c r="E16625" s="503">
        <v>385.56</v>
      </c>
      <c r="F16625" s="503">
        <v>185.17</v>
      </c>
      <c r="G16625" s="503">
        <v>20.9</v>
      </c>
      <c r="H16625" s="504">
        <v>5615.55</v>
      </c>
      <c r="I16625" s="504">
        <v>4434.12</v>
      </c>
      <c r="J16625" s="504">
        <v>1004.14</v>
      </c>
      <c r="K16625" s="504">
        <v>177.29</v>
      </c>
      <c r="L16625" s="43">
        <v>9.4916586380001018</v>
      </c>
      <c r="M16625" s="43">
        <v>11.50046685340803</v>
      </c>
      <c r="N16625" s="43">
        <v>5.4228006696549116</v>
      </c>
      <c r="O16625" s="43">
        <v>8.4827751196172247</v>
      </c>
      <c r="P16625" s="505"/>
      <c r="Q16625" s="505"/>
      <c r="R16625" s="505">
        <v>3</v>
      </c>
    </row>
    <row r="16626" spans="1:18" ht="12.75" customHeight="1">
      <c r="A16626" s="628" t="s">
        <v>29831</v>
      </c>
      <c r="B16626" s="629"/>
      <c r="C16626" s="629"/>
      <c r="D16626" s="629"/>
      <c r="E16626" s="629"/>
      <c r="F16626" s="629"/>
      <c r="G16626" s="629"/>
      <c r="H16626" s="629"/>
      <c r="I16626" s="629"/>
      <c r="J16626" s="629"/>
      <c r="K16626" s="629"/>
      <c r="L16626" s="629"/>
      <c r="M16626" s="629"/>
      <c r="N16626" s="629"/>
      <c r="O16626" s="629"/>
      <c r="P16626" s="629"/>
      <c r="Q16626" s="629"/>
      <c r="R16626" s="629"/>
    </row>
    <row r="16627" spans="1:18" ht="24">
      <c r="A16627" s="501">
        <v>80</v>
      </c>
      <c r="B16627" s="498" t="s">
        <v>29832</v>
      </c>
      <c r="C16627" s="502" t="s">
        <v>29833</v>
      </c>
      <c r="D16627" s="503">
        <v>231.75</v>
      </c>
      <c r="E16627" s="503">
        <v>124.32</v>
      </c>
      <c r="F16627" s="503">
        <v>104.94</v>
      </c>
      <c r="G16627" s="503">
        <v>2.4900000000000002</v>
      </c>
      <c r="H16627" s="504">
        <v>2016.6</v>
      </c>
      <c r="I16627" s="504">
        <v>1429.68</v>
      </c>
      <c r="J16627" s="504">
        <v>558.28</v>
      </c>
      <c r="K16627" s="504">
        <v>28.64</v>
      </c>
      <c r="L16627" s="43">
        <v>8.7016181229773455</v>
      </c>
      <c r="M16627" s="43">
        <v>11.500000000000002</v>
      </c>
      <c r="N16627" s="43">
        <v>5.3199923765961499</v>
      </c>
      <c r="O16627" s="43">
        <v>11.502008032128513</v>
      </c>
      <c r="P16627" s="505"/>
      <c r="Q16627" s="505"/>
      <c r="R16627" s="505">
        <v>4</v>
      </c>
    </row>
    <row r="16628" spans="1:18" ht="24">
      <c r="A16628" s="501">
        <v>81</v>
      </c>
      <c r="B16628" s="498" t="s">
        <v>29834</v>
      </c>
      <c r="C16628" s="502" t="s">
        <v>29835</v>
      </c>
      <c r="D16628" s="503">
        <v>49.04</v>
      </c>
      <c r="E16628" s="503">
        <v>5.3</v>
      </c>
      <c r="F16628" s="503">
        <v>43.63</v>
      </c>
      <c r="G16628" s="503">
        <v>0.11</v>
      </c>
      <c r="H16628" s="504">
        <v>299.08</v>
      </c>
      <c r="I16628" s="504">
        <v>60.94</v>
      </c>
      <c r="J16628" s="504">
        <v>236.87</v>
      </c>
      <c r="K16628" s="504">
        <v>1.27</v>
      </c>
      <c r="L16628" s="43">
        <v>6.0986949429037516</v>
      </c>
      <c r="M16628" s="43">
        <v>11.498113207547171</v>
      </c>
      <c r="N16628" s="43">
        <v>5.4290625716250283</v>
      </c>
      <c r="O16628" s="43">
        <v>11.503164556962025</v>
      </c>
      <c r="P16628" s="505"/>
      <c r="Q16628" s="505"/>
      <c r="R16628" s="505">
        <v>4</v>
      </c>
    </row>
    <row r="16629" spans="1:18" ht="24">
      <c r="A16629" s="501">
        <v>82</v>
      </c>
      <c r="B16629" s="498" t="s">
        <v>29836</v>
      </c>
      <c r="C16629" s="502" t="s">
        <v>29837</v>
      </c>
      <c r="D16629" s="503">
        <v>56.9</v>
      </c>
      <c r="E16629" s="503">
        <v>10.5</v>
      </c>
      <c r="F16629" s="503">
        <v>43.89</v>
      </c>
      <c r="G16629" s="503">
        <v>2.5099999999999998</v>
      </c>
      <c r="H16629" s="504">
        <v>373.64</v>
      </c>
      <c r="I16629" s="504">
        <v>120.71</v>
      </c>
      <c r="J16629" s="504">
        <v>238.27</v>
      </c>
      <c r="K16629" s="504">
        <v>14.66</v>
      </c>
      <c r="L16629" s="43">
        <v>6.5666080843585233</v>
      </c>
      <c r="M16629" s="43">
        <v>11.496190476190476</v>
      </c>
      <c r="N16629" s="43">
        <v>5.4287992709045341</v>
      </c>
      <c r="O16629" s="43">
        <v>5.8406374501992033</v>
      </c>
      <c r="P16629" s="505"/>
      <c r="Q16629" s="505"/>
      <c r="R16629" s="505">
        <v>4</v>
      </c>
    </row>
    <row r="16630" spans="1:18" ht="24">
      <c r="A16630" s="501">
        <v>83</v>
      </c>
      <c r="B16630" s="498" t="s">
        <v>29838</v>
      </c>
      <c r="C16630" s="502" t="s">
        <v>29839</v>
      </c>
      <c r="D16630" s="503">
        <v>846.64</v>
      </c>
      <c r="E16630" s="503">
        <v>747.96</v>
      </c>
      <c r="F16630" s="503">
        <v>40.659999999999997</v>
      </c>
      <c r="G16630" s="503">
        <v>58.02</v>
      </c>
      <c r="H16630" s="504">
        <v>9218.41</v>
      </c>
      <c r="I16630" s="504">
        <v>8601.5400000000009</v>
      </c>
      <c r="J16630" s="504">
        <v>215.34</v>
      </c>
      <c r="K16630" s="504">
        <v>401.53</v>
      </c>
      <c r="L16630" s="43">
        <v>10.88822876311065</v>
      </c>
      <c r="M16630" s="43">
        <v>11.5</v>
      </c>
      <c r="N16630" s="43">
        <v>5.2961141170683721</v>
      </c>
      <c r="O16630" s="43">
        <v>6.9205446397793855</v>
      </c>
      <c r="P16630" s="505"/>
      <c r="Q16630" s="505"/>
      <c r="R16630" s="505">
        <v>4</v>
      </c>
    </row>
    <row r="16631" spans="1:18" ht="24">
      <c r="A16631" s="501">
        <v>84</v>
      </c>
      <c r="B16631" s="498" t="s">
        <v>29840</v>
      </c>
      <c r="C16631" s="502" t="s">
        <v>29841</v>
      </c>
      <c r="D16631" s="503">
        <v>667.12</v>
      </c>
      <c r="E16631" s="503">
        <v>581.02</v>
      </c>
      <c r="F16631" s="503">
        <v>31.42</v>
      </c>
      <c r="G16631" s="503">
        <v>54.68</v>
      </c>
      <c r="H16631" s="504">
        <v>7211.3</v>
      </c>
      <c r="I16631" s="504">
        <v>6681.78</v>
      </c>
      <c r="J16631" s="504">
        <v>166.4</v>
      </c>
      <c r="K16631" s="504">
        <v>363.12</v>
      </c>
      <c r="L16631" s="43">
        <v>10.809599472358796</v>
      </c>
      <c r="M16631" s="43">
        <v>11.500086055557468</v>
      </c>
      <c r="N16631" s="43">
        <v>5.2959898154042007</v>
      </c>
      <c r="O16631" s="43">
        <v>6.6408193123628383</v>
      </c>
      <c r="P16631" s="505"/>
      <c r="Q16631" s="505"/>
      <c r="R16631" s="505">
        <v>4</v>
      </c>
    </row>
    <row r="16632" spans="1:18" ht="12.75" customHeight="1">
      <c r="A16632" s="628" t="s">
        <v>350</v>
      </c>
      <c r="B16632" s="629"/>
      <c r="C16632" s="629"/>
      <c r="D16632" s="629"/>
      <c r="E16632" s="629"/>
      <c r="F16632" s="629"/>
      <c r="G16632" s="629"/>
      <c r="H16632" s="629"/>
      <c r="I16632" s="629"/>
      <c r="J16632" s="629"/>
      <c r="K16632" s="629"/>
      <c r="L16632" s="629"/>
      <c r="M16632" s="629"/>
      <c r="N16632" s="629"/>
      <c r="O16632" s="629"/>
      <c r="P16632" s="629"/>
      <c r="Q16632" s="629"/>
      <c r="R16632" s="629"/>
    </row>
    <row r="16633" spans="1:18" ht="24">
      <c r="A16633" s="501">
        <v>85</v>
      </c>
      <c r="B16633" s="498" t="s">
        <v>29842</v>
      </c>
      <c r="C16633" s="502" t="s">
        <v>29843</v>
      </c>
      <c r="D16633" s="503">
        <v>521.23</v>
      </c>
      <c r="E16633" s="503">
        <v>344.1</v>
      </c>
      <c r="F16633" s="503">
        <v>105.15</v>
      </c>
      <c r="G16633" s="503">
        <v>71.98</v>
      </c>
      <c r="H16633" s="504">
        <v>4852</v>
      </c>
      <c r="I16633" s="504">
        <v>3957.15</v>
      </c>
      <c r="J16633" s="504">
        <v>546.45000000000005</v>
      </c>
      <c r="K16633" s="504">
        <v>348.4</v>
      </c>
      <c r="L16633" s="43">
        <v>9.3087504556529748</v>
      </c>
      <c r="M16633" s="43">
        <v>11.5</v>
      </c>
      <c r="N16633" s="43">
        <v>5.196861626248217</v>
      </c>
      <c r="O16633" s="43">
        <v>4.8402333981661565</v>
      </c>
      <c r="P16633" s="505"/>
      <c r="Q16633" s="505"/>
      <c r="R16633" s="505">
        <v>5</v>
      </c>
    </row>
    <row r="16634" spans="1:18" ht="24">
      <c r="A16634" s="501">
        <v>86</v>
      </c>
      <c r="B16634" s="498" t="s">
        <v>29844</v>
      </c>
      <c r="C16634" s="502" t="s">
        <v>29845</v>
      </c>
      <c r="D16634" s="503">
        <v>13673.54</v>
      </c>
      <c r="E16634" s="503">
        <v>7969.16</v>
      </c>
      <c r="F16634" s="503">
        <v>4789.5</v>
      </c>
      <c r="G16634" s="503">
        <v>914.88</v>
      </c>
      <c r="H16634" s="504">
        <v>119846.25</v>
      </c>
      <c r="I16634" s="504">
        <v>91645.34</v>
      </c>
      <c r="J16634" s="504">
        <v>23225.48</v>
      </c>
      <c r="K16634" s="504">
        <v>4975.43</v>
      </c>
      <c r="L16634" s="43">
        <v>8.7648297368494177</v>
      </c>
      <c r="M16634" s="43">
        <v>11.5</v>
      </c>
      <c r="N16634" s="43">
        <v>4.8492493997285724</v>
      </c>
      <c r="O16634" s="43">
        <v>5.4383416404337188</v>
      </c>
      <c r="P16634" s="505"/>
      <c r="Q16634" s="505"/>
      <c r="R16634" s="505">
        <v>5</v>
      </c>
    </row>
    <row r="16635" spans="1:18" ht="24">
      <c r="A16635" s="501">
        <v>87</v>
      </c>
      <c r="B16635" s="498" t="s">
        <v>29846</v>
      </c>
      <c r="C16635" s="502" t="s">
        <v>29847</v>
      </c>
      <c r="D16635" s="503">
        <v>1818.41</v>
      </c>
      <c r="E16635" s="503">
        <v>1075.06</v>
      </c>
      <c r="F16635" s="503">
        <v>371.78</v>
      </c>
      <c r="G16635" s="503">
        <v>371.57</v>
      </c>
      <c r="H16635" s="504">
        <v>16171.51</v>
      </c>
      <c r="I16635" s="504">
        <v>12363.68</v>
      </c>
      <c r="J16635" s="504">
        <v>1999.77</v>
      </c>
      <c r="K16635" s="504">
        <v>1808.06</v>
      </c>
      <c r="L16635" s="43">
        <v>8.8932144015925996</v>
      </c>
      <c r="M16635" s="43">
        <v>11.500455788514131</v>
      </c>
      <c r="N16635" s="43">
        <v>5.3789068804131475</v>
      </c>
      <c r="O16635" s="43">
        <v>4.8660010226875148</v>
      </c>
      <c r="P16635" s="505"/>
      <c r="Q16635" s="505"/>
      <c r="R16635" s="505">
        <v>5</v>
      </c>
    </row>
    <row r="16636" spans="1:18" ht="24">
      <c r="A16636" s="501">
        <v>88</v>
      </c>
      <c r="B16636" s="498" t="s">
        <v>29848</v>
      </c>
      <c r="C16636" s="502" t="s">
        <v>29849</v>
      </c>
      <c r="D16636" s="503">
        <v>5259.25</v>
      </c>
      <c r="E16636" s="503">
        <v>2007.51</v>
      </c>
      <c r="F16636" s="503">
        <v>1719.28</v>
      </c>
      <c r="G16636" s="503">
        <v>1532.46</v>
      </c>
      <c r="H16636" s="504">
        <v>39789.47</v>
      </c>
      <c r="I16636" s="504">
        <v>23087.279999999999</v>
      </c>
      <c r="J16636" s="504">
        <v>9225.41</v>
      </c>
      <c r="K16636" s="504">
        <v>7476.78</v>
      </c>
      <c r="L16636" s="43">
        <v>7.5656167704520607</v>
      </c>
      <c r="M16636" s="43">
        <v>11.500455788514129</v>
      </c>
      <c r="N16636" s="43">
        <v>5.3658566376622776</v>
      </c>
      <c r="O16636" s="43">
        <v>4.878939743941114</v>
      </c>
      <c r="P16636" s="505"/>
      <c r="Q16636" s="505"/>
      <c r="R16636" s="505">
        <v>5</v>
      </c>
    </row>
    <row r="16637" spans="1:18" ht="12.75" customHeight="1">
      <c r="A16637" s="628" t="s">
        <v>2739</v>
      </c>
      <c r="B16637" s="629"/>
      <c r="C16637" s="629"/>
      <c r="D16637" s="629"/>
      <c r="E16637" s="629"/>
      <c r="F16637" s="629"/>
      <c r="G16637" s="629"/>
      <c r="H16637" s="629"/>
      <c r="I16637" s="629"/>
      <c r="J16637" s="629"/>
      <c r="K16637" s="629"/>
      <c r="L16637" s="629"/>
      <c r="M16637" s="629"/>
      <c r="N16637" s="629"/>
      <c r="O16637" s="629"/>
      <c r="P16637" s="629"/>
      <c r="Q16637" s="629"/>
      <c r="R16637" s="629"/>
    </row>
    <row r="16638" spans="1:18" ht="24">
      <c r="A16638" s="501">
        <v>89</v>
      </c>
      <c r="B16638" s="498" t="s">
        <v>29850</v>
      </c>
      <c r="C16638" s="502" t="s">
        <v>29851</v>
      </c>
      <c r="D16638" s="503">
        <v>4303.95</v>
      </c>
      <c r="E16638" s="503">
        <v>2053.5</v>
      </c>
      <c r="F16638" s="503">
        <v>771.23</v>
      </c>
      <c r="G16638" s="503">
        <v>1479.22</v>
      </c>
      <c r="H16638" s="504">
        <v>33398.28</v>
      </c>
      <c r="I16638" s="504">
        <v>23615.25</v>
      </c>
      <c r="J16638" s="504">
        <v>3976.36</v>
      </c>
      <c r="K16638" s="504">
        <v>5806.67</v>
      </c>
      <c r="L16638" s="43">
        <v>7.759913567769142</v>
      </c>
      <c r="M16638" s="43">
        <v>11.5</v>
      </c>
      <c r="N16638" s="43">
        <v>5.1558678993296425</v>
      </c>
      <c r="O16638" s="43">
        <v>3.9254945173807818</v>
      </c>
      <c r="P16638" s="505"/>
      <c r="Q16638" s="505"/>
      <c r="R16638" s="505">
        <v>6</v>
      </c>
    </row>
    <row r="16639" spans="1:18" ht="12.75" customHeight="1">
      <c r="A16639" s="628" t="s">
        <v>29852</v>
      </c>
      <c r="B16639" s="629"/>
      <c r="C16639" s="629"/>
      <c r="D16639" s="629"/>
      <c r="E16639" s="629"/>
      <c r="F16639" s="629"/>
      <c r="G16639" s="629"/>
      <c r="H16639" s="629"/>
      <c r="I16639" s="629"/>
      <c r="J16639" s="629"/>
      <c r="K16639" s="629"/>
      <c r="L16639" s="629"/>
      <c r="M16639" s="629"/>
      <c r="N16639" s="629"/>
      <c r="O16639" s="629"/>
      <c r="P16639" s="629"/>
      <c r="Q16639" s="629"/>
      <c r="R16639" s="629"/>
    </row>
    <row r="16640" spans="1:18" ht="12.75" customHeight="1">
      <c r="A16640" s="628" t="s">
        <v>29853</v>
      </c>
      <c r="B16640" s="629"/>
      <c r="C16640" s="629"/>
      <c r="D16640" s="629"/>
      <c r="E16640" s="629"/>
      <c r="F16640" s="629"/>
      <c r="G16640" s="629"/>
      <c r="H16640" s="629"/>
      <c r="I16640" s="629"/>
      <c r="J16640" s="629"/>
      <c r="K16640" s="629"/>
      <c r="L16640" s="629"/>
      <c r="M16640" s="629"/>
      <c r="N16640" s="629"/>
      <c r="O16640" s="629"/>
      <c r="P16640" s="629"/>
      <c r="Q16640" s="629"/>
      <c r="R16640" s="629"/>
    </row>
    <row r="16641" spans="1:18" ht="24">
      <c r="A16641" s="501">
        <v>90</v>
      </c>
      <c r="B16641" s="498" t="s">
        <v>29854</v>
      </c>
      <c r="C16641" s="502" t="s">
        <v>29855</v>
      </c>
      <c r="D16641" s="503">
        <v>457.67</v>
      </c>
      <c r="E16641" s="503">
        <v>276.91000000000003</v>
      </c>
      <c r="F16641" s="503">
        <v>112.71</v>
      </c>
      <c r="G16641" s="503">
        <v>68.05</v>
      </c>
      <c r="H16641" s="504">
        <v>4108.45</v>
      </c>
      <c r="I16641" s="504">
        <v>3184.57</v>
      </c>
      <c r="J16641" s="504">
        <v>594.47</v>
      </c>
      <c r="K16641" s="504">
        <v>329.41</v>
      </c>
      <c r="L16641" s="43">
        <v>8.9768829068979823</v>
      </c>
      <c r="M16641" s="43">
        <v>11.500379184572605</v>
      </c>
      <c r="N16641" s="43">
        <v>5.2743323573773404</v>
      </c>
      <c r="O16641" s="43">
        <v>4.8407053637031598</v>
      </c>
      <c r="P16641" s="505"/>
      <c r="Q16641" s="505"/>
      <c r="R16641" s="505">
        <v>1</v>
      </c>
    </row>
    <row r="16642" spans="1:18" ht="24">
      <c r="A16642" s="501">
        <v>91</v>
      </c>
      <c r="B16642" s="498" t="s">
        <v>29856</v>
      </c>
      <c r="C16642" s="502" t="s">
        <v>29857</v>
      </c>
      <c r="D16642" s="503">
        <v>4724.83</v>
      </c>
      <c r="E16642" s="503">
        <v>1077.76</v>
      </c>
      <c r="F16642" s="503">
        <v>2913.91</v>
      </c>
      <c r="G16642" s="503">
        <v>733.16</v>
      </c>
      <c r="H16642" s="504">
        <v>29764.07</v>
      </c>
      <c r="I16642" s="504">
        <v>12394.73</v>
      </c>
      <c r="J16642" s="504">
        <v>14392.32</v>
      </c>
      <c r="K16642" s="504">
        <v>2977.02</v>
      </c>
      <c r="L16642" s="43">
        <v>6.2995007227773279</v>
      </c>
      <c r="M16642" s="43">
        <v>11.500454646674584</v>
      </c>
      <c r="N16642" s="43">
        <v>4.939177943038735</v>
      </c>
      <c r="O16642" s="43">
        <v>4.0605324894975174</v>
      </c>
      <c r="P16642" s="505"/>
      <c r="Q16642" s="505"/>
      <c r="R16642" s="505">
        <v>1</v>
      </c>
    </row>
    <row r="16643" spans="1:18" ht="24">
      <c r="A16643" s="501">
        <v>92</v>
      </c>
      <c r="B16643" s="498" t="s">
        <v>29858</v>
      </c>
      <c r="C16643" s="502" t="s">
        <v>29859</v>
      </c>
      <c r="D16643" s="503">
        <v>10857.53</v>
      </c>
      <c r="E16643" s="503">
        <v>7442</v>
      </c>
      <c r="F16643" s="503">
        <v>2235.4299999999998</v>
      </c>
      <c r="G16643" s="503">
        <v>1180.0999999999999</v>
      </c>
      <c r="H16643" s="504">
        <v>104818.03</v>
      </c>
      <c r="I16643" s="504">
        <v>85583</v>
      </c>
      <c r="J16643" s="504">
        <v>11054.84</v>
      </c>
      <c r="K16643" s="504">
        <v>8180.19</v>
      </c>
      <c r="L16643" s="43">
        <v>9.6539479973806195</v>
      </c>
      <c r="M16643" s="43">
        <v>11.5</v>
      </c>
      <c r="N16643" s="43">
        <v>4.9452856944748893</v>
      </c>
      <c r="O16643" s="43">
        <v>6.9317769680535548</v>
      </c>
      <c r="P16643" s="505"/>
      <c r="Q16643" s="505"/>
      <c r="R16643" s="505">
        <v>1</v>
      </c>
    </row>
    <row r="16644" spans="1:18" ht="24">
      <c r="A16644" s="501">
        <v>93</v>
      </c>
      <c r="B16644" s="498" t="s">
        <v>29860</v>
      </c>
      <c r="C16644" s="502" t="s">
        <v>29861</v>
      </c>
      <c r="D16644" s="503">
        <v>10656.97</v>
      </c>
      <c r="E16644" s="503">
        <v>5624.2</v>
      </c>
      <c r="F16644" s="503">
        <v>4184.68</v>
      </c>
      <c r="G16644" s="503">
        <v>848.09</v>
      </c>
      <c r="H16644" s="504">
        <v>91381.72</v>
      </c>
      <c r="I16644" s="504">
        <v>64678.3</v>
      </c>
      <c r="J16644" s="504">
        <v>21378.06</v>
      </c>
      <c r="K16644" s="504">
        <v>5325.36</v>
      </c>
      <c r="L16644" s="43">
        <v>8.5748313075855531</v>
      </c>
      <c r="M16644" s="43">
        <v>11.500000000000002</v>
      </c>
      <c r="N16644" s="43">
        <v>5.1086486899834638</v>
      </c>
      <c r="O16644" s="43">
        <v>6.2792392316853158</v>
      </c>
      <c r="P16644" s="505"/>
      <c r="Q16644" s="505"/>
      <c r="R16644" s="505">
        <v>1</v>
      </c>
    </row>
    <row r="16645" spans="1:18" ht="24">
      <c r="A16645" s="501">
        <v>94</v>
      </c>
      <c r="B16645" s="498" t="s">
        <v>29862</v>
      </c>
      <c r="C16645" s="502" t="s">
        <v>29863</v>
      </c>
      <c r="D16645" s="503">
        <v>680.16</v>
      </c>
      <c r="E16645" s="503">
        <v>406.26</v>
      </c>
      <c r="F16645" s="503">
        <v>149.94999999999999</v>
      </c>
      <c r="G16645" s="503">
        <v>123.95</v>
      </c>
      <c r="H16645" s="504">
        <v>6024.83</v>
      </c>
      <c r="I16645" s="504">
        <v>4671.99</v>
      </c>
      <c r="J16645" s="504">
        <v>795.14</v>
      </c>
      <c r="K16645" s="504">
        <v>557.70000000000005</v>
      </c>
      <c r="L16645" s="43">
        <v>8.8579598917901681</v>
      </c>
      <c r="M16645" s="43">
        <v>11.5</v>
      </c>
      <c r="N16645" s="43">
        <v>5.3027009003001</v>
      </c>
      <c r="O16645" s="43">
        <v>4.4993949173053656</v>
      </c>
      <c r="P16645" s="505"/>
      <c r="Q16645" s="505"/>
      <c r="R16645" s="505">
        <v>1</v>
      </c>
    </row>
    <row r="16646" spans="1:18" ht="24">
      <c r="A16646" s="501">
        <v>95</v>
      </c>
      <c r="B16646" s="498" t="s">
        <v>29864</v>
      </c>
      <c r="C16646" s="502" t="s">
        <v>29865</v>
      </c>
      <c r="D16646" s="503">
        <v>5547.73</v>
      </c>
      <c r="E16646" s="503">
        <v>445.94</v>
      </c>
      <c r="F16646" s="503">
        <v>3647.58</v>
      </c>
      <c r="G16646" s="503">
        <v>1454.21</v>
      </c>
      <c r="H16646" s="504">
        <v>29743.599999999999</v>
      </c>
      <c r="I16646" s="504">
        <v>5128.33</v>
      </c>
      <c r="J16646" s="504">
        <v>19115.75</v>
      </c>
      <c r="K16646" s="504">
        <v>5499.52</v>
      </c>
      <c r="L16646" s="43">
        <v>5.3614000681359766</v>
      </c>
      <c r="M16646" s="43">
        <v>11.500044849082837</v>
      </c>
      <c r="N16646" s="43">
        <v>5.2406664144446458</v>
      </c>
      <c r="O16646" s="43">
        <v>3.7817921758205486</v>
      </c>
      <c r="P16646" s="505"/>
      <c r="Q16646" s="505"/>
      <c r="R16646" s="505">
        <v>1</v>
      </c>
    </row>
    <row r="16647" spans="1:18" ht="24">
      <c r="A16647" s="501">
        <v>96</v>
      </c>
      <c r="B16647" s="498" t="s">
        <v>29866</v>
      </c>
      <c r="C16647" s="502" t="s">
        <v>29867</v>
      </c>
      <c r="D16647" s="503">
        <v>8967.73</v>
      </c>
      <c r="E16647" s="503">
        <v>7773.6</v>
      </c>
      <c r="F16647" s="503">
        <v>232.55</v>
      </c>
      <c r="G16647" s="503">
        <v>961.58</v>
      </c>
      <c r="H16647" s="504">
        <v>99036.54</v>
      </c>
      <c r="I16647" s="504">
        <v>89399.679999999993</v>
      </c>
      <c r="J16647" s="504">
        <v>1202.3900000000001</v>
      </c>
      <c r="K16647" s="504">
        <v>8434.4699999999993</v>
      </c>
      <c r="L16647" s="43">
        <v>11.043657648033561</v>
      </c>
      <c r="M16647" s="43">
        <v>11.500421940928268</v>
      </c>
      <c r="N16647" s="43">
        <v>5.1704579660288115</v>
      </c>
      <c r="O16647" s="43">
        <v>8.7714698725015072</v>
      </c>
      <c r="P16647" s="505"/>
      <c r="Q16647" s="505"/>
      <c r="R16647" s="505">
        <v>1</v>
      </c>
    </row>
    <row r="16648" spans="1:18" ht="24">
      <c r="A16648" s="501">
        <v>97</v>
      </c>
      <c r="B16648" s="498" t="s">
        <v>29868</v>
      </c>
      <c r="C16648" s="502" t="s">
        <v>29869</v>
      </c>
      <c r="D16648" s="503">
        <v>9250.2999999999993</v>
      </c>
      <c r="E16648" s="503">
        <v>7175.94</v>
      </c>
      <c r="F16648" s="503">
        <v>849.67</v>
      </c>
      <c r="G16648" s="503">
        <v>1224.69</v>
      </c>
      <c r="H16648" s="504">
        <v>92838.02</v>
      </c>
      <c r="I16648" s="504">
        <v>82523.31</v>
      </c>
      <c r="J16648" s="504">
        <v>4400.83</v>
      </c>
      <c r="K16648" s="504">
        <v>5913.88</v>
      </c>
      <c r="L16648" s="43">
        <v>10.036217203766366</v>
      </c>
      <c r="M16648" s="43">
        <v>11.5</v>
      </c>
      <c r="N16648" s="43">
        <v>5.1794579071874969</v>
      </c>
      <c r="O16648" s="43">
        <v>4.8288791449264714</v>
      </c>
      <c r="P16648" s="505"/>
      <c r="Q16648" s="505"/>
      <c r="R16648" s="505">
        <v>1</v>
      </c>
    </row>
    <row r="16649" spans="1:18" ht="24">
      <c r="A16649" s="501">
        <v>98</v>
      </c>
      <c r="B16649" s="498" t="s">
        <v>29870</v>
      </c>
      <c r="C16649" s="502" t="s">
        <v>29871</v>
      </c>
      <c r="D16649" s="503">
        <v>2630.41</v>
      </c>
      <c r="E16649" s="503">
        <v>1538.56</v>
      </c>
      <c r="F16649" s="503">
        <v>589.4</v>
      </c>
      <c r="G16649" s="503">
        <v>502.45</v>
      </c>
      <c r="H16649" s="504">
        <v>23165.82</v>
      </c>
      <c r="I16649" s="504">
        <v>17693.439999999999</v>
      </c>
      <c r="J16649" s="504">
        <v>3165.56</v>
      </c>
      <c r="K16649" s="504">
        <v>2306.8200000000002</v>
      </c>
      <c r="L16649" s="43">
        <v>8.8069236354788796</v>
      </c>
      <c r="M16649" s="43">
        <v>11.5</v>
      </c>
      <c r="N16649" s="43">
        <v>5.3708177807940283</v>
      </c>
      <c r="O16649" s="43">
        <v>4.5911433973529707</v>
      </c>
      <c r="P16649" s="505"/>
      <c r="Q16649" s="505"/>
      <c r="R16649" s="505">
        <v>1</v>
      </c>
    </row>
    <row r="16650" spans="1:18" ht="24">
      <c r="A16650" s="501">
        <v>99</v>
      </c>
      <c r="B16650" s="498" t="s">
        <v>29872</v>
      </c>
      <c r="C16650" s="502" t="s">
        <v>29873</v>
      </c>
      <c r="D16650" s="503">
        <v>1649.91</v>
      </c>
      <c r="E16650" s="503">
        <v>969.33</v>
      </c>
      <c r="F16650" s="503">
        <v>535.25</v>
      </c>
      <c r="G16650" s="503">
        <v>145.33000000000001</v>
      </c>
      <c r="H16650" s="504">
        <v>14630.79</v>
      </c>
      <c r="I16650" s="504">
        <v>11147.7</v>
      </c>
      <c r="J16650" s="504">
        <v>2701.53</v>
      </c>
      <c r="K16650" s="504">
        <v>781.56</v>
      </c>
      <c r="L16650" s="43">
        <v>8.8676291434078216</v>
      </c>
      <c r="M16650" s="43">
        <v>11.500417814366624</v>
      </c>
      <c r="N16650" s="43">
        <v>5.0472302662307333</v>
      </c>
      <c r="O16650" s="43">
        <v>5.3778297667377686</v>
      </c>
      <c r="P16650" s="505"/>
      <c r="Q16650" s="505"/>
      <c r="R16650" s="505">
        <v>1</v>
      </c>
    </row>
    <row r="16651" spans="1:18" ht="24">
      <c r="A16651" s="501">
        <v>100</v>
      </c>
      <c r="B16651" s="498" t="s">
        <v>29874</v>
      </c>
      <c r="C16651" s="502" t="s">
        <v>29875</v>
      </c>
      <c r="D16651" s="503">
        <v>32858.03</v>
      </c>
      <c r="E16651" s="503">
        <v>16791.45</v>
      </c>
      <c r="F16651" s="503">
        <v>13077.75</v>
      </c>
      <c r="G16651" s="503">
        <v>2988.83</v>
      </c>
      <c r="H16651" s="504">
        <v>279686.51</v>
      </c>
      <c r="I16651" s="504">
        <v>193108.76</v>
      </c>
      <c r="J16651" s="504">
        <v>66899.199999999997</v>
      </c>
      <c r="K16651" s="504">
        <v>19678.55</v>
      </c>
      <c r="L16651" s="43">
        <v>8.5119683072904859</v>
      </c>
      <c r="M16651" s="43">
        <v>11.50042194092827</v>
      </c>
      <c r="N16651" s="43">
        <v>5.1154976964691938</v>
      </c>
      <c r="O16651" s="43">
        <v>6.5840312095368425</v>
      </c>
      <c r="P16651" s="505"/>
      <c r="Q16651" s="505"/>
      <c r="R16651" s="505">
        <v>1</v>
      </c>
    </row>
    <row r="16652" spans="1:18" ht="24">
      <c r="A16652" s="501">
        <v>101</v>
      </c>
      <c r="B16652" s="498" t="s">
        <v>29876</v>
      </c>
      <c r="C16652" s="502" t="s">
        <v>29877</v>
      </c>
      <c r="D16652" s="503">
        <v>22290.11</v>
      </c>
      <c r="E16652" s="503">
        <v>16443.36</v>
      </c>
      <c r="F16652" s="503">
        <v>3836.82</v>
      </c>
      <c r="G16652" s="503">
        <v>2009.93</v>
      </c>
      <c r="H16652" s="504">
        <v>220061.04</v>
      </c>
      <c r="I16652" s="504">
        <v>189098.64</v>
      </c>
      <c r="J16652" s="504">
        <v>18435.669999999998</v>
      </c>
      <c r="K16652" s="504">
        <v>12526.73</v>
      </c>
      <c r="L16652" s="43">
        <v>9.8725865417442975</v>
      </c>
      <c r="M16652" s="43">
        <v>11.5</v>
      </c>
      <c r="N16652" s="43">
        <v>4.8049348158110092</v>
      </c>
      <c r="O16652" s="43">
        <v>6.2324210295880951</v>
      </c>
      <c r="P16652" s="505"/>
      <c r="Q16652" s="505"/>
      <c r="R16652" s="505">
        <v>1</v>
      </c>
    </row>
    <row r="16653" spans="1:18" ht="24">
      <c r="A16653" s="501">
        <v>102</v>
      </c>
      <c r="B16653" s="498" t="s">
        <v>29878</v>
      </c>
      <c r="C16653" s="502" t="s">
        <v>29879</v>
      </c>
      <c r="D16653" s="503">
        <v>2139.2800000000002</v>
      </c>
      <c r="E16653" s="503">
        <v>1236.1500000000001</v>
      </c>
      <c r="F16653" s="503">
        <v>568.41999999999996</v>
      </c>
      <c r="G16653" s="503">
        <v>334.71</v>
      </c>
      <c r="H16653" s="504">
        <v>18669.8</v>
      </c>
      <c r="I16653" s="504">
        <v>14216.22</v>
      </c>
      <c r="J16653" s="504">
        <v>2940.21</v>
      </c>
      <c r="K16653" s="504">
        <v>1513.37</v>
      </c>
      <c r="L16653" s="43">
        <v>8.7271418421151026</v>
      </c>
      <c r="M16653" s="43">
        <v>11.500400436840188</v>
      </c>
      <c r="N16653" s="43">
        <v>5.1726012455578623</v>
      </c>
      <c r="O16653" s="43">
        <v>4.5214364673896803</v>
      </c>
      <c r="P16653" s="505"/>
      <c r="Q16653" s="505"/>
      <c r="R16653" s="505">
        <v>1</v>
      </c>
    </row>
    <row r="16654" spans="1:18" ht="12.75" customHeight="1">
      <c r="A16654" s="628" t="s">
        <v>29880</v>
      </c>
      <c r="B16654" s="629"/>
      <c r="C16654" s="629"/>
      <c r="D16654" s="629"/>
      <c r="E16654" s="629"/>
      <c r="F16654" s="629"/>
      <c r="G16654" s="629"/>
      <c r="H16654" s="629"/>
      <c r="I16654" s="629"/>
      <c r="J16654" s="629"/>
      <c r="K16654" s="629"/>
      <c r="L16654" s="629"/>
      <c r="M16654" s="629"/>
      <c r="N16654" s="629"/>
      <c r="O16654" s="629"/>
      <c r="P16654" s="629"/>
      <c r="Q16654" s="629"/>
      <c r="R16654" s="629"/>
    </row>
    <row r="16655" spans="1:18" ht="24">
      <c r="A16655" s="501">
        <v>103</v>
      </c>
      <c r="B16655" s="498" t="s">
        <v>29881</v>
      </c>
      <c r="C16655" s="502" t="s">
        <v>29882</v>
      </c>
      <c r="D16655" s="503">
        <v>615.61</v>
      </c>
      <c r="E16655" s="503">
        <v>306.85000000000002</v>
      </c>
      <c r="F16655" s="503">
        <v>196.32</v>
      </c>
      <c r="G16655" s="503">
        <v>112.44</v>
      </c>
      <c r="H16655" s="504">
        <v>5078.2299999999996</v>
      </c>
      <c r="I16655" s="504">
        <v>3528.8</v>
      </c>
      <c r="J16655" s="504">
        <v>1031.99</v>
      </c>
      <c r="K16655" s="504">
        <v>517.44000000000005</v>
      </c>
      <c r="L16655" s="43">
        <v>8.2491025162034397</v>
      </c>
      <c r="M16655" s="43">
        <v>11.500081473032425</v>
      </c>
      <c r="N16655" s="43">
        <v>5.256672779136105</v>
      </c>
      <c r="O16655" s="43">
        <v>4.6019210245464253</v>
      </c>
      <c r="P16655" s="505"/>
      <c r="Q16655" s="505"/>
      <c r="R16655" s="505">
        <v>2</v>
      </c>
    </row>
    <row r="16656" spans="1:18" ht="24">
      <c r="A16656" s="501">
        <v>104</v>
      </c>
      <c r="B16656" s="498" t="s">
        <v>29883</v>
      </c>
      <c r="C16656" s="502" t="s">
        <v>29884</v>
      </c>
      <c r="D16656" s="503">
        <v>546.94000000000005</v>
      </c>
      <c r="E16656" s="503">
        <v>269.76</v>
      </c>
      <c r="F16656" s="503">
        <v>148.19</v>
      </c>
      <c r="G16656" s="503">
        <v>128.99</v>
      </c>
      <c r="H16656" s="504">
        <v>4440.08</v>
      </c>
      <c r="I16656" s="504">
        <v>3102.24</v>
      </c>
      <c r="J16656" s="504">
        <v>787.62</v>
      </c>
      <c r="K16656" s="504">
        <v>550.22</v>
      </c>
      <c r="L16656" s="43">
        <v>8.118038541704756</v>
      </c>
      <c r="M16656" s="43">
        <v>11.5</v>
      </c>
      <c r="N16656" s="43">
        <v>5.314933531277414</v>
      </c>
      <c r="O16656" s="43">
        <v>4.2656019846499724</v>
      </c>
      <c r="P16656" s="505"/>
      <c r="Q16656" s="505"/>
      <c r="R16656" s="505">
        <v>2</v>
      </c>
    </row>
    <row r="16657" spans="1:18" ht="24">
      <c r="A16657" s="501">
        <v>105</v>
      </c>
      <c r="B16657" s="498" t="s">
        <v>29885</v>
      </c>
      <c r="C16657" s="502" t="s">
        <v>29886</v>
      </c>
      <c r="D16657" s="503">
        <v>779.46</v>
      </c>
      <c r="E16657" s="503">
        <v>402.16</v>
      </c>
      <c r="F16657" s="503">
        <v>225.14</v>
      </c>
      <c r="G16657" s="503">
        <v>152.16</v>
      </c>
      <c r="H16657" s="504">
        <v>6855.15</v>
      </c>
      <c r="I16657" s="504">
        <v>4624.8900000000003</v>
      </c>
      <c r="J16657" s="504">
        <v>1175.95</v>
      </c>
      <c r="K16657" s="504">
        <v>1054.31</v>
      </c>
      <c r="L16657" s="43">
        <v>8.7947425140481865</v>
      </c>
      <c r="M16657" s="43">
        <v>11.500124328625423</v>
      </c>
      <c r="N16657" s="43">
        <v>5.2231944567824469</v>
      </c>
      <c r="O16657" s="43">
        <v>6.9289563617245005</v>
      </c>
      <c r="P16657" s="505"/>
      <c r="Q16657" s="505"/>
      <c r="R16657" s="505">
        <v>2</v>
      </c>
    </row>
    <row r="16658" spans="1:18" ht="24">
      <c r="A16658" s="501">
        <v>106</v>
      </c>
      <c r="B16658" s="498" t="s">
        <v>29887</v>
      </c>
      <c r="C16658" s="502" t="s">
        <v>29888</v>
      </c>
      <c r="D16658" s="503">
        <v>628.54</v>
      </c>
      <c r="E16658" s="503">
        <v>284.01</v>
      </c>
      <c r="F16658" s="503">
        <v>195.07</v>
      </c>
      <c r="G16658" s="503">
        <v>149.46</v>
      </c>
      <c r="H16658" s="504">
        <v>5313.93</v>
      </c>
      <c r="I16658" s="504">
        <v>3266.09</v>
      </c>
      <c r="J16658" s="504">
        <v>1023.65</v>
      </c>
      <c r="K16658" s="504">
        <v>1024.19</v>
      </c>
      <c r="L16658" s="43">
        <v>8.4544022655678255</v>
      </c>
      <c r="M16658" s="43">
        <v>11.499911974930461</v>
      </c>
      <c r="N16658" s="43">
        <v>5.24760342441175</v>
      </c>
      <c r="O16658" s="43">
        <v>6.852602703064365</v>
      </c>
      <c r="P16658" s="505"/>
      <c r="Q16658" s="505"/>
      <c r="R16658" s="505">
        <v>2</v>
      </c>
    </row>
    <row r="16659" spans="1:18" ht="24">
      <c r="A16659" s="501">
        <v>107</v>
      </c>
      <c r="B16659" s="498" t="s">
        <v>29889</v>
      </c>
      <c r="C16659" s="502" t="s">
        <v>29890</v>
      </c>
      <c r="D16659" s="503">
        <v>535.72</v>
      </c>
      <c r="E16659" s="503">
        <v>236.31</v>
      </c>
      <c r="F16659" s="503">
        <v>155.32</v>
      </c>
      <c r="G16659" s="503">
        <v>144.09</v>
      </c>
      <c r="H16659" s="504">
        <v>4471.6099999999997</v>
      </c>
      <c r="I16659" s="504">
        <v>2717.59</v>
      </c>
      <c r="J16659" s="504">
        <v>779.49</v>
      </c>
      <c r="K16659" s="504">
        <v>974.53</v>
      </c>
      <c r="L16659" s="43">
        <v>8.3469162995594708</v>
      </c>
      <c r="M16659" s="43">
        <v>11.500105793237697</v>
      </c>
      <c r="N16659" s="43">
        <v>5.0186067473602884</v>
      </c>
      <c r="O16659" s="43">
        <v>6.7633423554722736</v>
      </c>
      <c r="P16659" s="505"/>
      <c r="Q16659" s="505"/>
      <c r="R16659" s="505">
        <v>2</v>
      </c>
    </row>
    <row r="16660" spans="1:18" ht="24">
      <c r="A16660" s="501">
        <v>108</v>
      </c>
      <c r="B16660" s="498" t="s">
        <v>29891</v>
      </c>
      <c r="C16660" s="502" t="s">
        <v>29892</v>
      </c>
      <c r="D16660" s="503">
        <v>4517.49</v>
      </c>
      <c r="E16660" s="503">
        <v>612.58000000000004</v>
      </c>
      <c r="F16660" s="503">
        <v>3677.64</v>
      </c>
      <c r="G16660" s="503">
        <v>227.27</v>
      </c>
      <c r="H16660" s="504">
        <v>28360.34</v>
      </c>
      <c r="I16660" s="504">
        <v>7044.67</v>
      </c>
      <c r="J16660" s="504">
        <v>19871.849999999999</v>
      </c>
      <c r="K16660" s="504">
        <v>1443.82</v>
      </c>
      <c r="L16660" s="43">
        <v>6.2778976821199386</v>
      </c>
      <c r="M16660" s="43">
        <v>11.5</v>
      </c>
      <c r="N16660" s="43">
        <v>5.403424478741802</v>
      </c>
      <c r="O16660" s="43">
        <v>6.3528842346108148</v>
      </c>
      <c r="P16660" s="505"/>
      <c r="Q16660" s="505"/>
      <c r="R16660" s="505">
        <v>2</v>
      </c>
    </row>
    <row r="16661" spans="1:18" ht="12.75" customHeight="1">
      <c r="A16661" s="628" t="s">
        <v>29893</v>
      </c>
      <c r="B16661" s="629"/>
      <c r="C16661" s="629"/>
      <c r="D16661" s="629"/>
      <c r="E16661" s="629"/>
      <c r="F16661" s="629"/>
      <c r="G16661" s="629"/>
      <c r="H16661" s="629"/>
      <c r="I16661" s="629"/>
      <c r="J16661" s="629"/>
      <c r="K16661" s="629"/>
      <c r="L16661" s="629"/>
      <c r="M16661" s="629"/>
      <c r="N16661" s="629"/>
      <c r="O16661" s="629"/>
      <c r="P16661" s="629"/>
      <c r="Q16661" s="629"/>
      <c r="R16661" s="629"/>
    </row>
    <row r="16662" spans="1:18" ht="24">
      <c r="A16662" s="501">
        <v>109</v>
      </c>
      <c r="B16662" s="498" t="s">
        <v>29894</v>
      </c>
      <c r="C16662" s="502" t="s">
        <v>29895</v>
      </c>
      <c r="D16662" s="503">
        <v>4078.31</v>
      </c>
      <c r="E16662" s="503">
        <v>1753.44</v>
      </c>
      <c r="F16662" s="503">
        <v>1485.9</v>
      </c>
      <c r="G16662" s="503">
        <v>838.97</v>
      </c>
      <c r="H16662" s="504">
        <v>31710.18</v>
      </c>
      <c r="I16662" s="504">
        <v>20164.560000000001</v>
      </c>
      <c r="J16662" s="504">
        <v>7863.22</v>
      </c>
      <c r="K16662" s="504">
        <v>3682.4</v>
      </c>
      <c r="L16662" s="43">
        <v>7.7753236021783536</v>
      </c>
      <c r="M16662" s="43">
        <v>11.5</v>
      </c>
      <c r="N16662" s="43">
        <v>5.2918904367723263</v>
      </c>
      <c r="O16662" s="43">
        <v>4.389191508635589</v>
      </c>
      <c r="P16662" s="505"/>
      <c r="Q16662" s="505"/>
      <c r="R16662" s="505">
        <v>3</v>
      </c>
    </row>
    <row r="16663" spans="1:18" ht="24">
      <c r="A16663" s="501">
        <v>110</v>
      </c>
      <c r="B16663" s="498" t="s">
        <v>29896</v>
      </c>
      <c r="C16663" s="502" t="s">
        <v>29897</v>
      </c>
      <c r="D16663" s="503">
        <v>19131</v>
      </c>
      <c r="E16663" s="503">
        <v>11700.84</v>
      </c>
      <c r="F16663" s="503">
        <v>5097.26</v>
      </c>
      <c r="G16663" s="503">
        <v>2332.9</v>
      </c>
      <c r="H16663" s="504">
        <v>172404.51</v>
      </c>
      <c r="I16663" s="504">
        <v>134559.66</v>
      </c>
      <c r="J16663" s="504">
        <v>26205.59</v>
      </c>
      <c r="K16663" s="504">
        <v>11639.26</v>
      </c>
      <c r="L16663" s="43">
        <v>9.0117876744550731</v>
      </c>
      <c r="M16663" s="43">
        <v>11.5</v>
      </c>
      <c r="N16663" s="43">
        <v>5.1411130685897914</v>
      </c>
      <c r="O16663" s="43">
        <v>4.9891808478717472</v>
      </c>
      <c r="P16663" s="505"/>
      <c r="Q16663" s="505"/>
      <c r="R16663" s="505">
        <v>3</v>
      </c>
    </row>
    <row r="16664" spans="1:18" ht="24">
      <c r="A16664" s="501">
        <v>111</v>
      </c>
      <c r="B16664" s="498" t="s">
        <v>29898</v>
      </c>
      <c r="C16664" s="502" t="s">
        <v>29899</v>
      </c>
      <c r="D16664" s="503">
        <v>7425.55</v>
      </c>
      <c r="E16664" s="503">
        <v>3372</v>
      </c>
      <c r="F16664" s="503">
        <v>2572.35</v>
      </c>
      <c r="G16664" s="503">
        <v>1481.2</v>
      </c>
      <c r="H16664" s="504">
        <v>59630.15</v>
      </c>
      <c r="I16664" s="504">
        <v>38778</v>
      </c>
      <c r="J16664" s="504">
        <v>13501.87</v>
      </c>
      <c r="K16664" s="504">
        <v>7350.28</v>
      </c>
      <c r="L16664" s="43">
        <v>8.030401788419713</v>
      </c>
      <c r="M16664" s="43">
        <v>11.5</v>
      </c>
      <c r="N16664" s="43">
        <v>5.2488463856007161</v>
      </c>
      <c r="O16664" s="43">
        <v>4.9623818525519843</v>
      </c>
      <c r="P16664" s="505"/>
      <c r="Q16664" s="505"/>
      <c r="R16664" s="505">
        <v>3</v>
      </c>
    </row>
    <row r="16665" spans="1:18" ht="24">
      <c r="A16665" s="501">
        <v>112</v>
      </c>
      <c r="B16665" s="498" t="s">
        <v>29900</v>
      </c>
      <c r="C16665" s="502" t="s">
        <v>29901</v>
      </c>
      <c r="D16665" s="503">
        <v>56574.720000000001</v>
      </c>
      <c r="E16665" s="503">
        <v>15387.56</v>
      </c>
      <c r="F16665" s="503">
        <v>38061.61</v>
      </c>
      <c r="G16665" s="503">
        <v>3125.55</v>
      </c>
      <c r="H16665" s="504">
        <v>395342.9</v>
      </c>
      <c r="I16665" s="504">
        <v>176956.94</v>
      </c>
      <c r="J16665" s="504">
        <v>197420.23</v>
      </c>
      <c r="K16665" s="504">
        <v>20965.73</v>
      </c>
      <c r="L16665" s="43">
        <v>6.987978022692821</v>
      </c>
      <c r="M16665" s="43">
        <v>11.5</v>
      </c>
      <c r="N16665" s="43">
        <v>5.1868596730406313</v>
      </c>
      <c r="O16665" s="43">
        <v>6.7078530178688549</v>
      </c>
      <c r="P16665" s="505"/>
      <c r="Q16665" s="505"/>
      <c r="R16665" s="505">
        <v>3</v>
      </c>
    </row>
    <row r="16666" spans="1:18" ht="24">
      <c r="A16666" s="501">
        <v>113</v>
      </c>
      <c r="B16666" s="498" t="s">
        <v>29902</v>
      </c>
      <c r="C16666" s="502" t="s">
        <v>29903</v>
      </c>
      <c r="D16666" s="503">
        <v>2789.42</v>
      </c>
      <c r="E16666" s="503">
        <v>1663.52</v>
      </c>
      <c r="F16666" s="503">
        <v>804.15</v>
      </c>
      <c r="G16666" s="503">
        <v>321.75</v>
      </c>
      <c r="H16666" s="504">
        <v>24865.83</v>
      </c>
      <c r="I16666" s="504">
        <v>19130.48</v>
      </c>
      <c r="J16666" s="504">
        <v>4008.54</v>
      </c>
      <c r="K16666" s="504">
        <v>1726.81</v>
      </c>
      <c r="L16666" s="43">
        <v>8.9143370306371938</v>
      </c>
      <c r="M16666" s="43">
        <v>11.5</v>
      </c>
      <c r="N16666" s="43">
        <v>4.9848162656220856</v>
      </c>
      <c r="O16666" s="43">
        <v>5.3669308469308463</v>
      </c>
      <c r="P16666" s="505"/>
      <c r="Q16666" s="505"/>
      <c r="R16666" s="505">
        <v>3</v>
      </c>
    </row>
    <row r="16667" spans="1:18" ht="24">
      <c r="A16667" s="501">
        <v>114</v>
      </c>
      <c r="B16667" s="498" t="s">
        <v>29904</v>
      </c>
      <c r="C16667" s="502" t="s">
        <v>29905</v>
      </c>
      <c r="D16667" s="503">
        <v>6260.87</v>
      </c>
      <c r="E16667" s="503">
        <v>4035.16</v>
      </c>
      <c r="F16667" s="503">
        <v>1753.85</v>
      </c>
      <c r="G16667" s="503">
        <v>471.86</v>
      </c>
      <c r="H16667" s="504">
        <v>57664.45</v>
      </c>
      <c r="I16667" s="504">
        <v>46404.34</v>
      </c>
      <c r="J16667" s="504">
        <v>8403.14</v>
      </c>
      <c r="K16667" s="504">
        <v>2856.97</v>
      </c>
      <c r="L16667" s="43">
        <v>9.2102934576185103</v>
      </c>
      <c r="M16667" s="43">
        <v>11.5</v>
      </c>
      <c r="N16667" s="43">
        <v>4.7912535279527892</v>
      </c>
      <c r="O16667" s="43">
        <v>6.0546984274996811</v>
      </c>
      <c r="P16667" s="505"/>
      <c r="Q16667" s="505"/>
      <c r="R16667" s="505">
        <v>3</v>
      </c>
    </row>
    <row r="16668" spans="1:18" ht="24">
      <c r="A16668" s="501">
        <v>115</v>
      </c>
      <c r="B16668" s="498" t="s">
        <v>29906</v>
      </c>
      <c r="C16668" s="502" t="s">
        <v>29907</v>
      </c>
      <c r="D16668" s="503">
        <v>24833.919999999998</v>
      </c>
      <c r="E16668" s="503">
        <v>13600.4</v>
      </c>
      <c r="F16668" s="503">
        <v>7905.83</v>
      </c>
      <c r="G16668" s="503">
        <v>3327.69</v>
      </c>
      <c r="H16668" s="504">
        <v>212110.18</v>
      </c>
      <c r="I16668" s="504">
        <v>156404.6</v>
      </c>
      <c r="J16668" s="504">
        <v>40336.5</v>
      </c>
      <c r="K16668" s="504">
        <v>15369.08</v>
      </c>
      <c r="L16668" s="43">
        <v>8.5411477527510762</v>
      </c>
      <c r="M16668" s="43">
        <v>11.5</v>
      </c>
      <c r="N16668" s="43">
        <v>5.1021208399371094</v>
      </c>
      <c r="O16668" s="43">
        <v>4.6185431936268104</v>
      </c>
      <c r="P16668" s="505"/>
      <c r="Q16668" s="505"/>
      <c r="R16668" s="505">
        <v>3</v>
      </c>
    </row>
    <row r="16669" spans="1:18" ht="24">
      <c r="A16669" s="501">
        <v>116</v>
      </c>
      <c r="B16669" s="498" t="s">
        <v>29908</v>
      </c>
      <c r="C16669" s="502" t="s">
        <v>29909</v>
      </c>
      <c r="D16669" s="503">
        <v>15989.41</v>
      </c>
      <c r="E16669" s="503">
        <v>3108</v>
      </c>
      <c r="F16669" s="503">
        <v>11507.37</v>
      </c>
      <c r="G16669" s="503">
        <v>1374.04</v>
      </c>
      <c r="H16669" s="504">
        <v>103588.37</v>
      </c>
      <c r="I16669" s="504">
        <v>35742</v>
      </c>
      <c r="J16669" s="504">
        <v>61933.06</v>
      </c>
      <c r="K16669" s="504">
        <v>5913.31</v>
      </c>
      <c r="L16669" s="43">
        <v>6.4785611226430495</v>
      </c>
      <c r="M16669" s="43">
        <v>11.5</v>
      </c>
      <c r="N16669" s="43">
        <v>5.382034296281426</v>
      </c>
      <c r="O16669" s="43">
        <v>4.3035937818404122</v>
      </c>
      <c r="P16669" s="505"/>
      <c r="Q16669" s="505"/>
      <c r="R16669" s="505">
        <v>3</v>
      </c>
    </row>
    <row r="16670" spans="1:18" ht="24">
      <c r="A16670" s="501">
        <v>117</v>
      </c>
      <c r="B16670" s="498" t="s">
        <v>29910</v>
      </c>
      <c r="C16670" s="502" t="s">
        <v>29911</v>
      </c>
      <c r="D16670" s="503">
        <v>10982.98</v>
      </c>
      <c r="E16670" s="503">
        <v>5916.3</v>
      </c>
      <c r="F16670" s="503">
        <v>3228.76</v>
      </c>
      <c r="G16670" s="503">
        <v>1837.92</v>
      </c>
      <c r="H16670" s="504">
        <v>93377.93</v>
      </c>
      <c r="I16670" s="504">
        <v>68037.45</v>
      </c>
      <c r="J16670" s="504">
        <v>16933.14</v>
      </c>
      <c r="K16670" s="504">
        <v>8407.34</v>
      </c>
      <c r="L16670" s="43">
        <v>8.5020577293230062</v>
      </c>
      <c r="M16670" s="43">
        <v>11.5</v>
      </c>
      <c r="N16670" s="43">
        <v>5.2444715618379805</v>
      </c>
      <c r="O16670" s="43">
        <v>4.5743775572386172</v>
      </c>
      <c r="P16670" s="505"/>
      <c r="Q16670" s="505"/>
      <c r="R16670" s="505">
        <v>3</v>
      </c>
    </row>
    <row r="16671" spans="1:18" ht="12.75" customHeight="1">
      <c r="A16671" s="628" t="s">
        <v>19187</v>
      </c>
      <c r="B16671" s="629"/>
      <c r="C16671" s="629"/>
      <c r="D16671" s="629"/>
      <c r="E16671" s="629"/>
      <c r="F16671" s="629"/>
      <c r="G16671" s="629"/>
      <c r="H16671" s="629"/>
      <c r="I16671" s="629"/>
      <c r="J16671" s="629"/>
      <c r="K16671" s="629"/>
      <c r="L16671" s="629"/>
      <c r="M16671" s="629"/>
      <c r="N16671" s="629"/>
      <c r="O16671" s="629"/>
      <c r="P16671" s="629"/>
      <c r="Q16671" s="629"/>
      <c r="R16671" s="629"/>
    </row>
    <row r="16672" spans="1:18" ht="24">
      <c r="A16672" s="501">
        <v>118</v>
      </c>
      <c r="B16672" s="498" t="s">
        <v>29912</v>
      </c>
      <c r="C16672" s="502" t="s">
        <v>29913</v>
      </c>
      <c r="D16672" s="503">
        <v>1366.25</v>
      </c>
      <c r="E16672" s="503">
        <v>822.51</v>
      </c>
      <c r="F16672" s="503">
        <v>487.08</v>
      </c>
      <c r="G16672" s="503">
        <v>56.66</v>
      </c>
      <c r="H16672" s="504">
        <v>12379.34</v>
      </c>
      <c r="I16672" s="504">
        <v>9458.8700000000008</v>
      </c>
      <c r="J16672" s="504">
        <v>2561.1999999999998</v>
      </c>
      <c r="K16672" s="504">
        <v>359.27</v>
      </c>
      <c r="L16672" s="43">
        <v>9.060816102470266</v>
      </c>
      <c r="M16672" s="43">
        <v>11.500006078953449</v>
      </c>
      <c r="N16672" s="43">
        <v>5.2582737948591607</v>
      </c>
      <c r="O16672" s="43">
        <v>6.3408048005647721</v>
      </c>
      <c r="P16672" s="505"/>
      <c r="Q16672" s="505"/>
      <c r="R16672" s="505">
        <v>4</v>
      </c>
    </row>
    <row r="16673" spans="1:18" ht="24">
      <c r="A16673" s="501">
        <v>119</v>
      </c>
      <c r="B16673" s="498" t="s">
        <v>29914</v>
      </c>
      <c r="C16673" s="502" t="s">
        <v>29915</v>
      </c>
      <c r="D16673" s="503">
        <v>2083.4</v>
      </c>
      <c r="E16673" s="503">
        <v>1132.2</v>
      </c>
      <c r="F16673" s="503">
        <v>874.77</v>
      </c>
      <c r="G16673" s="503">
        <v>76.430000000000007</v>
      </c>
      <c r="H16673" s="504">
        <v>18202.169999999998</v>
      </c>
      <c r="I16673" s="504">
        <v>13020.3</v>
      </c>
      <c r="J16673" s="504">
        <v>4637.83</v>
      </c>
      <c r="K16673" s="504">
        <v>544.04</v>
      </c>
      <c r="L16673" s="43">
        <v>8.7367620236152437</v>
      </c>
      <c r="M16673" s="43">
        <v>11.499999999999998</v>
      </c>
      <c r="N16673" s="43">
        <v>5.3017707511688785</v>
      </c>
      <c r="O16673" s="43">
        <v>7.118147324349076</v>
      </c>
      <c r="P16673" s="505"/>
      <c r="Q16673" s="505"/>
      <c r="R16673" s="505">
        <v>4</v>
      </c>
    </row>
    <row r="16674" spans="1:18" ht="24">
      <c r="A16674" s="501">
        <v>120</v>
      </c>
      <c r="B16674" s="498" t="s">
        <v>29916</v>
      </c>
      <c r="C16674" s="502" t="s">
        <v>29917</v>
      </c>
      <c r="D16674" s="503">
        <v>2032.92</v>
      </c>
      <c r="E16674" s="503">
        <v>1140.8800000000001</v>
      </c>
      <c r="F16674" s="503">
        <v>810.22</v>
      </c>
      <c r="G16674" s="503">
        <v>81.819999999999993</v>
      </c>
      <c r="H16674" s="504">
        <v>17970.54</v>
      </c>
      <c r="I16674" s="504">
        <v>13120.64</v>
      </c>
      <c r="J16674" s="504">
        <v>4297.18</v>
      </c>
      <c r="K16674" s="504">
        <v>552.72</v>
      </c>
      <c r="L16674" s="43">
        <v>8.8397674281329319</v>
      </c>
      <c r="M16674" s="43">
        <v>11.500455788514127</v>
      </c>
      <c r="N16674" s="43">
        <v>5.3037199772901191</v>
      </c>
      <c r="O16674" s="43">
        <v>6.7553165485211446</v>
      </c>
      <c r="P16674" s="505"/>
      <c r="Q16674" s="505"/>
      <c r="R16674" s="505">
        <v>4</v>
      </c>
    </row>
    <row r="16675" spans="1:18" ht="24">
      <c r="A16675" s="501">
        <v>121</v>
      </c>
      <c r="B16675" s="498" t="s">
        <v>29918</v>
      </c>
      <c r="C16675" s="502" t="s">
        <v>29919</v>
      </c>
      <c r="D16675" s="503">
        <v>1726.51</v>
      </c>
      <c r="E16675" s="503">
        <v>1076.6099999999999</v>
      </c>
      <c r="F16675" s="503">
        <v>421.15</v>
      </c>
      <c r="G16675" s="503">
        <v>228.75</v>
      </c>
      <c r="H16675" s="504">
        <v>15441.92</v>
      </c>
      <c r="I16675" s="504">
        <v>12381.52</v>
      </c>
      <c r="J16675" s="504">
        <v>2036.66</v>
      </c>
      <c r="K16675" s="504">
        <v>1023.74</v>
      </c>
      <c r="L16675" s="43">
        <v>8.944008433197606</v>
      </c>
      <c r="M16675" s="43">
        <v>11.500469064935308</v>
      </c>
      <c r="N16675" s="43">
        <v>4.8359491867505646</v>
      </c>
      <c r="O16675" s="43">
        <v>4.4753661202185793</v>
      </c>
      <c r="P16675" s="505"/>
      <c r="Q16675" s="505"/>
      <c r="R16675" s="505">
        <v>4</v>
      </c>
    </row>
    <row r="16676" spans="1:18" ht="24">
      <c r="A16676" s="501">
        <v>122</v>
      </c>
      <c r="B16676" s="498" t="s">
        <v>29920</v>
      </c>
      <c r="C16676" s="502" t="s">
        <v>29921</v>
      </c>
      <c r="D16676" s="503">
        <v>967.62</v>
      </c>
      <c r="E16676" s="503">
        <v>500.96</v>
      </c>
      <c r="F16676" s="503">
        <v>302.94</v>
      </c>
      <c r="G16676" s="503">
        <v>163.72</v>
      </c>
      <c r="H16676" s="504">
        <v>8085.7</v>
      </c>
      <c r="I16676" s="504">
        <v>5761.3</v>
      </c>
      <c r="J16676" s="504">
        <v>1611.28</v>
      </c>
      <c r="K16676" s="504">
        <v>713.12</v>
      </c>
      <c r="L16676" s="43">
        <v>8.3562762241375736</v>
      </c>
      <c r="M16676" s="43">
        <v>11.500519003513256</v>
      </c>
      <c r="N16676" s="43">
        <v>5.3188090050835148</v>
      </c>
      <c r="O16676" s="43">
        <v>4.3557292939164425</v>
      </c>
      <c r="P16676" s="505"/>
      <c r="Q16676" s="505"/>
      <c r="R16676" s="505">
        <v>4</v>
      </c>
    </row>
    <row r="16677" spans="1:18" ht="24">
      <c r="A16677" s="501">
        <v>123</v>
      </c>
      <c r="B16677" s="498" t="s">
        <v>29922</v>
      </c>
      <c r="C16677" s="502" t="s">
        <v>29923</v>
      </c>
      <c r="D16677" s="503">
        <v>738.35</v>
      </c>
      <c r="E16677" s="503">
        <v>513.6</v>
      </c>
      <c r="F16677" s="503">
        <v>119.74</v>
      </c>
      <c r="G16677" s="503">
        <v>105.01</v>
      </c>
      <c r="H16677" s="504">
        <v>7012.38</v>
      </c>
      <c r="I16677" s="504">
        <v>5906.66</v>
      </c>
      <c r="J16677" s="504">
        <v>599.67999999999995</v>
      </c>
      <c r="K16677" s="504">
        <v>506.04</v>
      </c>
      <c r="L16677" s="43">
        <v>9.4973657479515126</v>
      </c>
      <c r="M16677" s="43">
        <v>11.500506230529595</v>
      </c>
      <c r="N16677" s="43">
        <v>5.0081843995323201</v>
      </c>
      <c r="O16677" s="43">
        <v>4.8189696219407674</v>
      </c>
      <c r="P16677" s="505"/>
      <c r="Q16677" s="505"/>
      <c r="R16677" s="505">
        <v>4</v>
      </c>
    </row>
    <row r="16678" spans="1:18" ht="24">
      <c r="A16678" s="501">
        <v>124</v>
      </c>
      <c r="B16678" s="498" t="s">
        <v>29924</v>
      </c>
      <c r="C16678" s="502" t="s">
        <v>29925</v>
      </c>
      <c r="D16678" s="503">
        <v>1301.8599999999999</v>
      </c>
      <c r="E16678" s="503">
        <v>832.88</v>
      </c>
      <c r="F16678" s="503">
        <v>303.32</v>
      </c>
      <c r="G16678" s="503">
        <v>165.66</v>
      </c>
      <c r="H16678" s="504">
        <v>11962.78</v>
      </c>
      <c r="I16678" s="504">
        <v>9578.17</v>
      </c>
      <c r="J16678" s="504">
        <v>1607.9</v>
      </c>
      <c r="K16678" s="504">
        <v>776.71</v>
      </c>
      <c r="L16678" s="43">
        <v>9.1889911357596059</v>
      </c>
      <c r="M16678" s="43">
        <v>11.500060032657766</v>
      </c>
      <c r="N16678" s="43">
        <v>5.3010022418567857</v>
      </c>
      <c r="O16678" s="43">
        <v>4.6885790172642769</v>
      </c>
      <c r="P16678" s="505"/>
      <c r="Q16678" s="505"/>
      <c r="R16678" s="505">
        <v>4</v>
      </c>
    </row>
    <row r="16679" spans="1:18" ht="24">
      <c r="A16679" s="501">
        <v>125</v>
      </c>
      <c r="B16679" s="498" t="s">
        <v>29926</v>
      </c>
      <c r="C16679" s="502" t="s">
        <v>29927</v>
      </c>
      <c r="D16679" s="503">
        <v>4238.8999999999996</v>
      </c>
      <c r="E16679" s="503">
        <v>1941.69</v>
      </c>
      <c r="F16679" s="503">
        <v>1454.92</v>
      </c>
      <c r="G16679" s="503">
        <v>842.29</v>
      </c>
      <c r="H16679" s="504">
        <v>34926.78</v>
      </c>
      <c r="I16679" s="504">
        <v>22330.32</v>
      </c>
      <c r="J16679" s="504">
        <v>7772.46</v>
      </c>
      <c r="K16679" s="504">
        <v>4824</v>
      </c>
      <c r="L16679" s="43">
        <v>8.2395857415839018</v>
      </c>
      <c r="M16679" s="43">
        <v>11.500455788514129</v>
      </c>
      <c r="N16679" s="43">
        <v>5.342190635911253</v>
      </c>
      <c r="O16679" s="43">
        <v>5.7272435859383348</v>
      </c>
      <c r="P16679" s="505"/>
      <c r="Q16679" s="505"/>
      <c r="R16679" s="505">
        <v>4</v>
      </c>
    </row>
    <row r="16680" spans="1:18" ht="24">
      <c r="A16680" s="501">
        <v>126</v>
      </c>
      <c r="B16680" s="498" t="s">
        <v>29928</v>
      </c>
      <c r="C16680" s="502" t="s">
        <v>29929</v>
      </c>
      <c r="D16680" s="503">
        <v>5919.68</v>
      </c>
      <c r="E16680" s="503">
        <v>2435.34</v>
      </c>
      <c r="F16680" s="503">
        <v>2731.12</v>
      </c>
      <c r="G16680" s="503">
        <v>753.22</v>
      </c>
      <c r="H16680" s="504">
        <v>46834.52</v>
      </c>
      <c r="I16680" s="504">
        <v>28007.52</v>
      </c>
      <c r="J16680" s="504">
        <v>14665.41</v>
      </c>
      <c r="K16680" s="504">
        <v>4161.59</v>
      </c>
      <c r="L16680" s="43">
        <v>7.9116641440077835</v>
      </c>
      <c r="M16680" s="43">
        <v>11.500455788514129</v>
      </c>
      <c r="N16680" s="43">
        <v>5.3697420838337386</v>
      </c>
      <c r="O16680" s="43">
        <v>5.5250657178513585</v>
      </c>
      <c r="P16680" s="505"/>
      <c r="Q16680" s="505"/>
      <c r="R16680" s="505">
        <v>4</v>
      </c>
    </row>
    <row r="16681" spans="1:18" ht="12.75" customHeight="1">
      <c r="A16681" s="628" t="s">
        <v>29930</v>
      </c>
      <c r="B16681" s="629"/>
      <c r="C16681" s="629"/>
      <c r="D16681" s="629"/>
      <c r="E16681" s="629"/>
      <c r="F16681" s="629"/>
      <c r="G16681" s="629"/>
      <c r="H16681" s="629"/>
      <c r="I16681" s="629"/>
      <c r="J16681" s="629"/>
      <c r="K16681" s="629"/>
      <c r="L16681" s="629"/>
      <c r="M16681" s="629"/>
      <c r="N16681" s="629"/>
      <c r="O16681" s="629"/>
      <c r="P16681" s="629"/>
      <c r="Q16681" s="629"/>
      <c r="R16681" s="629"/>
    </row>
    <row r="16682" spans="1:18" ht="24">
      <c r="A16682" s="501">
        <v>127</v>
      </c>
      <c r="B16682" s="498" t="s">
        <v>29931</v>
      </c>
      <c r="C16682" s="502" t="s">
        <v>29932</v>
      </c>
      <c r="D16682" s="503">
        <v>434.19</v>
      </c>
      <c r="E16682" s="503">
        <v>275.76</v>
      </c>
      <c r="F16682" s="503">
        <v>89.79</v>
      </c>
      <c r="G16682" s="503">
        <v>68.64</v>
      </c>
      <c r="H16682" s="504">
        <v>3916.88</v>
      </c>
      <c r="I16682" s="504">
        <v>3171.36</v>
      </c>
      <c r="J16682" s="504">
        <v>475.27</v>
      </c>
      <c r="K16682" s="504">
        <v>270.25</v>
      </c>
      <c r="L16682" s="43">
        <v>9.0211197862686845</v>
      </c>
      <c r="M16682" s="43">
        <v>11.500435161009575</v>
      </c>
      <c r="N16682" s="43">
        <v>5.2931284107361618</v>
      </c>
      <c r="O16682" s="43">
        <v>3.9372086247086249</v>
      </c>
      <c r="P16682" s="505"/>
      <c r="Q16682" s="505"/>
      <c r="R16682" s="505">
        <v>5</v>
      </c>
    </row>
    <row r="16683" spans="1:18" ht="24">
      <c r="A16683" s="501">
        <v>128</v>
      </c>
      <c r="B16683" s="498" t="s">
        <v>29933</v>
      </c>
      <c r="C16683" s="502" t="s">
        <v>29934</v>
      </c>
      <c r="D16683" s="503">
        <v>419.79</v>
      </c>
      <c r="E16683" s="503">
        <v>263.27999999999997</v>
      </c>
      <c r="F16683" s="503">
        <v>84.66</v>
      </c>
      <c r="G16683" s="503">
        <v>71.849999999999994</v>
      </c>
      <c r="H16683" s="504">
        <v>3749.3</v>
      </c>
      <c r="I16683" s="504">
        <v>3027.84</v>
      </c>
      <c r="J16683" s="504">
        <v>447.4</v>
      </c>
      <c r="K16683" s="504">
        <v>274.06</v>
      </c>
      <c r="L16683" s="43">
        <v>8.9313704471283266</v>
      </c>
      <c r="M16683" s="43">
        <v>11.500455788514131</v>
      </c>
      <c r="N16683" s="43">
        <v>5.28466808410111</v>
      </c>
      <c r="O16683" s="43">
        <v>3.8143354210160059</v>
      </c>
      <c r="P16683" s="505"/>
      <c r="Q16683" s="505"/>
      <c r="R16683" s="505">
        <v>5</v>
      </c>
    </row>
    <row r="16684" spans="1:18" ht="24">
      <c r="A16684" s="501">
        <v>129</v>
      </c>
      <c r="B16684" s="498" t="s">
        <v>29935</v>
      </c>
      <c r="C16684" s="502" t="s">
        <v>29936</v>
      </c>
      <c r="D16684" s="503">
        <v>970.31</v>
      </c>
      <c r="E16684" s="503">
        <v>651.48</v>
      </c>
      <c r="F16684" s="503">
        <v>210.7</v>
      </c>
      <c r="G16684" s="503">
        <v>108.13</v>
      </c>
      <c r="H16684" s="504">
        <v>9004.69</v>
      </c>
      <c r="I16684" s="504">
        <v>7492.34</v>
      </c>
      <c r="J16684" s="504">
        <v>1052.25</v>
      </c>
      <c r="K16684" s="504">
        <v>460.1</v>
      </c>
      <c r="L16684" s="43">
        <v>9.2802197235934916</v>
      </c>
      <c r="M16684" s="43">
        <v>11.500491189292074</v>
      </c>
      <c r="N16684" s="43">
        <v>4.9940673943996208</v>
      </c>
      <c r="O16684" s="43">
        <v>4.2550633496716923</v>
      </c>
      <c r="P16684" s="505"/>
      <c r="Q16684" s="505"/>
      <c r="R16684" s="505">
        <v>5</v>
      </c>
    </row>
    <row r="16685" spans="1:18" ht="24">
      <c r="A16685" s="501">
        <v>130</v>
      </c>
      <c r="B16685" s="498" t="s">
        <v>29937</v>
      </c>
      <c r="C16685" s="502" t="s">
        <v>29938</v>
      </c>
      <c r="D16685" s="503">
        <v>529.04</v>
      </c>
      <c r="E16685" s="503">
        <v>371.47</v>
      </c>
      <c r="F16685" s="503">
        <v>112.03</v>
      </c>
      <c r="G16685" s="503">
        <v>45.54</v>
      </c>
      <c r="H16685" s="504">
        <v>5072.49</v>
      </c>
      <c r="I16685" s="504">
        <v>4271.93</v>
      </c>
      <c r="J16685" s="504">
        <v>576.83000000000004</v>
      </c>
      <c r="K16685" s="504">
        <v>223.73</v>
      </c>
      <c r="L16685" s="43">
        <v>9.5881029789807961</v>
      </c>
      <c r="M16685" s="43">
        <v>11.500067300185748</v>
      </c>
      <c r="N16685" s="43">
        <v>5.148888690529323</v>
      </c>
      <c r="O16685" s="43">
        <v>4.9128238910847601</v>
      </c>
      <c r="P16685" s="505"/>
      <c r="Q16685" s="505"/>
      <c r="R16685" s="505">
        <v>5</v>
      </c>
    </row>
    <row r="16686" spans="1:18" ht="24">
      <c r="A16686" s="501">
        <v>131</v>
      </c>
      <c r="B16686" s="498" t="s">
        <v>29939</v>
      </c>
      <c r="C16686" s="502" t="s">
        <v>29940</v>
      </c>
      <c r="D16686" s="503">
        <v>4363.3599999999997</v>
      </c>
      <c r="E16686" s="503">
        <v>2192.48</v>
      </c>
      <c r="F16686" s="503">
        <v>1309.46</v>
      </c>
      <c r="G16686" s="503">
        <v>861.42</v>
      </c>
      <c r="H16686" s="504">
        <v>35727.410000000003</v>
      </c>
      <c r="I16686" s="504">
        <v>25213.52</v>
      </c>
      <c r="J16686" s="504">
        <v>6681.63</v>
      </c>
      <c r="K16686" s="504">
        <v>3832.26</v>
      </c>
      <c r="L16686" s="43">
        <v>8.1880500348355412</v>
      </c>
      <c r="M16686" s="43">
        <v>11.5</v>
      </c>
      <c r="N16686" s="43">
        <v>5.1025842713790412</v>
      </c>
      <c r="O16686" s="43">
        <v>4.4487706345336777</v>
      </c>
      <c r="P16686" s="505"/>
      <c r="Q16686" s="505"/>
      <c r="R16686" s="505">
        <v>5</v>
      </c>
    </row>
    <row r="16687" spans="1:18" ht="12.75" customHeight="1">
      <c r="A16687" s="628" t="s">
        <v>29941</v>
      </c>
      <c r="B16687" s="629"/>
      <c r="C16687" s="629"/>
      <c r="D16687" s="629"/>
      <c r="E16687" s="629"/>
      <c r="F16687" s="629"/>
      <c r="G16687" s="629"/>
      <c r="H16687" s="629"/>
      <c r="I16687" s="629"/>
      <c r="J16687" s="629"/>
      <c r="K16687" s="629"/>
      <c r="L16687" s="629"/>
      <c r="M16687" s="629"/>
      <c r="N16687" s="629"/>
      <c r="O16687" s="629"/>
      <c r="P16687" s="629"/>
      <c r="Q16687" s="629"/>
      <c r="R16687" s="629"/>
    </row>
    <row r="16688" spans="1:18" ht="12.75" customHeight="1">
      <c r="A16688" s="628" t="s">
        <v>29942</v>
      </c>
      <c r="B16688" s="629"/>
      <c r="C16688" s="629"/>
      <c r="D16688" s="629"/>
      <c r="E16688" s="629"/>
      <c r="F16688" s="629"/>
      <c r="G16688" s="629"/>
      <c r="H16688" s="629"/>
      <c r="I16688" s="629"/>
      <c r="J16688" s="629"/>
      <c r="K16688" s="629"/>
      <c r="L16688" s="629"/>
      <c r="M16688" s="629"/>
      <c r="N16688" s="629"/>
      <c r="O16688" s="629"/>
      <c r="P16688" s="629"/>
      <c r="Q16688" s="629"/>
      <c r="R16688" s="629"/>
    </row>
    <row r="16689" spans="1:18" ht="36">
      <c r="A16689" s="501">
        <v>132</v>
      </c>
      <c r="B16689" s="498" t="s">
        <v>29943</v>
      </c>
      <c r="C16689" s="502" t="s">
        <v>29944</v>
      </c>
      <c r="D16689" s="503">
        <v>11569.15</v>
      </c>
      <c r="E16689" s="503">
        <v>8868.9</v>
      </c>
      <c r="F16689" s="503">
        <v>1700.64</v>
      </c>
      <c r="G16689" s="503">
        <v>999.61</v>
      </c>
      <c r="H16689" s="504">
        <v>116134.74</v>
      </c>
      <c r="I16689" s="504">
        <v>101992.35</v>
      </c>
      <c r="J16689" s="504">
        <v>8413.4</v>
      </c>
      <c r="K16689" s="504">
        <v>5728.99</v>
      </c>
      <c r="L16689" s="43">
        <v>10.038312235557497</v>
      </c>
      <c r="M16689" s="43">
        <v>11.500000000000002</v>
      </c>
      <c r="N16689" s="43">
        <v>4.9471963496095581</v>
      </c>
      <c r="O16689" s="43">
        <v>5.7312251778193488</v>
      </c>
      <c r="P16689" s="505"/>
      <c r="Q16689" s="505"/>
      <c r="R16689" s="505">
        <v>1</v>
      </c>
    </row>
    <row r="16690" spans="1:18" ht="36">
      <c r="A16690" s="501">
        <v>133</v>
      </c>
      <c r="B16690" s="498" t="s">
        <v>29945</v>
      </c>
      <c r="C16690" s="502" t="s">
        <v>29946</v>
      </c>
      <c r="D16690" s="503">
        <v>107.03</v>
      </c>
      <c r="E16690" s="503">
        <v>99.9</v>
      </c>
      <c r="F16690" s="503">
        <v>5.13</v>
      </c>
      <c r="G16690" s="503">
        <v>2</v>
      </c>
      <c r="H16690" s="504">
        <v>1199.71</v>
      </c>
      <c r="I16690" s="504">
        <v>1148.8499999999999</v>
      </c>
      <c r="J16690" s="504">
        <v>27.86</v>
      </c>
      <c r="K16690" s="504">
        <v>23</v>
      </c>
      <c r="L16690" s="43">
        <v>11.209100252265721</v>
      </c>
      <c r="M16690" s="43">
        <v>11.499999999999998</v>
      </c>
      <c r="N16690" s="43">
        <v>5.4307992202729043</v>
      </c>
      <c r="O16690" s="43">
        <v>11.5</v>
      </c>
      <c r="P16690" s="505"/>
      <c r="Q16690" s="505"/>
      <c r="R16690" s="505">
        <v>1</v>
      </c>
    </row>
    <row r="16691" spans="1:18" ht="36">
      <c r="A16691" s="501">
        <v>134</v>
      </c>
      <c r="B16691" s="498" t="s">
        <v>29947</v>
      </c>
      <c r="C16691" s="502" t="s">
        <v>29948</v>
      </c>
      <c r="D16691" s="503">
        <v>20026.8</v>
      </c>
      <c r="E16691" s="503">
        <v>16017.3</v>
      </c>
      <c r="F16691" s="503">
        <v>2409.69</v>
      </c>
      <c r="G16691" s="503">
        <v>1599.81</v>
      </c>
      <c r="H16691" s="504">
        <v>206279.74</v>
      </c>
      <c r="I16691" s="504">
        <v>184198.95</v>
      </c>
      <c r="J16691" s="504">
        <v>11591.01</v>
      </c>
      <c r="K16691" s="504">
        <v>10489.78</v>
      </c>
      <c r="L16691" s="43">
        <v>10.300184752431742</v>
      </c>
      <c r="M16691" s="43">
        <v>11.500000000000002</v>
      </c>
      <c r="N16691" s="43">
        <v>4.8101664529462296</v>
      </c>
      <c r="O16691" s="43">
        <v>6.5568911308217857</v>
      </c>
      <c r="P16691" s="505"/>
      <c r="Q16691" s="505"/>
      <c r="R16691" s="505">
        <v>1</v>
      </c>
    </row>
    <row r="16692" spans="1:18" ht="36">
      <c r="A16692" s="501">
        <v>135</v>
      </c>
      <c r="B16692" s="498" t="s">
        <v>29949</v>
      </c>
      <c r="C16692" s="502" t="s">
        <v>29950</v>
      </c>
      <c r="D16692" s="503">
        <v>166.21</v>
      </c>
      <c r="E16692" s="503">
        <v>155.4</v>
      </c>
      <c r="F16692" s="503">
        <v>7.7</v>
      </c>
      <c r="G16692" s="503">
        <v>3.11</v>
      </c>
      <c r="H16692" s="504">
        <v>1864.67</v>
      </c>
      <c r="I16692" s="504">
        <v>1787.1</v>
      </c>
      <c r="J16692" s="504">
        <v>41.8</v>
      </c>
      <c r="K16692" s="504">
        <v>35.770000000000003</v>
      </c>
      <c r="L16692" s="43">
        <v>11.218759400758078</v>
      </c>
      <c r="M16692" s="43">
        <v>11.499999999999998</v>
      </c>
      <c r="N16692" s="43">
        <v>5.4285714285714279</v>
      </c>
      <c r="O16692" s="43">
        <v>11.501607717041802</v>
      </c>
      <c r="P16692" s="505"/>
      <c r="Q16692" s="505"/>
      <c r="R16692" s="505">
        <v>1</v>
      </c>
    </row>
    <row r="16693" spans="1:18" ht="24">
      <c r="A16693" s="501">
        <v>136</v>
      </c>
      <c r="B16693" s="498" t="s">
        <v>29951</v>
      </c>
      <c r="C16693" s="502" t="s">
        <v>29952</v>
      </c>
      <c r="D16693" s="503">
        <v>15142.31</v>
      </c>
      <c r="E16693" s="503">
        <v>10123.200000000001</v>
      </c>
      <c r="F16693" s="503">
        <v>2883.82</v>
      </c>
      <c r="G16693" s="503">
        <v>2135.29</v>
      </c>
      <c r="H16693" s="504">
        <v>140282.15</v>
      </c>
      <c r="I16693" s="504">
        <v>116416.8</v>
      </c>
      <c r="J16693" s="504">
        <v>14404.2</v>
      </c>
      <c r="K16693" s="504">
        <v>9461.15</v>
      </c>
      <c r="L16693" s="43">
        <v>9.2642503026288594</v>
      </c>
      <c r="M16693" s="43">
        <v>11.5</v>
      </c>
      <c r="N16693" s="43">
        <v>4.9948332420192658</v>
      </c>
      <c r="O16693" s="43">
        <v>4.4308501421352604</v>
      </c>
      <c r="P16693" s="505"/>
      <c r="Q16693" s="505"/>
      <c r="R16693" s="505">
        <v>1</v>
      </c>
    </row>
    <row r="16694" spans="1:18" ht="24">
      <c r="A16694" s="501">
        <v>137</v>
      </c>
      <c r="B16694" s="498" t="s">
        <v>29953</v>
      </c>
      <c r="C16694" s="502" t="s">
        <v>29954</v>
      </c>
      <c r="D16694" s="503">
        <v>22983.85</v>
      </c>
      <c r="E16694" s="503">
        <v>15884.1</v>
      </c>
      <c r="F16694" s="503">
        <v>4468.41</v>
      </c>
      <c r="G16694" s="503">
        <v>2631.34</v>
      </c>
      <c r="H16694" s="504">
        <v>217556.64</v>
      </c>
      <c r="I16694" s="504">
        <v>182667.15</v>
      </c>
      <c r="J16694" s="504">
        <v>22342.89</v>
      </c>
      <c r="K16694" s="504">
        <v>12546.6</v>
      </c>
      <c r="L16694" s="43">
        <v>9.4656308668913187</v>
      </c>
      <c r="M16694" s="43">
        <v>11.5</v>
      </c>
      <c r="N16694" s="43">
        <v>5.0001879863307082</v>
      </c>
      <c r="O16694" s="43">
        <v>4.7681409471980052</v>
      </c>
      <c r="P16694" s="505"/>
      <c r="Q16694" s="505"/>
      <c r="R16694" s="505">
        <v>1</v>
      </c>
    </row>
    <row r="16695" spans="1:18" ht="36">
      <c r="A16695" s="501">
        <v>138</v>
      </c>
      <c r="B16695" s="498" t="s">
        <v>29955</v>
      </c>
      <c r="C16695" s="502" t="s">
        <v>29956</v>
      </c>
      <c r="D16695" s="503">
        <v>12184.18</v>
      </c>
      <c r="E16695" s="503">
        <v>8591.4</v>
      </c>
      <c r="F16695" s="503">
        <v>1796.94</v>
      </c>
      <c r="G16695" s="503">
        <v>1795.84</v>
      </c>
      <c r="H16695" s="504">
        <v>116099.53</v>
      </c>
      <c r="I16695" s="504">
        <v>98801.1</v>
      </c>
      <c r="J16695" s="504">
        <v>8715.06</v>
      </c>
      <c r="K16695" s="504">
        <v>8583.3700000000008</v>
      </c>
      <c r="L16695" s="43">
        <v>9.5287110006582303</v>
      </c>
      <c r="M16695" s="43">
        <v>11.500000000000002</v>
      </c>
      <c r="N16695" s="43">
        <v>4.8499449063407791</v>
      </c>
      <c r="O16695" s="43">
        <v>4.7795850409836076</v>
      </c>
      <c r="P16695" s="505"/>
      <c r="Q16695" s="505"/>
      <c r="R16695" s="505">
        <v>1</v>
      </c>
    </row>
    <row r="16696" spans="1:18" ht="24">
      <c r="A16696" s="501">
        <v>139</v>
      </c>
      <c r="B16696" s="498" t="s">
        <v>29957</v>
      </c>
      <c r="C16696" s="502" t="s">
        <v>29958</v>
      </c>
      <c r="D16696" s="503">
        <v>16307.22</v>
      </c>
      <c r="E16696" s="503">
        <v>11444.1</v>
      </c>
      <c r="F16696" s="503">
        <v>3373.07</v>
      </c>
      <c r="G16696" s="503">
        <v>1490.05</v>
      </c>
      <c r="H16696" s="504">
        <v>156550.35</v>
      </c>
      <c r="I16696" s="504">
        <v>131607.15</v>
      </c>
      <c r="J16696" s="504">
        <v>15923.61</v>
      </c>
      <c r="K16696" s="504">
        <v>9019.59</v>
      </c>
      <c r="L16696" s="43">
        <v>9.6000636527869254</v>
      </c>
      <c r="M16696" s="43">
        <v>11.5</v>
      </c>
      <c r="N16696" s="43">
        <v>4.7208062684735275</v>
      </c>
      <c r="O16696" s="43">
        <v>6.0532129794302207</v>
      </c>
      <c r="P16696" s="505"/>
      <c r="Q16696" s="505"/>
      <c r="R16696" s="505">
        <v>1</v>
      </c>
    </row>
    <row r="16697" spans="1:18" ht="36">
      <c r="A16697" s="501">
        <v>140</v>
      </c>
      <c r="B16697" s="498" t="s">
        <v>29959</v>
      </c>
      <c r="C16697" s="502" t="s">
        <v>29960</v>
      </c>
      <c r="D16697" s="503">
        <v>13736.33</v>
      </c>
      <c r="E16697" s="503">
        <v>9679.2000000000007</v>
      </c>
      <c r="F16697" s="503">
        <v>3264.5</v>
      </c>
      <c r="G16697" s="503">
        <v>792.63</v>
      </c>
      <c r="H16697" s="504">
        <v>133502.81</v>
      </c>
      <c r="I16697" s="504">
        <v>111310.8</v>
      </c>
      <c r="J16697" s="504">
        <v>17421.53</v>
      </c>
      <c r="K16697" s="504">
        <v>4770.4799999999996</v>
      </c>
      <c r="L16697" s="43">
        <v>9.7189576837481333</v>
      </c>
      <c r="M16697" s="43">
        <v>11.5</v>
      </c>
      <c r="N16697" s="43">
        <v>5.3366610506968906</v>
      </c>
      <c r="O16697" s="43">
        <v>6.0185458536769989</v>
      </c>
      <c r="P16697" s="505"/>
      <c r="Q16697" s="505"/>
      <c r="R16697" s="505">
        <v>1</v>
      </c>
    </row>
    <row r="16698" spans="1:18" ht="36">
      <c r="A16698" s="501">
        <v>141</v>
      </c>
      <c r="B16698" s="498" t="s">
        <v>29961</v>
      </c>
      <c r="C16698" s="502" t="s">
        <v>29962</v>
      </c>
      <c r="D16698" s="503">
        <v>195.65</v>
      </c>
      <c r="E16698" s="503">
        <v>96.79</v>
      </c>
      <c r="F16698" s="503">
        <v>65.02</v>
      </c>
      <c r="G16698" s="503">
        <v>33.840000000000003</v>
      </c>
      <c r="H16698" s="504">
        <v>1568.08</v>
      </c>
      <c r="I16698" s="504">
        <v>1113.1099999999999</v>
      </c>
      <c r="J16698" s="504">
        <v>311.85000000000002</v>
      </c>
      <c r="K16698" s="504">
        <v>143.12</v>
      </c>
      <c r="L16698" s="43">
        <v>8.0147201635573726</v>
      </c>
      <c r="M16698" s="43">
        <v>11.500258291145778</v>
      </c>
      <c r="N16698" s="43">
        <v>4.7962165487542299</v>
      </c>
      <c r="O16698" s="43">
        <v>4.2293144208037825</v>
      </c>
      <c r="P16698" s="505"/>
      <c r="Q16698" s="505"/>
      <c r="R16698" s="505">
        <v>1</v>
      </c>
    </row>
    <row r="16699" spans="1:18" ht="36">
      <c r="A16699" s="501">
        <v>142</v>
      </c>
      <c r="B16699" s="498" t="s">
        <v>29963</v>
      </c>
      <c r="C16699" s="502" t="s">
        <v>29964</v>
      </c>
      <c r="D16699" s="503">
        <v>9826.01</v>
      </c>
      <c r="E16699" s="503">
        <v>7980.9</v>
      </c>
      <c r="F16699" s="503">
        <v>1199.6600000000001</v>
      </c>
      <c r="G16699" s="503">
        <v>645.45000000000005</v>
      </c>
      <c r="H16699" s="504">
        <v>101986.36</v>
      </c>
      <c r="I16699" s="504">
        <v>91780.35</v>
      </c>
      <c r="J16699" s="504">
        <v>6175.17</v>
      </c>
      <c r="K16699" s="504">
        <v>4030.84</v>
      </c>
      <c r="L16699" s="43">
        <v>10.379224120472093</v>
      </c>
      <c r="M16699" s="43">
        <v>11.500000000000002</v>
      </c>
      <c r="N16699" s="43">
        <v>5.1474334394745176</v>
      </c>
      <c r="O16699" s="43">
        <v>6.2450073592067552</v>
      </c>
      <c r="P16699" s="505"/>
      <c r="Q16699" s="505"/>
      <c r="R16699" s="505">
        <v>1</v>
      </c>
    </row>
    <row r="16700" spans="1:18" ht="36">
      <c r="A16700" s="501">
        <v>143</v>
      </c>
      <c r="B16700" s="498" t="s">
        <v>29965</v>
      </c>
      <c r="C16700" s="502" t="s">
        <v>29966</v>
      </c>
      <c r="D16700" s="503">
        <v>97.57</v>
      </c>
      <c r="E16700" s="503">
        <v>55.5</v>
      </c>
      <c r="F16700" s="503">
        <v>13.58</v>
      </c>
      <c r="G16700" s="503">
        <v>28.49</v>
      </c>
      <c r="H16700" s="504">
        <v>822.61</v>
      </c>
      <c r="I16700" s="504">
        <v>638.25</v>
      </c>
      <c r="J16700" s="504">
        <v>66.91</v>
      </c>
      <c r="K16700" s="504">
        <v>117.45</v>
      </c>
      <c r="L16700" s="43">
        <v>8.4309726350312602</v>
      </c>
      <c r="M16700" s="43">
        <v>11.5</v>
      </c>
      <c r="N16700" s="43">
        <v>4.9270986745213543</v>
      </c>
      <c r="O16700" s="43">
        <v>4.1224991224991232</v>
      </c>
      <c r="P16700" s="505"/>
      <c r="Q16700" s="505"/>
      <c r="R16700" s="505">
        <v>1</v>
      </c>
    </row>
    <row r="16701" spans="1:18" ht="36">
      <c r="A16701" s="501">
        <v>144</v>
      </c>
      <c r="B16701" s="498" t="s">
        <v>29967</v>
      </c>
      <c r="C16701" s="502" t="s">
        <v>29968</v>
      </c>
      <c r="D16701" s="503">
        <v>7883.22</v>
      </c>
      <c r="E16701" s="503">
        <v>6637.8</v>
      </c>
      <c r="F16701" s="503">
        <v>872.2</v>
      </c>
      <c r="G16701" s="503">
        <v>373.22</v>
      </c>
      <c r="H16701" s="504">
        <v>83516.509999999995</v>
      </c>
      <c r="I16701" s="504">
        <v>76334.7</v>
      </c>
      <c r="J16701" s="504">
        <v>4452.1499999999996</v>
      </c>
      <c r="K16701" s="504">
        <v>2729.66</v>
      </c>
      <c r="L16701" s="43">
        <v>10.594212770923555</v>
      </c>
      <c r="M16701" s="43">
        <v>11.5</v>
      </c>
      <c r="N16701" s="43">
        <v>5.1045058472827325</v>
      </c>
      <c r="O16701" s="43">
        <v>7.3138095493274733</v>
      </c>
      <c r="P16701" s="505"/>
      <c r="Q16701" s="505"/>
      <c r="R16701" s="505">
        <v>1</v>
      </c>
    </row>
    <row r="16702" spans="1:18" ht="36">
      <c r="A16702" s="501">
        <v>145</v>
      </c>
      <c r="B16702" s="498" t="s">
        <v>29969</v>
      </c>
      <c r="C16702" s="502" t="s">
        <v>29970</v>
      </c>
      <c r="D16702" s="503">
        <v>164.3</v>
      </c>
      <c r="E16702" s="503">
        <v>84.69</v>
      </c>
      <c r="F16702" s="503">
        <v>73.5</v>
      </c>
      <c r="G16702" s="503">
        <v>6.11</v>
      </c>
      <c r="H16702" s="504">
        <v>1336.77</v>
      </c>
      <c r="I16702" s="504">
        <v>973.97</v>
      </c>
      <c r="J16702" s="504">
        <v>320.8</v>
      </c>
      <c r="K16702" s="504">
        <v>42</v>
      </c>
      <c r="L16702" s="43">
        <v>8.1361533779671333</v>
      </c>
      <c r="M16702" s="43">
        <v>11.500413271932933</v>
      </c>
      <c r="N16702" s="43">
        <v>4.3646258503401363</v>
      </c>
      <c r="O16702" s="43">
        <v>6.8739770867430439</v>
      </c>
      <c r="P16702" s="505"/>
      <c r="Q16702" s="505"/>
      <c r="R16702" s="505">
        <v>1</v>
      </c>
    </row>
    <row r="16703" spans="1:18" ht="24">
      <c r="A16703" s="501">
        <v>146</v>
      </c>
      <c r="B16703" s="498" t="s">
        <v>29971</v>
      </c>
      <c r="C16703" s="502" t="s">
        <v>29972</v>
      </c>
      <c r="D16703" s="503">
        <v>9155.75</v>
      </c>
      <c r="E16703" s="503">
        <v>5760.9</v>
      </c>
      <c r="F16703" s="503">
        <v>2156.96</v>
      </c>
      <c r="G16703" s="503">
        <v>1237.8900000000001</v>
      </c>
      <c r="H16703" s="504">
        <v>82013.990000000005</v>
      </c>
      <c r="I16703" s="504">
        <v>66250.350000000006</v>
      </c>
      <c r="J16703" s="504">
        <v>10535.81</v>
      </c>
      <c r="K16703" s="504">
        <v>5227.83</v>
      </c>
      <c r="L16703" s="43">
        <v>8.9576484722715239</v>
      </c>
      <c r="M16703" s="43">
        <v>11.500000000000002</v>
      </c>
      <c r="N16703" s="43">
        <v>4.8845643869149171</v>
      </c>
      <c r="O16703" s="43">
        <v>4.2231781499163894</v>
      </c>
      <c r="P16703" s="505"/>
      <c r="Q16703" s="505"/>
      <c r="R16703" s="505">
        <v>1</v>
      </c>
    </row>
    <row r="16704" spans="1:18" ht="24">
      <c r="A16704" s="501">
        <v>147</v>
      </c>
      <c r="B16704" s="498" t="s">
        <v>29973</v>
      </c>
      <c r="C16704" s="502" t="s">
        <v>29974</v>
      </c>
      <c r="D16704" s="503">
        <v>11178.46</v>
      </c>
      <c r="E16704" s="503">
        <v>7548</v>
      </c>
      <c r="F16704" s="503">
        <v>2368.75</v>
      </c>
      <c r="G16704" s="503">
        <v>1261.71</v>
      </c>
      <c r="H16704" s="504">
        <v>104128.57</v>
      </c>
      <c r="I16704" s="504">
        <v>86802</v>
      </c>
      <c r="J16704" s="504">
        <v>11733.17</v>
      </c>
      <c r="K16704" s="504">
        <v>5593.4</v>
      </c>
      <c r="L16704" s="43">
        <v>9.3151087001250641</v>
      </c>
      <c r="M16704" s="43">
        <v>11.5</v>
      </c>
      <c r="N16704" s="43">
        <v>4.9533171503957787</v>
      </c>
      <c r="O16704" s="43">
        <v>4.4331898772301077</v>
      </c>
      <c r="P16704" s="505"/>
      <c r="Q16704" s="505"/>
      <c r="R16704" s="505">
        <v>1</v>
      </c>
    </row>
    <row r="16705" spans="1:18" ht="24">
      <c r="A16705" s="501">
        <v>148</v>
      </c>
      <c r="B16705" s="498" t="s">
        <v>29975</v>
      </c>
      <c r="C16705" s="502" t="s">
        <v>29976</v>
      </c>
      <c r="D16705" s="503">
        <v>10901.08</v>
      </c>
      <c r="E16705" s="503">
        <v>7703.4</v>
      </c>
      <c r="F16705" s="503">
        <v>2311.14</v>
      </c>
      <c r="G16705" s="503">
        <v>886.54</v>
      </c>
      <c r="H16705" s="504">
        <v>104118.96</v>
      </c>
      <c r="I16705" s="504">
        <v>88589.1</v>
      </c>
      <c r="J16705" s="504">
        <v>11188.39</v>
      </c>
      <c r="K16705" s="504">
        <v>4341.47</v>
      </c>
      <c r="L16705" s="43">
        <v>9.5512518025736899</v>
      </c>
      <c r="M16705" s="43">
        <v>11.500000000000002</v>
      </c>
      <c r="N16705" s="43">
        <v>4.8410697750893501</v>
      </c>
      <c r="O16705" s="43">
        <v>4.8970943217452119</v>
      </c>
      <c r="P16705" s="505"/>
      <c r="Q16705" s="505"/>
      <c r="R16705" s="505">
        <v>1</v>
      </c>
    </row>
    <row r="16706" spans="1:18" ht="36">
      <c r="A16706" s="501">
        <v>149</v>
      </c>
      <c r="B16706" s="498" t="s">
        <v>29977</v>
      </c>
      <c r="C16706" s="502" t="s">
        <v>29978</v>
      </c>
      <c r="D16706" s="503">
        <v>25474.93</v>
      </c>
      <c r="E16706" s="503">
        <v>20279.7</v>
      </c>
      <c r="F16706" s="503">
        <v>3337.59</v>
      </c>
      <c r="G16706" s="503">
        <v>1857.64</v>
      </c>
      <c r="H16706" s="504">
        <v>259854</v>
      </c>
      <c r="I16706" s="504">
        <v>233216.55</v>
      </c>
      <c r="J16706" s="504">
        <v>16242.09</v>
      </c>
      <c r="K16706" s="504">
        <v>10395.36</v>
      </c>
      <c r="L16706" s="43">
        <v>10.200381316062497</v>
      </c>
      <c r="M16706" s="43">
        <v>11.499999999999998</v>
      </c>
      <c r="N16706" s="43">
        <v>4.8664125911211382</v>
      </c>
      <c r="O16706" s="43">
        <v>5.5960035313623742</v>
      </c>
      <c r="P16706" s="505"/>
      <c r="Q16706" s="505"/>
      <c r="R16706" s="505">
        <v>1</v>
      </c>
    </row>
    <row r="16707" spans="1:18" ht="12.75" customHeight="1">
      <c r="A16707" s="628" t="s">
        <v>29979</v>
      </c>
      <c r="B16707" s="629"/>
      <c r="C16707" s="629"/>
      <c r="D16707" s="629"/>
      <c r="E16707" s="629"/>
      <c r="F16707" s="629"/>
      <c r="G16707" s="629"/>
      <c r="H16707" s="629"/>
      <c r="I16707" s="629"/>
      <c r="J16707" s="629"/>
      <c r="K16707" s="629"/>
      <c r="L16707" s="629"/>
      <c r="M16707" s="629"/>
      <c r="N16707" s="629"/>
      <c r="O16707" s="629"/>
      <c r="P16707" s="629"/>
      <c r="Q16707" s="629"/>
      <c r="R16707" s="629"/>
    </row>
    <row r="16708" spans="1:18" ht="24">
      <c r="A16708" s="501">
        <v>150</v>
      </c>
      <c r="B16708" s="498" t="s">
        <v>29980</v>
      </c>
      <c r="C16708" s="502" t="s">
        <v>29981</v>
      </c>
      <c r="D16708" s="503">
        <v>68.72</v>
      </c>
      <c r="E16708" s="503">
        <v>12.36</v>
      </c>
      <c r="F16708" s="503">
        <v>43.63</v>
      </c>
      <c r="G16708" s="503">
        <v>12.73</v>
      </c>
      <c r="H16708" s="504">
        <v>450.98</v>
      </c>
      <c r="I16708" s="504">
        <v>142.19</v>
      </c>
      <c r="J16708" s="504">
        <v>236.87</v>
      </c>
      <c r="K16708" s="504">
        <v>71.92</v>
      </c>
      <c r="L16708" s="43">
        <v>6.5625727590221192</v>
      </c>
      <c r="M16708" s="43">
        <v>11.504045307443366</v>
      </c>
      <c r="N16708" s="43">
        <v>5.4290625716250283</v>
      </c>
      <c r="O16708" s="43">
        <v>5.6496465043205024</v>
      </c>
      <c r="P16708" s="505"/>
      <c r="Q16708" s="505"/>
      <c r="R16708" s="505">
        <v>2</v>
      </c>
    </row>
    <row r="16709" spans="1:18" ht="24">
      <c r="A16709" s="501">
        <v>151</v>
      </c>
      <c r="B16709" s="498" t="s">
        <v>29982</v>
      </c>
      <c r="C16709" s="502" t="s">
        <v>29983</v>
      </c>
      <c r="D16709" s="503">
        <v>209.87</v>
      </c>
      <c r="E16709" s="503">
        <v>155.77000000000001</v>
      </c>
      <c r="F16709" s="503">
        <v>50.88</v>
      </c>
      <c r="G16709" s="503">
        <v>3.22</v>
      </c>
      <c r="H16709" s="504">
        <v>2101.9299999999998</v>
      </c>
      <c r="I16709" s="504">
        <v>1791.47</v>
      </c>
      <c r="J16709" s="504">
        <v>273.69</v>
      </c>
      <c r="K16709" s="504">
        <v>36.770000000000003</v>
      </c>
      <c r="L16709" s="43">
        <v>10.015390479820841</v>
      </c>
      <c r="M16709" s="43">
        <v>11.50073826795917</v>
      </c>
      <c r="N16709" s="43">
        <v>5.3791273584905657</v>
      </c>
      <c r="O16709" s="43">
        <v>11.419254658385093</v>
      </c>
      <c r="P16709" s="505"/>
      <c r="Q16709" s="505"/>
      <c r="R16709" s="505">
        <v>2</v>
      </c>
    </row>
    <row r="16710" spans="1:18" ht="24">
      <c r="A16710" s="501">
        <v>152</v>
      </c>
      <c r="B16710" s="498" t="s">
        <v>29984</v>
      </c>
      <c r="C16710" s="502" t="s">
        <v>29985</v>
      </c>
      <c r="D16710" s="503">
        <v>980.79</v>
      </c>
      <c r="E16710" s="503">
        <v>832.88</v>
      </c>
      <c r="F16710" s="503">
        <v>100.6</v>
      </c>
      <c r="G16710" s="503">
        <v>47.31</v>
      </c>
      <c r="H16710" s="504">
        <v>10398.68</v>
      </c>
      <c r="I16710" s="504">
        <v>9578.17</v>
      </c>
      <c r="J16710" s="504">
        <v>505.68</v>
      </c>
      <c r="K16710" s="504">
        <v>314.83</v>
      </c>
      <c r="L16710" s="43">
        <v>10.602351165896879</v>
      </c>
      <c r="M16710" s="43">
        <v>11.500060032657766</v>
      </c>
      <c r="N16710" s="43">
        <v>5.0266401590457264</v>
      </c>
      <c r="O16710" s="43">
        <v>6.6546184738955816</v>
      </c>
      <c r="P16710" s="505"/>
      <c r="Q16710" s="505"/>
      <c r="R16710" s="505">
        <v>2</v>
      </c>
    </row>
    <row r="16711" spans="1:18" ht="24">
      <c r="A16711" s="501">
        <v>153</v>
      </c>
      <c r="B16711" s="498" t="s">
        <v>29986</v>
      </c>
      <c r="C16711" s="502" t="s">
        <v>29987</v>
      </c>
      <c r="D16711" s="503">
        <v>62.57</v>
      </c>
      <c r="E16711" s="503">
        <v>52.72</v>
      </c>
      <c r="F16711" s="503">
        <v>8.7799999999999994</v>
      </c>
      <c r="G16711" s="503">
        <v>1.07</v>
      </c>
      <c r="H16711" s="504">
        <v>661.79</v>
      </c>
      <c r="I16711" s="504">
        <v>606.23</v>
      </c>
      <c r="J16711" s="504">
        <v>43.3</v>
      </c>
      <c r="K16711" s="504">
        <v>12.26</v>
      </c>
      <c r="L16711" s="43">
        <v>10.576793990730382</v>
      </c>
      <c r="M16711" s="43">
        <v>11.499051593323218</v>
      </c>
      <c r="N16711" s="43">
        <v>4.9316628701594531</v>
      </c>
      <c r="O16711" s="43">
        <v>11.457943925233645</v>
      </c>
      <c r="P16711" s="505"/>
      <c r="Q16711" s="505"/>
      <c r="R16711" s="505">
        <v>2</v>
      </c>
    </row>
    <row r="16712" spans="1:18" ht="12.75" customHeight="1">
      <c r="A16712" s="628" t="s">
        <v>29988</v>
      </c>
      <c r="B16712" s="629"/>
      <c r="C16712" s="629"/>
      <c r="D16712" s="629"/>
      <c r="E16712" s="629"/>
      <c r="F16712" s="629"/>
      <c r="G16712" s="629"/>
      <c r="H16712" s="629"/>
      <c r="I16712" s="629"/>
      <c r="J16712" s="629"/>
      <c r="K16712" s="629"/>
      <c r="L16712" s="629"/>
      <c r="M16712" s="629"/>
      <c r="N16712" s="629"/>
      <c r="O16712" s="629"/>
      <c r="P16712" s="629"/>
      <c r="Q16712" s="629"/>
      <c r="R16712" s="629"/>
    </row>
    <row r="16713" spans="1:18" ht="36">
      <c r="A16713" s="501">
        <v>154</v>
      </c>
      <c r="B16713" s="498" t="s">
        <v>29989</v>
      </c>
      <c r="C16713" s="502" t="s">
        <v>29990</v>
      </c>
      <c r="D16713" s="503">
        <v>48269.19</v>
      </c>
      <c r="E16713" s="503">
        <v>38767.980000000003</v>
      </c>
      <c r="F16713" s="503">
        <v>7313.15</v>
      </c>
      <c r="G16713" s="503">
        <v>2188.06</v>
      </c>
      <c r="H16713" s="504">
        <v>496031.29</v>
      </c>
      <c r="I16713" s="504">
        <v>445849.44</v>
      </c>
      <c r="J16713" s="504">
        <v>34585.67</v>
      </c>
      <c r="K16713" s="504">
        <v>15596.18</v>
      </c>
      <c r="L16713" s="43">
        <v>10.276354129828984</v>
      </c>
      <c r="M16713" s="43">
        <v>11.500455788514129</v>
      </c>
      <c r="N16713" s="43">
        <v>4.7292438962690495</v>
      </c>
      <c r="O16713" s="43">
        <v>7.1278575541804159</v>
      </c>
      <c r="P16713" s="505"/>
      <c r="Q16713" s="505"/>
      <c r="R16713" s="505">
        <v>3</v>
      </c>
    </row>
    <row r="16714" spans="1:18" ht="24">
      <c r="A16714" s="501">
        <v>155</v>
      </c>
      <c r="B16714" s="498" t="s">
        <v>29991</v>
      </c>
      <c r="C16714" s="502" t="s">
        <v>29992</v>
      </c>
      <c r="D16714" s="503">
        <v>14878.63</v>
      </c>
      <c r="E16714" s="503">
        <v>10476.35</v>
      </c>
      <c r="F16714" s="503">
        <v>3741.29</v>
      </c>
      <c r="G16714" s="503">
        <v>660.99</v>
      </c>
      <c r="H16714" s="504">
        <v>142181.75</v>
      </c>
      <c r="I16714" s="504">
        <v>120482.8</v>
      </c>
      <c r="J16714" s="504">
        <v>17173.8</v>
      </c>
      <c r="K16714" s="504">
        <v>4525.1499999999996</v>
      </c>
      <c r="L16714" s="43">
        <v>9.5561049639650975</v>
      </c>
      <c r="M16714" s="43">
        <v>11.500455788514129</v>
      </c>
      <c r="N16714" s="43">
        <v>4.5903418339663586</v>
      </c>
      <c r="O16714" s="43">
        <v>6.8460188505121096</v>
      </c>
      <c r="P16714" s="505"/>
      <c r="Q16714" s="505"/>
      <c r="R16714" s="505">
        <v>3</v>
      </c>
    </row>
    <row r="16715" spans="1:18" ht="48">
      <c r="A16715" s="501">
        <v>156</v>
      </c>
      <c r="B16715" s="498" t="s">
        <v>29993</v>
      </c>
      <c r="C16715" s="502" t="s">
        <v>29994</v>
      </c>
      <c r="D16715" s="503">
        <v>39003.440000000002</v>
      </c>
      <c r="E16715" s="503">
        <v>35090.46</v>
      </c>
      <c r="F16715" s="503">
        <v>2463.7399999999998</v>
      </c>
      <c r="G16715" s="503">
        <v>1449.24</v>
      </c>
      <c r="H16715" s="504">
        <v>427918.16</v>
      </c>
      <c r="I16715" s="504">
        <v>403555.56</v>
      </c>
      <c r="J16715" s="504">
        <v>13376.07</v>
      </c>
      <c r="K16715" s="504">
        <v>10986.53</v>
      </c>
      <c r="L16715" s="43">
        <v>10.971292788533523</v>
      </c>
      <c r="M16715" s="43">
        <v>11.500435161009573</v>
      </c>
      <c r="N16715" s="43">
        <v>5.4291727211475242</v>
      </c>
      <c r="O16715" s="43">
        <v>7.5808906737324397</v>
      </c>
      <c r="P16715" s="505"/>
      <c r="Q16715" s="505"/>
      <c r="R16715" s="505">
        <v>3</v>
      </c>
    </row>
    <row r="16716" spans="1:18" ht="48">
      <c r="A16716" s="501">
        <v>157</v>
      </c>
      <c r="B16716" s="498" t="s">
        <v>29995</v>
      </c>
      <c r="C16716" s="502" t="s">
        <v>29996</v>
      </c>
      <c r="D16716" s="503">
        <v>1066.76</v>
      </c>
      <c r="E16716" s="503">
        <v>955.4</v>
      </c>
      <c r="F16716" s="503">
        <v>76.989999999999995</v>
      </c>
      <c r="G16716" s="503">
        <v>34.369999999999997</v>
      </c>
      <c r="H16716" s="504">
        <v>11685.9</v>
      </c>
      <c r="I16716" s="504">
        <v>10987.1</v>
      </c>
      <c r="J16716" s="504">
        <v>418</v>
      </c>
      <c r="K16716" s="504">
        <v>280.8</v>
      </c>
      <c r="L16716" s="43">
        <v>10.954572724886573</v>
      </c>
      <c r="M16716" s="43">
        <v>11.5</v>
      </c>
      <c r="N16716" s="43">
        <v>5.4292765294194059</v>
      </c>
      <c r="O16716" s="43">
        <v>8.1699156240907786</v>
      </c>
      <c r="P16716" s="505"/>
      <c r="Q16716" s="505"/>
      <c r="R16716" s="505">
        <v>3</v>
      </c>
    </row>
    <row r="16717" spans="1:18" ht="48">
      <c r="A16717" s="501">
        <v>158</v>
      </c>
      <c r="B16717" s="498" t="s">
        <v>29997</v>
      </c>
      <c r="C16717" s="502" t="s">
        <v>29998</v>
      </c>
      <c r="D16717" s="503">
        <v>54988.11</v>
      </c>
      <c r="E16717" s="503">
        <v>49584.4</v>
      </c>
      <c r="F16717" s="503">
        <v>3361.98</v>
      </c>
      <c r="G16717" s="503">
        <v>2041.73</v>
      </c>
      <c r="H16717" s="504">
        <v>604014.27</v>
      </c>
      <c r="I16717" s="504">
        <v>570243.19999999995</v>
      </c>
      <c r="J16717" s="504">
        <v>18252.75</v>
      </c>
      <c r="K16717" s="504">
        <v>15518.32</v>
      </c>
      <c r="L16717" s="43">
        <v>10.984452275228227</v>
      </c>
      <c r="M16717" s="43">
        <v>11.500455788514127</v>
      </c>
      <c r="N16717" s="43">
        <v>5.4291667410276085</v>
      </c>
      <c r="O16717" s="43">
        <v>7.6005740230098979</v>
      </c>
      <c r="P16717" s="505"/>
      <c r="Q16717" s="505"/>
      <c r="R16717" s="505">
        <v>3</v>
      </c>
    </row>
    <row r="16718" spans="1:18" ht="48">
      <c r="A16718" s="501">
        <v>159</v>
      </c>
      <c r="B16718" s="498" t="s">
        <v>29999</v>
      </c>
      <c r="C16718" s="502" t="s">
        <v>30000</v>
      </c>
      <c r="D16718" s="503">
        <v>1553.75</v>
      </c>
      <c r="E16718" s="503">
        <v>1393.19</v>
      </c>
      <c r="F16718" s="503">
        <v>102.66</v>
      </c>
      <c r="G16718" s="503">
        <v>57.9</v>
      </c>
      <c r="H16718" s="504">
        <v>17017.919999999998</v>
      </c>
      <c r="I16718" s="504">
        <v>16022.32</v>
      </c>
      <c r="J16718" s="504">
        <v>557.33000000000004</v>
      </c>
      <c r="K16718" s="504">
        <v>438.27</v>
      </c>
      <c r="L16718" s="43">
        <v>10.952804505229283</v>
      </c>
      <c r="M16718" s="43">
        <v>11.500455788514129</v>
      </c>
      <c r="N16718" s="43">
        <v>5.4288914864601603</v>
      </c>
      <c r="O16718" s="43">
        <v>7.5694300518134714</v>
      </c>
      <c r="P16718" s="505"/>
      <c r="Q16718" s="505"/>
      <c r="R16718" s="505">
        <v>3</v>
      </c>
    </row>
    <row r="16719" spans="1:18" ht="36">
      <c r="A16719" s="501">
        <v>160</v>
      </c>
      <c r="B16719" s="498" t="s">
        <v>30001</v>
      </c>
      <c r="C16719" s="502" t="s">
        <v>30002</v>
      </c>
      <c r="D16719" s="503">
        <v>16174.91</v>
      </c>
      <c r="E16719" s="503">
        <v>11543.48</v>
      </c>
      <c r="F16719" s="503">
        <v>3613.61</v>
      </c>
      <c r="G16719" s="503">
        <v>1017.82</v>
      </c>
      <c r="H16719" s="504">
        <v>158139.81</v>
      </c>
      <c r="I16719" s="504">
        <v>132750.01999999999</v>
      </c>
      <c r="J16719" s="504">
        <v>16734.740000000002</v>
      </c>
      <c r="K16719" s="504">
        <v>8655.0499999999993</v>
      </c>
      <c r="L16719" s="43">
        <v>9.776858727498329</v>
      </c>
      <c r="M16719" s="43">
        <v>11.5</v>
      </c>
      <c r="N16719" s="43">
        <v>4.6310310188426538</v>
      </c>
      <c r="O16719" s="43">
        <v>8.5035173213338293</v>
      </c>
      <c r="P16719" s="505"/>
      <c r="Q16719" s="505"/>
      <c r="R16719" s="505">
        <v>3</v>
      </c>
    </row>
    <row r="16720" spans="1:18" ht="36">
      <c r="A16720" s="501">
        <v>161</v>
      </c>
      <c r="B16720" s="498" t="s">
        <v>30003</v>
      </c>
      <c r="C16720" s="502" t="s">
        <v>30004</v>
      </c>
      <c r="D16720" s="503">
        <v>190.17</v>
      </c>
      <c r="E16720" s="503">
        <v>91.94</v>
      </c>
      <c r="F16720" s="503">
        <v>85.7</v>
      </c>
      <c r="G16720" s="503">
        <v>12.53</v>
      </c>
      <c r="H16720" s="504">
        <v>1572.3</v>
      </c>
      <c r="I16720" s="504">
        <v>1057.3499999999999</v>
      </c>
      <c r="J16720" s="504">
        <v>421.05</v>
      </c>
      <c r="K16720" s="504">
        <v>93.9</v>
      </c>
      <c r="L16720" s="43">
        <v>8.2678655939422629</v>
      </c>
      <c r="M16720" s="43">
        <v>11.500435066347617</v>
      </c>
      <c r="N16720" s="43">
        <v>4.9130688448074675</v>
      </c>
      <c r="O16720" s="43">
        <v>7.4940143655227462</v>
      </c>
      <c r="P16720" s="505"/>
      <c r="Q16720" s="505"/>
      <c r="R16720" s="505">
        <v>3</v>
      </c>
    </row>
    <row r="16721" spans="1:18" ht="36">
      <c r="A16721" s="501">
        <v>162</v>
      </c>
      <c r="B16721" s="498" t="s">
        <v>30005</v>
      </c>
      <c r="C16721" s="502" t="s">
        <v>30006</v>
      </c>
      <c r="D16721" s="503">
        <v>9399.09</v>
      </c>
      <c r="E16721" s="503">
        <v>6538.12</v>
      </c>
      <c r="F16721" s="503">
        <v>2447</v>
      </c>
      <c r="G16721" s="503">
        <v>413.97</v>
      </c>
      <c r="H16721" s="504">
        <v>89376.49</v>
      </c>
      <c r="I16721" s="504">
        <v>75191.360000000001</v>
      </c>
      <c r="J16721" s="504">
        <v>11594.46</v>
      </c>
      <c r="K16721" s="504">
        <v>2590.67</v>
      </c>
      <c r="L16721" s="43">
        <v>9.5090577917649473</v>
      </c>
      <c r="M16721" s="43">
        <v>11.500455788514129</v>
      </c>
      <c r="N16721" s="43">
        <v>4.7382345729464648</v>
      </c>
      <c r="O16721" s="43">
        <v>6.2581104910983889</v>
      </c>
      <c r="P16721" s="505"/>
      <c r="Q16721" s="505"/>
      <c r="R16721" s="505">
        <v>3</v>
      </c>
    </row>
    <row r="16722" spans="1:18" ht="36">
      <c r="A16722" s="501">
        <v>163</v>
      </c>
      <c r="B16722" s="498" t="s">
        <v>30007</v>
      </c>
      <c r="C16722" s="502" t="s">
        <v>30008</v>
      </c>
      <c r="D16722" s="503">
        <v>151.72</v>
      </c>
      <c r="E16722" s="503">
        <v>77.78</v>
      </c>
      <c r="F16722" s="503">
        <v>70.010000000000005</v>
      </c>
      <c r="G16722" s="503">
        <v>3.93</v>
      </c>
      <c r="H16722" s="504">
        <v>1275.8399999999999</v>
      </c>
      <c r="I16722" s="504">
        <v>894.47</v>
      </c>
      <c r="J16722" s="504">
        <v>354.68</v>
      </c>
      <c r="K16722" s="504">
        <v>26.69</v>
      </c>
      <c r="L16722" s="43">
        <v>8.409174795676245</v>
      </c>
      <c r="M16722" s="43">
        <v>11.5</v>
      </c>
      <c r="N16722" s="43">
        <v>5.0661334095129265</v>
      </c>
      <c r="O16722" s="43">
        <v>6.7913486005089059</v>
      </c>
      <c r="P16722" s="505"/>
      <c r="Q16722" s="505"/>
      <c r="R16722" s="505">
        <v>3</v>
      </c>
    </row>
    <row r="16723" spans="1:18" ht="36">
      <c r="A16723" s="501">
        <v>164</v>
      </c>
      <c r="B16723" s="498" t="s">
        <v>30009</v>
      </c>
      <c r="C16723" s="502" t="s">
        <v>30010</v>
      </c>
      <c r="D16723" s="503">
        <v>7158.98</v>
      </c>
      <c r="E16723" s="503">
        <v>4147.3599999999997</v>
      </c>
      <c r="F16723" s="503">
        <v>1474.21</v>
      </c>
      <c r="G16723" s="503">
        <v>1537.41</v>
      </c>
      <c r="H16723" s="504">
        <v>62444.29</v>
      </c>
      <c r="I16723" s="504">
        <v>47694.64</v>
      </c>
      <c r="J16723" s="504">
        <v>7108.66</v>
      </c>
      <c r="K16723" s="504">
        <v>7640.99</v>
      </c>
      <c r="L16723" s="43">
        <v>8.7225121455849859</v>
      </c>
      <c r="M16723" s="43">
        <v>11.5</v>
      </c>
      <c r="N16723" s="43">
        <v>4.8220131460239717</v>
      </c>
      <c r="O16723" s="43">
        <v>4.9700405226972633</v>
      </c>
      <c r="P16723" s="505"/>
      <c r="Q16723" s="505"/>
      <c r="R16723" s="505">
        <v>3</v>
      </c>
    </row>
    <row r="16724" spans="1:18" ht="36">
      <c r="A16724" s="501">
        <v>165</v>
      </c>
      <c r="B16724" s="498" t="s">
        <v>30011</v>
      </c>
      <c r="C16724" s="502" t="s">
        <v>30004</v>
      </c>
      <c r="D16724" s="503">
        <v>211.65</v>
      </c>
      <c r="E16724" s="503">
        <v>75.010000000000005</v>
      </c>
      <c r="F16724" s="503">
        <v>66.64</v>
      </c>
      <c r="G16724" s="503">
        <v>70</v>
      </c>
      <c r="H16724" s="504">
        <v>1504.25</v>
      </c>
      <c r="I16724" s="504">
        <v>862.64</v>
      </c>
      <c r="J16724" s="504">
        <v>321.95</v>
      </c>
      <c r="K16724" s="504">
        <v>319.66000000000003</v>
      </c>
      <c r="L16724" s="43">
        <v>7.1072525395700445</v>
      </c>
      <c r="M16724" s="43">
        <v>11.500333288894813</v>
      </c>
      <c r="N16724" s="43">
        <v>4.8311824729891955</v>
      </c>
      <c r="O16724" s="43">
        <v>4.5665714285714287</v>
      </c>
      <c r="P16724" s="505"/>
      <c r="Q16724" s="505"/>
      <c r="R16724" s="505">
        <v>3</v>
      </c>
    </row>
    <row r="16725" spans="1:18" ht="24">
      <c r="A16725" s="501">
        <v>166</v>
      </c>
      <c r="B16725" s="498" t="s">
        <v>30012</v>
      </c>
      <c r="C16725" s="502" t="s">
        <v>30013</v>
      </c>
      <c r="D16725" s="503">
        <v>7992.38</v>
      </c>
      <c r="E16725" s="503">
        <v>5215.9399999999996</v>
      </c>
      <c r="F16725" s="503">
        <v>1954.59</v>
      </c>
      <c r="G16725" s="503">
        <v>821.85</v>
      </c>
      <c r="H16725" s="504">
        <v>73448.42</v>
      </c>
      <c r="I16725" s="504">
        <v>59983.31</v>
      </c>
      <c r="J16725" s="504">
        <v>9611.75</v>
      </c>
      <c r="K16725" s="504">
        <v>3853.36</v>
      </c>
      <c r="L16725" s="43">
        <v>9.1898057900149883</v>
      </c>
      <c r="M16725" s="43">
        <v>11.5</v>
      </c>
      <c r="N16725" s="43">
        <v>4.9175274610020514</v>
      </c>
      <c r="O16725" s="43">
        <v>4.6886414795887328</v>
      </c>
      <c r="P16725" s="505"/>
      <c r="Q16725" s="505"/>
      <c r="R16725" s="505">
        <v>3</v>
      </c>
    </row>
    <row r="16726" spans="1:18" ht="12.75" customHeight="1">
      <c r="A16726" s="628" t="s">
        <v>30014</v>
      </c>
      <c r="B16726" s="629"/>
      <c r="C16726" s="629"/>
      <c r="D16726" s="629"/>
      <c r="E16726" s="629"/>
      <c r="F16726" s="629"/>
      <c r="G16726" s="629"/>
      <c r="H16726" s="629"/>
      <c r="I16726" s="629"/>
      <c r="J16726" s="629"/>
      <c r="K16726" s="629"/>
      <c r="L16726" s="629"/>
      <c r="M16726" s="629"/>
      <c r="N16726" s="629"/>
      <c r="O16726" s="629"/>
      <c r="P16726" s="629"/>
      <c r="Q16726" s="629"/>
      <c r="R16726" s="629"/>
    </row>
    <row r="16727" spans="1:18" ht="24">
      <c r="A16727" s="501">
        <v>167</v>
      </c>
      <c r="B16727" s="498" t="s">
        <v>30015</v>
      </c>
      <c r="C16727" s="502" t="s">
        <v>30016</v>
      </c>
      <c r="D16727" s="503">
        <v>2667.07</v>
      </c>
      <c r="E16727" s="503">
        <v>599.89</v>
      </c>
      <c r="F16727" s="503">
        <v>1909.3</v>
      </c>
      <c r="G16727" s="503">
        <v>157.88</v>
      </c>
      <c r="H16727" s="504">
        <v>17857.29</v>
      </c>
      <c r="I16727" s="504">
        <v>6898.69</v>
      </c>
      <c r="J16727" s="504">
        <v>10269.049999999999</v>
      </c>
      <c r="K16727" s="504">
        <v>689.55</v>
      </c>
      <c r="L16727" s="43">
        <v>6.6954710600021743</v>
      </c>
      <c r="M16727" s="43">
        <v>11.499924986247478</v>
      </c>
      <c r="N16727" s="43">
        <v>5.3784371235531347</v>
      </c>
      <c r="O16727" s="43">
        <v>4.3675576387129462</v>
      </c>
      <c r="P16727" s="505"/>
      <c r="Q16727" s="505"/>
      <c r="R16727" s="505">
        <v>4</v>
      </c>
    </row>
    <row r="16728" spans="1:18" ht="24">
      <c r="A16728" s="501">
        <v>168</v>
      </c>
      <c r="B16728" s="498" t="s">
        <v>30017</v>
      </c>
      <c r="C16728" s="502" t="s">
        <v>30018</v>
      </c>
      <c r="D16728" s="503">
        <v>4708.17</v>
      </c>
      <c r="E16728" s="503">
        <v>1105.68</v>
      </c>
      <c r="F16728" s="503">
        <v>3432.49</v>
      </c>
      <c r="G16728" s="503">
        <v>170</v>
      </c>
      <c r="H16728" s="504">
        <v>32000.51</v>
      </c>
      <c r="I16728" s="504">
        <v>12715.32</v>
      </c>
      <c r="J16728" s="504">
        <v>18461.78</v>
      </c>
      <c r="K16728" s="504">
        <v>823.41</v>
      </c>
      <c r="L16728" s="43">
        <v>6.7968042785201037</v>
      </c>
      <c r="M16728" s="43">
        <v>11.499999999999998</v>
      </c>
      <c r="N16728" s="43">
        <v>5.3785386119114698</v>
      </c>
      <c r="O16728" s="43">
        <v>4.8435882352941171</v>
      </c>
      <c r="P16728" s="505"/>
      <c r="Q16728" s="505"/>
      <c r="R16728" s="505">
        <v>4</v>
      </c>
    </row>
    <row r="16729" spans="1:18" ht="24">
      <c r="A16729" s="501">
        <v>169</v>
      </c>
      <c r="B16729" s="498" t="s">
        <v>30019</v>
      </c>
      <c r="C16729" s="502" t="s">
        <v>30020</v>
      </c>
      <c r="D16729" s="503">
        <v>3185.2</v>
      </c>
      <c r="E16729" s="503">
        <v>609.92999999999995</v>
      </c>
      <c r="F16729" s="503">
        <v>2302.56</v>
      </c>
      <c r="G16729" s="503">
        <v>272.70999999999998</v>
      </c>
      <c r="H16729" s="504">
        <v>20579.45</v>
      </c>
      <c r="I16729" s="504">
        <v>7014.5</v>
      </c>
      <c r="J16729" s="504">
        <v>12393.38</v>
      </c>
      <c r="K16729" s="504">
        <v>1171.57</v>
      </c>
      <c r="L16729" s="43">
        <v>6.4609600653020225</v>
      </c>
      <c r="M16729" s="43">
        <v>11.500500057383634</v>
      </c>
      <c r="N16729" s="43">
        <v>5.3824352025571534</v>
      </c>
      <c r="O16729" s="43">
        <v>4.2960287484874042</v>
      </c>
      <c r="P16729" s="505"/>
      <c r="Q16729" s="505"/>
      <c r="R16729" s="505">
        <v>4</v>
      </c>
    </row>
    <row r="16730" spans="1:18" ht="12.75" customHeight="1">
      <c r="A16730" s="628" t="s">
        <v>30021</v>
      </c>
      <c r="B16730" s="629"/>
      <c r="C16730" s="629"/>
      <c r="D16730" s="629"/>
      <c r="E16730" s="629"/>
      <c r="F16730" s="629"/>
      <c r="G16730" s="629"/>
      <c r="H16730" s="629"/>
      <c r="I16730" s="629"/>
      <c r="J16730" s="629"/>
      <c r="K16730" s="629"/>
      <c r="L16730" s="629"/>
      <c r="M16730" s="629"/>
      <c r="N16730" s="629"/>
      <c r="O16730" s="629"/>
      <c r="P16730" s="629"/>
      <c r="Q16730" s="629"/>
      <c r="R16730" s="629"/>
    </row>
    <row r="16731" spans="1:18" ht="24">
      <c r="A16731" s="501">
        <v>170</v>
      </c>
      <c r="B16731" s="498" t="s">
        <v>30022</v>
      </c>
      <c r="C16731" s="502" t="s">
        <v>30023</v>
      </c>
      <c r="D16731" s="503">
        <v>4998.9399999999996</v>
      </c>
      <c r="E16731" s="503">
        <v>3504.45</v>
      </c>
      <c r="F16731" s="503">
        <v>1113.6300000000001</v>
      </c>
      <c r="G16731" s="503">
        <v>380.86</v>
      </c>
      <c r="H16731" s="504">
        <v>47592.4</v>
      </c>
      <c r="I16731" s="504">
        <v>40302.699999999997</v>
      </c>
      <c r="J16731" s="504">
        <v>5213.97</v>
      </c>
      <c r="K16731" s="504">
        <v>2075.73</v>
      </c>
      <c r="L16731" s="43">
        <v>9.520498345649278</v>
      </c>
      <c r="M16731" s="43">
        <v>11.500435161009573</v>
      </c>
      <c r="N16731" s="43">
        <v>4.6819589989493817</v>
      </c>
      <c r="O16731" s="43">
        <v>5.4501129023788266</v>
      </c>
      <c r="P16731" s="505"/>
      <c r="Q16731" s="505"/>
      <c r="R16731" s="505">
        <v>5</v>
      </c>
    </row>
    <row r="16732" spans="1:18" ht="24">
      <c r="A16732" s="501">
        <v>171</v>
      </c>
      <c r="B16732" s="498" t="s">
        <v>30024</v>
      </c>
      <c r="C16732" s="502" t="s">
        <v>30025</v>
      </c>
      <c r="D16732" s="503">
        <v>9088.35</v>
      </c>
      <c r="E16732" s="503">
        <v>6581.88</v>
      </c>
      <c r="F16732" s="503">
        <v>2347.5500000000002</v>
      </c>
      <c r="G16732" s="503">
        <v>158.91999999999999</v>
      </c>
      <c r="H16732" s="504">
        <v>88714.45</v>
      </c>
      <c r="I16732" s="504">
        <v>75694.44</v>
      </c>
      <c r="J16732" s="504">
        <v>11308.68</v>
      </c>
      <c r="K16732" s="504">
        <v>1711.33</v>
      </c>
      <c r="L16732" s="43">
        <v>9.7613373164545809</v>
      </c>
      <c r="M16732" s="43">
        <v>11.500428449014567</v>
      </c>
      <c r="N16732" s="43">
        <v>4.8172264701497305</v>
      </c>
      <c r="O16732" s="43">
        <v>10.768499874150516</v>
      </c>
      <c r="P16732" s="505"/>
      <c r="Q16732" s="505"/>
      <c r="R16732" s="505">
        <v>5</v>
      </c>
    </row>
    <row r="16733" spans="1:18" ht="12.75" customHeight="1">
      <c r="A16733" s="628" t="s">
        <v>2739</v>
      </c>
      <c r="B16733" s="629"/>
      <c r="C16733" s="629"/>
      <c r="D16733" s="629"/>
      <c r="E16733" s="629"/>
      <c r="F16733" s="629"/>
      <c r="G16733" s="629"/>
      <c r="H16733" s="629"/>
      <c r="I16733" s="629"/>
      <c r="J16733" s="629"/>
      <c r="K16733" s="629"/>
      <c r="L16733" s="629"/>
      <c r="M16733" s="629"/>
      <c r="N16733" s="629"/>
      <c r="O16733" s="629"/>
      <c r="P16733" s="629"/>
      <c r="Q16733" s="629"/>
      <c r="R16733" s="629"/>
    </row>
    <row r="16734" spans="1:18" ht="24">
      <c r="A16734" s="501">
        <v>172</v>
      </c>
      <c r="B16734" s="498" t="s">
        <v>30026</v>
      </c>
      <c r="C16734" s="502" t="s">
        <v>30027</v>
      </c>
      <c r="D16734" s="503">
        <v>1623.85</v>
      </c>
      <c r="E16734" s="503">
        <v>1129.9100000000001</v>
      </c>
      <c r="F16734" s="503">
        <v>252.8</v>
      </c>
      <c r="G16734" s="503">
        <v>241.14</v>
      </c>
      <c r="H16734" s="504">
        <v>15740.08</v>
      </c>
      <c r="I16734" s="504">
        <v>12994.48</v>
      </c>
      <c r="J16734" s="504">
        <v>1297.32</v>
      </c>
      <c r="K16734" s="504">
        <v>1448.28</v>
      </c>
      <c r="L16734" s="43">
        <v>9.6930627828925093</v>
      </c>
      <c r="M16734" s="43">
        <v>11.500455788514127</v>
      </c>
      <c r="N16734" s="43">
        <v>5.1318037974683541</v>
      </c>
      <c r="O16734" s="43">
        <v>6.0059716347350092</v>
      </c>
      <c r="P16734" s="505"/>
      <c r="Q16734" s="505"/>
      <c r="R16734" s="505">
        <v>6</v>
      </c>
    </row>
    <row r="16735" spans="1:18" ht="24">
      <c r="A16735" s="501">
        <v>173</v>
      </c>
      <c r="B16735" s="498" t="s">
        <v>30028</v>
      </c>
      <c r="C16735" s="502" t="s">
        <v>30029</v>
      </c>
      <c r="D16735" s="503">
        <v>2889.38</v>
      </c>
      <c r="E16735" s="503">
        <v>1963.63</v>
      </c>
      <c r="F16735" s="503">
        <v>827.01</v>
      </c>
      <c r="G16735" s="503">
        <v>98.74</v>
      </c>
      <c r="H16735" s="504">
        <v>27535.79</v>
      </c>
      <c r="I16735" s="504">
        <v>22582.639999999999</v>
      </c>
      <c r="J16735" s="504">
        <v>4271.1400000000003</v>
      </c>
      <c r="K16735" s="504">
        <v>682.01</v>
      </c>
      <c r="L16735" s="43">
        <v>9.5299995154669865</v>
      </c>
      <c r="M16735" s="43">
        <v>11.500455788514129</v>
      </c>
      <c r="N16735" s="43">
        <v>5.1645566559050078</v>
      </c>
      <c r="O16735" s="43">
        <v>6.9071298359327526</v>
      </c>
      <c r="P16735" s="505"/>
      <c r="Q16735" s="505"/>
      <c r="R16735" s="505">
        <v>6</v>
      </c>
    </row>
    <row r="16736" spans="1:18" ht="24">
      <c r="A16736" s="501">
        <v>174</v>
      </c>
      <c r="B16736" s="498" t="s">
        <v>30030</v>
      </c>
      <c r="C16736" s="502" t="s">
        <v>30031</v>
      </c>
      <c r="D16736" s="503">
        <v>907.23</v>
      </c>
      <c r="E16736" s="503">
        <v>179.84</v>
      </c>
      <c r="F16736" s="503">
        <v>651.96</v>
      </c>
      <c r="G16736" s="503">
        <v>75.430000000000007</v>
      </c>
      <c r="H16736" s="504">
        <v>5757.07</v>
      </c>
      <c r="I16736" s="504">
        <v>2068.16</v>
      </c>
      <c r="J16736" s="504">
        <v>3381.48</v>
      </c>
      <c r="K16736" s="504">
        <v>307.43</v>
      </c>
      <c r="L16736" s="43">
        <v>6.3457667846080925</v>
      </c>
      <c r="M16736" s="43">
        <v>11.499999999999998</v>
      </c>
      <c r="N16736" s="43">
        <v>5.1866372170071777</v>
      </c>
      <c r="O16736" s="43">
        <v>4.0756993238764414</v>
      </c>
      <c r="P16736" s="505"/>
      <c r="Q16736" s="505"/>
      <c r="R16736" s="505">
        <v>6</v>
      </c>
    </row>
    <row r="16737" spans="1:18" ht="24">
      <c r="A16737" s="501">
        <v>175</v>
      </c>
      <c r="B16737" s="498" t="s">
        <v>30032</v>
      </c>
      <c r="C16737" s="502" t="s">
        <v>30033</v>
      </c>
      <c r="D16737" s="503">
        <v>610.04</v>
      </c>
      <c r="E16737" s="503">
        <v>69.62</v>
      </c>
      <c r="F16737" s="503">
        <v>467.24</v>
      </c>
      <c r="G16737" s="503">
        <v>73.180000000000007</v>
      </c>
      <c r="H16737" s="504">
        <v>3505.66</v>
      </c>
      <c r="I16737" s="504">
        <v>800.61</v>
      </c>
      <c r="J16737" s="504">
        <v>2423.39</v>
      </c>
      <c r="K16737" s="504">
        <v>281.66000000000003</v>
      </c>
      <c r="L16737" s="43">
        <v>5.7466067798832867</v>
      </c>
      <c r="M16737" s="43">
        <v>11.499712726228095</v>
      </c>
      <c r="N16737" s="43">
        <v>5.1866064549268041</v>
      </c>
      <c r="O16737" s="43">
        <v>3.8488658103306914</v>
      </c>
      <c r="P16737" s="505"/>
      <c r="Q16737" s="505"/>
      <c r="R16737" s="505">
        <v>6</v>
      </c>
    </row>
    <row r="16738" spans="1:18" ht="12.75" customHeight="1">
      <c r="A16738" s="628" t="s">
        <v>30034</v>
      </c>
      <c r="B16738" s="629"/>
      <c r="C16738" s="629"/>
      <c r="D16738" s="629"/>
      <c r="E16738" s="629"/>
      <c r="F16738" s="629"/>
      <c r="G16738" s="629"/>
      <c r="H16738" s="629"/>
      <c r="I16738" s="629"/>
      <c r="J16738" s="629"/>
      <c r="K16738" s="629"/>
      <c r="L16738" s="629"/>
      <c r="M16738" s="629"/>
      <c r="N16738" s="629"/>
      <c r="O16738" s="629"/>
      <c r="P16738" s="629"/>
      <c r="Q16738" s="629"/>
      <c r="R16738" s="629"/>
    </row>
    <row r="16739" spans="1:18" ht="12.75" customHeight="1">
      <c r="A16739" s="628" t="s">
        <v>30035</v>
      </c>
      <c r="B16739" s="629"/>
      <c r="C16739" s="629"/>
      <c r="D16739" s="629"/>
      <c r="E16739" s="629"/>
      <c r="F16739" s="629"/>
      <c r="G16739" s="629"/>
      <c r="H16739" s="629"/>
      <c r="I16739" s="629"/>
      <c r="J16739" s="629"/>
      <c r="K16739" s="629"/>
      <c r="L16739" s="629"/>
      <c r="M16739" s="629"/>
      <c r="N16739" s="629"/>
      <c r="O16739" s="629"/>
      <c r="P16739" s="629"/>
      <c r="Q16739" s="629"/>
      <c r="R16739" s="629"/>
    </row>
    <row r="16740" spans="1:18" ht="24">
      <c r="A16740" s="501">
        <v>176</v>
      </c>
      <c r="B16740" s="498" t="s">
        <v>30036</v>
      </c>
      <c r="C16740" s="502" t="s">
        <v>30037</v>
      </c>
      <c r="D16740" s="503">
        <v>2476.5300000000002</v>
      </c>
      <c r="E16740" s="503">
        <v>1607.32</v>
      </c>
      <c r="F16740" s="503">
        <v>583.79999999999995</v>
      </c>
      <c r="G16740" s="503">
        <v>285.41000000000003</v>
      </c>
      <c r="H16740" s="504">
        <v>22866.400000000001</v>
      </c>
      <c r="I16740" s="504">
        <v>18484.18</v>
      </c>
      <c r="J16740" s="504">
        <v>2913.22</v>
      </c>
      <c r="K16740" s="504">
        <v>1469</v>
      </c>
      <c r="L16740" s="43">
        <v>9.2332416728244766</v>
      </c>
      <c r="M16740" s="43">
        <v>11.5</v>
      </c>
      <c r="N16740" s="43">
        <v>4.990099349092155</v>
      </c>
      <c r="O16740" s="43">
        <v>5.1469815353351311</v>
      </c>
      <c r="P16740" s="505"/>
      <c r="Q16740" s="505"/>
      <c r="R16740" s="505">
        <v>1</v>
      </c>
    </row>
    <row r="16741" spans="1:18" ht="24">
      <c r="A16741" s="501">
        <v>177</v>
      </c>
      <c r="B16741" s="498" t="s">
        <v>30038</v>
      </c>
      <c r="C16741" s="502" t="s">
        <v>30039</v>
      </c>
      <c r="D16741" s="503">
        <v>3663.64</v>
      </c>
      <c r="E16741" s="503">
        <v>2079.4</v>
      </c>
      <c r="F16741" s="503">
        <v>1217.23</v>
      </c>
      <c r="G16741" s="503">
        <v>367.01</v>
      </c>
      <c r="H16741" s="504">
        <v>32088.49</v>
      </c>
      <c r="I16741" s="504">
        <v>23913.1</v>
      </c>
      <c r="J16741" s="504">
        <v>6219.12</v>
      </c>
      <c r="K16741" s="504">
        <v>1956.27</v>
      </c>
      <c r="L16741" s="43">
        <v>8.7586362197159122</v>
      </c>
      <c r="M16741" s="43">
        <v>11.499999999999998</v>
      </c>
      <c r="N16741" s="43">
        <v>5.1092398314205205</v>
      </c>
      <c r="O16741" s="43">
        <v>5.3302907277730851</v>
      </c>
      <c r="P16741" s="505"/>
      <c r="Q16741" s="505"/>
      <c r="R16741" s="505">
        <v>1</v>
      </c>
    </row>
    <row r="16742" spans="1:18" ht="24">
      <c r="A16742" s="501">
        <v>178</v>
      </c>
      <c r="B16742" s="498" t="s">
        <v>30040</v>
      </c>
      <c r="C16742" s="502" t="s">
        <v>30041</v>
      </c>
      <c r="D16742" s="503">
        <v>250.72</v>
      </c>
      <c r="E16742" s="503">
        <v>175.8</v>
      </c>
      <c r="F16742" s="503">
        <v>56.62</v>
      </c>
      <c r="G16742" s="503">
        <v>18.3</v>
      </c>
      <c r="H16742" s="504">
        <v>2420.15</v>
      </c>
      <c r="I16742" s="504">
        <v>2021.74</v>
      </c>
      <c r="J16742" s="504">
        <v>301.08</v>
      </c>
      <c r="K16742" s="504">
        <v>97.33</v>
      </c>
      <c r="L16742" s="43">
        <v>9.6527999361837917</v>
      </c>
      <c r="M16742" s="43">
        <v>11.500227531285551</v>
      </c>
      <c r="N16742" s="43">
        <v>5.3175556340515717</v>
      </c>
      <c r="O16742" s="43">
        <v>5.3185792349726775</v>
      </c>
      <c r="P16742" s="505"/>
      <c r="Q16742" s="505"/>
      <c r="R16742" s="505">
        <v>1</v>
      </c>
    </row>
    <row r="16743" spans="1:18" ht="24">
      <c r="A16743" s="501">
        <v>179</v>
      </c>
      <c r="B16743" s="498" t="s">
        <v>30042</v>
      </c>
      <c r="C16743" s="502" t="s">
        <v>30043</v>
      </c>
      <c r="D16743" s="503">
        <v>1213.19</v>
      </c>
      <c r="E16743" s="503">
        <v>851.41</v>
      </c>
      <c r="F16743" s="503">
        <v>266.05</v>
      </c>
      <c r="G16743" s="503">
        <v>95.73</v>
      </c>
      <c r="H16743" s="504">
        <v>11672.78</v>
      </c>
      <c r="I16743" s="504">
        <v>9791.57</v>
      </c>
      <c r="J16743" s="504">
        <v>1374.67</v>
      </c>
      <c r="K16743" s="504">
        <v>506.54</v>
      </c>
      <c r="L16743" s="43">
        <v>9.6215596897435685</v>
      </c>
      <c r="M16743" s="43">
        <v>11.50041695540339</v>
      </c>
      <c r="N16743" s="43">
        <v>5.1669610975380564</v>
      </c>
      <c r="O16743" s="43">
        <v>5.2913402277238069</v>
      </c>
      <c r="P16743" s="505"/>
      <c r="Q16743" s="505"/>
      <c r="R16743" s="505">
        <v>1</v>
      </c>
    </row>
    <row r="16744" spans="1:18" ht="24">
      <c r="A16744" s="501">
        <v>180</v>
      </c>
      <c r="B16744" s="498" t="s">
        <v>30044</v>
      </c>
      <c r="C16744" s="502" t="s">
        <v>30045</v>
      </c>
      <c r="D16744" s="503">
        <v>8274.6</v>
      </c>
      <c r="E16744" s="503">
        <v>4400.67</v>
      </c>
      <c r="F16744" s="503">
        <v>2910.36</v>
      </c>
      <c r="G16744" s="503">
        <v>963.57</v>
      </c>
      <c r="H16744" s="504">
        <v>69828.17</v>
      </c>
      <c r="I16744" s="504">
        <v>50609.62</v>
      </c>
      <c r="J16744" s="504">
        <v>14894.72</v>
      </c>
      <c r="K16744" s="504">
        <v>4323.83</v>
      </c>
      <c r="L16744" s="43">
        <v>8.4388574674304486</v>
      </c>
      <c r="M16744" s="43">
        <v>11.500435161009573</v>
      </c>
      <c r="N16744" s="43">
        <v>5.1178273478195129</v>
      </c>
      <c r="O16744" s="43">
        <v>4.4873024274313229</v>
      </c>
      <c r="P16744" s="505"/>
      <c r="Q16744" s="505"/>
      <c r="R16744" s="505">
        <v>1</v>
      </c>
    </row>
    <row r="16745" spans="1:18" ht="12.75" customHeight="1">
      <c r="A16745" s="628" t="s">
        <v>30046</v>
      </c>
      <c r="B16745" s="629"/>
      <c r="C16745" s="629"/>
      <c r="D16745" s="629"/>
      <c r="E16745" s="629"/>
      <c r="F16745" s="629"/>
      <c r="G16745" s="629"/>
      <c r="H16745" s="629"/>
      <c r="I16745" s="629"/>
      <c r="J16745" s="629"/>
      <c r="K16745" s="629"/>
      <c r="L16745" s="629"/>
      <c r="M16745" s="629"/>
      <c r="N16745" s="629"/>
      <c r="O16745" s="629"/>
      <c r="P16745" s="629"/>
      <c r="Q16745" s="629"/>
      <c r="R16745" s="629"/>
    </row>
    <row r="16746" spans="1:18" ht="24">
      <c r="A16746" s="501">
        <v>181</v>
      </c>
      <c r="B16746" s="498" t="s">
        <v>30047</v>
      </c>
      <c r="C16746" s="502" t="s">
        <v>30048</v>
      </c>
      <c r="D16746" s="503">
        <v>145.15</v>
      </c>
      <c r="E16746" s="503">
        <v>110.8</v>
      </c>
      <c r="F16746" s="503">
        <v>32.130000000000003</v>
      </c>
      <c r="G16746" s="503">
        <v>2.2200000000000002</v>
      </c>
      <c r="H16746" s="504">
        <v>1458.96</v>
      </c>
      <c r="I16746" s="504">
        <v>1274.22</v>
      </c>
      <c r="J16746" s="504">
        <v>159.21</v>
      </c>
      <c r="K16746" s="504">
        <v>25.53</v>
      </c>
      <c r="L16746" s="43">
        <v>10.051395108508439</v>
      </c>
      <c r="M16746" s="43">
        <v>11.500180505415162</v>
      </c>
      <c r="N16746" s="43">
        <v>4.9551820728291318</v>
      </c>
      <c r="O16746" s="43">
        <v>11.5</v>
      </c>
      <c r="P16746" s="505"/>
      <c r="Q16746" s="505"/>
      <c r="R16746" s="505">
        <v>2</v>
      </c>
    </row>
    <row r="16747" spans="1:18" ht="24">
      <c r="A16747" s="501">
        <v>182</v>
      </c>
      <c r="B16747" s="498" t="s">
        <v>30049</v>
      </c>
      <c r="C16747" s="502" t="s">
        <v>30050</v>
      </c>
      <c r="D16747" s="503">
        <v>12.33</v>
      </c>
      <c r="E16747" s="503">
        <v>10.5</v>
      </c>
      <c r="F16747" s="503"/>
      <c r="G16747" s="503">
        <v>1.83</v>
      </c>
      <c r="H16747" s="504">
        <v>133.91</v>
      </c>
      <c r="I16747" s="504">
        <v>120.71</v>
      </c>
      <c r="J16747" s="504"/>
      <c r="K16747" s="504">
        <v>13.2</v>
      </c>
      <c r="L16747" s="43">
        <v>10.860502838605028</v>
      </c>
      <c r="M16747" s="43">
        <v>11.496190476190476</v>
      </c>
      <c r="N16747" s="43" t="s">
        <v>1690</v>
      </c>
      <c r="O16747" s="43">
        <v>7.2131147540983598</v>
      </c>
      <c r="P16747" s="505"/>
      <c r="Q16747" s="505"/>
      <c r="R16747" s="505">
        <v>2</v>
      </c>
    </row>
    <row r="16748" spans="1:18" ht="12.75" customHeight="1">
      <c r="A16748" s="628" t="s">
        <v>30051</v>
      </c>
      <c r="B16748" s="629"/>
      <c r="C16748" s="629"/>
      <c r="D16748" s="629"/>
      <c r="E16748" s="629"/>
      <c r="F16748" s="629"/>
      <c r="G16748" s="629"/>
      <c r="H16748" s="629"/>
      <c r="I16748" s="629"/>
      <c r="J16748" s="629"/>
      <c r="K16748" s="629"/>
      <c r="L16748" s="629"/>
      <c r="M16748" s="629"/>
      <c r="N16748" s="629"/>
      <c r="O16748" s="629"/>
      <c r="P16748" s="629"/>
      <c r="Q16748" s="629"/>
      <c r="R16748" s="629"/>
    </row>
    <row r="16749" spans="1:18" ht="24">
      <c r="A16749" s="501">
        <v>183</v>
      </c>
      <c r="B16749" s="498" t="s">
        <v>30052</v>
      </c>
      <c r="C16749" s="502" t="s">
        <v>30053</v>
      </c>
      <c r="D16749" s="503">
        <v>1942.17</v>
      </c>
      <c r="E16749" s="503">
        <v>1413.27</v>
      </c>
      <c r="F16749" s="503">
        <v>311.93</v>
      </c>
      <c r="G16749" s="503">
        <v>216.97</v>
      </c>
      <c r="H16749" s="504">
        <v>19008.48</v>
      </c>
      <c r="I16749" s="504">
        <v>16253.22</v>
      </c>
      <c r="J16749" s="504">
        <v>1692.98</v>
      </c>
      <c r="K16749" s="504">
        <v>1062.28</v>
      </c>
      <c r="L16749" s="43">
        <v>9.7872379863760628</v>
      </c>
      <c r="M16749" s="43">
        <v>11.500435161009573</v>
      </c>
      <c r="N16749" s="43">
        <v>5.4274356426121244</v>
      </c>
      <c r="O16749" s="43">
        <v>4.8959764022675945</v>
      </c>
      <c r="P16749" s="505"/>
      <c r="Q16749" s="505"/>
      <c r="R16749" s="505">
        <v>3</v>
      </c>
    </row>
    <row r="16750" spans="1:18" ht="24">
      <c r="A16750" s="501">
        <v>184</v>
      </c>
      <c r="B16750" s="498" t="s">
        <v>30054</v>
      </c>
      <c r="C16750" s="502" t="s">
        <v>30055</v>
      </c>
      <c r="D16750" s="503">
        <v>5554.29</v>
      </c>
      <c r="E16750" s="503">
        <v>4366.2</v>
      </c>
      <c r="F16750" s="503">
        <v>874.78</v>
      </c>
      <c r="G16750" s="503">
        <v>313.31</v>
      </c>
      <c r="H16750" s="504">
        <v>57097.760000000002</v>
      </c>
      <c r="I16750" s="504">
        <v>50213.2</v>
      </c>
      <c r="J16750" s="504">
        <v>4738.84</v>
      </c>
      <c r="K16750" s="504">
        <v>2145.7199999999998</v>
      </c>
      <c r="L16750" s="43">
        <v>10.279938570006248</v>
      </c>
      <c r="M16750" s="43">
        <v>11.500435161009573</v>
      </c>
      <c r="N16750" s="43">
        <v>5.4171791764786574</v>
      </c>
      <c r="O16750" s="43">
        <v>6.8485525517857706</v>
      </c>
      <c r="P16750" s="505"/>
      <c r="Q16750" s="505"/>
      <c r="R16750" s="505">
        <v>3</v>
      </c>
    </row>
    <row r="16751" spans="1:18" ht="12.75" customHeight="1">
      <c r="A16751" s="628" t="s">
        <v>30056</v>
      </c>
      <c r="B16751" s="629"/>
      <c r="C16751" s="629"/>
      <c r="D16751" s="629"/>
      <c r="E16751" s="629"/>
      <c r="F16751" s="629"/>
      <c r="G16751" s="629"/>
      <c r="H16751" s="629"/>
      <c r="I16751" s="629"/>
      <c r="J16751" s="629"/>
      <c r="K16751" s="629"/>
      <c r="L16751" s="629"/>
      <c r="M16751" s="629"/>
      <c r="N16751" s="629"/>
      <c r="O16751" s="629"/>
      <c r="P16751" s="629"/>
      <c r="Q16751" s="629"/>
      <c r="R16751" s="629"/>
    </row>
    <row r="16752" spans="1:18" ht="12.75" customHeight="1">
      <c r="A16752" s="628" t="s">
        <v>30057</v>
      </c>
      <c r="B16752" s="629"/>
      <c r="C16752" s="629"/>
      <c r="D16752" s="629"/>
      <c r="E16752" s="629"/>
      <c r="F16752" s="629"/>
      <c r="G16752" s="629"/>
      <c r="H16752" s="629"/>
      <c r="I16752" s="629"/>
      <c r="J16752" s="629"/>
      <c r="K16752" s="629"/>
      <c r="L16752" s="629"/>
      <c r="M16752" s="629"/>
      <c r="N16752" s="629"/>
      <c r="O16752" s="629"/>
      <c r="P16752" s="629"/>
      <c r="Q16752" s="629"/>
      <c r="R16752" s="629"/>
    </row>
    <row r="16753" spans="1:18" ht="24">
      <c r="A16753" s="501">
        <v>185</v>
      </c>
      <c r="B16753" s="498" t="s">
        <v>30058</v>
      </c>
      <c r="C16753" s="502" t="s">
        <v>30059</v>
      </c>
      <c r="D16753" s="503">
        <v>475.99</v>
      </c>
      <c r="E16753" s="503">
        <v>375.72</v>
      </c>
      <c r="F16753" s="503">
        <v>85.59</v>
      </c>
      <c r="G16753" s="503">
        <v>14.68</v>
      </c>
      <c r="H16753" s="504">
        <v>4897.46</v>
      </c>
      <c r="I16753" s="504">
        <v>4320.9799999999996</v>
      </c>
      <c r="J16753" s="504">
        <v>463.62</v>
      </c>
      <c r="K16753" s="504">
        <v>112.86</v>
      </c>
      <c r="L16753" s="43">
        <v>10.288997668018235</v>
      </c>
      <c r="M16753" s="43">
        <v>11.500532311295643</v>
      </c>
      <c r="N16753" s="43">
        <v>5.4167542937259023</v>
      </c>
      <c r="O16753" s="43">
        <v>7.6880108991825615</v>
      </c>
      <c r="P16753" s="505"/>
      <c r="Q16753" s="505"/>
      <c r="R16753" s="505">
        <v>1</v>
      </c>
    </row>
    <row r="16754" spans="1:18" ht="24">
      <c r="A16754" s="501">
        <v>186</v>
      </c>
      <c r="B16754" s="498" t="s">
        <v>30060</v>
      </c>
      <c r="C16754" s="502" t="s">
        <v>30061</v>
      </c>
      <c r="D16754" s="503">
        <v>583.54999999999995</v>
      </c>
      <c r="E16754" s="503">
        <v>388.36</v>
      </c>
      <c r="F16754" s="503">
        <v>115.72</v>
      </c>
      <c r="G16754" s="503">
        <v>79.47</v>
      </c>
      <c r="H16754" s="504">
        <v>5448.59</v>
      </c>
      <c r="I16754" s="504">
        <v>4466.33</v>
      </c>
      <c r="J16754" s="504">
        <v>628</v>
      </c>
      <c r="K16754" s="504">
        <v>354.26</v>
      </c>
      <c r="L16754" s="43">
        <v>9.336971981835319</v>
      </c>
      <c r="M16754" s="43">
        <v>11.500489236790607</v>
      </c>
      <c r="N16754" s="43">
        <v>5.4268924991358451</v>
      </c>
      <c r="O16754" s="43">
        <v>4.4577828111236943</v>
      </c>
      <c r="P16754" s="505"/>
      <c r="Q16754" s="505"/>
      <c r="R16754" s="505">
        <v>1</v>
      </c>
    </row>
    <row r="16755" spans="1:18" ht="24">
      <c r="A16755" s="501">
        <v>187</v>
      </c>
      <c r="B16755" s="498" t="s">
        <v>30062</v>
      </c>
      <c r="C16755" s="502" t="s">
        <v>30063</v>
      </c>
      <c r="D16755" s="503">
        <v>2065.64</v>
      </c>
      <c r="E16755" s="503">
        <v>610.03</v>
      </c>
      <c r="F16755" s="503">
        <v>1313.63</v>
      </c>
      <c r="G16755" s="503">
        <v>141.97999999999999</v>
      </c>
      <c r="H16755" s="504">
        <v>14917.94</v>
      </c>
      <c r="I16755" s="504">
        <v>7015.37</v>
      </c>
      <c r="J16755" s="504">
        <v>7072.4</v>
      </c>
      <c r="K16755" s="504">
        <v>830.17</v>
      </c>
      <c r="L16755" s="43">
        <v>7.2219457407873593</v>
      </c>
      <c r="M16755" s="43">
        <v>11.50004098159107</v>
      </c>
      <c r="N16755" s="43">
        <v>5.3838599910172569</v>
      </c>
      <c r="O16755" s="43">
        <v>5.8470911395971266</v>
      </c>
      <c r="P16755" s="505"/>
      <c r="Q16755" s="505"/>
      <c r="R16755" s="505">
        <v>1</v>
      </c>
    </row>
    <row r="16756" spans="1:18" ht="24">
      <c r="A16756" s="501">
        <v>188</v>
      </c>
      <c r="B16756" s="498" t="s">
        <v>30064</v>
      </c>
      <c r="C16756" s="502" t="s">
        <v>30065</v>
      </c>
      <c r="D16756" s="503">
        <v>1854.47</v>
      </c>
      <c r="E16756" s="503">
        <v>359.68</v>
      </c>
      <c r="F16756" s="503">
        <v>1064.8699999999999</v>
      </c>
      <c r="G16756" s="503">
        <v>429.92</v>
      </c>
      <c r="H16756" s="504">
        <v>12224.26</v>
      </c>
      <c r="I16756" s="504">
        <v>4136.32</v>
      </c>
      <c r="J16756" s="504">
        <v>5523.08</v>
      </c>
      <c r="K16756" s="504">
        <v>2564.86</v>
      </c>
      <c r="L16756" s="43">
        <v>6.5917809401068768</v>
      </c>
      <c r="M16756" s="43">
        <v>11.499999999999998</v>
      </c>
      <c r="N16756" s="43">
        <v>5.1866237193272422</v>
      </c>
      <c r="O16756" s="43">
        <v>5.9659006326758464</v>
      </c>
      <c r="P16756" s="505"/>
      <c r="Q16756" s="505"/>
      <c r="R16756" s="505">
        <v>1</v>
      </c>
    </row>
    <row r="16757" spans="1:18" ht="12.75" customHeight="1">
      <c r="A16757" s="628" t="s">
        <v>30066</v>
      </c>
      <c r="B16757" s="629"/>
      <c r="C16757" s="629"/>
      <c r="D16757" s="629"/>
      <c r="E16757" s="629"/>
      <c r="F16757" s="629"/>
      <c r="G16757" s="629"/>
      <c r="H16757" s="629"/>
      <c r="I16757" s="629"/>
      <c r="J16757" s="629"/>
      <c r="K16757" s="629"/>
      <c r="L16757" s="629"/>
      <c r="M16757" s="629"/>
      <c r="N16757" s="629"/>
      <c r="O16757" s="629"/>
      <c r="P16757" s="629"/>
      <c r="Q16757" s="629"/>
      <c r="R16757" s="629"/>
    </row>
    <row r="16758" spans="1:18" ht="12.75" customHeight="1">
      <c r="A16758" s="628" t="s">
        <v>29988</v>
      </c>
      <c r="B16758" s="629"/>
      <c r="C16758" s="629"/>
      <c r="D16758" s="629"/>
      <c r="E16758" s="629"/>
      <c r="F16758" s="629"/>
      <c r="G16758" s="629"/>
      <c r="H16758" s="629"/>
      <c r="I16758" s="629"/>
      <c r="J16758" s="629"/>
      <c r="K16758" s="629"/>
      <c r="L16758" s="629"/>
      <c r="M16758" s="629"/>
      <c r="N16758" s="629"/>
      <c r="O16758" s="629"/>
      <c r="P16758" s="629"/>
      <c r="Q16758" s="629"/>
      <c r="R16758" s="629"/>
    </row>
    <row r="16759" spans="1:18" ht="24">
      <c r="A16759" s="501">
        <v>189</v>
      </c>
      <c r="B16759" s="498" t="s">
        <v>30067</v>
      </c>
      <c r="C16759" s="502" t="s">
        <v>30068</v>
      </c>
      <c r="D16759" s="503">
        <v>27505.89</v>
      </c>
      <c r="E16759" s="503">
        <v>21861.8</v>
      </c>
      <c r="F16759" s="503">
        <v>3905.37</v>
      </c>
      <c r="G16759" s="503">
        <v>1738.72</v>
      </c>
      <c r="H16759" s="504">
        <v>281895.25</v>
      </c>
      <c r="I16759" s="504">
        <v>251410.7</v>
      </c>
      <c r="J16759" s="504">
        <v>20592.73</v>
      </c>
      <c r="K16759" s="504">
        <v>9891.82</v>
      </c>
      <c r="L16759" s="43">
        <v>10.248541312424358</v>
      </c>
      <c r="M16759" s="43">
        <v>11.500000000000002</v>
      </c>
      <c r="N16759" s="43">
        <v>5.2729267649416061</v>
      </c>
      <c r="O16759" s="43">
        <v>5.6891391368362934</v>
      </c>
      <c r="P16759" s="505"/>
      <c r="Q16759" s="505"/>
      <c r="R16759" s="505">
        <v>1</v>
      </c>
    </row>
    <row r="16760" spans="1:18" ht="24">
      <c r="A16760" s="506">
        <v>190</v>
      </c>
      <c r="B16760" s="507" t="s">
        <v>30069</v>
      </c>
      <c r="C16760" s="508" t="s">
        <v>30070</v>
      </c>
      <c r="D16760" s="509">
        <v>1649.16</v>
      </c>
      <c r="E16760" s="509">
        <v>193.33</v>
      </c>
      <c r="F16760" s="509">
        <v>17.96</v>
      </c>
      <c r="G16760" s="509">
        <v>1437.87</v>
      </c>
      <c r="H16760" s="510">
        <v>7663.31</v>
      </c>
      <c r="I16760" s="510">
        <v>2223.27</v>
      </c>
      <c r="J16760" s="510">
        <v>97.53</v>
      </c>
      <c r="K16760" s="510">
        <v>5342.51</v>
      </c>
      <c r="L16760" s="611">
        <v>4.6467959446021005</v>
      </c>
      <c r="M16760" s="611">
        <v>11.499870687425645</v>
      </c>
      <c r="N16760" s="611">
        <v>5.4304008908685963</v>
      </c>
      <c r="O16760" s="611">
        <v>3.7155723396412754</v>
      </c>
      <c r="P16760" s="511"/>
      <c r="Q16760" s="511"/>
      <c r="R16760" s="511">
        <v>1</v>
      </c>
    </row>
    <row r="16761" spans="1:18" ht="12.75" customHeight="1">
      <c r="A16761" s="630" t="s">
        <v>30071</v>
      </c>
      <c r="B16761" s="631"/>
      <c r="C16761" s="631"/>
      <c r="D16761" s="631"/>
      <c r="E16761" s="631"/>
      <c r="F16761" s="631"/>
      <c r="G16761" s="631"/>
      <c r="H16761" s="631"/>
      <c r="I16761" s="631"/>
      <c r="J16761" s="631"/>
      <c r="K16761" s="631"/>
      <c r="L16761" s="631"/>
      <c r="M16761" s="631"/>
      <c r="N16761" s="631"/>
      <c r="O16761" s="631"/>
      <c r="P16761" s="631"/>
      <c r="Q16761" s="631"/>
      <c r="R16761" s="631"/>
    </row>
    <row r="16762" spans="1:18" ht="12.75" customHeight="1">
      <c r="A16762" s="628" t="s">
        <v>30072</v>
      </c>
      <c r="B16762" s="629"/>
      <c r="C16762" s="629"/>
      <c r="D16762" s="629"/>
      <c r="E16762" s="629"/>
      <c r="F16762" s="629"/>
      <c r="G16762" s="629"/>
      <c r="H16762" s="629"/>
      <c r="I16762" s="629"/>
      <c r="J16762" s="629"/>
      <c r="K16762" s="629"/>
      <c r="L16762" s="629"/>
      <c r="M16762" s="629"/>
      <c r="N16762" s="629"/>
      <c r="O16762" s="629"/>
      <c r="P16762" s="629"/>
      <c r="Q16762" s="629"/>
      <c r="R16762" s="629"/>
    </row>
    <row r="16763" spans="1:18" ht="12.75" customHeight="1">
      <c r="A16763" s="628" t="s">
        <v>30073</v>
      </c>
      <c r="B16763" s="629"/>
      <c r="C16763" s="629"/>
      <c r="D16763" s="629"/>
      <c r="E16763" s="629"/>
      <c r="F16763" s="629"/>
      <c r="G16763" s="629"/>
      <c r="H16763" s="629"/>
      <c r="I16763" s="629"/>
      <c r="J16763" s="629"/>
      <c r="K16763" s="629"/>
      <c r="L16763" s="629"/>
      <c r="M16763" s="629"/>
      <c r="N16763" s="629"/>
      <c r="O16763" s="629"/>
      <c r="P16763" s="629"/>
      <c r="Q16763" s="629"/>
      <c r="R16763" s="629"/>
    </row>
    <row r="16764" spans="1:18" ht="24">
      <c r="A16764" s="501">
        <v>191</v>
      </c>
      <c r="B16764" s="498" t="s">
        <v>30074</v>
      </c>
      <c r="C16764" s="502" t="s">
        <v>30075</v>
      </c>
      <c r="D16764" s="503">
        <v>6569.02</v>
      </c>
      <c r="E16764" s="503">
        <v>1989.48</v>
      </c>
      <c r="F16764" s="503">
        <v>2275.09</v>
      </c>
      <c r="G16764" s="503">
        <v>2304.4499999999998</v>
      </c>
      <c r="H16764" s="504">
        <v>52492.47</v>
      </c>
      <c r="I16764" s="504">
        <v>22879.02</v>
      </c>
      <c r="J16764" s="504">
        <v>13997.85</v>
      </c>
      <c r="K16764" s="504">
        <v>15615.6</v>
      </c>
      <c r="L16764" s="43">
        <v>7.9909134086971871</v>
      </c>
      <c r="M16764" s="43">
        <v>11.5</v>
      </c>
      <c r="N16764" s="43">
        <v>6.1526576970581379</v>
      </c>
      <c r="O16764" s="43">
        <v>6.7762806743474586</v>
      </c>
      <c r="P16764" s="505"/>
      <c r="Q16764" s="505"/>
      <c r="R16764" s="505">
        <v>1</v>
      </c>
    </row>
    <row r="16765" spans="1:18" ht="12.75" customHeight="1">
      <c r="A16765" s="628" t="s">
        <v>30076</v>
      </c>
      <c r="B16765" s="629"/>
      <c r="C16765" s="629"/>
      <c r="D16765" s="629"/>
      <c r="E16765" s="629"/>
      <c r="F16765" s="629"/>
      <c r="G16765" s="629"/>
      <c r="H16765" s="629"/>
      <c r="I16765" s="629"/>
      <c r="J16765" s="629"/>
      <c r="K16765" s="629"/>
      <c r="L16765" s="629"/>
      <c r="M16765" s="629"/>
      <c r="N16765" s="629"/>
      <c r="O16765" s="629"/>
      <c r="P16765" s="629"/>
      <c r="Q16765" s="629"/>
      <c r="R16765" s="629"/>
    </row>
    <row r="16766" spans="1:18" ht="24">
      <c r="A16766" s="501">
        <v>192</v>
      </c>
      <c r="B16766" s="498" t="s">
        <v>30077</v>
      </c>
      <c r="C16766" s="502" t="s">
        <v>30078</v>
      </c>
      <c r="D16766" s="503">
        <v>61.92</v>
      </c>
      <c r="E16766" s="503">
        <v>30.12</v>
      </c>
      <c r="F16766" s="503">
        <v>26.55</v>
      </c>
      <c r="G16766" s="503">
        <v>5.25</v>
      </c>
      <c r="H16766" s="504">
        <v>557.04999999999995</v>
      </c>
      <c r="I16766" s="504">
        <v>346.42</v>
      </c>
      <c r="J16766" s="504">
        <v>163.43</v>
      </c>
      <c r="K16766" s="504">
        <v>47.2</v>
      </c>
      <c r="L16766" s="43">
        <v>8.9962855297157613</v>
      </c>
      <c r="M16766" s="43">
        <v>11.501328021248341</v>
      </c>
      <c r="N16766" s="43">
        <v>6.1555555555555559</v>
      </c>
      <c r="O16766" s="43">
        <v>8.9904761904761905</v>
      </c>
      <c r="P16766" s="505"/>
      <c r="Q16766" s="505"/>
      <c r="R16766" s="505">
        <v>2</v>
      </c>
    </row>
    <row r="16767" spans="1:18" ht="12.75" customHeight="1">
      <c r="A16767" s="628" t="s">
        <v>30079</v>
      </c>
      <c r="B16767" s="629"/>
      <c r="C16767" s="629"/>
      <c r="D16767" s="629"/>
      <c r="E16767" s="629"/>
      <c r="F16767" s="629"/>
      <c r="G16767" s="629"/>
      <c r="H16767" s="629"/>
      <c r="I16767" s="629"/>
      <c r="J16767" s="629"/>
      <c r="K16767" s="629"/>
      <c r="L16767" s="629"/>
      <c r="M16767" s="629"/>
      <c r="N16767" s="629"/>
      <c r="O16767" s="629"/>
      <c r="P16767" s="629"/>
      <c r="Q16767" s="629"/>
      <c r="R16767" s="629"/>
    </row>
    <row r="16768" spans="1:18" ht="12.75" customHeight="1">
      <c r="A16768" s="628" t="s">
        <v>30080</v>
      </c>
      <c r="B16768" s="629"/>
      <c r="C16768" s="629"/>
      <c r="D16768" s="629"/>
      <c r="E16768" s="629"/>
      <c r="F16768" s="629"/>
      <c r="G16768" s="629"/>
      <c r="H16768" s="629"/>
      <c r="I16768" s="629"/>
      <c r="J16768" s="629"/>
      <c r="K16768" s="629"/>
      <c r="L16768" s="629"/>
      <c r="M16768" s="629"/>
      <c r="N16768" s="629"/>
      <c r="O16768" s="629"/>
      <c r="P16768" s="629"/>
      <c r="Q16768" s="629"/>
      <c r="R16768" s="629"/>
    </row>
    <row r="16769" spans="1:18" ht="24">
      <c r="A16769" s="501">
        <v>193</v>
      </c>
      <c r="B16769" s="498" t="s">
        <v>30081</v>
      </c>
      <c r="C16769" s="502" t="s">
        <v>30082</v>
      </c>
      <c r="D16769" s="503">
        <v>23445.08</v>
      </c>
      <c r="E16769" s="503">
        <v>4113.42</v>
      </c>
      <c r="F16769" s="503">
        <v>17140.34</v>
      </c>
      <c r="G16769" s="503">
        <v>2191.3200000000002</v>
      </c>
      <c r="H16769" s="504">
        <v>162596.94</v>
      </c>
      <c r="I16769" s="504">
        <v>47306.12</v>
      </c>
      <c r="J16769" s="504">
        <v>100709.54</v>
      </c>
      <c r="K16769" s="504">
        <v>14581.28</v>
      </c>
      <c r="L16769" s="43">
        <v>6.9352264952817393</v>
      </c>
      <c r="M16769" s="43">
        <v>11.500435161009573</v>
      </c>
      <c r="N16769" s="43">
        <v>5.875585898529434</v>
      </c>
      <c r="O16769" s="43">
        <v>6.6541080262125112</v>
      </c>
      <c r="P16769" s="505"/>
      <c r="Q16769" s="505"/>
      <c r="R16769" s="505">
        <v>1</v>
      </c>
    </row>
    <row r="16770" spans="1:18" ht="12.75" customHeight="1">
      <c r="A16770" s="628" t="s">
        <v>30083</v>
      </c>
      <c r="B16770" s="629"/>
      <c r="C16770" s="629"/>
      <c r="D16770" s="629"/>
      <c r="E16770" s="629"/>
      <c r="F16770" s="629"/>
      <c r="G16770" s="629"/>
      <c r="H16770" s="629"/>
      <c r="I16770" s="629"/>
      <c r="J16770" s="629"/>
      <c r="K16770" s="629"/>
      <c r="L16770" s="629"/>
      <c r="M16770" s="629"/>
      <c r="N16770" s="629"/>
      <c r="O16770" s="629"/>
      <c r="P16770" s="629"/>
      <c r="Q16770" s="629"/>
      <c r="R16770" s="629"/>
    </row>
    <row r="16771" spans="1:18" ht="24">
      <c r="A16771" s="501">
        <v>194</v>
      </c>
      <c r="B16771" s="498" t="s">
        <v>30084</v>
      </c>
      <c r="C16771" s="502" t="s">
        <v>30085</v>
      </c>
      <c r="D16771" s="503">
        <v>1390.23</v>
      </c>
      <c r="E16771" s="503">
        <v>235.55</v>
      </c>
      <c r="F16771" s="503">
        <v>1137.98</v>
      </c>
      <c r="G16771" s="503">
        <v>16.7</v>
      </c>
      <c r="H16771" s="504">
        <v>9540.3700000000008</v>
      </c>
      <c r="I16771" s="504">
        <v>2708.87</v>
      </c>
      <c r="J16771" s="504">
        <v>6730.27</v>
      </c>
      <c r="K16771" s="504">
        <v>101.23</v>
      </c>
      <c r="L16771" s="43">
        <v>6.8624400279090514</v>
      </c>
      <c r="M16771" s="43">
        <v>11.500191042241561</v>
      </c>
      <c r="N16771" s="43">
        <v>5.9142252060668907</v>
      </c>
      <c r="O16771" s="43">
        <v>6.0616766467065872</v>
      </c>
      <c r="P16771" s="505"/>
      <c r="Q16771" s="505"/>
      <c r="R16771" s="505">
        <v>2</v>
      </c>
    </row>
    <row r="16772" spans="1:18" ht="12.75" customHeight="1">
      <c r="A16772" s="628" t="s">
        <v>30086</v>
      </c>
      <c r="B16772" s="629"/>
      <c r="C16772" s="629"/>
      <c r="D16772" s="629"/>
      <c r="E16772" s="629"/>
      <c r="F16772" s="629"/>
      <c r="G16772" s="629"/>
      <c r="H16772" s="629"/>
      <c r="I16772" s="629"/>
      <c r="J16772" s="629"/>
      <c r="K16772" s="629"/>
      <c r="L16772" s="629"/>
      <c r="M16772" s="629"/>
      <c r="N16772" s="629"/>
      <c r="O16772" s="629"/>
      <c r="P16772" s="629"/>
      <c r="Q16772" s="629"/>
      <c r="R16772" s="629"/>
    </row>
    <row r="16773" spans="1:18" ht="12.75" customHeight="1">
      <c r="A16773" s="628" t="s">
        <v>30087</v>
      </c>
      <c r="B16773" s="629"/>
      <c r="C16773" s="629"/>
      <c r="D16773" s="629"/>
      <c r="E16773" s="629"/>
      <c r="F16773" s="629"/>
      <c r="G16773" s="629"/>
      <c r="H16773" s="629"/>
      <c r="I16773" s="629"/>
      <c r="J16773" s="629"/>
      <c r="K16773" s="629"/>
      <c r="L16773" s="629"/>
      <c r="M16773" s="629"/>
      <c r="N16773" s="629"/>
      <c r="O16773" s="629"/>
      <c r="P16773" s="629"/>
      <c r="Q16773" s="629"/>
      <c r="R16773" s="629"/>
    </row>
    <row r="16774" spans="1:18" ht="24">
      <c r="A16774" s="501">
        <v>195</v>
      </c>
      <c r="B16774" s="498" t="s">
        <v>30088</v>
      </c>
      <c r="C16774" s="502" t="s">
        <v>30089</v>
      </c>
      <c r="D16774" s="503">
        <v>4419.84</v>
      </c>
      <c r="E16774" s="503">
        <v>1129.9100000000001</v>
      </c>
      <c r="F16774" s="503">
        <v>2422.88</v>
      </c>
      <c r="G16774" s="503">
        <v>867.05</v>
      </c>
      <c r="H16774" s="504">
        <v>34194.11</v>
      </c>
      <c r="I16774" s="504">
        <v>12994.48</v>
      </c>
      <c r="J16774" s="504">
        <v>15181.79</v>
      </c>
      <c r="K16774" s="504">
        <v>6017.84</v>
      </c>
      <c r="L16774" s="43">
        <v>7.7365040363452069</v>
      </c>
      <c r="M16774" s="43">
        <v>11.500455788514127</v>
      </c>
      <c r="N16774" s="43">
        <v>6.2660098725483726</v>
      </c>
      <c r="O16774" s="43">
        <v>6.9405916613805436</v>
      </c>
      <c r="P16774" s="505"/>
      <c r="Q16774" s="505"/>
      <c r="R16774" s="505">
        <v>1</v>
      </c>
    </row>
    <row r="16775" spans="1:18" ht="12.75" customHeight="1">
      <c r="A16775" s="628" t="s">
        <v>30090</v>
      </c>
      <c r="B16775" s="629"/>
      <c r="C16775" s="629"/>
      <c r="D16775" s="629"/>
      <c r="E16775" s="629"/>
      <c r="F16775" s="629"/>
      <c r="G16775" s="629"/>
      <c r="H16775" s="629"/>
      <c r="I16775" s="629"/>
      <c r="J16775" s="629"/>
      <c r="K16775" s="629"/>
      <c r="L16775" s="629"/>
      <c r="M16775" s="629"/>
      <c r="N16775" s="629"/>
      <c r="O16775" s="629"/>
      <c r="P16775" s="629"/>
      <c r="Q16775" s="629"/>
      <c r="R16775" s="629"/>
    </row>
    <row r="16776" spans="1:18" ht="24">
      <c r="A16776" s="501">
        <v>196</v>
      </c>
      <c r="B16776" s="498" t="s">
        <v>30091</v>
      </c>
      <c r="C16776" s="502" t="s">
        <v>30092</v>
      </c>
      <c r="D16776" s="503">
        <v>3272.13</v>
      </c>
      <c r="E16776" s="503">
        <v>2126.58</v>
      </c>
      <c r="F16776" s="503">
        <v>205.94</v>
      </c>
      <c r="G16776" s="503">
        <v>939.61</v>
      </c>
      <c r="H16776" s="504">
        <v>32379.08</v>
      </c>
      <c r="I16776" s="504">
        <v>24455.67</v>
      </c>
      <c r="J16776" s="504">
        <v>1404.81</v>
      </c>
      <c r="K16776" s="504">
        <v>6518.6</v>
      </c>
      <c r="L16776" s="43">
        <v>9.8954136907763441</v>
      </c>
      <c r="M16776" s="43">
        <v>11.5</v>
      </c>
      <c r="N16776" s="43">
        <v>6.8214528503447607</v>
      </c>
      <c r="O16776" s="43">
        <v>6.9375592000936566</v>
      </c>
      <c r="P16776" s="505"/>
      <c r="Q16776" s="505"/>
      <c r="R16776" s="505">
        <v>2</v>
      </c>
    </row>
    <row r="16777" spans="1:18" ht="12.75" customHeight="1">
      <c r="A16777" s="628" t="s">
        <v>30093</v>
      </c>
      <c r="B16777" s="629"/>
      <c r="C16777" s="629"/>
      <c r="D16777" s="629"/>
      <c r="E16777" s="629"/>
      <c r="F16777" s="629"/>
      <c r="G16777" s="629"/>
      <c r="H16777" s="629"/>
      <c r="I16777" s="629"/>
      <c r="J16777" s="629"/>
      <c r="K16777" s="629"/>
      <c r="L16777" s="629"/>
      <c r="M16777" s="629"/>
      <c r="N16777" s="629"/>
      <c r="O16777" s="629"/>
      <c r="P16777" s="629"/>
      <c r="Q16777" s="629"/>
      <c r="R16777" s="629"/>
    </row>
    <row r="16778" spans="1:18" ht="24">
      <c r="A16778" s="501">
        <v>197</v>
      </c>
      <c r="B16778" s="498" t="s">
        <v>30094</v>
      </c>
      <c r="C16778" s="502" t="s">
        <v>30095</v>
      </c>
      <c r="D16778" s="503">
        <v>584.23</v>
      </c>
      <c r="E16778" s="503">
        <v>394.63</v>
      </c>
      <c r="F16778" s="503">
        <v>30.93</v>
      </c>
      <c r="G16778" s="503">
        <v>158.66999999999999</v>
      </c>
      <c r="H16778" s="504">
        <v>5797.17</v>
      </c>
      <c r="I16778" s="504">
        <v>4538.29</v>
      </c>
      <c r="J16778" s="504">
        <v>211</v>
      </c>
      <c r="K16778" s="504">
        <v>1047.8800000000001</v>
      </c>
      <c r="L16778" s="43">
        <v>9.9227530253496052</v>
      </c>
      <c r="M16778" s="43">
        <v>11.500114030864355</v>
      </c>
      <c r="N16778" s="43">
        <v>6.8218558034270931</v>
      </c>
      <c r="O16778" s="43">
        <v>6.604146971702276</v>
      </c>
      <c r="P16778" s="505"/>
      <c r="Q16778" s="505"/>
      <c r="R16778" s="505">
        <v>3</v>
      </c>
    </row>
    <row r="16779" spans="1:18" ht="12.75" customHeight="1">
      <c r="A16779" s="628" t="s">
        <v>30096</v>
      </c>
      <c r="B16779" s="629"/>
      <c r="C16779" s="629"/>
      <c r="D16779" s="629"/>
      <c r="E16779" s="629"/>
      <c r="F16779" s="629"/>
      <c r="G16779" s="629"/>
      <c r="H16779" s="629"/>
      <c r="I16779" s="629"/>
      <c r="J16779" s="629"/>
      <c r="K16779" s="629"/>
      <c r="L16779" s="629"/>
      <c r="M16779" s="629"/>
      <c r="N16779" s="629"/>
      <c r="O16779" s="629"/>
      <c r="P16779" s="629"/>
      <c r="Q16779" s="629"/>
      <c r="R16779" s="629"/>
    </row>
    <row r="16780" spans="1:18" ht="24">
      <c r="A16780" s="501">
        <v>198</v>
      </c>
      <c r="B16780" s="498" t="s">
        <v>30097</v>
      </c>
      <c r="C16780" s="502" t="s">
        <v>30098</v>
      </c>
      <c r="D16780" s="503">
        <v>316.49</v>
      </c>
      <c r="E16780" s="503">
        <v>49.79</v>
      </c>
      <c r="F16780" s="503">
        <v>56.42</v>
      </c>
      <c r="G16780" s="503">
        <v>210.28</v>
      </c>
      <c r="H16780" s="504">
        <v>2354.8000000000002</v>
      </c>
      <c r="I16780" s="504">
        <v>572.62</v>
      </c>
      <c r="J16780" s="504">
        <v>378.19</v>
      </c>
      <c r="K16780" s="504">
        <v>1403.99</v>
      </c>
      <c r="L16780" s="43">
        <v>7.4403614648172143</v>
      </c>
      <c r="M16780" s="43">
        <v>11.500702952400081</v>
      </c>
      <c r="N16780" s="43">
        <v>6.7031194611839773</v>
      </c>
      <c r="O16780" s="43">
        <v>6.67676431424767</v>
      </c>
      <c r="P16780" s="505"/>
      <c r="Q16780" s="505"/>
      <c r="R16780" s="505">
        <v>4</v>
      </c>
    </row>
    <row r="16781" spans="1:18" ht="12.75" customHeight="1">
      <c r="A16781" s="628" t="s">
        <v>30099</v>
      </c>
      <c r="B16781" s="629"/>
      <c r="C16781" s="629"/>
      <c r="D16781" s="629"/>
      <c r="E16781" s="629"/>
      <c r="F16781" s="629"/>
      <c r="G16781" s="629"/>
      <c r="H16781" s="629"/>
      <c r="I16781" s="629"/>
      <c r="J16781" s="629"/>
      <c r="K16781" s="629"/>
      <c r="L16781" s="629"/>
      <c r="M16781" s="629"/>
      <c r="N16781" s="629"/>
      <c r="O16781" s="629"/>
      <c r="P16781" s="629"/>
      <c r="Q16781" s="629"/>
      <c r="R16781" s="629"/>
    </row>
    <row r="16782" spans="1:18" ht="12.75" customHeight="1">
      <c r="A16782" s="628" t="s">
        <v>30100</v>
      </c>
      <c r="B16782" s="629"/>
      <c r="C16782" s="629"/>
      <c r="D16782" s="629"/>
      <c r="E16782" s="629"/>
      <c r="F16782" s="629"/>
      <c r="G16782" s="629"/>
      <c r="H16782" s="629"/>
      <c r="I16782" s="629"/>
      <c r="J16782" s="629"/>
      <c r="K16782" s="629"/>
      <c r="L16782" s="629"/>
      <c r="M16782" s="629"/>
      <c r="N16782" s="629"/>
      <c r="O16782" s="629"/>
      <c r="P16782" s="629"/>
      <c r="Q16782" s="629"/>
      <c r="R16782" s="629"/>
    </row>
    <row r="16783" spans="1:18" ht="24">
      <c r="A16783" s="501">
        <v>199</v>
      </c>
      <c r="B16783" s="498" t="s">
        <v>30101</v>
      </c>
      <c r="C16783" s="502" t="s">
        <v>30102</v>
      </c>
      <c r="D16783" s="503">
        <v>922.16</v>
      </c>
      <c r="E16783" s="503">
        <v>315.94</v>
      </c>
      <c r="F16783" s="503">
        <v>35.82</v>
      </c>
      <c r="G16783" s="503">
        <v>570.4</v>
      </c>
      <c r="H16783" s="504">
        <v>6612.35</v>
      </c>
      <c r="I16783" s="504">
        <v>3633.41</v>
      </c>
      <c r="J16783" s="504">
        <v>244.31</v>
      </c>
      <c r="K16783" s="504">
        <v>2734.63</v>
      </c>
      <c r="L16783" s="43">
        <v>7.1705018651860852</v>
      </c>
      <c r="M16783" s="43">
        <v>11.500316515794138</v>
      </c>
      <c r="N16783" s="43">
        <v>6.8204913456169738</v>
      </c>
      <c r="O16783" s="43">
        <v>4.7942321178120624</v>
      </c>
      <c r="P16783" s="505"/>
      <c r="Q16783" s="505"/>
      <c r="R16783" s="505">
        <v>1</v>
      </c>
    </row>
    <row r="16784" spans="1:18" ht="12.75" customHeight="1">
      <c r="A16784" s="628" t="s">
        <v>30103</v>
      </c>
      <c r="B16784" s="629"/>
      <c r="C16784" s="629"/>
      <c r="D16784" s="629"/>
      <c r="E16784" s="629"/>
      <c r="F16784" s="629"/>
      <c r="G16784" s="629"/>
      <c r="H16784" s="629"/>
      <c r="I16784" s="629"/>
      <c r="J16784" s="629"/>
      <c r="K16784" s="629"/>
      <c r="L16784" s="629"/>
      <c r="M16784" s="629"/>
      <c r="N16784" s="629"/>
      <c r="O16784" s="629"/>
      <c r="P16784" s="629"/>
      <c r="Q16784" s="629"/>
      <c r="R16784" s="629"/>
    </row>
    <row r="16785" spans="1:18" ht="24">
      <c r="A16785" s="501">
        <v>200</v>
      </c>
      <c r="B16785" s="498" t="s">
        <v>30104</v>
      </c>
      <c r="C16785" s="502" t="s">
        <v>30105</v>
      </c>
      <c r="D16785" s="503">
        <v>5969.47</v>
      </c>
      <c r="E16785" s="503">
        <v>1303.8399999999999</v>
      </c>
      <c r="F16785" s="503">
        <v>2417.9</v>
      </c>
      <c r="G16785" s="503">
        <v>2247.73</v>
      </c>
      <c r="H16785" s="504">
        <v>37635.64</v>
      </c>
      <c r="I16785" s="504">
        <v>14994.16</v>
      </c>
      <c r="J16785" s="504">
        <v>14883.39</v>
      </c>
      <c r="K16785" s="504">
        <v>7758.09</v>
      </c>
      <c r="L16785" s="43">
        <v>6.304687015765218</v>
      </c>
      <c r="M16785" s="43">
        <v>11.5</v>
      </c>
      <c r="N16785" s="43">
        <v>6.155502708962322</v>
      </c>
      <c r="O16785" s="43">
        <v>3.4515222023997545</v>
      </c>
      <c r="P16785" s="505"/>
      <c r="Q16785" s="505"/>
      <c r="R16785" s="505">
        <v>2</v>
      </c>
    </row>
    <row r="16786" spans="1:18" ht="12.75">
      <c r="A16786" s="632" t="s">
        <v>18</v>
      </c>
      <c r="B16786" s="632"/>
      <c r="C16786" s="632"/>
      <c r="D16786" s="499">
        <v>1068691.1499999999</v>
      </c>
      <c r="E16786" s="499">
        <v>672233.91</v>
      </c>
      <c r="F16786" s="499">
        <v>294042.5</v>
      </c>
      <c r="G16786" s="499">
        <v>102414.74</v>
      </c>
      <c r="H16786" s="500">
        <v>9811043.2200000007</v>
      </c>
      <c r="I16786" s="500">
        <v>7730820.96</v>
      </c>
      <c r="J16786" s="500">
        <v>1514479.2</v>
      </c>
      <c r="K16786" s="500">
        <v>565743.06000000006</v>
      </c>
      <c r="L16786" s="612">
        <v>9.1804289948503843</v>
      </c>
      <c r="M16786" s="612">
        <v>11.500194865206963</v>
      </c>
      <c r="N16786" s="612">
        <v>5.1505452443099209</v>
      </c>
      <c r="O16786" s="612">
        <v>5.52403941073326</v>
      </c>
      <c r="P16786" s="497"/>
      <c r="Q16786" s="497"/>
      <c r="R16786" s="497"/>
    </row>
    <row r="16787" spans="1:18" ht="18">
      <c r="A16787" s="616" t="s">
        <v>30107</v>
      </c>
      <c r="B16787" s="626"/>
      <c r="C16787" s="626"/>
      <c r="D16787" s="626"/>
      <c r="E16787" s="626"/>
      <c r="F16787" s="626"/>
      <c r="G16787" s="626"/>
      <c r="H16787" s="626"/>
      <c r="I16787" s="626"/>
      <c r="J16787" s="626"/>
      <c r="K16787" s="626"/>
      <c r="L16787" s="626"/>
      <c r="M16787" s="626"/>
      <c r="N16787" s="626"/>
      <c r="O16787" s="626"/>
      <c r="P16787" s="626"/>
      <c r="Q16787" s="626"/>
      <c r="R16787" s="627"/>
    </row>
    <row r="16788" spans="1:18" ht="12.75" customHeight="1">
      <c r="A16788" s="630" t="s">
        <v>30108</v>
      </c>
      <c r="B16788" s="631"/>
      <c r="C16788" s="631"/>
      <c r="D16788" s="631"/>
      <c r="E16788" s="631"/>
      <c r="F16788" s="631"/>
      <c r="G16788" s="631"/>
      <c r="H16788" s="631"/>
      <c r="I16788" s="631"/>
      <c r="J16788" s="631"/>
      <c r="K16788" s="631"/>
      <c r="L16788" s="631"/>
      <c r="M16788" s="631"/>
      <c r="N16788" s="631"/>
      <c r="O16788" s="631"/>
      <c r="P16788" s="631"/>
      <c r="Q16788" s="631"/>
      <c r="R16788" s="631"/>
    </row>
    <row r="16789" spans="1:18" ht="12.75" customHeight="1">
      <c r="A16789" s="628" t="s">
        <v>30109</v>
      </c>
      <c r="B16789" s="629"/>
      <c r="C16789" s="629"/>
      <c r="D16789" s="629"/>
      <c r="E16789" s="629"/>
      <c r="F16789" s="629"/>
      <c r="G16789" s="629"/>
      <c r="H16789" s="629"/>
      <c r="I16789" s="629"/>
      <c r="J16789" s="629"/>
      <c r="K16789" s="629"/>
      <c r="L16789" s="629"/>
      <c r="M16789" s="629"/>
      <c r="N16789" s="629"/>
      <c r="O16789" s="629"/>
      <c r="P16789" s="629"/>
      <c r="Q16789" s="629"/>
      <c r="R16789" s="629"/>
    </row>
    <row r="16790" spans="1:18" ht="24">
      <c r="A16790" s="516">
        <v>1</v>
      </c>
      <c r="B16790" s="513" t="s">
        <v>30110</v>
      </c>
      <c r="C16790" s="517" t="s">
        <v>30111</v>
      </c>
      <c r="D16790" s="518">
        <v>329.03</v>
      </c>
      <c r="E16790" s="518">
        <v>243.9</v>
      </c>
      <c r="F16790" s="518">
        <v>49.9</v>
      </c>
      <c r="G16790" s="518">
        <v>35.229999999999997</v>
      </c>
      <c r="H16790" s="519">
        <v>3261.93</v>
      </c>
      <c r="I16790" s="519">
        <v>2804.85</v>
      </c>
      <c r="J16790" s="519">
        <v>269.88</v>
      </c>
      <c r="K16790" s="519">
        <v>187.2</v>
      </c>
      <c r="L16790" s="43">
        <v>9.9137768592529554</v>
      </c>
      <c r="M16790" s="43">
        <v>11.5</v>
      </c>
      <c r="N16790" s="43">
        <v>5.4084168336673351</v>
      </c>
      <c r="O16790" s="43">
        <v>5.3136531365313653</v>
      </c>
      <c r="P16790" s="520"/>
      <c r="Q16790" s="520"/>
      <c r="R16790" s="520">
        <v>1</v>
      </c>
    </row>
    <row r="16791" spans="1:18" ht="24">
      <c r="A16791" s="516">
        <v>2</v>
      </c>
      <c r="B16791" s="513" t="s">
        <v>30112</v>
      </c>
      <c r="C16791" s="517" t="s">
        <v>30113</v>
      </c>
      <c r="D16791" s="518">
        <v>378.41</v>
      </c>
      <c r="E16791" s="518">
        <v>254.74</v>
      </c>
      <c r="F16791" s="518">
        <v>57.89</v>
      </c>
      <c r="G16791" s="518">
        <v>65.78</v>
      </c>
      <c r="H16791" s="519">
        <v>3563.19</v>
      </c>
      <c r="I16791" s="519">
        <v>2929.51</v>
      </c>
      <c r="J16791" s="519">
        <v>312.98</v>
      </c>
      <c r="K16791" s="519">
        <v>320.7</v>
      </c>
      <c r="L16791" s="43">
        <v>9.416215216299781</v>
      </c>
      <c r="M16791" s="43">
        <v>11.5</v>
      </c>
      <c r="N16791" s="43">
        <v>5.4064605285887026</v>
      </c>
      <c r="O16791" s="43">
        <v>4.8753420492550923</v>
      </c>
      <c r="P16791" s="520"/>
      <c r="Q16791" s="520"/>
      <c r="R16791" s="520">
        <v>1</v>
      </c>
    </row>
    <row r="16792" spans="1:18" ht="24">
      <c r="A16792" s="516">
        <v>3</v>
      </c>
      <c r="B16792" s="513" t="s">
        <v>30114</v>
      </c>
      <c r="C16792" s="517" t="s">
        <v>30115</v>
      </c>
      <c r="D16792" s="518">
        <v>722.85</v>
      </c>
      <c r="E16792" s="518">
        <v>402.16</v>
      </c>
      <c r="F16792" s="518">
        <v>189.77</v>
      </c>
      <c r="G16792" s="518">
        <v>130.91999999999999</v>
      </c>
      <c r="H16792" s="519">
        <v>6282.87</v>
      </c>
      <c r="I16792" s="519">
        <v>4624.8900000000003</v>
      </c>
      <c r="J16792" s="519">
        <v>1028.08</v>
      </c>
      <c r="K16792" s="519">
        <v>629.9</v>
      </c>
      <c r="L16792" s="43">
        <v>8.6918032786885249</v>
      </c>
      <c r="M16792" s="43">
        <v>11.500124328625423</v>
      </c>
      <c r="N16792" s="43">
        <v>5.4175054012752275</v>
      </c>
      <c r="O16792" s="43">
        <v>4.8113351665139019</v>
      </c>
      <c r="P16792" s="520"/>
      <c r="Q16792" s="520"/>
      <c r="R16792" s="520">
        <v>1</v>
      </c>
    </row>
    <row r="16793" spans="1:18" ht="12.75" customHeight="1">
      <c r="A16793" s="628" t="s">
        <v>30116</v>
      </c>
      <c r="B16793" s="629"/>
      <c r="C16793" s="629"/>
      <c r="D16793" s="629"/>
      <c r="E16793" s="629"/>
      <c r="F16793" s="629"/>
      <c r="G16793" s="629"/>
      <c r="H16793" s="629"/>
      <c r="I16793" s="629"/>
      <c r="J16793" s="629"/>
      <c r="K16793" s="629"/>
      <c r="L16793" s="629"/>
      <c r="M16793" s="629"/>
      <c r="N16793" s="629"/>
      <c r="O16793" s="629"/>
      <c r="P16793" s="629"/>
      <c r="Q16793" s="629"/>
      <c r="R16793" s="629"/>
    </row>
    <row r="16794" spans="1:18" ht="24">
      <c r="A16794" s="516">
        <v>4</v>
      </c>
      <c r="B16794" s="513" t="s">
        <v>30117</v>
      </c>
      <c r="C16794" s="517" t="s">
        <v>30118</v>
      </c>
      <c r="D16794" s="518">
        <v>767.71</v>
      </c>
      <c r="E16794" s="518">
        <v>411.81</v>
      </c>
      <c r="F16794" s="518">
        <v>228.18</v>
      </c>
      <c r="G16794" s="518">
        <v>127.72</v>
      </c>
      <c r="H16794" s="519">
        <v>6574.95</v>
      </c>
      <c r="I16794" s="519">
        <v>4735.82</v>
      </c>
      <c r="J16794" s="519">
        <v>1236.73</v>
      </c>
      <c r="K16794" s="519">
        <v>602.4</v>
      </c>
      <c r="L16794" s="43">
        <v>8.5643667530708196</v>
      </c>
      <c r="M16794" s="43">
        <v>11.500012141521575</v>
      </c>
      <c r="N16794" s="43">
        <v>5.4199754579717769</v>
      </c>
      <c r="O16794" s="43">
        <v>4.7165674913874094</v>
      </c>
      <c r="P16794" s="520"/>
      <c r="Q16794" s="520"/>
      <c r="R16794" s="520">
        <v>2</v>
      </c>
    </row>
    <row r="16795" spans="1:18" ht="24">
      <c r="A16795" s="516">
        <v>5</v>
      </c>
      <c r="B16795" s="513" t="s">
        <v>30119</v>
      </c>
      <c r="C16795" s="517" t="s">
        <v>30120</v>
      </c>
      <c r="D16795" s="518">
        <v>1277.03</v>
      </c>
      <c r="E16795" s="518">
        <v>561.66</v>
      </c>
      <c r="F16795" s="518">
        <v>395.78</v>
      </c>
      <c r="G16795" s="518">
        <v>319.58999999999997</v>
      </c>
      <c r="H16795" s="519">
        <v>10088.209999999999</v>
      </c>
      <c r="I16795" s="519">
        <v>6459.09</v>
      </c>
      <c r="J16795" s="519">
        <v>2146.2399999999998</v>
      </c>
      <c r="K16795" s="519">
        <v>1482.88</v>
      </c>
      <c r="L16795" s="43">
        <v>7.899743937104061</v>
      </c>
      <c r="M16795" s="43">
        <v>11.500000000000002</v>
      </c>
      <c r="N16795" s="43">
        <v>5.4228106523826369</v>
      </c>
      <c r="O16795" s="43">
        <v>4.6399449294408468</v>
      </c>
      <c r="P16795" s="520"/>
      <c r="Q16795" s="520"/>
      <c r="R16795" s="520">
        <v>2</v>
      </c>
    </row>
    <row r="16796" spans="1:18" ht="24">
      <c r="A16796" s="516">
        <v>6</v>
      </c>
      <c r="B16796" s="513" t="s">
        <v>30121</v>
      </c>
      <c r="C16796" s="517" t="s">
        <v>30122</v>
      </c>
      <c r="D16796" s="518">
        <v>3238.21</v>
      </c>
      <c r="E16796" s="518">
        <v>1967</v>
      </c>
      <c r="F16796" s="518">
        <v>711.45</v>
      </c>
      <c r="G16796" s="518">
        <v>559.76</v>
      </c>
      <c r="H16796" s="519">
        <v>29332.87</v>
      </c>
      <c r="I16796" s="519">
        <v>22620.5</v>
      </c>
      <c r="J16796" s="519">
        <v>3856.9</v>
      </c>
      <c r="K16796" s="519">
        <v>2855.47</v>
      </c>
      <c r="L16796" s="43">
        <v>9.0583594022623597</v>
      </c>
      <c r="M16796" s="43">
        <v>11.5</v>
      </c>
      <c r="N16796" s="43">
        <v>5.4211820929088477</v>
      </c>
      <c r="O16796" s="43">
        <v>5.1012398170644557</v>
      </c>
      <c r="P16796" s="520"/>
      <c r="Q16796" s="520"/>
      <c r="R16796" s="520">
        <v>2</v>
      </c>
    </row>
    <row r="16797" spans="1:18" ht="12.75" customHeight="1">
      <c r="A16797" s="628" t="s">
        <v>30123</v>
      </c>
      <c r="B16797" s="629"/>
      <c r="C16797" s="629"/>
      <c r="D16797" s="629"/>
      <c r="E16797" s="629"/>
      <c r="F16797" s="629"/>
      <c r="G16797" s="629"/>
      <c r="H16797" s="629"/>
      <c r="I16797" s="629"/>
      <c r="J16797" s="629"/>
      <c r="K16797" s="629"/>
      <c r="L16797" s="629"/>
      <c r="M16797" s="629"/>
      <c r="N16797" s="629"/>
      <c r="O16797" s="629"/>
      <c r="P16797" s="629"/>
      <c r="Q16797" s="629"/>
      <c r="R16797" s="629"/>
    </row>
    <row r="16798" spans="1:18" ht="24">
      <c r="A16798" s="516">
        <v>7</v>
      </c>
      <c r="B16798" s="513" t="s">
        <v>30124</v>
      </c>
      <c r="C16798" s="517" t="s">
        <v>30125</v>
      </c>
      <c r="D16798" s="518">
        <v>2302.15</v>
      </c>
      <c r="E16798" s="518">
        <v>1059.93</v>
      </c>
      <c r="F16798" s="518">
        <v>732.22</v>
      </c>
      <c r="G16798" s="518">
        <v>510</v>
      </c>
      <c r="H16798" s="519">
        <v>18531.23</v>
      </c>
      <c r="I16798" s="519">
        <v>12189.22</v>
      </c>
      <c r="J16798" s="519">
        <v>3972.29</v>
      </c>
      <c r="K16798" s="519">
        <v>2369.7199999999998</v>
      </c>
      <c r="L16798" s="43">
        <v>8.0495319592554786</v>
      </c>
      <c r="M16798" s="43">
        <v>11.500023586463255</v>
      </c>
      <c r="N16798" s="43">
        <v>5.424995220015842</v>
      </c>
      <c r="O16798" s="43">
        <v>4.6465098039215684</v>
      </c>
      <c r="P16798" s="520"/>
      <c r="Q16798" s="520"/>
      <c r="R16798" s="520">
        <v>3</v>
      </c>
    </row>
    <row r="16799" spans="1:18" ht="12.75" customHeight="1">
      <c r="A16799" s="628" t="s">
        <v>30126</v>
      </c>
      <c r="B16799" s="629"/>
      <c r="C16799" s="629"/>
      <c r="D16799" s="629"/>
      <c r="E16799" s="629"/>
      <c r="F16799" s="629"/>
      <c r="G16799" s="629"/>
      <c r="H16799" s="629"/>
      <c r="I16799" s="629"/>
      <c r="J16799" s="629"/>
      <c r="K16799" s="629"/>
      <c r="L16799" s="629"/>
      <c r="M16799" s="629"/>
      <c r="N16799" s="629"/>
      <c r="O16799" s="629"/>
      <c r="P16799" s="629"/>
      <c r="Q16799" s="629"/>
      <c r="R16799" s="629"/>
    </row>
    <row r="16800" spans="1:18" ht="24">
      <c r="A16800" s="516">
        <v>8</v>
      </c>
      <c r="B16800" s="513" t="s">
        <v>30127</v>
      </c>
      <c r="C16800" s="517" t="s">
        <v>30128</v>
      </c>
      <c r="D16800" s="518">
        <v>864.26</v>
      </c>
      <c r="E16800" s="518">
        <v>466.46</v>
      </c>
      <c r="F16800" s="518">
        <v>268.38</v>
      </c>
      <c r="G16800" s="518">
        <v>129.41999999999999</v>
      </c>
      <c r="H16800" s="519">
        <v>7440.72</v>
      </c>
      <c r="I16800" s="519">
        <v>5364.29</v>
      </c>
      <c r="J16800" s="519">
        <v>1456.13</v>
      </c>
      <c r="K16800" s="519">
        <v>620.29999999999995</v>
      </c>
      <c r="L16800" s="43">
        <v>8.6093536667206632</v>
      </c>
      <c r="M16800" s="43">
        <v>11.5</v>
      </c>
      <c r="N16800" s="43">
        <v>5.4256278411207992</v>
      </c>
      <c r="O16800" s="43">
        <v>4.7929222685829087</v>
      </c>
      <c r="P16800" s="520"/>
      <c r="Q16800" s="520"/>
      <c r="R16800" s="520">
        <v>4</v>
      </c>
    </row>
    <row r="16801" spans="1:18" ht="12.75" customHeight="1">
      <c r="A16801" s="628" t="s">
        <v>30129</v>
      </c>
      <c r="B16801" s="629"/>
      <c r="C16801" s="629"/>
      <c r="D16801" s="629"/>
      <c r="E16801" s="629"/>
      <c r="F16801" s="629"/>
      <c r="G16801" s="629"/>
      <c r="H16801" s="629"/>
      <c r="I16801" s="629"/>
      <c r="J16801" s="629"/>
      <c r="K16801" s="629"/>
      <c r="L16801" s="629"/>
      <c r="M16801" s="629"/>
      <c r="N16801" s="629"/>
      <c r="O16801" s="629"/>
      <c r="P16801" s="629"/>
      <c r="Q16801" s="629"/>
      <c r="R16801" s="629"/>
    </row>
    <row r="16802" spans="1:18" ht="24">
      <c r="A16802" s="516">
        <v>9</v>
      </c>
      <c r="B16802" s="513" t="s">
        <v>30130</v>
      </c>
      <c r="C16802" s="517" t="s">
        <v>30131</v>
      </c>
      <c r="D16802" s="518">
        <v>3279.58</v>
      </c>
      <c r="E16802" s="518">
        <v>2090.2399999999998</v>
      </c>
      <c r="F16802" s="518">
        <v>565.58000000000004</v>
      </c>
      <c r="G16802" s="518">
        <v>623.76</v>
      </c>
      <c r="H16802" s="519">
        <v>30527.86</v>
      </c>
      <c r="I16802" s="519">
        <v>24037.759999999998</v>
      </c>
      <c r="J16802" s="519">
        <v>3066.96</v>
      </c>
      <c r="K16802" s="519">
        <v>3423.14</v>
      </c>
      <c r="L16802" s="43">
        <v>9.3084663280054158</v>
      </c>
      <c r="M16802" s="43">
        <v>11.5</v>
      </c>
      <c r="N16802" s="43">
        <v>5.4226811414830793</v>
      </c>
      <c r="O16802" s="43">
        <v>5.4879120174426061</v>
      </c>
      <c r="P16802" s="520"/>
      <c r="Q16802" s="520"/>
      <c r="R16802" s="520">
        <v>5</v>
      </c>
    </row>
    <row r="16803" spans="1:18" ht="12.75" customHeight="1">
      <c r="A16803" s="628" t="s">
        <v>30132</v>
      </c>
      <c r="B16803" s="629"/>
      <c r="C16803" s="629"/>
      <c r="D16803" s="629"/>
      <c r="E16803" s="629"/>
      <c r="F16803" s="629"/>
      <c r="G16803" s="629"/>
      <c r="H16803" s="629"/>
      <c r="I16803" s="629"/>
      <c r="J16803" s="629"/>
      <c r="K16803" s="629"/>
      <c r="L16803" s="629"/>
      <c r="M16803" s="629"/>
      <c r="N16803" s="629"/>
      <c r="O16803" s="629"/>
      <c r="P16803" s="629"/>
      <c r="Q16803" s="629"/>
      <c r="R16803" s="629"/>
    </row>
    <row r="16804" spans="1:18" ht="24">
      <c r="A16804" s="516">
        <v>10</v>
      </c>
      <c r="B16804" s="513" t="s">
        <v>30133</v>
      </c>
      <c r="C16804" s="517" t="s">
        <v>30134</v>
      </c>
      <c r="D16804" s="518">
        <v>1276.46</v>
      </c>
      <c r="E16804" s="518">
        <v>510.6</v>
      </c>
      <c r="F16804" s="518">
        <v>450.83</v>
      </c>
      <c r="G16804" s="518">
        <v>315.02999999999997</v>
      </c>
      <c r="H16804" s="519">
        <v>9757.42</v>
      </c>
      <c r="I16804" s="519">
        <v>5871.9</v>
      </c>
      <c r="J16804" s="519">
        <v>2445.36</v>
      </c>
      <c r="K16804" s="519">
        <v>1440.16</v>
      </c>
      <c r="L16804" s="43">
        <v>7.6441251586418684</v>
      </c>
      <c r="M16804" s="43">
        <v>11.499999999999998</v>
      </c>
      <c r="N16804" s="43">
        <v>5.4241288290486445</v>
      </c>
      <c r="O16804" s="43">
        <v>4.5715011268768064</v>
      </c>
      <c r="P16804" s="520"/>
      <c r="Q16804" s="520"/>
      <c r="R16804" s="520">
        <v>6</v>
      </c>
    </row>
    <row r="16805" spans="1:18" ht="24">
      <c r="A16805" s="521">
        <v>11</v>
      </c>
      <c r="B16805" s="522" t="s">
        <v>30135</v>
      </c>
      <c r="C16805" s="523" t="s">
        <v>30136</v>
      </c>
      <c r="D16805" s="524">
        <v>826.39</v>
      </c>
      <c r="E16805" s="524">
        <v>510.6</v>
      </c>
      <c r="F16805" s="524">
        <v>246.86</v>
      </c>
      <c r="G16805" s="524">
        <v>68.930000000000007</v>
      </c>
      <c r="H16805" s="525">
        <v>7572.12</v>
      </c>
      <c r="I16805" s="525">
        <v>5871.9</v>
      </c>
      <c r="J16805" s="525">
        <v>1337.92</v>
      </c>
      <c r="K16805" s="525">
        <v>362.3</v>
      </c>
      <c r="L16805" s="611">
        <v>9.1628891927540259</v>
      </c>
      <c r="M16805" s="611">
        <v>11.499999999999998</v>
      </c>
      <c r="N16805" s="611">
        <v>5.4197520862027062</v>
      </c>
      <c r="O16805" s="611">
        <v>5.2560568692876828</v>
      </c>
      <c r="P16805" s="526"/>
      <c r="Q16805" s="526"/>
      <c r="R16805" s="526">
        <v>6</v>
      </c>
    </row>
    <row r="16806" spans="1:18" ht="12.75" customHeight="1">
      <c r="A16806" s="630" t="s">
        <v>30137</v>
      </c>
      <c r="B16806" s="631"/>
      <c r="C16806" s="631"/>
      <c r="D16806" s="631"/>
      <c r="E16806" s="631"/>
      <c r="F16806" s="631"/>
      <c r="G16806" s="631"/>
      <c r="H16806" s="631"/>
      <c r="I16806" s="631"/>
      <c r="J16806" s="631"/>
      <c r="K16806" s="631"/>
      <c r="L16806" s="631"/>
      <c r="M16806" s="631"/>
      <c r="N16806" s="631"/>
      <c r="O16806" s="631"/>
      <c r="P16806" s="631"/>
      <c r="Q16806" s="631"/>
      <c r="R16806" s="631"/>
    </row>
    <row r="16807" spans="1:18" ht="12.75" customHeight="1">
      <c r="A16807" s="628" t="s">
        <v>30138</v>
      </c>
      <c r="B16807" s="629"/>
      <c r="C16807" s="629"/>
      <c r="D16807" s="629"/>
      <c r="E16807" s="629"/>
      <c r="F16807" s="629"/>
      <c r="G16807" s="629"/>
      <c r="H16807" s="629"/>
      <c r="I16807" s="629"/>
      <c r="J16807" s="629"/>
      <c r="K16807" s="629"/>
      <c r="L16807" s="629"/>
      <c r="M16807" s="629"/>
      <c r="N16807" s="629"/>
      <c r="O16807" s="629"/>
      <c r="P16807" s="629"/>
      <c r="Q16807" s="629"/>
      <c r="R16807" s="629"/>
    </row>
    <row r="16808" spans="1:18" ht="24">
      <c r="A16808" s="516">
        <v>12</v>
      </c>
      <c r="B16808" s="513" t="s">
        <v>30139</v>
      </c>
      <c r="C16808" s="517" t="s">
        <v>30140</v>
      </c>
      <c r="D16808" s="518">
        <v>1320.16</v>
      </c>
      <c r="E16808" s="518">
        <v>769.94</v>
      </c>
      <c r="F16808" s="518">
        <v>368.84</v>
      </c>
      <c r="G16808" s="518">
        <v>181.38</v>
      </c>
      <c r="H16808" s="519">
        <v>11809.22</v>
      </c>
      <c r="I16808" s="519">
        <v>8854.31</v>
      </c>
      <c r="J16808" s="519">
        <v>1997.54</v>
      </c>
      <c r="K16808" s="519">
        <v>957.37</v>
      </c>
      <c r="L16808" s="43">
        <v>8.9452945097563923</v>
      </c>
      <c r="M16808" s="43">
        <v>11.499999999999998</v>
      </c>
      <c r="N16808" s="43">
        <v>5.4157358204099344</v>
      </c>
      <c r="O16808" s="43">
        <v>5.2782555959863275</v>
      </c>
      <c r="P16808" s="520"/>
      <c r="Q16808" s="520"/>
      <c r="R16808" s="520">
        <v>1</v>
      </c>
    </row>
    <row r="16809" spans="1:18" ht="36">
      <c r="A16809" s="516">
        <v>13</v>
      </c>
      <c r="B16809" s="513" t="s">
        <v>30141</v>
      </c>
      <c r="C16809" s="517" t="s">
        <v>30142</v>
      </c>
      <c r="D16809" s="518">
        <v>2229.94</v>
      </c>
      <c r="E16809" s="518">
        <v>1146.48</v>
      </c>
      <c r="F16809" s="518">
        <v>539.09</v>
      </c>
      <c r="G16809" s="518">
        <v>544.37</v>
      </c>
      <c r="H16809" s="519">
        <v>18780.07</v>
      </c>
      <c r="I16809" s="519">
        <v>13184.52</v>
      </c>
      <c r="J16809" s="519">
        <v>2919.85</v>
      </c>
      <c r="K16809" s="519">
        <v>2675.7</v>
      </c>
      <c r="L16809" s="43">
        <v>8.421782648860507</v>
      </c>
      <c r="M16809" s="43">
        <v>11.5</v>
      </c>
      <c r="N16809" s="43">
        <v>5.4162570257285418</v>
      </c>
      <c r="O16809" s="43">
        <v>4.9152231019343455</v>
      </c>
      <c r="P16809" s="520"/>
      <c r="Q16809" s="520"/>
      <c r="R16809" s="520">
        <v>1</v>
      </c>
    </row>
    <row r="16810" spans="1:18" ht="12.75" customHeight="1">
      <c r="A16810" s="628" t="s">
        <v>30143</v>
      </c>
      <c r="B16810" s="629"/>
      <c r="C16810" s="629"/>
      <c r="D16810" s="629"/>
      <c r="E16810" s="629"/>
      <c r="F16810" s="629"/>
      <c r="G16810" s="629"/>
      <c r="H16810" s="629"/>
      <c r="I16810" s="629"/>
      <c r="J16810" s="629"/>
      <c r="K16810" s="629"/>
      <c r="L16810" s="629"/>
      <c r="M16810" s="629"/>
      <c r="N16810" s="629"/>
      <c r="O16810" s="629"/>
      <c r="P16810" s="629"/>
      <c r="Q16810" s="629"/>
      <c r="R16810" s="629"/>
    </row>
    <row r="16811" spans="1:18" ht="24">
      <c r="A16811" s="516">
        <v>14</v>
      </c>
      <c r="B16811" s="513" t="s">
        <v>30144</v>
      </c>
      <c r="C16811" s="517" t="s">
        <v>30145</v>
      </c>
      <c r="D16811" s="518">
        <v>266.42</v>
      </c>
      <c r="E16811" s="518">
        <v>191.98</v>
      </c>
      <c r="F16811" s="518">
        <v>67.88</v>
      </c>
      <c r="G16811" s="518">
        <v>6.56</v>
      </c>
      <c r="H16811" s="519">
        <v>2643.38</v>
      </c>
      <c r="I16811" s="519">
        <v>2207.8200000000002</v>
      </c>
      <c r="J16811" s="519">
        <v>367.56</v>
      </c>
      <c r="K16811" s="519">
        <v>68</v>
      </c>
      <c r="L16811" s="43">
        <v>9.9218527137602273</v>
      </c>
      <c r="M16811" s="43">
        <v>11.500260443796231</v>
      </c>
      <c r="N16811" s="43">
        <v>5.4148497348261646</v>
      </c>
      <c r="O16811" s="43">
        <v>10.365853658536587</v>
      </c>
      <c r="P16811" s="520"/>
      <c r="Q16811" s="520"/>
      <c r="R16811" s="520">
        <v>2</v>
      </c>
    </row>
    <row r="16812" spans="1:18" ht="12.75" customHeight="1">
      <c r="A16812" s="628" t="s">
        <v>30146</v>
      </c>
      <c r="B16812" s="629"/>
      <c r="C16812" s="629"/>
      <c r="D16812" s="629"/>
      <c r="E16812" s="629"/>
      <c r="F16812" s="629"/>
      <c r="G16812" s="629"/>
      <c r="H16812" s="629"/>
      <c r="I16812" s="629"/>
      <c r="J16812" s="629"/>
      <c r="K16812" s="629"/>
      <c r="L16812" s="629"/>
      <c r="M16812" s="629"/>
      <c r="N16812" s="629"/>
      <c r="O16812" s="629"/>
      <c r="P16812" s="629"/>
      <c r="Q16812" s="629"/>
      <c r="R16812" s="629"/>
    </row>
    <row r="16813" spans="1:18" ht="24">
      <c r="A16813" s="516">
        <v>15</v>
      </c>
      <c r="B16813" s="513" t="s">
        <v>30147</v>
      </c>
      <c r="C16813" s="517" t="s">
        <v>30148</v>
      </c>
      <c r="D16813" s="518">
        <v>739.18</v>
      </c>
      <c r="E16813" s="518">
        <v>458.94</v>
      </c>
      <c r="F16813" s="518">
        <v>269.87</v>
      </c>
      <c r="G16813" s="518">
        <v>10.37</v>
      </c>
      <c r="H16813" s="519">
        <v>6855.47</v>
      </c>
      <c r="I16813" s="519">
        <v>5277.86</v>
      </c>
      <c r="J16813" s="519">
        <v>1461.61</v>
      </c>
      <c r="K16813" s="519">
        <v>116</v>
      </c>
      <c r="L16813" s="43">
        <v>9.2744257149814668</v>
      </c>
      <c r="M16813" s="43">
        <v>11.500108946703271</v>
      </c>
      <c r="N16813" s="43">
        <v>5.4159780635120605</v>
      </c>
      <c r="O16813" s="43">
        <v>11.186113789778208</v>
      </c>
      <c r="P16813" s="520"/>
      <c r="Q16813" s="520"/>
      <c r="R16813" s="520">
        <v>3</v>
      </c>
    </row>
    <row r="16814" spans="1:18" ht="24">
      <c r="A16814" s="516">
        <v>16</v>
      </c>
      <c r="B16814" s="513" t="s">
        <v>30149</v>
      </c>
      <c r="C16814" s="517" t="s">
        <v>30150</v>
      </c>
      <c r="D16814" s="518">
        <v>349.27</v>
      </c>
      <c r="E16814" s="518">
        <v>216.98</v>
      </c>
      <c r="F16814" s="518">
        <v>126.93</v>
      </c>
      <c r="G16814" s="518">
        <v>5.36</v>
      </c>
      <c r="H16814" s="519">
        <v>3241.79</v>
      </c>
      <c r="I16814" s="519">
        <v>2495.2199999999998</v>
      </c>
      <c r="J16814" s="519">
        <v>687.72</v>
      </c>
      <c r="K16814" s="519">
        <v>58.85</v>
      </c>
      <c r="L16814" s="43">
        <v>9.2816159418215136</v>
      </c>
      <c r="M16814" s="43">
        <v>11.499769564015116</v>
      </c>
      <c r="N16814" s="43">
        <v>5.418104467029071</v>
      </c>
      <c r="O16814" s="43">
        <v>10.979477611940299</v>
      </c>
      <c r="P16814" s="520"/>
      <c r="Q16814" s="520"/>
      <c r="R16814" s="520">
        <v>3</v>
      </c>
    </row>
    <row r="16815" spans="1:18" ht="12.75" customHeight="1">
      <c r="A16815" s="628" t="s">
        <v>19144</v>
      </c>
      <c r="B16815" s="629"/>
      <c r="C16815" s="629"/>
      <c r="D16815" s="629"/>
      <c r="E16815" s="629"/>
      <c r="F16815" s="629"/>
      <c r="G16815" s="629"/>
      <c r="H16815" s="629"/>
      <c r="I16815" s="629"/>
      <c r="J16815" s="629"/>
      <c r="K16815" s="629"/>
      <c r="L16815" s="629"/>
      <c r="M16815" s="629"/>
      <c r="N16815" s="629"/>
      <c r="O16815" s="629"/>
      <c r="P16815" s="629"/>
      <c r="Q16815" s="629"/>
      <c r="R16815" s="629"/>
    </row>
    <row r="16816" spans="1:18" ht="24">
      <c r="A16816" s="516">
        <v>17</v>
      </c>
      <c r="B16816" s="513" t="s">
        <v>30151</v>
      </c>
      <c r="C16816" s="517" t="s">
        <v>30152</v>
      </c>
      <c r="D16816" s="518">
        <v>344.47</v>
      </c>
      <c r="E16816" s="518">
        <v>214.68</v>
      </c>
      <c r="F16816" s="518">
        <v>121.76</v>
      </c>
      <c r="G16816" s="518">
        <v>8.0299999999999994</v>
      </c>
      <c r="H16816" s="519">
        <v>3210.67</v>
      </c>
      <c r="I16816" s="519">
        <v>2468.87</v>
      </c>
      <c r="J16816" s="519">
        <v>659.68</v>
      </c>
      <c r="K16816" s="519">
        <v>82.12</v>
      </c>
      <c r="L16816" s="43">
        <v>9.3206084709844106</v>
      </c>
      <c r="M16816" s="43">
        <v>11.500232904788522</v>
      </c>
      <c r="N16816" s="43">
        <v>5.4178712220762151</v>
      </c>
      <c r="O16816" s="43">
        <v>10.226650062266502</v>
      </c>
      <c r="P16816" s="520"/>
      <c r="Q16816" s="520"/>
      <c r="R16816" s="520">
        <v>4</v>
      </c>
    </row>
    <row r="16817" spans="1:18" ht="24">
      <c r="A16817" s="516">
        <v>18</v>
      </c>
      <c r="B16817" s="513" t="s">
        <v>30153</v>
      </c>
      <c r="C16817" s="517" t="s">
        <v>30154</v>
      </c>
      <c r="D16817" s="518">
        <v>467.39</v>
      </c>
      <c r="E16817" s="518">
        <v>249.75</v>
      </c>
      <c r="F16817" s="518">
        <v>212.27</v>
      </c>
      <c r="G16817" s="518">
        <v>5.37</v>
      </c>
      <c r="H16817" s="519">
        <v>4083.17</v>
      </c>
      <c r="I16817" s="519">
        <v>2872.13</v>
      </c>
      <c r="J16817" s="519">
        <v>1150.26</v>
      </c>
      <c r="K16817" s="519">
        <v>60.78</v>
      </c>
      <c r="L16817" s="43">
        <v>8.7361090310019467</v>
      </c>
      <c r="M16817" s="43">
        <v>11.50002002002002</v>
      </c>
      <c r="N16817" s="43">
        <v>5.4188533471522113</v>
      </c>
      <c r="O16817" s="43">
        <v>11.318435754189943</v>
      </c>
      <c r="P16817" s="520"/>
      <c r="Q16817" s="520"/>
      <c r="R16817" s="520">
        <v>4</v>
      </c>
    </row>
    <row r="16818" spans="1:18" ht="24">
      <c r="A16818" s="516">
        <v>19</v>
      </c>
      <c r="B16818" s="513" t="s">
        <v>30155</v>
      </c>
      <c r="C16818" s="517" t="s">
        <v>30156</v>
      </c>
      <c r="D16818" s="518">
        <v>551.52</v>
      </c>
      <c r="E16818" s="518">
        <v>286.38</v>
      </c>
      <c r="F16818" s="518">
        <v>259.04000000000002</v>
      </c>
      <c r="G16818" s="518">
        <v>6.1</v>
      </c>
      <c r="H16818" s="519">
        <v>4766.26</v>
      </c>
      <c r="I16818" s="519">
        <v>3293.37</v>
      </c>
      <c r="J16818" s="519">
        <v>1403.71</v>
      </c>
      <c r="K16818" s="519">
        <v>69.180000000000007</v>
      </c>
      <c r="L16818" s="43">
        <v>8.6420438062082976</v>
      </c>
      <c r="M16818" s="43">
        <v>11.5</v>
      </c>
      <c r="N16818" s="43">
        <v>5.4188928350833843</v>
      </c>
      <c r="O16818" s="43">
        <v>11.340983606557378</v>
      </c>
      <c r="P16818" s="520"/>
      <c r="Q16818" s="520"/>
      <c r="R16818" s="520">
        <v>4</v>
      </c>
    </row>
    <row r="16819" spans="1:18" ht="24">
      <c r="A16819" s="516">
        <v>20</v>
      </c>
      <c r="B16819" s="513" t="s">
        <v>30157</v>
      </c>
      <c r="C16819" s="517" t="s">
        <v>30158</v>
      </c>
      <c r="D16819" s="518">
        <v>271.91000000000003</v>
      </c>
      <c r="E16819" s="518">
        <v>202.32</v>
      </c>
      <c r="F16819" s="518">
        <v>65.17</v>
      </c>
      <c r="G16819" s="518">
        <v>4.42</v>
      </c>
      <c r="H16819" s="519">
        <v>2729.44</v>
      </c>
      <c r="I16819" s="519">
        <v>2326.6799999999998</v>
      </c>
      <c r="J16819" s="519">
        <v>352.9</v>
      </c>
      <c r="K16819" s="519">
        <v>49.86</v>
      </c>
      <c r="L16819" s="43">
        <v>10.038027288441027</v>
      </c>
      <c r="M16819" s="43">
        <v>11.5</v>
      </c>
      <c r="N16819" s="43">
        <v>5.4150682829522783</v>
      </c>
      <c r="O16819" s="43">
        <v>11.28054298642534</v>
      </c>
      <c r="P16819" s="520"/>
      <c r="Q16819" s="520"/>
      <c r="R16819" s="520">
        <v>4</v>
      </c>
    </row>
    <row r="16820" spans="1:18" ht="24">
      <c r="A16820" s="521">
        <v>21</v>
      </c>
      <c r="B16820" s="522" t="s">
        <v>30159</v>
      </c>
      <c r="C16820" s="523" t="s">
        <v>30160</v>
      </c>
      <c r="D16820" s="524">
        <v>656.23</v>
      </c>
      <c r="E16820" s="524">
        <v>433.95</v>
      </c>
      <c r="F16820" s="524">
        <v>213.23</v>
      </c>
      <c r="G16820" s="524">
        <v>9.0500000000000007</v>
      </c>
      <c r="H16820" s="525">
        <v>6248.76</v>
      </c>
      <c r="I16820" s="525">
        <v>4990.45</v>
      </c>
      <c r="J16820" s="525">
        <v>1155.21</v>
      </c>
      <c r="K16820" s="525">
        <v>103.1</v>
      </c>
      <c r="L16820" s="611">
        <v>9.5222102006918306</v>
      </c>
      <c r="M16820" s="611">
        <v>11.50005761032377</v>
      </c>
      <c r="N16820" s="611">
        <v>5.4176710594194066</v>
      </c>
      <c r="O16820" s="611">
        <v>11.392265193370164</v>
      </c>
      <c r="P16820" s="526"/>
      <c r="Q16820" s="526"/>
      <c r="R16820" s="526">
        <v>4</v>
      </c>
    </row>
    <row r="16821" spans="1:18" ht="12.75" customHeight="1">
      <c r="A16821" s="630" t="s">
        <v>30161</v>
      </c>
      <c r="B16821" s="631"/>
      <c r="C16821" s="631"/>
      <c r="D16821" s="631"/>
      <c r="E16821" s="631"/>
      <c r="F16821" s="631"/>
      <c r="G16821" s="631"/>
      <c r="H16821" s="631"/>
      <c r="I16821" s="631"/>
      <c r="J16821" s="631"/>
      <c r="K16821" s="631"/>
      <c r="L16821" s="631"/>
      <c r="M16821" s="631"/>
      <c r="N16821" s="631"/>
      <c r="O16821" s="631"/>
      <c r="P16821" s="631"/>
      <c r="Q16821" s="631"/>
      <c r="R16821" s="631"/>
    </row>
    <row r="16822" spans="1:18" ht="12.75" customHeight="1">
      <c r="A16822" s="628" t="s">
        <v>30162</v>
      </c>
      <c r="B16822" s="629"/>
      <c r="C16822" s="629"/>
      <c r="D16822" s="629"/>
      <c r="E16822" s="629"/>
      <c r="F16822" s="629"/>
      <c r="G16822" s="629"/>
      <c r="H16822" s="629"/>
      <c r="I16822" s="629"/>
      <c r="J16822" s="629"/>
      <c r="K16822" s="629"/>
      <c r="L16822" s="629"/>
      <c r="M16822" s="629"/>
      <c r="N16822" s="629"/>
      <c r="O16822" s="629"/>
      <c r="P16822" s="629"/>
      <c r="Q16822" s="629"/>
      <c r="R16822" s="629"/>
    </row>
    <row r="16823" spans="1:18" ht="36">
      <c r="A16823" s="516">
        <v>22</v>
      </c>
      <c r="B16823" s="513" t="s">
        <v>30163</v>
      </c>
      <c r="C16823" s="517" t="s">
        <v>30164</v>
      </c>
      <c r="D16823" s="518">
        <v>424.22</v>
      </c>
      <c r="E16823" s="518">
        <v>296.44</v>
      </c>
      <c r="F16823" s="518">
        <v>106.24</v>
      </c>
      <c r="G16823" s="518">
        <v>21.54</v>
      </c>
      <c r="H16823" s="519">
        <v>4189.78</v>
      </c>
      <c r="I16823" s="519">
        <v>3409.21</v>
      </c>
      <c r="J16823" s="519">
        <v>575.59</v>
      </c>
      <c r="K16823" s="519">
        <v>204.98</v>
      </c>
      <c r="L16823" s="43">
        <v>9.8764320399792549</v>
      </c>
      <c r="M16823" s="43">
        <v>11.500506004587775</v>
      </c>
      <c r="N16823" s="43">
        <v>5.4178275602409647</v>
      </c>
      <c r="O16823" s="43">
        <v>9.5162488393686164</v>
      </c>
      <c r="P16823" s="520"/>
      <c r="Q16823" s="520"/>
      <c r="R16823" s="520">
        <v>1</v>
      </c>
    </row>
    <row r="16824" spans="1:18" ht="24">
      <c r="A16824" s="516">
        <v>23</v>
      </c>
      <c r="B16824" s="513" t="s">
        <v>30165</v>
      </c>
      <c r="C16824" s="517" t="s">
        <v>30166</v>
      </c>
      <c r="D16824" s="518">
        <v>291.25</v>
      </c>
      <c r="E16824" s="518">
        <v>206.82</v>
      </c>
      <c r="F16824" s="518">
        <v>78.45</v>
      </c>
      <c r="G16824" s="518">
        <v>5.98</v>
      </c>
      <c r="H16824" s="519">
        <v>2867.02</v>
      </c>
      <c r="I16824" s="519">
        <v>2378.52</v>
      </c>
      <c r="J16824" s="519">
        <v>424.8</v>
      </c>
      <c r="K16824" s="519">
        <v>63.7</v>
      </c>
      <c r="L16824" s="43">
        <v>9.843845493562231</v>
      </c>
      <c r="M16824" s="43">
        <v>11.500435161009573</v>
      </c>
      <c r="N16824" s="43">
        <v>5.4149139579349903</v>
      </c>
      <c r="O16824" s="43">
        <v>10.652173913043478</v>
      </c>
      <c r="P16824" s="520"/>
      <c r="Q16824" s="520"/>
      <c r="R16824" s="520">
        <v>1</v>
      </c>
    </row>
    <row r="16825" spans="1:18" ht="24">
      <c r="A16825" s="516">
        <v>24</v>
      </c>
      <c r="B16825" s="513" t="s">
        <v>30167</v>
      </c>
      <c r="C16825" s="517" t="s">
        <v>30168</v>
      </c>
      <c r="D16825" s="518">
        <v>494.36</v>
      </c>
      <c r="E16825" s="518">
        <v>322.87</v>
      </c>
      <c r="F16825" s="518">
        <v>150.75</v>
      </c>
      <c r="G16825" s="518">
        <v>20.74</v>
      </c>
      <c r="H16825" s="519">
        <v>4729.26</v>
      </c>
      <c r="I16825" s="519">
        <v>3713.13</v>
      </c>
      <c r="J16825" s="519">
        <v>816.68</v>
      </c>
      <c r="K16825" s="519">
        <v>199.45</v>
      </c>
      <c r="L16825" s="43">
        <v>9.566429322760742</v>
      </c>
      <c r="M16825" s="43">
        <v>11.500387152724008</v>
      </c>
      <c r="N16825" s="43">
        <v>5.4174461028192367</v>
      </c>
      <c r="O16825" s="43">
        <v>9.6166827386692386</v>
      </c>
      <c r="P16825" s="520"/>
      <c r="Q16825" s="520"/>
      <c r="R16825" s="520">
        <v>1</v>
      </c>
    </row>
    <row r="16826" spans="1:18" ht="24">
      <c r="A16826" s="516">
        <v>25</v>
      </c>
      <c r="B16826" s="513" t="s">
        <v>30169</v>
      </c>
      <c r="C16826" s="517" t="s">
        <v>30170</v>
      </c>
      <c r="D16826" s="518">
        <v>657.5</v>
      </c>
      <c r="E16826" s="518">
        <v>375.72</v>
      </c>
      <c r="F16826" s="518">
        <v>257</v>
      </c>
      <c r="G16826" s="518">
        <v>24.78</v>
      </c>
      <c r="H16826" s="519">
        <v>5951.24</v>
      </c>
      <c r="I16826" s="519">
        <v>4320.9799999999996</v>
      </c>
      <c r="J16826" s="519">
        <v>1392.51</v>
      </c>
      <c r="K16826" s="519">
        <v>237.75</v>
      </c>
      <c r="L16826" s="43">
        <v>9.0513155893536119</v>
      </c>
      <c r="M16826" s="43">
        <v>11.500532311295643</v>
      </c>
      <c r="N16826" s="43">
        <v>5.418326848249027</v>
      </c>
      <c r="O16826" s="43">
        <v>9.5944309927360774</v>
      </c>
      <c r="P16826" s="520"/>
      <c r="Q16826" s="520"/>
      <c r="R16826" s="520">
        <v>1</v>
      </c>
    </row>
    <row r="16827" spans="1:18" ht="12.75">
      <c r="A16827" s="632" t="s">
        <v>18</v>
      </c>
      <c r="B16827" s="632"/>
      <c r="C16827" s="632"/>
      <c r="D16827" s="514">
        <v>24325.9</v>
      </c>
      <c r="E16827" s="514">
        <v>13852.35</v>
      </c>
      <c r="F16827" s="514">
        <v>6733.36</v>
      </c>
      <c r="G16827" s="514">
        <v>3740.19</v>
      </c>
      <c r="H16827" s="515">
        <v>215038.9</v>
      </c>
      <c r="I16827" s="515">
        <v>159302.79999999999</v>
      </c>
      <c r="J16827" s="515">
        <v>36495.089999999997</v>
      </c>
      <c r="K16827" s="515">
        <v>19241.009999999998</v>
      </c>
      <c r="L16827" s="612">
        <v>8.8399154810305056</v>
      </c>
      <c r="M16827" s="612">
        <v>11.500055947185855</v>
      </c>
      <c r="N16827" s="612">
        <v>5.4200414057766109</v>
      </c>
      <c r="O16827" s="612">
        <v>5.1443937340081645</v>
      </c>
      <c r="P16827" s="512"/>
      <c r="Q16827" s="512"/>
      <c r="R16827" s="512"/>
    </row>
    <row r="16828" spans="1:18" ht="18">
      <c r="A16828" s="616" t="s">
        <v>30171</v>
      </c>
      <c r="B16828" s="626"/>
      <c r="C16828" s="626"/>
      <c r="D16828" s="626"/>
      <c r="E16828" s="626"/>
      <c r="F16828" s="626"/>
      <c r="G16828" s="626"/>
      <c r="H16828" s="626"/>
      <c r="I16828" s="626"/>
      <c r="J16828" s="626"/>
      <c r="K16828" s="626"/>
      <c r="L16828" s="626"/>
      <c r="M16828" s="626"/>
      <c r="N16828" s="626"/>
      <c r="O16828" s="626"/>
      <c r="P16828" s="626"/>
      <c r="Q16828" s="626"/>
      <c r="R16828" s="627"/>
    </row>
    <row r="16829" spans="1:18" ht="12.75" customHeight="1">
      <c r="A16829" s="630" t="s">
        <v>30172</v>
      </c>
      <c r="B16829" s="631"/>
      <c r="C16829" s="631"/>
      <c r="D16829" s="631"/>
      <c r="E16829" s="631"/>
      <c r="F16829" s="631"/>
      <c r="G16829" s="631"/>
      <c r="H16829" s="631"/>
      <c r="I16829" s="631"/>
      <c r="J16829" s="631"/>
      <c r="K16829" s="631"/>
      <c r="L16829" s="631"/>
      <c r="M16829" s="631"/>
      <c r="N16829" s="631"/>
      <c r="O16829" s="631"/>
      <c r="P16829" s="631"/>
      <c r="Q16829" s="631"/>
      <c r="R16829" s="631"/>
    </row>
    <row r="16830" spans="1:18" ht="12.75" customHeight="1">
      <c r="A16830" s="628" t="s">
        <v>30173</v>
      </c>
      <c r="B16830" s="629"/>
      <c r="C16830" s="629"/>
      <c r="D16830" s="629"/>
      <c r="E16830" s="629"/>
      <c r="F16830" s="629"/>
      <c r="G16830" s="629"/>
      <c r="H16830" s="629"/>
      <c r="I16830" s="629"/>
      <c r="J16830" s="629"/>
      <c r="K16830" s="629"/>
      <c r="L16830" s="629"/>
      <c r="M16830" s="629"/>
      <c r="N16830" s="629"/>
      <c r="O16830" s="629"/>
      <c r="P16830" s="629"/>
      <c r="Q16830" s="629"/>
      <c r="R16830" s="629"/>
    </row>
    <row r="16831" spans="1:18" ht="12.75" customHeight="1">
      <c r="A16831" s="628" t="s">
        <v>30174</v>
      </c>
      <c r="B16831" s="629"/>
      <c r="C16831" s="629"/>
      <c r="D16831" s="629"/>
      <c r="E16831" s="629"/>
      <c r="F16831" s="629"/>
      <c r="G16831" s="629"/>
      <c r="H16831" s="629"/>
      <c r="I16831" s="629"/>
      <c r="J16831" s="629"/>
      <c r="K16831" s="629"/>
      <c r="L16831" s="629"/>
      <c r="M16831" s="629"/>
      <c r="N16831" s="629"/>
      <c r="O16831" s="629"/>
      <c r="P16831" s="629"/>
      <c r="Q16831" s="629"/>
      <c r="R16831" s="629"/>
    </row>
    <row r="16832" spans="1:18" ht="24">
      <c r="A16832" s="531">
        <v>1</v>
      </c>
      <c r="B16832" s="528" t="s">
        <v>30175</v>
      </c>
      <c r="C16832" s="532" t="s">
        <v>30176</v>
      </c>
      <c r="D16832" s="533">
        <v>516.29</v>
      </c>
      <c r="E16832" s="533">
        <v>191.98</v>
      </c>
      <c r="F16832" s="533">
        <v>46.02</v>
      </c>
      <c r="G16832" s="533">
        <v>278.29000000000002</v>
      </c>
      <c r="H16832" s="534">
        <v>3632.1</v>
      </c>
      <c r="I16832" s="534">
        <v>2207.8000000000002</v>
      </c>
      <c r="J16832" s="534">
        <v>241.81</v>
      </c>
      <c r="K16832" s="534">
        <v>1182.49</v>
      </c>
      <c r="L16832" s="43">
        <v>7.0349997094656107</v>
      </c>
      <c r="M16832" s="43">
        <v>11.500156266277738</v>
      </c>
      <c r="N16832" s="43">
        <v>5.2544545849630593</v>
      </c>
      <c r="O16832" s="43">
        <v>4.24912860684897</v>
      </c>
      <c r="P16832" s="535"/>
      <c r="Q16832" s="535"/>
      <c r="R16832" s="535">
        <v>1</v>
      </c>
    </row>
    <row r="16833" spans="1:18" ht="24">
      <c r="A16833" s="531">
        <v>2</v>
      </c>
      <c r="B16833" s="528" t="s">
        <v>30177</v>
      </c>
      <c r="C16833" s="532" t="s">
        <v>30178</v>
      </c>
      <c r="D16833" s="533">
        <v>520.62</v>
      </c>
      <c r="E16833" s="533">
        <v>194.17</v>
      </c>
      <c r="F16833" s="533">
        <v>48.12</v>
      </c>
      <c r="G16833" s="533">
        <v>278.33</v>
      </c>
      <c r="H16833" s="534">
        <v>3669.34</v>
      </c>
      <c r="I16833" s="534">
        <v>2233.0300000000002</v>
      </c>
      <c r="J16833" s="534">
        <v>253.36</v>
      </c>
      <c r="K16833" s="534">
        <v>1182.95</v>
      </c>
      <c r="L16833" s="43">
        <v>7.0480196688563641</v>
      </c>
      <c r="M16833" s="43">
        <v>11.500386259463358</v>
      </c>
      <c r="N16833" s="43">
        <v>5.265170407315046</v>
      </c>
      <c r="O16833" s="43">
        <v>4.250170660726476</v>
      </c>
      <c r="P16833" s="535"/>
      <c r="Q16833" s="535"/>
      <c r="R16833" s="535">
        <v>1</v>
      </c>
    </row>
    <row r="16834" spans="1:18" ht="24">
      <c r="A16834" s="531">
        <v>3</v>
      </c>
      <c r="B16834" s="528" t="s">
        <v>30179</v>
      </c>
      <c r="C16834" s="532" t="s">
        <v>30180</v>
      </c>
      <c r="D16834" s="533">
        <v>598.71</v>
      </c>
      <c r="E16834" s="533">
        <v>229.27</v>
      </c>
      <c r="F16834" s="533">
        <v>90.4</v>
      </c>
      <c r="G16834" s="533">
        <v>279.04000000000002</v>
      </c>
      <c r="H16834" s="534">
        <v>4329.6099999999997</v>
      </c>
      <c r="I16834" s="534">
        <v>2636.74</v>
      </c>
      <c r="J16834" s="534">
        <v>501.75</v>
      </c>
      <c r="K16834" s="534">
        <v>1191.1199999999999</v>
      </c>
      <c r="L16834" s="43">
        <v>7.2315645304070406</v>
      </c>
      <c r="M16834" s="43">
        <v>11.500588825402362</v>
      </c>
      <c r="N16834" s="43">
        <v>5.5503318584070795</v>
      </c>
      <c r="O16834" s="43">
        <v>4.2686353211009171</v>
      </c>
      <c r="P16834" s="535"/>
      <c r="Q16834" s="535"/>
      <c r="R16834" s="535">
        <v>1</v>
      </c>
    </row>
    <row r="16835" spans="1:18" ht="24">
      <c r="A16835" s="531">
        <v>4</v>
      </c>
      <c r="B16835" s="528" t="s">
        <v>30181</v>
      </c>
      <c r="C16835" s="532" t="s">
        <v>30182</v>
      </c>
      <c r="D16835" s="533">
        <v>1322.4</v>
      </c>
      <c r="E16835" s="533">
        <v>241.34</v>
      </c>
      <c r="F16835" s="533">
        <v>162.02000000000001</v>
      </c>
      <c r="G16835" s="533">
        <v>919.04</v>
      </c>
      <c r="H16835" s="534">
        <v>7245.76</v>
      </c>
      <c r="I16835" s="534">
        <v>2775.52</v>
      </c>
      <c r="J16835" s="534">
        <v>906.18</v>
      </c>
      <c r="K16835" s="534">
        <v>3564.06</v>
      </c>
      <c r="L16835" s="43">
        <v>5.4792498487598307</v>
      </c>
      <c r="M16835" s="43">
        <v>11.500455788514129</v>
      </c>
      <c r="N16835" s="43">
        <v>5.5930132082458952</v>
      </c>
      <c r="O16835" s="43">
        <v>3.8780248955431755</v>
      </c>
      <c r="P16835" s="535"/>
      <c r="Q16835" s="535"/>
      <c r="R16835" s="535">
        <v>1</v>
      </c>
    </row>
    <row r="16836" spans="1:18" ht="24">
      <c r="A16836" s="531">
        <v>5</v>
      </c>
      <c r="B16836" s="528" t="s">
        <v>30183</v>
      </c>
      <c r="C16836" s="532" t="s">
        <v>30184</v>
      </c>
      <c r="D16836" s="533">
        <v>1728.11</v>
      </c>
      <c r="E16836" s="533">
        <v>396.02</v>
      </c>
      <c r="F16836" s="533">
        <v>271.43</v>
      </c>
      <c r="G16836" s="533">
        <v>1060.6600000000001</v>
      </c>
      <c r="H16836" s="534">
        <v>10247.64</v>
      </c>
      <c r="I16836" s="534">
        <v>4554.38</v>
      </c>
      <c r="J16836" s="534">
        <v>1515.47</v>
      </c>
      <c r="K16836" s="534">
        <v>4177.79</v>
      </c>
      <c r="L16836" s="43">
        <v>5.9299697357228416</v>
      </c>
      <c r="M16836" s="43">
        <v>11.500378768749053</v>
      </c>
      <c r="N16836" s="43">
        <v>5.5832811406255756</v>
      </c>
      <c r="O16836" s="43">
        <v>3.9388588237512487</v>
      </c>
      <c r="P16836" s="535"/>
      <c r="Q16836" s="535"/>
      <c r="R16836" s="535">
        <v>1</v>
      </c>
    </row>
    <row r="16837" spans="1:18" ht="24">
      <c r="A16837" s="531">
        <v>6</v>
      </c>
      <c r="B16837" s="528" t="s">
        <v>30185</v>
      </c>
      <c r="C16837" s="532" t="s">
        <v>30186</v>
      </c>
      <c r="D16837" s="533">
        <v>1831.64</v>
      </c>
      <c r="E16837" s="533">
        <v>417.96</v>
      </c>
      <c r="F16837" s="533">
        <v>352.58</v>
      </c>
      <c r="G16837" s="533">
        <v>1061.0999999999999</v>
      </c>
      <c r="H16837" s="534">
        <v>10967.01</v>
      </c>
      <c r="I16837" s="534">
        <v>4806.7</v>
      </c>
      <c r="J16837" s="534">
        <v>1977.46</v>
      </c>
      <c r="K16837" s="534">
        <v>4182.8500000000004</v>
      </c>
      <c r="L16837" s="43">
        <v>5.9875357603022428</v>
      </c>
      <c r="M16837" s="43">
        <v>11.500382811752321</v>
      </c>
      <c r="N16837" s="43">
        <v>5.6085427420727214</v>
      </c>
      <c r="O16837" s="43">
        <v>3.9419941570068802</v>
      </c>
      <c r="P16837" s="535"/>
      <c r="Q16837" s="535"/>
      <c r="R16837" s="535">
        <v>1</v>
      </c>
    </row>
    <row r="16838" spans="1:18" ht="24">
      <c r="A16838" s="531">
        <v>7</v>
      </c>
      <c r="B16838" s="528" t="s">
        <v>30187</v>
      </c>
      <c r="C16838" s="532" t="s">
        <v>30188</v>
      </c>
      <c r="D16838" s="533">
        <v>2981.15</v>
      </c>
      <c r="E16838" s="533">
        <v>731.7</v>
      </c>
      <c r="F16838" s="533">
        <v>791.95</v>
      </c>
      <c r="G16838" s="533">
        <v>1457.5</v>
      </c>
      <c r="H16838" s="534">
        <v>18727.759999999998</v>
      </c>
      <c r="I16838" s="534">
        <v>8414.8700000000008</v>
      </c>
      <c r="J16838" s="534">
        <v>4545.32</v>
      </c>
      <c r="K16838" s="534">
        <v>5767.57</v>
      </c>
      <c r="L16838" s="43">
        <v>6.2820589369874034</v>
      </c>
      <c r="M16838" s="43">
        <v>11.50043733770671</v>
      </c>
      <c r="N16838" s="43">
        <v>5.7394027400719736</v>
      </c>
      <c r="O16838" s="43">
        <v>3.9571663807890221</v>
      </c>
      <c r="P16838" s="535"/>
      <c r="Q16838" s="535"/>
      <c r="R16838" s="535">
        <v>1</v>
      </c>
    </row>
    <row r="16839" spans="1:18" ht="24">
      <c r="A16839" s="531">
        <v>8</v>
      </c>
      <c r="B16839" s="528" t="s">
        <v>30189</v>
      </c>
      <c r="C16839" s="532" t="s">
        <v>30190</v>
      </c>
      <c r="D16839" s="533">
        <v>3222.49</v>
      </c>
      <c r="E16839" s="533">
        <v>917.09</v>
      </c>
      <c r="F16839" s="533">
        <v>844.19</v>
      </c>
      <c r="G16839" s="533">
        <v>1461.21</v>
      </c>
      <c r="H16839" s="534">
        <v>21189.94</v>
      </c>
      <c r="I16839" s="534">
        <v>10546.98</v>
      </c>
      <c r="J16839" s="534">
        <v>4832.7299999999996</v>
      </c>
      <c r="K16839" s="534">
        <v>5810.23</v>
      </c>
      <c r="L16839" s="43">
        <v>6.5756418173524205</v>
      </c>
      <c r="M16839" s="43">
        <v>11.500485230457206</v>
      </c>
      <c r="N16839" s="43">
        <v>5.7246946777384231</v>
      </c>
      <c r="O16839" s="43">
        <v>3.9763141506012136</v>
      </c>
      <c r="P16839" s="535"/>
      <c r="Q16839" s="535"/>
      <c r="R16839" s="535">
        <v>1</v>
      </c>
    </row>
    <row r="16840" spans="1:18" ht="24">
      <c r="A16840" s="531">
        <v>9</v>
      </c>
      <c r="B16840" s="528" t="s">
        <v>30191</v>
      </c>
      <c r="C16840" s="532" t="s">
        <v>30192</v>
      </c>
      <c r="D16840" s="533">
        <v>3894.48</v>
      </c>
      <c r="E16840" s="533">
        <v>1097</v>
      </c>
      <c r="F16840" s="533">
        <v>1327.44</v>
      </c>
      <c r="G16840" s="533">
        <v>1470.04</v>
      </c>
      <c r="H16840" s="534">
        <v>26143.75</v>
      </c>
      <c r="I16840" s="534">
        <v>12616</v>
      </c>
      <c r="J16840" s="534">
        <v>7648.25</v>
      </c>
      <c r="K16840" s="534">
        <v>5879.5</v>
      </c>
      <c r="L16840" s="43">
        <v>6.713027156385448</v>
      </c>
      <c r="M16840" s="43">
        <v>11.500455788514129</v>
      </c>
      <c r="N16840" s="43">
        <v>5.7616540107274146</v>
      </c>
      <c r="O16840" s="43">
        <v>3.9995510326249626</v>
      </c>
      <c r="P16840" s="535"/>
      <c r="Q16840" s="535"/>
      <c r="R16840" s="535">
        <v>1</v>
      </c>
    </row>
    <row r="16841" spans="1:18" ht="24">
      <c r="A16841" s="531">
        <v>10</v>
      </c>
      <c r="B16841" s="528" t="s">
        <v>30193</v>
      </c>
      <c r="C16841" s="532" t="s">
        <v>30194</v>
      </c>
      <c r="D16841" s="533">
        <v>4742.79</v>
      </c>
      <c r="E16841" s="533">
        <v>1338.34</v>
      </c>
      <c r="F16841" s="533">
        <v>1954.44</v>
      </c>
      <c r="G16841" s="533">
        <v>1450.01</v>
      </c>
      <c r="H16841" s="534">
        <v>32353.69</v>
      </c>
      <c r="I16841" s="534">
        <v>15391.52</v>
      </c>
      <c r="J16841" s="534">
        <v>11180.45</v>
      </c>
      <c r="K16841" s="534">
        <v>5781.72</v>
      </c>
      <c r="L16841" s="43">
        <v>6.8216577162387537</v>
      </c>
      <c r="M16841" s="43">
        <v>11.500455788514131</v>
      </c>
      <c r="N16841" s="43">
        <v>5.720538875585846</v>
      </c>
      <c r="O16841" s="43">
        <v>3.9873656043751424</v>
      </c>
      <c r="P16841" s="535"/>
      <c r="Q16841" s="535"/>
      <c r="R16841" s="535">
        <v>1</v>
      </c>
    </row>
    <row r="16842" spans="1:18" ht="24">
      <c r="A16842" s="531">
        <v>11</v>
      </c>
      <c r="B16842" s="528" t="s">
        <v>30195</v>
      </c>
      <c r="C16842" s="532" t="s">
        <v>30196</v>
      </c>
      <c r="D16842" s="533">
        <v>5600.6</v>
      </c>
      <c r="E16842" s="533">
        <v>1590.65</v>
      </c>
      <c r="F16842" s="533">
        <v>2554.9</v>
      </c>
      <c r="G16842" s="533">
        <v>1455.05</v>
      </c>
      <c r="H16842" s="534">
        <v>38838.49</v>
      </c>
      <c r="I16842" s="534">
        <v>18293.2</v>
      </c>
      <c r="J16842" s="534">
        <v>14705.61</v>
      </c>
      <c r="K16842" s="534">
        <v>5839.68</v>
      </c>
      <c r="L16842" s="43">
        <v>6.9347016391100942</v>
      </c>
      <c r="M16842" s="43">
        <v>11.500455788514129</v>
      </c>
      <c r="N16842" s="43">
        <v>5.7558456299659477</v>
      </c>
      <c r="O16842" s="43">
        <v>4.0133878560874203</v>
      </c>
      <c r="P16842" s="535"/>
      <c r="Q16842" s="535"/>
      <c r="R16842" s="535">
        <v>1</v>
      </c>
    </row>
    <row r="16843" spans="1:18" ht="24">
      <c r="A16843" s="531">
        <v>12</v>
      </c>
      <c r="B16843" s="528" t="s">
        <v>30197</v>
      </c>
      <c r="C16843" s="532" t="s">
        <v>30198</v>
      </c>
      <c r="D16843" s="533">
        <v>9145.33</v>
      </c>
      <c r="E16843" s="533">
        <v>1722.29</v>
      </c>
      <c r="F16843" s="533">
        <v>5824.32</v>
      </c>
      <c r="G16843" s="533">
        <v>1598.72</v>
      </c>
      <c r="H16843" s="534">
        <v>58832.19</v>
      </c>
      <c r="I16843" s="534">
        <v>19807.12</v>
      </c>
      <c r="J16843" s="534">
        <v>32611.32</v>
      </c>
      <c r="K16843" s="534">
        <v>6413.75</v>
      </c>
      <c r="L16843" s="43">
        <v>6.4330308474379825</v>
      </c>
      <c r="M16843" s="43">
        <v>11.500455788514129</v>
      </c>
      <c r="N16843" s="43">
        <v>5.599163507499588</v>
      </c>
      <c r="O16843" s="43">
        <v>4.0118031925540434</v>
      </c>
      <c r="P16843" s="535"/>
      <c r="Q16843" s="535"/>
      <c r="R16843" s="535">
        <v>1</v>
      </c>
    </row>
    <row r="16844" spans="1:18" ht="24">
      <c r="A16844" s="531">
        <v>13</v>
      </c>
      <c r="B16844" s="528" t="s">
        <v>30199</v>
      </c>
      <c r="C16844" s="532" t="s">
        <v>30200</v>
      </c>
      <c r="D16844" s="533">
        <v>11799.45</v>
      </c>
      <c r="E16844" s="533">
        <v>2618.92</v>
      </c>
      <c r="F16844" s="533">
        <v>7031.08</v>
      </c>
      <c r="G16844" s="533">
        <v>2149.4499999999998</v>
      </c>
      <c r="H16844" s="534">
        <v>78280.7</v>
      </c>
      <c r="I16844" s="534">
        <v>30117.58</v>
      </c>
      <c r="J16844" s="534">
        <v>39292.47</v>
      </c>
      <c r="K16844" s="534">
        <v>8870.65</v>
      </c>
      <c r="L16844" s="43">
        <v>6.6342668514210406</v>
      </c>
      <c r="M16844" s="43">
        <v>11.5</v>
      </c>
      <c r="N16844" s="43">
        <v>5.588397515033253</v>
      </c>
      <c r="O16844" s="43">
        <v>4.1269394496266489</v>
      </c>
      <c r="P16844" s="535"/>
      <c r="Q16844" s="535"/>
      <c r="R16844" s="535">
        <v>1</v>
      </c>
    </row>
    <row r="16845" spans="1:18" ht="24">
      <c r="A16845" s="531">
        <v>14</v>
      </c>
      <c r="B16845" s="528" t="s">
        <v>30201</v>
      </c>
      <c r="C16845" s="532" t="s">
        <v>30202</v>
      </c>
      <c r="D16845" s="533">
        <v>12977.34</v>
      </c>
      <c r="E16845" s="533">
        <v>2753.8</v>
      </c>
      <c r="F16845" s="533">
        <v>7909.45</v>
      </c>
      <c r="G16845" s="533">
        <v>2314.09</v>
      </c>
      <c r="H16845" s="534">
        <v>85537.51</v>
      </c>
      <c r="I16845" s="534">
        <v>31668.7</v>
      </c>
      <c r="J16845" s="534">
        <v>44288.73</v>
      </c>
      <c r="K16845" s="534">
        <v>9580.08</v>
      </c>
      <c r="L16845" s="43">
        <v>6.5912976002786392</v>
      </c>
      <c r="M16845" s="43">
        <v>11.5</v>
      </c>
      <c r="N16845" s="43">
        <v>5.5994702539367474</v>
      </c>
      <c r="O16845" s="43">
        <v>4.1398908426206411</v>
      </c>
      <c r="P16845" s="535"/>
      <c r="Q16845" s="535"/>
      <c r="R16845" s="535">
        <v>1</v>
      </c>
    </row>
    <row r="16846" spans="1:18" ht="24">
      <c r="A16846" s="531">
        <v>15</v>
      </c>
      <c r="B16846" s="528" t="s">
        <v>30203</v>
      </c>
      <c r="C16846" s="532" t="s">
        <v>30204</v>
      </c>
      <c r="D16846" s="533">
        <v>17806.43</v>
      </c>
      <c r="E16846" s="533">
        <v>3810.36</v>
      </c>
      <c r="F16846" s="533">
        <v>10063.91</v>
      </c>
      <c r="G16846" s="533">
        <v>3932.16</v>
      </c>
      <c r="H16846" s="534">
        <v>116209.63</v>
      </c>
      <c r="I16846" s="534">
        <v>43819.14</v>
      </c>
      <c r="J16846" s="534">
        <v>56356.67</v>
      </c>
      <c r="K16846" s="534">
        <v>16033.82</v>
      </c>
      <c r="L16846" s="43">
        <v>6.5262733742810886</v>
      </c>
      <c r="M16846" s="43">
        <v>11.5</v>
      </c>
      <c r="N16846" s="43">
        <v>5.599878178560818</v>
      </c>
      <c r="O16846" s="43">
        <v>4.0776112874348955</v>
      </c>
      <c r="P16846" s="535"/>
      <c r="Q16846" s="535"/>
      <c r="R16846" s="535">
        <v>1</v>
      </c>
    </row>
    <row r="16847" spans="1:18" ht="24">
      <c r="A16847" s="531">
        <v>16</v>
      </c>
      <c r="B16847" s="528" t="s">
        <v>30205</v>
      </c>
      <c r="C16847" s="532" t="s">
        <v>30206</v>
      </c>
      <c r="D16847" s="533">
        <v>33499.360000000001</v>
      </c>
      <c r="E16847" s="533">
        <v>4496</v>
      </c>
      <c r="F16847" s="533">
        <v>24720.62</v>
      </c>
      <c r="G16847" s="533">
        <v>4282.74</v>
      </c>
      <c r="H16847" s="534">
        <v>205563.35</v>
      </c>
      <c r="I16847" s="534">
        <v>51704</v>
      </c>
      <c r="J16847" s="534">
        <v>136380.6</v>
      </c>
      <c r="K16847" s="534">
        <v>17478.75</v>
      </c>
      <c r="L16847" s="43">
        <v>6.1363366344909274</v>
      </c>
      <c r="M16847" s="43">
        <v>11.5</v>
      </c>
      <c r="N16847" s="43">
        <v>5.5168761948527187</v>
      </c>
      <c r="O16847" s="43">
        <v>4.0812073579063872</v>
      </c>
      <c r="P16847" s="535"/>
      <c r="Q16847" s="535"/>
      <c r="R16847" s="535">
        <v>1</v>
      </c>
    </row>
    <row r="16848" spans="1:18" ht="24">
      <c r="A16848" s="531">
        <v>17</v>
      </c>
      <c r="B16848" s="528" t="s">
        <v>30207</v>
      </c>
      <c r="C16848" s="532" t="s">
        <v>30208</v>
      </c>
      <c r="D16848" s="533">
        <v>142084.97</v>
      </c>
      <c r="E16848" s="533">
        <v>5575.04</v>
      </c>
      <c r="F16848" s="533">
        <v>129111.62</v>
      </c>
      <c r="G16848" s="533">
        <v>7398.31</v>
      </c>
      <c r="H16848" s="534">
        <v>697235.91</v>
      </c>
      <c r="I16848" s="534">
        <v>64112.959999999999</v>
      </c>
      <c r="J16848" s="534">
        <v>603636.07999999996</v>
      </c>
      <c r="K16848" s="534">
        <v>29486.87</v>
      </c>
      <c r="L16848" s="43">
        <v>4.907175685084777</v>
      </c>
      <c r="M16848" s="43">
        <v>11.5</v>
      </c>
      <c r="N16848" s="43">
        <v>4.6753040508669939</v>
      </c>
      <c r="O16848" s="43">
        <v>3.9856223921409075</v>
      </c>
      <c r="P16848" s="535"/>
      <c r="Q16848" s="535"/>
      <c r="R16848" s="535">
        <v>1</v>
      </c>
    </row>
    <row r="16849" spans="1:18" ht="24">
      <c r="A16849" s="531">
        <v>18</v>
      </c>
      <c r="B16849" s="528" t="s">
        <v>30209</v>
      </c>
      <c r="C16849" s="532" t="s">
        <v>30210</v>
      </c>
      <c r="D16849" s="533">
        <v>199659.67</v>
      </c>
      <c r="E16849" s="533">
        <v>7698.3</v>
      </c>
      <c r="F16849" s="533">
        <v>183076.56</v>
      </c>
      <c r="G16849" s="533">
        <v>8884.81</v>
      </c>
      <c r="H16849" s="534">
        <v>977049.14</v>
      </c>
      <c r="I16849" s="534">
        <v>88533.8</v>
      </c>
      <c r="J16849" s="534">
        <v>852652.5</v>
      </c>
      <c r="K16849" s="534">
        <v>35862.839999999997</v>
      </c>
      <c r="L16849" s="43">
        <v>4.893572848237203</v>
      </c>
      <c r="M16849" s="43">
        <v>11.500435161009573</v>
      </c>
      <c r="N16849" s="43">
        <v>4.6573548246700724</v>
      </c>
      <c r="O16849" s="43">
        <v>4.0364217130135591</v>
      </c>
      <c r="P16849" s="535"/>
      <c r="Q16849" s="535"/>
      <c r="R16849" s="535">
        <v>1</v>
      </c>
    </row>
    <row r="16850" spans="1:18" ht="24">
      <c r="A16850" s="531">
        <v>19</v>
      </c>
      <c r="B16850" s="528" t="s">
        <v>30211</v>
      </c>
      <c r="C16850" s="532" t="s">
        <v>30212</v>
      </c>
      <c r="D16850" s="533">
        <v>326677.53000000003</v>
      </c>
      <c r="E16850" s="533">
        <v>10708.68</v>
      </c>
      <c r="F16850" s="533">
        <v>305414.01</v>
      </c>
      <c r="G16850" s="533">
        <v>10554.84</v>
      </c>
      <c r="H16850" s="534">
        <v>1591208.06</v>
      </c>
      <c r="I16850" s="534">
        <v>123154.48</v>
      </c>
      <c r="J16850" s="534">
        <v>1425148.48</v>
      </c>
      <c r="K16850" s="534">
        <v>42905.1</v>
      </c>
      <c r="L16850" s="43">
        <v>4.8708830999181361</v>
      </c>
      <c r="M16850" s="43">
        <v>11.500435161009573</v>
      </c>
      <c r="N16850" s="43">
        <v>4.666283907539146</v>
      </c>
      <c r="O16850" s="43">
        <v>4.0649692463362781</v>
      </c>
      <c r="P16850" s="535"/>
      <c r="Q16850" s="535"/>
      <c r="R16850" s="535">
        <v>1</v>
      </c>
    </row>
    <row r="16851" spans="1:18" ht="12.75" customHeight="1">
      <c r="A16851" s="628" t="s">
        <v>30213</v>
      </c>
      <c r="B16851" s="629"/>
      <c r="C16851" s="629"/>
      <c r="D16851" s="629"/>
      <c r="E16851" s="629"/>
      <c r="F16851" s="629"/>
      <c r="G16851" s="629"/>
      <c r="H16851" s="629"/>
      <c r="I16851" s="629"/>
      <c r="J16851" s="629"/>
      <c r="K16851" s="629"/>
      <c r="L16851" s="629"/>
      <c r="M16851" s="629"/>
      <c r="N16851" s="629"/>
      <c r="O16851" s="629"/>
      <c r="P16851" s="629"/>
      <c r="Q16851" s="629"/>
      <c r="R16851" s="629"/>
    </row>
    <row r="16852" spans="1:18" ht="24">
      <c r="A16852" s="531">
        <v>20</v>
      </c>
      <c r="B16852" s="528" t="s">
        <v>30214</v>
      </c>
      <c r="C16852" s="532" t="s">
        <v>30215</v>
      </c>
      <c r="D16852" s="533">
        <v>525.07000000000005</v>
      </c>
      <c r="E16852" s="533">
        <v>199.65</v>
      </c>
      <c r="F16852" s="533">
        <v>46.46</v>
      </c>
      <c r="G16852" s="533">
        <v>278.95999999999998</v>
      </c>
      <c r="H16852" s="534">
        <v>3728.09</v>
      </c>
      <c r="I16852" s="534">
        <v>2296.11</v>
      </c>
      <c r="J16852" s="534">
        <v>244.14</v>
      </c>
      <c r="K16852" s="534">
        <v>1187.8399999999999</v>
      </c>
      <c r="L16852" s="43">
        <v>7.100177119241244</v>
      </c>
      <c r="M16852" s="43">
        <v>11.500676183320811</v>
      </c>
      <c r="N16852" s="43">
        <v>5.2548428755919065</v>
      </c>
      <c r="O16852" s="43">
        <v>4.2581015199311727</v>
      </c>
      <c r="P16852" s="535"/>
      <c r="Q16852" s="535"/>
      <c r="R16852" s="535">
        <v>2</v>
      </c>
    </row>
    <row r="16853" spans="1:18" ht="24">
      <c r="A16853" s="531">
        <v>21</v>
      </c>
      <c r="B16853" s="528" t="s">
        <v>30216</v>
      </c>
      <c r="C16853" s="532" t="s">
        <v>30217</v>
      </c>
      <c r="D16853" s="533">
        <v>530.54</v>
      </c>
      <c r="E16853" s="533">
        <v>202.95</v>
      </c>
      <c r="F16853" s="533">
        <v>48.56</v>
      </c>
      <c r="G16853" s="533">
        <v>279.02999999999997</v>
      </c>
      <c r="H16853" s="534">
        <v>3778.29</v>
      </c>
      <c r="I16853" s="534">
        <v>2333.96</v>
      </c>
      <c r="J16853" s="534">
        <v>255.69</v>
      </c>
      <c r="K16853" s="534">
        <v>1188.6400000000001</v>
      </c>
      <c r="L16853" s="43">
        <v>7.1215930938289294</v>
      </c>
      <c r="M16853" s="43">
        <v>11.500172456270018</v>
      </c>
      <c r="N16853" s="43">
        <v>5.2654448105436567</v>
      </c>
      <c r="O16853" s="43">
        <v>4.2599003691359361</v>
      </c>
      <c r="P16853" s="535"/>
      <c r="Q16853" s="535"/>
      <c r="R16853" s="535">
        <v>2</v>
      </c>
    </row>
    <row r="16854" spans="1:18" ht="24">
      <c r="A16854" s="531">
        <v>22</v>
      </c>
      <c r="B16854" s="528" t="s">
        <v>30218</v>
      </c>
      <c r="C16854" s="532" t="s">
        <v>30219</v>
      </c>
      <c r="D16854" s="533">
        <v>638.84</v>
      </c>
      <c r="E16854" s="533">
        <v>275.35000000000002</v>
      </c>
      <c r="F16854" s="533">
        <v>83.01</v>
      </c>
      <c r="G16854" s="533">
        <v>280.48</v>
      </c>
      <c r="H16854" s="534">
        <v>4810.6099999999997</v>
      </c>
      <c r="I16854" s="534">
        <v>3166.62</v>
      </c>
      <c r="J16854" s="534">
        <v>438.67</v>
      </c>
      <c r="K16854" s="534">
        <v>1205.32</v>
      </c>
      <c r="L16854" s="43">
        <v>7.5302266608227404</v>
      </c>
      <c r="M16854" s="43">
        <v>11.500345015434899</v>
      </c>
      <c r="N16854" s="43">
        <v>5.2845440308396574</v>
      </c>
      <c r="O16854" s="43">
        <v>4.297347404449515</v>
      </c>
      <c r="P16854" s="535"/>
      <c r="Q16854" s="535"/>
      <c r="R16854" s="535">
        <v>2</v>
      </c>
    </row>
    <row r="16855" spans="1:18" ht="24">
      <c r="A16855" s="531">
        <v>23</v>
      </c>
      <c r="B16855" s="528" t="s">
        <v>30220</v>
      </c>
      <c r="C16855" s="532" t="s">
        <v>30221</v>
      </c>
      <c r="D16855" s="533">
        <v>1369.13</v>
      </c>
      <c r="E16855" s="533">
        <v>303.87</v>
      </c>
      <c r="F16855" s="533">
        <v>144.44999999999999</v>
      </c>
      <c r="G16855" s="533">
        <v>920.81</v>
      </c>
      <c r="H16855" s="534">
        <v>7843.7</v>
      </c>
      <c r="I16855" s="534">
        <v>3494.63</v>
      </c>
      <c r="J16855" s="534">
        <v>767.02</v>
      </c>
      <c r="K16855" s="534">
        <v>3582.05</v>
      </c>
      <c r="L16855" s="43">
        <v>5.7289665700116128</v>
      </c>
      <c r="M16855" s="43">
        <v>11.500411360121104</v>
      </c>
      <c r="N16855" s="43">
        <v>5.3099342332987192</v>
      </c>
      <c r="O16855" s="43">
        <v>3.890107622636592</v>
      </c>
      <c r="P16855" s="535"/>
      <c r="Q16855" s="535"/>
      <c r="R16855" s="535">
        <v>2</v>
      </c>
    </row>
    <row r="16856" spans="1:18" ht="24">
      <c r="A16856" s="531">
        <v>24</v>
      </c>
      <c r="B16856" s="528" t="s">
        <v>30222</v>
      </c>
      <c r="C16856" s="532" t="s">
        <v>30223</v>
      </c>
      <c r="D16856" s="533">
        <v>1781.84</v>
      </c>
      <c r="E16856" s="533">
        <v>466.23</v>
      </c>
      <c r="F16856" s="533">
        <v>254.08</v>
      </c>
      <c r="G16856" s="533">
        <v>1061.53</v>
      </c>
      <c r="H16856" s="534">
        <v>10903.45</v>
      </c>
      <c r="I16856" s="534">
        <v>5361.8</v>
      </c>
      <c r="J16856" s="534">
        <v>1351.38</v>
      </c>
      <c r="K16856" s="534">
        <v>4190.2700000000004</v>
      </c>
      <c r="L16856" s="43">
        <v>6.1192082341848879</v>
      </c>
      <c r="M16856" s="43">
        <v>11.500332453939043</v>
      </c>
      <c r="N16856" s="43">
        <v>5.3187185138539048</v>
      </c>
      <c r="O16856" s="43">
        <v>3.9473872617825219</v>
      </c>
      <c r="P16856" s="535"/>
      <c r="Q16856" s="535"/>
      <c r="R16856" s="535">
        <v>2</v>
      </c>
    </row>
    <row r="16857" spans="1:18" ht="24">
      <c r="A16857" s="531">
        <v>25</v>
      </c>
      <c r="B16857" s="528" t="s">
        <v>30224</v>
      </c>
      <c r="C16857" s="532" t="s">
        <v>30225</v>
      </c>
      <c r="D16857" s="533">
        <v>1870.1</v>
      </c>
      <c r="E16857" s="533">
        <v>487.07</v>
      </c>
      <c r="F16857" s="533">
        <v>321.08</v>
      </c>
      <c r="G16857" s="533">
        <v>1061.95</v>
      </c>
      <c r="H16857" s="534">
        <v>11505.54</v>
      </c>
      <c r="I16857" s="534">
        <v>5601.5</v>
      </c>
      <c r="J16857" s="534">
        <v>1708.94</v>
      </c>
      <c r="K16857" s="534">
        <v>4195.1000000000004</v>
      </c>
      <c r="L16857" s="43">
        <v>6.1523661836265449</v>
      </c>
      <c r="M16857" s="43">
        <v>11.500400353131994</v>
      </c>
      <c r="N16857" s="43">
        <v>5.322474149744612</v>
      </c>
      <c r="O16857" s="43">
        <v>3.9503743114082588</v>
      </c>
      <c r="P16857" s="535"/>
      <c r="Q16857" s="535"/>
      <c r="R16857" s="535">
        <v>2</v>
      </c>
    </row>
    <row r="16858" spans="1:18" ht="24">
      <c r="A16858" s="531">
        <v>26</v>
      </c>
      <c r="B16858" s="528" t="s">
        <v>30226</v>
      </c>
      <c r="C16858" s="532" t="s">
        <v>30227</v>
      </c>
      <c r="D16858" s="533">
        <v>3300.39</v>
      </c>
      <c r="E16858" s="533">
        <v>999.37</v>
      </c>
      <c r="F16858" s="533">
        <v>837.5</v>
      </c>
      <c r="G16858" s="533">
        <v>1463.52</v>
      </c>
      <c r="H16858" s="534">
        <v>21785.91</v>
      </c>
      <c r="I16858" s="534">
        <v>11493.18</v>
      </c>
      <c r="J16858" s="534">
        <v>4457.9399999999996</v>
      </c>
      <c r="K16858" s="534">
        <v>5834.79</v>
      </c>
      <c r="L16858" s="43">
        <v>6.6010107896339525</v>
      </c>
      <c r="M16858" s="43">
        <v>11.500425267918789</v>
      </c>
      <c r="N16858" s="43">
        <v>5.3229134328358203</v>
      </c>
      <c r="O16858" s="43">
        <v>3.9868194489996722</v>
      </c>
      <c r="P16858" s="535"/>
      <c r="Q16858" s="535"/>
      <c r="R16858" s="535">
        <v>2</v>
      </c>
    </row>
    <row r="16859" spans="1:18" ht="24">
      <c r="A16859" s="531">
        <v>27</v>
      </c>
      <c r="B16859" s="528" t="s">
        <v>30228</v>
      </c>
      <c r="C16859" s="532" t="s">
        <v>30229</v>
      </c>
      <c r="D16859" s="533">
        <v>3943.27</v>
      </c>
      <c r="E16859" s="533">
        <v>1261.55</v>
      </c>
      <c r="F16859" s="533">
        <v>1205.1199999999999</v>
      </c>
      <c r="G16859" s="533">
        <v>1476.6</v>
      </c>
      <c r="H16859" s="534">
        <v>26859.3</v>
      </c>
      <c r="I16859" s="534">
        <v>14508.4</v>
      </c>
      <c r="J16859" s="534">
        <v>6414.04</v>
      </c>
      <c r="K16859" s="534">
        <v>5936.86</v>
      </c>
      <c r="L16859" s="43">
        <v>6.8114280787265393</v>
      </c>
      <c r="M16859" s="43">
        <v>11.500455788514129</v>
      </c>
      <c r="N16859" s="43">
        <v>5.3223247477429636</v>
      </c>
      <c r="O16859" s="43">
        <v>4.0206284708113236</v>
      </c>
      <c r="P16859" s="535"/>
      <c r="Q16859" s="535"/>
      <c r="R16859" s="535">
        <v>2</v>
      </c>
    </row>
    <row r="16860" spans="1:18" ht="24">
      <c r="A16860" s="531">
        <v>28</v>
      </c>
      <c r="B16860" s="528" t="s">
        <v>30230</v>
      </c>
      <c r="C16860" s="532" t="s">
        <v>30231</v>
      </c>
      <c r="D16860" s="533">
        <v>4639.54</v>
      </c>
      <c r="E16860" s="533">
        <v>1491.92</v>
      </c>
      <c r="F16860" s="533">
        <v>1661.18</v>
      </c>
      <c r="G16860" s="533">
        <v>1486.44</v>
      </c>
      <c r="H16860" s="534">
        <v>32036.07</v>
      </c>
      <c r="I16860" s="534">
        <v>17157.759999999998</v>
      </c>
      <c r="J16860" s="534">
        <v>8860.56</v>
      </c>
      <c r="K16860" s="534">
        <v>6017.75</v>
      </c>
      <c r="L16860" s="43">
        <v>6.905009979437617</v>
      </c>
      <c r="M16860" s="43">
        <v>11.500455788514127</v>
      </c>
      <c r="N16860" s="43">
        <v>5.3338951829422454</v>
      </c>
      <c r="O16860" s="43">
        <v>4.0484311509378106</v>
      </c>
      <c r="P16860" s="535"/>
      <c r="Q16860" s="535"/>
      <c r="R16860" s="535">
        <v>2</v>
      </c>
    </row>
    <row r="16861" spans="1:18" ht="24">
      <c r="A16861" s="531">
        <v>29</v>
      </c>
      <c r="B16861" s="528" t="s">
        <v>30232</v>
      </c>
      <c r="C16861" s="532" t="s">
        <v>30233</v>
      </c>
      <c r="D16861" s="533">
        <v>7459.34</v>
      </c>
      <c r="E16861" s="533">
        <v>1989.48</v>
      </c>
      <c r="F16861" s="533">
        <v>3963.75</v>
      </c>
      <c r="G16861" s="533">
        <v>1506.11</v>
      </c>
      <c r="H16861" s="534">
        <v>48841.1</v>
      </c>
      <c r="I16861" s="534">
        <v>22879.02</v>
      </c>
      <c r="J16861" s="534">
        <v>19753.830000000002</v>
      </c>
      <c r="K16861" s="534">
        <v>6208.25</v>
      </c>
      <c r="L16861" s="43">
        <v>6.5476436253073329</v>
      </c>
      <c r="M16861" s="43">
        <v>11.5</v>
      </c>
      <c r="N16861" s="43">
        <v>4.983621570482498</v>
      </c>
      <c r="O16861" s="43">
        <v>4.1220428786742005</v>
      </c>
      <c r="P16861" s="535"/>
      <c r="Q16861" s="535"/>
      <c r="R16861" s="535">
        <v>2</v>
      </c>
    </row>
    <row r="16862" spans="1:18" ht="24">
      <c r="A16862" s="531">
        <v>30</v>
      </c>
      <c r="B16862" s="528" t="s">
        <v>30234</v>
      </c>
      <c r="C16862" s="532" t="s">
        <v>30235</v>
      </c>
      <c r="D16862" s="533">
        <v>9258.17</v>
      </c>
      <c r="E16862" s="533">
        <v>2360.4</v>
      </c>
      <c r="F16862" s="533">
        <v>5379.86</v>
      </c>
      <c r="G16862" s="533">
        <v>1517.91</v>
      </c>
      <c r="H16862" s="534">
        <v>60109.5</v>
      </c>
      <c r="I16862" s="534">
        <v>27144.6</v>
      </c>
      <c r="J16862" s="534">
        <v>26634.65</v>
      </c>
      <c r="K16862" s="534">
        <v>6330.25</v>
      </c>
      <c r="L16862" s="43">
        <v>6.4925897882626913</v>
      </c>
      <c r="M16862" s="43">
        <v>11.499999999999998</v>
      </c>
      <c r="N16862" s="43">
        <v>4.9508072700776609</v>
      </c>
      <c r="O16862" s="43">
        <v>4.1703724199721988</v>
      </c>
      <c r="P16862" s="535"/>
      <c r="Q16862" s="535"/>
      <c r="R16862" s="535">
        <v>2</v>
      </c>
    </row>
    <row r="16863" spans="1:18" ht="24">
      <c r="A16863" s="531">
        <v>31</v>
      </c>
      <c r="B16863" s="528" t="s">
        <v>30236</v>
      </c>
      <c r="C16863" s="532" t="s">
        <v>30237</v>
      </c>
      <c r="D16863" s="533">
        <v>11352.11</v>
      </c>
      <c r="E16863" s="533">
        <v>2641.4</v>
      </c>
      <c r="F16863" s="533">
        <v>7048.77</v>
      </c>
      <c r="G16863" s="533">
        <v>1661.94</v>
      </c>
      <c r="H16863" s="534">
        <v>72586.66</v>
      </c>
      <c r="I16863" s="534">
        <v>30376.1</v>
      </c>
      <c r="J16863" s="534">
        <v>35285.910000000003</v>
      </c>
      <c r="K16863" s="534">
        <v>6924.65</v>
      </c>
      <c r="L16863" s="43">
        <v>6.394111755435774</v>
      </c>
      <c r="M16863" s="43">
        <v>11.499999999999998</v>
      </c>
      <c r="N16863" s="43">
        <v>5.0059669984976107</v>
      </c>
      <c r="O16863" s="43">
        <v>4.1666064960227205</v>
      </c>
      <c r="P16863" s="535"/>
      <c r="Q16863" s="535"/>
      <c r="R16863" s="535">
        <v>2</v>
      </c>
    </row>
    <row r="16864" spans="1:18" ht="24">
      <c r="A16864" s="531">
        <v>32</v>
      </c>
      <c r="B16864" s="528" t="s">
        <v>30238</v>
      </c>
      <c r="C16864" s="532" t="s">
        <v>30239</v>
      </c>
      <c r="D16864" s="533">
        <v>27112.05</v>
      </c>
      <c r="E16864" s="533">
        <v>3866.56</v>
      </c>
      <c r="F16864" s="533">
        <v>9164.98</v>
      </c>
      <c r="G16864" s="533">
        <v>14080.51</v>
      </c>
      <c r="H16864" s="534">
        <v>142662.12</v>
      </c>
      <c r="I16864" s="534">
        <v>44465.440000000002</v>
      </c>
      <c r="J16864" s="534">
        <v>45785.22</v>
      </c>
      <c r="K16864" s="534">
        <v>52411.46</v>
      </c>
      <c r="L16864" s="43">
        <v>5.2619451498503436</v>
      </c>
      <c r="M16864" s="43">
        <v>11.5</v>
      </c>
      <c r="N16864" s="43">
        <v>4.9956704760948742</v>
      </c>
      <c r="O16864" s="43">
        <v>3.7222700030041524</v>
      </c>
      <c r="P16864" s="535"/>
      <c r="Q16864" s="535"/>
      <c r="R16864" s="535">
        <v>2</v>
      </c>
    </row>
    <row r="16865" spans="1:18" ht="24">
      <c r="A16865" s="531">
        <v>33</v>
      </c>
      <c r="B16865" s="528" t="s">
        <v>30240</v>
      </c>
      <c r="C16865" s="532" t="s">
        <v>30241</v>
      </c>
      <c r="D16865" s="533">
        <v>32167.599999999999</v>
      </c>
      <c r="E16865" s="533">
        <v>4274.28</v>
      </c>
      <c r="F16865" s="533">
        <v>13628.33</v>
      </c>
      <c r="G16865" s="533">
        <v>14264.99</v>
      </c>
      <c r="H16865" s="534">
        <v>168160.91</v>
      </c>
      <c r="I16865" s="534">
        <v>49156.08</v>
      </c>
      <c r="J16865" s="534">
        <v>65740.3</v>
      </c>
      <c r="K16865" s="534">
        <v>53264.53</v>
      </c>
      <c r="L16865" s="43">
        <v>5.2276486278118357</v>
      </c>
      <c r="M16865" s="43">
        <v>11.500435161009575</v>
      </c>
      <c r="N16865" s="43">
        <v>4.823797193053001</v>
      </c>
      <c r="O16865" s="43">
        <v>3.7339339179347477</v>
      </c>
      <c r="P16865" s="535"/>
      <c r="Q16865" s="535"/>
      <c r="R16865" s="535">
        <v>2</v>
      </c>
    </row>
    <row r="16866" spans="1:18" ht="24">
      <c r="A16866" s="531">
        <v>34</v>
      </c>
      <c r="B16866" s="528" t="s">
        <v>30242</v>
      </c>
      <c r="C16866" s="532" t="s">
        <v>30243</v>
      </c>
      <c r="D16866" s="533">
        <v>46232.38</v>
      </c>
      <c r="E16866" s="533">
        <v>5607.12</v>
      </c>
      <c r="F16866" s="533">
        <v>23124.92</v>
      </c>
      <c r="G16866" s="533">
        <v>17500.34</v>
      </c>
      <c r="H16866" s="534">
        <v>246760.78</v>
      </c>
      <c r="I16866" s="534">
        <v>64484.32</v>
      </c>
      <c r="J16866" s="534">
        <v>116794.67</v>
      </c>
      <c r="K16866" s="534">
        <v>65481.79</v>
      </c>
      <c r="L16866" s="43">
        <v>5.337401621980093</v>
      </c>
      <c r="M16866" s="43">
        <v>11.500435161009573</v>
      </c>
      <c r="N16866" s="43">
        <v>5.0505977966626485</v>
      </c>
      <c r="O16866" s="43">
        <v>3.7417438746904348</v>
      </c>
      <c r="P16866" s="535"/>
      <c r="Q16866" s="535"/>
      <c r="R16866" s="535">
        <v>2</v>
      </c>
    </row>
    <row r="16867" spans="1:18" ht="24">
      <c r="A16867" s="531">
        <v>35</v>
      </c>
      <c r="B16867" s="528" t="s">
        <v>30244</v>
      </c>
      <c r="C16867" s="532" t="s">
        <v>30245</v>
      </c>
      <c r="D16867" s="533">
        <v>82909.960000000006</v>
      </c>
      <c r="E16867" s="533">
        <v>6491.85</v>
      </c>
      <c r="F16867" s="533">
        <v>28115.62</v>
      </c>
      <c r="G16867" s="533">
        <v>48302.49</v>
      </c>
      <c r="H16867" s="534">
        <v>394153.65</v>
      </c>
      <c r="I16867" s="534">
        <v>74659.100000000006</v>
      </c>
      <c r="J16867" s="534">
        <v>142193.67000000001</v>
      </c>
      <c r="K16867" s="534">
        <v>177300.88</v>
      </c>
      <c r="L16867" s="43">
        <v>4.7539963835466814</v>
      </c>
      <c r="M16867" s="43">
        <v>11.500435161009573</v>
      </c>
      <c r="N16867" s="43">
        <v>5.057461652988624</v>
      </c>
      <c r="O16867" s="43">
        <v>3.6706364413097545</v>
      </c>
      <c r="P16867" s="535"/>
      <c r="Q16867" s="535"/>
      <c r="R16867" s="535">
        <v>2</v>
      </c>
    </row>
    <row r="16868" spans="1:18" ht="12.75" customHeight="1">
      <c r="A16868" s="628" t="s">
        <v>30246</v>
      </c>
      <c r="B16868" s="629"/>
      <c r="C16868" s="629"/>
      <c r="D16868" s="629"/>
      <c r="E16868" s="629"/>
      <c r="F16868" s="629"/>
      <c r="G16868" s="629"/>
      <c r="H16868" s="629"/>
      <c r="I16868" s="629"/>
      <c r="J16868" s="629"/>
      <c r="K16868" s="629"/>
      <c r="L16868" s="629"/>
      <c r="M16868" s="629"/>
      <c r="N16868" s="629"/>
      <c r="O16868" s="629"/>
      <c r="P16868" s="629"/>
      <c r="Q16868" s="629"/>
      <c r="R16868" s="629"/>
    </row>
    <row r="16869" spans="1:18" ht="12.75" customHeight="1">
      <c r="A16869" s="628" t="s">
        <v>30174</v>
      </c>
      <c r="B16869" s="629"/>
      <c r="C16869" s="629"/>
      <c r="D16869" s="629"/>
      <c r="E16869" s="629"/>
      <c r="F16869" s="629"/>
      <c r="G16869" s="629"/>
      <c r="H16869" s="629"/>
      <c r="I16869" s="629"/>
      <c r="J16869" s="629"/>
      <c r="K16869" s="629"/>
      <c r="L16869" s="629"/>
      <c r="M16869" s="629"/>
      <c r="N16869" s="629"/>
      <c r="O16869" s="629"/>
      <c r="P16869" s="629"/>
      <c r="Q16869" s="629"/>
      <c r="R16869" s="629"/>
    </row>
    <row r="16870" spans="1:18" ht="24">
      <c r="A16870" s="531">
        <v>36</v>
      </c>
      <c r="B16870" s="528" t="s">
        <v>30247</v>
      </c>
      <c r="C16870" s="532" t="s">
        <v>30248</v>
      </c>
      <c r="D16870" s="533">
        <v>602.09</v>
      </c>
      <c r="E16870" s="533">
        <v>267.51</v>
      </c>
      <c r="F16870" s="533">
        <v>53.21</v>
      </c>
      <c r="G16870" s="533">
        <v>281.37</v>
      </c>
      <c r="H16870" s="534">
        <v>4565.5600000000004</v>
      </c>
      <c r="I16870" s="534">
        <v>3076.39</v>
      </c>
      <c r="J16870" s="534">
        <v>280.11</v>
      </c>
      <c r="K16870" s="534">
        <v>1209.06</v>
      </c>
      <c r="L16870" s="43">
        <v>7.5828530618346095</v>
      </c>
      <c r="M16870" s="43">
        <v>11.500093454450301</v>
      </c>
      <c r="N16870" s="43">
        <v>5.264236045856042</v>
      </c>
      <c r="O16870" s="43">
        <v>4.2970465934534596</v>
      </c>
      <c r="P16870" s="535"/>
      <c r="Q16870" s="535"/>
      <c r="R16870" s="535">
        <v>1</v>
      </c>
    </row>
    <row r="16871" spans="1:18" ht="24">
      <c r="A16871" s="531">
        <v>37</v>
      </c>
      <c r="B16871" s="528" t="s">
        <v>30249</v>
      </c>
      <c r="C16871" s="532" t="s">
        <v>30250</v>
      </c>
      <c r="D16871" s="533">
        <v>607.54</v>
      </c>
      <c r="E16871" s="533">
        <v>269.76</v>
      </c>
      <c r="F16871" s="533">
        <v>56.36</v>
      </c>
      <c r="G16871" s="533">
        <v>281.42</v>
      </c>
      <c r="H16871" s="534">
        <v>4609.3</v>
      </c>
      <c r="I16871" s="534">
        <v>3102.24</v>
      </c>
      <c r="J16871" s="534">
        <v>297.43</v>
      </c>
      <c r="K16871" s="534">
        <v>1209.6300000000001</v>
      </c>
      <c r="L16871" s="43">
        <v>7.5868255588109434</v>
      </c>
      <c r="M16871" s="43">
        <v>11.5</v>
      </c>
      <c r="N16871" s="43">
        <v>5.2773243435060326</v>
      </c>
      <c r="O16871" s="43">
        <v>4.2983085779262318</v>
      </c>
      <c r="P16871" s="535"/>
      <c r="Q16871" s="535"/>
      <c r="R16871" s="535">
        <v>1</v>
      </c>
    </row>
    <row r="16872" spans="1:18" ht="24">
      <c r="A16872" s="531">
        <v>38</v>
      </c>
      <c r="B16872" s="528" t="s">
        <v>30251</v>
      </c>
      <c r="C16872" s="532" t="s">
        <v>30252</v>
      </c>
      <c r="D16872" s="533">
        <v>694.44</v>
      </c>
      <c r="E16872" s="533">
        <v>312.47000000000003</v>
      </c>
      <c r="F16872" s="533">
        <v>99.7</v>
      </c>
      <c r="G16872" s="533">
        <v>282.27</v>
      </c>
      <c r="H16872" s="534">
        <v>5376.39</v>
      </c>
      <c r="I16872" s="534">
        <v>3593.43</v>
      </c>
      <c r="J16872" s="534">
        <v>563.54999999999995</v>
      </c>
      <c r="K16872" s="534">
        <v>1219.4100000000001</v>
      </c>
      <c r="L16872" s="43">
        <v>7.742051149127354</v>
      </c>
      <c r="M16872" s="43">
        <v>11.500080007680737</v>
      </c>
      <c r="N16872" s="43">
        <v>5.6524573721163485</v>
      </c>
      <c r="O16872" s="43">
        <v>4.3200127537464139</v>
      </c>
      <c r="P16872" s="535"/>
      <c r="Q16872" s="535"/>
      <c r="R16872" s="535">
        <v>1</v>
      </c>
    </row>
    <row r="16873" spans="1:18" ht="24">
      <c r="A16873" s="531">
        <v>39</v>
      </c>
      <c r="B16873" s="528" t="s">
        <v>30253</v>
      </c>
      <c r="C16873" s="532" t="s">
        <v>30254</v>
      </c>
      <c r="D16873" s="533">
        <v>1418.84</v>
      </c>
      <c r="E16873" s="533">
        <v>327.08</v>
      </c>
      <c r="F16873" s="533">
        <v>169.44</v>
      </c>
      <c r="G16873" s="533">
        <v>922.32</v>
      </c>
      <c r="H16873" s="534">
        <v>8334.26</v>
      </c>
      <c r="I16873" s="534">
        <v>3761.47</v>
      </c>
      <c r="J16873" s="534">
        <v>979.87</v>
      </c>
      <c r="K16873" s="534">
        <v>3592.92</v>
      </c>
      <c r="L16873" s="43">
        <v>5.8739956584251933</v>
      </c>
      <c r="M16873" s="43">
        <v>11.500152867799926</v>
      </c>
      <c r="N16873" s="43">
        <v>5.7829910292728988</v>
      </c>
      <c r="O16873" s="43">
        <v>3.8955243299505593</v>
      </c>
      <c r="P16873" s="535"/>
      <c r="Q16873" s="535"/>
      <c r="R16873" s="535">
        <v>1</v>
      </c>
    </row>
    <row r="16874" spans="1:18" ht="24">
      <c r="A16874" s="531">
        <v>40</v>
      </c>
      <c r="B16874" s="528" t="s">
        <v>30255</v>
      </c>
      <c r="C16874" s="532" t="s">
        <v>30256</v>
      </c>
      <c r="D16874" s="533">
        <v>1852.58</v>
      </c>
      <c r="E16874" s="533">
        <v>493.44</v>
      </c>
      <c r="F16874" s="533">
        <v>295.49</v>
      </c>
      <c r="G16874" s="533">
        <v>1063.6500000000001</v>
      </c>
      <c r="H16874" s="534">
        <v>11588.12</v>
      </c>
      <c r="I16874" s="534">
        <v>5674.51</v>
      </c>
      <c r="J16874" s="534">
        <v>1708.65</v>
      </c>
      <c r="K16874" s="534">
        <v>4204.96</v>
      </c>
      <c r="L16874" s="43">
        <v>6.2551252847380416</v>
      </c>
      <c r="M16874" s="43">
        <v>11.499898670557718</v>
      </c>
      <c r="N16874" s="43">
        <v>5.7824291854208267</v>
      </c>
      <c r="O16874" s="43">
        <v>3.9533305128566725</v>
      </c>
      <c r="P16874" s="535"/>
      <c r="Q16874" s="535"/>
      <c r="R16874" s="535">
        <v>1</v>
      </c>
    </row>
    <row r="16875" spans="1:18" ht="24">
      <c r="A16875" s="531">
        <v>41</v>
      </c>
      <c r="B16875" s="528" t="s">
        <v>30257</v>
      </c>
      <c r="C16875" s="532" t="s">
        <v>30258</v>
      </c>
      <c r="D16875" s="533">
        <v>2047.14</v>
      </c>
      <c r="E16875" s="533">
        <v>594.6</v>
      </c>
      <c r="F16875" s="533">
        <v>386.87</v>
      </c>
      <c r="G16875" s="533">
        <v>1065.67</v>
      </c>
      <c r="H16875" s="534">
        <v>13320.55</v>
      </c>
      <c r="I16875" s="534">
        <v>6837.85</v>
      </c>
      <c r="J16875" s="534">
        <v>2254.5100000000002</v>
      </c>
      <c r="K16875" s="534">
        <v>4228.1899999999996</v>
      </c>
      <c r="L16875" s="43">
        <v>6.5069071973582648</v>
      </c>
      <c r="M16875" s="43">
        <v>11.499915909855366</v>
      </c>
      <c r="N16875" s="43">
        <v>5.8275648150541528</v>
      </c>
      <c r="O16875" s="43">
        <v>3.9676353843122163</v>
      </c>
      <c r="P16875" s="535"/>
      <c r="Q16875" s="535"/>
      <c r="R16875" s="535">
        <v>1</v>
      </c>
    </row>
    <row r="16876" spans="1:18" ht="24">
      <c r="A16876" s="531">
        <v>42</v>
      </c>
      <c r="B16876" s="528" t="s">
        <v>30259</v>
      </c>
      <c r="C16876" s="532" t="s">
        <v>30260</v>
      </c>
      <c r="D16876" s="533">
        <v>3232.2</v>
      </c>
      <c r="E16876" s="533">
        <v>1048.69</v>
      </c>
      <c r="F16876" s="533">
        <v>693.15</v>
      </c>
      <c r="G16876" s="533">
        <v>1490.36</v>
      </c>
      <c r="H16876" s="534">
        <v>22139.03</v>
      </c>
      <c r="I16876" s="534">
        <v>12059.96</v>
      </c>
      <c r="J16876" s="534">
        <v>4057.54</v>
      </c>
      <c r="K16876" s="534">
        <v>6021.53</v>
      </c>
      <c r="L16876" s="43">
        <v>6.8495235443351277</v>
      </c>
      <c r="M16876" s="43">
        <v>11.500023839266131</v>
      </c>
      <c r="N16876" s="43">
        <v>5.853769025463464</v>
      </c>
      <c r="O16876" s="43">
        <v>4.040319117528651</v>
      </c>
      <c r="P16876" s="535"/>
      <c r="Q16876" s="535"/>
      <c r="R16876" s="535">
        <v>1</v>
      </c>
    </row>
    <row r="16877" spans="1:18" ht="24">
      <c r="A16877" s="531">
        <v>43</v>
      </c>
      <c r="B16877" s="528" t="s">
        <v>30261</v>
      </c>
      <c r="C16877" s="532" t="s">
        <v>30262</v>
      </c>
      <c r="D16877" s="533">
        <v>3880.78</v>
      </c>
      <c r="E16877" s="533">
        <v>1360.04</v>
      </c>
      <c r="F16877" s="533">
        <v>1024.1500000000001</v>
      </c>
      <c r="G16877" s="533">
        <v>1496.59</v>
      </c>
      <c r="H16877" s="534">
        <v>27807.41</v>
      </c>
      <c r="I16877" s="534">
        <v>15640.46</v>
      </c>
      <c r="J16877" s="534">
        <v>6073.78</v>
      </c>
      <c r="K16877" s="534">
        <v>6093.17</v>
      </c>
      <c r="L16877" s="43">
        <v>7.1654177768386766</v>
      </c>
      <c r="M16877" s="43">
        <v>11.5</v>
      </c>
      <c r="N16877" s="43">
        <v>5.9305570473075226</v>
      </c>
      <c r="O16877" s="43">
        <v>4.0713689119932646</v>
      </c>
      <c r="P16877" s="535"/>
      <c r="Q16877" s="535"/>
      <c r="R16877" s="535">
        <v>1</v>
      </c>
    </row>
    <row r="16878" spans="1:18" ht="24">
      <c r="A16878" s="531">
        <v>44</v>
      </c>
      <c r="B16878" s="528" t="s">
        <v>30263</v>
      </c>
      <c r="C16878" s="532" t="s">
        <v>30264</v>
      </c>
      <c r="D16878" s="533">
        <v>4649.7299999999996</v>
      </c>
      <c r="E16878" s="533">
        <v>1629.8</v>
      </c>
      <c r="F16878" s="533">
        <v>1514.02</v>
      </c>
      <c r="G16878" s="533">
        <v>1505.91</v>
      </c>
      <c r="H16878" s="534">
        <v>33912.79</v>
      </c>
      <c r="I16878" s="534">
        <v>18742.7</v>
      </c>
      <c r="J16878" s="534">
        <v>8993.92</v>
      </c>
      <c r="K16878" s="534">
        <v>6176.17</v>
      </c>
      <c r="L16878" s="43">
        <v>7.2934966116312134</v>
      </c>
      <c r="M16878" s="43">
        <v>11.5</v>
      </c>
      <c r="N16878" s="43">
        <v>5.9404235082759804</v>
      </c>
      <c r="O16878" s="43">
        <v>4.1012875935480873</v>
      </c>
      <c r="P16878" s="535"/>
      <c r="Q16878" s="535"/>
      <c r="R16878" s="535">
        <v>1</v>
      </c>
    </row>
    <row r="16879" spans="1:18" ht="24">
      <c r="A16879" s="531">
        <v>45</v>
      </c>
      <c r="B16879" s="528" t="s">
        <v>30265</v>
      </c>
      <c r="C16879" s="532" t="s">
        <v>30266</v>
      </c>
      <c r="D16879" s="533">
        <v>6373.91</v>
      </c>
      <c r="E16879" s="533">
        <v>1967</v>
      </c>
      <c r="F16879" s="533">
        <v>2871.45</v>
      </c>
      <c r="G16879" s="533">
        <v>1535.46</v>
      </c>
      <c r="H16879" s="534">
        <v>45191.45</v>
      </c>
      <c r="I16879" s="534">
        <v>22620.5</v>
      </c>
      <c r="J16879" s="534">
        <v>16150.85</v>
      </c>
      <c r="K16879" s="534">
        <v>6420.1</v>
      </c>
      <c r="L16879" s="43">
        <v>7.0900671644249762</v>
      </c>
      <c r="M16879" s="43">
        <v>11.5</v>
      </c>
      <c r="N16879" s="43">
        <v>5.6246321544864095</v>
      </c>
      <c r="O16879" s="43">
        <v>4.1812225652247532</v>
      </c>
      <c r="P16879" s="535"/>
      <c r="Q16879" s="535"/>
      <c r="R16879" s="535">
        <v>1</v>
      </c>
    </row>
    <row r="16880" spans="1:18" ht="24">
      <c r="A16880" s="531">
        <v>46</v>
      </c>
      <c r="B16880" s="528" t="s">
        <v>30267</v>
      </c>
      <c r="C16880" s="532" t="s">
        <v>30268</v>
      </c>
      <c r="D16880" s="533">
        <v>7399.71</v>
      </c>
      <c r="E16880" s="533">
        <v>2389.92</v>
      </c>
      <c r="F16880" s="533">
        <v>3465.87</v>
      </c>
      <c r="G16880" s="533">
        <v>1543.92</v>
      </c>
      <c r="H16880" s="534">
        <v>53539.839999999997</v>
      </c>
      <c r="I16880" s="534">
        <v>27485.119999999999</v>
      </c>
      <c r="J16880" s="534">
        <v>19537.330000000002</v>
      </c>
      <c r="K16880" s="534">
        <v>6517.39</v>
      </c>
      <c r="L16880" s="43">
        <v>7.2353970628578681</v>
      </c>
      <c r="M16880" s="43">
        <v>11.500435161009573</v>
      </c>
      <c r="N16880" s="43">
        <v>5.6370637098333178</v>
      </c>
      <c r="O16880" s="43">
        <v>4.2213262345199229</v>
      </c>
      <c r="P16880" s="535"/>
      <c r="Q16880" s="535"/>
      <c r="R16880" s="535">
        <v>1</v>
      </c>
    </row>
    <row r="16881" spans="1:18" ht="24">
      <c r="A16881" s="531">
        <v>47</v>
      </c>
      <c r="B16881" s="528" t="s">
        <v>30269</v>
      </c>
      <c r="C16881" s="532" t="s">
        <v>30270</v>
      </c>
      <c r="D16881" s="533">
        <v>8367.6200000000008</v>
      </c>
      <c r="E16881" s="533">
        <v>2780.58</v>
      </c>
      <c r="F16881" s="533">
        <v>3896.9</v>
      </c>
      <c r="G16881" s="533">
        <v>1690.14</v>
      </c>
      <c r="H16881" s="534">
        <v>61664.1</v>
      </c>
      <c r="I16881" s="534">
        <v>31977.88</v>
      </c>
      <c r="J16881" s="534">
        <v>22549.24</v>
      </c>
      <c r="K16881" s="534">
        <v>7136.98</v>
      </c>
      <c r="L16881" s="43">
        <v>7.3693714580729042</v>
      </c>
      <c r="M16881" s="43">
        <v>11.500435161009575</v>
      </c>
      <c r="N16881" s="43">
        <v>5.7864559008442615</v>
      </c>
      <c r="O16881" s="43">
        <v>4.2227152780243049</v>
      </c>
      <c r="P16881" s="535"/>
      <c r="Q16881" s="535"/>
      <c r="R16881" s="535">
        <v>1</v>
      </c>
    </row>
    <row r="16882" spans="1:18" ht="24">
      <c r="A16882" s="531">
        <v>48</v>
      </c>
      <c r="B16882" s="528" t="s">
        <v>30271</v>
      </c>
      <c r="C16882" s="532" t="s">
        <v>30272</v>
      </c>
      <c r="D16882" s="533">
        <v>15626.47</v>
      </c>
      <c r="E16882" s="533">
        <v>4078.95</v>
      </c>
      <c r="F16882" s="533">
        <v>8325.91</v>
      </c>
      <c r="G16882" s="533">
        <v>3221.61</v>
      </c>
      <c r="H16882" s="534">
        <v>106866.66</v>
      </c>
      <c r="I16882" s="534">
        <v>46909.7</v>
      </c>
      <c r="J16882" s="534">
        <v>46495.68</v>
      </c>
      <c r="K16882" s="534">
        <v>13461.28</v>
      </c>
      <c r="L16882" s="43">
        <v>6.8388228435468799</v>
      </c>
      <c r="M16882" s="43">
        <v>11.500435161009573</v>
      </c>
      <c r="N16882" s="43">
        <v>5.5844562336129027</v>
      </c>
      <c r="O16882" s="43">
        <v>4.1784325228690005</v>
      </c>
      <c r="P16882" s="535"/>
      <c r="Q16882" s="535"/>
      <c r="R16882" s="535">
        <v>1</v>
      </c>
    </row>
    <row r="16883" spans="1:18" ht="24">
      <c r="A16883" s="531">
        <v>49</v>
      </c>
      <c r="B16883" s="528" t="s">
        <v>30273</v>
      </c>
      <c r="C16883" s="532" t="s">
        <v>30274</v>
      </c>
      <c r="D16883" s="533">
        <v>18522.89</v>
      </c>
      <c r="E16883" s="533">
        <v>5021.13</v>
      </c>
      <c r="F16883" s="533">
        <v>10080.469999999999</v>
      </c>
      <c r="G16883" s="533">
        <v>3421.29</v>
      </c>
      <c r="H16883" s="534">
        <v>128580.49</v>
      </c>
      <c r="I16883" s="534">
        <v>57745.18</v>
      </c>
      <c r="J16883" s="534">
        <v>56383.95</v>
      </c>
      <c r="K16883" s="534">
        <v>14451.36</v>
      </c>
      <c r="L16883" s="43">
        <v>6.9417078004566246</v>
      </c>
      <c r="M16883" s="43">
        <v>11.500435161009573</v>
      </c>
      <c r="N16883" s="43">
        <v>5.5933850306582924</v>
      </c>
      <c r="O16883" s="43">
        <v>4.2239506151188593</v>
      </c>
      <c r="P16883" s="535"/>
      <c r="Q16883" s="535"/>
      <c r="R16883" s="535">
        <v>1</v>
      </c>
    </row>
    <row r="16884" spans="1:18" ht="24">
      <c r="A16884" s="531">
        <v>50</v>
      </c>
      <c r="B16884" s="528" t="s">
        <v>30275</v>
      </c>
      <c r="C16884" s="532" t="s">
        <v>30276</v>
      </c>
      <c r="D16884" s="533">
        <v>23186.11</v>
      </c>
      <c r="E16884" s="533">
        <v>6446.4</v>
      </c>
      <c r="F16884" s="533">
        <v>12714.12</v>
      </c>
      <c r="G16884" s="533">
        <v>4025.59</v>
      </c>
      <c r="H16884" s="534">
        <v>162297.26999999999</v>
      </c>
      <c r="I16884" s="534">
        <v>74136.320000000007</v>
      </c>
      <c r="J16884" s="534">
        <v>71248.55</v>
      </c>
      <c r="K16884" s="534">
        <v>16912.400000000001</v>
      </c>
      <c r="L16884" s="43">
        <v>6.9997627890146292</v>
      </c>
      <c r="M16884" s="43">
        <v>11.500421940928272</v>
      </c>
      <c r="N16884" s="43">
        <v>5.6038915788115888</v>
      </c>
      <c r="O16884" s="43">
        <v>4.20122267791802</v>
      </c>
      <c r="P16884" s="535"/>
      <c r="Q16884" s="535"/>
      <c r="R16884" s="535">
        <v>1</v>
      </c>
    </row>
    <row r="16885" spans="1:18" ht="24">
      <c r="A16885" s="531">
        <v>51</v>
      </c>
      <c r="B16885" s="528" t="s">
        <v>30277</v>
      </c>
      <c r="C16885" s="532" t="s">
        <v>30278</v>
      </c>
      <c r="D16885" s="533">
        <v>42939.09</v>
      </c>
      <c r="E16885" s="533">
        <v>7311.45</v>
      </c>
      <c r="F16885" s="533">
        <v>31251.21</v>
      </c>
      <c r="G16885" s="533">
        <v>4376.43</v>
      </c>
      <c r="H16885" s="534">
        <v>274953.63</v>
      </c>
      <c r="I16885" s="534">
        <v>84084.76</v>
      </c>
      <c r="J16885" s="534">
        <v>172482.12</v>
      </c>
      <c r="K16885" s="534">
        <v>18386.75</v>
      </c>
      <c r="L16885" s="43">
        <v>6.4033408719188047</v>
      </c>
      <c r="M16885" s="43">
        <v>11.50042194092827</v>
      </c>
      <c r="N16885" s="43">
        <v>5.5192141360286531</v>
      </c>
      <c r="O16885" s="43">
        <v>4.2013124852905221</v>
      </c>
      <c r="P16885" s="535"/>
      <c r="Q16885" s="535"/>
      <c r="R16885" s="535">
        <v>1</v>
      </c>
    </row>
    <row r="16886" spans="1:18" ht="24">
      <c r="A16886" s="531">
        <v>52</v>
      </c>
      <c r="B16886" s="528" t="s">
        <v>30279</v>
      </c>
      <c r="C16886" s="532" t="s">
        <v>30280</v>
      </c>
      <c r="D16886" s="533">
        <v>152275.14000000001</v>
      </c>
      <c r="E16886" s="533">
        <v>8662.35</v>
      </c>
      <c r="F16886" s="533">
        <v>136089.20000000001</v>
      </c>
      <c r="G16886" s="533">
        <v>7523.59</v>
      </c>
      <c r="H16886" s="534">
        <v>766567.71</v>
      </c>
      <c r="I16886" s="534">
        <v>99620.68</v>
      </c>
      <c r="J16886" s="534">
        <v>636350.21</v>
      </c>
      <c r="K16886" s="534">
        <v>30596.82</v>
      </c>
      <c r="L16886" s="43">
        <v>5.0340962418422333</v>
      </c>
      <c r="M16886" s="43">
        <v>11.500421940928268</v>
      </c>
      <c r="N16886" s="43">
        <v>4.6759787698068616</v>
      </c>
      <c r="O16886" s="43">
        <v>4.0667846068166922</v>
      </c>
      <c r="P16886" s="535"/>
      <c r="Q16886" s="535"/>
      <c r="R16886" s="535">
        <v>1</v>
      </c>
    </row>
    <row r="16887" spans="1:18" ht="12.75" customHeight="1">
      <c r="A16887" s="628" t="s">
        <v>30213</v>
      </c>
      <c r="B16887" s="629"/>
      <c r="C16887" s="629"/>
      <c r="D16887" s="629"/>
      <c r="E16887" s="629"/>
      <c r="F16887" s="629"/>
      <c r="G16887" s="629"/>
      <c r="H16887" s="629"/>
      <c r="I16887" s="629"/>
      <c r="J16887" s="629"/>
      <c r="K16887" s="629"/>
      <c r="L16887" s="629"/>
      <c r="M16887" s="629"/>
      <c r="N16887" s="629"/>
      <c r="O16887" s="629"/>
      <c r="P16887" s="629"/>
      <c r="Q16887" s="629"/>
      <c r="R16887" s="629"/>
    </row>
    <row r="16888" spans="1:18" ht="24">
      <c r="A16888" s="531">
        <v>53</v>
      </c>
      <c r="B16888" s="528" t="s">
        <v>30281</v>
      </c>
      <c r="C16888" s="532" t="s">
        <v>30282</v>
      </c>
      <c r="D16888" s="533">
        <v>1143.5999999999999</v>
      </c>
      <c r="E16888" s="533">
        <v>312.47000000000003</v>
      </c>
      <c r="F16888" s="533">
        <v>548.86</v>
      </c>
      <c r="G16888" s="533">
        <v>282.27</v>
      </c>
      <c r="H16888" s="534">
        <v>7400.38</v>
      </c>
      <c r="I16888" s="534">
        <v>3593.43</v>
      </c>
      <c r="J16888" s="534">
        <v>2587.54</v>
      </c>
      <c r="K16888" s="534">
        <v>1219.4100000000001</v>
      </c>
      <c r="L16888" s="43">
        <v>6.4711262679258486</v>
      </c>
      <c r="M16888" s="43">
        <v>11.500080007680737</v>
      </c>
      <c r="N16888" s="43">
        <v>4.714389826185184</v>
      </c>
      <c r="O16888" s="43">
        <v>4.3200127537464139</v>
      </c>
      <c r="P16888" s="535"/>
      <c r="Q16888" s="535"/>
      <c r="R16888" s="535">
        <v>2</v>
      </c>
    </row>
    <row r="16889" spans="1:18" ht="24">
      <c r="A16889" s="531">
        <v>54</v>
      </c>
      <c r="B16889" s="528" t="s">
        <v>30283</v>
      </c>
      <c r="C16889" s="532" t="s">
        <v>30284</v>
      </c>
      <c r="D16889" s="533">
        <v>1167.3800000000001</v>
      </c>
      <c r="E16889" s="533">
        <v>332.7</v>
      </c>
      <c r="F16889" s="533">
        <v>552.01</v>
      </c>
      <c r="G16889" s="533">
        <v>282.67</v>
      </c>
      <c r="H16889" s="534">
        <v>7654.97</v>
      </c>
      <c r="I16889" s="534">
        <v>3826.1</v>
      </c>
      <c r="J16889" s="534">
        <v>2604.86</v>
      </c>
      <c r="K16889" s="534">
        <v>1224.01</v>
      </c>
      <c r="L16889" s="43">
        <v>6.5573934794154427</v>
      </c>
      <c r="M16889" s="43">
        <v>11.500150285542531</v>
      </c>
      <c r="N16889" s="43">
        <v>4.7188637886994806</v>
      </c>
      <c r="O16889" s="43">
        <v>4.3301729932430035</v>
      </c>
      <c r="P16889" s="535"/>
      <c r="Q16889" s="535"/>
      <c r="R16889" s="535">
        <v>2</v>
      </c>
    </row>
    <row r="16890" spans="1:18" ht="24">
      <c r="A16890" s="531">
        <v>55</v>
      </c>
      <c r="B16890" s="528" t="s">
        <v>30285</v>
      </c>
      <c r="C16890" s="532" t="s">
        <v>30286</v>
      </c>
      <c r="D16890" s="533">
        <v>1275.5899999999999</v>
      </c>
      <c r="E16890" s="533">
        <v>387.78</v>
      </c>
      <c r="F16890" s="533">
        <v>604.03</v>
      </c>
      <c r="G16890" s="533">
        <v>283.77999999999997</v>
      </c>
      <c r="H16890" s="534">
        <v>8583.19</v>
      </c>
      <c r="I16890" s="534">
        <v>4459.47</v>
      </c>
      <c r="J16890" s="534">
        <v>2886.95</v>
      </c>
      <c r="K16890" s="534">
        <v>1236.77</v>
      </c>
      <c r="L16890" s="43">
        <v>6.7288000062716087</v>
      </c>
      <c r="M16890" s="43">
        <v>11.500000000000002</v>
      </c>
      <c r="N16890" s="43">
        <v>4.7794811515984303</v>
      </c>
      <c r="O16890" s="43">
        <v>4.3582000140954262</v>
      </c>
      <c r="P16890" s="535"/>
      <c r="Q16890" s="535"/>
      <c r="R16890" s="535">
        <v>2</v>
      </c>
    </row>
    <row r="16891" spans="1:18" ht="24">
      <c r="A16891" s="531">
        <v>56</v>
      </c>
      <c r="B16891" s="528" t="s">
        <v>30287</v>
      </c>
      <c r="C16891" s="532" t="s">
        <v>30288</v>
      </c>
      <c r="D16891" s="533">
        <v>2020.2</v>
      </c>
      <c r="E16891" s="533">
        <v>423.75</v>
      </c>
      <c r="F16891" s="533">
        <v>672.2</v>
      </c>
      <c r="G16891" s="533">
        <v>924.25</v>
      </c>
      <c r="H16891" s="534">
        <v>11750.51</v>
      </c>
      <c r="I16891" s="534">
        <v>4873.1000000000004</v>
      </c>
      <c r="J16891" s="534">
        <v>3262.29</v>
      </c>
      <c r="K16891" s="534">
        <v>3615.12</v>
      </c>
      <c r="L16891" s="43">
        <v>5.8165082665082668</v>
      </c>
      <c r="M16891" s="43">
        <v>11.499941002949853</v>
      </c>
      <c r="N16891" s="43">
        <v>4.8531538232668847</v>
      </c>
      <c r="O16891" s="43">
        <v>3.911409250743846</v>
      </c>
      <c r="P16891" s="535"/>
      <c r="Q16891" s="535"/>
      <c r="R16891" s="535">
        <v>2</v>
      </c>
    </row>
    <row r="16892" spans="1:18" ht="24">
      <c r="A16892" s="531">
        <v>57</v>
      </c>
      <c r="B16892" s="528" t="s">
        <v>30289</v>
      </c>
      <c r="C16892" s="532" t="s">
        <v>30290</v>
      </c>
      <c r="D16892" s="533">
        <v>2667.71</v>
      </c>
      <c r="E16892" s="533">
        <v>662.04</v>
      </c>
      <c r="F16892" s="533">
        <v>1047.6300000000001</v>
      </c>
      <c r="G16892" s="533">
        <v>958.04</v>
      </c>
      <c r="H16892" s="534">
        <v>16559.310000000001</v>
      </c>
      <c r="I16892" s="534">
        <v>7613.41</v>
      </c>
      <c r="J16892" s="534">
        <v>5104.83</v>
      </c>
      <c r="K16892" s="534">
        <v>3841.07</v>
      </c>
      <c r="L16892" s="43">
        <v>6.2073126389300191</v>
      </c>
      <c r="M16892" s="43">
        <v>11.499924475862485</v>
      </c>
      <c r="N16892" s="43">
        <v>4.8727413304315448</v>
      </c>
      <c r="O16892" s="43">
        <v>4.0093002379858884</v>
      </c>
      <c r="P16892" s="535"/>
      <c r="Q16892" s="535"/>
      <c r="R16892" s="535">
        <v>2</v>
      </c>
    </row>
    <row r="16893" spans="1:18" ht="24">
      <c r="A16893" s="531">
        <v>58</v>
      </c>
      <c r="B16893" s="528" t="s">
        <v>30291</v>
      </c>
      <c r="C16893" s="532" t="s">
        <v>30292</v>
      </c>
      <c r="D16893" s="533">
        <v>2890.01</v>
      </c>
      <c r="E16893" s="533">
        <v>756.45</v>
      </c>
      <c r="F16893" s="533">
        <v>1173.6300000000001</v>
      </c>
      <c r="G16893" s="533">
        <v>959.93</v>
      </c>
      <c r="H16893" s="534">
        <v>18400.400000000001</v>
      </c>
      <c r="I16893" s="534">
        <v>8699.2000000000007</v>
      </c>
      <c r="J16893" s="534">
        <v>5838.39</v>
      </c>
      <c r="K16893" s="534">
        <v>3862.81</v>
      </c>
      <c r="L16893" s="43">
        <v>6.3668983844346556</v>
      </c>
      <c r="M16893" s="43">
        <v>11.500033049110979</v>
      </c>
      <c r="N16893" s="43">
        <v>4.9746427749801896</v>
      </c>
      <c r="O16893" s="43">
        <v>4.0240538372589674</v>
      </c>
      <c r="P16893" s="535"/>
      <c r="Q16893" s="535"/>
      <c r="R16893" s="535">
        <v>2</v>
      </c>
    </row>
    <row r="16894" spans="1:18" ht="24">
      <c r="A16894" s="531">
        <v>59</v>
      </c>
      <c r="B16894" s="528" t="s">
        <v>30293</v>
      </c>
      <c r="C16894" s="532" t="s">
        <v>30294</v>
      </c>
      <c r="D16894" s="533">
        <v>5195.4399999999996</v>
      </c>
      <c r="E16894" s="533">
        <v>1416.24</v>
      </c>
      <c r="F16894" s="533">
        <v>2281.4899999999998</v>
      </c>
      <c r="G16894" s="533">
        <v>1497.71</v>
      </c>
      <c r="H16894" s="534">
        <v>33812.400000000001</v>
      </c>
      <c r="I16894" s="534">
        <v>16286.76</v>
      </c>
      <c r="J16894" s="534">
        <v>11419.59</v>
      </c>
      <c r="K16894" s="534">
        <v>6106.05</v>
      </c>
      <c r="L16894" s="43">
        <v>6.5080917111928933</v>
      </c>
      <c r="M16894" s="43">
        <v>11.5</v>
      </c>
      <c r="N16894" s="43">
        <v>5.0053210840284201</v>
      </c>
      <c r="O16894" s="43">
        <v>4.076924104132309</v>
      </c>
      <c r="P16894" s="535"/>
      <c r="Q16894" s="535"/>
      <c r="R16894" s="535">
        <v>2</v>
      </c>
    </row>
    <row r="16895" spans="1:18" ht="24">
      <c r="A16895" s="531">
        <v>60</v>
      </c>
      <c r="B16895" s="528" t="s">
        <v>30295</v>
      </c>
      <c r="C16895" s="532" t="s">
        <v>30296</v>
      </c>
      <c r="D16895" s="533">
        <v>6096.04</v>
      </c>
      <c r="E16895" s="533">
        <v>1865.84</v>
      </c>
      <c r="F16895" s="533">
        <v>2723.49</v>
      </c>
      <c r="G16895" s="533">
        <v>1506.71</v>
      </c>
      <c r="H16895" s="534">
        <v>41466.559999999998</v>
      </c>
      <c r="I16895" s="534">
        <v>21457.16</v>
      </c>
      <c r="J16895" s="534">
        <v>13799.85</v>
      </c>
      <c r="K16895" s="534">
        <v>6209.55</v>
      </c>
      <c r="L16895" s="43">
        <v>6.8022125839069298</v>
      </c>
      <c r="M16895" s="43">
        <v>11.5</v>
      </c>
      <c r="N16895" s="43">
        <v>5.0669728914003729</v>
      </c>
      <c r="O16895" s="43">
        <v>4.1212642114275475</v>
      </c>
      <c r="P16895" s="535"/>
      <c r="Q16895" s="535"/>
      <c r="R16895" s="535">
        <v>2</v>
      </c>
    </row>
    <row r="16896" spans="1:18" ht="24">
      <c r="A16896" s="531">
        <v>61</v>
      </c>
      <c r="B16896" s="528" t="s">
        <v>30297</v>
      </c>
      <c r="C16896" s="532" t="s">
        <v>30298</v>
      </c>
      <c r="D16896" s="533">
        <v>6919.92</v>
      </c>
      <c r="E16896" s="533">
        <v>2214.2800000000002</v>
      </c>
      <c r="F16896" s="533">
        <v>3188.04</v>
      </c>
      <c r="G16896" s="533">
        <v>1517.6</v>
      </c>
      <c r="H16896" s="534">
        <v>48313.27</v>
      </c>
      <c r="I16896" s="534">
        <v>25464.22</v>
      </c>
      <c r="J16896" s="534">
        <v>16538.439999999999</v>
      </c>
      <c r="K16896" s="534">
        <v>6310.61</v>
      </c>
      <c r="L16896" s="43">
        <v>6.9817671302558404</v>
      </c>
      <c r="M16896" s="43">
        <v>11.5</v>
      </c>
      <c r="N16896" s="43">
        <v>5.1876513469090719</v>
      </c>
      <c r="O16896" s="43">
        <v>4.1582828149710069</v>
      </c>
      <c r="P16896" s="535"/>
      <c r="Q16896" s="535"/>
      <c r="R16896" s="535">
        <v>2</v>
      </c>
    </row>
    <row r="16897" spans="1:18" ht="24">
      <c r="A16897" s="531">
        <v>62</v>
      </c>
      <c r="B16897" s="528" t="s">
        <v>30299</v>
      </c>
      <c r="C16897" s="532" t="s">
        <v>30300</v>
      </c>
      <c r="D16897" s="533">
        <v>7457.72</v>
      </c>
      <c r="E16897" s="533">
        <v>2585.1999999999998</v>
      </c>
      <c r="F16897" s="533">
        <v>3324.7</v>
      </c>
      <c r="G16897" s="533">
        <v>1547.82</v>
      </c>
      <c r="H16897" s="534">
        <v>53679.06</v>
      </c>
      <c r="I16897" s="534">
        <v>29729.8</v>
      </c>
      <c r="J16897" s="534">
        <v>17387.02</v>
      </c>
      <c r="K16897" s="534">
        <v>6562.24</v>
      </c>
      <c r="L16897" s="43">
        <v>7.1977843094136</v>
      </c>
      <c r="M16897" s="43">
        <v>11.5</v>
      </c>
      <c r="N16897" s="43">
        <v>5.2296507955605023</v>
      </c>
      <c r="O16897" s="43">
        <v>4.2396661110465041</v>
      </c>
      <c r="P16897" s="535"/>
      <c r="Q16897" s="535"/>
      <c r="R16897" s="535">
        <v>2</v>
      </c>
    </row>
    <row r="16898" spans="1:18" ht="24">
      <c r="A16898" s="531">
        <v>63</v>
      </c>
      <c r="B16898" s="528" t="s">
        <v>30301</v>
      </c>
      <c r="C16898" s="532" t="s">
        <v>30302</v>
      </c>
      <c r="D16898" s="533">
        <v>10389.049999999999</v>
      </c>
      <c r="E16898" s="533">
        <v>3079.32</v>
      </c>
      <c r="F16898" s="533">
        <v>5752.02</v>
      </c>
      <c r="G16898" s="533">
        <v>1557.71</v>
      </c>
      <c r="H16898" s="534">
        <v>70927.240000000005</v>
      </c>
      <c r="I16898" s="534">
        <v>35413.519999999997</v>
      </c>
      <c r="J16898" s="534">
        <v>28837.74</v>
      </c>
      <c r="K16898" s="534">
        <v>6675.98</v>
      </c>
      <c r="L16898" s="43">
        <v>6.8271150875200339</v>
      </c>
      <c r="M16898" s="43">
        <v>11.500435161009571</v>
      </c>
      <c r="N16898" s="43">
        <v>5.0134978668363459</v>
      </c>
      <c r="O16898" s="43">
        <v>4.2857656431556572</v>
      </c>
      <c r="P16898" s="535"/>
      <c r="Q16898" s="535"/>
      <c r="R16898" s="535">
        <v>2</v>
      </c>
    </row>
    <row r="16899" spans="1:18" ht="24">
      <c r="A16899" s="531">
        <v>64</v>
      </c>
      <c r="B16899" s="528" t="s">
        <v>30303</v>
      </c>
      <c r="C16899" s="532" t="s">
        <v>30304</v>
      </c>
      <c r="D16899" s="533">
        <v>11677.09</v>
      </c>
      <c r="E16899" s="533">
        <v>3561.9</v>
      </c>
      <c r="F16899" s="533">
        <v>6409.42</v>
      </c>
      <c r="G16899" s="533">
        <v>1705.77</v>
      </c>
      <c r="H16899" s="534">
        <v>80639.47</v>
      </c>
      <c r="I16899" s="534">
        <v>40963.4</v>
      </c>
      <c r="J16899" s="534">
        <v>32359.35</v>
      </c>
      <c r="K16899" s="534">
        <v>7316.72</v>
      </c>
      <c r="L16899" s="43">
        <v>6.9057847460283339</v>
      </c>
      <c r="M16899" s="43">
        <v>11.500435161009573</v>
      </c>
      <c r="N16899" s="43">
        <v>5.0487173566406938</v>
      </c>
      <c r="O16899" s="43">
        <v>4.2893942325166936</v>
      </c>
      <c r="P16899" s="535"/>
      <c r="Q16899" s="535"/>
      <c r="R16899" s="535">
        <v>2</v>
      </c>
    </row>
    <row r="16900" spans="1:18" ht="24">
      <c r="A16900" s="531">
        <v>65</v>
      </c>
      <c r="B16900" s="528" t="s">
        <v>30305</v>
      </c>
      <c r="C16900" s="532" t="s">
        <v>30306</v>
      </c>
      <c r="D16900" s="533">
        <v>20561.32</v>
      </c>
      <c r="E16900" s="533">
        <v>5503.71</v>
      </c>
      <c r="F16900" s="533">
        <v>11807.51</v>
      </c>
      <c r="G16900" s="533">
        <v>3250.1</v>
      </c>
      <c r="H16900" s="534">
        <v>137294.32999999999</v>
      </c>
      <c r="I16900" s="534">
        <v>63295.06</v>
      </c>
      <c r="J16900" s="534">
        <v>60210.35</v>
      </c>
      <c r="K16900" s="534">
        <v>13788.92</v>
      </c>
      <c r="L16900" s="43">
        <v>6.6773110870313772</v>
      </c>
      <c r="M16900" s="43">
        <v>11.500435161009573</v>
      </c>
      <c r="N16900" s="43">
        <v>5.099326615010277</v>
      </c>
      <c r="O16900" s="43">
        <v>4.2426140734131259</v>
      </c>
      <c r="P16900" s="535"/>
      <c r="Q16900" s="535"/>
      <c r="R16900" s="535">
        <v>2</v>
      </c>
    </row>
    <row r="16901" spans="1:18" ht="24">
      <c r="A16901" s="531">
        <v>66</v>
      </c>
      <c r="B16901" s="528" t="s">
        <v>30307</v>
      </c>
      <c r="C16901" s="532" t="s">
        <v>30308</v>
      </c>
      <c r="D16901" s="533">
        <v>27458.28</v>
      </c>
      <c r="E16901" s="533">
        <v>6560.79</v>
      </c>
      <c r="F16901" s="533">
        <v>17445.400000000001</v>
      </c>
      <c r="G16901" s="533">
        <v>3452.09</v>
      </c>
      <c r="H16901" s="534">
        <v>175557.95</v>
      </c>
      <c r="I16901" s="534">
        <v>75451.94</v>
      </c>
      <c r="J16901" s="534">
        <v>85300.45</v>
      </c>
      <c r="K16901" s="534">
        <v>14805.56</v>
      </c>
      <c r="L16901" s="43">
        <v>6.3936251651596541</v>
      </c>
      <c r="M16901" s="43">
        <v>11.500435161009573</v>
      </c>
      <c r="N16901" s="43">
        <v>4.8895668772283809</v>
      </c>
      <c r="O16901" s="43">
        <v>4.2888684825714272</v>
      </c>
      <c r="P16901" s="535"/>
      <c r="Q16901" s="535"/>
      <c r="R16901" s="535">
        <v>2</v>
      </c>
    </row>
    <row r="16902" spans="1:18" ht="24">
      <c r="A16902" s="531">
        <v>67</v>
      </c>
      <c r="B16902" s="528" t="s">
        <v>30309</v>
      </c>
      <c r="C16902" s="532" t="s">
        <v>30310</v>
      </c>
      <c r="D16902" s="533">
        <v>34663.19</v>
      </c>
      <c r="E16902" s="533">
        <v>8100.45</v>
      </c>
      <c r="F16902" s="533">
        <v>22504.07</v>
      </c>
      <c r="G16902" s="533">
        <v>4058.67</v>
      </c>
      <c r="H16902" s="534">
        <v>219585.84</v>
      </c>
      <c r="I16902" s="534">
        <v>93158.7</v>
      </c>
      <c r="J16902" s="534">
        <v>109134.32</v>
      </c>
      <c r="K16902" s="534">
        <v>17292.82</v>
      </c>
      <c r="L16902" s="43">
        <v>6.3348422346587254</v>
      </c>
      <c r="M16902" s="43">
        <v>11.500435161009573</v>
      </c>
      <c r="N16902" s="43">
        <v>4.8495369948635965</v>
      </c>
      <c r="O16902" s="43">
        <v>4.2607110210980439</v>
      </c>
      <c r="P16902" s="535"/>
      <c r="Q16902" s="535"/>
      <c r="R16902" s="535">
        <v>2</v>
      </c>
    </row>
    <row r="16903" spans="1:18" ht="24">
      <c r="A16903" s="531">
        <v>68</v>
      </c>
      <c r="B16903" s="528" t="s">
        <v>30311</v>
      </c>
      <c r="C16903" s="532" t="s">
        <v>30312</v>
      </c>
      <c r="D16903" s="533">
        <v>48721.18</v>
      </c>
      <c r="E16903" s="533">
        <v>9432.6</v>
      </c>
      <c r="F16903" s="533">
        <v>34869.730000000003</v>
      </c>
      <c r="G16903" s="533">
        <v>4418.8500000000004</v>
      </c>
      <c r="H16903" s="534">
        <v>302030.12</v>
      </c>
      <c r="I16903" s="534">
        <v>108478.88</v>
      </c>
      <c r="J16903" s="534">
        <v>174676.66</v>
      </c>
      <c r="K16903" s="534">
        <v>18874.580000000002</v>
      </c>
      <c r="L16903" s="43">
        <v>6.1991544539766892</v>
      </c>
      <c r="M16903" s="43">
        <v>11.50042194092827</v>
      </c>
      <c r="N16903" s="43">
        <v>5.0094067261203339</v>
      </c>
      <c r="O16903" s="43">
        <v>4.2713782997838807</v>
      </c>
      <c r="P16903" s="535"/>
      <c r="Q16903" s="535"/>
      <c r="R16903" s="535">
        <v>2</v>
      </c>
    </row>
    <row r="16904" spans="1:18" ht="12.75" customHeight="1">
      <c r="A16904" s="628" t="s">
        <v>30313</v>
      </c>
      <c r="B16904" s="629"/>
      <c r="C16904" s="629"/>
      <c r="D16904" s="629"/>
      <c r="E16904" s="629"/>
      <c r="F16904" s="629"/>
      <c r="G16904" s="629"/>
      <c r="H16904" s="629"/>
      <c r="I16904" s="629"/>
      <c r="J16904" s="629"/>
      <c r="K16904" s="629"/>
      <c r="L16904" s="629"/>
      <c r="M16904" s="629"/>
      <c r="N16904" s="629"/>
      <c r="O16904" s="629"/>
      <c r="P16904" s="629"/>
      <c r="Q16904" s="629"/>
      <c r="R16904" s="629"/>
    </row>
    <row r="16905" spans="1:18" ht="12.75" customHeight="1">
      <c r="A16905" s="628" t="s">
        <v>30314</v>
      </c>
      <c r="B16905" s="629"/>
      <c r="C16905" s="629"/>
      <c r="D16905" s="629"/>
      <c r="E16905" s="629"/>
      <c r="F16905" s="629"/>
      <c r="G16905" s="629"/>
      <c r="H16905" s="629"/>
      <c r="I16905" s="629"/>
      <c r="J16905" s="629"/>
      <c r="K16905" s="629"/>
      <c r="L16905" s="629"/>
      <c r="M16905" s="629"/>
      <c r="N16905" s="629"/>
      <c r="O16905" s="629"/>
      <c r="P16905" s="629"/>
      <c r="Q16905" s="629"/>
      <c r="R16905" s="629"/>
    </row>
    <row r="16906" spans="1:18" ht="24">
      <c r="A16906" s="531">
        <v>69</v>
      </c>
      <c r="B16906" s="528" t="s">
        <v>30315</v>
      </c>
      <c r="C16906" s="532" t="s">
        <v>30316</v>
      </c>
      <c r="D16906" s="533">
        <v>681.79</v>
      </c>
      <c r="E16906" s="533">
        <v>54.34</v>
      </c>
      <c r="F16906" s="533">
        <v>529.91999999999996</v>
      </c>
      <c r="G16906" s="533">
        <v>97.53</v>
      </c>
      <c r="H16906" s="534">
        <v>3984.33</v>
      </c>
      <c r="I16906" s="534">
        <v>624.94000000000005</v>
      </c>
      <c r="J16906" s="534">
        <v>2937.48</v>
      </c>
      <c r="K16906" s="534">
        <v>421.91</v>
      </c>
      <c r="L16906" s="43">
        <v>5.8439255489226891</v>
      </c>
      <c r="M16906" s="43">
        <v>11.500552079499448</v>
      </c>
      <c r="N16906" s="43">
        <v>5.5432518115942031</v>
      </c>
      <c r="O16906" s="43">
        <v>4.3259509894391472</v>
      </c>
      <c r="P16906" s="535"/>
      <c r="Q16906" s="535"/>
      <c r="R16906" s="535">
        <v>1</v>
      </c>
    </row>
    <row r="16907" spans="1:18" ht="24">
      <c r="A16907" s="531">
        <v>70</v>
      </c>
      <c r="B16907" s="528" t="s">
        <v>30317</v>
      </c>
      <c r="C16907" s="532" t="s">
        <v>30318</v>
      </c>
      <c r="D16907" s="533">
        <v>1010.93</v>
      </c>
      <c r="E16907" s="533">
        <v>97.19</v>
      </c>
      <c r="F16907" s="533">
        <v>654.61</v>
      </c>
      <c r="G16907" s="533">
        <v>259.13</v>
      </c>
      <c r="H16907" s="534">
        <v>5846.75</v>
      </c>
      <c r="I16907" s="534">
        <v>1117.67</v>
      </c>
      <c r="J16907" s="534">
        <v>3628.65</v>
      </c>
      <c r="K16907" s="534">
        <v>1100.43</v>
      </c>
      <c r="L16907" s="43">
        <v>5.7835359520441578</v>
      </c>
      <c r="M16907" s="43">
        <v>11.499845663134069</v>
      </c>
      <c r="N16907" s="43">
        <v>5.5432242098348636</v>
      </c>
      <c r="O16907" s="43">
        <v>4.2466329641492688</v>
      </c>
      <c r="P16907" s="535"/>
      <c r="Q16907" s="535"/>
      <c r="R16907" s="535">
        <v>1</v>
      </c>
    </row>
    <row r="16908" spans="1:18" ht="24">
      <c r="A16908" s="531">
        <v>71</v>
      </c>
      <c r="B16908" s="528" t="s">
        <v>30319</v>
      </c>
      <c r="C16908" s="532" t="s">
        <v>30320</v>
      </c>
      <c r="D16908" s="533">
        <v>1913.43</v>
      </c>
      <c r="E16908" s="533">
        <v>146.30000000000001</v>
      </c>
      <c r="F16908" s="533">
        <v>1340.4</v>
      </c>
      <c r="G16908" s="533">
        <v>426.73</v>
      </c>
      <c r="H16908" s="534">
        <v>10875.73</v>
      </c>
      <c r="I16908" s="534">
        <v>1682.52</v>
      </c>
      <c r="J16908" s="534">
        <v>7430.1</v>
      </c>
      <c r="K16908" s="534">
        <v>1763.11</v>
      </c>
      <c r="L16908" s="43">
        <v>5.6838922772194431</v>
      </c>
      <c r="M16908" s="43">
        <v>11.500478468899521</v>
      </c>
      <c r="N16908" s="43">
        <v>5.5431960608773503</v>
      </c>
      <c r="O16908" s="43">
        <v>4.1316757668783533</v>
      </c>
      <c r="P16908" s="535"/>
      <c r="Q16908" s="535"/>
      <c r="R16908" s="535">
        <v>1</v>
      </c>
    </row>
    <row r="16909" spans="1:18" ht="24">
      <c r="A16909" s="531">
        <v>72</v>
      </c>
      <c r="B16909" s="528" t="s">
        <v>30321</v>
      </c>
      <c r="C16909" s="532" t="s">
        <v>30322</v>
      </c>
      <c r="D16909" s="533">
        <v>3293</v>
      </c>
      <c r="E16909" s="533">
        <v>237.22</v>
      </c>
      <c r="F16909" s="533">
        <v>2182.04</v>
      </c>
      <c r="G16909" s="533">
        <v>873.74</v>
      </c>
      <c r="H16909" s="534">
        <v>18186.47</v>
      </c>
      <c r="I16909" s="534">
        <v>2728.09</v>
      </c>
      <c r="J16909" s="534">
        <v>12095.51</v>
      </c>
      <c r="K16909" s="534">
        <v>3362.87</v>
      </c>
      <c r="L16909" s="43">
        <v>5.522766474339508</v>
      </c>
      <c r="M16909" s="43">
        <v>11.500252929769834</v>
      </c>
      <c r="N16909" s="43">
        <v>5.5432118567945592</v>
      </c>
      <c r="O16909" s="43">
        <v>3.8488223041179297</v>
      </c>
      <c r="P16909" s="535"/>
      <c r="Q16909" s="535"/>
      <c r="R16909" s="535">
        <v>1</v>
      </c>
    </row>
    <row r="16910" spans="1:18" ht="24">
      <c r="A16910" s="531">
        <v>73</v>
      </c>
      <c r="B16910" s="528" t="s">
        <v>30323</v>
      </c>
      <c r="C16910" s="532" t="s">
        <v>30324</v>
      </c>
      <c r="D16910" s="533">
        <v>4481.07</v>
      </c>
      <c r="E16910" s="533">
        <v>322.91000000000003</v>
      </c>
      <c r="F16910" s="533">
        <v>2930.17</v>
      </c>
      <c r="G16910" s="533">
        <v>1227.99</v>
      </c>
      <c r="H16910" s="534">
        <v>24774.19</v>
      </c>
      <c r="I16910" s="534">
        <v>3713.56</v>
      </c>
      <c r="J16910" s="534">
        <v>16242.54</v>
      </c>
      <c r="K16910" s="534">
        <v>4818.09</v>
      </c>
      <c r="L16910" s="43">
        <v>5.5286326703220441</v>
      </c>
      <c r="M16910" s="43">
        <v>11.500294199622184</v>
      </c>
      <c r="N16910" s="43">
        <v>5.5432073906974679</v>
      </c>
      <c r="O16910" s="43">
        <v>3.9235580094300442</v>
      </c>
      <c r="P16910" s="535"/>
      <c r="Q16910" s="535"/>
      <c r="R16910" s="535">
        <v>1</v>
      </c>
    </row>
    <row r="16911" spans="1:18" ht="24">
      <c r="A16911" s="531">
        <v>74</v>
      </c>
      <c r="B16911" s="528" t="s">
        <v>30325</v>
      </c>
      <c r="C16911" s="532" t="s">
        <v>30326</v>
      </c>
      <c r="D16911" s="533">
        <v>5534.29</v>
      </c>
      <c r="E16911" s="533">
        <v>408.6</v>
      </c>
      <c r="F16911" s="533">
        <v>3086.03</v>
      </c>
      <c r="G16911" s="533">
        <v>2039.66</v>
      </c>
      <c r="H16911" s="534">
        <v>29574.1</v>
      </c>
      <c r="I16911" s="534">
        <v>4699.04</v>
      </c>
      <c r="J16911" s="534">
        <v>17106.509999999998</v>
      </c>
      <c r="K16911" s="534">
        <v>7768.55</v>
      </c>
      <c r="L16911" s="43">
        <v>5.3437929707333733</v>
      </c>
      <c r="M16911" s="43">
        <v>11.50034263338228</v>
      </c>
      <c r="N16911" s="43">
        <v>5.5432092364623795</v>
      </c>
      <c r="O16911" s="43">
        <v>3.8087475363540984</v>
      </c>
      <c r="P16911" s="535"/>
      <c r="Q16911" s="535"/>
      <c r="R16911" s="535">
        <v>1</v>
      </c>
    </row>
    <row r="16912" spans="1:18" ht="24">
      <c r="A16912" s="531">
        <v>75</v>
      </c>
      <c r="B16912" s="528" t="s">
        <v>30327</v>
      </c>
      <c r="C16912" s="532" t="s">
        <v>30328</v>
      </c>
      <c r="D16912" s="533">
        <v>8355.91</v>
      </c>
      <c r="E16912" s="533">
        <v>548.63</v>
      </c>
      <c r="F16912" s="533">
        <v>4519.9399999999996</v>
      </c>
      <c r="G16912" s="533">
        <v>3287.34</v>
      </c>
      <c r="H16912" s="534">
        <v>43588.76</v>
      </c>
      <c r="I16912" s="534">
        <v>6309.45</v>
      </c>
      <c r="J16912" s="534">
        <v>25054.99</v>
      </c>
      <c r="K16912" s="534">
        <v>12224.32</v>
      </c>
      <c r="L16912" s="43">
        <v>5.2165186077877816</v>
      </c>
      <c r="M16912" s="43">
        <v>11.500373658020887</v>
      </c>
      <c r="N16912" s="43">
        <v>5.5432129630039348</v>
      </c>
      <c r="O16912" s="43">
        <v>3.718605316152269</v>
      </c>
      <c r="P16912" s="535"/>
      <c r="Q16912" s="535"/>
      <c r="R16912" s="535">
        <v>1</v>
      </c>
    </row>
    <row r="16913" spans="1:18" ht="24">
      <c r="A16913" s="531">
        <v>76</v>
      </c>
      <c r="B16913" s="528" t="s">
        <v>30329</v>
      </c>
      <c r="C16913" s="532" t="s">
        <v>30330</v>
      </c>
      <c r="D16913" s="533">
        <v>10810.19</v>
      </c>
      <c r="E16913" s="533">
        <v>592.52</v>
      </c>
      <c r="F16913" s="533">
        <v>5236.8999999999996</v>
      </c>
      <c r="G16913" s="533">
        <v>4980.7700000000004</v>
      </c>
      <c r="H16913" s="534">
        <v>54270.19</v>
      </c>
      <c r="I16913" s="534">
        <v>6814.21</v>
      </c>
      <c r="J16913" s="534">
        <v>29029.22</v>
      </c>
      <c r="K16913" s="534">
        <v>18426.759999999998</v>
      </c>
      <c r="L16913" s="43">
        <v>5.020280864628651</v>
      </c>
      <c r="M16913" s="43">
        <v>11.500388172551139</v>
      </c>
      <c r="N16913" s="43">
        <v>5.5432068590196497</v>
      </c>
      <c r="O16913" s="43">
        <v>3.6995805869373606</v>
      </c>
      <c r="P16913" s="535"/>
      <c r="Q16913" s="535"/>
      <c r="R16913" s="535">
        <v>1</v>
      </c>
    </row>
    <row r="16914" spans="1:18" ht="36">
      <c r="A16914" s="531">
        <v>77</v>
      </c>
      <c r="B16914" s="528" t="s">
        <v>30331</v>
      </c>
      <c r="C16914" s="532" t="s">
        <v>30332</v>
      </c>
      <c r="D16914" s="533">
        <v>182.92</v>
      </c>
      <c r="E16914" s="533">
        <v>21.95</v>
      </c>
      <c r="F16914" s="533">
        <v>121.57</v>
      </c>
      <c r="G16914" s="533">
        <v>39.4</v>
      </c>
      <c r="H16914" s="534">
        <v>1095</v>
      </c>
      <c r="I16914" s="534">
        <v>252.38</v>
      </c>
      <c r="J16914" s="534">
        <v>673.89</v>
      </c>
      <c r="K16914" s="534">
        <v>168.73</v>
      </c>
      <c r="L16914" s="43">
        <v>5.9862234856767991</v>
      </c>
      <c r="M16914" s="43">
        <v>11.497949886104784</v>
      </c>
      <c r="N16914" s="43">
        <v>5.5432261248663321</v>
      </c>
      <c r="O16914" s="43">
        <v>4.2824873096446696</v>
      </c>
      <c r="P16914" s="535"/>
      <c r="Q16914" s="535"/>
      <c r="R16914" s="535">
        <v>1</v>
      </c>
    </row>
    <row r="16915" spans="1:18" ht="36">
      <c r="A16915" s="531">
        <v>78</v>
      </c>
      <c r="B16915" s="528" t="s">
        <v>30333</v>
      </c>
      <c r="C16915" s="532" t="s">
        <v>30334</v>
      </c>
      <c r="D16915" s="533">
        <v>264.48</v>
      </c>
      <c r="E16915" s="533">
        <v>32.4</v>
      </c>
      <c r="F16915" s="533">
        <v>177.68</v>
      </c>
      <c r="G16915" s="533">
        <v>54.4</v>
      </c>
      <c r="H16915" s="534">
        <v>1589.88</v>
      </c>
      <c r="I16915" s="534">
        <v>372.56</v>
      </c>
      <c r="J16915" s="534">
        <v>984.92</v>
      </c>
      <c r="K16915" s="534">
        <v>232.4</v>
      </c>
      <c r="L16915" s="43">
        <v>6.0113430127041738</v>
      </c>
      <c r="M16915" s="43">
        <v>11.498765432098766</v>
      </c>
      <c r="N16915" s="43">
        <v>5.5432237730751908</v>
      </c>
      <c r="O16915" s="43">
        <v>4.2720588235294121</v>
      </c>
      <c r="P16915" s="535"/>
      <c r="Q16915" s="535"/>
      <c r="R16915" s="535">
        <v>1</v>
      </c>
    </row>
    <row r="16916" spans="1:18" ht="36">
      <c r="A16916" s="531">
        <v>79</v>
      </c>
      <c r="B16916" s="528" t="s">
        <v>30335</v>
      </c>
      <c r="C16916" s="532" t="s">
        <v>30336</v>
      </c>
      <c r="D16916" s="533">
        <v>369.06</v>
      </c>
      <c r="E16916" s="533">
        <v>32.4</v>
      </c>
      <c r="F16916" s="533">
        <v>268.08</v>
      </c>
      <c r="G16916" s="533">
        <v>68.58</v>
      </c>
      <c r="H16916" s="534">
        <v>2148.54</v>
      </c>
      <c r="I16916" s="534">
        <v>372.56</v>
      </c>
      <c r="J16916" s="534">
        <v>1486.02</v>
      </c>
      <c r="K16916" s="534">
        <v>289.95999999999998</v>
      </c>
      <c r="L16916" s="43">
        <v>5.8216550154446427</v>
      </c>
      <c r="M16916" s="43">
        <v>11.498765432098766</v>
      </c>
      <c r="N16916" s="43">
        <v>5.5431960608773503</v>
      </c>
      <c r="O16916" s="43">
        <v>4.2280548264800233</v>
      </c>
      <c r="P16916" s="535"/>
      <c r="Q16916" s="535"/>
      <c r="R16916" s="535">
        <v>1</v>
      </c>
    </row>
    <row r="16917" spans="1:18" ht="36">
      <c r="A16917" s="531">
        <v>80</v>
      </c>
      <c r="B16917" s="528" t="s">
        <v>30337</v>
      </c>
      <c r="C16917" s="532" t="s">
        <v>30338</v>
      </c>
      <c r="D16917" s="533">
        <v>604.20000000000005</v>
      </c>
      <c r="E16917" s="533">
        <v>42.85</v>
      </c>
      <c r="F16917" s="533">
        <v>436.41</v>
      </c>
      <c r="G16917" s="533">
        <v>124.94</v>
      </c>
      <c r="H16917" s="534">
        <v>3430.77</v>
      </c>
      <c r="I16917" s="534">
        <v>492.74</v>
      </c>
      <c r="J16917" s="534">
        <v>2419.1</v>
      </c>
      <c r="K16917" s="534">
        <v>518.92999999999995</v>
      </c>
      <c r="L16917" s="43">
        <v>5.6782025819265138</v>
      </c>
      <c r="M16917" s="43">
        <v>11.499183197199534</v>
      </c>
      <c r="N16917" s="43">
        <v>5.5431818702596178</v>
      </c>
      <c r="O16917" s="43">
        <v>4.153433648151112</v>
      </c>
      <c r="P16917" s="535"/>
      <c r="Q16917" s="535"/>
      <c r="R16917" s="535">
        <v>1</v>
      </c>
    </row>
    <row r="16918" spans="1:18" ht="36">
      <c r="A16918" s="531">
        <v>81</v>
      </c>
      <c r="B16918" s="528" t="s">
        <v>30339</v>
      </c>
      <c r="C16918" s="532" t="s">
        <v>30340</v>
      </c>
      <c r="D16918" s="533">
        <v>695.85</v>
      </c>
      <c r="E16918" s="533">
        <v>54.34</v>
      </c>
      <c r="F16918" s="533">
        <v>467.58</v>
      </c>
      <c r="G16918" s="533">
        <v>173.93</v>
      </c>
      <c r="H16918" s="534">
        <v>3934.6</v>
      </c>
      <c r="I16918" s="534">
        <v>624.94000000000005</v>
      </c>
      <c r="J16918" s="534">
        <v>2591.9</v>
      </c>
      <c r="K16918" s="534">
        <v>717.76</v>
      </c>
      <c r="L16918" s="43">
        <v>5.6543795358195013</v>
      </c>
      <c r="M16918" s="43">
        <v>11.500552079499448</v>
      </c>
      <c r="N16918" s="43">
        <v>5.543222550151846</v>
      </c>
      <c r="O16918" s="43">
        <v>4.1267176450296095</v>
      </c>
      <c r="P16918" s="535"/>
      <c r="Q16918" s="535"/>
      <c r="R16918" s="535">
        <v>1</v>
      </c>
    </row>
    <row r="16919" spans="1:18" ht="36">
      <c r="A16919" s="531">
        <v>82</v>
      </c>
      <c r="B16919" s="528" t="s">
        <v>30341</v>
      </c>
      <c r="C16919" s="532" t="s">
        <v>30342</v>
      </c>
      <c r="D16919" s="533">
        <v>827.57</v>
      </c>
      <c r="E16919" s="533">
        <v>54.34</v>
      </c>
      <c r="F16919" s="533">
        <v>529.91999999999996</v>
      </c>
      <c r="G16919" s="533">
        <v>243.31</v>
      </c>
      <c r="H16919" s="534">
        <v>4562.79</v>
      </c>
      <c r="I16919" s="534">
        <v>624.94000000000005</v>
      </c>
      <c r="J16919" s="534">
        <v>2937.48</v>
      </c>
      <c r="K16919" s="534">
        <v>1000.37</v>
      </c>
      <c r="L16919" s="43">
        <v>5.5134792223014362</v>
      </c>
      <c r="M16919" s="43">
        <v>11.500552079499448</v>
      </c>
      <c r="N16919" s="43">
        <v>5.5432518115942031</v>
      </c>
      <c r="O16919" s="43">
        <v>4.1115038428342441</v>
      </c>
      <c r="P16919" s="535"/>
      <c r="Q16919" s="535"/>
      <c r="R16919" s="535">
        <v>1</v>
      </c>
    </row>
    <row r="16920" spans="1:18" ht="36">
      <c r="A16920" s="531">
        <v>83</v>
      </c>
      <c r="B16920" s="528" t="s">
        <v>30343</v>
      </c>
      <c r="C16920" s="532" t="s">
        <v>30344</v>
      </c>
      <c r="D16920" s="533">
        <v>978.18</v>
      </c>
      <c r="E16920" s="533">
        <v>64.790000000000006</v>
      </c>
      <c r="F16920" s="533">
        <v>592.27</v>
      </c>
      <c r="G16920" s="533">
        <v>321.12</v>
      </c>
      <c r="H16920" s="534">
        <v>5347.58</v>
      </c>
      <c r="I16920" s="534">
        <v>745.12</v>
      </c>
      <c r="J16920" s="534">
        <v>3283.07</v>
      </c>
      <c r="K16920" s="534">
        <v>1319.39</v>
      </c>
      <c r="L16920" s="43">
        <v>5.4668670387863179</v>
      </c>
      <c r="M16920" s="43">
        <v>11.500540206822039</v>
      </c>
      <c r="N16920" s="43">
        <v>5.5431982035220431</v>
      </c>
      <c r="O16920" s="43">
        <v>4.1087132536123567</v>
      </c>
      <c r="P16920" s="535"/>
      <c r="Q16920" s="535"/>
      <c r="R16920" s="535">
        <v>1</v>
      </c>
    </row>
    <row r="16921" spans="1:18" ht="36">
      <c r="A16921" s="531">
        <v>84</v>
      </c>
      <c r="B16921" s="528" t="s">
        <v>30345</v>
      </c>
      <c r="C16921" s="532" t="s">
        <v>30346</v>
      </c>
      <c r="D16921" s="533">
        <v>1153.24</v>
      </c>
      <c r="E16921" s="533">
        <v>75.239999999999995</v>
      </c>
      <c r="F16921" s="533">
        <v>685.78</v>
      </c>
      <c r="G16921" s="533">
        <v>392.22</v>
      </c>
      <c r="H16921" s="534">
        <v>6276.24</v>
      </c>
      <c r="I16921" s="534">
        <v>865.3</v>
      </c>
      <c r="J16921" s="534">
        <v>3801.45</v>
      </c>
      <c r="K16921" s="534">
        <v>1609.49</v>
      </c>
      <c r="L16921" s="43">
        <v>5.4422670042662409</v>
      </c>
      <c r="M16921" s="43">
        <v>11.500531632110579</v>
      </c>
      <c r="N16921" s="43">
        <v>5.5432500218729039</v>
      </c>
      <c r="O16921" s="43">
        <v>4.10353883024833</v>
      </c>
      <c r="P16921" s="535"/>
      <c r="Q16921" s="535"/>
      <c r="R16921" s="535">
        <v>1</v>
      </c>
    </row>
    <row r="16922" spans="1:18" ht="36">
      <c r="A16922" s="531">
        <v>85</v>
      </c>
      <c r="B16922" s="528" t="s">
        <v>30347</v>
      </c>
      <c r="C16922" s="532" t="s">
        <v>30348</v>
      </c>
      <c r="D16922" s="533">
        <v>1780.26</v>
      </c>
      <c r="E16922" s="533">
        <v>97.19</v>
      </c>
      <c r="F16922" s="533">
        <v>966.33</v>
      </c>
      <c r="G16922" s="533">
        <v>716.74</v>
      </c>
      <c r="H16922" s="534">
        <v>9404.2000000000007</v>
      </c>
      <c r="I16922" s="534">
        <v>1117.67</v>
      </c>
      <c r="J16922" s="534">
        <v>5356.58</v>
      </c>
      <c r="K16922" s="534">
        <v>2929.95</v>
      </c>
      <c r="L16922" s="43">
        <v>5.2824868277667312</v>
      </c>
      <c r="M16922" s="43">
        <v>11.499845663134069</v>
      </c>
      <c r="N16922" s="43">
        <v>5.5432202249749052</v>
      </c>
      <c r="O16922" s="43">
        <v>4.0878840304713</v>
      </c>
      <c r="P16922" s="535"/>
      <c r="Q16922" s="535"/>
      <c r="R16922" s="535">
        <v>1</v>
      </c>
    </row>
    <row r="16923" spans="1:18" ht="36">
      <c r="A16923" s="531">
        <v>86</v>
      </c>
      <c r="B16923" s="528" t="s">
        <v>30349</v>
      </c>
      <c r="C16923" s="532" t="s">
        <v>30350</v>
      </c>
      <c r="D16923" s="533">
        <v>363.68</v>
      </c>
      <c r="E16923" s="533">
        <v>42.85</v>
      </c>
      <c r="F16923" s="533">
        <v>268.08</v>
      </c>
      <c r="G16923" s="533">
        <v>52.75</v>
      </c>
      <c r="H16923" s="534">
        <v>2204.64</v>
      </c>
      <c r="I16923" s="534">
        <v>492.74</v>
      </c>
      <c r="J16923" s="534">
        <v>1486.02</v>
      </c>
      <c r="K16923" s="534">
        <v>225.88</v>
      </c>
      <c r="L16923" s="43">
        <v>6.0620325560932686</v>
      </c>
      <c r="M16923" s="43">
        <v>11.499183197199534</v>
      </c>
      <c r="N16923" s="43">
        <v>5.5431960608773503</v>
      </c>
      <c r="O16923" s="43">
        <v>4.2820853080568719</v>
      </c>
      <c r="P16923" s="535"/>
      <c r="Q16923" s="535"/>
      <c r="R16923" s="535">
        <v>1</v>
      </c>
    </row>
    <row r="16924" spans="1:18" ht="36">
      <c r="A16924" s="531">
        <v>87</v>
      </c>
      <c r="B16924" s="528" t="s">
        <v>30351</v>
      </c>
      <c r="C16924" s="532" t="s">
        <v>30352</v>
      </c>
      <c r="D16924" s="533">
        <v>375.82</v>
      </c>
      <c r="E16924" s="533">
        <v>42.85</v>
      </c>
      <c r="F16924" s="533">
        <v>268.08</v>
      </c>
      <c r="G16924" s="533">
        <v>64.89</v>
      </c>
      <c r="H16924" s="534">
        <v>2253.04</v>
      </c>
      <c r="I16924" s="534">
        <v>492.74</v>
      </c>
      <c r="J16924" s="534">
        <v>1486.02</v>
      </c>
      <c r="K16924" s="534">
        <v>274.27999999999997</v>
      </c>
      <c r="L16924" s="43">
        <v>5.9949976052365495</v>
      </c>
      <c r="M16924" s="43">
        <v>11.499183197199534</v>
      </c>
      <c r="N16924" s="43">
        <v>5.5431960608773503</v>
      </c>
      <c r="O16924" s="43">
        <v>4.2268454307289254</v>
      </c>
      <c r="P16924" s="535"/>
      <c r="Q16924" s="535"/>
      <c r="R16924" s="535">
        <v>1</v>
      </c>
    </row>
    <row r="16925" spans="1:18" ht="36">
      <c r="A16925" s="531">
        <v>88</v>
      </c>
      <c r="B16925" s="528" t="s">
        <v>30353</v>
      </c>
      <c r="C16925" s="532" t="s">
        <v>30354</v>
      </c>
      <c r="D16925" s="533">
        <v>575.04</v>
      </c>
      <c r="E16925" s="533">
        <v>54.34</v>
      </c>
      <c r="F16925" s="533">
        <v>405.24</v>
      </c>
      <c r="G16925" s="533">
        <v>115.46</v>
      </c>
      <c r="H16925" s="534">
        <v>3359.47</v>
      </c>
      <c r="I16925" s="534">
        <v>624.94000000000005</v>
      </c>
      <c r="J16925" s="534">
        <v>2246.31</v>
      </c>
      <c r="K16925" s="534">
        <v>488.22</v>
      </c>
      <c r="L16925" s="43">
        <v>5.8421501112966059</v>
      </c>
      <c r="M16925" s="43">
        <v>11.500552079499448</v>
      </c>
      <c r="N16925" s="43">
        <v>5.5431596091205213</v>
      </c>
      <c r="O16925" s="43">
        <v>4.2284773947687517</v>
      </c>
      <c r="P16925" s="535"/>
      <c r="Q16925" s="535"/>
      <c r="R16925" s="535">
        <v>1</v>
      </c>
    </row>
    <row r="16926" spans="1:18" ht="36">
      <c r="A16926" s="531">
        <v>89</v>
      </c>
      <c r="B16926" s="528" t="s">
        <v>30355</v>
      </c>
      <c r="C16926" s="532" t="s">
        <v>30356</v>
      </c>
      <c r="D16926" s="533">
        <v>795.64</v>
      </c>
      <c r="E16926" s="533">
        <v>75.239999999999995</v>
      </c>
      <c r="F16926" s="533">
        <v>592.27</v>
      </c>
      <c r="G16926" s="533">
        <v>128.13</v>
      </c>
      <c r="H16926" s="534">
        <v>4686.12</v>
      </c>
      <c r="I16926" s="534">
        <v>865.3</v>
      </c>
      <c r="J16926" s="534">
        <v>3283.07</v>
      </c>
      <c r="K16926" s="534">
        <v>537.75</v>
      </c>
      <c r="L16926" s="43">
        <v>5.8897491327736162</v>
      </c>
      <c r="M16926" s="43">
        <v>11.500531632110579</v>
      </c>
      <c r="N16926" s="43">
        <v>5.5431982035220431</v>
      </c>
      <c r="O16926" s="43">
        <v>4.1969093889018962</v>
      </c>
      <c r="P16926" s="535"/>
      <c r="Q16926" s="535"/>
      <c r="R16926" s="535">
        <v>1</v>
      </c>
    </row>
    <row r="16927" spans="1:18" ht="36">
      <c r="A16927" s="531">
        <v>90</v>
      </c>
      <c r="B16927" s="528" t="s">
        <v>30357</v>
      </c>
      <c r="C16927" s="532" t="s">
        <v>30358</v>
      </c>
      <c r="D16927" s="533">
        <v>1226.22</v>
      </c>
      <c r="E16927" s="533">
        <v>107.64</v>
      </c>
      <c r="F16927" s="533">
        <v>935.16</v>
      </c>
      <c r="G16927" s="533">
        <v>183.42</v>
      </c>
      <c r="H16927" s="534">
        <v>7197.37</v>
      </c>
      <c r="I16927" s="534">
        <v>1237.8499999999999</v>
      </c>
      <c r="J16927" s="534">
        <v>5183.79</v>
      </c>
      <c r="K16927" s="534">
        <v>775.73</v>
      </c>
      <c r="L16927" s="43">
        <v>5.869558480533672</v>
      </c>
      <c r="M16927" s="43">
        <v>11.499907097733184</v>
      </c>
      <c r="N16927" s="43">
        <v>5.5432118567945592</v>
      </c>
      <c r="O16927" s="43">
        <v>4.2292552611492749</v>
      </c>
      <c r="P16927" s="535"/>
      <c r="Q16927" s="535"/>
      <c r="R16927" s="535">
        <v>1</v>
      </c>
    </row>
    <row r="16928" spans="1:18" ht="36">
      <c r="A16928" s="531">
        <v>91</v>
      </c>
      <c r="B16928" s="528" t="s">
        <v>30359</v>
      </c>
      <c r="C16928" s="532" t="s">
        <v>30360</v>
      </c>
      <c r="D16928" s="533">
        <v>1811.46</v>
      </c>
      <c r="E16928" s="533">
        <v>140.03</v>
      </c>
      <c r="F16928" s="533">
        <v>1433.91</v>
      </c>
      <c r="G16928" s="533">
        <v>237.52</v>
      </c>
      <c r="H16928" s="534">
        <v>10555.22</v>
      </c>
      <c r="I16928" s="534">
        <v>1610.41</v>
      </c>
      <c r="J16928" s="534">
        <v>7948.48</v>
      </c>
      <c r="K16928" s="534">
        <v>996.33</v>
      </c>
      <c r="L16928" s="43">
        <v>5.8269130977222785</v>
      </c>
      <c r="M16928" s="43">
        <v>11.500464186245805</v>
      </c>
      <c r="N16928" s="43">
        <v>5.5432209831858339</v>
      </c>
      <c r="O16928" s="43">
        <v>4.1947204445941395</v>
      </c>
      <c r="P16928" s="535"/>
      <c r="Q16928" s="535"/>
      <c r="R16928" s="535">
        <v>1</v>
      </c>
    </row>
    <row r="16929" spans="1:18" ht="36">
      <c r="A16929" s="531">
        <v>92</v>
      </c>
      <c r="B16929" s="528" t="s">
        <v>30361</v>
      </c>
      <c r="C16929" s="532" t="s">
        <v>30362</v>
      </c>
      <c r="D16929" s="533">
        <v>2135.31</v>
      </c>
      <c r="E16929" s="533">
        <v>150.47999999999999</v>
      </c>
      <c r="F16929" s="533">
        <v>1683.29</v>
      </c>
      <c r="G16929" s="533">
        <v>301.54000000000002</v>
      </c>
      <c r="H16929" s="534">
        <v>12319.18</v>
      </c>
      <c r="I16929" s="534">
        <v>1730.59</v>
      </c>
      <c r="J16929" s="534">
        <v>9330.82</v>
      </c>
      <c r="K16929" s="534">
        <v>1257.77</v>
      </c>
      <c r="L16929" s="43">
        <v>5.7692700357325171</v>
      </c>
      <c r="M16929" s="43">
        <v>11.500465178096757</v>
      </c>
      <c r="N16929" s="43">
        <v>5.5432040824813313</v>
      </c>
      <c r="O16929" s="43">
        <v>4.1711547390064334</v>
      </c>
      <c r="P16929" s="535"/>
      <c r="Q16929" s="535"/>
      <c r="R16929" s="535">
        <v>1</v>
      </c>
    </row>
    <row r="16930" spans="1:18" ht="36">
      <c r="A16930" s="531">
        <v>93</v>
      </c>
      <c r="B16930" s="528" t="s">
        <v>30363</v>
      </c>
      <c r="C16930" s="532" t="s">
        <v>30364</v>
      </c>
      <c r="D16930" s="533">
        <v>2808.02</v>
      </c>
      <c r="E16930" s="533">
        <v>182.88</v>
      </c>
      <c r="F16930" s="533">
        <v>2182.04</v>
      </c>
      <c r="G16930" s="533">
        <v>443.1</v>
      </c>
      <c r="H16930" s="534">
        <v>16034.7</v>
      </c>
      <c r="I16930" s="534">
        <v>2103.15</v>
      </c>
      <c r="J16930" s="534">
        <v>12095.51</v>
      </c>
      <c r="K16930" s="534">
        <v>1836.04</v>
      </c>
      <c r="L16930" s="43">
        <v>5.7103225760500287</v>
      </c>
      <c r="M16930" s="43">
        <v>11.500164041994751</v>
      </c>
      <c r="N16930" s="43">
        <v>5.5432118567945592</v>
      </c>
      <c r="O16930" s="43">
        <v>4.1436244640036106</v>
      </c>
      <c r="P16930" s="535"/>
      <c r="Q16930" s="535"/>
      <c r="R16930" s="535">
        <v>1</v>
      </c>
    </row>
    <row r="16931" spans="1:18" ht="36">
      <c r="A16931" s="531">
        <v>94</v>
      </c>
      <c r="B16931" s="528" t="s">
        <v>30365</v>
      </c>
      <c r="C16931" s="532" t="s">
        <v>30366</v>
      </c>
      <c r="D16931" s="533">
        <v>3517.06</v>
      </c>
      <c r="E16931" s="533">
        <v>215.27</v>
      </c>
      <c r="F16931" s="533">
        <v>2680.79</v>
      </c>
      <c r="G16931" s="533">
        <v>621</v>
      </c>
      <c r="H16931" s="534">
        <v>19898.93</v>
      </c>
      <c r="I16931" s="534">
        <v>2475.71</v>
      </c>
      <c r="J16931" s="534">
        <v>14860.2</v>
      </c>
      <c r="K16931" s="534">
        <v>2563.02</v>
      </c>
      <c r="L16931" s="43">
        <v>5.6578306881315648</v>
      </c>
      <c r="M16931" s="43">
        <v>11.500487759557764</v>
      </c>
      <c r="N16931" s="43">
        <v>5.5432167383495168</v>
      </c>
      <c r="O16931" s="43">
        <v>4.1272463768115939</v>
      </c>
      <c r="P16931" s="535"/>
      <c r="Q16931" s="535"/>
      <c r="R16931" s="535">
        <v>1</v>
      </c>
    </row>
    <row r="16932" spans="1:18" ht="36">
      <c r="A16932" s="531">
        <v>95</v>
      </c>
      <c r="B16932" s="528" t="s">
        <v>30367</v>
      </c>
      <c r="C16932" s="532" t="s">
        <v>30368</v>
      </c>
      <c r="D16932" s="533">
        <v>4031.7</v>
      </c>
      <c r="E16932" s="533">
        <v>247.67</v>
      </c>
      <c r="F16932" s="533">
        <v>3054.86</v>
      </c>
      <c r="G16932" s="533">
        <v>729.17</v>
      </c>
      <c r="H16932" s="534">
        <v>22790.46</v>
      </c>
      <c r="I16932" s="534">
        <v>2848.27</v>
      </c>
      <c r="J16932" s="534">
        <v>16933.71</v>
      </c>
      <c r="K16932" s="534">
        <v>3008.48</v>
      </c>
      <c r="L16932" s="43">
        <v>5.6528164297938837</v>
      </c>
      <c r="M16932" s="43">
        <v>11.50026244599669</v>
      </c>
      <c r="N16932" s="43">
        <v>5.5432032891851009</v>
      </c>
      <c r="O16932" s="43">
        <v>4.1258965673299786</v>
      </c>
      <c r="P16932" s="535"/>
      <c r="Q16932" s="535"/>
      <c r="R16932" s="535">
        <v>1</v>
      </c>
    </row>
    <row r="16933" spans="1:18" ht="48">
      <c r="A16933" s="531">
        <v>96</v>
      </c>
      <c r="B16933" s="528" t="s">
        <v>30369</v>
      </c>
      <c r="C16933" s="532" t="s">
        <v>30370</v>
      </c>
      <c r="D16933" s="533">
        <v>6662.16</v>
      </c>
      <c r="E16933" s="533">
        <v>377.25</v>
      </c>
      <c r="F16933" s="533">
        <v>4894</v>
      </c>
      <c r="G16933" s="533">
        <v>1390.91</v>
      </c>
      <c r="H16933" s="534">
        <v>37178.269999999997</v>
      </c>
      <c r="I16933" s="534">
        <v>4338.5</v>
      </c>
      <c r="J16933" s="534">
        <v>27128.5</v>
      </c>
      <c r="K16933" s="534">
        <v>5711.27</v>
      </c>
      <c r="L16933" s="43">
        <v>5.580512926738475</v>
      </c>
      <c r="M16933" s="43">
        <v>11.500331345261763</v>
      </c>
      <c r="N16933" s="43">
        <v>5.5432161830813245</v>
      </c>
      <c r="O16933" s="43">
        <v>4.1061391463142831</v>
      </c>
      <c r="P16933" s="535"/>
      <c r="Q16933" s="535"/>
      <c r="R16933" s="535">
        <v>1</v>
      </c>
    </row>
    <row r="16934" spans="1:18" ht="48">
      <c r="A16934" s="531">
        <v>97</v>
      </c>
      <c r="B16934" s="528" t="s">
        <v>30371</v>
      </c>
      <c r="C16934" s="532" t="s">
        <v>30372</v>
      </c>
      <c r="D16934" s="533">
        <v>15482.96</v>
      </c>
      <c r="E16934" s="533">
        <v>883.03</v>
      </c>
      <c r="F16934" s="533">
        <v>11907.7</v>
      </c>
      <c r="G16934" s="533">
        <v>2692.23</v>
      </c>
      <c r="H16934" s="534">
        <v>87236.41</v>
      </c>
      <c r="I16934" s="534">
        <v>10155.209999999999</v>
      </c>
      <c r="J16934" s="534">
        <v>66006.929999999993</v>
      </c>
      <c r="K16934" s="534">
        <v>11074.27</v>
      </c>
      <c r="L16934" s="43">
        <v>5.6343496334034322</v>
      </c>
      <c r="M16934" s="43">
        <v>11.500413349489824</v>
      </c>
      <c r="N16934" s="43">
        <v>5.5432140547712816</v>
      </c>
      <c r="O16934" s="43">
        <v>4.113418987233632</v>
      </c>
      <c r="P16934" s="535"/>
      <c r="Q16934" s="535"/>
      <c r="R16934" s="535">
        <v>1</v>
      </c>
    </row>
    <row r="16935" spans="1:18" ht="12.75" customHeight="1">
      <c r="A16935" s="628" t="s">
        <v>30373</v>
      </c>
      <c r="B16935" s="629"/>
      <c r="C16935" s="629"/>
      <c r="D16935" s="629"/>
      <c r="E16935" s="629"/>
      <c r="F16935" s="629"/>
      <c r="G16935" s="629"/>
      <c r="H16935" s="629"/>
      <c r="I16935" s="629"/>
      <c r="J16935" s="629"/>
      <c r="K16935" s="629"/>
      <c r="L16935" s="629"/>
      <c r="M16935" s="629"/>
      <c r="N16935" s="629"/>
      <c r="O16935" s="629"/>
      <c r="P16935" s="629"/>
      <c r="Q16935" s="629"/>
      <c r="R16935" s="629"/>
    </row>
    <row r="16936" spans="1:18" ht="12.75" customHeight="1">
      <c r="A16936" s="628" t="s">
        <v>30374</v>
      </c>
      <c r="B16936" s="629"/>
      <c r="C16936" s="629"/>
      <c r="D16936" s="629"/>
      <c r="E16936" s="629"/>
      <c r="F16936" s="629"/>
      <c r="G16936" s="629"/>
      <c r="H16936" s="629"/>
      <c r="I16936" s="629"/>
      <c r="J16936" s="629"/>
      <c r="K16936" s="629"/>
      <c r="L16936" s="629"/>
      <c r="M16936" s="629"/>
      <c r="N16936" s="629"/>
      <c r="O16936" s="629"/>
      <c r="P16936" s="629"/>
      <c r="Q16936" s="629"/>
      <c r="R16936" s="629"/>
    </row>
    <row r="16937" spans="1:18" ht="48">
      <c r="A16937" s="531">
        <v>98</v>
      </c>
      <c r="B16937" s="528" t="s">
        <v>30375</v>
      </c>
      <c r="C16937" s="532" t="s">
        <v>30376</v>
      </c>
      <c r="D16937" s="533">
        <v>24.09</v>
      </c>
      <c r="E16937" s="533">
        <v>22.98</v>
      </c>
      <c r="F16937" s="533"/>
      <c r="G16937" s="533">
        <v>1.1100000000000001</v>
      </c>
      <c r="H16937" s="534">
        <v>275.23</v>
      </c>
      <c r="I16937" s="534">
        <v>264.27999999999997</v>
      </c>
      <c r="J16937" s="534"/>
      <c r="K16937" s="534">
        <v>10.95</v>
      </c>
      <c r="L16937" s="43">
        <v>11.425072644250728</v>
      </c>
      <c r="M16937" s="43">
        <v>11.500435161009571</v>
      </c>
      <c r="N16937" s="43" t="s">
        <v>1690</v>
      </c>
      <c r="O16937" s="43">
        <v>9.8648648648648631</v>
      </c>
      <c r="P16937" s="535"/>
      <c r="Q16937" s="535"/>
      <c r="R16937" s="535">
        <v>1</v>
      </c>
    </row>
    <row r="16938" spans="1:18" ht="48">
      <c r="A16938" s="531">
        <v>99</v>
      </c>
      <c r="B16938" s="528" t="s">
        <v>30377</v>
      </c>
      <c r="C16938" s="532" t="s">
        <v>30378</v>
      </c>
      <c r="D16938" s="533">
        <v>25.07</v>
      </c>
      <c r="E16938" s="533">
        <v>22.98</v>
      </c>
      <c r="F16938" s="533"/>
      <c r="G16938" s="533">
        <v>2.09</v>
      </c>
      <c r="H16938" s="534">
        <v>283.87</v>
      </c>
      <c r="I16938" s="534">
        <v>264.27999999999997</v>
      </c>
      <c r="J16938" s="534"/>
      <c r="K16938" s="534">
        <v>19.59</v>
      </c>
      <c r="L16938" s="43">
        <v>11.32309533306741</v>
      </c>
      <c r="M16938" s="43">
        <v>11.500435161009571</v>
      </c>
      <c r="N16938" s="43" t="s">
        <v>1690</v>
      </c>
      <c r="O16938" s="43">
        <v>9.3732057416267942</v>
      </c>
      <c r="P16938" s="535"/>
      <c r="Q16938" s="535"/>
      <c r="R16938" s="535">
        <v>1</v>
      </c>
    </row>
    <row r="16939" spans="1:18" ht="48">
      <c r="A16939" s="531">
        <v>100</v>
      </c>
      <c r="B16939" s="528" t="s">
        <v>30379</v>
      </c>
      <c r="C16939" s="532" t="s">
        <v>30380</v>
      </c>
      <c r="D16939" s="533">
        <v>26.81</v>
      </c>
      <c r="E16939" s="533">
        <v>22.98</v>
      </c>
      <c r="F16939" s="533"/>
      <c r="G16939" s="533">
        <v>3.83</v>
      </c>
      <c r="H16939" s="534">
        <v>299.07</v>
      </c>
      <c r="I16939" s="534">
        <v>264.27999999999997</v>
      </c>
      <c r="J16939" s="534"/>
      <c r="K16939" s="534">
        <v>34.79</v>
      </c>
      <c r="L16939" s="43">
        <v>11.155165982842224</v>
      </c>
      <c r="M16939" s="43">
        <v>11.500435161009571</v>
      </c>
      <c r="N16939" s="43" t="s">
        <v>1690</v>
      </c>
      <c r="O16939" s="43">
        <v>9.0835509138381205</v>
      </c>
      <c r="P16939" s="535"/>
      <c r="Q16939" s="535"/>
      <c r="R16939" s="535">
        <v>1</v>
      </c>
    </row>
    <row r="16940" spans="1:18" ht="48">
      <c r="A16940" s="531">
        <v>101</v>
      </c>
      <c r="B16940" s="528" t="s">
        <v>30381</v>
      </c>
      <c r="C16940" s="532" t="s">
        <v>30382</v>
      </c>
      <c r="D16940" s="533">
        <v>29.9</v>
      </c>
      <c r="E16940" s="533">
        <v>22.98</v>
      </c>
      <c r="F16940" s="533"/>
      <c r="G16940" s="533">
        <v>6.92</v>
      </c>
      <c r="H16940" s="534">
        <v>326.19</v>
      </c>
      <c r="I16940" s="534">
        <v>264.27999999999997</v>
      </c>
      <c r="J16940" s="534"/>
      <c r="K16940" s="534">
        <v>61.91</v>
      </c>
      <c r="L16940" s="43">
        <v>10.909364548494985</v>
      </c>
      <c r="M16940" s="43">
        <v>11.500435161009571</v>
      </c>
      <c r="N16940" s="43" t="s">
        <v>1690</v>
      </c>
      <c r="O16940" s="43">
        <v>8.946531791907514</v>
      </c>
      <c r="P16940" s="535"/>
      <c r="Q16940" s="535"/>
      <c r="R16940" s="535">
        <v>1</v>
      </c>
    </row>
    <row r="16941" spans="1:18" ht="48">
      <c r="A16941" s="531">
        <v>102</v>
      </c>
      <c r="B16941" s="528" t="s">
        <v>30383</v>
      </c>
      <c r="C16941" s="532" t="s">
        <v>30384</v>
      </c>
      <c r="D16941" s="533">
        <v>44.85</v>
      </c>
      <c r="E16941" s="533">
        <v>34.47</v>
      </c>
      <c r="F16941" s="533"/>
      <c r="G16941" s="533">
        <v>10.38</v>
      </c>
      <c r="H16941" s="534">
        <v>489.29</v>
      </c>
      <c r="I16941" s="534">
        <v>396.42</v>
      </c>
      <c r="J16941" s="534"/>
      <c r="K16941" s="534">
        <v>92.87</v>
      </c>
      <c r="L16941" s="43">
        <v>10.909476031215162</v>
      </c>
      <c r="M16941" s="43">
        <v>11.500435161009575</v>
      </c>
      <c r="N16941" s="43" t="s">
        <v>1690</v>
      </c>
      <c r="O16941" s="43">
        <v>8.9470134874759157</v>
      </c>
      <c r="P16941" s="535"/>
      <c r="Q16941" s="535"/>
      <c r="R16941" s="535">
        <v>1</v>
      </c>
    </row>
    <row r="16942" spans="1:18" ht="48">
      <c r="A16942" s="531">
        <v>103</v>
      </c>
      <c r="B16942" s="528" t="s">
        <v>30385</v>
      </c>
      <c r="C16942" s="532" t="s">
        <v>30386</v>
      </c>
      <c r="D16942" s="533">
        <v>48.08</v>
      </c>
      <c r="E16942" s="533">
        <v>34.47</v>
      </c>
      <c r="F16942" s="533"/>
      <c r="G16942" s="533">
        <v>13.61</v>
      </c>
      <c r="H16942" s="534">
        <v>517.6</v>
      </c>
      <c r="I16942" s="534">
        <v>396.42</v>
      </c>
      <c r="J16942" s="534"/>
      <c r="K16942" s="534">
        <v>121.18</v>
      </c>
      <c r="L16942" s="43">
        <v>10.765391014975043</v>
      </c>
      <c r="M16942" s="43">
        <v>11.500435161009575</v>
      </c>
      <c r="N16942" s="43" t="s">
        <v>1690</v>
      </c>
      <c r="O16942" s="43">
        <v>8.9037472446730348</v>
      </c>
      <c r="P16942" s="535"/>
      <c r="Q16942" s="535"/>
      <c r="R16942" s="535">
        <v>1</v>
      </c>
    </row>
    <row r="16943" spans="1:18" ht="48">
      <c r="A16943" s="531">
        <v>104</v>
      </c>
      <c r="B16943" s="528" t="s">
        <v>30387</v>
      </c>
      <c r="C16943" s="532" t="s">
        <v>30388</v>
      </c>
      <c r="D16943" s="533">
        <v>51.31</v>
      </c>
      <c r="E16943" s="533">
        <v>34.47</v>
      </c>
      <c r="F16943" s="533"/>
      <c r="G16943" s="533">
        <v>16.84</v>
      </c>
      <c r="H16943" s="534">
        <v>545.91</v>
      </c>
      <c r="I16943" s="534">
        <v>396.42</v>
      </c>
      <c r="J16943" s="534"/>
      <c r="K16943" s="534">
        <v>149.49</v>
      </c>
      <c r="L16943" s="43">
        <v>10.639446501656597</v>
      </c>
      <c r="M16943" s="43">
        <v>11.500435161009575</v>
      </c>
      <c r="N16943" s="43" t="s">
        <v>1690</v>
      </c>
      <c r="O16943" s="43">
        <v>8.8770783847981001</v>
      </c>
      <c r="P16943" s="535"/>
      <c r="Q16943" s="535"/>
      <c r="R16943" s="535">
        <v>1</v>
      </c>
    </row>
    <row r="16944" spans="1:18" ht="48">
      <c r="A16944" s="531">
        <v>105</v>
      </c>
      <c r="B16944" s="528" t="s">
        <v>30389</v>
      </c>
      <c r="C16944" s="532" t="s">
        <v>30390</v>
      </c>
      <c r="D16944" s="533">
        <v>108</v>
      </c>
      <c r="E16944" s="533">
        <v>74.22</v>
      </c>
      <c r="F16944" s="533"/>
      <c r="G16944" s="533">
        <v>33.78</v>
      </c>
      <c r="H16944" s="534">
        <v>1153.68</v>
      </c>
      <c r="I16944" s="534">
        <v>853.56</v>
      </c>
      <c r="J16944" s="534"/>
      <c r="K16944" s="534">
        <v>300.12</v>
      </c>
      <c r="L16944" s="43">
        <v>10.682222222222222</v>
      </c>
      <c r="M16944" s="43">
        <v>11.500404203718674</v>
      </c>
      <c r="N16944" s="43" t="s">
        <v>1690</v>
      </c>
      <c r="O16944" s="43">
        <v>8.8845470692717576</v>
      </c>
      <c r="P16944" s="535"/>
      <c r="Q16944" s="535"/>
      <c r="R16944" s="535">
        <v>1</v>
      </c>
    </row>
    <row r="16945" spans="1:18" ht="48">
      <c r="A16945" s="531">
        <v>106</v>
      </c>
      <c r="B16945" s="528" t="s">
        <v>30391</v>
      </c>
      <c r="C16945" s="532" t="s">
        <v>30392</v>
      </c>
      <c r="D16945" s="533">
        <v>127.38</v>
      </c>
      <c r="E16945" s="533">
        <v>74.22</v>
      </c>
      <c r="F16945" s="533"/>
      <c r="G16945" s="533">
        <v>53.16</v>
      </c>
      <c r="H16945" s="534">
        <v>1323.54</v>
      </c>
      <c r="I16945" s="534">
        <v>853.56</v>
      </c>
      <c r="J16945" s="534"/>
      <c r="K16945" s="534">
        <v>469.98</v>
      </c>
      <c r="L16945" s="43">
        <v>10.390485162505888</v>
      </c>
      <c r="M16945" s="43">
        <v>11.500404203718674</v>
      </c>
      <c r="N16945" s="43" t="s">
        <v>1690</v>
      </c>
      <c r="O16945" s="43">
        <v>8.8408577878103838</v>
      </c>
      <c r="P16945" s="535"/>
      <c r="Q16945" s="535"/>
      <c r="R16945" s="535">
        <v>1</v>
      </c>
    </row>
    <row r="16946" spans="1:18" ht="48">
      <c r="A16946" s="531">
        <v>107</v>
      </c>
      <c r="B16946" s="528" t="s">
        <v>30393</v>
      </c>
      <c r="C16946" s="532" t="s">
        <v>30394</v>
      </c>
      <c r="D16946" s="533">
        <v>138.26</v>
      </c>
      <c r="E16946" s="533">
        <v>74.22</v>
      </c>
      <c r="F16946" s="533"/>
      <c r="G16946" s="533">
        <v>64.040000000000006</v>
      </c>
      <c r="H16946" s="534">
        <v>1418.9</v>
      </c>
      <c r="I16946" s="534">
        <v>853.56</v>
      </c>
      <c r="J16946" s="534"/>
      <c r="K16946" s="534">
        <v>565.34</v>
      </c>
      <c r="L16946" s="43">
        <v>10.262548821061769</v>
      </c>
      <c r="M16946" s="43">
        <v>11.500404203718674</v>
      </c>
      <c r="N16946" s="43" t="s">
        <v>1690</v>
      </c>
      <c r="O16946" s="43">
        <v>8.8279200499687693</v>
      </c>
      <c r="P16946" s="535"/>
      <c r="Q16946" s="535"/>
      <c r="R16946" s="535">
        <v>1</v>
      </c>
    </row>
    <row r="16947" spans="1:18" ht="48">
      <c r="A16947" s="531">
        <v>108</v>
      </c>
      <c r="B16947" s="528" t="s">
        <v>30395</v>
      </c>
      <c r="C16947" s="532" t="s">
        <v>30396</v>
      </c>
      <c r="D16947" s="533">
        <v>227.28</v>
      </c>
      <c r="E16947" s="533">
        <v>96.16</v>
      </c>
      <c r="F16947" s="533"/>
      <c r="G16947" s="533">
        <v>131.12</v>
      </c>
      <c r="H16947" s="534">
        <v>2260.3200000000002</v>
      </c>
      <c r="I16947" s="534">
        <v>1105.8399999999999</v>
      </c>
      <c r="J16947" s="534"/>
      <c r="K16947" s="534">
        <v>1154.48</v>
      </c>
      <c r="L16947" s="43">
        <v>9.9450897571277732</v>
      </c>
      <c r="M16947" s="43">
        <v>11.5</v>
      </c>
      <c r="N16947" s="43" t="s">
        <v>1690</v>
      </c>
      <c r="O16947" s="43">
        <v>8.8047589993898718</v>
      </c>
      <c r="P16947" s="535"/>
      <c r="Q16947" s="535"/>
      <c r="R16947" s="535">
        <v>1</v>
      </c>
    </row>
    <row r="16948" spans="1:18" ht="48">
      <c r="A16948" s="531">
        <v>109</v>
      </c>
      <c r="B16948" s="528" t="s">
        <v>30397</v>
      </c>
      <c r="C16948" s="532" t="s">
        <v>30398</v>
      </c>
      <c r="D16948" s="533">
        <v>356.48</v>
      </c>
      <c r="E16948" s="533">
        <v>96.16</v>
      </c>
      <c r="F16948" s="533"/>
      <c r="G16948" s="533">
        <v>260.32</v>
      </c>
      <c r="H16948" s="534">
        <v>3392.72</v>
      </c>
      <c r="I16948" s="534">
        <v>1105.8399999999999</v>
      </c>
      <c r="J16948" s="534"/>
      <c r="K16948" s="534">
        <v>2286.88</v>
      </c>
      <c r="L16948" s="43">
        <v>9.5172800718132837</v>
      </c>
      <c r="M16948" s="43">
        <v>11.5</v>
      </c>
      <c r="N16948" s="43" t="s">
        <v>1690</v>
      </c>
      <c r="O16948" s="43">
        <v>8.7848801475107567</v>
      </c>
      <c r="P16948" s="535"/>
      <c r="Q16948" s="535"/>
      <c r="R16948" s="535">
        <v>1</v>
      </c>
    </row>
    <row r="16949" spans="1:18" ht="48">
      <c r="A16949" s="531">
        <v>110</v>
      </c>
      <c r="B16949" s="528" t="s">
        <v>30399</v>
      </c>
      <c r="C16949" s="532" t="s">
        <v>30400</v>
      </c>
      <c r="D16949" s="533">
        <v>550.28</v>
      </c>
      <c r="E16949" s="533">
        <v>96.16</v>
      </c>
      <c r="F16949" s="533"/>
      <c r="G16949" s="533">
        <v>454.12</v>
      </c>
      <c r="H16949" s="534">
        <v>5091.32</v>
      </c>
      <c r="I16949" s="534">
        <v>1105.8399999999999</v>
      </c>
      <c r="J16949" s="534"/>
      <c r="K16949" s="534">
        <v>3985.48</v>
      </c>
      <c r="L16949" s="43">
        <v>9.2522352257032789</v>
      </c>
      <c r="M16949" s="43">
        <v>11.5</v>
      </c>
      <c r="N16949" s="43" t="s">
        <v>1690</v>
      </c>
      <c r="O16949" s="43">
        <v>8.776270589271558</v>
      </c>
      <c r="P16949" s="535"/>
      <c r="Q16949" s="535"/>
      <c r="R16949" s="535">
        <v>1</v>
      </c>
    </row>
    <row r="16950" spans="1:18" ht="48">
      <c r="A16950" s="531">
        <v>111</v>
      </c>
      <c r="B16950" s="528" t="s">
        <v>30401</v>
      </c>
      <c r="C16950" s="532" t="s">
        <v>30402</v>
      </c>
      <c r="D16950" s="533">
        <v>614.88</v>
      </c>
      <c r="E16950" s="533">
        <v>96.16</v>
      </c>
      <c r="F16950" s="533"/>
      <c r="G16950" s="533">
        <v>518.72</v>
      </c>
      <c r="H16950" s="534">
        <v>5657.52</v>
      </c>
      <c r="I16950" s="534">
        <v>1105.8399999999999</v>
      </c>
      <c r="J16950" s="534"/>
      <c r="K16950" s="534">
        <v>4551.68</v>
      </c>
      <c r="L16950" s="43">
        <v>9.2010148321623735</v>
      </c>
      <c r="M16950" s="43">
        <v>11.5</v>
      </c>
      <c r="N16950" s="43" t="s">
        <v>1690</v>
      </c>
      <c r="O16950" s="43">
        <v>8.7748303516347939</v>
      </c>
      <c r="P16950" s="535"/>
      <c r="Q16950" s="535"/>
      <c r="R16950" s="535">
        <v>1</v>
      </c>
    </row>
    <row r="16951" spans="1:18" ht="48">
      <c r="A16951" s="531">
        <v>112</v>
      </c>
      <c r="B16951" s="528" t="s">
        <v>30403</v>
      </c>
      <c r="C16951" s="532" t="s">
        <v>30404</v>
      </c>
      <c r="D16951" s="533">
        <v>744.08</v>
      </c>
      <c r="E16951" s="533">
        <v>96.16</v>
      </c>
      <c r="F16951" s="533"/>
      <c r="G16951" s="533">
        <v>647.91999999999996</v>
      </c>
      <c r="H16951" s="534">
        <v>6789.92</v>
      </c>
      <c r="I16951" s="534">
        <v>1105.8399999999999</v>
      </c>
      <c r="J16951" s="534"/>
      <c r="K16951" s="534">
        <v>5684.08</v>
      </c>
      <c r="L16951" s="43">
        <v>9.1252553488872152</v>
      </c>
      <c r="M16951" s="43">
        <v>11.5</v>
      </c>
      <c r="N16951" s="43" t="s">
        <v>1690</v>
      </c>
      <c r="O16951" s="43">
        <v>8.7728114582047176</v>
      </c>
      <c r="P16951" s="535"/>
      <c r="Q16951" s="535"/>
      <c r="R16951" s="535">
        <v>1</v>
      </c>
    </row>
    <row r="16952" spans="1:18" ht="48">
      <c r="A16952" s="531">
        <v>113</v>
      </c>
      <c r="B16952" s="528" t="s">
        <v>30405</v>
      </c>
      <c r="C16952" s="532" t="s">
        <v>30406</v>
      </c>
      <c r="D16952" s="533">
        <v>931.94</v>
      </c>
      <c r="E16952" s="533">
        <v>122</v>
      </c>
      <c r="F16952" s="533"/>
      <c r="G16952" s="533">
        <v>809.94</v>
      </c>
      <c r="H16952" s="534">
        <v>8508.56</v>
      </c>
      <c r="I16952" s="534">
        <v>1403</v>
      </c>
      <c r="J16952" s="534"/>
      <c r="K16952" s="534">
        <v>7105.56</v>
      </c>
      <c r="L16952" s="43">
        <v>9.129943987810373</v>
      </c>
      <c r="M16952" s="43">
        <v>11.5</v>
      </c>
      <c r="N16952" s="43" t="s">
        <v>1690</v>
      </c>
      <c r="O16952" s="43">
        <v>8.7729461441588263</v>
      </c>
      <c r="P16952" s="535"/>
      <c r="Q16952" s="535"/>
      <c r="R16952" s="535">
        <v>1</v>
      </c>
    </row>
    <row r="16953" spans="1:18" ht="48">
      <c r="A16953" s="531">
        <v>114</v>
      </c>
      <c r="B16953" s="528" t="s">
        <v>30407</v>
      </c>
      <c r="C16953" s="532" t="s">
        <v>30408</v>
      </c>
      <c r="D16953" s="533">
        <v>1416.44</v>
      </c>
      <c r="E16953" s="533">
        <v>122</v>
      </c>
      <c r="F16953" s="533"/>
      <c r="G16953" s="533">
        <v>1294.44</v>
      </c>
      <c r="H16953" s="534">
        <v>12755.06</v>
      </c>
      <c r="I16953" s="534">
        <v>1403</v>
      </c>
      <c r="J16953" s="534"/>
      <c r="K16953" s="534">
        <v>11352.06</v>
      </c>
      <c r="L16953" s="43">
        <v>9.005012566716557</v>
      </c>
      <c r="M16953" s="43">
        <v>11.5</v>
      </c>
      <c r="N16953" s="43" t="s">
        <v>1690</v>
      </c>
      <c r="O16953" s="43">
        <v>8.7698618707703702</v>
      </c>
      <c r="P16953" s="535"/>
      <c r="Q16953" s="535"/>
      <c r="R16953" s="535">
        <v>1</v>
      </c>
    </row>
    <row r="16954" spans="1:18" ht="48">
      <c r="A16954" s="531">
        <v>115</v>
      </c>
      <c r="B16954" s="528" t="s">
        <v>30409</v>
      </c>
      <c r="C16954" s="532" t="s">
        <v>30410</v>
      </c>
      <c r="D16954" s="533">
        <v>1760.04</v>
      </c>
      <c r="E16954" s="533">
        <v>142.19999999999999</v>
      </c>
      <c r="F16954" s="533"/>
      <c r="G16954" s="533">
        <v>1617.84</v>
      </c>
      <c r="H16954" s="534">
        <v>15823.02</v>
      </c>
      <c r="I16954" s="534">
        <v>1635.36</v>
      </c>
      <c r="J16954" s="534"/>
      <c r="K16954" s="534">
        <v>14187.66</v>
      </c>
      <c r="L16954" s="43">
        <v>8.9901479511829283</v>
      </c>
      <c r="M16954" s="43">
        <v>11.50042194092827</v>
      </c>
      <c r="N16954" s="43" t="s">
        <v>1690</v>
      </c>
      <c r="O16954" s="43">
        <v>8.7695074914701081</v>
      </c>
      <c r="P16954" s="535"/>
      <c r="Q16954" s="535"/>
      <c r="R16954" s="535">
        <v>1</v>
      </c>
    </row>
    <row r="16955" spans="1:18" ht="48">
      <c r="A16955" s="531">
        <v>116</v>
      </c>
      <c r="B16955" s="528" t="s">
        <v>30411</v>
      </c>
      <c r="C16955" s="532" t="s">
        <v>30412</v>
      </c>
      <c r="D16955" s="533">
        <v>3375.04</v>
      </c>
      <c r="E16955" s="533">
        <v>142.19999999999999</v>
      </c>
      <c r="F16955" s="533"/>
      <c r="G16955" s="533">
        <v>3232.84</v>
      </c>
      <c r="H16955" s="534">
        <v>29978.02</v>
      </c>
      <c r="I16955" s="534">
        <v>1635.36</v>
      </c>
      <c r="J16955" s="534"/>
      <c r="K16955" s="534">
        <v>28342.66</v>
      </c>
      <c r="L16955" s="43">
        <v>8.8822710249360011</v>
      </c>
      <c r="M16955" s="43">
        <v>11.50042194092827</v>
      </c>
      <c r="N16955" s="43" t="s">
        <v>1690</v>
      </c>
      <c r="O16955" s="43">
        <v>8.7671087959812422</v>
      </c>
      <c r="P16955" s="535"/>
      <c r="Q16955" s="535"/>
      <c r="R16955" s="535">
        <v>1</v>
      </c>
    </row>
    <row r="16956" spans="1:18" ht="48">
      <c r="A16956" s="531">
        <v>117</v>
      </c>
      <c r="B16956" s="528" t="s">
        <v>30413</v>
      </c>
      <c r="C16956" s="532" t="s">
        <v>30414</v>
      </c>
      <c r="D16956" s="533">
        <v>4214.84</v>
      </c>
      <c r="E16956" s="533">
        <v>142.19999999999999</v>
      </c>
      <c r="F16956" s="533"/>
      <c r="G16956" s="533">
        <v>4072.64</v>
      </c>
      <c r="H16956" s="534">
        <v>37338.620000000003</v>
      </c>
      <c r="I16956" s="534">
        <v>1635.36</v>
      </c>
      <c r="J16956" s="534"/>
      <c r="K16956" s="534">
        <v>35703.26</v>
      </c>
      <c r="L16956" s="43">
        <v>8.8588463619022306</v>
      </c>
      <c r="M16956" s="43">
        <v>11.50042194092827</v>
      </c>
      <c r="N16956" s="43" t="s">
        <v>1690</v>
      </c>
      <c r="O16956" s="43">
        <v>8.7666133024279098</v>
      </c>
      <c r="P16956" s="535"/>
      <c r="Q16956" s="535"/>
      <c r="R16956" s="535">
        <v>1</v>
      </c>
    </row>
    <row r="16957" spans="1:18" ht="48">
      <c r="A16957" s="531">
        <v>118</v>
      </c>
      <c r="B16957" s="528" t="s">
        <v>30415</v>
      </c>
      <c r="C16957" s="532" t="s">
        <v>30416</v>
      </c>
      <c r="D16957" s="533">
        <v>2020.93</v>
      </c>
      <c r="E16957" s="533">
        <v>384.64</v>
      </c>
      <c r="F16957" s="533"/>
      <c r="G16957" s="533">
        <v>1636.29</v>
      </c>
      <c r="H16957" s="534">
        <v>18786</v>
      </c>
      <c r="I16957" s="534">
        <v>4423.3599999999997</v>
      </c>
      <c r="J16957" s="534"/>
      <c r="K16957" s="534">
        <v>14362.64</v>
      </c>
      <c r="L16957" s="43">
        <v>9.2957202871945093</v>
      </c>
      <c r="M16957" s="43">
        <v>11.5</v>
      </c>
      <c r="N16957" s="43" t="s">
        <v>1690</v>
      </c>
      <c r="O16957" s="43">
        <v>8.7775638792634556</v>
      </c>
      <c r="P16957" s="535"/>
      <c r="Q16957" s="535"/>
      <c r="R16957" s="535">
        <v>1</v>
      </c>
    </row>
    <row r="16958" spans="1:18" ht="48">
      <c r="A16958" s="531">
        <v>119</v>
      </c>
      <c r="B16958" s="528" t="s">
        <v>30417</v>
      </c>
      <c r="C16958" s="532" t="s">
        <v>30418</v>
      </c>
      <c r="D16958" s="533">
        <v>3727.76</v>
      </c>
      <c r="E16958" s="533">
        <v>488</v>
      </c>
      <c r="F16958" s="533"/>
      <c r="G16958" s="533">
        <v>3239.76</v>
      </c>
      <c r="H16958" s="534">
        <v>34034.239999999998</v>
      </c>
      <c r="I16958" s="534">
        <v>5612</v>
      </c>
      <c r="J16958" s="534"/>
      <c r="K16958" s="534">
        <v>28422.240000000002</v>
      </c>
      <c r="L16958" s="43">
        <v>9.129943987810373</v>
      </c>
      <c r="M16958" s="43">
        <v>11.5</v>
      </c>
      <c r="N16958" s="43" t="s">
        <v>1690</v>
      </c>
      <c r="O16958" s="43">
        <v>8.7729461441588263</v>
      </c>
      <c r="P16958" s="535"/>
      <c r="Q16958" s="535"/>
      <c r="R16958" s="535">
        <v>1</v>
      </c>
    </row>
    <row r="16959" spans="1:18" ht="48">
      <c r="A16959" s="531">
        <v>120</v>
      </c>
      <c r="B16959" s="528" t="s">
        <v>30419</v>
      </c>
      <c r="C16959" s="532" t="s">
        <v>30420</v>
      </c>
      <c r="D16959" s="533">
        <v>4373.76</v>
      </c>
      <c r="E16959" s="533">
        <v>488</v>
      </c>
      <c r="F16959" s="533"/>
      <c r="G16959" s="533">
        <v>3885.76</v>
      </c>
      <c r="H16959" s="534">
        <v>39696.239999999998</v>
      </c>
      <c r="I16959" s="534">
        <v>5612</v>
      </c>
      <c r="J16959" s="534"/>
      <c r="K16959" s="534">
        <v>34084.239999999998</v>
      </c>
      <c r="L16959" s="43">
        <v>9.0759986830553103</v>
      </c>
      <c r="M16959" s="43">
        <v>11.5</v>
      </c>
      <c r="N16959" s="43" t="s">
        <v>1690</v>
      </c>
      <c r="O16959" s="43">
        <v>8.7715762167503897</v>
      </c>
      <c r="P16959" s="535"/>
      <c r="Q16959" s="535"/>
      <c r="R16959" s="535">
        <v>1</v>
      </c>
    </row>
    <row r="16960" spans="1:18" ht="48">
      <c r="A16960" s="531">
        <v>121</v>
      </c>
      <c r="B16960" s="528" t="s">
        <v>30421</v>
      </c>
      <c r="C16960" s="532" t="s">
        <v>30422</v>
      </c>
      <c r="D16960" s="533">
        <v>5651.48</v>
      </c>
      <c r="E16960" s="533">
        <v>474</v>
      </c>
      <c r="F16960" s="533"/>
      <c r="G16960" s="533">
        <v>5177.4799999999996</v>
      </c>
      <c r="H16960" s="534">
        <v>50856.22</v>
      </c>
      <c r="I16960" s="534">
        <v>5451.2</v>
      </c>
      <c r="J16960" s="534"/>
      <c r="K16960" s="534">
        <v>45405.02</v>
      </c>
      <c r="L16960" s="43">
        <v>8.9987436919178698</v>
      </c>
      <c r="M16960" s="43">
        <v>11.50042194092827</v>
      </c>
      <c r="N16960" s="43" t="s">
        <v>1690</v>
      </c>
      <c r="O16960" s="43">
        <v>8.7697142239081565</v>
      </c>
      <c r="P16960" s="535"/>
      <c r="Q16960" s="535"/>
      <c r="R16960" s="535">
        <v>1</v>
      </c>
    </row>
    <row r="16961" spans="1:18" ht="48">
      <c r="A16961" s="531">
        <v>122</v>
      </c>
      <c r="B16961" s="528" t="s">
        <v>30423</v>
      </c>
      <c r="C16961" s="532" t="s">
        <v>30424</v>
      </c>
      <c r="D16961" s="533">
        <v>7040.18</v>
      </c>
      <c r="E16961" s="533">
        <v>568.79999999999995</v>
      </c>
      <c r="F16961" s="533"/>
      <c r="G16961" s="533">
        <v>6471.38</v>
      </c>
      <c r="H16961" s="534">
        <v>63292.31</v>
      </c>
      <c r="I16961" s="534">
        <v>6541.44</v>
      </c>
      <c r="J16961" s="534"/>
      <c r="K16961" s="534">
        <v>56750.87</v>
      </c>
      <c r="L16961" s="43">
        <v>8.9901550812621256</v>
      </c>
      <c r="M16961" s="43">
        <v>11.50042194092827</v>
      </c>
      <c r="N16961" s="43" t="s">
        <v>1690</v>
      </c>
      <c r="O16961" s="43">
        <v>8.7695159301416385</v>
      </c>
      <c r="P16961" s="535"/>
      <c r="Q16961" s="535"/>
      <c r="R16961" s="535">
        <v>1</v>
      </c>
    </row>
    <row r="16962" spans="1:18" ht="48">
      <c r="A16962" s="531">
        <v>123</v>
      </c>
      <c r="B16962" s="528" t="s">
        <v>30425</v>
      </c>
      <c r="C16962" s="532" t="s">
        <v>30426</v>
      </c>
      <c r="D16962" s="533">
        <v>9624.18</v>
      </c>
      <c r="E16962" s="533">
        <v>568.79999999999995</v>
      </c>
      <c r="F16962" s="533"/>
      <c r="G16962" s="533">
        <v>9055.3799999999992</v>
      </c>
      <c r="H16962" s="534">
        <v>85940.31</v>
      </c>
      <c r="I16962" s="534">
        <v>6541.44</v>
      </c>
      <c r="J16962" s="534"/>
      <c r="K16962" s="534">
        <v>79398.87</v>
      </c>
      <c r="L16962" s="43">
        <v>8.929624134211954</v>
      </c>
      <c r="M16962" s="43">
        <v>11.50042194092827</v>
      </c>
      <c r="N16962" s="43" t="s">
        <v>1690</v>
      </c>
      <c r="O16962" s="43">
        <v>8.7681433578712333</v>
      </c>
      <c r="P16962" s="535"/>
      <c r="Q16962" s="535"/>
      <c r="R16962" s="535">
        <v>1</v>
      </c>
    </row>
    <row r="16963" spans="1:18" ht="48">
      <c r="A16963" s="531">
        <v>124</v>
      </c>
      <c r="B16963" s="528" t="s">
        <v>30427</v>
      </c>
      <c r="C16963" s="532" t="s">
        <v>30428</v>
      </c>
      <c r="D16963" s="533">
        <v>13500.18</v>
      </c>
      <c r="E16963" s="533">
        <v>568.79999999999995</v>
      </c>
      <c r="F16963" s="533"/>
      <c r="G16963" s="533">
        <v>12931.38</v>
      </c>
      <c r="H16963" s="534">
        <v>119912.31</v>
      </c>
      <c r="I16963" s="534">
        <v>6541.44</v>
      </c>
      <c r="J16963" s="534"/>
      <c r="K16963" s="534">
        <v>113370.87</v>
      </c>
      <c r="L16963" s="43">
        <v>8.8822749030012922</v>
      </c>
      <c r="M16963" s="43">
        <v>11.50042194092827</v>
      </c>
      <c r="N16963" s="43" t="s">
        <v>1690</v>
      </c>
      <c r="O16963" s="43">
        <v>8.7671130227400322</v>
      </c>
      <c r="P16963" s="535"/>
      <c r="Q16963" s="535"/>
      <c r="R16963" s="535">
        <v>1</v>
      </c>
    </row>
    <row r="16964" spans="1:18" ht="48">
      <c r="A16964" s="531">
        <v>125</v>
      </c>
      <c r="B16964" s="528" t="s">
        <v>30429</v>
      </c>
      <c r="C16964" s="532" t="s">
        <v>30430</v>
      </c>
      <c r="D16964" s="533">
        <v>16859.38</v>
      </c>
      <c r="E16964" s="533">
        <v>568.79999999999995</v>
      </c>
      <c r="F16964" s="533"/>
      <c r="G16964" s="533">
        <v>16290.58</v>
      </c>
      <c r="H16964" s="534">
        <v>149354.71</v>
      </c>
      <c r="I16964" s="534">
        <v>6541.44</v>
      </c>
      <c r="J16964" s="534"/>
      <c r="K16964" s="534">
        <v>142813.26999999999</v>
      </c>
      <c r="L16964" s="43">
        <v>8.8588494950585357</v>
      </c>
      <c r="M16964" s="43">
        <v>11.50042194092827</v>
      </c>
      <c r="N16964" s="43" t="s">
        <v>1690</v>
      </c>
      <c r="O16964" s="43">
        <v>8.766616658215975</v>
      </c>
      <c r="P16964" s="535"/>
      <c r="Q16964" s="535"/>
      <c r="R16964" s="535">
        <v>1</v>
      </c>
    </row>
    <row r="16965" spans="1:18" ht="48">
      <c r="A16965" s="531">
        <v>126</v>
      </c>
      <c r="B16965" s="528" t="s">
        <v>30431</v>
      </c>
      <c r="C16965" s="532" t="s">
        <v>30432</v>
      </c>
      <c r="D16965" s="533">
        <v>23836.18</v>
      </c>
      <c r="E16965" s="533">
        <v>568.79999999999995</v>
      </c>
      <c r="F16965" s="533"/>
      <c r="G16965" s="533">
        <v>23267.38</v>
      </c>
      <c r="H16965" s="534">
        <v>210504.31</v>
      </c>
      <c r="I16965" s="534">
        <v>6541.44</v>
      </c>
      <c r="J16965" s="534"/>
      <c r="K16965" s="534">
        <v>203962.87</v>
      </c>
      <c r="L16965" s="43">
        <v>8.8312938566498485</v>
      </c>
      <c r="M16965" s="43">
        <v>11.50042194092827</v>
      </c>
      <c r="N16965" s="43" t="s">
        <v>1690</v>
      </c>
      <c r="O16965" s="43">
        <v>8.7660437058233445</v>
      </c>
      <c r="P16965" s="535"/>
      <c r="Q16965" s="535"/>
      <c r="R16965" s="535">
        <v>1</v>
      </c>
    </row>
    <row r="16966" spans="1:18" ht="48">
      <c r="A16966" s="536">
        <v>127</v>
      </c>
      <c r="B16966" s="537" t="s">
        <v>30433</v>
      </c>
      <c r="C16966" s="538" t="s">
        <v>30434</v>
      </c>
      <c r="D16966" s="539">
        <v>32880.18</v>
      </c>
      <c r="E16966" s="539">
        <v>568.79999999999995</v>
      </c>
      <c r="F16966" s="539"/>
      <c r="G16966" s="539">
        <v>32311.38</v>
      </c>
      <c r="H16966" s="540">
        <v>289772.31</v>
      </c>
      <c r="I16966" s="540">
        <v>6541.44</v>
      </c>
      <c r="J16966" s="540"/>
      <c r="K16966" s="540">
        <v>283230.87</v>
      </c>
      <c r="L16966" s="611">
        <v>8.8129782136229178</v>
      </c>
      <c r="M16966" s="611">
        <v>11.50042194092827</v>
      </c>
      <c r="N16966" s="611" t="s">
        <v>1690</v>
      </c>
      <c r="O16966" s="611">
        <v>8.7656692471816431</v>
      </c>
      <c r="P16966" s="541"/>
      <c r="Q16966" s="541"/>
      <c r="R16966" s="541">
        <v>1</v>
      </c>
    </row>
    <row r="16967" spans="1:18" ht="12.75" customHeight="1">
      <c r="A16967" s="630" t="s">
        <v>30435</v>
      </c>
      <c r="B16967" s="631"/>
      <c r="C16967" s="631"/>
      <c r="D16967" s="631"/>
      <c r="E16967" s="631"/>
      <c r="F16967" s="631"/>
      <c r="G16967" s="631"/>
      <c r="H16967" s="631"/>
      <c r="I16967" s="631"/>
      <c r="J16967" s="631"/>
      <c r="K16967" s="631"/>
      <c r="L16967" s="631"/>
      <c r="M16967" s="631"/>
      <c r="N16967" s="631"/>
      <c r="O16967" s="631"/>
      <c r="P16967" s="631"/>
      <c r="Q16967" s="631"/>
      <c r="R16967" s="631"/>
    </row>
    <row r="16968" spans="1:18" ht="12.75" customHeight="1">
      <c r="A16968" s="628" t="s">
        <v>30436</v>
      </c>
      <c r="B16968" s="629"/>
      <c r="C16968" s="629"/>
      <c r="D16968" s="629"/>
      <c r="E16968" s="629"/>
      <c r="F16968" s="629"/>
      <c r="G16968" s="629"/>
      <c r="H16968" s="629"/>
      <c r="I16968" s="629"/>
      <c r="J16968" s="629"/>
      <c r="K16968" s="629"/>
      <c r="L16968" s="629"/>
      <c r="M16968" s="629"/>
      <c r="N16968" s="629"/>
      <c r="O16968" s="629"/>
      <c r="P16968" s="629"/>
      <c r="Q16968" s="629"/>
      <c r="R16968" s="629"/>
    </row>
    <row r="16969" spans="1:18" ht="12.75" customHeight="1">
      <c r="A16969" s="628" t="s">
        <v>30437</v>
      </c>
      <c r="B16969" s="629"/>
      <c r="C16969" s="629"/>
      <c r="D16969" s="629"/>
      <c r="E16969" s="629"/>
      <c r="F16969" s="629"/>
      <c r="G16969" s="629"/>
      <c r="H16969" s="629"/>
      <c r="I16969" s="629"/>
      <c r="J16969" s="629"/>
      <c r="K16969" s="629"/>
      <c r="L16969" s="629"/>
      <c r="M16969" s="629"/>
      <c r="N16969" s="629"/>
      <c r="O16969" s="629"/>
      <c r="P16969" s="629"/>
      <c r="Q16969" s="629"/>
      <c r="R16969" s="629"/>
    </row>
    <row r="16970" spans="1:18" ht="24">
      <c r="A16970" s="531">
        <v>128</v>
      </c>
      <c r="B16970" s="528" t="s">
        <v>30438</v>
      </c>
      <c r="C16970" s="532" t="s">
        <v>30439</v>
      </c>
      <c r="D16970" s="533">
        <v>10412.39</v>
      </c>
      <c r="E16970" s="533">
        <v>372.95</v>
      </c>
      <c r="F16970" s="533">
        <v>5208.6400000000003</v>
      </c>
      <c r="G16970" s="533">
        <v>4830.8</v>
      </c>
      <c r="H16970" s="534">
        <v>60034.89</v>
      </c>
      <c r="I16970" s="534">
        <v>4289.1499999999996</v>
      </c>
      <c r="J16970" s="534">
        <v>30542.27</v>
      </c>
      <c r="K16970" s="534">
        <v>25203.47</v>
      </c>
      <c r="L16970" s="43">
        <v>5.7657166126124748</v>
      </c>
      <c r="M16970" s="43">
        <v>11.500603298029226</v>
      </c>
      <c r="N16970" s="43">
        <v>5.8637705811881791</v>
      </c>
      <c r="O16970" s="43">
        <v>5.2172455907924151</v>
      </c>
      <c r="P16970" s="535"/>
      <c r="Q16970" s="535"/>
      <c r="R16970" s="535">
        <v>1</v>
      </c>
    </row>
    <row r="16971" spans="1:18" ht="24">
      <c r="A16971" s="531">
        <v>129</v>
      </c>
      <c r="B16971" s="528" t="s">
        <v>30440</v>
      </c>
      <c r="C16971" s="532" t="s">
        <v>30441</v>
      </c>
      <c r="D16971" s="533">
        <v>10435.26</v>
      </c>
      <c r="E16971" s="533">
        <v>395.37</v>
      </c>
      <c r="F16971" s="533">
        <v>5208.6400000000003</v>
      </c>
      <c r="G16971" s="533">
        <v>4831.25</v>
      </c>
      <c r="H16971" s="534">
        <v>60297.89</v>
      </c>
      <c r="I16971" s="534">
        <v>4546.97</v>
      </c>
      <c r="J16971" s="534">
        <v>30542.27</v>
      </c>
      <c r="K16971" s="534">
        <v>25208.65</v>
      </c>
      <c r="L16971" s="43">
        <v>5.7782834351995058</v>
      </c>
      <c r="M16971" s="43">
        <v>11.500543794420416</v>
      </c>
      <c r="N16971" s="43">
        <v>5.8637705811881791</v>
      </c>
      <c r="O16971" s="43">
        <v>5.2178318240620962</v>
      </c>
      <c r="P16971" s="535"/>
      <c r="Q16971" s="535"/>
      <c r="R16971" s="535">
        <v>1</v>
      </c>
    </row>
    <row r="16972" spans="1:18" ht="24">
      <c r="A16972" s="531">
        <v>130</v>
      </c>
      <c r="B16972" s="528" t="s">
        <v>30442</v>
      </c>
      <c r="C16972" s="532" t="s">
        <v>30443</v>
      </c>
      <c r="D16972" s="533">
        <v>15840.25</v>
      </c>
      <c r="E16972" s="533">
        <v>712.28</v>
      </c>
      <c r="F16972" s="533">
        <v>9801.4500000000007</v>
      </c>
      <c r="G16972" s="533">
        <v>5326.52</v>
      </c>
      <c r="H16972" s="534">
        <v>93792.42</v>
      </c>
      <c r="I16972" s="534">
        <v>8191.58</v>
      </c>
      <c r="J16972" s="534">
        <v>57329.72</v>
      </c>
      <c r="K16972" s="534">
        <v>28271.119999999999</v>
      </c>
      <c r="L16972" s="43">
        <v>5.9211451839459599</v>
      </c>
      <c r="M16972" s="43">
        <v>11.500505419217163</v>
      </c>
      <c r="N16972" s="43">
        <v>5.8491059996225045</v>
      </c>
      <c r="O16972" s="43">
        <v>5.3076154787741334</v>
      </c>
      <c r="P16972" s="535"/>
      <c r="Q16972" s="535"/>
      <c r="R16972" s="535">
        <v>1</v>
      </c>
    </row>
    <row r="16973" spans="1:18" ht="24">
      <c r="A16973" s="531">
        <v>131</v>
      </c>
      <c r="B16973" s="528" t="s">
        <v>30444</v>
      </c>
      <c r="C16973" s="532" t="s">
        <v>30445</v>
      </c>
      <c r="D16973" s="533">
        <v>15991.98</v>
      </c>
      <c r="E16973" s="533">
        <v>793.49</v>
      </c>
      <c r="F16973" s="533">
        <v>9870.35</v>
      </c>
      <c r="G16973" s="533">
        <v>5328.14</v>
      </c>
      <c r="H16973" s="534">
        <v>95168.72</v>
      </c>
      <c r="I16973" s="534">
        <v>9125.11</v>
      </c>
      <c r="J16973" s="534">
        <v>57753.86</v>
      </c>
      <c r="K16973" s="534">
        <v>28289.75</v>
      </c>
      <c r="L16973" s="43">
        <v>5.9510279527613221</v>
      </c>
      <c r="M16973" s="43">
        <v>11.499968493616807</v>
      </c>
      <c r="N16973" s="43">
        <v>5.8512474228370825</v>
      </c>
      <c r="O16973" s="43">
        <v>5.3094982489198852</v>
      </c>
      <c r="P16973" s="535"/>
      <c r="Q16973" s="535"/>
      <c r="R16973" s="535">
        <v>1</v>
      </c>
    </row>
    <row r="16974" spans="1:18" ht="24">
      <c r="A16974" s="531">
        <v>132</v>
      </c>
      <c r="B16974" s="528" t="s">
        <v>30446</v>
      </c>
      <c r="C16974" s="532" t="s">
        <v>30447</v>
      </c>
      <c r="D16974" s="533">
        <v>16522.14</v>
      </c>
      <c r="E16974" s="533">
        <v>793.49</v>
      </c>
      <c r="F16974" s="533">
        <v>10074.56</v>
      </c>
      <c r="G16974" s="533">
        <v>5654.09</v>
      </c>
      <c r="H16974" s="534">
        <v>98418.75</v>
      </c>
      <c r="I16974" s="534">
        <v>9125.11</v>
      </c>
      <c r="J16974" s="534">
        <v>59010.85</v>
      </c>
      <c r="K16974" s="534">
        <v>30282.79</v>
      </c>
      <c r="L16974" s="43">
        <v>5.956779811816145</v>
      </c>
      <c r="M16974" s="43">
        <v>11.499968493616807</v>
      </c>
      <c r="N16974" s="43">
        <v>5.8574121351205415</v>
      </c>
      <c r="O16974" s="43">
        <v>5.3559087315553873</v>
      </c>
      <c r="P16974" s="535"/>
      <c r="Q16974" s="535"/>
      <c r="R16974" s="535">
        <v>1</v>
      </c>
    </row>
    <row r="16975" spans="1:18" ht="24">
      <c r="A16975" s="531">
        <v>133</v>
      </c>
      <c r="B16975" s="528" t="s">
        <v>30448</v>
      </c>
      <c r="C16975" s="532" t="s">
        <v>30449</v>
      </c>
      <c r="D16975" s="533">
        <v>24228.28</v>
      </c>
      <c r="E16975" s="533">
        <v>1041.72</v>
      </c>
      <c r="F16975" s="533">
        <v>13193.1</v>
      </c>
      <c r="G16975" s="533">
        <v>9993.4599999999991</v>
      </c>
      <c r="H16975" s="534">
        <v>141667.79</v>
      </c>
      <c r="I16975" s="534">
        <v>11979.83</v>
      </c>
      <c r="J16975" s="534">
        <v>77220.009999999995</v>
      </c>
      <c r="K16975" s="534">
        <v>52467.95</v>
      </c>
      <c r="L16975" s="43">
        <v>5.847207890943972</v>
      </c>
      <c r="M16975" s="43">
        <v>11.500047997542525</v>
      </c>
      <c r="N16975" s="43">
        <v>5.853060311829668</v>
      </c>
      <c r="O16975" s="43">
        <v>5.2502286495367976</v>
      </c>
      <c r="P16975" s="535"/>
      <c r="Q16975" s="535"/>
      <c r="R16975" s="535">
        <v>1</v>
      </c>
    </row>
    <row r="16976" spans="1:18" ht="24">
      <c r="A16976" s="531">
        <v>134</v>
      </c>
      <c r="B16976" s="528" t="s">
        <v>30450</v>
      </c>
      <c r="C16976" s="532" t="s">
        <v>30451</v>
      </c>
      <c r="D16976" s="533">
        <v>24555.58</v>
      </c>
      <c r="E16976" s="533">
        <v>1094.8399999999999</v>
      </c>
      <c r="F16976" s="533">
        <v>13466.21</v>
      </c>
      <c r="G16976" s="533">
        <v>9994.5300000000007</v>
      </c>
      <c r="H16976" s="534">
        <v>143972.04999999999</v>
      </c>
      <c r="I16976" s="534">
        <v>12590.66</v>
      </c>
      <c r="J16976" s="534">
        <v>78901.14</v>
      </c>
      <c r="K16976" s="534">
        <v>52480.25</v>
      </c>
      <c r="L16976" s="43">
        <v>5.8631093217916241</v>
      </c>
      <c r="M16976" s="43">
        <v>11.5</v>
      </c>
      <c r="N16976" s="43">
        <v>5.8591942350520307</v>
      </c>
      <c r="O16976" s="43">
        <v>5.250897240790712</v>
      </c>
      <c r="P16976" s="535"/>
      <c r="Q16976" s="535"/>
      <c r="R16976" s="535">
        <v>1</v>
      </c>
    </row>
    <row r="16977" spans="1:18" ht="24">
      <c r="A16977" s="531">
        <v>135</v>
      </c>
      <c r="B16977" s="528" t="s">
        <v>30452</v>
      </c>
      <c r="C16977" s="532" t="s">
        <v>30453</v>
      </c>
      <c r="D16977" s="533">
        <v>41719.230000000003</v>
      </c>
      <c r="E16977" s="533">
        <v>2308.92</v>
      </c>
      <c r="F16977" s="533">
        <v>27598.76</v>
      </c>
      <c r="G16977" s="533">
        <v>11811.55</v>
      </c>
      <c r="H16977" s="534">
        <v>252253.22</v>
      </c>
      <c r="I16977" s="534">
        <v>26552.58</v>
      </c>
      <c r="J16977" s="534">
        <v>161979.45000000001</v>
      </c>
      <c r="K16977" s="534">
        <v>63721.19</v>
      </c>
      <c r="L16977" s="43">
        <v>6.04644956294735</v>
      </c>
      <c r="M16977" s="43">
        <v>11.5</v>
      </c>
      <c r="N16977" s="43">
        <v>5.8690843356730529</v>
      </c>
      <c r="O16977" s="43">
        <v>5.3948203241742201</v>
      </c>
      <c r="P16977" s="535"/>
      <c r="Q16977" s="535"/>
      <c r="R16977" s="535">
        <v>1</v>
      </c>
    </row>
    <row r="16978" spans="1:18" ht="24">
      <c r="A16978" s="531">
        <v>136</v>
      </c>
      <c r="B16978" s="528" t="s">
        <v>30454</v>
      </c>
      <c r="C16978" s="532" t="s">
        <v>30455</v>
      </c>
      <c r="D16978" s="533">
        <v>5253.49</v>
      </c>
      <c r="E16978" s="533">
        <v>345.44</v>
      </c>
      <c r="F16978" s="533">
        <v>4901.1400000000003</v>
      </c>
      <c r="G16978" s="533">
        <v>6.91</v>
      </c>
      <c r="H16978" s="534">
        <v>32694.62</v>
      </c>
      <c r="I16978" s="534">
        <v>3972.74</v>
      </c>
      <c r="J16978" s="534">
        <v>28642.41</v>
      </c>
      <c r="K16978" s="534">
        <v>79.47</v>
      </c>
      <c r="L16978" s="43">
        <v>6.2234095810594479</v>
      </c>
      <c r="M16978" s="43">
        <v>11.50052107457156</v>
      </c>
      <c r="N16978" s="43">
        <v>5.8440301644107286</v>
      </c>
      <c r="O16978" s="43">
        <v>11.500723589001447</v>
      </c>
      <c r="P16978" s="535"/>
      <c r="Q16978" s="535"/>
      <c r="R16978" s="535">
        <v>1</v>
      </c>
    </row>
    <row r="16979" spans="1:18" ht="24">
      <c r="A16979" s="531">
        <v>137</v>
      </c>
      <c r="B16979" s="528" t="s">
        <v>30456</v>
      </c>
      <c r="C16979" s="532" t="s">
        <v>30457</v>
      </c>
      <c r="D16979" s="533">
        <v>5434.74</v>
      </c>
      <c r="E16979" s="533">
        <v>389.26</v>
      </c>
      <c r="F16979" s="533">
        <v>5037.6899999999996</v>
      </c>
      <c r="G16979" s="533">
        <v>7.79</v>
      </c>
      <c r="H16979" s="534">
        <v>34049.22</v>
      </c>
      <c r="I16979" s="534">
        <v>4476.66</v>
      </c>
      <c r="J16979" s="534">
        <v>29482.97</v>
      </c>
      <c r="K16979" s="534">
        <v>89.59</v>
      </c>
      <c r="L16979" s="43">
        <v>6.2651055984278923</v>
      </c>
      <c r="M16979" s="43">
        <v>11.500436726095669</v>
      </c>
      <c r="N16979" s="43">
        <v>5.8524780206801141</v>
      </c>
      <c r="O16979" s="43">
        <v>11.500641848523749</v>
      </c>
      <c r="P16979" s="535"/>
      <c r="Q16979" s="535"/>
      <c r="R16979" s="535">
        <v>1</v>
      </c>
    </row>
    <row r="16980" spans="1:18" ht="24">
      <c r="A16980" s="531">
        <v>138</v>
      </c>
      <c r="B16980" s="528" t="s">
        <v>30458</v>
      </c>
      <c r="C16980" s="532" t="s">
        <v>30459</v>
      </c>
      <c r="D16980" s="533">
        <v>10233.26</v>
      </c>
      <c r="E16980" s="533">
        <v>657.26</v>
      </c>
      <c r="F16980" s="533">
        <v>9562.85</v>
      </c>
      <c r="G16980" s="533">
        <v>13.15</v>
      </c>
      <c r="H16980" s="534">
        <v>63563.99</v>
      </c>
      <c r="I16980" s="534">
        <v>7558.76</v>
      </c>
      <c r="J16980" s="534">
        <v>55854</v>
      </c>
      <c r="K16980" s="534">
        <v>151.22999999999999</v>
      </c>
      <c r="L16980" s="43">
        <v>6.2115093332916391</v>
      </c>
      <c r="M16980" s="43">
        <v>11.500410796336306</v>
      </c>
      <c r="N16980" s="43">
        <v>5.8407273982128753</v>
      </c>
      <c r="O16980" s="43">
        <v>11.500380228136882</v>
      </c>
      <c r="P16980" s="535"/>
      <c r="Q16980" s="535"/>
      <c r="R16980" s="535">
        <v>1</v>
      </c>
    </row>
    <row r="16981" spans="1:18" ht="24">
      <c r="A16981" s="531">
        <v>139</v>
      </c>
      <c r="B16981" s="528" t="s">
        <v>30460</v>
      </c>
      <c r="C16981" s="532" t="s">
        <v>30461</v>
      </c>
      <c r="D16981" s="533">
        <v>10323.56</v>
      </c>
      <c r="E16981" s="533">
        <v>745.79</v>
      </c>
      <c r="F16981" s="533">
        <v>9562.85</v>
      </c>
      <c r="G16981" s="533">
        <v>14.92</v>
      </c>
      <c r="H16981" s="534">
        <v>64602.19</v>
      </c>
      <c r="I16981" s="534">
        <v>8576.61</v>
      </c>
      <c r="J16981" s="534">
        <v>55854</v>
      </c>
      <c r="K16981" s="534">
        <v>171.58</v>
      </c>
      <c r="L16981" s="43">
        <v>6.2577434528399127</v>
      </c>
      <c r="M16981" s="43">
        <v>11.500033521500692</v>
      </c>
      <c r="N16981" s="43">
        <v>5.8407273982128753</v>
      </c>
      <c r="O16981" s="43">
        <v>11.500000000000002</v>
      </c>
      <c r="P16981" s="535"/>
      <c r="Q16981" s="535"/>
      <c r="R16981" s="535">
        <v>1</v>
      </c>
    </row>
    <row r="16982" spans="1:18" ht="24">
      <c r="A16982" s="531">
        <v>140</v>
      </c>
      <c r="B16982" s="528" t="s">
        <v>30462</v>
      </c>
      <c r="C16982" s="532" t="s">
        <v>30463</v>
      </c>
      <c r="D16982" s="533">
        <v>10596.67</v>
      </c>
      <c r="E16982" s="533">
        <v>745.79</v>
      </c>
      <c r="F16982" s="533">
        <v>9835.9599999999991</v>
      </c>
      <c r="G16982" s="533">
        <v>14.92</v>
      </c>
      <c r="H16982" s="534">
        <v>66283.320000000007</v>
      </c>
      <c r="I16982" s="534">
        <v>8576.61</v>
      </c>
      <c r="J16982" s="534">
        <v>57535.13</v>
      </c>
      <c r="K16982" s="534">
        <v>171.58</v>
      </c>
      <c r="L16982" s="43">
        <v>6.255108444445284</v>
      </c>
      <c r="M16982" s="43">
        <v>11.500033521500692</v>
      </c>
      <c r="N16982" s="43">
        <v>5.8494676676196331</v>
      </c>
      <c r="O16982" s="43">
        <v>11.500000000000002</v>
      </c>
      <c r="P16982" s="535"/>
      <c r="Q16982" s="535"/>
      <c r="R16982" s="535">
        <v>1</v>
      </c>
    </row>
    <row r="16983" spans="1:18" ht="24">
      <c r="A16983" s="531">
        <v>141</v>
      </c>
      <c r="B16983" s="528" t="s">
        <v>30464</v>
      </c>
      <c r="C16983" s="532" t="s">
        <v>30465</v>
      </c>
      <c r="D16983" s="533">
        <v>13945.18</v>
      </c>
      <c r="E16983" s="533">
        <v>971.26</v>
      </c>
      <c r="F16983" s="533">
        <v>12954.49</v>
      </c>
      <c r="G16983" s="533">
        <v>19.43</v>
      </c>
      <c r="H16983" s="534">
        <v>87137.279999999999</v>
      </c>
      <c r="I16983" s="534">
        <v>11169.54</v>
      </c>
      <c r="J16983" s="534">
        <v>75744.289999999994</v>
      </c>
      <c r="K16983" s="534">
        <v>223.45</v>
      </c>
      <c r="L16983" s="43">
        <v>6.2485590003140867</v>
      </c>
      <c r="M16983" s="43">
        <v>11.500051479521447</v>
      </c>
      <c r="N16983" s="43">
        <v>5.8469526781833938</v>
      </c>
      <c r="O16983" s="43">
        <v>11.500257334019556</v>
      </c>
      <c r="P16983" s="535"/>
      <c r="Q16983" s="535"/>
      <c r="R16983" s="535">
        <v>1</v>
      </c>
    </row>
    <row r="16984" spans="1:18" ht="24">
      <c r="A16984" s="531">
        <v>142</v>
      </c>
      <c r="B16984" s="528" t="s">
        <v>30466</v>
      </c>
      <c r="C16984" s="532" t="s">
        <v>30467</v>
      </c>
      <c r="D16984" s="533">
        <v>14185.88</v>
      </c>
      <c r="E16984" s="533">
        <v>1007.04</v>
      </c>
      <c r="F16984" s="533">
        <v>13158.7</v>
      </c>
      <c r="G16984" s="533">
        <v>20.14</v>
      </c>
      <c r="H16984" s="534">
        <v>88813.8</v>
      </c>
      <c r="I16984" s="534">
        <v>11580.91</v>
      </c>
      <c r="J16984" s="534">
        <v>77001.279999999999</v>
      </c>
      <c r="K16984" s="534">
        <v>231.61</v>
      </c>
      <c r="L16984" s="43">
        <v>6.260718404497994</v>
      </c>
      <c r="M16984" s="43">
        <v>11.499950349539244</v>
      </c>
      <c r="N16984" s="43">
        <v>5.8517391535638019</v>
      </c>
      <c r="O16984" s="43">
        <v>11.5</v>
      </c>
      <c r="P16984" s="535"/>
      <c r="Q16984" s="535"/>
      <c r="R16984" s="535">
        <v>1</v>
      </c>
    </row>
    <row r="16985" spans="1:18" ht="24">
      <c r="A16985" s="531">
        <v>143</v>
      </c>
      <c r="B16985" s="528" t="s">
        <v>30468</v>
      </c>
      <c r="C16985" s="532" t="s">
        <v>30469</v>
      </c>
      <c r="D16985" s="533">
        <v>29157.57</v>
      </c>
      <c r="E16985" s="533">
        <v>2168</v>
      </c>
      <c r="F16985" s="533">
        <v>26946.21</v>
      </c>
      <c r="G16985" s="533">
        <v>43.36</v>
      </c>
      <c r="H16985" s="534">
        <v>183436.21</v>
      </c>
      <c r="I16985" s="534">
        <v>24932</v>
      </c>
      <c r="J16985" s="534">
        <v>158005.57</v>
      </c>
      <c r="K16985" s="534">
        <v>498.64</v>
      </c>
      <c r="L16985" s="43">
        <v>6.2912036222497276</v>
      </c>
      <c r="M16985" s="43">
        <v>11.5</v>
      </c>
      <c r="N16985" s="43">
        <v>5.8637400213239639</v>
      </c>
      <c r="O16985" s="43">
        <v>11.5</v>
      </c>
      <c r="P16985" s="535"/>
      <c r="Q16985" s="535"/>
      <c r="R16985" s="535">
        <v>1</v>
      </c>
    </row>
    <row r="16986" spans="1:18" ht="12.75" customHeight="1">
      <c r="A16986" s="628" t="s">
        <v>30470</v>
      </c>
      <c r="B16986" s="629"/>
      <c r="C16986" s="629"/>
      <c r="D16986" s="629"/>
      <c r="E16986" s="629"/>
      <c r="F16986" s="629"/>
      <c r="G16986" s="629"/>
      <c r="H16986" s="629"/>
      <c r="I16986" s="629"/>
      <c r="J16986" s="629"/>
      <c r="K16986" s="629"/>
      <c r="L16986" s="629"/>
      <c r="M16986" s="629"/>
      <c r="N16986" s="629"/>
      <c r="O16986" s="629"/>
      <c r="P16986" s="629"/>
      <c r="Q16986" s="629"/>
      <c r="R16986" s="629"/>
    </row>
    <row r="16987" spans="1:18" ht="24">
      <c r="A16987" s="531">
        <v>144</v>
      </c>
      <c r="B16987" s="528" t="s">
        <v>30471</v>
      </c>
      <c r="C16987" s="532" t="s">
        <v>30472</v>
      </c>
      <c r="D16987" s="533">
        <v>7940.49</v>
      </c>
      <c r="E16987" s="533">
        <v>335.25</v>
      </c>
      <c r="F16987" s="533">
        <v>5842.64</v>
      </c>
      <c r="G16987" s="533">
        <v>1762.6</v>
      </c>
      <c r="H16987" s="534">
        <v>46495.43</v>
      </c>
      <c r="I16987" s="534">
        <v>3855.55</v>
      </c>
      <c r="J16987" s="534">
        <v>33974.379999999997</v>
      </c>
      <c r="K16987" s="534">
        <v>8665.5</v>
      </c>
      <c r="L16987" s="43">
        <v>5.8554862483297629</v>
      </c>
      <c r="M16987" s="43">
        <v>11.500521998508576</v>
      </c>
      <c r="N16987" s="43">
        <v>5.8149021675133152</v>
      </c>
      <c r="O16987" s="43">
        <v>4.9163168047202994</v>
      </c>
      <c r="P16987" s="535"/>
      <c r="Q16987" s="535"/>
      <c r="R16987" s="535">
        <v>2</v>
      </c>
    </row>
    <row r="16988" spans="1:18" ht="24">
      <c r="A16988" s="531">
        <v>145</v>
      </c>
      <c r="B16988" s="528" t="s">
        <v>30473</v>
      </c>
      <c r="C16988" s="532" t="s">
        <v>30474</v>
      </c>
      <c r="D16988" s="533">
        <v>10174.629999999999</v>
      </c>
      <c r="E16988" s="533">
        <v>440.1</v>
      </c>
      <c r="F16988" s="533">
        <v>7055.24</v>
      </c>
      <c r="G16988" s="533">
        <v>2679.29</v>
      </c>
      <c r="H16988" s="534">
        <v>59050.96</v>
      </c>
      <c r="I16988" s="534">
        <v>5061.2</v>
      </c>
      <c r="J16988" s="534">
        <v>41020.639999999999</v>
      </c>
      <c r="K16988" s="534">
        <v>12969.12</v>
      </c>
      <c r="L16988" s="43">
        <v>5.8037451976140657</v>
      </c>
      <c r="M16988" s="43">
        <v>11.500113610543057</v>
      </c>
      <c r="N16988" s="43">
        <v>5.8142090134424906</v>
      </c>
      <c r="O16988" s="43">
        <v>4.8405062535223884</v>
      </c>
      <c r="P16988" s="535"/>
      <c r="Q16988" s="535"/>
      <c r="R16988" s="535">
        <v>2</v>
      </c>
    </row>
    <row r="16989" spans="1:18" ht="24">
      <c r="A16989" s="531">
        <v>146</v>
      </c>
      <c r="B16989" s="528" t="s">
        <v>30475</v>
      </c>
      <c r="C16989" s="532" t="s">
        <v>30476</v>
      </c>
      <c r="D16989" s="533">
        <v>13608.79</v>
      </c>
      <c r="E16989" s="533">
        <v>617.88</v>
      </c>
      <c r="F16989" s="533">
        <v>9982.11</v>
      </c>
      <c r="G16989" s="533">
        <v>3008.8</v>
      </c>
      <c r="H16989" s="534">
        <v>80101.09</v>
      </c>
      <c r="I16989" s="534">
        <v>7105.62</v>
      </c>
      <c r="J16989" s="534">
        <v>57992.37</v>
      </c>
      <c r="K16989" s="534">
        <v>15003.1</v>
      </c>
      <c r="L16989" s="43">
        <v>5.8859817808930837</v>
      </c>
      <c r="M16989" s="43">
        <v>11.5</v>
      </c>
      <c r="N16989" s="43">
        <v>5.8096304288371901</v>
      </c>
      <c r="O16989" s="43">
        <v>4.9864065408136131</v>
      </c>
      <c r="P16989" s="535"/>
      <c r="Q16989" s="535"/>
      <c r="R16989" s="535">
        <v>2</v>
      </c>
    </row>
    <row r="16990" spans="1:18" ht="24">
      <c r="A16990" s="531">
        <v>147</v>
      </c>
      <c r="B16990" s="528" t="s">
        <v>30477</v>
      </c>
      <c r="C16990" s="532" t="s">
        <v>30478</v>
      </c>
      <c r="D16990" s="533">
        <v>15687.73</v>
      </c>
      <c r="E16990" s="533">
        <v>677.5</v>
      </c>
      <c r="F16990" s="533">
        <v>11313.74</v>
      </c>
      <c r="G16990" s="533">
        <v>3696.49</v>
      </c>
      <c r="H16990" s="534">
        <v>92410.9</v>
      </c>
      <c r="I16990" s="534">
        <v>7791.25</v>
      </c>
      <c r="J16990" s="534">
        <v>65763.22</v>
      </c>
      <c r="K16990" s="534">
        <v>18856.43</v>
      </c>
      <c r="L16990" s="43">
        <v>5.8906482964711913</v>
      </c>
      <c r="M16990" s="43">
        <v>11.5</v>
      </c>
      <c r="N16990" s="43">
        <v>5.8126861674388843</v>
      </c>
      <c r="O16990" s="43">
        <v>5.101171652026653</v>
      </c>
      <c r="P16990" s="535"/>
      <c r="Q16990" s="535"/>
      <c r="R16990" s="535">
        <v>2</v>
      </c>
    </row>
    <row r="16991" spans="1:18" ht="24">
      <c r="A16991" s="531">
        <v>148</v>
      </c>
      <c r="B16991" s="528" t="s">
        <v>30479</v>
      </c>
      <c r="C16991" s="532" t="s">
        <v>30480</v>
      </c>
      <c r="D16991" s="533">
        <v>18628.009999999998</v>
      </c>
      <c r="E16991" s="533">
        <v>893.92</v>
      </c>
      <c r="F16991" s="533">
        <v>12810.95</v>
      </c>
      <c r="G16991" s="533">
        <v>4923.1400000000003</v>
      </c>
      <c r="H16991" s="534">
        <v>111118.15</v>
      </c>
      <c r="I16991" s="534">
        <v>10280.49</v>
      </c>
      <c r="J16991" s="534">
        <v>74457.539999999994</v>
      </c>
      <c r="K16991" s="534">
        <v>26380.12</v>
      </c>
      <c r="L16991" s="43">
        <v>5.9651111417698406</v>
      </c>
      <c r="M16991" s="43">
        <v>11.500458654018257</v>
      </c>
      <c r="N16991" s="43">
        <v>5.8120233081855748</v>
      </c>
      <c r="O16991" s="43">
        <v>5.3583932205868603</v>
      </c>
      <c r="P16991" s="535"/>
      <c r="Q16991" s="535"/>
      <c r="R16991" s="535">
        <v>2</v>
      </c>
    </row>
    <row r="16992" spans="1:18" ht="24">
      <c r="A16992" s="531">
        <v>149</v>
      </c>
      <c r="B16992" s="528" t="s">
        <v>30481</v>
      </c>
      <c r="C16992" s="532" t="s">
        <v>30482</v>
      </c>
      <c r="D16992" s="533">
        <v>30017.68</v>
      </c>
      <c r="E16992" s="533">
        <v>1631.58</v>
      </c>
      <c r="F16992" s="533">
        <v>22490.82</v>
      </c>
      <c r="G16992" s="533">
        <v>5895.28</v>
      </c>
      <c r="H16992" s="534">
        <v>180646.56</v>
      </c>
      <c r="I16992" s="534">
        <v>18763.88</v>
      </c>
      <c r="J16992" s="534">
        <v>130672.36</v>
      </c>
      <c r="K16992" s="534">
        <v>31210.32</v>
      </c>
      <c r="L16992" s="43">
        <v>6.0180053888241858</v>
      </c>
      <c r="M16992" s="43">
        <v>11.500435161009575</v>
      </c>
      <c r="N16992" s="43">
        <v>5.8100309370667675</v>
      </c>
      <c r="O16992" s="43">
        <v>5.2941200417961491</v>
      </c>
      <c r="P16992" s="535"/>
      <c r="Q16992" s="535"/>
      <c r="R16992" s="535">
        <v>2</v>
      </c>
    </row>
    <row r="16993" spans="1:18" ht="24">
      <c r="A16993" s="531">
        <v>150</v>
      </c>
      <c r="B16993" s="528" t="s">
        <v>30483</v>
      </c>
      <c r="C16993" s="532" t="s">
        <v>30484</v>
      </c>
      <c r="D16993" s="533">
        <v>6108.88</v>
      </c>
      <c r="E16993" s="533">
        <v>330.16</v>
      </c>
      <c r="F16993" s="533">
        <v>5772.12</v>
      </c>
      <c r="G16993" s="533">
        <v>6.6</v>
      </c>
      <c r="H16993" s="534">
        <v>37412.589999999997</v>
      </c>
      <c r="I16993" s="534">
        <v>3796.96</v>
      </c>
      <c r="J16993" s="534">
        <v>33539.730000000003</v>
      </c>
      <c r="K16993" s="534">
        <v>75.900000000000006</v>
      </c>
      <c r="L16993" s="43">
        <v>6.1242961066513004</v>
      </c>
      <c r="M16993" s="43">
        <v>11.500363460140537</v>
      </c>
      <c r="N16993" s="43">
        <v>5.8106432298704815</v>
      </c>
      <c r="O16993" s="43">
        <v>11.500000000000002</v>
      </c>
      <c r="P16993" s="535"/>
      <c r="Q16993" s="535"/>
      <c r="R16993" s="535">
        <v>2</v>
      </c>
    </row>
    <row r="16994" spans="1:18" ht="24">
      <c r="A16994" s="531">
        <v>151</v>
      </c>
      <c r="B16994" s="528" t="s">
        <v>30485</v>
      </c>
      <c r="C16994" s="532" t="s">
        <v>30486</v>
      </c>
      <c r="D16994" s="533">
        <v>7425.74</v>
      </c>
      <c r="E16994" s="533">
        <v>433.6</v>
      </c>
      <c r="F16994" s="533">
        <v>6983.47</v>
      </c>
      <c r="G16994" s="533">
        <v>8.67</v>
      </c>
      <c r="H16994" s="534">
        <v>45664.39</v>
      </c>
      <c r="I16994" s="534">
        <v>4986.3999999999996</v>
      </c>
      <c r="J16994" s="534">
        <v>40578.28</v>
      </c>
      <c r="K16994" s="534">
        <v>99.71</v>
      </c>
      <c r="L16994" s="43">
        <v>6.149473318484084</v>
      </c>
      <c r="M16994" s="43">
        <v>11.499999999999998</v>
      </c>
      <c r="N16994" s="43">
        <v>5.8106185034087634</v>
      </c>
      <c r="O16994" s="43">
        <v>11.500576701268741</v>
      </c>
      <c r="P16994" s="535"/>
      <c r="Q16994" s="535"/>
      <c r="R16994" s="535">
        <v>2</v>
      </c>
    </row>
    <row r="16995" spans="1:18" ht="24">
      <c r="A16995" s="531">
        <v>152</v>
      </c>
      <c r="B16995" s="528" t="s">
        <v>30487</v>
      </c>
      <c r="C16995" s="532" t="s">
        <v>30488</v>
      </c>
      <c r="D16995" s="533">
        <v>10517.51</v>
      </c>
      <c r="E16995" s="533">
        <v>594.03</v>
      </c>
      <c r="F16995" s="533">
        <v>9911.6</v>
      </c>
      <c r="G16995" s="533">
        <v>11.88</v>
      </c>
      <c r="H16995" s="534">
        <v>64525.72</v>
      </c>
      <c r="I16995" s="534">
        <v>6831.37</v>
      </c>
      <c r="J16995" s="534">
        <v>57557.73</v>
      </c>
      <c r="K16995" s="534">
        <v>136.62</v>
      </c>
      <c r="L16995" s="43">
        <v>6.1350756975748064</v>
      </c>
      <c r="M16995" s="43">
        <v>11.500042085416561</v>
      </c>
      <c r="N16995" s="43">
        <v>5.8071078332458939</v>
      </c>
      <c r="O16995" s="43">
        <v>11.5</v>
      </c>
      <c r="P16995" s="535"/>
      <c r="Q16995" s="535"/>
      <c r="R16995" s="535">
        <v>2</v>
      </c>
    </row>
    <row r="16996" spans="1:18" ht="24">
      <c r="A16996" s="531">
        <v>153</v>
      </c>
      <c r="B16996" s="528" t="s">
        <v>30489</v>
      </c>
      <c r="C16996" s="532" t="s">
        <v>30490</v>
      </c>
      <c r="D16996" s="533">
        <v>11908.69</v>
      </c>
      <c r="E16996" s="533">
        <v>653.65</v>
      </c>
      <c r="F16996" s="533">
        <v>11241.97</v>
      </c>
      <c r="G16996" s="533">
        <v>13.07</v>
      </c>
      <c r="H16996" s="534">
        <v>72988.17</v>
      </c>
      <c r="I16996" s="534">
        <v>7517</v>
      </c>
      <c r="J16996" s="534">
        <v>65320.86</v>
      </c>
      <c r="K16996" s="534">
        <v>150.31</v>
      </c>
      <c r="L16996" s="43">
        <v>6.128983960452409</v>
      </c>
      <c r="M16996" s="43">
        <v>11.500038246768149</v>
      </c>
      <c r="N16996" s="43">
        <v>5.8104460339246593</v>
      </c>
      <c r="O16996" s="43">
        <v>11.500382555470543</v>
      </c>
      <c r="P16996" s="535"/>
      <c r="Q16996" s="535"/>
      <c r="R16996" s="535">
        <v>2</v>
      </c>
    </row>
    <row r="16997" spans="1:18" ht="24">
      <c r="A16997" s="531">
        <v>154</v>
      </c>
      <c r="B16997" s="528" t="s">
        <v>30491</v>
      </c>
      <c r="C16997" s="532" t="s">
        <v>30492</v>
      </c>
      <c r="D16997" s="533">
        <v>13570.43</v>
      </c>
      <c r="E16997" s="533">
        <v>881.28</v>
      </c>
      <c r="F16997" s="533">
        <v>12671.52</v>
      </c>
      <c r="G16997" s="533">
        <v>17.63</v>
      </c>
      <c r="H16997" s="534">
        <v>83936.65</v>
      </c>
      <c r="I16997" s="534">
        <v>10135.14</v>
      </c>
      <c r="J16997" s="534">
        <v>73598.759999999995</v>
      </c>
      <c r="K16997" s="534">
        <v>202.75</v>
      </c>
      <c r="L16997" s="43">
        <v>6.1852608944594971</v>
      </c>
      <c r="M16997" s="43">
        <v>11.500476579520697</v>
      </c>
      <c r="N16997" s="43">
        <v>5.808202962233417</v>
      </c>
      <c r="O16997" s="43">
        <v>11.500283607487239</v>
      </c>
      <c r="P16997" s="535"/>
      <c r="Q16997" s="535"/>
      <c r="R16997" s="535">
        <v>2</v>
      </c>
    </row>
    <row r="16998" spans="1:18" ht="24">
      <c r="A16998" s="531">
        <v>155</v>
      </c>
      <c r="B16998" s="528" t="s">
        <v>30493</v>
      </c>
      <c r="C16998" s="532" t="s">
        <v>30494</v>
      </c>
      <c r="D16998" s="533">
        <v>23957.01</v>
      </c>
      <c r="E16998" s="533">
        <v>1574.13</v>
      </c>
      <c r="F16998" s="533">
        <v>22351.4</v>
      </c>
      <c r="G16998" s="533">
        <v>31.48</v>
      </c>
      <c r="H16998" s="534">
        <v>148278.76999999999</v>
      </c>
      <c r="I16998" s="534">
        <v>18103.18</v>
      </c>
      <c r="J16998" s="534">
        <v>129813.57</v>
      </c>
      <c r="K16998" s="534">
        <v>362.02</v>
      </c>
      <c r="L16998" s="43">
        <v>6.1893687901787411</v>
      </c>
      <c r="M16998" s="43">
        <v>11.500435161009573</v>
      </c>
      <c r="N16998" s="43">
        <v>5.807849620158021</v>
      </c>
      <c r="O16998" s="43">
        <v>11.5</v>
      </c>
      <c r="P16998" s="535"/>
      <c r="Q16998" s="535"/>
      <c r="R16998" s="535">
        <v>2</v>
      </c>
    </row>
    <row r="16999" spans="1:18" ht="12.75" customHeight="1">
      <c r="A16999" s="628" t="s">
        <v>30495</v>
      </c>
      <c r="B16999" s="629"/>
      <c r="C16999" s="629"/>
      <c r="D16999" s="629"/>
      <c r="E16999" s="629"/>
      <c r="F16999" s="629"/>
      <c r="G16999" s="629"/>
      <c r="H16999" s="629"/>
      <c r="I16999" s="629"/>
      <c r="J16999" s="629"/>
      <c r="K16999" s="629"/>
      <c r="L16999" s="629"/>
      <c r="M16999" s="629"/>
      <c r="N16999" s="629"/>
      <c r="O16999" s="629"/>
      <c r="P16999" s="629"/>
      <c r="Q16999" s="629"/>
      <c r="R16999" s="629"/>
    </row>
    <row r="17000" spans="1:18" ht="12.75" customHeight="1">
      <c r="A17000" s="628" t="s">
        <v>30496</v>
      </c>
      <c r="B17000" s="629"/>
      <c r="C17000" s="629"/>
      <c r="D17000" s="629"/>
      <c r="E17000" s="629"/>
      <c r="F17000" s="629"/>
      <c r="G17000" s="629"/>
      <c r="H17000" s="629"/>
      <c r="I17000" s="629"/>
      <c r="J17000" s="629"/>
      <c r="K17000" s="629"/>
      <c r="L17000" s="629"/>
      <c r="M17000" s="629"/>
      <c r="N17000" s="629"/>
      <c r="O17000" s="629"/>
      <c r="P17000" s="629"/>
      <c r="Q17000" s="629"/>
      <c r="R17000" s="629"/>
    </row>
    <row r="17001" spans="1:18" ht="24">
      <c r="A17001" s="531">
        <v>156</v>
      </c>
      <c r="B17001" s="528" t="s">
        <v>30497</v>
      </c>
      <c r="C17001" s="532" t="s">
        <v>30498</v>
      </c>
      <c r="D17001" s="533">
        <v>410.9</v>
      </c>
      <c r="E17001" s="533">
        <v>44.7</v>
      </c>
      <c r="F17001" s="533">
        <v>365.31</v>
      </c>
      <c r="G17001" s="533">
        <v>0.89</v>
      </c>
      <c r="H17001" s="534">
        <v>2662.08</v>
      </c>
      <c r="I17001" s="534">
        <v>514.05999999999995</v>
      </c>
      <c r="J17001" s="534">
        <v>2137.7800000000002</v>
      </c>
      <c r="K17001" s="534">
        <v>10.24</v>
      </c>
      <c r="L17001" s="43">
        <v>6.4786566074470677</v>
      </c>
      <c r="M17001" s="43">
        <v>11.50022371364653</v>
      </c>
      <c r="N17001" s="43">
        <v>5.8519613478963075</v>
      </c>
      <c r="O17001" s="43">
        <v>11.503164556962025</v>
      </c>
      <c r="P17001" s="535"/>
      <c r="Q17001" s="535"/>
      <c r="R17001" s="535">
        <v>1</v>
      </c>
    </row>
    <row r="17002" spans="1:18" ht="24">
      <c r="A17002" s="531">
        <v>157</v>
      </c>
      <c r="B17002" s="528" t="s">
        <v>30499</v>
      </c>
      <c r="C17002" s="532" t="s">
        <v>30500</v>
      </c>
      <c r="D17002" s="533">
        <v>426.72</v>
      </c>
      <c r="E17002" s="533">
        <v>47.92</v>
      </c>
      <c r="F17002" s="533">
        <v>377.84</v>
      </c>
      <c r="G17002" s="533">
        <v>0.96</v>
      </c>
      <c r="H17002" s="534">
        <v>2777.04</v>
      </c>
      <c r="I17002" s="534">
        <v>551.1</v>
      </c>
      <c r="J17002" s="534">
        <v>2214.9</v>
      </c>
      <c r="K17002" s="534">
        <v>11.04</v>
      </c>
      <c r="L17002" s="43">
        <v>6.5078740157480306</v>
      </c>
      <c r="M17002" s="43">
        <v>11.500417362270451</v>
      </c>
      <c r="N17002" s="43">
        <v>5.8620050815159859</v>
      </c>
      <c r="O17002" s="43">
        <v>11.5</v>
      </c>
      <c r="P17002" s="535"/>
      <c r="Q17002" s="535"/>
      <c r="R17002" s="535">
        <v>1</v>
      </c>
    </row>
    <row r="17003" spans="1:18" ht="24">
      <c r="A17003" s="531">
        <v>158</v>
      </c>
      <c r="B17003" s="528" t="s">
        <v>30501</v>
      </c>
      <c r="C17003" s="532" t="s">
        <v>30502</v>
      </c>
      <c r="D17003" s="533">
        <v>443.68</v>
      </c>
      <c r="E17003" s="533">
        <v>51.04</v>
      </c>
      <c r="F17003" s="533">
        <v>391.62</v>
      </c>
      <c r="G17003" s="533">
        <v>1.02</v>
      </c>
      <c r="H17003" s="534">
        <v>2898.48</v>
      </c>
      <c r="I17003" s="534">
        <v>587.02</v>
      </c>
      <c r="J17003" s="534">
        <v>2299.73</v>
      </c>
      <c r="K17003" s="534">
        <v>11.73</v>
      </c>
      <c r="L17003" s="43">
        <v>6.532816444284169</v>
      </c>
      <c r="M17003" s="43">
        <v>11.501175548589341</v>
      </c>
      <c r="N17003" s="43">
        <v>5.8723507481742505</v>
      </c>
      <c r="O17003" s="43">
        <v>11.5</v>
      </c>
      <c r="P17003" s="535"/>
      <c r="Q17003" s="535"/>
      <c r="R17003" s="535">
        <v>1</v>
      </c>
    </row>
    <row r="17004" spans="1:18" ht="24">
      <c r="A17004" s="531">
        <v>159</v>
      </c>
      <c r="B17004" s="528" t="s">
        <v>30503</v>
      </c>
      <c r="C17004" s="532" t="s">
        <v>30504</v>
      </c>
      <c r="D17004" s="533">
        <v>465.13</v>
      </c>
      <c r="E17004" s="533">
        <v>58.56</v>
      </c>
      <c r="F17004" s="533">
        <v>405.4</v>
      </c>
      <c r="G17004" s="533">
        <v>1.17</v>
      </c>
      <c r="H17004" s="534">
        <v>3071.45</v>
      </c>
      <c r="I17004" s="534">
        <v>673.44</v>
      </c>
      <c r="J17004" s="534">
        <v>2384.5500000000002</v>
      </c>
      <c r="K17004" s="534">
        <v>13.46</v>
      </c>
      <c r="L17004" s="43">
        <v>6.6034226990303786</v>
      </c>
      <c r="M17004" s="43">
        <v>11.5</v>
      </c>
      <c r="N17004" s="43">
        <v>5.8819684262456837</v>
      </c>
      <c r="O17004" s="43">
        <v>11.504273504273506</v>
      </c>
      <c r="P17004" s="535"/>
      <c r="Q17004" s="535"/>
      <c r="R17004" s="535">
        <v>1</v>
      </c>
    </row>
    <row r="17005" spans="1:18" ht="24">
      <c r="A17005" s="531">
        <v>160</v>
      </c>
      <c r="B17005" s="528" t="s">
        <v>30505</v>
      </c>
      <c r="C17005" s="532" t="s">
        <v>30506</v>
      </c>
      <c r="D17005" s="533">
        <v>499.16</v>
      </c>
      <c r="E17005" s="533">
        <v>64.900000000000006</v>
      </c>
      <c r="F17005" s="533">
        <v>432.96</v>
      </c>
      <c r="G17005" s="533">
        <v>1.3</v>
      </c>
      <c r="H17005" s="534">
        <v>3315.56</v>
      </c>
      <c r="I17005" s="534">
        <v>746.4</v>
      </c>
      <c r="J17005" s="534">
        <v>2554.21</v>
      </c>
      <c r="K17005" s="534">
        <v>14.95</v>
      </c>
      <c r="L17005" s="43">
        <v>6.6422790287683302</v>
      </c>
      <c r="M17005" s="43">
        <v>11.500770416024652</v>
      </c>
      <c r="N17005" s="43">
        <v>5.8994133407243163</v>
      </c>
      <c r="O17005" s="43">
        <v>11.499999999999998</v>
      </c>
      <c r="P17005" s="535"/>
      <c r="Q17005" s="535"/>
      <c r="R17005" s="535">
        <v>1</v>
      </c>
    </row>
    <row r="17006" spans="1:18" ht="24">
      <c r="A17006" s="531">
        <v>161</v>
      </c>
      <c r="B17006" s="528" t="s">
        <v>30507</v>
      </c>
      <c r="C17006" s="532" t="s">
        <v>30508</v>
      </c>
      <c r="D17006" s="533">
        <v>620.24</v>
      </c>
      <c r="E17006" s="533">
        <v>89.4</v>
      </c>
      <c r="F17006" s="533">
        <v>529.04999999999995</v>
      </c>
      <c r="G17006" s="533">
        <v>1.79</v>
      </c>
      <c r="H17006" s="534">
        <v>4184.21</v>
      </c>
      <c r="I17006" s="534">
        <v>1028.1199999999999</v>
      </c>
      <c r="J17006" s="534">
        <v>3135.5</v>
      </c>
      <c r="K17006" s="534">
        <v>20.59</v>
      </c>
      <c r="L17006" s="43">
        <v>6.7461144073261963</v>
      </c>
      <c r="M17006" s="43">
        <v>11.50022371364653</v>
      </c>
      <c r="N17006" s="43">
        <v>5.9266609961251309</v>
      </c>
      <c r="O17006" s="43">
        <v>11.502793296089385</v>
      </c>
      <c r="P17006" s="535"/>
      <c r="Q17006" s="535"/>
      <c r="R17006" s="535">
        <v>1</v>
      </c>
    </row>
    <row r="17007" spans="1:18" ht="24">
      <c r="A17007" s="531">
        <v>162</v>
      </c>
      <c r="B17007" s="528" t="s">
        <v>30509</v>
      </c>
      <c r="C17007" s="532" t="s">
        <v>30510</v>
      </c>
      <c r="D17007" s="533">
        <v>1125.1300000000001</v>
      </c>
      <c r="E17007" s="533">
        <v>143.47</v>
      </c>
      <c r="F17007" s="533">
        <v>978.79</v>
      </c>
      <c r="G17007" s="533">
        <v>2.87</v>
      </c>
      <c r="H17007" s="534">
        <v>7455.61</v>
      </c>
      <c r="I17007" s="534">
        <v>1649.93</v>
      </c>
      <c r="J17007" s="534">
        <v>5772.67</v>
      </c>
      <c r="K17007" s="534">
        <v>33.01</v>
      </c>
      <c r="L17007" s="43">
        <v>6.6264431665674177</v>
      </c>
      <c r="M17007" s="43">
        <v>11.50017425245696</v>
      </c>
      <c r="N17007" s="43">
        <v>5.8977615218790547</v>
      </c>
      <c r="O17007" s="43">
        <v>11.501742160278745</v>
      </c>
      <c r="P17007" s="535"/>
      <c r="Q17007" s="535"/>
      <c r="R17007" s="535">
        <v>1</v>
      </c>
    </row>
    <row r="17008" spans="1:18" ht="24">
      <c r="A17008" s="531">
        <v>163</v>
      </c>
      <c r="B17008" s="528" t="s">
        <v>30511</v>
      </c>
      <c r="C17008" s="532" t="s">
        <v>30512</v>
      </c>
      <c r="D17008" s="533">
        <v>1195.92</v>
      </c>
      <c r="E17008" s="533">
        <v>160.06</v>
      </c>
      <c r="F17008" s="533">
        <v>1032.6600000000001</v>
      </c>
      <c r="G17008" s="533">
        <v>3.2</v>
      </c>
      <c r="H17008" s="534">
        <v>7981.8</v>
      </c>
      <c r="I17008" s="534">
        <v>1840.74</v>
      </c>
      <c r="J17008" s="534">
        <v>6104.26</v>
      </c>
      <c r="K17008" s="534">
        <v>36.799999999999997</v>
      </c>
      <c r="L17008" s="43">
        <v>6.6741922536624525</v>
      </c>
      <c r="M17008" s="43">
        <v>11.500312382856428</v>
      </c>
      <c r="N17008" s="43">
        <v>5.911200201421571</v>
      </c>
      <c r="O17008" s="43">
        <v>11.499999999999998</v>
      </c>
      <c r="P17008" s="535"/>
      <c r="Q17008" s="535"/>
      <c r="R17008" s="535">
        <v>1</v>
      </c>
    </row>
    <row r="17009" spans="1:18" ht="24">
      <c r="A17009" s="531">
        <v>164</v>
      </c>
      <c r="B17009" s="528" t="s">
        <v>30513</v>
      </c>
      <c r="C17009" s="532" t="s">
        <v>30514</v>
      </c>
      <c r="D17009" s="533">
        <v>1620.09</v>
      </c>
      <c r="E17009" s="533">
        <v>218.62</v>
      </c>
      <c r="F17009" s="533">
        <v>1397.1</v>
      </c>
      <c r="G17009" s="533">
        <v>4.37</v>
      </c>
      <c r="H17009" s="534">
        <v>10811.28</v>
      </c>
      <c r="I17009" s="534">
        <v>2514.1799999999998</v>
      </c>
      <c r="J17009" s="534">
        <v>8246.84</v>
      </c>
      <c r="K17009" s="534">
        <v>50.26</v>
      </c>
      <c r="L17009" s="43">
        <v>6.6732588930244621</v>
      </c>
      <c r="M17009" s="43">
        <v>11.500228707346078</v>
      </c>
      <c r="N17009" s="43">
        <v>5.9028272850905452</v>
      </c>
      <c r="O17009" s="43">
        <v>11.501144164759724</v>
      </c>
      <c r="P17009" s="535"/>
      <c r="Q17009" s="535"/>
      <c r="R17009" s="535">
        <v>1</v>
      </c>
    </row>
    <row r="17010" spans="1:18" ht="24">
      <c r="A17010" s="531">
        <v>165</v>
      </c>
      <c r="B17010" s="528" t="s">
        <v>30515</v>
      </c>
      <c r="C17010" s="532" t="s">
        <v>30516</v>
      </c>
      <c r="D17010" s="533">
        <v>2204.87</v>
      </c>
      <c r="E17010" s="533">
        <v>244.98</v>
      </c>
      <c r="F17010" s="533">
        <v>1954.99</v>
      </c>
      <c r="G17010" s="533">
        <v>4.9000000000000004</v>
      </c>
      <c r="H17010" s="534">
        <v>14403.91</v>
      </c>
      <c r="I17010" s="534">
        <v>2817.22</v>
      </c>
      <c r="J17010" s="534">
        <v>11530.34</v>
      </c>
      <c r="K17010" s="534">
        <v>56.35</v>
      </c>
      <c r="L17010" s="43">
        <v>6.532770639538839</v>
      </c>
      <c r="M17010" s="43">
        <v>11.499795901706261</v>
      </c>
      <c r="N17010" s="43">
        <v>5.8979022910603121</v>
      </c>
      <c r="O17010" s="43">
        <v>11.5</v>
      </c>
      <c r="P17010" s="535"/>
      <c r="Q17010" s="535"/>
      <c r="R17010" s="535">
        <v>1</v>
      </c>
    </row>
    <row r="17011" spans="1:18" ht="24">
      <c r="A17011" s="531">
        <v>166</v>
      </c>
      <c r="B17011" s="528" t="s">
        <v>30517</v>
      </c>
      <c r="C17011" s="532" t="s">
        <v>30518</v>
      </c>
      <c r="D17011" s="533">
        <v>3804.57</v>
      </c>
      <c r="E17011" s="533">
        <v>383.57</v>
      </c>
      <c r="F17011" s="533">
        <v>3413.33</v>
      </c>
      <c r="G17011" s="533">
        <v>7.67</v>
      </c>
      <c r="H17011" s="534">
        <v>24507.34</v>
      </c>
      <c r="I17011" s="534">
        <v>4411.03</v>
      </c>
      <c r="J17011" s="534">
        <v>20008.099999999999</v>
      </c>
      <c r="K17011" s="534">
        <v>88.21</v>
      </c>
      <c r="L17011" s="43">
        <v>6.4415531847225838</v>
      </c>
      <c r="M17011" s="43">
        <v>11.499934822848502</v>
      </c>
      <c r="N17011" s="43">
        <v>5.8617537712439169</v>
      </c>
      <c r="O17011" s="43">
        <v>11.500651890482398</v>
      </c>
      <c r="P17011" s="535"/>
      <c r="Q17011" s="535"/>
      <c r="R17011" s="535">
        <v>1</v>
      </c>
    </row>
    <row r="17012" spans="1:18" ht="24">
      <c r="A17012" s="531">
        <v>167</v>
      </c>
      <c r="B17012" s="528" t="s">
        <v>30519</v>
      </c>
      <c r="C17012" s="532" t="s">
        <v>30520</v>
      </c>
      <c r="D17012" s="533">
        <v>6994.01</v>
      </c>
      <c r="E17012" s="533">
        <v>1376.16</v>
      </c>
      <c r="F17012" s="533">
        <v>5590.33</v>
      </c>
      <c r="G17012" s="533">
        <v>27.52</v>
      </c>
      <c r="H17012" s="534">
        <v>49508.92</v>
      </c>
      <c r="I17012" s="534">
        <v>15825.84</v>
      </c>
      <c r="J17012" s="534">
        <v>33366.6</v>
      </c>
      <c r="K17012" s="534">
        <v>316.48</v>
      </c>
      <c r="L17012" s="43">
        <v>7.0787602534168519</v>
      </c>
      <c r="M17012" s="43">
        <v>11.5</v>
      </c>
      <c r="N17012" s="43">
        <v>5.9686279700840554</v>
      </c>
      <c r="O17012" s="43">
        <v>11.5</v>
      </c>
      <c r="P17012" s="535"/>
      <c r="Q17012" s="535"/>
      <c r="R17012" s="535">
        <v>1</v>
      </c>
    </row>
    <row r="17013" spans="1:18" ht="24">
      <c r="A17013" s="531">
        <v>168</v>
      </c>
      <c r="B17013" s="528" t="s">
        <v>30521</v>
      </c>
      <c r="C17013" s="532" t="s">
        <v>30522</v>
      </c>
      <c r="D17013" s="533">
        <v>475.63</v>
      </c>
      <c r="E17013" s="533">
        <v>55.34</v>
      </c>
      <c r="F17013" s="533">
        <v>419.18</v>
      </c>
      <c r="G17013" s="533">
        <v>1.1100000000000001</v>
      </c>
      <c r="H17013" s="534">
        <v>3118.55</v>
      </c>
      <c r="I17013" s="534">
        <v>636.4</v>
      </c>
      <c r="J17013" s="534">
        <v>2469.38</v>
      </c>
      <c r="K17013" s="534">
        <v>12.77</v>
      </c>
      <c r="L17013" s="43">
        <v>6.5566722031831466</v>
      </c>
      <c r="M17013" s="43">
        <v>11.499819298879652</v>
      </c>
      <c r="N17013" s="43">
        <v>5.8909776229781956</v>
      </c>
      <c r="O17013" s="43">
        <v>11.504504504504503</v>
      </c>
      <c r="P17013" s="535"/>
      <c r="Q17013" s="535"/>
      <c r="R17013" s="535">
        <v>1</v>
      </c>
    </row>
    <row r="17014" spans="1:18" ht="24">
      <c r="A17014" s="531">
        <v>169</v>
      </c>
      <c r="B17014" s="528" t="s">
        <v>30523</v>
      </c>
      <c r="C17014" s="532" t="s">
        <v>30524</v>
      </c>
      <c r="D17014" s="533">
        <v>495.87</v>
      </c>
      <c r="E17014" s="533">
        <v>61.68</v>
      </c>
      <c r="F17014" s="533">
        <v>432.96</v>
      </c>
      <c r="G17014" s="533">
        <v>1.23</v>
      </c>
      <c r="H17014" s="534">
        <v>3277.72</v>
      </c>
      <c r="I17014" s="534">
        <v>709.36</v>
      </c>
      <c r="J17014" s="534">
        <v>2554.21</v>
      </c>
      <c r="K17014" s="534">
        <v>14.15</v>
      </c>
      <c r="L17014" s="43">
        <v>6.6100389214915198</v>
      </c>
      <c r="M17014" s="43">
        <v>11.50064850843061</v>
      </c>
      <c r="N17014" s="43">
        <v>5.8994133407243163</v>
      </c>
      <c r="O17014" s="43">
        <v>11.504065040650406</v>
      </c>
      <c r="P17014" s="535"/>
      <c r="Q17014" s="535"/>
      <c r="R17014" s="535">
        <v>1</v>
      </c>
    </row>
    <row r="17015" spans="1:18" ht="24">
      <c r="A17015" s="531">
        <v>170</v>
      </c>
      <c r="B17015" s="528" t="s">
        <v>30525</v>
      </c>
      <c r="C17015" s="532" t="s">
        <v>30526</v>
      </c>
      <c r="D17015" s="533">
        <v>518.30999999999995</v>
      </c>
      <c r="E17015" s="533">
        <v>70.17</v>
      </c>
      <c r="F17015" s="533">
        <v>446.74</v>
      </c>
      <c r="G17015" s="533">
        <v>1.4</v>
      </c>
      <c r="H17015" s="534">
        <v>3462.15</v>
      </c>
      <c r="I17015" s="534">
        <v>807.01</v>
      </c>
      <c r="J17015" s="534">
        <v>2639.04</v>
      </c>
      <c r="K17015" s="534">
        <v>16.100000000000001</v>
      </c>
      <c r="L17015" s="43">
        <v>6.6796897609538703</v>
      </c>
      <c r="M17015" s="43">
        <v>11.500783810745332</v>
      </c>
      <c r="N17015" s="43">
        <v>5.9073286475354791</v>
      </c>
      <c r="O17015" s="43">
        <v>11.500000000000002</v>
      </c>
      <c r="P17015" s="535"/>
      <c r="Q17015" s="535"/>
      <c r="R17015" s="535">
        <v>1</v>
      </c>
    </row>
    <row r="17016" spans="1:18" ht="24">
      <c r="A17016" s="531">
        <v>171</v>
      </c>
      <c r="B17016" s="528" t="s">
        <v>30527</v>
      </c>
      <c r="C17016" s="532" t="s">
        <v>30528</v>
      </c>
      <c r="D17016" s="533">
        <v>571.62</v>
      </c>
      <c r="E17016" s="533">
        <v>81.89</v>
      </c>
      <c r="F17016" s="533">
        <v>488.09</v>
      </c>
      <c r="G17016" s="533">
        <v>1.64</v>
      </c>
      <c r="H17016" s="534">
        <v>3854.07</v>
      </c>
      <c r="I17016" s="534">
        <v>941.69</v>
      </c>
      <c r="J17016" s="534">
        <v>2893.52</v>
      </c>
      <c r="K17016" s="534">
        <v>18.86</v>
      </c>
      <c r="L17016" s="43">
        <v>6.7423638081242787</v>
      </c>
      <c r="M17016" s="43">
        <v>11.499450482354378</v>
      </c>
      <c r="N17016" s="43">
        <v>5.9282509373271326</v>
      </c>
      <c r="O17016" s="43">
        <v>11.5</v>
      </c>
      <c r="P17016" s="535"/>
      <c r="Q17016" s="535"/>
      <c r="R17016" s="535">
        <v>1</v>
      </c>
    </row>
    <row r="17017" spans="1:18" ht="24">
      <c r="A17017" s="531">
        <v>172</v>
      </c>
      <c r="B17017" s="528" t="s">
        <v>30529</v>
      </c>
      <c r="C17017" s="532" t="s">
        <v>30530</v>
      </c>
      <c r="D17017" s="533">
        <v>626.94000000000005</v>
      </c>
      <c r="E17017" s="533">
        <v>96.82</v>
      </c>
      <c r="F17017" s="533">
        <v>528.17999999999995</v>
      </c>
      <c r="G17017" s="533">
        <v>1.94</v>
      </c>
      <c r="H17017" s="534">
        <v>4276.0200000000004</v>
      </c>
      <c r="I17017" s="534">
        <v>1113.42</v>
      </c>
      <c r="J17017" s="534">
        <v>3140.29</v>
      </c>
      <c r="K17017" s="534">
        <v>22.31</v>
      </c>
      <c r="L17017" s="43">
        <v>6.820461288161547</v>
      </c>
      <c r="M17017" s="43">
        <v>11.499896715554639</v>
      </c>
      <c r="N17017" s="43">
        <v>5.9454920670983382</v>
      </c>
      <c r="O17017" s="43">
        <v>11.5</v>
      </c>
      <c r="P17017" s="535"/>
      <c r="Q17017" s="535"/>
      <c r="R17017" s="535">
        <v>1</v>
      </c>
    </row>
    <row r="17018" spans="1:18" ht="24">
      <c r="A17018" s="531">
        <v>173</v>
      </c>
      <c r="B17018" s="528" t="s">
        <v>30531</v>
      </c>
      <c r="C17018" s="532" t="s">
        <v>30532</v>
      </c>
      <c r="D17018" s="533">
        <v>820.74</v>
      </c>
      <c r="E17018" s="533">
        <v>138.59</v>
      </c>
      <c r="F17018" s="533">
        <v>679.38</v>
      </c>
      <c r="G17018" s="533">
        <v>2.77</v>
      </c>
      <c r="H17018" s="534">
        <v>5686.56</v>
      </c>
      <c r="I17018" s="534">
        <v>1593.81</v>
      </c>
      <c r="J17018" s="534">
        <v>4060.89</v>
      </c>
      <c r="K17018" s="534">
        <v>31.86</v>
      </c>
      <c r="L17018" s="43">
        <v>6.928576650339938</v>
      </c>
      <c r="M17018" s="43">
        <v>11.500180388195396</v>
      </c>
      <c r="N17018" s="43">
        <v>5.9773469928464182</v>
      </c>
      <c r="O17018" s="43">
        <v>11.501805054151625</v>
      </c>
      <c r="P17018" s="535"/>
      <c r="Q17018" s="535"/>
      <c r="R17018" s="535">
        <v>1</v>
      </c>
    </row>
    <row r="17019" spans="1:18" ht="24">
      <c r="A17019" s="531">
        <v>174</v>
      </c>
      <c r="B17019" s="528" t="s">
        <v>30533</v>
      </c>
      <c r="C17019" s="532" t="s">
        <v>30534</v>
      </c>
      <c r="D17019" s="533">
        <v>1389.06</v>
      </c>
      <c r="E17019" s="533">
        <v>202.03</v>
      </c>
      <c r="F17019" s="533">
        <v>1182.99</v>
      </c>
      <c r="G17019" s="533">
        <v>4.04</v>
      </c>
      <c r="H17019" s="534">
        <v>9399.49</v>
      </c>
      <c r="I17019" s="534">
        <v>2323.37</v>
      </c>
      <c r="J17019" s="534">
        <v>7029.66</v>
      </c>
      <c r="K17019" s="534">
        <v>46.46</v>
      </c>
      <c r="L17019" s="43">
        <v>6.7667991303471418</v>
      </c>
      <c r="M17019" s="43">
        <v>11.500123743998415</v>
      </c>
      <c r="N17019" s="43">
        <v>5.9422818451550734</v>
      </c>
      <c r="O17019" s="43">
        <v>11.5</v>
      </c>
      <c r="P17019" s="535"/>
      <c r="Q17019" s="535"/>
      <c r="R17019" s="535">
        <v>1</v>
      </c>
    </row>
    <row r="17020" spans="1:18" ht="24">
      <c r="A17020" s="531">
        <v>175</v>
      </c>
      <c r="B17020" s="528" t="s">
        <v>30535</v>
      </c>
      <c r="C17020" s="532" t="s">
        <v>30536</v>
      </c>
      <c r="D17020" s="533">
        <v>1508.33</v>
      </c>
      <c r="E17020" s="533">
        <v>239.12</v>
      </c>
      <c r="F17020" s="533">
        <v>1264.43</v>
      </c>
      <c r="G17020" s="533">
        <v>4.78</v>
      </c>
      <c r="H17020" s="534">
        <v>10335.76</v>
      </c>
      <c r="I17020" s="534">
        <v>2749.88</v>
      </c>
      <c r="J17020" s="534">
        <v>7530.91</v>
      </c>
      <c r="K17020" s="534">
        <v>54.97</v>
      </c>
      <c r="L17020" s="43">
        <v>6.8524527126026804</v>
      </c>
      <c r="M17020" s="43">
        <v>11.5</v>
      </c>
      <c r="N17020" s="43">
        <v>5.9559722562735775</v>
      </c>
      <c r="O17020" s="43">
        <v>11.5</v>
      </c>
      <c r="P17020" s="535"/>
      <c r="Q17020" s="535"/>
      <c r="R17020" s="535">
        <v>1</v>
      </c>
    </row>
    <row r="17021" spans="1:18" ht="24">
      <c r="A17021" s="531">
        <v>176</v>
      </c>
      <c r="B17021" s="528" t="s">
        <v>30537</v>
      </c>
      <c r="C17021" s="532" t="s">
        <v>30538</v>
      </c>
      <c r="D17021" s="533">
        <v>1979.82</v>
      </c>
      <c r="E17021" s="533">
        <v>303.54000000000002</v>
      </c>
      <c r="F17021" s="533">
        <v>1670.21</v>
      </c>
      <c r="G17021" s="533">
        <v>6.07</v>
      </c>
      <c r="H17021" s="534">
        <v>13488.44</v>
      </c>
      <c r="I17021" s="534">
        <v>3490.66</v>
      </c>
      <c r="J17021" s="534">
        <v>9927.9699999999993</v>
      </c>
      <c r="K17021" s="534">
        <v>69.81</v>
      </c>
      <c r="L17021" s="43">
        <v>6.8129627945974889</v>
      </c>
      <c r="M17021" s="43">
        <v>11.499835277063978</v>
      </c>
      <c r="N17021" s="43">
        <v>5.9441447482651881</v>
      </c>
      <c r="O17021" s="43">
        <v>11.500823723228995</v>
      </c>
      <c r="P17021" s="535"/>
      <c r="Q17021" s="535"/>
      <c r="R17021" s="535">
        <v>1</v>
      </c>
    </row>
    <row r="17022" spans="1:18" ht="24">
      <c r="A17022" s="531">
        <v>177</v>
      </c>
      <c r="B17022" s="528" t="s">
        <v>30539</v>
      </c>
      <c r="C17022" s="532" t="s">
        <v>30540</v>
      </c>
      <c r="D17022" s="533">
        <v>2671.33</v>
      </c>
      <c r="E17022" s="533">
        <v>366.98</v>
      </c>
      <c r="F17022" s="533">
        <v>2297.0100000000002</v>
      </c>
      <c r="G17022" s="533">
        <v>7.34</v>
      </c>
      <c r="H17022" s="534">
        <v>17940.240000000002</v>
      </c>
      <c r="I17022" s="534">
        <v>4220.22</v>
      </c>
      <c r="J17022" s="534">
        <v>13635.61</v>
      </c>
      <c r="K17022" s="534">
        <v>84.41</v>
      </c>
      <c r="L17022" s="43">
        <v>6.7158456648935179</v>
      </c>
      <c r="M17022" s="43">
        <v>11.499863752793068</v>
      </c>
      <c r="N17022" s="43">
        <v>5.9362432031205783</v>
      </c>
      <c r="O17022" s="43">
        <v>11.5</v>
      </c>
      <c r="P17022" s="535"/>
      <c r="Q17022" s="535"/>
      <c r="R17022" s="535">
        <v>1</v>
      </c>
    </row>
    <row r="17023" spans="1:18" ht="24">
      <c r="A17023" s="531">
        <v>178</v>
      </c>
      <c r="B17023" s="528" t="s">
        <v>30541</v>
      </c>
      <c r="C17023" s="532" t="s">
        <v>30542</v>
      </c>
      <c r="D17023" s="533">
        <v>4435.46</v>
      </c>
      <c r="E17023" s="533">
        <v>532.9</v>
      </c>
      <c r="F17023" s="533">
        <v>3891.9</v>
      </c>
      <c r="G17023" s="533">
        <v>10.66</v>
      </c>
      <c r="H17023" s="534">
        <v>29204.82</v>
      </c>
      <c r="I17023" s="534">
        <v>6128.3</v>
      </c>
      <c r="J17023" s="534">
        <v>22953.93</v>
      </c>
      <c r="K17023" s="534">
        <v>122.59</v>
      </c>
      <c r="L17023" s="43">
        <v>6.584394854197761</v>
      </c>
      <c r="M17023" s="43">
        <v>11.499906173766187</v>
      </c>
      <c r="N17023" s="43">
        <v>5.8978725044322822</v>
      </c>
      <c r="O17023" s="43">
        <v>11.5</v>
      </c>
      <c r="P17023" s="535"/>
      <c r="Q17023" s="535"/>
      <c r="R17023" s="535">
        <v>1</v>
      </c>
    </row>
    <row r="17024" spans="1:18" ht="36">
      <c r="A17024" s="531">
        <v>179</v>
      </c>
      <c r="B17024" s="528" t="s">
        <v>30543</v>
      </c>
      <c r="C17024" s="532" t="s">
        <v>30544</v>
      </c>
      <c r="D17024" s="533">
        <v>6.7</v>
      </c>
      <c r="E17024" s="533">
        <v>1.66</v>
      </c>
      <c r="F17024" s="533">
        <v>5.01</v>
      </c>
      <c r="G17024" s="533">
        <v>0.03</v>
      </c>
      <c r="H17024" s="534">
        <v>50.28</v>
      </c>
      <c r="I17024" s="534">
        <v>19.079999999999998</v>
      </c>
      <c r="J17024" s="534">
        <v>30.85</v>
      </c>
      <c r="K17024" s="534">
        <v>0.35</v>
      </c>
      <c r="L17024" s="43">
        <v>7.5044776119402981</v>
      </c>
      <c r="M17024" s="43">
        <v>11.5</v>
      </c>
      <c r="N17024" s="43">
        <v>6.1576846307385233</v>
      </c>
      <c r="O17024" s="43">
        <v>11.503164556962025</v>
      </c>
      <c r="P17024" s="535"/>
      <c r="Q17024" s="535"/>
      <c r="R17024" s="535">
        <v>1</v>
      </c>
    </row>
    <row r="17025" spans="1:18" ht="36">
      <c r="A17025" s="531">
        <v>180</v>
      </c>
      <c r="B17025" s="528" t="s">
        <v>30545</v>
      </c>
      <c r="C17025" s="532" t="s">
        <v>30546</v>
      </c>
      <c r="D17025" s="533">
        <v>8.35</v>
      </c>
      <c r="E17025" s="533">
        <v>2.0499999999999998</v>
      </c>
      <c r="F17025" s="533">
        <v>6.26</v>
      </c>
      <c r="G17025" s="533">
        <v>0.04</v>
      </c>
      <c r="H17025" s="534">
        <v>62.59</v>
      </c>
      <c r="I17025" s="534">
        <v>23.57</v>
      </c>
      <c r="J17025" s="534">
        <v>38.56</v>
      </c>
      <c r="K17025" s="534">
        <v>0.46</v>
      </c>
      <c r="L17025" s="43">
        <v>7.495808383233534</v>
      </c>
      <c r="M17025" s="43">
        <v>11.497560975609757</v>
      </c>
      <c r="N17025" s="43">
        <v>6.1597444089456879</v>
      </c>
      <c r="O17025" s="43">
        <v>11.5</v>
      </c>
      <c r="P17025" s="535"/>
      <c r="Q17025" s="535"/>
      <c r="R17025" s="535">
        <v>1</v>
      </c>
    </row>
    <row r="17026" spans="1:18" ht="24">
      <c r="A17026" s="531">
        <v>181</v>
      </c>
      <c r="B17026" s="528" t="s">
        <v>30547</v>
      </c>
      <c r="C17026" s="532" t="s">
        <v>30548</v>
      </c>
      <c r="D17026" s="533">
        <v>11.16</v>
      </c>
      <c r="E17026" s="533">
        <v>2.34</v>
      </c>
      <c r="F17026" s="533">
        <v>8.77</v>
      </c>
      <c r="G17026" s="533">
        <v>0.05</v>
      </c>
      <c r="H17026" s="534">
        <v>81.5</v>
      </c>
      <c r="I17026" s="534">
        <v>26.94</v>
      </c>
      <c r="J17026" s="534">
        <v>53.98</v>
      </c>
      <c r="K17026" s="534">
        <v>0.57999999999999996</v>
      </c>
      <c r="L17026" s="43">
        <v>7.3028673835125444</v>
      </c>
      <c r="M17026" s="43">
        <v>11.502820512820501</v>
      </c>
      <c r="N17026" s="43">
        <v>6.1550741163055873</v>
      </c>
      <c r="O17026" s="43">
        <v>11.503164556962025</v>
      </c>
      <c r="P17026" s="535"/>
      <c r="Q17026" s="535"/>
      <c r="R17026" s="535">
        <v>1</v>
      </c>
    </row>
    <row r="17027" spans="1:18" ht="36">
      <c r="A17027" s="531">
        <v>182</v>
      </c>
      <c r="B17027" s="528" t="s">
        <v>30549</v>
      </c>
      <c r="C17027" s="532" t="s">
        <v>30550</v>
      </c>
      <c r="D17027" s="533">
        <v>12.91</v>
      </c>
      <c r="E17027" s="533">
        <v>2.83</v>
      </c>
      <c r="F17027" s="533">
        <v>10.02</v>
      </c>
      <c r="G17027" s="533">
        <v>0.06</v>
      </c>
      <c r="H17027" s="534">
        <v>94.93</v>
      </c>
      <c r="I17027" s="534">
        <v>32.549999999999997</v>
      </c>
      <c r="J17027" s="534">
        <v>61.69</v>
      </c>
      <c r="K17027" s="534">
        <v>0.69</v>
      </c>
      <c r="L17027" s="43">
        <v>7.353214562354764</v>
      </c>
      <c r="M17027" s="43">
        <v>11.501766784452295</v>
      </c>
      <c r="N17027" s="43">
        <v>6.1566866267465068</v>
      </c>
      <c r="O17027" s="43">
        <v>11.5</v>
      </c>
      <c r="P17027" s="535"/>
      <c r="Q17027" s="535"/>
      <c r="R17027" s="535">
        <v>1</v>
      </c>
    </row>
    <row r="17028" spans="1:18" ht="36">
      <c r="A17028" s="531">
        <v>183</v>
      </c>
      <c r="B17028" s="528" t="s">
        <v>30551</v>
      </c>
      <c r="C17028" s="532" t="s">
        <v>30552</v>
      </c>
      <c r="D17028" s="533">
        <v>14.86</v>
      </c>
      <c r="E17028" s="533">
        <v>3.51</v>
      </c>
      <c r="F17028" s="533">
        <v>11.28</v>
      </c>
      <c r="G17028" s="533">
        <v>7.0000000000000007E-2</v>
      </c>
      <c r="H17028" s="534">
        <v>110.62</v>
      </c>
      <c r="I17028" s="534">
        <v>40.409999999999997</v>
      </c>
      <c r="J17028" s="534">
        <v>69.400000000000006</v>
      </c>
      <c r="K17028" s="534">
        <v>0.81</v>
      </c>
      <c r="L17028" s="43">
        <v>7.4441453566621814</v>
      </c>
      <c r="M17028" s="43">
        <v>11.502820512820501</v>
      </c>
      <c r="N17028" s="43">
        <v>6.1524822695035466</v>
      </c>
      <c r="O17028" s="43">
        <v>11.5021951219512</v>
      </c>
      <c r="P17028" s="535"/>
      <c r="Q17028" s="535"/>
      <c r="R17028" s="535">
        <v>1</v>
      </c>
    </row>
    <row r="17029" spans="1:18" ht="24">
      <c r="A17029" s="531">
        <v>184</v>
      </c>
      <c r="B17029" s="528" t="s">
        <v>30553</v>
      </c>
      <c r="C17029" s="532" t="s">
        <v>30554</v>
      </c>
      <c r="D17029" s="533">
        <v>21.37</v>
      </c>
      <c r="E17029" s="533">
        <v>4.9800000000000004</v>
      </c>
      <c r="F17029" s="533">
        <v>16.29</v>
      </c>
      <c r="G17029" s="533">
        <v>0.1</v>
      </c>
      <c r="H17029" s="534">
        <v>158.63999999999999</v>
      </c>
      <c r="I17029" s="534">
        <v>57.24</v>
      </c>
      <c r="J17029" s="534">
        <v>100.25</v>
      </c>
      <c r="K17029" s="534">
        <v>1.1499999999999999</v>
      </c>
      <c r="L17029" s="43">
        <v>7.4234908750584925</v>
      </c>
      <c r="M17029" s="43">
        <v>11.5</v>
      </c>
      <c r="N17029" s="43">
        <v>6.1540822590546354</v>
      </c>
      <c r="O17029" s="43">
        <v>11.499999999999998</v>
      </c>
      <c r="P17029" s="535"/>
      <c r="Q17029" s="535"/>
      <c r="R17029" s="535">
        <v>1</v>
      </c>
    </row>
    <row r="17030" spans="1:18" ht="24">
      <c r="A17030" s="531">
        <v>185</v>
      </c>
      <c r="B17030" s="528" t="s">
        <v>30555</v>
      </c>
      <c r="C17030" s="532" t="s">
        <v>30556</v>
      </c>
      <c r="D17030" s="533">
        <v>26.61</v>
      </c>
      <c r="E17030" s="533">
        <v>6.44</v>
      </c>
      <c r="F17030" s="533">
        <v>20.04</v>
      </c>
      <c r="G17030" s="533">
        <v>0.13</v>
      </c>
      <c r="H17030" s="534">
        <v>198.97</v>
      </c>
      <c r="I17030" s="534">
        <v>74.08</v>
      </c>
      <c r="J17030" s="534">
        <v>123.39</v>
      </c>
      <c r="K17030" s="534">
        <v>1.5</v>
      </c>
      <c r="L17030" s="43">
        <v>7.4772641863960922</v>
      </c>
      <c r="M17030" s="43">
        <v>11.503105590062111</v>
      </c>
      <c r="N17030" s="43">
        <v>6.1571856287425151</v>
      </c>
      <c r="O17030" s="43">
        <v>11.503164556962025</v>
      </c>
      <c r="P17030" s="535"/>
      <c r="Q17030" s="535"/>
      <c r="R17030" s="535">
        <v>1</v>
      </c>
    </row>
    <row r="17031" spans="1:18" ht="24">
      <c r="A17031" s="531">
        <v>186</v>
      </c>
      <c r="B17031" s="528" t="s">
        <v>30557</v>
      </c>
      <c r="C17031" s="532" t="s">
        <v>30558</v>
      </c>
      <c r="D17031" s="533">
        <v>31.06</v>
      </c>
      <c r="E17031" s="533">
        <v>7.12</v>
      </c>
      <c r="F17031" s="533">
        <v>23.8</v>
      </c>
      <c r="G17031" s="533">
        <v>0.14000000000000001</v>
      </c>
      <c r="H17031" s="534">
        <v>230.07</v>
      </c>
      <c r="I17031" s="534">
        <v>81.94</v>
      </c>
      <c r="J17031" s="534">
        <v>146.52000000000001</v>
      </c>
      <c r="K17031" s="534">
        <v>1.61</v>
      </c>
      <c r="L17031" s="43">
        <v>7.4072762395363814</v>
      </c>
      <c r="M17031" s="43">
        <v>11.5021951219512</v>
      </c>
      <c r="N17031" s="43">
        <v>6.1563025210084037</v>
      </c>
      <c r="O17031" s="43">
        <v>11.5</v>
      </c>
      <c r="P17031" s="535"/>
      <c r="Q17031" s="535"/>
      <c r="R17031" s="535">
        <v>1</v>
      </c>
    </row>
    <row r="17032" spans="1:18" ht="36">
      <c r="A17032" s="531">
        <v>187</v>
      </c>
      <c r="B17032" s="528" t="s">
        <v>30559</v>
      </c>
      <c r="C17032" s="532" t="s">
        <v>30560</v>
      </c>
      <c r="D17032" s="533">
        <v>36.32</v>
      </c>
      <c r="E17032" s="533">
        <v>8.59</v>
      </c>
      <c r="F17032" s="533">
        <v>27.56</v>
      </c>
      <c r="G17032" s="533">
        <v>0.17</v>
      </c>
      <c r="H17032" s="534">
        <v>270.39</v>
      </c>
      <c r="I17032" s="534">
        <v>98.77</v>
      </c>
      <c r="J17032" s="534">
        <v>169.66</v>
      </c>
      <c r="K17032" s="534">
        <v>1.96</v>
      </c>
      <c r="L17032" s="43">
        <v>7.4446585903083697</v>
      </c>
      <c r="M17032" s="43">
        <v>11.498253783469149</v>
      </c>
      <c r="N17032" s="43">
        <v>6.1560232220609583</v>
      </c>
      <c r="O17032" s="43">
        <v>11.503164556962025</v>
      </c>
      <c r="P17032" s="535"/>
      <c r="Q17032" s="535"/>
      <c r="R17032" s="535">
        <v>1</v>
      </c>
    </row>
    <row r="17033" spans="1:18" ht="36">
      <c r="A17033" s="531">
        <v>188</v>
      </c>
      <c r="B17033" s="528" t="s">
        <v>30561</v>
      </c>
      <c r="C17033" s="532" t="s">
        <v>30562</v>
      </c>
      <c r="D17033" s="533">
        <v>42.92</v>
      </c>
      <c r="E17033" s="533">
        <v>10.15</v>
      </c>
      <c r="F17033" s="533">
        <v>32.57</v>
      </c>
      <c r="G17033" s="533">
        <v>0.2</v>
      </c>
      <c r="H17033" s="534">
        <v>319.52999999999997</v>
      </c>
      <c r="I17033" s="534">
        <v>116.73</v>
      </c>
      <c r="J17033" s="534">
        <v>200.5</v>
      </c>
      <c r="K17033" s="534">
        <v>2.2999999999999998</v>
      </c>
      <c r="L17033" s="43">
        <v>7.4447809878844353</v>
      </c>
      <c r="M17033" s="43">
        <v>11.500492610837439</v>
      </c>
      <c r="N17033" s="43">
        <v>6.1559717531470675</v>
      </c>
      <c r="O17033" s="43">
        <v>11.499999999999998</v>
      </c>
      <c r="P17033" s="535"/>
      <c r="Q17033" s="535"/>
      <c r="R17033" s="535">
        <v>1</v>
      </c>
    </row>
    <row r="17034" spans="1:18" ht="36">
      <c r="A17034" s="531">
        <v>189</v>
      </c>
      <c r="B17034" s="528" t="s">
        <v>30563</v>
      </c>
      <c r="C17034" s="532" t="s">
        <v>30564</v>
      </c>
      <c r="D17034" s="533">
        <v>50.78</v>
      </c>
      <c r="E17034" s="533">
        <v>11.71</v>
      </c>
      <c r="F17034" s="533">
        <v>38.840000000000003</v>
      </c>
      <c r="G17034" s="533">
        <v>0.23</v>
      </c>
      <c r="H17034" s="534">
        <v>376.4</v>
      </c>
      <c r="I17034" s="534">
        <v>134.69</v>
      </c>
      <c r="J17034" s="534">
        <v>239.06</v>
      </c>
      <c r="K17034" s="534">
        <v>2.65</v>
      </c>
      <c r="L17034" s="43">
        <v>7.4123670736510432</v>
      </c>
      <c r="M17034" s="43">
        <v>11.502134927412467</v>
      </c>
      <c r="N17034" s="43">
        <v>6.1549948506694125</v>
      </c>
      <c r="O17034" s="43">
        <v>11.503164556962025</v>
      </c>
      <c r="P17034" s="535"/>
      <c r="Q17034" s="535"/>
      <c r="R17034" s="535">
        <v>1</v>
      </c>
    </row>
    <row r="17035" spans="1:18" ht="24">
      <c r="A17035" s="531">
        <v>190</v>
      </c>
      <c r="B17035" s="528" t="s">
        <v>30565</v>
      </c>
      <c r="C17035" s="532" t="s">
        <v>30566</v>
      </c>
      <c r="D17035" s="533">
        <v>373.59</v>
      </c>
      <c r="E17035" s="533">
        <v>35.14</v>
      </c>
      <c r="F17035" s="533">
        <v>337.75</v>
      </c>
      <c r="G17035" s="533">
        <v>0.7</v>
      </c>
      <c r="H17035" s="534">
        <v>2380.2399999999998</v>
      </c>
      <c r="I17035" s="534">
        <v>404.06</v>
      </c>
      <c r="J17035" s="534">
        <v>1968.13</v>
      </c>
      <c r="K17035" s="534">
        <v>8.0500000000000007</v>
      </c>
      <c r="L17035" s="43">
        <v>6.3712626140956665</v>
      </c>
      <c r="M17035" s="43">
        <v>11.498577120091063</v>
      </c>
      <c r="N17035" s="43">
        <v>5.8271798667653592</v>
      </c>
      <c r="O17035" s="43">
        <v>11.500000000000002</v>
      </c>
      <c r="P17035" s="535"/>
      <c r="Q17035" s="535"/>
      <c r="R17035" s="535">
        <v>1</v>
      </c>
    </row>
    <row r="17036" spans="1:18" ht="24">
      <c r="A17036" s="531">
        <v>191</v>
      </c>
      <c r="B17036" s="528" t="s">
        <v>30567</v>
      </c>
      <c r="C17036" s="532" t="s">
        <v>30568</v>
      </c>
      <c r="D17036" s="533">
        <v>373.59</v>
      </c>
      <c r="E17036" s="533">
        <v>35.14</v>
      </c>
      <c r="F17036" s="533">
        <v>337.75</v>
      </c>
      <c r="G17036" s="533">
        <v>0.7</v>
      </c>
      <c r="H17036" s="534">
        <v>2380.2399999999998</v>
      </c>
      <c r="I17036" s="534">
        <v>404.06</v>
      </c>
      <c r="J17036" s="534">
        <v>1968.13</v>
      </c>
      <c r="K17036" s="534">
        <v>8.0500000000000007</v>
      </c>
      <c r="L17036" s="43">
        <v>6.3712626140956665</v>
      </c>
      <c r="M17036" s="43">
        <v>11.498577120091063</v>
      </c>
      <c r="N17036" s="43">
        <v>5.8271798667653592</v>
      </c>
      <c r="O17036" s="43">
        <v>11.500000000000002</v>
      </c>
      <c r="P17036" s="535"/>
      <c r="Q17036" s="535"/>
      <c r="R17036" s="535">
        <v>1</v>
      </c>
    </row>
    <row r="17037" spans="1:18" ht="24">
      <c r="A17037" s="531">
        <v>192</v>
      </c>
      <c r="B17037" s="528" t="s">
        <v>30569</v>
      </c>
      <c r="C17037" s="532" t="s">
        <v>30570</v>
      </c>
      <c r="D17037" s="533">
        <v>373.59</v>
      </c>
      <c r="E17037" s="533">
        <v>35.14</v>
      </c>
      <c r="F17037" s="533">
        <v>337.75</v>
      </c>
      <c r="G17037" s="533">
        <v>0.7</v>
      </c>
      <c r="H17037" s="534">
        <v>2380.2399999999998</v>
      </c>
      <c r="I17037" s="534">
        <v>404.06</v>
      </c>
      <c r="J17037" s="534">
        <v>1968.13</v>
      </c>
      <c r="K17037" s="534">
        <v>8.0500000000000007</v>
      </c>
      <c r="L17037" s="43">
        <v>6.3712626140956665</v>
      </c>
      <c r="M17037" s="43">
        <v>11.498577120091063</v>
      </c>
      <c r="N17037" s="43">
        <v>5.8271798667653592</v>
      </c>
      <c r="O17037" s="43">
        <v>11.500000000000002</v>
      </c>
      <c r="P17037" s="535"/>
      <c r="Q17037" s="535"/>
      <c r="R17037" s="535">
        <v>1</v>
      </c>
    </row>
    <row r="17038" spans="1:18" ht="24">
      <c r="A17038" s="531">
        <v>193</v>
      </c>
      <c r="B17038" s="528" t="s">
        <v>30571</v>
      </c>
      <c r="C17038" s="532" t="s">
        <v>30572</v>
      </c>
      <c r="D17038" s="533">
        <v>389.56</v>
      </c>
      <c r="E17038" s="533">
        <v>37.28</v>
      </c>
      <c r="F17038" s="533">
        <v>351.53</v>
      </c>
      <c r="G17038" s="533">
        <v>0.75</v>
      </c>
      <c r="H17038" s="534">
        <v>2490.34</v>
      </c>
      <c r="I17038" s="534">
        <v>428.76</v>
      </c>
      <c r="J17038" s="534">
        <v>2052.9499999999998</v>
      </c>
      <c r="K17038" s="534">
        <v>8.6300000000000008</v>
      </c>
      <c r="L17038" s="43">
        <v>6.3926994557962837</v>
      </c>
      <c r="M17038" s="43">
        <v>11.50107296137339</v>
      </c>
      <c r="N17038" s="43">
        <v>5.8400421016698436</v>
      </c>
      <c r="O17038" s="43">
        <v>11.503164556962025</v>
      </c>
      <c r="P17038" s="535"/>
      <c r="Q17038" s="535"/>
      <c r="R17038" s="535">
        <v>1</v>
      </c>
    </row>
    <row r="17039" spans="1:18" ht="24">
      <c r="A17039" s="531">
        <v>194</v>
      </c>
      <c r="B17039" s="528" t="s">
        <v>30573</v>
      </c>
      <c r="C17039" s="532" t="s">
        <v>30574</v>
      </c>
      <c r="D17039" s="533">
        <v>391.65</v>
      </c>
      <c r="E17039" s="533">
        <v>39.33</v>
      </c>
      <c r="F17039" s="533">
        <v>351.53</v>
      </c>
      <c r="G17039" s="533">
        <v>0.79</v>
      </c>
      <c r="H17039" s="534">
        <v>2514.37</v>
      </c>
      <c r="I17039" s="534">
        <v>452.33</v>
      </c>
      <c r="J17039" s="534">
        <v>2052.9499999999998</v>
      </c>
      <c r="K17039" s="534">
        <v>9.09</v>
      </c>
      <c r="L17039" s="43">
        <v>6.4199412740967698</v>
      </c>
      <c r="M17039" s="43">
        <v>11.500889905924231</v>
      </c>
      <c r="N17039" s="43">
        <v>5.8400421016698436</v>
      </c>
      <c r="O17039" s="43">
        <v>11.503164556962025</v>
      </c>
      <c r="P17039" s="535"/>
      <c r="Q17039" s="535"/>
      <c r="R17039" s="535">
        <v>1</v>
      </c>
    </row>
    <row r="17040" spans="1:18" ht="24">
      <c r="A17040" s="531">
        <v>195</v>
      </c>
      <c r="B17040" s="528" t="s">
        <v>30575</v>
      </c>
      <c r="C17040" s="532" t="s">
        <v>30576</v>
      </c>
      <c r="D17040" s="533">
        <v>457.24</v>
      </c>
      <c r="E17040" s="533">
        <v>49.97</v>
      </c>
      <c r="F17040" s="533">
        <v>406.27</v>
      </c>
      <c r="G17040" s="533">
        <v>1</v>
      </c>
      <c r="H17040" s="534">
        <v>2965.94</v>
      </c>
      <c r="I17040" s="534">
        <v>574.66999999999996</v>
      </c>
      <c r="J17040" s="534">
        <v>2379.77</v>
      </c>
      <c r="K17040" s="534">
        <v>11.5</v>
      </c>
      <c r="L17040" s="43">
        <v>6.4866153442393495</v>
      </c>
      <c r="M17040" s="43">
        <v>11.500300180108065</v>
      </c>
      <c r="N17040" s="43">
        <v>5.8576070101164248</v>
      </c>
      <c r="O17040" s="43">
        <v>11.5</v>
      </c>
      <c r="P17040" s="535"/>
      <c r="Q17040" s="535"/>
      <c r="R17040" s="535">
        <v>1</v>
      </c>
    </row>
    <row r="17041" spans="1:18" ht="24">
      <c r="A17041" s="531">
        <v>196</v>
      </c>
      <c r="B17041" s="528" t="s">
        <v>30577</v>
      </c>
      <c r="C17041" s="532" t="s">
        <v>30578</v>
      </c>
      <c r="D17041" s="533">
        <v>907.95</v>
      </c>
      <c r="E17041" s="533">
        <v>91.45</v>
      </c>
      <c r="F17041" s="533">
        <v>814.67</v>
      </c>
      <c r="G17041" s="533">
        <v>1.83</v>
      </c>
      <c r="H17041" s="534">
        <v>5835.19</v>
      </c>
      <c r="I17041" s="534">
        <v>1051.69</v>
      </c>
      <c r="J17041" s="534">
        <v>4762.45</v>
      </c>
      <c r="K17041" s="534">
        <v>21.05</v>
      </c>
      <c r="L17041" s="43">
        <v>6.4267746021256666</v>
      </c>
      <c r="M17041" s="43">
        <v>11.500164024056861</v>
      </c>
      <c r="N17041" s="43">
        <v>5.8458639694600265</v>
      </c>
      <c r="O17041" s="43">
        <v>11.502732240437158</v>
      </c>
      <c r="P17041" s="535"/>
      <c r="Q17041" s="535"/>
      <c r="R17041" s="535">
        <v>1</v>
      </c>
    </row>
    <row r="17042" spans="1:18" ht="24">
      <c r="A17042" s="531">
        <v>197</v>
      </c>
      <c r="B17042" s="528" t="s">
        <v>30579</v>
      </c>
      <c r="C17042" s="532" t="s">
        <v>30580</v>
      </c>
      <c r="D17042" s="533">
        <v>942.78</v>
      </c>
      <c r="E17042" s="533">
        <v>98.58</v>
      </c>
      <c r="F17042" s="533">
        <v>842.23</v>
      </c>
      <c r="G17042" s="533">
        <v>1.97</v>
      </c>
      <c r="H17042" s="534">
        <v>6088.38</v>
      </c>
      <c r="I17042" s="534">
        <v>1133.6199999999999</v>
      </c>
      <c r="J17042" s="534">
        <v>4932.1000000000004</v>
      </c>
      <c r="K17042" s="534">
        <v>22.66</v>
      </c>
      <c r="L17042" s="43">
        <v>6.4579011009991731</v>
      </c>
      <c r="M17042" s="43">
        <v>11.499492797727733</v>
      </c>
      <c r="N17042" s="43">
        <v>5.8560013298030231</v>
      </c>
      <c r="O17042" s="43">
        <v>11.50253807106599</v>
      </c>
      <c r="P17042" s="535"/>
      <c r="Q17042" s="535"/>
      <c r="R17042" s="535">
        <v>1</v>
      </c>
    </row>
    <row r="17043" spans="1:18" ht="24">
      <c r="A17043" s="531">
        <v>198</v>
      </c>
      <c r="B17043" s="528" t="s">
        <v>30581</v>
      </c>
      <c r="C17043" s="532" t="s">
        <v>30582</v>
      </c>
      <c r="D17043" s="533">
        <v>1319.22</v>
      </c>
      <c r="E17043" s="533">
        <v>138.59</v>
      </c>
      <c r="F17043" s="533">
        <v>1177.8599999999999</v>
      </c>
      <c r="G17043" s="533">
        <v>2.77</v>
      </c>
      <c r="H17043" s="534">
        <v>8522.98</v>
      </c>
      <c r="I17043" s="534">
        <v>1593.81</v>
      </c>
      <c r="J17043" s="534">
        <v>6897.31</v>
      </c>
      <c r="K17043" s="534">
        <v>31.86</v>
      </c>
      <c r="L17043" s="43">
        <v>6.4606206697897237</v>
      </c>
      <c r="M17043" s="43">
        <v>11.500180388195396</v>
      </c>
      <c r="N17043" s="43">
        <v>5.8557978027948998</v>
      </c>
      <c r="O17043" s="43">
        <v>11.501805054151625</v>
      </c>
      <c r="P17043" s="535"/>
      <c r="Q17043" s="535"/>
      <c r="R17043" s="535">
        <v>1</v>
      </c>
    </row>
    <row r="17044" spans="1:18" ht="24">
      <c r="A17044" s="531">
        <v>199</v>
      </c>
      <c r="B17044" s="528" t="s">
        <v>30583</v>
      </c>
      <c r="C17044" s="532" t="s">
        <v>30584</v>
      </c>
      <c r="D17044" s="533">
        <v>1774.49</v>
      </c>
      <c r="E17044" s="533">
        <v>160.06</v>
      </c>
      <c r="F17044" s="533">
        <v>1611.23</v>
      </c>
      <c r="G17044" s="533">
        <v>3.2</v>
      </c>
      <c r="H17044" s="534">
        <v>11312.2</v>
      </c>
      <c r="I17044" s="534">
        <v>1840.74</v>
      </c>
      <c r="J17044" s="534">
        <v>9434.66</v>
      </c>
      <c r="K17044" s="534">
        <v>36.799999999999997</v>
      </c>
      <c r="L17044" s="43">
        <v>6.374902084542601</v>
      </c>
      <c r="M17044" s="43">
        <v>11.500312382856428</v>
      </c>
      <c r="N17044" s="43">
        <v>5.8555637618465397</v>
      </c>
      <c r="O17044" s="43">
        <v>11.499999999999998</v>
      </c>
      <c r="P17044" s="535"/>
      <c r="Q17044" s="535"/>
      <c r="R17044" s="535">
        <v>1</v>
      </c>
    </row>
    <row r="17045" spans="1:18" ht="24">
      <c r="A17045" s="531">
        <v>200</v>
      </c>
      <c r="B17045" s="528" t="s">
        <v>30585</v>
      </c>
      <c r="C17045" s="532" t="s">
        <v>30586</v>
      </c>
      <c r="D17045" s="533">
        <v>3275.44</v>
      </c>
      <c r="E17045" s="533">
        <v>266.45</v>
      </c>
      <c r="F17045" s="533">
        <v>3003.66</v>
      </c>
      <c r="G17045" s="533">
        <v>5.33</v>
      </c>
      <c r="H17045" s="534">
        <v>20611.86</v>
      </c>
      <c r="I17045" s="534">
        <v>3064.15</v>
      </c>
      <c r="J17045" s="534">
        <v>17486.41</v>
      </c>
      <c r="K17045" s="534">
        <v>61.3</v>
      </c>
      <c r="L17045" s="43">
        <v>6.2928522580172439</v>
      </c>
      <c r="M17045" s="43">
        <v>11.499906173766187</v>
      </c>
      <c r="N17045" s="43">
        <v>5.8217008582862242</v>
      </c>
      <c r="O17045" s="43">
        <v>11.50093808630394</v>
      </c>
      <c r="P17045" s="535"/>
      <c r="Q17045" s="535"/>
      <c r="R17045" s="535">
        <v>1</v>
      </c>
    </row>
    <row r="17046" spans="1:18" ht="24">
      <c r="A17046" s="531">
        <v>201</v>
      </c>
      <c r="B17046" s="528" t="s">
        <v>30587</v>
      </c>
      <c r="C17046" s="532" t="s">
        <v>30588</v>
      </c>
      <c r="D17046" s="533">
        <v>5479.68</v>
      </c>
      <c r="E17046" s="533">
        <v>894.99</v>
      </c>
      <c r="F17046" s="533">
        <v>4566.79</v>
      </c>
      <c r="G17046" s="533">
        <v>17.899999999999999</v>
      </c>
      <c r="H17046" s="534">
        <v>37564.480000000003</v>
      </c>
      <c r="I17046" s="534">
        <v>10292.41</v>
      </c>
      <c r="J17046" s="534">
        <v>27066.22</v>
      </c>
      <c r="K17046" s="534">
        <v>205.85</v>
      </c>
      <c r="L17046" s="43">
        <v>6.8552324223312313</v>
      </c>
      <c r="M17046" s="43">
        <v>11.500027933272998</v>
      </c>
      <c r="N17046" s="43">
        <v>5.9267494235557141</v>
      </c>
      <c r="O17046" s="43">
        <v>11.5</v>
      </c>
      <c r="P17046" s="535"/>
      <c r="Q17046" s="535"/>
      <c r="R17046" s="535">
        <v>1</v>
      </c>
    </row>
    <row r="17047" spans="1:18" ht="24">
      <c r="A17047" s="531">
        <v>202</v>
      </c>
      <c r="B17047" s="528" t="s">
        <v>30589</v>
      </c>
      <c r="C17047" s="532" t="s">
        <v>30590</v>
      </c>
      <c r="D17047" s="533">
        <v>441.5</v>
      </c>
      <c r="E17047" s="533">
        <v>48.9</v>
      </c>
      <c r="F17047" s="533">
        <v>391.62</v>
      </c>
      <c r="G17047" s="533">
        <v>0.98</v>
      </c>
      <c r="H17047" s="534">
        <v>2873.32</v>
      </c>
      <c r="I17047" s="534">
        <v>562.32000000000005</v>
      </c>
      <c r="J17047" s="534">
        <v>2299.73</v>
      </c>
      <c r="K17047" s="534">
        <v>11.27</v>
      </c>
      <c r="L17047" s="43">
        <v>6.5080860702151755</v>
      </c>
      <c r="M17047" s="43">
        <v>11.499386503067486</v>
      </c>
      <c r="N17047" s="43">
        <v>5.8723507481742505</v>
      </c>
      <c r="O17047" s="43">
        <v>11.5</v>
      </c>
      <c r="P17047" s="535"/>
      <c r="Q17047" s="535"/>
      <c r="R17047" s="535">
        <v>1</v>
      </c>
    </row>
    <row r="17048" spans="1:18" ht="24">
      <c r="A17048" s="531">
        <v>203</v>
      </c>
      <c r="B17048" s="528" t="s">
        <v>30591</v>
      </c>
      <c r="C17048" s="532" t="s">
        <v>30592</v>
      </c>
      <c r="D17048" s="533">
        <v>441.5</v>
      </c>
      <c r="E17048" s="533">
        <v>48.9</v>
      </c>
      <c r="F17048" s="533">
        <v>391.62</v>
      </c>
      <c r="G17048" s="533">
        <v>0.98</v>
      </c>
      <c r="H17048" s="534">
        <v>2873.32</v>
      </c>
      <c r="I17048" s="534">
        <v>562.32000000000005</v>
      </c>
      <c r="J17048" s="534">
        <v>2299.73</v>
      </c>
      <c r="K17048" s="534">
        <v>11.27</v>
      </c>
      <c r="L17048" s="43">
        <v>6.5080860702151755</v>
      </c>
      <c r="M17048" s="43">
        <v>11.499386503067486</v>
      </c>
      <c r="N17048" s="43">
        <v>5.8723507481742505</v>
      </c>
      <c r="O17048" s="43">
        <v>11.5</v>
      </c>
      <c r="P17048" s="535"/>
      <c r="Q17048" s="535"/>
      <c r="R17048" s="535">
        <v>1</v>
      </c>
    </row>
    <row r="17049" spans="1:18" ht="24">
      <c r="A17049" s="531">
        <v>204</v>
      </c>
      <c r="B17049" s="528" t="s">
        <v>30593</v>
      </c>
      <c r="C17049" s="532" t="s">
        <v>30594</v>
      </c>
      <c r="D17049" s="533">
        <v>441.5</v>
      </c>
      <c r="E17049" s="533">
        <v>48.9</v>
      </c>
      <c r="F17049" s="533">
        <v>391.62</v>
      </c>
      <c r="G17049" s="533">
        <v>0.98</v>
      </c>
      <c r="H17049" s="534">
        <v>2873.32</v>
      </c>
      <c r="I17049" s="534">
        <v>562.32000000000005</v>
      </c>
      <c r="J17049" s="534">
        <v>2299.73</v>
      </c>
      <c r="K17049" s="534">
        <v>11.27</v>
      </c>
      <c r="L17049" s="43">
        <v>6.5080860702151755</v>
      </c>
      <c r="M17049" s="43">
        <v>11.499386503067486</v>
      </c>
      <c r="N17049" s="43">
        <v>5.8723507481742505</v>
      </c>
      <c r="O17049" s="43">
        <v>11.5</v>
      </c>
      <c r="P17049" s="535"/>
      <c r="Q17049" s="535"/>
      <c r="R17049" s="535">
        <v>1</v>
      </c>
    </row>
    <row r="17050" spans="1:18" ht="24">
      <c r="A17050" s="531">
        <v>205</v>
      </c>
      <c r="B17050" s="528" t="s">
        <v>30595</v>
      </c>
      <c r="C17050" s="532" t="s">
        <v>30596</v>
      </c>
      <c r="D17050" s="533">
        <v>458.56</v>
      </c>
      <c r="E17050" s="533">
        <v>52.12</v>
      </c>
      <c r="F17050" s="533">
        <v>405.4</v>
      </c>
      <c r="G17050" s="533">
        <v>1.04</v>
      </c>
      <c r="H17050" s="534">
        <v>2995.87</v>
      </c>
      <c r="I17050" s="534">
        <v>599.36</v>
      </c>
      <c r="J17050" s="534">
        <v>2384.5500000000002</v>
      </c>
      <c r="K17050" s="534">
        <v>11.96</v>
      </c>
      <c r="L17050" s="43">
        <v>6.5332126657362171</v>
      </c>
      <c r="M17050" s="43">
        <v>11.499616270145818</v>
      </c>
      <c r="N17050" s="43">
        <v>5.8819684262456837</v>
      </c>
      <c r="O17050" s="43">
        <v>11.5</v>
      </c>
      <c r="P17050" s="535"/>
      <c r="Q17050" s="535"/>
      <c r="R17050" s="535">
        <v>1</v>
      </c>
    </row>
    <row r="17051" spans="1:18" ht="24">
      <c r="A17051" s="531">
        <v>206</v>
      </c>
      <c r="B17051" s="528" t="s">
        <v>30597</v>
      </c>
      <c r="C17051" s="532" t="s">
        <v>30598</v>
      </c>
      <c r="D17051" s="533">
        <v>461.85</v>
      </c>
      <c r="E17051" s="533">
        <v>55.34</v>
      </c>
      <c r="F17051" s="533">
        <v>405.4</v>
      </c>
      <c r="G17051" s="533">
        <v>1.1100000000000001</v>
      </c>
      <c r="H17051" s="534">
        <v>3033.72</v>
      </c>
      <c r="I17051" s="534">
        <v>636.4</v>
      </c>
      <c r="J17051" s="534">
        <v>2384.5500000000002</v>
      </c>
      <c r="K17051" s="534">
        <v>12.77</v>
      </c>
      <c r="L17051" s="43">
        <v>6.5686261773303016</v>
      </c>
      <c r="M17051" s="43">
        <v>11.499819298879652</v>
      </c>
      <c r="N17051" s="43">
        <v>5.8819684262456837</v>
      </c>
      <c r="O17051" s="43">
        <v>11.504504504504503</v>
      </c>
      <c r="P17051" s="535"/>
      <c r="Q17051" s="535"/>
      <c r="R17051" s="535">
        <v>1</v>
      </c>
    </row>
    <row r="17052" spans="1:18" ht="24">
      <c r="A17052" s="531">
        <v>207</v>
      </c>
      <c r="B17052" s="528" t="s">
        <v>30599</v>
      </c>
      <c r="C17052" s="532" t="s">
        <v>30600</v>
      </c>
      <c r="D17052" s="533">
        <v>546.75</v>
      </c>
      <c r="E17052" s="533">
        <v>70.17</v>
      </c>
      <c r="F17052" s="533">
        <v>475.18</v>
      </c>
      <c r="G17052" s="533">
        <v>1.4</v>
      </c>
      <c r="H17052" s="534">
        <v>3627.01</v>
      </c>
      <c r="I17052" s="534">
        <v>807.01</v>
      </c>
      <c r="J17052" s="534">
        <v>2803.9</v>
      </c>
      <c r="K17052" s="534">
        <v>16.100000000000001</v>
      </c>
      <c r="L17052" s="43">
        <v>6.633763145861912</v>
      </c>
      <c r="M17052" s="43">
        <v>11.500783810745332</v>
      </c>
      <c r="N17052" s="43">
        <v>5.9007113093985435</v>
      </c>
      <c r="O17052" s="43">
        <v>11.500000000000002</v>
      </c>
      <c r="P17052" s="535"/>
      <c r="Q17052" s="535"/>
      <c r="R17052" s="535">
        <v>1</v>
      </c>
    </row>
    <row r="17053" spans="1:18" ht="24">
      <c r="A17053" s="531">
        <v>208</v>
      </c>
      <c r="B17053" s="528" t="s">
        <v>30601</v>
      </c>
      <c r="C17053" s="532" t="s">
        <v>30602</v>
      </c>
      <c r="D17053" s="533">
        <v>1081.6500000000001</v>
      </c>
      <c r="E17053" s="533">
        <v>127.86</v>
      </c>
      <c r="F17053" s="533">
        <v>951.23</v>
      </c>
      <c r="G17053" s="533">
        <v>2.56</v>
      </c>
      <c r="H17053" s="534">
        <v>7102.79</v>
      </c>
      <c r="I17053" s="534">
        <v>1470.34</v>
      </c>
      <c r="J17053" s="534">
        <v>5603.01</v>
      </c>
      <c r="K17053" s="534">
        <v>29.44</v>
      </c>
      <c r="L17053" s="43">
        <v>6.5666250635603012</v>
      </c>
      <c r="M17053" s="43">
        <v>11.499608947286093</v>
      </c>
      <c r="N17053" s="43">
        <v>5.8902789020531312</v>
      </c>
      <c r="O17053" s="43">
        <v>11.5</v>
      </c>
      <c r="P17053" s="535"/>
      <c r="Q17053" s="535"/>
      <c r="R17053" s="535">
        <v>1</v>
      </c>
    </row>
    <row r="17054" spans="1:18" ht="24">
      <c r="A17054" s="531">
        <v>209</v>
      </c>
      <c r="B17054" s="528" t="s">
        <v>30603</v>
      </c>
      <c r="C17054" s="532" t="s">
        <v>30604</v>
      </c>
      <c r="D17054" s="533">
        <v>1132.68</v>
      </c>
      <c r="E17054" s="533">
        <v>138.59</v>
      </c>
      <c r="F17054" s="533">
        <v>991.32</v>
      </c>
      <c r="G17054" s="533">
        <v>2.77</v>
      </c>
      <c r="H17054" s="534">
        <v>7475.45</v>
      </c>
      <c r="I17054" s="534">
        <v>1593.81</v>
      </c>
      <c r="J17054" s="534">
        <v>5849.78</v>
      </c>
      <c r="K17054" s="534">
        <v>31.86</v>
      </c>
      <c r="L17054" s="43">
        <v>6.5997898788713485</v>
      </c>
      <c r="M17054" s="43">
        <v>11.500180388195396</v>
      </c>
      <c r="N17054" s="43">
        <v>5.9010006859540809</v>
      </c>
      <c r="O17054" s="43">
        <v>11.501805054151625</v>
      </c>
      <c r="P17054" s="535"/>
      <c r="Q17054" s="535"/>
      <c r="R17054" s="535">
        <v>1</v>
      </c>
    </row>
    <row r="17055" spans="1:18" ht="24">
      <c r="A17055" s="531">
        <v>210</v>
      </c>
      <c r="B17055" s="528" t="s">
        <v>30605</v>
      </c>
      <c r="C17055" s="532" t="s">
        <v>30606</v>
      </c>
      <c r="D17055" s="533">
        <v>1578.45</v>
      </c>
      <c r="E17055" s="533">
        <v>191.3</v>
      </c>
      <c r="F17055" s="533">
        <v>1383.32</v>
      </c>
      <c r="G17055" s="533">
        <v>3.83</v>
      </c>
      <c r="H17055" s="534">
        <v>10405.969999999999</v>
      </c>
      <c r="I17055" s="534">
        <v>2199.9</v>
      </c>
      <c r="J17055" s="534">
        <v>8162.02</v>
      </c>
      <c r="K17055" s="534">
        <v>44.05</v>
      </c>
      <c r="L17055" s="43">
        <v>6.5925243118248913</v>
      </c>
      <c r="M17055" s="43">
        <v>11.499738630423419</v>
      </c>
      <c r="N17055" s="43">
        <v>5.9003122921666717</v>
      </c>
      <c r="O17055" s="43">
        <v>11.50130548302872</v>
      </c>
      <c r="P17055" s="535"/>
      <c r="Q17055" s="535"/>
      <c r="R17055" s="535">
        <v>1</v>
      </c>
    </row>
    <row r="17056" spans="1:18" ht="24">
      <c r="A17056" s="531">
        <v>211</v>
      </c>
      <c r="B17056" s="528" t="s">
        <v>30607</v>
      </c>
      <c r="C17056" s="532" t="s">
        <v>30608</v>
      </c>
      <c r="D17056" s="533">
        <v>2112.31</v>
      </c>
      <c r="E17056" s="533">
        <v>223.5</v>
      </c>
      <c r="F17056" s="533">
        <v>1884.34</v>
      </c>
      <c r="G17056" s="533">
        <v>4.47</v>
      </c>
      <c r="H17056" s="534">
        <v>13737.5</v>
      </c>
      <c r="I17056" s="534">
        <v>2570.3000000000002</v>
      </c>
      <c r="J17056" s="534">
        <v>11115.79</v>
      </c>
      <c r="K17056" s="534">
        <v>51.41</v>
      </c>
      <c r="L17056" s="43">
        <v>6.5035435139728541</v>
      </c>
      <c r="M17056" s="43">
        <v>11.500223713646534</v>
      </c>
      <c r="N17056" s="43">
        <v>5.8990362673402892</v>
      </c>
      <c r="O17056" s="43">
        <v>11.501118568232663</v>
      </c>
      <c r="P17056" s="535"/>
      <c r="Q17056" s="535"/>
      <c r="R17056" s="535">
        <v>1</v>
      </c>
    </row>
    <row r="17057" spans="1:18" ht="24">
      <c r="A17057" s="531">
        <v>212</v>
      </c>
      <c r="B17057" s="528" t="s">
        <v>30609</v>
      </c>
      <c r="C17057" s="532" t="s">
        <v>30610</v>
      </c>
      <c r="D17057" s="533">
        <v>3657.07</v>
      </c>
      <c r="E17057" s="533">
        <v>372.83</v>
      </c>
      <c r="F17057" s="533">
        <v>3276.78</v>
      </c>
      <c r="G17057" s="533">
        <v>7.46</v>
      </c>
      <c r="H17057" s="534">
        <v>23540.9</v>
      </c>
      <c r="I17057" s="534">
        <v>4287.57</v>
      </c>
      <c r="J17057" s="534">
        <v>19167.54</v>
      </c>
      <c r="K17057" s="534">
        <v>85.79</v>
      </c>
      <c r="L17057" s="43">
        <v>6.4370930827137576</v>
      </c>
      <c r="M17057" s="43">
        <v>11.500067054689804</v>
      </c>
      <c r="N17057" s="43">
        <v>5.8495046966839395</v>
      </c>
      <c r="O17057" s="43">
        <v>11.500000000000002</v>
      </c>
      <c r="P17057" s="535"/>
      <c r="Q17057" s="535"/>
      <c r="R17057" s="535">
        <v>1</v>
      </c>
    </row>
    <row r="17058" spans="1:18" ht="36">
      <c r="A17058" s="531">
        <v>213</v>
      </c>
      <c r="B17058" s="528" t="s">
        <v>30611</v>
      </c>
      <c r="C17058" s="532" t="s">
        <v>30612</v>
      </c>
      <c r="D17058" s="533">
        <v>12.91</v>
      </c>
      <c r="E17058" s="533">
        <v>2.83</v>
      </c>
      <c r="F17058" s="533">
        <v>10.02</v>
      </c>
      <c r="G17058" s="533">
        <v>0.06</v>
      </c>
      <c r="H17058" s="534">
        <v>94.93</v>
      </c>
      <c r="I17058" s="534">
        <v>32.549999999999997</v>
      </c>
      <c r="J17058" s="534">
        <v>61.69</v>
      </c>
      <c r="K17058" s="534">
        <v>0.69</v>
      </c>
      <c r="L17058" s="43">
        <v>7.353214562354764</v>
      </c>
      <c r="M17058" s="43">
        <v>11.501766784452295</v>
      </c>
      <c r="N17058" s="43">
        <v>6.1566866267465068</v>
      </c>
      <c r="O17058" s="43">
        <v>11.5</v>
      </c>
      <c r="P17058" s="535"/>
      <c r="Q17058" s="535"/>
      <c r="R17058" s="535">
        <v>1</v>
      </c>
    </row>
    <row r="17059" spans="1:18" ht="24">
      <c r="A17059" s="531">
        <v>214</v>
      </c>
      <c r="B17059" s="528" t="s">
        <v>30613</v>
      </c>
      <c r="C17059" s="532" t="s">
        <v>30614</v>
      </c>
      <c r="D17059" s="533">
        <v>12.91</v>
      </c>
      <c r="E17059" s="533">
        <v>2.83</v>
      </c>
      <c r="F17059" s="533">
        <v>10.02</v>
      </c>
      <c r="G17059" s="533">
        <v>0.06</v>
      </c>
      <c r="H17059" s="534">
        <v>94.93</v>
      </c>
      <c r="I17059" s="534">
        <v>32.549999999999997</v>
      </c>
      <c r="J17059" s="534">
        <v>61.69</v>
      </c>
      <c r="K17059" s="534">
        <v>0.69</v>
      </c>
      <c r="L17059" s="43">
        <v>7.353214562354764</v>
      </c>
      <c r="M17059" s="43">
        <v>11.501766784452295</v>
      </c>
      <c r="N17059" s="43">
        <v>6.1566866267465068</v>
      </c>
      <c r="O17059" s="43">
        <v>11.5</v>
      </c>
      <c r="P17059" s="535"/>
      <c r="Q17059" s="535"/>
      <c r="R17059" s="535">
        <v>1</v>
      </c>
    </row>
    <row r="17060" spans="1:18" ht="24">
      <c r="A17060" s="531">
        <v>215</v>
      </c>
      <c r="B17060" s="528" t="s">
        <v>30615</v>
      </c>
      <c r="C17060" s="532" t="s">
        <v>30616</v>
      </c>
      <c r="D17060" s="533">
        <v>12.91</v>
      </c>
      <c r="E17060" s="533">
        <v>2.83</v>
      </c>
      <c r="F17060" s="533">
        <v>10.02</v>
      </c>
      <c r="G17060" s="533">
        <v>0.06</v>
      </c>
      <c r="H17060" s="534">
        <v>94.93</v>
      </c>
      <c r="I17060" s="534">
        <v>32.549999999999997</v>
      </c>
      <c r="J17060" s="534">
        <v>61.69</v>
      </c>
      <c r="K17060" s="534">
        <v>0.69</v>
      </c>
      <c r="L17060" s="43">
        <v>7.353214562354764</v>
      </c>
      <c r="M17060" s="43">
        <v>11.501766784452295</v>
      </c>
      <c r="N17060" s="43">
        <v>6.1566866267465068</v>
      </c>
      <c r="O17060" s="43">
        <v>11.5</v>
      </c>
      <c r="P17060" s="535"/>
      <c r="Q17060" s="535"/>
      <c r="R17060" s="535">
        <v>1</v>
      </c>
    </row>
    <row r="17061" spans="1:18" ht="24">
      <c r="A17061" s="531">
        <v>216</v>
      </c>
      <c r="B17061" s="528" t="s">
        <v>30617</v>
      </c>
      <c r="C17061" s="532" t="s">
        <v>30618</v>
      </c>
      <c r="D17061" s="533">
        <v>21.37</v>
      </c>
      <c r="E17061" s="533">
        <v>4.9800000000000004</v>
      </c>
      <c r="F17061" s="533">
        <v>16.29</v>
      </c>
      <c r="G17061" s="533">
        <v>0.1</v>
      </c>
      <c r="H17061" s="534">
        <v>158.63999999999999</v>
      </c>
      <c r="I17061" s="534">
        <v>57.24</v>
      </c>
      <c r="J17061" s="534">
        <v>100.25</v>
      </c>
      <c r="K17061" s="534">
        <v>1.1499999999999999</v>
      </c>
      <c r="L17061" s="43">
        <v>7.4234908750584925</v>
      </c>
      <c r="M17061" s="43">
        <v>11.5</v>
      </c>
      <c r="N17061" s="43">
        <v>6.1540822590546354</v>
      </c>
      <c r="O17061" s="43">
        <v>11.499999999999998</v>
      </c>
      <c r="P17061" s="535"/>
      <c r="Q17061" s="535"/>
      <c r="R17061" s="535">
        <v>1</v>
      </c>
    </row>
    <row r="17062" spans="1:18" ht="24">
      <c r="A17062" s="531">
        <v>217</v>
      </c>
      <c r="B17062" s="528" t="s">
        <v>30619</v>
      </c>
      <c r="C17062" s="532" t="s">
        <v>30620</v>
      </c>
      <c r="D17062" s="533">
        <v>21.77</v>
      </c>
      <c r="E17062" s="533">
        <v>5.37</v>
      </c>
      <c r="F17062" s="533">
        <v>16.29</v>
      </c>
      <c r="G17062" s="533">
        <v>0.11</v>
      </c>
      <c r="H17062" s="534">
        <v>163.25</v>
      </c>
      <c r="I17062" s="534">
        <v>61.73</v>
      </c>
      <c r="J17062" s="534">
        <v>100.25</v>
      </c>
      <c r="K17062" s="534">
        <v>1.27</v>
      </c>
      <c r="L17062" s="43">
        <v>7.4988516306844284</v>
      </c>
      <c r="M17062" s="43">
        <v>11.495344506517689</v>
      </c>
      <c r="N17062" s="43">
        <v>6.1540822590546354</v>
      </c>
      <c r="O17062" s="43">
        <v>11.503164556962025</v>
      </c>
      <c r="P17062" s="535"/>
      <c r="Q17062" s="535"/>
      <c r="R17062" s="535">
        <v>1</v>
      </c>
    </row>
    <row r="17063" spans="1:18" ht="24">
      <c r="A17063" s="531">
        <v>218</v>
      </c>
      <c r="B17063" s="528" t="s">
        <v>30621</v>
      </c>
      <c r="C17063" s="532" t="s">
        <v>30622</v>
      </c>
      <c r="D17063" s="533">
        <v>21.77</v>
      </c>
      <c r="E17063" s="533">
        <v>5.37</v>
      </c>
      <c r="F17063" s="533">
        <v>16.29</v>
      </c>
      <c r="G17063" s="533">
        <v>0.11</v>
      </c>
      <c r="H17063" s="534">
        <v>163.25</v>
      </c>
      <c r="I17063" s="534">
        <v>61.73</v>
      </c>
      <c r="J17063" s="534">
        <v>100.25</v>
      </c>
      <c r="K17063" s="534">
        <v>1.27</v>
      </c>
      <c r="L17063" s="43">
        <v>7.4988516306844284</v>
      </c>
      <c r="M17063" s="43">
        <v>11.495344506517689</v>
      </c>
      <c r="N17063" s="43">
        <v>6.1540822590546354</v>
      </c>
      <c r="O17063" s="43">
        <v>11.503164556962025</v>
      </c>
      <c r="P17063" s="535"/>
      <c r="Q17063" s="535"/>
      <c r="R17063" s="535">
        <v>1</v>
      </c>
    </row>
    <row r="17064" spans="1:18" ht="24">
      <c r="A17064" s="531">
        <v>219</v>
      </c>
      <c r="B17064" s="528" t="s">
        <v>30623</v>
      </c>
      <c r="C17064" s="532" t="s">
        <v>30624</v>
      </c>
      <c r="D17064" s="533">
        <v>24.67</v>
      </c>
      <c r="E17064" s="533">
        <v>5.76</v>
      </c>
      <c r="F17064" s="533">
        <v>18.79</v>
      </c>
      <c r="G17064" s="533">
        <v>0.12</v>
      </c>
      <c r="H17064" s="534">
        <v>183.27</v>
      </c>
      <c r="I17064" s="534">
        <v>66.22</v>
      </c>
      <c r="J17064" s="534">
        <v>115.67</v>
      </c>
      <c r="K17064" s="534">
        <v>1.38</v>
      </c>
      <c r="L17064" s="43">
        <v>7.4288609647344952</v>
      </c>
      <c r="M17064" s="43">
        <v>11.496527777777779</v>
      </c>
      <c r="N17064" s="43">
        <v>6.1559340074507718</v>
      </c>
      <c r="O17064" s="43">
        <v>11.5</v>
      </c>
      <c r="P17064" s="535"/>
      <c r="Q17064" s="535"/>
      <c r="R17064" s="535">
        <v>1</v>
      </c>
    </row>
    <row r="17065" spans="1:18" ht="24">
      <c r="A17065" s="531">
        <v>220</v>
      </c>
      <c r="B17065" s="528" t="s">
        <v>30625</v>
      </c>
      <c r="C17065" s="532" t="s">
        <v>30626</v>
      </c>
      <c r="D17065" s="533">
        <v>24.67</v>
      </c>
      <c r="E17065" s="533">
        <v>5.76</v>
      </c>
      <c r="F17065" s="533">
        <v>18.79</v>
      </c>
      <c r="G17065" s="533">
        <v>0.12</v>
      </c>
      <c r="H17065" s="534">
        <v>183.27</v>
      </c>
      <c r="I17065" s="534">
        <v>66.22</v>
      </c>
      <c r="J17065" s="534">
        <v>115.67</v>
      </c>
      <c r="K17065" s="534">
        <v>1.38</v>
      </c>
      <c r="L17065" s="43">
        <v>7.4288609647344952</v>
      </c>
      <c r="M17065" s="43">
        <v>11.496527777777779</v>
      </c>
      <c r="N17065" s="43">
        <v>6.1559340074507718</v>
      </c>
      <c r="O17065" s="43">
        <v>11.5</v>
      </c>
      <c r="P17065" s="535"/>
      <c r="Q17065" s="535"/>
      <c r="R17065" s="535">
        <v>1</v>
      </c>
    </row>
    <row r="17066" spans="1:18" ht="36">
      <c r="A17066" s="531">
        <v>221</v>
      </c>
      <c r="B17066" s="528" t="s">
        <v>30627</v>
      </c>
      <c r="C17066" s="532" t="s">
        <v>30628</v>
      </c>
      <c r="D17066" s="533">
        <v>33.03</v>
      </c>
      <c r="E17066" s="533">
        <v>7.81</v>
      </c>
      <c r="F17066" s="533">
        <v>25.06</v>
      </c>
      <c r="G17066" s="533">
        <v>0.16</v>
      </c>
      <c r="H17066" s="534">
        <v>245.86</v>
      </c>
      <c r="I17066" s="534">
        <v>89.79</v>
      </c>
      <c r="J17066" s="534">
        <v>154.22999999999999</v>
      </c>
      <c r="K17066" s="534">
        <v>1.84</v>
      </c>
      <c r="L17066" s="43">
        <v>7.4435361792310024</v>
      </c>
      <c r="M17066" s="43">
        <v>11.496798975672217</v>
      </c>
      <c r="N17066" s="43">
        <v>6.154429369513168</v>
      </c>
      <c r="O17066" s="43">
        <v>11.5</v>
      </c>
      <c r="P17066" s="535"/>
      <c r="Q17066" s="535"/>
      <c r="R17066" s="535">
        <v>1</v>
      </c>
    </row>
    <row r="17067" spans="1:18" ht="36">
      <c r="A17067" s="531">
        <v>222</v>
      </c>
      <c r="B17067" s="528" t="s">
        <v>30629</v>
      </c>
      <c r="C17067" s="532" t="s">
        <v>30630</v>
      </c>
      <c r="D17067" s="533">
        <v>34.67</v>
      </c>
      <c r="E17067" s="533">
        <v>8.1999999999999993</v>
      </c>
      <c r="F17067" s="533">
        <v>26.31</v>
      </c>
      <c r="G17067" s="533">
        <v>0.16</v>
      </c>
      <c r="H17067" s="534">
        <v>258.06</v>
      </c>
      <c r="I17067" s="534">
        <v>94.28</v>
      </c>
      <c r="J17067" s="534">
        <v>161.94</v>
      </c>
      <c r="K17067" s="534">
        <v>1.84</v>
      </c>
      <c r="L17067" s="43">
        <v>7.4433227574271701</v>
      </c>
      <c r="M17067" s="43">
        <v>11.497560975609757</v>
      </c>
      <c r="N17067" s="43">
        <v>6.1550741163055873</v>
      </c>
      <c r="O17067" s="43">
        <v>11.5</v>
      </c>
      <c r="P17067" s="535"/>
      <c r="Q17067" s="535"/>
      <c r="R17067" s="535">
        <v>1</v>
      </c>
    </row>
    <row r="17068" spans="1:18" ht="36">
      <c r="A17068" s="531">
        <v>223</v>
      </c>
      <c r="B17068" s="528" t="s">
        <v>30631</v>
      </c>
      <c r="C17068" s="532" t="s">
        <v>30632</v>
      </c>
      <c r="D17068" s="533">
        <v>54.39</v>
      </c>
      <c r="E17068" s="533">
        <v>12.79</v>
      </c>
      <c r="F17068" s="533">
        <v>41.34</v>
      </c>
      <c r="G17068" s="533">
        <v>0.26</v>
      </c>
      <c r="H17068" s="534">
        <v>404.5</v>
      </c>
      <c r="I17068" s="534">
        <v>147.03</v>
      </c>
      <c r="J17068" s="534">
        <v>254.48</v>
      </c>
      <c r="K17068" s="534">
        <v>2.99</v>
      </c>
      <c r="L17068" s="43">
        <v>7.4370288656002943</v>
      </c>
      <c r="M17068" s="43">
        <v>11.495699765441753</v>
      </c>
      <c r="N17068" s="43">
        <v>6.1557813255926455</v>
      </c>
      <c r="O17068" s="43">
        <v>11.5</v>
      </c>
      <c r="P17068" s="535"/>
      <c r="Q17068" s="535"/>
      <c r="R17068" s="535">
        <v>1</v>
      </c>
    </row>
    <row r="17069" spans="1:18" ht="12.75" customHeight="1">
      <c r="A17069" s="628" t="s">
        <v>30633</v>
      </c>
      <c r="B17069" s="629"/>
      <c r="C17069" s="629"/>
      <c r="D17069" s="629"/>
      <c r="E17069" s="629"/>
      <c r="F17069" s="629"/>
      <c r="G17069" s="629"/>
      <c r="H17069" s="629"/>
      <c r="I17069" s="629"/>
      <c r="J17069" s="629"/>
      <c r="K17069" s="629"/>
      <c r="L17069" s="629"/>
      <c r="M17069" s="629"/>
      <c r="N17069" s="629"/>
      <c r="O17069" s="629"/>
      <c r="P17069" s="629"/>
      <c r="Q17069" s="629"/>
      <c r="R17069" s="629"/>
    </row>
    <row r="17070" spans="1:18" ht="24">
      <c r="A17070" s="531">
        <v>224</v>
      </c>
      <c r="B17070" s="528" t="s">
        <v>30634</v>
      </c>
      <c r="C17070" s="532" t="s">
        <v>30635</v>
      </c>
      <c r="D17070" s="533">
        <v>103.97</v>
      </c>
      <c r="E17070" s="533">
        <v>15.71</v>
      </c>
      <c r="F17070" s="533">
        <v>87.95</v>
      </c>
      <c r="G17070" s="533">
        <v>0.31</v>
      </c>
      <c r="H17070" s="534">
        <v>708.07</v>
      </c>
      <c r="I17070" s="534">
        <v>180.68</v>
      </c>
      <c r="J17070" s="534">
        <v>523.82000000000005</v>
      </c>
      <c r="K17070" s="534">
        <v>3.57</v>
      </c>
      <c r="L17070" s="43">
        <v>6.8103299028565942</v>
      </c>
      <c r="M17070" s="43">
        <v>11.500954805856143</v>
      </c>
      <c r="N17070" s="43">
        <v>5.9558840250142131</v>
      </c>
      <c r="O17070" s="43">
        <v>11.503164556962025</v>
      </c>
      <c r="P17070" s="535"/>
      <c r="Q17070" s="535"/>
      <c r="R17070" s="535">
        <v>2</v>
      </c>
    </row>
    <row r="17071" spans="1:18" ht="24">
      <c r="A17071" s="531">
        <v>225</v>
      </c>
      <c r="B17071" s="528" t="s">
        <v>30636</v>
      </c>
      <c r="C17071" s="532" t="s">
        <v>30637</v>
      </c>
      <c r="D17071" s="533">
        <v>160.46</v>
      </c>
      <c r="E17071" s="533">
        <v>21.94</v>
      </c>
      <c r="F17071" s="533">
        <v>138.08000000000001</v>
      </c>
      <c r="G17071" s="533">
        <v>0.44</v>
      </c>
      <c r="H17071" s="534">
        <v>1074.95</v>
      </c>
      <c r="I17071" s="534">
        <v>252.29</v>
      </c>
      <c r="J17071" s="534">
        <v>817.6</v>
      </c>
      <c r="K17071" s="534">
        <v>5.0599999999999996</v>
      </c>
      <c r="L17071" s="43">
        <v>6.6991773650754078</v>
      </c>
      <c r="M17071" s="43">
        <v>11.49908842297174</v>
      </c>
      <c r="N17071" s="43">
        <v>5.9212050984936262</v>
      </c>
      <c r="O17071" s="43">
        <v>11.499999999999998</v>
      </c>
      <c r="P17071" s="535"/>
      <c r="Q17071" s="535"/>
      <c r="R17071" s="535">
        <v>2</v>
      </c>
    </row>
    <row r="17072" spans="1:18" ht="24">
      <c r="A17072" s="531">
        <v>226</v>
      </c>
      <c r="B17072" s="528" t="s">
        <v>30638</v>
      </c>
      <c r="C17072" s="532" t="s">
        <v>30639</v>
      </c>
      <c r="D17072" s="533">
        <v>179.78</v>
      </c>
      <c r="E17072" s="533">
        <v>26.15</v>
      </c>
      <c r="F17072" s="533">
        <v>153.11000000000001</v>
      </c>
      <c r="G17072" s="533">
        <v>0.52</v>
      </c>
      <c r="H17072" s="534">
        <v>1216.8800000000001</v>
      </c>
      <c r="I17072" s="534">
        <v>300.76</v>
      </c>
      <c r="J17072" s="534">
        <v>910.14</v>
      </c>
      <c r="K17072" s="534">
        <v>5.98</v>
      </c>
      <c r="L17072" s="43">
        <v>6.7687173211703202</v>
      </c>
      <c r="M17072" s="43">
        <v>11.50133843212237</v>
      </c>
      <c r="N17072" s="43">
        <v>5.9443537326105407</v>
      </c>
      <c r="O17072" s="43">
        <v>11.5</v>
      </c>
      <c r="P17072" s="535"/>
      <c r="Q17072" s="535"/>
      <c r="R17072" s="535">
        <v>2</v>
      </c>
    </row>
    <row r="17073" spans="1:18" ht="24">
      <c r="A17073" s="531">
        <v>227</v>
      </c>
      <c r="B17073" s="528" t="s">
        <v>30640</v>
      </c>
      <c r="C17073" s="532" t="s">
        <v>30641</v>
      </c>
      <c r="D17073" s="533">
        <v>197.77</v>
      </c>
      <c r="E17073" s="533">
        <v>30.27</v>
      </c>
      <c r="F17073" s="533">
        <v>166.89</v>
      </c>
      <c r="G17073" s="533">
        <v>0.61</v>
      </c>
      <c r="H17073" s="534">
        <v>1350.12</v>
      </c>
      <c r="I17073" s="534">
        <v>348.14</v>
      </c>
      <c r="J17073" s="534">
        <v>994.96</v>
      </c>
      <c r="K17073" s="534">
        <v>7.02</v>
      </c>
      <c r="L17073" s="43">
        <v>6.8267179046366984</v>
      </c>
      <c r="M17073" s="43">
        <v>11.501156260323752</v>
      </c>
      <c r="N17073" s="43">
        <v>5.9617712265564151</v>
      </c>
      <c r="O17073" s="43">
        <v>11.503164556962025</v>
      </c>
      <c r="P17073" s="535"/>
      <c r="Q17073" s="535"/>
      <c r="R17073" s="535">
        <v>2</v>
      </c>
    </row>
    <row r="17074" spans="1:18" ht="24">
      <c r="A17074" s="531">
        <v>228</v>
      </c>
      <c r="B17074" s="528" t="s">
        <v>30642</v>
      </c>
      <c r="C17074" s="532" t="s">
        <v>30643</v>
      </c>
      <c r="D17074" s="533">
        <v>264.26</v>
      </c>
      <c r="E17074" s="533">
        <v>40.72</v>
      </c>
      <c r="F17074" s="533">
        <v>222.73</v>
      </c>
      <c r="G17074" s="533">
        <v>0.81</v>
      </c>
      <c r="H17074" s="534">
        <v>1807.89</v>
      </c>
      <c r="I17074" s="534">
        <v>468.22</v>
      </c>
      <c r="J17074" s="534">
        <v>1330.35</v>
      </c>
      <c r="K17074" s="534">
        <v>9.32</v>
      </c>
      <c r="L17074" s="43">
        <v>6.8413305078331952</v>
      </c>
      <c r="M17074" s="43">
        <v>11.498526522593322</v>
      </c>
      <c r="N17074" s="43">
        <v>5.9729268621200555</v>
      </c>
      <c r="O17074" s="43">
        <v>11.503164556962025</v>
      </c>
      <c r="P17074" s="535"/>
      <c r="Q17074" s="535"/>
      <c r="R17074" s="535">
        <v>2</v>
      </c>
    </row>
    <row r="17075" spans="1:18" ht="24">
      <c r="A17075" s="531">
        <v>229</v>
      </c>
      <c r="B17075" s="528" t="s">
        <v>30644</v>
      </c>
      <c r="C17075" s="532" t="s">
        <v>30645</v>
      </c>
      <c r="D17075" s="533">
        <v>349.88</v>
      </c>
      <c r="E17075" s="533">
        <v>57.48</v>
      </c>
      <c r="F17075" s="533">
        <v>291.25</v>
      </c>
      <c r="G17075" s="533">
        <v>1.1499999999999999</v>
      </c>
      <c r="H17075" s="534">
        <v>2416.23</v>
      </c>
      <c r="I17075" s="534">
        <v>661.02</v>
      </c>
      <c r="J17075" s="534">
        <v>1741.98</v>
      </c>
      <c r="K17075" s="534">
        <v>13.23</v>
      </c>
      <c r="L17075" s="43">
        <v>6.9058820166914376</v>
      </c>
      <c r="M17075" s="43">
        <v>11.5</v>
      </c>
      <c r="N17075" s="43">
        <v>5.9810472103004289</v>
      </c>
      <c r="O17075" s="43">
        <v>11.504347826086958</v>
      </c>
      <c r="P17075" s="535"/>
      <c r="Q17075" s="535"/>
      <c r="R17075" s="535">
        <v>2</v>
      </c>
    </row>
    <row r="17076" spans="1:18" ht="24">
      <c r="A17076" s="531">
        <v>230</v>
      </c>
      <c r="B17076" s="528" t="s">
        <v>30646</v>
      </c>
      <c r="C17076" s="532" t="s">
        <v>30647</v>
      </c>
      <c r="D17076" s="533">
        <v>605.95000000000005</v>
      </c>
      <c r="E17076" s="533">
        <v>89.76</v>
      </c>
      <c r="F17076" s="533">
        <v>514.39</v>
      </c>
      <c r="G17076" s="533">
        <v>1.8</v>
      </c>
      <c r="H17076" s="534">
        <v>4108.45</v>
      </c>
      <c r="I17076" s="534">
        <v>1032.29</v>
      </c>
      <c r="J17076" s="534">
        <v>3055.46</v>
      </c>
      <c r="K17076" s="534">
        <v>20.7</v>
      </c>
      <c r="L17076" s="43">
        <v>6.7801798828286151</v>
      </c>
      <c r="M17076" s="43">
        <v>11.500557040998217</v>
      </c>
      <c r="N17076" s="43">
        <v>5.9399677287661117</v>
      </c>
      <c r="O17076" s="43">
        <v>11.5</v>
      </c>
      <c r="P17076" s="535"/>
      <c r="Q17076" s="535"/>
      <c r="R17076" s="535">
        <v>2</v>
      </c>
    </row>
    <row r="17077" spans="1:18" ht="24">
      <c r="A17077" s="531">
        <v>231</v>
      </c>
      <c r="B17077" s="528" t="s">
        <v>30648</v>
      </c>
      <c r="C17077" s="532" t="s">
        <v>30649</v>
      </c>
      <c r="D17077" s="533">
        <v>733.77</v>
      </c>
      <c r="E17077" s="533">
        <v>104.42</v>
      </c>
      <c r="F17077" s="533">
        <v>627.26</v>
      </c>
      <c r="G17077" s="533">
        <v>2.09</v>
      </c>
      <c r="H17077" s="534">
        <v>4944.59</v>
      </c>
      <c r="I17077" s="534">
        <v>1200.8499999999999</v>
      </c>
      <c r="J17077" s="534">
        <v>3719.7</v>
      </c>
      <c r="K17077" s="534">
        <v>24.04</v>
      </c>
      <c r="L17077" s="43">
        <v>6.7386101912043284</v>
      </c>
      <c r="M17077" s="43">
        <v>11.500191534188852</v>
      </c>
      <c r="N17077" s="43">
        <v>5.9300768421388259</v>
      </c>
      <c r="O17077" s="43">
        <v>11.502392344497608</v>
      </c>
      <c r="P17077" s="535"/>
      <c r="Q17077" s="535"/>
      <c r="R17077" s="535">
        <v>2</v>
      </c>
    </row>
    <row r="17078" spans="1:18" ht="24">
      <c r="A17078" s="531">
        <v>232</v>
      </c>
      <c r="B17078" s="528" t="s">
        <v>30650</v>
      </c>
      <c r="C17078" s="532" t="s">
        <v>30651</v>
      </c>
      <c r="D17078" s="533">
        <v>931.42</v>
      </c>
      <c r="E17078" s="533">
        <v>136.04</v>
      </c>
      <c r="F17078" s="533">
        <v>792.66</v>
      </c>
      <c r="G17078" s="533">
        <v>2.72</v>
      </c>
      <c r="H17078" s="534">
        <v>6303.95</v>
      </c>
      <c r="I17078" s="534">
        <v>1564.41</v>
      </c>
      <c r="J17078" s="534">
        <v>4708.26</v>
      </c>
      <c r="K17078" s="534">
        <v>31.28</v>
      </c>
      <c r="L17078" s="43">
        <v>6.7681067617186663</v>
      </c>
      <c r="M17078" s="43">
        <v>11.499632461040871</v>
      </c>
      <c r="N17078" s="43">
        <v>5.939822874876997</v>
      </c>
      <c r="O17078" s="43">
        <v>11.5</v>
      </c>
      <c r="P17078" s="535"/>
      <c r="Q17078" s="535"/>
      <c r="R17078" s="535">
        <v>2</v>
      </c>
    </row>
    <row r="17079" spans="1:18" ht="24">
      <c r="A17079" s="531">
        <v>233</v>
      </c>
      <c r="B17079" s="528" t="s">
        <v>30652</v>
      </c>
      <c r="C17079" s="532" t="s">
        <v>30653</v>
      </c>
      <c r="D17079" s="533">
        <v>142.36000000000001</v>
      </c>
      <c r="E17079" s="533">
        <v>25.1</v>
      </c>
      <c r="F17079" s="533">
        <v>116.76</v>
      </c>
      <c r="G17079" s="533">
        <v>0.5</v>
      </c>
      <c r="H17079" s="534">
        <v>995.59</v>
      </c>
      <c r="I17079" s="534">
        <v>288.64999999999998</v>
      </c>
      <c r="J17079" s="534">
        <v>701.19</v>
      </c>
      <c r="K17079" s="534">
        <v>5.75</v>
      </c>
      <c r="L17079" s="43">
        <v>6.9934672660859789</v>
      </c>
      <c r="M17079" s="43">
        <v>11.499999999999998</v>
      </c>
      <c r="N17079" s="43">
        <v>6.005395683453238</v>
      </c>
      <c r="O17079" s="43">
        <v>11.5</v>
      </c>
      <c r="P17079" s="535"/>
      <c r="Q17079" s="535"/>
      <c r="R17079" s="535">
        <v>2</v>
      </c>
    </row>
    <row r="17080" spans="1:18" ht="24">
      <c r="A17080" s="531">
        <v>234</v>
      </c>
      <c r="B17080" s="528" t="s">
        <v>30654</v>
      </c>
      <c r="C17080" s="532" t="s">
        <v>30655</v>
      </c>
      <c r="D17080" s="533">
        <v>214.77</v>
      </c>
      <c r="E17080" s="533">
        <v>33.43</v>
      </c>
      <c r="F17080" s="533">
        <v>180.67</v>
      </c>
      <c r="G17080" s="533">
        <v>0.67</v>
      </c>
      <c r="H17080" s="534">
        <v>1471.99</v>
      </c>
      <c r="I17080" s="534">
        <v>384.49</v>
      </c>
      <c r="J17080" s="534">
        <v>1079.79</v>
      </c>
      <c r="K17080" s="534">
        <v>7.71</v>
      </c>
      <c r="L17080" s="43">
        <v>6.8537970852539924</v>
      </c>
      <c r="M17080" s="43">
        <v>11.50134609632067</v>
      </c>
      <c r="N17080" s="43">
        <v>5.9765871478386012</v>
      </c>
      <c r="O17080" s="43">
        <v>11.503164556962025</v>
      </c>
      <c r="P17080" s="535"/>
      <c r="Q17080" s="535"/>
      <c r="R17080" s="535">
        <v>2</v>
      </c>
    </row>
    <row r="17081" spans="1:18" ht="24">
      <c r="A17081" s="531">
        <v>235</v>
      </c>
      <c r="B17081" s="528" t="s">
        <v>30656</v>
      </c>
      <c r="C17081" s="532" t="s">
        <v>30657</v>
      </c>
      <c r="D17081" s="533">
        <v>250.84</v>
      </c>
      <c r="E17081" s="533">
        <v>41.77</v>
      </c>
      <c r="F17081" s="533">
        <v>208.23</v>
      </c>
      <c r="G17081" s="533">
        <v>0.84</v>
      </c>
      <c r="H17081" s="534">
        <v>1739.45</v>
      </c>
      <c r="I17081" s="534">
        <v>480.34</v>
      </c>
      <c r="J17081" s="534">
        <v>1249.45</v>
      </c>
      <c r="K17081" s="534">
        <v>9.66</v>
      </c>
      <c r="L17081" s="43">
        <v>6.9345000797320999</v>
      </c>
      <c r="M17081" s="43">
        <v>11.499640890591332</v>
      </c>
      <c r="N17081" s="43">
        <v>6.0003361667387027</v>
      </c>
      <c r="O17081" s="43">
        <v>11.5</v>
      </c>
      <c r="P17081" s="535"/>
      <c r="Q17081" s="535"/>
      <c r="R17081" s="535">
        <v>2</v>
      </c>
    </row>
    <row r="17082" spans="1:18" ht="24">
      <c r="A17082" s="531">
        <v>236</v>
      </c>
      <c r="B17082" s="528" t="s">
        <v>30658</v>
      </c>
      <c r="C17082" s="532" t="s">
        <v>30659</v>
      </c>
      <c r="D17082" s="533">
        <v>275.62</v>
      </c>
      <c r="E17082" s="533">
        <v>50.1</v>
      </c>
      <c r="F17082" s="533">
        <v>224.52</v>
      </c>
      <c r="G17082" s="533">
        <v>1</v>
      </c>
      <c r="H17082" s="534">
        <v>1937.39</v>
      </c>
      <c r="I17082" s="534">
        <v>576.19000000000005</v>
      </c>
      <c r="J17082" s="534">
        <v>1349.7</v>
      </c>
      <c r="K17082" s="534">
        <v>11.5</v>
      </c>
      <c r="L17082" s="43">
        <v>7.0292068790363542</v>
      </c>
      <c r="M17082" s="43">
        <v>11.500798403193613</v>
      </c>
      <c r="N17082" s="43">
        <v>6.011491181186531</v>
      </c>
      <c r="O17082" s="43">
        <v>11.5</v>
      </c>
      <c r="P17082" s="535"/>
      <c r="Q17082" s="535"/>
      <c r="R17082" s="535">
        <v>2</v>
      </c>
    </row>
    <row r="17083" spans="1:18" ht="24">
      <c r="A17083" s="531">
        <v>237</v>
      </c>
      <c r="B17083" s="528" t="s">
        <v>30660</v>
      </c>
      <c r="C17083" s="532" t="s">
        <v>30661</v>
      </c>
      <c r="D17083" s="533">
        <v>340.5</v>
      </c>
      <c r="E17083" s="533">
        <v>62.65</v>
      </c>
      <c r="F17083" s="533">
        <v>276.60000000000002</v>
      </c>
      <c r="G17083" s="533">
        <v>1.25</v>
      </c>
      <c r="H17083" s="534">
        <v>2396.84</v>
      </c>
      <c r="I17083" s="534">
        <v>720.51</v>
      </c>
      <c r="J17083" s="534">
        <v>1661.95</v>
      </c>
      <c r="K17083" s="534">
        <v>14.38</v>
      </c>
      <c r="L17083" s="43">
        <v>7.0391776798825259</v>
      </c>
      <c r="M17083" s="43">
        <v>11.500558659217877</v>
      </c>
      <c r="N17083" s="43">
        <v>6.0084960231381048</v>
      </c>
      <c r="O17083" s="43">
        <v>11.504000000000001</v>
      </c>
      <c r="P17083" s="535"/>
      <c r="Q17083" s="535"/>
      <c r="R17083" s="535">
        <v>2</v>
      </c>
    </row>
    <row r="17084" spans="1:18" ht="24">
      <c r="A17084" s="531">
        <v>238</v>
      </c>
      <c r="B17084" s="528" t="s">
        <v>30662</v>
      </c>
      <c r="C17084" s="532" t="s">
        <v>30663</v>
      </c>
      <c r="D17084" s="533">
        <v>496.29</v>
      </c>
      <c r="E17084" s="533">
        <v>92.93</v>
      </c>
      <c r="F17084" s="533">
        <v>401.5</v>
      </c>
      <c r="G17084" s="533">
        <v>1.86</v>
      </c>
      <c r="H17084" s="534">
        <v>3510.64</v>
      </c>
      <c r="I17084" s="534">
        <v>1068.6500000000001</v>
      </c>
      <c r="J17084" s="534">
        <v>2420.6</v>
      </c>
      <c r="K17084" s="534">
        <v>21.39</v>
      </c>
      <c r="L17084" s="43">
        <v>7.0737673537649357</v>
      </c>
      <c r="M17084" s="43">
        <v>11.499515764553966</v>
      </c>
      <c r="N17084" s="43">
        <v>6.0288916562889163</v>
      </c>
      <c r="O17084" s="43">
        <v>11.5</v>
      </c>
      <c r="P17084" s="535"/>
      <c r="Q17084" s="535"/>
      <c r="R17084" s="535">
        <v>2</v>
      </c>
    </row>
    <row r="17085" spans="1:18" ht="24">
      <c r="A17085" s="531">
        <v>239</v>
      </c>
      <c r="B17085" s="528" t="s">
        <v>30664</v>
      </c>
      <c r="C17085" s="532" t="s">
        <v>30665</v>
      </c>
      <c r="D17085" s="533">
        <v>808.38</v>
      </c>
      <c r="E17085" s="533">
        <v>140.83000000000001</v>
      </c>
      <c r="F17085" s="533">
        <v>664.73</v>
      </c>
      <c r="G17085" s="533">
        <v>2.82</v>
      </c>
      <c r="H17085" s="534">
        <v>5632.78</v>
      </c>
      <c r="I17085" s="534">
        <v>1619.5</v>
      </c>
      <c r="J17085" s="534">
        <v>3980.85</v>
      </c>
      <c r="K17085" s="534">
        <v>32.43</v>
      </c>
      <c r="L17085" s="43">
        <v>6.967985353422895</v>
      </c>
      <c r="M17085" s="43">
        <v>11.49968046580984</v>
      </c>
      <c r="N17085" s="43">
        <v>5.9886720924285042</v>
      </c>
      <c r="O17085" s="43">
        <v>11.5</v>
      </c>
      <c r="P17085" s="535"/>
      <c r="Q17085" s="535"/>
      <c r="R17085" s="535">
        <v>2</v>
      </c>
    </row>
    <row r="17086" spans="1:18" ht="24">
      <c r="A17086" s="531">
        <v>240</v>
      </c>
      <c r="B17086" s="528" t="s">
        <v>30666</v>
      </c>
      <c r="C17086" s="532" t="s">
        <v>30667</v>
      </c>
      <c r="D17086" s="533">
        <v>970.3</v>
      </c>
      <c r="E17086" s="533">
        <v>161.9</v>
      </c>
      <c r="F17086" s="533">
        <v>805.16</v>
      </c>
      <c r="G17086" s="533">
        <v>3.24</v>
      </c>
      <c r="H17086" s="534">
        <v>6713.88</v>
      </c>
      <c r="I17086" s="534">
        <v>1861.87</v>
      </c>
      <c r="J17086" s="534">
        <v>4814.75</v>
      </c>
      <c r="K17086" s="534">
        <v>37.26</v>
      </c>
      <c r="L17086" s="43">
        <v>6.9193857569823773</v>
      </c>
      <c r="M17086" s="43">
        <v>11.500123533045089</v>
      </c>
      <c r="N17086" s="43">
        <v>5.9798673555566602</v>
      </c>
      <c r="O17086" s="43">
        <v>11.499999999999998</v>
      </c>
      <c r="P17086" s="535"/>
      <c r="Q17086" s="535"/>
      <c r="R17086" s="535">
        <v>2</v>
      </c>
    </row>
    <row r="17087" spans="1:18" ht="24">
      <c r="A17087" s="531">
        <v>241</v>
      </c>
      <c r="B17087" s="528" t="s">
        <v>30668</v>
      </c>
      <c r="C17087" s="532" t="s">
        <v>30669</v>
      </c>
      <c r="D17087" s="533">
        <v>1243.31</v>
      </c>
      <c r="E17087" s="533">
        <v>214.59</v>
      </c>
      <c r="F17087" s="533">
        <v>1024.43</v>
      </c>
      <c r="G17087" s="533">
        <v>4.29</v>
      </c>
      <c r="H17087" s="534">
        <v>8652.0499999999993</v>
      </c>
      <c r="I17087" s="534">
        <v>2467.81</v>
      </c>
      <c r="J17087" s="534">
        <v>6134.9</v>
      </c>
      <c r="K17087" s="534">
        <v>49.34</v>
      </c>
      <c r="L17087" s="43">
        <v>6.9588839468837218</v>
      </c>
      <c r="M17087" s="43">
        <v>11.500116501234913</v>
      </c>
      <c r="N17087" s="43">
        <v>5.9885985377234165</v>
      </c>
      <c r="O17087" s="43">
        <v>11.501165501165502</v>
      </c>
      <c r="P17087" s="535"/>
      <c r="Q17087" s="535"/>
      <c r="R17087" s="535">
        <v>2</v>
      </c>
    </row>
    <row r="17088" spans="1:18" ht="36">
      <c r="A17088" s="531">
        <v>242</v>
      </c>
      <c r="B17088" s="528" t="s">
        <v>30670</v>
      </c>
      <c r="C17088" s="532" t="s">
        <v>30671</v>
      </c>
      <c r="D17088" s="533">
        <v>13.15</v>
      </c>
      <c r="E17088" s="533">
        <v>3.07</v>
      </c>
      <c r="F17088" s="533">
        <v>10.02</v>
      </c>
      <c r="G17088" s="533">
        <v>0.06</v>
      </c>
      <c r="H17088" s="534">
        <v>97.63</v>
      </c>
      <c r="I17088" s="534">
        <v>35.25</v>
      </c>
      <c r="J17088" s="534">
        <v>61.69</v>
      </c>
      <c r="K17088" s="534">
        <v>0.69</v>
      </c>
      <c r="L17088" s="43">
        <v>7.4243346007604556</v>
      </c>
      <c r="M17088" s="43">
        <v>11.5</v>
      </c>
      <c r="N17088" s="43">
        <v>6.1566866267465068</v>
      </c>
      <c r="O17088" s="43">
        <v>11.5</v>
      </c>
      <c r="P17088" s="535"/>
      <c r="Q17088" s="535"/>
      <c r="R17088" s="535">
        <v>2</v>
      </c>
    </row>
    <row r="17089" spans="1:18" ht="36">
      <c r="A17089" s="531">
        <v>243</v>
      </c>
      <c r="B17089" s="528" t="s">
        <v>30672</v>
      </c>
      <c r="C17089" s="532" t="s">
        <v>30673</v>
      </c>
      <c r="D17089" s="533">
        <v>13.15</v>
      </c>
      <c r="E17089" s="533">
        <v>3.07</v>
      </c>
      <c r="F17089" s="533">
        <v>10.02</v>
      </c>
      <c r="G17089" s="533">
        <v>0.06</v>
      </c>
      <c r="H17089" s="534">
        <v>97.63</v>
      </c>
      <c r="I17089" s="534">
        <v>35.25</v>
      </c>
      <c r="J17089" s="534">
        <v>61.69</v>
      </c>
      <c r="K17089" s="534">
        <v>0.69</v>
      </c>
      <c r="L17089" s="43">
        <v>7.4243346007604556</v>
      </c>
      <c r="M17089" s="43">
        <v>11.5</v>
      </c>
      <c r="N17089" s="43">
        <v>6.1566866267465068</v>
      </c>
      <c r="O17089" s="43">
        <v>11.5</v>
      </c>
      <c r="P17089" s="535"/>
      <c r="Q17089" s="535"/>
      <c r="R17089" s="535">
        <v>2</v>
      </c>
    </row>
    <row r="17090" spans="1:18" ht="36">
      <c r="A17090" s="531">
        <v>244</v>
      </c>
      <c r="B17090" s="528" t="s">
        <v>30674</v>
      </c>
      <c r="C17090" s="532" t="s">
        <v>30675</v>
      </c>
      <c r="D17090" s="533">
        <v>14.5</v>
      </c>
      <c r="E17090" s="533">
        <v>3.16</v>
      </c>
      <c r="F17090" s="533">
        <v>11.28</v>
      </c>
      <c r="G17090" s="533">
        <v>0.06</v>
      </c>
      <c r="H17090" s="534">
        <v>106.45</v>
      </c>
      <c r="I17090" s="534">
        <v>36.36</v>
      </c>
      <c r="J17090" s="534">
        <v>69.400000000000006</v>
      </c>
      <c r="K17090" s="534">
        <v>0.69</v>
      </c>
      <c r="L17090" s="43">
        <v>7.3413793103448279</v>
      </c>
      <c r="M17090" s="43">
        <v>11.5021951219512</v>
      </c>
      <c r="N17090" s="43">
        <v>6.1524822695035466</v>
      </c>
      <c r="O17090" s="43">
        <v>11.5</v>
      </c>
      <c r="P17090" s="535"/>
      <c r="Q17090" s="535"/>
      <c r="R17090" s="535">
        <v>2</v>
      </c>
    </row>
    <row r="17091" spans="1:18" ht="36">
      <c r="A17091" s="531">
        <v>245</v>
      </c>
      <c r="B17091" s="528" t="s">
        <v>30676</v>
      </c>
      <c r="C17091" s="532" t="s">
        <v>30677</v>
      </c>
      <c r="D17091" s="533">
        <v>14.7</v>
      </c>
      <c r="E17091" s="533">
        <v>3.35</v>
      </c>
      <c r="F17091" s="533">
        <v>11.28</v>
      </c>
      <c r="G17091" s="533">
        <v>7.0000000000000007E-2</v>
      </c>
      <c r="H17091" s="534">
        <v>108.77</v>
      </c>
      <c r="I17091" s="534">
        <v>38.56</v>
      </c>
      <c r="J17091" s="534">
        <v>69.400000000000006</v>
      </c>
      <c r="K17091" s="534">
        <v>0.81</v>
      </c>
      <c r="L17091" s="43">
        <v>7.3993197278911564</v>
      </c>
      <c r="M17091" s="43">
        <v>11.5021951219512</v>
      </c>
      <c r="N17091" s="43">
        <v>6.1524822695035466</v>
      </c>
      <c r="O17091" s="43">
        <v>11.5021951219512</v>
      </c>
      <c r="P17091" s="535"/>
      <c r="Q17091" s="535"/>
      <c r="R17091" s="535">
        <v>2</v>
      </c>
    </row>
    <row r="17092" spans="1:18" ht="36">
      <c r="A17092" s="531">
        <v>246</v>
      </c>
      <c r="B17092" s="528" t="s">
        <v>30678</v>
      </c>
      <c r="C17092" s="532" t="s">
        <v>30679</v>
      </c>
      <c r="D17092" s="533">
        <v>16.34</v>
      </c>
      <c r="E17092" s="533">
        <v>3.74</v>
      </c>
      <c r="F17092" s="533">
        <v>12.53</v>
      </c>
      <c r="G17092" s="533">
        <v>7.0000000000000007E-2</v>
      </c>
      <c r="H17092" s="534">
        <v>120.9</v>
      </c>
      <c r="I17092" s="534">
        <v>42.97</v>
      </c>
      <c r="J17092" s="534">
        <v>77.12</v>
      </c>
      <c r="K17092" s="534">
        <v>0.81</v>
      </c>
      <c r="L17092" s="43">
        <v>7.399020807833538</v>
      </c>
      <c r="M17092" s="43">
        <v>11.5</v>
      </c>
      <c r="N17092" s="43">
        <v>6.1548284118116525</v>
      </c>
      <c r="O17092" s="43">
        <v>11.503164556962025</v>
      </c>
      <c r="P17092" s="535"/>
      <c r="Q17092" s="535"/>
      <c r="R17092" s="535">
        <v>2</v>
      </c>
    </row>
    <row r="17093" spans="1:18" ht="36">
      <c r="A17093" s="531">
        <v>247</v>
      </c>
      <c r="B17093" s="528" t="s">
        <v>30680</v>
      </c>
      <c r="C17093" s="532" t="s">
        <v>30681</v>
      </c>
      <c r="D17093" s="533">
        <v>21.86</v>
      </c>
      <c r="E17093" s="533">
        <v>5.46</v>
      </c>
      <c r="F17093" s="533">
        <v>16.29</v>
      </c>
      <c r="G17093" s="533">
        <v>0.11</v>
      </c>
      <c r="H17093" s="534">
        <v>164.32</v>
      </c>
      <c r="I17093" s="534">
        <v>62.8</v>
      </c>
      <c r="J17093" s="534">
        <v>100.25</v>
      </c>
      <c r="K17093" s="534">
        <v>1.27</v>
      </c>
      <c r="L17093" s="43">
        <v>7.5169258920402564</v>
      </c>
      <c r="M17093" s="43">
        <v>11.501831501831502</v>
      </c>
      <c r="N17093" s="43">
        <v>6.1540822590546354</v>
      </c>
      <c r="O17093" s="43">
        <v>11.503164556962025</v>
      </c>
      <c r="P17093" s="535"/>
      <c r="Q17093" s="535"/>
      <c r="R17093" s="535">
        <v>2</v>
      </c>
    </row>
    <row r="17094" spans="1:18" ht="36">
      <c r="A17094" s="531">
        <v>248</v>
      </c>
      <c r="B17094" s="528" t="s">
        <v>30682</v>
      </c>
      <c r="C17094" s="532" t="s">
        <v>30683</v>
      </c>
      <c r="D17094" s="533">
        <v>31.33</v>
      </c>
      <c r="E17094" s="533">
        <v>7.38</v>
      </c>
      <c r="F17094" s="533">
        <v>23.8</v>
      </c>
      <c r="G17094" s="533">
        <v>0.15</v>
      </c>
      <c r="H17094" s="534">
        <v>233.08</v>
      </c>
      <c r="I17094" s="534">
        <v>84.83</v>
      </c>
      <c r="J17094" s="534">
        <v>146.52000000000001</v>
      </c>
      <c r="K17094" s="534">
        <v>1.73</v>
      </c>
      <c r="L17094" s="43">
        <v>7.4395148420044697</v>
      </c>
      <c r="M17094" s="43">
        <v>11.5</v>
      </c>
      <c r="N17094" s="43">
        <v>6.1563025210084037</v>
      </c>
      <c r="O17094" s="43">
        <v>11.503164556962025</v>
      </c>
      <c r="P17094" s="535"/>
      <c r="Q17094" s="535"/>
      <c r="R17094" s="535">
        <v>2</v>
      </c>
    </row>
    <row r="17095" spans="1:18" ht="36">
      <c r="A17095" s="531">
        <v>249</v>
      </c>
      <c r="B17095" s="528" t="s">
        <v>30684</v>
      </c>
      <c r="C17095" s="532" t="s">
        <v>30685</v>
      </c>
      <c r="D17095" s="533">
        <v>34.61</v>
      </c>
      <c r="E17095" s="533">
        <v>8.14</v>
      </c>
      <c r="F17095" s="533">
        <v>26.31</v>
      </c>
      <c r="G17095" s="533">
        <v>0.16</v>
      </c>
      <c r="H17095" s="534">
        <v>257.42</v>
      </c>
      <c r="I17095" s="534">
        <v>93.64</v>
      </c>
      <c r="J17095" s="534">
        <v>161.94</v>
      </c>
      <c r="K17095" s="534">
        <v>1.84</v>
      </c>
      <c r="L17095" s="43">
        <v>7.4377347587402491</v>
      </c>
      <c r="M17095" s="43">
        <v>11.503685503685503</v>
      </c>
      <c r="N17095" s="43">
        <v>6.1550741163055873</v>
      </c>
      <c r="O17095" s="43">
        <v>11.5</v>
      </c>
      <c r="P17095" s="535"/>
      <c r="Q17095" s="535"/>
      <c r="R17095" s="535">
        <v>2</v>
      </c>
    </row>
    <row r="17096" spans="1:18" ht="36">
      <c r="A17096" s="531">
        <v>250</v>
      </c>
      <c r="B17096" s="528" t="s">
        <v>30686</v>
      </c>
      <c r="C17096" s="532" t="s">
        <v>30687</v>
      </c>
      <c r="D17096" s="533">
        <v>36.35</v>
      </c>
      <c r="E17096" s="533">
        <v>8.6199999999999992</v>
      </c>
      <c r="F17096" s="533">
        <v>27.56</v>
      </c>
      <c r="G17096" s="533">
        <v>0.17</v>
      </c>
      <c r="H17096" s="534">
        <v>270.77</v>
      </c>
      <c r="I17096" s="534">
        <v>99.15</v>
      </c>
      <c r="J17096" s="534">
        <v>169.66</v>
      </c>
      <c r="K17096" s="534">
        <v>1.96</v>
      </c>
      <c r="L17096" s="43">
        <v>7.4489683631361752</v>
      </c>
      <c r="M17096" s="43">
        <v>11.502320185614851</v>
      </c>
      <c r="N17096" s="43">
        <v>6.1560232220609583</v>
      </c>
      <c r="O17096" s="43">
        <v>11.503164556962025</v>
      </c>
      <c r="P17096" s="535"/>
      <c r="Q17096" s="535"/>
      <c r="R17096" s="535">
        <v>2</v>
      </c>
    </row>
    <row r="17097" spans="1:18" ht="24">
      <c r="A17097" s="531">
        <v>251</v>
      </c>
      <c r="B17097" s="528" t="s">
        <v>30688</v>
      </c>
      <c r="C17097" s="532" t="s">
        <v>30689</v>
      </c>
      <c r="D17097" s="533">
        <v>72.75</v>
      </c>
      <c r="E17097" s="533">
        <v>8.43</v>
      </c>
      <c r="F17097" s="533">
        <v>64.150000000000006</v>
      </c>
      <c r="G17097" s="533">
        <v>0.17</v>
      </c>
      <c r="H17097" s="534">
        <v>476.21</v>
      </c>
      <c r="I17097" s="534">
        <v>96.95</v>
      </c>
      <c r="J17097" s="534">
        <v>377.3</v>
      </c>
      <c r="K17097" s="534">
        <v>1.96</v>
      </c>
      <c r="L17097" s="43">
        <v>6.5458419243986254</v>
      </c>
      <c r="M17097" s="43">
        <v>11.500593119810203</v>
      </c>
      <c r="N17097" s="43">
        <v>5.8815276695245515</v>
      </c>
      <c r="O17097" s="43">
        <v>11.503164556962025</v>
      </c>
      <c r="P17097" s="535"/>
      <c r="Q17097" s="535"/>
      <c r="R17097" s="535">
        <v>2</v>
      </c>
    </row>
    <row r="17098" spans="1:18" ht="24">
      <c r="A17098" s="531">
        <v>252</v>
      </c>
      <c r="B17098" s="528" t="s">
        <v>30690</v>
      </c>
      <c r="C17098" s="532" t="s">
        <v>30691</v>
      </c>
      <c r="D17098" s="533">
        <v>122.06</v>
      </c>
      <c r="E17098" s="533">
        <v>12.55</v>
      </c>
      <c r="F17098" s="533">
        <v>109.26</v>
      </c>
      <c r="G17098" s="533">
        <v>0.25</v>
      </c>
      <c r="H17098" s="534">
        <v>787.43</v>
      </c>
      <c r="I17098" s="534">
        <v>144.32</v>
      </c>
      <c r="J17098" s="534">
        <v>640.23</v>
      </c>
      <c r="K17098" s="534">
        <v>2.88</v>
      </c>
      <c r="L17098" s="43">
        <v>6.451171554972964</v>
      </c>
      <c r="M17098" s="43">
        <v>11.499601593625497</v>
      </c>
      <c r="N17098" s="43">
        <v>5.8596924766611753</v>
      </c>
      <c r="O17098" s="43">
        <v>11.503164556962025</v>
      </c>
      <c r="P17098" s="535"/>
      <c r="Q17098" s="535"/>
      <c r="R17098" s="535">
        <v>2</v>
      </c>
    </row>
    <row r="17099" spans="1:18" ht="24">
      <c r="A17099" s="531">
        <v>253</v>
      </c>
      <c r="B17099" s="528" t="s">
        <v>30692</v>
      </c>
      <c r="C17099" s="532" t="s">
        <v>30693</v>
      </c>
      <c r="D17099" s="533">
        <v>136.56</v>
      </c>
      <c r="E17099" s="533">
        <v>15.71</v>
      </c>
      <c r="F17099" s="533">
        <v>120.54</v>
      </c>
      <c r="G17099" s="533">
        <v>0.31</v>
      </c>
      <c r="H17099" s="534">
        <v>893.88</v>
      </c>
      <c r="I17099" s="534">
        <v>180.68</v>
      </c>
      <c r="J17099" s="534">
        <v>709.63</v>
      </c>
      <c r="K17099" s="534">
        <v>3.57</v>
      </c>
      <c r="L17099" s="43">
        <v>6.5456942003514937</v>
      </c>
      <c r="M17099" s="43">
        <v>11.500954805856143</v>
      </c>
      <c r="N17099" s="43">
        <v>5.8870914219346275</v>
      </c>
      <c r="O17099" s="43">
        <v>11.503164556962025</v>
      </c>
      <c r="P17099" s="535"/>
      <c r="Q17099" s="535"/>
      <c r="R17099" s="535">
        <v>2</v>
      </c>
    </row>
    <row r="17100" spans="1:18" ht="24">
      <c r="A17100" s="531">
        <v>254</v>
      </c>
      <c r="B17100" s="528" t="s">
        <v>30694</v>
      </c>
      <c r="C17100" s="532" t="s">
        <v>30695</v>
      </c>
      <c r="D17100" s="533">
        <v>142.37</v>
      </c>
      <c r="E17100" s="533">
        <v>17.72</v>
      </c>
      <c r="F17100" s="533">
        <v>124.3</v>
      </c>
      <c r="G17100" s="533">
        <v>0.35</v>
      </c>
      <c r="H17100" s="534">
        <v>940.61</v>
      </c>
      <c r="I17100" s="534">
        <v>203.81</v>
      </c>
      <c r="J17100" s="534">
        <v>732.77</v>
      </c>
      <c r="K17100" s="534">
        <v>4.03</v>
      </c>
      <c r="L17100" s="43">
        <v>6.6067991852216057</v>
      </c>
      <c r="M17100" s="43">
        <v>11.501693002257337</v>
      </c>
      <c r="N17100" s="43">
        <v>5.895172968624296</v>
      </c>
      <c r="O17100" s="43">
        <v>11.503164556962025</v>
      </c>
      <c r="P17100" s="535"/>
      <c r="Q17100" s="535"/>
      <c r="R17100" s="535">
        <v>2</v>
      </c>
    </row>
    <row r="17101" spans="1:18" ht="24">
      <c r="A17101" s="531">
        <v>255</v>
      </c>
      <c r="B17101" s="528" t="s">
        <v>30696</v>
      </c>
      <c r="C17101" s="532" t="s">
        <v>30697</v>
      </c>
      <c r="D17101" s="533">
        <v>176.21</v>
      </c>
      <c r="E17101" s="533">
        <v>21.94</v>
      </c>
      <c r="F17101" s="533">
        <v>153.83000000000001</v>
      </c>
      <c r="G17101" s="533">
        <v>0.44</v>
      </c>
      <c r="H17101" s="534">
        <v>1163.56</v>
      </c>
      <c r="I17101" s="534">
        <v>252.29</v>
      </c>
      <c r="J17101" s="534">
        <v>906.21</v>
      </c>
      <c r="K17101" s="534">
        <v>5.0599999999999996</v>
      </c>
      <c r="L17101" s="43">
        <v>6.6032574768741839</v>
      </c>
      <c r="M17101" s="43">
        <v>11.49908842297174</v>
      </c>
      <c r="N17101" s="43">
        <v>5.8909835532730934</v>
      </c>
      <c r="O17101" s="43">
        <v>11.499999999999998</v>
      </c>
      <c r="P17101" s="535"/>
      <c r="Q17101" s="535"/>
      <c r="R17101" s="535">
        <v>2</v>
      </c>
    </row>
    <row r="17102" spans="1:18" ht="24">
      <c r="A17102" s="531">
        <v>256</v>
      </c>
      <c r="B17102" s="528" t="s">
        <v>30698</v>
      </c>
      <c r="C17102" s="532" t="s">
        <v>30699</v>
      </c>
      <c r="D17102" s="533">
        <v>240.7</v>
      </c>
      <c r="E17102" s="533">
        <v>30.27</v>
      </c>
      <c r="F17102" s="533">
        <v>209.82</v>
      </c>
      <c r="G17102" s="533">
        <v>0.61</v>
      </c>
      <c r="H17102" s="534">
        <v>1595.88</v>
      </c>
      <c r="I17102" s="534">
        <v>348.14</v>
      </c>
      <c r="J17102" s="534">
        <v>1240.72</v>
      </c>
      <c r="K17102" s="534">
        <v>7.02</v>
      </c>
      <c r="L17102" s="43">
        <v>6.6301620274200257</v>
      </c>
      <c r="M17102" s="43">
        <v>11.501156260323752</v>
      </c>
      <c r="N17102" s="43">
        <v>5.9132589838909544</v>
      </c>
      <c r="O17102" s="43">
        <v>11.503164556962025</v>
      </c>
      <c r="P17102" s="535"/>
      <c r="Q17102" s="535"/>
      <c r="R17102" s="535">
        <v>2</v>
      </c>
    </row>
    <row r="17103" spans="1:18" ht="24">
      <c r="A17103" s="531">
        <v>257</v>
      </c>
      <c r="B17103" s="528" t="s">
        <v>30700</v>
      </c>
      <c r="C17103" s="532" t="s">
        <v>30701</v>
      </c>
      <c r="D17103" s="533">
        <v>443.8</v>
      </c>
      <c r="E17103" s="533">
        <v>51.16</v>
      </c>
      <c r="F17103" s="533">
        <v>391.62</v>
      </c>
      <c r="G17103" s="533">
        <v>1.02</v>
      </c>
      <c r="H17103" s="534">
        <v>2899.77</v>
      </c>
      <c r="I17103" s="534">
        <v>588.30999999999995</v>
      </c>
      <c r="J17103" s="534">
        <v>2299.73</v>
      </c>
      <c r="K17103" s="534">
        <v>11.73</v>
      </c>
      <c r="L17103" s="43">
        <v>6.5339567372690395</v>
      </c>
      <c r="M17103" s="43">
        <v>11.49941360437842</v>
      </c>
      <c r="N17103" s="43">
        <v>5.8723507481742505</v>
      </c>
      <c r="O17103" s="43">
        <v>11.5</v>
      </c>
      <c r="P17103" s="535"/>
      <c r="Q17103" s="535"/>
      <c r="R17103" s="535">
        <v>2</v>
      </c>
    </row>
    <row r="17104" spans="1:18" ht="24">
      <c r="A17104" s="531">
        <v>258</v>
      </c>
      <c r="B17104" s="528" t="s">
        <v>30702</v>
      </c>
      <c r="C17104" s="532" t="s">
        <v>30703</v>
      </c>
      <c r="D17104" s="533">
        <v>552.46</v>
      </c>
      <c r="E17104" s="533">
        <v>60.55</v>
      </c>
      <c r="F17104" s="533">
        <v>490.7</v>
      </c>
      <c r="G17104" s="533">
        <v>1.21</v>
      </c>
      <c r="H17104" s="534">
        <v>3589.33</v>
      </c>
      <c r="I17104" s="534">
        <v>696.27</v>
      </c>
      <c r="J17104" s="534">
        <v>2879.14</v>
      </c>
      <c r="K17104" s="534">
        <v>13.92</v>
      </c>
      <c r="L17104" s="43">
        <v>6.4969952575752083</v>
      </c>
      <c r="M17104" s="43">
        <v>11.499091659785302</v>
      </c>
      <c r="N17104" s="43">
        <v>5.8674138985123294</v>
      </c>
      <c r="O17104" s="43">
        <v>11.504132231404959</v>
      </c>
      <c r="P17104" s="535"/>
      <c r="Q17104" s="535"/>
      <c r="R17104" s="535">
        <v>2</v>
      </c>
    </row>
    <row r="17105" spans="1:18" ht="24">
      <c r="A17105" s="531">
        <v>259</v>
      </c>
      <c r="B17105" s="528" t="s">
        <v>30704</v>
      </c>
      <c r="C17105" s="532" t="s">
        <v>30705</v>
      </c>
      <c r="D17105" s="533">
        <v>680.91</v>
      </c>
      <c r="E17105" s="533">
        <v>78.36</v>
      </c>
      <c r="F17105" s="533">
        <v>600.98</v>
      </c>
      <c r="G17105" s="533">
        <v>1.57</v>
      </c>
      <c r="H17105" s="534">
        <v>4447.63</v>
      </c>
      <c r="I17105" s="534">
        <v>901.19</v>
      </c>
      <c r="J17105" s="534">
        <v>3528.38</v>
      </c>
      <c r="K17105" s="534">
        <v>18.059999999999999</v>
      </c>
      <c r="L17105" s="43">
        <v>6.5318911456727031</v>
      </c>
      <c r="M17105" s="43">
        <v>11.500638080653395</v>
      </c>
      <c r="N17105" s="43">
        <v>5.8710439615295016</v>
      </c>
      <c r="O17105" s="43">
        <v>11.503184713375795</v>
      </c>
      <c r="P17105" s="535"/>
      <c r="Q17105" s="535"/>
      <c r="R17105" s="535">
        <v>2</v>
      </c>
    </row>
    <row r="17106" spans="1:18" ht="24">
      <c r="A17106" s="531">
        <v>260</v>
      </c>
      <c r="B17106" s="528" t="s">
        <v>30706</v>
      </c>
      <c r="C17106" s="532" t="s">
        <v>30707</v>
      </c>
      <c r="D17106" s="533">
        <v>130.63</v>
      </c>
      <c r="E17106" s="533">
        <v>13.6</v>
      </c>
      <c r="F17106" s="533">
        <v>116.76</v>
      </c>
      <c r="G17106" s="533">
        <v>0.27</v>
      </c>
      <c r="H17106" s="534">
        <v>860.74</v>
      </c>
      <c r="I17106" s="534">
        <v>156.44</v>
      </c>
      <c r="J17106" s="534">
        <v>701.19</v>
      </c>
      <c r="K17106" s="534">
        <v>3.11</v>
      </c>
      <c r="L17106" s="43">
        <v>6.5891449131133744</v>
      </c>
      <c r="M17106" s="43">
        <v>11.502941176470589</v>
      </c>
      <c r="N17106" s="43">
        <v>6.005395683453238</v>
      </c>
      <c r="O17106" s="43">
        <v>11.503164556962025</v>
      </c>
      <c r="P17106" s="535"/>
      <c r="Q17106" s="535"/>
      <c r="R17106" s="535">
        <v>2</v>
      </c>
    </row>
    <row r="17107" spans="1:18" ht="24">
      <c r="A17107" s="531">
        <v>261</v>
      </c>
      <c r="B17107" s="528" t="s">
        <v>30708</v>
      </c>
      <c r="C17107" s="532" t="s">
        <v>30709</v>
      </c>
      <c r="D17107" s="533">
        <v>217.19</v>
      </c>
      <c r="E17107" s="533">
        <v>19.829999999999998</v>
      </c>
      <c r="F17107" s="533">
        <v>196.96</v>
      </c>
      <c r="G17107" s="533">
        <v>0.4</v>
      </c>
      <c r="H17107" s="534">
        <v>1412.69</v>
      </c>
      <c r="I17107" s="534">
        <v>228.05</v>
      </c>
      <c r="J17107" s="534">
        <v>1180.04</v>
      </c>
      <c r="K17107" s="534">
        <v>4.5999999999999996</v>
      </c>
      <c r="L17107" s="43">
        <v>6.5043970716883841</v>
      </c>
      <c r="M17107" s="43">
        <v>11.500252143217349</v>
      </c>
      <c r="N17107" s="43">
        <v>5.9912672623883019</v>
      </c>
      <c r="O17107" s="43">
        <v>11.499999999999998</v>
      </c>
      <c r="P17107" s="535"/>
      <c r="Q17107" s="535"/>
      <c r="R17107" s="535">
        <v>2</v>
      </c>
    </row>
    <row r="17108" spans="1:18" ht="24">
      <c r="A17108" s="531">
        <v>262</v>
      </c>
      <c r="B17108" s="528" t="s">
        <v>30710</v>
      </c>
      <c r="C17108" s="532" t="s">
        <v>30711</v>
      </c>
      <c r="D17108" s="533">
        <v>236.34</v>
      </c>
      <c r="E17108" s="533">
        <v>25.1</v>
      </c>
      <c r="F17108" s="533">
        <v>210.74</v>
      </c>
      <c r="G17108" s="533">
        <v>0.5</v>
      </c>
      <c r="H17108" s="534">
        <v>1559.27</v>
      </c>
      <c r="I17108" s="534">
        <v>288.64999999999998</v>
      </c>
      <c r="J17108" s="534">
        <v>1264.8699999999999</v>
      </c>
      <c r="K17108" s="534">
        <v>5.75</v>
      </c>
      <c r="L17108" s="43">
        <v>6.5975712955910977</v>
      </c>
      <c r="M17108" s="43">
        <v>11.499999999999998</v>
      </c>
      <c r="N17108" s="43">
        <v>6.0020404289645999</v>
      </c>
      <c r="O17108" s="43">
        <v>11.5</v>
      </c>
      <c r="P17108" s="535"/>
      <c r="Q17108" s="535"/>
      <c r="R17108" s="535">
        <v>2</v>
      </c>
    </row>
    <row r="17109" spans="1:18" ht="24">
      <c r="A17109" s="531">
        <v>263</v>
      </c>
      <c r="B17109" s="528" t="s">
        <v>30712</v>
      </c>
      <c r="C17109" s="532" t="s">
        <v>30713</v>
      </c>
      <c r="D17109" s="533">
        <v>239.47</v>
      </c>
      <c r="E17109" s="533">
        <v>28.17</v>
      </c>
      <c r="F17109" s="533">
        <v>210.74</v>
      </c>
      <c r="G17109" s="533">
        <v>0.56000000000000005</v>
      </c>
      <c r="H17109" s="534">
        <v>1595.21</v>
      </c>
      <c r="I17109" s="534">
        <v>323.89999999999998</v>
      </c>
      <c r="J17109" s="534">
        <v>1264.8699999999999</v>
      </c>
      <c r="K17109" s="534">
        <v>6.44</v>
      </c>
      <c r="L17109" s="43">
        <v>6.6614189668852051</v>
      </c>
      <c r="M17109" s="43">
        <v>11.498047568335107</v>
      </c>
      <c r="N17109" s="43">
        <v>6.0020404289645999</v>
      </c>
      <c r="O17109" s="43">
        <v>11.5</v>
      </c>
      <c r="P17109" s="535"/>
      <c r="Q17109" s="535"/>
      <c r="R17109" s="535">
        <v>2</v>
      </c>
    </row>
    <row r="17110" spans="1:18" ht="24">
      <c r="A17110" s="531">
        <v>264</v>
      </c>
      <c r="B17110" s="528" t="s">
        <v>30714</v>
      </c>
      <c r="C17110" s="532" t="s">
        <v>30715</v>
      </c>
      <c r="D17110" s="533">
        <v>258.98</v>
      </c>
      <c r="E17110" s="533">
        <v>35.54</v>
      </c>
      <c r="F17110" s="533">
        <v>222.73</v>
      </c>
      <c r="G17110" s="533">
        <v>0.71</v>
      </c>
      <c r="H17110" s="534">
        <v>1747.25</v>
      </c>
      <c r="I17110" s="534">
        <v>408.73</v>
      </c>
      <c r="J17110" s="534">
        <v>1330.35</v>
      </c>
      <c r="K17110" s="534">
        <v>8.17</v>
      </c>
      <c r="L17110" s="43">
        <v>6.7466599737431459</v>
      </c>
      <c r="M17110" s="43">
        <v>11.500562746201464</v>
      </c>
      <c r="N17110" s="43">
        <v>5.9729268621200555</v>
      </c>
      <c r="O17110" s="43">
        <v>11.503164556962025</v>
      </c>
      <c r="P17110" s="535"/>
      <c r="Q17110" s="535"/>
      <c r="R17110" s="535">
        <v>2</v>
      </c>
    </row>
    <row r="17111" spans="1:18" ht="24">
      <c r="A17111" s="531">
        <v>265</v>
      </c>
      <c r="B17111" s="528" t="s">
        <v>30716</v>
      </c>
      <c r="C17111" s="532" t="s">
        <v>30717</v>
      </c>
      <c r="D17111" s="533">
        <v>300.12</v>
      </c>
      <c r="E17111" s="533">
        <v>48</v>
      </c>
      <c r="F17111" s="533">
        <v>251.16</v>
      </c>
      <c r="G17111" s="533">
        <v>0.96</v>
      </c>
      <c r="H17111" s="534">
        <v>2058.1999999999998</v>
      </c>
      <c r="I17111" s="534">
        <v>551.95000000000005</v>
      </c>
      <c r="J17111" s="534">
        <v>1495.21</v>
      </c>
      <c r="K17111" s="534">
        <v>11.04</v>
      </c>
      <c r="L17111" s="43">
        <v>6.857923497267759</v>
      </c>
      <c r="M17111" s="43">
        <v>11.498958333333334</v>
      </c>
      <c r="N17111" s="43">
        <v>5.9532170727822908</v>
      </c>
      <c r="O17111" s="43">
        <v>11.5</v>
      </c>
      <c r="P17111" s="535"/>
      <c r="Q17111" s="535"/>
      <c r="R17111" s="535">
        <v>2</v>
      </c>
    </row>
    <row r="17112" spans="1:18" ht="24">
      <c r="A17112" s="531">
        <v>266</v>
      </c>
      <c r="B17112" s="528" t="s">
        <v>30718</v>
      </c>
      <c r="C17112" s="532" t="s">
        <v>30719</v>
      </c>
      <c r="D17112" s="533">
        <v>571.15</v>
      </c>
      <c r="E17112" s="533">
        <v>81.430000000000007</v>
      </c>
      <c r="F17112" s="533">
        <v>488.09</v>
      </c>
      <c r="G17112" s="533">
        <v>1.63</v>
      </c>
      <c r="H17112" s="534">
        <v>3848.72</v>
      </c>
      <c r="I17112" s="534">
        <v>936.45</v>
      </c>
      <c r="J17112" s="534">
        <v>2893.52</v>
      </c>
      <c r="K17112" s="534">
        <v>18.75</v>
      </c>
      <c r="L17112" s="43">
        <v>6.7385450407073444</v>
      </c>
      <c r="M17112" s="43">
        <v>11.500061402431536</v>
      </c>
      <c r="N17112" s="43">
        <v>5.9282509373271326</v>
      </c>
      <c r="O17112" s="43">
        <v>11.503067484662578</v>
      </c>
      <c r="P17112" s="535"/>
      <c r="Q17112" s="535"/>
      <c r="R17112" s="535">
        <v>2</v>
      </c>
    </row>
    <row r="17113" spans="1:18" ht="24">
      <c r="A17113" s="531">
        <v>267</v>
      </c>
      <c r="B17113" s="528" t="s">
        <v>30720</v>
      </c>
      <c r="C17113" s="532" t="s">
        <v>30721</v>
      </c>
      <c r="D17113" s="533">
        <v>698.4</v>
      </c>
      <c r="E17113" s="533">
        <v>96.76</v>
      </c>
      <c r="F17113" s="533">
        <v>599.70000000000005</v>
      </c>
      <c r="G17113" s="533">
        <v>1.94</v>
      </c>
      <c r="H17113" s="534">
        <v>4685.08</v>
      </c>
      <c r="I17113" s="534">
        <v>1112.72</v>
      </c>
      <c r="J17113" s="534">
        <v>3550.05</v>
      </c>
      <c r="K17113" s="534">
        <v>22.31</v>
      </c>
      <c r="L17113" s="43">
        <v>6.7083046964490265</v>
      </c>
      <c r="M17113" s="43">
        <v>11.499793303017775</v>
      </c>
      <c r="N17113" s="43">
        <v>5.9197098549274632</v>
      </c>
      <c r="O17113" s="43">
        <v>11.5</v>
      </c>
      <c r="P17113" s="535"/>
      <c r="Q17113" s="535"/>
      <c r="R17113" s="535">
        <v>2</v>
      </c>
    </row>
    <row r="17114" spans="1:18" ht="24">
      <c r="A17114" s="531">
        <v>268</v>
      </c>
      <c r="B17114" s="528" t="s">
        <v>30722</v>
      </c>
      <c r="C17114" s="532" t="s">
        <v>30723</v>
      </c>
      <c r="D17114" s="533">
        <v>865.55</v>
      </c>
      <c r="E17114" s="533">
        <v>125.5</v>
      </c>
      <c r="F17114" s="533">
        <v>737.54</v>
      </c>
      <c r="G17114" s="533">
        <v>2.5099999999999998</v>
      </c>
      <c r="H17114" s="534">
        <v>5841.05</v>
      </c>
      <c r="I17114" s="534">
        <v>1443.23</v>
      </c>
      <c r="J17114" s="534">
        <v>4368.95</v>
      </c>
      <c r="K17114" s="534">
        <v>28.87</v>
      </c>
      <c r="L17114" s="43">
        <v>6.7483680896539777</v>
      </c>
      <c r="M17114" s="43">
        <v>11.4998406374502</v>
      </c>
      <c r="N17114" s="43">
        <v>5.9236787157306718</v>
      </c>
      <c r="O17114" s="43">
        <v>11.501992031872511</v>
      </c>
      <c r="P17114" s="535"/>
      <c r="Q17114" s="535"/>
      <c r="R17114" s="535">
        <v>2</v>
      </c>
    </row>
    <row r="17115" spans="1:18" ht="36">
      <c r="A17115" s="531">
        <v>269</v>
      </c>
      <c r="B17115" s="528" t="s">
        <v>30724</v>
      </c>
      <c r="C17115" s="532" t="s">
        <v>30725</v>
      </c>
      <c r="D17115" s="533">
        <v>8.41</v>
      </c>
      <c r="E17115" s="533">
        <v>2.11</v>
      </c>
      <c r="F17115" s="533">
        <v>6.26</v>
      </c>
      <c r="G17115" s="533">
        <v>0.04</v>
      </c>
      <c r="H17115" s="534">
        <v>63.26</v>
      </c>
      <c r="I17115" s="534">
        <v>24.24</v>
      </c>
      <c r="J17115" s="534">
        <v>38.56</v>
      </c>
      <c r="K17115" s="534">
        <v>0.46</v>
      </c>
      <c r="L17115" s="43">
        <v>7.5219976218787155</v>
      </c>
      <c r="M17115" s="43">
        <v>11.5</v>
      </c>
      <c r="N17115" s="43">
        <v>6.1597444089456879</v>
      </c>
      <c r="O17115" s="43">
        <v>11.5</v>
      </c>
      <c r="P17115" s="535"/>
      <c r="Q17115" s="535"/>
      <c r="R17115" s="535">
        <v>2</v>
      </c>
    </row>
    <row r="17116" spans="1:18" ht="24">
      <c r="A17116" s="531">
        <v>270</v>
      </c>
      <c r="B17116" s="528" t="s">
        <v>30726</v>
      </c>
      <c r="C17116" s="532" t="s">
        <v>30727</v>
      </c>
      <c r="D17116" s="533">
        <v>11.31</v>
      </c>
      <c r="E17116" s="533">
        <v>2.4900000000000002</v>
      </c>
      <c r="F17116" s="533">
        <v>8.77</v>
      </c>
      <c r="G17116" s="533">
        <v>0.05</v>
      </c>
      <c r="H17116" s="534">
        <v>83.2</v>
      </c>
      <c r="I17116" s="534">
        <v>28.64</v>
      </c>
      <c r="J17116" s="534">
        <v>53.98</v>
      </c>
      <c r="K17116" s="534">
        <v>0.57999999999999996</v>
      </c>
      <c r="L17116" s="43">
        <v>7.3563218390804597</v>
      </c>
      <c r="M17116" s="43">
        <v>11.502008032128513</v>
      </c>
      <c r="N17116" s="43">
        <v>6.1550741163055873</v>
      </c>
      <c r="O17116" s="43">
        <v>11.503164556962025</v>
      </c>
      <c r="P17116" s="535"/>
      <c r="Q17116" s="535"/>
      <c r="R17116" s="535">
        <v>2</v>
      </c>
    </row>
    <row r="17117" spans="1:18" ht="24">
      <c r="A17117" s="531">
        <v>271</v>
      </c>
      <c r="B17117" s="528" t="s">
        <v>30728</v>
      </c>
      <c r="C17117" s="532" t="s">
        <v>30729</v>
      </c>
      <c r="D17117" s="533">
        <v>11.41</v>
      </c>
      <c r="E17117" s="533">
        <v>2.59</v>
      </c>
      <c r="F17117" s="533">
        <v>8.77</v>
      </c>
      <c r="G17117" s="533">
        <v>0.05</v>
      </c>
      <c r="H17117" s="534">
        <v>84.31</v>
      </c>
      <c r="I17117" s="534">
        <v>29.75</v>
      </c>
      <c r="J17117" s="534">
        <v>53.98</v>
      </c>
      <c r="K17117" s="534">
        <v>0.57999999999999996</v>
      </c>
      <c r="L17117" s="43">
        <v>7.3891323400525852</v>
      </c>
      <c r="M17117" s="43">
        <v>11.5</v>
      </c>
      <c r="N17117" s="43">
        <v>6.1550741163055873</v>
      </c>
      <c r="O17117" s="43">
        <v>11.503164556962025</v>
      </c>
      <c r="P17117" s="535"/>
      <c r="Q17117" s="535"/>
      <c r="R17117" s="535">
        <v>2</v>
      </c>
    </row>
    <row r="17118" spans="1:18" ht="24">
      <c r="A17118" s="531">
        <v>272</v>
      </c>
      <c r="B17118" s="528" t="s">
        <v>30730</v>
      </c>
      <c r="C17118" s="532" t="s">
        <v>30731</v>
      </c>
      <c r="D17118" s="533">
        <v>11.41</v>
      </c>
      <c r="E17118" s="533">
        <v>2.59</v>
      </c>
      <c r="F17118" s="533">
        <v>8.77</v>
      </c>
      <c r="G17118" s="533">
        <v>0.05</v>
      </c>
      <c r="H17118" s="534">
        <v>84.31</v>
      </c>
      <c r="I17118" s="534">
        <v>29.75</v>
      </c>
      <c r="J17118" s="534">
        <v>53.98</v>
      </c>
      <c r="K17118" s="534">
        <v>0.57999999999999996</v>
      </c>
      <c r="L17118" s="43">
        <v>7.3891323400525852</v>
      </c>
      <c r="M17118" s="43">
        <v>11.5</v>
      </c>
      <c r="N17118" s="43">
        <v>6.1550741163055873</v>
      </c>
      <c r="O17118" s="43">
        <v>11.503164556962025</v>
      </c>
      <c r="P17118" s="535"/>
      <c r="Q17118" s="535"/>
      <c r="R17118" s="535">
        <v>2</v>
      </c>
    </row>
    <row r="17119" spans="1:18" ht="24">
      <c r="A17119" s="531">
        <v>273</v>
      </c>
      <c r="B17119" s="528" t="s">
        <v>30732</v>
      </c>
      <c r="C17119" s="532" t="s">
        <v>30733</v>
      </c>
      <c r="D17119" s="533">
        <v>12.75</v>
      </c>
      <c r="E17119" s="533">
        <v>2.68</v>
      </c>
      <c r="F17119" s="533">
        <v>10.02</v>
      </c>
      <c r="G17119" s="533">
        <v>0.05</v>
      </c>
      <c r="H17119" s="534">
        <v>93.12</v>
      </c>
      <c r="I17119" s="534">
        <v>30.85</v>
      </c>
      <c r="J17119" s="534">
        <v>61.69</v>
      </c>
      <c r="K17119" s="534">
        <v>0.57999999999999996</v>
      </c>
      <c r="L17119" s="43">
        <v>7.303529411764706</v>
      </c>
      <c r="M17119" s="43">
        <v>11.5021951219512</v>
      </c>
      <c r="N17119" s="43">
        <v>6.1566866267465068</v>
      </c>
      <c r="O17119" s="43">
        <v>11.503164556962025</v>
      </c>
      <c r="P17119" s="535"/>
      <c r="Q17119" s="535"/>
      <c r="R17119" s="535">
        <v>2</v>
      </c>
    </row>
    <row r="17120" spans="1:18" ht="24">
      <c r="A17120" s="531">
        <v>274</v>
      </c>
      <c r="B17120" s="528" t="s">
        <v>30734</v>
      </c>
      <c r="C17120" s="532" t="s">
        <v>30735</v>
      </c>
      <c r="D17120" s="533">
        <v>16.14</v>
      </c>
      <c r="E17120" s="533">
        <v>3.54</v>
      </c>
      <c r="F17120" s="533">
        <v>12.53</v>
      </c>
      <c r="G17120" s="533">
        <v>7.0000000000000007E-2</v>
      </c>
      <c r="H17120" s="534">
        <v>118.69</v>
      </c>
      <c r="I17120" s="534">
        <v>40.76</v>
      </c>
      <c r="J17120" s="534">
        <v>77.12</v>
      </c>
      <c r="K17120" s="534">
        <v>0.81</v>
      </c>
      <c r="L17120" s="43">
        <v>7.3537794299876076</v>
      </c>
      <c r="M17120" s="43">
        <v>11.5021951219512</v>
      </c>
      <c r="N17120" s="43">
        <v>6.1548284118116525</v>
      </c>
      <c r="O17120" s="43">
        <v>11.503164556962025</v>
      </c>
      <c r="P17120" s="535"/>
      <c r="Q17120" s="535"/>
      <c r="R17120" s="535">
        <v>2</v>
      </c>
    </row>
    <row r="17121" spans="1:18" ht="24">
      <c r="A17121" s="531">
        <v>275</v>
      </c>
      <c r="B17121" s="528" t="s">
        <v>30736</v>
      </c>
      <c r="C17121" s="532" t="s">
        <v>30737</v>
      </c>
      <c r="D17121" s="533">
        <v>24.65</v>
      </c>
      <c r="E17121" s="533">
        <v>5.75</v>
      </c>
      <c r="F17121" s="533">
        <v>18.79</v>
      </c>
      <c r="G17121" s="533">
        <v>0.11</v>
      </c>
      <c r="H17121" s="534">
        <v>183.04</v>
      </c>
      <c r="I17121" s="534">
        <v>66.099999999999994</v>
      </c>
      <c r="J17121" s="534">
        <v>115.67</v>
      </c>
      <c r="K17121" s="534">
        <v>1.27</v>
      </c>
      <c r="L17121" s="43">
        <v>7.4255578093306287</v>
      </c>
      <c r="M17121" s="43">
        <v>11.495652173913042</v>
      </c>
      <c r="N17121" s="43">
        <v>6.1559340074507718</v>
      </c>
      <c r="O17121" s="43">
        <v>11.503164556962025</v>
      </c>
      <c r="P17121" s="535"/>
      <c r="Q17121" s="535"/>
      <c r="R17121" s="535">
        <v>2</v>
      </c>
    </row>
    <row r="17122" spans="1:18" ht="24">
      <c r="A17122" s="531">
        <v>276</v>
      </c>
      <c r="B17122" s="528" t="s">
        <v>30738</v>
      </c>
      <c r="C17122" s="532" t="s">
        <v>30739</v>
      </c>
      <c r="D17122" s="533">
        <v>27.94</v>
      </c>
      <c r="E17122" s="533">
        <v>6.51</v>
      </c>
      <c r="F17122" s="533">
        <v>21.3</v>
      </c>
      <c r="G17122" s="533">
        <v>0.13</v>
      </c>
      <c r="H17122" s="534">
        <v>207.52</v>
      </c>
      <c r="I17122" s="534">
        <v>74.92</v>
      </c>
      <c r="J17122" s="534">
        <v>131.1</v>
      </c>
      <c r="K17122" s="534">
        <v>1.5</v>
      </c>
      <c r="L17122" s="43">
        <v>7.4273443092340727</v>
      </c>
      <c r="M17122" s="43">
        <v>11.5021951219512</v>
      </c>
      <c r="N17122" s="43">
        <v>6.1549295774647881</v>
      </c>
      <c r="O17122" s="43">
        <v>11.503164556962025</v>
      </c>
      <c r="P17122" s="535"/>
      <c r="Q17122" s="535"/>
      <c r="R17122" s="535">
        <v>2</v>
      </c>
    </row>
    <row r="17123" spans="1:18" ht="24">
      <c r="A17123" s="531">
        <v>277</v>
      </c>
      <c r="B17123" s="528" t="s">
        <v>30740</v>
      </c>
      <c r="C17123" s="532" t="s">
        <v>30741</v>
      </c>
      <c r="D17123" s="533">
        <v>28.24</v>
      </c>
      <c r="E17123" s="533">
        <v>6.8</v>
      </c>
      <c r="F17123" s="533">
        <v>21.3</v>
      </c>
      <c r="G17123" s="533">
        <v>0.14000000000000001</v>
      </c>
      <c r="H17123" s="534">
        <v>210.93</v>
      </c>
      <c r="I17123" s="534">
        <v>78.22</v>
      </c>
      <c r="J17123" s="534">
        <v>131.1</v>
      </c>
      <c r="K17123" s="534">
        <v>1.61</v>
      </c>
      <c r="L17123" s="43">
        <v>7.4691926345609074</v>
      </c>
      <c r="M17123" s="43">
        <v>11.502941176470589</v>
      </c>
      <c r="N17123" s="43">
        <v>6.1549295774647881</v>
      </c>
      <c r="O17123" s="43">
        <v>11.503164556962025</v>
      </c>
      <c r="P17123" s="535"/>
      <c r="Q17123" s="535"/>
      <c r="R17123" s="535">
        <v>2</v>
      </c>
    </row>
    <row r="17124" spans="1:18" ht="12.75" customHeight="1">
      <c r="A17124" s="628" t="s">
        <v>30742</v>
      </c>
      <c r="B17124" s="629"/>
      <c r="C17124" s="629"/>
      <c r="D17124" s="629"/>
      <c r="E17124" s="629"/>
      <c r="F17124" s="629"/>
      <c r="G17124" s="629"/>
      <c r="H17124" s="629"/>
      <c r="I17124" s="629"/>
      <c r="J17124" s="629"/>
      <c r="K17124" s="629"/>
      <c r="L17124" s="629"/>
      <c r="M17124" s="629"/>
      <c r="N17124" s="629"/>
      <c r="O17124" s="629"/>
      <c r="P17124" s="629"/>
      <c r="Q17124" s="629"/>
      <c r="R17124" s="629"/>
    </row>
    <row r="17125" spans="1:18" ht="24">
      <c r="A17125" s="531">
        <v>278</v>
      </c>
      <c r="B17125" s="528" t="s">
        <v>30743</v>
      </c>
      <c r="C17125" s="532" t="s">
        <v>30744</v>
      </c>
      <c r="D17125" s="533">
        <v>70.569999999999993</v>
      </c>
      <c r="E17125" s="533">
        <v>8.6199999999999992</v>
      </c>
      <c r="F17125" s="533">
        <v>61.78</v>
      </c>
      <c r="G17125" s="533">
        <v>0.17</v>
      </c>
      <c r="H17125" s="534">
        <v>476.8</v>
      </c>
      <c r="I17125" s="534">
        <v>99.15</v>
      </c>
      <c r="J17125" s="534">
        <v>375.69</v>
      </c>
      <c r="K17125" s="534">
        <v>1.96</v>
      </c>
      <c r="L17125" s="43">
        <v>6.7564120731188897</v>
      </c>
      <c r="M17125" s="43">
        <v>11.502320185614851</v>
      </c>
      <c r="N17125" s="43">
        <v>6.0810942052444155</v>
      </c>
      <c r="O17125" s="43">
        <v>11.503164556962025</v>
      </c>
      <c r="P17125" s="535"/>
      <c r="Q17125" s="535"/>
      <c r="R17125" s="535">
        <v>3</v>
      </c>
    </row>
    <row r="17126" spans="1:18" ht="24">
      <c r="A17126" s="531">
        <v>279</v>
      </c>
      <c r="B17126" s="528" t="s">
        <v>30745</v>
      </c>
      <c r="C17126" s="532" t="s">
        <v>30746</v>
      </c>
      <c r="D17126" s="533">
        <v>73.510000000000005</v>
      </c>
      <c r="E17126" s="533">
        <v>11.5</v>
      </c>
      <c r="F17126" s="533">
        <v>61.78</v>
      </c>
      <c r="G17126" s="533">
        <v>0.23</v>
      </c>
      <c r="H17126" s="534">
        <v>510.54</v>
      </c>
      <c r="I17126" s="534">
        <v>132.19999999999999</v>
      </c>
      <c r="J17126" s="534">
        <v>375.69</v>
      </c>
      <c r="K17126" s="534">
        <v>2.65</v>
      </c>
      <c r="L17126" s="43">
        <v>6.9451775268670923</v>
      </c>
      <c r="M17126" s="43">
        <v>11.495652173913042</v>
      </c>
      <c r="N17126" s="43">
        <v>6.0810942052444155</v>
      </c>
      <c r="O17126" s="43">
        <v>11.503164556962025</v>
      </c>
      <c r="P17126" s="535"/>
      <c r="Q17126" s="535"/>
      <c r="R17126" s="535">
        <v>3</v>
      </c>
    </row>
    <row r="17127" spans="1:18" ht="24">
      <c r="A17127" s="531">
        <v>280</v>
      </c>
      <c r="B17127" s="528" t="s">
        <v>30747</v>
      </c>
      <c r="C17127" s="532" t="s">
        <v>30748</v>
      </c>
      <c r="D17127" s="533">
        <v>105.49</v>
      </c>
      <c r="E17127" s="533">
        <v>16.670000000000002</v>
      </c>
      <c r="F17127" s="533">
        <v>88.49</v>
      </c>
      <c r="G17127" s="533">
        <v>0.33</v>
      </c>
      <c r="H17127" s="534">
        <v>730.96</v>
      </c>
      <c r="I17127" s="534">
        <v>191.7</v>
      </c>
      <c r="J17127" s="534">
        <v>535.46</v>
      </c>
      <c r="K17127" s="534">
        <v>3.8</v>
      </c>
      <c r="L17127" s="43">
        <v>6.9291876007204483</v>
      </c>
      <c r="M17127" s="43">
        <v>11.499700059988001</v>
      </c>
      <c r="N17127" s="43">
        <v>6.0510792179907344</v>
      </c>
      <c r="O17127" s="43">
        <v>11.503164556962025</v>
      </c>
      <c r="P17127" s="535"/>
      <c r="Q17127" s="535"/>
      <c r="R17127" s="535">
        <v>3</v>
      </c>
    </row>
    <row r="17128" spans="1:18" ht="24">
      <c r="A17128" s="531">
        <v>281</v>
      </c>
      <c r="B17128" s="528" t="s">
        <v>30749</v>
      </c>
      <c r="C17128" s="532" t="s">
        <v>30750</v>
      </c>
      <c r="D17128" s="533">
        <v>152.6</v>
      </c>
      <c r="E17128" s="533">
        <v>26.15</v>
      </c>
      <c r="F17128" s="533">
        <v>125.93</v>
      </c>
      <c r="G17128" s="533">
        <v>0.52</v>
      </c>
      <c r="H17128" s="534">
        <v>1059.73</v>
      </c>
      <c r="I17128" s="534">
        <v>300.76</v>
      </c>
      <c r="J17128" s="534">
        <v>752.99</v>
      </c>
      <c r="K17128" s="534">
        <v>5.98</v>
      </c>
      <c r="L17128" s="43">
        <v>6.944495412844037</v>
      </c>
      <c r="M17128" s="43">
        <v>11.50133843212237</v>
      </c>
      <c r="N17128" s="43">
        <v>5.9794330183435243</v>
      </c>
      <c r="O17128" s="43">
        <v>11.503164556962025</v>
      </c>
      <c r="P17128" s="535"/>
      <c r="Q17128" s="535"/>
      <c r="R17128" s="535">
        <v>3</v>
      </c>
    </row>
    <row r="17129" spans="1:18" ht="24">
      <c r="A17129" s="531">
        <v>282</v>
      </c>
      <c r="B17129" s="528" t="s">
        <v>30751</v>
      </c>
      <c r="C17129" s="532" t="s">
        <v>30752</v>
      </c>
      <c r="D17129" s="533">
        <v>57.74</v>
      </c>
      <c r="E17129" s="533">
        <v>7.09</v>
      </c>
      <c r="F17129" s="533">
        <v>50.51</v>
      </c>
      <c r="G17129" s="533">
        <v>0.14000000000000001</v>
      </c>
      <c r="H17129" s="534">
        <v>389.43</v>
      </c>
      <c r="I17129" s="534">
        <v>81.53</v>
      </c>
      <c r="J17129" s="534">
        <v>306.29000000000002</v>
      </c>
      <c r="K17129" s="534">
        <v>1.61</v>
      </c>
      <c r="L17129" s="43">
        <v>6.7445445098718393</v>
      </c>
      <c r="M17129" s="43">
        <v>11.499294781382229</v>
      </c>
      <c r="N17129" s="43">
        <v>6.0639477331221547</v>
      </c>
      <c r="O17129" s="43">
        <v>11.503164556962025</v>
      </c>
      <c r="P17129" s="535"/>
      <c r="Q17129" s="535"/>
      <c r="R17129" s="535">
        <v>3</v>
      </c>
    </row>
    <row r="17130" spans="1:18" ht="24">
      <c r="A17130" s="531">
        <v>283</v>
      </c>
      <c r="B17130" s="528" t="s">
        <v>30753</v>
      </c>
      <c r="C17130" s="532" t="s">
        <v>30754</v>
      </c>
      <c r="D17130" s="533">
        <v>60.48</v>
      </c>
      <c r="E17130" s="533">
        <v>9.77</v>
      </c>
      <c r="F17130" s="533">
        <v>50.51</v>
      </c>
      <c r="G17130" s="533">
        <v>0.2</v>
      </c>
      <c r="H17130" s="534">
        <v>420.96</v>
      </c>
      <c r="I17130" s="534">
        <v>112.37</v>
      </c>
      <c r="J17130" s="534">
        <v>306.29000000000002</v>
      </c>
      <c r="K17130" s="534">
        <v>2.2999999999999998</v>
      </c>
      <c r="L17130" s="43">
        <v>6.9603174603174605</v>
      </c>
      <c r="M17130" s="43">
        <v>11.501535312180144</v>
      </c>
      <c r="N17130" s="43">
        <v>6.0639477331221547</v>
      </c>
      <c r="O17130" s="43">
        <v>11.503164556962025</v>
      </c>
      <c r="P17130" s="535"/>
      <c r="Q17130" s="535"/>
      <c r="R17130" s="535">
        <v>3</v>
      </c>
    </row>
    <row r="17131" spans="1:18" ht="24">
      <c r="A17131" s="531">
        <v>284</v>
      </c>
      <c r="B17131" s="528" t="s">
        <v>30755</v>
      </c>
      <c r="C17131" s="532" t="s">
        <v>30756</v>
      </c>
      <c r="D17131" s="533">
        <v>90.91</v>
      </c>
      <c r="E17131" s="533">
        <v>14.66</v>
      </c>
      <c r="F17131" s="533">
        <v>75.959999999999994</v>
      </c>
      <c r="G17131" s="533">
        <v>0.28999999999999998</v>
      </c>
      <c r="H17131" s="534">
        <v>630.24</v>
      </c>
      <c r="I17131" s="534">
        <v>168.56</v>
      </c>
      <c r="J17131" s="534">
        <v>458.34</v>
      </c>
      <c r="K17131" s="534">
        <v>3.34</v>
      </c>
      <c r="L17131" s="43">
        <v>6.9325706742932578</v>
      </c>
      <c r="M17131" s="43">
        <v>11.497953615279673</v>
      </c>
      <c r="N17131" s="43">
        <v>6.0339652448657191</v>
      </c>
      <c r="O17131" s="43">
        <v>11.503164556962025</v>
      </c>
      <c r="P17131" s="535"/>
      <c r="Q17131" s="535"/>
      <c r="R17131" s="535">
        <v>3</v>
      </c>
    </row>
    <row r="17132" spans="1:18" ht="24">
      <c r="A17132" s="531">
        <v>285</v>
      </c>
      <c r="B17132" s="528" t="s">
        <v>30757</v>
      </c>
      <c r="C17132" s="532" t="s">
        <v>30758</v>
      </c>
      <c r="D17132" s="533">
        <v>134.69999999999999</v>
      </c>
      <c r="E17132" s="533">
        <v>20.88</v>
      </c>
      <c r="F17132" s="533">
        <v>113.4</v>
      </c>
      <c r="G17132" s="533">
        <v>0.42</v>
      </c>
      <c r="H17132" s="534">
        <v>920.87</v>
      </c>
      <c r="I17132" s="534">
        <v>240.17</v>
      </c>
      <c r="J17132" s="534">
        <v>675.87</v>
      </c>
      <c r="K17132" s="534">
        <v>4.83</v>
      </c>
      <c r="L17132" s="43">
        <v>6.8364513734224204</v>
      </c>
      <c r="M17132" s="43">
        <v>11.502394636015326</v>
      </c>
      <c r="N17132" s="43">
        <v>5.9600529100529096</v>
      </c>
      <c r="O17132" s="43">
        <v>11.503164556962025</v>
      </c>
      <c r="P17132" s="535"/>
      <c r="Q17132" s="535"/>
      <c r="R17132" s="535">
        <v>3</v>
      </c>
    </row>
    <row r="17133" spans="1:18" ht="24">
      <c r="A17133" s="531">
        <v>286</v>
      </c>
      <c r="B17133" s="528" t="s">
        <v>30759</v>
      </c>
      <c r="C17133" s="532" t="s">
        <v>30760</v>
      </c>
      <c r="D17133" s="533">
        <v>82.46</v>
      </c>
      <c r="E17133" s="533">
        <v>10.44</v>
      </c>
      <c r="F17133" s="533">
        <v>71.81</v>
      </c>
      <c r="G17133" s="533">
        <v>0.21</v>
      </c>
      <c r="H17133" s="534">
        <v>559.89</v>
      </c>
      <c r="I17133" s="534">
        <v>120.09</v>
      </c>
      <c r="J17133" s="534">
        <v>437.38</v>
      </c>
      <c r="K17133" s="534">
        <v>2.42</v>
      </c>
      <c r="L17133" s="43">
        <v>6.7898374969682278</v>
      </c>
      <c r="M17133" s="43">
        <v>11.502873563218392</v>
      </c>
      <c r="N17133" s="43">
        <v>6.0907951538782896</v>
      </c>
      <c r="O17133" s="43">
        <v>11.503164556962025</v>
      </c>
      <c r="P17133" s="535"/>
      <c r="Q17133" s="535"/>
      <c r="R17133" s="535">
        <v>3</v>
      </c>
    </row>
    <row r="17134" spans="1:18" ht="24">
      <c r="A17134" s="531">
        <v>287</v>
      </c>
      <c r="B17134" s="528" t="s">
        <v>30761</v>
      </c>
      <c r="C17134" s="532" t="s">
        <v>30762</v>
      </c>
      <c r="D17134" s="533">
        <v>86.76</v>
      </c>
      <c r="E17134" s="533">
        <v>14.66</v>
      </c>
      <c r="F17134" s="533">
        <v>71.81</v>
      </c>
      <c r="G17134" s="533">
        <v>0.28999999999999998</v>
      </c>
      <c r="H17134" s="534">
        <v>609.28</v>
      </c>
      <c r="I17134" s="534">
        <v>168.56</v>
      </c>
      <c r="J17134" s="534">
        <v>437.38</v>
      </c>
      <c r="K17134" s="534">
        <v>3.34</v>
      </c>
      <c r="L17134" s="43">
        <v>7.0225910557860756</v>
      </c>
      <c r="M17134" s="43">
        <v>11.497953615279673</v>
      </c>
      <c r="N17134" s="43">
        <v>6.0907951538782896</v>
      </c>
      <c r="O17134" s="43">
        <v>11.503164556962025</v>
      </c>
      <c r="P17134" s="535"/>
      <c r="Q17134" s="535"/>
      <c r="R17134" s="535">
        <v>3</v>
      </c>
    </row>
    <row r="17135" spans="1:18" ht="24">
      <c r="A17135" s="531">
        <v>288</v>
      </c>
      <c r="B17135" s="528" t="s">
        <v>30763</v>
      </c>
      <c r="C17135" s="532" t="s">
        <v>30764</v>
      </c>
      <c r="D17135" s="533">
        <v>118.74</v>
      </c>
      <c r="E17135" s="533">
        <v>19.829999999999998</v>
      </c>
      <c r="F17135" s="533">
        <v>98.51</v>
      </c>
      <c r="G17135" s="533">
        <v>0.4</v>
      </c>
      <c r="H17135" s="534">
        <v>829.8</v>
      </c>
      <c r="I17135" s="534">
        <v>228.05</v>
      </c>
      <c r="J17135" s="534">
        <v>597.15</v>
      </c>
      <c r="K17135" s="534">
        <v>4.5999999999999996</v>
      </c>
      <c r="L17135" s="43">
        <v>6.9883779686710463</v>
      </c>
      <c r="M17135" s="43">
        <v>11.500252143217349</v>
      </c>
      <c r="N17135" s="43">
        <v>6.0618211349101605</v>
      </c>
      <c r="O17135" s="43">
        <v>11.503164556962025</v>
      </c>
      <c r="P17135" s="535"/>
      <c r="Q17135" s="535"/>
      <c r="R17135" s="535">
        <v>3</v>
      </c>
    </row>
    <row r="17136" spans="1:18" ht="24">
      <c r="A17136" s="531">
        <v>289</v>
      </c>
      <c r="B17136" s="528" t="s">
        <v>30765</v>
      </c>
      <c r="C17136" s="532" t="s">
        <v>30766</v>
      </c>
      <c r="D17136" s="533">
        <v>169.34</v>
      </c>
      <c r="E17136" s="533">
        <v>30.27</v>
      </c>
      <c r="F17136" s="533">
        <v>138.46</v>
      </c>
      <c r="G17136" s="533">
        <v>0.61</v>
      </c>
      <c r="H17136" s="534">
        <v>1185.27</v>
      </c>
      <c r="I17136" s="534">
        <v>348.14</v>
      </c>
      <c r="J17136" s="534">
        <v>830.11</v>
      </c>
      <c r="K17136" s="534">
        <v>7.02</v>
      </c>
      <c r="L17136" s="43">
        <v>6.9993504192748315</v>
      </c>
      <c r="M17136" s="43">
        <v>11.501156260323752</v>
      </c>
      <c r="N17136" s="43">
        <v>5.9953055033944818</v>
      </c>
      <c r="O17136" s="43">
        <v>11.503164556962025</v>
      </c>
      <c r="P17136" s="535"/>
      <c r="Q17136" s="535"/>
      <c r="R17136" s="535">
        <v>3</v>
      </c>
    </row>
    <row r="17137" spans="1:18" ht="24">
      <c r="A17137" s="531">
        <v>290</v>
      </c>
      <c r="B17137" s="528" t="s">
        <v>30767</v>
      </c>
      <c r="C17137" s="532" t="s">
        <v>30768</v>
      </c>
      <c r="D17137" s="533">
        <v>70.569999999999993</v>
      </c>
      <c r="E17137" s="533">
        <v>8.6199999999999992</v>
      </c>
      <c r="F17137" s="533">
        <v>61.78</v>
      </c>
      <c r="G17137" s="533">
        <v>0.17</v>
      </c>
      <c r="H17137" s="534">
        <v>476.8</v>
      </c>
      <c r="I17137" s="534">
        <v>99.15</v>
      </c>
      <c r="J17137" s="534">
        <v>375.69</v>
      </c>
      <c r="K17137" s="534">
        <v>1.96</v>
      </c>
      <c r="L17137" s="43">
        <v>6.7564120731188897</v>
      </c>
      <c r="M17137" s="43">
        <v>11.502320185614851</v>
      </c>
      <c r="N17137" s="43">
        <v>6.0810942052444155</v>
      </c>
      <c r="O17137" s="43">
        <v>11.503164556962025</v>
      </c>
      <c r="P17137" s="535"/>
      <c r="Q17137" s="535"/>
      <c r="R17137" s="535">
        <v>3</v>
      </c>
    </row>
    <row r="17138" spans="1:18" ht="24">
      <c r="A17138" s="531">
        <v>291</v>
      </c>
      <c r="B17138" s="528" t="s">
        <v>30769</v>
      </c>
      <c r="C17138" s="532" t="s">
        <v>30770</v>
      </c>
      <c r="D17138" s="533">
        <v>73.510000000000005</v>
      </c>
      <c r="E17138" s="533">
        <v>11.5</v>
      </c>
      <c r="F17138" s="533">
        <v>61.78</v>
      </c>
      <c r="G17138" s="533">
        <v>0.23</v>
      </c>
      <c r="H17138" s="534">
        <v>510.54</v>
      </c>
      <c r="I17138" s="534">
        <v>132.19999999999999</v>
      </c>
      <c r="J17138" s="534">
        <v>375.69</v>
      </c>
      <c r="K17138" s="534">
        <v>2.65</v>
      </c>
      <c r="L17138" s="43">
        <v>6.9451775268670923</v>
      </c>
      <c r="M17138" s="43">
        <v>11.495652173913042</v>
      </c>
      <c r="N17138" s="43">
        <v>6.0810942052444155</v>
      </c>
      <c r="O17138" s="43">
        <v>11.503164556962025</v>
      </c>
      <c r="P17138" s="535"/>
      <c r="Q17138" s="535"/>
      <c r="R17138" s="535">
        <v>3</v>
      </c>
    </row>
    <row r="17139" spans="1:18" ht="24">
      <c r="A17139" s="531">
        <v>292</v>
      </c>
      <c r="B17139" s="528" t="s">
        <v>30771</v>
      </c>
      <c r="C17139" s="532" t="s">
        <v>30772</v>
      </c>
      <c r="D17139" s="533">
        <v>105.49</v>
      </c>
      <c r="E17139" s="533">
        <v>16.670000000000002</v>
      </c>
      <c r="F17139" s="533">
        <v>88.49</v>
      </c>
      <c r="G17139" s="533">
        <v>0.33</v>
      </c>
      <c r="H17139" s="534">
        <v>730.96</v>
      </c>
      <c r="I17139" s="534">
        <v>191.7</v>
      </c>
      <c r="J17139" s="534">
        <v>535.46</v>
      </c>
      <c r="K17139" s="534">
        <v>3.8</v>
      </c>
      <c r="L17139" s="43">
        <v>6.9291876007204483</v>
      </c>
      <c r="M17139" s="43">
        <v>11.499700059988001</v>
      </c>
      <c r="N17139" s="43">
        <v>6.0510792179907344</v>
      </c>
      <c r="O17139" s="43">
        <v>11.503164556962025</v>
      </c>
      <c r="P17139" s="535"/>
      <c r="Q17139" s="535"/>
      <c r="R17139" s="535">
        <v>3</v>
      </c>
    </row>
    <row r="17140" spans="1:18" ht="24">
      <c r="A17140" s="531">
        <v>293</v>
      </c>
      <c r="B17140" s="528" t="s">
        <v>30773</v>
      </c>
      <c r="C17140" s="532" t="s">
        <v>30774</v>
      </c>
      <c r="D17140" s="533">
        <v>147.77000000000001</v>
      </c>
      <c r="E17140" s="533">
        <v>25.1</v>
      </c>
      <c r="F17140" s="533">
        <v>122.17</v>
      </c>
      <c r="G17140" s="533">
        <v>0.5</v>
      </c>
      <c r="H17140" s="534">
        <v>1024.26</v>
      </c>
      <c r="I17140" s="534">
        <v>288.64999999999998</v>
      </c>
      <c r="J17140" s="534">
        <v>729.86</v>
      </c>
      <c r="K17140" s="534">
        <v>5.75</v>
      </c>
      <c r="L17140" s="43">
        <v>6.9314475197942746</v>
      </c>
      <c r="M17140" s="43">
        <v>11.499999999999998</v>
      </c>
      <c r="N17140" s="43">
        <v>5.9741344028812309</v>
      </c>
      <c r="O17140" s="43">
        <v>11.503164556962025</v>
      </c>
      <c r="P17140" s="535"/>
      <c r="Q17140" s="535"/>
      <c r="R17140" s="535">
        <v>3</v>
      </c>
    </row>
    <row r="17141" spans="1:18" ht="24">
      <c r="A17141" s="531">
        <v>294</v>
      </c>
      <c r="B17141" s="528" t="s">
        <v>30775</v>
      </c>
      <c r="C17141" s="532" t="s">
        <v>30776</v>
      </c>
      <c r="D17141" s="533">
        <v>11.58</v>
      </c>
      <c r="E17141" s="533">
        <v>1.53</v>
      </c>
      <c r="F17141" s="533">
        <v>10.02</v>
      </c>
      <c r="G17141" s="533">
        <v>0.03</v>
      </c>
      <c r="H17141" s="534">
        <v>79.67</v>
      </c>
      <c r="I17141" s="534">
        <v>17.63</v>
      </c>
      <c r="J17141" s="534">
        <v>61.69</v>
      </c>
      <c r="K17141" s="534">
        <v>0.35</v>
      </c>
      <c r="L17141" s="43">
        <v>6.8799654576856648</v>
      </c>
      <c r="M17141" s="43">
        <v>11.5</v>
      </c>
      <c r="N17141" s="43">
        <v>6.1566866267465068</v>
      </c>
      <c r="O17141" s="43">
        <v>11.503164556962025</v>
      </c>
      <c r="P17141" s="535"/>
      <c r="Q17141" s="535"/>
      <c r="R17141" s="535">
        <v>3</v>
      </c>
    </row>
    <row r="17142" spans="1:18" ht="24">
      <c r="A17142" s="531">
        <v>295</v>
      </c>
      <c r="B17142" s="528" t="s">
        <v>30777</v>
      </c>
      <c r="C17142" s="532" t="s">
        <v>30778</v>
      </c>
      <c r="D17142" s="533">
        <v>11.68</v>
      </c>
      <c r="E17142" s="533">
        <v>1.63</v>
      </c>
      <c r="F17142" s="533">
        <v>10.02</v>
      </c>
      <c r="G17142" s="533">
        <v>0.03</v>
      </c>
      <c r="H17142" s="534">
        <v>80.77</v>
      </c>
      <c r="I17142" s="534">
        <v>18.73</v>
      </c>
      <c r="J17142" s="534">
        <v>61.69</v>
      </c>
      <c r="K17142" s="534">
        <v>0.35</v>
      </c>
      <c r="L17142" s="43">
        <v>6.915239726027397</v>
      </c>
      <c r="M17142" s="43">
        <v>11.5</v>
      </c>
      <c r="N17142" s="43">
        <v>6.1566866267465068</v>
      </c>
      <c r="O17142" s="43">
        <v>11.503164556962025</v>
      </c>
      <c r="P17142" s="535"/>
      <c r="Q17142" s="535"/>
      <c r="R17142" s="535">
        <v>3</v>
      </c>
    </row>
    <row r="17143" spans="1:18" ht="24">
      <c r="A17143" s="531">
        <v>296</v>
      </c>
      <c r="B17143" s="528" t="s">
        <v>30779</v>
      </c>
      <c r="C17143" s="532" t="s">
        <v>30780</v>
      </c>
      <c r="D17143" s="533">
        <v>17.670000000000002</v>
      </c>
      <c r="E17143" s="533">
        <v>2.59</v>
      </c>
      <c r="F17143" s="533">
        <v>15.03</v>
      </c>
      <c r="G17143" s="533">
        <v>0.05</v>
      </c>
      <c r="H17143" s="534">
        <v>122.87</v>
      </c>
      <c r="I17143" s="534">
        <v>29.75</v>
      </c>
      <c r="J17143" s="534">
        <v>92.54</v>
      </c>
      <c r="K17143" s="534">
        <v>0.57999999999999996</v>
      </c>
      <c r="L17143" s="43">
        <v>6.9535936615732874</v>
      </c>
      <c r="M17143" s="43">
        <v>11.5</v>
      </c>
      <c r="N17143" s="43">
        <v>6.1570192947438462</v>
      </c>
      <c r="O17143" s="43">
        <v>11.503164556962025</v>
      </c>
      <c r="P17143" s="535"/>
      <c r="Q17143" s="535"/>
      <c r="R17143" s="535">
        <v>3</v>
      </c>
    </row>
    <row r="17144" spans="1:18" ht="24">
      <c r="A17144" s="531">
        <v>297</v>
      </c>
      <c r="B17144" s="528" t="s">
        <v>30781</v>
      </c>
      <c r="C17144" s="532" t="s">
        <v>30782</v>
      </c>
      <c r="D17144" s="533">
        <v>40.18</v>
      </c>
      <c r="E17144" s="533">
        <v>6.23</v>
      </c>
      <c r="F17144" s="533">
        <v>33.83</v>
      </c>
      <c r="G17144" s="533">
        <v>0.12</v>
      </c>
      <c r="H17144" s="534">
        <v>281.2</v>
      </c>
      <c r="I17144" s="534">
        <v>71.61</v>
      </c>
      <c r="J17144" s="534">
        <v>208.21</v>
      </c>
      <c r="K17144" s="534">
        <v>1.38</v>
      </c>
      <c r="L17144" s="43">
        <v>6.9985067197610746</v>
      </c>
      <c r="M17144" s="43">
        <v>11.5</v>
      </c>
      <c r="N17144" s="43">
        <v>6.1545965119716231</v>
      </c>
      <c r="O17144" s="43">
        <v>11.503164556962025</v>
      </c>
      <c r="P17144" s="535"/>
      <c r="Q17144" s="535"/>
      <c r="R17144" s="535">
        <v>3</v>
      </c>
    </row>
    <row r="17145" spans="1:18" ht="24">
      <c r="A17145" s="531">
        <v>298</v>
      </c>
      <c r="B17145" s="528" t="s">
        <v>30783</v>
      </c>
      <c r="C17145" s="532" t="s">
        <v>30784</v>
      </c>
      <c r="D17145" s="533">
        <v>10.24</v>
      </c>
      <c r="E17145" s="533">
        <v>1.44</v>
      </c>
      <c r="F17145" s="533">
        <v>8.77</v>
      </c>
      <c r="G17145" s="533">
        <v>0.03</v>
      </c>
      <c r="H17145" s="534">
        <v>70.86</v>
      </c>
      <c r="I17145" s="534">
        <v>16.53</v>
      </c>
      <c r="J17145" s="534">
        <v>53.98</v>
      </c>
      <c r="K17145" s="534">
        <v>0.35</v>
      </c>
      <c r="L17145" s="43">
        <v>6.919921875</v>
      </c>
      <c r="M17145" s="43">
        <v>11.5</v>
      </c>
      <c r="N17145" s="43">
        <v>6.1550741163055873</v>
      </c>
      <c r="O17145" s="43">
        <v>11.503164556962025</v>
      </c>
      <c r="P17145" s="535"/>
      <c r="Q17145" s="535"/>
      <c r="R17145" s="535">
        <v>3</v>
      </c>
    </row>
    <row r="17146" spans="1:18" ht="24">
      <c r="A17146" s="531">
        <v>299</v>
      </c>
      <c r="B17146" s="528" t="s">
        <v>30785</v>
      </c>
      <c r="C17146" s="532" t="s">
        <v>30786</v>
      </c>
      <c r="D17146" s="533">
        <v>10.33</v>
      </c>
      <c r="E17146" s="533">
        <v>1.53</v>
      </c>
      <c r="F17146" s="533">
        <v>8.77</v>
      </c>
      <c r="G17146" s="533">
        <v>0.03</v>
      </c>
      <c r="H17146" s="534">
        <v>71.959999999999994</v>
      </c>
      <c r="I17146" s="534">
        <v>17.63</v>
      </c>
      <c r="J17146" s="534">
        <v>53.98</v>
      </c>
      <c r="K17146" s="534">
        <v>0.35</v>
      </c>
      <c r="L17146" s="43">
        <v>6.9661181026137458</v>
      </c>
      <c r="M17146" s="43">
        <v>11.5</v>
      </c>
      <c r="N17146" s="43">
        <v>6.1550741163055873</v>
      </c>
      <c r="O17146" s="43">
        <v>11.503164556962025</v>
      </c>
      <c r="P17146" s="535"/>
      <c r="Q17146" s="535"/>
      <c r="R17146" s="535">
        <v>3</v>
      </c>
    </row>
    <row r="17147" spans="1:18" ht="24">
      <c r="A17147" s="531">
        <v>300</v>
      </c>
      <c r="B17147" s="528" t="s">
        <v>30787</v>
      </c>
      <c r="C17147" s="532" t="s">
        <v>30788</v>
      </c>
      <c r="D17147" s="533">
        <v>16.32</v>
      </c>
      <c r="E17147" s="533">
        <v>2.4900000000000002</v>
      </c>
      <c r="F17147" s="533">
        <v>13.78</v>
      </c>
      <c r="G17147" s="533">
        <v>0.05</v>
      </c>
      <c r="H17147" s="534">
        <v>114.05</v>
      </c>
      <c r="I17147" s="534">
        <v>28.64</v>
      </c>
      <c r="J17147" s="534">
        <v>84.83</v>
      </c>
      <c r="K17147" s="534">
        <v>0.57999999999999996</v>
      </c>
      <c r="L17147" s="43">
        <v>6.9883578431372548</v>
      </c>
      <c r="M17147" s="43">
        <v>11.502008032128513</v>
      </c>
      <c r="N17147" s="43">
        <v>6.1560232220609583</v>
      </c>
      <c r="O17147" s="43">
        <v>11.503164556962025</v>
      </c>
      <c r="P17147" s="535"/>
      <c r="Q17147" s="535"/>
      <c r="R17147" s="535">
        <v>3</v>
      </c>
    </row>
    <row r="17148" spans="1:18" ht="24">
      <c r="A17148" s="531">
        <v>301</v>
      </c>
      <c r="B17148" s="528" t="s">
        <v>30789</v>
      </c>
      <c r="C17148" s="532" t="s">
        <v>30790</v>
      </c>
      <c r="D17148" s="533">
        <v>39.89</v>
      </c>
      <c r="E17148" s="533">
        <v>5.94</v>
      </c>
      <c r="F17148" s="533">
        <v>33.83</v>
      </c>
      <c r="G17148" s="533">
        <v>0.12</v>
      </c>
      <c r="H17148" s="534">
        <v>277.89999999999998</v>
      </c>
      <c r="I17148" s="534">
        <v>68.31</v>
      </c>
      <c r="J17148" s="534">
        <v>208.21</v>
      </c>
      <c r="K17148" s="534">
        <v>1.38</v>
      </c>
      <c r="L17148" s="43">
        <v>6.9666583103534716</v>
      </c>
      <c r="M17148" s="43">
        <v>11.5</v>
      </c>
      <c r="N17148" s="43">
        <v>6.1545965119716231</v>
      </c>
      <c r="O17148" s="43">
        <v>11.503164556962025</v>
      </c>
      <c r="P17148" s="535"/>
      <c r="Q17148" s="535"/>
      <c r="R17148" s="535">
        <v>3</v>
      </c>
    </row>
    <row r="17149" spans="1:18" ht="24">
      <c r="A17149" s="531">
        <v>302</v>
      </c>
      <c r="B17149" s="528" t="s">
        <v>30791</v>
      </c>
      <c r="C17149" s="532" t="s">
        <v>30792</v>
      </c>
      <c r="D17149" s="533">
        <v>69.650000000000006</v>
      </c>
      <c r="E17149" s="533">
        <v>9.1</v>
      </c>
      <c r="F17149" s="533">
        <v>60.37</v>
      </c>
      <c r="G17149" s="533">
        <v>0.18</v>
      </c>
      <c r="H17149" s="534">
        <v>475.58</v>
      </c>
      <c r="I17149" s="534">
        <v>104.66</v>
      </c>
      <c r="J17149" s="534">
        <v>368.85</v>
      </c>
      <c r="K17149" s="534">
        <v>2.0699999999999998</v>
      </c>
      <c r="L17149" s="43">
        <v>6.8281407035175867</v>
      </c>
      <c r="M17149" s="43">
        <v>11.501098901098901</v>
      </c>
      <c r="N17149" s="43">
        <v>6.109822759648833</v>
      </c>
      <c r="O17149" s="43">
        <v>11.503164556962025</v>
      </c>
      <c r="P17149" s="535"/>
      <c r="Q17149" s="535"/>
      <c r="R17149" s="535">
        <v>3</v>
      </c>
    </row>
    <row r="17150" spans="1:18" ht="24">
      <c r="A17150" s="531">
        <v>303</v>
      </c>
      <c r="B17150" s="528" t="s">
        <v>30793</v>
      </c>
      <c r="C17150" s="532" t="s">
        <v>30794</v>
      </c>
      <c r="D17150" s="533">
        <v>89.24</v>
      </c>
      <c r="E17150" s="533">
        <v>15.71</v>
      </c>
      <c r="F17150" s="533">
        <v>73.22</v>
      </c>
      <c r="G17150" s="533">
        <v>0.31</v>
      </c>
      <c r="H17150" s="534">
        <v>628.47</v>
      </c>
      <c r="I17150" s="534">
        <v>180.68</v>
      </c>
      <c r="J17150" s="534">
        <v>444.22</v>
      </c>
      <c r="K17150" s="534">
        <v>3.57</v>
      </c>
      <c r="L17150" s="43">
        <v>7.0424697445091891</v>
      </c>
      <c r="M17150" s="43">
        <v>11.500954805856143</v>
      </c>
      <c r="N17150" s="43">
        <v>6.0669216061185471</v>
      </c>
      <c r="O17150" s="43">
        <v>11.503164556962025</v>
      </c>
      <c r="P17150" s="535"/>
      <c r="Q17150" s="535"/>
      <c r="R17150" s="535">
        <v>3</v>
      </c>
    </row>
    <row r="17151" spans="1:18" ht="24">
      <c r="A17151" s="531">
        <v>304</v>
      </c>
      <c r="B17151" s="528" t="s">
        <v>30795</v>
      </c>
      <c r="C17151" s="532" t="s">
        <v>30796</v>
      </c>
      <c r="D17151" s="533">
        <v>40.4</v>
      </c>
      <c r="E17151" s="533">
        <v>4.9800000000000004</v>
      </c>
      <c r="F17151" s="533">
        <v>35.32</v>
      </c>
      <c r="G17151" s="533">
        <v>0.1</v>
      </c>
      <c r="H17151" s="534">
        <v>273.06</v>
      </c>
      <c r="I17151" s="534">
        <v>57.29</v>
      </c>
      <c r="J17151" s="534">
        <v>214.62</v>
      </c>
      <c r="K17151" s="534">
        <v>1.1499999999999999</v>
      </c>
      <c r="L17151" s="43">
        <v>6.7589108910891094</v>
      </c>
      <c r="M17151" s="43">
        <v>11.504016064257026</v>
      </c>
      <c r="N17151" s="43">
        <v>6.0764439411098525</v>
      </c>
      <c r="O17151" s="43">
        <v>11.503164556962025</v>
      </c>
      <c r="P17151" s="535"/>
      <c r="Q17151" s="535"/>
      <c r="R17151" s="535">
        <v>3</v>
      </c>
    </row>
    <row r="17152" spans="1:18" ht="24">
      <c r="A17152" s="531">
        <v>305</v>
      </c>
      <c r="B17152" s="528" t="s">
        <v>30797</v>
      </c>
      <c r="C17152" s="532" t="s">
        <v>30798</v>
      </c>
      <c r="D17152" s="533">
        <v>53.96</v>
      </c>
      <c r="E17152" s="533">
        <v>8.14</v>
      </c>
      <c r="F17152" s="533">
        <v>45.66</v>
      </c>
      <c r="G17152" s="533">
        <v>0.16</v>
      </c>
      <c r="H17152" s="534">
        <v>370.05</v>
      </c>
      <c r="I17152" s="534">
        <v>93.64</v>
      </c>
      <c r="J17152" s="534">
        <v>274.57</v>
      </c>
      <c r="K17152" s="534">
        <v>1.84</v>
      </c>
      <c r="L17152" s="43">
        <v>6.8578576723498887</v>
      </c>
      <c r="M17152" s="43">
        <v>11.503685503685503</v>
      </c>
      <c r="N17152" s="43">
        <v>6.013359614542269</v>
      </c>
      <c r="O17152" s="43">
        <v>11.503164556962025</v>
      </c>
      <c r="P17152" s="535"/>
      <c r="Q17152" s="535"/>
      <c r="R17152" s="535">
        <v>3</v>
      </c>
    </row>
    <row r="17153" spans="1:18" ht="36">
      <c r="A17153" s="531">
        <v>306</v>
      </c>
      <c r="B17153" s="528" t="s">
        <v>30799</v>
      </c>
      <c r="C17153" s="532" t="s">
        <v>30800</v>
      </c>
      <c r="D17153" s="533">
        <v>98.23</v>
      </c>
      <c r="E17153" s="533">
        <v>12.55</v>
      </c>
      <c r="F17153" s="533">
        <v>85.43</v>
      </c>
      <c r="G17153" s="533">
        <v>0.25</v>
      </c>
      <c r="H17153" s="534">
        <v>670.28</v>
      </c>
      <c r="I17153" s="534">
        <v>144.32</v>
      </c>
      <c r="J17153" s="534">
        <v>523.08000000000004</v>
      </c>
      <c r="K17153" s="534">
        <v>2.88</v>
      </c>
      <c r="L17153" s="43">
        <v>6.8235773185381241</v>
      </c>
      <c r="M17153" s="43">
        <v>11.499601593625497</v>
      </c>
      <c r="N17153" s="43">
        <v>6.1229076436848882</v>
      </c>
      <c r="O17153" s="43">
        <v>11.503164556962025</v>
      </c>
      <c r="P17153" s="535"/>
      <c r="Q17153" s="535"/>
      <c r="R17153" s="535">
        <v>3</v>
      </c>
    </row>
    <row r="17154" spans="1:18" ht="36">
      <c r="A17154" s="531">
        <v>307</v>
      </c>
      <c r="B17154" s="528" t="s">
        <v>30801</v>
      </c>
      <c r="C17154" s="532" t="s">
        <v>30802</v>
      </c>
      <c r="D17154" s="533">
        <v>110.99</v>
      </c>
      <c r="E17154" s="533">
        <v>19.829999999999998</v>
      </c>
      <c r="F17154" s="533">
        <v>90.76</v>
      </c>
      <c r="G17154" s="533">
        <v>0.4</v>
      </c>
      <c r="H17154" s="534">
        <v>784.83</v>
      </c>
      <c r="I17154" s="534">
        <v>228.05</v>
      </c>
      <c r="J17154" s="534">
        <v>552.17999999999995</v>
      </c>
      <c r="K17154" s="534">
        <v>4.5999999999999996</v>
      </c>
      <c r="L17154" s="43">
        <v>7.0711775835660875</v>
      </c>
      <c r="M17154" s="43">
        <v>11.500252143217349</v>
      </c>
      <c r="N17154" s="43">
        <v>6.0839576906126034</v>
      </c>
      <c r="O17154" s="43">
        <v>11.503164556962025</v>
      </c>
      <c r="P17154" s="535"/>
      <c r="Q17154" s="535"/>
      <c r="R17154" s="535">
        <v>3</v>
      </c>
    </row>
    <row r="17155" spans="1:18" ht="24">
      <c r="A17155" s="531">
        <v>308</v>
      </c>
      <c r="B17155" s="528" t="s">
        <v>30803</v>
      </c>
      <c r="C17155" s="532" t="s">
        <v>30804</v>
      </c>
      <c r="D17155" s="533">
        <v>53.72</v>
      </c>
      <c r="E17155" s="533">
        <v>6.99</v>
      </c>
      <c r="F17155" s="533">
        <v>46.59</v>
      </c>
      <c r="G17155" s="533">
        <v>0.14000000000000001</v>
      </c>
      <c r="H17155" s="534">
        <v>366.05</v>
      </c>
      <c r="I17155" s="534">
        <v>80.42</v>
      </c>
      <c r="J17155" s="534">
        <v>284.02</v>
      </c>
      <c r="K17155" s="534">
        <v>1.61</v>
      </c>
      <c r="L17155" s="43">
        <v>6.8140357408786301</v>
      </c>
      <c r="M17155" s="43">
        <v>11.5021951219512</v>
      </c>
      <c r="N17155" s="43">
        <v>6.0961579738141225</v>
      </c>
      <c r="O17155" s="43">
        <v>11.503164556962025</v>
      </c>
      <c r="P17155" s="535"/>
      <c r="Q17155" s="535"/>
      <c r="R17155" s="535">
        <v>3</v>
      </c>
    </row>
    <row r="17156" spans="1:18" ht="24">
      <c r="A17156" s="531">
        <v>309</v>
      </c>
      <c r="B17156" s="528" t="s">
        <v>30805</v>
      </c>
      <c r="C17156" s="532" t="s">
        <v>30806</v>
      </c>
      <c r="D17156" s="533">
        <v>64.989999999999995</v>
      </c>
      <c r="E17156" s="533">
        <v>10.35</v>
      </c>
      <c r="F17156" s="533">
        <v>54.43</v>
      </c>
      <c r="G17156" s="533">
        <v>0.21</v>
      </c>
      <c r="H17156" s="534">
        <v>449.95</v>
      </c>
      <c r="I17156" s="534">
        <v>118.98</v>
      </c>
      <c r="J17156" s="534">
        <v>328.55</v>
      </c>
      <c r="K17156" s="534">
        <v>2.42</v>
      </c>
      <c r="L17156" s="43">
        <v>6.9233728265887065</v>
      </c>
      <c r="M17156" s="43">
        <v>11.495652173913044</v>
      </c>
      <c r="N17156" s="43">
        <v>6.0361932757670402</v>
      </c>
      <c r="O17156" s="43">
        <v>11.503164556962025</v>
      </c>
      <c r="P17156" s="535"/>
      <c r="Q17156" s="535"/>
      <c r="R17156" s="535">
        <v>3</v>
      </c>
    </row>
    <row r="17157" spans="1:18" ht="36">
      <c r="A17157" s="531">
        <v>310</v>
      </c>
      <c r="B17157" s="528" t="s">
        <v>30807</v>
      </c>
      <c r="C17157" s="532" t="s">
        <v>30808</v>
      </c>
      <c r="D17157" s="533">
        <v>10.33</v>
      </c>
      <c r="E17157" s="533">
        <v>1.53</v>
      </c>
      <c r="F17157" s="533">
        <v>8.77</v>
      </c>
      <c r="G17157" s="533">
        <v>0.03</v>
      </c>
      <c r="H17157" s="534">
        <v>71.959999999999994</v>
      </c>
      <c r="I17157" s="534">
        <v>17.63</v>
      </c>
      <c r="J17157" s="534">
        <v>53.98</v>
      </c>
      <c r="K17157" s="534">
        <v>0.35</v>
      </c>
      <c r="L17157" s="43">
        <v>6.9661181026137458</v>
      </c>
      <c r="M17157" s="43">
        <v>11.5</v>
      </c>
      <c r="N17157" s="43">
        <v>6.1550741163055873</v>
      </c>
      <c r="O17157" s="43">
        <v>11.503164556962025</v>
      </c>
      <c r="P17157" s="535"/>
      <c r="Q17157" s="535"/>
      <c r="R17157" s="535">
        <v>3</v>
      </c>
    </row>
    <row r="17158" spans="1:18" ht="36">
      <c r="A17158" s="531">
        <v>311</v>
      </c>
      <c r="B17158" s="528" t="s">
        <v>30809</v>
      </c>
      <c r="C17158" s="532" t="s">
        <v>30810</v>
      </c>
      <c r="D17158" s="533">
        <v>14.77</v>
      </c>
      <c r="E17158" s="533">
        <v>2.2000000000000002</v>
      </c>
      <c r="F17158" s="533">
        <v>12.53</v>
      </c>
      <c r="G17158" s="533">
        <v>0.04</v>
      </c>
      <c r="H17158" s="534">
        <v>102.92</v>
      </c>
      <c r="I17158" s="534">
        <v>25.34</v>
      </c>
      <c r="J17158" s="534">
        <v>77.12</v>
      </c>
      <c r="K17158" s="534">
        <v>0.46</v>
      </c>
      <c r="L17158" s="43">
        <v>6.9681787406905897</v>
      </c>
      <c r="M17158" s="43">
        <v>11.5</v>
      </c>
      <c r="N17158" s="43">
        <v>6.1548284118116525</v>
      </c>
      <c r="O17158" s="43">
        <v>11.503164556962025</v>
      </c>
      <c r="P17158" s="535"/>
      <c r="Q17158" s="535"/>
      <c r="R17158" s="535">
        <v>3</v>
      </c>
    </row>
    <row r="17159" spans="1:18" ht="36">
      <c r="A17159" s="531">
        <v>312</v>
      </c>
      <c r="B17159" s="528" t="s">
        <v>30811</v>
      </c>
      <c r="C17159" s="532" t="s">
        <v>30812</v>
      </c>
      <c r="D17159" s="533">
        <v>6.08</v>
      </c>
      <c r="E17159" s="533">
        <v>1.05</v>
      </c>
      <c r="F17159" s="533">
        <v>5.01</v>
      </c>
      <c r="G17159" s="533">
        <v>0.02</v>
      </c>
      <c r="H17159" s="534">
        <v>43.2</v>
      </c>
      <c r="I17159" s="534">
        <v>12.12</v>
      </c>
      <c r="J17159" s="534">
        <v>30.85</v>
      </c>
      <c r="K17159" s="534">
        <v>0.23</v>
      </c>
      <c r="L17159" s="43">
        <v>7.1052631578947372</v>
      </c>
      <c r="M17159" s="43">
        <v>11.5</v>
      </c>
      <c r="N17159" s="43">
        <v>6.1576846307385233</v>
      </c>
      <c r="O17159" s="43">
        <v>11.503164556962025</v>
      </c>
      <c r="P17159" s="535"/>
      <c r="Q17159" s="535"/>
      <c r="R17159" s="535">
        <v>3</v>
      </c>
    </row>
    <row r="17160" spans="1:18" ht="36">
      <c r="A17160" s="531">
        <v>313</v>
      </c>
      <c r="B17160" s="528" t="s">
        <v>30813</v>
      </c>
      <c r="C17160" s="532" t="s">
        <v>30814</v>
      </c>
      <c r="D17160" s="533">
        <v>11.88</v>
      </c>
      <c r="E17160" s="533">
        <v>1.82</v>
      </c>
      <c r="F17160" s="533">
        <v>10.02</v>
      </c>
      <c r="G17160" s="533">
        <v>0.04</v>
      </c>
      <c r="H17160" s="534">
        <v>83.08</v>
      </c>
      <c r="I17160" s="534">
        <v>20.93</v>
      </c>
      <c r="J17160" s="534">
        <v>61.69</v>
      </c>
      <c r="K17160" s="534">
        <v>0.46</v>
      </c>
      <c r="L17160" s="43">
        <v>6.9932659932659931</v>
      </c>
      <c r="M17160" s="43">
        <v>11.5</v>
      </c>
      <c r="N17160" s="43">
        <v>6.1566866267465068</v>
      </c>
      <c r="O17160" s="43">
        <v>11.503164556962025</v>
      </c>
      <c r="P17160" s="535"/>
      <c r="Q17160" s="535"/>
      <c r="R17160" s="535">
        <v>3</v>
      </c>
    </row>
    <row r="17161" spans="1:18" ht="12.75" customHeight="1">
      <c r="A17161" s="628" t="s">
        <v>30815</v>
      </c>
      <c r="B17161" s="629"/>
      <c r="C17161" s="629"/>
      <c r="D17161" s="629"/>
      <c r="E17161" s="629"/>
      <c r="F17161" s="629"/>
      <c r="G17161" s="629"/>
      <c r="H17161" s="629"/>
      <c r="I17161" s="629"/>
      <c r="J17161" s="629"/>
      <c r="K17161" s="629"/>
      <c r="L17161" s="629"/>
      <c r="M17161" s="629"/>
      <c r="N17161" s="629"/>
      <c r="O17161" s="629"/>
      <c r="P17161" s="629"/>
      <c r="Q17161" s="629"/>
      <c r="R17161" s="629"/>
    </row>
    <row r="17162" spans="1:18" ht="12.75" customHeight="1">
      <c r="A17162" s="628" t="s">
        <v>30816</v>
      </c>
      <c r="B17162" s="629"/>
      <c r="C17162" s="629"/>
      <c r="D17162" s="629"/>
      <c r="E17162" s="629"/>
      <c r="F17162" s="629"/>
      <c r="G17162" s="629"/>
      <c r="H17162" s="629"/>
      <c r="I17162" s="629"/>
      <c r="J17162" s="629"/>
      <c r="K17162" s="629"/>
      <c r="L17162" s="629"/>
      <c r="M17162" s="629"/>
      <c r="N17162" s="629"/>
      <c r="O17162" s="629"/>
      <c r="P17162" s="629"/>
      <c r="Q17162" s="629"/>
      <c r="R17162" s="629"/>
    </row>
    <row r="17163" spans="1:18" ht="24">
      <c r="A17163" s="531">
        <v>314</v>
      </c>
      <c r="B17163" s="528" t="s">
        <v>30817</v>
      </c>
      <c r="C17163" s="532" t="s">
        <v>30818</v>
      </c>
      <c r="D17163" s="533">
        <v>372.2</v>
      </c>
      <c r="E17163" s="533">
        <v>41.77</v>
      </c>
      <c r="F17163" s="533">
        <v>321.23</v>
      </c>
      <c r="G17163" s="533">
        <v>9.1999999999999993</v>
      </c>
      <c r="H17163" s="534">
        <v>2348.44</v>
      </c>
      <c r="I17163" s="534">
        <v>480.34</v>
      </c>
      <c r="J17163" s="534">
        <v>1824.64</v>
      </c>
      <c r="K17163" s="534">
        <v>43.46</v>
      </c>
      <c r="L17163" s="43">
        <v>6.3096184846856529</v>
      </c>
      <c r="M17163" s="43">
        <v>11.499640890591332</v>
      </c>
      <c r="N17163" s="43">
        <v>5.6801668586371132</v>
      </c>
      <c r="O17163" s="43">
        <v>4.7239130434782615</v>
      </c>
      <c r="P17163" s="535"/>
      <c r="Q17163" s="535"/>
      <c r="R17163" s="535">
        <v>1</v>
      </c>
    </row>
    <row r="17164" spans="1:18" ht="24">
      <c r="A17164" s="531">
        <v>315</v>
      </c>
      <c r="B17164" s="528" t="s">
        <v>30819</v>
      </c>
      <c r="C17164" s="532" t="s">
        <v>30820</v>
      </c>
      <c r="D17164" s="533">
        <v>509.6</v>
      </c>
      <c r="E17164" s="533">
        <v>66.87</v>
      </c>
      <c r="F17164" s="533">
        <v>433.03</v>
      </c>
      <c r="G17164" s="533">
        <v>9.6999999999999993</v>
      </c>
      <c r="H17164" s="534">
        <v>3279.91</v>
      </c>
      <c r="I17164" s="534">
        <v>768.99</v>
      </c>
      <c r="J17164" s="534">
        <v>2461.71</v>
      </c>
      <c r="K17164" s="534">
        <v>49.21</v>
      </c>
      <c r="L17164" s="43">
        <v>6.4362441130298267</v>
      </c>
      <c r="M17164" s="43">
        <v>11.499775684163302</v>
      </c>
      <c r="N17164" s="43">
        <v>5.6848486248065955</v>
      </c>
      <c r="O17164" s="43">
        <v>5.0731958762886604</v>
      </c>
      <c r="P17164" s="535"/>
      <c r="Q17164" s="535"/>
      <c r="R17164" s="535">
        <v>1</v>
      </c>
    </row>
    <row r="17165" spans="1:18" ht="24">
      <c r="A17165" s="531">
        <v>316</v>
      </c>
      <c r="B17165" s="528" t="s">
        <v>30821</v>
      </c>
      <c r="C17165" s="532" t="s">
        <v>30822</v>
      </c>
      <c r="D17165" s="533">
        <v>766.55</v>
      </c>
      <c r="E17165" s="533">
        <v>96.76</v>
      </c>
      <c r="F17165" s="533">
        <v>605.17999999999995</v>
      </c>
      <c r="G17165" s="533">
        <v>64.61</v>
      </c>
      <c r="H17165" s="534">
        <v>4879.3</v>
      </c>
      <c r="I17165" s="534">
        <v>1112.72</v>
      </c>
      <c r="J17165" s="534">
        <v>3455.56</v>
      </c>
      <c r="K17165" s="534">
        <v>311.02</v>
      </c>
      <c r="L17165" s="43">
        <v>6.3652729763224842</v>
      </c>
      <c r="M17165" s="43">
        <v>11.499793303017775</v>
      </c>
      <c r="N17165" s="43">
        <v>5.7099705872632942</v>
      </c>
      <c r="O17165" s="43">
        <v>4.813805912397461</v>
      </c>
      <c r="P17165" s="535"/>
      <c r="Q17165" s="535"/>
      <c r="R17165" s="535">
        <v>1</v>
      </c>
    </row>
    <row r="17166" spans="1:18" ht="24">
      <c r="A17166" s="531">
        <v>317</v>
      </c>
      <c r="B17166" s="528" t="s">
        <v>30823</v>
      </c>
      <c r="C17166" s="532" t="s">
        <v>30824</v>
      </c>
      <c r="D17166" s="533">
        <v>818.9</v>
      </c>
      <c r="E17166" s="533">
        <v>114.96</v>
      </c>
      <c r="F17166" s="533">
        <v>638.97</v>
      </c>
      <c r="G17166" s="533">
        <v>64.97</v>
      </c>
      <c r="H17166" s="534">
        <v>5291.54</v>
      </c>
      <c r="I17166" s="534">
        <v>1322.04</v>
      </c>
      <c r="J17166" s="534">
        <v>3654.34</v>
      </c>
      <c r="K17166" s="534">
        <v>315.16000000000003</v>
      </c>
      <c r="L17166" s="43">
        <v>6.4617657833679329</v>
      </c>
      <c r="M17166" s="43">
        <v>11.5</v>
      </c>
      <c r="N17166" s="43">
        <v>5.7191104433697983</v>
      </c>
      <c r="O17166" s="43">
        <v>4.8508542404186556</v>
      </c>
      <c r="P17166" s="535"/>
      <c r="Q17166" s="535"/>
      <c r="R17166" s="535">
        <v>1</v>
      </c>
    </row>
    <row r="17167" spans="1:18" ht="24">
      <c r="A17167" s="531">
        <v>318</v>
      </c>
      <c r="B17167" s="528" t="s">
        <v>30825</v>
      </c>
      <c r="C17167" s="532" t="s">
        <v>30826</v>
      </c>
      <c r="D17167" s="533">
        <v>1011.16</v>
      </c>
      <c r="E17167" s="533">
        <v>151.36000000000001</v>
      </c>
      <c r="F17167" s="533">
        <v>794.1</v>
      </c>
      <c r="G17167" s="533">
        <v>65.7</v>
      </c>
      <c r="H17167" s="534">
        <v>6600.7</v>
      </c>
      <c r="I17167" s="534">
        <v>1740.69</v>
      </c>
      <c r="J17167" s="534">
        <v>4536.45</v>
      </c>
      <c r="K17167" s="534">
        <v>323.56</v>
      </c>
      <c r="L17167" s="43">
        <v>6.527849202895684</v>
      </c>
      <c r="M17167" s="43">
        <v>11.500330338266384</v>
      </c>
      <c r="N17167" s="43">
        <v>5.7126936154136754</v>
      </c>
      <c r="O17167" s="43">
        <v>4.9248097412480973</v>
      </c>
      <c r="P17167" s="535"/>
      <c r="Q17167" s="535"/>
      <c r="R17167" s="535">
        <v>1</v>
      </c>
    </row>
    <row r="17168" spans="1:18" ht="24">
      <c r="A17168" s="531">
        <v>319</v>
      </c>
      <c r="B17168" s="528" t="s">
        <v>30827</v>
      </c>
      <c r="C17168" s="532" t="s">
        <v>30828</v>
      </c>
      <c r="D17168" s="533">
        <v>395.78</v>
      </c>
      <c r="E17168" s="533">
        <v>47.04</v>
      </c>
      <c r="F17168" s="533">
        <v>347.8</v>
      </c>
      <c r="G17168" s="533">
        <v>0.94</v>
      </c>
      <c r="H17168" s="534">
        <v>2520.5300000000002</v>
      </c>
      <c r="I17168" s="534">
        <v>540.92999999999995</v>
      </c>
      <c r="J17168" s="534">
        <v>1968.79</v>
      </c>
      <c r="K17168" s="534">
        <v>10.81</v>
      </c>
      <c r="L17168" s="43">
        <v>6.3685128101470525</v>
      </c>
      <c r="M17168" s="43">
        <v>11.499362244897958</v>
      </c>
      <c r="N17168" s="43">
        <v>5.6606958021851632</v>
      </c>
      <c r="O17168" s="43">
        <v>11.500000000000002</v>
      </c>
      <c r="P17168" s="535"/>
      <c r="Q17168" s="535"/>
      <c r="R17168" s="535">
        <v>1</v>
      </c>
    </row>
    <row r="17169" spans="1:18" ht="24">
      <c r="A17169" s="531">
        <v>320</v>
      </c>
      <c r="B17169" s="528" t="s">
        <v>30829</v>
      </c>
      <c r="C17169" s="532" t="s">
        <v>30830</v>
      </c>
      <c r="D17169" s="533">
        <v>546.6</v>
      </c>
      <c r="E17169" s="533">
        <v>74.150000000000006</v>
      </c>
      <c r="F17169" s="533">
        <v>470.97</v>
      </c>
      <c r="G17169" s="533">
        <v>1.48</v>
      </c>
      <c r="H17169" s="534">
        <v>3540.16</v>
      </c>
      <c r="I17169" s="534">
        <v>852.72</v>
      </c>
      <c r="J17169" s="534">
        <v>2670.42</v>
      </c>
      <c r="K17169" s="534">
        <v>17.02</v>
      </c>
      <c r="L17169" s="43">
        <v>6.4766922795462856</v>
      </c>
      <c r="M17169" s="43">
        <v>11.499932569116655</v>
      </c>
      <c r="N17169" s="43">
        <v>5.6700426778775714</v>
      </c>
      <c r="O17169" s="43">
        <v>11.5</v>
      </c>
      <c r="P17169" s="535"/>
      <c r="Q17169" s="535"/>
      <c r="R17169" s="535">
        <v>1</v>
      </c>
    </row>
    <row r="17170" spans="1:18" ht="24">
      <c r="A17170" s="531">
        <v>321</v>
      </c>
      <c r="B17170" s="528" t="s">
        <v>30831</v>
      </c>
      <c r="C17170" s="532" t="s">
        <v>30832</v>
      </c>
      <c r="D17170" s="533">
        <v>756.1</v>
      </c>
      <c r="E17170" s="533">
        <v>104.42</v>
      </c>
      <c r="F17170" s="533">
        <v>649.59</v>
      </c>
      <c r="G17170" s="533">
        <v>2.09</v>
      </c>
      <c r="H17170" s="534">
        <v>4928.08</v>
      </c>
      <c r="I17170" s="534">
        <v>1200.8499999999999</v>
      </c>
      <c r="J17170" s="534">
        <v>3703.19</v>
      </c>
      <c r="K17170" s="534">
        <v>24.04</v>
      </c>
      <c r="L17170" s="43">
        <v>6.5177622007670939</v>
      </c>
      <c r="M17170" s="43">
        <v>11.500191534188852</v>
      </c>
      <c r="N17170" s="43">
        <v>5.7008112809618376</v>
      </c>
      <c r="O17170" s="43">
        <v>11.502392344497608</v>
      </c>
      <c r="P17170" s="535"/>
      <c r="Q17170" s="535"/>
      <c r="R17170" s="535">
        <v>1</v>
      </c>
    </row>
    <row r="17171" spans="1:18" ht="24">
      <c r="A17171" s="531">
        <v>322</v>
      </c>
      <c r="B17171" s="528" t="s">
        <v>30833</v>
      </c>
      <c r="C17171" s="532" t="s">
        <v>30834</v>
      </c>
      <c r="D17171" s="533">
        <v>824.47</v>
      </c>
      <c r="E17171" s="533">
        <v>125.31</v>
      </c>
      <c r="F17171" s="533">
        <v>696.65</v>
      </c>
      <c r="G17171" s="533">
        <v>2.5099999999999998</v>
      </c>
      <c r="H17171" s="534">
        <v>5443.57</v>
      </c>
      <c r="I17171" s="534">
        <v>1441.02</v>
      </c>
      <c r="J17171" s="534">
        <v>3973.68</v>
      </c>
      <c r="K17171" s="534">
        <v>28.87</v>
      </c>
      <c r="L17171" s="43">
        <v>6.6025082780452893</v>
      </c>
      <c r="M17171" s="43">
        <v>11.499640890591333</v>
      </c>
      <c r="N17171" s="43">
        <v>5.7039833488839449</v>
      </c>
      <c r="O17171" s="43">
        <v>11.501992031872511</v>
      </c>
      <c r="P17171" s="535"/>
      <c r="Q17171" s="535"/>
      <c r="R17171" s="535">
        <v>1</v>
      </c>
    </row>
    <row r="17172" spans="1:18" ht="24">
      <c r="A17172" s="531">
        <v>323</v>
      </c>
      <c r="B17172" s="528" t="s">
        <v>30835</v>
      </c>
      <c r="C17172" s="532" t="s">
        <v>30836</v>
      </c>
      <c r="D17172" s="533">
        <v>1020.94</v>
      </c>
      <c r="E17172" s="533">
        <v>161.9</v>
      </c>
      <c r="F17172" s="533">
        <v>855.8</v>
      </c>
      <c r="G17172" s="533">
        <v>3.24</v>
      </c>
      <c r="H17172" s="534">
        <v>6775.38</v>
      </c>
      <c r="I17172" s="534">
        <v>1861.87</v>
      </c>
      <c r="J17172" s="534">
        <v>4876.25</v>
      </c>
      <c r="K17172" s="534">
        <v>37.26</v>
      </c>
      <c r="L17172" s="43">
        <v>6.6364135012831307</v>
      </c>
      <c r="M17172" s="43">
        <v>11.500123533045089</v>
      </c>
      <c r="N17172" s="43">
        <v>5.6978850198644544</v>
      </c>
      <c r="O17172" s="43">
        <v>11.499999999999998</v>
      </c>
      <c r="P17172" s="535"/>
      <c r="Q17172" s="535"/>
      <c r="R17172" s="535">
        <v>1</v>
      </c>
    </row>
    <row r="17173" spans="1:18" ht="24">
      <c r="A17173" s="531">
        <v>324</v>
      </c>
      <c r="B17173" s="528" t="s">
        <v>30837</v>
      </c>
      <c r="C17173" s="532" t="s">
        <v>30838</v>
      </c>
      <c r="D17173" s="533">
        <v>502.14</v>
      </c>
      <c r="E17173" s="533">
        <v>11.78</v>
      </c>
      <c r="F17173" s="533">
        <v>490.12</v>
      </c>
      <c r="G17173" s="533">
        <v>0.24</v>
      </c>
      <c r="H17173" s="534">
        <v>2752.81</v>
      </c>
      <c r="I17173" s="534">
        <v>135.51</v>
      </c>
      <c r="J17173" s="534">
        <v>2614.54</v>
      </c>
      <c r="K17173" s="534">
        <v>2.76</v>
      </c>
      <c r="L17173" s="43">
        <v>5.4821563707332617</v>
      </c>
      <c r="M17173" s="43">
        <v>11.50339558573854</v>
      </c>
      <c r="N17173" s="43">
        <v>5.3344895127723824</v>
      </c>
      <c r="O17173" s="43">
        <v>11.5</v>
      </c>
      <c r="P17173" s="535"/>
      <c r="Q17173" s="535"/>
      <c r="R17173" s="535">
        <v>1</v>
      </c>
    </row>
    <row r="17174" spans="1:18" ht="24">
      <c r="A17174" s="531">
        <v>325</v>
      </c>
      <c r="B17174" s="528" t="s">
        <v>30839</v>
      </c>
      <c r="C17174" s="532" t="s">
        <v>30840</v>
      </c>
      <c r="D17174" s="533">
        <v>647.75</v>
      </c>
      <c r="E17174" s="533">
        <v>16.09</v>
      </c>
      <c r="F17174" s="533">
        <v>631.34</v>
      </c>
      <c r="G17174" s="533">
        <v>0.32</v>
      </c>
      <c r="H17174" s="534">
        <v>3556.65</v>
      </c>
      <c r="I17174" s="534">
        <v>185.09</v>
      </c>
      <c r="J17174" s="534">
        <v>3367.88</v>
      </c>
      <c r="K17174" s="534">
        <v>3.68</v>
      </c>
      <c r="L17174" s="43">
        <v>5.4907757622539561</v>
      </c>
      <c r="M17174" s="43">
        <v>11.50341827221877</v>
      </c>
      <c r="N17174" s="43">
        <v>5.3344948838977411</v>
      </c>
      <c r="O17174" s="43">
        <v>11.5</v>
      </c>
      <c r="P17174" s="535"/>
      <c r="Q17174" s="535"/>
      <c r="R17174" s="535">
        <v>1</v>
      </c>
    </row>
    <row r="17175" spans="1:18" ht="24">
      <c r="A17175" s="531">
        <v>326</v>
      </c>
      <c r="B17175" s="528" t="s">
        <v>30841</v>
      </c>
      <c r="C17175" s="532" t="s">
        <v>30842</v>
      </c>
      <c r="D17175" s="533">
        <v>913.38</v>
      </c>
      <c r="E17175" s="533">
        <v>32.19</v>
      </c>
      <c r="F17175" s="533">
        <v>880.55</v>
      </c>
      <c r="G17175" s="533">
        <v>0.64</v>
      </c>
      <c r="H17175" s="534">
        <v>5074.84</v>
      </c>
      <c r="I17175" s="534">
        <v>370.17</v>
      </c>
      <c r="J17175" s="534">
        <v>4697.3100000000004</v>
      </c>
      <c r="K17175" s="534">
        <v>7.36</v>
      </c>
      <c r="L17175" s="43">
        <v>5.5561102717379409</v>
      </c>
      <c r="M17175" s="43">
        <v>11.499534016775398</v>
      </c>
      <c r="N17175" s="43">
        <v>5.3345181988529902</v>
      </c>
      <c r="O17175" s="43">
        <v>11.5</v>
      </c>
      <c r="P17175" s="535"/>
      <c r="Q17175" s="535"/>
      <c r="R17175" s="535">
        <v>1</v>
      </c>
    </row>
    <row r="17176" spans="1:18" ht="24">
      <c r="A17176" s="531">
        <v>327</v>
      </c>
      <c r="B17176" s="528" t="s">
        <v>30843</v>
      </c>
      <c r="C17176" s="532" t="s">
        <v>30844</v>
      </c>
      <c r="D17176" s="533">
        <v>1057.93</v>
      </c>
      <c r="E17176" s="533">
        <v>35.450000000000003</v>
      </c>
      <c r="F17176" s="533">
        <v>1021.77</v>
      </c>
      <c r="G17176" s="533">
        <v>0.71</v>
      </c>
      <c r="H17176" s="534">
        <v>5866.45</v>
      </c>
      <c r="I17176" s="534">
        <v>407.63</v>
      </c>
      <c r="J17176" s="534">
        <v>5450.65</v>
      </c>
      <c r="K17176" s="534">
        <v>8.17</v>
      </c>
      <c r="L17176" s="43">
        <v>5.5452156569905373</v>
      </c>
      <c r="M17176" s="43">
        <v>11.49873060648801</v>
      </c>
      <c r="N17176" s="43">
        <v>5.3345175528739341</v>
      </c>
      <c r="O17176" s="43">
        <v>11.503164556962025</v>
      </c>
      <c r="P17176" s="535"/>
      <c r="Q17176" s="535"/>
      <c r="R17176" s="535">
        <v>1</v>
      </c>
    </row>
    <row r="17177" spans="1:18" ht="24">
      <c r="A17177" s="531">
        <v>328</v>
      </c>
      <c r="B17177" s="528" t="s">
        <v>30845</v>
      </c>
      <c r="C17177" s="532" t="s">
        <v>30846</v>
      </c>
      <c r="D17177" s="533">
        <v>1156.93</v>
      </c>
      <c r="E17177" s="533">
        <v>42.92</v>
      </c>
      <c r="F17177" s="533">
        <v>1113.1500000000001</v>
      </c>
      <c r="G17177" s="533">
        <v>0.86</v>
      </c>
      <c r="H17177" s="534">
        <v>6441.55</v>
      </c>
      <c r="I17177" s="534">
        <v>493.56</v>
      </c>
      <c r="J17177" s="534">
        <v>5938.1</v>
      </c>
      <c r="K17177" s="534">
        <v>9.89</v>
      </c>
      <c r="L17177" s="43">
        <v>5.5677958044134046</v>
      </c>
      <c r="M17177" s="43">
        <v>11.499534016775396</v>
      </c>
      <c r="N17177" s="43">
        <v>5.3345011903157706</v>
      </c>
      <c r="O17177" s="43">
        <v>11.5</v>
      </c>
      <c r="P17177" s="535"/>
      <c r="Q17177" s="535"/>
      <c r="R17177" s="535">
        <v>1</v>
      </c>
    </row>
    <row r="17178" spans="1:18" ht="36">
      <c r="A17178" s="531">
        <v>329</v>
      </c>
      <c r="B17178" s="528" t="s">
        <v>30847</v>
      </c>
      <c r="C17178" s="532" t="s">
        <v>30848</v>
      </c>
      <c r="D17178" s="533">
        <v>93.83</v>
      </c>
      <c r="E17178" s="533">
        <v>2.4</v>
      </c>
      <c r="F17178" s="533">
        <v>91.38</v>
      </c>
      <c r="G17178" s="533">
        <v>0.05</v>
      </c>
      <c r="H17178" s="534">
        <v>515.58000000000004</v>
      </c>
      <c r="I17178" s="534">
        <v>27.54</v>
      </c>
      <c r="J17178" s="534">
        <v>487.46</v>
      </c>
      <c r="K17178" s="534">
        <v>0.57999999999999996</v>
      </c>
      <c r="L17178" s="43">
        <v>5.4948310774805504</v>
      </c>
      <c r="M17178" s="43">
        <v>11.5</v>
      </c>
      <c r="N17178" s="43">
        <v>5.3344276646968707</v>
      </c>
      <c r="O17178" s="43">
        <v>11.503164556962025</v>
      </c>
      <c r="P17178" s="535"/>
      <c r="Q17178" s="535"/>
      <c r="R17178" s="535">
        <v>1</v>
      </c>
    </row>
    <row r="17179" spans="1:18" ht="36">
      <c r="A17179" s="531">
        <v>330</v>
      </c>
      <c r="B17179" s="528" t="s">
        <v>30849</v>
      </c>
      <c r="C17179" s="532" t="s">
        <v>30850</v>
      </c>
      <c r="D17179" s="533">
        <v>136.04</v>
      </c>
      <c r="E17179" s="533">
        <v>3.07</v>
      </c>
      <c r="F17179" s="533">
        <v>132.91</v>
      </c>
      <c r="G17179" s="533">
        <v>0.06</v>
      </c>
      <c r="H17179" s="534">
        <v>744.97</v>
      </c>
      <c r="I17179" s="534">
        <v>35.25</v>
      </c>
      <c r="J17179" s="534">
        <v>709.03</v>
      </c>
      <c r="K17179" s="534">
        <v>0.69</v>
      </c>
      <c r="L17179" s="43">
        <v>5.4761099676565719</v>
      </c>
      <c r="M17179" s="43">
        <v>11.5</v>
      </c>
      <c r="N17179" s="43">
        <v>5.3346625536077044</v>
      </c>
      <c r="O17179" s="43">
        <v>11.5</v>
      </c>
      <c r="P17179" s="535"/>
      <c r="Q17179" s="535"/>
      <c r="R17179" s="535">
        <v>1</v>
      </c>
    </row>
    <row r="17180" spans="1:18" ht="36">
      <c r="A17180" s="531">
        <v>331</v>
      </c>
      <c r="B17180" s="528" t="s">
        <v>30851</v>
      </c>
      <c r="C17180" s="532" t="s">
        <v>30852</v>
      </c>
      <c r="D17180" s="533">
        <v>181</v>
      </c>
      <c r="E17180" s="533">
        <v>6.42</v>
      </c>
      <c r="F17180" s="533">
        <v>174.45</v>
      </c>
      <c r="G17180" s="533">
        <v>0.13</v>
      </c>
      <c r="H17180" s="534">
        <v>1005.91</v>
      </c>
      <c r="I17180" s="534">
        <v>73.81</v>
      </c>
      <c r="J17180" s="534">
        <v>930.6</v>
      </c>
      <c r="K17180" s="534">
        <v>1.5</v>
      </c>
      <c r="L17180" s="43">
        <v>5.5575138121546956</v>
      </c>
      <c r="M17180" s="43">
        <v>11.496884735202492</v>
      </c>
      <c r="N17180" s="43">
        <v>5.3344797936371462</v>
      </c>
      <c r="O17180" s="43">
        <v>11.503164556962025</v>
      </c>
      <c r="P17180" s="535"/>
      <c r="Q17180" s="535"/>
      <c r="R17180" s="535">
        <v>1</v>
      </c>
    </row>
    <row r="17181" spans="1:18" ht="36">
      <c r="A17181" s="531">
        <v>332</v>
      </c>
      <c r="B17181" s="528" t="s">
        <v>30853</v>
      </c>
      <c r="C17181" s="532" t="s">
        <v>30854</v>
      </c>
      <c r="D17181" s="533">
        <v>206.7</v>
      </c>
      <c r="E17181" s="533">
        <v>7.19</v>
      </c>
      <c r="F17181" s="533">
        <v>199.37</v>
      </c>
      <c r="G17181" s="533">
        <v>0.14000000000000001</v>
      </c>
      <c r="H17181" s="534">
        <v>1147.78</v>
      </c>
      <c r="I17181" s="534">
        <v>82.63</v>
      </c>
      <c r="J17181" s="534">
        <v>1063.54</v>
      </c>
      <c r="K17181" s="534">
        <v>1.61</v>
      </c>
      <c r="L17181" s="43">
        <v>5.5528785679729076</v>
      </c>
      <c r="M17181" s="43">
        <v>11.5</v>
      </c>
      <c r="N17181" s="43">
        <v>5.3345036866128304</v>
      </c>
      <c r="O17181" s="43">
        <v>11.5</v>
      </c>
      <c r="P17181" s="535"/>
      <c r="Q17181" s="535"/>
      <c r="R17181" s="535">
        <v>1</v>
      </c>
    </row>
    <row r="17182" spans="1:18" ht="36">
      <c r="A17182" s="531">
        <v>333</v>
      </c>
      <c r="B17182" s="528" t="s">
        <v>30855</v>
      </c>
      <c r="C17182" s="532" t="s">
        <v>30856</v>
      </c>
      <c r="D17182" s="533">
        <v>241.2</v>
      </c>
      <c r="E17182" s="533">
        <v>8.43</v>
      </c>
      <c r="F17182" s="533">
        <v>232.6</v>
      </c>
      <c r="G17182" s="533">
        <v>0.17</v>
      </c>
      <c r="H17182" s="534">
        <v>1339.71</v>
      </c>
      <c r="I17182" s="534">
        <v>96.95</v>
      </c>
      <c r="J17182" s="534">
        <v>1240.8</v>
      </c>
      <c r="K17182" s="534">
        <v>1.96</v>
      </c>
      <c r="L17182" s="43">
        <v>5.5543532338308461</v>
      </c>
      <c r="M17182" s="43">
        <v>11.500593119810203</v>
      </c>
      <c r="N17182" s="43">
        <v>5.3344797936371453</v>
      </c>
      <c r="O17182" s="43">
        <v>11.503164556962025</v>
      </c>
      <c r="P17182" s="535"/>
      <c r="Q17182" s="535"/>
      <c r="R17182" s="535">
        <v>1</v>
      </c>
    </row>
    <row r="17183" spans="1:18" ht="12.75" customHeight="1">
      <c r="A17183" s="628" t="s">
        <v>30857</v>
      </c>
      <c r="B17183" s="629"/>
      <c r="C17183" s="629"/>
      <c r="D17183" s="629"/>
      <c r="E17183" s="629"/>
      <c r="F17183" s="629"/>
      <c r="G17183" s="629"/>
      <c r="H17183" s="629"/>
      <c r="I17183" s="629"/>
      <c r="J17183" s="629"/>
      <c r="K17183" s="629"/>
      <c r="L17183" s="629"/>
      <c r="M17183" s="629"/>
      <c r="N17183" s="629"/>
      <c r="O17183" s="629"/>
      <c r="P17183" s="629"/>
      <c r="Q17183" s="629"/>
      <c r="R17183" s="629"/>
    </row>
    <row r="17184" spans="1:18" ht="24">
      <c r="A17184" s="531">
        <v>334</v>
      </c>
      <c r="B17184" s="528" t="s">
        <v>30858</v>
      </c>
      <c r="C17184" s="532" t="s">
        <v>30859</v>
      </c>
      <c r="D17184" s="533">
        <v>4.82</v>
      </c>
      <c r="E17184" s="533">
        <v>4.7300000000000004</v>
      </c>
      <c r="F17184" s="533"/>
      <c r="G17184" s="533">
        <v>0.09</v>
      </c>
      <c r="H17184" s="534">
        <v>55.47</v>
      </c>
      <c r="I17184" s="534">
        <v>54.43</v>
      </c>
      <c r="J17184" s="534"/>
      <c r="K17184" s="534">
        <v>1.04</v>
      </c>
      <c r="L17184" s="43">
        <v>11.5021951219512</v>
      </c>
      <c r="M17184" s="43">
        <v>11.5021951219512</v>
      </c>
      <c r="N17184" s="43" t="s">
        <v>1690</v>
      </c>
      <c r="O17184" s="43">
        <v>11.503164556962025</v>
      </c>
      <c r="P17184" s="535"/>
      <c r="Q17184" s="535"/>
      <c r="R17184" s="535">
        <v>2</v>
      </c>
    </row>
    <row r="17185" spans="1:18" ht="24">
      <c r="A17185" s="531">
        <v>335</v>
      </c>
      <c r="B17185" s="528" t="s">
        <v>30860</v>
      </c>
      <c r="C17185" s="532" t="s">
        <v>30861</v>
      </c>
      <c r="D17185" s="533">
        <v>8.48</v>
      </c>
      <c r="E17185" s="533">
        <v>8.31</v>
      </c>
      <c r="F17185" s="533"/>
      <c r="G17185" s="533">
        <v>0.17</v>
      </c>
      <c r="H17185" s="534">
        <v>97.5</v>
      </c>
      <c r="I17185" s="534">
        <v>95.54</v>
      </c>
      <c r="J17185" s="534"/>
      <c r="K17185" s="534">
        <v>1.96</v>
      </c>
      <c r="L17185" s="43">
        <v>11.497641509433961</v>
      </c>
      <c r="M17185" s="43">
        <v>11.49699157641396</v>
      </c>
      <c r="N17185" s="43" t="s">
        <v>1690</v>
      </c>
      <c r="O17185" s="43">
        <v>11.503164556962025</v>
      </c>
      <c r="P17185" s="535"/>
      <c r="Q17185" s="535"/>
      <c r="R17185" s="535">
        <v>2</v>
      </c>
    </row>
    <row r="17186" spans="1:18" ht="24">
      <c r="A17186" s="531">
        <v>336</v>
      </c>
      <c r="B17186" s="528" t="s">
        <v>30862</v>
      </c>
      <c r="C17186" s="532" t="s">
        <v>30863</v>
      </c>
      <c r="D17186" s="533">
        <v>12.81</v>
      </c>
      <c r="E17186" s="533">
        <v>12.56</v>
      </c>
      <c r="F17186" s="533"/>
      <c r="G17186" s="533">
        <v>0.25</v>
      </c>
      <c r="H17186" s="534">
        <v>147.30000000000001</v>
      </c>
      <c r="I17186" s="534">
        <v>144.41999999999999</v>
      </c>
      <c r="J17186" s="534"/>
      <c r="K17186" s="534">
        <v>2.88</v>
      </c>
      <c r="L17186" s="43">
        <v>11.498829039812646</v>
      </c>
      <c r="M17186" s="43">
        <v>11.498407643312101</v>
      </c>
      <c r="N17186" s="43" t="s">
        <v>1690</v>
      </c>
      <c r="O17186" s="43">
        <v>11.503164556962025</v>
      </c>
      <c r="P17186" s="535"/>
      <c r="Q17186" s="535"/>
      <c r="R17186" s="535">
        <v>2</v>
      </c>
    </row>
    <row r="17187" spans="1:18" ht="24">
      <c r="A17187" s="531">
        <v>337</v>
      </c>
      <c r="B17187" s="528" t="s">
        <v>30864</v>
      </c>
      <c r="C17187" s="532" t="s">
        <v>30865</v>
      </c>
      <c r="D17187" s="533">
        <v>103.89</v>
      </c>
      <c r="E17187" s="533">
        <v>24.25</v>
      </c>
      <c r="F17187" s="533">
        <v>79.16</v>
      </c>
      <c r="G17187" s="533">
        <v>0.48</v>
      </c>
      <c r="H17187" s="534">
        <v>768.89</v>
      </c>
      <c r="I17187" s="534">
        <v>278.83999999999997</v>
      </c>
      <c r="J17187" s="534">
        <v>484.53</v>
      </c>
      <c r="K17187" s="534">
        <v>5.52</v>
      </c>
      <c r="L17187" s="43">
        <v>7.4010010588122048</v>
      </c>
      <c r="M17187" s="43">
        <v>11.498556701030926</v>
      </c>
      <c r="N17187" s="43">
        <v>6.1208943911066198</v>
      </c>
      <c r="O17187" s="43">
        <v>11.503164556962025</v>
      </c>
      <c r="P17187" s="535"/>
      <c r="Q17187" s="535"/>
      <c r="R17187" s="535">
        <v>2</v>
      </c>
    </row>
    <row r="17188" spans="1:18" ht="24">
      <c r="A17188" s="531">
        <v>338</v>
      </c>
      <c r="B17188" s="528" t="s">
        <v>30866</v>
      </c>
      <c r="C17188" s="532" t="s">
        <v>30867</v>
      </c>
      <c r="D17188" s="533">
        <v>161.55000000000001</v>
      </c>
      <c r="E17188" s="533">
        <v>34.78</v>
      </c>
      <c r="F17188" s="533">
        <v>126.07</v>
      </c>
      <c r="G17188" s="533">
        <v>0.7</v>
      </c>
      <c r="H17188" s="534">
        <v>1174.77</v>
      </c>
      <c r="I17188" s="534">
        <v>399.92</v>
      </c>
      <c r="J17188" s="534">
        <v>766.8</v>
      </c>
      <c r="K17188" s="534">
        <v>8.0500000000000007</v>
      </c>
      <c r="L17188" s="43">
        <v>7.2718662952646236</v>
      </c>
      <c r="M17188" s="43">
        <v>11.498562392179414</v>
      </c>
      <c r="N17188" s="43">
        <v>6.0823352105972868</v>
      </c>
      <c r="O17188" s="43">
        <v>11.503164556962025</v>
      </c>
      <c r="P17188" s="535"/>
      <c r="Q17188" s="535"/>
      <c r="R17188" s="535">
        <v>2</v>
      </c>
    </row>
    <row r="17189" spans="1:18" ht="24">
      <c r="A17189" s="531">
        <v>339</v>
      </c>
      <c r="B17189" s="528" t="s">
        <v>30868</v>
      </c>
      <c r="C17189" s="532" t="s">
        <v>30869</v>
      </c>
      <c r="D17189" s="533">
        <v>195.25</v>
      </c>
      <c r="E17189" s="533">
        <v>43.18</v>
      </c>
      <c r="F17189" s="533">
        <v>151.21</v>
      </c>
      <c r="G17189" s="533">
        <v>0.86</v>
      </c>
      <c r="H17189" s="534">
        <v>1427.05</v>
      </c>
      <c r="I17189" s="534">
        <v>496.57</v>
      </c>
      <c r="J17189" s="534">
        <v>920.59</v>
      </c>
      <c r="K17189" s="534">
        <v>9.89</v>
      </c>
      <c r="L17189" s="43">
        <v>7.3088348271446861</v>
      </c>
      <c r="M17189" s="43">
        <v>11.5</v>
      </c>
      <c r="N17189" s="43">
        <v>6.0881555452681697</v>
      </c>
      <c r="O17189" s="43">
        <v>11.503164556962025</v>
      </c>
      <c r="P17189" s="535"/>
      <c r="Q17189" s="535"/>
      <c r="R17189" s="535">
        <v>2</v>
      </c>
    </row>
    <row r="17190" spans="1:18" ht="24">
      <c r="A17190" s="531">
        <v>340</v>
      </c>
      <c r="B17190" s="528" t="s">
        <v>30870</v>
      </c>
      <c r="C17190" s="532" t="s">
        <v>30871</v>
      </c>
      <c r="D17190" s="533">
        <v>230.3</v>
      </c>
      <c r="E17190" s="533">
        <v>50.52</v>
      </c>
      <c r="F17190" s="533">
        <v>178.77</v>
      </c>
      <c r="G17190" s="533">
        <v>1.01</v>
      </c>
      <c r="H17190" s="534">
        <v>1682.87</v>
      </c>
      <c r="I17190" s="534">
        <v>581</v>
      </c>
      <c r="J17190" s="534">
        <v>1090.25</v>
      </c>
      <c r="K17190" s="534">
        <v>11.62</v>
      </c>
      <c r="L17190" s="43">
        <v>7.3072948328267469</v>
      </c>
      <c r="M17190" s="43">
        <v>11.500395882818685</v>
      </c>
      <c r="N17190" s="43">
        <v>6.0986183364099116</v>
      </c>
      <c r="O17190" s="43">
        <v>11.503164556962025</v>
      </c>
      <c r="P17190" s="535"/>
      <c r="Q17190" s="535"/>
      <c r="R17190" s="535">
        <v>2</v>
      </c>
    </row>
    <row r="17191" spans="1:18" ht="24">
      <c r="A17191" s="531">
        <v>341</v>
      </c>
      <c r="B17191" s="528" t="s">
        <v>30872</v>
      </c>
      <c r="C17191" s="532" t="s">
        <v>30873</v>
      </c>
      <c r="D17191" s="533">
        <v>2.86</v>
      </c>
      <c r="E17191" s="533">
        <v>2.8</v>
      </c>
      <c r="F17191" s="533"/>
      <c r="G17191" s="533">
        <v>0.06</v>
      </c>
      <c r="H17191" s="534">
        <v>32.909999999999997</v>
      </c>
      <c r="I17191" s="534">
        <v>32.22</v>
      </c>
      <c r="J17191" s="534"/>
      <c r="K17191" s="534">
        <v>0.69</v>
      </c>
      <c r="L17191" s="43">
        <v>11.5021951219512</v>
      </c>
      <c r="M17191" s="43">
        <v>11.5021951219512</v>
      </c>
      <c r="N17191" s="43" t="s">
        <v>1690</v>
      </c>
      <c r="O17191" s="43">
        <v>11.503164556962025</v>
      </c>
      <c r="P17191" s="535"/>
      <c r="Q17191" s="535"/>
      <c r="R17191" s="535">
        <v>2</v>
      </c>
    </row>
    <row r="17192" spans="1:18" ht="24">
      <c r="A17192" s="531">
        <v>342</v>
      </c>
      <c r="B17192" s="528" t="s">
        <v>30874</v>
      </c>
      <c r="C17192" s="532" t="s">
        <v>30875</v>
      </c>
      <c r="D17192" s="533">
        <v>5.12</v>
      </c>
      <c r="E17192" s="533">
        <v>5.0199999999999996</v>
      </c>
      <c r="F17192" s="533"/>
      <c r="G17192" s="533">
        <v>0.1</v>
      </c>
      <c r="H17192" s="534">
        <v>58.92</v>
      </c>
      <c r="I17192" s="534">
        <v>57.77</v>
      </c>
      <c r="J17192" s="534"/>
      <c r="K17192" s="534">
        <v>1.1499999999999999</v>
      </c>
      <c r="L17192" s="43">
        <v>11.5021951219512</v>
      </c>
      <c r="M17192" s="43">
        <v>11.5021951219512</v>
      </c>
      <c r="N17192" s="43" t="s">
        <v>1690</v>
      </c>
      <c r="O17192" s="43">
        <v>11.503164556962025</v>
      </c>
      <c r="P17192" s="535"/>
      <c r="Q17192" s="535"/>
      <c r="R17192" s="535">
        <v>2</v>
      </c>
    </row>
    <row r="17193" spans="1:18" ht="24">
      <c r="A17193" s="531">
        <v>343</v>
      </c>
      <c r="B17193" s="528" t="s">
        <v>30876</v>
      </c>
      <c r="C17193" s="532" t="s">
        <v>30877</v>
      </c>
      <c r="D17193" s="533">
        <v>7.78</v>
      </c>
      <c r="E17193" s="533">
        <v>7.63</v>
      </c>
      <c r="F17193" s="533"/>
      <c r="G17193" s="533">
        <v>0.15</v>
      </c>
      <c r="H17193" s="534">
        <v>89.49</v>
      </c>
      <c r="I17193" s="534">
        <v>87.76</v>
      </c>
      <c r="J17193" s="534"/>
      <c r="K17193" s="534">
        <v>1.73</v>
      </c>
      <c r="L17193" s="43">
        <v>11.502570694087403</v>
      </c>
      <c r="M17193" s="43">
        <v>11.501965923984274</v>
      </c>
      <c r="N17193" s="43" t="s">
        <v>1690</v>
      </c>
      <c r="O17193" s="43">
        <v>11.503164556962025</v>
      </c>
      <c r="P17193" s="535"/>
      <c r="Q17193" s="535"/>
      <c r="R17193" s="535">
        <v>2</v>
      </c>
    </row>
    <row r="17194" spans="1:18" ht="24">
      <c r="A17194" s="531">
        <v>344</v>
      </c>
      <c r="B17194" s="528" t="s">
        <v>30878</v>
      </c>
      <c r="C17194" s="532" t="s">
        <v>30879</v>
      </c>
      <c r="D17194" s="533">
        <v>65.430000000000007</v>
      </c>
      <c r="E17194" s="533">
        <v>14.78</v>
      </c>
      <c r="F17194" s="533">
        <v>50.35</v>
      </c>
      <c r="G17194" s="533">
        <v>0.3</v>
      </c>
      <c r="H17194" s="534">
        <v>480.58</v>
      </c>
      <c r="I17194" s="534">
        <v>169.97</v>
      </c>
      <c r="J17194" s="534">
        <v>307.16000000000003</v>
      </c>
      <c r="K17194" s="534">
        <v>3.45</v>
      </c>
      <c r="L17194" s="43">
        <v>7.3449488002445351</v>
      </c>
      <c r="M17194" s="43">
        <v>11.5</v>
      </c>
      <c r="N17194" s="43">
        <v>6.1004965243296922</v>
      </c>
      <c r="O17194" s="43">
        <v>11.503164556962025</v>
      </c>
      <c r="P17194" s="535"/>
      <c r="Q17194" s="535"/>
      <c r="R17194" s="535">
        <v>2</v>
      </c>
    </row>
    <row r="17195" spans="1:18" ht="24">
      <c r="A17195" s="531">
        <v>345</v>
      </c>
      <c r="B17195" s="528" t="s">
        <v>30880</v>
      </c>
      <c r="C17195" s="532" t="s">
        <v>30881</v>
      </c>
      <c r="D17195" s="533">
        <v>111.05</v>
      </c>
      <c r="E17195" s="533">
        <v>22.12</v>
      </c>
      <c r="F17195" s="533">
        <v>88.49</v>
      </c>
      <c r="G17195" s="533">
        <v>0.44</v>
      </c>
      <c r="H17195" s="534">
        <v>794.92</v>
      </c>
      <c r="I17195" s="534">
        <v>254.4</v>
      </c>
      <c r="J17195" s="534">
        <v>535.46</v>
      </c>
      <c r="K17195" s="534">
        <v>5.0599999999999996</v>
      </c>
      <c r="L17195" s="43">
        <v>7.1582170193606478</v>
      </c>
      <c r="M17195" s="43">
        <v>11.500904159132007</v>
      </c>
      <c r="N17195" s="43">
        <v>6.0510792179907344</v>
      </c>
      <c r="O17195" s="43">
        <v>11.503164556962025</v>
      </c>
      <c r="P17195" s="535"/>
      <c r="Q17195" s="535"/>
      <c r="R17195" s="535">
        <v>2</v>
      </c>
    </row>
    <row r="17196" spans="1:18" ht="24">
      <c r="A17196" s="531">
        <v>346</v>
      </c>
      <c r="B17196" s="528" t="s">
        <v>30882</v>
      </c>
      <c r="C17196" s="532" t="s">
        <v>30883</v>
      </c>
      <c r="D17196" s="533">
        <v>132.74</v>
      </c>
      <c r="E17196" s="533">
        <v>27.34</v>
      </c>
      <c r="F17196" s="533">
        <v>104.85</v>
      </c>
      <c r="G17196" s="533">
        <v>0.55000000000000004</v>
      </c>
      <c r="H17196" s="534">
        <v>955.98</v>
      </c>
      <c r="I17196" s="534">
        <v>314.38</v>
      </c>
      <c r="J17196" s="534">
        <v>635.27</v>
      </c>
      <c r="K17196" s="534">
        <v>6.33</v>
      </c>
      <c r="L17196" s="43">
        <v>7.2018984480940178</v>
      </c>
      <c r="M17196" s="43">
        <v>11.498902706656914</v>
      </c>
      <c r="N17196" s="43">
        <v>6.0588459704339535</v>
      </c>
      <c r="O17196" s="43">
        <v>11.503164556962025</v>
      </c>
      <c r="P17196" s="535"/>
      <c r="Q17196" s="535"/>
      <c r="R17196" s="535">
        <v>2</v>
      </c>
    </row>
    <row r="17197" spans="1:18" ht="24">
      <c r="A17197" s="531">
        <v>347</v>
      </c>
      <c r="B17197" s="528" t="s">
        <v>30884</v>
      </c>
      <c r="C17197" s="532" t="s">
        <v>30885</v>
      </c>
      <c r="D17197" s="533">
        <v>152.11000000000001</v>
      </c>
      <c r="E17197" s="533">
        <v>31.59</v>
      </c>
      <c r="F17197" s="533">
        <v>119.89</v>
      </c>
      <c r="G17197" s="533">
        <v>0.63</v>
      </c>
      <c r="H17197" s="534">
        <v>1098.31</v>
      </c>
      <c r="I17197" s="534">
        <v>363.26</v>
      </c>
      <c r="J17197" s="534">
        <v>727.8</v>
      </c>
      <c r="K17197" s="534">
        <v>7.25</v>
      </c>
      <c r="L17197" s="43">
        <v>7.2204983235816176</v>
      </c>
      <c r="M17197" s="43">
        <v>11.499208610319721</v>
      </c>
      <c r="N17197" s="43">
        <v>6.0705646842939354</v>
      </c>
      <c r="O17197" s="43">
        <v>11.503164556962025</v>
      </c>
      <c r="P17197" s="535"/>
      <c r="Q17197" s="535"/>
      <c r="R17197" s="535">
        <v>2</v>
      </c>
    </row>
    <row r="17198" spans="1:18" ht="24">
      <c r="A17198" s="531">
        <v>348</v>
      </c>
      <c r="B17198" s="528" t="s">
        <v>30886</v>
      </c>
      <c r="C17198" s="532" t="s">
        <v>30887</v>
      </c>
      <c r="D17198" s="533">
        <v>50.9</v>
      </c>
      <c r="E17198" s="533">
        <v>9.3699999999999992</v>
      </c>
      <c r="F17198" s="533">
        <v>41.34</v>
      </c>
      <c r="G17198" s="533">
        <v>0.19</v>
      </c>
      <c r="H17198" s="534">
        <v>364.43</v>
      </c>
      <c r="I17198" s="534">
        <v>107.76</v>
      </c>
      <c r="J17198" s="534">
        <v>254.48</v>
      </c>
      <c r="K17198" s="534">
        <v>2.19</v>
      </c>
      <c r="L17198" s="43">
        <v>7.1597249508840868</v>
      </c>
      <c r="M17198" s="43">
        <v>11.500533617929564</v>
      </c>
      <c r="N17198" s="43">
        <v>6.1557813255926455</v>
      </c>
      <c r="O17198" s="43">
        <v>11.503164556962025</v>
      </c>
      <c r="P17198" s="535"/>
      <c r="Q17198" s="535"/>
      <c r="R17198" s="535">
        <v>2</v>
      </c>
    </row>
    <row r="17199" spans="1:18" ht="24">
      <c r="A17199" s="531">
        <v>349</v>
      </c>
      <c r="B17199" s="528" t="s">
        <v>30888</v>
      </c>
      <c r="C17199" s="532" t="s">
        <v>30889</v>
      </c>
      <c r="D17199" s="533">
        <v>86.05</v>
      </c>
      <c r="E17199" s="533">
        <v>16.809999999999999</v>
      </c>
      <c r="F17199" s="533">
        <v>68.900000000000006</v>
      </c>
      <c r="G17199" s="533">
        <v>0.34</v>
      </c>
      <c r="H17199" s="534">
        <v>621.35</v>
      </c>
      <c r="I17199" s="534">
        <v>193.3</v>
      </c>
      <c r="J17199" s="534">
        <v>424.14</v>
      </c>
      <c r="K17199" s="534">
        <v>3.91</v>
      </c>
      <c r="L17199" s="43">
        <v>7.2208018593840793</v>
      </c>
      <c r="M17199" s="43">
        <v>11.499107674003572</v>
      </c>
      <c r="N17199" s="43">
        <v>6.1558780841799701</v>
      </c>
      <c r="O17199" s="43">
        <v>11.503164556962025</v>
      </c>
      <c r="P17199" s="535"/>
      <c r="Q17199" s="535"/>
      <c r="R17199" s="535">
        <v>2</v>
      </c>
    </row>
    <row r="17200" spans="1:18" ht="24">
      <c r="A17200" s="531">
        <v>350</v>
      </c>
      <c r="B17200" s="528" t="s">
        <v>30890</v>
      </c>
      <c r="C17200" s="532" t="s">
        <v>30891</v>
      </c>
      <c r="D17200" s="533">
        <v>104.75</v>
      </c>
      <c r="E17200" s="533">
        <v>25.31</v>
      </c>
      <c r="F17200" s="533">
        <v>78.930000000000007</v>
      </c>
      <c r="G17200" s="533">
        <v>0.51</v>
      </c>
      <c r="H17200" s="534">
        <v>782.76</v>
      </c>
      <c r="I17200" s="534">
        <v>291.06</v>
      </c>
      <c r="J17200" s="534">
        <v>485.83</v>
      </c>
      <c r="K17200" s="534">
        <v>5.87</v>
      </c>
      <c r="L17200" s="43">
        <v>7.4726491646778044</v>
      </c>
      <c r="M17200" s="43">
        <v>11.499802449624655</v>
      </c>
      <c r="N17200" s="43">
        <v>6.1552008108450522</v>
      </c>
      <c r="O17200" s="43">
        <v>11.503164556962025</v>
      </c>
      <c r="P17200" s="535"/>
      <c r="Q17200" s="535"/>
      <c r="R17200" s="535">
        <v>2</v>
      </c>
    </row>
    <row r="17201" spans="1:18" ht="24">
      <c r="A17201" s="531">
        <v>351</v>
      </c>
      <c r="B17201" s="528" t="s">
        <v>30892</v>
      </c>
      <c r="C17201" s="532" t="s">
        <v>30893</v>
      </c>
      <c r="D17201" s="533">
        <v>158.9</v>
      </c>
      <c r="E17201" s="533">
        <v>37.869999999999997</v>
      </c>
      <c r="F17201" s="533">
        <v>120.27</v>
      </c>
      <c r="G17201" s="533">
        <v>0.76</v>
      </c>
      <c r="H17201" s="534">
        <v>1184.52</v>
      </c>
      <c r="I17201" s="534">
        <v>435.47</v>
      </c>
      <c r="J17201" s="534">
        <v>740.31</v>
      </c>
      <c r="K17201" s="534">
        <v>8.74</v>
      </c>
      <c r="L17201" s="43">
        <v>7.4544996853366889</v>
      </c>
      <c r="M17201" s="43">
        <v>11.499075785582257</v>
      </c>
      <c r="N17201" s="43">
        <v>6.1554003492142675</v>
      </c>
      <c r="O17201" s="43">
        <v>11.503164556962025</v>
      </c>
      <c r="P17201" s="535"/>
      <c r="Q17201" s="535"/>
      <c r="R17201" s="535">
        <v>2</v>
      </c>
    </row>
    <row r="17202" spans="1:18" ht="24">
      <c r="A17202" s="531">
        <v>352</v>
      </c>
      <c r="B17202" s="528" t="s">
        <v>30894</v>
      </c>
      <c r="C17202" s="532" t="s">
        <v>30895</v>
      </c>
      <c r="D17202" s="533">
        <v>230.3</v>
      </c>
      <c r="E17202" s="533">
        <v>50.52</v>
      </c>
      <c r="F17202" s="533">
        <v>178.77</v>
      </c>
      <c r="G17202" s="533">
        <v>1.01</v>
      </c>
      <c r="H17202" s="534">
        <v>1682.87</v>
      </c>
      <c r="I17202" s="534">
        <v>581</v>
      </c>
      <c r="J17202" s="534">
        <v>1090.25</v>
      </c>
      <c r="K17202" s="534">
        <v>11.62</v>
      </c>
      <c r="L17202" s="43">
        <v>7.3072948328267469</v>
      </c>
      <c r="M17202" s="43">
        <v>11.500395882818685</v>
      </c>
      <c r="N17202" s="43">
        <v>6.0986183364099116</v>
      </c>
      <c r="O17202" s="43">
        <v>11.503164556962025</v>
      </c>
      <c r="P17202" s="535"/>
      <c r="Q17202" s="535"/>
      <c r="R17202" s="535">
        <v>2</v>
      </c>
    </row>
    <row r="17203" spans="1:18" ht="24">
      <c r="A17203" s="531">
        <v>353</v>
      </c>
      <c r="B17203" s="528" t="s">
        <v>30896</v>
      </c>
      <c r="C17203" s="532" t="s">
        <v>30897</v>
      </c>
      <c r="D17203" s="533">
        <v>267.52</v>
      </c>
      <c r="E17203" s="533">
        <v>59.99</v>
      </c>
      <c r="F17203" s="533">
        <v>206.33</v>
      </c>
      <c r="G17203" s="533">
        <v>1.2</v>
      </c>
      <c r="H17203" s="534">
        <v>1963.57</v>
      </c>
      <c r="I17203" s="534">
        <v>689.87</v>
      </c>
      <c r="J17203" s="534">
        <v>1259.9000000000001</v>
      </c>
      <c r="K17203" s="534">
        <v>13.8</v>
      </c>
      <c r="L17203" s="43">
        <v>7.3398998205741632</v>
      </c>
      <c r="M17203" s="43">
        <v>11.499749958326387</v>
      </c>
      <c r="N17203" s="43">
        <v>6.106237580574807</v>
      </c>
      <c r="O17203" s="43">
        <v>11.503164556962025</v>
      </c>
      <c r="P17203" s="535"/>
      <c r="Q17203" s="535"/>
      <c r="R17203" s="535">
        <v>2</v>
      </c>
    </row>
    <row r="17204" spans="1:18" ht="24">
      <c r="A17204" s="531">
        <v>354</v>
      </c>
      <c r="B17204" s="528" t="s">
        <v>30898</v>
      </c>
      <c r="C17204" s="532" t="s">
        <v>30899</v>
      </c>
      <c r="D17204" s="533">
        <v>303.49</v>
      </c>
      <c r="E17204" s="533">
        <v>69.459999999999994</v>
      </c>
      <c r="F17204" s="533">
        <v>232.64</v>
      </c>
      <c r="G17204" s="533">
        <v>1.39</v>
      </c>
      <c r="H17204" s="534">
        <v>2236.58</v>
      </c>
      <c r="I17204" s="534">
        <v>798.74</v>
      </c>
      <c r="J17204" s="534">
        <v>1421.85</v>
      </c>
      <c r="K17204" s="534">
        <v>15.99</v>
      </c>
      <c r="L17204" s="43">
        <v>7.3695344162904872</v>
      </c>
      <c r="M17204" s="43">
        <v>11.499280161243883</v>
      </c>
      <c r="N17204" s="43">
        <v>6.1118036451169191</v>
      </c>
      <c r="O17204" s="43">
        <v>11.503164556962025</v>
      </c>
      <c r="P17204" s="535"/>
      <c r="Q17204" s="535"/>
      <c r="R17204" s="535">
        <v>2</v>
      </c>
    </row>
    <row r="17205" spans="1:18" ht="24">
      <c r="A17205" s="531">
        <v>355</v>
      </c>
      <c r="B17205" s="528" t="s">
        <v>30900</v>
      </c>
      <c r="C17205" s="532" t="s">
        <v>30901</v>
      </c>
      <c r="D17205" s="533">
        <v>30.87</v>
      </c>
      <c r="E17205" s="533">
        <v>5.7</v>
      </c>
      <c r="F17205" s="533">
        <v>25.06</v>
      </c>
      <c r="G17205" s="533">
        <v>0.11</v>
      </c>
      <c r="H17205" s="534">
        <v>221.04</v>
      </c>
      <c r="I17205" s="534">
        <v>65.540000000000006</v>
      </c>
      <c r="J17205" s="534">
        <v>154.22999999999999</v>
      </c>
      <c r="K17205" s="534">
        <v>1.27</v>
      </c>
      <c r="L17205" s="43">
        <v>7.1603498542274044</v>
      </c>
      <c r="M17205" s="43">
        <v>11.498245614035088</v>
      </c>
      <c r="N17205" s="43">
        <v>6.154429369513168</v>
      </c>
      <c r="O17205" s="43">
        <v>11.503164556962025</v>
      </c>
      <c r="P17205" s="535"/>
      <c r="Q17205" s="535"/>
      <c r="R17205" s="535">
        <v>2</v>
      </c>
    </row>
    <row r="17206" spans="1:18" ht="24">
      <c r="A17206" s="531">
        <v>356</v>
      </c>
      <c r="B17206" s="528" t="s">
        <v>30902</v>
      </c>
      <c r="C17206" s="532" t="s">
        <v>30903</v>
      </c>
      <c r="D17206" s="533">
        <v>51.59</v>
      </c>
      <c r="E17206" s="533">
        <v>10.050000000000001</v>
      </c>
      <c r="F17206" s="533">
        <v>41.34</v>
      </c>
      <c r="G17206" s="533">
        <v>0.2</v>
      </c>
      <c r="H17206" s="534">
        <v>372.31</v>
      </c>
      <c r="I17206" s="534">
        <v>115.53</v>
      </c>
      <c r="J17206" s="534">
        <v>254.48</v>
      </c>
      <c r="K17206" s="534">
        <v>2.2999999999999998</v>
      </c>
      <c r="L17206" s="43">
        <v>7.2167086644698584</v>
      </c>
      <c r="M17206" s="43">
        <v>11.495522388059701</v>
      </c>
      <c r="N17206" s="43">
        <v>6.1557813255926455</v>
      </c>
      <c r="O17206" s="43">
        <v>11.503164556962025</v>
      </c>
      <c r="P17206" s="535"/>
      <c r="Q17206" s="535"/>
      <c r="R17206" s="535">
        <v>2</v>
      </c>
    </row>
    <row r="17207" spans="1:18" ht="24">
      <c r="A17207" s="531">
        <v>357</v>
      </c>
      <c r="B17207" s="528" t="s">
        <v>30904</v>
      </c>
      <c r="C17207" s="532" t="s">
        <v>30905</v>
      </c>
      <c r="D17207" s="533">
        <v>62.69</v>
      </c>
      <c r="E17207" s="533">
        <v>14.78</v>
      </c>
      <c r="F17207" s="533">
        <v>47.61</v>
      </c>
      <c r="G17207" s="533">
        <v>0.3</v>
      </c>
      <c r="H17207" s="534">
        <v>466.46</v>
      </c>
      <c r="I17207" s="534">
        <v>169.97</v>
      </c>
      <c r="J17207" s="534">
        <v>293.04000000000002</v>
      </c>
      <c r="K17207" s="534">
        <v>3.45</v>
      </c>
      <c r="L17207" s="43">
        <v>7.4407401499441699</v>
      </c>
      <c r="M17207" s="43">
        <v>11.5</v>
      </c>
      <c r="N17207" s="43">
        <v>6.1550094517958414</v>
      </c>
      <c r="O17207" s="43">
        <v>11.503164556962025</v>
      </c>
      <c r="P17207" s="535"/>
      <c r="Q17207" s="535"/>
      <c r="R17207" s="535">
        <v>2</v>
      </c>
    </row>
    <row r="17208" spans="1:18" ht="24">
      <c r="A17208" s="531">
        <v>358</v>
      </c>
      <c r="B17208" s="528" t="s">
        <v>30906</v>
      </c>
      <c r="C17208" s="532" t="s">
        <v>30907</v>
      </c>
      <c r="D17208" s="533">
        <v>97.56</v>
      </c>
      <c r="E17208" s="533">
        <v>23.18</v>
      </c>
      <c r="F17208" s="533">
        <v>73.92</v>
      </c>
      <c r="G17208" s="533">
        <v>0.46</v>
      </c>
      <c r="H17208" s="534">
        <v>726.89</v>
      </c>
      <c r="I17208" s="534">
        <v>266.62</v>
      </c>
      <c r="J17208" s="534">
        <v>454.98</v>
      </c>
      <c r="K17208" s="534">
        <v>5.29</v>
      </c>
      <c r="L17208" s="43">
        <v>7.4506970069700698</v>
      </c>
      <c r="M17208" s="43">
        <v>11.502157031924073</v>
      </c>
      <c r="N17208" s="43">
        <v>6.1550324675324672</v>
      </c>
      <c r="O17208" s="43">
        <v>11.503164556962025</v>
      </c>
      <c r="P17208" s="535"/>
      <c r="Q17208" s="535"/>
      <c r="R17208" s="535">
        <v>2</v>
      </c>
    </row>
    <row r="17209" spans="1:18" ht="24">
      <c r="A17209" s="531">
        <v>359</v>
      </c>
      <c r="B17209" s="528" t="s">
        <v>30908</v>
      </c>
      <c r="C17209" s="532" t="s">
        <v>30909</v>
      </c>
      <c r="D17209" s="533">
        <v>146.02000000000001</v>
      </c>
      <c r="E17209" s="533">
        <v>30.53</v>
      </c>
      <c r="F17209" s="533">
        <v>114.88</v>
      </c>
      <c r="G17209" s="533">
        <v>0.61</v>
      </c>
      <c r="H17209" s="534">
        <v>1055.02</v>
      </c>
      <c r="I17209" s="534">
        <v>351.04</v>
      </c>
      <c r="J17209" s="534">
        <v>696.96</v>
      </c>
      <c r="K17209" s="534">
        <v>7.02</v>
      </c>
      <c r="L17209" s="43">
        <v>7.2251746336118332</v>
      </c>
      <c r="M17209" s="43">
        <v>11.498198493285294</v>
      </c>
      <c r="N17209" s="43">
        <v>6.0668523676880231</v>
      </c>
      <c r="O17209" s="43">
        <v>11.503164556962025</v>
      </c>
      <c r="P17209" s="535"/>
      <c r="Q17209" s="535"/>
      <c r="R17209" s="535">
        <v>2</v>
      </c>
    </row>
    <row r="17210" spans="1:18" ht="24">
      <c r="A17210" s="531">
        <v>360</v>
      </c>
      <c r="B17210" s="528" t="s">
        <v>30910</v>
      </c>
      <c r="C17210" s="532" t="s">
        <v>30911</v>
      </c>
      <c r="D17210" s="533">
        <v>172.56</v>
      </c>
      <c r="E17210" s="533">
        <v>36.9</v>
      </c>
      <c r="F17210" s="533">
        <v>134.91999999999999</v>
      </c>
      <c r="G17210" s="533">
        <v>0.74</v>
      </c>
      <c r="H17210" s="534">
        <v>1253.21</v>
      </c>
      <c r="I17210" s="534">
        <v>424.36</v>
      </c>
      <c r="J17210" s="534">
        <v>820.34</v>
      </c>
      <c r="K17210" s="534">
        <v>8.51</v>
      </c>
      <c r="L17210" s="43">
        <v>7.2624594343996289</v>
      </c>
      <c r="M17210" s="43">
        <v>11.500271002710027</v>
      </c>
      <c r="N17210" s="43">
        <v>6.0801956715090428</v>
      </c>
      <c r="O17210" s="43">
        <v>11.503164556962025</v>
      </c>
      <c r="P17210" s="535"/>
      <c r="Q17210" s="535"/>
      <c r="R17210" s="535">
        <v>2</v>
      </c>
    </row>
    <row r="17211" spans="1:18" ht="24">
      <c r="A17211" s="531">
        <v>361</v>
      </c>
      <c r="B17211" s="528" t="s">
        <v>30912</v>
      </c>
      <c r="C17211" s="532" t="s">
        <v>30913</v>
      </c>
      <c r="D17211" s="533">
        <v>195.25</v>
      </c>
      <c r="E17211" s="533">
        <v>43.18</v>
      </c>
      <c r="F17211" s="533">
        <v>151.21</v>
      </c>
      <c r="G17211" s="533">
        <v>0.86</v>
      </c>
      <c r="H17211" s="534">
        <v>1427.05</v>
      </c>
      <c r="I17211" s="534">
        <v>496.57</v>
      </c>
      <c r="J17211" s="534">
        <v>920.59</v>
      </c>
      <c r="K17211" s="534">
        <v>9.89</v>
      </c>
      <c r="L17211" s="43">
        <v>7.3088348271446861</v>
      </c>
      <c r="M17211" s="43">
        <v>11.5</v>
      </c>
      <c r="N17211" s="43">
        <v>6.0881555452681697</v>
      </c>
      <c r="O17211" s="43">
        <v>11.503164556962025</v>
      </c>
      <c r="P17211" s="535"/>
      <c r="Q17211" s="535"/>
      <c r="R17211" s="535">
        <v>2</v>
      </c>
    </row>
    <row r="17212" spans="1:18" ht="36">
      <c r="A17212" s="531">
        <v>362</v>
      </c>
      <c r="B17212" s="528" t="s">
        <v>30914</v>
      </c>
      <c r="C17212" s="532" t="s">
        <v>30915</v>
      </c>
      <c r="D17212" s="533">
        <v>15.28</v>
      </c>
      <c r="E17212" s="533">
        <v>2.7</v>
      </c>
      <c r="F17212" s="533">
        <v>12.53</v>
      </c>
      <c r="G17212" s="533">
        <v>0.05</v>
      </c>
      <c r="H17212" s="534">
        <v>108.81</v>
      </c>
      <c r="I17212" s="534">
        <v>31.11</v>
      </c>
      <c r="J17212" s="534">
        <v>77.12</v>
      </c>
      <c r="K17212" s="534">
        <v>0.57999999999999996</v>
      </c>
      <c r="L17212" s="43">
        <v>7.1210732984293195</v>
      </c>
      <c r="M17212" s="43">
        <v>11.5</v>
      </c>
      <c r="N17212" s="43">
        <v>6.1548284118116525</v>
      </c>
      <c r="O17212" s="43">
        <v>11.503164556962025</v>
      </c>
      <c r="P17212" s="535"/>
      <c r="Q17212" s="535"/>
      <c r="R17212" s="535">
        <v>2</v>
      </c>
    </row>
    <row r="17213" spans="1:18" ht="36">
      <c r="A17213" s="531">
        <v>363</v>
      </c>
      <c r="B17213" s="528" t="s">
        <v>30916</v>
      </c>
      <c r="C17213" s="532" t="s">
        <v>30917</v>
      </c>
      <c r="D17213" s="533">
        <v>29.32</v>
      </c>
      <c r="E17213" s="533">
        <v>5.41</v>
      </c>
      <c r="F17213" s="533">
        <v>23.8</v>
      </c>
      <c r="G17213" s="533">
        <v>0.11</v>
      </c>
      <c r="H17213" s="534">
        <v>210</v>
      </c>
      <c r="I17213" s="534">
        <v>62.21</v>
      </c>
      <c r="J17213" s="534">
        <v>146.52000000000001</v>
      </c>
      <c r="K17213" s="534">
        <v>1.27</v>
      </c>
      <c r="L17213" s="43">
        <v>7.1623465211459756</v>
      </c>
      <c r="M17213" s="43">
        <v>11.499075785582255</v>
      </c>
      <c r="N17213" s="43">
        <v>6.1563025210084037</v>
      </c>
      <c r="O17213" s="43">
        <v>11.503164556962025</v>
      </c>
      <c r="P17213" s="535"/>
      <c r="Q17213" s="535"/>
      <c r="R17213" s="535">
        <v>2</v>
      </c>
    </row>
    <row r="17214" spans="1:18" ht="36">
      <c r="A17214" s="531">
        <v>364</v>
      </c>
      <c r="B17214" s="528" t="s">
        <v>30918</v>
      </c>
      <c r="C17214" s="532" t="s">
        <v>30919</v>
      </c>
      <c r="D17214" s="533">
        <v>31.09</v>
      </c>
      <c r="E17214" s="533">
        <v>7.15</v>
      </c>
      <c r="F17214" s="533">
        <v>23.8</v>
      </c>
      <c r="G17214" s="533">
        <v>0.14000000000000001</v>
      </c>
      <c r="H17214" s="534">
        <v>230.34</v>
      </c>
      <c r="I17214" s="534">
        <v>82.21</v>
      </c>
      <c r="J17214" s="534">
        <v>146.52000000000001</v>
      </c>
      <c r="K17214" s="534">
        <v>1.61</v>
      </c>
      <c r="L17214" s="43">
        <v>7.408813123190737</v>
      </c>
      <c r="M17214" s="43">
        <v>11.497902097902097</v>
      </c>
      <c r="N17214" s="43">
        <v>6.1563025210084037</v>
      </c>
      <c r="O17214" s="43">
        <v>11.503164556962025</v>
      </c>
      <c r="P17214" s="535"/>
      <c r="Q17214" s="535"/>
      <c r="R17214" s="535">
        <v>2</v>
      </c>
    </row>
    <row r="17215" spans="1:18" ht="36">
      <c r="A17215" s="531">
        <v>365</v>
      </c>
      <c r="B17215" s="528" t="s">
        <v>30920</v>
      </c>
      <c r="C17215" s="532" t="s">
        <v>30921</v>
      </c>
      <c r="D17215" s="533">
        <v>37.58</v>
      </c>
      <c r="E17215" s="533">
        <v>8.6</v>
      </c>
      <c r="F17215" s="533">
        <v>28.81</v>
      </c>
      <c r="G17215" s="533">
        <v>0.17</v>
      </c>
      <c r="H17215" s="534">
        <v>278.2</v>
      </c>
      <c r="I17215" s="534">
        <v>98.87</v>
      </c>
      <c r="J17215" s="534">
        <v>177.37</v>
      </c>
      <c r="K17215" s="534">
        <v>1.96</v>
      </c>
      <c r="L17215" s="43">
        <v>7.4028738690792979</v>
      </c>
      <c r="M17215" s="43">
        <v>11.496511627906978</v>
      </c>
      <c r="N17215" s="43">
        <v>6.1565428670600486</v>
      </c>
      <c r="O17215" s="43">
        <v>11.503164556962025</v>
      </c>
      <c r="P17215" s="535"/>
      <c r="Q17215" s="535"/>
      <c r="R17215" s="535">
        <v>2</v>
      </c>
    </row>
    <row r="17216" spans="1:18" ht="36">
      <c r="A17216" s="531">
        <v>366</v>
      </c>
      <c r="B17216" s="528" t="s">
        <v>30922</v>
      </c>
      <c r="C17216" s="532" t="s">
        <v>30923</v>
      </c>
      <c r="D17216" s="533">
        <v>41.17</v>
      </c>
      <c r="E17216" s="533">
        <v>9.66</v>
      </c>
      <c r="F17216" s="533">
        <v>31.32</v>
      </c>
      <c r="G17216" s="533">
        <v>0.19</v>
      </c>
      <c r="H17216" s="534">
        <v>306.07</v>
      </c>
      <c r="I17216" s="534">
        <v>111.09</v>
      </c>
      <c r="J17216" s="534">
        <v>192.79</v>
      </c>
      <c r="K17216" s="534">
        <v>2.19</v>
      </c>
      <c r="L17216" s="43">
        <v>7.4342968180714104</v>
      </c>
      <c r="M17216" s="43">
        <v>11.5</v>
      </c>
      <c r="N17216" s="43">
        <v>6.1554916985951467</v>
      </c>
      <c r="O17216" s="43">
        <v>11.503164556962025</v>
      </c>
      <c r="P17216" s="535"/>
      <c r="Q17216" s="535"/>
      <c r="R17216" s="535">
        <v>2</v>
      </c>
    </row>
    <row r="17217" spans="1:18" ht="36">
      <c r="A17217" s="531">
        <v>367</v>
      </c>
      <c r="B17217" s="528" t="s">
        <v>30924</v>
      </c>
      <c r="C17217" s="532" t="s">
        <v>30925</v>
      </c>
      <c r="D17217" s="533">
        <v>45.82</v>
      </c>
      <c r="E17217" s="533">
        <v>10.53</v>
      </c>
      <c r="F17217" s="533">
        <v>35.08</v>
      </c>
      <c r="G17217" s="533">
        <v>0.21</v>
      </c>
      <c r="H17217" s="534">
        <v>339.43</v>
      </c>
      <c r="I17217" s="534">
        <v>121.09</v>
      </c>
      <c r="J17217" s="534">
        <v>215.92</v>
      </c>
      <c r="K17217" s="534">
        <v>2.42</v>
      </c>
      <c r="L17217" s="43">
        <v>7.4079004801396771</v>
      </c>
      <c r="M17217" s="43">
        <v>11.499525166191834</v>
      </c>
      <c r="N17217" s="43">
        <v>6.1550741163055873</v>
      </c>
      <c r="O17217" s="43">
        <v>11.503164556962025</v>
      </c>
      <c r="P17217" s="535"/>
      <c r="Q17217" s="535"/>
      <c r="R17217" s="535">
        <v>2</v>
      </c>
    </row>
    <row r="17218" spans="1:18" ht="36">
      <c r="A17218" s="531">
        <v>368</v>
      </c>
      <c r="B17218" s="528" t="s">
        <v>30926</v>
      </c>
      <c r="C17218" s="532" t="s">
        <v>30927</v>
      </c>
      <c r="D17218" s="533">
        <v>50.66</v>
      </c>
      <c r="E17218" s="533">
        <v>11.59</v>
      </c>
      <c r="F17218" s="533">
        <v>38.840000000000003</v>
      </c>
      <c r="G17218" s="533">
        <v>0.23</v>
      </c>
      <c r="H17218" s="534">
        <v>375.02</v>
      </c>
      <c r="I17218" s="534">
        <v>133.31</v>
      </c>
      <c r="J17218" s="534">
        <v>239.06</v>
      </c>
      <c r="K17218" s="534">
        <v>2.65</v>
      </c>
      <c r="L17218" s="43">
        <v>7.4026845637583891</v>
      </c>
      <c r="M17218" s="43">
        <v>11.502157031924073</v>
      </c>
      <c r="N17218" s="43">
        <v>6.1549948506694125</v>
      </c>
      <c r="O17218" s="43">
        <v>11.503164556962025</v>
      </c>
      <c r="P17218" s="535"/>
      <c r="Q17218" s="535"/>
      <c r="R17218" s="535">
        <v>2</v>
      </c>
    </row>
    <row r="17219" spans="1:18" ht="36">
      <c r="A17219" s="531">
        <v>369</v>
      </c>
      <c r="B17219" s="528" t="s">
        <v>30928</v>
      </c>
      <c r="C17219" s="532" t="s">
        <v>30929</v>
      </c>
      <c r="D17219" s="533">
        <v>7.93</v>
      </c>
      <c r="E17219" s="533">
        <v>1.64</v>
      </c>
      <c r="F17219" s="533">
        <v>6.26</v>
      </c>
      <c r="G17219" s="533">
        <v>0.03</v>
      </c>
      <c r="H17219" s="534">
        <v>57.8</v>
      </c>
      <c r="I17219" s="534">
        <v>18.89</v>
      </c>
      <c r="J17219" s="534">
        <v>38.56</v>
      </c>
      <c r="K17219" s="534">
        <v>0.35</v>
      </c>
      <c r="L17219" s="43">
        <v>7.2887767969735178</v>
      </c>
      <c r="M17219" s="43">
        <v>11.5</v>
      </c>
      <c r="N17219" s="43">
        <v>6.1597444089456879</v>
      </c>
      <c r="O17219" s="43">
        <v>11.503164556962025</v>
      </c>
      <c r="P17219" s="535"/>
      <c r="Q17219" s="535"/>
      <c r="R17219" s="535">
        <v>2</v>
      </c>
    </row>
    <row r="17220" spans="1:18" ht="36">
      <c r="A17220" s="531">
        <v>370</v>
      </c>
      <c r="B17220" s="528" t="s">
        <v>30930</v>
      </c>
      <c r="C17220" s="532" t="s">
        <v>30931</v>
      </c>
      <c r="D17220" s="533">
        <v>17.13</v>
      </c>
      <c r="E17220" s="533">
        <v>3.28</v>
      </c>
      <c r="F17220" s="533">
        <v>13.78</v>
      </c>
      <c r="G17220" s="533">
        <v>7.0000000000000007E-2</v>
      </c>
      <c r="H17220" s="534">
        <v>123.41</v>
      </c>
      <c r="I17220" s="534">
        <v>37.770000000000003</v>
      </c>
      <c r="J17220" s="534">
        <v>84.83</v>
      </c>
      <c r="K17220" s="534">
        <v>0.81</v>
      </c>
      <c r="L17220" s="43">
        <v>7.2043199065966146</v>
      </c>
      <c r="M17220" s="43">
        <v>11.5</v>
      </c>
      <c r="N17220" s="43">
        <v>6.1560232220609583</v>
      </c>
      <c r="O17220" s="43">
        <v>11.503164556962025</v>
      </c>
      <c r="P17220" s="535"/>
      <c r="Q17220" s="535"/>
      <c r="R17220" s="535">
        <v>2</v>
      </c>
    </row>
    <row r="17221" spans="1:18" ht="36">
      <c r="A17221" s="531">
        <v>371</v>
      </c>
      <c r="B17221" s="528" t="s">
        <v>30932</v>
      </c>
      <c r="C17221" s="532" t="s">
        <v>30933</v>
      </c>
      <c r="D17221" s="533">
        <v>18.22</v>
      </c>
      <c r="E17221" s="533">
        <v>4.3499999999999996</v>
      </c>
      <c r="F17221" s="533">
        <v>13.78</v>
      </c>
      <c r="G17221" s="533">
        <v>0.09</v>
      </c>
      <c r="H17221" s="534">
        <v>135.86000000000001</v>
      </c>
      <c r="I17221" s="534">
        <v>49.99</v>
      </c>
      <c r="J17221" s="534">
        <v>84.83</v>
      </c>
      <c r="K17221" s="534">
        <v>1.04</v>
      </c>
      <c r="L17221" s="43">
        <v>7.456641053787048</v>
      </c>
      <c r="M17221" s="43">
        <v>11.5</v>
      </c>
      <c r="N17221" s="43">
        <v>6.1560232220609583</v>
      </c>
      <c r="O17221" s="43">
        <v>11.503164556962025</v>
      </c>
      <c r="P17221" s="535"/>
      <c r="Q17221" s="535"/>
      <c r="R17221" s="535">
        <v>2</v>
      </c>
    </row>
    <row r="17222" spans="1:18" ht="36">
      <c r="A17222" s="531">
        <v>372</v>
      </c>
      <c r="B17222" s="528" t="s">
        <v>30934</v>
      </c>
      <c r="C17222" s="532" t="s">
        <v>30935</v>
      </c>
      <c r="D17222" s="533">
        <v>22.76</v>
      </c>
      <c r="E17222" s="533">
        <v>5.12</v>
      </c>
      <c r="F17222" s="533">
        <v>17.54</v>
      </c>
      <c r="G17222" s="533">
        <v>0.1</v>
      </c>
      <c r="H17222" s="534">
        <v>167.99</v>
      </c>
      <c r="I17222" s="534">
        <v>58.88</v>
      </c>
      <c r="J17222" s="534">
        <v>107.96</v>
      </c>
      <c r="K17222" s="534">
        <v>1.1499999999999999</v>
      </c>
      <c r="L17222" s="43">
        <v>7.3809314586994725</v>
      </c>
      <c r="M17222" s="43">
        <v>11.5</v>
      </c>
      <c r="N17222" s="43">
        <v>6.1550741163055873</v>
      </c>
      <c r="O17222" s="43">
        <v>11.503164556962025</v>
      </c>
      <c r="P17222" s="535"/>
      <c r="Q17222" s="535"/>
      <c r="R17222" s="535">
        <v>2</v>
      </c>
    </row>
    <row r="17223" spans="1:18" ht="36">
      <c r="A17223" s="531">
        <v>373</v>
      </c>
      <c r="B17223" s="528" t="s">
        <v>30936</v>
      </c>
      <c r="C17223" s="532" t="s">
        <v>30937</v>
      </c>
      <c r="D17223" s="533">
        <v>24.71</v>
      </c>
      <c r="E17223" s="533">
        <v>5.8</v>
      </c>
      <c r="F17223" s="533">
        <v>18.79</v>
      </c>
      <c r="G17223" s="533">
        <v>0.12</v>
      </c>
      <c r="H17223" s="534">
        <v>183.7</v>
      </c>
      <c r="I17223" s="534">
        <v>66.650000000000006</v>
      </c>
      <c r="J17223" s="534">
        <v>115.67</v>
      </c>
      <c r="K17223" s="534">
        <v>1.38</v>
      </c>
      <c r="L17223" s="43">
        <v>7.4342371509510317</v>
      </c>
      <c r="M17223" s="43">
        <v>11.5</v>
      </c>
      <c r="N17223" s="43">
        <v>6.1559340074507718</v>
      </c>
      <c r="O17223" s="43">
        <v>11.503164556962025</v>
      </c>
      <c r="P17223" s="535"/>
      <c r="Q17223" s="535"/>
      <c r="R17223" s="535">
        <v>2</v>
      </c>
    </row>
    <row r="17224" spans="1:18" ht="36">
      <c r="A17224" s="531">
        <v>374</v>
      </c>
      <c r="B17224" s="528" t="s">
        <v>30938</v>
      </c>
      <c r="C17224" s="532" t="s">
        <v>30939</v>
      </c>
      <c r="D17224" s="533">
        <v>27.71</v>
      </c>
      <c r="E17224" s="533">
        <v>6.28</v>
      </c>
      <c r="F17224" s="533">
        <v>21.3</v>
      </c>
      <c r="G17224" s="533">
        <v>0.13</v>
      </c>
      <c r="H17224" s="534">
        <v>204.81</v>
      </c>
      <c r="I17224" s="534">
        <v>72.209999999999994</v>
      </c>
      <c r="J17224" s="534">
        <v>131.1</v>
      </c>
      <c r="K17224" s="534">
        <v>1.5</v>
      </c>
      <c r="L17224" s="43">
        <v>7.3911945146156617</v>
      </c>
      <c r="M17224" s="43">
        <v>11.498407643312101</v>
      </c>
      <c r="N17224" s="43">
        <v>6.1549295774647881</v>
      </c>
      <c r="O17224" s="43">
        <v>11.503164556962025</v>
      </c>
      <c r="P17224" s="535"/>
      <c r="Q17224" s="535"/>
      <c r="R17224" s="535">
        <v>2</v>
      </c>
    </row>
    <row r="17225" spans="1:18" ht="36">
      <c r="A17225" s="531">
        <v>375</v>
      </c>
      <c r="B17225" s="528" t="s">
        <v>30940</v>
      </c>
      <c r="C17225" s="532" t="s">
        <v>30941</v>
      </c>
      <c r="D17225" s="533">
        <v>30.9</v>
      </c>
      <c r="E17225" s="533">
        <v>6.96</v>
      </c>
      <c r="F17225" s="533">
        <v>23.8</v>
      </c>
      <c r="G17225" s="533">
        <v>0.14000000000000001</v>
      </c>
      <c r="H17225" s="534">
        <v>228.11</v>
      </c>
      <c r="I17225" s="534">
        <v>79.98</v>
      </c>
      <c r="J17225" s="534">
        <v>146.52000000000001</v>
      </c>
      <c r="K17225" s="534">
        <v>1.61</v>
      </c>
      <c r="L17225" s="43">
        <v>7.3822006472491921</v>
      </c>
      <c r="M17225" s="43">
        <v>11.5</v>
      </c>
      <c r="N17225" s="43">
        <v>6.1563025210084037</v>
      </c>
      <c r="O17225" s="43">
        <v>11.503164556962025</v>
      </c>
      <c r="P17225" s="535"/>
      <c r="Q17225" s="535"/>
      <c r="R17225" s="535">
        <v>2</v>
      </c>
    </row>
    <row r="17226" spans="1:18" ht="12.75" customHeight="1">
      <c r="A17226" s="628" t="s">
        <v>30942</v>
      </c>
      <c r="B17226" s="629"/>
      <c r="C17226" s="629"/>
      <c r="D17226" s="629"/>
      <c r="E17226" s="629"/>
      <c r="F17226" s="629"/>
      <c r="G17226" s="629"/>
      <c r="H17226" s="629"/>
      <c r="I17226" s="629"/>
      <c r="J17226" s="629"/>
      <c r="K17226" s="629"/>
      <c r="L17226" s="629"/>
      <c r="M17226" s="629"/>
      <c r="N17226" s="629"/>
      <c r="O17226" s="629"/>
      <c r="P17226" s="629"/>
      <c r="Q17226" s="629"/>
      <c r="R17226" s="629"/>
    </row>
    <row r="17227" spans="1:18" ht="24">
      <c r="A17227" s="531">
        <v>376</v>
      </c>
      <c r="B17227" s="528" t="s">
        <v>30943</v>
      </c>
      <c r="C17227" s="532" t="s">
        <v>30944</v>
      </c>
      <c r="D17227" s="533">
        <v>1265.6099999999999</v>
      </c>
      <c r="E17227" s="533">
        <v>339.13</v>
      </c>
      <c r="F17227" s="533">
        <v>919.7</v>
      </c>
      <c r="G17227" s="533">
        <v>6.78</v>
      </c>
      <c r="H17227" s="534">
        <v>9579.1200000000008</v>
      </c>
      <c r="I17227" s="534">
        <v>3900.02</v>
      </c>
      <c r="J17227" s="534">
        <v>5601.13</v>
      </c>
      <c r="K17227" s="534">
        <v>77.97</v>
      </c>
      <c r="L17227" s="43">
        <v>7.5687771114324329</v>
      </c>
      <c r="M17227" s="43">
        <v>11.500073718043229</v>
      </c>
      <c r="N17227" s="43">
        <v>6.0901707078395129</v>
      </c>
      <c r="O17227" s="43">
        <v>11.5</v>
      </c>
      <c r="P17227" s="535"/>
      <c r="Q17227" s="535"/>
      <c r="R17227" s="535">
        <v>3</v>
      </c>
    </row>
    <row r="17228" spans="1:18" ht="24">
      <c r="A17228" s="531">
        <v>377</v>
      </c>
      <c r="B17228" s="528" t="s">
        <v>30945</v>
      </c>
      <c r="C17228" s="532" t="s">
        <v>30946</v>
      </c>
      <c r="D17228" s="533">
        <v>1447.89</v>
      </c>
      <c r="E17228" s="533">
        <v>396.61</v>
      </c>
      <c r="F17228" s="533">
        <v>1043.3499999999999</v>
      </c>
      <c r="G17228" s="533">
        <v>7.93</v>
      </c>
      <c r="H17228" s="534">
        <v>11004.31</v>
      </c>
      <c r="I17228" s="534">
        <v>4561.04</v>
      </c>
      <c r="J17228" s="534">
        <v>6352.07</v>
      </c>
      <c r="K17228" s="534">
        <v>91.2</v>
      </c>
      <c r="L17228" s="43">
        <v>7.6002389684299212</v>
      </c>
      <c r="M17228" s="43">
        <v>11.500063034214971</v>
      </c>
      <c r="N17228" s="43">
        <v>6.0881487516173864</v>
      </c>
      <c r="O17228" s="43">
        <v>11.500630517023961</v>
      </c>
      <c r="P17228" s="535"/>
      <c r="Q17228" s="535"/>
      <c r="R17228" s="535">
        <v>3</v>
      </c>
    </row>
    <row r="17229" spans="1:18" ht="24">
      <c r="A17229" s="531">
        <v>378</v>
      </c>
      <c r="B17229" s="528" t="s">
        <v>30947</v>
      </c>
      <c r="C17229" s="532" t="s">
        <v>30948</v>
      </c>
      <c r="D17229" s="533">
        <v>2161.8200000000002</v>
      </c>
      <c r="E17229" s="533">
        <v>638.29999999999995</v>
      </c>
      <c r="F17229" s="533">
        <v>1510.75</v>
      </c>
      <c r="G17229" s="533">
        <v>12.77</v>
      </c>
      <c r="H17229" s="534">
        <v>16686.05</v>
      </c>
      <c r="I17229" s="534">
        <v>7340.5</v>
      </c>
      <c r="J17229" s="534">
        <v>9198.69</v>
      </c>
      <c r="K17229" s="534">
        <v>146.86000000000001</v>
      </c>
      <c r="L17229" s="43">
        <v>7.7185195807236484</v>
      </c>
      <c r="M17229" s="43">
        <v>11.500078333072224</v>
      </c>
      <c r="N17229" s="43">
        <v>6.0888234320701642</v>
      </c>
      <c r="O17229" s="43">
        <v>11.500391542678154</v>
      </c>
      <c r="P17229" s="535"/>
      <c r="Q17229" s="535"/>
      <c r="R17229" s="535">
        <v>3</v>
      </c>
    </row>
    <row r="17230" spans="1:18" ht="24">
      <c r="A17230" s="531">
        <v>379</v>
      </c>
      <c r="B17230" s="528" t="s">
        <v>30949</v>
      </c>
      <c r="C17230" s="532" t="s">
        <v>30950</v>
      </c>
      <c r="D17230" s="533">
        <v>3843.16</v>
      </c>
      <c r="E17230" s="533">
        <v>993</v>
      </c>
      <c r="F17230" s="533">
        <v>2830.3</v>
      </c>
      <c r="G17230" s="533">
        <v>19.86</v>
      </c>
      <c r="H17230" s="534">
        <v>28717.3</v>
      </c>
      <c r="I17230" s="534">
        <v>11420</v>
      </c>
      <c r="J17230" s="534">
        <v>17068.91</v>
      </c>
      <c r="K17230" s="534">
        <v>228.39</v>
      </c>
      <c r="L17230" s="43">
        <v>7.4723144495675431</v>
      </c>
      <c r="M17230" s="43">
        <v>11.500503524672709</v>
      </c>
      <c r="N17230" s="43">
        <v>6.0307776560788602</v>
      </c>
      <c r="O17230" s="43">
        <v>11.5</v>
      </c>
      <c r="P17230" s="535"/>
      <c r="Q17230" s="535"/>
      <c r="R17230" s="535">
        <v>3</v>
      </c>
    </row>
    <row r="17231" spans="1:18" ht="24">
      <c r="A17231" s="531">
        <v>380</v>
      </c>
      <c r="B17231" s="528" t="s">
        <v>30951</v>
      </c>
      <c r="C17231" s="532" t="s">
        <v>30952</v>
      </c>
      <c r="D17231" s="533">
        <v>4758.29</v>
      </c>
      <c r="E17231" s="533">
        <v>1350.48</v>
      </c>
      <c r="F17231" s="533">
        <v>3380.8</v>
      </c>
      <c r="G17231" s="533">
        <v>27.01</v>
      </c>
      <c r="H17231" s="534">
        <v>36249.46</v>
      </c>
      <c r="I17231" s="534">
        <v>15531.2</v>
      </c>
      <c r="J17231" s="534">
        <v>20407.64</v>
      </c>
      <c r="K17231" s="534">
        <v>310.62</v>
      </c>
      <c r="L17231" s="43">
        <v>7.6181695525073083</v>
      </c>
      <c r="M17231" s="43">
        <v>11.500503524672709</v>
      </c>
      <c r="N17231" s="43">
        <v>6.0363345953620442</v>
      </c>
      <c r="O17231" s="43">
        <v>11.500185116623472</v>
      </c>
      <c r="P17231" s="535"/>
      <c r="Q17231" s="535"/>
      <c r="R17231" s="535">
        <v>3</v>
      </c>
    </row>
    <row r="17232" spans="1:18" ht="24">
      <c r="A17232" s="531">
        <v>381</v>
      </c>
      <c r="B17232" s="528" t="s">
        <v>30953</v>
      </c>
      <c r="C17232" s="532" t="s">
        <v>30954</v>
      </c>
      <c r="D17232" s="533">
        <v>8001.86</v>
      </c>
      <c r="E17232" s="533">
        <v>2154.3000000000002</v>
      </c>
      <c r="F17232" s="533">
        <v>5804.47</v>
      </c>
      <c r="G17232" s="533">
        <v>43.09</v>
      </c>
      <c r="H17232" s="534">
        <v>60193.59</v>
      </c>
      <c r="I17232" s="534">
        <v>24774.45</v>
      </c>
      <c r="J17232" s="534">
        <v>34923.599999999999</v>
      </c>
      <c r="K17232" s="534">
        <v>495.54</v>
      </c>
      <c r="L17232" s="43">
        <v>7.5224497804260508</v>
      </c>
      <c r="M17232" s="43">
        <v>11.5</v>
      </c>
      <c r="N17232" s="43">
        <v>6.0166733569128619</v>
      </c>
      <c r="O17232" s="43">
        <v>11.500116036203295</v>
      </c>
      <c r="P17232" s="535"/>
      <c r="Q17232" s="535"/>
      <c r="R17232" s="535">
        <v>3</v>
      </c>
    </row>
    <row r="17233" spans="1:18" ht="24">
      <c r="A17233" s="531">
        <v>382</v>
      </c>
      <c r="B17233" s="528" t="s">
        <v>30955</v>
      </c>
      <c r="C17233" s="532" t="s">
        <v>30956</v>
      </c>
      <c r="D17233" s="533">
        <v>10972.33</v>
      </c>
      <c r="E17233" s="533">
        <v>3116.22</v>
      </c>
      <c r="F17233" s="533">
        <v>7793.79</v>
      </c>
      <c r="G17233" s="533">
        <v>62.32</v>
      </c>
      <c r="H17233" s="534">
        <v>83621.33</v>
      </c>
      <c r="I17233" s="534">
        <v>35836.53</v>
      </c>
      <c r="J17233" s="534">
        <v>47068.12</v>
      </c>
      <c r="K17233" s="534">
        <v>716.68</v>
      </c>
      <c r="L17233" s="43">
        <v>7.6211096458090486</v>
      </c>
      <c r="M17233" s="43">
        <v>11.5</v>
      </c>
      <c r="N17233" s="43">
        <v>6.0391824773313116</v>
      </c>
      <c r="O17233" s="43">
        <v>11.5</v>
      </c>
      <c r="P17233" s="535"/>
      <c r="Q17233" s="535"/>
      <c r="R17233" s="535">
        <v>3</v>
      </c>
    </row>
    <row r="17234" spans="1:18" ht="24">
      <c r="A17234" s="531">
        <v>383</v>
      </c>
      <c r="B17234" s="528" t="s">
        <v>30957</v>
      </c>
      <c r="C17234" s="532" t="s">
        <v>30958</v>
      </c>
      <c r="D17234" s="533">
        <v>1083.46</v>
      </c>
      <c r="E17234" s="533">
        <v>214.59</v>
      </c>
      <c r="F17234" s="533">
        <v>864.58</v>
      </c>
      <c r="G17234" s="533">
        <v>4.29</v>
      </c>
      <c r="H17234" s="534">
        <v>7778.97</v>
      </c>
      <c r="I17234" s="534">
        <v>2467.81</v>
      </c>
      <c r="J17234" s="534">
        <v>5261.82</v>
      </c>
      <c r="K17234" s="534">
        <v>49.34</v>
      </c>
      <c r="L17234" s="43">
        <v>7.179748214054972</v>
      </c>
      <c r="M17234" s="43">
        <v>11.500116501234913</v>
      </c>
      <c r="N17234" s="43">
        <v>6.0859839459622007</v>
      </c>
      <c r="O17234" s="43">
        <v>11.501165501165502</v>
      </c>
      <c r="P17234" s="535"/>
      <c r="Q17234" s="535"/>
      <c r="R17234" s="535">
        <v>3</v>
      </c>
    </row>
    <row r="17235" spans="1:18" ht="24">
      <c r="A17235" s="531">
        <v>384</v>
      </c>
      <c r="B17235" s="528" t="s">
        <v>30959</v>
      </c>
      <c r="C17235" s="532" t="s">
        <v>30960</v>
      </c>
      <c r="D17235" s="533">
        <v>1322.71</v>
      </c>
      <c r="E17235" s="533">
        <v>287.39999999999998</v>
      </c>
      <c r="F17235" s="533">
        <v>1029.56</v>
      </c>
      <c r="G17235" s="533">
        <v>5.75</v>
      </c>
      <c r="H17235" s="534">
        <v>9638.48</v>
      </c>
      <c r="I17235" s="534">
        <v>3305.1</v>
      </c>
      <c r="J17235" s="534">
        <v>6267.25</v>
      </c>
      <c r="K17235" s="534">
        <v>66.13</v>
      </c>
      <c r="L17235" s="43">
        <v>7.2869185233346681</v>
      </c>
      <c r="M17235" s="43">
        <v>11.5</v>
      </c>
      <c r="N17235" s="43">
        <v>6.0873091417692997</v>
      </c>
      <c r="O17235" s="43">
        <v>11.500869565217391</v>
      </c>
      <c r="P17235" s="535"/>
      <c r="Q17235" s="535"/>
      <c r="R17235" s="535">
        <v>3</v>
      </c>
    </row>
    <row r="17236" spans="1:18" ht="24">
      <c r="A17236" s="531">
        <v>385</v>
      </c>
      <c r="B17236" s="528" t="s">
        <v>30961</v>
      </c>
      <c r="C17236" s="532" t="s">
        <v>30962</v>
      </c>
      <c r="D17236" s="533">
        <v>1977.64</v>
      </c>
      <c r="E17236" s="533">
        <v>457.74</v>
      </c>
      <c r="F17236" s="533">
        <v>1510.75</v>
      </c>
      <c r="G17236" s="533">
        <v>9.15</v>
      </c>
      <c r="H17236" s="534">
        <v>14567.98</v>
      </c>
      <c r="I17236" s="534">
        <v>5264.06</v>
      </c>
      <c r="J17236" s="534">
        <v>9198.69</v>
      </c>
      <c r="K17236" s="534">
        <v>105.23</v>
      </c>
      <c r="L17236" s="43">
        <v>7.3663457454339509</v>
      </c>
      <c r="M17236" s="43">
        <v>11.500109232315289</v>
      </c>
      <c r="N17236" s="43">
        <v>6.0888234320701642</v>
      </c>
      <c r="O17236" s="43">
        <v>11.500546448087432</v>
      </c>
      <c r="P17236" s="535"/>
      <c r="Q17236" s="535"/>
      <c r="R17236" s="535">
        <v>3</v>
      </c>
    </row>
    <row r="17237" spans="1:18" ht="24">
      <c r="A17237" s="531">
        <v>386</v>
      </c>
      <c r="B17237" s="528" t="s">
        <v>30963</v>
      </c>
      <c r="C17237" s="532" t="s">
        <v>30964</v>
      </c>
      <c r="D17237" s="533">
        <v>3230.75</v>
      </c>
      <c r="E17237" s="533">
        <v>660.35</v>
      </c>
      <c r="F17237" s="533">
        <v>2557.19</v>
      </c>
      <c r="G17237" s="533">
        <v>13.21</v>
      </c>
      <c r="H17237" s="534">
        <v>23134.01</v>
      </c>
      <c r="I17237" s="534">
        <v>7594.3</v>
      </c>
      <c r="J17237" s="534">
        <v>15387.79</v>
      </c>
      <c r="K17237" s="534">
        <v>151.91999999999999</v>
      </c>
      <c r="L17237" s="43">
        <v>7.1605695271995664</v>
      </c>
      <c r="M17237" s="43">
        <v>11.500416445824184</v>
      </c>
      <c r="N17237" s="43">
        <v>6.0174605719559366</v>
      </c>
      <c r="O17237" s="43">
        <v>11.500378501135502</v>
      </c>
      <c r="P17237" s="535"/>
      <c r="Q17237" s="535"/>
      <c r="R17237" s="535">
        <v>3</v>
      </c>
    </row>
    <row r="17238" spans="1:18" ht="24">
      <c r="A17238" s="531">
        <v>387</v>
      </c>
      <c r="B17238" s="528" t="s">
        <v>30965</v>
      </c>
      <c r="C17238" s="532" t="s">
        <v>30966</v>
      </c>
      <c r="D17238" s="533">
        <v>4193.3</v>
      </c>
      <c r="E17238" s="533">
        <v>930.44</v>
      </c>
      <c r="F17238" s="533">
        <v>3244.25</v>
      </c>
      <c r="G17238" s="533">
        <v>18.61</v>
      </c>
      <c r="H17238" s="534">
        <v>30481.63</v>
      </c>
      <c r="I17238" s="534">
        <v>10700.54</v>
      </c>
      <c r="J17238" s="534">
        <v>19567.07</v>
      </c>
      <c r="K17238" s="534">
        <v>214.02</v>
      </c>
      <c r="L17238" s="43">
        <v>7.2691269405957124</v>
      </c>
      <c r="M17238" s="43">
        <v>11.500515884957654</v>
      </c>
      <c r="N17238" s="43">
        <v>6.0313076982353397</v>
      </c>
      <c r="O17238" s="43">
        <v>11.500268672756583</v>
      </c>
      <c r="P17238" s="535"/>
      <c r="Q17238" s="535"/>
      <c r="R17238" s="535">
        <v>3</v>
      </c>
    </row>
    <row r="17239" spans="1:18" ht="24">
      <c r="A17239" s="531">
        <v>388</v>
      </c>
      <c r="B17239" s="528" t="s">
        <v>30967</v>
      </c>
      <c r="C17239" s="532" t="s">
        <v>30968</v>
      </c>
      <c r="D17239" s="533">
        <v>6846.1</v>
      </c>
      <c r="E17239" s="533">
        <v>1422.84</v>
      </c>
      <c r="F17239" s="533">
        <v>5394.8</v>
      </c>
      <c r="G17239" s="533">
        <v>28.46</v>
      </c>
      <c r="H17239" s="534">
        <v>49091.86</v>
      </c>
      <c r="I17239" s="534">
        <v>16362.66</v>
      </c>
      <c r="J17239" s="534">
        <v>32401.91</v>
      </c>
      <c r="K17239" s="534">
        <v>327.29000000000002</v>
      </c>
      <c r="L17239" s="43">
        <v>7.1707775229692814</v>
      </c>
      <c r="M17239" s="43">
        <v>11.5</v>
      </c>
      <c r="N17239" s="43">
        <v>6.0061373915622447</v>
      </c>
      <c r="O17239" s="43">
        <v>11.5</v>
      </c>
      <c r="P17239" s="535"/>
      <c r="Q17239" s="535"/>
      <c r="R17239" s="535">
        <v>3</v>
      </c>
    </row>
    <row r="17240" spans="1:18" ht="24">
      <c r="A17240" s="531">
        <v>389</v>
      </c>
      <c r="B17240" s="528" t="s">
        <v>30969</v>
      </c>
      <c r="C17240" s="532" t="s">
        <v>30970</v>
      </c>
      <c r="D17240" s="533">
        <v>8827.19</v>
      </c>
      <c r="E17240" s="533">
        <v>2084.16</v>
      </c>
      <c r="F17240" s="533">
        <v>6701.35</v>
      </c>
      <c r="G17240" s="533">
        <v>41.68</v>
      </c>
      <c r="H17240" s="534">
        <v>64790.77</v>
      </c>
      <c r="I17240" s="534">
        <v>23967.84</v>
      </c>
      <c r="J17240" s="534">
        <v>40343.61</v>
      </c>
      <c r="K17240" s="534">
        <v>479.32</v>
      </c>
      <c r="L17240" s="43">
        <v>7.3399088498151723</v>
      </c>
      <c r="M17240" s="43">
        <v>11.5</v>
      </c>
      <c r="N17240" s="43">
        <v>6.0202212986935466</v>
      </c>
      <c r="O17240" s="43">
        <v>11.5</v>
      </c>
      <c r="P17240" s="535"/>
      <c r="Q17240" s="535"/>
      <c r="R17240" s="535">
        <v>3</v>
      </c>
    </row>
    <row r="17241" spans="1:18" ht="12.75" customHeight="1">
      <c r="A17241" s="628" t="s">
        <v>30971</v>
      </c>
      <c r="B17241" s="629"/>
      <c r="C17241" s="629"/>
      <c r="D17241" s="629"/>
      <c r="E17241" s="629"/>
      <c r="F17241" s="629"/>
      <c r="G17241" s="629"/>
      <c r="H17241" s="629"/>
      <c r="I17241" s="629"/>
      <c r="J17241" s="629"/>
      <c r="K17241" s="629"/>
      <c r="L17241" s="629"/>
      <c r="M17241" s="629"/>
      <c r="N17241" s="629"/>
      <c r="O17241" s="629"/>
      <c r="P17241" s="629"/>
      <c r="Q17241" s="629"/>
      <c r="R17241" s="629"/>
    </row>
    <row r="17242" spans="1:18" ht="24">
      <c r="A17242" s="531">
        <v>390</v>
      </c>
      <c r="B17242" s="528" t="s">
        <v>30972</v>
      </c>
      <c r="C17242" s="532" t="s">
        <v>30973</v>
      </c>
      <c r="D17242" s="533">
        <v>278.64</v>
      </c>
      <c r="E17242" s="533">
        <v>54.41</v>
      </c>
      <c r="F17242" s="533">
        <v>223.14</v>
      </c>
      <c r="G17242" s="533">
        <v>1.0900000000000001</v>
      </c>
      <c r="H17242" s="534">
        <v>1951.81</v>
      </c>
      <c r="I17242" s="534">
        <v>625.79</v>
      </c>
      <c r="J17242" s="534">
        <v>1313.48</v>
      </c>
      <c r="K17242" s="534">
        <v>12.54</v>
      </c>
      <c r="L17242" s="43">
        <v>7.0047731840367504</v>
      </c>
      <c r="M17242" s="43">
        <v>11.501378423083992</v>
      </c>
      <c r="N17242" s="43">
        <v>5.8863493770726905</v>
      </c>
      <c r="O17242" s="43">
        <v>11.504587155963302</v>
      </c>
      <c r="P17242" s="535"/>
      <c r="Q17242" s="535"/>
      <c r="R17242" s="535">
        <v>4</v>
      </c>
    </row>
    <row r="17243" spans="1:18" ht="24">
      <c r="A17243" s="531">
        <v>391</v>
      </c>
      <c r="B17243" s="528" t="s">
        <v>30974</v>
      </c>
      <c r="C17243" s="532" t="s">
        <v>30975</v>
      </c>
      <c r="D17243" s="533">
        <v>400.65</v>
      </c>
      <c r="E17243" s="533">
        <v>77.75</v>
      </c>
      <c r="F17243" s="533">
        <v>321.35000000000002</v>
      </c>
      <c r="G17243" s="533">
        <v>1.55</v>
      </c>
      <c r="H17243" s="534">
        <v>2809.68</v>
      </c>
      <c r="I17243" s="534">
        <v>894.16</v>
      </c>
      <c r="J17243" s="534">
        <v>1897.69</v>
      </c>
      <c r="K17243" s="534">
        <v>17.829999999999998</v>
      </c>
      <c r="L17243" s="43">
        <v>7.0128041931860725</v>
      </c>
      <c r="M17243" s="43">
        <v>11.500450160771704</v>
      </c>
      <c r="N17243" s="43">
        <v>5.9053679788392719</v>
      </c>
      <c r="O17243" s="43">
        <v>11.503225806451612</v>
      </c>
      <c r="P17243" s="535"/>
      <c r="Q17243" s="535"/>
      <c r="R17243" s="535">
        <v>4</v>
      </c>
    </row>
    <row r="17244" spans="1:18" ht="24">
      <c r="A17244" s="531">
        <v>392</v>
      </c>
      <c r="B17244" s="528" t="s">
        <v>30976</v>
      </c>
      <c r="C17244" s="532" t="s">
        <v>30977</v>
      </c>
      <c r="D17244" s="533">
        <v>465.41</v>
      </c>
      <c r="E17244" s="533">
        <v>101.08</v>
      </c>
      <c r="F17244" s="533">
        <v>362.31</v>
      </c>
      <c r="G17244" s="533">
        <v>2.02</v>
      </c>
      <c r="H17244" s="534">
        <v>3325.42</v>
      </c>
      <c r="I17244" s="534">
        <v>1162.52</v>
      </c>
      <c r="J17244" s="534">
        <v>2139.67</v>
      </c>
      <c r="K17244" s="534">
        <v>23.23</v>
      </c>
      <c r="L17244" s="43">
        <v>7.145140843557293</v>
      </c>
      <c r="M17244" s="43">
        <v>11.500989315393747</v>
      </c>
      <c r="N17244" s="43">
        <v>5.9056332974524581</v>
      </c>
      <c r="O17244" s="43">
        <v>11.5</v>
      </c>
      <c r="P17244" s="535"/>
      <c r="Q17244" s="535"/>
      <c r="R17244" s="535">
        <v>4</v>
      </c>
    </row>
    <row r="17245" spans="1:18" ht="24">
      <c r="A17245" s="531">
        <v>393</v>
      </c>
      <c r="B17245" s="528" t="s">
        <v>30978</v>
      </c>
      <c r="C17245" s="532" t="s">
        <v>30979</v>
      </c>
      <c r="D17245" s="533">
        <v>702.06</v>
      </c>
      <c r="E17245" s="533">
        <v>127.38</v>
      </c>
      <c r="F17245" s="533">
        <v>572.13</v>
      </c>
      <c r="G17245" s="533">
        <v>2.5499999999999998</v>
      </c>
      <c r="H17245" s="534">
        <v>4874.6000000000004</v>
      </c>
      <c r="I17245" s="534">
        <v>1464.88</v>
      </c>
      <c r="J17245" s="534">
        <v>3380.39</v>
      </c>
      <c r="K17245" s="534">
        <v>29.33</v>
      </c>
      <c r="L17245" s="43">
        <v>6.9432812010369496</v>
      </c>
      <c r="M17245" s="43">
        <v>11.500078505259854</v>
      </c>
      <c r="N17245" s="43">
        <v>5.9084299022949329</v>
      </c>
      <c r="O17245" s="43">
        <v>11.501960784313725</v>
      </c>
      <c r="P17245" s="535"/>
      <c r="Q17245" s="535"/>
      <c r="R17245" s="535">
        <v>4</v>
      </c>
    </row>
    <row r="17246" spans="1:18" ht="24">
      <c r="A17246" s="531">
        <v>394</v>
      </c>
      <c r="B17246" s="528" t="s">
        <v>30980</v>
      </c>
      <c r="C17246" s="532" t="s">
        <v>30981</v>
      </c>
      <c r="D17246" s="533">
        <v>835.58</v>
      </c>
      <c r="E17246" s="533">
        <v>149.79</v>
      </c>
      <c r="F17246" s="533">
        <v>682.79</v>
      </c>
      <c r="G17246" s="533">
        <v>3</v>
      </c>
      <c r="H17246" s="534">
        <v>5799.34</v>
      </c>
      <c r="I17246" s="534">
        <v>1722.69</v>
      </c>
      <c r="J17246" s="534">
        <v>4042.15</v>
      </c>
      <c r="K17246" s="534">
        <v>34.5</v>
      </c>
      <c r="L17246" s="43">
        <v>6.9404964216472385</v>
      </c>
      <c r="M17246" s="43">
        <v>11.500700981373924</v>
      </c>
      <c r="N17246" s="43">
        <v>5.9200486240278858</v>
      </c>
      <c r="O17246" s="43">
        <v>11.5</v>
      </c>
      <c r="P17246" s="535"/>
      <c r="Q17246" s="535"/>
      <c r="R17246" s="535">
        <v>4</v>
      </c>
    </row>
    <row r="17247" spans="1:18" ht="24">
      <c r="A17247" s="531">
        <v>395</v>
      </c>
      <c r="B17247" s="528" t="s">
        <v>30982</v>
      </c>
      <c r="C17247" s="532" t="s">
        <v>30983</v>
      </c>
      <c r="D17247" s="533">
        <v>904.16</v>
      </c>
      <c r="E17247" s="533">
        <v>175.64</v>
      </c>
      <c r="F17247" s="533">
        <v>725.01</v>
      </c>
      <c r="G17247" s="533">
        <v>3.51</v>
      </c>
      <c r="H17247" s="534">
        <v>6352.19</v>
      </c>
      <c r="I17247" s="534">
        <v>2019.99</v>
      </c>
      <c r="J17247" s="534">
        <v>4291.83</v>
      </c>
      <c r="K17247" s="534">
        <v>40.369999999999997</v>
      </c>
      <c r="L17247" s="43">
        <v>7.0255153955052201</v>
      </c>
      <c r="M17247" s="43">
        <v>11.500740150307449</v>
      </c>
      <c r="N17247" s="43">
        <v>5.9196838664294287</v>
      </c>
      <c r="O17247" s="43">
        <v>11.501424501424502</v>
      </c>
      <c r="P17247" s="535"/>
      <c r="Q17247" s="535"/>
      <c r="R17247" s="535">
        <v>4</v>
      </c>
    </row>
    <row r="17248" spans="1:18" ht="24">
      <c r="A17248" s="531">
        <v>396</v>
      </c>
      <c r="B17248" s="528" t="s">
        <v>30984</v>
      </c>
      <c r="C17248" s="532" t="s">
        <v>30985</v>
      </c>
      <c r="D17248" s="533">
        <v>1120.67</v>
      </c>
      <c r="E17248" s="533">
        <v>250.61</v>
      </c>
      <c r="F17248" s="533">
        <v>865.05</v>
      </c>
      <c r="G17248" s="533">
        <v>5.01</v>
      </c>
      <c r="H17248" s="534">
        <v>8053.03</v>
      </c>
      <c r="I17248" s="534">
        <v>2882.18</v>
      </c>
      <c r="J17248" s="534">
        <v>5113.2299999999996</v>
      </c>
      <c r="K17248" s="534">
        <v>57.62</v>
      </c>
      <c r="L17248" s="43">
        <v>7.1859066451319293</v>
      </c>
      <c r="M17248" s="43">
        <v>11.50065839351981</v>
      </c>
      <c r="N17248" s="43">
        <v>5.9109068839951444</v>
      </c>
      <c r="O17248" s="43">
        <v>11.500998003992017</v>
      </c>
      <c r="P17248" s="535"/>
      <c r="Q17248" s="535"/>
      <c r="R17248" s="535">
        <v>4</v>
      </c>
    </row>
    <row r="17249" spans="1:18" ht="24">
      <c r="A17249" s="531">
        <v>397</v>
      </c>
      <c r="B17249" s="528" t="s">
        <v>30986</v>
      </c>
      <c r="C17249" s="532" t="s">
        <v>30987</v>
      </c>
      <c r="D17249" s="533">
        <v>1448.95</v>
      </c>
      <c r="E17249" s="533">
        <v>326.66000000000003</v>
      </c>
      <c r="F17249" s="533">
        <v>1115.76</v>
      </c>
      <c r="G17249" s="533">
        <v>6.53</v>
      </c>
      <c r="H17249" s="534">
        <v>10428.15</v>
      </c>
      <c r="I17249" s="534">
        <v>3756.69</v>
      </c>
      <c r="J17249" s="534">
        <v>6596.36</v>
      </c>
      <c r="K17249" s="534">
        <v>75.099999999999994</v>
      </c>
      <c r="L17249" s="43">
        <v>7.1970392353083259</v>
      </c>
      <c r="M17249" s="43">
        <v>11.500306128696502</v>
      </c>
      <c r="N17249" s="43">
        <v>5.9119882411988236</v>
      </c>
      <c r="O17249" s="43">
        <v>11.500765696784072</v>
      </c>
      <c r="P17249" s="535"/>
      <c r="Q17249" s="535"/>
      <c r="R17249" s="535">
        <v>4</v>
      </c>
    </row>
    <row r="17250" spans="1:18" ht="24">
      <c r="A17250" s="531">
        <v>398</v>
      </c>
      <c r="B17250" s="528" t="s">
        <v>30988</v>
      </c>
      <c r="C17250" s="532" t="s">
        <v>30989</v>
      </c>
      <c r="D17250" s="533">
        <v>1718.85</v>
      </c>
      <c r="E17250" s="533">
        <v>385.56</v>
      </c>
      <c r="F17250" s="533">
        <v>1325.58</v>
      </c>
      <c r="G17250" s="533">
        <v>7.71</v>
      </c>
      <c r="H17250" s="534">
        <v>12359.88</v>
      </c>
      <c r="I17250" s="534">
        <v>4434.12</v>
      </c>
      <c r="J17250" s="534">
        <v>7837.09</v>
      </c>
      <c r="K17250" s="534">
        <v>88.67</v>
      </c>
      <c r="L17250" s="43">
        <v>7.1907845361724405</v>
      </c>
      <c r="M17250" s="43">
        <v>11.50046685340803</v>
      </c>
      <c r="N17250" s="43">
        <v>5.912196925119571</v>
      </c>
      <c r="O17250" s="43">
        <v>11.50064850843061</v>
      </c>
      <c r="P17250" s="535"/>
      <c r="Q17250" s="535"/>
      <c r="R17250" s="535">
        <v>4</v>
      </c>
    </row>
    <row r="17251" spans="1:18" ht="24">
      <c r="A17251" s="531">
        <v>399</v>
      </c>
      <c r="B17251" s="528" t="s">
        <v>30990</v>
      </c>
      <c r="C17251" s="532" t="s">
        <v>30991</v>
      </c>
      <c r="D17251" s="533">
        <v>1904.53</v>
      </c>
      <c r="E17251" s="533">
        <v>431.61</v>
      </c>
      <c r="F17251" s="533">
        <v>1464.29</v>
      </c>
      <c r="G17251" s="533">
        <v>8.6300000000000008</v>
      </c>
      <c r="H17251" s="534">
        <v>13714.19</v>
      </c>
      <c r="I17251" s="534">
        <v>4963.75</v>
      </c>
      <c r="J17251" s="534">
        <v>8651.19</v>
      </c>
      <c r="K17251" s="534">
        <v>99.25</v>
      </c>
      <c r="L17251" s="43">
        <v>7.2008264506203634</v>
      </c>
      <c r="M17251" s="43">
        <v>11.500544473019623</v>
      </c>
      <c r="N17251" s="43">
        <v>5.9081124640610811</v>
      </c>
      <c r="O17251" s="43">
        <v>11.50057937427578</v>
      </c>
      <c r="P17251" s="535"/>
      <c r="Q17251" s="535"/>
      <c r="R17251" s="535">
        <v>4</v>
      </c>
    </row>
    <row r="17252" spans="1:18" ht="24">
      <c r="A17252" s="531">
        <v>400</v>
      </c>
      <c r="B17252" s="528" t="s">
        <v>30992</v>
      </c>
      <c r="C17252" s="532" t="s">
        <v>30993</v>
      </c>
      <c r="D17252" s="533">
        <v>2161.5500000000002</v>
      </c>
      <c r="E17252" s="533">
        <v>478.74</v>
      </c>
      <c r="F17252" s="533">
        <v>1673.24</v>
      </c>
      <c r="G17252" s="533">
        <v>9.57</v>
      </c>
      <c r="H17252" s="534">
        <v>15512.49</v>
      </c>
      <c r="I17252" s="534">
        <v>5505.7</v>
      </c>
      <c r="J17252" s="534">
        <v>9896.73</v>
      </c>
      <c r="K17252" s="534">
        <v>110.06</v>
      </c>
      <c r="L17252" s="43">
        <v>7.1765584881219491</v>
      </c>
      <c r="M17252" s="43">
        <v>11.50039687513055</v>
      </c>
      <c r="N17252" s="43">
        <v>5.9147103822523963</v>
      </c>
      <c r="O17252" s="43">
        <v>11.500522466039707</v>
      </c>
      <c r="P17252" s="535"/>
      <c r="Q17252" s="535"/>
      <c r="R17252" s="535">
        <v>4</v>
      </c>
    </row>
    <row r="17253" spans="1:18" ht="24">
      <c r="A17253" s="531">
        <v>401</v>
      </c>
      <c r="B17253" s="528" t="s">
        <v>30994</v>
      </c>
      <c r="C17253" s="532" t="s">
        <v>30995</v>
      </c>
      <c r="D17253" s="533">
        <v>2257.11</v>
      </c>
      <c r="E17253" s="533">
        <v>502.3</v>
      </c>
      <c r="F17253" s="533">
        <v>1744.76</v>
      </c>
      <c r="G17253" s="533">
        <v>10.050000000000001</v>
      </c>
      <c r="H17253" s="534">
        <v>16198.72</v>
      </c>
      <c r="I17253" s="534">
        <v>5776.67</v>
      </c>
      <c r="J17253" s="534">
        <v>10306.469999999999</v>
      </c>
      <c r="K17253" s="534">
        <v>115.58</v>
      </c>
      <c r="L17253" s="43">
        <v>7.176752572980492</v>
      </c>
      <c r="M17253" s="43">
        <v>11.500437985267768</v>
      </c>
      <c r="N17253" s="43">
        <v>5.907098970632064</v>
      </c>
      <c r="O17253" s="43">
        <v>11.500497512437811</v>
      </c>
      <c r="P17253" s="535"/>
      <c r="Q17253" s="535"/>
      <c r="R17253" s="535">
        <v>4</v>
      </c>
    </row>
    <row r="17254" spans="1:18" ht="24">
      <c r="A17254" s="531">
        <v>402</v>
      </c>
      <c r="B17254" s="528" t="s">
        <v>30996</v>
      </c>
      <c r="C17254" s="532" t="s">
        <v>30997</v>
      </c>
      <c r="D17254" s="533">
        <v>3048.66</v>
      </c>
      <c r="E17254" s="533">
        <v>665.09</v>
      </c>
      <c r="F17254" s="533">
        <v>2370.27</v>
      </c>
      <c r="G17254" s="533">
        <v>13.3</v>
      </c>
      <c r="H17254" s="534">
        <v>21837.58</v>
      </c>
      <c r="I17254" s="534">
        <v>7648.86</v>
      </c>
      <c r="J17254" s="534">
        <v>14035.77</v>
      </c>
      <c r="K17254" s="534">
        <v>152.94999999999999</v>
      </c>
      <c r="L17254" s="43">
        <v>7.1630093221284117</v>
      </c>
      <c r="M17254" s="43">
        <v>11.50048865567066</v>
      </c>
      <c r="N17254" s="43">
        <v>5.9215912111278461</v>
      </c>
      <c r="O17254" s="43">
        <v>11.499999999999998</v>
      </c>
      <c r="P17254" s="535"/>
      <c r="Q17254" s="535"/>
      <c r="R17254" s="535">
        <v>4</v>
      </c>
    </row>
    <row r="17255" spans="1:18" ht="24">
      <c r="A17255" s="531">
        <v>403</v>
      </c>
      <c r="B17255" s="528" t="s">
        <v>30998</v>
      </c>
      <c r="C17255" s="532" t="s">
        <v>30999</v>
      </c>
      <c r="D17255" s="533">
        <v>513.52</v>
      </c>
      <c r="E17255" s="533">
        <v>93.34</v>
      </c>
      <c r="F17255" s="533">
        <v>418.31</v>
      </c>
      <c r="G17255" s="533">
        <v>1.87</v>
      </c>
      <c r="H17255" s="534">
        <v>3569.15</v>
      </c>
      <c r="I17255" s="534">
        <v>1073.46</v>
      </c>
      <c r="J17255" s="534">
        <v>2474.1799999999998</v>
      </c>
      <c r="K17255" s="534">
        <v>21.51</v>
      </c>
      <c r="L17255" s="43">
        <v>6.950362205951083</v>
      </c>
      <c r="M17255" s="43">
        <v>11.500535676023141</v>
      </c>
      <c r="N17255" s="43">
        <v>5.9147044058234322</v>
      </c>
      <c r="O17255" s="43">
        <v>11.502673796791443</v>
      </c>
      <c r="P17255" s="535"/>
      <c r="Q17255" s="535"/>
      <c r="R17255" s="535">
        <v>4</v>
      </c>
    </row>
    <row r="17256" spans="1:18" ht="24">
      <c r="A17256" s="531">
        <v>404</v>
      </c>
      <c r="B17256" s="528" t="s">
        <v>31000</v>
      </c>
      <c r="C17256" s="532" t="s">
        <v>31001</v>
      </c>
      <c r="D17256" s="533">
        <v>702.06</v>
      </c>
      <c r="E17256" s="533">
        <v>127.38</v>
      </c>
      <c r="F17256" s="533">
        <v>572.13</v>
      </c>
      <c r="G17256" s="533">
        <v>2.5499999999999998</v>
      </c>
      <c r="H17256" s="534">
        <v>4874.6000000000004</v>
      </c>
      <c r="I17256" s="534">
        <v>1464.88</v>
      </c>
      <c r="J17256" s="534">
        <v>3380.39</v>
      </c>
      <c r="K17256" s="534">
        <v>29.33</v>
      </c>
      <c r="L17256" s="43">
        <v>6.9432812010369496</v>
      </c>
      <c r="M17256" s="43">
        <v>11.500078505259854</v>
      </c>
      <c r="N17256" s="43">
        <v>5.9084299022949329</v>
      </c>
      <c r="O17256" s="43">
        <v>11.501960784313725</v>
      </c>
      <c r="P17256" s="535"/>
      <c r="Q17256" s="535"/>
      <c r="R17256" s="535">
        <v>4</v>
      </c>
    </row>
    <row r="17257" spans="1:18" ht="24">
      <c r="A17257" s="531">
        <v>405</v>
      </c>
      <c r="B17257" s="528" t="s">
        <v>31002</v>
      </c>
      <c r="C17257" s="532" t="s">
        <v>31003</v>
      </c>
      <c r="D17257" s="533">
        <v>780.92</v>
      </c>
      <c r="E17257" s="533">
        <v>149.79</v>
      </c>
      <c r="F17257" s="533">
        <v>628.13</v>
      </c>
      <c r="G17257" s="533">
        <v>3</v>
      </c>
      <c r="H17257" s="534">
        <v>5472.09</v>
      </c>
      <c r="I17257" s="534">
        <v>1722.69</v>
      </c>
      <c r="J17257" s="534">
        <v>3714.9</v>
      </c>
      <c r="K17257" s="534">
        <v>34.5</v>
      </c>
      <c r="L17257" s="43">
        <v>7.0072350560876924</v>
      </c>
      <c r="M17257" s="43">
        <v>11.500700981373924</v>
      </c>
      <c r="N17257" s="43">
        <v>5.9142215783356953</v>
      </c>
      <c r="O17257" s="43">
        <v>11.5</v>
      </c>
      <c r="P17257" s="535"/>
      <c r="Q17257" s="535"/>
      <c r="R17257" s="535">
        <v>4</v>
      </c>
    </row>
    <row r="17258" spans="1:18" ht="24">
      <c r="A17258" s="531">
        <v>406</v>
      </c>
      <c r="B17258" s="528" t="s">
        <v>31004</v>
      </c>
      <c r="C17258" s="532" t="s">
        <v>31005</v>
      </c>
      <c r="D17258" s="533">
        <v>956.27</v>
      </c>
      <c r="E17258" s="533">
        <v>172.21</v>
      </c>
      <c r="F17258" s="533">
        <v>780.62</v>
      </c>
      <c r="G17258" s="533">
        <v>3.44</v>
      </c>
      <c r="H17258" s="534">
        <v>6633.91</v>
      </c>
      <c r="I17258" s="534">
        <v>1980.51</v>
      </c>
      <c r="J17258" s="534">
        <v>4613.84</v>
      </c>
      <c r="K17258" s="534">
        <v>39.56</v>
      </c>
      <c r="L17258" s="43">
        <v>6.9372771288443644</v>
      </c>
      <c r="M17258" s="43">
        <v>11.500551652052726</v>
      </c>
      <c r="N17258" s="43">
        <v>5.9104814122108067</v>
      </c>
      <c r="O17258" s="43">
        <v>11.5</v>
      </c>
      <c r="P17258" s="535"/>
      <c r="Q17258" s="535"/>
      <c r="R17258" s="535">
        <v>4</v>
      </c>
    </row>
    <row r="17259" spans="1:18" ht="24">
      <c r="A17259" s="531">
        <v>407</v>
      </c>
      <c r="B17259" s="528" t="s">
        <v>31006</v>
      </c>
      <c r="C17259" s="532" t="s">
        <v>31007</v>
      </c>
      <c r="D17259" s="533">
        <v>1077.3499999999999</v>
      </c>
      <c r="E17259" s="533">
        <v>194.63</v>
      </c>
      <c r="F17259" s="533">
        <v>878.83</v>
      </c>
      <c r="G17259" s="533">
        <v>3.89</v>
      </c>
      <c r="H17259" s="534">
        <v>7481.12</v>
      </c>
      <c r="I17259" s="534">
        <v>2238.33</v>
      </c>
      <c r="J17259" s="534">
        <v>5198.05</v>
      </c>
      <c r="K17259" s="534">
        <v>44.74</v>
      </c>
      <c r="L17259" s="43">
        <v>6.9440014851255398</v>
      </c>
      <c r="M17259" s="43">
        <v>11.500436726095669</v>
      </c>
      <c r="N17259" s="43">
        <v>5.9147389142382485</v>
      </c>
      <c r="O17259" s="43">
        <v>11.501285347043702</v>
      </c>
      <c r="P17259" s="535"/>
      <c r="Q17259" s="535"/>
      <c r="R17259" s="535">
        <v>4</v>
      </c>
    </row>
    <row r="17260" spans="1:18" ht="24">
      <c r="A17260" s="531">
        <v>408</v>
      </c>
      <c r="B17260" s="528" t="s">
        <v>31008</v>
      </c>
      <c r="C17260" s="532" t="s">
        <v>31009</v>
      </c>
      <c r="D17260" s="533">
        <v>1228.5899999999999</v>
      </c>
      <c r="E17260" s="533">
        <v>233.48</v>
      </c>
      <c r="F17260" s="533">
        <v>990.44</v>
      </c>
      <c r="G17260" s="533">
        <v>4.67</v>
      </c>
      <c r="H17260" s="534">
        <v>8593.39</v>
      </c>
      <c r="I17260" s="534">
        <v>2685.11</v>
      </c>
      <c r="J17260" s="534">
        <v>5854.57</v>
      </c>
      <c r="K17260" s="534">
        <v>53.71</v>
      </c>
      <c r="L17260" s="43">
        <v>6.9945140364157288</v>
      </c>
      <c r="M17260" s="43">
        <v>11.500385471989036</v>
      </c>
      <c r="N17260" s="43">
        <v>5.9110799240741478</v>
      </c>
      <c r="O17260" s="43">
        <v>11.501070663811564</v>
      </c>
      <c r="P17260" s="535"/>
      <c r="Q17260" s="535"/>
      <c r="R17260" s="535">
        <v>4</v>
      </c>
    </row>
    <row r="17261" spans="1:18" ht="24">
      <c r="A17261" s="531">
        <v>409</v>
      </c>
      <c r="B17261" s="528" t="s">
        <v>31010</v>
      </c>
      <c r="C17261" s="532" t="s">
        <v>31011</v>
      </c>
      <c r="D17261" s="533">
        <v>1375.93</v>
      </c>
      <c r="E17261" s="533">
        <v>309.52</v>
      </c>
      <c r="F17261" s="533">
        <v>1060.22</v>
      </c>
      <c r="G17261" s="533">
        <v>6.19</v>
      </c>
      <c r="H17261" s="534">
        <v>9904.7199999999993</v>
      </c>
      <c r="I17261" s="534">
        <v>3559.61</v>
      </c>
      <c r="J17261" s="534">
        <v>6273.92</v>
      </c>
      <c r="K17261" s="534">
        <v>71.19</v>
      </c>
      <c r="L17261" s="43">
        <v>7.1985638804299628</v>
      </c>
      <c r="M17261" s="43">
        <v>11.500420005169296</v>
      </c>
      <c r="N17261" s="43">
        <v>5.9175642791118825</v>
      </c>
      <c r="O17261" s="43">
        <v>11.500807754442649</v>
      </c>
      <c r="P17261" s="535"/>
      <c r="Q17261" s="535"/>
      <c r="R17261" s="535">
        <v>4</v>
      </c>
    </row>
    <row r="17262" spans="1:18" ht="24">
      <c r="A17262" s="531">
        <v>410</v>
      </c>
      <c r="B17262" s="528" t="s">
        <v>31012</v>
      </c>
      <c r="C17262" s="532" t="s">
        <v>31013</v>
      </c>
      <c r="D17262" s="533">
        <v>1709.66</v>
      </c>
      <c r="E17262" s="533">
        <v>390.92</v>
      </c>
      <c r="F17262" s="533">
        <v>1310.92</v>
      </c>
      <c r="G17262" s="533">
        <v>7.82</v>
      </c>
      <c r="H17262" s="534">
        <v>12342.7</v>
      </c>
      <c r="I17262" s="534">
        <v>4495.71</v>
      </c>
      <c r="J17262" s="534">
        <v>7757.06</v>
      </c>
      <c r="K17262" s="534">
        <v>89.93</v>
      </c>
      <c r="L17262" s="43">
        <v>7.2193886503749285</v>
      </c>
      <c r="M17262" s="43">
        <v>11.500332548859101</v>
      </c>
      <c r="N17262" s="43">
        <v>5.9172642113935252</v>
      </c>
      <c r="O17262" s="43">
        <v>11.5</v>
      </c>
      <c r="P17262" s="535"/>
      <c r="Q17262" s="535"/>
      <c r="R17262" s="535">
        <v>4</v>
      </c>
    </row>
    <row r="17263" spans="1:18" ht="24">
      <c r="A17263" s="531">
        <v>411</v>
      </c>
      <c r="B17263" s="528" t="s">
        <v>31014</v>
      </c>
      <c r="C17263" s="532" t="s">
        <v>31015</v>
      </c>
      <c r="D17263" s="533">
        <v>2078.02</v>
      </c>
      <c r="E17263" s="533">
        <v>466.96</v>
      </c>
      <c r="F17263" s="533">
        <v>1601.72</v>
      </c>
      <c r="G17263" s="533">
        <v>9.34</v>
      </c>
      <c r="H17263" s="534">
        <v>14964.59</v>
      </c>
      <c r="I17263" s="534">
        <v>5370.21</v>
      </c>
      <c r="J17263" s="534">
        <v>9486.9699999999993</v>
      </c>
      <c r="K17263" s="534">
        <v>107.41</v>
      </c>
      <c r="L17263" s="43">
        <v>7.2013695729588747</v>
      </c>
      <c r="M17263" s="43">
        <v>11.500364056878533</v>
      </c>
      <c r="N17263" s="43">
        <v>5.922989036785455</v>
      </c>
      <c r="O17263" s="43">
        <v>11.5</v>
      </c>
      <c r="P17263" s="535"/>
      <c r="Q17263" s="535"/>
      <c r="R17263" s="535">
        <v>4</v>
      </c>
    </row>
    <row r="17264" spans="1:18" ht="24">
      <c r="A17264" s="531">
        <v>412</v>
      </c>
      <c r="B17264" s="528" t="s">
        <v>31016</v>
      </c>
      <c r="C17264" s="532" t="s">
        <v>31017</v>
      </c>
      <c r="D17264" s="533">
        <v>2268.25</v>
      </c>
      <c r="E17264" s="533">
        <v>514.08000000000004</v>
      </c>
      <c r="F17264" s="533">
        <v>1743.89</v>
      </c>
      <c r="G17264" s="533">
        <v>10.28</v>
      </c>
      <c r="H17264" s="534">
        <v>16341.65</v>
      </c>
      <c r="I17264" s="534">
        <v>5912.16</v>
      </c>
      <c r="J17264" s="534">
        <v>10311.27</v>
      </c>
      <c r="K17264" s="534">
        <v>118.22</v>
      </c>
      <c r="L17264" s="43">
        <v>7.2045189022374077</v>
      </c>
      <c r="M17264" s="43">
        <v>11.500466853408028</v>
      </c>
      <c r="N17264" s="43">
        <v>5.9127983989815869</v>
      </c>
      <c r="O17264" s="43">
        <v>11.5</v>
      </c>
      <c r="P17264" s="535"/>
      <c r="Q17264" s="535"/>
      <c r="R17264" s="535">
        <v>4</v>
      </c>
    </row>
    <row r="17265" spans="1:18" ht="24">
      <c r="A17265" s="531">
        <v>413</v>
      </c>
      <c r="B17265" s="528" t="s">
        <v>31018</v>
      </c>
      <c r="C17265" s="532" t="s">
        <v>31019</v>
      </c>
      <c r="D17265" s="533">
        <v>2547.33</v>
      </c>
      <c r="E17265" s="533">
        <v>583.70000000000005</v>
      </c>
      <c r="F17265" s="533">
        <v>1951.96</v>
      </c>
      <c r="G17265" s="533">
        <v>11.67</v>
      </c>
      <c r="H17265" s="534">
        <v>18408.57</v>
      </c>
      <c r="I17265" s="534">
        <v>6712.77</v>
      </c>
      <c r="J17265" s="534">
        <v>11561.59</v>
      </c>
      <c r="K17265" s="534">
        <v>134.21</v>
      </c>
      <c r="L17265" s="43">
        <v>7.2266137485131487</v>
      </c>
      <c r="M17265" s="43">
        <v>11.500376905944835</v>
      </c>
      <c r="N17265" s="43">
        <v>5.9230670710465381</v>
      </c>
      <c r="O17265" s="43">
        <v>11.500428449014567</v>
      </c>
      <c r="P17265" s="535"/>
      <c r="Q17265" s="535"/>
      <c r="R17265" s="535">
        <v>4</v>
      </c>
    </row>
    <row r="17266" spans="1:18" ht="24">
      <c r="A17266" s="531">
        <v>414</v>
      </c>
      <c r="B17266" s="528" t="s">
        <v>31020</v>
      </c>
      <c r="C17266" s="532" t="s">
        <v>31021</v>
      </c>
      <c r="D17266" s="533">
        <v>2815.9</v>
      </c>
      <c r="E17266" s="533">
        <v>642.6</v>
      </c>
      <c r="F17266" s="533">
        <v>2160.4499999999998</v>
      </c>
      <c r="G17266" s="533">
        <v>12.85</v>
      </c>
      <c r="H17266" s="534">
        <v>20333.02</v>
      </c>
      <c r="I17266" s="534">
        <v>7390.2</v>
      </c>
      <c r="J17266" s="534">
        <v>12795.04</v>
      </c>
      <c r="K17266" s="534">
        <v>147.78</v>
      </c>
      <c r="L17266" s="43">
        <v>7.2207890905216807</v>
      </c>
      <c r="M17266" s="43">
        <v>11.50046685340803</v>
      </c>
      <c r="N17266" s="43">
        <v>5.9223957971718866</v>
      </c>
      <c r="O17266" s="43">
        <v>11.500389105058366</v>
      </c>
      <c r="P17266" s="535"/>
      <c r="Q17266" s="535"/>
      <c r="R17266" s="535">
        <v>4</v>
      </c>
    </row>
    <row r="17267" spans="1:18" ht="24">
      <c r="A17267" s="531">
        <v>415</v>
      </c>
      <c r="B17267" s="528" t="s">
        <v>31022</v>
      </c>
      <c r="C17267" s="532" t="s">
        <v>31023</v>
      </c>
      <c r="D17267" s="533">
        <v>3939.9</v>
      </c>
      <c r="E17267" s="533">
        <v>852.52</v>
      </c>
      <c r="F17267" s="533">
        <v>3070.33</v>
      </c>
      <c r="G17267" s="533">
        <v>17.05</v>
      </c>
      <c r="H17267" s="534">
        <v>28143.97</v>
      </c>
      <c r="I17267" s="534">
        <v>9804.33</v>
      </c>
      <c r="J17267" s="534">
        <v>18143.560000000001</v>
      </c>
      <c r="K17267" s="534">
        <v>196.08</v>
      </c>
      <c r="L17267" s="43">
        <v>7.1433208964694535</v>
      </c>
      <c r="M17267" s="43">
        <v>11.500410547553138</v>
      </c>
      <c r="N17267" s="43">
        <v>5.9093191937023057</v>
      </c>
      <c r="O17267" s="43">
        <v>11.500293255131965</v>
      </c>
      <c r="P17267" s="535"/>
      <c r="Q17267" s="535"/>
      <c r="R17267" s="535">
        <v>4</v>
      </c>
    </row>
    <row r="17268" spans="1:18" ht="48">
      <c r="A17268" s="531">
        <v>416</v>
      </c>
      <c r="B17268" s="528" t="s">
        <v>31024</v>
      </c>
      <c r="C17268" s="532" t="s">
        <v>31025</v>
      </c>
      <c r="D17268" s="533">
        <v>76.86</v>
      </c>
      <c r="E17268" s="533">
        <v>18.850000000000001</v>
      </c>
      <c r="F17268" s="533">
        <v>57.63</v>
      </c>
      <c r="G17268" s="533">
        <v>0.38</v>
      </c>
      <c r="H17268" s="534">
        <v>575.9</v>
      </c>
      <c r="I17268" s="534">
        <v>216.8</v>
      </c>
      <c r="J17268" s="534">
        <v>354.73</v>
      </c>
      <c r="K17268" s="534">
        <v>4.37</v>
      </c>
      <c r="L17268" s="43">
        <v>7.4928441321883943</v>
      </c>
      <c r="M17268" s="43">
        <v>11.50132625994695</v>
      </c>
      <c r="N17268" s="43">
        <v>6.1553010584764882</v>
      </c>
      <c r="O17268" s="43">
        <v>11.5</v>
      </c>
      <c r="P17268" s="535"/>
      <c r="Q17268" s="535"/>
      <c r="R17268" s="535">
        <v>4</v>
      </c>
    </row>
    <row r="17269" spans="1:18" ht="48">
      <c r="A17269" s="531">
        <v>417</v>
      </c>
      <c r="B17269" s="528" t="s">
        <v>31026</v>
      </c>
      <c r="C17269" s="532" t="s">
        <v>31027</v>
      </c>
      <c r="D17269" s="533">
        <v>91.55</v>
      </c>
      <c r="E17269" s="533">
        <v>22.21</v>
      </c>
      <c r="F17269" s="533">
        <v>68.900000000000006</v>
      </c>
      <c r="G17269" s="533">
        <v>0.44</v>
      </c>
      <c r="H17269" s="534">
        <v>684.67</v>
      </c>
      <c r="I17269" s="534">
        <v>255.47</v>
      </c>
      <c r="J17269" s="534">
        <v>424.14</v>
      </c>
      <c r="K17269" s="534">
        <v>5.0599999999999996</v>
      </c>
      <c r="L17269" s="43">
        <v>7.4786455488803929</v>
      </c>
      <c r="M17269" s="43">
        <v>11.502476361999099</v>
      </c>
      <c r="N17269" s="43">
        <v>6.1558780841799701</v>
      </c>
      <c r="O17269" s="43">
        <v>11.499999999999998</v>
      </c>
      <c r="P17269" s="535"/>
      <c r="Q17269" s="535"/>
      <c r="R17269" s="535">
        <v>4</v>
      </c>
    </row>
    <row r="17270" spans="1:18" ht="48">
      <c r="A17270" s="531">
        <v>418</v>
      </c>
      <c r="B17270" s="528" t="s">
        <v>31028</v>
      </c>
      <c r="C17270" s="532" t="s">
        <v>31029</v>
      </c>
      <c r="D17270" s="533">
        <v>105.02</v>
      </c>
      <c r="E17270" s="533">
        <v>25.58</v>
      </c>
      <c r="F17270" s="533">
        <v>78.930000000000007</v>
      </c>
      <c r="G17270" s="533">
        <v>0.51</v>
      </c>
      <c r="H17270" s="534">
        <v>785.85</v>
      </c>
      <c r="I17270" s="534">
        <v>294.14999999999998</v>
      </c>
      <c r="J17270" s="534">
        <v>485.83</v>
      </c>
      <c r="K17270" s="534">
        <v>5.87</v>
      </c>
      <c r="L17270" s="43">
        <v>7.4828604075414216</v>
      </c>
      <c r="M17270" s="43">
        <v>11.499218139171228</v>
      </c>
      <c r="N17270" s="43">
        <v>6.1552008108450522</v>
      </c>
      <c r="O17270" s="43">
        <v>11.503164556962025</v>
      </c>
      <c r="P17270" s="535"/>
      <c r="Q17270" s="535"/>
      <c r="R17270" s="535">
        <v>4</v>
      </c>
    </row>
    <row r="17271" spans="1:18" ht="48">
      <c r="A17271" s="531">
        <v>419</v>
      </c>
      <c r="B17271" s="528" t="s">
        <v>31030</v>
      </c>
      <c r="C17271" s="532" t="s">
        <v>31031</v>
      </c>
      <c r="D17271" s="533">
        <v>118.37</v>
      </c>
      <c r="E17271" s="533">
        <v>28.84</v>
      </c>
      <c r="F17271" s="533">
        <v>88.95</v>
      </c>
      <c r="G17271" s="533">
        <v>0.57999999999999996</v>
      </c>
      <c r="H17271" s="534">
        <v>885.84</v>
      </c>
      <c r="I17271" s="534">
        <v>331.65</v>
      </c>
      <c r="J17271" s="534">
        <v>547.52</v>
      </c>
      <c r="K17271" s="534">
        <v>6.67</v>
      </c>
      <c r="L17271" s="43">
        <v>7.483652952606235</v>
      </c>
      <c r="M17271" s="43">
        <v>11.499653259361997</v>
      </c>
      <c r="N17271" s="43">
        <v>6.1553681843732431</v>
      </c>
      <c r="O17271" s="43">
        <v>11.5</v>
      </c>
      <c r="P17271" s="535"/>
      <c r="Q17271" s="535"/>
      <c r="R17271" s="535">
        <v>4</v>
      </c>
    </row>
    <row r="17272" spans="1:18" ht="48">
      <c r="A17272" s="531">
        <v>420</v>
      </c>
      <c r="B17272" s="528" t="s">
        <v>31032</v>
      </c>
      <c r="C17272" s="532" t="s">
        <v>31033</v>
      </c>
      <c r="D17272" s="533">
        <v>130.56</v>
      </c>
      <c r="E17272" s="533">
        <v>32.200000000000003</v>
      </c>
      <c r="F17272" s="533">
        <v>97.72</v>
      </c>
      <c r="G17272" s="533">
        <v>0.64</v>
      </c>
      <c r="H17272" s="534">
        <v>979.18</v>
      </c>
      <c r="I17272" s="534">
        <v>370.32</v>
      </c>
      <c r="J17272" s="534">
        <v>601.5</v>
      </c>
      <c r="K17272" s="534">
        <v>7.36</v>
      </c>
      <c r="L17272" s="43">
        <v>7.4998468137254894</v>
      </c>
      <c r="M17272" s="43">
        <v>11.500621118012422</v>
      </c>
      <c r="N17272" s="43">
        <v>6.1553417928776097</v>
      </c>
      <c r="O17272" s="43">
        <v>11.5</v>
      </c>
      <c r="P17272" s="535"/>
      <c r="Q17272" s="535"/>
      <c r="R17272" s="535">
        <v>4</v>
      </c>
    </row>
    <row r="17273" spans="1:18" ht="48">
      <c r="A17273" s="531">
        <v>421</v>
      </c>
      <c r="B17273" s="528" t="s">
        <v>31034</v>
      </c>
      <c r="C17273" s="532" t="s">
        <v>31035</v>
      </c>
      <c r="D17273" s="533">
        <v>133.44</v>
      </c>
      <c r="E17273" s="533">
        <v>35.020000000000003</v>
      </c>
      <c r="F17273" s="533">
        <v>97.72</v>
      </c>
      <c r="G17273" s="533">
        <v>0.7</v>
      </c>
      <c r="H17273" s="534">
        <v>1012.32</v>
      </c>
      <c r="I17273" s="534">
        <v>402.77</v>
      </c>
      <c r="J17273" s="534">
        <v>601.5</v>
      </c>
      <c r="K17273" s="534">
        <v>8.0500000000000007</v>
      </c>
      <c r="L17273" s="43">
        <v>7.5863309352517989</v>
      </c>
      <c r="M17273" s="43">
        <v>11.501142204454595</v>
      </c>
      <c r="N17273" s="43">
        <v>6.1553417928776097</v>
      </c>
      <c r="O17273" s="43">
        <v>11.500000000000002</v>
      </c>
      <c r="P17273" s="535"/>
      <c r="Q17273" s="535"/>
      <c r="R17273" s="535">
        <v>4</v>
      </c>
    </row>
    <row r="17274" spans="1:18" ht="48">
      <c r="A17274" s="531">
        <v>422</v>
      </c>
      <c r="B17274" s="528" t="s">
        <v>31036</v>
      </c>
      <c r="C17274" s="532" t="s">
        <v>31037</v>
      </c>
      <c r="D17274" s="533">
        <v>152.91999999999999</v>
      </c>
      <c r="E17274" s="533">
        <v>45.52</v>
      </c>
      <c r="F17274" s="533">
        <v>106.49</v>
      </c>
      <c r="G17274" s="533">
        <v>0.91</v>
      </c>
      <c r="H17274" s="534">
        <v>1189.43</v>
      </c>
      <c r="I17274" s="534">
        <v>523.47</v>
      </c>
      <c r="J17274" s="534">
        <v>655.49</v>
      </c>
      <c r="K17274" s="534">
        <v>10.47</v>
      </c>
      <c r="L17274" s="43">
        <v>7.778119278053885</v>
      </c>
      <c r="M17274" s="43">
        <v>11.499780316344463</v>
      </c>
      <c r="N17274" s="43">
        <v>6.1554136538642128</v>
      </c>
      <c r="O17274" s="43">
        <v>11.503164556962025</v>
      </c>
      <c r="P17274" s="535"/>
      <c r="Q17274" s="535"/>
      <c r="R17274" s="535">
        <v>4</v>
      </c>
    </row>
    <row r="17275" spans="1:18" ht="48">
      <c r="A17275" s="531">
        <v>423</v>
      </c>
      <c r="B17275" s="528" t="s">
        <v>31038</v>
      </c>
      <c r="C17275" s="532" t="s">
        <v>31039</v>
      </c>
      <c r="D17275" s="533">
        <v>188.67</v>
      </c>
      <c r="E17275" s="533">
        <v>56.01</v>
      </c>
      <c r="F17275" s="533">
        <v>131.54</v>
      </c>
      <c r="G17275" s="533">
        <v>1.1200000000000001</v>
      </c>
      <c r="H17275" s="534">
        <v>1466.78</v>
      </c>
      <c r="I17275" s="534">
        <v>644.17999999999995</v>
      </c>
      <c r="J17275" s="534">
        <v>809.72</v>
      </c>
      <c r="K17275" s="534">
        <v>12.88</v>
      </c>
      <c r="L17275" s="43">
        <v>7.7743149414321309</v>
      </c>
      <c r="M17275" s="43">
        <v>11.501160507052312</v>
      </c>
      <c r="N17275" s="43">
        <v>6.1556940854492934</v>
      </c>
      <c r="O17275" s="43">
        <v>11.5</v>
      </c>
      <c r="P17275" s="535"/>
      <c r="Q17275" s="535"/>
      <c r="R17275" s="535">
        <v>4</v>
      </c>
    </row>
    <row r="17276" spans="1:18" ht="48">
      <c r="A17276" s="531">
        <v>424</v>
      </c>
      <c r="B17276" s="528" t="s">
        <v>31040</v>
      </c>
      <c r="C17276" s="532" t="s">
        <v>31041</v>
      </c>
      <c r="D17276" s="533">
        <v>218.18</v>
      </c>
      <c r="E17276" s="533">
        <v>66.510000000000005</v>
      </c>
      <c r="F17276" s="533">
        <v>150.34</v>
      </c>
      <c r="G17276" s="533">
        <v>1.33</v>
      </c>
      <c r="H17276" s="534">
        <v>1705.58</v>
      </c>
      <c r="I17276" s="534">
        <v>764.89</v>
      </c>
      <c r="J17276" s="534">
        <v>925.39</v>
      </c>
      <c r="K17276" s="534">
        <v>15.3</v>
      </c>
      <c r="L17276" s="43">
        <v>7.8173068108900905</v>
      </c>
      <c r="M17276" s="43">
        <v>11.500375883325814</v>
      </c>
      <c r="N17276" s="43">
        <v>6.1553146201942264</v>
      </c>
      <c r="O17276" s="43">
        <v>11.503759398496241</v>
      </c>
      <c r="P17276" s="535"/>
      <c r="Q17276" s="535"/>
      <c r="R17276" s="535">
        <v>4</v>
      </c>
    </row>
    <row r="17277" spans="1:18" ht="48">
      <c r="A17277" s="531">
        <v>425</v>
      </c>
      <c r="B17277" s="528" t="s">
        <v>31042</v>
      </c>
      <c r="C17277" s="532" t="s">
        <v>31043</v>
      </c>
      <c r="D17277" s="533">
        <v>273.83</v>
      </c>
      <c r="E17277" s="533">
        <v>80.540000000000006</v>
      </c>
      <c r="F17277" s="533">
        <v>191.68</v>
      </c>
      <c r="G17277" s="533">
        <v>1.61</v>
      </c>
      <c r="H17277" s="534">
        <v>2124.63</v>
      </c>
      <c r="I17277" s="534">
        <v>926.24</v>
      </c>
      <c r="J17277" s="534">
        <v>1179.8699999999999</v>
      </c>
      <c r="K17277" s="534">
        <v>18.52</v>
      </c>
      <c r="L17277" s="43">
        <v>7.7589380272431807</v>
      </c>
      <c r="M17277" s="43">
        <v>11.50037248572138</v>
      </c>
      <c r="N17277" s="43">
        <v>6.1554152754590978</v>
      </c>
      <c r="O17277" s="43">
        <v>11.503105590062111</v>
      </c>
      <c r="P17277" s="535"/>
      <c r="Q17277" s="535"/>
      <c r="R17277" s="535">
        <v>4</v>
      </c>
    </row>
    <row r="17278" spans="1:18" ht="48">
      <c r="A17278" s="531">
        <v>426</v>
      </c>
      <c r="B17278" s="528" t="s">
        <v>31044</v>
      </c>
      <c r="C17278" s="532" t="s">
        <v>31045</v>
      </c>
      <c r="D17278" s="533">
        <v>314.45</v>
      </c>
      <c r="E17278" s="533">
        <v>94.57</v>
      </c>
      <c r="F17278" s="533">
        <v>217.99</v>
      </c>
      <c r="G17278" s="533">
        <v>1.89</v>
      </c>
      <c r="H17278" s="534">
        <v>2451.15</v>
      </c>
      <c r="I17278" s="534">
        <v>1087.5899999999999</v>
      </c>
      <c r="J17278" s="534">
        <v>1341.82</v>
      </c>
      <c r="K17278" s="534">
        <v>21.74</v>
      </c>
      <c r="L17278" s="43">
        <v>7.7950389569088889</v>
      </c>
      <c r="M17278" s="43">
        <v>11.500370096225019</v>
      </c>
      <c r="N17278" s="43">
        <v>6.1554199733932746</v>
      </c>
      <c r="O17278" s="43">
        <v>11.502645502645503</v>
      </c>
      <c r="P17278" s="535"/>
      <c r="Q17278" s="535"/>
      <c r="R17278" s="535">
        <v>4</v>
      </c>
    </row>
    <row r="17279" spans="1:18" ht="48">
      <c r="A17279" s="531">
        <v>427</v>
      </c>
      <c r="B17279" s="528" t="s">
        <v>31046</v>
      </c>
      <c r="C17279" s="532" t="s">
        <v>31047</v>
      </c>
      <c r="D17279" s="533">
        <v>354.79</v>
      </c>
      <c r="E17279" s="533">
        <v>107.1</v>
      </c>
      <c r="F17279" s="533">
        <v>245.55</v>
      </c>
      <c r="G17279" s="533">
        <v>2.14</v>
      </c>
      <c r="H17279" s="534">
        <v>2767.78</v>
      </c>
      <c r="I17279" s="534">
        <v>1231.7</v>
      </c>
      <c r="J17279" s="534">
        <v>1511.47</v>
      </c>
      <c r="K17279" s="534">
        <v>24.61</v>
      </c>
      <c r="L17279" s="43">
        <v>7.8011781617294735</v>
      </c>
      <c r="M17279" s="43">
        <v>11.500466853408032</v>
      </c>
      <c r="N17279" s="43">
        <v>6.1554469558134794</v>
      </c>
      <c r="O17279" s="43">
        <v>11.499999999999998</v>
      </c>
      <c r="P17279" s="535"/>
      <c r="Q17279" s="535"/>
      <c r="R17279" s="535">
        <v>4</v>
      </c>
    </row>
    <row r="17280" spans="1:18" ht="48">
      <c r="A17280" s="531">
        <v>428</v>
      </c>
      <c r="B17280" s="528" t="s">
        <v>31048</v>
      </c>
      <c r="C17280" s="532" t="s">
        <v>31049</v>
      </c>
      <c r="D17280" s="533">
        <v>490.58</v>
      </c>
      <c r="E17280" s="533">
        <v>145.66</v>
      </c>
      <c r="F17280" s="533">
        <v>342.01</v>
      </c>
      <c r="G17280" s="533">
        <v>2.91</v>
      </c>
      <c r="H17280" s="534">
        <v>3813.85</v>
      </c>
      <c r="I17280" s="534">
        <v>1675.11</v>
      </c>
      <c r="J17280" s="534">
        <v>2105.27</v>
      </c>
      <c r="K17280" s="534">
        <v>33.47</v>
      </c>
      <c r="L17280" s="43">
        <v>7.7741652737575935</v>
      </c>
      <c r="M17280" s="43">
        <v>11.500137306055196</v>
      </c>
      <c r="N17280" s="43">
        <v>6.155580246191632</v>
      </c>
      <c r="O17280" s="43">
        <v>11.501718213058417</v>
      </c>
      <c r="P17280" s="535"/>
      <c r="Q17280" s="535"/>
      <c r="R17280" s="535">
        <v>4</v>
      </c>
    </row>
    <row r="17281" spans="1:18" ht="24">
      <c r="A17281" s="531">
        <v>429</v>
      </c>
      <c r="B17281" s="528" t="s">
        <v>31050</v>
      </c>
      <c r="C17281" s="532" t="s">
        <v>31051</v>
      </c>
      <c r="D17281" s="533">
        <v>215.38</v>
      </c>
      <c r="E17281" s="533">
        <v>33.32</v>
      </c>
      <c r="F17281" s="533">
        <v>181.39</v>
      </c>
      <c r="G17281" s="533">
        <v>0.67</v>
      </c>
      <c r="H17281" s="534">
        <v>1466.79</v>
      </c>
      <c r="I17281" s="534">
        <v>383.21</v>
      </c>
      <c r="J17281" s="534">
        <v>1075.8699999999999</v>
      </c>
      <c r="K17281" s="534">
        <v>7.71</v>
      </c>
      <c r="L17281" s="43">
        <v>6.8102423623363357</v>
      </c>
      <c r="M17281" s="43">
        <v>11.500900360144056</v>
      </c>
      <c r="N17281" s="43">
        <v>5.9312531010529792</v>
      </c>
      <c r="O17281" s="43">
        <v>11.503164556962025</v>
      </c>
      <c r="P17281" s="535"/>
      <c r="Q17281" s="535"/>
      <c r="R17281" s="535">
        <v>4</v>
      </c>
    </row>
    <row r="17282" spans="1:18" ht="24">
      <c r="A17282" s="531">
        <v>430</v>
      </c>
      <c r="B17282" s="528" t="s">
        <v>31052</v>
      </c>
      <c r="C17282" s="532" t="s">
        <v>31053</v>
      </c>
      <c r="D17282" s="533">
        <v>257.42</v>
      </c>
      <c r="E17282" s="533">
        <v>46.67</v>
      </c>
      <c r="F17282" s="533">
        <v>209.82</v>
      </c>
      <c r="G17282" s="533">
        <v>0.93</v>
      </c>
      <c r="H17282" s="534">
        <v>1788.15</v>
      </c>
      <c r="I17282" s="534">
        <v>536.73</v>
      </c>
      <c r="J17282" s="534">
        <v>1240.72</v>
      </c>
      <c r="K17282" s="534">
        <v>10.7</v>
      </c>
      <c r="L17282" s="43">
        <v>6.9464299588221579</v>
      </c>
      <c r="M17282" s="43">
        <v>11.500535676023141</v>
      </c>
      <c r="N17282" s="43">
        <v>5.9132589838909544</v>
      </c>
      <c r="O17282" s="43">
        <v>11.503164556962025</v>
      </c>
      <c r="P17282" s="535"/>
      <c r="Q17282" s="535"/>
      <c r="R17282" s="535">
        <v>4</v>
      </c>
    </row>
    <row r="17283" spans="1:18" ht="24">
      <c r="A17283" s="531">
        <v>431</v>
      </c>
      <c r="B17283" s="528" t="s">
        <v>31054</v>
      </c>
      <c r="C17283" s="532" t="s">
        <v>31055</v>
      </c>
      <c r="D17283" s="533">
        <v>272.18</v>
      </c>
      <c r="E17283" s="533">
        <v>61.14</v>
      </c>
      <c r="F17283" s="533">
        <v>209.82</v>
      </c>
      <c r="G17283" s="533">
        <v>1.22</v>
      </c>
      <c r="H17283" s="534">
        <v>1957.89</v>
      </c>
      <c r="I17283" s="534">
        <v>703.14</v>
      </c>
      <c r="J17283" s="534">
        <v>1240.72</v>
      </c>
      <c r="K17283" s="534">
        <v>14.03</v>
      </c>
      <c r="L17283" s="43">
        <v>7.1933646851348376</v>
      </c>
      <c r="M17283" s="43">
        <v>11.500490677134446</v>
      </c>
      <c r="N17283" s="43">
        <v>5.9132589838909544</v>
      </c>
      <c r="O17283" s="43">
        <v>11.5</v>
      </c>
      <c r="P17283" s="535"/>
      <c r="Q17283" s="535"/>
      <c r="R17283" s="535">
        <v>4</v>
      </c>
    </row>
    <row r="17284" spans="1:18" ht="24">
      <c r="A17284" s="531">
        <v>432</v>
      </c>
      <c r="B17284" s="528" t="s">
        <v>31056</v>
      </c>
      <c r="C17284" s="532" t="s">
        <v>31057</v>
      </c>
      <c r="D17284" s="533">
        <v>440.21</v>
      </c>
      <c r="E17284" s="533">
        <v>75.510000000000005</v>
      </c>
      <c r="F17284" s="533">
        <v>363.19</v>
      </c>
      <c r="G17284" s="533">
        <v>1.51</v>
      </c>
      <c r="H17284" s="534">
        <v>3020.62</v>
      </c>
      <c r="I17284" s="534">
        <v>868.38</v>
      </c>
      <c r="J17284" s="534">
        <v>2134.87</v>
      </c>
      <c r="K17284" s="534">
        <v>17.37</v>
      </c>
      <c r="L17284" s="43">
        <v>6.8617705186161153</v>
      </c>
      <c r="M17284" s="43">
        <v>11.500198649185538</v>
      </c>
      <c r="N17284" s="43">
        <v>5.8781078774195326</v>
      </c>
      <c r="O17284" s="43">
        <v>11.503311258278146</v>
      </c>
      <c r="P17284" s="535"/>
      <c r="Q17284" s="535"/>
      <c r="R17284" s="535">
        <v>4</v>
      </c>
    </row>
    <row r="17285" spans="1:18" ht="24">
      <c r="A17285" s="531">
        <v>433</v>
      </c>
      <c r="B17285" s="528" t="s">
        <v>31058</v>
      </c>
      <c r="C17285" s="532" t="s">
        <v>31059</v>
      </c>
      <c r="D17285" s="533">
        <v>511.23</v>
      </c>
      <c r="E17285" s="533">
        <v>91.1</v>
      </c>
      <c r="F17285" s="533">
        <v>418.31</v>
      </c>
      <c r="G17285" s="533">
        <v>1.82</v>
      </c>
      <c r="H17285" s="534">
        <v>3542.79</v>
      </c>
      <c r="I17285" s="534">
        <v>1047.68</v>
      </c>
      <c r="J17285" s="534">
        <v>2474.1799999999998</v>
      </c>
      <c r="K17285" s="534">
        <v>20.93</v>
      </c>
      <c r="L17285" s="43">
        <v>6.9299336893374797</v>
      </c>
      <c r="M17285" s="43">
        <v>11.500329308452251</v>
      </c>
      <c r="N17285" s="43">
        <v>5.9147044058234322</v>
      </c>
      <c r="O17285" s="43">
        <v>11.5</v>
      </c>
      <c r="P17285" s="535"/>
      <c r="Q17285" s="535"/>
      <c r="R17285" s="535">
        <v>4</v>
      </c>
    </row>
    <row r="17286" spans="1:18" ht="24">
      <c r="A17286" s="531">
        <v>434</v>
      </c>
      <c r="B17286" s="528" t="s">
        <v>31060</v>
      </c>
      <c r="C17286" s="532" t="s">
        <v>31061</v>
      </c>
      <c r="D17286" s="533">
        <v>567.37</v>
      </c>
      <c r="E17286" s="533">
        <v>103.89</v>
      </c>
      <c r="F17286" s="533">
        <v>461.4</v>
      </c>
      <c r="G17286" s="533">
        <v>2.08</v>
      </c>
      <c r="H17286" s="534">
        <v>3937.75</v>
      </c>
      <c r="I17286" s="534">
        <v>1194.75</v>
      </c>
      <c r="J17286" s="534">
        <v>2719.08</v>
      </c>
      <c r="K17286" s="534">
        <v>23.92</v>
      </c>
      <c r="L17286" s="43">
        <v>6.9403563811974545</v>
      </c>
      <c r="M17286" s="43">
        <v>11.50014438348253</v>
      </c>
      <c r="N17286" s="43">
        <v>5.8931079323797144</v>
      </c>
      <c r="O17286" s="43">
        <v>11.5</v>
      </c>
      <c r="P17286" s="535"/>
      <c r="Q17286" s="535"/>
      <c r="R17286" s="535">
        <v>4</v>
      </c>
    </row>
    <row r="17287" spans="1:18" ht="24">
      <c r="A17287" s="531">
        <v>435</v>
      </c>
      <c r="B17287" s="528" t="s">
        <v>31062</v>
      </c>
      <c r="C17287" s="532" t="s">
        <v>31063</v>
      </c>
      <c r="D17287" s="533">
        <v>671.64</v>
      </c>
      <c r="E17287" s="533">
        <v>152.08000000000001</v>
      </c>
      <c r="F17287" s="533">
        <v>516.52</v>
      </c>
      <c r="G17287" s="533">
        <v>3.04</v>
      </c>
      <c r="H17287" s="534">
        <v>4842.3599999999997</v>
      </c>
      <c r="I17287" s="534">
        <v>1749.01</v>
      </c>
      <c r="J17287" s="534">
        <v>3058.39</v>
      </c>
      <c r="K17287" s="534">
        <v>34.96</v>
      </c>
      <c r="L17287" s="43">
        <v>7.2097552260139359</v>
      </c>
      <c r="M17287" s="43">
        <v>11.50059179379274</v>
      </c>
      <c r="N17287" s="43">
        <v>5.9211453573917758</v>
      </c>
      <c r="O17287" s="43">
        <v>11.5</v>
      </c>
      <c r="P17287" s="535"/>
      <c r="Q17287" s="535"/>
      <c r="R17287" s="535">
        <v>4</v>
      </c>
    </row>
    <row r="17288" spans="1:18" ht="24">
      <c r="A17288" s="531">
        <v>436</v>
      </c>
      <c r="B17288" s="528" t="s">
        <v>31064</v>
      </c>
      <c r="C17288" s="532" t="s">
        <v>31065</v>
      </c>
      <c r="D17288" s="533">
        <v>865.65</v>
      </c>
      <c r="E17288" s="533">
        <v>192.78</v>
      </c>
      <c r="F17288" s="533">
        <v>669.01</v>
      </c>
      <c r="G17288" s="533">
        <v>3.86</v>
      </c>
      <c r="H17288" s="534">
        <v>6218.77</v>
      </c>
      <c r="I17288" s="534">
        <v>2217.06</v>
      </c>
      <c r="J17288" s="534">
        <v>3957.32</v>
      </c>
      <c r="K17288" s="534">
        <v>44.39</v>
      </c>
      <c r="L17288" s="43">
        <v>7.1839311500028886</v>
      </c>
      <c r="M17288" s="43">
        <v>11.50046685340803</v>
      </c>
      <c r="N17288" s="43">
        <v>5.9151881137800633</v>
      </c>
      <c r="O17288" s="43">
        <v>11.5</v>
      </c>
      <c r="P17288" s="535"/>
      <c r="Q17288" s="535"/>
      <c r="R17288" s="535">
        <v>4</v>
      </c>
    </row>
    <row r="17289" spans="1:18" ht="24">
      <c r="A17289" s="531">
        <v>437</v>
      </c>
      <c r="B17289" s="528" t="s">
        <v>31066</v>
      </c>
      <c r="C17289" s="532" t="s">
        <v>31067</v>
      </c>
      <c r="D17289" s="533">
        <v>1033.43</v>
      </c>
      <c r="E17289" s="533">
        <v>233.48</v>
      </c>
      <c r="F17289" s="533">
        <v>795.28</v>
      </c>
      <c r="G17289" s="533">
        <v>4.67</v>
      </c>
      <c r="H17289" s="534">
        <v>7432.69</v>
      </c>
      <c r="I17289" s="534">
        <v>2685.11</v>
      </c>
      <c r="J17289" s="534">
        <v>4693.87</v>
      </c>
      <c r="K17289" s="534">
        <v>53.71</v>
      </c>
      <c r="L17289" s="43">
        <v>7.1922529827854804</v>
      </c>
      <c r="M17289" s="43">
        <v>11.500385471989036</v>
      </c>
      <c r="N17289" s="43">
        <v>5.9021602454481439</v>
      </c>
      <c r="O17289" s="43">
        <v>11.501070663811564</v>
      </c>
      <c r="P17289" s="535"/>
      <c r="Q17289" s="535"/>
      <c r="R17289" s="535">
        <v>4</v>
      </c>
    </row>
    <row r="17290" spans="1:18" ht="24">
      <c r="A17290" s="531">
        <v>438</v>
      </c>
      <c r="B17290" s="528" t="s">
        <v>31068</v>
      </c>
      <c r="C17290" s="532" t="s">
        <v>31069</v>
      </c>
      <c r="D17290" s="533">
        <v>1141.01</v>
      </c>
      <c r="E17290" s="533">
        <v>257.04000000000002</v>
      </c>
      <c r="F17290" s="533">
        <v>878.83</v>
      </c>
      <c r="G17290" s="533">
        <v>5.14</v>
      </c>
      <c r="H17290" s="534">
        <v>8213.24</v>
      </c>
      <c r="I17290" s="534">
        <v>2956.08</v>
      </c>
      <c r="J17290" s="534">
        <v>5198.05</v>
      </c>
      <c r="K17290" s="534">
        <v>59.11</v>
      </c>
      <c r="L17290" s="43">
        <v>7.1982191216553755</v>
      </c>
      <c r="M17290" s="43">
        <v>11.500466853408028</v>
      </c>
      <c r="N17290" s="43">
        <v>5.9147389142382485</v>
      </c>
      <c r="O17290" s="43">
        <v>11.5</v>
      </c>
      <c r="P17290" s="535"/>
      <c r="Q17290" s="535"/>
      <c r="R17290" s="535">
        <v>4</v>
      </c>
    </row>
    <row r="17291" spans="1:18" ht="24">
      <c r="A17291" s="531">
        <v>439</v>
      </c>
      <c r="B17291" s="528" t="s">
        <v>31070</v>
      </c>
      <c r="C17291" s="532" t="s">
        <v>31071</v>
      </c>
      <c r="D17291" s="533">
        <v>1282.1199999999999</v>
      </c>
      <c r="E17291" s="533">
        <v>285.95999999999998</v>
      </c>
      <c r="F17291" s="533">
        <v>990.44</v>
      </c>
      <c r="G17291" s="533">
        <v>5.72</v>
      </c>
      <c r="H17291" s="534">
        <v>9208.99</v>
      </c>
      <c r="I17291" s="534">
        <v>3288.64</v>
      </c>
      <c r="J17291" s="534">
        <v>5854.57</v>
      </c>
      <c r="K17291" s="534">
        <v>65.78</v>
      </c>
      <c r="L17291" s="43">
        <v>7.1826272111814813</v>
      </c>
      <c r="M17291" s="43">
        <v>11.500349699258638</v>
      </c>
      <c r="N17291" s="43">
        <v>5.9110799240741478</v>
      </c>
      <c r="O17291" s="43">
        <v>11.5</v>
      </c>
      <c r="P17291" s="535"/>
      <c r="Q17291" s="535"/>
      <c r="R17291" s="535">
        <v>4</v>
      </c>
    </row>
    <row r="17292" spans="1:18" ht="24">
      <c r="A17292" s="531">
        <v>440</v>
      </c>
      <c r="B17292" s="528" t="s">
        <v>31072</v>
      </c>
      <c r="C17292" s="532" t="s">
        <v>31073</v>
      </c>
      <c r="D17292" s="533">
        <v>1340.94</v>
      </c>
      <c r="E17292" s="533">
        <v>303.08999999999997</v>
      </c>
      <c r="F17292" s="533">
        <v>1031.79</v>
      </c>
      <c r="G17292" s="533">
        <v>6.06</v>
      </c>
      <c r="H17292" s="534">
        <v>9664.4500000000007</v>
      </c>
      <c r="I17292" s="534">
        <v>3485.71</v>
      </c>
      <c r="J17292" s="534">
        <v>6109.05</v>
      </c>
      <c r="K17292" s="534">
        <v>69.69</v>
      </c>
      <c r="L17292" s="43">
        <v>7.2072203081420501</v>
      </c>
      <c r="M17292" s="43">
        <v>11.500577386254909</v>
      </c>
      <c r="N17292" s="43">
        <v>5.9208269124531157</v>
      </c>
      <c r="O17292" s="43">
        <v>11.5</v>
      </c>
      <c r="P17292" s="535"/>
      <c r="Q17292" s="535"/>
      <c r="R17292" s="535">
        <v>4</v>
      </c>
    </row>
    <row r="17293" spans="1:18" ht="24">
      <c r="A17293" s="531">
        <v>441</v>
      </c>
      <c r="B17293" s="528" t="s">
        <v>31074</v>
      </c>
      <c r="C17293" s="532" t="s">
        <v>31075</v>
      </c>
      <c r="D17293" s="533">
        <v>1875.5</v>
      </c>
      <c r="E17293" s="533">
        <v>402.7</v>
      </c>
      <c r="F17293" s="533">
        <v>1464.75</v>
      </c>
      <c r="G17293" s="533">
        <v>8.0500000000000007</v>
      </c>
      <c r="H17293" s="534">
        <v>13387.04</v>
      </c>
      <c r="I17293" s="534">
        <v>4631.1899999999996</v>
      </c>
      <c r="J17293" s="534">
        <v>8663.27</v>
      </c>
      <c r="K17293" s="534">
        <v>92.58</v>
      </c>
      <c r="L17293" s="43">
        <v>7.1378512396694216</v>
      </c>
      <c r="M17293" s="43">
        <v>11.500347653339954</v>
      </c>
      <c r="N17293" s="43">
        <v>5.9145041816009565</v>
      </c>
      <c r="O17293" s="43">
        <v>11.500621118012422</v>
      </c>
      <c r="P17293" s="535"/>
      <c r="Q17293" s="535"/>
      <c r="R17293" s="535">
        <v>4</v>
      </c>
    </row>
    <row r="17294" spans="1:18" ht="36">
      <c r="A17294" s="531">
        <v>442</v>
      </c>
      <c r="B17294" s="528" t="s">
        <v>31076</v>
      </c>
      <c r="C17294" s="532" t="s">
        <v>31077</v>
      </c>
      <c r="D17294" s="533">
        <v>308.49</v>
      </c>
      <c r="E17294" s="533">
        <v>56.66</v>
      </c>
      <c r="F17294" s="533">
        <v>250.7</v>
      </c>
      <c r="G17294" s="533">
        <v>1.1299999999999999</v>
      </c>
      <c r="H17294" s="534">
        <v>2147.7199999999998</v>
      </c>
      <c r="I17294" s="534">
        <v>651.58000000000004</v>
      </c>
      <c r="J17294" s="534">
        <v>1483.14</v>
      </c>
      <c r="K17294" s="534">
        <v>13</v>
      </c>
      <c r="L17294" s="43">
        <v>6.9620409089435631</v>
      </c>
      <c r="M17294" s="43">
        <v>11.499823508648078</v>
      </c>
      <c r="N17294" s="43">
        <v>5.915995213402474</v>
      </c>
      <c r="O17294" s="43">
        <v>11.504424778761063</v>
      </c>
      <c r="P17294" s="535"/>
      <c r="Q17294" s="535"/>
      <c r="R17294" s="535">
        <v>4</v>
      </c>
    </row>
    <row r="17295" spans="1:18" ht="36">
      <c r="A17295" s="531">
        <v>443</v>
      </c>
      <c r="B17295" s="528" t="s">
        <v>31078</v>
      </c>
      <c r="C17295" s="532" t="s">
        <v>31079</v>
      </c>
      <c r="D17295" s="533">
        <v>409.76</v>
      </c>
      <c r="E17295" s="533">
        <v>74.39</v>
      </c>
      <c r="F17295" s="533">
        <v>333.88</v>
      </c>
      <c r="G17295" s="533">
        <v>1.49</v>
      </c>
      <c r="H17295" s="534">
        <v>2847.44</v>
      </c>
      <c r="I17295" s="534">
        <v>855.49</v>
      </c>
      <c r="J17295" s="534">
        <v>1974.81</v>
      </c>
      <c r="K17295" s="534">
        <v>17.14</v>
      </c>
      <c r="L17295" s="43">
        <v>6.9490433424443578</v>
      </c>
      <c r="M17295" s="43">
        <v>11.500067213335125</v>
      </c>
      <c r="N17295" s="43">
        <v>5.914729843057386</v>
      </c>
      <c r="O17295" s="43">
        <v>11.503355704697986</v>
      </c>
      <c r="P17295" s="535"/>
      <c r="Q17295" s="535"/>
      <c r="R17295" s="535">
        <v>4</v>
      </c>
    </row>
    <row r="17296" spans="1:18" ht="36">
      <c r="A17296" s="531">
        <v>444</v>
      </c>
      <c r="B17296" s="528" t="s">
        <v>31080</v>
      </c>
      <c r="C17296" s="532" t="s">
        <v>31081</v>
      </c>
      <c r="D17296" s="533">
        <v>455.23</v>
      </c>
      <c r="E17296" s="533">
        <v>91.1</v>
      </c>
      <c r="F17296" s="533">
        <v>362.31</v>
      </c>
      <c r="G17296" s="533">
        <v>1.82</v>
      </c>
      <c r="H17296" s="534">
        <v>3208.28</v>
      </c>
      <c r="I17296" s="534">
        <v>1047.68</v>
      </c>
      <c r="J17296" s="534">
        <v>2139.67</v>
      </c>
      <c r="K17296" s="534">
        <v>20.93</v>
      </c>
      <c r="L17296" s="43">
        <v>7.0476023109197552</v>
      </c>
      <c r="M17296" s="43">
        <v>11.500329308452251</v>
      </c>
      <c r="N17296" s="43">
        <v>5.9056332974524581</v>
      </c>
      <c r="O17296" s="43">
        <v>11.5</v>
      </c>
      <c r="P17296" s="535"/>
      <c r="Q17296" s="535"/>
      <c r="R17296" s="535">
        <v>4</v>
      </c>
    </row>
    <row r="17297" spans="1:18" ht="36">
      <c r="A17297" s="531">
        <v>445</v>
      </c>
      <c r="B17297" s="528" t="s">
        <v>31082</v>
      </c>
      <c r="C17297" s="532" t="s">
        <v>31083</v>
      </c>
      <c r="D17297" s="533">
        <v>566.54</v>
      </c>
      <c r="E17297" s="533">
        <v>103.94</v>
      </c>
      <c r="F17297" s="533">
        <v>460.52</v>
      </c>
      <c r="G17297" s="533">
        <v>2.08</v>
      </c>
      <c r="H17297" s="534">
        <v>3943.12</v>
      </c>
      <c r="I17297" s="534">
        <v>1195.3399999999999</v>
      </c>
      <c r="J17297" s="534">
        <v>2723.86</v>
      </c>
      <c r="K17297" s="534">
        <v>23.92</v>
      </c>
      <c r="L17297" s="43">
        <v>6.9600028241606946</v>
      </c>
      <c r="M17297" s="43">
        <v>11.500288628054646</v>
      </c>
      <c r="N17297" s="43">
        <v>5.9147485451229054</v>
      </c>
      <c r="O17297" s="43">
        <v>11.5</v>
      </c>
      <c r="P17297" s="535"/>
      <c r="Q17297" s="535"/>
      <c r="R17297" s="535">
        <v>4</v>
      </c>
    </row>
    <row r="17298" spans="1:18" ht="36">
      <c r="A17298" s="531">
        <v>446</v>
      </c>
      <c r="B17298" s="528" t="s">
        <v>31084</v>
      </c>
      <c r="C17298" s="532" t="s">
        <v>31085</v>
      </c>
      <c r="D17298" s="533">
        <v>635.01</v>
      </c>
      <c r="E17298" s="533">
        <v>116.17</v>
      </c>
      <c r="F17298" s="533">
        <v>516.52</v>
      </c>
      <c r="G17298" s="533">
        <v>2.3199999999999998</v>
      </c>
      <c r="H17298" s="534">
        <v>4421.04</v>
      </c>
      <c r="I17298" s="534">
        <v>1335.97</v>
      </c>
      <c r="J17298" s="534">
        <v>3058.39</v>
      </c>
      <c r="K17298" s="534">
        <v>26.68</v>
      </c>
      <c r="L17298" s="43">
        <v>6.962158076250768</v>
      </c>
      <c r="M17298" s="43">
        <v>11.500129121115606</v>
      </c>
      <c r="N17298" s="43">
        <v>5.9211453573917758</v>
      </c>
      <c r="O17298" s="43">
        <v>11.5</v>
      </c>
      <c r="P17298" s="535"/>
      <c r="Q17298" s="535"/>
      <c r="R17298" s="535">
        <v>4</v>
      </c>
    </row>
    <row r="17299" spans="1:18" ht="36">
      <c r="A17299" s="531">
        <v>447</v>
      </c>
      <c r="B17299" s="528" t="s">
        <v>31086</v>
      </c>
      <c r="C17299" s="532" t="s">
        <v>31087</v>
      </c>
      <c r="D17299" s="533">
        <v>725.49</v>
      </c>
      <c r="E17299" s="533">
        <v>140.30000000000001</v>
      </c>
      <c r="F17299" s="533">
        <v>582.38</v>
      </c>
      <c r="G17299" s="533">
        <v>2.81</v>
      </c>
      <c r="H17299" s="534">
        <v>5101.32</v>
      </c>
      <c r="I17299" s="534">
        <v>1613.53</v>
      </c>
      <c r="J17299" s="534">
        <v>3455.47</v>
      </c>
      <c r="K17299" s="534">
        <v>32.32</v>
      </c>
      <c r="L17299" s="43">
        <v>7.0315510896084019</v>
      </c>
      <c r="M17299" s="43">
        <v>11.500570206699928</v>
      </c>
      <c r="N17299" s="43">
        <v>5.9333596620763069</v>
      </c>
      <c r="O17299" s="43">
        <v>11.501779359430605</v>
      </c>
      <c r="P17299" s="535"/>
      <c r="Q17299" s="535"/>
      <c r="R17299" s="535">
        <v>4</v>
      </c>
    </row>
    <row r="17300" spans="1:18" ht="36">
      <c r="A17300" s="531">
        <v>448</v>
      </c>
      <c r="B17300" s="528" t="s">
        <v>31088</v>
      </c>
      <c r="C17300" s="532" t="s">
        <v>31089</v>
      </c>
      <c r="D17300" s="533">
        <v>817.34</v>
      </c>
      <c r="E17300" s="533">
        <v>186.35</v>
      </c>
      <c r="F17300" s="533">
        <v>627.26</v>
      </c>
      <c r="G17300" s="533">
        <v>3.73</v>
      </c>
      <c r="H17300" s="534">
        <v>5905.76</v>
      </c>
      <c r="I17300" s="534">
        <v>2143.16</v>
      </c>
      <c r="J17300" s="534">
        <v>3719.7</v>
      </c>
      <c r="K17300" s="534">
        <v>42.9</v>
      </c>
      <c r="L17300" s="43">
        <v>7.2255854356816016</v>
      </c>
      <c r="M17300" s="43">
        <v>11.500724443251945</v>
      </c>
      <c r="N17300" s="43">
        <v>5.9300768421388259</v>
      </c>
      <c r="O17300" s="43">
        <v>11.501340482573726</v>
      </c>
      <c r="P17300" s="535"/>
      <c r="Q17300" s="535"/>
      <c r="R17300" s="535">
        <v>4</v>
      </c>
    </row>
    <row r="17301" spans="1:18" ht="36">
      <c r="A17301" s="531">
        <v>449</v>
      </c>
      <c r="B17301" s="528" t="s">
        <v>31090</v>
      </c>
      <c r="C17301" s="532" t="s">
        <v>31091</v>
      </c>
      <c r="D17301" s="533">
        <v>1032.55</v>
      </c>
      <c r="E17301" s="533">
        <v>233.48</v>
      </c>
      <c r="F17301" s="533">
        <v>794.4</v>
      </c>
      <c r="G17301" s="533">
        <v>4.67</v>
      </c>
      <c r="H17301" s="534">
        <v>7437.49</v>
      </c>
      <c r="I17301" s="534">
        <v>2685.11</v>
      </c>
      <c r="J17301" s="534">
        <v>4698.67</v>
      </c>
      <c r="K17301" s="534">
        <v>53.71</v>
      </c>
      <c r="L17301" s="43">
        <v>7.2030313302019273</v>
      </c>
      <c r="M17301" s="43">
        <v>11.500385471989036</v>
      </c>
      <c r="N17301" s="43">
        <v>5.9147406847935553</v>
      </c>
      <c r="O17301" s="43">
        <v>11.501070663811564</v>
      </c>
      <c r="P17301" s="535"/>
      <c r="Q17301" s="535"/>
      <c r="R17301" s="535">
        <v>4</v>
      </c>
    </row>
    <row r="17302" spans="1:18" ht="36">
      <c r="A17302" s="531">
        <v>450</v>
      </c>
      <c r="B17302" s="528" t="s">
        <v>31092</v>
      </c>
      <c r="C17302" s="532" t="s">
        <v>31093</v>
      </c>
      <c r="D17302" s="533">
        <v>1233.57</v>
      </c>
      <c r="E17302" s="533">
        <v>280.60000000000002</v>
      </c>
      <c r="F17302" s="533">
        <v>947.36</v>
      </c>
      <c r="G17302" s="533">
        <v>5.61</v>
      </c>
      <c r="H17302" s="534">
        <v>8901.25</v>
      </c>
      <c r="I17302" s="534">
        <v>3227.05</v>
      </c>
      <c r="J17302" s="534">
        <v>5609.68</v>
      </c>
      <c r="K17302" s="534">
        <v>64.52</v>
      </c>
      <c r="L17302" s="43">
        <v>7.2158450675681154</v>
      </c>
      <c r="M17302" s="43">
        <v>11.500534568781182</v>
      </c>
      <c r="N17302" s="43">
        <v>5.921381523391319</v>
      </c>
      <c r="O17302" s="43">
        <v>11.500891265597147</v>
      </c>
      <c r="P17302" s="535"/>
      <c r="Q17302" s="535"/>
      <c r="R17302" s="535">
        <v>4</v>
      </c>
    </row>
    <row r="17303" spans="1:18" ht="36">
      <c r="A17303" s="531">
        <v>451</v>
      </c>
      <c r="B17303" s="528" t="s">
        <v>31094</v>
      </c>
      <c r="C17303" s="532" t="s">
        <v>31095</v>
      </c>
      <c r="D17303" s="533">
        <v>1362.15</v>
      </c>
      <c r="E17303" s="533">
        <v>309.52</v>
      </c>
      <c r="F17303" s="533">
        <v>1046.44</v>
      </c>
      <c r="G17303" s="533">
        <v>6.19</v>
      </c>
      <c r="H17303" s="534">
        <v>9819.89</v>
      </c>
      <c r="I17303" s="534">
        <v>3559.61</v>
      </c>
      <c r="J17303" s="534">
        <v>6189.09</v>
      </c>
      <c r="K17303" s="534">
        <v>71.19</v>
      </c>
      <c r="L17303" s="43">
        <v>7.2091105972176326</v>
      </c>
      <c r="M17303" s="43">
        <v>11.500420005169296</v>
      </c>
      <c r="N17303" s="43">
        <v>5.9144241428079969</v>
      </c>
      <c r="O17303" s="43">
        <v>11.500807754442649</v>
      </c>
      <c r="P17303" s="535"/>
      <c r="Q17303" s="535"/>
      <c r="R17303" s="535">
        <v>4</v>
      </c>
    </row>
    <row r="17304" spans="1:18" ht="36">
      <c r="A17304" s="531">
        <v>452</v>
      </c>
      <c r="B17304" s="528" t="s">
        <v>31096</v>
      </c>
      <c r="C17304" s="532" t="s">
        <v>31097</v>
      </c>
      <c r="D17304" s="533">
        <v>1556.15</v>
      </c>
      <c r="E17304" s="533">
        <v>350.22</v>
      </c>
      <c r="F17304" s="533">
        <v>1198.93</v>
      </c>
      <c r="G17304" s="533">
        <v>7</v>
      </c>
      <c r="H17304" s="534">
        <v>11196.18</v>
      </c>
      <c r="I17304" s="534">
        <v>4027.66</v>
      </c>
      <c r="J17304" s="534">
        <v>7088.02</v>
      </c>
      <c r="K17304" s="534">
        <v>80.5</v>
      </c>
      <c r="L17304" s="43">
        <v>7.1947948462551805</v>
      </c>
      <c r="M17304" s="43">
        <v>11.5003711952487</v>
      </c>
      <c r="N17304" s="43">
        <v>5.9119548263868618</v>
      </c>
      <c r="O17304" s="43">
        <v>11.5</v>
      </c>
      <c r="P17304" s="535"/>
      <c r="Q17304" s="535"/>
      <c r="R17304" s="535">
        <v>4</v>
      </c>
    </row>
    <row r="17305" spans="1:18" ht="36">
      <c r="A17305" s="531">
        <v>453</v>
      </c>
      <c r="B17305" s="528" t="s">
        <v>31098</v>
      </c>
      <c r="C17305" s="532" t="s">
        <v>31099</v>
      </c>
      <c r="D17305" s="533">
        <v>1683.85</v>
      </c>
      <c r="E17305" s="533">
        <v>379.13</v>
      </c>
      <c r="F17305" s="533">
        <v>1297.1400000000001</v>
      </c>
      <c r="G17305" s="533">
        <v>7.58</v>
      </c>
      <c r="H17305" s="534">
        <v>12119.62</v>
      </c>
      <c r="I17305" s="534">
        <v>4360.22</v>
      </c>
      <c r="J17305" s="534">
        <v>7672.23</v>
      </c>
      <c r="K17305" s="534">
        <v>87.17</v>
      </c>
      <c r="L17305" s="43">
        <v>7.197565103780029</v>
      </c>
      <c r="M17305" s="43">
        <v>11.50059346398333</v>
      </c>
      <c r="N17305" s="43">
        <v>5.914727785744021</v>
      </c>
      <c r="O17305" s="43">
        <v>11.5</v>
      </c>
      <c r="P17305" s="535"/>
      <c r="Q17305" s="535"/>
      <c r="R17305" s="535">
        <v>4</v>
      </c>
    </row>
    <row r="17306" spans="1:18" ht="36">
      <c r="A17306" s="531">
        <v>454</v>
      </c>
      <c r="B17306" s="528" t="s">
        <v>31100</v>
      </c>
      <c r="C17306" s="532" t="s">
        <v>31101</v>
      </c>
      <c r="D17306" s="533">
        <v>2359.71</v>
      </c>
      <c r="E17306" s="533">
        <v>536.57000000000005</v>
      </c>
      <c r="F17306" s="533">
        <v>1812.41</v>
      </c>
      <c r="G17306" s="533">
        <v>10.73</v>
      </c>
      <c r="H17306" s="534">
        <v>17017.12</v>
      </c>
      <c r="I17306" s="534">
        <v>6170.82</v>
      </c>
      <c r="J17306" s="534">
        <v>10722.9</v>
      </c>
      <c r="K17306" s="534">
        <v>123.4</v>
      </c>
      <c r="L17306" s="43">
        <v>7.211530230409668</v>
      </c>
      <c r="M17306" s="43">
        <v>11.500493877779226</v>
      </c>
      <c r="N17306" s="43">
        <v>5.9163765373177144</v>
      </c>
      <c r="O17306" s="43">
        <v>11.500465983224604</v>
      </c>
      <c r="P17306" s="535"/>
      <c r="Q17306" s="535"/>
      <c r="R17306" s="535">
        <v>4</v>
      </c>
    </row>
    <row r="17307" spans="1:18" ht="36">
      <c r="A17307" s="531">
        <v>455</v>
      </c>
      <c r="B17307" s="528" t="s">
        <v>31102</v>
      </c>
      <c r="C17307" s="532" t="s">
        <v>31103</v>
      </c>
      <c r="D17307" s="533">
        <v>45.16</v>
      </c>
      <c r="E17307" s="533">
        <v>11.11</v>
      </c>
      <c r="F17307" s="533">
        <v>33.83</v>
      </c>
      <c r="G17307" s="533">
        <v>0.22</v>
      </c>
      <c r="H17307" s="534">
        <v>338.48</v>
      </c>
      <c r="I17307" s="534">
        <v>127.74</v>
      </c>
      <c r="J17307" s="534">
        <v>208.21</v>
      </c>
      <c r="K17307" s="534">
        <v>2.5299999999999998</v>
      </c>
      <c r="L17307" s="43">
        <v>7.4951284322409224</v>
      </c>
      <c r="M17307" s="43">
        <v>11.497749774977498</v>
      </c>
      <c r="N17307" s="43">
        <v>6.1545965119716231</v>
      </c>
      <c r="O17307" s="43">
        <v>11.499999999999998</v>
      </c>
      <c r="P17307" s="535"/>
      <c r="Q17307" s="535"/>
      <c r="R17307" s="535">
        <v>4</v>
      </c>
    </row>
    <row r="17308" spans="1:18" ht="36">
      <c r="A17308" s="531">
        <v>456</v>
      </c>
      <c r="B17308" s="528" t="s">
        <v>31104</v>
      </c>
      <c r="C17308" s="532" t="s">
        <v>31105</v>
      </c>
      <c r="D17308" s="533">
        <v>54.96</v>
      </c>
      <c r="E17308" s="533">
        <v>13.35</v>
      </c>
      <c r="F17308" s="533">
        <v>41.34</v>
      </c>
      <c r="G17308" s="533">
        <v>0.27</v>
      </c>
      <c r="H17308" s="534">
        <v>411.11</v>
      </c>
      <c r="I17308" s="534">
        <v>153.52000000000001</v>
      </c>
      <c r="J17308" s="534">
        <v>254.48</v>
      </c>
      <c r="K17308" s="534">
        <v>3.11</v>
      </c>
      <c r="L17308" s="43">
        <v>7.4801673944687046</v>
      </c>
      <c r="M17308" s="43">
        <v>11.499625468164796</v>
      </c>
      <c r="N17308" s="43">
        <v>6.1557813255926455</v>
      </c>
      <c r="O17308" s="43">
        <v>11.503164556962025</v>
      </c>
      <c r="P17308" s="535"/>
      <c r="Q17308" s="535"/>
      <c r="R17308" s="535">
        <v>4</v>
      </c>
    </row>
    <row r="17309" spans="1:18" ht="36">
      <c r="A17309" s="531">
        <v>457</v>
      </c>
      <c r="B17309" s="528" t="s">
        <v>31106</v>
      </c>
      <c r="C17309" s="532" t="s">
        <v>31107</v>
      </c>
      <c r="D17309" s="533">
        <v>63.51</v>
      </c>
      <c r="E17309" s="533">
        <v>15.59</v>
      </c>
      <c r="F17309" s="533">
        <v>47.61</v>
      </c>
      <c r="G17309" s="533">
        <v>0.31</v>
      </c>
      <c r="H17309" s="534">
        <v>475.91</v>
      </c>
      <c r="I17309" s="534">
        <v>179.3</v>
      </c>
      <c r="J17309" s="534">
        <v>293.04000000000002</v>
      </c>
      <c r="K17309" s="534">
        <v>3.57</v>
      </c>
      <c r="L17309" s="43">
        <v>7.4934655959691394</v>
      </c>
      <c r="M17309" s="43">
        <v>11.500962155227711</v>
      </c>
      <c r="N17309" s="43">
        <v>6.1550094517958414</v>
      </c>
      <c r="O17309" s="43">
        <v>11.503164556962025</v>
      </c>
      <c r="P17309" s="535"/>
      <c r="Q17309" s="535"/>
      <c r="R17309" s="535">
        <v>4</v>
      </c>
    </row>
    <row r="17310" spans="1:18" ht="36">
      <c r="A17310" s="531">
        <v>458</v>
      </c>
      <c r="B17310" s="528" t="s">
        <v>31108</v>
      </c>
      <c r="C17310" s="532" t="s">
        <v>31109</v>
      </c>
      <c r="D17310" s="533">
        <v>73.2</v>
      </c>
      <c r="E17310" s="533">
        <v>17.73</v>
      </c>
      <c r="F17310" s="533">
        <v>55.12</v>
      </c>
      <c r="G17310" s="533">
        <v>0.35</v>
      </c>
      <c r="H17310" s="534">
        <v>547.25</v>
      </c>
      <c r="I17310" s="534">
        <v>203.91</v>
      </c>
      <c r="J17310" s="534">
        <v>339.31</v>
      </c>
      <c r="K17310" s="534">
        <v>4.03</v>
      </c>
      <c r="L17310" s="43">
        <v>7.4760928961748627</v>
      </c>
      <c r="M17310" s="43">
        <v>11.500846023688663</v>
      </c>
      <c r="N17310" s="43">
        <v>6.1558417997097248</v>
      </c>
      <c r="O17310" s="43">
        <v>11.503164556962025</v>
      </c>
      <c r="P17310" s="535"/>
      <c r="Q17310" s="535"/>
      <c r="R17310" s="535">
        <v>4</v>
      </c>
    </row>
    <row r="17311" spans="1:18" ht="36">
      <c r="A17311" s="531">
        <v>459</v>
      </c>
      <c r="B17311" s="528" t="s">
        <v>31110</v>
      </c>
      <c r="C17311" s="532" t="s">
        <v>31111</v>
      </c>
      <c r="D17311" s="533">
        <v>76.86</v>
      </c>
      <c r="E17311" s="533">
        <v>18.850000000000001</v>
      </c>
      <c r="F17311" s="533">
        <v>57.63</v>
      </c>
      <c r="G17311" s="533">
        <v>0.38</v>
      </c>
      <c r="H17311" s="534">
        <v>575.9</v>
      </c>
      <c r="I17311" s="534">
        <v>216.8</v>
      </c>
      <c r="J17311" s="534">
        <v>354.73</v>
      </c>
      <c r="K17311" s="534">
        <v>4.37</v>
      </c>
      <c r="L17311" s="43">
        <v>7.4928441321883943</v>
      </c>
      <c r="M17311" s="43">
        <v>11.50132625994695</v>
      </c>
      <c r="N17311" s="43">
        <v>6.1553010584764882</v>
      </c>
      <c r="O17311" s="43">
        <v>11.5</v>
      </c>
      <c r="P17311" s="535"/>
      <c r="Q17311" s="535"/>
      <c r="R17311" s="535">
        <v>4</v>
      </c>
    </row>
    <row r="17312" spans="1:18" ht="36">
      <c r="A17312" s="531">
        <v>460</v>
      </c>
      <c r="B17312" s="528" t="s">
        <v>31112</v>
      </c>
      <c r="C17312" s="532" t="s">
        <v>31113</v>
      </c>
      <c r="D17312" s="533">
        <v>82.8</v>
      </c>
      <c r="E17312" s="533">
        <v>20.99</v>
      </c>
      <c r="F17312" s="533">
        <v>61.39</v>
      </c>
      <c r="G17312" s="533">
        <v>0.42</v>
      </c>
      <c r="H17312" s="534">
        <v>624.11</v>
      </c>
      <c r="I17312" s="534">
        <v>241.41</v>
      </c>
      <c r="J17312" s="534">
        <v>377.87</v>
      </c>
      <c r="K17312" s="534">
        <v>4.83</v>
      </c>
      <c r="L17312" s="43">
        <v>7.5375603864734302</v>
      </c>
      <c r="M17312" s="43">
        <v>11.501191043353979</v>
      </c>
      <c r="N17312" s="43">
        <v>6.1552370092848996</v>
      </c>
      <c r="O17312" s="43">
        <v>11.5</v>
      </c>
      <c r="P17312" s="535"/>
      <c r="Q17312" s="535"/>
      <c r="R17312" s="535">
        <v>4</v>
      </c>
    </row>
    <row r="17313" spans="1:18" ht="36">
      <c r="A17313" s="531">
        <v>461</v>
      </c>
      <c r="B17313" s="528" t="s">
        <v>31114</v>
      </c>
      <c r="C17313" s="532" t="s">
        <v>31115</v>
      </c>
      <c r="D17313" s="533">
        <v>96.32</v>
      </c>
      <c r="E17313" s="533">
        <v>26.88</v>
      </c>
      <c r="F17313" s="533">
        <v>68.900000000000006</v>
      </c>
      <c r="G17313" s="533">
        <v>0.54</v>
      </c>
      <c r="H17313" s="534">
        <v>739.51</v>
      </c>
      <c r="I17313" s="534">
        <v>309.16000000000003</v>
      </c>
      <c r="J17313" s="534">
        <v>424.14</v>
      </c>
      <c r="K17313" s="534">
        <v>6.21</v>
      </c>
      <c r="L17313" s="43">
        <v>7.6776370431893692</v>
      </c>
      <c r="M17313" s="43">
        <v>11.501488095238097</v>
      </c>
      <c r="N17313" s="43">
        <v>6.1558780841799701</v>
      </c>
      <c r="O17313" s="43">
        <v>11.5</v>
      </c>
      <c r="P17313" s="535"/>
      <c r="Q17313" s="535"/>
      <c r="R17313" s="535">
        <v>4</v>
      </c>
    </row>
    <row r="17314" spans="1:18" ht="36">
      <c r="A17314" s="531">
        <v>462</v>
      </c>
      <c r="B17314" s="528" t="s">
        <v>31116</v>
      </c>
      <c r="C17314" s="532" t="s">
        <v>31117</v>
      </c>
      <c r="D17314" s="533">
        <v>113.45</v>
      </c>
      <c r="E17314" s="533">
        <v>33.840000000000003</v>
      </c>
      <c r="F17314" s="533">
        <v>78.930000000000007</v>
      </c>
      <c r="G17314" s="533">
        <v>0.68</v>
      </c>
      <c r="H17314" s="534">
        <v>882.87</v>
      </c>
      <c r="I17314" s="534">
        <v>389.22</v>
      </c>
      <c r="J17314" s="534">
        <v>485.83</v>
      </c>
      <c r="K17314" s="534">
        <v>7.82</v>
      </c>
      <c r="L17314" s="43">
        <v>7.782018510356985</v>
      </c>
      <c r="M17314" s="43">
        <v>11.50177304964539</v>
      </c>
      <c r="N17314" s="43">
        <v>6.1552008108450522</v>
      </c>
      <c r="O17314" s="43">
        <v>11.5</v>
      </c>
      <c r="P17314" s="535"/>
      <c r="Q17314" s="535"/>
      <c r="R17314" s="535">
        <v>4</v>
      </c>
    </row>
    <row r="17315" spans="1:18" ht="36">
      <c r="A17315" s="531">
        <v>463</v>
      </c>
      <c r="B17315" s="528" t="s">
        <v>31118</v>
      </c>
      <c r="C17315" s="532" t="s">
        <v>31119</v>
      </c>
      <c r="D17315" s="533">
        <v>133.22999999999999</v>
      </c>
      <c r="E17315" s="533">
        <v>39.729999999999997</v>
      </c>
      <c r="F17315" s="533">
        <v>92.71</v>
      </c>
      <c r="G17315" s="533">
        <v>0.79</v>
      </c>
      <c r="H17315" s="534">
        <v>1036.71</v>
      </c>
      <c r="I17315" s="534">
        <v>456.96</v>
      </c>
      <c r="J17315" s="534">
        <v>570.66</v>
      </c>
      <c r="K17315" s="534">
        <v>9.09</v>
      </c>
      <c r="L17315" s="43">
        <v>7.7813555505516785</v>
      </c>
      <c r="M17315" s="43">
        <v>11.501636043292223</v>
      </c>
      <c r="N17315" s="43">
        <v>6.1553230503721279</v>
      </c>
      <c r="O17315" s="43">
        <v>11.503164556962025</v>
      </c>
      <c r="P17315" s="535"/>
      <c r="Q17315" s="535"/>
      <c r="R17315" s="535">
        <v>4</v>
      </c>
    </row>
    <row r="17316" spans="1:18" ht="36">
      <c r="A17316" s="531">
        <v>464</v>
      </c>
      <c r="B17316" s="528" t="s">
        <v>31120</v>
      </c>
      <c r="C17316" s="532" t="s">
        <v>31121</v>
      </c>
      <c r="D17316" s="533">
        <v>160.33000000000001</v>
      </c>
      <c r="E17316" s="533">
        <v>47.87</v>
      </c>
      <c r="F17316" s="533">
        <v>111.5</v>
      </c>
      <c r="G17316" s="533">
        <v>0.96</v>
      </c>
      <c r="H17316" s="534">
        <v>1247.94</v>
      </c>
      <c r="I17316" s="534">
        <v>550.57000000000005</v>
      </c>
      <c r="J17316" s="534">
        <v>686.33</v>
      </c>
      <c r="K17316" s="534">
        <v>11.04</v>
      </c>
      <c r="L17316" s="43">
        <v>7.7835713840204575</v>
      </c>
      <c r="M17316" s="43">
        <v>11.501357844161271</v>
      </c>
      <c r="N17316" s="43">
        <v>6.1554260089686101</v>
      </c>
      <c r="O17316" s="43">
        <v>11.5</v>
      </c>
      <c r="P17316" s="535"/>
      <c r="Q17316" s="535"/>
      <c r="R17316" s="535">
        <v>4</v>
      </c>
    </row>
    <row r="17317" spans="1:18" ht="36">
      <c r="A17317" s="531">
        <v>465</v>
      </c>
      <c r="B17317" s="528" t="s">
        <v>31122</v>
      </c>
      <c r="C17317" s="532" t="s">
        <v>31123</v>
      </c>
      <c r="D17317" s="533">
        <v>192.38</v>
      </c>
      <c r="E17317" s="533">
        <v>57.19</v>
      </c>
      <c r="F17317" s="533">
        <v>134.05000000000001</v>
      </c>
      <c r="G17317" s="533">
        <v>1.1399999999999999</v>
      </c>
      <c r="H17317" s="534">
        <v>1495.98</v>
      </c>
      <c r="I17317" s="534">
        <v>657.73</v>
      </c>
      <c r="J17317" s="534">
        <v>825.14</v>
      </c>
      <c r="K17317" s="534">
        <v>13.11</v>
      </c>
      <c r="L17317" s="43">
        <v>7.7761721592681159</v>
      </c>
      <c r="M17317" s="43">
        <v>11.500786850848051</v>
      </c>
      <c r="N17317" s="43">
        <v>6.1554643789630727</v>
      </c>
      <c r="O17317" s="43">
        <v>11.5</v>
      </c>
      <c r="P17317" s="535"/>
      <c r="Q17317" s="535"/>
      <c r="R17317" s="535">
        <v>4</v>
      </c>
    </row>
    <row r="17318" spans="1:18" ht="36">
      <c r="A17318" s="531">
        <v>466</v>
      </c>
      <c r="B17318" s="528" t="s">
        <v>31124</v>
      </c>
      <c r="C17318" s="532" t="s">
        <v>31125</v>
      </c>
      <c r="D17318" s="533">
        <v>215.89</v>
      </c>
      <c r="E17318" s="533">
        <v>64.260000000000005</v>
      </c>
      <c r="F17318" s="533">
        <v>150.34</v>
      </c>
      <c r="G17318" s="533">
        <v>1.29</v>
      </c>
      <c r="H17318" s="534">
        <v>1679.25</v>
      </c>
      <c r="I17318" s="534">
        <v>739.02</v>
      </c>
      <c r="J17318" s="534">
        <v>925.39</v>
      </c>
      <c r="K17318" s="534">
        <v>14.84</v>
      </c>
      <c r="L17318" s="43">
        <v>7.7782667098985598</v>
      </c>
      <c r="M17318" s="43">
        <v>11.500466853408028</v>
      </c>
      <c r="N17318" s="43">
        <v>6.1553146201942264</v>
      </c>
      <c r="O17318" s="43">
        <v>11.503875968992247</v>
      </c>
      <c r="P17318" s="535"/>
      <c r="Q17318" s="535"/>
      <c r="R17318" s="535">
        <v>4</v>
      </c>
    </row>
    <row r="17319" spans="1:18" ht="36">
      <c r="A17319" s="531">
        <v>467</v>
      </c>
      <c r="B17319" s="528" t="s">
        <v>31126</v>
      </c>
      <c r="C17319" s="532" t="s">
        <v>31127</v>
      </c>
      <c r="D17319" s="533">
        <v>294.82</v>
      </c>
      <c r="E17319" s="533">
        <v>87.61</v>
      </c>
      <c r="F17319" s="533">
        <v>205.46</v>
      </c>
      <c r="G17319" s="533">
        <v>1.75</v>
      </c>
      <c r="H17319" s="534">
        <v>2292.36</v>
      </c>
      <c r="I17319" s="534">
        <v>1007.53</v>
      </c>
      <c r="J17319" s="534">
        <v>1264.7</v>
      </c>
      <c r="K17319" s="534">
        <v>20.13</v>
      </c>
      <c r="L17319" s="43">
        <v>7.7754562105691614</v>
      </c>
      <c r="M17319" s="43">
        <v>11.500171213331811</v>
      </c>
      <c r="N17319" s="43">
        <v>6.1554560498393851</v>
      </c>
      <c r="O17319" s="43">
        <v>11.502857142857142</v>
      </c>
      <c r="P17319" s="535"/>
      <c r="Q17319" s="535"/>
      <c r="R17319" s="535">
        <v>4</v>
      </c>
    </row>
    <row r="17320" spans="1:18" ht="12.75" customHeight="1">
      <c r="A17320" s="628" t="s">
        <v>31128</v>
      </c>
      <c r="B17320" s="629"/>
      <c r="C17320" s="629"/>
      <c r="D17320" s="629"/>
      <c r="E17320" s="629"/>
      <c r="F17320" s="629"/>
      <c r="G17320" s="629"/>
      <c r="H17320" s="629"/>
      <c r="I17320" s="629"/>
      <c r="J17320" s="629"/>
      <c r="K17320" s="629"/>
      <c r="L17320" s="629"/>
      <c r="M17320" s="629"/>
      <c r="N17320" s="629"/>
      <c r="O17320" s="629"/>
      <c r="P17320" s="629"/>
      <c r="Q17320" s="629"/>
      <c r="R17320" s="629"/>
    </row>
    <row r="17321" spans="1:18" ht="12.75" customHeight="1">
      <c r="A17321" s="628" t="s">
        <v>31129</v>
      </c>
      <c r="B17321" s="629"/>
      <c r="C17321" s="629"/>
      <c r="D17321" s="629"/>
      <c r="E17321" s="629"/>
      <c r="F17321" s="629"/>
      <c r="G17321" s="629"/>
      <c r="H17321" s="629"/>
      <c r="I17321" s="629"/>
      <c r="J17321" s="629"/>
      <c r="K17321" s="629"/>
      <c r="L17321" s="629"/>
      <c r="M17321" s="629"/>
      <c r="N17321" s="629"/>
      <c r="O17321" s="629"/>
      <c r="P17321" s="629"/>
      <c r="Q17321" s="629"/>
      <c r="R17321" s="629"/>
    </row>
    <row r="17322" spans="1:18" ht="24">
      <c r="A17322" s="531">
        <v>468</v>
      </c>
      <c r="B17322" s="528" t="s">
        <v>31130</v>
      </c>
      <c r="C17322" s="532" t="s">
        <v>31131</v>
      </c>
      <c r="D17322" s="533">
        <v>5.27</v>
      </c>
      <c r="E17322" s="533">
        <v>5.17</v>
      </c>
      <c r="F17322" s="533"/>
      <c r="G17322" s="533">
        <v>0.1</v>
      </c>
      <c r="H17322" s="534">
        <v>60.64</v>
      </c>
      <c r="I17322" s="534">
        <v>59.49</v>
      </c>
      <c r="J17322" s="534"/>
      <c r="K17322" s="534">
        <v>1.1499999999999999</v>
      </c>
      <c r="L17322" s="43">
        <v>11.5021951219512</v>
      </c>
      <c r="M17322" s="43">
        <v>11.5021951219512</v>
      </c>
      <c r="N17322" s="43" t="s">
        <v>1690</v>
      </c>
      <c r="O17322" s="43">
        <v>11.503164556962025</v>
      </c>
      <c r="P17322" s="535"/>
      <c r="Q17322" s="535"/>
      <c r="R17322" s="535">
        <v>1</v>
      </c>
    </row>
    <row r="17323" spans="1:18" ht="24">
      <c r="A17323" s="531">
        <v>469</v>
      </c>
      <c r="B17323" s="528" t="s">
        <v>31132</v>
      </c>
      <c r="C17323" s="532" t="s">
        <v>31133</v>
      </c>
      <c r="D17323" s="533">
        <v>5.98</v>
      </c>
      <c r="E17323" s="533">
        <v>5.86</v>
      </c>
      <c r="F17323" s="533"/>
      <c r="G17323" s="533">
        <v>0.12</v>
      </c>
      <c r="H17323" s="534">
        <v>68.72</v>
      </c>
      <c r="I17323" s="534">
        <v>67.34</v>
      </c>
      <c r="J17323" s="534"/>
      <c r="K17323" s="534">
        <v>1.38</v>
      </c>
      <c r="L17323" s="43">
        <v>11.5</v>
      </c>
      <c r="M17323" s="43">
        <v>11.5</v>
      </c>
      <c r="N17323" s="43" t="s">
        <v>1690</v>
      </c>
      <c r="O17323" s="43">
        <v>11.503164556962025</v>
      </c>
      <c r="P17323" s="535"/>
      <c r="Q17323" s="535"/>
      <c r="R17323" s="535">
        <v>1</v>
      </c>
    </row>
    <row r="17324" spans="1:18" ht="24">
      <c r="A17324" s="531">
        <v>470</v>
      </c>
      <c r="B17324" s="528" t="s">
        <v>31134</v>
      </c>
      <c r="C17324" s="532" t="s">
        <v>31135</v>
      </c>
      <c r="D17324" s="533">
        <v>6.67</v>
      </c>
      <c r="E17324" s="533">
        <v>6.54</v>
      </c>
      <c r="F17324" s="533"/>
      <c r="G17324" s="533">
        <v>0.13</v>
      </c>
      <c r="H17324" s="534">
        <v>76.7</v>
      </c>
      <c r="I17324" s="534">
        <v>75.2</v>
      </c>
      <c r="J17324" s="534"/>
      <c r="K17324" s="534">
        <v>1.5</v>
      </c>
      <c r="L17324" s="43">
        <v>11.499250374812593</v>
      </c>
      <c r="M17324" s="43">
        <v>11.498470948012233</v>
      </c>
      <c r="N17324" s="43" t="s">
        <v>1690</v>
      </c>
      <c r="O17324" s="43">
        <v>11.503164556962025</v>
      </c>
      <c r="P17324" s="535"/>
      <c r="Q17324" s="535"/>
      <c r="R17324" s="535">
        <v>1</v>
      </c>
    </row>
    <row r="17325" spans="1:18" ht="24">
      <c r="A17325" s="531">
        <v>471</v>
      </c>
      <c r="B17325" s="528" t="s">
        <v>31136</v>
      </c>
      <c r="C17325" s="532" t="s">
        <v>31137</v>
      </c>
      <c r="D17325" s="533">
        <v>7.26</v>
      </c>
      <c r="E17325" s="533">
        <v>7.12</v>
      </c>
      <c r="F17325" s="533"/>
      <c r="G17325" s="533">
        <v>0.14000000000000001</v>
      </c>
      <c r="H17325" s="534">
        <v>83.55</v>
      </c>
      <c r="I17325" s="534">
        <v>81.94</v>
      </c>
      <c r="J17325" s="534"/>
      <c r="K17325" s="534">
        <v>1.61</v>
      </c>
      <c r="L17325" s="43">
        <v>11.5021951219512</v>
      </c>
      <c r="M17325" s="43">
        <v>11.5021951219512</v>
      </c>
      <c r="N17325" s="43" t="s">
        <v>1690</v>
      </c>
      <c r="O17325" s="43">
        <v>11.503164556962025</v>
      </c>
      <c r="P17325" s="535"/>
      <c r="Q17325" s="535"/>
      <c r="R17325" s="535">
        <v>1</v>
      </c>
    </row>
    <row r="17326" spans="1:18" ht="24">
      <c r="A17326" s="531">
        <v>472</v>
      </c>
      <c r="B17326" s="528" t="s">
        <v>31138</v>
      </c>
      <c r="C17326" s="532" t="s">
        <v>31139</v>
      </c>
      <c r="D17326" s="533">
        <v>7.86</v>
      </c>
      <c r="E17326" s="533">
        <v>7.71</v>
      </c>
      <c r="F17326" s="533"/>
      <c r="G17326" s="533">
        <v>0.15</v>
      </c>
      <c r="H17326" s="534">
        <v>90.4</v>
      </c>
      <c r="I17326" s="534">
        <v>88.67</v>
      </c>
      <c r="J17326" s="534"/>
      <c r="K17326" s="534">
        <v>1.73</v>
      </c>
      <c r="L17326" s="43">
        <v>11.501272264631044</v>
      </c>
      <c r="M17326" s="43">
        <v>11.50064850843061</v>
      </c>
      <c r="N17326" s="43" t="s">
        <v>1690</v>
      </c>
      <c r="O17326" s="43">
        <v>11.503164556962025</v>
      </c>
      <c r="P17326" s="535"/>
      <c r="Q17326" s="535"/>
      <c r="R17326" s="535">
        <v>1</v>
      </c>
    </row>
    <row r="17327" spans="1:18" ht="24">
      <c r="A17327" s="531">
        <v>473</v>
      </c>
      <c r="B17327" s="528" t="s">
        <v>31140</v>
      </c>
      <c r="C17327" s="532" t="s">
        <v>31141</v>
      </c>
      <c r="D17327" s="533">
        <v>9.26</v>
      </c>
      <c r="E17327" s="533">
        <v>9.08</v>
      </c>
      <c r="F17327" s="533"/>
      <c r="G17327" s="533">
        <v>0.18</v>
      </c>
      <c r="H17327" s="534">
        <v>106.45</v>
      </c>
      <c r="I17327" s="534">
        <v>104.38</v>
      </c>
      <c r="J17327" s="534"/>
      <c r="K17327" s="534">
        <v>2.0699999999999998</v>
      </c>
      <c r="L17327" s="43">
        <v>11.495680345572355</v>
      </c>
      <c r="M17327" s="43">
        <v>11.495594713656388</v>
      </c>
      <c r="N17327" s="43" t="s">
        <v>1690</v>
      </c>
      <c r="O17327" s="43">
        <v>11.503164556962025</v>
      </c>
      <c r="P17327" s="535"/>
      <c r="Q17327" s="535"/>
      <c r="R17327" s="535">
        <v>1</v>
      </c>
    </row>
    <row r="17328" spans="1:18" ht="24">
      <c r="A17328" s="531">
        <v>474</v>
      </c>
      <c r="B17328" s="528" t="s">
        <v>31142</v>
      </c>
      <c r="C17328" s="532" t="s">
        <v>31143</v>
      </c>
      <c r="D17328" s="533">
        <v>45.93</v>
      </c>
      <c r="E17328" s="533">
        <v>10.64</v>
      </c>
      <c r="F17328" s="533">
        <v>35.08</v>
      </c>
      <c r="G17328" s="533">
        <v>0.21</v>
      </c>
      <c r="H17328" s="534">
        <v>340.68</v>
      </c>
      <c r="I17328" s="534">
        <v>122.34</v>
      </c>
      <c r="J17328" s="534">
        <v>215.92</v>
      </c>
      <c r="K17328" s="534">
        <v>2.42</v>
      </c>
      <c r="L17328" s="43">
        <v>7.4173742651861527</v>
      </c>
      <c r="M17328" s="43">
        <v>11.498120300751879</v>
      </c>
      <c r="N17328" s="43">
        <v>6.1550741163055873</v>
      </c>
      <c r="O17328" s="43">
        <v>11.503164556962025</v>
      </c>
      <c r="P17328" s="535"/>
      <c r="Q17328" s="535"/>
      <c r="R17328" s="535">
        <v>1</v>
      </c>
    </row>
    <row r="17329" spans="1:18" ht="24">
      <c r="A17329" s="531">
        <v>475</v>
      </c>
      <c r="B17329" s="528" t="s">
        <v>31144</v>
      </c>
      <c r="C17329" s="532" t="s">
        <v>31145</v>
      </c>
      <c r="D17329" s="533">
        <v>54.39</v>
      </c>
      <c r="E17329" s="533">
        <v>12.79</v>
      </c>
      <c r="F17329" s="533">
        <v>41.34</v>
      </c>
      <c r="G17329" s="533">
        <v>0.26</v>
      </c>
      <c r="H17329" s="534">
        <v>404.5</v>
      </c>
      <c r="I17329" s="534">
        <v>147.03</v>
      </c>
      <c r="J17329" s="534">
        <v>254.48</v>
      </c>
      <c r="K17329" s="534">
        <v>2.99</v>
      </c>
      <c r="L17329" s="43">
        <v>7.4370288656002943</v>
      </c>
      <c r="M17329" s="43">
        <v>11.495699765441753</v>
      </c>
      <c r="N17329" s="43">
        <v>6.1557813255926455</v>
      </c>
      <c r="O17329" s="43">
        <v>11.503164556962025</v>
      </c>
      <c r="P17329" s="535"/>
      <c r="Q17329" s="535"/>
      <c r="R17329" s="535">
        <v>1</v>
      </c>
    </row>
    <row r="17330" spans="1:18" ht="24">
      <c r="A17330" s="531">
        <v>476</v>
      </c>
      <c r="B17330" s="528" t="s">
        <v>31146</v>
      </c>
      <c r="C17330" s="532" t="s">
        <v>31147</v>
      </c>
      <c r="D17330" s="533">
        <v>66.44</v>
      </c>
      <c r="E17330" s="533">
        <v>16.010000000000002</v>
      </c>
      <c r="F17330" s="533">
        <v>50.11</v>
      </c>
      <c r="G17330" s="533">
        <v>0.32</v>
      </c>
      <c r="H17330" s="534">
        <v>496.21</v>
      </c>
      <c r="I17330" s="534">
        <v>184.07</v>
      </c>
      <c r="J17330" s="534">
        <v>308.45999999999998</v>
      </c>
      <c r="K17330" s="534">
        <v>3.68</v>
      </c>
      <c r="L17330" s="43">
        <v>7.4685430463576159</v>
      </c>
      <c r="M17330" s="43">
        <v>11.497189256714552</v>
      </c>
      <c r="N17330" s="43">
        <v>6.1556575533825582</v>
      </c>
      <c r="O17330" s="43">
        <v>11.503164556962025</v>
      </c>
      <c r="P17330" s="535"/>
      <c r="Q17330" s="535"/>
      <c r="R17330" s="535">
        <v>1</v>
      </c>
    </row>
    <row r="17331" spans="1:18" ht="24">
      <c r="A17331" s="531">
        <v>477</v>
      </c>
      <c r="B17331" s="528" t="s">
        <v>31148</v>
      </c>
      <c r="C17331" s="532" t="s">
        <v>31149</v>
      </c>
      <c r="D17331" s="533">
        <v>77.3</v>
      </c>
      <c r="E17331" s="533">
        <v>18.059999999999999</v>
      </c>
      <c r="F17331" s="533">
        <v>58.88</v>
      </c>
      <c r="G17331" s="533">
        <v>0.36</v>
      </c>
      <c r="H17331" s="534">
        <v>574.23</v>
      </c>
      <c r="I17331" s="534">
        <v>207.64</v>
      </c>
      <c r="J17331" s="534">
        <v>362.45</v>
      </c>
      <c r="K17331" s="534">
        <v>4.1399999999999997</v>
      </c>
      <c r="L17331" s="43">
        <v>7.4285899094437262</v>
      </c>
      <c r="M17331" s="43">
        <v>11.497231450719823</v>
      </c>
      <c r="N17331" s="43">
        <v>6.1557404891304346</v>
      </c>
      <c r="O17331" s="43">
        <v>11.503164556962025</v>
      </c>
      <c r="P17331" s="535"/>
      <c r="Q17331" s="535"/>
      <c r="R17331" s="535">
        <v>1</v>
      </c>
    </row>
    <row r="17332" spans="1:18" ht="24">
      <c r="A17332" s="531">
        <v>478</v>
      </c>
      <c r="B17332" s="528" t="s">
        <v>31150</v>
      </c>
      <c r="C17332" s="532" t="s">
        <v>31151</v>
      </c>
      <c r="D17332" s="533">
        <v>94.21</v>
      </c>
      <c r="E17332" s="533">
        <v>22.35</v>
      </c>
      <c r="F17332" s="533">
        <v>71.41</v>
      </c>
      <c r="G17332" s="533">
        <v>0.45</v>
      </c>
      <c r="H17332" s="534">
        <v>701.77</v>
      </c>
      <c r="I17332" s="534">
        <v>257.02999999999997</v>
      </c>
      <c r="J17332" s="534">
        <v>439.56</v>
      </c>
      <c r="K17332" s="534">
        <v>5.18</v>
      </c>
      <c r="L17332" s="43">
        <v>7.4489969217705134</v>
      </c>
      <c r="M17332" s="43">
        <v>11.50022371364653</v>
      </c>
      <c r="N17332" s="43">
        <v>6.1554404145077726</v>
      </c>
      <c r="O17332" s="43">
        <v>11.503164556962025</v>
      </c>
      <c r="P17332" s="535"/>
      <c r="Q17332" s="535"/>
      <c r="R17332" s="535">
        <v>1</v>
      </c>
    </row>
    <row r="17333" spans="1:18" ht="24">
      <c r="A17333" s="531">
        <v>479</v>
      </c>
      <c r="B17333" s="528" t="s">
        <v>31152</v>
      </c>
      <c r="C17333" s="532" t="s">
        <v>31153</v>
      </c>
      <c r="D17333" s="533">
        <v>107.51</v>
      </c>
      <c r="E17333" s="533">
        <v>25.57</v>
      </c>
      <c r="F17333" s="533">
        <v>81.430000000000007</v>
      </c>
      <c r="G17333" s="533">
        <v>0.51</v>
      </c>
      <c r="H17333" s="534">
        <v>801.19</v>
      </c>
      <c r="I17333" s="534">
        <v>294.07</v>
      </c>
      <c r="J17333" s="534">
        <v>501.25</v>
      </c>
      <c r="K17333" s="534">
        <v>5.87</v>
      </c>
      <c r="L17333" s="43">
        <v>7.4522370012091903</v>
      </c>
      <c r="M17333" s="43">
        <v>11.500586624951115</v>
      </c>
      <c r="N17333" s="43">
        <v>6.1555937615129555</v>
      </c>
      <c r="O17333" s="43">
        <v>11.503164556962025</v>
      </c>
      <c r="P17333" s="535"/>
      <c r="Q17333" s="535"/>
      <c r="R17333" s="535">
        <v>1</v>
      </c>
    </row>
    <row r="17334" spans="1:18" ht="24">
      <c r="A17334" s="531">
        <v>480</v>
      </c>
      <c r="B17334" s="528" t="s">
        <v>31154</v>
      </c>
      <c r="C17334" s="532" t="s">
        <v>31155</v>
      </c>
      <c r="D17334" s="533">
        <v>115.87</v>
      </c>
      <c r="E17334" s="533">
        <v>27.62</v>
      </c>
      <c r="F17334" s="533">
        <v>87.7</v>
      </c>
      <c r="G17334" s="533">
        <v>0.55000000000000004</v>
      </c>
      <c r="H17334" s="534">
        <v>863.78</v>
      </c>
      <c r="I17334" s="534">
        <v>317.64</v>
      </c>
      <c r="J17334" s="534">
        <v>539.80999999999995</v>
      </c>
      <c r="K17334" s="534">
        <v>6.33</v>
      </c>
      <c r="L17334" s="43">
        <v>7.4547337533442644</v>
      </c>
      <c r="M17334" s="43">
        <v>11.50036205648081</v>
      </c>
      <c r="N17334" s="43">
        <v>6.1551881413911049</v>
      </c>
      <c r="O17334" s="43">
        <v>11.503164556962025</v>
      </c>
      <c r="P17334" s="535"/>
      <c r="Q17334" s="535"/>
      <c r="R17334" s="535">
        <v>1</v>
      </c>
    </row>
    <row r="17335" spans="1:18" ht="24">
      <c r="A17335" s="531">
        <v>481</v>
      </c>
      <c r="B17335" s="528" t="s">
        <v>31156</v>
      </c>
      <c r="C17335" s="532" t="s">
        <v>31157</v>
      </c>
      <c r="D17335" s="533">
        <v>5.98</v>
      </c>
      <c r="E17335" s="533">
        <v>5.86</v>
      </c>
      <c r="F17335" s="533"/>
      <c r="G17335" s="533">
        <v>0.12</v>
      </c>
      <c r="H17335" s="534">
        <v>68.72</v>
      </c>
      <c r="I17335" s="534">
        <v>67.34</v>
      </c>
      <c r="J17335" s="534"/>
      <c r="K17335" s="534">
        <v>1.38</v>
      </c>
      <c r="L17335" s="43">
        <v>11.5</v>
      </c>
      <c r="M17335" s="43">
        <v>11.5</v>
      </c>
      <c r="N17335" s="43" t="s">
        <v>1690</v>
      </c>
      <c r="O17335" s="43">
        <v>11.503164556962025</v>
      </c>
      <c r="P17335" s="535"/>
      <c r="Q17335" s="535"/>
      <c r="R17335" s="535">
        <v>1</v>
      </c>
    </row>
    <row r="17336" spans="1:18" ht="24">
      <c r="A17336" s="531">
        <v>482</v>
      </c>
      <c r="B17336" s="528" t="s">
        <v>31158</v>
      </c>
      <c r="C17336" s="532" t="s">
        <v>31159</v>
      </c>
      <c r="D17336" s="533">
        <v>7.07</v>
      </c>
      <c r="E17336" s="533">
        <v>6.93</v>
      </c>
      <c r="F17336" s="533"/>
      <c r="G17336" s="533">
        <v>0.14000000000000001</v>
      </c>
      <c r="H17336" s="534">
        <v>81.3</v>
      </c>
      <c r="I17336" s="534">
        <v>79.69</v>
      </c>
      <c r="J17336" s="534"/>
      <c r="K17336" s="534">
        <v>1.61</v>
      </c>
      <c r="L17336" s="43">
        <v>11.499292786421499</v>
      </c>
      <c r="M17336" s="43">
        <v>11.4992784992785</v>
      </c>
      <c r="N17336" s="43" t="s">
        <v>1690</v>
      </c>
      <c r="O17336" s="43">
        <v>11.503164556962025</v>
      </c>
      <c r="P17336" s="535"/>
      <c r="Q17336" s="535"/>
      <c r="R17336" s="535">
        <v>1</v>
      </c>
    </row>
    <row r="17337" spans="1:18" ht="24">
      <c r="A17337" s="531">
        <v>483</v>
      </c>
      <c r="B17337" s="528" t="s">
        <v>31160</v>
      </c>
      <c r="C17337" s="532" t="s">
        <v>31161</v>
      </c>
      <c r="D17337" s="533">
        <v>7.86</v>
      </c>
      <c r="E17337" s="533">
        <v>7.71</v>
      </c>
      <c r="F17337" s="533"/>
      <c r="G17337" s="533">
        <v>0.15</v>
      </c>
      <c r="H17337" s="534">
        <v>90.4</v>
      </c>
      <c r="I17337" s="534">
        <v>88.67</v>
      </c>
      <c r="J17337" s="534"/>
      <c r="K17337" s="534">
        <v>1.73</v>
      </c>
      <c r="L17337" s="43">
        <v>11.501272264631044</v>
      </c>
      <c r="M17337" s="43">
        <v>11.50064850843061</v>
      </c>
      <c r="N17337" s="43" t="s">
        <v>1690</v>
      </c>
      <c r="O17337" s="43">
        <v>11.503164556962025</v>
      </c>
      <c r="P17337" s="535"/>
      <c r="Q17337" s="535"/>
      <c r="R17337" s="535">
        <v>1</v>
      </c>
    </row>
    <row r="17338" spans="1:18" ht="24">
      <c r="A17338" s="531">
        <v>484</v>
      </c>
      <c r="B17338" s="528" t="s">
        <v>31162</v>
      </c>
      <c r="C17338" s="532" t="s">
        <v>31163</v>
      </c>
      <c r="D17338" s="533">
        <v>8.76</v>
      </c>
      <c r="E17338" s="533">
        <v>8.59</v>
      </c>
      <c r="F17338" s="533"/>
      <c r="G17338" s="533">
        <v>0.17</v>
      </c>
      <c r="H17338" s="534">
        <v>100.73</v>
      </c>
      <c r="I17338" s="534">
        <v>98.77</v>
      </c>
      <c r="J17338" s="534"/>
      <c r="K17338" s="534">
        <v>1.96</v>
      </c>
      <c r="L17338" s="43">
        <v>11.498858447488585</v>
      </c>
      <c r="M17338" s="43">
        <v>11.498253783469149</v>
      </c>
      <c r="N17338" s="43" t="s">
        <v>1690</v>
      </c>
      <c r="O17338" s="43">
        <v>11.503164556962025</v>
      </c>
      <c r="P17338" s="535"/>
      <c r="Q17338" s="535"/>
      <c r="R17338" s="535">
        <v>1</v>
      </c>
    </row>
    <row r="17339" spans="1:18" ht="24">
      <c r="A17339" s="531">
        <v>485</v>
      </c>
      <c r="B17339" s="528" t="s">
        <v>31164</v>
      </c>
      <c r="C17339" s="532" t="s">
        <v>31165</v>
      </c>
      <c r="D17339" s="533">
        <v>9.75</v>
      </c>
      <c r="E17339" s="533">
        <v>9.56</v>
      </c>
      <c r="F17339" s="533"/>
      <c r="G17339" s="533">
        <v>0.19</v>
      </c>
      <c r="H17339" s="534">
        <v>112.19</v>
      </c>
      <c r="I17339" s="534">
        <v>110</v>
      </c>
      <c r="J17339" s="534"/>
      <c r="K17339" s="534">
        <v>2.19</v>
      </c>
      <c r="L17339" s="43">
        <v>11.5021951219512</v>
      </c>
      <c r="M17339" s="43">
        <v>11.5021951219512</v>
      </c>
      <c r="N17339" s="43" t="s">
        <v>1690</v>
      </c>
      <c r="O17339" s="43">
        <v>11.503164556962025</v>
      </c>
      <c r="P17339" s="535"/>
      <c r="Q17339" s="535"/>
      <c r="R17339" s="535">
        <v>1</v>
      </c>
    </row>
    <row r="17340" spans="1:18" ht="24">
      <c r="A17340" s="531">
        <v>486</v>
      </c>
      <c r="B17340" s="528" t="s">
        <v>31166</v>
      </c>
      <c r="C17340" s="532" t="s">
        <v>31167</v>
      </c>
      <c r="D17340" s="533">
        <v>50.78</v>
      </c>
      <c r="E17340" s="533">
        <v>11.71</v>
      </c>
      <c r="F17340" s="533">
        <v>38.840000000000003</v>
      </c>
      <c r="G17340" s="533">
        <v>0.23</v>
      </c>
      <c r="H17340" s="534">
        <v>376.4</v>
      </c>
      <c r="I17340" s="534">
        <v>134.69</v>
      </c>
      <c r="J17340" s="534">
        <v>239.06</v>
      </c>
      <c r="K17340" s="534">
        <v>2.65</v>
      </c>
      <c r="L17340" s="43">
        <v>7.4123670736510432</v>
      </c>
      <c r="M17340" s="43">
        <v>11.502134927412467</v>
      </c>
      <c r="N17340" s="43">
        <v>6.1549948506694125</v>
      </c>
      <c r="O17340" s="43">
        <v>11.503164556962025</v>
      </c>
      <c r="P17340" s="535"/>
      <c r="Q17340" s="535"/>
      <c r="R17340" s="535">
        <v>1</v>
      </c>
    </row>
    <row r="17341" spans="1:18" ht="24">
      <c r="A17341" s="531">
        <v>487</v>
      </c>
      <c r="B17341" s="528" t="s">
        <v>31168</v>
      </c>
      <c r="C17341" s="532" t="s">
        <v>31169</v>
      </c>
      <c r="D17341" s="533">
        <v>55.65</v>
      </c>
      <c r="E17341" s="533">
        <v>12.79</v>
      </c>
      <c r="F17341" s="533">
        <v>42.6</v>
      </c>
      <c r="G17341" s="533">
        <v>0.26</v>
      </c>
      <c r="H17341" s="534">
        <v>412.21</v>
      </c>
      <c r="I17341" s="534">
        <v>147.03</v>
      </c>
      <c r="J17341" s="534">
        <v>262.19</v>
      </c>
      <c r="K17341" s="534">
        <v>2.99</v>
      </c>
      <c r="L17341" s="43">
        <v>7.407187780772686</v>
      </c>
      <c r="M17341" s="43">
        <v>11.495699765441753</v>
      </c>
      <c r="N17341" s="43">
        <v>6.1546948356807505</v>
      </c>
      <c r="O17341" s="43">
        <v>11.503164556962025</v>
      </c>
      <c r="P17341" s="535"/>
      <c r="Q17341" s="535"/>
      <c r="R17341" s="535">
        <v>1</v>
      </c>
    </row>
    <row r="17342" spans="1:18" ht="24">
      <c r="A17342" s="531">
        <v>488</v>
      </c>
      <c r="B17342" s="528" t="s">
        <v>31170</v>
      </c>
      <c r="C17342" s="532" t="s">
        <v>31171</v>
      </c>
      <c r="D17342" s="533">
        <v>72.44</v>
      </c>
      <c r="E17342" s="533">
        <v>16.98</v>
      </c>
      <c r="F17342" s="533">
        <v>55.12</v>
      </c>
      <c r="G17342" s="533">
        <v>0.34</v>
      </c>
      <c r="H17342" s="534">
        <v>538.52</v>
      </c>
      <c r="I17342" s="534">
        <v>195.3</v>
      </c>
      <c r="J17342" s="534">
        <v>339.31</v>
      </c>
      <c r="K17342" s="534">
        <v>3.91</v>
      </c>
      <c r="L17342" s="43">
        <v>7.4340143567090005</v>
      </c>
      <c r="M17342" s="43">
        <v>11.501766784452297</v>
      </c>
      <c r="N17342" s="43">
        <v>6.1558417997097248</v>
      </c>
      <c r="O17342" s="43">
        <v>11.503164556962025</v>
      </c>
      <c r="P17342" s="535"/>
      <c r="Q17342" s="535"/>
      <c r="R17342" s="535">
        <v>1</v>
      </c>
    </row>
    <row r="17343" spans="1:18" ht="24">
      <c r="A17343" s="531">
        <v>489</v>
      </c>
      <c r="B17343" s="528" t="s">
        <v>31172</v>
      </c>
      <c r="C17343" s="532" t="s">
        <v>31173</v>
      </c>
      <c r="D17343" s="533">
        <v>77.3</v>
      </c>
      <c r="E17343" s="533">
        <v>18.059999999999999</v>
      </c>
      <c r="F17343" s="533">
        <v>58.88</v>
      </c>
      <c r="G17343" s="533">
        <v>0.36</v>
      </c>
      <c r="H17343" s="534">
        <v>574.23</v>
      </c>
      <c r="I17343" s="534">
        <v>207.64</v>
      </c>
      <c r="J17343" s="534">
        <v>362.45</v>
      </c>
      <c r="K17343" s="534">
        <v>4.1399999999999997</v>
      </c>
      <c r="L17343" s="43">
        <v>7.4285899094437262</v>
      </c>
      <c r="M17343" s="43">
        <v>11.497231450719823</v>
      </c>
      <c r="N17343" s="43">
        <v>6.1557404891304346</v>
      </c>
      <c r="O17343" s="43">
        <v>11.503164556962025</v>
      </c>
      <c r="P17343" s="535"/>
      <c r="Q17343" s="535"/>
      <c r="R17343" s="535">
        <v>1</v>
      </c>
    </row>
    <row r="17344" spans="1:18" ht="24">
      <c r="A17344" s="531">
        <v>490</v>
      </c>
      <c r="B17344" s="528" t="s">
        <v>31174</v>
      </c>
      <c r="C17344" s="532" t="s">
        <v>31175</v>
      </c>
      <c r="D17344" s="533">
        <v>90.61</v>
      </c>
      <c r="E17344" s="533">
        <v>21.28</v>
      </c>
      <c r="F17344" s="533">
        <v>68.900000000000006</v>
      </c>
      <c r="G17344" s="533">
        <v>0.43</v>
      </c>
      <c r="H17344" s="534">
        <v>673.77</v>
      </c>
      <c r="I17344" s="534">
        <v>244.68</v>
      </c>
      <c r="J17344" s="534">
        <v>424.14</v>
      </c>
      <c r="K17344" s="534">
        <v>4.95</v>
      </c>
      <c r="L17344" s="43">
        <v>7.4359342235956296</v>
      </c>
      <c r="M17344" s="43">
        <v>11.498120300751879</v>
      </c>
      <c r="N17344" s="43">
        <v>6.1558780841799701</v>
      </c>
      <c r="O17344" s="43">
        <v>11.503164556962025</v>
      </c>
      <c r="P17344" s="535"/>
      <c r="Q17344" s="535"/>
      <c r="R17344" s="535">
        <v>1</v>
      </c>
    </row>
    <row r="17345" spans="1:18" ht="24">
      <c r="A17345" s="531">
        <v>491</v>
      </c>
      <c r="B17345" s="528" t="s">
        <v>31176</v>
      </c>
      <c r="C17345" s="532" t="s">
        <v>31177</v>
      </c>
      <c r="D17345" s="533">
        <v>95.46</v>
      </c>
      <c r="E17345" s="533">
        <v>22.35</v>
      </c>
      <c r="F17345" s="533">
        <v>72.66</v>
      </c>
      <c r="G17345" s="533">
        <v>0.45</v>
      </c>
      <c r="H17345" s="534">
        <v>709.48</v>
      </c>
      <c r="I17345" s="534">
        <v>257.02999999999997</v>
      </c>
      <c r="J17345" s="534">
        <v>447.27</v>
      </c>
      <c r="K17345" s="534">
        <v>5.18</v>
      </c>
      <c r="L17345" s="43">
        <v>7.4322229205950139</v>
      </c>
      <c r="M17345" s="43">
        <v>11.50022371364653</v>
      </c>
      <c r="N17345" s="43">
        <v>6.1556564822460773</v>
      </c>
      <c r="O17345" s="43">
        <v>11.503164556962025</v>
      </c>
      <c r="P17345" s="535"/>
      <c r="Q17345" s="535"/>
      <c r="R17345" s="535">
        <v>1</v>
      </c>
    </row>
    <row r="17346" spans="1:18" ht="24">
      <c r="A17346" s="531">
        <v>492</v>
      </c>
      <c r="B17346" s="528" t="s">
        <v>31178</v>
      </c>
      <c r="C17346" s="532" t="s">
        <v>31179</v>
      </c>
      <c r="D17346" s="533">
        <v>107.51</v>
      </c>
      <c r="E17346" s="533">
        <v>25.57</v>
      </c>
      <c r="F17346" s="533">
        <v>81.430000000000007</v>
      </c>
      <c r="G17346" s="533">
        <v>0.51</v>
      </c>
      <c r="H17346" s="534">
        <v>801.19</v>
      </c>
      <c r="I17346" s="534">
        <v>294.07</v>
      </c>
      <c r="J17346" s="534">
        <v>501.25</v>
      </c>
      <c r="K17346" s="534">
        <v>5.87</v>
      </c>
      <c r="L17346" s="43">
        <v>7.4522370012091903</v>
      </c>
      <c r="M17346" s="43">
        <v>11.500586624951115</v>
      </c>
      <c r="N17346" s="43">
        <v>6.1555937615129555</v>
      </c>
      <c r="O17346" s="43">
        <v>11.503164556962025</v>
      </c>
      <c r="P17346" s="535"/>
      <c r="Q17346" s="535"/>
      <c r="R17346" s="535">
        <v>1</v>
      </c>
    </row>
    <row r="17347" spans="1:18" ht="24">
      <c r="A17347" s="531">
        <v>493</v>
      </c>
      <c r="B17347" s="528" t="s">
        <v>31180</v>
      </c>
      <c r="C17347" s="532" t="s">
        <v>31181</v>
      </c>
      <c r="D17347" s="533">
        <v>112.36</v>
      </c>
      <c r="E17347" s="533">
        <v>26.64</v>
      </c>
      <c r="F17347" s="533">
        <v>85.19</v>
      </c>
      <c r="G17347" s="533">
        <v>0.53</v>
      </c>
      <c r="H17347" s="534">
        <v>836.91</v>
      </c>
      <c r="I17347" s="534">
        <v>306.42</v>
      </c>
      <c r="J17347" s="534">
        <v>524.39</v>
      </c>
      <c r="K17347" s="534">
        <v>6.1</v>
      </c>
      <c r="L17347" s="43">
        <v>7.4484692061231756</v>
      </c>
      <c r="M17347" s="43">
        <v>11.502252252252253</v>
      </c>
      <c r="N17347" s="43">
        <v>6.1555346871698555</v>
      </c>
      <c r="O17347" s="43">
        <v>11.503164556962025</v>
      </c>
      <c r="P17347" s="535"/>
      <c r="Q17347" s="535"/>
      <c r="R17347" s="535">
        <v>1</v>
      </c>
    </row>
    <row r="17348" spans="1:18" ht="24">
      <c r="A17348" s="531">
        <v>494</v>
      </c>
      <c r="B17348" s="528" t="s">
        <v>31182</v>
      </c>
      <c r="C17348" s="532" t="s">
        <v>31183</v>
      </c>
      <c r="D17348" s="533">
        <v>121.97</v>
      </c>
      <c r="E17348" s="533">
        <v>28.69</v>
      </c>
      <c r="F17348" s="533">
        <v>92.71</v>
      </c>
      <c r="G17348" s="533">
        <v>0.56999999999999995</v>
      </c>
      <c r="H17348" s="534">
        <v>907.21</v>
      </c>
      <c r="I17348" s="534">
        <v>329.99</v>
      </c>
      <c r="J17348" s="534">
        <v>570.66</v>
      </c>
      <c r="K17348" s="534">
        <v>6.56</v>
      </c>
      <c r="L17348" s="43">
        <v>7.4379765516110519</v>
      </c>
      <c r="M17348" s="43">
        <v>11.501917044266294</v>
      </c>
      <c r="N17348" s="43">
        <v>6.1553230503721279</v>
      </c>
      <c r="O17348" s="43">
        <v>11.503164556962025</v>
      </c>
      <c r="P17348" s="535"/>
      <c r="Q17348" s="535"/>
      <c r="R17348" s="535">
        <v>1</v>
      </c>
    </row>
    <row r="17349" spans="1:18" ht="24">
      <c r="A17349" s="531">
        <v>495</v>
      </c>
      <c r="B17349" s="528" t="s">
        <v>31184</v>
      </c>
      <c r="C17349" s="532" t="s">
        <v>31185</v>
      </c>
      <c r="D17349" s="533">
        <v>138.88999999999999</v>
      </c>
      <c r="E17349" s="533">
        <v>32.99</v>
      </c>
      <c r="F17349" s="533">
        <v>105.24</v>
      </c>
      <c r="G17349" s="533">
        <v>0.66</v>
      </c>
      <c r="H17349" s="534">
        <v>1034.73</v>
      </c>
      <c r="I17349" s="534">
        <v>379.37</v>
      </c>
      <c r="J17349" s="534">
        <v>647.77</v>
      </c>
      <c r="K17349" s="534">
        <v>7.59</v>
      </c>
      <c r="L17349" s="43">
        <v>7.4499964000288008</v>
      </c>
      <c r="M17349" s="43">
        <v>11.499545316762655</v>
      </c>
      <c r="N17349" s="43">
        <v>6.1551691372101862</v>
      </c>
      <c r="O17349" s="43">
        <v>11.503164556962025</v>
      </c>
      <c r="P17349" s="535"/>
      <c r="Q17349" s="535"/>
      <c r="R17349" s="535">
        <v>1</v>
      </c>
    </row>
    <row r="17350" spans="1:18" ht="24">
      <c r="A17350" s="531">
        <v>496</v>
      </c>
      <c r="B17350" s="528" t="s">
        <v>31186</v>
      </c>
      <c r="C17350" s="532" t="s">
        <v>31187</v>
      </c>
      <c r="D17350" s="533">
        <v>157.05000000000001</v>
      </c>
      <c r="E17350" s="533">
        <v>37.28</v>
      </c>
      <c r="F17350" s="533">
        <v>119.02</v>
      </c>
      <c r="G17350" s="533">
        <v>0.75</v>
      </c>
      <c r="H17350" s="534">
        <v>1169.99</v>
      </c>
      <c r="I17350" s="534">
        <v>428.76</v>
      </c>
      <c r="J17350" s="534">
        <v>732.6</v>
      </c>
      <c r="K17350" s="534">
        <v>8.6300000000000008</v>
      </c>
      <c r="L17350" s="43">
        <v>7.4497930595351791</v>
      </c>
      <c r="M17350" s="43">
        <v>11.50107296137339</v>
      </c>
      <c r="N17350" s="43">
        <v>6.1552680221811462</v>
      </c>
      <c r="O17350" s="43">
        <v>11.503164556962025</v>
      </c>
      <c r="P17350" s="535"/>
      <c r="Q17350" s="535"/>
      <c r="R17350" s="535">
        <v>1</v>
      </c>
    </row>
    <row r="17351" spans="1:18" ht="24">
      <c r="A17351" s="531">
        <v>497</v>
      </c>
      <c r="B17351" s="528" t="s">
        <v>31188</v>
      </c>
      <c r="C17351" s="532" t="s">
        <v>31189</v>
      </c>
      <c r="D17351" s="533">
        <v>6.86</v>
      </c>
      <c r="E17351" s="533">
        <v>6.73</v>
      </c>
      <c r="F17351" s="533"/>
      <c r="G17351" s="533">
        <v>0.13</v>
      </c>
      <c r="H17351" s="534">
        <v>78.95</v>
      </c>
      <c r="I17351" s="534">
        <v>77.45</v>
      </c>
      <c r="J17351" s="534"/>
      <c r="K17351" s="534">
        <v>1.5</v>
      </c>
      <c r="L17351" s="43">
        <v>11.5021951219512</v>
      </c>
      <c r="M17351" s="43">
        <v>11.5021951219512</v>
      </c>
      <c r="N17351" s="43" t="s">
        <v>1690</v>
      </c>
      <c r="O17351" s="43">
        <v>11.503164556962025</v>
      </c>
      <c r="P17351" s="535"/>
      <c r="Q17351" s="535"/>
      <c r="R17351" s="535">
        <v>1</v>
      </c>
    </row>
    <row r="17352" spans="1:18" ht="24">
      <c r="A17352" s="531">
        <v>498</v>
      </c>
      <c r="B17352" s="528" t="s">
        <v>31190</v>
      </c>
      <c r="C17352" s="532" t="s">
        <v>31191</v>
      </c>
      <c r="D17352" s="533">
        <v>8.07</v>
      </c>
      <c r="E17352" s="533">
        <v>7.91</v>
      </c>
      <c r="F17352" s="533"/>
      <c r="G17352" s="533">
        <v>0.16</v>
      </c>
      <c r="H17352" s="534">
        <v>92.75</v>
      </c>
      <c r="I17352" s="534">
        <v>90.91</v>
      </c>
      <c r="J17352" s="534"/>
      <c r="K17352" s="534">
        <v>1.84</v>
      </c>
      <c r="L17352" s="43">
        <v>11.5</v>
      </c>
      <c r="M17352" s="43">
        <v>11.5</v>
      </c>
      <c r="N17352" s="43" t="s">
        <v>1690</v>
      </c>
      <c r="O17352" s="43">
        <v>11.503164556962025</v>
      </c>
      <c r="P17352" s="535"/>
      <c r="Q17352" s="535"/>
      <c r="R17352" s="535">
        <v>1</v>
      </c>
    </row>
    <row r="17353" spans="1:18" ht="24">
      <c r="A17353" s="531">
        <v>499</v>
      </c>
      <c r="B17353" s="528" t="s">
        <v>31192</v>
      </c>
      <c r="C17353" s="532" t="s">
        <v>31193</v>
      </c>
      <c r="D17353" s="533">
        <v>9.35</v>
      </c>
      <c r="E17353" s="533">
        <v>9.17</v>
      </c>
      <c r="F17353" s="533"/>
      <c r="G17353" s="533">
        <v>0.18</v>
      </c>
      <c r="H17353" s="534">
        <v>107.58</v>
      </c>
      <c r="I17353" s="534">
        <v>105.51</v>
      </c>
      <c r="J17353" s="534"/>
      <c r="K17353" s="534">
        <v>2.0699999999999998</v>
      </c>
      <c r="L17353" s="43">
        <v>11.5021951219512</v>
      </c>
      <c r="M17353" s="43">
        <v>11.5021951219512</v>
      </c>
      <c r="N17353" s="43" t="s">
        <v>1690</v>
      </c>
      <c r="O17353" s="43">
        <v>11.503164556962025</v>
      </c>
      <c r="P17353" s="535"/>
      <c r="Q17353" s="535"/>
      <c r="R17353" s="535">
        <v>1</v>
      </c>
    </row>
    <row r="17354" spans="1:18" ht="24">
      <c r="A17354" s="531">
        <v>500</v>
      </c>
      <c r="B17354" s="528" t="s">
        <v>31194</v>
      </c>
      <c r="C17354" s="532" t="s">
        <v>31195</v>
      </c>
      <c r="D17354" s="533">
        <v>10.95</v>
      </c>
      <c r="E17354" s="533">
        <v>10.74</v>
      </c>
      <c r="F17354" s="533"/>
      <c r="G17354" s="533">
        <v>0.21</v>
      </c>
      <c r="H17354" s="534">
        <v>125.88</v>
      </c>
      <c r="I17354" s="534">
        <v>123.46</v>
      </c>
      <c r="J17354" s="534"/>
      <c r="K17354" s="534">
        <v>2.42</v>
      </c>
      <c r="L17354" s="43">
        <v>11.495890410958905</v>
      </c>
      <c r="M17354" s="43">
        <v>11.495344506517689</v>
      </c>
      <c r="N17354" s="43" t="s">
        <v>1690</v>
      </c>
      <c r="O17354" s="43">
        <v>11.503164556962025</v>
      </c>
      <c r="P17354" s="535"/>
      <c r="Q17354" s="535"/>
      <c r="R17354" s="535">
        <v>1</v>
      </c>
    </row>
    <row r="17355" spans="1:18" ht="24">
      <c r="A17355" s="531">
        <v>501</v>
      </c>
      <c r="B17355" s="528" t="s">
        <v>31196</v>
      </c>
      <c r="C17355" s="532" t="s">
        <v>31197</v>
      </c>
      <c r="D17355" s="533">
        <v>54.39</v>
      </c>
      <c r="E17355" s="533">
        <v>12.79</v>
      </c>
      <c r="F17355" s="533">
        <v>41.34</v>
      </c>
      <c r="G17355" s="533">
        <v>0.26</v>
      </c>
      <c r="H17355" s="534">
        <v>404.5</v>
      </c>
      <c r="I17355" s="534">
        <v>147.03</v>
      </c>
      <c r="J17355" s="534">
        <v>254.48</v>
      </c>
      <c r="K17355" s="534">
        <v>2.99</v>
      </c>
      <c r="L17355" s="43">
        <v>7.4370288656002943</v>
      </c>
      <c r="M17355" s="43">
        <v>11.495699765441753</v>
      </c>
      <c r="N17355" s="43">
        <v>6.1557813255926455</v>
      </c>
      <c r="O17355" s="43">
        <v>11.503164556962025</v>
      </c>
      <c r="P17355" s="535"/>
      <c r="Q17355" s="535"/>
      <c r="R17355" s="535">
        <v>1</v>
      </c>
    </row>
    <row r="17356" spans="1:18" ht="24">
      <c r="A17356" s="531">
        <v>502</v>
      </c>
      <c r="B17356" s="528" t="s">
        <v>31198</v>
      </c>
      <c r="C17356" s="532" t="s">
        <v>31199</v>
      </c>
      <c r="D17356" s="533">
        <v>66.44</v>
      </c>
      <c r="E17356" s="533">
        <v>16.010000000000002</v>
      </c>
      <c r="F17356" s="533">
        <v>50.11</v>
      </c>
      <c r="G17356" s="533">
        <v>0.32</v>
      </c>
      <c r="H17356" s="534">
        <v>496.21</v>
      </c>
      <c r="I17356" s="534">
        <v>184.07</v>
      </c>
      <c r="J17356" s="534">
        <v>308.45999999999998</v>
      </c>
      <c r="K17356" s="534">
        <v>3.68</v>
      </c>
      <c r="L17356" s="43">
        <v>7.4685430463576159</v>
      </c>
      <c r="M17356" s="43">
        <v>11.497189256714552</v>
      </c>
      <c r="N17356" s="43">
        <v>6.1556575533825582</v>
      </c>
      <c r="O17356" s="43">
        <v>11.503164556962025</v>
      </c>
      <c r="P17356" s="535"/>
      <c r="Q17356" s="535"/>
      <c r="R17356" s="535">
        <v>1</v>
      </c>
    </row>
    <row r="17357" spans="1:18" ht="24">
      <c r="A17357" s="531">
        <v>503</v>
      </c>
      <c r="B17357" s="528" t="s">
        <v>31200</v>
      </c>
      <c r="C17357" s="532" t="s">
        <v>31201</v>
      </c>
      <c r="D17357" s="533">
        <v>77.3</v>
      </c>
      <c r="E17357" s="533">
        <v>18.059999999999999</v>
      </c>
      <c r="F17357" s="533">
        <v>58.88</v>
      </c>
      <c r="G17357" s="533">
        <v>0.36</v>
      </c>
      <c r="H17357" s="534">
        <v>574.23</v>
      </c>
      <c r="I17357" s="534">
        <v>207.64</v>
      </c>
      <c r="J17357" s="534">
        <v>362.45</v>
      </c>
      <c r="K17357" s="534">
        <v>4.1399999999999997</v>
      </c>
      <c r="L17357" s="43">
        <v>7.4285899094437262</v>
      </c>
      <c r="M17357" s="43">
        <v>11.497231450719823</v>
      </c>
      <c r="N17357" s="43">
        <v>6.1557404891304346</v>
      </c>
      <c r="O17357" s="43">
        <v>11.503164556962025</v>
      </c>
      <c r="P17357" s="535"/>
      <c r="Q17357" s="535"/>
      <c r="R17357" s="535">
        <v>1</v>
      </c>
    </row>
    <row r="17358" spans="1:18" ht="24">
      <c r="A17358" s="531">
        <v>504</v>
      </c>
      <c r="B17358" s="528" t="s">
        <v>31202</v>
      </c>
      <c r="C17358" s="532" t="s">
        <v>31203</v>
      </c>
      <c r="D17358" s="533">
        <v>90.61</v>
      </c>
      <c r="E17358" s="533">
        <v>21.28</v>
      </c>
      <c r="F17358" s="533">
        <v>68.900000000000006</v>
      </c>
      <c r="G17358" s="533">
        <v>0.43</v>
      </c>
      <c r="H17358" s="534">
        <v>673.77</v>
      </c>
      <c r="I17358" s="534">
        <v>244.68</v>
      </c>
      <c r="J17358" s="534">
        <v>424.14</v>
      </c>
      <c r="K17358" s="534">
        <v>4.95</v>
      </c>
      <c r="L17358" s="43">
        <v>7.4359342235956296</v>
      </c>
      <c r="M17358" s="43">
        <v>11.498120300751879</v>
      </c>
      <c r="N17358" s="43">
        <v>6.1558780841799701</v>
      </c>
      <c r="O17358" s="43">
        <v>11.503164556962025</v>
      </c>
      <c r="P17358" s="535"/>
      <c r="Q17358" s="535"/>
      <c r="R17358" s="535">
        <v>1</v>
      </c>
    </row>
    <row r="17359" spans="1:18" ht="24">
      <c r="A17359" s="531">
        <v>505</v>
      </c>
      <c r="B17359" s="528" t="s">
        <v>31204</v>
      </c>
      <c r="C17359" s="532" t="s">
        <v>31205</v>
      </c>
      <c r="D17359" s="533">
        <v>100.31</v>
      </c>
      <c r="E17359" s="533">
        <v>23.42</v>
      </c>
      <c r="F17359" s="533">
        <v>76.42</v>
      </c>
      <c r="G17359" s="533">
        <v>0.47</v>
      </c>
      <c r="H17359" s="534">
        <v>745.2</v>
      </c>
      <c r="I17359" s="534">
        <v>269.38</v>
      </c>
      <c r="J17359" s="534">
        <v>470.41</v>
      </c>
      <c r="K17359" s="534">
        <v>5.41</v>
      </c>
      <c r="L17359" s="43">
        <v>7.4289701924035496</v>
      </c>
      <c r="M17359" s="43">
        <v>11.502134927412467</v>
      </c>
      <c r="N17359" s="43">
        <v>6.1555875425281341</v>
      </c>
      <c r="O17359" s="43">
        <v>11.503164556962025</v>
      </c>
      <c r="P17359" s="535"/>
      <c r="Q17359" s="535"/>
      <c r="R17359" s="535">
        <v>1</v>
      </c>
    </row>
    <row r="17360" spans="1:18" ht="24">
      <c r="A17360" s="531">
        <v>506</v>
      </c>
      <c r="B17360" s="528" t="s">
        <v>31206</v>
      </c>
      <c r="C17360" s="532" t="s">
        <v>31207</v>
      </c>
      <c r="D17360" s="533">
        <v>107.51</v>
      </c>
      <c r="E17360" s="533">
        <v>25.57</v>
      </c>
      <c r="F17360" s="533">
        <v>81.430000000000007</v>
      </c>
      <c r="G17360" s="533">
        <v>0.51</v>
      </c>
      <c r="H17360" s="534">
        <v>801.19</v>
      </c>
      <c r="I17360" s="534">
        <v>294.07</v>
      </c>
      <c r="J17360" s="534">
        <v>501.25</v>
      </c>
      <c r="K17360" s="534">
        <v>5.87</v>
      </c>
      <c r="L17360" s="43">
        <v>7.4522370012091903</v>
      </c>
      <c r="M17360" s="43">
        <v>11.500586624951115</v>
      </c>
      <c r="N17360" s="43">
        <v>6.1555937615129555</v>
      </c>
      <c r="O17360" s="43">
        <v>11.503164556962025</v>
      </c>
      <c r="P17360" s="535"/>
      <c r="Q17360" s="535"/>
      <c r="R17360" s="535">
        <v>1</v>
      </c>
    </row>
    <row r="17361" spans="1:18" ht="24">
      <c r="A17361" s="531">
        <v>507</v>
      </c>
      <c r="B17361" s="528" t="s">
        <v>31208</v>
      </c>
      <c r="C17361" s="532" t="s">
        <v>31209</v>
      </c>
      <c r="D17361" s="533">
        <v>118.37</v>
      </c>
      <c r="E17361" s="533">
        <v>27.62</v>
      </c>
      <c r="F17361" s="533">
        <v>90.2</v>
      </c>
      <c r="G17361" s="533">
        <v>0.55000000000000004</v>
      </c>
      <c r="H17361" s="534">
        <v>879.21</v>
      </c>
      <c r="I17361" s="534">
        <v>317.64</v>
      </c>
      <c r="J17361" s="534">
        <v>555.24</v>
      </c>
      <c r="K17361" s="534">
        <v>6.33</v>
      </c>
      <c r="L17361" s="43">
        <v>7.4276421390555036</v>
      </c>
      <c r="M17361" s="43">
        <v>11.50036205648081</v>
      </c>
      <c r="N17361" s="43">
        <v>6.1556541019955651</v>
      </c>
      <c r="O17361" s="43">
        <v>11.503164556962025</v>
      </c>
      <c r="P17361" s="535"/>
      <c r="Q17361" s="535"/>
      <c r="R17361" s="535">
        <v>1</v>
      </c>
    </row>
    <row r="17362" spans="1:18" ht="24">
      <c r="A17362" s="531">
        <v>508</v>
      </c>
      <c r="B17362" s="528" t="s">
        <v>31210</v>
      </c>
      <c r="C17362" s="532" t="s">
        <v>31211</v>
      </c>
      <c r="D17362" s="533">
        <v>129.18</v>
      </c>
      <c r="E17362" s="533">
        <v>30.84</v>
      </c>
      <c r="F17362" s="533">
        <v>97.72</v>
      </c>
      <c r="G17362" s="533">
        <v>0.62</v>
      </c>
      <c r="H17362" s="534">
        <v>963.31</v>
      </c>
      <c r="I17362" s="534">
        <v>354.68</v>
      </c>
      <c r="J17362" s="534">
        <v>601.5</v>
      </c>
      <c r="K17362" s="534">
        <v>7.13</v>
      </c>
      <c r="L17362" s="43">
        <v>7.4571141043505182</v>
      </c>
      <c r="M17362" s="43">
        <v>11.50064850843061</v>
      </c>
      <c r="N17362" s="43">
        <v>6.1553417928776097</v>
      </c>
      <c r="O17362" s="43">
        <v>11.503164556962025</v>
      </c>
      <c r="P17362" s="535"/>
      <c r="Q17362" s="535"/>
      <c r="R17362" s="535">
        <v>1</v>
      </c>
    </row>
    <row r="17363" spans="1:18" ht="24">
      <c r="A17363" s="531">
        <v>509</v>
      </c>
      <c r="B17363" s="528" t="s">
        <v>31212</v>
      </c>
      <c r="C17363" s="532" t="s">
        <v>31213</v>
      </c>
      <c r="D17363" s="533">
        <v>140.13999999999999</v>
      </c>
      <c r="E17363" s="533">
        <v>32.99</v>
      </c>
      <c r="F17363" s="533">
        <v>106.49</v>
      </c>
      <c r="G17363" s="533">
        <v>0.66</v>
      </c>
      <c r="H17363" s="534">
        <v>1042.45</v>
      </c>
      <c r="I17363" s="534">
        <v>379.37</v>
      </c>
      <c r="J17363" s="534">
        <v>655.49</v>
      </c>
      <c r="K17363" s="534">
        <v>7.59</v>
      </c>
      <c r="L17363" s="43">
        <v>7.4386327957756544</v>
      </c>
      <c r="M17363" s="43">
        <v>11.499545316762655</v>
      </c>
      <c r="N17363" s="43">
        <v>6.1554136538642128</v>
      </c>
      <c r="O17363" s="43">
        <v>11.503164556962025</v>
      </c>
      <c r="P17363" s="535"/>
      <c r="Q17363" s="535"/>
      <c r="R17363" s="535">
        <v>1</v>
      </c>
    </row>
    <row r="17364" spans="1:18" ht="24">
      <c r="A17364" s="531">
        <v>510</v>
      </c>
      <c r="B17364" s="528" t="s">
        <v>31214</v>
      </c>
      <c r="C17364" s="532" t="s">
        <v>31215</v>
      </c>
      <c r="D17364" s="533">
        <v>161.80000000000001</v>
      </c>
      <c r="E17364" s="533">
        <v>38.26</v>
      </c>
      <c r="F17364" s="533">
        <v>122.77</v>
      </c>
      <c r="G17364" s="533">
        <v>0.77</v>
      </c>
      <c r="H17364" s="534">
        <v>1204.58</v>
      </c>
      <c r="I17364" s="534">
        <v>439.98</v>
      </c>
      <c r="J17364" s="534">
        <v>755.74</v>
      </c>
      <c r="K17364" s="534">
        <v>8.86</v>
      </c>
      <c r="L17364" s="43">
        <v>7.4448702101359689</v>
      </c>
      <c r="M17364" s="43">
        <v>11.499738630423419</v>
      </c>
      <c r="N17364" s="43">
        <v>6.1557383725665886</v>
      </c>
      <c r="O17364" s="43">
        <v>11.503164556962025</v>
      </c>
      <c r="P17364" s="535"/>
      <c r="Q17364" s="535"/>
      <c r="R17364" s="535">
        <v>1</v>
      </c>
    </row>
    <row r="17365" spans="1:18" ht="24">
      <c r="A17365" s="531">
        <v>511</v>
      </c>
      <c r="B17365" s="528" t="s">
        <v>31216</v>
      </c>
      <c r="C17365" s="532" t="s">
        <v>31217</v>
      </c>
      <c r="D17365" s="533">
        <v>195.93</v>
      </c>
      <c r="E17365" s="533">
        <v>44.7</v>
      </c>
      <c r="F17365" s="533">
        <v>150.34</v>
      </c>
      <c r="G17365" s="533">
        <v>0.89</v>
      </c>
      <c r="H17365" s="534">
        <v>1449.69</v>
      </c>
      <c r="I17365" s="534">
        <v>514.05999999999995</v>
      </c>
      <c r="J17365" s="534">
        <v>925.39</v>
      </c>
      <c r="K17365" s="534">
        <v>10.24</v>
      </c>
      <c r="L17365" s="43">
        <v>7.3990200581840453</v>
      </c>
      <c r="M17365" s="43">
        <v>11.50022371364653</v>
      </c>
      <c r="N17365" s="43">
        <v>6.1553146201942264</v>
      </c>
      <c r="O17365" s="43">
        <v>11.503164556962025</v>
      </c>
      <c r="P17365" s="535"/>
      <c r="Q17365" s="535"/>
      <c r="R17365" s="535">
        <v>1</v>
      </c>
    </row>
    <row r="17366" spans="1:18" ht="24">
      <c r="A17366" s="531">
        <v>512</v>
      </c>
      <c r="B17366" s="528" t="s">
        <v>31218</v>
      </c>
      <c r="C17366" s="532" t="s">
        <v>31219</v>
      </c>
      <c r="D17366" s="533">
        <v>215.09</v>
      </c>
      <c r="E17366" s="533">
        <v>49.97</v>
      </c>
      <c r="F17366" s="533">
        <v>164.12</v>
      </c>
      <c r="G17366" s="533">
        <v>1</v>
      </c>
      <c r="H17366" s="534">
        <v>1596.39</v>
      </c>
      <c r="I17366" s="534">
        <v>574.66999999999996</v>
      </c>
      <c r="J17366" s="534">
        <v>1010.22</v>
      </c>
      <c r="K17366" s="534">
        <v>11.5</v>
      </c>
      <c r="L17366" s="43">
        <v>7.4219628992514766</v>
      </c>
      <c r="M17366" s="43">
        <v>11.500300180108065</v>
      </c>
      <c r="N17366" s="43">
        <v>6.1553741165001217</v>
      </c>
      <c r="O17366" s="43">
        <v>11.503164556962025</v>
      </c>
      <c r="P17366" s="535"/>
      <c r="Q17366" s="535"/>
      <c r="R17366" s="535">
        <v>1</v>
      </c>
    </row>
    <row r="17367" spans="1:18" ht="12.75" customHeight="1">
      <c r="A17367" s="628" t="s">
        <v>31220</v>
      </c>
      <c r="B17367" s="629"/>
      <c r="C17367" s="629"/>
      <c r="D17367" s="629"/>
      <c r="E17367" s="629"/>
      <c r="F17367" s="629"/>
      <c r="G17367" s="629"/>
      <c r="H17367" s="629"/>
      <c r="I17367" s="629"/>
      <c r="J17367" s="629"/>
      <c r="K17367" s="629"/>
      <c r="L17367" s="629"/>
      <c r="M17367" s="629"/>
      <c r="N17367" s="629"/>
      <c r="O17367" s="629"/>
      <c r="P17367" s="629"/>
      <c r="Q17367" s="629"/>
      <c r="R17367" s="629"/>
    </row>
    <row r="17368" spans="1:18" ht="36">
      <c r="A17368" s="531">
        <v>513</v>
      </c>
      <c r="B17368" s="528" t="s">
        <v>31221</v>
      </c>
      <c r="C17368" s="532" t="s">
        <v>31222</v>
      </c>
      <c r="D17368" s="533">
        <v>55.65</v>
      </c>
      <c r="E17368" s="533">
        <v>12.79</v>
      </c>
      <c r="F17368" s="533">
        <v>42.6</v>
      </c>
      <c r="G17368" s="533">
        <v>0.26</v>
      </c>
      <c r="H17368" s="534">
        <v>412.21</v>
      </c>
      <c r="I17368" s="534">
        <v>147.03</v>
      </c>
      <c r="J17368" s="534">
        <v>262.19</v>
      </c>
      <c r="K17368" s="534">
        <v>2.99</v>
      </c>
      <c r="L17368" s="43">
        <v>7.407187780772686</v>
      </c>
      <c r="M17368" s="43">
        <v>11.495699765441753</v>
      </c>
      <c r="N17368" s="43">
        <v>6.1546948356807505</v>
      </c>
      <c r="O17368" s="43">
        <v>11.503164556962025</v>
      </c>
      <c r="P17368" s="535"/>
      <c r="Q17368" s="535"/>
      <c r="R17368" s="535">
        <v>2</v>
      </c>
    </row>
    <row r="17369" spans="1:18" ht="36">
      <c r="A17369" s="531">
        <v>514</v>
      </c>
      <c r="B17369" s="528" t="s">
        <v>31223</v>
      </c>
      <c r="C17369" s="532" t="s">
        <v>31224</v>
      </c>
      <c r="D17369" s="533">
        <v>66.44</v>
      </c>
      <c r="E17369" s="533">
        <v>16.010000000000002</v>
      </c>
      <c r="F17369" s="533">
        <v>50.11</v>
      </c>
      <c r="G17369" s="533">
        <v>0.32</v>
      </c>
      <c r="H17369" s="534">
        <v>496.21</v>
      </c>
      <c r="I17369" s="534">
        <v>184.07</v>
      </c>
      <c r="J17369" s="534">
        <v>308.45999999999998</v>
      </c>
      <c r="K17369" s="534">
        <v>3.68</v>
      </c>
      <c r="L17369" s="43">
        <v>7.4685430463576159</v>
      </c>
      <c r="M17369" s="43">
        <v>11.497189256714552</v>
      </c>
      <c r="N17369" s="43">
        <v>6.1556575533825582</v>
      </c>
      <c r="O17369" s="43">
        <v>11.503164556962025</v>
      </c>
      <c r="P17369" s="535"/>
      <c r="Q17369" s="535"/>
      <c r="R17369" s="535">
        <v>2</v>
      </c>
    </row>
    <row r="17370" spans="1:18" ht="36">
      <c r="A17370" s="531">
        <v>515</v>
      </c>
      <c r="B17370" s="528" t="s">
        <v>31225</v>
      </c>
      <c r="C17370" s="532" t="s">
        <v>31226</v>
      </c>
      <c r="D17370" s="533">
        <v>72.44</v>
      </c>
      <c r="E17370" s="533">
        <v>16.98</v>
      </c>
      <c r="F17370" s="533">
        <v>55.12</v>
      </c>
      <c r="G17370" s="533">
        <v>0.34</v>
      </c>
      <c r="H17370" s="534">
        <v>538.52</v>
      </c>
      <c r="I17370" s="534">
        <v>195.3</v>
      </c>
      <c r="J17370" s="534">
        <v>339.31</v>
      </c>
      <c r="K17370" s="534">
        <v>3.91</v>
      </c>
      <c r="L17370" s="43">
        <v>7.4340143567090005</v>
      </c>
      <c r="M17370" s="43">
        <v>11.501766784452297</v>
      </c>
      <c r="N17370" s="43">
        <v>6.1558417997097248</v>
      </c>
      <c r="O17370" s="43">
        <v>11.503164556962025</v>
      </c>
      <c r="P17370" s="535"/>
      <c r="Q17370" s="535"/>
      <c r="R17370" s="535">
        <v>2</v>
      </c>
    </row>
    <row r="17371" spans="1:18" ht="36">
      <c r="A17371" s="531">
        <v>516</v>
      </c>
      <c r="B17371" s="528" t="s">
        <v>31227</v>
      </c>
      <c r="C17371" s="532" t="s">
        <v>31228</v>
      </c>
      <c r="D17371" s="533">
        <v>77.3</v>
      </c>
      <c r="E17371" s="533">
        <v>18.059999999999999</v>
      </c>
      <c r="F17371" s="533">
        <v>58.88</v>
      </c>
      <c r="G17371" s="533">
        <v>0.36</v>
      </c>
      <c r="H17371" s="534">
        <v>574.23</v>
      </c>
      <c r="I17371" s="534">
        <v>207.64</v>
      </c>
      <c r="J17371" s="534">
        <v>362.45</v>
      </c>
      <c r="K17371" s="534">
        <v>4.1399999999999997</v>
      </c>
      <c r="L17371" s="43">
        <v>7.4285899094437262</v>
      </c>
      <c r="M17371" s="43">
        <v>11.497231450719823</v>
      </c>
      <c r="N17371" s="43">
        <v>6.1557404891304346</v>
      </c>
      <c r="O17371" s="43">
        <v>11.503164556962025</v>
      </c>
      <c r="P17371" s="535"/>
      <c r="Q17371" s="535"/>
      <c r="R17371" s="535">
        <v>2</v>
      </c>
    </row>
    <row r="17372" spans="1:18" ht="36">
      <c r="A17372" s="531">
        <v>517</v>
      </c>
      <c r="B17372" s="528" t="s">
        <v>31229</v>
      </c>
      <c r="C17372" s="532" t="s">
        <v>31230</v>
      </c>
      <c r="D17372" s="533">
        <v>84.49</v>
      </c>
      <c r="E17372" s="533">
        <v>20.2</v>
      </c>
      <c r="F17372" s="533">
        <v>63.89</v>
      </c>
      <c r="G17372" s="533">
        <v>0.4</v>
      </c>
      <c r="H17372" s="534">
        <v>630.23</v>
      </c>
      <c r="I17372" s="534">
        <v>232.34</v>
      </c>
      <c r="J17372" s="534">
        <v>393.29</v>
      </c>
      <c r="K17372" s="534">
        <v>4.5999999999999996</v>
      </c>
      <c r="L17372" s="43">
        <v>7.4592259438986872</v>
      </c>
      <c r="M17372" s="43">
        <v>11.501980198019803</v>
      </c>
      <c r="N17372" s="43">
        <v>6.1557364219752699</v>
      </c>
      <c r="O17372" s="43">
        <v>11.503164556962025</v>
      </c>
      <c r="P17372" s="535"/>
      <c r="Q17372" s="535"/>
      <c r="R17372" s="535">
        <v>2</v>
      </c>
    </row>
    <row r="17373" spans="1:18" ht="36">
      <c r="A17373" s="531">
        <v>518</v>
      </c>
      <c r="B17373" s="528" t="s">
        <v>31231</v>
      </c>
      <c r="C17373" s="532" t="s">
        <v>31232</v>
      </c>
      <c r="D17373" s="533">
        <v>100.31</v>
      </c>
      <c r="E17373" s="533">
        <v>23.42</v>
      </c>
      <c r="F17373" s="533">
        <v>76.42</v>
      </c>
      <c r="G17373" s="533">
        <v>0.47</v>
      </c>
      <c r="H17373" s="534">
        <v>745.2</v>
      </c>
      <c r="I17373" s="534">
        <v>269.38</v>
      </c>
      <c r="J17373" s="534">
        <v>470.41</v>
      </c>
      <c r="K17373" s="534">
        <v>5.41</v>
      </c>
      <c r="L17373" s="43">
        <v>7.4289701924035496</v>
      </c>
      <c r="M17373" s="43">
        <v>11.502134927412467</v>
      </c>
      <c r="N17373" s="43">
        <v>6.1555875425281341</v>
      </c>
      <c r="O17373" s="43">
        <v>11.503164556962025</v>
      </c>
      <c r="P17373" s="535"/>
      <c r="Q17373" s="535"/>
      <c r="R17373" s="535">
        <v>2</v>
      </c>
    </row>
    <row r="17374" spans="1:18" ht="36">
      <c r="A17374" s="531">
        <v>519</v>
      </c>
      <c r="B17374" s="528" t="s">
        <v>31233</v>
      </c>
      <c r="C17374" s="532" t="s">
        <v>31234</v>
      </c>
      <c r="D17374" s="533">
        <v>112.36</v>
      </c>
      <c r="E17374" s="533">
        <v>26.64</v>
      </c>
      <c r="F17374" s="533">
        <v>85.19</v>
      </c>
      <c r="G17374" s="533">
        <v>0.53</v>
      </c>
      <c r="H17374" s="534">
        <v>836.91</v>
      </c>
      <c r="I17374" s="534">
        <v>306.42</v>
      </c>
      <c r="J17374" s="534">
        <v>524.39</v>
      </c>
      <c r="K17374" s="534">
        <v>6.1</v>
      </c>
      <c r="L17374" s="43">
        <v>7.4484692061231756</v>
      </c>
      <c r="M17374" s="43">
        <v>11.502252252252253</v>
      </c>
      <c r="N17374" s="43">
        <v>6.1555346871698555</v>
      </c>
      <c r="O17374" s="43">
        <v>11.503164556962025</v>
      </c>
      <c r="P17374" s="535"/>
      <c r="Q17374" s="535"/>
      <c r="R17374" s="535">
        <v>2</v>
      </c>
    </row>
    <row r="17375" spans="1:18" ht="36">
      <c r="A17375" s="531">
        <v>520</v>
      </c>
      <c r="B17375" s="528" t="s">
        <v>31235</v>
      </c>
      <c r="C17375" s="532" t="s">
        <v>31236</v>
      </c>
      <c r="D17375" s="533">
        <v>121.97</v>
      </c>
      <c r="E17375" s="533">
        <v>28.69</v>
      </c>
      <c r="F17375" s="533">
        <v>92.71</v>
      </c>
      <c r="G17375" s="533">
        <v>0.56999999999999995</v>
      </c>
      <c r="H17375" s="534">
        <v>907.21</v>
      </c>
      <c r="I17375" s="534">
        <v>329.99</v>
      </c>
      <c r="J17375" s="534">
        <v>570.66</v>
      </c>
      <c r="K17375" s="534">
        <v>6.56</v>
      </c>
      <c r="L17375" s="43">
        <v>7.4379765516110519</v>
      </c>
      <c r="M17375" s="43">
        <v>11.501917044266294</v>
      </c>
      <c r="N17375" s="43">
        <v>6.1553230503721279</v>
      </c>
      <c r="O17375" s="43">
        <v>11.503164556962025</v>
      </c>
      <c r="P17375" s="535"/>
      <c r="Q17375" s="535"/>
      <c r="R17375" s="535">
        <v>2</v>
      </c>
    </row>
    <row r="17376" spans="1:18" ht="36">
      <c r="A17376" s="531">
        <v>521</v>
      </c>
      <c r="B17376" s="528" t="s">
        <v>31237</v>
      </c>
      <c r="C17376" s="532" t="s">
        <v>31238</v>
      </c>
      <c r="D17376" s="533">
        <v>134.04</v>
      </c>
      <c r="E17376" s="533">
        <v>31.92</v>
      </c>
      <c r="F17376" s="533">
        <v>101.48</v>
      </c>
      <c r="G17376" s="533">
        <v>0.64</v>
      </c>
      <c r="H17376" s="534">
        <v>999.02</v>
      </c>
      <c r="I17376" s="534">
        <v>367.02</v>
      </c>
      <c r="J17376" s="534">
        <v>624.64</v>
      </c>
      <c r="K17376" s="534">
        <v>7.36</v>
      </c>
      <c r="L17376" s="43">
        <v>7.453148313936139</v>
      </c>
      <c r="M17376" s="43">
        <v>11.498120300751879</v>
      </c>
      <c r="N17376" s="43">
        <v>6.155301537248719</v>
      </c>
      <c r="O17376" s="43">
        <v>11.503164556962025</v>
      </c>
      <c r="P17376" s="535"/>
      <c r="Q17376" s="535"/>
      <c r="R17376" s="535">
        <v>2</v>
      </c>
    </row>
    <row r="17377" spans="1:18" ht="36">
      <c r="A17377" s="531">
        <v>522</v>
      </c>
      <c r="B17377" s="528" t="s">
        <v>31239</v>
      </c>
      <c r="C17377" s="532" t="s">
        <v>31240</v>
      </c>
      <c r="D17377" s="533">
        <v>151.1</v>
      </c>
      <c r="E17377" s="533">
        <v>35.14</v>
      </c>
      <c r="F17377" s="533">
        <v>115.26</v>
      </c>
      <c r="G17377" s="533">
        <v>0.7</v>
      </c>
      <c r="H17377" s="534">
        <v>1121.58</v>
      </c>
      <c r="I17377" s="534">
        <v>404.06</v>
      </c>
      <c r="J17377" s="534">
        <v>709.47</v>
      </c>
      <c r="K17377" s="534">
        <v>8.0500000000000007</v>
      </c>
      <c r="L17377" s="43">
        <v>7.4227663798808736</v>
      </c>
      <c r="M17377" s="43">
        <v>11.498577120091063</v>
      </c>
      <c r="N17377" s="43">
        <v>6.1553878188443516</v>
      </c>
      <c r="O17377" s="43">
        <v>11.503164556962025</v>
      </c>
      <c r="P17377" s="535"/>
      <c r="Q17377" s="535"/>
      <c r="R17377" s="535">
        <v>2</v>
      </c>
    </row>
    <row r="17378" spans="1:18" ht="36">
      <c r="A17378" s="531">
        <v>523</v>
      </c>
      <c r="B17378" s="528" t="s">
        <v>31241</v>
      </c>
      <c r="C17378" s="532" t="s">
        <v>31242</v>
      </c>
      <c r="D17378" s="533">
        <v>160.55000000000001</v>
      </c>
      <c r="E17378" s="533">
        <v>38.26</v>
      </c>
      <c r="F17378" s="533">
        <v>121.52</v>
      </c>
      <c r="G17378" s="533">
        <v>0.77</v>
      </c>
      <c r="H17378" s="534">
        <v>1196.8699999999999</v>
      </c>
      <c r="I17378" s="534">
        <v>439.98</v>
      </c>
      <c r="J17378" s="534">
        <v>748.03</v>
      </c>
      <c r="K17378" s="534">
        <v>8.86</v>
      </c>
      <c r="L17378" s="43">
        <v>7.4548115851759569</v>
      </c>
      <c r="M17378" s="43">
        <v>11.499738630423419</v>
      </c>
      <c r="N17378" s="43">
        <v>6.1556122448979593</v>
      </c>
      <c r="O17378" s="43">
        <v>11.503164556962025</v>
      </c>
      <c r="P17378" s="535"/>
      <c r="Q17378" s="535"/>
      <c r="R17378" s="535">
        <v>2</v>
      </c>
    </row>
    <row r="17379" spans="1:18" ht="36">
      <c r="A17379" s="531">
        <v>524</v>
      </c>
      <c r="B17379" s="528" t="s">
        <v>31243</v>
      </c>
      <c r="C17379" s="532" t="s">
        <v>31244</v>
      </c>
      <c r="D17379" s="533">
        <v>181.06</v>
      </c>
      <c r="E17379" s="533">
        <v>43.63</v>
      </c>
      <c r="F17379" s="533">
        <v>136.56</v>
      </c>
      <c r="G17379" s="533">
        <v>0.87</v>
      </c>
      <c r="H17379" s="534">
        <v>1352.28</v>
      </c>
      <c r="I17379" s="534">
        <v>501.71</v>
      </c>
      <c r="J17379" s="534">
        <v>840.56</v>
      </c>
      <c r="K17379" s="534">
        <v>10.01</v>
      </c>
      <c r="L17379" s="43">
        <v>7.4686844140064066</v>
      </c>
      <c r="M17379" s="43">
        <v>11.499197799679118</v>
      </c>
      <c r="N17379" s="43">
        <v>6.1552431165787924</v>
      </c>
      <c r="O17379" s="43">
        <v>11.503164556962025</v>
      </c>
      <c r="P17379" s="535"/>
      <c r="Q17379" s="535"/>
      <c r="R17379" s="535">
        <v>2</v>
      </c>
    </row>
    <row r="17380" spans="1:18" ht="36">
      <c r="A17380" s="531">
        <v>525</v>
      </c>
      <c r="B17380" s="528" t="s">
        <v>31245</v>
      </c>
      <c r="C17380" s="532" t="s">
        <v>31246</v>
      </c>
      <c r="D17380" s="533">
        <v>197.03</v>
      </c>
      <c r="E17380" s="533">
        <v>45.77</v>
      </c>
      <c r="F17380" s="533">
        <v>150.34</v>
      </c>
      <c r="G17380" s="533">
        <v>0.92</v>
      </c>
      <c r="H17380" s="534">
        <v>1462.38</v>
      </c>
      <c r="I17380" s="534">
        <v>526.41</v>
      </c>
      <c r="J17380" s="534">
        <v>925.39</v>
      </c>
      <c r="K17380" s="534">
        <v>10.58</v>
      </c>
      <c r="L17380" s="43">
        <v>7.4221184591179012</v>
      </c>
      <c r="M17380" s="43">
        <v>11.501201660476292</v>
      </c>
      <c r="N17380" s="43">
        <v>6.1553146201942264</v>
      </c>
      <c r="O17380" s="43">
        <v>11.503164556962025</v>
      </c>
      <c r="P17380" s="535"/>
      <c r="Q17380" s="535"/>
      <c r="R17380" s="535">
        <v>2</v>
      </c>
    </row>
    <row r="17381" spans="1:18" ht="36">
      <c r="A17381" s="531">
        <v>526</v>
      </c>
      <c r="B17381" s="528" t="s">
        <v>31247</v>
      </c>
      <c r="C17381" s="532" t="s">
        <v>31248</v>
      </c>
      <c r="D17381" s="533">
        <v>218.37</v>
      </c>
      <c r="E17381" s="533">
        <v>53.19</v>
      </c>
      <c r="F17381" s="533">
        <v>164.12</v>
      </c>
      <c r="G17381" s="533">
        <v>1.06</v>
      </c>
      <c r="H17381" s="534">
        <v>1634.12</v>
      </c>
      <c r="I17381" s="534">
        <v>611.71</v>
      </c>
      <c r="J17381" s="534">
        <v>1010.22</v>
      </c>
      <c r="K17381" s="534">
        <v>12.19</v>
      </c>
      <c r="L17381" s="43">
        <v>7.4832623528873006</v>
      </c>
      <c r="M17381" s="43">
        <v>11.500470013160371</v>
      </c>
      <c r="N17381" s="43">
        <v>6.1553741165001217</v>
      </c>
      <c r="O17381" s="43">
        <v>11.503164556962025</v>
      </c>
      <c r="P17381" s="535"/>
      <c r="Q17381" s="535"/>
      <c r="R17381" s="535">
        <v>2</v>
      </c>
    </row>
    <row r="17382" spans="1:18" ht="36">
      <c r="A17382" s="531">
        <v>527</v>
      </c>
      <c r="B17382" s="528" t="s">
        <v>31249</v>
      </c>
      <c r="C17382" s="532" t="s">
        <v>31250</v>
      </c>
      <c r="D17382" s="533">
        <v>252.41</v>
      </c>
      <c r="E17382" s="533">
        <v>59.54</v>
      </c>
      <c r="F17382" s="533">
        <v>191.68</v>
      </c>
      <c r="G17382" s="533">
        <v>1.19</v>
      </c>
      <c r="H17382" s="534">
        <v>1878.22</v>
      </c>
      <c r="I17382" s="534">
        <v>684.66</v>
      </c>
      <c r="J17382" s="534">
        <v>1179.8699999999999</v>
      </c>
      <c r="K17382" s="534">
        <v>13.69</v>
      </c>
      <c r="L17382" s="43">
        <v>7.4411473396458145</v>
      </c>
      <c r="M17382" s="43">
        <v>11.499160228417869</v>
      </c>
      <c r="N17382" s="43">
        <v>6.1554152754590978</v>
      </c>
      <c r="O17382" s="43">
        <v>11.503164556962025</v>
      </c>
      <c r="P17382" s="535"/>
      <c r="Q17382" s="535"/>
      <c r="R17382" s="535">
        <v>2</v>
      </c>
    </row>
    <row r="17383" spans="1:18" ht="36">
      <c r="A17383" s="531">
        <v>528</v>
      </c>
      <c r="B17383" s="528" t="s">
        <v>31251</v>
      </c>
      <c r="C17383" s="532" t="s">
        <v>31252</v>
      </c>
      <c r="D17383" s="533">
        <v>271.66000000000003</v>
      </c>
      <c r="E17383" s="533">
        <v>64.900000000000006</v>
      </c>
      <c r="F17383" s="533">
        <v>205.46</v>
      </c>
      <c r="G17383" s="533">
        <v>1.3</v>
      </c>
      <c r="H17383" s="534">
        <v>2026.05</v>
      </c>
      <c r="I17383" s="534">
        <v>746.4</v>
      </c>
      <c r="J17383" s="534">
        <v>1264.7</v>
      </c>
      <c r="K17383" s="534">
        <v>14.95</v>
      </c>
      <c r="L17383" s="43">
        <v>7.4580357800191406</v>
      </c>
      <c r="M17383" s="43">
        <v>11.500770416024652</v>
      </c>
      <c r="N17383" s="43">
        <v>6.1554560498393851</v>
      </c>
      <c r="O17383" s="43">
        <v>11.503164556962025</v>
      </c>
      <c r="P17383" s="535"/>
      <c r="Q17383" s="535"/>
      <c r="R17383" s="535">
        <v>2</v>
      </c>
    </row>
    <row r="17384" spans="1:18" ht="36">
      <c r="A17384" s="531">
        <v>529</v>
      </c>
      <c r="B17384" s="528" t="s">
        <v>31253</v>
      </c>
      <c r="C17384" s="532" t="s">
        <v>31254</v>
      </c>
      <c r="D17384" s="533">
        <v>66.44</v>
      </c>
      <c r="E17384" s="533">
        <v>16.010000000000002</v>
      </c>
      <c r="F17384" s="533">
        <v>50.11</v>
      </c>
      <c r="G17384" s="533">
        <v>0.32</v>
      </c>
      <c r="H17384" s="534">
        <v>496.21</v>
      </c>
      <c r="I17384" s="534">
        <v>184.07</v>
      </c>
      <c r="J17384" s="534">
        <v>308.45999999999998</v>
      </c>
      <c r="K17384" s="534">
        <v>3.68</v>
      </c>
      <c r="L17384" s="43">
        <v>7.4685430463576159</v>
      </c>
      <c r="M17384" s="43">
        <v>11.497189256714552</v>
      </c>
      <c r="N17384" s="43">
        <v>6.1556575533825582</v>
      </c>
      <c r="O17384" s="43">
        <v>11.503164556962025</v>
      </c>
      <c r="P17384" s="535"/>
      <c r="Q17384" s="535"/>
      <c r="R17384" s="535">
        <v>2</v>
      </c>
    </row>
    <row r="17385" spans="1:18" ht="36">
      <c r="A17385" s="531">
        <v>530</v>
      </c>
      <c r="B17385" s="528" t="s">
        <v>31255</v>
      </c>
      <c r="C17385" s="532" t="s">
        <v>31256</v>
      </c>
      <c r="D17385" s="533">
        <v>77.3</v>
      </c>
      <c r="E17385" s="533">
        <v>18.059999999999999</v>
      </c>
      <c r="F17385" s="533">
        <v>58.88</v>
      </c>
      <c r="G17385" s="533">
        <v>0.36</v>
      </c>
      <c r="H17385" s="534">
        <v>574.23</v>
      </c>
      <c r="I17385" s="534">
        <v>207.64</v>
      </c>
      <c r="J17385" s="534">
        <v>362.45</v>
      </c>
      <c r="K17385" s="534">
        <v>4.1399999999999997</v>
      </c>
      <c r="L17385" s="43">
        <v>7.4285899094437262</v>
      </c>
      <c r="M17385" s="43">
        <v>11.497231450719823</v>
      </c>
      <c r="N17385" s="43">
        <v>6.1557404891304346</v>
      </c>
      <c r="O17385" s="43">
        <v>11.503164556962025</v>
      </c>
      <c r="P17385" s="535"/>
      <c r="Q17385" s="535"/>
      <c r="R17385" s="535">
        <v>2</v>
      </c>
    </row>
    <row r="17386" spans="1:18" ht="36">
      <c r="A17386" s="531">
        <v>531</v>
      </c>
      <c r="B17386" s="528" t="s">
        <v>31257</v>
      </c>
      <c r="C17386" s="532" t="s">
        <v>31258</v>
      </c>
      <c r="D17386" s="533">
        <v>84.49</v>
      </c>
      <c r="E17386" s="533">
        <v>20.2</v>
      </c>
      <c r="F17386" s="533">
        <v>63.89</v>
      </c>
      <c r="G17386" s="533">
        <v>0.4</v>
      </c>
      <c r="H17386" s="534">
        <v>630.23</v>
      </c>
      <c r="I17386" s="534">
        <v>232.34</v>
      </c>
      <c r="J17386" s="534">
        <v>393.29</v>
      </c>
      <c r="K17386" s="534">
        <v>4.5999999999999996</v>
      </c>
      <c r="L17386" s="43">
        <v>7.4592259438986872</v>
      </c>
      <c r="M17386" s="43">
        <v>11.501980198019803</v>
      </c>
      <c r="N17386" s="43">
        <v>6.1557364219752699</v>
      </c>
      <c r="O17386" s="43">
        <v>11.503164556962025</v>
      </c>
      <c r="P17386" s="535"/>
      <c r="Q17386" s="535"/>
      <c r="R17386" s="535">
        <v>2</v>
      </c>
    </row>
    <row r="17387" spans="1:18" ht="36">
      <c r="A17387" s="531">
        <v>532</v>
      </c>
      <c r="B17387" s="528" t="s">
        <v>31259</v>
      </c>
      <c r="C17387" s="532" t="s">
        <v>31260</v>
      </c>
      <c r="D17387" s="533">
        <v>95.46</v>
      </c>
      <c r="E17387" s="533">
        <v>22.35</v>
      </c>
      <c r="F17387" s="533">
        <v>72.66</v>
      </c>
      <c r="G17387" s="533">
        <v>0.45</v>
      </c>
      <c r="H17387" s="534">
        <v>709.48</v>
      </c>
      <c r="I17387" s="534">
        <v>257.02999999999997</v>
      </c>
      <c r="J17387" s="534">
        <v>447.27</v>
      </c>
      <c r="K17387" s="534">
        <v>5.18</v>
      </c>
      <c r="L17387" s="43">
        <v>7.4322229205950139</v>
      </c>
      <c r="M17387" s="43">
        <v>11.50022371364653</v>
      </c>
      <c r="N17387" s="43">
        <v>6.1556564822460773</v>
      </c>
      <c r="O17387" s="43">
        <v>11.503164556962025</v>
      </c>
      <c r="P17387" s="535"/>
      <c r="Q17387" s="535"/>
      <c r="R17387" s="535">
        <v>2</v>
      </c>
    </row>
    <row r="17388" spans="1:18" ht="36">
      <c r="A17388" s="531">
        <v>533</v>
      </c>
      <c r="B17388" s="528" t="s">
        <v>31261</v>
      </c>
      <c r="C17388" s="532" t="s">
        <v>31262</v>
      </c>
      <c r="D17388" s="533">
        <v>107.51</v>
      </c>
      <c r="E17388" s="533">
        <v>25.57</v>
      </c>
      <c r="F17388" s="533">
        <v>81.430000000000007</v>
      </c>
      <c r="G17388" s="533">
        <v>0.51</v>
      </c>
      <c r="H17388" s="534">
        <v>801.19</v>
      </c>
      <c r="I17388" s="534">
        <v>294.07</v>
      </c>
      <c r="J17388" s="534">
        <v>501.25</v>
      </c>
      <c r="K17388" s="534">
        <v>5.87</v>
      </c>
      <c r="L17388" s="43">
        <v>7.4522370012091903</v>
      </c>
      <c r="M17388" s="43">
        <v>11.500586624951115</v>
      </c>
      <c r="N17388" s="43">
        <v>6.1555937615129555</v>
      </c>
      <c r="O17388" s="43">
        <v>11.503164556962025</v>
      </c>
      <c r="P17388" s="535"/>
      <c r="Q17388" s="535"/>
      <c r="R17388" s="535">
        <v>2</v>
      </c>
    </row>
    <row r="17389" spans="1:18" ht="36">
      <c r="A17389" s="531">
        <v>534</v>
      </c>
      <c r="B17389" s="528" t="s">
        <v>31263</v>
      </c>
      <c r="C17389" s="532" t="s">
        <v>31264</v>
      </c>
      <c r="D17389" s="533">
        <v>115.87</v>
      </c>
      <c r="E17389" s="533">
        <v>27.62</v>
      </c>
      <c r="F17389" s="533">
        <v>87.7</v>
      </c>
      <c r="G17389" s="533">
        <v>0.55000000000000004</v>
      </c>
      <c r="H17389" s="534">
        <v>863.78</v>
      </c>
      <c r="I17389" s="534">
        <v>317.64</v>
      </c>
      <c r="J17389" s="534">
        <v>539.80999999999995</v>
      </c>
      <c r="K17389" s="534">
        <v>6.33</v>
      </c>
      <c r="L17389" s="43">
        <v>7.4547337533442644</v>
      </c>
      <c r="M17389" s="43">
        <v>11.50036205648081</v>
      </c>
      <c r="N17389" s="43">
        <v>6.1551881413911049</v>
      </c>
      <c r="O17389" s="43">
        <v>11.503164556962025</v>
      </c>
      <c r="P17389" s="535"/>
      <c r="Q17389" s="535"/>
      <c r="R17389" s="535">
        <v>2</v>
      </c>
    </row>
    <row r="17390" spans="1:18" ht="36">
      <c r="A17390" s="531">
        <v>535</v>
      </c>
      <c r="B17390" s="528" t="s">
        <v>31265</v>
      </c>
      <c r="C17390" s="532" t="s">
        <v>31266</v>
      </c>
      <c r="D17390" s="533">
        <v>138.88999999999999</v>
      </c>
      <c r="E17390" s="533">
        <v>32.99</v>
      </c>
      <c r="F17390" s="533">
        <v>105.24</v>
      </c>
      <c r="G17390" s="533">
        <v>0.66</v>
      </c>
      <c r="H17390" s="534">
        <v>1034.73</v>
      </c>
      <c r="I17390" s="534">
        <v>379.37</v>
      </c>
      <c r="J17390" s="534">
        <v>647.77</v>
      </c>
      <c r="K17390" s="534">
        <v>7.59</v>
      </c>
      <c r="L17390" s="43">
        <v>7.4499964000288008</v>
      </c>
      <c r="M17390" s="43">
        <v>11.499545316762655</v>
      </c>
      <c r="N17390" s="43">
        <v>6.1551691372101862</v>
      </c>
      <c r="O17390" s="43">
        <v>11.503164556962025</v>
      </c>
      <c r="P17390" s="535"/>
      <c r="Q17390" s="535"/>
      <c r="R17390" s="535">
        <v>2</v>
      </c>
    </row>
    <row r="17391" spans="1:18" ht="36">
      <c r="A17391" s="531">
        <v>536</v>
      </c>
      <c r="B17391" s="528" t="s">
        <v>31267</v>
      </c>
      <c r="C17391" s="532" t="s">
        <v>31268</v>
      </c>
      <c r="D17391" s="533">
        <v>157.05000000000001</v>
      </c>
      <c r="E17391" s="533">
        <v>37.28</v>
      </c>
      <c r="F17391" s="533">
        <v>119.02</v>
      </c>
      <c r="G17391" s="533">
        <v>0.75</v>
      </c>
      <c r="H17391" s="534">
        <v>1169.99</v>
      </c>
      <c r="I17391" s="534">
        <v>428.76</v>
      </c>
      <c r="J17391" s="534">
        <v>732.6</v>
      </c>
      <c r="K17391" s="534">
        <v>8.6300000000000008</v>
      </c>
      <c r="L17391" s="43">
        <v>7.4497930595351791</v>
      </c>
      <c r="M17391" s="43">
        <v>11.50107296137339</v>
      </c>
      <c r="N17391" s="43">
        <v>6.1552680221811462</v>
      </c>
      <c r="O17391" s="43">
        <v>11.503164556962025</v>
      </c>
      <c r="P17391" s="535"/>
      <c r="Q17391" s="535"/>
      <c r="R17391" s="535">
        <v>2</v>
      </c>
    </row>
    <row r="17392" spans="1:18" ht="36">
      <c r="A17392" s="531">
        <v>537</v>
      </c>
      <c r="B17392" s="528" t="s">
        <v>31269</v>
      </c>
      <c r="C17392" s="532" t="s">
        <v>31270</v>
      </c>
      <c r="D17392" s="533">
        <v>181.06</v>
      </c>
      <c r="E17392" s="533">
        <v>43.63</v>
      </c>
      <c r="F17392" s="533">
        <v>136.56</v>
      </c>
      <c r="G17392" s="533">
        <v>0.87</v>
      </c>
      <c r="H17392" s="534">
        <v>1352.28</v>
      </c>
      <c r="I17392" s="534">
        <v>501.71</v>
      </c>
      <c r="J17392" s="534">
        <v>840.56</v>
      </c>
      <c r="K17392" s="534">
        <v>10.01</v>
      </c>
      <c r="L17392" s="43">
        <v>7.4686844140064066</v>
      </c>
      <c r="M17392" s="43">
        <v>11.499197799679118</v>
      </c>
      <c r="N17392" s="43">
        <v>6.1552431165787924</v>
      </c>
      <c r="O17392" s="43">
        <v>11.503164556962025</v>
      </c>
      <c r="P17392" s="535"/>
      <c r="Q17392" s="535"/>
      <c r="R17392" s="535">
        <v>2</v>
      </c>
    </row>
    <row r="17393" spans="1:18" ht="36">
      <c r="A17393" s="531">
        <v>538</v>
      </c>
      <c r="B17393" s="528" t="s">
        <v>31271</v>
      </c>
      <c r="C17393" s="532" t="s">
        <v>31272</v>
      </c>
      <c r="D17393" s="533">
        <v>199.22</v>
      </c>
      <c r="E17393" s="533">
        <v>47.92</v>
      </c>
      <c r="F17393" s="533">
        <v>150.34</v>
      </c>
      <c r="G17393" s="533">
        <v>0.96</v>
      </c>
      <c r="H17393" s="534">
        <v>1487.53</v>
      </c>
      <c r="I17393" s="534">
        <v>551.1</v>
      </c>
      <c r="J17393" s="534">
        <v>925.39</v>
      </c>
      <c r="K17393" s="534">
        <v>11.04</v>
      </c>
      <c r="L17393" s="43">
        <v>7.4667704045778533</v>
      </c>
      <c r="M17393" s="43">
        <v>11.500417362270451</v>
      </c>
      <c r="N17393" s="43">
        <v>6.1553146201942264</v>
      </c>
      <c r="O17393" s="43">
        <v>11.503164556962025</v>
      </c>
      <c r="P17393" s="535"/>
      <c r="Q17393" s="535"/>
      <c r="R17393" s="535">
        <v>2</v>
      </c>
    </row>
    <row r="17394" spans="1:18" ht="36">
      <c r="A17394" s="531">
        <v>539</v>
      </c>
      <c r="B17394" s="528" t="s">
        <v>31273</v>
      </c>
      <c r="C17394" s="532" t="s">
        <v>31274</v>
      </c>
      <c r="D17394" s="533">
        <v>216.18</v>
      </c>
      <c r="E17394" s="533">
        <v>51.04</v>
      </c>
      <c r="F17394" s="533">
        <v>164.12</v>
      </c>
      <c r="G17394" s="533">
        <v>1.02</v>
      </c>
      <c r="H17394" s="534">
        <v>1608.97</v>
      </c>
      <c r="I17394" s="534">
        <v>587.02</v>
      </c>
      <c r="J17394" s="534">
        <v>1010.22</v>
      </c>
      <c r="K17394" s="534">
        <v>11.73</v>
      </c>
      <c r="L17394" s="43">
        <v>7.4427329077620499</v>
      </c>
      <c r="M17394" s="43">
        <v>11.501175548589341</v>
      </c>
      <c r="N17394" s="43">
        <v>6.1553741165001217</v>
      </c>
      <c r="O17394" s="43">
        <v>11.503164556962025</v>
      </c>
      <c r="P17394" s="535"/>
      <c r="Q17394" s="535"/>
      <c r="R17394" s="535">
        <v>2</v>
      </c>
    </row>
    <row r="17395" spans="1:18" ht="36">
      <c r="A17395" s="531">
        <v>540</v>
      </c>
      <c r="B17395" s="528" t="s">
        <v>31275</v>
      </c>
      <c r="C17395" s="532" t="s">
        <v>31276</v>
      </c>
      <c r="D17395" s="533">
        <v>249.22</v>
      </c>
      <c r="E17395" s="533">
        <v>56.41</v>
      </c>
      <c r="F17395" s="533">
        <v>191.68</v>
      </c>
      <c r="G17395" s="533">
        <v>1.1299999999999999</v>
      </c>
      <c r="H17395" s="534">
        <v>1841.62</v>
      </c>
      <c r="I17395" s="534">
        <v>648.75</v>
      </c>
      <c r="J17395" s="534">
        <v>1179.8699999999999</v>
      </c>
      <c r="K17395" s="534">
        <v>13</v>
      </c>
      <c r="L17395" s="43">
        <v>7.3895353502929133</v>
      </c>
      <c r="M17395" s="43">
        <v>11.500620457365716</v>
      </c>
      <c r="N17395" s="43">
        <v>6.1554152754590978</v>
      </c>
      <c r="O17395" s="43">
        <v>11.503164556962025</v>
      </c>
      <c r="P17395" s="535"/>
      <c r="Q17395" s="535"/>
      <c r="R17395" s="535">
        <v>2</v>
      </c>
    </row>
    <row r="17396" spans="1:18" ht="36">
      <c r="A17396" s="531">
        <v>541</v>
      </c>
      <c r="B17396" s="528" t="s">
        <v>31277</v>
      </c>
      <c r="C17396" s="532" t="s">
        <v>31278</v>
      </c>
      <c r="D17396" s="533">
        <v>267.27999999999997</v>
      </c>
      <c r="E17396" s="533">
        <v>60.61</v>
      </c>
      <c r="F17396" s="533">
        <v>205.46</v>
      </c>
      <c r="G17396" s="533">
        <v>1.21</v>
      </c>
      <c r="H17396" s="534">
        <v>1975.63</v>
      </c>
      <c r="I17396" s="534">
        <v>697.01</v>
      </c>
      <c r="J17396" s="534">
        <v>1264.7</v>
      </c>
      <c r="K17396" s="534">
        <v>13.92</v>
      </c>
      <c r="L17396" s="43">
        <v>7.3916117928763851</v>
      </c>
      <c r="M17396" s="43">
        <v>11.499917505362152</v>
      </c>
      <c r="N17396" s="43">
        <v>6.1554560498393851</v>
      </c>
      <c r="O17396" s="43">
        <v>11.503164556962025</v>
      </c>
      <c r="P17396" s="535"/>
      <c r="Q17396" s="535"/>
      <c r="R17396" s="535">
        <v>2</v>
      </c>
    </row>
    <row r="17397" spans="1:18" ht="36">
      <c r="A17397" s="531">
        <v>542</v>
      </c>
      <c r="B17397" s="528" t="s">
        <v>31279</v>
      </c>
      <c r="C17397" s="532" t="s">
        <v>31280</v>
      </c>
      <c r="D17397" s="533">
        <v>304.44</v>
      </c>
      <c r="E17397" s="533">
        <v>71.25</v>
      </c>
      <c r="F17397" s="533">
        <v>231.77</v>
      </c>
      <c r="G17397" s="533">
        <v>1.42</v>
      </c>
      <c r="H17397" s="534">
        <v>2262.33</v>
      </c>
      <c r="I17397" s="534">
        <v>819.35</v>
      </c>
      <c r="J17397" s="534">
        <v>1426.65</v>
      </c>
      <c r="K17397" s="534">
        <v>16.329999999999998</v>
      </c>
      <c r="L17397" s="43">
        <v>7.4311194324004726</v>
      </c>
      <c r="M17397" s="43">
        <v>11.499649122807018</v>
      </c>
      <c r="N17397" s="43">
        <v>6.1554558398412222</v>
      </c>
      <c r="O17397" s="43">
        <v>11.503164556962025</v>
      </c>
      <c r="P17397" s="535"/>
      <c r="Q17397" s="535"/>
      <c r="R17397" s="535">
        <v>2</v>
      </c>
    </row>
    <row r="17398" spans="1:18" ht="36">
      <c r="A17398" s="531">
        <v>543</v>
      </c>
      <c r="B17398" s="528" t="s">
        <v>31281</v>
      </c>
      <c r="C17398" s="532" t="s">
        <v>31282</v>
      </c>
      <c r="D17398" s="533">
        <v>341.76</v>
      </c>
      <c r="E17398" s="533">
        <v>80.81</v>
      </c>
      <c r="F17398" s="533">
        <v>259.33</v>
      </c>
      <c r="G17398" s="533">
        <v>1.62</v>
      </c>
      <c r="H17398" s="534">
        <v>2544.2800000000002</v>
      </c>
      <c r="I17398" s="534">
        <v>929.35</v>
      </c>
      <c r="J17398" s="534">
        <v>1596.3</v>
      </c>
      <c r="K17398" s="534">
        <v>18.63</v>
      </c>
      <c r="L17398" s="43">
        <v>7.4446395131086147</v>
      </c>
      <c r="M17398" s="43">
        <v>11.500433114713525</v>
      </c>
      <c r="N17398" s="43">
        <v>6.1554775768326069</v>
      </c>
      <c r="O17398" s="43">
        <v>11.503164556962025</v>
      </c>
      <c r="P17398" s="535"/>
      <c r="Q17398" s="535"/>
      <c r="R17398" s="535">
        <v>2</v>
      </c>
    </row>
    <row r="17399" spans="1:18" ht="36">
      <c r="A17399" s="531">
        <v>544</v>
      </c>
      <c r="B17399" s="528" t="s">
        <v>31283</v>
      </c>
      <c r="C17399" s="532" t="s">
        <v>31284</v>
      </c>
      <c r="D17399" s="533">
        <v>362.11</v>
      </c>
      <c r="E17399" s="533">
        <v>87.25</v>
      </c>
      <c r="F17399" s="533">
        <v>273.11</v>
      </c>
      <c r="G17399" s="533">
        <v>1.75</v>
      </c>
      <c r="H17399" s="534">
        <v>2704.69</v>
      </c>
      <c r="I17399" s="534">
        <v>1003.43</v>
      </c>
      <c r="J17399" s="534">
        <v>1681.13</v>
      </c>
      <c r="K17399" s="534">
        <v>20.13</v>
      </c>
      <c r="L17399" s="43">
        <v>7.4692496755129651</v>
      </c>
      <c r="M17399" s="43">
        <v>11.500630372492836</v>
      </c>
      <c r="N17399" s="43">
        <v>6.1555051078320089</v>
      </c>
      <c r="O17399" s="43">
        <v>11.503164556962025</v>
      </c>
      <c r="P17399" s="535"/>
      <c r="Q17399" s="535"/>
      <c r="R17399" s="535">
        <v>2</v>
      </c>
    </row>
    <row r="17400" spans="1:18" ht="36">
      <c r="A17400" s="531">
        <v>545</v>
      </c>
      <c r="B17400" s="528" t="s">
        <v>31285</v>
      </c>
      <c r="C17400" s="532" t="s">
        <v>31286</v>
      </c>
      <c r="D17400" s="533">
        <v>72.44</v>
      </c>
      <c r="E17400" s="533">
        <v>16.98</v>
      </c>
      <c r="F17400" s="533">
        <v>55.12</v>
      </c>
      <c r="G17400" s="533">
        <v>0.34</v>
      </c>
      <c r="H17400" s="534">
        <v>538.52</v>
      </c>
      <c r="I17400" s="534">
        <v>195.3</v>
      </c>
      <c r="J17400" s="534">
        <v>339.31</v>
      </c>
      <c r="K17400" s="534">
        <v>3.91</v>
      </c>
      <c r="L17400" s="43">
        <v>7.4340143567090005</v>
      </c>
      <c r="M17400" s="43">
        <v>11.501766784452297</v>
      </c>
      <c r="N17400" s="43">
        <v>6.1558417997097248</v>
      </c>
      <c r="O17400" s="43">
        <v>11.503164556962025</v>
      </c>
      <c r="P17400" s="535"/>
      <c r="Q17400" s="535"/>
      <c r="R17400" s="535">
        <v>2</v>
      </c>
    </row>
    <row r="17401" spans="1:18" ht="36">
      <c r="A17401" s="531">
        <v>546</v>
      </c>
      <c r="B17401" s="528" t="s">
        <v>31287</v>
      </c>
      <c r="C17401" s="532" t="s">
        <v>31288</v>
      </c>
      <c r="D17401" s="533">
        <v>90.61</v>
      </c>
      <c r="E17401" s="533">
        <v>21.28</v>
      </c>
      <c r="F17401" s="533">
        <v>68.900000000000006</v>
      </c>
      <c r="G17401" s="533">
        <v>0.43</v>
      </c>
      <c r="H17401" s="534">
        <v>673.77</v>
      </c>
      <c r="I17401" s="534">
        <v>244.68</v>
      </c>
      <c r="J17401" s="534">
        <v>424.14</v>
      </c>
      <c r="K17401" s="534">
        <v>4.95</v>
      </c>
      <c r="L17401" s="43">
        <v>7.4359342235956296</v>
      </c>
      <c r="M17401" s="43">
        <v>11.498120300751879</v>
      </c>
      <c r="N17401" s="43">
        <v>6.1558780841799701</v>
      </c>
      <c r="O17401" s="43">
        <v>11.503164556962025</v>
      </c>
      <c r="P17401" s="535"/>
      <c r="Q17401" s="535"/>
      <c r="R17401" s="535">
        <v>2</v>
      </c>
    </row>
    <row r="17402" spans="1:18" ht="36">
      <c r="A17402" s="531">
        <v>547</v>
      </c>
      <c r="B17402" s="528" t="s">
        <v>31289</v>
      </c>
      <c r="C17402" s="532" t="s">
        <v>31290</v>
      </c>
      <c r="D17402" s="533">
        <v>100.31</v>
      </c>
      <c r="E17402" s="533">
        <v>23.42</v>
      </c>
      <c r="F17402" s="533">
        <v>76.42</v>
      </c>
      <c r="G17402" s="533">
        <v>0.47</v>
      </c>
      <c r="H17402" s="534">
        <v>745.2</v>
      </c>
      <c r="I17402" s="534">
        <v>269.38</v>
      </c>
      <c r="J17402" s="534">
        <v>470.41</v>
      </c>
      <c r="K17402" s="534">
        <v>5.41</v>
      </c>
      <c r="L17402" s="43">
        <v>7.4289701924035496</v>
      </c>
      <c r="M17402" s="43">
        <v>11.502134927412467</v>
      </c>
      <c r="N17402" s="43">
        <v>6.1555875425281341</v>
      </c>
      <c r="O17402" s="43">
        <v>11.503164556962025</v>
      </c>
      <c r="P17402" s="535"/>
      <c r="Q17402" s="535"/>
      <c r="R17402" s="535">
        <v>2</v>
      </c>
    </row>
    <row r="17403" spans="1:18" ht="36">
      <c r="A17403" s="531">
        <v>548</v>
      </c>
      <c r="B17403" s="528" t="s">
        <v>31291</v>
      </c>
      <c r="C17403" s="532" t="s">
        <v>31292</v>
      </c>
      <c r="D17403" s="533">
        <v>112.36</v>
      </c>
      <c r="E17403" s="533">
        <v>26.64</v>
      </c>
      <c r="F17403" s="533">
        <v>85.19</v>
      </c>
      <c r="G17403" s="533">
        <v>0.53</v>
      </c>
      <c r="H17403" s="534">
        <v>836.91</v>
      </c>
      <c r="I17403" s="534">
        <v>306.42</v>
      </c>
      <c r="J17403" s="534">
        <v>524.39</v>
      </c>
      <c r="K17403" s="534">
        <v>6.1</v>
      </c>
      <c r="L17403" s="43">
        <v>7.4484692061231756</v>
      </c>
      <c r="M17403" s="43">
        <v>11.502252252252253</v>
      </c>
      <c r="N17403" s="43">
        <v>6.1555346871698555</v>
      </c>
      <c r="O17403" s="43">
        <v>11.503164556962025</v>
      </c>
      <c r="P17403" s="535"/>
      <c r="Q17403" s="535"/>
      <c r="R17403" s="535">
        <v>2</v>
      </c>
    </row>
    <row r="17404" spans="1:18" ht="36">
      <c r="A17404" s="531">
        <v>549</v>
      </c>
      <c r="B17404" s="528" t="s">
        <v>31293</v>
      </c>
      <c r="C17404" s="532" t="s">
        <v>31294</v>
      </c>
      <c r="D17404" s="533">
        <v>121.97</v>
      </c>
      <c r="E17404" s="533">
        <v>28.69</v>
      </c>
      <c r="F17404" s="533">
        <v>92.71</v>
      </c>
      <c r="G17404" s="533">
        <v>0.56999999999999995</v>
      </c>
      <c r="H17404" s="534">
        <v>907.21</v>
      </c>
      <c r="I17404" s="534">
        <v>329.99</v>
      </c>
      <c r="J17404" s="534">
        <v>570.66</v>
      </c>
      <c r="K17404" s="534">
        <v>6.56</v>
      </c>
      <c r="L17404" s="43">
        <v>7.4379765516110519</v>
      </c>
      <c r="M17404" s="43">
        <v>11.501917044266294</v>
      </c>
      <c r="N17404" s="43">
        <v>6.1553230503721279</v>
      </c>
      <c r="O17404" s="43">
        <v>11.503164556962025</v>
      </c>
      <c r="P17404" s="535"/>
      <c r="Q17404" s="535"/>
      <c r="R17404" s="535">
        <v>2</v>
      </c>
    </row>
    <row r="17405" spans="1:18" ht="36">
      <c r="A17405" s="531">
        <v>550</v>
      </c>
      <c r="B17405" s="528" t="s">
        <v>31295</v>
      </c>
      <c r="C17405" s="532" t="s">
        <v>31296</v>
      </c>
      <c r="D17405" s="533">
        <v>151.1</v>
      </c>
      <c r="E17405" s="533">
        <v>35.14</v>
      </c>
      <c r="F17405" s="533">
        <v>115.26</v>
      </c>
      <c r="G17405" s="533">
        <v>0.7</v>
      </c>
      <c r="H17405" s="534">
        <v>1121.58</v>
      </c>
      <c r="I17405" s="534">
        <v>404.06</v>
      </c>
      <c r="J17405" s="534">
        <v>709.47</v>
      </c>
      <c r="K17405" s="534">
        <v>8.0500000000000007</v>
      </c>
      <c r="L17405" s="43">
        <v>7.4227663798808736</v>
      </c>
      <c r="M17405" s="43">
        <v>11.498577120091063</v>
      </c>
      <c r="N17405" s="43">
        <v>6.1553878188443516</v>
      </c>
      <c r="O17405" s="43">
        <v>11.503164556962025</v>
      </c>
      <c r="P17405" s="535"/>
      <c r="Q17405" s="535"/>
      <c r="R17405" s="535">
        <v>2</v>
      </c>
    </row>
    <row r="17406" spans="1:18" ht="36">
      <c r="A17406" s="531">
        <v>551</v>
      </c>
      <c r="B17406" s="528" t="s">
        <v>31297</v>
      </c>
      <c r="C17406" s="532" t="s">
        <v>31298</v>
      </c>
      <c r="D17406" s="533">
        <v>178.7</v>
      </c>
      <c r="E17406" s="533">
        <v>42.55</v>
      </c>
      <c r="F17406" s="533">
        <v>135.30000000000001</v>
      </c>
      <c r="G17406" s="533">
        <v>0.85</v>
      </c>
      <c r="H17406" s="534">
        <v>1332</v>
      </c>
      <c r="I17406" s="534">
        <v>489.37</v>
      </c>
      <c r="J17406" s="534">
        <v>832.85</v>
      </c>
      <c r="K17406" s="534">
        <v>9.7799999999999994</v>
      </c>
      <c r="L17406" s="43">
        <v>7.4538332400671523</v>
      </c>
      <c r="M17406" s="43">
        <v>11.50105757931845</v>
      </c>
      <c r="N17406" s="43">
        <v>6.1555801921655577</v>
      </c>
      <c r="O17406" s="43">
        <v>11.503164556962025</v>
      </c>
      <c r="P17406" s="535"/>
      <c r="Q17406" s="535"/>
      <c r="R17406" s="535">
        <v>2</v>
      </c>
    </row>
    <row r="17407" spans="1:18" ht="36">
      <c r="A17407" s="531">
        <v>552</v>
      </c>
      <c r="B17407" s="528" t="s">
        <v>31299</v>
      </c>
      <c r="C17407" s="532" t="s">
        <v>31300</v>
      </c>
      <c r="D17407" s="533">
        <v>200.22</v>
      </c>
      <c r="E17407" s="533">
        <v>48.9</v>
      </c>
      <c r="F17407" s="533">
        <v>150.34</v>
      </c>
      <c r="G17407" s="533">
        <v>0.98</v>
      </c>
      <c r="H17407" s="534">
        <v>1498.98</v>
      </c>
      <c r="I17407" s="534">
        <v>562.32000000000005</v>
      </c>
      <c r="J17407" s="534">
        <v>925.39</v>
      </c>
      <c r="K17407" s="534">
        <v>11.27</v>
      </c>
      <c r="L17407" s="43">
        <v>7.4866646688642495</v>
      </c>
      <c r="M17407" s="43">
        <v>11.499386503067486</v>
      </c>
      <c r="N17407" s="43">
        <v>6.1553146201942264</v>
      </c>
      <c r="O17407" s="43">
        <v>11.503164556962025</v>
      </c>
      <c r="P17407" s="535"/>
      <c r="Q17407" s="535"/>
      <c r="R17407" s="535">
        <v>2</v>
      </c>
    </row>
    <row r="17408" spans="1:18" ht="36">
      <c r="A17408" s="531">
        <v>553</v>
      </c>
      <c r="B17408" s="528" t="s">
        <v>31301</v>
      </c>
      <c r="C17408" s="532" t="s">
        <v>31302</v>
      </c>
      <c r="D17408" s="533">
        <v>219.48</v>
      </c>
      <c r="E17408" s="533">
        <v>54.27</v>
      </c>
      <c r="F17408" s="533">
        <v>164.12</v>
      </c>
      <c r="G17408" s="533">
        <v>1.0900000000000001</v>
      </c>
      <c r="H17408" s="534">
        <v>1646.81</v>
      </c>
      <c r="I17408" s="534">
        <v>624.04999999999995</v>
      </c>
      <c r="J17408" s="534">
        <v>1010.22</v>
      </c>
      <c r="K17408" s="534">
        <v>12.54</v>
      </c>
      <c r="L17408" s="43">
        <v>7.5032349188992162</v>
      </c>
      <c r="M17408" s="43">
        <v>11.498986548737792</v>
      </c>
      <c r="N17408" s="43">
        <v>6.1553741165001217</v>
      </c>
      <c r="O17408" s="43">
        <v>11.503164556962025</v>
      </c>
      <c r="P17408" s="535"/>
      <c r="Q17408" s="535"/>
      <c r="R17408" s="535">
        <v>2</v>
      </c>
    </row>
    <row r="17409" spans="1:18" ht="36">
      <c r="A17409" s="531">
        <v>554</v>
      </c>
      <c r="B17409" s="528" t="s">
        <v>31303</v>
      </c>
      <c r="C17409" s="532" t="s">
        <v>31304</v>
      </c>
      <c r="D17409" s="533">
        <v>267.27999999999997</v>
      </c>
      <c r="E17409" s="533">
        <v>60.61</v>
      </c>
      <c r="F17409" s="533">
        <v>205.46</v>
      </c>
      <c r="G17409" s="533">
        <v>1.21</v>
      </c>
      <c r="H17409" s="534">
        <v>1975.63</v>
      </c>
      <c r="I17409" s="534">
        <v>697.01</v>
      </c>
      <c r="J17409" s="534">
        <v>1264.7</v>
      </c>
      <c r="K17409" s="534">
        <v>13.92</v>
      </c>
      <c r="L17409" s="43">
        <v>7.3916117928763851</v>
      </c>
      <c r="M17409" s="43">
        <v>11.499917505362152</v>
      </c>
      <c r="N17409" s="43">
        <v>6.1554560498393851</v>
      </c>
      <c r="O17409" s="43">
        <v>11.503164556962025</v>
      </c>
      <c r="P17409" s="535"/>
      <c r="Q17409" s="535"/>
      <c r="R17409" s="535">
        <v>2</v>
      </c>
    </row>
    <row r="17410" spans="1:18" ht="36">
      <c r="A17410" s="531">
        <v>555</v>
      </c>
      <c r="B17410" s="528" t="s">
        <v>31305</v>
      </c>
      <c r="C17410" s="532" t="s">
        <v>31306</v>
      </c>
      <c r="D17410" s="533">
        <v>286.38</v>
      </c>
      <c r="E17410" s="533">
        <v>67.05</v>
      </c>
      <c r="F17410" s="533">
        <v>217.99</v>
      </c>
      <c r="G17410" s="533">
        <v>1.34</v>
      </c>
      <c r="H17410" s="534">
        <v>2128.3200000000002</v>
      </c>
      <c r="I17410" s="534">
        <v>771.09</v>
      </c>
      <c r="J17410" s="534">
        <v>1341.82</v>
      </c>
      <c r="K17410" s="534">
        <v>15.41</v>
      </c>
      <c r="L17410" s="43">
        <v>7.4318038969201767</v>
      </c>
      <c r="M17410" s="43">
        <v>11.500223713646534</v>
      </c>
      <c r="N17410" s="43">
        <v>6.1554199733932746</v>
      </c>
      <c r="O17410" s="43">
        <v>11.503164556962025</v>
      </c>
      <c r="P17410" s="535"/>
      <c r="Q17410" s="535"/>
      <c r="R17410" s="535">
        <v>2</v>
      </c>
    </row>
    <row r="17411" spans="1:18" ht="36">
      <c r="A17411" s="531">
        <v>556</v>
      </c>
      <c r="B17411" s="528" t="s">
        <v>31307</v>
      </c>
      <c r="C17411" s="532" t="s">
        <v>31308</v>
      </c>
      <c r="D17411" s="533">
        <v>306.64</v>
      </c>
      <c r="E17411" s="533">
        <v>73.400000000000006</v>
      </c>
      <c r="F17411" s="533">
        <v>231.77</v>
      </c>
      <c r="G17411" s="533">
        <v>1.47</v>
      </c>
      <c r="H17411" s="534">
        <v>2287.6</v>
      </c>
      <c r="I17411" s="534">
        <v>844.04</v>
      </c>
      <c r="J17411" s="534">
        <v>1426.65</v>
      </c>
      <c r="K17411" s="534">
        <v>16.91</v>
      </c>
      <c r="L17411" s="43">
        <v>7.4602139316462299</v>
      </c>
      <c r="M17411" s="43">
        <v>11.499182561307901</v>
      </c>
      <c r="N17411" s="43">
        <v>6.1554558398412222</v>
      </c>
      <c r="O17411" s="43">
        <v>11.503164556962025</v>
      </c>
      <c r="P17411" s="535"/>
      <c r="Q17411" s="535"/>
      <c r="R17411" s="535">
        <v>2</v>
      </c>
    </row>
    <row r="17412" spans="1:18" ht="36">
      <c r="A17412" s="531">
        <v>557</v>
      </c>
      <c r="B17412" s="528" t="s">
        <v>31309</v>
      </c>
      <c r="C17412" s="532" t="s">
        <v>31310</v>
      </c>
      <c r="D17412" s="533">
        <v>339.67</v>
      </c>
      <c r="E17412" s="533">
        <v>78.760000000000005</v>
      </c>
      <c r="F17412" s="533">
        <v>259.33</v>
      </c>
      <c r="G17412" s="533">
        <v>1.58</v>
      </c>
      <c r="H17412" s="534">
        <v>2520.25</v>
      </c>
      <c r="I17412" s="534">
        <v>905.78</v>
      </c>
      <c r="J17412" s="534">
        <v>1596.3</v>
      </c>
      <c r="K17412" s="534">
        <v>18.170000000000002</v>
      </c>
      <c r="L17412" s="43">
        <v>7.4197014749609913</v>
      </c>
      <c r="M17412" s="43">
        <v>11.50050787201625</v>
      </c>
      <c r="N17412" s="43">
        <v>6.1554775768326069</v>
      </c>
      <c r="O17412" s="43">
        <v>11.503164556962025</v>
      </c>
      <c r="P17412" s="535"/>
      <c r="Q17412" s="535"/>
      <c r="R17412" s="535">
        <v>2</v>
      </c>
    </row>
    <row r="17413" spans="1:18" ht="36">
      <c r="A17413" s="531">
        <v>558</v>
      </c>
      <c r="B17413" s="528" t="s">
        <v>31311</v>
      </c>
      <c r="C17413" s="532" t="s">
        <v>31312</v>
      </c>
      <c r="D17413" s="533">
        <v>379.18</v>
      </c>
      <c r="E17413" s="533">
        <v>90.48</v>
      </c>
      <c r="F17413" s="533">
        <v>286.89</v>
      </c>
      <c r="G17413" s="533">
        <v>1.81</v>
      </c>
      <c r="H17413" s="534">
        <v>2827.24</v>
      </c>
      <c r="I17413" s="534">
        <v>1040.46</v>
      </c>
      <c r="J17413" s="534">
        <v>1765.96</v>
      </c>
      <c r="K17413" s="534">
        <v>20.82</v>
      </c>
      <c r="L17413" s="43">
        <v>7.4561949469908742</v>
      </c>
      <c r="M17413" s="43">
        <v>11.499336870026525</v>
      </c>
      <c r="N17413" s="43">
        <v>6.1555299940743842</v>
      </c>
      <c r="O17413" s="43">
        <v>11.503164556962025</v>
      </c>
      <c r="P17413" s="535"/>
      <c r="Q17413" s="535"/>
      <c r="R17413" s="535">
        <v>2</v>
      </c>
    </row>
    <row r="17414" spans="1:18" ht="36">
      <c r="A17414" s="531">
        <v>559</v>
      </c>
      <c r="B17414" s="528" t="s">
        <v>31313</v>
      </c>
      <c r="C17414" s="532" t="s">
        <v>31314</v>
      </c>
      <c r="D17414" s="533">
        <v>448.23</v>
      </c>
      <c r="E17414" s="533">
        <v>104.14</v>
      </c>
      <c r="F17414" s="533">
        <v>342.01</v>
      </c>
      <c r="G17414" s="533">
        <v>2.08</v>
      </c>
      <c r="H17414" s="534">
        <v>3326.79</v>
      </c>
      <c r="I17414" s="534">
        <v>1197.5999999999999</v>
      </c>
      <c r="J17414" s="534">
        <v>2105.27</v>
      </c>
      <c r="K17414" s="534">
        <v>23.92</v>
      </c>
      <c r="L17414" s="43">
        <v>7.4220601030720834</v>
      </c>
      <c r="M17414" s="43">
        <v>11.499903975417705</v>
      </c>
      <c r="N17414" s="43">
        <v>6.155580246191632</v>
      </c>
      <c r="O17414" s="43">
        <v>11.503164556962025</v>
      </c>
      <c r="P17414" s="535"/>
      <c r="Q17414" s="535"/>
      <c r="R17414" s="535">
        <v>2</v>
      </c>
    </row>
    <row r="17415" spans="1:18" ht="36">
      <c r="A17415" s="531">
        <v>560</v>
      </c>
      <c r="B17415" s="528" t="s">
        <v>31315</v>
      </c>
      <c r="C17415" s="532" t="s">
        <v>31316</v>
      </c>
      <c r="D17415" s="533">
        <v>487.78</v>
      </c>
      <c r="E17415" s="533">
        <v>117.12</v>
      </c>
      <c r="F17415" s="533">
        <v>368.32</v>
      </c>
      <c r="G17415" s="533">
        <v>2.34</v>
      </c>
      <c r="H17415" s="534">
        <v>3641</v>
      </c>
      <c r="I17415" s="534">
        <v>1346.88</v>
      </c>
      <c r="J17415" s="534">
        <v>2267.21</v>
      </c>
      <c r="K17415" s="534">
        <v>26.91</v>
      </c>
      <c r="L17415" s="43">
        <v>7.4644306859649845</v>
      </c>
      <c r="M17415" s="43">
        <v>11.5</v>
      </c>
      <c r="N17415" s="43">
        <v>6.155544092093832</v>
      </c>
      <c r="O17415" s="43">
        <v>11.503164556962025</v>
      </c>
      <c r="P17415" s="535"/>
      <c r="Q17415" s="535"/>
      <c r="R17415" s="535">
        <v>2</v>
      </c>
    </row>
    <row r="17416" spans="1:18" ht="36">
      <c r="A17416" s="531">
        <v>561</v>
      </c>
      <c r="B17416" s="528" t="s">
        <v>31317</v>
      </c>
      <c r="C17416" s="532" t="s">
        <v>31318</v>
      </c>
      <c r="D17416" s="533">
        <v>8.35</v>
      </c>
      <c r="E17416" s="533">
        <v>2.0499999999999998</v>
      </c>
      <c r="F17416" s="533">
        <v>6.26</v>
      </c>
      <c r="G17416" s="533">
        <v>0.04</v>
      </c>
      <c r="H17416" s="534">
        <v>62.59</v>
      </c>
      <c r="I17416" s="534">
        <v>23.57</v>
      </c>
      <c r="J17416" s="534">
        <v>38.56</v>
      </c>
      <c r="K17416" s="534">
        <v>0.46</v>
      </c>
      <c r="L17416" s="43">
        <v>7.495808383233534</v>
      </c>
      <c r="M17416" s="43">
        <v>11.497560975609757</v>
      </c>
      <c r="N17416" s="43">
        <v>6.1597444089456879</v>
      </c>
      <c r="O17416" s="43">
        <v>11.503164556962025</v>
      </c>
      <c r="P17416" s="535"/>
      <c r="Q17416" s="535"/>
      <c r="R17416" s="535">
        <v>2</v>
      </c>
    </row>
    <row r="17417" spans="1:18" ht="36">
      <c r="A17417" s="531">
        <v>562</v>
      </c>
      <c r="B17417" s="528" t="s">
        <v>31319</v>
      </c>
      <c r="C17417" s="532" t="s">
        <v>31320</v>
      </c>
      <c r="D17417" s="533">
        <v>8.5399999999999991</v>
      </c>
      <c r="E17417" s="533">
        <v>2.2400000000000002</v>
      </c>
      <c r="F17417" s="533">
        <v>6.26</v>
      </c>
      <c r="G17417" s="533">
        <v>0.04</v>
      </c>
      <c r="H17417" s="534">
        <v>64.84</v>
      </c>
      <c r="I17417" s="534">
        <v>25.82</v>
      </c>
      <c r="J17417" s="534">
        <v>38.56</v>
      </c>
      <c r="K17417" s="534">
        <v>0.46</v>
      </c>
      <c r="L17417" s="43">
        <v>7.5925058548009376</v>
      </c>
      <c r="M17417" s="43">
        <v>11.5</v>
      </c>
      <c r="N17417" s="43">
        <v>6.1597444089456879</v>
      </c>
      <c r="O17417" s="43">
        <v>11.503164556962025</v>
      </c>
      <c r="P17417" s="535"/>
      <c r="Q17417" s="535"/>
      <c r="R17417" s="535">
        <v>2</v>
      </c>
    </row>
    <row r="17418" spans="1:18" ht="36">
      <c r="A17418" s="531">
        <v>563</v>
      </c>
      <c r="B17418" s="528" t="s">
        <v>31321</v>
      </c>
      <c r="C17418" s="532" t="s">
        <v>31322</v>
      </c>
      <c r="D17418" s="533">
        <v>11.36</v>
      </c>
      <c r="E17418" s="533">
        <v>2.54</v>
      </c>
      <c r="F17418" s="533">
        <v>8.77</v>
      </c>
      <c r="G17418" s="533">
        <v>0.05</v>
      </c>
      <c r="H17418" s="534">
        <v>83.74</v>
      </c>
      <c r="I17418" s="534">
        <v>29.18</v>
      </c>
      <c r="J17418" s="534">
        <v>53.98</v>
      </c>
      <c r="K17418" s="534">
        <v>0.57999999999999996</v>
      </c>
      <c r="L17418" s="43">
        <v>7.371478873239437</v>
      </c>
      <c r="M17418" s="43">
        <v>11.5</v>
      </c>
      <c r="N17418" s="43">
        <v>6.1550741163055873</v>
      </c>
      <c r="O17418" s="43">
        <v>11.503164556962025</v>
      </c>
      <c r="P17418" s="535"/>
      <c r="Q17418" s="535"/>
      <c r="R17418" s="535">
        <v>2</v>
      </c>
    </row>
    <row r="17419" spans="1:18" ht="36">
      <c r="A17419" s="531">
        <v>564</v>
      </c>
      <c r="B17419" s="528" t="s">
        <v>31323</v>
      </c>
      <c r="C17419" s="532" t="s">
        <v>31324</v>
      </c>
      <c r="D17419" s="533">
        <v>11.46</v>
      </c>
      <c r="E17419" s="533">
        <v>2.64</v>
      </c>
      <c r="F17419" s="533">
        <v>8.77</v>
      </c>
      <c r="G17419" s="533">
        <v>0.05</v>
      </c>
      <c r="H17419" s="534">
        <v>84.86</v>
      </c>
      <c r="I17419" s="534">
        <v>30.3</v>
      </c>
      <c r="J17419" s="534">
        <v>53.98</v>
      </c>
      <c r="K17419" s="534">
        <v>0.57999999999999996</v>
      </c>
      <c r="L17419" s="43">
        <v>7.4048865619546245</v>
      </c>
      <c r="M17419" s="43">
        <v>11.5</v>
      </c>
      <c r="N17419" s="43">
        <v>6.1550741163055873</v>
      </c>
      <c r="O17419" s="43">
        <v>11.503164556962025</v>
      </c>
      <c r="P17419" s="535"/>
      <c r="Q17419" s="535"/>
      <c r="R17419" s="535">
        <v>2</v>
      </c>
    </row>
    <row r="17420" spans="1:18" ht="36">
      <c r="A17420" s="531">
        <v>565</v>
      </c>
      <c r="B17420" s="528" t="s">
        <v>31325</v>
      </c>
      <c r="C17420" s="532" t="s">
        <v>31326</v>
      </c>
      <c r="D17420" s="533">
        <v>11.55</v>
      </c>
      <c r="E17420" s="533">
        <v>2.73</v>
      </c>
      <c r="F17420" s="533">
        <v>8.77</v>
      </c>
      <c r="G17420" s="533">
        <v>0.05</v>
      </c>
      <c r="H17420" s="534">
        <v>85.99</v>
      </c>
      <c r="I17420" s="534">
        <v>31.43</v>
      </c>
      <c r="J17420" s="534">
        <v>53.98</v>
      </c>
      <c r="K17420" s="534">
        <v>0.57999999999999996</v>
      </c>
      <c r="L17420" s="43">
        <v>7.4450216450216438</v>
      </c>
      <c r="M17420" s="43">
        <v>11.502820512820501</v>
      </c>
      <c r="N17420" s="43">
        <v>6.1550741163055873</v>
      </c>
      <c r="O17420" s="43">
        <v>11.503164556962025</v>
      </c>
      <c r="P17420" s="535"/>
      <c r="Q17420" s="535"/>
      <c r="R17420" s="535">
        <v>2</v>
      </c>
    </row>
    <row r="17421" spans="1:18" ht="36">
      <c r="A17421" s="531">
        <v>566</v>
      </c>
      <c r="B17421" s="528" t="s">
        <v>31327</v>
      </c>
      <c r="C17421" s="532" t="s">
        <v>31328</v>
      </c>
      <c r="D17421" s="533">
        <v>13.41</v>
      </c>
      <c r="E17421" s="533">
        <v>3.32</v>
      </c>
      <c r="F17421" s="533">
        <v>10.02</v>
      </c>
      <c r="G17421" s="533">
        <v>7.0000000000000007E-2</v>
      </c>
      <c r="H17421" s="534">
        <v>100.66</v>
      </c>
      <c r="I17421" s="534">
        <v>38.159999999999997</v>
      </c>
      <c r="J17421" s="534">
        <v>61.69</v>
      </c>
      <c r="K17421" s="534">
        <v>0.81</v>
      </c>
      <c r="L17421" s="43">
        <v>7.506338553318419</v>
      </c>
      <c r="M17421" s="43">
        <v>11.5</v>
      </c>
      <c r="N17421" s="43">
        <v>6.1566866267465068</v>
      </c>
      <c r="O17421" s="43">
        <v>11.503164556962025</v>
      </c>
      <c r="P17421" s="535"/>
      <c r="Q17421" s="535"/>
      <c r="R17421" s="535">
        <v>2</v>
      </c>
    </row>
    <row r="17422" spans="1:18" ht="36">
      <c r="A17422" s="531">
        <v>567</v>
      </c>
      <c r="B17422" s="528" t="s">
        <v>31329</v>
      </c>
      <c r="C17422" s="532" t="s">
        <v>31330</v>
      </c>
      <c r="D17422" s="533">
        <v>16.309999999999999</v>
      </c>
      <c r="E17422" s="533">
        <v>3.71</v>
      </c>
      <c r="F17422" s="533">
        <v>12.53</v>
      </c>
      <c r="G17422" s="533">
        <v>7.0000000000000007E-2</v>
      </c>
      <c r="H17422" s="534">
        <v>120.58</v>
      </c>
      <c r="I17422" s="534">
        <v>42.65</v>
      </c>
      <c r="J17422" s="534">
        <v>77.12</v>
      </c>
      <c r="K17422" s="534">
        <v>0.81</v>
      </c>
      <c r="L17422" s="43">
        <v>7.393010423053342</v>
      </c>
      <c r="M17422" s="43">
        <v>11.495956873315363</v>
      </c>
      <c r="N17422" s="43">
        <v>6.1548284118116525</v>
      </c>
      <c r="O17422" s="43">
        <v>11.503164556962025</v>
      </c>
      <c r="P17422" s="535"/>
      <c r="Q17422" s="535"/>
      <c r="R17422" s="535">
        <v>2</v>
      </c>
    </row>
    <row r="17423" spans="1:18" ht="36">
      <c r="A17423" s="531">
        <v>568</v>
      </c>
      <c r="B17423" s="528" t="s">
        <v>31331</v>
      </c>
      <c r="C17423" s="532" t="s">
        <v>31332</v>
      </c>
      <c r="D17423" s="533">
        <v>18.260000000000002</v>
      </c>
      <c r="E17423" s="533">
        <v>4.3899999999999997</v>
      </c>
      <c r="F17423" s="533">
        <v>13.78</v>
      </c>
      <c r="G17423" s="533">
        <v>0.09</v>
      </c>
      <c r="H17423" s="534">
        <v>136.38</v>
      </c>
      <c r="I17423" s="534">
        <v>50.51</v>
      </c>
      <c r="J17423" s="534">
        <v>84.83</v>
      </c>
      <c r="K17423" s="534">
        <v>1.04</v>
      </c>
      <c r="L17423" s="43">
        <v>7.4687842278203718</v>
      </c>
      <c r="M17423" s="43">
        <v>11.5021951219512</v>
      </c>
      <c r="N17423" s="43">
        <v>6.1560232220609583</v>
      </c>
      <c r="O17423" s="43">
        <v>11.503164556962025</v>
      </c>
      <c r="P17423" s="535"/>
      <c r="Q17423" s="535"/>
      <c r="R17423" s="535">
        <v>2</v>
      </c>
    </row>
    <row r="17424" spans="1:18" ht="36">
      <c r="A17424" s="531">
        <v>569</v>
      </c>
      <c r="B17424" s="528" t="s">
        <v>31333</v>
      </c>
      <c r="C17424" s="532" t="s">
        <v>31334</v>
      </c>
      <c r="D17424" s="533">
        <v>19.91</v>
      </c>
      <c r="E17424" s="533">
        <v>4.78</v>
      </c>
      <c r="F17424" s="533">
        <v>15.03</v>
      </c>
      <c r="G17424" s="533">
        <v>0.1</v>
      </c>
      <c r="H17424" s="534">
        <v>148.69</v>
      </c>
      <c r="I17424" s="534">
        <v>55</v>
      </c>
      <c r="J17424" s="534">
        <v>92.54</v>
      </c>
      <c r="K17424" s="534">
        <v>1.1499999999999999</v>
      </c>
      <c r="L17424" s="43">
        <v>7.4681064791562024</v>
      </c>
      <c r="M17424" s="43">
        <v>11.5021951219512</v>
      </c>
      <c r="N17424" s="43">
        <v>6.1570192947438462</v>
      </c>
      <c r="O17424" s="43">
        <v>11.503164556962025</v>
      </c>
      <c r="P17424" s="535"/>
      <c r="Q17424" s="535"/>
      <c r="R17424" s="535">
        <v>2</v>
      </c>
    </row>
    <row r="17425" spans="1:18" ht="36">
      <c r="A17425" s="531">
        <v>570</v>
      </c>
      <c r="B17425" s="528" t="s">
        <v>31335</v>
      </c>
      <c r="C17425" s="532" t="s">
        <v>31336</v>
      </c>
      <c r="D17425" s="533">
        <v>21.47</v>
      </c>
      <c r="E17425" s="533">
        <v>5.08</v>
      </c>
      <c r="F17425" s="533">
        <v>16.29</v>
      </c>
      <c r="G17425" s="533">
        <v>0.1</v>
      </c>
      <c r="H17425" s="534">
        <v>159.76</v>
      </c>
      <c r="I17425" s="534">
        <v>58.36</v>
      </c>
      <c r="J17425" s="534">
        <v>100.25</v>
      </c>
      <c r="K17425" s="534">
        <v>1.1499999999999999</v>
      </c>
      <c r="L17425" s="43">
        <v>7.4410805775500695</v>
      </c>
      <c r="M17425" s="43">
        <v>11.5</v>
      </c>
      <c r="N17425" s="43">
        <v>6.1540822590546354</v>
      </c>
      <c r="O17425" s="43">
        <v>11.503164556962025</v>
      </c>
      <c r="P17425" s="535"/>
      <c r="Q17425" s="535"/>
      <c r="R17425" s="535">
        <v>2</v>
      </c>
    </row>
    <row r="17426" spans="1:18" ht="36">
      <c r="A17426" s="531">
        <v>571</v>
      </c>
      <c r="B17426" s="528" t="s">
        <v>31337</v>
      </c>
      <c r="C17426" s="532" t="s">
        <v>31338</v>
      </c>
      <c r="D17426" s="533">
        <v>24.56</v>
      </c>
      <c r="E17426" s="533">
        <v>5.66</v>
      </c>
      <c r="F17426" s="533">
        <v>18.79</v>
      </c>
      <c r="G17426" s="533">
        <v>0.11</v>
      </c>
      <c r="H17426" s="534">
        <v>182.04</v>
      </c>
      <c r="I17426" s="534">
        <v>65.099999999999994</v>
      </c>
      <c r="J17426" s="534">
        <v>115.67</v>
      </c>
      <c r="K17426" s="534">
        <v>1.27</v>
      </c>
      <c r="L17426" s="43">
        <v>7.4120521172638441</v>
      </c>
      <c r="M17426" s="43">
        <v>11.501766784452295</v>
      </c>
      <c r="N17426" s="43">
        <v>6.1559340074507718</v>
      </c>
      <c r="O17426" s="43">
        <v>11.503164556962025</v>
      </c>
      <c r="P17426" s="535"/>
      <c r="Q17426" s="535"/>
      <c r="R17426" s="535">
        <v>2</v>
      </c>
    </row>
    <row r="17427" spans="1:18" ht="36">
      <c r="A17427" s="531">
        <v>572</v>
      </c>
      <c r="B17427" s="528" t="s">
        <v>31339</v>
      </c>
      <c r="C17427" s="532" t="s">
        <v>31340</v>
      </c>
      <c r="D17427" s="533">
        <v>26.21</v>
      </c>
      <c r="E17427" s="533">
        <v>6.05</v>
      </c>
      <c r="F17427" s="533">
        <v>20.04</v>
      </c>
      <c r="G17427" s="533">
        <v>0.12</v>
      </c>
      <c r="H17427" s="534">
        <v>194.36</v>
      </c>
      <c r="I17427" s="534">
        <v>69.59</v>
      </c>
      <c r="J17427" s="534">
        <v>123.39</v>
      </c>
      <c r="K17427" s="534">
        <v>1.38</v>
      </c>
      <c r="L17427" s="43">
        <v>7.4154902708889736</v>
      </c>
      <c r="M17427" s="43">
        <v>11.502479338842976</v>
      </c>
      <c r="N17427" s="43">
        <v>6.1571856287425151</v>
      </c>
      <c r="O17427" s="43">
        <v>11.503164556962025</v>
      </c>
      <c r="P17427" s="535"/>
      <c r="Q17427" s="535"/>
      <c r="R17427" s="535">
        <v>2</v>
      </c>
    </row>
    <row r="17428" spans="1:18" ht="36">
      <c r="A17428" s="531">
        <v>573</v>
      </c>
      <c r="B17428" s="528" t="s">
        <v>31341</v>
      </c>
      <c r="C17428" s="532" t="s">
        <v>31342</v>
      </c>
      <c r="D17428" s="533">
        <v>26.81</v>
      </c>
      <c r="E17428" s="533">
        <v>6.64</v>
      </c>
      <c r="F17428" s="533">
        <v>20.04</v>
      </c>
      <c r="G17428" s="533">
        <v>0.13</v>
      </c>
      <c r="H17428" s="534">
        <v>201.21</v>
      </c>
      <c r="I17428" s="534">
        <v>76.319999999999993</v>
      </c>
      <c r="J17428" s="534">
        <v>123.39</v>
      </c>
      <c r="K17428" s="534">
        <v>1.5</v>
      </c>
      <c r="L17428" s="43">
        <v>7.5050354345393515</v>
      </c>
      <c r="M17428" s="43">
        <v>11.5</v>
      </c>
      <c r="N17428" s="43">
        <v>6.1571856287425151</v>
      </c>
      <c r="O17428" s="43">
        <v>11.503164556962025</v>
      </c>
      <c r="P17428" s="535"/>
      <c r="Q17428" s="535"/>
      <c r="R17428" s="535">
        <v>2</v>
      </c>
    </row>
    <row r="17429" spans="1:18" ht="36">
      <c r="A17429" s="531">
        <v>574</v>
      </c>
      <c r="B17429" s="528" t="s">
        <v>31343</v>
      </c>
      <c r="C17429" s="532" t="s">
        <v>31344</v>
      </c>
      <c r="D17429" s="533">
        <v>31.47</v>
      </c>
      <c r="E17429" s="533">
        <v>7.52</v>
      </c>
      <c r="F17429" s="533">
        <v>23.8</v>
      </c>
      <c r="G17429" s="533">
        <v>0.15</v>
      </c>
      <c r="H17429" s="534">
        <v>234.67</v>
      </c>
      <c r="I17429" s="534">
        <v>86.42</v>
      </c>
      <c r="J17429" s="534">
        <v>146.52000000000001</v>
      </c>
      <c r="K17429" s="534">
        <v>1.73</v>
      </c>
      <c r="L17429" s="43">
        <v>7.4569431204321575</v>
      </c>
      <c r="M17429" s="43">
        <v>11.5</v>
      </c>
      <c r="N17429" s="43">
        <v>6.1563025210084037</v>
      </c>
      <c r="O17429" s="43">
        <v>11.503164556962025</v>
      </c>
      <c r="P17429" s="535"/>
      <c r="Q17429" s="535"/>
      <c r="R17429" s="535">
        <v>2</v>
      </c>
    </row>
    <row r="17430" spans="1:18" ht="36">
      <c r="A17430" s="531">
        <v>575</v>
      </c>
      <c r="B17430" s="528" t="s">
        <v>31345</v>
      </c>
      <c r="C17430" s="532" t="s">
        <v>31346</v>
      </c>
      <c r="D17430" s="533">
        <v>36.119999999999997</v>
      </c>
      <c r="E17430" s="533">
        <v>8.39</v>
      </c>
      <c r="F17430" s="533">
        <v>27.56</v>
      </c>
      <c r="G17430" s="533">
        <v>0.17</v>
      </c>
      <c r="H17430" s="534">
        <v>268.14999999999998</v>
      </c>
      <c r="I17430" s="534">
        <v>96.53</v>
      </c>
      <c r="J17430" s="534">
        <v>169.66</v>
      </c>
      <c r="K17430" s="534">
        <v>1.96</v>
      </c>
      <c r="L17430" s="43">
        <v>7.4238648947951269</v>
      </c>
      <c r="M17430" s="43">
        <v>11.5021951219512</v>
      </c>
      <c r="N17430" s="43">
        <v>6.1560232220609583</v>
      </c>
      <c r="O17430" s="43">
        <v>11.503164556962025</v>
      </c>
      <c r="P17430" s="535"/>
      <c r="Q17430" s="535"/>
      <c r="R17430" s="535">
        <v>2</v>
      </c>
    </row>
    <row r="17431" spans="1:18" ht="36">
      <c r="A17431" s="531">
        <v>576</v>
      </c>
      <c r="B17431" s="528" t="s">
        <v>31347</v>
      </c>
      <c r="C17431" s="532" t="s">
        <v>31348</v>
      </c>
      <c r="D17431" s="533">
        <v>39.630000000000003</v>
      </c>
      <c r="E17431" s="533">
        <v>9.3699999999999992</v>
      </c>
      <c r="F17431" s="533">
        <v>30.07</v>
      </c>
      <c r="G17431" s="533">
        <v>0.19</v>
      </c>
      <c r="H17431" s="534">
        <v>295.02</v>
      </c>
      <c r="I17431" s="534">
        <v>107.75</v>
      </c>
      <c r="J17431" s="534">
        <v>185.08</v>
      </c>
      <c r="K17431" s="534">
        <v>2.19</v>
      </c>
      <c r="L17431" s="43">
        <v>7.444360333080998</v>
      </c>
      <c r="M17431" s="43">
        <v>11.499466382070439</v>
      </c>
      <c r="N17431" s="43">
        <v>6.1549717326238778</v>
      </c>
      <c r="O17431" s="43">
        <v>11.503164556962025</v>
      </c>
      <c r="P17431" s="535"/>
      <c r="Q17431" s="535"/>
      <c r="R17431" s="535">
        <v>2</v>
      </c>
    </row>
    <row r="17432" spans="1:18" ht="36">
      <c r="A17432" s="531">
        <v>577</v>
      </c>
      <c r="B17432" s="528" t="s">
        <v>31349</v>
      </c>
      <c r="C17432" s="532" t="s">
        <v>31350</v>
      </c>
      <c r="D17432" s="533">
        <v>8.5399999999999991</v>
      </c>
      <c r="E17432" s="533">
        <v>2.2400000000000002</v>
      </c>
      <c r="F17432" s="533">
        <v>6.26</v>
      </c>
      <c r="G17432" s="533">
        <v>0.04</v>
      </c>
      <c r="H17432" s="534">
        <v>64.84</v>
      </c>
      <c r="I17432" s="534">
        <v>25.82</v>
      </c>
      <c r="J17432" s="534">
        <v>38.56</v>
      </c>
      <c r="K17432" s="534">
        <v>0.46</v>
      </c>
      <c r="L17432" s="43">
        <v>7.5925058548009376</v>
      </c>
      <c r="M17432" s="43">
        <v>11.5</v>
      </c>
      <c r="N17432" s="43">
        <v>6.1597444089456879</v>
      </c>
      <c r="O17432" s="43">
        <v>11.503164556962025</v>
      </c>
      <c r="P17432" s="535"/>
      <c r="Q17432" s="535"/>
      <c r="R17432" s="535">
        <v>2</v>
      </c>
    </row>
    <row r="17433" spans="1:18" ht="36">
      <c r="A17433" s="531">
        <v>578</v>
      </c>
      <c r="B17433" s="528" t="s">
        <v>31351</v>
      </c>
      <c r="C17433" s="532" t="s">
        <v>31352</v>
      </c>
      <c r="D17433" s="533">
        <v>11.36</v>
      </c>
      <c r="E17433" s="533">
        <v>2.54</v>
      </c>
      <c r="F17433" s="533">
        <v>8.77</v>
      </c>
      <c r="G17433" s="533">
        <v>0.05</v>
      </c>
      <c r="H17433" s="534">
        <v>83.74</v>
      </c>
      <c r="I17433" s="534">
        <v>29.18</v>
      </c>
      <c r="J17433" s="534">
        <v>53.98</v>
      </c>
      <c r="K17433" s="534">
        <v>0.57999999999999996</v>
      </c>
      <c r="L17433" s="43">
        <v>7.371478873239437</v>
      </c>
      <c r="M17433" s="43">
        <v>11.5</v>
      </c>
      <c r="N17433" s="43">
        <v>6.1550741163055873</v>
      </c>
      <c r="O17433" s="43">
        <v>11.503164556962025</v>
      </c>
      <c r="P17433" s="535"/>
      <c r="Q17433" s="535"/>
      <c r="R17433" s="535">
        <v>2</v>
      </c>
    </row>
    <row r="17434" spans="1:18" ht="36">
      <c r="A17434" s="531">
        <v>579</v>
      </c>
      <c r="B17434" s="528" t="s">
        <v>31353</v>
      </c>
      <c r="C17434" s="532" t="s">
        <v>31354</v>
      </c>
      <c r="D17434" s="533">
        <v>11.55</v>
      </c>
      <c r="E17434" s="533">
        <v>2.73</v>
      </c>
      <c r="F17434" s="533">
        <v>8.77</v>
      </c>
      <c r="G17434" s="533">
        <v>0.05</v>
      </c>
      <c r="H17434" s="534">
        <v>85.99</v>
      </c>
      <c r="I17434" s="534">
        <v>31.43</v>
      </c>
      <c r="J17434" s="534">
        <v>53.98</v>
      </c>
      <c r="K17434" s="534">
        <v>0.57999999999999996</v>
      </c>
      <c r="L17434" s="43">
        <v>7.4450216450216438</v>
      </c>
      <c r="M17434" s="43">
        <v>11.502820512820501</v>
      </c>
      <c r="N17434" s="43">
        <v>6.1550741163055873</v>
      </c>
      <c r="O17434" s="43">
        <v>11.503164556962025</v>
      </c>
      <c r="P17434" s="535"/>
      <c r="Q17434" s="535"/>
      <c r="R17434" s="535">
        <v>2</v>
      </c>
    </row>
    <row r="17435" spans="1:18" ht="36">
      <c r="A17435" s="531">
        <v>580</v>
      </c>
      <c r="B17435" s="528" t="s">
        <v>31355</v>
      </c>
      <c r="C17435" s="532" t="s">
        <v>31356</v>
      </c>
      <c r="D17435" s="533">
        <v>13.3</v>
      </c>
      <c r="E17435" s="533">
        <v>3.22</v>
      </c>
      <c r="F17435" s="533">
        <v>10.02</v>
      </c>
      <c r="G17435" s="533">
        <v>0.06</v>
      </c>
      <c r="H17435" s="534">
        <v>99.42</v>
      </c>
      <c r="I17435" s="534">
        <v>37.04</v>
      </c>
      <c r="J17435" s="534">
        <v>61.69</v>
      </c>
      <c r="K17435" s="534">
        <v>0.69</v>
      </c>
      <c r="L17435" s="43">
        <v>7.4751879699248116</v>
      </c>
      <c r="M17435" s="43">
        <v>11.503105590062111</v>
      </c>
      <c r="N17435" s="43">
        <v>6.1566866267465068</v>
      </c>
      <c r="O17435" s="43">
        <v>11.503164556962025</v>
      </c>
      <c r="P17435" s="535"/>
      <c r="Q17435" s="535"/>
      <c r="R17435" s="535">
        <v>2</v>
      </c>
    </row>
    <row r="17436" spans="1:18" ht="36">
      <c r="A17436" s="531">
        <v>581</v>
      </c>
      <c r="B17436" s="528" t="s">
        <v>31357</v>
      </c>
      <c r="C17436" s="532" t="s">
        <v>31358</v>
      </c>
      <c r="D17436" s="533">
        <v>13.51</v>
      </c>
      <c r="E17436" s="533">
        <v>3.42</v>
      </c>
      <c r="F17436" s="533">
        <v>10.02</v>
      </c>
      <c r="G17436" s="533">
        <v>7.0000000000000007E-2</v>
      </c>
      <c r="H17436" s="534">
        <v>101.78</v>
      </c>
      <c r="I17436" s="534">
        <v>39.28</v>
      </c>
      <c r="J17436" s="534">
        <v>61.69</v>
      </c>
      <c r="K17436" s="534">
        <v>0.81</v>
      </c>
      <c r="L17436" s="43">
        <v>7.5336787564766841</v>
      </c>
      <c r="M17436" s="43">
        <v>11.5</v>
      </c>
      <c r="N17436" s="43">
        <v>6.1566866267465068</v>
      </c>
      <c r="O17436" s="43">
        <v>11.503164556962025</v>
      </c>
      <c r="P17436" s="535"/>
      <c r="Q17436" s="535"/>
      <c r="R17436" s="535">
        <v>2</v>
      </c>
    </row>
    <row r="17437" spans="1:18" ht="36">
      <c r="A17437" s="531">
        <v>582</v>
      </c>
      <c r="B17437" s="528" t="s">
        <v>31359</v>
      </c>
      <c r="C17437" s="532" t="s">
        <v>31360</v>
      </c>
      <c r="D17437" s="533">
        <v>18.16</v>
      </c>
      <c r="E17437" s="533">
        <v>4.29</v>
      </c>
      <c r="F17437" s="533">
        <v>13.78</v>
      </c>
      <c r="G17437" s="533">
        <v>0.09</v>
      </c>
      <c r="H17437" s="534">
        <v>135.26</v>
      </c>
      <c r="I17437" s="534">
        <v>49.39</v>
      </c>
      <c r="J17437" s="534">
        <v>84.83</v>
      </c>
      <c r="K17437" s="534">
        <v>1.04</v>
      </c>
      <c r="L17437" s="43">
        <v>7.4482378854625546</v>
      </c>
      <c r="M17437" s="43">
        <v>11.502820512820501</v>
      </c>
      <c r="N17437" s="43">
        <v>6.1560232220609583</v>
      </c>
      <c r="O17437" s="43">
        <v>11.503164556962025</v>
      </c>
      <c r="P17437" s="535"/>
      <c r="Q17437" s="535"/>
      <c r="R17437" s="535">
        <v>2</v>
      </c>
    </row>
    <row r="17438" spans="1:18" ht="36">
      <c r="A17438" s="531">
        <v>583</v>
      </c>
      <c r="B17438" s="528" t="s">
        <v>31361</v>
      </c>
      <c r="C17438" s="532" t="s">
        <v>31362</v>
      </c>
      <c r="D17438" s="533">
        <v>20.010000000000002</v>
      </c>
      <c r="E17438" s="533">
        <v>4.88</v>
      </c>
      <c r="F17438" s="533">
        <v>15.03</v>
      </c>
      <c r="G17438" s="533">
        <v>0.1</v>
      </c>
      <c r="H17438" s="534">
        <v>149.81</v>
      </c>
      <c r="I17438" s="534">
        <v>56.12</v>
      </c>
      <c r="J17438" s="534">
        <v>92.54</v>
      </c>
      <c r="K17438" s="534">
        <v>1.1499999999999999</v>
      </c>
      <c r="L17438" s="43">
        <v>7.486756621689155</v>
      </c>
      <c r="M17438" s="43">
        <v>11.5</v>
      </c>
      <c r="N17438" s="43">
        <v>6.1570192947438462</v>
      </c>
      <c r="O17438" s="43">
        <v>11.503164556962025</v>
      </c>
      <c r="P17438" s="535"/>
      <c r="Q17438" s="535"/>
      <c r="R17438" s="535">
        <v>2</v>
      </c>
    </row>
    <row r="17439" spans="1:18" ht="36">
      <c r="A17439" s="531">
        <v>584</v>
      </c>
      <c r="B17439" s="528" t="s">
        <v>31363</v>
      </c>
      <c r="C17439" s="532" t="s">
        <v>31364</v>
      </c>
      <c r="D17439" s="533">
        <v>21.96</v>
      </c>
      <c r="E17439" s="533">
        <v>5.56</v>
      </c>
      <c r="F17439" s="533">
        <v>16.29</v>
      </c>
      <c r="G17439" s="533">
        <v>0.11</v>
      </c>
      <c r="H17439" s="534">
        <v>165.5</v>
      </c>
      <c r="I17439" s="534">
        <v>63.98</v>
      </c>
      <c r="J17439" s="534">
        <v>100.25</v>
      </c>
      <c r="K17439" s="534">
        <v>1.27</v>
      </c>
      <c r="L17439" s="43">
        <v>7.5364298724954457</v>
      </c>
      <c r="M17439" s="43">
        <v>11.5021951219512</v>
      </c>
      <c r="N17439" s="43">
        <v>6.1540822590546354</v>
      </c>
      <c r="O17439" s="43">
        <v>11.503164556962025</v>
      </c>
      <c r="P17439" s="535"/>
      <c r="Q17439" s="535"/>
      <c r="R17439" s="535">
        <v>2</v>
      </c>
    </row>
    <row r="17440" spans="1:18" ht="36">
      <c r="A17440" s="531">
        <v>585</v>
      </c>
      <c r="B17440" s="528" t="s">
        <v>31365</v>
      </c>
      <c r="C17440" s="532" t="s">
        <v>31366</v>
      </c>
      <c r="D17440" s="533">
        <v>26.31</v>
      </c>
      <c r="E17440" s="533">
        <v>6.15</v>
      </c>
      <c r="F17440" s="533">
        <v>20.04</v>
      </c>
      <c r="G17440" s="533">
        <v>0.12</v>
      </c>
      <c r="H17440" s="534">
        <v>195.48</v>
      </c>
      <c r="I17440" s="534">
        <v>70.709999999999994</v>
      </c>
      <c r="J17440" s="534">
        <v>123.39</v>
      </c>
      <c r="K17440" s="534">
        <v>1.38</v>
      </c>
      <c r="L17440" s="43">
        <v>7.4298745724059296</v>
      </c>
      <c r="M17440" s="43">
        <v>11.497560975609755</v>
      </c>
      <c r="N17440" s="43">
        <v>6.1571856287425151</v>
      </c>
      <c r="O17440" s="43">
        <v>11.503164556962025</v>
      </c>
      <c r="P17440" s="535"/>
      <c r="Q17440" s="535"/>
      <c r="R17440" s="535">
        <v>2</v>
      </c>
    </row>
    <row r="17441" spans="1:18" ht="36">
      <c r="A17441" s="531">
        <v>586</v>
      </c>
      <c r="B17441" s="528" t="s">
        <v>31367</v>
      </c>
      <c r="C17441" s="532" t="s">
        <v>31368</v>
      </c>
      <c r="D17441" s="533">
        <v>28.16</v>
      </c>
      <c r="E17441" s="533">
        <v>6.73</v>
      </c>
      <c r="F17441" s="533">
        <v>21.3</v>
      </c>
      <c r="G17441" s="533">
        <v>0.13</v>
      </c>
      <c r="H17441" s="534">
        <v>210.05</v>
      </c>
      <c r="I17441" s="534">
        <v>77.45</v>
      </c>
      <c r="J17441" s="534">
        <v>131.1</v>
      </c>
      <c r="K17441" s="534">
        <v>1.5</v>
      </c>
      <c r="L17441" s="43">
        <v>7.4591619318181825</v>
      </c>
      <c r="M17441" s="43">
        <v>11.5021951219512</v>
      </c>
      <c r="N17441" s="43">
        <v>6.1549295774647881</v>
      </c>
      <c r="O17441" s="43">
        <v>11.503164556962025</v>
      </c>
      <c r="P17441" s="535"/>
      <c r="Q17441" s="535"/>
      <c r="R17441" s="535">
        <v>2</v>
      </c>
    </row>
    <row r="17442" spans="1:18" ht="36">
      <c r="A17442" s="531">
        <v>587</v>
      </c>
      <c r="B17442" s="528" t="s">
        <v>31369</v>
      </c>
      <c r="C17442" s="532" t="s">
        <v>31370</v>
      </c>
      <c r="D17442" s="533">
        <v>31.47</v>
      </c>
      <c r="E17442" s="533">
        <v>7.52</v>
      </c>
      <c r="F17442" s="533">
        <v>23.8</v>
      </c>
      <c r="G17442" s="533">
        <v>0.15</v>
      </c>
      <c r="H17442" s="534">
        <v>234.67</v>
      </c>
      <c r="I17442" s="534">
        <v>86.42</v>
      </c>
      <c r="J17442" s="534">
        <v>146.52000000000001</v>
      </c>
      <c r="K17442" s="534">
        <v>1.73</v>
      </c>
      <c r="L17442" s="43">
        <v>7.4569431204321575</v>
      </c>
      <c r="M17442" s="43">
        <v>11.5</v>
      </c>
      <c r="N17442" s="43">
        <v>6.1563025210084037</v>
      </c>
      <c r="O17442" s="43">
        <v>11.503164556962025</v>
      </c>
      <c r="P17442" s="535"/>
      <c r="Q17442" s="535"/>
      <c r="R17442" s="535">
        <v>2</v>
      </c>
    </row>
    <row r="17443" spans="1:18" ht="36">
      <c r="A17443" s="531">
        <v>588</v>
      </c>
      <c r="B17443" s="528" t="s">
        <v>31371</v>
      </c>
      <c r="C17443" s="532" t="s">
        <v>31372</v>
      </c>
      <c r="D17443" s="533">
        <v>34.57</v>
      </c>
      <c r="E17443" s="533">
        <v>8.1</v>
      </c>
      <c r="F17443" s="533">
        <v>26.31</v>
      </c>
      <c r="G17443" s="533">
        <v>0.16</v>
      </c>
      <c r="H17443" s="534">
        <v>256.94</v>
      </c>
      <c r="I17443" s="534">
        <v>93.16</v>
      </c>
      <c r="J17443" s="534">
        <v>161.94</v>
      </c>
      <c r="K17443" s="534">
        <v>1.84</v>
      </c>
      <c r="L17443" s="43">
        <v>7.4324558866068848</v>
      </c>
      <c r="M17443" s="43">
        <v>11.501234567901234</v>
      </c>
      <c r="N17443" s="43">
        <v>6.1550741163055873</v>
      </c>
      <c r="O17443" s="43">
        <v>11.503164556962025</v>
      </c>
      <c r="P17443" s="535"/>
      <c r="Q17443" s="535"/>
      <c r="R17443" s="535">
        <v>2</v>
      </c>
    </row>
    <row r="17444" spans="1:18" ht="36">
      <c r="A17444" s="531">
        <v>589</v>
      </c>
      <c r="B17444" s="528" t="s">
        <v>31373</v>
      </c>
      <c r="C17444" s="532" t="s">
        <v>31374</v>
      </c>
      <c r="D17444" s="533">
        <v>36.42</v>
      </c>
      <c r="E17444" s="533">
        <v>8.69</v>
      </c>
      <c r="F17444" s="533">
        <v>27.56</v>
      </c>
      <c r="G17444" s="533">
        <v>0.17</v>
      </c>
      <c r="H17444" s="534">
        <v>271.51</v>
      </c>
      <c r="I17444" s="534">
        <v>99.89</v>
      </c>
      <c r="J17444" s="534">
        <v>169.66</v>
      </c>
      <c r="K17444" s="534">
        <v>1.96</v>
      </c>
      <c r="L17444" s="43">
        <v>7.454969796814936</v>
      </c>
      <c r="M17444" s="43">
        <v>11.5</v>
      </c>
      <c r="N17444" s="43">
        <v>6.1560232220609583</v>
      </c>
      <c r="O17444" s="43">
        <v>11.503164556962025</v>
      </c>
      <c r="P17444" s="535"/>
      <c r="Q17444" s="535"/>
      <c r="R17444" s="535">
        <v>2</v>
      </c>
    </row>
    <row r="17445" spans="1:18" ht="36">
      <c r="A17445" s="531">
        <v>590</v>
      </c>
      <c r="B17445" s="528" t="s">
        <v>31375</v>
      </c>
      <c r="C17445" s="532" t="s">
        <v>31376</v>
      </c>
      <c r="D17445" s="533">
        <v>42.92</v>
      </c>
      <c r="E17445" s="533">
        <v>10.15</v>
      </c>
      <c r="F17445" s="533">
        <v>32.57</v>
      </c>
      <c r="G17445" s="533">
        <v>0.2</v>
      </c>
      <c r="H17445" s="534">
        <v>319.52999999999997</v>
      </c>
      <c r="I17445" s="534">
        <v>116.73</v>
      </c>
      <c r="J17445" s="534">
        <v>200.5</v>
      </c>
      <c r="K17445" s="534">
        <v>2.2999999999999998</v>
      </c>
      <c r="L17445" s="43">
        <v>7.4447809878844353</v>
      </c>
      <c r="M17445" s="43">
        <v>11.500492610837439</v>
      </c>
      <c r="N17445" s="43">
        <v>6.1559717531470675</v>
      </c>
      <c r="O17445" s="43">
        <v>11.503164556962025</v>
      </c>
      <c r="P17445" s="535"/>
      <c r="Q17445" s="535"/>
      <c r="R17445" s="535">
        <v>2</v>
      </c>
    </row>
    <row r="17446" spans="1:18" ht="36">
      <c r="A17446" s="531">
        <v>591</v>
      </c>
      <c r="B17446" s="528" t="s">
        <v>31377</v>
      </c>
      <c r="C17446" s="532" t="s">
        <v>31378</v>
      </c>
      <c r="D17446" s="533">
        <v>48.27</v>
      </c>
      <c r="E17446" s="533">
        <v>11.71</v>
      </c>
      <c r="F17446" s="533">
        <v>36.33</v>
      </c>
      <c r="G17446" s="533">
        <v>0.23</v>
      </c>
      <c r="H17446" s="534">
        <v>360.98</v>
      </c>
      <c r="I17446" s="534">
        <v>134.69</v>
      </c>
      <c r="J17446" s="534">
        <v>223.64</v>
      </c>
      <c r="K17446" s="534">
        <v>2.65</v>
      </c>
      <c r="L17446" s="43">
        <v>7.4783509426144601</v>
      </c>
      <c r="M17446" s="43">
        <v>11.502134927412467</v>
      </c>
      <c r="N17446" s="43">
        <v>6.1557941095513353</v>
      </c>
      <c r="O17446" s="43">
        <v>11.503164556962025</v>
      </c>
      <c r="P17446" s="535"/>
      <c r="Q17446" s="535"/>
      <c r="R17446" s="535">
        <v>2</v>
      </c>
    </row>
    <row r="17447" spans="1:18" ht="36">
      <c r="A17447" s="531">
        <v>592</v>
      </c>
      <c r="B17447" s="528" t="s">
        <v>31379</v>
      </c>
      <c r="C17447" s="532" t="s">
        <v>31380</v>
      </c>
      <c r="D17447" s="533">
        <v>54.39</v>
      </c>
      <c r="E17447" s="533">
        <v>12.79</v>
      </c>
      <c r="F17447" s="533">
        <v>41.34</v>
      </c>
      <c r="G17447" s="533">
        <v>0.26</v>
      </c>
      <c r="H17447" s="534">
        <v>404.5</v>
      </c>
      <c r="I17447" s="534">
        <v>147.03</v>
      </c>
      <c r="J17447" s="534">
        <v>254.48</v>
      </c>
      <c r="K17447" s="534">
        <v>2.99</v>
      </c>
      <c r="L17447" s="43">
        <v>7.4370288656002943</v>
      </c>
      <c r="M17447" s="43">
        <v>11.495699765441753</v>
      </c>
      <c r="N17447" s="43">
        <v>6.1557813255926455</v>
      </c>
      <c r="O17447" s="43">
        <v>11.503164556962025</v>
      </c>
      <c r="P17447" s="535"/>
      <c r="Q17447" s="535"/>
      <c r="R17447" s="535">
        <v>2</v>
      </c>
    </row>
    <row r="17448" spans="1:18" ht="36">
      <c r="A17448" s="531">
        <v>593</v>
      </c>
      <c r="B17448" s="528" t="s">
        <v>31381</v>
      </c>
      <c r="C17448" s="532" t="s">
        <v>31382</v>
      </c>
      <c r="D17448" s="533">
        <v>11.36</v>
      </c>
      <c r="E17448" s="533">
        <v>2.54</v>
      </c>
      <c r="F17448" s="533">
        <v>8.77</v>
      </c>
      <c r="G17448" s="533">
        <v>0.05</v>
      </c>
      <c r="H17448" s="534">
        <v>83.74</v>
      </c>
      <c r="I17448" s="534">
        <v>29.18</v>
      </c>
      <c r="J17448" s="534">
        <v>53.98</v>
      </c>
      <c r="K17448" s="534">
        <v>0.57999999999999996</v>
      </c>
      <c r="L17448" s="43">
        <v>7.371478873239437</v>
      </c>
      <c r="M17448" s="43">
        <v>11.5</v>
      </c>
      <c r="N17448" s="43">
        <v>6.1550741163055873</v>
      </c>
      <c r="O17448" s="43">
        <v>11.503164556962025</v>
      </c>
      <c r="P17448" s="535"/>
      <c r="Q17448" s="535"/>
      <c r="R17448" s="535">
        <v>2</v>
      </c>
    </row>
    <row r="17449" spans="1:18" ht="36">
      <c r="A17449" s="531">
        <v>594</v>
      </c>
      <c r="B17449" s="528" t="s">
        <v>31383</v>
      </c>
      <c r="C17449" s="532" t="s">
        <v>31384</v>
      </c>
      <c r="D17449" s="533">
        <v>12.91</v>
      </c>
      <c r="E17449" s="533">
        <v>2.83</v>
      </c>
      <c r="F17449" s="533">
        <v>10.02</v>
      </c>
      <c r="G17449" s="533">
        <v>0.06</v>
      </c>
      <c r="H17449" s="534">
        <v>94.93</v>
      </c>
      <c r="I17449" s="534">
        <v>32.549999999999997</v>
      </c>
      <c r="J17449" s="534">
        <v>61.69</v>
      </c>
      <c r="K17449" s="534">
        <v>0.69</v>
      </c>
      <c r="L17449" s="43">
        <v>7.353214562354764</v>
      </c>
      <c r="M17449" s="43">
        <v>11.501766784452295</v>
      </c>
      <c r="N17449" s="43">
        <v>6.1566866267465068</v>
      </c>
      <c r="O17449" s="43">
        <v>11.503164556962025</v>
      </c>
      <c r="P17449" s="535"/>
      <c r="Q17449" s="535"/>
      <c r="R17449" s="535">
        <v>2</v>
      </c>
    </row>
    <row r="17450" spans="1:18" ht="36">
      <c r="A17450" s="531">
        <v>595</v>
      </c>
      <c r="B17450" s="528" t="s">
        <v>31385</v>
      </c>
      <c r="C17450" s="532" t="s">
        <v>31386</v>
      </c>
      <c r="D17450" s="533">
        <v>13.41</v>
      </c>
      <c r="E17450" s="533">
        <v>3.32</v>
      </c>
      <c r="F17450" s="533">
        <v>10.02</v>
      </c>
      <c r="G17450" s="533">
        <v>7.0000000000000007E-2</v>
      </c>
      <c r="H17450" s="534">
        <v>100.66</v>
      </c>
      <c r="I17450" s="534">
        <v>38.159999999999997</v>
      </c>
      <c r="J17450" s="534">
        <v>61.69</v>
      </c>
      <c r="K17450" s="534">
        <v>0.81</v>
      </c>
      <c r="L17450" s="43">
        <v>7.506338553318419</v>
      </c>
      <c r="M17450" s="43">
        <v>11.5</v>
      </c>
      <c r="N17450" s="43">
        <v>6.1566866267465068</v>
      </c>
      <c r="O17450" s="43">
        <v>11.503164556962025</v>
      </c>
      <c r="P17450" s="535"/>
      <c r="Q17450" s="535"/>
      <c r="R17450" s="535">
        <v>2</v>
      </c>
    </row>
    <row r="17451" spans="1:18" ht="36">
      <c r="A17451" s="531">
        <v>596</v>
      </c>
      <c r="B17451" s="528" t="s">
        <v>31387</v>
      </c>
      <c r="C17451" s="532" t="s">
        <v>31388</v>
      </c>
      <c r="D17451" s="533">
        <v>16.309999999999999</v>
      </c>
      <c r="E17451" s="533">
        <v>3.71</v>
      </c>
      <c r="F17451" s="533">
        <v>12.53</v>
      </c>
      <c r="G17451" s="533">
        <v>7.0000000000000007E-2</v>
      </c>
      <c r="H17451" s="534">
        <v>120.58</v>
      </c>
      <c r="I17451" s="534">
        <v>42.65</v>
      </c>
      <c r="J17451" s="534">
        <v>77.12</v>
      </c>
      <c r="K17451" s="534">
        <v>0.81</v>
      </c>
      <c r="L17451" s="43">
        <v>7.393010423053342</v>
      </c>
      <c r="M17451" s="43">
        <v>11.495956873315363</v>
      </c>
      <c r="N17451" s="43">
        <v>6.1548284118116525</v>
      </c>
      <c r="O17451" s="43">
        <v>11.503164556962025</v>
      </c>
      <c r="P17451" s="535"/>
      <c r="Q17451" s="535"/>
      <c r="R17451" s="535">
        <v>2</v>
      </c>
    </row>
    <row r="17452" spans="1:18" ht="36">
      <c r="A17452" s="531">
        <v>597</v>
      </c>
      <c r="B17452" s="528" t="s">
        <v>31389</v>
      </c>
      <c r="C17452" s="532" t="s">
        <v>31390</v>
      </c>
      <c r="D17452" s="533">
        <v>18.260000000000002</v>
      </c>
      <c r="E17452" s="533">
        <v>4.3899999999999997</v>
      </c>
      <c r="F17452" s="533">
        <v>13.78</v>
      </c>
      <c r="G17452" s="533">
        <v>0.09</v>
      </c>
      <c r="H17452" s="534">
        <v>136.38</v>
      </c>
      <c r="I17452" s="534">
        <v>50.51</v>
      </c>
      <c r="J17452" s="534">
        <v>84.83</v>
      </c>
      <c r="K17452" s="534">
        <v>1.04</v>
      </c>
      <c r="L17452" s="43">
        <v>7.4687842278203718</v>
      </c>
      <c r="M17452" s="43">
        <v>11.5021951219512</v>
      </c>
      <c r="N17452" s="43">
        <v>6.1560232220609583</v>
      </c>
      <c r="O17452" s="43">
        <v>11.503164556962025</v>
      </c>
      <c r="P17452" s="535"/>
      <c r="Q17452" s="535"/>
      <c r="R17452" s="535">
        <v>2</v>
      </c>
    </row>
    <row r="17453" spans="1:18" ht="36">
      <c r="A17453" s="531">
        <v>598</v>
      </c>
      <c r="B17453" s="528" t="s">
        <v>31391</v>
      </c>
      <c r="C17453" s="532" t="s">
        <v>31392</v>
      </c>
      <c r="D17453" s="533">
        <v>21.47</v>
      </c>
      <c r="E17453" s="533">
        <v>5.08</v>
      </c>
      <c r="F17453" s="533">
        <v>16.29</v>
      </c>
      <c r="G17453" s="533">
        <v>0.1</v>
      </c>
      <c r="H17453" s="534">
        <v>159.76</v>
      </c>
      <c r="I17453" s="534">
        <v>58.36</v>
      </c>
      <c r="J17453" s="534">
        <v>100.25</v>
      </c>
      <c r="K17453" s="534">
        <v>1.1499999999999999</v>
      </c>
      <c r="L17453" s="43">
        <v>7.4410805775500695</v>
      </c>
      <c r="M17453" s="43">
        <v>11.5</v>
      </c>
      <c r="N17453" s="43">
        <v>6.1540822590546354</v>
      </c>
      <c r="O17453" s="43">
        <v>11.503164556962025</v>
      </c>
      <c r="P17453" s="535"/>
      <c r="Q17453" s="535"/>
      <c r="R17453" s="535">
        <v>2</v>
      </c>
    </row>
    <row r="17454" spans="1:18" ht="36">
      <c r="A17454" s="531">
        <v>599</v>
      </c>
      <c r="B17454" s="528" t="s">
        <v>31393</v>
      </c>
      <c r="C17454" s="532" t="s">
        <v>31394</v>
      </c>
      <c r="D17454" s="533">
        <v>26.21</v>
      </c>
      <c r="E17454" s="533">
        <v>6.05</v>
      </c>
      <c r="F17454" s="533">
        <v>20.04</v>
      </c>
      <c r="G17454" s="533">
        <v>0.12</v>
      </c>
      <c r="H17454" s="534">
        <v>194.36</v>
      </c>
      <c r="I17454" s="534">
        <v>69.59</v>
      </c>
      <c r="J17454" s="534">
        <v>123.39</v>
      </c>
      <c r="K17454" s="534">
        <v>1.38</v>
      </c>
      <c r="L17454" s="43">
        <v>7.4154902708889736</v>
      </c>
      <c r="M17454" s="43">
        <v>11.502479338842976</v>
      </c>
      <c r="N17454" s="43">
        <v>6.1571856287425151</v>
      </c>
      <c r="O17454" s="43">
        <v>11.503164556962025</v>
      </c>
      <c r="P17454" s="535"/>
      <c r="Q17454" s="535"/>
      <c r="R17454" s="535">
        <v>2</v>
      </c>
    </row>
    <row r="17455" spans="1:18" ht="36">
      <c r="A17455" s="531">
        <v>600</v>
      </c>
      <c r="B17455" s="528" t="s">
        <v>31395</v>
      </c>
      <c r="C17455" s="532" t="s">
        <v>31396</v>
      </c>
      <c r="D17455" s="533">
        <v>31.06</v>
      </c>
      <c r="E17455" s="533">
        <v>7.12</v>
      </c>
      <c r="F17455" s="533">
        <v>23.8</v>
      </c>
      <c r="G17455" s="533">
        <v>0.14000000000000001</v>
      </c>
      <c r="H17455" s="534">
        <v>230.07</v>
      </c>
      <c r="I17455" s="534">
        <v>81.94</v>
      </c>
      <c r="J17455" s="534">
        <v>146.52000000000001</v>
      </c>
      <c r="K17455" s="534">
        <v>1.61</v>
      </c>
      <c r="L17455" s="43">
        <v>7.4072762395363814</v>
      </c>
      <c r="M17455" s="43">
        <v>11.5021951219512</v>
      </c>
      <c r="N17455" s="43">
        <v>6.1563025210084037</v>
      </c>
      <c r="O17455" s="43">
        <v>11.503164556962025</v>
      </c>
      <c r="P17455" s="535"/>
      <c r="Q17455" s="535"/>
      <c r="R17455" s="535">
        <v>2</v>
      </c>
    </row>
    <row r="17456" spans="1:18" ht="36">
      <c r="A17456" s="531">
        <v>601</v>
      </c>
      <c r="B17456" s="528" t="s">
        <v>31397</v>
      </c>
      <c r="C17456" s="532" t="s">
        <v>31398</v>
      </c>
      <c r="D17456" s="533">
        <v>34.28</v>
      </c>
      <c r="E17456" s="533">
        <v>7.81</v>
      </c>
      <c r="F17456" s="533">
        <v>26.31</v>
      </c>
      <c r="G17456" s="533">
        <v>0.16</v>
      </c>
      <c r="H17456" s="534">
        <v>253.57</v>
      </c>
      <c r="I17456" s="534">
        <v>89.79</v>
      </c>
      <c r="J17456" s="534">
        <v>161.94</v>
      </c>
      <c r="K17456" s="534">
        <v>1.84</v>
      </c>
      <c r="L17456" s="43">
        <v>7.3970245040840137</v>
      </c>
      <c r="M17456" s="43">
        <v>11.496798975672217</v>
      </c>
      <c r="N17456" s="43">
        <v>6.1550741163055873</v>
      </c>
      <c r="O17456" s="43">
        <v>11.503164556962025</v>
      </c>
      <c r="P17456" s="535"/>
      <c r="Q17456" s="535"/>
      <c r="R17456" s="535">
        <v>2</v>
      </c>
    </row>
    <row r="17457" spans="1:18" ht="36">
      <c r="A17457" s="531">
        <v>602</v>
      </c>
      <c r="B17457" s="528" t="s">
        <v>31399</v>
      </c>
      <c r="C17457" s="532" t="s">
        <v>31400</v>
      </c>
      <c r="D17457" s="533">
        <v>36.42</v>
      </c>
      <c r="E17457" s="533">
        <v>8.69</v>
      </c>
      <c r="F17457" s="533">
        <v>27.56</v>
      </c>
      <c r="G17457" s="533">
        <v>0.17</v>
      </c>
      <c r="H17457" s="534">
        <v>271.51</v>
      </c>
      <c r="I17457" s="534">
        <v>99.89</v>
      </c>
      <c r="J17457" s="534">
        <v>169.66</v>
      </c>
      <c r="K17457" s="534">
        <v>1.96</v>
      </c>
      <c r="L17457" s="43">
        <v>7.454969796814936</v>
      </c>
      <c r="M17457" s="43">
        <v>11.5</v>
      </c>
      <c r="N17457" s="43">
        <v>6.1560232220609583</v>
      </c>
      <c r="O17457" s="43">
        <v>11.503164556962025</v>
      </c>
      <c r="P17457" s="535"/>
      <c r="Q17457" s="535"/>
      <c r="R17457" s="535">
        <v>2</v>
      </c>
    </row>
    <row r="17458" spans="1:18" ht="36">
      <c r="A17458" s="531">
        <v>603</v>
      </c>
      <c r="B17458" s="528" t="s">
        <v>31401</v>
      </c>
      <c r="C17458" s="532" t="s">
        <v>31402</v>
      </c>
      <c r="D17458" s="533">
        <v>42.53</v>
      </c>
      <c r="E17458" s="533">
        <v>9.76</v>
      </c>
      <c r="F17458" s="533">
        <v>32.57</v>
      </c>
      <c r="G17458" s="533">
        <v>0.2</v>
      </c>
      <c r="H17458" s="534">
        <v>315.04000000000002</v>
      </c>
      <c r="I17458" s="534">
        <v>112.24</v>
      </c>
      <c r="J17458" s="534">
        <v>200.5</v>
      </c>
      <c r="K17458" s="534">
        <v>2.2999999999999998</v>
      </c>
      <c r="L17458" s="43">
        <v>7.4074770750058789</v>
      </c>
      <c r="M17458" s="43">
        <v>11.5</v>
      </c>
      <c r="N17458" s="43">
        <v>6.1559717531470675</v>
      </c>
      <c r="O17458" s="43">
        <v>11.503164556962025</v>
      </c>
      <c r="P17458" s="535"/>
      <c r="Q17458" s="535"/>
      <c r="R17458" s="535">
        <v>2</v>
      </c>
    </row>
    <row r="17459" spans="1:18" ht="36">
      <c r="A17459" s="531">
        <v>604</v>
      </c>
      <c r="B17459" s="528" t="s">
        <v>31403</v>
      </c>
      <c r="C17459" s="532" t="s">
        <v>31404</v>
      </c>
      <c r="D17459" s="533">
        <v>44.58</v>
      </c>
      <c r="E17459" s="533">
        <v>10.54</v>
      </c>
      <c r="F17459" s="533">
        <v>33.83</v>
      </c>
      <c r="G17459" s="533">
        <v>0.21</v>
      </c>
      <c r="H17459" s="534">
        <v>331.85</v>
      </c>
      <c r="I17459" s="534">
        <v>121.22</v>
      </c>
      <c r="J17459" s="534">
        <v>208.21</v>
      </c>
      <c r="K17459" s="534">
        <v>2.42</v>
      </c>
      <c r="L17459" s="43">
        <v>7.443921040825483</v>
      </c>
      <c r="M17459" s="43">
        <v>11.500948766603416</v>
      </c>
      <c r="N17459" s="43">
        <v>6.1545965119716231</v>
      </c>
      <c r="O17459" s="43">
        <v>11.503164556962025</v>
      </c>
      <c r="P17459" s="535"/>
      <c r="Q17459" s="535"/>
      <c r="R17459" s="535">
        <v>2</v>
      </c>
    </row>
    <row r="17460" spans="1:18" ht="36">
      <c r="A17460" s="531">
        <v>605</v>
      </c>
      <c r="B17460" s="528" t="s">
        <v>31405</v>
      </c>
      <c r="C17460" s="532" t="s">
        <v>31406</v>
      </c>
      <c r="D17460" s="533">
        <v>48.27</v>
      </c>
      <c r="E17460" s="533">
        <v>11.71</v>
      </c>
      <c r="F17460" s="533">
        <v>36.33</v>
      </c>
      <c r="G17460" s="533">
        <v>0.23</v>
      </c>
      <c r="H17460" s="534">
        <v>360.98</v>
      </c>
      <c r="I17460" s="534">
        <v>134.69</v>
      </c>
      <c r="J17460" s="534">
        <v>223.64</v>
      </c>
      <c r="K17460" s="534">
        <v>2.65</v>
      </c>
      <c r="L17460" s="43">
        <v>7.4783509426144601</v>
      </c>
      <c r="M17460" s="43">
        <v>11.502134927412467</v>
      </c>
      <c r="N17460" s="43">
        <v>6.1557941095513353</v>
      </c>
      <c r="O17460" s="43">
        <v>11.503164556962025</v>
      </c>
      <c r="P17460" s="535"/>
      <c r="Q17460" s="535"/>
      <c r="R17460" s="535">
        <v>2</v>
      </c>
    </row>
    <row r="17461" spans="1:18" ht="36">
      <c r="A17461" s="531">
        <v>606</v>
      </c>
      <c r="B17461" s="528" t="s">
        <v>31407</v>
      </c>
      <c r="C17461" s="532" t="s">
        <v>31408</v>
      </c>
      <c r="D17461" s="533">
        <v>55.65</v>
      </c>
      <c r="E17461" s="533">
        <v>12.79</v>
      </c>
      <c r="F17461" s="533">
        <v>42.6</v>
      </c>
      <c r="G17461" s="533">
        <v>0.26</v>
      </c>
      <c r="H17461" s="534">
        <v>412.21</v>
      </c>
      <c r="I17461" s="534">
        <v>147.03</v>
      </c>
      <c r="J17461" s="534">
        <v>262.19</v>
      </c>
      <c r="K17461" s="534">
        <v>2.99</v>
      </c>
      <c r="L17461" s="43">
        <v>7.407187780772686</v>
      </c>
      <c r="M17461" s="43">
        <v>11.495699765441753</v>
      </c>
      <c r="N17461" s="43">
        <v>6.1546948356807505</v>
      </c>
      <c r="O17461" s="43">
        <v>11.503164556962025</v>
      </c>
      <c r="P17461" s="535"/>
      <c r="Q17461" s="535"/>
      <c r="R17461" s="535">
        <v>2</v>
      </c>
    </row>
    <row r="17462" spans="1:18" ht="36">
      <c r="A17462" s="531">
        <v>607</v>
      </c>
      <c r="B17462" s="528" t="s">
        <v>31409</v>
      </c>
      <c r="C17462" s="532" t="s">
        <v>31410</v>
      </c>
      <c r="D17462" s="533">
        <v>66.44</v>
      </c>
      <c r="E17462" s="533">
        <v>16.010000000000002</v>
      </c>
      <c r="F17462" s="533">
        <v>50.11</v>
      </c>
      <c r="G17462" s="533">
        <v>0.32</v>
      </c>
      <c r="H17462" s="534">
        <v>496.21</v>
      </c>
      <c r="I17462" s="534">
        <v>184.07</v>
      </c>
      <c r="J17462" s="534">
        <v>308.45999999999998</v>
      </c>
      <c r="K17462" s="534">
        <v>3.68</v>
      </c>
      <c r="L17462" s="43">
        <v>7.4685430463576159</v>
      </c>
      <c r="M17462" s="43">
        <v>11.497189256714552</v>
      </c>
      <c r="N17462" s="43">
        <v>6.1556575533825582</v>
      </c>
      <c r="O17462" s="43">
        <v>11.503164556962025</v>
      </c>
      <c r="P17462" s="535"/>
      <c r="Q17462" s="535"/>
      <c r="R17462" s="535">
        <v>2</v>
      </c>
    </row>
    <row r="17463" spans="1:18" ht="36">
      <c r="A17463" s="531">
        <v>608</v>
      </c>
      <c r="B17463" s="528" t="s">
        <v>31411</v>
      </c>
      <c r="C17463" s="532" t="s">
        <v>31412</v>
      </c>
      <c r="D17463" s="533">
        <v>72.44</v>
      </c>
      <c r="E17463" s="533">
        <v>16.98</v>
      </c>
      <c r="F17463" s="533">
        <v>55.12</v>
      </c>
      <c r="G17463" s="533">
        <v>0.34</v>
      </c>
      <c r="H17463" s="534">
        <v>538.52</v>
      </c>
      <c r="I17463" s="534">
        <v>195.3</v>
      </c>
      <c r="J17463" s="534">
        <v>339.31</v>
      </c>
      <c r="K17463" s="534">
        <v>3.91</v>
      </c>
      <c r="L17463" s="43">
        <v>7.4340143567090005</v>
      </c>
      <c r="M17463" s="43">
        <v>11.501766784452297</v>
      </c>
      <c r="N17463" s="43">
        <v>6.1558417997097248</v>
      </c>
      <c r="O17463" s="43">
        <v>11.503164556962025</v>
      </c>
      <c r="P17463" s="535"/>
      <c r="Q17463" s="535"/>
      <c r="R17463" s="535">
        <v>2</v>
      </c>
    </row>
    <row r="17464" spans="1:18" ht="12.75" customHeight="1">
      <c r="A17464" s="628" t="s">
        <v>31413</v>
      </c>
      <c r="B17464" s="629"/>
      <c r="C17464" s="629"/>
      <c r="D17464" s="629"/>
      <c r="E17464" s="629"/>
      <c r="F17464" s="629"/>
      <c r="G17464" s="629"/>
      <c r="H17464" s="629"/>
      <c r="I17464" s="629"/>
      <c r="J17464" s="629"/>
      <c r="K17464" s="629"/>
      <c r="L17464" s="629"/>
      <c r="M17464" s="629"/>
      <c r="N17464" s="629"/>
      <c r="O17464" s="629"/>
      <c r="P17464" s="629"/>
      <c r="Q17464" s="629"/>
      <c r="R17464" s="629"/>
    </row>
    <row r="17465" spans="1:18" ht="12.75" customHeight="1">
      <c r="A17465" s="628" t="s">
        <v>31414</v>
      </c>
      <c r="B17465" s="629"/>
      <c r="C17465" s="629"/>
      <c r="D17465" s="629"/>
      <c r="E17465" s="629"/>
      <c r="F17465" s="629"/>
      <c r="G17465" s="629"/>
      <c r="H17465" s="629"/>
      <c r="I17465" s="629"/>
      <c r="J17465" s="629"/>
      <c r="K17465" s="629"/>
      <c r="L17465" s="629"/>
      <c r="M17465" s="629"/>
      <c r="N17465" s="629"/>
      <c r="O17465" s="629"/>
      <c r="P17465" s="629"/>
      <c r="Q17465" s="629"/>
      <c r="R17465" s="629"/>
    </row>
    <row r="17466" spans="1:18" ht="24">
      <c r="A17466" s="531">
        <v>609</v>
      </c>
      <c r="B17466" s="528" t="s">
        <v>31415</v>
      </c>
      <c r="C17466" s="532" t="s">
        <v>31416</v>
      </c>
      <c r="D17466" s="533">
        <v>149.59</v>
      </c>
      <c r="E17466" s="533">
        <v>24.05</v>
      </c>
      <c r="F17466" s="533">
        <v>125.06</v>
      </c>
      <c r="G17466" s="533">
        <v>0.48</v>
      </c>
      <c r="H17466" s="534">
        <v>1039.83</v>
      </c>
      <c r="I17466" s="534">
        <v>276.52999999999997</v>
      </c>
      <c r="J17466" s="534">
        <v>757.78</v>
      </c>
      <c r="K17466" s="534">
        <v>5.52</v>
      </c>
      <c r="L17466" s="43">
        <v>6.9511999465204886</v>
      </c>
      <c r="M17466" s="43">
        <v>11.498128898128897</v>
      </c>
      <c r="N17466" s="43">
        <v>6.0593315208699821</v>
      </c>
      <c r="O17466" s="43">
        <v>11.503164556962025</v>
      </c>
      <c r="P17466" s="535"/>
      <c r="Q17466" s="535"/>
      <c r="R17466" s="535">
        <v>1</v>
      </c>
    </row>
    <row r="17467" spans="1:18" ht="24">
      <c r="A17467" s="531">
        <v>610</v>
      </c>
      <c r="B17467" s="528" t="s">
        <v>31417</v>
      </c>
      <c r="C17467" s="532" t="s">
        <v>31418</v>
      </c>
      <c r="D17467" s="533">
        <v>153.79</v>
      </c>
      <c r="E17467" s="533">
        <v>28.17</v>
      </c>
      <c r="F17467" s="533">
        <v>125.06</v>
      </c>
      <c r="G17467" s="533">
        <v>0.56000000000000005</v>
      </c>
      <c r="H17467" s="534">
        <v>1088.1199999999999</v>
      </c>
      <c r="I17467" s="534">
        <v>323.89999999999998</v>
      </c>
      <c r="J17467" s="534">
        <v>757.78</v>
      </c>
      <c r="K17467" s="534">
        <v>6.44</v>
      </c>
      <c r="L17467" s="43">
        <v>7.0753625073151696</v>
      </c>
      <c r="M17467" s="43">
        <v>11.498047568335107</v>
      </c>
      <c r="N17467" s="43">
        <v>6.0593315208699821</v>
      </c>
      <c r="O17467" s="43">
        <v>11.503164556962025</v>
      </c>
      <c r="P17467" s="535"/>
      <c r="Q17467" s="535"/>
      <c r="R17467" s="535">
        <v>1</v>
      </c>
    </row>
    <row r="17468" spans="1:18" ht="24">
      <c r="A17468" s="531">
        <v>611</v>
      </c>
      <c r="B17468" s="528" t="s">
        <v>31419</v>
      </c>
      <c r="C17468" s="532" t="s">
        <v>31420</v>
      </c>
      <c r="D17468" s="533">
        <v>185.7</v>
      </c>
      <c r="E17468" s="533">
        <v>33.43</v>
      </c>
      <c r="F17468" s="533">
        <v>151.6</v>
      </c>
      <c r="G17468" s="533">
        <v>0.67</v>
      </c>
      <c r="H17468" s="534">
        <v>1310.6199999999999</v>
      </c>
      <c r="I17468" s="534">
        <v>384.49</v>
      </c>
      <c r="J17468" s="534">
        <v>918.42</v>
      </c>
      <c r="K17468" s="534">
        <v>7.71</v>
      </c>
      <c r="L17468" s="43">
        <v>7.0577275175013465</v>
      </c>
      <c r="M17468" s="43">
        <v>11.50134609632067</v>
      </c>
      <c r="N17468" s="43">
        <v>6.0581794195250662</v>
      </c>
      <c r="O17468" s="43">
        <v>11.503164556962025</v>
      </c>
      <c r="P17468" s="535"/>
      <c r="Q17468" s="535"/>
      <c r="R17468" s="535">
        <v>1</v>
      </c>
    </row>
    <row r="17469" spans="1:18" ht="24">
      <c r="A17469" s="531">
        <v>612</v>
      </c>
      <c r="B17469" s="528" t="s">
        <v>31421</v>
      </c>
      <c r="C17469" s="532" t="s">
        <v>31422</v>
      </c>
      <c r="D17469" s="533">
        <v>236.91</v>
      </c>
      <c r="E17469" s="533">
        <v>41.77</v>
      </c>
      <c r="F17469" s="533">
        <v>194.3</v>
      </c>
      <c r="G17469" s="533">
        <v>0.84</v>
      </c>
      <c r="H17469" s="534">
        <v>1655.49</v>
      </c>
      <c r="I17469" s="534">
        <v>480.34</v>
      </c>
      <c r="J17469" s="534">
        <v>1165.49</v>
      </c>
      <c r="K17469" s="534">
        <v>9.66</v>
      </c>
      <c r="L17469" s="43">
        <v>6.9878434848676712</v>
      </c>
      <c r="M17469" s="43">
        <v>11.499640890591332</v>
      </c>
      <c r="N17469" s="43">
        <v>5.9984045290787442</v>
      </c>
      <c r="O17469" s="43">
        <v>11.503164556962025</v>
      </c>
      <c r="P17469" s="535"/>
      <c r="Q17469" s="535"/>
      <c r="R17469" s="535">
        <v>1</v>
      </c>
    </row>
    <row r="17470" spans="1:18" ht="24">
      <c r="A17470" s="531">
        <v>613</v>
      </c>
      <c r="B17470" s="528" t="s">
        <v>31423</v>
      </c>
      <c r="C17470" s="532" t="s">
        <v>31424</v>
      </c>
      <c r="D17470" s="533">
        <v>116.82</v>
      </c>
      <c r="E17470" s="533">
        <v>17.72</v>
      </c>
      <c r="F17470" s="533">
        <v>98.75</v>
      </c>
      <c r="G17470" s="533">
        <v>0.35</v>
      </c>
      <c r="H17470" s="534">
        <v>803.67</v>
      </c>
      <c r="I17470" s="534">
        <v>203.81</v>
      </c>
      <c r="J17470" s="534">
        <v>595.83000000000004</v>
      </c>
      <c r="K17470" s="534">
        <v>4.03</v>
      </c>
      <c r="L17470" s="43">
        <v>6.879558294812532</v>
      </c>
      <c r="M17470" s="43">
        <v>11.501693002257337</v>
      </c>
      <c r="N17470" s="43">
        <v>6.0337215189873419</v>
      </c>
      <c r="O17470" s="43">
        <v>11.503164556962025</v>
      </c>
      <c r="P17470" s="535"/>
      <c r="Q17470" s="535"/>
      <c r="R17470" s="535">
        <v>1</v>
      </c>
    </row>
    <row r="17471" spans="1:18" ht="24">
      <c r="A17471" s="531">
        <v>614</v>
      </c>
      <c r="B17471" s="528" t="s">
        <v>31425</v>
      </c>
      <c r="C17471" s="532" t="s">
        <v>31426</v>
      </c>
      <c r="D17471" s="533">
        <v>120.05</v>
      </c>
      <c r="E17471" s="533">
        <v>20.88</v>
      </c>
      <c r="F17471" s="533">
        <v>98.75</v>
      </c>
      <c r="G17471" s="533">
        <v>0.42</v>
      </c>
      <c r="H17471" s="534">
        <v>840.83</v>
      </c>
      <c r="I17471" s="534">
        <v>240.17</v>
      </c>
      <c r="J17471" s="534">
        <v>595.83000000000004</v>
      </c>
      <c r="K17471" s="534">
        <v>4.83</v>
      </c>
      <c r="L17471" s="43">
        <v>7.0039983340274894</v>
      </c>
      <c r="M17471" s="43">
        <v>11.502394636015326</v>
      </c>
      <c r="N17471" s="43">
        <v>6.0337215189873419</v>
      </c>
      <c r="O17471" s="43">
        <v>11.503164556962025</v>
      </c>
      <c r="P17471" s="535"/>
      <c r="Q17471" s="535"/>
      <c r="R17471" s="535">
        <v>1</v>
      </c>
    </row>
    <row r="17472" spans="1:18" ht="24">
      <c r="A17472" s="531">
        <v>615</v>
      </c>
      <c r="B17472" s="528" t="s">
        <v>31427</v>
      </c>
      <c r="C17472" s="532" t="s">
        <v>31428</v>
      </c>
      <c r="D17472" s="533">
        <v>147.4</v>
      </c>
      <c r="E17472" s="533">
        <v>24.05</v>
      </c>
      <c r="F17472" s="533">
        <v>122.87</v>
      </c>
      <c r="G17472" s="533">
        <v>0.48</v>
      </c>
      <c r="H17472" s="534">
        <v>1022.67</v>
      </c>
      <c r="I17472" s="534">
        <v>276.52999999999997</v>
      </c>
      <c r="J17472" s="534">
        <v>740.62</v>
      </c>
      <c r="K17472" s="534">
        <v>5.52</v>
      </c>
      <c r="L17472" s="43">
        <v>6.9380597014925369</v>
      </c>
      <c r="M17472" s="43">
        <v>11.498128898128897</v>
      </c>
      <c r="N17472" s="43">
        <v>6.0276715227476192</v>
      </c>
      <c r="O17472" s="43">
        <v>11.503164556962025</v>
      </c>
      <c r="P17472" s="535"/>
      <c r="Q17472" s="535"/>
      <c r="R17472" s="535">
        <v>1</v>
      </c>
    </row>
    <row r="17473" spans="1:18" ht="24">
      <c r="A17473" s="531">
        <v>616</v>
      </c>
      <c r="B17473" s="528" t="s">
        <v>31429</v>
      </c>
      <c r="C17473" s="532" t="s">
        <v>31430</v>
      </c>
      <c r="D17473" s="533">
        <v>199.76</v>
      </c>
      <c r="E17473" s="533">
        <v>32.380000000000003</v>
      </c>
      <c r="F17473" s="533">
        <v>166.73</v>
      </c>
      <c r="G17473" s="533">
        <v>0.65</v>
      </c>
      <c r="H17473" s="534">
        <v>1375.69</v>
      </c>
      <c r="I17473" s="534">
        <v>372.37</v>
      </c>
      <c r="J17473" s="534">
        <v>995.84</v>
      </c>
      <c r="K17473" s="534">
        <v>7.48</v>
      </c>
      <c r="L17473" s="43">
        <v>6.8867140568682421</v>
      </c>
      <c r="M17473" s="43">
        <v>11.5</v>
      </c>
      <c r="N17473" s="43">
        <v>5.9727703472680389</v>
      </c>
      <c r="O17473" s="43">
        <v>11.503164556962025</v>
      </c>
      <c r="P17473" s="535"/>
      <c r="Q17473" s="535"/>
      <c r="R17473" s="535">
        <v>1</v>
      </c>
    </row>
    <row r="17474" spans="1:18" ht="24">
      <c r="A17474" s="531">
        <v>617</v>
      </c>
      <c r="B17474" s="528" t="s">
        <v>31431</v>
      </c>
      <c r="C17474" s="532" t="s">
        <v>31432</v>
      </c>
      <c r="D17474" s="533">
        <v>247.65</v>
      </c>
      <c r="E17474" s="533">
        <v>39.659999999999997</v>
      </c>
      <c r="F17474" s="533">
        <v>207.2</v>
      </c>
      <c r="G17474" s="533">
        <v>0.79</v>
      </c>
      <c r="H17474" s="534">
        <v>1720.31</v>
      </c>
      <c r="I17474" s="534">
        <v>456.1</v>
      </c>
      <c r="J17474" s="534">
        <v>1255.1199999999999</v>
      </c>
      <c r="K17474" s="534">
        <v>9.09</v>
      </c>
      <c r="L17474" s="43">
        <v>6.9465374520492631</v>
      </c>
      <c r="M17474" s="43">
        <v>11.500252143217349</v>
      </c>
      <c r="N17474" s="43">
        <v>6.057528957528957</v>
      </c>
      <c r="O17474" s="43">
        <v>11.503164556962025</v>
      </c>
      <c r="P17474" s="535"/>
      <c r="Q17474" s="535"/>
      <c r="R17474" s="535">
        <v>1</v>
      </c>
    </row>
    <row r="17475" spans="1:18" ht="24">
      <c r="A17475" s="531">
        <v>618</v>
      </c>
      <c r="B17475" s="528" t="s">
        <v>31433</v>
      </c>
      <c r="C17475" s="532" t="s">
        <v>31434</v>
      </c>
      <c r="D17475" s="533">
        <v>251.96</v>
      </c>
      <c r="E17475" s="533">
        <v>43.88</v>
      </c>
      <c r="F17475" s="533">
        <v>207.2</v>
      </c>
      <c r="G17475" s="533">
        <v>0.88</v>
      </c>
      <c r="H17475" s="534">
        <v>1769.82</v>
      </c>
      <c r="I17475" s="534">
        <v>504.58</v>
      </c>
      <c r="J17475" s="534">
        <v>1255.1199999999999</v>
      </c>
      <c r="K17475" s="534">
        <v>10.119999999999999</v>
      </c>
      <c r="L17475" s="43">
        <v>7.0242101920939826</v>
      </c>
      <c r="M17475" s="43">
        <v>11.49908842297174</v>
      </c>
      <c r="N17475" s="43">
        <v>6.057528957528957</v>
      </c>
      <c r="O17475" s="43">
        <v>11.503164556962025</v>
      </c>
      <c r="P17475" s="535"/>
      <c r="Q17475" s="535"/>
      <c r="R17475" s="535">
        <v>1</v>
      </c>
    </row>
    <row r="17476" spans="1:18" ht="24">
      <c r="A17476" s="531">
        <v>619</v>
      </c>
      <c r="B17476" s="528" t="s">
        <v>31435</v>
      </c>
      <c r="C17476" s="532" t="s">
        <v>31436</v>
      </c>
      <c r="D17476" s="533">
        <v>285.67</v>
      </c>
      <c r="E17476" s="533">
        <v>49.05</v>
      </c>
      <c r="F17476" s="533">
        <v>235.64</v>
      </c>
      <c r="G17476" s="533">
        <v>0.98</v>
      </c>
      <c r="H17476" s="534">
        <v>1995.31</v>
      </c>
      <c r="I17476" s="534">
        <v>564.07000000000005</v>
      </c>
      <c r="J17476" s="534">
        <v>1419.97</v>
      </c>
      <c r="K17476" s="534">
        <v>11.27</v>
      </c>
      <c r="L17476" s="43">
        <v>6.9846676234816387</v>
      </c>
      <c r="M17476" s="43">
        <v>11.499898063200817</v>
      </c>
      <c r="N17476" s="43">
        <v>6.0260142590392132</v>
      </c>
      <c r="O17476" s="43">
        <v>11.503164556962025</v>
      </c>
      <c r="P17476" s="535"/>
      <c r="Q17476" s="535"/>
      <c r="R17476" s="535">
        <v>1</v>
      </c>
    </row>
    <row r="17477" spans="1:18" ht="24">
      <c r="A17477" s="531">
        <v>620</v>
      </c>
      <c r="B17477" s="528" t="s">
        <v>31437</v>
      </c>
      <c r="C17477" s="532" t="s">
        <v>31438</v>
      </c>
      <c r="D17477" s="533">
        <v>324.75</v>
      </c>
      <c r="E17477" s="533">
        <v>59.49</v>
      </c>
      <c r="F17477" s="533">
        <v>264.07</v>
      </c>
      <c r="G17477" s="533">
        <v>1.19</v>
      </c>
      <c r="H17477" s="534">
        <v>2282.6799999999998</v>
      </c>
      <c r="I17477" s="534">
        <v>684.16</v>
      </c>
      <c r="J17477" s="534">
        <v>1584.83</v>
      </c>
      <c r="K17477" s="534">
        <v>13.69</v>
      </c>
      <c r="L17477" s="43">
        <v>7.0290377213240953</v>
      </c>
      <c r="M17477" s="43">
        <v>11.500420238695579</v>
      </c>
      <c r="N17477" s="43">
        <v>6.0015526186238493</v>
      </c>
      <c r="O17477" s="43">
        <v>11.503164556962025</v>
      </c>
      <c r="P17477" s="535"/>
      <c r="Q17477" s="535"/>
      <c r="R17477" s="535">
        <v>1</v>
      </c>
    </row>
    <row r="17478" spans="1:18" ht="24">
      <c r="A17478" s="531">
        <v>621</v>
      </c>
      <c r="B17478" s="528" t="s">
        <v>31439</v>
      </c>
      <c r="C17478" s="532" t="s">
        <v>31440</v>
      </c>
      <c r="D17478" s="533">
        <v>180.81</v>
      </c>
      <c r="E17478" s="533">
        <v>28.17</v>
      </c>
      <c r="F17478" s="533">
        <v>152.08000000000001</v>
      </c>
      <c r="G17478" s="533">
        <v>0.56000000000000005</v>
      </c>
      <c r="H17478" s="534">
        <v>1246.1500000000001</v>
      </c>
      <c r="I17478" s="534">
        <v>323.89999999999998</v>
      </c>
      <c r="J17478" s="534">
        <v>915.81</v>
      </c>
      <c r="K17478" s="534">
        <v>6.44</v>
      </c>
      <c r="L17478" s="43">
        <v>6.8920413693932865</v>
      </c>
      <c r="M17478" s="43">
        <v>11.498047568335107</v>
      </c>
      <c r="N17478" s="43">
        <v>6.0218963703314037</v>
      </c>
      <c r="O17478" s="43">
        <v>11.503164556962025</v>
      </c>
      <c r="P17478" s="535"/>
      <c r="Q17478" s="535"/>
      <c r="R17478" s="535">
        <v>1</v>
      </c>
    </row>
    <row r="17479" spans="1:18" ht="24">
      <c r="A17479" s="531">
        <v>622</v>
      </c>
      <c r="B17479" s="528" t="s">
        <v>31441</v>
      </c>
      <c r="C17479" s="532" t="s">
        <v>31442</v>
      </c>
      <c r="D17479" s="533">
        <v>184.04</v>
      </c>
      <c r="E17479" s="533">
        <v>31.33</v>
      </c>
      <c r="F17479" s="533">
        <v>152.08000000000001</v>
      </c>
      <c r="G17479" s="533">
        <v>0.63</v>
      </c>
      <c r="H17479" s="534">
        <v>1283.32</v>
      </c>
      <c r="I17479" s="534">
        <v>360.26</v>
      </c>
      <c r="J17479" s="534">
        <v>915.81</v>
      </c>
      <c r="K17479" s="534">
        <v>7.25</v>
      </c>
      <c r="L17479" s="43">
        <v>6.9730493371006306</v>
      </c>
      <c r="M17479" s="43">
        <v>11.498882859878711</v>
      </c>
      <c r="N17479" s="43">
        <v>6.0218963703314037</v>
      </c>
      <c r="O17479" s="43">
        <v>11.503164556962025</v>
      </c>
      <c r="P17479" s="535"/>
      <c r="Q17479" s="535"/>
      <c r="R17479" s="535">
        <v>1</v>
      </c>
    </row>
    <row r="17480" spans="1:18" ht="24">
      <c r="A17480" s="531">
        <v>623</v>
      </c>
      <c r="B17480" s="528" t="s">
        <v>31443</v>
      </c>
      <c r="C17480" s="532" t="s">
        <v>31444</v>
      </c>
      <c r="D17480" s="533">
        <v>230.55</v>
      </c>
      <c r="E17480" s="533">
        <v>35.54</v>
      </c>
      <c r="F17480" s="533">
        <v>194.3</v>
      </c>
      <c r="G17480" s="533">
        <v>0.71</v>
      </c>
      <c r="H17480" s="534">
        <v>1582.39</v>
      </c>
      <c r="I17480" s="534">
        <v>408.73</v>
      </c>
      <c r="J17480" s="534">
        <v>1165.49</v>
      </c>
      <c r="K17480" s="534">
        <v>8.17</v>
      </c>
      <c r="L17480" s="43">
        <v>6.8635436998481891</v>
      </c>
      <c r="M17480" s="43">
        <v>11.500562746201464</v>
      </c>
      <c r="N17480" s="43">
        <v>5.9984045290787442</v>
      </c>
      <c r="O17480" s="43">
        <v>11.503164556962025</v>
      </c>
      <c r="P17480" s="535"/>
      <c r="Q17480" s="535"/>
      <c r="R17480" s="535">
        <v>1</v>
      </c>
    </row>
    <row r="17481" spans="1:18" ht="24">
      <c r="A17481" s="531">
        <v>624</v>
      </c>
      <c r="B17481" s="528" t="s">
        <v>31445</v>
      </c>
      <c r="C17481" s="532" t="s">
        <v>31446</v>
      </c>
      <c r="D17481" s="533">
        <v>267.49</v>
      </c>
      <c r="E17481" s="533">
        <v>43.88</v>
      </c>
      <c r="F17481" s="533">
        <v>222.73</v>
      </c>
      <c r="G17481" s="533">
        <v>0.88</v>
      </c>
      <c r="H17481" s="534">
        <v>1845.05</v>
      </c>
      <c r="I17481" s="534">
        <v>504.58</v>
      </c>
      <c r="J17481" s="534">
        <v>1330.35</v>
      </c>
      <c r="K17481" s="534">
        <v>10.119999999999999</v>
      </c>
      <c r="L17481" s="43">
        <v>6.8976410333096556</v>
      </c>
      <c r="M17481" s="43">
        <v>11.49908842297174</v>
      </c>
      <c r="N17481" s="43">
        <v>5.9729268621200555</v>
      </c>
      <c r="O17481" s="43">
        <v>11.503164556962025</v>
      </c>
      <c r="P17481" s="535"/>
      <c r="Q17481" s="535"/>
      <c r="R17481" s="535">
        <v>1</v>
      </c>
    </row>
    <row r="17482" spans="1:18" ht="24">
      <c r="A17482" s="531">
        <v>625</v>
      </c>
      <c r="B17482" s="528" t="s">
        <v>31447</v>
      </c>
      <c r="C17482" s="532" t="s">
        <v>31448</v>
      </c>
      <c r="D17482" s="533">
        <v>316.27999999999997</v>
      </c>
      <c r="E17482" s="533">
        <v>53.26</v>
      </c>
      <c r="F17482" s="533">
        <v>261.95</v>
      </c>
      <c r="G17482" s="533">
        <v>1.07</v>
      </c>
      <c r="H17482" s="534">
        <v>2206.7800000000002</v>
      </c>
      <c r="I17482" s="534">
        <v>612.54999999999995</v>
      </c>
      <c r="J17482" s="534">
        <v>1581.92</v>
      </c>
      <c r="K17482" s="534">
        <v>12.31</v>
      </c>
      <c r="L17482" s="43">
        <v>6.9772985961806011</v>
      </c>
      <c r="M17482" s="43">
        <v>11.501126549004882</v>
      </c>
      <c r="N17482" s="43">
        <v>6.0390150792135913</v>
      </c>
      <c r="O17482" s="43">
        <v>11.503164556962025</v>
      </c>
      <c r="P17482" s="535"/>
      <c r="Q17482" s="535"/>
      <c r="R17482" s="535">
        <v>1</v>
      </c>
    </row>
    <row r="17483" spans="1:18" ht="24">
      <c r="A17483" s="531">
        <v>626</v>
      </c>
      <c r="B17483" s="528" t="s">
        <v>31449</v>
      </c>
      <c r="C17483" s="532" t="s">
        <v>31450</v>
      </c>
      <c r="D17483" s="533">
        <v>319.51</v>
      </c>
      <c r="E17483" s="533">
        <v>56.43</v>
      </c>
      <c r="F17483" s="533">
        <v>261.95</v>
      </c>
      <c r="G17483" s="533">
        <v>1.1299999999999999</v>
      </c>
      <c r="H17483" s="534">
        <v>2243.8200000000002</v>
      </c>
      <c r="I17483" s="534">
        <v>648.9</v>
      </c>
      <c r="J17483" s="534">
        <v>1581.92</v>
      </c>
      <c r="K17483" s="534">
        <v>13</v>
      </c>
      <c r="L17483" s="43">
        <v>7.0226909955869932</v>
      </c>
      <c r="M17483" s="43">
        <v>11.499202551834131</v>
      </c>
      <c r="N17483" s="43">
        <v>6.0390150792135913</v>
      </c>
      <c r="O17483" s="43">
        <v>11.503164556962025</v>
      </c>
      <c r="P17483" s="535"/>
      <c r="Q17483" s="535"/>
      <c r="R17483" s="535">
        <v>1</v>
      </c>
    </row>
    <row r="17484" spans="1:18" ht="24">
      <c r="A17484" s="531">
        <v>627</v>
      </c>
      <c r="B17484" s="528" t="s">
        <v>31451</v>
      </c>
      <c r="C17484" s="532" t="s">
        <v>31452</v>
      </c>
      <c r="D17484" s="533">
        <v>368.06</v>
      </c>
      <c r="E17484" s="533">
        <v>62.65</v>
      </c>
      <c r="F17484" s="533">
        <v>304.16000000000003</v>
      </c>
      <c r="G17484" s="533">
        <v>1.25</v>
      </c>
      <c r="H17484" s="534">
        <v>2566.4899999999998</v>
      </c>
      <c r="I17484" s="534">
        <v>720.51</v>
      </c>
      <c r="J17484" s="534">
        <v>1831.6</v>
      </c>
      <c r="K17484" s="534">
        <v>14.38</v>
      </c>
      <c r="L17484" s="43">
        <v>6.9730207031462257</v>
      </c>
      <c r="M17484" s="43">
        <v>11.500558659217877</v>
      </c>
      <c r="N17484" s="43">
        <v>6.0218306154655439</v>
      </c>
      <c r="O17484" s="43">
        <v>11.503164556962025</v>
      </c>
      <c r="P17484" s="535"/>
      <c r="Q17484" s="535"/>
      <c r="R17484" s="535">
        <v>1</v>
      </c>
    </row>
    <row r="17485" spans="1:18" ht="24">
      <c r="A17485" s="531">
        <v>628</v>
      </c>
      <c r="B17485" s="528" t="s">
        <v>31453</v>
      </c>
      <c r="C17485" s="532" t="s">
        <v>31454</v>
      </c>
      <c r="D17485" s="533">
        <v>409.3</v>
      </c>
      <c r="E17485" s="533">
        <v>75.2</v>
      </c>
      <c r="F17485" s="533">
        <v>332.6</v>
      </c>
      <c r="G17485" s="533">
        <v>1.5</v>
      </c>
      <c r="H17485" s="534">
        <v>2878.54</v>
      </c>
      <c r="I17485" s="534">
        <v>864.83</v>
      </c>
      <c r="J17485" s="534">
        <v>1996.46</v>
      </c>
      <c r="K17485" s="534">
        <v>17.25</v>
      </c>
      <c r="L17485" s="43">
        <v>7.0328365502076711</v>
      </c>
      <c r="M17485" s="43">
        <v>11.500398936170212</v>
      </c>
      <c r="N17485" s="43">
        <v>6.0025856885147322</v>
      </c>
      <c r="O17485" s="43">
        <v>11.503164556962025</v>
      </c>
      <c r="P17485" s="535"/>
      <c r="Q17485" s="535"/>
      <c r="R17485" s="535">
        <v>1</v>
      </c>
    </row>
    <row r="17486" spans="1:18" ht="24">
      <c r="A17486" s="531">
        <v>629</v>
      </c>
      <c r="B17486" s="528" t="s">
        <v>31455</v>
      </c>
      <c r="C17486" s="532" t="s">
        <v>31456</v>
      </c>
      <c r="D17486" s="533">
        <v>260.16000000000003</v>
      </c>
      <c r="E17486" s="533">
        <v>37.549999999999997</v>
      </c>
      <c r="F17486" s="533">
        <v>221.86</v>
      </c>
      <c r="G17486" s="533">
        <v>0.75</v>
      </c>
      <c r="H17486" s="534">
        <v>1775.65</v>
      </c>
      <c r="I17486" s="534">
        <v>431.87</v>
      </c>
      <c r="J17486" s="534">
        <v>1335.15</v>
      </c>
      <c r="K17486" s="534">
        <v>8.6300000000000008</v>
      </c>
      <c r="L17486" s="43">
        <v>6.8252229397293966</v>
      </c>
      <c r="M17486" s="43">
        <v>11.501198402130493</v>
      </c>
      <c r="N17486" s="43">
        <v>6.0179843144325247</v>
      </c>
      <c r="O17486" s="43">
        <v>11.503164556962025</v>
      </c>
      <c r="P17486" s="535"/>
      <c r="Q17486" s="535"/>
      <c r="R17486" s="535">
        <v>1</v>
      </c>
    </row>
    <row r="17487" spans="1:18" ht="24">
      <c r="A17487" s="531">
        <v>630</v>
      </c>
      <c r="B17487" s="528" t="s">
        <v>31457</v>
      </c>
      <c r="C17487" s="532" t="s">
        <v>31458</v>
      </c>
      <c r="D17487" s="533">
        <v>263.39</v>
      </c>
      <c r="E17487" s="533">
        <v>40.72</v>
      </c>
      <c r="F17487" s="533">
        <v>221.86</v>
      </c>
      <c r="G17487" s="533">
        <v>0.81</v>
      </c>
      <c r="H17487" s="534">
        <v>1812.69</v>
      </c>
      <c r="I17487" s="534">
        <v>468.22</v>
      </c>
      <c r="J17487" s="534">
        <v>1335.15</v>
      </c>
      <c r="K17487" s="534">
        <v>9.32</v>
      </c>
      <c r="L17487" s="43">
        <v>6.8821519419871677</v>
      </c>
      <c r="M17487" s="43">
        <v>11.498526522593322</v>
      </c>
      <c r="N17487" s="43">
        <v>6.0179843144325247</v>
      </c>
      <c r="O17487" s="43">
        <v>11.503164556962025</v>
      </c>
      <c r="P17487" s="535"/>
      <c r="Q17487" s="535"/>
      <c r="R17487" s="535">
        <v>1</v>
      </c>
    </row>
    <row r="17488" spans="1:18" ht="24">
      <c r="A17488" s="531">
        <v>631</v>
      </c>
      <c r="B17488" s="528" t="s">
        <v>31459</v>
      </c>
      <c r="C17488" s="532" t="s">
        <v>31460</v>
      </c>
      <c r="D17488" s="533">
        <v>284.49</v>
      </c>
      <c r="E17488" s="533">
        <v>47.04</v>
      </c>
      <c r="F17488" s="533">
        <v>236.51</v>
      </c>
      <c r="G17488" s="533">
        <v>0.94</v>
      </c>
      <c r="H17488" s="534">
        <v>1966.92</v>
      </c>
      <c r="I17488" s="534">
        <v>540.92999999999995</v>
      </c>
      <c r="J17488" s="534">
        <v>1415.18</v>
      </c>
      <c r="K17488" s="534">
        <v>10.81</v>
      </c>
      <c r="L17488" s="43">
        <v>6.9138458293788885</v>
      </c>
      <c r="M17488" s="43">
        <v>11.499362244897958</v>
      </c>
      <c r="N17488" s="43">
        <v>5.9835947740053284</v>
      </c>
      <c r="O17488" s="43">
        <v>11.503164556962025</v>
      </c>
      <c r="P17488" s="535"/>
      <c r="Q17488" s="535"/>
      <c r="R17488" s="535">
        <v>1</v>
      </c>
    </row>
    <row r="17489" spans="1:18" ht="24">
      <c r="A17489" s="531">
        <v>632</v>
      </c>
      <c r="B17489" s="528" t="s">
        <v>31461</v>
      </c>
      <c r="C17489" s="532" t="s">
        <v>31462</v>
      </c>
      <c r="D17489" s="533">
        <v>321.42</v>
      </c>
      <c r="E17489" s="533">
        <v>55.37</v>
      </c>
      <c r="F17489" s="533">
        <v>264.94</v>
      </c>
      <c r="G17489" s="533">
        <v>1.1100000000000001</v>
      </c>
      <c r="H17489" s="534">
        <v>2229.58</v>
      </c>
      <c r="I17489" s="534">
        <v>636.78</v>
      </c>
      <c r="J17489" s="534">
        <v>1580.03</v>
      </c>
      <c r="K17489" s="534">
        <v>12.77</v>
      </c>
      <c r="L17489" s="43">
        <v>6.9366560886068065</v>
      </c>
      <c r="M17489" s="43">
        <v>11.500451508036843</v>
      </c>
      <c r="N17489" s="43">
        <v>5.9637276364459879</v>
      </c>
      <c r="O17489" s="43">
        <v>11.503164556962025</v>
      </c>
      <c r="P17489" s="535"/>
      <c r="Q17489" s="535"/>
      <c r="R17489" s="535">
        <v>1</v>
      </c>
    </row>
    <row r="17490" spans="1:18" ht="12.75" customHeight="1">
      <c r="A17490" s="628" t="s">
        <v>31463</v>
      </c>
      <c r="B17490" s="629"/>
      <c r="C17490" s="629"/>
      <c r="D17490" s="629"/>
      <c r="E17490" s="629"/>
      <c r="F17490" s="629"/>
      <c r="G17490" s="629"/>
      <c r="H17490" s="629"/>
      <c r="I17490" s="629"/>
      <c r="J17490" s="629"/>
      <c r="K17490" s="629"/>
      <c r="L17490" s="629"/>
      <c r="M17490" s="629"/>
      <c r="N17490" s="629"/>
      <c r="O17490" s="629"/>
      <c r="P17490" s="629"/>
      <c r="Q17490" s="629"/>
      <c r="R17490" s="629"/>
    </row>
    <row r="17491" spans="1:18" ht="24">
      <c r="A17491" s="531">
        <v>633</v>
      </c>
      <c r="B17491" s="528" t="s">
        <v>31464</v>
      </c>
      <c r="C17491" s="532" t="s">
        <v>31465</v>
      </c>
      <c r="D17491" s="533">
        <v>13.35</v>
      </c>
      <c r="E17491" s="533">
        <v>3.26</v>
      </c>
      <c r="F17491" s="533">
        <v>10.02</v>
      </c>
      <c r="G17491" s="533">
        <v>7.0000000000000007E-2</v>
      </c>
      <c r="H17491" s="534">
        <v>99.96</v>
      </c>
      <c r="I17491" s="534">
        <v>37.46</v>
      </c>
      <c r="J17491" s="534">
        <v>61.69</v>
      </c>
      <c r="K17491" s="534">
        <v>0.81</v>
      </c>
      <c r="L17491" s="43">
        <v>7.4876404494382021</v>
      </c>
      <c r="M17491" s="43">
        <v>11.5</v>
      </c>
      <c r="N17491" s="43">
        <v>6.1566866267465068</v>
      </c>
      <c r="O17491" s="43">
        <v>11.503164556962025</v>
      </c>
      <c r="P17491" s="535"/>
      <c r="Q17491" s="535"/>
      <c r="R17491" s="535">
        <v>2</v>
      </c>
    </row>
    <row r="17492" spans="1:18" ht="24">
      <c r="A17492" s="531">
        <v>634</v>
      </c>
      <c r="B17492" s="528" t="s">
        <v>31466</v>
      </c>
      <c r="C17492" s="532" t="s">
        <v>31467</v>
      </c>
      <c r="D17492" s="533">
        <v>24.75</v>
      </c>
      <c r="E17492" s="533">
        <v>5.84</v>
      </c>
      <c r="F17492" s="533">
        <v>18.79</v>
      </c>
      <c r="G17492" s="533">
        <v>0.12</v>
      </c>
      <c r="H17492" s="534">
        <v>184.25</v>
      </c>
      <c r="I17492" s="534">
        <v>67.2</v>
      </c>
      <c r="J17492" s="534">
        <v>115.67</v>
      </c>
      <c r="K17492" s="534">
        <v>1.38</v>
      </c>
      <c r="L17492" s="43">
        <v>7.4444444444444446</v>
      </c>
      <c r="M17492" s="43">
        <v>11.5021951219512</v>
      </c>
      <c r="N17492" s="43">
        <v>6.1559340074507718</v>
      </c>
      <c r="O17492" s="43">
        <v>11.5</v>
      </c>
      <c r="P17492" s="535"/>
      <c r="Q17492" s="535"/>
      <c r="R17492" s="535">
        <v>2</v>
      </c>
    </row>
    <row r="17493" spans="1:18" ht="24">
      <c r="A17493" s="531">
        <v>635</v>
      </c>
      <c r="B17493" s="528" t="s">
        <v>31468</v>
      </c>
      <c r="C17493" s="532" t="s">
        <v>31469</v>
      </c>
      <c r="D17493" s="533">
        <v>31.61</v>
      </c>
      <c r="E17493" s="533">
        <v>7.66</v>
      </c>
      <c r="F17493" s="533">
        <v>23.8</v>
      </c>
      <c r="G17493" s="533">
        <v>0.15</v>
      </c>
      <c r="H17493" s="534">
        <v>236.39</v>
      </c>
      <c r="I17493" s="534">
        <v>88.14</v>
      </c>
      <c r="J17493" s="534">
        <v>146.52000000000001</v>
      </c>
      <c r="K17493" s="534">
        <v>1.73</v>
      </c>
      <c r="L17493" s="43">
        <v>7.4783296425181902</v>
      </c>
      <c r="M17493" s="43">
        <v>11.5021951219512</v>
      </c>
      <c r="N17493" s="43">
        <v>6.1563025210084037</v>
      </c>
      <c r="O17493" s="43">
        <v>11.5021951219512</v>
      </c>
      <c r="P17493" s="535"/>
      <c r="Q17493" s="535"/>
      <c r="R17493" s="535">
        <v>2</v>
      </c>
    </row>
    <row r="17494" spans="1:18" ht="12.75" customHeight="1">
      <c r="A17494" s="628" t="s">
        <v>31470</v>
      </c>
      <c r="B17494" s="629"/>
      <c r="C17494" s="629"/>
      <c r="D17494" s="629"/>
      <c r="E17494" s="629"/>
      <c r="F17494" s="629"/>
      <c r="G17494" s="629"/>
      <c r="H17494" s="629"/>
      <c r="I17494" s="629"/>
      <c r="J17494" s="629"/>
      <c r="K17494" s="629"/>
      <c r="L17494" s="629"/>
      <c r="M17494" s="629"/>
      <c r="N17494" s="629"/>
      <c r="O17494" s="629"/>
      <c r="P17494" s="629"/>
      <c r="Q17494" s="629"/>
      <c r="R17494" s="629"/>
    </row>
    <row r="17495" spans="1:18" ht="24">
      <c r="A17495" s="531">
        <v>636</v>
      </c>
      <c r="B17495" s="528" t="s">
        <v>31471</v>
      </c>
      <c r="C17495" s="532" t="s">
        <v>31472</v>
      </c>
      <c r="D17495" s="533">
        <v>2654.61</v>
      </c>
      <c r="E17495" s="533">
        <v>207.89</v>
      </c>
      <c r="F17495" s="533">
        <v>1111.47</v>
      </c>
      <c r="G17495" s="533">
        <v>1335.25</v>
      </c>
      <c r="H17495" s="534">
        <v>13955.52</v>
      </c>
      <c r="I17495" s="534">
        <v>2390.71</v>
      </c>
      <c r="J17495" s="534">
        <v>6619.9</v>
      </c>
      <c r="K17495" s="534">
        <v>4944.91</v>
      </c>
      <c r="L17495" s="43">
        <v>5.2570886118864921</v>
      </c>
      <c r="M17495" s="43">
        <v>11.499879744095436</v>
      </c>
      <c r="N17495" s="43">
        <v>5.9559862164520858</v>
      </c>
      <c r="O17495" s="43">
        <v>3.7033589215502714</v>
      </c>
      <c r="P17495" s="535"/>
      <c r="Q17495" s="535"/>
      <c r="R17495" s="535">
        <v>3</v>
      </c>
    </row>
    <row r="17496" spans="1:18" ht="24">
      <c r="A17496" s="531">
        <v>637</v>
      </c>
      <c r="B17496" s="528" t="s">
        <v>31473</v>
      </c>
      <c r="C17496" s="532" t="s">
        <v>31474</v>
      </c>
      <c r="D17496" s="533">
        <v>3418.74</v>
      </c>
      <c r="E17496" s="533">
        <v>345.5</v>
      </c>
      <c r="F17496" s="533">
        <v>1735.24</v>
      </c>
      <c r="G17496" s="533">
        <v>1338</v>
      </c>
      <c r="H17496" s="534">
        <v>19308.62</v>
      </c>
      <c r="I17496" s="534">
        <v>3973.3</v>
      </c>
      <c r="J17496" s="534">
        <v>10358.780000000001</v>
      </c>
      <c r="K17496" s="534">
        <v>4976.54</v>
      </c>
      <c r="L17496" s="43">
        <v>5.6478761181019905</v>
      </c>
      <c r="M17496" s="43">
        <v>11.500144717800289</v>
      </c>
      <c r="N17496" s="43">
        <v>5.9696526128950467</v>
      </c>
      <c r="O17496" s="43">
        <v>3.7193871449925262</v>
      </c>
      <c r="P17496" s="535"/>
      <c r="Q17496" s="535"/>
      <c r="R17496" s="535">
        <v>3</v>
      </c>
    </row>
    <row r="17497" spans="1:18" ht="24">
      <c r="A17497" s="531">
        <v>638</v>
      </c>
      <c r="B17497" s="528" t="s">
        <v>31475</v>
      </c>
      <c r="C17497" s="532" t="s">
        <v>31476</v>
      </c>
      <c r="D17497" s="533">
        <v>6696.47</v>
      </c>
      <c r="E17497" s="533">
        <v>606.1</v>
      </c>
      <c r="F17497" s="533">
        <v>3053.05</v>
      </c>
      <c r="G17497" s="533">
        <v>3037.32</v>
      </c>
      <c r="H17497" s="534">
        <v>36477.769999999997</v>
      </c>
      <c r="I17497" s="534">
        <v>6970.1</v>
      </c>
      <c r="J17497" s="534">
        <v>18238.59</v>
      </c>
      <c r="K17497" s="534">
        <v>11269.08</v>
      </c>
      <c r="L17497" s="43">
        <v>5.4473132859551372</v>
      </c>
      <c r="M17497" s="43">
        <v>11.499917505362152</v>
      </c>
      <c r="N17497" s="43">
        <v>5.9738916820884027</v>
      </c>
      <c r="O17497" s="43">
        <v>3.7102050491881</v>
      </c>
      <c r="P17497" s="535"/>
      <c r="Q17497" s="535"/>
      <c r="R17497" s="535">
        <v>3</v>
      </c>
    </row>
    <row r="17498" spans="1:18" ht="24">
      <c r="A17498" s="531">
        <v>639</v>
      </c>
      <c r="B17498" s="528" t="s">
        <v>31477</v>
      </c>
      <c r="C17498" s="532" t="s">
        <v>31478</v>
      </c>
      <c r="D17498" s="533">
        <v>996.34</v>
      </c>
      <c r="E17498" s="533">
        <v>127.86</v>
      </c>
      <c r="F17498" s="533">
        <v>865.92</v>
      </c>
      <c r="G17498" s="533">
        <v>2.56</v>
      </c>
      <c r="H17498" s="534">
        <v>6608.21</v>
      </c>
      <c r="I17498" s="534">
        <v>1470.34</v>
      </c>
      <c r="J17498" s="534">
        <v>5108.43</v>
      </c>
      <c r="K17498" s="534">
        <v>29.44</v>
      </c>
      <c r="L17498" s="43">
        <v>6.6324848947146551</v>
      </c>
      <c r="M17498" s="43">
        <v>11.499608947286093</v>
      </c>
      <c r="N17498" s="43">
        <v>5.8994248891352559</v>
      </c>
      <c r="O17498" s="43">
        <v>11.5</v>
      </c>
      <c r="P17498" s="535"/>
      <c r="Q17498" s="535"/>
      <c r="R17498" s="535">
        <v>3</v>
      </c>
    </row>
    <row r="17499" spans="1:18" ht="24">
      <c r="A17499" s="531">
        <v>640</v>
      </c>
      <c r="B17499" s="528" t="s">
        <v>31479</v>
      </c>
      <c r="C17499" s="532" t="s">
        <v>31480</v>
      </c>
      <c r="D17499" s="533">
        <v>1538.5</v>
      </c>
      <c r="E17499" s="533">
        <v>207.89</v>
      </c>
      <c r="F17499" s="533">
        <v>1326.45</v>
      </c>
      <c r="G17499" s="533">
        <v>4.16</v>
      </c>
      <c r="H17499" s="534">
        <v>10270.84</v>
      </c>
      <c r="I17499" s="534">
        <v>2390.71</v>
      </c>
      <c r="J17499" s="534">
        <v>7832.29</v>
      </c>
      <c r="K17499" s="534">
        <v>47.84</v>
      </c>
      <c r="L17499" s="43">
        <v>6.6758791030224245</v>
      </c>
      <c r="M17499" s="43">
        <v>11.499879744095436</v>
      </c>
      <c r="N17499" s="43">
        <v>5.9047005164159971</v>
      </c>
      <c r="O17499" s="43">
        <v>11.5</v>
      </c>
      <c r="P17499" s="535"/>
      <c r="Q17499" s="535"/>
      <c r="R17499" s="535">
        <v>3</v>
      </c>
    </row>
    <row r="17500" spans="1:18" ht="24">
      <c r="A17500" s="531">
        <v>641</v>
      </c>
      <c r="B17500" s="528" t="s">
        <v>31481</v>
      </c>
      <c r="C17500" s="532" t="s">
        <v>31482</v>
      </c>
      <c r="D17500" s="533">
        <v>2670.71</v>
      </c>
      <c r="E17500" s="533">
        <v>362.1</v>
      </c>
      <c r="F17500" s="533">
        <v>2301.37</v>
      </c>
      <c r="G17500" s="533">
        <v>7.24</v>
      </c>
      <c r="H17500" s="534">
        <v>17858.990000000002</v>
      </c>
      <c r="I17500" s="534">
        <v>4164.1000000000004</v>
      </c>
      <c r="J17500" s="534">
        <v>13611.63</v>
      </c>
      <c r="K17500" s="534">
        <v>83.26</v>
      </c>
      <c r="L17500" s="43">
        <v>6.6869821133706022</v>
      </c>
      <c r="M17500" s="43">
        <v>11.499861916597625</v>
      </c>
      <c r="N17500" s="43">
        <v>5.914576969370418</v>
      </c>
      <c r="O17500" s="43">
        <v>11.5</v>
      </c>
      <c r="P17500" s="535"/>
      <c r="Q17500" s="535"/>
      <c r="R17500" s="535">
        <v>3</v>
      </c>
    </row>
    <row r="17501" spans="1:18" ht="12.75" customHeight="1">
      <c r="A17501" s="628" t="s">
        <v>31483</v>
      </c>
      <c r="B17501" s="629"/>
      <c r="C17501" s="629"/>
      <c r="D17501" s="629"/>
      <c r="E17501" s="629"/>
      <c r="F17501" s="629"/>
      <c r="G17501" s="629"/>
      <c r="H17501" s="629"/>
      <c r="I17501" s="629"/>
      <c r="J17501" s="629"/>
      <c r="K17501" s="629"/>
      <c r="L17501" s="629"/>
      <c r="M17501" s="629"/>
      <c r="N17501" s="629"/>
      <c r="O17501" s="629"/>
      <c r="P17501" s="629"/>
      <c r="Q17501" s="629"/>
      <c r="R17501" s="629"/>
    </row>
    <row r="17502" spans="1:18" ht="12.75" customHeight="1">
      <c r="A17502" s="628" t="s">
        <v>31484</v>
      </c>
      <c r="B17502" s="629"/>
      <c r="C17502" s="629"/>
      <c r="D17502" s="629"/>
      <c r="E17502" s="629"/>
      <c r="F17502" s="629"/>
      <c r="G17502" s="629"/>
      <c r="H17502" s="629"/>
      <c r="I17502" s="629"/>
      <c r="J17502" s="629"/>
      <c r="K17502" s="629"/>
      <c r="L17502" s="629"/>
      <c r="M17502" s="629"/>
      <c r="N17502" s="629"/>
      <c r="O17502" s="629"/>
      <c r="P17502" s="629"/>
      <c r="Q17502" s="629"/>
      <c r="R17502" s="629"/>
    </row>
    <row r="17503" spans="1:18" ht="24">
      <c r="A17503" s="531">
        <v>642</v>
      </c>
      <c r="B17503" s="528" t="s">
        <v>31485</v>
      </c>
      <c r="C17503" s="532" t="s">
        <v>31486</v>
      </c>
      <c r="D17503" s="533">
        <v>4462.1899999999996</v>
      </c>
      <c r="E17503" s="533">
        <v>202.14</v>
      </c>
      <c r="F17503" s="533">
        <v>839.58</v>
      </c>
      <c r="G17503" s="533">
        <v>3420.47</v>
      </c>
      <c r="H17503" s="534">
        <v>23901.05</v>
      </c>
      <c r="I17503" s="534">
        <v>2324.6799999999998</v>
      </c>
      <c r="J17503" s="534">
        <v>4924.18</v>
      </c>
      <c r="K17503" s="534">
        <v>16652.189999999999</v>
      </c>
      <c r="L17503" s="43">
        <v>5.3563496847960312</v>
      </c>
      <c r="M17503" s="43">
        <v>11.500346294647274</v>
      </c>
      <c r="N17503" s="43">
        <v>5.8650515734057507</v>
      </c>
      <c r="O17503" s="43">
        <v>4.8683923554365336</v>
      </c>
      <c r="P17503" s="535"/>
      <c r="Q17503" s="535"/>
      <c r="R17503" s="535">
        <v>1</v>
      </c>
    </row>
    <row r="17504" spans="1:18" ht="24">
      <c r="A17504" s="531">
        <v>643</v>
      </c>
      <c r="B17504" s="528" t="s">
        <v>31487</v>
      </c>
      <c r="C17504" s="532" t="s">
        <v>31488</v>
      </c>
      <c r="D17504" s="533">
        <v>926.25</v>
      </c>
      <c r="E17504" s="533">
        <v>86.17</v>
      </c>
      <c r="F17504" s="533">
        <v>838.36</v>
      </c>
      <c r="G17504" s="533">
        <v>1.72</v>
      </c>
      <c r="H17504" s="534">
        <v>5928.81</v>
      </c>
      <c r="I17504" s="534">
        <v>990.99</v>
      </c>
      <c r="J17504" s="534">
        <v>4918.04</v>
      </c>
      <c r="K17504" s="534">
        <v>19.78</v>
      </c>
      <c r="L17504" s="43">
        <v>6.4008744939271258</v>
      </c>
      <c r="M17504" s="43">
        <v>11.500406173842405</v>
      </c>
      <c r="N17504" s="43">
        <v>5.8662627033732528</v>
      </c>
      <c r="O17504" s="43">
        <v>11.5</v>
      </c>
      <c r="P17504" s="535"/>
      <c r="Q17504" s="535"/>
      <c r="R17504" s="535">
        <v>1</v>
      </c>
    </row>
    <row r="17505" spans="1:18" ht="24">
      <c r="A17505" s="531">
        <v>644</v>
      </c>
      <c r="B17505" s="528" t="s">
        <v>31489</v>
      </c>
      <c r="C17505" s="532" t="s">
        <v>31490</v>
      </c>
      <c r="D17505" s="533">
        <v>8565.0400000000009</v>
      </c>
      <c r="E17505" s="533">
        <v>336.9</v>
      </c>
      <c r="F17505" s="533">
        <v>1736.64</v>
      </c>
      <c r="G17505" s="533">
        <v>6491.5</v>
      </c>
      <c r="H17505" s="534">
        <v>45168.44</v>
      </c>
      <c r="I17505" s="534">
        <v>3874.47</v>
      </c>
      <c r="J17505" s="534">
        <v>10238.290000000001</v>
      </c>
      <c r="K17505" s="534">
        <v>31055.68</v>
      </c>
      <c r="L17505" s="43">
        <v>5.2735819097167083</v>
      </c>
      <c r="M17505" s="43">
        <v>11.500356188780053</v>
      </c>
      <c r="N17505" s="43">
        <v>5.8954590473558133</v>
      </c>
      <c r="O17505" s="43">
        <v>4.7840529923746438</v>
      </c>
      <c r="P17505" s="535"/>
      <c r="Q17505" s="535"/>
      <c r="R17505" s="535">
        <v>1</v>
      </c>
    </row>
    <row r="17506" spans="1:18" ht="24">
      <c r="A17506" s="531">
        <v>645</v>
      </c>
      <c r="B17506" s="528" t="s">
        <v>31491</v>
      </c>
      <c r="C17506" s="532" t="s">
        <v>31492</v>
      </c>
      <c r="D17506" s="533">
        <v>1882.29</v>
      </c>
      <c r="E17506" s="533">
        <v>145.19999999999999</v>
      </c>
      <c r="F17506" s="533">
        <v>1734.19</v>
      </c>
      <c r="G17506" s="533">
        <v>2.9</v>
      </c>
      <c r="H17506" s="534">
        <v>11929.21</v>
      </c>
      <c r="I17506" s="534">
        <v>1669.84</v>
      </c>
      <c r="J17506" s="534">
        <v>10226.02</v>
      </c>
      <c r="K17506" s="534">
        <v>33.35</v>
      </c>
      <c r="L17506" s="43">
        <v>6.3376047261580304</v>
      </c>
      <c r="M17506" s="43">
        <v>11.500275482093665</v>
      </c>
      <c r="N17506" s="43">
        <v>5.8967125862794738</v>
      </c>
      <c r="O17506" s="43">
        <v>11.5</v>
      </c>
      <c r="P17506" s="535"/>
      <c r="Q17506" s="535"/>
      <c r="R17506" s="535">
        <v>1</v>
      </c>
    </row>
    <row r="17507" spans="1:18" ht="12.75" customHeight="1">
      <c r="A17507" s="628" t="s">
        <v>31493</v>
      </c>
      <c r="B17507" s="629"/>
      <c r="C17507" s="629"/>
      <c r="D17507" s="629"/>
      <c r="E17507" s="629"/>
      <c r="F17507" s="629"/>
      <c r="G17507" s="629"/>
      <c r="H17507" s="629"/>
      <c r="I17507" s="629"/>
      <c r="J17507" s="629"/>
      <c r="K17507" s="629"/>
      <c r="L17507" s="629"/>
      <c r="M17507" s="629"/>
      <c r="N17507" s="629"/>
      <c r="O17507" s="629"/>
      <c r="P17507" s="629"/>
      <c r="Q17507" s="629"/>
      <c r="R17507" s="629"/>
    </row>
    <row r="17508" spans="1:18" ht="24">
      <c r="A17508" s="531">
        <v>646</v>
      </c>
      <c r="B17508" s="528" t="s">
        <v>31494</v>
      </c>
      <c r="C17508" s="532" t="s">
        <v>31495</v>
      </c>
      <c r="D17508" s="533">
        <v>131.56</v>
      </c>
      <c r="E17508" s="533">
        <v>38.43</v>
      </c>
      <c r="F17508" s="533">
        <v>92.36</v>
      </c>
      <c r="G17508" s="533">
        <v>0.77</v>
      </c>
      <c r="H17508" s="534">
        <v>1027.69</v>
      </c>
      <c r="I17508" s="534">
        <v>442.02</v>
      </c>
      <c r="J17508" s="534">
        <v>576.80999999999995</v>
      </c>
      <c r="K17508" s="534">
        <v>8.86</v>
      </c>
      <c r="L17508" s="43">
        <v>7.8115688659166924</v>
      </c>
      <c r="M17508" s="43">
        <v>11.501951600312255</v>
      </c>
      <c r="N17508" s="43">
        <v>6.245236032914681</v>
      </c>
      <c r="O17508" s="43">
        <v>11.503164556962025</v>
      </c>
      <c r="P17508" s="535"/>
      <c r="Q17508" s="535"/>
      <c r="R17508" s="535">
        <v>2</v>
      </c>
    </row>
    <row r="17509" spans="1:18" ht="24">
      <c r="A17509" s="531">
        <v>647</v>
      </c>
      <c r="B17509" s="528" t="s">
        <v>31496</v>
      </c>
      <c r="C17509" s="532" t="s">
        <v>31497</v>
      </c>
      <c r="D17509" s="533">
        <v>37.869999999999997</v>
      </c>
      <c r="E17509" s="533">
        <v>9.02</v>
      </c>
      <c r="F17509" s="533">
        <v>28.67</v>
      </c>
      <c r="G17509" s="533">
        <v>0.18</v>
      </c>
      <c r="H17509" s="534">
        <v>285.04000000000002</v>
      </c>
      <c r="I17509" s="534">
        <v>103.68</v>
      </c>
      <c r="J17509" s="534">
        <v>179.29</v>
      </c>
      <c r="K17509" s="534">
        <v>2.0699999999999998</v>
      </c>
      <c r="L17509" s="43">
        <v>7.5268022181146037</v>
      </c>
      <c r="M17509" s="43">
        <v>11.5</v>
      </c>
      <c r="N17509" s="43">
        <v>6.2535751656784084</v>
      </c>
      <c r="O17509" s="43">
        <v>11.5</v>
      </c>
      <c r="P17509" s="535"/>
      <c r="Q17509" s="535"/>
      <c r="R17509" s="535">
        <v>2</v>
      </c>
    </row>
    <row r="17510" spans="1:18" ht="24">
      <c r="A17510" s="531">
        <v>648</v>
      </c>
      <c r="B17510" s="528" t="s">
        <v>31498</v>
      </c>
      <c r="C17510" s="532" t="s">
        <v>31499</v>
      </c>
      <c r="D17510" s="533">
        <v>270.62</v>
      </c>
      <c r="E17510" s="533">
        <v>49.82</v>
      </c>
      <c r="F17510" s="533">
        <v>219.8</v>
      </c>
      <c r="G17510" s="533">
        <v>1</v>
      </c>
      <c r="H17510" s="534">
        <v>1954.02</v>
      </c>
      <c r="I17510" s="534">
        <v>572.99</v>
      </c>
      <c r="J17510" s="534">
        <v>1369.53</v>
      </c>
      <c r="K17510" s="534">
        <v>11.5</v>
      </c>
      <c r="L17510" s="43">
        <v>7.2205306333604318</v>
      </c>
      <c r="M17510" s="43">
        <v>11.50120433560819</v>
      </c>
      <c r="N17510" s="43">
        <v>6.2308007279344855</v>
      </c>
      <c r="O17510" s="43">
        <v>11.5</v>
      </c>
      <c r="P17510" s="535"/>
      <c r="Q17510" s="535"/>
      <c r="R17510" s="535">
        <v>2</v>
      </c>
    </row>
    <row r="17511" spans="1:18" ht="24">
      <c r="A17511" s="531">
        <v>649</v>
      </c>
      <c r="B17511" s="528" t="s">
        <v>31500</v>
      </c>
      <c r="C17511" s="532" t="s">
        <v>31501</v>
      </c>
      <c r="D17511" s="533">
        <v>73.98</v>
      </c>
      <c r="E17511" s="533">
        <v>11.39</v>
      </c>
      <c r="F17511" s="533">
        <v>62.36</v>
      </c>
      <c r="G17511" s="533">
        <v>0.23</v>
      </c>
      <c r="H17511" s="534">
        <v>523.04999999999995</v>
      </c>
      <c r="I17511" s="534">
        <v>130.97</v>
      </c>
      <c r="J17511" s="534">
        <v>389.43</v>
      </c>
      <c r="K17511" s="534">
        <v>2.65</v>
      </c>
      <c r="L17511" s="43">
        <v>7.0701540957015396</v>
      </c>
      <c r="M17511" s="43">
        <v>11.498683055311677</v>
      </c>
      <c r="N17511" s="43">
        <v>6.2448685054522128</v>
      </c>
      <c r="O17511" s="43">
        <v>11.503164556962025</v>
      </c>
      <c r="P17511" s="535"/>
      <c r="Q17511" s="535"/>
      <c r="R17511" s="535">
        <v>2</v>
      </c>
    </row>
    <row r="17512" spans="1:18" ht="12.75">
      <c r="A17512" s="632" t="s">
        <v>18</v>
      </c>
      <c r="B17512" s="632"/>
      <c r="C17512" s="632"/>
      <c r="D17512" s="529">
        <v>2422926.63</v>
      </c>
      <c r="E17512" s="529">
        <v>257402.66</v>
      </c>
      <c r="F17512" s="529">
        <v>1695608.77</v>
      </c>
      <c r="G17512" s="529">
        <v>469915.2</v>
      </c>
      <c r="H17512" s="530">
        <v>14356987.439999999</v>
      </c>
      <c r="I17512" s="530">
        <v>2960199.79</v>
      </c>
      <c r="J17512" s="530">
        <v>8809607.5099999998</v>
      </c>
      <c r="K17512" s="530">
        <v>2587180.14</v>
      </c>
      <c r="L17512" s="612">
        <v>5.9254734593428449</v>
      </c>
      <c r="M17512" s="612">
        <v>11.500268839490625</v>
      </c>
      <c r="N17512" s="612">
        <v>5.1955425484146325</v>
      </c>
      <c r="O17512" s="612">
        <v>5.5056319523182058</v>
      </c>
      <c r="P17512" s="527"/>
      <c r="Q17512" s="527"/>
      <c r="R17512" s="527"/>
    </row>
    <row r="17513" spans="1:18" ht="18">
      <c r="A17513" s="616" t="s">
        <v>31502</v>
      </c>
      <c r="B17513" s="626"/>
      <c r="C17513" s="626"/>
      <c r="D17513" s="626"/>
      <c r="E17513" s="626"/>
      <c r="F17513" s="626"/>
      <c r="G17513" s="626"/>
      <c r="H17513" s="626"/>
      <c r="I17513" s="626"/>
      <c r="J17513" s="626"/>
      <c r="K17513" s="626"/>
      <c r="L17513" s="626"/>
      <c r="M17513" s="626"/>
      <c r="N17513" s="626"/>
      <c r="O17513" s="626"/>
      <c r="P17513" s="626"/>
      <c r="Q17513" s="626"/>
      <c r="R17513" s="627"/>
    </row>
    <row r="17514" spans="1:18" ht="12.75" customHeight="1">
      <c r="A17514" s="630" t="s">
        <v>31503</v>
      </c>
      <c r="B17514" s="631"/>
      <c r="C17514" s="631"/>
      <c r="D17514" s="631"/>
      <c r="E17514" s="631"/>
      <c r="F17514" s="631"/>
      <c r="G17514" s="631"/>
      <c r="H17514" s="631"/>
      <c r="I17514" s="631"/>
      <c r="J17514" s="631"/>
      <c r="K17514" s="631"/>
      <c r="L17514" s="631"/>
      <c r="M17514" s="631"/>
      <c r="N17514" s="631"/>
      <c r="O17514" s="631"/>
      <c r="P17514" s="631"/>
      <c r="Q17514" s="631"/>
      <c r="R17514" s="631"/>
    </row>
    <row r="17515" spans="1:18" ht="12.75" customHeight="1">
      <c r="A17515" s="628" t="s">
        <v>31504</v>
      </c>
      <c r="B17515" s="629"/>
      <c r="C17515" s="629"/>
      <c r="D17515" s="629"/>
      <c r="E17515" s="629"/>
      <c r="F17515" s="629"/>
      <c r="G17515" s="629"/>
      <c r="H17515" s="629"/>
      <c r="I17515" s="629"/>
      <c r="J17515" s="629"/>
      <c r="K17515" s="629"/>
      <c r="L17515" s="629"/>
      <c r="M17515" s="629"/>
      <c r="N17515" s="629"/>
      <c r="O17515" s="629"/>
      <c r="P17515" s="629"/>
      <c r="Q17515" s="629"/>
      <c r="R17515" s="629"/>
    </row>
    <row r="17516" spans="1:18" ht="48">
      <c r="A17516" s="546">
        <v>1</v>
      </c>
      <c r="B17516" s="543" t="s">
        <v>31505</v>
      </c>
      <c r="C17516" s="547" t="s">
        <v>31506</v>
      </c>
      <c r="D17516" s="548">
        <v>10405.6</v>
      </c>
      <c r="E17516" s="548">
        <v>1054.78</v>
      </c>
      <c r="F17516" s="548">
        <v>1896.14</v>
      </c>
      <c r="G17516" s="548">
        <v>7454.68</v>
      </c>
      <c r="H17516" s="549">
        <v>55111.42</v>
      </c>
      <c r="I17516" s="549">
        <v>12130.45</v>
      </c>
      <c r="J17516" s="549">
        <v>10110.81</v>
      </c>
      <c r="K17516" s="549">
        <v>32870.160000000003</v>
      </c>
      <c r="L17516" s="43">
        <v>5.2963231336972392</v>
      </c>
      <c r="M17516" s="43">
        <v>11.500455071199683</v>
      </c>
      <c r="N17516" s="43">
        <v>5.3323119600873348</v>
      </c>
      <c r="O17516" s="43">
        <v>4.409332124249465</v>
      </c>
      <c r="P17516" s="550"/>
      <c r="Q17516" s="550"/>
      <c r="R17516" s="550">
        <v>1</v>
      </c>
    </row>
    <row r="17517" spans="1:18" ht="48">
      <c r="A17517" s="546">
        <v>2</v>
      </c>
      <c r="B17517" s="543" t="s">
        <v>31507</v>
      </c>
      <c r="C17517" s="547" t="s">
        <v>31508</v>
      </c>
      <c r="D17517" s="548">
        <v>9650.35</v>
      </c>
      <c r="E17517" s="548">
        <v>996.18</v>
      </c>
      <c r="F17517" s="548">
        <v>1200.67</v>
      </c>
      <c r="G17517" s="548">
        <v>7453.5</v>
      </c>
      <c r="H17517" s="549">
        <v>50617.56</v>
      </c>
      <c r="I17517" s="549">
        <v>11456.54</v>
      </c>
      <c r="J17517" s="549">
        <v>6304.43</v>
      </c>
      <c r="K17517" s="549">
        <v>32856.589999999997</v>
      </c>
      <c r="L17517" s="43">
        <v>5.245152766479972</v>
      </c>
      <c r="M17517" s="43">
        <v>11.500471802284729</v>
      </c>
      <c r="N17517" s="43">
        <v>5.2507599923376116</v>
      </c>
      <c r="O17517" s="43">
        <v>4.4082095659757154</v>
      </c>
      <c r="P17517" s="550"/>
      <c r="Q17517" s="550"/>
      <c r="R17517" s="550">
        <v>1</v>
      </c>
    </row>
    <row r="17518" spans="1:18" ht="60">
      <c r="A17518" s="546">
        <v>3</v>
      </c>
      <c r="B17518" s="543" t="s">
        <v>31509</v>
      </c>
      <c r="C17518" s="547" t="s">
        <v>31510</v>
      </c>
      <c r="D17518" s="548">
        <v>9910.7800000000007</v>
      </c>
      <c r="E17518" s="548">
        <v>1390.29</v>
      </c>
      <c r="F17518" s="548">
        <v>1059.0999999999999</v>
      </c>
      <c r="G17518" s="548">
        <v>7461.39</v>
      </c>
      <c r="H17518" s="549">
        <v>54367.4</v>
      </c>
      <c r="I17518" s="549">
        <v>15988.94</v>
      </c>
      <c r="J17518" s="549">
        <v>5431.13</v>
      </c>
      <c r="K17518" s="549">
        <v>32947.33</v>
      </c>
      <c r="L17518" s="43">
        <v>5.4856832661001453</v>
      </c>
      <c r="M17518" s="43">
        <v>11.500435161009575</v>
      </c>
      <c r="N17518" s="43">
        <v>5.1280615617033334</v>
      </c>
      <c r="O17518" s="43">
        <v>4.4157094053520858</v>
      </c>
      <c r="P17518" s="550"/>
      <c r="Q17518" s="550"/>
      <c r="R17518" s="550">
        <v>1</v>
      </c>
    </row>
    <row r="17519" spans="1:18" ht="60">
      <c r="A17519" s="546">
        <v>4</v>
      </c>
      <c r="B17519" s="543" t="s">
        <v>31511</v>
      </c>
      <c r="C17519" s="547" t="s">
        <v>31512</v>
      </c>
      <c r="D17519" s="548">
        <v>9570.11</v>
      </c>
      <c r="E17519" s="548">
        <v>1447.74</v>
      </c>
      <c r="F17519" s="548">
        <v>659.84</v>
      </c>
      <c r="G17519" s="548">
        <v>7462.53</v>
      </c>
      <c r="H17519" s="549">
        <v>53059.11</v>
      </c>
      <c r="I17519" s="549">
        <v>16649.64</v>
      </c>
      <c r="J17519" s="549">
        <v>3449.03</v>
      </c>
      <c r="K17519" s="549">
        <v>32960.44</v>
      </c>
      <c r="L17519" s="43">
        <v>5.5442528873753796</v>
      </c>
      <c r="M17519" s="43">
        <v>11.500435161009573</v>
      </c>
      <c r="N17519" s="43">
        <v>5.2270701988360813</v>
      </c>
      <c r="O17519" s="43">
        <v>4.4167916242882779</v>
      </c>
      <c r="P17519" s="550"/>
      <c r="Q17519" s="550"/>
      <c r="R17519" s="550">
        <v>1</v>
      </c>
    </row>
    <row r="17520" spans="1:18" ht="12.75" customHeight="1">
      <c r="A17520" s="628" t="s">
        <v>31513</v>
      </c>
      <c r="B17520" s="629"/>
      <c r="C17520" s="629"/>
      <c r="D17520" s="629"/>
      <c r="E17520" s="629"/>
      <c r="F17520" s="629"/>
      <c r="G17520" s="629"/>
      <c r="H17520" s="629"/>
      <c r="I17520" s="629"/>
      <c r="J17520" s="629"/>
      <c r="K17520" s="629"/>
      <c r="L17520" s="629"/>
      <c r="M17520" s="629"/>
      <c r="N17520" s="629"/>
      <c r="O17520" s="629"/>
      <c r="P17520" s="629"/>
      <c r="Q17520" s="629"/>
      <c r="R17520" s="629"/>
    </row>
    <row r="17521" spans="1:18" ht="36">
      <c r="A17521" s="546">
        <v>5</v>
      </c>
      <c r="B17521" s="543" t="s">
        <v>31514</v>
      </c>
      <c r="C17521" s="547" t="s">
        <v>31515</v>
      </c>
      <c r="D17521" s="548">
        <v>6268.96</v>
      </c>
      <c r="E17521" s="548">
        <v>267.72000000000003</v>
      </c>
      <c r="F17521" s="548">
        <v>292.69</v>
      </c>
      <c r="G17521" s="548">
        <v>5708.55</v>
      </c>
      <c r="H17521" s="549">
        <v>39438.03</v>
      </c>
      <c r="I17521" s="549">
        <v>3078.86</v>
      </c>
      <c r="J17521" s="549">
        <v>1565.41</v>
      </c>
      <c r="K17521" s="549">
        <v>34793.760000000002</v>
      </c>
      <c r="L17521" s="43">
        <v>6.291000421122483</v>
      </c>
      <c r="M17521" s="43">
        <v>11.500298819662333</v>
      </c>
      <c r="N17521" s="43">
        <v>5.3483549147562268</v>
      </c>
      <c r="O17521" s="43">
        <v>6.0950258822292875</v>
      </c>
      <c r="P17521" s="550"/>
      <c r="Q17521" s="550"/>
      <c r="R17521" s="550">
        <v>2</v>
      </c>
    </row>
    <row r="17522" spans="1:18" ht="36">
      <c r="A17522" s="546">
        <v>6</v>
      </c>
      <c r="B17522" s="543" t="s">
        <v>31516</v>
      </c>
      <c r="C17522" s="547" t="s">
        <v>31517</v>
      </c>
      <c r="D17522" s="548">
        <v>6224.93</v>
      </c>
      <c r="E17522" s="548">
        <v>264.27</v>
      </c>
      <c r="F17522" s="548">
        <v>252.17</v>
      </c>
      <c r="G17522" s="548">
        <v>5708.49</v>
      </c>
      <c r="H17522" s="549">
        <v>39175.83</v>
      </c>
      <c r="I17522" s="549">
        <v>3039.22</v>
      </c>
      <c r="J17522" s="549">
        <v>1343.54</v>
      </c>
      <c r="K17522" s="549">
        <v>34793.07</v>
      </c>
      <c r="L17522" s="43">
        <v>6.2933767929920501</v>
      </c>
      <c r="M17522" s="43">
        <v>11.500435161009573</v>
      </c>
      <c r="N17522" s="43">
        <v>5.3279137090058297</v>
      </c>
      <c r="O17522" s="43">
        <v>6.0949690723816632</v>
      </c>
      <c r="P17522" s="550"/>
      <c r="Q17522" s="550"/>
      <c r="R17522" s="550">
        <v>2</v>
      </c>
    </row>
    <row r="17523" spans="1:18" ht="48">
      <c r="A17523" s="546">
        <v>7</v>
      </c>
      <c r="B17523" s="543" t="s">
        <v>31518</v>
      </c>
      <c r="C17523" s="547" t="s">
        <v>31519</v>
      </c>
      <c r="D17523" s="548">
        <v>6316.36</v>
      </c>
      <c r="E17523" s="548">
        <v>319.42</v>
      </c>
      <c r="F17523" s="548">
        <v>287.35000000000002</v>
      </c>
      <c r="G17523" s="548">
        <v>5709.59</v>
      </c>
      <c r="H17523" s="549">
        <v>39986.86</v>
      </c>
      <c r="I17523" s="549">
        <v>3673.49</v>
      </c>
      <c r="J17523" s="549">
        <v>1507.65</v>
      </c>
      <c r="K17523" s="549">
        <v>34805.72</v>
      </c>
      <c r="L17523" s="43">
        <v>6.330680961819783</v>
      </c>
      <c r="M17523" s="43">
        <v>11.50050090789556</v>
      </c>
      <c r="N17523" s="43">
        <v>5.2467374282234207</v>
      </c>
      <c r="O17523" s="43">
        <v>6.0960103965433596</v>
      </c>
      <c r="P17523" s="550"/>
      <c r="Q17523" s="550"/>
      <c r="R17523" s="550">
        <v>2</v>
      </c>
    </row>
    <row r="17524" spans="1:18" ht="60">
      <c r="A17524" s="546">
        <v>8</v>
      </c>
      <c r="B17524" s="543" t="s">
        <v>31520</v>
      </c>
      <c r="C17524" s="547" t="s">
        <v>31521</v>
      </c>
      <c r="D17524" s="548">
        <v>6296.61</v>
      </c>
      <c r="E17524" s="548">
        <v>356.19</v>
      </c>
      <c r="F17524" s="548">
        <v>230.1</v>
      </c>
      <c r="G17524" s="548">
        <v>5710.32</v>
      </c>
      <c r="H17524" s="549">
        <v>40126.75</v>
      </c>
      <c r="I17524" s="549">
        <v>4096.34</v>
      </c>
      <c r="J17524" s="549">
        <v>1216.3</v>
      </c>
      <c r="K17524" s="549">
        <v>34814.11</v>
      </c>
      <c r="L17524" s="43">
        <v>6.3727545456999879</v>
      </c>
      <c r="M17524" s="43">
        <v>11.500435161009573</v>
      </c>
      <c r="N17524" s="43">
        <v>5.2859626249456761</v>
      </c>
      <c r="O17524" s="43">
        <v>6.0967003600498746</v>
      </c>
      <c r="P17524" s="550"/>
      <c r="Q17524" s="550"/>
      <c r="R17524" s="550">
        <v>2</v>
      </c>
    </row>
    <row r="17525" spans="1:18" ht="12.75" customHeight="1">
      <c r="A17525" s="628" t="s">
        <v>31522</v>
      </c>
      <c r="B17525" s="629"/>
      <c r="C17525" s="629"/>
      <c r="D17525" s="629"/>
      <c r="E17525" s="629"/>
      <c r="F17525" s="629"/>
      <c r="G17525" s="629"/>
      <c r="H17525" s="629"/>
      <c r="I17525" s="629"/>
      <c r="J17525" s="629"/>
      <c r="K17525" s="629"/>
      <c r="L17525" s="629"/>
      <c r="M17525" s="629"/>
      <c r="N17525" s="629"/>
      <c r="O17525" s="629"/>
      <c r="P17525" s="629"/>
      <c r="Q17525" s="629"/>
      <c r="R17525" s="629"/>
    </row>
    <row r="17526" spans="1:18" ht="36">
      <c r="A17526" s="546">
        <v>9</v>
      </c>
      <c r="B17526" s="543" t="s">
        <v>31523</v>
      </c>
      <c r="C17526" s="547" t="s">
        <v>31524</v>
      </c>
      <c r="D17526" s="548">
        <v>9347.41</v>
      </c>
      <c r="E17526" s="548">
        <v>1045.5899999999999</v>
      </c>
      <c r="F17526" s="548">
        <v>1237.24</v>
      </c>
      <c r="G17526" s="548">
        <v>7064.58</v>
      </c>
      <c r="H17526" s="549">
        <v>67468.95</v>
      </c>
      <c r="I17526" s="549">
        <v>12024.74</v>
      </c>
      <c r="J17526" s="549">
        <v>6691.53</v>
      </c>
      <c r="K17526" s="549">
        <v>48752.68</v>
      </c>
      <c r="L17526" s="43">
        <v>7.217929886460527</v>
      </c>
      <c r="M17526" s="43">
        <v>11.500435161009575</v>
      </c>
      <c r="N17526" s="43">
        <v>5.4084332869936311</v>
      </c>
      <c r="O17526" s="43">
        <v>6.9010018996175289</v>
      </c>
      <c r="P17526" s="550"/>
      <c r="Q17526" s="550"/>
      <c r="R17526" s="550">
        <v>3</v>
      </c>
    </row>
    <row r="17527" spans="1:18" ht="24">
      <c r="A17527" s="546">
        <v>10</v>
      </c>
      <c r="B17527" s="543" t="s">
        <v>31525</v>
      </c>
      <c r="C17527" s="547" t="s">
        <v>31526</v>
      </c>
      <c r="D17527" s="548">
        <v>8858.67</v>
      </c>
      <c r="E17527" s="548">
        <v>1007.67</v>
      </c>
      <c r="F17527" s="548">
        <v>787.18</v>
      </c>
      <c r="G17527" s="548">
        <v>7063.82</v>
      </c>
      <c r="H17527" s="549">
        <v>64560.92</v>
      </c>
      <c r="I17527" s="549">
        <v>11588.68</v>
      </c>
      <c r="J17527" s="549">
        <v>4228.3</v>
      </c>
      <c r="K17527" s="549">
        <v>48743.94</v>
      </c>
      <c r="L17527" s="43">
        <v>7.287879557540804</v>
      </c>
      <c r="M17527" s="43">
        <v>11.500471384481031</v>
      </c>
      <c r="N17527" s="43">
        <v>5.3714525267410256</v>
      </c>
      <c r="O17527" s="43">
        <v>6.9005070910640427</v>
      </c>
      <c r="P17527" s="550"/>
      <c r="Q17527" s="550"/>
      <c r="R17527" s="550">
        <v>3</v>
      </c>
    </row>
    <row r="17528" spans="1:18" ht="36">
      <c r="A17528" s="546">
        <v>11</v>
      </c>
      <c r="B17528" s="543" t="s">
        <v>31527</v>
      </c>
      <c r="C17528" s="547" t="s">
        <v>31528</v>
      </c>
      <c r="D17528" s="548">
        <v>8903.8700000000008</v>
      </c>
      <c r="E17528" s="548">
        <v>1332.84</v>
      </c>
      <c r="F17528" s="548">
        <v>500.7</v>
      </c>
      <c r="G17528" s="548">
        <v>7070.33</v>
      </c>
      <c r="H17528" s="549">
        <v>66786.62</v>
      </c>
      <c r="I17528" s="549">
        <v>15328.24</v>
      </c>
      <c r="J17528" s="549">
        <v>2639.58</v>
      </c>
      <c r="K17528" s="549">
        <v>48818.8</v>
      </c>
      <c r="L17528" s="43">
        <v>7.5008529998753337</v>
      </c>
      <c r="M17528" s="43">
        <v>11.500435161009575</v>
      </c>
      <c r="N17528" s="43">
        <v>5.2717795086878372</v>
      </c>
      <c r="O17528" s="43">
        <v>6.9047413628501078</v>
      </c>
      <c r="P17528" s="550"/>
      <c r="Q17528" s="550"/>
      <c r="R17528" s="550">
        <v>3</v>
      </c>
    </row>
    <row r="17529" spans="1:18" ht="48">
      <c r="A17529" s="546">
        <v>12</v>
      </c>
      <c r="B17529" s="543" t="s">
        <v>31529</v>
      </c>
      <c r="C17529" s="547" t="s">
        <v>31530</v>
      </c>
      <c r="D17529" s="548">
        <v>8890.0300000000007</v>
      </c>
      <c r="E17529" s="548">
        <v>1378.8</v>
      </c>
      <c r="F17529" s="548">
        <v>439.98</v>
      </c>
      <c r="G17529" s="548">
        <v>7071.25</v>
      </c>
      <c r="H17529" s="549">
        <v>67077.3</v>
      </c>
      <c r="I17529" s="549">
        <v>15856.8</v>
      </c>
      <c r="J17529" s="549">
        <v>2391.12</v>
      </c>
      <c r="K17529" s="549">
        <v>48829.38</v>
      </c>
      <c r="L17529" s="43">
        <v>7.5452276314028186</v>
      </c>
      <c r="M17529" s="43">
        <v>11.500435161009573</v>
      </c>
      <c r="N17529" s="43">
        <v>5.4346106641210961</v>
      </c>
      <c r="O17529" s="43">
        <v>6.9053392257380235</v>
      </c>
      <c r="P17529" s="550"/>
      <c r="Q17529" s="550"/>
      <c r="R17529" s="550">
        <v>3</v>
      </c>
    </row>
    <row r="17530" spans="1:18" ht="12.75" customHeight="1">
      <c r="A17530" s="628" t="s">
        <v>31531</v>
      </c>
      <c r="B17530" s="629"/>
      <c r="C17530" s="629"/>
      <c r="D17530" s="629"/>
      <c r="E17530" s="629"/>
      <c r="F17530" s="629"/>
      <c r="G17530" s="629"/>
      <c r="H17530" s="629"/>
      <c r="I17530" s="629"/>
      <c r="J17530" s="629"/>
      <c r="K17530" s="629"/>
      <c r="L17530" s="629"/>
      <c r="M17530" s="629"/>
      <c r="N17530" s="629"/>
      <c r="O17530" s="629"/>
      <c r="P17530" s="629"/>
      <c r="Q17530" s="629"/>
      <c r="R17530" s="629"/>
    </row>
    <row r="17531" spans="1:18" ht="36">
      <c r="A17531" s="546">
        <v>13</v>
      </c>
      <c r="B17531" s="543" t="s">
        <v>31532</v>
      </c>
      <c r="C17531" s="547" t="s">
        <v>31533</v>
      </c>
      <c r="D17531" s="548">
        <v>8861.6</v>
      </c>
      <c r="E17531" s="548">
        <v>1067.8</v>
      </c>
      <c r="F17531" s="548">
        <v>1076.73</v>
      </c>
      <c r="G17531" s="548">
        <v>6717.07</v>
      </c>
      <c r="H17531" s="549">
        <v>58964.83</v>
      </c>
      <c r="I17531" s="549">
        <v>12279.7</v>
      </c>
      <c r="J17531" s="549">
        <v>5860.84</v>
      </c>
      <c r="K17531" s="549">
        <v>40824.29</v>
      </c>
      <c r="L17531" s="43">
        <v>6.6539710661731517</v>
      </c>
      <c r="M17531" s="43">
        <v>11.500000000000002</v>
      </c>
      <c r="N17531" s="43">
        <v>5.4431844566418697</v>
      </c>
      <c r="O17531" s="43">
        <v>6.0776931013075641</v>
      </c>
      <c r="P17531" s="550"/>
      <c r="Q17531" s="550"/>
      <c r="R17531" s="550">
        <v>4</v>
      </c>
    </row>
    <row r="17532" spans="1:18" ht="36">
      <c r="A17532" s="546">
        <v>14</v>
      </c>
      <c r="B17532" s="543" t="s">
        <v>31534</v>
      </c>
      <c r="C17532" s="547" t="s">
        <v>31535</v>
      </c>
      <c r="D17532" s="548">
        <v>11344.61</v>
      </c>
      <c r="E17532" s="548">
        <v>1378.8</v>
      </c>
      <c r="F17532" s="548">
        <v>830.9</v>
      </c>
      <c r="G17532" s="548">
        <v>9134.91</v>
      </c>
      <c r="H17532" s="549">
        <v>73423.039999999994</v>
      </c>
      <c r="I17532" s="549">
        <v>15856.8</v>
      </c>
      <c r="J17532" s="549">
        <v>4590.8999999999996</v>
      </c>
      <c r="K17532" s="549">
        <v>52975.34</v>
      </c>
      <c r="L17532" s="43">
        <v>6.4720638259049883</v>
      </c>
      <c r="M17532" s="43">
        <v>11.500435161009573</v>
      </c>
      <c r="N17532" s="43">
        <v>5.5252136237814415</v>
      </c>
      <c r="O17532" s="43">
        <v>5.7992186020442453</v>
      </c>
      <c r="P17532" s="550"/>
      <c r="Q17532" s="550"/>
      <c r="R17532" s="550">
        <v>4</v>
      </c>
    </row>
    <row r="17533" spans="1:18" ht="36">
      <c r="A17533" s="546">
        <v>15</v>
      </c>
      <c r="B17533" s="543" t="s">
        <v>31536</v>
      </c>
      <c r="C17533" s="547" t="s">
        <v>31537</v>
      </c>
      <c r="D17533" s="548">
        <v>8539.7199999999993</v>
      </c>
      <c r="E17533" s="548">
        <v>1045.32</v>
      </c>
      <c r="F17533" s="548">
        <v>799.73</v>
      </c>
      <c r="G17533" s="548">
        <v>6694.67</v>
      </c>
      <c r="H17533" s="549">
        <v>57062.58</v>
      </c>
      <c r="I17533" s="549">
        <v>12021.18</v>
      </c>
      <c r="J17533" s="549">
        <v>4344.59</v>
      </c>
      <c r="K17533" s="549">
        <v>40696.81</v>
      </c>
      <c r="L17533" s="43">
        <v>6.6820200193917376</v>
      </c>
      <c r="M17533" s="43">
        <v>11.500000000000002</v>
      </c>
      <c r="N17533" s="43">
        <v>5.4325709927100396</v>
      </c>
      <c r="O17533" s="43">
        <v>6.0789867162981892</v>
      </c>
      <c r="P17533" s="550"/>
      <c r="Q17533" s="550"/>
      <c r="R17533" s="550">
        <v>4</v>
      </c>
    </row>
    <row r="17534" spans="1:18" ht="36">
      <c r="A17534" s="546">
        <v>16</v>
      </c>
      <c r="B17534" s="543" t="s">
        <v>31538</v>
      </c>
      <c r="C17534" s="547" t="s">
        <v>31539</v>
      </c>
      <c r="D17534" s="548">
        <v>11278.57</v>
      </c>
      <c r="E17534" s="548">
        <v>1378.8</v>
      </c>
      <c r="F17534" s="548">
        <v>782.72</v>
      </c>
      <c r="G17534" s="548">
        <v>9117.0499999999993</v>
      </c>
      <c r="H17534" s="549">
        <v>73064.800000000003</v>
      </c>
      <c r="I17534" s="549">
        <v>15856.8</v>
      </c>
      <c r="J17534" s="549">
        <v>4327.03</v>
      </c>
      <c r="K17534" s="549">
        <v>52880.97</v>
      </c>
      <c r="L17534" s="43">
        <v>6.478197147333395</v>
      </c>
      <c r="M17534" s="43">
        <v>11.500435161009573</v>
      </c>
      <c r="N17534" s="43">
        <v>5.5281965453802124</v>
      </c>
      <c r="O17534" s="43">
        <v>5.8002281439720091</v>
      </c>
      <c r="P17534" s="550"/>
      <c r="Q17534" s="550"/>
      <c r="R17534" s="550">
        <v>4</v>
      </c>
    </row>
    <row r="17535" spans="1:18" ht="48">
      <c r="A17535" s="546">
        <v>17</v>
      </c>
      <c r="B17535" s="543" t="s">
        <v>31540</v>
      </c>
      <c r="C17535" s="547" t="s">
        <v>31541</v>
      </c>
      <c r="D17535" s="548">
        <v>8795.09</v>
      </c>
      <c r="E17535" s="548">
        <v>1326.32</v>
      </c>
      <c r="F17535" s="548">
        <v>766.52</v>
      </c>
      <c r="G17535" s="548">
        <v>6702.25</v>
      </c>
      <c r="H17535" s="549">
        <v>60140.6</v>
      </c>
      <c r="I17535" s="549">
        <v>15252.68</v>
      </c>
      <c r="J17535" s="549">
        <v>4109.75</v>
      </c>
      <c r="K17535" s="549">
        <v>40778.17</v>
      </c>
      <c r="L17535" s="43">
        <v>6.837974369790417</v>
      </c>
      <c r="M17535" s="43">
        <v>11.5</v>
      </c>
      <c r="N17535" s="43">
        <v>5.3615691697542136</v>
      </c>
      <c r="O17535" s="43">
        <v>6.084250811294714</v>
      </c>
      <c r="P17535" s="550"/>
      <c r="Q17535" s="550"/>
      <c r="R17535" s="550">
        <v>4</v>
      </c>
    </row>
    <row r="17536" spans="1:18" ht="48">
      <c r="A17536" s="546">
        <v>18</v>
      </c>
      <c r="B17536" s="543" t="s">
        <v>31542</v>
      </c>
      <c r="C17536" s="547" t="s">
        <v>31543</v>
      </c>
      <c r="D17536" s="548">
        <v>11543.48</v>
      </c>
      <c r="E17536" s="548">
        <v>1608.6</v>
      </c>
      <c r="F17536" s="548">
        <v>813.24</v>
      </c>
      <c r="G17536" s="548">
        <v>9121.64</v>
      </c>
      <c r="H17536" s="549">
        <v>75898.53</v>
      </c>
      <c r="I17536" s="549">
        <v>18499.599999999999</v>
      </c>
      <c r="J17536" s="549">
        <v>4465.17</v>
      </c>
      <c r="K17536" s="549">
        <v>52933.760000000002</v>
      </c>
      <c r="L17536" s="43">
        <v>6.5750129077193362</v>
      </c>
      <c r="M17536" s="43">
        <v>11.500435161009573</v>
      </c>
      <c r="N17536" s="43">
        <v>5.4905931828242585</v>
      </c>
      <c r="O17536" s="43">
        <v>5.8030968115382766</v>
      </c>
      <c r="P17536" s="550"/>
      <c r="Q17536" s="550"/>
      <c r="R17536" s="550">
        <v>4</v>
      </c>
    </row>
    <row r="17537" spans="1:18" ht="48">
      <c r="A17537" s="546">
        <v>19</v>
      </c>
      <c r="B17537" s="543" t="s">
        <v>31544</v>
      </c>
      <c r="C17537" s="547" t="s">
        <v>31545</v>
      </c>
      <c r="D17537" s="548">
        <v>8635.1</v>
      </c>
      <c r="E17537" s="548">
        <v>1348.8</v>
      </c>
      <c r="F17537" s="548">
        <v>583.6</v>
      </c>
      <c r="G17537" s="548">
        <v>6702.7</v>
      </c>
      <c r="H17537" s="549">
        <v>59491.06</v>
      </c>
      <c r="I17537" s="549">
        <v>15511.2</v>
      </c>
      <c r="J17537" s="549">
        <v>3196.52</v>
      </c>
      <c r="K17537" s="549">
        <v>40783.339999999997</v>
      </c>
      <c r="L17537" s="43">
        <v>6.889446561128417</v>
      </c>
      <c r="M17537" s="43">
        <v>11.500000000000002</v>
      </c>
      <c r="N17537" s="43">
        <v>5.4772446881425632</v>
      </c>
      <c r="O17537" s="43">
        <v>6.0846136631506704</v>
      </c>
      <c r="P17537" s="550"/>
      <c r="Q17537" s="550"/>
      <c r="R17537" s="550">
        <v>4</v>
      </c>
    </row>
    <row r="17538" spans="1:18" ht="48">
      <c r="A17538" s="546">
        <v>20</v>
      </c>
      <c r="B17538" s="543" t="s">
        <v>31546</v>
      </c>
      <c r="C17538" s="547" t="s">
        <v>31547</v>
      </c>
      <c r="D17538" s="548">
        <v>11484.53</v>
      </c>
      <c r="E17538" s="548">
        <v>1608.6</v>
      </c>
      <c r="F17538" s="548">
        <v>754.29</v>
      </c>
      <c r="G17538" s="548">
        <v>9121.64</v>
      </c>
      <c r="H17538" s="549">
        <v>75599.649999999994</v>
      </c>
      <c r="I17538" s="549">
        <v>18499.599999999999</v>
      </c>
      <c r="J17538" s="549">
        <v>4166.29</v>
      </c>
      <c r="K17538" s="549">
        <v>52933.760000000002</v>
      </c>
      <c r="L17538" s="43">
        <v>6.5827378220963322</v>
      </c>
      <c r="M17538" s="43">
        <v>11.500435161009573</v>
      </c>
      <c r="N17538" s="43">
        <v>5.5234591470124226</v>
      </c>
      <c r="O17538" s="43">
        <v>5.8030968115382766</v>
      </c>
      <c r="P17538" s="550"/>
      <c r="Q17538" s="550"/>
      <c r="R17538" s="550">
        <v>4</v>
      </c>
    </row>
    <row r="17539" spans="1:18" ht="12.75" customHeight="1">
      <c r="A17539" s="628" t="s">
        <v>31548</v>
      </c>
      <c r="B17539" s="629"/>
      <c r="C17539" s="629"/>
      <c r="D17539" s="629"/>
      <c r="E17539" s="629"/>
      <c r="F17539" s="629"/>
      <c r="G17539" s="629"/>
      <c r="H17539" s="629"/>
      <c r="I17539" s="629"/>
      <c r="J17539" s="629"/>
      <c r="K17539" s="629"/>
      <c r="L17539" s="629"/>
      <c r="M17539" s="629"/>
      <c r="N17539" s="629"/>
      <c r="O17539" s="629"/>
      <c r="P17539" s="629"/>
      <c r="Q17539" s="629"/>
      <c r="R17539" s="629"/>
    </row>
    <row r="17540" spans="1:18" ht="24">
      <c r="A17540" s="546">
        <v>21</v>
      </c>
      <c r="B17540" s="543" t="s">
        <v>31549</v>
      </c>
      <c r="C17540" s="547" t="s">
        <v>31550</v>
      </c>
      <c r="D17540" s="548">
        <v>8428.61</v>
      </c>
      <c r="E17540" s="548">
        <v>630.79999999999995</v>
      </c>
      <c r="F17540" s="548">
        <v>610.05999999999995</v>
      </c>
      <c r="G17540" s="548">
        <v>7187.75</v>
      </c>
      <c r="H17540" s="549">
        <v>52428.35</v>
      </c>
      <c r="I17540" s="549">
        <v>7254.49</v>
      </c>
      <c r="J17540" s="549">
        <v>3325.76</v>
      </c>
      <c r="K17540" s="549">
        <v>41848.1</v>
      </c>
      <c r="L17540" s="43">
        <v>6.2202842461568393</v>
      </c>
      <c r="M17540" s="43">
        <v>11.500459733671528</v>
      </c>
      <c r="N17540" s="43">
        <v>5.4515293577680897</v>
      </c>
      <c r="O17540" s="43">
        <v>5.8221418385447459</v>
      </c>
      <c r="P17540" s="550"/>
      <c r="Q17540" s="550"/>
      <c r="R17540" s="550">
        <v>5</v>
      </c>
    </row>
    <row r="17541" spans="1:18" ht="24">
      <c r="A17541" s="546">
        <v>22</v>
      </c>
      <c r="B17541" s="543" t="s">
        <v>31551</v>
      </c>
      <c r="C17541" s="547" t="s">
        <v>31552</v>
      </c>
      <c r="D17541" s="548">
        <v>8250.94</v>
      </c>
      <c r="E17541" s="548">
        <v>617.01</v>
      </c>
      <c r="F17541" s="548">
        <v>446.46</v>
      </c>
      <c r="G17541" s="548">
        <v>7187.47</v>
      </c>
      <c r="H17541" s="549">
        <v>51371.13</v>
      </c>
      <c r="I17541" s="549">
        <v>7095.92</v>
      </c>
      <c r="J17541" s="549">
        <v>2430.33</v>
      </c>
      <c r="K17541" s="549">
        <v>41844.879999999997</v>
      </c>
      <c r="L17541" s="43">
        <v>6.2260942389594387</v>
      </c>
      <c r="M17541" s="43">
        <v>11.500494319378941</v>
      </c>
      <c r="N17541" s="43">
        <v>5.4435559736594543</v>
      </c>
      <c r="O17541" s="43">
        <v>5.8219206480166168</v>
      </c>
      <c r="P17541" s="550"/>
      <c r="Q17541" s="550"/>
      <c r="R17541" s="550">
        <v>5</v>
      </c>
    </row>
    <row r="17542" spans="1:18" ht="36">
      <c r="A17542" s="546">
        <v>23</v>
      </c>
      <c r="B17542" s="543" t="s">
        <v>31553</v>
      </c>
      <c r="C17542" s="547" t="s">
        <v>31554</v>
      </c>
      <c r="D17542" s="548">
        <v>8514.34</v>
      </c>
      <c r="E17542" s="548">
        <v>873.24</v>
      </c>
      <c r="F17542" s="548">
        <v>448.06</v>
      </c>
      <c r="G17542" s="548">
        <v>7193.04</v>
      </c>
      <c r="H17542" s="549">
        <v>54346.36</v>
      </c>
      <c r="I17542" s="549">
        <v>10042.64</v>
      </c>
      <c r="J17542" s="549">
        <v>2397.6</v>
      </c>
      <c r="K17542" s="549">
        <v>41906.120000000003</v>
      </c>
      <c r="L17542" s="43">
        <v>6.3829210484899592</v>
      </c>
      <c r="M17542" s="43">
        <v>11.500435161009573</v>
      </c>
      <c r="N17542" s="43">
        <v>5.3510690532517966</v>
      </c>
      <c r="O17542" s="43">
        <v>5.8259261730784209</v>
      </c>
      <c r="P17542" s="550"/>
      <c r="Q17542" s="550"/>
      <c r="R17542" s="550">
        <v>5</v>
      </c>
    </row>
    <row r="17543" spans="1:18" ht="48">
      <c r="A17543" s="546">
        <v>24</v>
      </c>
      <c r="B17543" s="543" t="s">
        <v>31555</v>
      </c>
      <c r="C17543" s="547" t="s">
        <v>31556</v>
      </c>
      <c r="D17543" s="548">
        <v>8406.36</v>
      </c>
      <c r="E17543" s="548">
        <v>887.03</v>
      </c>
      <c r="F17543" s="548">
        <v>326.45999999999998</v>
      </c>
      <c r="G17543" s="548">
        <v>7192.87</v>
      </c>
      <c r="H17543" s="549">
        <v>53896.23</v>
      </c>
      <c r="I17543" s="549">
        <v>10201.209999999999</v>
      </c>
      <c r="J17543" s="549">
        <v>1788.04</v>
      </c>
      <c r="K17543" s="549">
        <v>41906.980000000003</v>
      </c>
      <c r="L17543" s="43">
        <v>6.4113635390347312</v>
      </c>
      <c r="M17543" s="43">
        <v>11.500411485519091</v>
      </c>
      <c r="N17543" s="43">
        <v>5.4770569135575569</v>
      </c>
      <c r="O17543" s="43">
        <v>5.8261834288677541</v>
      </c>
      <c r="P17543" s="550"/>
      <c r="Q17543" s="550"/>
      <c r="R17543" s="550">
        <v>5</v>
      </c>
    </row>
    <row r="17544" spans="1:18" ht="12.75" customHeight="1">
      <c r="A17544" s="628" t="s">
        <v>31557</v>
      </c>
      <c r="B17544" s="629"/>
      <c r="C17544" s="629"/>
      <c r="D17544" s="629"/>
      <c r="E17544" s="629"/>
      <c r="F17544" s="629"/>
      <c r="G17544" s="629"/>
      <c r="H17544" s="629"/>
      <c r="I17544" s="629"/>
      <c r="J17544" s="629"/>
      <c r="K17544" s="629"/>
      <c r="L17544" s="629"/>
      <c r="M17544" s="629"/>
      <c r="N17544" s="629"/>
      <c r="O17544" s="629"/>
      <c r="P17544" s="629"/>
      <c r="Q17544" s="629"/>
      <c r="R17544" s="629"/>
    </row>
    <row r="17545" spans="1:18" ht="36">
      <c r="A17545" s="546">
        <v>25</v>
      </c>
      <c r="B17545" s="543" t="s">
        <v>31558</v>
      </c>
      <c r="C17545" s="547" t="s">
        <v>31559</v>
      </c>
      <c r="D17545" s="548">
        <v>14873.2</v>
      </c>
      <c r="E17545" s="548">
        <v>1809.64</v>
      </c>
      <c r="F17545" s="548">
        <v>4083.1</v>
      </c>
      <c r="G17545" s="548">
        <v>8980.4599999999991</v>
      </c>
      <c r="H17545" s="549">
        <v>84689.4</v>
      </c>
      <c r="I17545" s="549">
        <v>20810.86</v>
      </c>
      <c r="J17545" s="549">
        <v>24012.81</v>
      </c>
      <c r="K17545" s="549">
        <v>39865.730000000003</v>
      </c>
      <c r="L17545" s="43">
        <v>5.6940940752494411</v>
      </c>
      <c r="M17545" s="43">
        <v>11.5</v>
      </c>
      <c r="N17545" s="43">
        <v>5.8810242217922664</v>
      </c>
      <c r="O17545" s="43">
        <v>4.4391634726951636</v>
      </c>
      <c r="P17545" s="550"/>
      <c r="Q17545" s="550"/>
      <c r="R17545" s="550">
        <v>6</v>
      </c>
    </row>
    <row r="17546" spans="1:18" ht="36">
      <c r="A17546" s="546">
        <v>26</v>
      </c>
      <c r="B17546" s="543" t="s">
        <v>31560</v>
      </c>
      <c r="C17546" s="547" t="s">
        <v>31561</v>
      </c>
      <c r="D17546" s="548">
        <v>10915</v>
      </c>
      <c r="E17546" s="548">
        <v>1236.4000000000001</v>
      </c>
      <c r="F17546" s="548">
        <v>1946.14</v>
      </c>
      <c r="G17546" s="548">
        <v>7732.46</v>
      </c>
      <c r="H17546" s="549">
        <v>61214.46</v>
      </c>
      <c r="I17546" s="549">
        <v>14218.6</v>
      </c>
      <c r="J17546" s="549">
        <v>11877.86</v>
      </c>
      <c r="K17546" s="549">
        <v>35118</v>
      </c>
      <c r="L17546" s="43">
        <v>5.6082876775080166</v>
      </c>
      <c r="M17546" s="43">
        <v>11.5</v>
      </c>
      <c r="N17546" s="43">
        <v>6.1032916439721703</v>
      </c>
      <c r="O17546" s="43">
        <v>4.5416335810337198</v>
      </c>
      <c r="P17546" s="550"/>
      <c r="Q17546" s="550"/>
      <c r="R17546" s="550">
        <v>6</v>
      </c>
    </row>
    <row r="17547" spans="1:18" ht="36">
      <c r="A17547" s="546">
        <v>27</v>
      </c>
      <c r="B17547" s="543" t="s">
        <v>31562</v>
      </c>
      <c r="C17547" s="547" t="s">
        <v>31563</v>
      </c>
      <c r="D17547" s="548">
        <v>14081.92</v>
      </c>
      <c r="E17547" s="548">
        <v>1753.44</v>
      </c>
      <c r="F17547" s="548">
        <v>3398.05</v>
      </c>
      <c r="G17547" s="548">
        <v>8930.43</v>
      </c>
      <c r="H17547" s="549">
        <v>79967.7</v>
      </c>
      <c r="I17547" s="549">
        <v>20164.560000000001</v>
      </c>
      <c r="J17547" s="549">
        <v>20208.63</v>
      </c>
      <c r="K17547" s="549">
        <v>39594.51</v>
      </c>
      <c r="L17547" s="43">
        <v>5.6787497727582599</v>
      </c>
      <c r="M17547" s="43">
        <v>11.5</v>
      </c>
      <c r="N17547" s="43">
        <v>5.9471255573049246</v>
      </c>
      <c r="O17547" s="43">
        <v>4.4336622088746012</v>
      </c>
      <c r="P17547" s="550"/>
      <c r="Q17547" s="550"/>
      <c r="R17547" s="550">
        <v>6</v>
      </c>
    </row>
    <row r="17548" spans="1:18" ht="24">
      <c r="A17548" s="546">
        <v>28</v>
      </c>
      <c r="B17548" s="543" t="s">
        <v>31564</v>
      </c>
      <c r="C17548" s="547" t="s">
        <v>31565</v>
      </c>
      <c r="D17548" s="548">
        <v>10845.61</v>
      </c>
      <c r="E17548" s="548">
        <v>1236.4000000000001</v>
      </c>
      <c r="F17548" s="548">
        <v>1897.96</v>
      </c>
      <c r="G17548" s="548">
        <v>7711.25</v>
      </c>
      <c r="H17548" s="549">
        <v>60838.52</v>
      </c>
      <c r="I17548" s="549">
        <v>14218.6</v>
      </c>
      <c r="J17548" s="549">
        <v>11613.99</v>
      </c>
      <c r="K17548" s="549">
        <v>35005.93</v>
      </c>
      <c r="L17548" s="43">
        <v>5.6095065192275948</v>
      </c>
      <c r="M17548" s="43">
        <v>11.5</v>
      </c>
      <c r="N17548" s="43">
        <v>6.1191964003456336</v>
      </c>
      <c r="O17548" s="43">
        <v>4.5395921543199869</v>
      </c>
      <c r="P17548" s="550"/>
      <c r="Q17548" s="550"/>
      <c r="R17548" s="550">
        <v>6</v>
      </c>
    </row>
    <row r="17549" spans="1:18" ht="48">
      <c r="A17549" s="546">
        <v>29</v>
      </c>
      <c r="B17549" s="543" t="s">
        <v>31566</v>
      </c>
      <c r="C17549" s="547" t="s">
        <v>31567</v>
      </c>
      <c r="D17549" s="548">
        <v>14539.61</v>
      </c>
      <c r="E17549" s="548">
        <v>2124.36</v>
      </c>
      <c r="F17549" s="548">
        <v>3450.8</v>
      </c>
      <c r="G17549" s="548">
        <v>8964.4500000000007</v>
      </c>
      <c r="H17549" s="549">
        <v>84811.13</v>
      </c>
      <c r="I17549" s="549">
        <v>24430.14</v>
      </c>
      <c r="J17549" s="549">
        <v>20559.310000000001</v>
      </c>
      <c r="K17549" s="549">
        <v>39821.68</v>
      </c>
      <c r="L17549" s="43">
        <v>5.8331090036115141</v>
      </c>
      <c r="M17549" s="43">
        <v>11.499999999999998</v>
      </c>
      <c r="N17549" s="43">
        <v>5.9578387620261966</v>
      </c>
      <c r="O17549" s="43">
        <v>4.4421777130777675</v>
      </c>
      <c r="P17549" s="550"/>
      <c r="Q17549" s="550"/>
      <c r="R17549" s="550">
        <v>6</v>
      </c>
    </row>
    <row r="17550" spans="1:18" ht="48">
      <c r="A17550" s="546">
        <v>30</v>
      </c>
      <c r="B17550" s="543" t="s">
        <v>31568</v>
      </c>
      <c r="C17550" s="547" t="s">
        <v>31569</v>
      </c>
      <c r="D17550" s="548">
        <v>11121.15</v>
      </c>
      <c r="E17550" s="548">
        <v>1461.2</v>
      </c>
      <c r="F17550" s="548">
        <v>1944.21</v>
      </c>
      <c r="G17550" s="548">
        <v>7715.74</v>
      </c>
      <c r="H17550" s="549">
        <v>63710.71</v>
      </c>
      <c r="I17550" s="549">
        <v>16803.8</v>
      </c>
      <c r="J17550" s="549">
        <v>11849.35</v>
      </c>
      <c r="K17550" s="549">
        <v>35057.56</v>
      </c>
      <c r="L17550" s="43">
        <v>5.7287879400961232</v>
      </c>
      <c r="M17550" s="43">
        <v>11.5</v>
      </c>
      <c r="N17550" s="43">
        <v>6.0946862736021314</v>
      </c>
      <c r="O17550" s="43">
        <v>4.5436419578679423</v>
      </c>
      <c r="P17550" s="550"/>
      <c r="Q17550" s="550"/>
      <c r="R17550" s="550">
        <v>6</v>
      </c>
    </row>
    <row r="17551" spans="1:18" ht="60">
      <c r="A17551" s="546">
        <v>31</v>
      </c>
      <c r="B17551" s="543" t="s">
        <v>31570</v>
      </c>
      <c r="C17551" s="547" t="s">
        <v>31571</v>
      </c>
      <c r="D17551" s="548">
        <v>14310.87</v>
      </c>
      <c r="E17551" s="548">
        <v>2180.56</v>
      </c>
      <c r="F17551" s="548">
        <v>3149.23</v>
      </c>
      <c r="G17551" s="548">
        <v>8981.08</v>
      </c>
      <c r="H17551" s="549">
        <v>84141.5</v>
      </c>
      <c r="I17551" s="549">
        <v>25076.44</v>
      </c>
      <c r="J17551" s="549">
        <v>19147.75</v>
      </c>
      <c r="K17551" s="549">
        <v>39917.31</v>
      </c>
      <c r="L17551" s="43">
        <v>5.8795516974160202</v>
      </c>
      <c r="M17551" s="43">
        <v>11.5</v>
      </c>
      <c r="N17551" s="43">
        <v>6.0801370493739739</v>
      </c>
      <c r="O17551" s="43">
        <v>4.4446002039843755</v>
      </c>
      <c r="P17551" s="550"/>
      <c r="Q17551" s="550"/>
      <c r="R17551" s="550">
        <v>6</v>
      </c>
    </row>
    <row r="17552" spans="1:18" ht="48">
      <c r="A17552" s="546">
        <v>32</v>
      </c>
      <c r="B17552" s="543" t="s">
        <v>31572</v>
      </c>
      <c r="C17552" s="547" t="s">
        <v>31573</v>
      </c>
      <c r="D17552" s="548">
        <v>11058.68</v>
      </c>
      <c r="E17552" s="548">
        <v>1461.2</v>
      </c>
      <c r="F17552" s="548">
        <v>1881.74</v>
      </c>
      <c r="G17552" s="548">
        <v>7715.74</v>
      </c>
      <c r="H17552" s="549">
        <v>63393.18</v>
      </c>
      <c r="I17552" s="549">
        <v>16803.8</v>
      </c>
      <c r="J17552" s="549">
        <v>11531.82</v>
      </c>
      <c r="K17552" s="549">
        <v>35057.56</v>
      </c>
      <c r="L17552" s="43">
        <v>5.7324364209833361</v>
      </c>
      <c r="M17552" s="43">
        <v>11.5</v>
      </c>
      <c r="N17552" s="43">
        <v>6.1282748945125256</v>
      </c>
      <c r="O17552" s="43">
        <v>4.5436419578679423</v>
      </c>
      <c r="P17552" s="550"/>
      <c r="Q17552" s="550"/>
      <c r="R17552" s="550">
        <v>6</v>
      </c>
    </row>
    <row r="17553" spans="1:18" ht="12.75">
      <c r="A17553" s="632" t="s">
        <v>18</v>
      </c>
      <c r="B17553" s="632"/>
      <c r="C17553" s="632"/>
      <c r="D17553" s="544">
        <v>316472.67</v>
      </c>
      <c r="E17553" s="544">
        <v>37895.81</v>
      </c>
      <c r="F17553" s="544">
        <v>38833.160000000003</v>
      </c>
      <c r="G17553" s="544">
        <v>239743.7</v>
      </c>
      <c r="H17553" s="545">
        <v>1966230.51</v>
      </c>
      <c r="I17553" s="545">
        <v>435810.56</v>
      </c>
      <c r="J17553" s="545">
        <v>222683.17</v>
      </c>
      <c r="K17553" s="545">
        <v>1307736.78</v>
      </c>
      <c r="L17553" s="612">
        <v>6.2129551660811666</v>
      </c>
      <c r="M17553" s="612">
        <v>11.500230764298218</v>
      </c>
      <c r="N17553" s="612">
        <v>5.7343561533493537</v>
      </c>
      <c r="O17553" s="612">
        <v>5.4547284454190033</v>
      </c>
      <c r="P17553" s="542"/>
      <c r="Q17553" s="542"/>
      <c r="R17553" s="542"/>
    </row>
    <row r="17554" spans="1:18" ht="18">
      <c r="A17554" s="616" t="s">
        <v>31574</v>
      </c>
      <c r="B17554" s="626"/>
      <c r="C17554" s="626"/>
      <c r="D17554" s="626"/>
      <c r="E17554" s="626"/>
      <c r="F17554" s="626"/>
      <c r="G17554" s="626"/>
      <c r="H17554" s="626"/>
      <c r="I17554" s="626"/>
      <c r="J17554" s="626"/>
      <c r="K17554" s="626"/>
      <c r="L17554" s="626"/>
      <c r="M17554" s="626"/>
      <c r="N17554" s="626"/>
      <c r="O17554" s="626"/>
      <c r="P17554" s="626"/>
      <c r="Q17554" s="626"/>
      <c r="R17554" s="627"/>
    </row>
    <row r="17555" spans="1:18" ht="12.75" customHeight="1">
      <c r="A17555" s="630" t="s">
        <v>31575</v>
      </c>
      <c r="B17555" s="631"/>
      <c r="C17555" s="631"/>
      <c r="D17555" s="631"/>
      <c r="E17555" s="631"/>
      <c r="F17555" s="631"/>
      <c r="G17555" s="631"/>
      <c r="H17555" s="631"/>
      <c r="I17555" s="631"/>
      <c r="J17555" s="631"/>
      <c r="K17555" s="631"/>
      <c r="L17555" s="631"/>
      <c r="M17555" s="631"/>
      <c r="N17555" s="631"/>
      <c r="O17555" s="631"/>
      <c r="P17555" s="631"/>
      <c r="Q17555" s="631"/>
      <c r="R17555" s="631"/>
    </row>
    <row r="17556" spans="1:18" ht="12.75" customHeight="1">
      <c r="A17556" s="628" t="s">
        <v>31576</v>
      </c>
      <c r="B17556" s="629"/>
      <c r="C17556" s="629"/>
      <c r="D17556" s="629"/>
      <c r="E17556" s="629"/>
      <c r="F17556" s="629"/>
      <c r="G17556" s="629"/>
      <c r="H17556" s="629"/>
      <c r="I17556" s="629"/>
      <c r="J17556" s="629"/>
      <c r="K17556" s="629"/>
      <c r="L17556" s="629"/>
      <c r="M17556" s="629"/>
      <c r="N17556" s="629"/>
      <c r="O17556" s="629"/>
      <c r="P17556" s="629"/>
      <c r="Q17556" s="629"/>
      <c r="R17556" s="629"/>
    </row>
    <row r="17557" spans="1:18" ht="24">
      <c r="A17557" s="555">
        <v>1</v>
      </c>
      <c r="B17557" s="552" t="s">
        <v>31577</v>
      </c>
      <c r="C17557" s="556" t="s">
        <v>31578</v>
      </c>
      <c r="D17557" s="557">
        <v>2.35</v>
      </c>
      <c r="E17557" s="557">
        <v>2.2999999999999998</v>
      </c>
      <c r="F17557" s="557"/>
      <c r="G17557" s="557">
        <v>0.05</v>
      </c>
      <c r="H17557" s="558">
        <v>27.01</v>
      </c>
      <c r="I17557" s="558">
        <v>26.43</v>
      </c>
      <c r="J17557" s="558"/>
      <c r="K17557" s="558">
        <v>0.57999999999999996</v>
      </c>
      <c r="L17557" s="43">
        <v>11.503164556962025</v>
      </c>
      <c r="M17557" s="43">
        <v>11.5</v>
      </c>
      <c r="N17557" s="43" t="s">
        <v>1690</v>
      </c>
      <c r="O17557" s="43">
        <v>11.503164556962025</v>
      </c>
      <c r="P17557" s="559"/>
      <c r="Q17557" s="559"/>
      <c r="R17557" s="559">
        <v>1</v>
      </c>
    </row>
    <row r="17558" spans="1:18" ht="24">
      <c r="A17558" s="555">
        <v>2</v>
      </c>
      <c r="B17558" s="552" t="s">
        <v>31579</v>
      </c>
      <c r="C17558" s="556" t="s">
        <v>31580</v>
      </c>
      <c r="D17558" s="557">
        <v>3.52</v>
      </c>
      <c r="E17558" s="557">
        <v>3.45</v>
      </c>
      <c r="F17558" s="557"/>
      <c r="G17558" s="557">
        <v>7.0000000000000007E-2</v>
      </c>
      <c r="H17558" s="558">
        <v>40.450000000000003</v>
      </c>
      <c r="I17558" s="558">
        <v>39.64</v>
      </c>
      <c r="J17558" s="558"/>
      <c r="K17558" s="558">
        <v>0.81</v>
      </c>
      <c r="L17558" s="43">
        <v>11.503164556962025</v>
      </c>
      <c r="M17558" s="43">
        <v>11.5</v>
      </c>
      <c r="N17558" s="43" t="s">
        <v>1690</v>
      </c>
      <c r="O17558" s="43">
        <v>11.503164556962025</v>
      </c>
      <c r="P17558" s="559"/>
      <c r="Q17558" s="559"/>
      <c r="R17558" s="559">
        <v>1</v>
      </c>
    </row>
    <row r="17559" spans="1:18" ht="24">
      <c r="A17559" s="555">
        <v>3</v>
      </c>
      <c r="B17559" s="552" t="s">
        <v>31581</v>
      </c>
      <c r="C17559" s="556" t="s">
        <v>31582</v>
      </c>
      <c r="D17559" s="557">
        <v>3.99</v>
      </c>
      <c r="E17559" s="557">
        <v>3.91</v>
      </c>
      <c r="F17559" s="557"/>
      <c r="G17559" s="557">
        <v>0.08</v>
      </c>
      <c r="H17559" s="558">
        <v>45.85</v>
      </c>
      <c r="I17559" s="558">
        <v>44.93</v>
      </c>
      <c r="J17559" s="558"/>
      <c r="K17559" s="558">
        <v>0.92</v>
      </c>
      <c r="L17559" s="43">
        <v>11.503164556962025</v>
      </c>
      <c r="M17559" s="43">
        <v>11.5</v>
      </c>
      <c r="N17559" s="43" t="s">
        <v>1690</v>
      </c>
      <c r="O17559" s="43">
        <v>11.503164556962025</v>
      </c>
      <c r="P17559" s="559"/>
      <c r="Q17559" s="559"/>
      <c r="R17559" s="559">
        <v>1</v>
      </c>
    </row>
    <row r="17560" spans="1:18" ht="24">
      <c r="A17560" s="555">
        <v>4</v>
      </c>
      <c r="B17560" s="552" t="s">
        <v>31583</v>
      </c>
      <c r="C17560" s="556" t="s">
        <v>31584</v>
      </c>
      <c r="D17560" s="557">
        <v>4.6900000000000004</v>
      </c>
      <c r="E17560" s="557">
        <v>4.5999999999999996</v>
      </c>
      <c r="F17560" s="557"/>
      <c r="G17560" s="557">
        <v>0.09</v>
      </c>
      <c r="H17560" s="558">
        <v>53.9</v>
      </c>
      <c r="I17560" s="558">
        <v>52.86</v>
      </c>
      <c r="J17560" s="558"/>
      <c r="K17560" s="558">
        <v>1.04</v>
      </c>
      <c r="L17560" s="43">
        <v>11.503164556962025</v>
      </c>
      <c r="M17560" s="43">
        <v>11.5</v>
      </c>
      <c r="N17560" s="43" t="s">
        <v>1690</v>
      </c>
      <c r="O17560" s="43">
        <v>11.503164556962025</v>
      </c>
      <c r="P17560" s="559"/>
      <c r="Q17560" s="559"/>
      <c r="R17560" s="559">
        <v>1</v>
      </c>
    </row>
    <row r="17561" spans="1:18" ht="24">
      <c r="A17561" s="555">
        <v>5</v>
      </c>
      <c r="B17561" s="552" t="s">
        <v>31585</v>
      </c>
      <c r="C17561" s="556" t="s">
        <v>31586</v>
      </c>
      <c r="D17561" s="557">
        <v>6.09</v>
      </c>
      <c r="E17561" s="557">
        <v>5.97</v>
      </c>
      <c r="F17561" s="557"/>
      <c r="G17561" s="557">
        <v>0.12</v>
      </c>
      <c r="H17561" s="558">
        <v>70.09</v>
      </c>
      <c r="I17561" s="558">
        <v>68.709999999999994</v>
      </c>
      <c r="J17561" s="558"/>
      <c r="K17561" s="558">
        <v>1.38</v>
      </c>
      <c r="L17561" s="43">
        <v>11.503164556962025</v>
      </c>
      <c r="M17561" s="43">
        <v>11.5021951219512</v>
      </c>
      <c r="N17561" s="43" t="s">
        <v>1690</v>
      </c>
      <c r="O17561" s="43">
        <v>11.503164556962025</v>
      </c>
      <c r="P17561" s="559"/>
      <c r="Q17561" s="559"/>
      <c r="R17561" s="559">
        <v>1</v>
      </c>
    </row>
    <row r="17562" spans="1:18" ht="24">
      <c r="A17562" s="555">
        <v>6</v>
      </c>
      <c r="B17562" s="552" t="s">
        <v>31587</v>
      </c>
      <c r="C17562" s="556" t="s">
        <v>31588</v>
      </c>
      <c r="D17562" s="557">
        <v>7.62</v>
      </c>
      <c r="E17562" s="557">
        <v>7.47</v>
      </c>
      <c r="F17562" s="557"/>
      <c r="G17562" s="557">
        <v>0.15</v>
      </c>
      <c r="H17562" s="558">
        <v>87.62</v>
      </c>
      <c r="I17562" s="558">
        <v>85.89</v>
      </c>
      <c r="J17562" s="558"/>
      <c r="K17562" s="558">
        <v>1.73</v>
      </c>
      <c r="L17562" s="43">
        <v>11.503164556962025</v>
      </c>
      <c r="M17562" s="43">
        <v>11.497991967871487</v>
      </c>
      <c r="N17562" s="43" t="s">
        <v>1690</v>
      </c>
      <c r="O17562" s="43">
        <v>11.503164556962025</v>
      </c>
      <c r="P17562" s="559"/>
      <c r="Q17562" s="559"/>
      <c r="R17562" s="559">
        <v>1</v>
      </c>
    </row>
    <row r="17563" spans="1:18" ht="24">
      <c r="A17563" s="555">
        <v>7</v>
      </c>
      <c r="B17563" s="552" t="s">
        <v>31589</v>
      </c>
      <c r="C17563" s="556" t="s">
        <v>31590</v>
      </c>
      <c r="D17563" s="557">
        <v>9.3699999999999992</v>
      </c>
      <c r="E17563" s="557">
        <v>9.19</v>
      </c>
      <c r="F17563" s="557"/>
      <c r="G17563" s="557">
        <v>0.18</v>
      </c>
      <c r="H17563" s="558">
        <v>107.78</v>
      </c>
      <c r="I17563" s="558">
        <v>105.71</v>
      </c>
      <c r="J17563" s="558"/>
      <c r="K17563" s="558">
        <v>2.0699999999999998</v>
      </c>
      <c r="L17563" s="43">
        <v>11.503164556962025</v>
      </c>
      <c r="M17563" s="43">
        <v>11.502720348204571</v>
      </c>
      <c r="N17563" s="43" t="s">
        <v>1690</v>
      </c>
      <c r="O17563" s="43">
        <v>11.503164556962025</v>
      </c>
      <c r="P17563" s="559"/>
      <c r="Q17563" s="559"/>
      <c r="R17563" s="559">
        <v>1</v>
      </c>
    </row>
    <row r="17564" spans="1:18" ht="24">
      <c r="A17564" s="555">
        <v>8</v>
      </c>
      <c r="B17564" s="552" t="s">
        <v>31591</v>
      </c>
      <c r="C17564" s="556" t="s">
        <v>31592</v>
      </c>
      <c r="D17564" s="557">
        <v>9.84</v>
      </c>
      <c r="E17564" s="557">
        <v>9.65</v>
      </c>
      <c r="F17564" s="557"/>
      <c r="G17564" s="557">
        <v>0.19</v>
      </c>
      <c r="H17564" s="558">
        <v>113.19</v>
      </c>
      <c r="I17564" s="558">
        <v>111</v>
      </c>
      <c r="J17564" s="558"/>
      <c r="K17564" s="558">
        <v>2.19</v>
      </c>
      <c r="L17564" s="43">
        <v>11.503164556962025</v>
      </c>
      <c r="M17564" s="43">
        <v>11.50259067357513</v>
      </c>
      <c r="N17564" s="43" t="s">
        <v>1690</v>
      </c>
      <c r="O17564" s="43">
        <v>11.503164556962025</v>
      </c>
      <c r="P17564" s="559"/>
      <c r="Q17564" s="559"/>
      <c r="R17564" s="559">
        <v>1</v>
      </c>
    </row>
    <row r="17565" spans="1:18" ht="24">
      <c r="A17565" s="555">
        <v>9</v>
      </c>
      <c r="B17565" s="552" t="s">
        <v>31593</v>
      </c>
      <c r="C17565" s="556" t="s">
        <v>31594</v>
      </c>
      <c r="D17565" s="557">
        <v>10.78</v>
      </c>
      <c r="E17565" s="557">
        <v>10.57</v>
      </c>
      <c r="F17565" s="557"/>
      <c r="G17565" s="557">
        <v>0.21</v>
      </c>
      <c r="H17565" s="558">
        <v>123.99</v>
      </c>
      <c r="I17565" s="558">
        <v>121.57</v>
      </c>
      <c r="J17565" s="558"/>
      <c r="K17565" s="558">
        <v>2.42</v>
      </c>
      <c r="L17565" s="43">
        <v>11.503164556962025</v>
      </c>
      <c r="M17565" s="43">
        <v>11.501419110690632</v>
      </c>
      <c r="N17565" s="43" t="s">
        <v>1690</v>
      </c>
      <c r="O17565" s="43">
        <v>11.503164556962025</v>
      </c>
      <c r="P17565" s="559"/>
      <c r="Q17565" s="559"/>
      <c r="R17565" s="559">
        <v>1</v>
      </c>
    </row>
    <row r="17566" spans="1:18" ht="24">
      <c r="A17566" s="555">
        <v>10</v>
      </c>
      <c r="B17566" s="552" t="s">
        <v>31595</v>
      </c>
      <c r="C17566" s="556" t="s">
        <v>31596</v>
      </c>
      <c r="D17566" s="557">
        <v>11.72</v>
      </c>
      <c r="E17566" s="557">
        <v>11.49</v>
      </c>
      <c r="F17566" s="557"/>
      <c r="G17566" s="557">
        <v>0.23</v>
      </c>
      <c r="H17566" s="558">
        <v>134.79</v>
      </c>
      <c r="I17566" s="558">
        <v>132.13999999999999</v>
      </c>
      <c r="J17566" s="558"/>
      <c r="K17566" s="558">
        <v>2.65</v>
      </c>
      <c r="L17566" s="43">
        <v>11.503164556962025</v>
      </c>
      <c r="M17566" s="43">
        <v>11.500435161009571</v>
      </c>
      <c r="N17566" s="43" t="s">
        <v>1690</v>
      </c>
      <c r="O17566" s="43">
        <v>11.503164556962025</v>
      </c>
      <c r="P17566" s="559"/>
      <c r="Q17566" s="559"/>
      <c r="R17566" s="559">
        <v>1</v>
      </c>
    </row>
    <row r="17567" spans="1:18" ht="24">
      <c r="A17567" s="555">
        <v>11</v>
      </c>
      <c r="B17567" s="552" t="s">
        <v>31597</v>
      </c>
      <c r="C17567" s="556" t="s">
        <v>31598</v>
      </c>
      <c r="D17567" s="557">
        <v>14.07</v>
      </c>
      <c r="E17567" s="557">
        <v>13.79</v>
      </c>
      <c r="F17567" s="557"/>
      <c r="G17567" s="557">
        <v>0.28000000000000003</v>
      </c>
      <c r="H17567" s="558">
        <v>161.79</v>
      </c>
      <c r="I17567" s="558">
        <v>158.57</v>
      </c>
      <c r="J17567" s="558"/>
      <c r="K17567" s="558">
        <v>3.22</v>
      </c>
      <c r="L17567" s="43">
        <v>11.503164556962025</v>
      </c>
      <c r="M17567" s="43">
        <v>11.498912255257434</v>
      </c>
      <c r="N17567" s="43" t="s">
        <v>1690</v>
      </c>
      <c r="O17567" s="43">
        <v>11.503164556962025</v>
      </c>
      <c r="P17567" s="559"/>
      <c r="Q17567" s="559"/>
      <c r="R17567" s="559">
        <v>1</v>
      </c>
    </row>
    <row r="17568" spans="1:18" ht="24">
      <c r="A17568" s="555">
        <v>12</v>
      </c>
      <c r="B17568" s="552" t="s">
        <v>31599</v>
      </c>
      <c r="C17568" s="556" t="s">
        <v>31600</v>
      </c>
      <c r="D17568" s="557">
        <v>15.24</v>
      </c>
      <c r="E17568" s="557">
        <v>14.94</v>
      </c>
      <c r="F17568" s="557"/>
      <c r="G17568" s="557">
        <v>0.3</v>
      </c>
      <c r="H17568" s="558">
        <v>175.23</v>
      </c>
      <c r="I17568" s="558">
        <v>171.78</v>
      </c>
      <c r="J17568" s="558"/>
      <c r="K17568" s="558">
        <v>3.45</v>
      </c>
      <c r="L17568" s="43">
        <v>11.503164556962025</v>
      </c>
      <c r="M17568" s="43">
        <v>11.497991967871487</v>
      </c>
      <c r="N17568" s="43" t="s">
        <v>1690</v>
      </c>
      <c r="O17568" s="43">
        <v>11.503164556962025</v>
      </c>
      <c r="P17568" s="559"/>
      <c r="Q17568" s="559"/>
      <c r="R17568" s="559">
        <v>1</v>
      </c>
    </row>
    <row r="17569" spans="1:18" ht="24">
      <c r="A17569" s="555">
        <v>13</v>
      </c>
      <c r="B17569" s="552" t="s">
        <v>31601</v>
      </c>
      <c r="C17569" s="556" t="s">
        <v>31602</v>
      </c>
      <c r="D17569" s="557">
        <v>17.579999999999998</v>
      </c>
      <c r="E17569" s="557">
        <v>17.239999999999998</v>
      </c>
      <c r="F17569" s="557"/>
      <c r="G17569" s="557">
        <v>0.34</v>
      </c>
      <c r="H17569" s="558">
        <v>202.12</v>
      </c>
      <c r="I17569" s="558">
        <v>198.21</v>
      </c>
      <c r="J17569" s="558"/>
      <c r="K17569" s="558">
        <v>3.91</v>
      </c>
      <c r="L17569" s="43">
        <v>11.503164556962025</v>
      </c>
      <c r="M17569" s="43">
        <v>11.497099767981441</v>
      </c>
      <c r="N17569" s="43" t="s">
        <v>1690</v>
      </c>
      <c r="O17569" s="43">
        <v>11.503164556962025</v>
      </c>
      <c r="P17569" s="559"/>
      <c r="Q17569" s="559"/>
      <c r="R17569" s="559">
        <v>1</v>
      </c>
    </row>
    <row r="17570" spans="1:18" ht="24">
      <c r="A17570" s="555">
        <v>14</v>
      </c>
      <c r="B17570" s="552" t="s">
        <v>31603</v>
      </c>
      <c r="C17570" s="556" t="s">
        <v>31604</v>
      </c>
      <c r="D17570" s="557">
        <v>21.09</v>
      </c>
      <c r="E17570" s="557">
        <v>20.68</v>
      </c>
      <c r="F17570" s="557"/>
      <c r="G17570" s="557">
        <v>0.41</v>
      </c>
      <c r="H17570" s="558">
        <v>242.57</v>
      </c>
      <c r="I17570" s="558">
        <v>237.85</v>
      </c>
      <c r="J17570" s="558"/>
      <c r="K17570" s="558">
        <v>4.72</v>
      </c>
      <c r="L17570" s="43">
        <v>11.503164556962025</v>
      </c>
      <c r="M17570" s="43">
        <v>11.501450676982591</v>
      </c>
      <c r="N17570" s="43" t="s">
        <v>1690</v>
      </c>
      <c r="O17570" s="43">
        <v>11.503164556962025</v>
      </c>
      <c r="P17570" s="559"/>
      <c r="Q17570" s="559"/>
      <c r="R17570" s="559">
        <v>1</v>
      </c>
    </row>
    <row r="17571" spans="1:18" ht="24">
      <c r="A17571" s="555">
        <v>15</v>
      </c>
      <c r="B17571" s="552" t="s">
        <v>31605</v>
      </c>
      <c r="C17571" s="556" t="s">
        <v>31606</v>
      </c>
      <c r="D17571" s="557">
        <v>23.44</v>
      </c>
      <c r="E17571" s="557">
        <v>22.98</v>
      </c>
      <c r="F17571" s="557"/>
      <c r="G17571" s="557">
        <v>0.46</v>
      </c>
      <c r="H17571" s="558">
        <v>269.57</v>
      </c>
      <c r="I17571" s="558">
        <v>264.27999999999997</v>
      </c>
      <c r="J17571" s="558"/>
      <c r="K17571" s="558">
        <v>5.29</v>
      </c>
      <c r="L17571" s="43">
        <v>11.503164556962025</v>
      </c>
      <c r="M17571" s="43">
        <v>11.500435161009571</v>
      </c>
      <c r="N17571" s="43" t="s">
        <v>1690</v>
      </c>
      <c r="O17571" s="43">
        <v>11.503164556962025</v>
      </c>
      <c r="P17571" s="559"/>
      <c r="Q17571" s="559"/>
      <c r="R17571" s="559">
        <v>1</v>
      </c>
    </row>
    <row r="17572" spans="1:18" ht="24">
      <c r="A17572" s="555">
        <v>16</v>
      </c>
      <c r="B17572" s="552" t="s">
        <v>31607</v>
      </c>
      <c r="C17572" s="556" t="s">
        <v>31608</v>
      </c>
      <c r="D17572" s="557">
        <v>26.96</v>
      </c>
      <c r="E17572" s="557">
        <v>26.43</v>
      </c>
      <c r="F17572" s="557"/>
      <c r="G17572" s="557">
        <v>0.53</v>
      </c>
      <c r="H17572" s="558">
        <v>310.02</v>
      </c>
      <c r="I17572" s="558">
        <v>303.92</v>
      </c>
      <c r="J17572" s="558"/>
      <c r="K17572" s="558">
        <v>6.1</v>
      </c>
      <c r="L17572" s="43">
        <v>11.503164556962025</v>
      </c>
      <c r="M17572" s="43">
        <v>11.499054105183504</v>
      </c>
      <c r="N17572" s="43" t="s">
        <v>1690</v>
      </c>
      <c r="O17572" s="43">
        <v>11.503164556962025</v>
      </c>
      <c r="P17572" s="559"/>
      <c r="Q17572" s="559"/>
      <c r="R17572" s="559">
        <v>1</v>
      </c>
    </row>
    <row r="17573" spans="1:18" ht="24">
      <c r="A17573" s="555">
        <v>17</v>
      </c>
      <c r="B17573" s="552" t="s">
        <v>31609</v>
      </c>
      <c r="C17573" s="556" t="s">
        <v>31610</v>
      </c>
      <c r="D17573" s="557">
        <v>29.3</v>
      </c>
      <c r="E17573" s="557">
        <v>28.73</v>
      </c>
      <c r="F17573" s="557"/>
      <c r="G17573" s="557">
        <v>0.56999999999999995</v>
      </c>
      <c r="H17573" s="558">
        <v>336.91</v>
      </c>
      <c r="I17573" s="558">
        <v>330.35</v>
      </c>
      <c r="J17573" s="558"/>
      <c r="K17573" s="558">
        <v>6.56</v>
      </c>
      <c r="L17573" s="43">
        <v>11.503164556962025</v>
      </c>
      <c r="M17573" s="43">
        <v>11.498433693003829</v>
      </c>
      <c r="N17573" s="43" t="s">
        <v>1690</v>
      </c>
      <c r="O17573" s="43">
        <v>11.503164556962025</v>
      </c>
      <c r="P17573" s="559"/>
      <c r="Q17573" s="559"/>
      <c r="R17573" s="559">
        <v>1</v>
      </c>
    </row>
    <row r="17574" spans="1:18" ht="24">
      <c r="A17574" s="555">
        <v>18</v>
      </c>
      <c r="B17574" s="552" t="s">
        <v>31611</v>
      </c>
      <c r="C17574" s="556" t="s">
        <v>31612</v>
      </c>
      <c r="D17574" s="557">
        <v>35.159999999999997</v>
      </c>
      <c r="E17574" s="557">
        <v>34.47</v>
      </c>
      <c r="F17574" s="557"/>
      <c r="G17574" s="557">
        <v>0.69</v>
      </c>
      <c r="H17574" s="558">
        <v>404.36</v>
      </c>
      <c r="I17574" s="558">
        <v>396.42</v>
      </c>
      <c r="J17574" s="558"/>
      <c r="K17574" s="558">
        <v>7.94</v>
      </c>
      <c r="L17574" s="43">
        <v>11.503164556962025</v>
      </c>
      <c r="M17574" s="43">
        <v>11.500435161009575</v>
      </c>
      <c r="N17574" s="43" t="s">
        <v>1690</v>
      </c>
      <c r="O17574" s="43">
        <v>11.503164556962025</v>
      </c>
      <c r="P17574" s="559"/>
      <c r="Q17574" s="559"/>
      <c r="R17574" s="559">
        <v>1</v>
      </c>
    </row>
    <row r="17575" spans="1:18" ht="24">
      <c r="A17575" s="555">
        <v>19</v>
      </c>
      <c r="B17575" s="552" t="s">
        <v>31613</v>
      </c>
      <c r="C17575" s="556" t="s">
        <v>31614</v>
      </c>
      <c r="D17575" s="557">
        <v>4.6900000000000004</v>
      </c>
      <c r="E17575" s="557">
        <v>4.5999999999999996</v>
      </c>
      <c r="F17575" s="557"/>
      <c r="G17575" s="557">
        <v>0.09</v>
      </c>
      <c r="H17575" s="558">
        <v>53.9</v>
      </c>
      <c r="I17575" s="558">
        <v>52.86</v>
      </c>
      <c r="J17575" s="558"/>
      <c r="K17575" s="558">
        <v>1.04</v>
      </c>
      <c r="L17575" s="43">
        <v>11.503164556962025</v>
      </c>
      <c r="M17575" s="43">
        <v>11.5</v>
      </c>
      <c r="N17575" s="43" t="s">
        <v>1690</v>
      </c>
      <c r="O17575" s="43">
        <v>11.503164556962025</v>
      </c>
      <c r="P17575" s="559"/>
      <c r="Q17575" s="559"/>
      <c r="R17575" s="559">
        <v>1</v>
      </c>
    </row>
    <row r="17576" spans="1:18" ht="12.75" customHeight="1">
      <c r="A17576" s="628" t="s">
        <v>31615</v>
      </c>
      <c r="B17576" s="629"/>
      <c r="C17576" s="629"/>
      <c r="D17576" s="629"/>
      <c r="E17576" s="629"/>
      <c r="F17576" s="629"/>
      <c r="G17576" s="629"/>
      <c r="H17576" s="629"/>
      <c r="I17576" s="629"/>
      <c r="J17576" s="629"/>
      <c r="K17576" s="629"/>
      <c r="L17576" s="629"/>
      <c r="M17576" s="629"/>
      <c r="N17576" s="629"/>
      <c r="O17576" s="629"/>
      <c r="P17576" s="629"/>
      <c r="Q17576" s="629"/>
      <c r="R17576" s="629"/>
    </row>
    <row r="17577" spans="1:18" ht="24">
      <c r="A17577" s="555">
        <v>20</v>
      </c>
      <c r="B17577" s="552" t="s">
        <v>31616</v>
      </c>
      <c r="C17577" s="556" t="s">
        <v>31617</v>
      </c>
      <c r="D17577" s="557">
        <v>0.86</v>
      </c>
      <c r="E17577" s="557">
        <v>0.56999999999999995</v>
      </c>
      <c r="F17577" s="557"/>
      <c r="G17577" s="557">
        <v>0.28999999999999998</v>
      </c>
      <c r="H17577" s="558">
        <v>8</v>
      </c>
      <c r="I17577" s="558">
        <v>6.61</v>
      </c>
      <c r="J17577" s="558"/>
      <c r="K17577" s="558">
        <v>1.39</v>
      </c>
      <c r="L17577" s="43">
        <v>9.3023255813953494</v>
      </c>
      <c r="M17577" s="43">
        <v>11.5</v>
      </c>
      <c r="N17577" s="43" t="s">
        <v>1690</v>
      </c>
      <c r="O17577" s="43">
        <v>4.7931034482758621</v>
      </c>
      <c r="P17577" s="559"/>
      <c r="Q17577" s="559"/>
      <c r="R17577" s="559">
        <v>2</v>
      </c>
    </row>
    <row r="17578" spans="1:18" ht="24">
      <c r="A17578" s="555">
        <v>21</v>
      </c>
      <c r="B17578" s="552" t="s">
        <v>31618</v>
      </c>
      <c r="C17578" s="556" t="s">
        <v>31619</v>
      </c>
      <c r="D17578" s="557">
        <v>1.25</v>
      </c>
      <c r="E17578" s="557">
        <v>0.69</v>
      </c>
      <c r="F17578" s="557"/>
      <c r="G17578" s="557">
        <v>0.56000000000000005</v>
      </c>
      <c r="H17578" s="558">
        <v>10.5</v>
      </c>
      <c r="I17578" s="558">
        <v>7.93</v>
      </c>
      <c r="J17578" s="558"/>
      <c r="K17578" s="558">
        <v>2.57</v>
      </c>
      <c r="L17578" s="43">
        <v>8.4</v>
      </c>
      <c r="M17578" s="43">
        <v>11.5</v>
      </c>
      <c r="N17578" s="43" t="s">
        <v>1690</v>
      </c>
      <c r="O17578" s="43">
        <v>4.5892857142857135</v>
      </c>
      <c r="P17578" s="559"/>
      <c r="Q17578" s="559"/>
      <c r="R17578" s="559">
        <v>2</v>
      </c>
    </row>
    <row r="17579" spans="1:18" ht="24">
      <c r="A17579" s="555">
        <v>22</v>
      </c>
      <c r="B17579" s="552" t="s">
        <v>31620</v>
      </c>
      <c r="C17579" s="556" t="s">
        <v>31621</v>
      </c>
      <c r="D17579" s="557">
        <v>1.67</v>
      </c>
      <c r="E17579" s="557">
        <v>0.92</v>
      </c>
      <c r="F17579" s="557"/>
      <c r="G17579" s="557">
        <v>0.75</v>
      </c>
      <c r="H17579" s="558">
        <v>14.06</v>
      </c>
      <c r="I17579" s="558">
        <v>10.57</v>
      </c>
      <c r="J17579" s="558"/>
      <c r="K17579" s="558">
        <v>3.49</v>
      </c>
      <c r="L17579" s="43">
        <v>8.4191616766467074</v>
      </c>
      <c r="M17579" s="43">
        <v>11.5</v>
      </c>
      <c r="N17579" s="43" t="s">
        <v>1690</v>
      </c>
      <c r="O17579" s="43">
        <v>4.6533333333333333</v>
      </c>
      <c r="P17579" s="559"/>
      <c r="Q17579" s="559"/>
      <c r="R17579" s="559">
        <v>2</v>
      </c>
    </row>
    <row r="17580" spans="1:18" ht="24">
      <c r="A17580" s="555">
        <v>23</v>
      </c>
      <c r="B17580" s="552" t="s">
        <v>31622</v>
      </c>
      <c r="C17580" s="556" t="s">
        <v>31623</v>
      </c>
      <c r="D17580" s="557">
        <v>2.46</v>
      </c>
      <c r="E17580" s="557">
        <v>1.1499999999999999</v>
      </c>
      <c r="F17580" s="557"/>
      <c r="G17580" s="557">
        <v>1.31</v>
      </c>
      <c r="H17580" s="558">
        <v>19.22</v>
      </c>
      <c r="I17580" s="558">
        <v>13.21</v>
      </c>
      <c r="J17580" s="558"/>
      <c r="K17580" s="558">
        <v>6.01</v>
      </c>
      <c r="L17580" s="43">
        <v>7.8130081300813004</v>
      </c>
      <c r="M17580" s="43">
        <v>11.5</v>
      </c>
      <c r="N17580" s="43" t="s">
        <v>1690</v>
      </c>
      <c r="O17580" s="43">
        <v>4.5877862595419847</v>
      </c>
      <c r="P17580" s="559"/>
      <c r="Q17580" s="559"/>
      <c r="R17580" s="559">
        <v>2</v>
      </c>
    </row>
    <row r="17581" spans="1:18" ht="24">
      <c r="A17581" s="555">
        <v>24</v>
      </c>
      <c r="B17581" s="552" t="s">
        <v>31624</v>
      </c>
      <c r="C17581" s="556" t="s">
        <v>31625</v>
      </c>
      <c r="D17581" s="557">
        <v>3.26</v>
      </c>
      <c r="E17581" s="557">
        <v>1.49</v>
      </c>
      <c r="F17581" s="557"/>
      <c r="G17581" s="557">
        <v>1.77</v>
      </c>
      <c r="H17581" s="558">
        <v>25.33</v>
      </c>
      <c r="I17581" s="558">
        <v>17.18</v>
      </c>
      <c r="J17581" s="558"/>
      <c r="K17581" s="558">
        <v>8.15</v>
      </c>
      <c r="L17581" s="43">
        <v>7.7699386503067487</v>
      </c>
      <c r="M17581" s="43">
        <v>11.5</v>
      </c>
      <c r="N17581" s="43" t="s">
        <v>1690</v>
      </c>
      <c r="O17581" s="43">
        <v>4.6045197740112993</v>
      </c>
      <c r="P17581" s="559"/>
      <c r="Q17581" s="559"/>
      <c r="R17581" s="559">
        <v>2</v>
      </c>
    </row>
    <row r="17582" spans="1:18" ht="24">
      <c r="A17582" s="555">
        <v>25</v>
      </c>
      <c r="B17582" s="552" t="s">
        <v>31626</v>
      </c>
      <c r="C17582" s="556" t="s">
        <v>31627</v>
      </c>
      <c r="D17582" s="557">
        <v>4.0599999999999996</v>
      </c>
      <c r="E17582" s="557">
        <v>1.84</v>
      </c>
      <c r="F17582" s="557"/>
      <c r="G17582" s="557">
        <v>2.2200000000000002</v>
      </c>
      <c r="H17582" s="558">
        <v>31.39</v>
      </c>
      <c r="I17582" s="558">
        <v>21.14</v>
      </c>
      <c r="J17582" s="558"/>
      <c r="K17582" s="558">
        <v>10.25</v>
      </c>
      <c r="L17582" s="43">
        <v>7.7315270935960596</v>
      </c>
      <c r="M17582" s="43">
        <v>11.5</v>
      </c>
      <c r="N17582" s="43" t="s">
        <v>1690</v>
      </c>
      <c r="O17582" s="43">
        <v>4.6171171171171164</v>
      </c>
      <c r="P17582" s="559"/>
      <c r="Q17582" s="559"/>
      <c r="R17582" s="559">
        <v>2</v>
      </c>
    </row>
    <row r="17583" spans="1:18" ht="24">
      <c r="A17583" s="555">
        <v>26</v>
      </c>
      <c r="B17583" s="552" t="s">
        <v>31628</v>
      </c>
      <c r="C17583" s="556" t="s">
        <v>31629</v>
      </c>
      <c r="D17583" s="557">
        <v>4.8499999999999996</v>
      </c>
      <c r="E17583" s="557">
        <v>2.2999999999999998</v>
      </c>
      <c r="F17583" s="557"/>
      <c r="G17583" s="557">
        <v>2.5499999999999998</v>
      </c>
      <c r="H17583" s="558">
        <v>38.25</v>
      </c>
      <c r="I17583" s="558">
        <v>26.43</v>
      </c>
      <c r="J17583" s="558"/>
      <c r="K17583" s="558">
        <v>11.82</v>
      </c>
      <c r="L17583" s="43">
        <v>7.8865979381443303</v>
      </c>
      <c r="M17583" s="43">
        <v>11.5</v>
      </c>
      <c r="N17583" s="43" t="s">
        <v>1690</v>
      </c>
      <c r="O17583" s="43">
        <v>4.6352941176470592</v>
      </c>
      <c r="P17583" s="559"/>
      <c r="Q17583" s="559"/>
      <c r="R17583" s="559">
        <v>2</v>
      </c>
    </row>
    <row r="17584" spans="1:18" ht="24">
      <c r="A17584" s="555">
        <v>27</v>
      </c>
      <c r="B17584" s="552" t="s">
        <v>31630</v>
      </c>
      <c r="C17584" s="556" t="s">
        <v>31631</v>
      </c>
      <c r="D17584" s="557">
        <v>5.37</v>
      </c>
      <c r="E17584" s="557">
        <v>2.41</v>
      </c>
      <c r="F17584" s="557"/>
      <c r="G17584" s="557">
        <v>2.96</v>
      </c>
      <c r="H17584" s="558">
        <v>41.39</v>
      </c>
      <c r="I17584" s="558">
        <v>27.75</v>
      </c>
      <c r="J17584" s="558"/>
      <c r="K17584" s="558">
        <v>13.64</v>
      </c>
      <c r="L17584" s="43">
        <v>7.7076350093109873</v>
      </c>
      <c r="M17584" s="43">
        <v>11.504522821576799</v>
      </c>
      <c r="N17584" s="43" t="s">
        <v>1690</v>
      </c>
      <c r="O17584" s="43">
        <v>4.6081081081081088</v>
      </c>
      <c r="P17584" s="559"/>
      <c r="Q17584" s="559"/>
      <c r="R17584" s="559">
        <v>2</v>
      </c>
    </row>
    <row r="17585" spans="1:18" ht="24">
      <c r="A17585" s="555">
        <v>28</v>
      </c>
      <c r="B17585" s="552" t="s">
        <v>31632</v>
      </c>
      <c r="C17585" s="556" t="s">
        <v>31633</v>
      </c>
      <c r="D17585" s="557">
        <v>6</v>
      </c>
      <c r="E17585" s="557">
        <v>2.64</v>
      </c>
      <c r="F17585" s="557"/>
      <c r="G17585" s="557">
        <v>3.36</v>
      </c>
      <c r="H17585" s="558">
        <v>45.85</v>
      </c>
      <c r="I17585" s="558">
        <v>30.39</v>
      </c>
      <c r="J17585" s="558"/>
      <c r="K17585" s="558">
        <v>15.46</v>
      </c>
      <c r="L17585" s="43">
        <v>7.6416666666666666</v>
      </c>
      <c r="M17585" s="43">
        <v>11.5013636363636</v>
      </c>
      <c r="N17585" s="43" t="s">
        <v>1690</v>
      </c>
      <c r="O17585" s="43">
        <v>4.6011904761904763</v>
      </c>
      <c r="P17585" s="559"/>
      <c r="Q17585" s="559"/>
      <c r="R17585" s="559">
        <v>2</v>
      </c>
    </row>
    <row r="17586" spans="1:18" ht="24">
      <c r="A17586" s="555">
        <v>29</v>
      </c>
      <c r="B17586" s="552" t="s">
        <v>31634</v>
      </c>
      <c r="C17586" s="556" t="s">
        <v>31635</v>
      </c>
      <c r="D17586" s="557">
        <v>6.72</v>
      </c>
      <c r="E17586" s="557">
        <v>2.87</v>
      </c>
      <c r="F17586" s="557"/>
      <c r="G17586" s="557">
        <v>3.85</v>
      </c>
      <c r="H17586" s="558">
        <v>50.77</v>
      </c>
      <c r="I17586" s="558">
        <v>33.04</v>
      </c>
      <c r="J17586" s="558"/>
      <c r="K17586" s="558">
        <v>17.73</v>
      </c>
      <c r="L17586" s="43">
        <v>7.5550595238095246</v>
      </c>
      <c r="M17586" s="43">
        <v>11.5021951219512</v>
      </c>
      <c r="N17586" s="43" t="s">
        <v>1690</v>
      </c>
      <c r="O17586" s="43">
        <v>4.6051948051948051</v>
      </c>
      <c r="P17586" s="559"/>
      <c r="Q17586" s="559"/>
      <c r="R17586" s="559">
        <v>2</v>
      </c>
    </row>
    <row r="17587" spans="1:18" ht="24">
      <c r="A17587" s="555">
        <v>30</v>
      </c>
      <c r="B17587" s="552" t="s">
        <v>31636</v>
      </c>
      <c r="C17587" s="556" t="s">
        <v>31637</v>
      </c>
      <c r="D17587" s="557">
        <v>7.72</v>
      </c>
      <c r="E17587" s="557">
        <v>3.45</v>
      </c>
      <c r="F17587" s="557"/>
      <c r="G17587" s="557">
        <v>4.2699999999999996</v>
      </c>
      <c r="H17587" s="558">
        <v>59.32</v>
      </c>
      <c r="I17587" s="558">
        <v>39.64</v>
      </c>
      <c r="J17587" s="558"/>
      <c r="K17587" s="558">
        <v>19.68</v>
      </c>
      <c r="L17587" s="43">
        <v>7.6839378238341975</v>
      </c>
      <c r="M17587" s="43">
        <v>11.5</v>
      </c>
      <c r="N17587" s="43" t="s">
        <v>1690</v>
      </c>
      <c r="O17587" s="43">
        <v>4.6088992974238883</v>
      </c>
      <c r="P17587" s="559"/>
      <c r="Q17587" s="559"/>
      <c r="R17587" s="559">
        <v>2</v>
      </c>
    </row>
    <row r="17588" spans="1:18" ht="24">
      <c r="A17588" s="555">
        <v>31</v>
      </c>
      <c r="B17588" s="552" t="s">
        <v>31638</v>
      </c>
      <c r="C17588" s="556" t="s">
        <v>31639</v>
      </c>
      <c r="D17588" s="557">
        <v>8.43</v>
      </c>
      <c r="E17588" s="557">
        <v>3.68</v>
      </c>
      <c r="F17588" s="557"/>
      <c r="G17588" s="557">
        <v>4.75</v>
      </c>
      <c r="H17588" s="558">
        <v>64.12</v>
      </c>
      <c r="I17588" s="558">
        <v>42.28</v>
      </c>
      <c r="J17588" s="558"/>
      <c r="K17588" s="558">
        <v>21.84</v>
      </c>
      <c r="L17588" s="43">
        <v>7.6061684460260981</v>
      </c>
      <c r="M17588" s="43">
        <v>11.5</v>
      </c>
      <c r="N17588" s="43" t="s">
        <v>1690</v>
      </c>
      <c r="O17588" s="43">
        <v>4.5978947368421048</v>
      </c>
      <c r="P17588" s="559"/>
      <c r="Q17588" s="559"/>
      <c r="R17588" s="559">
        <v>2</v>
      </c>
    </row>
    <row r="17589" spans="1:18" ht="24">
      <c r="A17589" s="555">
        <v>32</v>
      </c>
      <c r="B17589" s="552" t="s">
        <v>31640</v>
      </c>
      <c r="C17589" s="556" t="s">
        <v>31641</v>
      </c>
      <c r="D17589" s="557">
        <v>10.26</v>
      </c>
      <c r="E17589" s="557">
        <v>4.5999999999999996</v>
      </c>
      <c r="F17589" s="557"/>
      <c r="G17589" s="557">
        <v>5.66</v>
      </c>
      <c r="H17589" s="558">
        <v>78.91</v>
      </c>
      <c r="I17589" s="558">
        <v>52.86</v>
      </c>
      <c r="J17589" s="558"/>
      <c r="K17589" s="558">
        <v>26.05</v>
      </c>
      <c r="L17589" s="43">
        <v>7.6910331384015596</v>
      </c>
      <c r="M17589" s="43">
        <v>11.5</v>
      </c>
      <c r="N17589" s="43" t="s">
        <v>1690</v>
      </c>
      <c r="O17589" s="43">
        <v>4.6024734982332154</v>
      </c>
      <c r="P17589" s="559"/>
      <c r="Q17589" s="559"/>
      <c r="R17589" s="559">
        <v>2</v>
      </c>
    </row>
    <row r="17590" spans="1:18" ht="24">
      <c r="A17590" s="555">
        <v>33</v>
      </c>
      <c r="B17590" s="552" t="s">
        <v>31642</v>
      </c>
      <c r="C17590" s="556" t="s">
        <v>31643</v>
      </c>
      <c r="D17590" s="557">
        <v>11.7</v>
      </c>
      <c r="E17590" s="557">
        <v>5.0599999999999996</v>
      </c>
      <c r="F17590" s="557"/>
      <c r="G17590" s="557">
        <v>6.64</v>
      </c>
      <c r="H17590" s="558">
        <v>88.67</v>
      </c>
      <c r="I17590" s="558">
        <v>58.14</v>
      </c>
      <c r="J17590" s="558"/>
      <c r="K17590" s="558">
        <v>30.53</v>
      </c>
      <c r="L17590" s="43">
        <v>7.5786324786324792</v>
      </c>
      <c r="M17590" s="43">
        <v>11.5</v>
      </c>
      <c r="N17590" s="43" t="s">
        <v>1690</v>
      </c>
      <c r="O17590" s="43">
        <v>4.5978915662650603</v>
      </c>
      <c r="P17590" s="559"/>
      <c r="Q17590" s="559"/>
      <c r="R17590" s="559">
        <v>2</v>
      </c>
    </row>
    <row r="17591" spans="1:18" ht="24">
      <c r="A17591" s="555">
        <v>34</v>
      </c>
      <c r="B17591" s="552" t="s">
        <v>31644</v>
      </c>
      <c r="C17591" s="556" t="s">
        <v>31645</v>
      </c>
      <c r="D17591" s="557">
        <v>13.29</v>
      </c>
      <c r="E17591" s="557">
        <v>5.75</v>
      </c>
      <c r="F17591" s="557"/>
      <c r="G17591" s="557">
        <v>7.54</v>
      </c>
      <c r="H17591" s="558">
        <v>100.7</v>
      </c>
      <c r="I17591" s="558">
        <v>66.069999999999993</v>
      </c>
      <c r="J17591" s="558"/>
      <c r="K17591" s="558">
        <v>34.630000000000003</v>
      </c>
      <c r="L17591" s="43">
        <v>7.5771256583897673</v>
      </c>
      <c r="M17591" s="43">
        <v>11.5</v>
      </c>
      <c r="N17591" s="43" t="s">
        <v>1690</v>
      </c>
      <c r="O17591" s="43">
        <v>4.5928381962864728</v>
      </c>
      <c r="P17591" s="559"/>
      <c r="Q17591" s="559"/>
      <c r="R17591" s="559">
        <v>2</v>
      </c>
    </row>
    <row r="17592" spans="1:18" ht="24">
      <c r="A17592" s="555">
        <v>35</v>
      </c>
      <c r="B17592" s="552" t="s">
        <v>31646</v>
      </c>
      <c r="C17592" s="556" t="s">
        <v>31647</v>
      </c>
      <c r="D17592" s="557">
        <v>15.43</v>
      </c>
      <c r="E17592" s="557">
        <v>6.89</v>
      </c>
      <c r="F17592" s="557"/>
      <c r="G17592" s="557">
        <v>8.5399999999999991</v>
      </c>
      <c r="H17592" s="558">
        <v>118.63</v>
      </c>
      <c r="I17592" s="558">
        <v>79.28</v>
      </c>
      <c r="J17592" s="558"/>
      <c r="K17592" s="558">
        <v>39.35</v>
      </c>
      <c r="L17592" s="43">
        <v>7.6882696046662344</v>
      </c>
      <c r="M17592" s="43">
        <v>11.5021951219512</v>
      </c>
      <c r="N17592" s="43" t="s">
        <v>1690</v>
      </c>
      <c r="O17592" s="43">
        <v>4.6077283372365345</v>
      </c>
      <c r="P17592" s="559"/>
      <c r="Q17592" s="559"/>
      <c r="R17592" s="559">
        <v>2</v>
      </c>
    </row>
    <row r="17593" spans="1:18" ht="24">
      <c r="A17593" s="555">
        <v>36</v>
      </c>
      <c r="B17593" s="552" t="s">
        <v>31648</v>
      </c>
      <c r="C17593" s="556" t="s">
        <v>31649</v>
      </c>
      <c r="D17593" s="557">
        <v>16.760000000000002</v>
      </c>
      <c r="E17593" s="557">
        <v>7.24</v>
      </c>
      <c r="F17593" s="557"/>
      <c r="G17593" s="557">
        <v>9.52</v>
      </c>
      <c r="H17593" s="558">
        <v>126.97</v>
      </c>
      <c r="I17593" s="558">
        <v>83.25</v>
      </c>
      <c r="J17593" s="558"/>
      <c r="K17593" s="558">
        <v>43.72</v>
      </c>
      <c r="L17593" s="43">
        <v>7.5757756563245815</v>
      </c>
      <c r="M17593" s="43">
        <v>11.498618784530386</v>
      </c>
      <c r="N17593" s="43" t="s">
        <v>1690</v>
      </c>
      <c r="O17593" s="43">
        <v>4.5924369747899156</v>
      </c>
      <c r="P17593" s="559"/>
      <c r="Q17593" s="559"/>
      <c r="R17593" s="559">
        <v>2</v>
      </c>
    </row>
    <row r="17594" spans="1:18" ht="24">
      <c r="A17594" s="555">
        <v>37</v>
      </c>
      <c r="B17594" s="552" t="s">
        <v>31650</v>
      </c>
      <c r="C17594" s="556" t="s">
        <v>31651</v>
      </c>
      <c r="D17594" s="557">
        <v>18.55</v>
      </c>
      <c r="E17594" s="557">
        <v>8.0399999999999991</v>
      </c>
      <c r="F17594" s="557"/>
      <c r="G17594" s="557">
        <v>10.51</v>
      </c>
      <c r="H17594" s="558">
        <v>140.82</v>
      </c>
      <c r="I17594" s="558">
        <v>92.5</v>
      </c>
      <c r="J17594" s="558"/>
      <c r="K17594" s="558">
        <v>48.32</v>
      </c>
      <c r="L17594" s="43">
        <v>7.5913746630727754</v>
      </c>
      <c r="M17594" s="43">
        <v>11.504975124378111</v>
      </c>
      <c r="N17594" s="43" t="s">
        <v>1690</v>
      </c>
      <c r="O17594" s="43">
        <v>4.5975261655566131</v>
      </c>
      <c r="P17594" s="559"/>
      <c r="Q17594" s="559"/>
      <c r="R17594" s="559">
        <v>2</v>
      </c>
    </row>
    <row r="17595" spans="1:18" ht="24">
      <c r="A17595" s="555">
        <v>38</v>
      </c>
      <c r="B17595" s="552" t="s">
        <v>31652</v>
      </c>
      <c r="C17595" s="556" t="s">
        <v>31653</v>
      </c>
      <c r="D17595" s="557">
        <v>2.62</v>
      </c>
      <c r="E17595" s="557">
        <v>1.1499999999999999</v>
      </c>
      <c r="F17595" s="557"/>
      <c r="G17595" s="557">
        <v>1.47</v>
      </c>
      <c r="H17595" s="558">
        <v>19.97</v>
      </c>
      <c r="I17595" s="558">
        <v>13.21</v>
      </c>
      <c r="J17595" s="558"/>
      <c r="K17595" s="558">
        <v>6.76</v>
      </c>
      <c r="L17595" s="43">
        <v>7.622137404580152</v>
      </c>
      <c r="M17595" s="43">
        <v>11.5</v>
      </c>
      <c r="N17595" s="43" t="s">
        <v>1690</v>
      </c>
      <c r="O17595" s="43">
        <v>4.5986394557823127</v>
      </c>
      <c r="P17595" s="559"/>
      <c r="Q17595" s="559"/>
      <c r="R17595" s="559">
        <v>2</v>
      </c>
    </row>
    <row r="17596" spans="1:18" ht="12.75" customHeight="1">
      <c r="A17596" s="628" t="s">
        <v>31654</v>
      </c>
      <c r="B17596" s="629"/>
      <c r="C17596" s="629"/>
      <c r="D17596" s="629"/>
      <c r="E17596" s="629"/>
      <c r="F17596" s="629"/>
      <c r="G17596" s="629"/>
      <c r="H17596" s="629"/>
      <c r="I17596" s="629"/>
      <c r="J17596" s="629"/>
      <c r="K17596" s="629"/>
      <c r="L17596" s="629"/>
      <c r="M17596" s="629"/>
      <c r="N17596" s="629"/>
      <c r="O17596" s="629"/>
      <c r="P17596" s="629"/>
      <c r="Q17596" s="629"/>
      <c r="R17596" s="629"/>
    </row>
    <row r="17597" spans="1:18" ht="84">
      <c r="A17597" s="555">
        <v>39</v>
      </c>
      <c r="B17597" s="552" t="s">
        <v>31655</v>
      </c>
      <c r="C17597" s="556" t="s">
        <v>31656</v>
      </c>
      <c r="D17597" s="557">
        <v>1.78</v>
      </c>
      <c r="E17597" s="557">
        <v>0.92</v>
      </c>
      <c r="F17597" s="557">
        <v>0.84</v>
      </c>
      <c r="G17597" s="557">
        <v>0.02</v>
      </c>
      <c r="H17597" s="558">
        <v>15.23</v>
      </c>
      <c r="I17597" s="558">
        <v>10.57</v>
      </c>
      <c r="J17597" s="558">
        <v>4.43</v>
      </c>
      <c r="K17597" s="558">
        <v>0.23</v>
      </c>
      <c r="L17597" s="43">
        <v>8.5561797752808992</v>
      </c>
      <c r="M17597" s="43">
        <v>11.5</v>
      </c>
      <c r="N17597" s="43">
        <v>5.2738095238095237</v>
      </c>
      <c r="O17597" s="43">
        <v>11.503164556962025</v>
      </c>
      <c r="P17597" s="559"/>
      <c r="Q17597" s="559"/>
      <c r="R17597" s="559">
        <v>3</v>
      </c>
    </row>
    <row r="17598" spans="1:18" ht="84">
      <c r="A17598" s="555">
        <v>40</v>
      </c>
      <c r="B17598" s="552" t="s">
        <v>31657</v>
      </c>
      <c r="C17598" s="556" t="s">
        <v>31658</v>
      </c>
      <c r="D17598" s="557">
        <v>2.13</v>
      </c>
      <c r="E17598" s="557">
        <v>1.1499999999999999</v>
      </c>
      <c r="F17598" s="557">
        <v>0.96</v>
      </c>
      <c r="G17598" s="557">
        <v>0.02</v>
      </c>
      <c r="H17598" s="558">
        <v>18.510000000000002</v>
      </c>
      <c r="I17598" s="558">
        <v>13.21</v>
      </c>
      <c r="J17598" s="558">
        <v>5.07</v>
      </c>
      <c r="K17598" s="558">
        <v>0.23</v>
      </c>
      <c r="L17598" s="43">
        <v>8.6901408450704238</v>
      </c>
      <c r="M17598" s="43">
        <v>11.5</v>
      </c>
      <c r="N17598" s="43">
        <v>5.2812500000000009</v>
      </c>
      <c r="O17598" s="43">
        <v>11.503164556962025</v>
      </c>
      <c r="P17598" s="559"/>
      <c r="Q17598" s="559"/>
      <c r="R17598" s="559">
        <v>3</v>
      </c>
    </row>
    <row r="17599" spans="1:18" ht="84">
      <c r="A17599" s="555">
        <v>41</v>
      </c>
      <c r="B17599" s="552" t="s">
        <v>31659</v>
      </c>
      <c r="C17599" s="556" t="s">
        <v>31660</v>
      </c>
      <c r="D17599" s="557">
        <v>2.96</v>
      </c>
      <c r="E17599" s="557">
        <v>1.49</v>
      </c>
      <c r="F17599" s="557">
        <v>1.44</v>
      </c>
      <c r="G17599" s="557">
        <v>0.03</v>
      </c>
      <c r="H17599" s="558">
        <v>25.13</v>
      </c>
      <c r="I17599" s="558">
        <v>17.18</v>
      </c>
      <c r="J17599" s="558">
        <v>7.6</v>
      </c>
      <c r="K17599" s="558">
        <v>0.35</v>
      </c>
      <c r="L17599" s="43">
        <v>8.4898648648648649</v>
      </c>
      <c r="M17599" s="43">
        <v>11.5</v>
      </c>
      <c r="N17599" s="43">
        <v>5.2777777777777777</v>
      </c>
      <c r="O17599" s="43">
        <v>11.503164556962025</v>
      </c>
      <c r="P17599" s="559"/>
      <c r="Q17599" s="559"/>
      <c r="R17599" s="559">
        <v>3</v>
      </c>
    </row>
    <row r="17600" spans="1:18" ht="84">
      <c r="A17600" s="555">
        <v>42</v>
      </c>
      <c r="B17600" s="552" t="s">
        <v>31661</v>
      </c>
      <c r="C17600" s="556" t="s">
        <v>31662</v>
      </c>
      <c r="D17600" s="557">
        <v>3.43</v>
      </c>
      <c r="E17600" s="557">
        <v>1.72</v>
      </c>
      <c r="F17600" s="557">
        <v>1.68</v>
      </c>
      <c r="G17600" s="557">
        <v>0.03</v>
      </c>
      <c r="H17600" s="558">
        <v>29.04</v>
      </c>
      <c r="I17600" s="558">
        <v>19.82</v>
      </c>
      <c r="J17600" s="558">
        <v>8.8699999999999992</v>
      </c>
      <c r="K17600" s="558">
        <v>0.35</v>
      </c>
      <c r="L17600" s="43">
        <v>8.4664723032069968</v>
      </c>
      <c r="M17600" s="43">
        <v>11.5</v>
      </c>
      <c r="N17600" s="43">
        <v>5.2797619047619042</v>
      </c>
      <c r="O17600" s="43">
        <v>11.503164556962025</v>
      </c>
      <c r="P17600" s="559"/>
      <c r="Q17600" s="559"/>
      <c r="R17600" s="559">
        <v>3</v>
      </c>
    </row>
    <row r="17601" spans="1:18" ht="84">
      <c r="A17601" s="555">
        <v>43</v>
      </c>
      <c r="B17601" s="552" t="s">
        <v>31663</v>
      </c>
      <c r="C17601" s="556" t="s">
        <v>31664</v>
      </c>
      <c r="D17601" s="557">
        <v>3.91</v>
      </c>
      <c r="E17601" s="557">
        <v>1.95</v>
      </c>
      <c r="F17601" s="557">
        <v>1.92</v>
      </c>
      <c r="G17601" s="557">
        <v>0.04</v>
      </c>
      <c r="H17601" s="558">
        <v>33.049999999999997</v>
      </c>
      <c r="I17601" s="558">
        <v>22.46</v>
      </c>
      <c r="J17601" s="558">
        <v>10.130000000000001</v>
      </c>
      <c r="K17601" s="558">
        <v>0.46</v>
      </c>
      <c r="L17601" s="43">
        <v>8.4526854219948842</v>
      </c>
      <c r="M17601" s="43">
        <v>11.5</v>
      </c>
      <c r="N17601" s="43">
        <v>5.276041666666667</v>
      </c>
      <c r="O17601" s="43">
        <v>11.503164556962025</v>
      </c>
      <c r="P17601" s="559"/>
      <c r="Q17601" s="559"/>
      <c r="R17601" s="559">
        <v>3</v>
      </c>
    </row>
    <row r="17602" spans="1:18" ht="84">
      <c r="A17602" s="555">
        <v>44</v>
      </c>
      <c r="B17602" s="552" t="s">
        <v>31665</v>
      </c>
      <c r="C17602" s="556" t="s">
        <v>31666</v>
      </c>
      <c r="D17602" s="557">
        <v>4.63</v>
      </c>
      <c r="E17602" s="557">
        <v>2.2999999999999998</v>
      </c>
      <c r="F17602" s="557">
        <v>2.2799999999999998</v>
      </c>
      <c r="G17602" s="557">
        <v>0.05</v>
      </c>
      <c r="H17602" s="558">
        <v>39.04</v>
      </c>
      <c r="I17602" s="558">
        <v>26.43</v>
      </c>
      <c r="J17602" s="558">
        <v>12.03</v>
      </c>
      <c r="K17602" s="558">
        <v>0.57999999999999996</v>
      </c>
      <c r="L17602" s="43">
        <v>8.4319654427645787</v>
      </c>
      <c r="M17602" s="43">
        <v>11.5</v>
      </c>
      <c r="N17602" s="43">
        <v>5.2763157894736841</v>
      </c>
      <c r="O17602" s="43">
        <v>11.503164556962025</v>
      </c>
      <c r="P17602" s="559"/>
      <c r="Q17602" s="559"/>
      <c r="R17602" s="559">
        <v>3</v>
      </c>
    </row>
    <row r="17603" spans="1:18" ht="84">
      <c r="A17603" s="555">
        <v>45</v>
      </c>
      <c r="B17603" s="552" t="s">
        <v>31667</v>
      </c>
      <c r="C17603" s="556" t="s">
        <v>31668</v>
      </c>
      <c r="D17603" s="557">
        <v>5.33</v>
      </c>
      <c r="E17603" s="557">
        <v>2.64</v>
      </c>
      <c r="F17603" s="557">
        <v>2.64</v>
      </c>
      <c r="G17603" s="557">
        <v>0.05</v>
      </c>
      <c r="H17603" s="558">
        <v>44.9</v>
      </c>
      <c r="I17603" s="558">
        <v>30.39</v>
      </c>
      <c r="J17603" s="558">
        <v>13.93</v>
      </c>
      <c r="K17603" s="558">
        <v>0.57999999999999996</v>
      </c>
      <c r="L17603" s="43">
        <v>8.424015009380863</v>
      </c>
      <c r="M17603" s="43">
        <v>11.5013636363636</v>
      </c>
      <c r="N17603" s="43">
        <v>5.2765151515151514</v>
      </c>
      <c r="O17603" s="43">
        <v>11.503164556962025</v>
      </c>
      <c r="P17603" s="559"/>
      <c r="Q17603" s="559"/>
      <c r="R17603" s="559">
        <v>3</v>
      </c>
    </row>
    <row r="17604" spans="1:18" ht="84">
      <c r="A17604" s="555">
        <v>46</v>
      </c>
      <c r="B17604" s="552" t="s">
        <v>31669</v>
      </c>
      <c r="C17604" s="556" t="s">
        <v>31670</v>
      </c>
      <c r="D17604" s="557">
        <v>5.0999999999999996</v>
      </c>
      <c r="E17604" s="557">
        <v>2.5299999999999998</v>
      </c>
      <c r="F17604" s="557">
        <v>2.52</v>
      </c>
      <c r="G17604" s="557">
        <v>0.05</v>
      </c>
      <c r="H17604" s="558">
        <v>42.95</v>
      </c>
      <c r="I17604" s="558">
        <v>29.07</v>
      </c>
      <c r="J17604" s="558">
        <v>13.3</v>
      </c>
      <c r="K17604" s="558">
        <v>0.57999999999999996</v>
      </c>
      <c r="L17604" s="43">
        <v>8.4215686274509807</v>
      </c>
      <c r="M17604" s="43">
        <v>11.5</v>
      </c>
      <c r="N17604" s="43">
        <v>5.2777777777777777</v>
      </c>
      <c r="O17604" s="43">
        <v>11.503164556962025</v>
      </c>
      <c r="P17604" s="559"/>
      <c r="Q17604" s="559"/>
      <c r="R17604" s="559">
        <v>3</v>
      </c>
    </row>
    <row r="17605" spans="1:18" ht="84">
      <c r="A17605" s="555">
        <v>47</v>
      </c>
      <c r="B17605" s="552" t="s">
        <v>31671</v>
      </c>
      <c r="C17605" s="556" t="s">
        <v>31672</v>
      </c>
      <c r="D17605" s="557">
        <v>6.05</v>
      </c>
      <c r="E17605" s="557">
        <v>2.99</v>
      </c>
      <c r="F17605" s="557">
        <v>3</v>
      </c>
      <c r="G17605" s="557">
        <v>0.06</v>
      </c>
      <c r="H17605" s="558">
        <v>50.88</v>
      </c>
      <c r="I17605" s="558">
        <v>34.36</v>
      </c>
      <c r="J17605" s="558">
        <v>15.83</v>
      </c>
      <c r="K17605" s="558">
        <v>0.69</v>
      </c>
      <c r="L17605" s="43">
        <v>8.4099173553719009</v>
      </c>
      <c r="M17605" s="43">
        <v>11.5</v>
      </c>
      <c r="N17605" s="43">
        <v>5.2766666666666664</v>
      </c>
      <c r="O17605" s="43">
        <v>11.503164556962025</v>
      </c>
      <c r="P17605" s="559"/>
      <c r="Q17605" s="559"/>
      <c r="R17605" s="559">
        <v>3</v>
      </c>
    </row>
    <row r="17606" spans="1:18" ht="84">
      <c r="A17606" s="555">
        <v>48</v>
      </c>
      <c r="B17606" s="552" t="s">
        <v>31673</v>
      </c>
      <c r="C17606" s="556" t="s">
        <v>31674</v>
      </c>
      <c r="D17606" s="557">
        <v>7.11</v>
      </c>
      <c r="E17606" s="557">
        <v>3.56</v>
      </c>
      <c r="F17606" s="557">
        <v>3.48</v>
      </c>
      <c r="G17606" s="557">
        <v>7.0000000000000007E-2</v>
      </c>
      <c r="H17606" s="558">
        <v>60.14</v>
      </c>
      <c r="I17606" s="558">
        <v>40.96</v>
      </c>
      <c r="J17606" s="558">
        <v>18.37</v>
      </c>
      <c r="K17606" s="558">
        <v>0.81</v>
      </c>
      <c r="L17606" s="43">
        <v>8.4585091420534457</v>
      </c>
      <c r="M17606" s="43">
        <v>11.5021951219512</v>
      </c>
      <c r="N17606" s="43">
        <v>5.2787356321839081</v>
      </c>
      <c r="O17606" s="43">
        <v>11.503164556962025</v>
      </c>
      <c r="P17606" s="559"/>
      <c r="Q17606" s="559"/>
      <c r="R17606" s="559">
        <v>3</v>
      </c>
    </row>
    <row r="17607" spans="1:18" ht="84">
      <c r="A17607" s="555">
        <v>49</v>
      </c>
      <c r="B17607" s="552" t="s">
        <v>31675</v>
      </c>
      <c r="C17607" s="556" t="s">
        <v>31676</v>
      </c>
      <c r="D17607" s="557">
        <v>6.52</v>
      </c>
      <c r="E17607" s="557">
        <v>3.22</v>
      </c>
      <c r="F17607" s="557">
        <v>3.24</v>
      </c>
      <c r="G17607" s="557">
        <v>0.06</v>
      </c>
      <c r="H17607" s="558">
        <v>54.79</v>
      </c>
      <c r="I17607" s="558">
        <v>37</v>
      </c>
      <c r="J17607" s="558">
        <v>17.100000000000001</v>
      </c>
      <c r="K17607" s="558">
        <v>0.69</v>
      </c>
      <c r="L17607" s="43">
        <v>8.4033742331288348</v>
      </c>
      <c r="M17607" s="43">
        <v>11.5</v>
      </c>
      <c r="N17607" s="43">
        <v>5.2777777777777777</v>
      </c>
      <c r="O17607" s="43">
        <v>11.503164556962025</v>
      </c>
      <c r="P17607" s="559"/>
      <c r="Q17607" s="559"/>
      <c r="R17607" s="559">
        <v>3</v>
      </c>
    </row>
    <row r="17608" spans="1:18" ht="84">
      <c r="A17608" s="555">
        <v>50</v>
      </c>
      <c r="B17608" s="552" t="s">
        <v>31677</v>
      </c>
      <c r="C17608" s="556" t="s">
        <v>31678</v>
      </c>
      <c r="D17608" s="557">
        <v>7.83</v>
      </c>
      <c r="E17608" s="557">
        <v>3.91</v>
      </c>
      <c r="F17608" s="557">
        <v>3.84</v>
      </c>
      <c r="G17608" s="557">
        <v>0.08</v>
      </c>
      <c r="H17608" s="558">
        <v>66.12</v>
      </c>
      <c r="I17608" s="558">
        <v>44.93</v>
      </c>
      <c r="J17608" s="558">
        <v>20.27</v>
      </c>
      <c r="K17608" s="558">
        <v>0.92</v>
      </c>
      <c r="L17608" s="43">
        <v>8.4444444444444446</v>
      </c>
      <c r="M17608" s="43">
        <v>11.5</v>
      </c>
      <c r="N17608" s="43">
        <v>5.278645833333333</v>
      </c>
      <c r="O17608" s="43">
        <v>11.503164556962025</v>
      </c>
      <c r="P17608" s="559"/>
      <c r="Q17608" s="559"/>
      <c r="R17608" s="559">
        <v>3</v>
      </c>
    </row>
    <row r="17609" spans="1:18" ht="84">
      <c r="A17609" s="555">
        <v>51</v>
      </c>
      <c r="B17609" s="552" t="s">
        <v>31679</v>
      </c>
      <c r="C17609" s="556" t="s">
        <v>31680</v>
      </c>
      <c r="D17609" s="557">
        <v>10.43</v>
      </c>
      <c r="E17609" s="557">
        <v>5.17</v>
      </c>
      <c r="F17609" s="557">
        <v>5.16</v>
      </c>
      <c r="G17609" s="557">
        <v>0.1</v>
      </c>
      <c r="H17609" s="558">
        <v>87.84</v>
      </c>
      <c r="I17609" s="558">
        <v>59.46</v>
      </c>
      <c r="J17609" s="558">
        <v>27.23</v>
      </c>
      <c r="K17609" s="558">
        <v>1.1499999999999999</v>
      </c>
      <c r="L17609" s="43">
        <v>8.4218600191754565</v>
      </c>
      <c r="M17609" s="43">
        <v>11.500967117988395</v>
      </c>
      <c r="N17609" s="43">
        <v>5.2771317829457365</v>
      </c>
      <c r="O17609" s="43">
        <v>11.503164556962025</v>
      </c>
      <c r="P17609" s="559"/>
      <c r="Q17609" s="559"/>
      <c r="R17609" s="559">
        <v>3</v>
      </c>
    </row>
    <row r="17610" spans="1:18" ht="84">
      <c r="A17610" s="555">
        <v>52</v>
      </c>
      <c r="B17610" s="552" t="s">
        <v>31681</v>
      </c>
      <c r="C17610" s="556" t="s">
        <v>31682</v>
      </c>
      <c r="D17610" s="557">
        <v>8.3000000000000007</v>
      </c>
      <c r="E17610" s="557">
        <v>4.1399999999999997</v>
      </c>
      <c r="F17610" s="557">
        <v>4.08</v>
      </c>
      <c r="G17610" s="557">
        <v>0.08</v>
      </c>
      <c r="H17610" s="558">
        <v>70.02</v>
      </c>
      <c r="I17610" s="558">
        <v>47.57</v>
      </c>
      <c r="J17610" s="558">
        <v>21.53</v>
      </c>
      <c r="K17610" s="558">
        <v>0.92</v>
      </c>
      <c r="L17610" s="43">
        <v>8.436144578313252</v>
      </c>
      <c r="M17610" s="43">
        <v>11.5</v>
      </c>
      <c r="N17610" s="43">
        <v>5.2769607843137258</v>
      </c>
      <c r="O17610" s="43">
        <v>11.503164556962025</v>
      </c>
      <c r="P17610" s="559"/>
      <c r="Q17610" s="559"/>
      <c r="R17610" s="559">
        <v>3</v>
      </c>
    </row>
    <row r="17611" spans="1:18" ht="84">
      <c r="A17611" s="555">
        <v>53</v>
      </c>
      <c r="B17611" s="552" t="s">
        <v>31683</v>
      </c>
      <c r="C17611" s="556" t="s">
        <v>31684</v>
      </c>
      <c r="D17611" s="557">
        <v>9.73</v>
      </c>
      <c r="E17611" s="557">
        <v>4.83</v>
      </c>
      <c r="F17611" s="557">
        <v>4.8</v>
      </c>
      <c r="G17611" s="557">
        <v>0.1</v>
      </c>
      <c r="H17611" s="558">
        <v>81.98</v>
      </c>
      <c r="I17611" s="558">
        <v>55.5</v>
      </c>
      <c r="J17611" s="558">
        <v>25.33</v>
      </c>
      <c r="K17611" s="558">
        <v>1.1499999999999999</v>
      </c>
      <c r="L17611" s="43">
        <v>8.425488180883864</v>
      </c>
      <c r="M17611" s="43">
        <v>11.5</v>
      </c>
      <c r="N17611" s="43">
        <v>5.2770833333333336</v>
      </c>
      <c r="O17611" s="43">
        <v>11.503164556962025</v>
      </c>
      <c r="P17611" s="559"/>
      <c r="Q17611" s="559"/>
      <c r="R17611" s="559">
        <v>3</v>
      </c>
    </row>
    <row r="17612" spans="1:18" ht="84">
      <c r="A17612" s="555">
        <v>54</v>
      </c>
      <c r="B17612" s="552" t="s">
        <v>31685</v>
      </c>
      <c r="C17612" s="556" t="s">
        <v>31686</v>
      </c>
      <c r="D17612" s="557">
        <v>13.76</v>
      </c>
      <c r="E17612" s="557">
        <v>6.89</v>
      </c>
      <c r="F17612" s="557">
        <v>6.73</v>
      </c>
      <c r="G17612" s="557">
        <v>0.14000000000000001</v>
      </c>
      <c r="H17612" s="558">
        <v>116.35</v>
      </c>
      <c r="I17612" s="558">
        <v>79.28</v>
      </c>
      <c r="J17612" s="558">
        <v>35.46</v>
      </c>
      <c r="K17612" s="558">
        <v>1.61</v>
      </c>
      <c r="L17612" s="43">
        <v>8.4556686046511622</v>
      </c>
      <c r="M17612" s="43">
        <v>11.5021951219512</v>
      </c>
      <c r="N17612" s="43">
        <v>5.2689450222882614</v>
      </c>
      <c r="O17612" s="43">
        <v>11.503164556962025</v>
      </c>
      <c r="P17612" s="559"/>
      <c r="Q17612" s="559"/>
      <c r="R17612" s="559">
        <v>3</v>
      </c>
    </row>
    <row r="17613" spans="1:18" ht="84">
      <c r="A17613" s="555">
        <v>55</v>
      </c>
      <c r="B17613" s="552" t="s">
        <v>31687</v>
      </c>
      <c r="C17613" s="556" t="s">
        <v>31688</v>
      </c>
      <c r="D17613" s="557">
        <v>16.25</v>
      </c>
      <c r="E17613" s="557">
        <v>8.0399999999999991</v>
      </c>
      <c r="F17613" s="557">
        <v>8.0500000000000007</v>
      </c>
      <c r="G17613" s="557">
        <v>0.16</v>
      </c>
      <c r="H17613" s="558">
        <v>136.77000000000001</v>
      </c>
      <c r="I17613" s="558">
        <v>92.5</v>
      </c>
      <c r="J17613" s="558">
        <v>42.43</v>
      </c>
      <c r="K17613" s="558">
        <v>1.84</v>
      </c>
      <c r="L17613" s="43">
        <v>8.4166153846153851</v>
      </c>
      <c r="M17613" s="43">
        <v>11.504975124378111</v>
      </c>
      <c r="N17613" s="43">
        <v>5.2708074534161486</v>
      </c>
      <c r="O17613" s="43">
        <v>11.503164556962025</v>
      </c>
      <c r="P17613" s="559"/>
      <c r="Q17613" s="559"/>
      <c r="R17613" s="559">
        <v>3</v>
      </c>
    </row>
    <row r="17614" spans="1:18" ht="84">
      <c r="A17614" s="555">
        <v>56</v>
      </c>
      <c r="B17614" s="552" t="s">
        <v>31689</v>
      </c>
      <c r="C17614" s="556" t="s">
        <v>31690</v>
      </c>
      <c r="D17614" s="557">
        <v>9.25</v>
      </c>
      <c r="E17614" s="557">
        <v>4.5999999999999996</v>
      </c>
      <c r="F17614" s="557">
        <v>4.5599999999999996</v>
      </c>
      <c r="G17614" s="557">
        <v>0.09</v>
      </c>
      <c r="H17614" s="558">
        <v>77.97</v>
      </c>
      <c r="I17614" s="558">
        <v>52.86</v>
      </c>
      <c r="J17614" s="558">
        <v>24.07</v>
      </c>
      <c r="K17614" s="558">
        <v>1.04</v>
      </c>
      <c r="L17614" s="43">
        <v>8.4291891891891897</v>
      </c>
      <c r="M17614" s="43">
        <v>11.5</v>
      </c>
      <c r="N17614" s="43">
        <v>5.2785087719298254</v>
      </c>
      <c r="O17614" s="43">
        <v>11.503164556962025</v>
      </c>
      <c r="P17614" s="559"/>
      <c r="Q17614" s="559"/>
      <c r="R17614" s="559">
        <v>3</v>
      </c>
    </row>
    <row r="17615" spans="1:18" ht="84">
      <c r="A17615" s="555">
        <v>57</v>
      </c>
      <c r="B17615" s="552" t="s">
        <v>31691</v>
      </c>
      <c r="C17615" s="556" t="s">
        <v>31692</v>
      </c>
      <c r="D17615" s="557">
        <v>11.5</v>
      </c>
      <c r="E17615" s="557">
        <v>5.75</v>
      </c>
      <c r="F17615" s="557">
        <v>5.64</v>
      </c>
      <c r="G17615" s="557">
        <v>0.11</v>
      </c>
      <c r="H17615" s="558">
        <v>97.11</v>
      </c>
      <c r="I17615" s="558">
        <v>66.069999999999993</v>
      </c>
      <c r="J17615" s="558">
        <v>29.77</v>
      </c>
      <c r="K17615" s="558">
        <v>1.27</v>
      </c>
      <c r="L17615" s="43">
        <v>8.4443478260869558</v>
      </c>
      <c r="M17615" s="43">
        <v>11.5</v>
      </c>
      <c r="N17615" s="43">
        <v>5.2783687943262416</v>
      </c>
      <c r="O17615" s="43">
        <v>11.503164556962025</v>
      </c>
      <c r="P17615" s="559"/>
      <c r="Q17615" s="559"/>
      <c r="R17615" s="559">
        <v>3</v>
      </c>
    </row>
    <row r="17616" spans="1:18" ht="84">
      <c r="A17616" s="555">
        <v>58</v>
      </c>
      <c r="B17616" s="552" t="s">
        <v>31693</v>
      </c>
      <c r="C17616" s="556" t="s">
        <v>31694</v>
      </c>
      <c r="D17616" s="557">
        <v>15.54</v>
      </c>
      <c r="E17616" s="557">
        <v>7.7</v>
      </c>
      <c r="F17616" s="557">
        <v>7.69</v>
      </c>
      <c r="G17616" s="557">
        <v>0.15</v>
      </c>
      <c r="H17616" s="558">
        <v>130.79</v>
      </c>
      <c r="I17616" s="558">
        <v>88.53</v>
      </c>
      <c r="J17616" s="558">
        <v>40.53</v>
      </c>
      <c r="K17616" s="558">
        <v>1.73</v>
      </c>
      <c r="L17616" s="43">
        <v>8.4163449163449169</v>
      </c>
      <c r="M17616" s="43">
        <v>11.497402597402598</v>
      </c>
      <c r="N17616" s="43">
        <v>5.2704811443433028</v>
      </c>
      <c r="O17616" s="43">
        <v>11.503164556962025</v>
      </c>
      <c r="P17616" s="559"/>
      <c r="Q17616" s="559"/>
      <c r="R17616" s="559">
        <v>3</v>
      </c>
    </row>
    <row r="17617" spans="1:18" ht="84">
      <c r="A17617" s="555">
        <v>59</v>
      </c>
      <c r="B17617" s="552" t="s">
        <v>31695</v>
      </c>
      <c r="C17617" s="556" t="s">
        <v>31696</v>
      </c>
      <c r="D17617" s="557">
        <v>22.65</v>
      </c>
      <c r="E17617" s="557">
        <v>11.49</v>
      </c>
      <c r="F17617" s="557">
        <v>10.93</v>
      </c>
      <c r="G17617" s="557">
        <v>0.23</v>
      </c>
      <c r="H17617" s="558">
        <v>192.42</v>
      </c>
      <c r="I17617" s="558">
        <v>132.13999999999999</v>
      </c>
      <c r="J17617" s="558">
        <v>57.63</v>
      </c>
      <c r="K17617" s="558">
        <v>2.65</v>
      </c>
      <c r="L17617" s="43">
        <v>8.4953642384105965</v>
      </c>
      <c r="M17617" s="43">
        <v>11.500435161009571</v>
      </c>
      <c r="N17617" s="43">
        <v>5.2726440988106136</v>
      </c>
      <c r="O17617" s="43">
        <v>11.503164556962025</v>
      </c>
      <c r="P17617" s="559"/>
      <c r="Q17617" s="559"/>
      <c r="R17617" s="559">
        <v>3</v>
      </c>
    </row>
    <row r="17618" spans="1:18" ht="84">
      <c r="A17618" s="555">
        <v>60</v>
      </c>
      <c r="B17618" s="552" t="s">
        <v>31697</v>
      </c>
      <c r="C17618" s="556" t="s">
        <v>31698</v>
      </c>
      <c r="D17618" s="557">
        <v>13.76</v>
      </c>
      <c r="E17618" s="557">
        <v>6.89</v>
      </c>
      <c r="F17618" s="557">
        <v>6.73</v>
      </c>
      <c r="G17618" s="557">
        <v>0.14000000000000001</v>
      </c>
      <c r="H17618" s="558">
        <v>116.35</v>
      </c>
      <c r="I17618" s="558">
        <v>79.28</v>
      </c>
      <c r="J17618" s="558">
        <v>35.46</v>
      </c>
      <c r="K17618" s="558">
        <v>1.61</v>
      </c>
      <c r="L17618" s="43">
        <v>8.4556686046511622</v>
      </c>
      <c r="M17618" s="43">
        <v>11.5021951219512</v>
      </c>
      <c r="N17618" s="43">
        <v>5.2689450222882614</v>
      </c>
      <c r="O17618" s="43">
        <v>11.503164556962025</v>
      </c>
      <c r="P17618" s="559"/>
      <c r="Q17618" s="559"/>
      <c r="R17618" s="559">
        <v>3</v>
      </c>
    </row>
    <row r="17619" spans="1:18" ht="84">
      <c r="A17619" s="555">
        <v>61</v>
      </c>
      <c r="B17619" s="552" t="s">
        <v>31699</v>
      </c>
      <c r="C17619" s="556" t="s">
        <v>31700</v>
      </c>
      <c r="D17619" s="557">
        <v>16.25</v>
      </c>
      <c r="E17619" s="557">
        <v>8.0399999999999991</v>
      </c>
      <c r="F17619" s="557">
        <v>8.0500000000000007</v>
      </c>
      <c r="G17619" s="557">
        <v>0.16</v>
      </c>
      <c r="H17619" s="558">
        <v>136.77000000000001</v>
      </c>
      <c r="I17619" s="558">
        <v>92.5</v>
      </c>
      <c r="J17619" s="558">
        <v>42.43</v>
      </c>
      <c r="K17619" s="558">
        <v>1.84</v>
      </c>
      <c r="L17619" s="43">
        <v>8.4166153846153851</v>
      </c>
      <c r="M17619" s="43">
        <v>11.504975124378111</v>
      </c>
      <c r="N17619" s="43">
        <v>5.2708074534161486</v>
      </c>
      <c r="O17619" s="43">
        <v>11.503164556962025</v>
      </c>
      <c r="P17619" s="559"/>
      <c r="Q17619" s="559"/>
      <c r="R17619" s="559">
        <v>3</v>
      </c>
    </row>
    <row r="17620" spans="1:18" ht="84">
      <c r="A17620" s="555">
        <v>62</v>
      </c>
      <c r="B17620" s="552" t="s">
        <v>31701</v>
      </c>
      <c r="C17620" s="556" t="s">
        <v>31702</v>
      </c>
      <c r="D17620" s="557">
        <v>22.65</v>
      </c>
      <c r="E17620" s="557">
        <v>11.49</v>
      </c>
      <c r="F17620" s="557">
        <v>10.93</v>
      </c>
      <c r="G17620" s="557">
        <v>0.23</v>
      </c>
      <c r="H17620" s="558">
        <v>192.42</v>
      </c>
      <c r="I17620" s="558">
        <v>132.13999999999999</v>
      </c>
      <c r="J17620" s="558">
        <v>57.63</v>
      </c>
      <c r="K17620" s="558">
        <v>2.65</v>
      </c>
      <c r="L17620" s="43">
        <v>8.4953642384105965</v>
      </c>
      <c r="M17620" s="43">
        <v>11.500435161009571</v>
      </c>
      <c r="N17620" s="43">
        <v>5.2726440988106136</v>
      </c>
      <c r="O17620" s="43">
        <v>11.503164556962025</v>
      </c>
      <c r="P17620" s="559"/>
      <c r="Q17620" s="559"/>
      <c r="R17620" s="559">
        <v>3</v>
      </c>
    </row>
    <row r="17621" spans="1:18" ht="84">
      <c r="A17621" s="555">
        <v>63</v>
      </c>
      <c r="B17621" s="552" t="s">
        <v>31703</v>
      </c>
      <c r="C17621" s="556" t="s">
        <v>31704</v>
      </c>
      <c r="D17621" s="557">
        <v>29.53</v>
      </c>
      <c r="E17621" s="557">
        <v>14.94</v>
      </c>
      <c r="F17621" s="557">
        <v>14.29</v>
      </c>
      <c r="G17621" s="557">
        <v>0.3</v>
      </c>
      <c r="H17621" s="558">
        <v>250.59</v>
      </c>
      <c r="I17621" s="558">
        <v>171.78</v>
      </c>
      <c r="J17621" s="558">
        <v>75.36</v>
      </c>
      <c r="K17621" s="558">
        <v>3.45</v>
      </c>
      <c r="L17621" s="43">
        <v>8.4859464950897383</v>
      </c>
      <c r="M17621" s="43">
        <v>11.497991967871487</v>
      </c>
      <c r="N17621" s="43">
        <v>5.2736179146256124</v>
      </c>
      <c r="O17621" s="43">
        <v>11.503164556962025</v>
      </c>
      <c r="P17621" s="559"/>
      <c r="Q17621" s="559"/>
      <c r="R17621" s="559">
        <v>3</v>
      </c>
    </row>
    <row r="17622" spans="1:18" ht="84">
      <c r="A17622" s="555">
        <v>64</v>
      </c>
      <c r="B17622" s="552" t="s">
        <v>31705</v>
      </c>
      <c r="C17622" s="556" t="s">
        <v>31706</v>
      </c>
      <c r="D17622" s="557">
        <v>34.39</v>
      </c>
      <c r="E17622" s="557">
        <v>17.239999999999998</v>
      </c>
      <c r="F17622" s="557">
        <v>16.809999999999999</v>
      </c>
      <c r="G17622" s="557">
        <v>0.34</v>
      </c>
      <c r="H17622" s="558">
        <v>290.77999999999997</v>
      </c>
      <c r="I17622" s="558">
        <v>198.21</v>
      </c>
      <c r="J17622" s="558">
        <v>88.66</v>
      </c>
      <c r="K17622" s="558">
        <v>3.91</v>
      </c>
      <c r="L17622" s="43">
        <v>8.4553649316661819</v>
      </c>
      <c r="M17622" s="43">
        <v>11.497099767981441</v>
      </c>
      <c r="N17622" s="43">
        <v>5.2742415229030337</v>
      </c>
      <c r="O17622" s="43">
        <v>11.503164556962025</v>
      </c>
      <c r="P17622" s="559"/>
      <c r="Q17622" s="559"/>
      <c r="R17622" s="559">
        <v>3</v>
      </c>
    </row>
    <row r="17623" spans="1:18" ht="84">
      <c r="A17623" s="555">
        <v>65</v>
      </c>
      <c r="B17623" s="552" t="s">
        <v>31707</v>
      </c>
      <c r="C17623" s="556" t="s">
        <v>31708</v>
      </c>
      <c r="D17623" s="557">
        <v>14.59</v>
      </c>
      <c r="E17623" s="557">
        <v>7.24</v>
      </c>
      <c r="F17623" s="557">
        <v>7.21</v>
      </c>
      <c r="G17623" s="557">
        <v>0.14000000000000001</v>
      </c>
      <c r="H17623" s="558">
        <v>122.86</v>
      </c>
      <c r="I17623" s="558">
        <v>83.25</v>
      </c>
      <c r="J17623" s="558">
        <v>38</v>
      </c>
      <c r="K17623" s="558">
        <v>1.61</v>
      </c>
      <c r="L17623" s="43">
        <v>8.4208361891706645</v>
      </c>
      <c r="M17623" s="43">
        <v>11.498618784530386</v>
      </c>
      <c r="N17623" s="43">
        <v>5.270457697642164</v>
      </c>
      <c r="O17623" s="43">
        <v>11.503164556962025</v>
      </c>
      <c r="P17623" s="559"/>
      <c r="Q17623" s="559"/>
      <c r="R17623" s="559">
        <v>3</v>
      </c>
    </row>
    <row r="17624" spans="1:18" ht="84">
      <c r="A17624" s="555">
        <v>66</v>
      </c>
      <c r="B17624" s="552" t="s">
        <v>31709</v>
      </c>
      <c r="C17624" s="556" t="s">
        <v>31710</v>
      </c>
      <c r="D17624" s="557">
        <v>17.079999999999998</v>
      </c>
      <c r="E17624" s="557">
        <v>8.5</v>
      </c>
      <c r="F17624" s="557">
        <v>8.41</v>
      </c>
      <c r="G17624" s="557">
        <v>0.17</v>
      </c>
      <c r="H17624" s="558">
        <v>144.07</v>
      </c>
      <c r="I17624" s="558">
        <v>97.78</v>
      </c>
      <c r="J17624" s="558">
        <v>44.33</v>
      </c>
      <c r="K17624" s="558">
        <v>1.96</v>
      </c>
      <c r="L17624" s="43">
        <v>8.4350117096018735</v>
      </c>
      <c r="M17624" s="43">
        <v>11.503529411764706</v>
      </c>
      <c r="N17624" s="43">
        <v>5.2711058263971458</v>
      </c>
      <c r="O17624" s="43">
        <v>11.503164556962025</v>
      </c>
      <c r="P17624" s="559"/>
      <c r="Q17624" s="559"/>
      <c r="R17624" s="559">
        <v>3</v>
      </c>
    </row>
    <row r="17625" spans="1:18" ht="84">
      <c r="A17625" s="555">
        <v>67</v>
      </c>
      <c r="B17625" s="552" t="s">
        <v>31711</v>
      </c>
      <c r="C17625" s="556" t="s">
        <v>31712</v>
      </c>
      <c r="D17625" s="557">
        <v>23.49</v>
      </c>
      <c r="E17625" s="557">
        <v>11.49</v>
      </c>
      <c r="F17625" s="557">
        <v>11.77</v>
      </c>
      <c r="G17625" s="557">
        <v>0.23</v>
      </c>
      <c r="H17625" s="558">
        <v>196.85</v>
      </c>
      <c r="I17625" s="558">
        <v>132.13999999999999</v>
      </c>
      <c r="J17625" s="558">
        <v>62.06</v>
      </c>
      <c r="K17625" s="558">
        <v>2.65</v>
      </c>
      <c r="L17625" s="43">
        <v>8.3801617709663692</v>
      </c>
      <c r="M17625" s="43">
        <v>11.500435161009571</v>
      </c>
      <c r="N17625" s="43">
        <v>5.2727272727272734</v>
      </c>
      <c r="O17625" s="43">
        <v>11.503164556962025</v>
      </c>
      <c r="P17625" s="559"/>
      <c r="Q17625" s="559"/>
      <c r="R17625" s="559">
        <v>3</v>
      </c>
    </row>
    <row r="17626" spans="1:18" ht="84">
      <c r="A17626" s="555">
        <v>68</v>
      </c>
      <c r="B17626" s="552" t="s">
        <v>31713</v>
      </c>
      <c r="C17626" s="556" t="s">
        <v>31714</v>
      </c>
      <c r="D17626" s="557">
        <v>30.37</v>
      </c>
      <c r="E17626" s="557">
        <v>14.94</v>
      </c>
      <c r="F17626" s="557">
        <v>15.13</v>
      </c>
      <c r="G17626" s="557">
        <v>0.3</v>
      </c>
      <c r="H17626" s="558">
        <v>255.03</v>
      </c>
      <c r="I17626" s="558">
        <v>171.78</v>
      </c>
      <c r="J17626" s="558">
        <v>79.8</v>
      </c>
      <c r="K17626" s="558">
        <v>3.45</v>
      </c>
      <c r="L17626" s="43">
        <v>8.3974316759960477</v>
      </c>
      <c r="M17626" s="43">
        <v>11.497991967871487</v>
      </c>
      <c r="N17626" s="43">
        <v>5.2742894910773295</v>
      </c>
      <c r="O17626" s="43">
        <v>11.503164556962025</v>
      </c>
      <c r="P17626" s="559"/>
      <c r="Q17626" s="559"/>
      <c r="R17626" s="559">
        <v>3</v>
      </c>
    </row>
    <row r="17627" spans="1:18" ht="84">
      <c r="A17627" s="555">
        <v>69</v>
      </c>
      <c r="B17627" s="552" t="s">
        <v>31715</v>
      </c>
      <c r="C17627" s="556" t="s">
        <v>31716</v>
      </c>
      <c r="D17627" s="557">
        <v>35.229999999999997</v>
      </c>
      <c r="E17627" s="557">
        <v>17.239999999999998</v>
      </c>
      <c r="F17627" s="557">
        <v>17.649999999999999</v>
      </c>
      <c r="G17627" s="557">
        <v>0.34</v>
      </c>
      <c r="H17627" s="558">
        <v>295.22000000000003</v>
      </c>
      <c r="I17627" s="558">
        <v>198.21</v>
      </c>
      <c r="J17627" s="558">
        <v>93.1</v>
      </c>
      <c r="K17627" s="558">
        <v>3.91</v>
      </c>
      <c r="L17627" s="43">
        <v>8.3797899517456731</v>
      </c>
      <c r="M17627" s="43">
        <v>11.497099767981441</v>
      </c>
      <c r="N17627" s="43">
        <v>5.2747875354107654</v>
      </c>
      <c r="O17627" s="43">
        <v>11.503164556962025</v>
      </c>
      <c r="P17627" s="559"/>
      <c r="Q17627" s="559"/>
      <c r="R17627" s="559">
        <v>3</v>
      </c>
    </row>
    <row r="17628" spans="1:18" ht="84">
      <c r="A17628" s="555">
        <v>70</v>
      </c>
      <c r="B17628" s="552" t="s">
        <v>31717</v>
      </c>
      <c r="C17628" s="556" t="s">
        <v>31718</v>
      </c>
      <c r="D17628" s="557">
        <v>42.11</v>
      </c>
      <c r="E17628" s="557">
        <v>20.68</v>
      </c>
      <c r="F17628" s="557">
        <v>21.02</v>
      </c>
      <c r="G17628" s="557">
        <v>0.41</v>
      </c>
      <c r="H17628" s="558">
        <v>353.4</v>
      </c>
      <c r="I17628" s="558">
        <v>237.85</v>
      </c>
      <c r="J17628" s="558">
        <v>110.83</v>
      </c>
      <c r="K17628" s="558">
        <v>4.72</v>
      </c>
      <c r="L17628" s="43">
        <v>8.3923058655901208</v>
      </c>
      <c r="M17628" s="43">
        <v>11.501450676982591</v>
      </c>
      <c r="N17628" s="43">
        <v>5.2725975261655567</v>
      </c>
      <c r="O17628" s="43">
        <v>11.503164556962025</v>
      </c>
      <c r="P17628" s="559"/>
      <c r="Q17628" s="559"/>
      <c r="R17628" s="559">
        <v>3</v>
      </c>
    </row>
    <row r="17629" spans="1:18" ht="84">
      <c r="A17629" s="555">
        <v>71</v>
      </c>
      <c r="B17629" s="552" t="s">
        <v>31719</v>
      </c>
      <c r="C17629" s="556" t="s">
        <v>31720</v>
      </c>
      <c r="D17629" s="557">
        <v>48.99</v>
      </c>
      <c r="E17629" s="557">
        <v>24.13</v>
      </c>
      <c r="F17629" s="557">
        <v>24.38</v>
      </c>
      <c r="G17629" s="557">
        <v>0.48</v>
      </c>
      <c r="H17629" s="558">
        <v>411.57</v>
      </c>
      <c r="I17629" s="558">
        <v>277.49</v>
      </c>
      <c r="J17629" s="558">
        <v>128.56</v>
      </c>
      <c r="K17629" s="558">
        <v>5.52</v>
      </c>
      <c r="L17629" s="43">
        <v>8.4011022657685235</v>
      </c>
      <c r="M17629" s="43">
        <v>11.499792789059263</v>
      </c>
      <c r="N17629" s="43">
        <v>5.2731747333880232</v>
      </c>
      <c r="O17629" s="43">
        <v>11.503164556962025</v>
      </c>
      <c r="P17629" s="559"/>
      <c r="Q17629" s="559"/>
      <c r="R17629" s="559">
        <v>3</v>
      </c>
    </row>
    <row r="17630" spans="1:18" ht="84">
      <c r="A17630" s="555">
        <v>72</v>
      </c>
      <c r="B17630" s="552" t="s">
        <v>31721</v>
      </c>
      <c r="C17630" s="556" t="s">
        <v>31722</v>
      </c>
      <c r="D17630" s="557">
        <v>55.87</v>
      </c>
      <c r="E17630" s="557">
        <v>27.58</v>
      </c>
      <c r="F17630" s="557">
        <v>27.74</v>
      </c>
      <c r="G17630" s="557">
        <v>0.55000000000000004</v>
      </c>
      <c r="H17630" s="558">
        <v>469.76</v>
      </c>
      <c r="I17630" s="558">
        <v>317.14</v>
      </c>
      <c r="J17630" s="558">
        <v>146.29</v>
      </c>
      <c r="K17630" s="558">
        <v>6.33</v>
      </c>
      <c r="L17630" s="43">
        <v>8.4080902094147127</v>
      </c>
      <c r="M17630" s="43">
        <v>11.498912255257434</v>
      </c>
      <c r="N17630" s="43">
        <v>5.2736121124729634</v>
      </c>
      <c r="O17630" s="43">
        <v>11.503164556962025</v>
      </c>
      <c r="P17630" s="559"/>
      <c r="Q17630" s="559"/>
      <c r="R17630" s="559">
        <v>3</v>
      </c>
    </row>
    <row r="17631" spans="1:18" ht="84">
      <c r="A17631" s="555">
        <v>73</v>
      </c>
      <c r="B17631" s="552" t="s">
        <v>31723</v>
      </c>
      <c r="C17631" s="556" t="s">
        <v>31724</v>
      </c>
      <c r="D17631" s="557">
        <v>64.760000000000005</v>
      </c>
      <c r="E17631" s="557">
        <v>32.17</v>
      </c>
      <c r="F17631" s="557">
        <v>31.95</v>
      </c>
      <c r="G17631" s="557">
        <v>0.64</v>
      </c>
      <c r="H17631" s="558">
        <v>545.80999999999995</v>
      </c>
      <c r="I17631" s="558">
        <v>369.99</v>
      </c>
      <c r="J17631" s="558">
        <v>168.46</v>
      </c>
      <c r="K17631" s="558">
        <v>7.36</v>
      </c>
      <c r="L17631" s="43">
        <v>8.4281964175416917</v>
      </c>
      <c r="M17631" s="43">
        <v>11.501087970158533</v>
      </c>
      <c r="N17631" s="43">
        <v>5.2726134585289515</v>
      </c>
      <c r="O17631" s="43">
        <v>11.503164556962025</v>
      </c>
      <c r="P17631" s="559"/>
      <c r="Q17631" s="559"/>
      <c r="R17631" s="559">
        <v>3</v>
      </c>
    </row>
    <row r="17632" spans="1:18" ht="84">
      <c r="A17632" s="555">
        <v>74</v>
      </c>
      <c r="B17632" s="552" t="s">
        <v>31725</v>
      </c>
      <c r="C17632" s="556" t="s">
        <v>31726</v>
      </c>
      <c r="D17632" s="557">
        <v>16.25</v>
      </c>
      <c r="E17632" s="557">
        <v>8.0399999999999991</v>
      </c>
      <c r="F17632" s="557">
        <v>8.0500000000000007</v>
      </c>
      <c r="G17632" s="557">
        <v>0.16</v>
      </c>
      <c r="H17632" s="558">
        <v>136.77000000000001</v>
      </c>
      <c r="I17632" s="558">
        <v>92.5</v>
      </c>
      <c r="J17632" s="558">
        <v>42.43</v>
      </c>
      <c r="K17632" s="558">
        <v>1.84</v>
      </c>
      <c r="L17632" s="43">
        <v>8.4166153846153851</v>
      </c>
      <c r="M17632" s="43">
        <v>11.504975124378111</v>
      </c>
      <c r="N17632" s="43">
        <v>5.2708074534161486</v>
      </c>
      <c r="O17632" s="43">
        <v>11.503164556962025</v>
      </c>
      <c r="P17632" s="559"/>
      <c r="Q17632" s="559"/>
      <c r="R17632" s="559">
        <v>3</v>
      </c>
    </row>
    <row r="17633" spans="1:18" ht="84">
      <c r="A17633" s="555">
        <v>75</v>
      </c>
      <c r="B17633" s="552" t="s">
        <v>31727</v>
      </c>
      <c r="C17633" s="556" t="s">
        <v>31728</v>
      </c>
      <c r="D17633" s="557">
        <v>18.75</v>
      </c>
      <c r="E17633" s="557">
        <v>9.31</v>
      </c>
      <c r="F17633" s="557">
        <v>9.25</v>
      </c>
      <c r="G17633" s="557">
        <v>0.19</v>
      </c>
      <c r="H17633" s="558">
        <v>157.97999999999999</v>
      </c>
      <c r="I17633" s="558">
        <v>107.03</v>
      </c>
      <c r="J17633" s="558">
        <v>48.76</v>
      </c>
      <c r="K17633" s="558">
        <v>2.19</v>
      </c>
      <c r="L17633" s="43">
        <v>8.4255999999999993</v>
      </c>
      <c r="M17633" s="43">
        <v>11.496240601503759</v>
      </c>
      <c r="N17633" s="43">
        <v>5.2713513513513508</v>
      </c>
      <c r="O17633" s="43">
        <v>11.503164556962025</v>
      </c>
      <c r="P17633" s="559"/>
      <c r="Q17633" s="559"/>
      <c r="R17633" s="559">
        <v>3</v>
      </c>
    </row>
    <row r="17634" spans="1:18" ht="84">
      <c r="A17634" s="555">
        <v>76</v>
      </c>
      <c r="B17634" s="552" t="s">
        <v>31729</v>
      </c>
      <c r="C17634" s="556" t="s">
        <v>31730</v>
      </c>
      <c r="D17634" s="557">
        <v>27.52</v>
      </c>
      <c r="E17634" s="557">
        <v>13.79</v>
      </c>
      <c r="F17634" s="557">
        <v>13.45</v>
      </c>
      <c r="G17634" s="557">
        <v>0.28000000000000003</v>
      </c>
      <c r="H17634" s="558">
        <v>232.72</v>
      </c>
      <c r="I17634" s="558">
        <v>158.57</v>
      </c>
      <c r="J17634" s="558">
        <v>70.930000000000007</v>
      </c>
      <c r="K17634" s="558">
        <v>3.22</v>
      </c>
      <c r="L17634" s="43">
        <v>8.4563953488372086</v>
      </c>
      <c r="M17634" s="43">
        <v>11.498912255257434</v>
      </c>
      <c r="N17634" s="43">
        <v>5.2736059479553914</v>
      </c>
      <c r="O17634" s="43">
        <v>11.503164556962025</v>
      </c>
      <c r="P17634" s="559"/>
      <c r="Q17634" s="559"/>
      <c r="R17634" s="559">
        <v>3</v>
      </c>
    </row>
    <row r="17635" spans="1:18" ht="84">
      <c r="A17635" s="555">
        <v>77</v>
      </c>
      <c r="B17635" s="552" t="s">
        <v>31731</v>
      </c>
      <c r="C17635" s="556" t="s">
        <v>31732</v>
      </c>
      <c r="D17635" s="557">
        <v>34.39</v>
      </c>
      <c r="E17635" s="557">
        <v>17.239999999999998</v>
      </c>
      <c r="F17635" s="557">
        <v>16.809999999999999</v>
      </c>
      <c r="G17635" s="557">
        <v>0.34</v>
      </c>
      <c r="H17635" s="558">
        <v>290.77999999999997</v>
      </c>
      <c r="I17635" s="558">
        <v>198.21</v>
      </c>
      <c r="J17635" s="558">
        <v>88.66</v>
      </c>
      <c r="K17635" s="558">
        <v>3.91</v>
      </c>
      <c r="L17635" s="43">
        <v>8.4553649316661819</v>
      </c>
      <c r="M17635" s="43">
        <v>11.497099767981441</v>
      </c>
      <c r="N17635" s="43">
        <v>5.2742415229030337</v>
      </c>
      <c r="O17635" s="43">
        <v>11.503164556962025</v>
      </c>
      <c r="P17635" s="559"/>
      <c r="Q17635" s="559"/>
      <c r="R17635" s="559">
        <v>3</v>
      </c>
    </row>
    <row r="17636" spans="1:18" ht="84">
      <c r="A17636" s="555">
        <v>78</v>
      </c>
      <c r="B17636" s="552" t="s">
        <v>31733</v>
      </c>
      <c r="C17636" s="556" t="s">
        <v>31734</v>
      </c>
      <c r="D17636" s="557">
        <v>41.27</v>
      </c>
      <c r="E17636" s="557">
        <v>20.68</v>
      </c>
      <c r="F17636" s="557">
        <v>20.18</v>
      </c>
      <c r="G17636" s="557">
        <v>0.41</v>
      </c>
      <c r="H17636" s="558">
        <v>348.96</v>
      </c>
      <c r="I17636" s="558">
        <v>237.85</v>
      </c>
      <c r="J17636" s="558">
        <v>106.39</v>
      </c>
      <c r="K17636" s="558">
        <v>4.72</v>
      </c>
      <c r="L17636" s="43">
        <v>8.4555367094741936</v>
      </c>
      <c r="M17636" s="43">
        <v>11.501450676982591</v>
      </c>
      <c r="N17636" s="43">
        <v>5.2720515361744305</v>
      </c>
      <c r="O17636" s="43">
        <v>11.503164556962025</v>
      </c>
      <c r="P17636" s="559"/>
      <c r="Q17636" s="559"/>
      <c r="R17636" s="559">
        <v>3</v>
      </c>
    </row>
    <row r="17637" spans="1:18" ht="84">
      <c r="A17637" s="555">
        <v>79</v>
      </c>
      <c r="B17637" s="552" t="s">
        <v>31735</v>
      </c>
      <c r="C17637" s="556" t="s">
        <v>31736</v>
      </c>
      <c r="D17637" s="557">
        <v>48.99</v>
      </c>
      <c r="E17637" s="557">
        <v>24.13</v>
      </c>
      <c r="F17637" s="557">
        <v>24.38</v>
      </c>
      <c r="G17637" s="557">
        <v>0.48</v>
      </c>
      <c r="H17637" s="558">
        <v>411.57</v>
      </c>
      <c r="I17637" s="558">
        <v>277.49</v>
      </c>
      <c r="J17637" s="558">
        <v>128.56</v>
      </c>
      <c r="K17637" s="558">
        <v>5.52</v>
      </c>
      <c r="L17637" s="43">
        <v>8.4011022657685235</v>
      </c>
      <c r="M17637" s="43">
        <v>11.499792789059263</v>
      </c>
      <c r="N17637" s="43">
        <v>5.2731747333880232</v>
      </c>
      <c r="O17637" s="43">
        <v>11.503164556962025</v>
      </c>
      <c r="P17637" s="559"/>
      <c r="Q17637" s="559"/>
      <c r="R17637" s="559">
        <v>3</v>
      </c>
    </row>
    <row r="17638" spans="1:18" ht="84">
      <c r="A17638" s="555">
        <v>80</v>
      </c>
      <c r="B17638" s="552" t="s">
        <v>31737</v>
      </c>
      <c r="C17638" s="556" t="s">
        <v>31738</v>
      </c>
      <c r="D17638" s="557">
        <v>55.87</v>
      </c>
      <c r="E17638" s="557">
        <v>27.58</v>
      </c>
      <c r="F17638" s="557">
        <v>27.74</v>
      </c>
      <c r="G17638" s="557">
        <v>0.55000000000000004</v>
      </c>
      <c r="H17638" s="558">
        <v>469.76</v>
      </c>
      <c r="I17638" s="558">
        <v>317.14</v>
      </c>
      <c r="J17638" s="558">
        <v>146.29</v>
      </c>
      <c r="K17638" s="558">
        <v>6.33</v>
      </c>
      <c r="L17638" s="43">
        <v>8.4080902094147127</v>
      </c>
      <c r="M17638" s="43">
        <v>11.498912255257434</v>
      </c>
      <c r="N17638" s="43">
        <v>5.2736121124729634</v>
      </c>
      <c r="O17638" s="43">
        <v>11.503164556962025</v>
      </c>
      <c r="P17638" s="559"/>
      <c r="Q17638" s="559"/>
      <c r="R17638" s="559">
        <v>3</v>
      </c>
    </row>
    <row r="17639" spans="1:18" ht="84">
      <c r="A17639" s="555">
        <v>81</v>
      </c>
      <c r="B17639" s="552" t="s">
        <v>31739</v>
      </c>
      <c r="C17639" s="556" t="s">
        <v>31740</v>
      </c>
      <c r="D17639" s="557">
        <v>62.75</v>
      </c>
      <c r="E17639" s="557">
        <v>31.02</v>
      </c>
      <c r="F17639" s="557">
        <v>31.11</v>
      </c>
      <c r="G17639" s="557">
        <v>0.62</v>
      </c>
      <c r="H17639" s="558">
        <v>527.92999999999995</v>
      </c>
      <c r="I17639" s="558">
        <v>356.78</v>
      </c>
      <c r="J17639" s="558">
        <v>164.02</v>
      </c>
      <c r="K17639" s="558">
        <v>7.13</v>
      </c>
      <c r="L17639" s="43">
        <v>8.4132270916334662</v>
      </c>
      <c r="M17639" s="43">
        <v>11.50161186331399</v>
      </c>
      <c r="N17639" s="43">
        <v>5.2722597235615565</v>
      </c>
      <c r="O17639" s="43">
        <v>11.503164556962025</v>
      </c>
      <c r="P17639" s="559"/>
      <c r="Q17639" s="559"/>
      <c r="R17639" s="559">
        <v>3</v>
      </c>
    </row>
    <row r="17640" spans="1:18" ht="84">
      <c r="A17640" s="555">
        <v>82</v>
      </c>
      <c r="B17640" s="552" t="s">
        <v>31741</v>
      </c>
      <c r="C17640" s="556" t="s">
        <v>31742</v>
      </c>
      <c r="D17640" s="557">
        <v>17.079999999999998</v>
      </c>
      <c r="E17640" s="557">
        <v>8.5</v>
      </c>
      <c r="F17640" s="557">
        <v>8.41</v>
      </c>
      <c r="G17640" s="557">
        <v>0.17</v>
      </c>
      <c r="H17640" s="558">
        <v>144.07</v>
      </c>
      <c r="I17640" s="558">
        <v>97.78</v>
      </c>
      <c r="J17640" s="558">
        <v>44.33</v>
      </c>
      <c r="K17640" s="558">
        <v>1.96</v>
      </c>
      <c r="L17640" s="43">
        <v>8.4350117096018735</v>
      </c>
      <c r="M17640" s="43">
        <v>11.503529411764706</v>
      </c>
      <c r="N17640" s="43">
        <v>5.2711058263971458</v>
      </c>
      <c r="O17640" s="43">
        <v>11.503164556962025</v>
      </c>
      <c r="P17640" s="559"/>
      <c r="Q17640" s="559"/>
      <c r="R17640" s="559">
        <v>3</v>
      </c>
    </row>
    <row r="17641" spans="1:18" ht="84">
      <c r="A17641" s="555">
        <v>83</v>
      </c>
      <c r="B17641" s="552" t="s">
        <v>31743</v>
      </c>
      <c r="C17641" s="556" t="s">
        <v>31744</v>
      </c>
      <c r="D17641" s="557">
        <v>20.64</v>
      </c>
      <c r="E17641" s="557">
        <v>10.34</v>
      </c>
      <c r="F17641" s="557">
        <v>10.09</v>
      </c>
      <c r="G17641" s="557">
        <v>0.21</v>
      </c>
      <c r="H17641" s="558">
        <v>174.55</v>
      </c>
      <c r="I17641" s="558">
        <v>118.93</v>
      </c>
      <c r="J17641" s="558">
        <v>53.2</v>
      </c>
      <c r="K17641" s="558">
        <v>2.42</v>
      </c>
      <c r="L17641" s="43">
        <v>8.4568798449612412</v>
      </c>
      <c r="M17641" s="43">
        <v>11.50193423597679</v>
      </c>
      <c r="N17641" s="43">
        <v>5.2725470763131819</v>
      </c>
      <c r="O17641" s="43">
        <v>11.503164556962025</v>
      </c>
      <c r="P17641" s="559"/>
      <c r="Q17641" s="559"/>
      <c r="R17641" s="559">
        <v>3</v>
      </c>
    </row>
    <row r="17642" spans="1:18" ht="84">
      <c r="A17642" s="555">
        <v>84</v>
      </c>
      <c r="B17642" s="552" t="s">
        <v>31745</v>
      </c>
      <c r="C17642" s="556" t="s">
        <v>31746</v>
      </c>
      <c r="D17642" s="557">
        <v>29.53</v>
      </c>
      <c r="E17642" s="557">
        <v>14.94</v>
      </c>
      <c r="F17642" s="557">
        <v>14.29</v>
      </c>
      <c r="G17642" s="557">
        <v>0.3</v>
      </c>
      <c r="H17642" s="558">
        <v>250.59</v>
      </c>
      <c r="I17642" s="558">
        <v>171.78</v>
      </c>
      <c r="J17642" s="558">
        <v>75.36</v>
      </c>
      <c r="K17642" s="558">
        <v>3.45</v>
      </c>
      <c r="L17642" s="43">
        <v>8.4859464950897383</v>
      </c>
      <c r="M17642" s="43">
        <v>11.497991967871487</v>
      </c>
      <c r="N17642" s="43">
        <v>5.2736179146256124</v>
      </c>
      <c r="O17642" s="43">
        <v>11.503164556962025</v>
      </c>
      <c r="P17642" s="559"/>
      <c r="Q17642" s="559"/>
      <c r="R17642" s="559">
        <v>3</v>
      </c>
    </row>
    <row r="17643" spans="1:18" ht="84">
      <c r="A17643" s="555">
        <v>85</v>
      </c>
      <c r="B17643" s="552" t="s">
        <v>31747</v>
      </c>
      <c r="C17643" s="556" t="s">
        <v>31748</v>
      </c>
      <c r="D17643" s="557">
        <v>37.25</v>
      </c>
      <c r="E17643" s="557">
        <v>18.38</v>
      </c>
      <c r="F17643" s="557">
        <v>18.5</v>
      </c>
      <c r="G17643" s="557">
        <v>0.37</v>
      </c>
      <c r="H17643" s="558">
        <v>313.20999999999998</v>
      </c>
      <c r="I17643" s="558">
        <v>211.42</v>
      </c>
      <c r="J17643" s="558">
        <v>97.53</v>
      </c>
      <c r="K17643" s="558">
        <v>4.26</v>
      </c>
      <c r="L17643" s="43">
        <v>8.4083221476510062</v>
      </c>
      <c r="M17643" s="43">
        <v>11.502720348204571</v>
      </c>
      <c r="N17643" s="43">
        <v>5.271891891891892</v>
      </c>
      <c r="O17643" s="43">
        <v>11.503164556962025</v>
      </c>
      <c r="P17643" s="559"/>
      <c r="Q17643" s="559"/>
      <c r="R17643" s="559">
        <v>3</v>
      </c>
    </row>
    <row r="17644" spans="1:18" ht="84">
      <c r="A17644" s="555">
        <v>86</v>
      </c>
      <c r="B17644" s="552" t="s">
        <v>31749</v>
      </c>
      <c r="C17644" s="556" t="s">
        <v>31750</v>
      </c>
      <c r="D17644" s="557">
        <v>44.13</v>
      </c>
      <c r="E17644" s="557">
        <v>21.83</v>
      </c>
      <c r="F17644" s="557">
        <v>21.86</v>
      </c>
      <c r="G17644" s="557">
        <v>0.44</v>
      </c>
      <c r="H17644" s="558">
        <v>371.39</v>
      </c>
      <c r="I17644" s="558">
        <v>251.07</v>
      </c>
      <c r="J17644" s="558">
        <v>115.26</v>
      </c>
      <c r="K17644" s="558">
        <v>5.0599999999999996</v>
      </c>
      <c r="L17644" s="43">
        <v>8.4158169046000442</v>
      </c>
      <c r="M17644" s="43">
        <v>11.50114521300962</v>
      </c>
      <c r="N17644" s="43">
        <v>5.2726440988106136</v>
      </c>
      <c r="O17644" s="43">
        <v>11.503164556962025</v>
      </c>
      <c r="P17644" s="559"/>
      <c r="Q17644" s="559"/>
      <c r="R17644" s="559">
        <v>3</v>
      </c>
    </row>
    <row r="17645" spans="1:18" ht="84">
      <c r="A17645" s="555">
        <v>87</v>
      </c>
      <c r="B17645" s="552" t="s">
        <v>31751</v>
      </c>
      <c r="C17645" s="556" t="s">
        <v>31752</v>
      </c>
      <c r="D17645" s="557">
        <v>53.02</v>
      </c>
      <c r="E17645" s="557">
        <v>26.43</v>
      </c>
      <c r="F17645" s="557">
        <v>26.06</v>
      </c>
      <c r="G17645" s="557">
        <v>0.53</v>
      </c>
      <c r="H17645" s="558">
        <v>447.45</v>
      </c>
      <c r="I17645" s="558">
        <v>303.92</v>
      </c>
      <c r="J17645" s="558">
        <v>137.43</v>
      </c>
      <c r="K17645" s="558">
        <v>6.1</v>
      </c>
      <c r="L17645" s="43">
        <v>8.4392682006789883</v>
      </c>
      <c r="M17645" s="43">
        <v>11.499054105183504</v>
      </c>
      <c r="N17645" s="43">
        <v>5.2735993860322337</v>
      </c>
      <c r="O17645" s="43">
        <v>11.503164556962025</v>
      </c>
      <c r="P17645" s="559"/>
      <c r="Q17645" s="559"/>
      <c r="R17645" s="559">
        <v>3</v>
      </c>
    </row>
    <row r="17646" spans="1:18" ht="84">
      <c r="A17646" s="555">
        <v>88</v>
      </c>
      <c r="B17646" s="552" t="s">
        <v>31753</v>
      </c>
      <c r="C17646" s="556" t="s">
        <v>31754</v>
      </c>
      <c r="D17646" s="557">
        <v>61.91</v>
      </c>
      <c r="E17646" s="557">
        <v>31.02</v>
      </c>
      <c r="F17646" s="557">
        <v>30.27</v>
      </c>
      <c r="G17646" s="557">
        <v>0.62</v>
      </c>
      <c r="H17646" s="558">
        <v>523.5</v>
      </c>
      <c r="I17646" s="558">
        <v>356.78</v>
      </c>
      <c r="J17646" s="558">
        <v>159.59</v>
      </c>
      <c r="K17646" s="558">
        <v>7.13</v>
      </c>
      <c r="L17646" s="43">
        <v>8.455822968825716</v>
      </c>
      <c r="M17646" s="43">
        <v>11.50161186331399</v>
      </c>
      <c r="N17646" s="43">
        <v>5.2722167162206803</v>
      </c>
      <c r="O17646" s="43">
        <v>11.503164556962025</v>
      </c>
      <c r="P17646" s="559"/>
      <c r="Q17646" s="559"/>
      <c r="R17646" s="559">
        <v>3</v>
      </c>
    </row>
    <row r="17647" spans="1:18" ht="84">
      <c r="A17647" s="555">
        <v>89</v>
      </c>
      <c r="B17647" s="552" t="s">
        <v>31755</v>
      </c>
      <c r="C17647" s="556" t="s">
        <v>31756</v>
      </c>
      <c r="D17647" s="557">
        <v>67.62</v>
      </c>
      <c r="E17647" s="557">
        <v>33.32</v>
      </c>
      <c r="F17647" s="557">
        <v>33.630000000000003</v>
      </c>
      <c r="G17647" s="557">
        <v>0.67</v>
      </c>
      <c r="H17647" s="558">
        <v>568.24</v>
      </c>
      <c r="I17647" s="558">
        <v>383.21</v>
      </c>
      <c r="J17647" s="558">
        <v>177.32</v>
      </c>
      <c r="K17647" s="558">
        <v>7.71</v>
      </c>
      <c r="L17647" s="43">
        <v>8.403430937592427</v>
      </c>
      <c r="M17647" s="43">
        <v>11.500900360144056</v>
      </c>
      <c r="N17647" s="43">
        <v>5.2726732084448402</v>
      </c>
      <c r="O17647" s="43">
        <v>11.503164556962025</v>
      </c>
      <c r="P17647" s="559"/>
      <c r="Q17647" s="559"/>
      <c r="R17647" s="559">
        <v>3</v>
      </c>
    </row>
    <row r="17648" spans="1:18" ht="84">
      <c r="A17648" s="555">
        <v>90</v>
      </c>
      <c r="B17648" s="552" t="s">
        <v>31757</v>
      </c>
      <c r="C17648" s="556" t="s">
        <v>31758</v>
      </c>
      <c r="D17648" s="557">
        <v>23.49</v>
      </c>
      <c r="E17648" s="557">
        <v>11.49</v>
      </c>
      <c r="F17648" s="557">
        <v>11.77</v>
      </c>
      <c r="G17648" s="557">
        <v>0.23</v>
      </c>
      <c r="H17648" s="558">
        <v>196.85</v>
      </c>
      <c r="I17648" s="558">
        <v>132.13999999999999</v>
      </c>
      <c r="J17648" s="558">
        <v>62.06</v>
      </c>
      <c r="K17648" s="558">
        <v>2.65</v>
      </c>
      <c r="L17648" s="43">
        <v>8.3801617709663692</v>
      </c>
      <c r="M17648" s="43">
        <v>11.500435161009571</v>
      </c>
      <c r="N17648" s="43">
        <v>5.2727272727272734</v>
      </c>
      <c r="O17648" s="43">
        <v>11.503164556962025</v>
      </c>
      <c r="P17648" s="559"/>
      <c r="Q17648" s="559"/>
      <c r="R17648" s="559">
        <v>3</v>
      </c>
    </row>
    <row r="17649" spans="1:18" ht="84">
      <c r="A17649" s="555">
        <v>91</v>
      </c>
      <c r="B17649" s="552" t="s">
        <v>31759</v>
      </c>
      <c r="C17649" s="556" t="s">
        <v>31760</v>
      </c>
      <c r="D17649" s="557">
        <v>34.39</v>
      </c>
      <c r="E17649" s="557">
        <v>17.239999999999998</v>
      </c>
      <c r="F17649" s="557">
        <v>16.809999999999999</v>
      </c>
      <c r="G17649" s="557">
        <v>0.34</v>
      </c>
      <c r="H17649" s="558">
        <v>290.77999999999997</v>
      </c>
      <c r="I17649" s="558">
        <v>198.21</v>
      </c>
      <c r="J17649" s="558">
        <v>88.66</v>
      </c>
      <c r="K17649" s="558">
        <v>3.91</v>
      </c>
      <c r="L17649" s="43">
        <v>8.4553649316661819</v>
      </c>
      <c r="M17649" s="43">
        <v>11.497099767981441</v>
      </c>
      <c r="N17649" s="43">
        <v>5.2742415229030337</v>
      </c>
      <c r="O17649" s="43">
        <v>11.503164556962025</v>
      </c>
      <c r="P17649" s="559"/>
      <c r="Q17649" s="559"/>
      <c r="R17649" s="559">
        <v>3</v>
      </c>
    </row>
    <row r="17650" spans="1:18" ht="84">
      <c r="A17650" s="555">
        <v>92</v>
      </c>
      <c r="B17650" s="552" t="s">
        <v>31761</v>
      </c>
      <c r="C17650" s="556" t="s">
        <v>31762</v>
      </c>
      <c r="D17650" s="557">
        <v>42.11</v>
      </c>
      <c r="E17650" s="557">
        <v>20.68</v>
      </c>
      <c r="F17650" s="557">
        <v>21.02</v>
      </c>
      <c r="G17650" s="557">
        <v>0.41</v>
      </c>
      <c r="H17650" s="558">
        <v>353.4</v>
      </c>
      <c r="I17650" s="558">
        <v>237.85</v>
      </c>
      <c r="J17650" s="558">
        <v>110.83</v>
      </c>
      <c r="K17650" s="558">
        <v>4.72</v>
      </c>
      <c r="L17650" s="43">
        <v>8.3923058655901208</v>
      </c>
      <c r="M17650" s="43">
        <v>11.501450676982591</v>
      </c>
      <c r="N17650" s="43">
        <v>5.2725975261655567</v>
      </c>
      <c r="O17650" s="43">
        <v>11.503164556962025</v>
      </c>
      <c r="P17650" s="559"/>
      <c r="Q17650" s="559"/>
      <c r="R17650" s="559">
        <v>3</v>
      </c>
    </row>
    <row r="17651" spans="1:18" ht="84">
      <c r="A17651" s="555">
        <v>93</v>
      </c>
      <c r="B17651" s="552" t="s">
        <v>31763</v>
      </c>
      <c r="C17651" s="556" t="s">
        <v>31764</v>
      </c>
      <c r="D17651" s="557">
        <v>53.02</v>
      </c>
      <c r="E17651" s="557">
        <v>26.43</v>
      </c>
      <c r="F17651" s="557">
        <v>26.06</v>
      </c>
      <c r="G17651" s="557">
        <v>0.53</v>
      </c>
      <c r="H17651" s="558">
        <v>447.45</v>
      </c>
      <c r="I17651" s="558">
        <v>303.92</v>
      </c>
      <c r="J17651" s="558">
        <v>137.43</v>
      </c>
      <c r="K17651" s="558">
        <v>6.1</v>
      </c>
      <c r="L17651" s="43">
        <v>8.4392682006789883</v>
      </c>
      <c r="M17651" s="43">
        <v>11.499054105183504</v>
      </c>
      <c r="N17651" s="43">
        <v>5.2735993860322337</v>
      </c>
      <c r="O17651" s="43">
        <v>11.503164556962025</v>
      </c>
      <c r="P17651" s="559"/>
      <c r="Q17651" s="559"/>
      <c r="R17651" s="559">
        <v>3</v>
      </c>
    </row>
    <row r="17652" spans="1:18" ht="84">
      <c r="A17652" s="555">
        <v>94</v>
      </c>
      <c r="B17652" s="552" t="s">
        <v>31765</v>
      </c>
      <c r="C17652" s="556" t="s">
        <v>31766</v>
      </c>
      <c r="D17652" s="557">
        <v>61.91</v>
      </c>
      <c r="E17652" s="557">
        <v>31.02</v>
      </c>
      <c r="F17652" s="557">
        <v>30.27</v>
      </c>
      <c r="G17652" s="557">
        <v>0.62</v>
      </c>
      <c r="H17652" s="558">
        <v>523.5</v>
      </c>
      <c r="I17652" s="558">
        <v>356.78</v>
      </c>
      <c r="J17652" s="558">
        <v>159.59</v>
      </c>
      <c r="K17652" s="558">
        <v>7.13</v>
      </c>
      <c r="L17652" s="43">
        <v>8.455822968825716</v>
      </c>
      <c r="M17652" s="43">
        <v>11.50161186331399</v>
      </c>
      <c r="N17652" s="43">
        <v>5.2722167162206803</v>
      </c>
      <c r="O17652" s="43">
        <v>11.503164556962025</v>
      </c>
      <c r="P17652" s="559"/>
      <c r="Q17652" s="559"/>
      <c r="R17652" s="559">
        <v>3</v>
      </c>
    </row>
    <row r="17653" spans="1:18" ht="84">
      <c r="A17653" s="555">
        <v>95</v>
      </c>
      <c r="B17653" s="552" t="s">
        <v>31767</v>
      </c>
      <c r="C17653" s="556" t="s">
        <v>31768</v>
      </c>
      <c r="D17653" s="557">
        <v>69.63</v>
      </c>
      <c r="E17653" s="557">
        <v>34.47</v>
      </c>
      <c r="F17653" s="557">
        <v>34.47</v>
      </c>
      <c r="G17653" s="557">
        <v>0.69</v>
      </c>
      <c r="H17653" s="558">
        <v>586.12</v>
      </c>
      <c r="I17653" s="558">
        <v>396.42</v>
      </c>
      <c r="J17653" s="558">
        <v>181.76</v>
      </c>
      <c r="K17653" s="558">
        <v>7.94</v>
      </c>
      <c r="L17653" s="43">
        <v>8.4176360764038503</v>
      </c>
      <c r="M17653" s="43">
        <v>11.500435161009575</v>
      </c>
      <c r="N17653" s="43">
        <v>5.272991006672469</v>
      </c>
      <c r="O17653" s="43">
        <v>11.503164556962025</v>
      </c>
      <c r="P17653" s="559"/>
      <c r="Q17653" s="559"/>
      <c r="R17653" s="559">
        <v>3</v>
      </c>
    </row>
    <row r="17654" spans="1:18" ht="84">
      <c r="A17654" s="555">
        <v>96</v>
      </c>
      <c r="B17654" s="552" t="s">
        <v>31769</v>
      </c>
      <c r="C17654" s="556" t="s">
        <v>31770</v>
      </c>
      <c r="D17654" s="557">
        <v>80.53</v>
      </c>
      <c r="E17654" s="557">
        <v>40.22</v>
      </c>
      <c r="F17654" s="557">
        <v>39.51</v>
      </c>
      <c r="G17654" s="557">
        <v>0.8</v>
      </c>
      <c r="H17654" s="558">
        <v>680.05</v>
      </c>
      <c r="I17654" s="558">
        <v>462.49</v>
      </c>
      <c r="J17654" s="558">
        <v>208.36</v>
      </c>
      <c r="K17654" s="558">
        <v>9.1999999999999993</v>
      </c>
      <c r="L17654" s="43">
        <v>8.4446790016143041</v>
      </c>
      <c r="M17654" s="43">
        <v>11.499005469915465</v>
      </c>
      <c r="N17654" s="43">
        <v>5.2736016198430784</v>
      </c>
      <c r="O17654" s="43">
        <v>11.503164556962025</v>
      </c>
      <c r="P17654" s="559"/>
      <c r="Q17654" s="559"/>
      <c r="R17654" s="559">
        <v>3</v>
      </c>
    </row>
    <row r="17655" spans="1:18" ht="84">
      <c r="A17655" s="555">
        <v>97</v>
      </c>
      <c r="B17655" s="552" t="s">
        <v>31771</v>
      </c>
      <c r="C17655" s="556" t="s">
        <v>31772</v>
      </c>
      <c r="D17655" s="557">
        <v>27.52</v>
      </c>
      <c r="E17655" s="557">
        <v>13.79</v>
      </c>
      <c r="F17655" s="557">
        <v>13.45</v>
      </c>
      <c r="G17655" s="557">
        <v>0.28000000000000003</v>
      </c>
      <c r="H17655" s="558">
        <v>232.72</v>
      </c>
      <c r="I17655" s="558">
        <v>158.57</v>
      </c>
      <c r="J17655" s="558">
        <v>70.930000000000007</v>
      </c>
      <c r="K17655" s="558">
        <v>3.22</v>
      </c>
      <c r="L17655" s="43">
        <v>8.4563953488372086</v>
      </c>
      <c r="M17655" s="43">
        <v>11.498912255257434</v>
      </c>
      <c r="N17655" s="43">
        <v>5.2736059479553914</v>
      </c>
      <c r="O17655" s="43">
        <v>11.503164556962025</v>
      </c>
      <c r="P17655" s="559"/>
      <c r="Q17655" s="559"/>
      <c r="R17655" s="559">
        <v>3</v>
      </c>
    </row>
    <row r="17656" spans="1:18" ht="84">
      <c r="A17656" s="555">
        <v>98</v>
      </c>
      <c r="B17656" s="552" t="s">
        <v>31773</v>
      </c>
      <c r="C17656" s="556" t="s">
        <v>31774</v>
      </c>
      <c r="D17656" s="557">
        <v>37.25</v>
      </c>
      <c r="E17656" s="557">
        <v>18.38</v>
      </c>
      <c r="F17656" s="557">
        <v>18.5</v>
      </c>
      <c r="G17656" s="557">
        <v>0.37</v>
      </c>
      <c r="H17656" s="558">
        <v>313.20999999999998</v>
      </c>
      <c r="I17656" s="558">
        <v>211.42</v>
      </c>
      <c r="J17656" s="558">
        <v>97.53</v>
      </c>
      <c r="K17656" s="558">
        <v>4.26</v>
      </c>
      <c r="L17656" s="43">
        <v>8.4083221476510062</v>
      </c>
      <c r="M17656" s="43">
        <v>11.502720348204571</v>
      </c>
      <c r="N17656" s="43">
        <v>5.271891891891892</v>
      </c>
      <c r="O17656" s="43">
        <v>11.503164556962025</v>
      </c>
      <c r="P17656" s="559"/>
      <c r="Q17656" s="559"/>
      <c r="R17656" s="559">
        <v>3</v>
      </c>
    </row>
    <row r="17657" spans="1:18" ht="84">
      <c r="A17657" s="555">
        <v>99</v>
      </c>
      <c r="B17657" s="552" t="s">
        <v>31775</v>
      </c>
      <c r="C17657" s="556" t="s">
        <v>31776</v>
      </c>
      <c r="D17657" s="557">
        <v>48.15</v>
      </c>
      <c r="E17657" s="557">
        <v>24.13</v>
      </c>
      <c r="F17657" s="557">
        <v>23.54</v>
      </c>
      <c r="G17657" s="557">
        <v>0.48</v>
      </c>
      <c r="H17657" s="558">
        <v>407.14</v>
      </c>
      <c r="I17657" s="558">
        <v>277.49</v>
      </c>
      <c r="J17657" s="558">
        <v>124.13</v>
      </c>
      <c r="K17657" s="558">
        <v>5.52</v>
      </c>
      <c r="L17657" s="43">
        <v>8.4556593977154719</v>
      </c>
      <c r="M17657" s="43">
        <v>11.499792789059263</v>
      </c>
      <c r="N17657" s="43">
        <v>5.2731520815632962</v>
      </c>
      <c r="O17657" s="43">
        <v>11.503164556962025</v>
      </c>
      <c r="P17657" s="559"/>
      <c r="Q17657" s="559"/>
      <c r="R17657" s="559">
        <v>3</v>
      </c>
    </row>
    <row r="17658" spans="1:18" ht="84">
      <c r="A17658" s="555">
        <v>100</v>
      </c>
      <c r="B17658" s="552" t="s">
        <v>31777</v>
      </c>
      <c r="C17658" s="556" t="s">
        <v>31778</v>
      </c>
      <c r="D17658" s="557">
        <v>57.88</v>
      </c>
      <c r="E17658" s="557">
        <v>28.73</v>
      </c>
      <c r="F17658" s="557">
        <v>28.58</v>
      </c>
      <c r="G17658" s="557">
        <v>0.56999999999999995</v>
      </c>
      <c r="H17658" s="558">
        <v>487.64</v>
      </c>
      <c r="I17658" s="558">
        <v>330.35</v>
      </c>
      <c r="J17658" s="558">
        <v>150.72999999999999</v>
      </c>
      <c r="K17658" s="558">
        <v>6.56</v>
      </c>
      <c r="L17658" s="43">
        <v>8.425017277125086</v>
      </c>
      <c r="M17658" s="43">
        <v>11.498433693003829</v>
      </c>
      <c r="N17658" s="43">
        <v>5.273967809657103</v>
      </c>
      <c r="O17658" s="43">
        <v>11.503164556962025</v>
      </c>
      <c r="P17658" s="559"/>
      <c r="Q17658" s="559"/>
      <c r="R17658" s="559">
        <v>3</v>
      </c>
    </row>
    <row r="17659" spans="1:18" ht="84">
      <c r="A17659" s="555">
        <v>101</v>
      </c>
      <c r="B17659" s="552" t="s">
        <v>31779</v>
      </c>
      <c r="C17659" s="556" t="s">
        <v>31780</v>
      </c>
      <c r="D17659" s="557">
        <v>67.62</v>
      </c>
      <c r="E17659" s="557">
        <v>33.32</v>
      </c>
      <c r="F17659" s="557">
        <v>33.630000000000003</v>
      </c>
      <c r="G17659" s="557">
        <v>0.67</v>
      </c>
      <c r="H17659" s="558">
        <v>568.24</v>
      </c>
      <c r="I17659" s="558">
        <v>383.21</v>
      </c>
      <c r="J17659" s="558">
        <v>177.32</v>
      </c>
      <c r="K17659" s="558">
        <v>7.71</v>
      </c>
      <c r="L17659" s="43">
        <v>8.403430937592427</v>
      </c>
      <c r="M17659" s="43">
        <v>11.500900360144056</v>
      </c>
      <c r="N17659" s="43">
        <v>5.2726732084448402</v>
      </c>
      <c r="O17659" s="43">
        <v>11.503164556962025</v>
      </c>
      <c r="P17659" s="559"/>
      <c r="Q17659" s="559"/>
      <c r="R17659" s="559">
        <v>3</v>
      </c>
    </row>
    <row r="17660" spans="1:18" ht="84">
      <c r="A17660" s="555">
        <v>102</v>
      </c>
      <c r="B17660" s="552" t="s">
        <v>31781</v>
      </c>
      <c r="C17660" s="556" t="s">
        <v>31782</v>
      </c>
      <c r="D17660" s="557">
        <v>80.53</v>
      </c>
      <c r="E17660" s="557">
        <v>40.22</v>
      </c>
      <c r="F17660" s="557">
        <v>39.51</v>
      </c>
      <c r="G17660" s="557">
        <v>0.8</v>
      </c>
      <c r="H17660" s="558">
        <v>680.05</v>
      </c>
      <c r="I17660" s="558">
        <v>462.49</v>
      </c>
      <c r="J17660" s="558">
        <v>208.36</v>
      </c>
      <c r="K17660" s="558">
        <v>9.1999999999999993</v>
      </c>
      <c r="L17660" s="43">
        <v>8.4446790016143041</v>
      </c>
      <c r="M17660" s="43">
        <v>11.499005469915465</v>
      </c>
      <c r="N17660" s="43">
        <v>5.2736016198430784</v>
      </c>
      <c r="O17660" s="43">
        <v>11.503164556962025</v>
      </c>
      <c r="P17660" s="559"/>
      <c r="Q17660" s="559"/>
      <c r="R17660" s="559">
        <v>3</v>
      </c>
    </row>
    <row r="17661" spans="1:18" ht="84">
      <c r="A17661" s="555">
        <v>103</v>
      </c>
      <c r="B17661" s="552" t="s">
        <v>31783</v>
      </c>
      <c r="C17661" s="556" t="s">
        <v>31784</v>
      </c>
      <c r="D17661" s="557">
        <v>90.27</v>
      </c>
      <c r="E17661" s="557">
        <v>44.81</v>
      </c>
      <c r="F17661" s="557">
        <v>44.56</v>
      </c>
      <c r="G17661" s="557">
        <v>0.9</v>
      </c>
      <c r="H17661" s="558">
        <v>760.65</v>
      </c>
      <c r="I17661" s="558">
        <v>515.35</v>
      </c>
      <c r="J17661" s="558">
        <v>234.95</v>
      </c>
      <c r="K17661" s="558">
        <v>10.35</v>
      </c>
      <c r="L17661" s="43">
        <v>8.4263875041542047</v>
      </c>
      <c r="M17661" s="43">
        <v>11.500781075652757</v>
      </c>
      <c r="N17661" s="43">
        <v>5.2726660682226205</v>
      </c>
      <c r="O17661" s="43">
        <v>11.503164556962025</v>
      </c>
      <c r="P17661" s="559"/>
      <c r="Q17661" s="559"/>
      <c r="R17661" s="559">
        <v>3</v>
      </c>
    </row>
    <row r="17662" spans="1:18" ht="84">
      <c r="A17662" s="555">
        <v>104</v>
      </c>
      <c r="B17662" s="552" t="s">
        <v>31785</v>
      </c>
      <c r="C17662" s="556" t="s">
        <v>31786</v>
      </c>
      <c r="D17662" s="557">
        <v>106.03</v>
      </c>
      <c r="E17662" s="557">
        <v>52.85</v>
      </c>
      <c r="F17662" s="557">
        <v>52.12</v>
      </c>
      <c r="G17662" s="557">
        <v>1.06</v>
      </c>
      <c r="H17662" s="558">
        <v>894.88</v>
      </c>
      <c r="I17662" s="558">
        <v>607.84</v>
      </c>
      <c r="J17662" s="558">
        <v>274.85000000000002</v>
      </c>
      <c r="K17662" s="558">
        <v>12.19</v>
      </c>
      <c r="L17662" s="43">
        <v>8.4398755069320011</v>
      </c>
      <c r="M17662" s="43">
        <v>11.501229895931884</v>
      </c>
      <c r="N17662" s="43">
        <v>5.2734075211051428</v>
      </c>
      <c r="O17662" s="43">
        <v>11.503164556962025</v>
      </c>
      <c r="P17662" s="559"/>
      <c r="Q17662" s="559"/>
      <c r="R17662" s="559">
        <v>3</v>
      </c>
    </row>
    <row r="17663" spans="1:18" ht="12.75" customHeight="1">
      <c r="A17663" s="628" t="s">
        <v>31787</v>
      </c>
      <c r="B17663" s="629"/>
      <c r="C17663" s="629"/>
      <c r="D17663" s="629"/>
      <c r="E17663" s="629"/>
      <c r="F17663" s="629"/>
      <c r="G17663" s="629"/>
      <c r="H17663" s="629"/>
      <c r="I17663" s="629"/>
      <c r="J17663" s="629"/>
      <c r="K17663" s="629"/>
      <c r="L17663" s="629"/>
      <c r="M17663" s="629"/>
      <c r="N17663" s="629"/>
      <c r="O17663" s="629"/>
      <c r="P17663" s="629"/>
      <c r="Q17663" s="629"/>
      <c r="R17663" s="629"/>
    </row>
    <row r="17664" spans="1:18" ht="84">
      <c r="A17664" s="555">
        <v>105</v>
      </c>
      <c r="B17664" s="552" t="s">
        <v>31788</v>
      </c>
      <c r="C17664" s="556" t="s">
        <v>31789</v>
      </c>
      <c r="D17664" s="557">
        <v>30.37</v>
      </c>
      <c r="E17664" s="557">
        <v>14.94</v>
      </c>
      <c r="F17664" s="557">
        <v>15.13</v>
      </c>
      <c r="G17664" s="557">
        <v>0.3</v>
      </c>
      <c r="H17664" s="558">
        <v>255.03</v>
      </c>
      <c r="I17664" s="558">
        <v>171.78</v>
      </c>
      <c r="J17664" s="558">
        <v>79.8</v>
      </c>
      <c r="K17664" s="558">
        <v>3.45</v>
      </c>
      <c r="L17664" s="43">
        <v>8.3974316759960477</v>
      </c>
      <c r="M17664" s="43">
        <v>11.497991967871487</v>
      </c>
      <c r="N17664" s="43">
        <v>5.2742894910773295</v>
      </c>
      <c r="O17664" s="43">
        <v>11.503164556962025</v>
      </c>
      <c r="P17664" s="559"/>
      <c r="Q17664" s="559"/>
      <c r="R17664" s="559">
        <v>4</v>
      </c>
    </row>
    <row r="17665" spans="1:18" ht="84">
      <c r="A17665" s="555">
        <v>106</v>
      </c>
      <c r="B17665" s="552" t="s">
        <v>31790</v>
      </c>
      <c r="C17665" s="556" t="s">
        <v>31791</v>
      </c>
      <c r="D17665" s="557">
        <v>42.11</v>
      </c>
      <c r="E17665" s="557">
        <v>20.68</v>
      </c>
      <c r="F17665" s="557">
        <v>21.02</v>
      </c>
      <c r="G17665" s="557">
        <v>0.41</v>
      </c>
      <c r="H17665" s="558">
        <v>353.4</v>
      </c>
      <c r="I17665" s="558">
        <v>237.85</v>
      </c>
      <c r="J17665" s="558">
        <v>110.83</v>
      </c>
      <c r="K17665" s="558">
        <v>4.72</v>
      </c>
      <c r="L17665" s="43">
        <v>8.3923058655901208</v>
      </c>
      <c r="M17665" s="43">
        <v>11.501450676982591</v>
      </c>
      <c r="N17665" s="43">
        <v>5.2725975261655567</v>
      </c>
      <c r="O17665" s="43">
        <v>11.503164556962025</v>
      </c>
      <c r="P17665" s="559"/>
      <c r="Q17665" s="559"/>
      <c r="R17665" s="559">
        <v>4</v>
      </c>
    </row>
    <row r="17666" spans="1:18" ht="84">
      <c r="A17666" s="555">
        <v>107</v>
      </c>
      <c r="B17666" s="552" t="s">
        <v>31792</v>
      </c>
      <c r="C17666" s="556" t="s">
        <v>31793</v>
      </c>
      <c r="D17666" s="557">
        <v>55.03</v>
      </c>
      <c r="E17666" s="557">
        <v>27.58</v>
      </c>
      <c r="F17666" s="557">
        <v>26.9</v>
      </c>
      <c r="G17666" s="557">
        <v>0.55000000000000004</v>
      </c>
      <c r="H17666" s="558">
        <v>465.33</v>
      </c>
      <c r="I17666" s="558">
        <v>317.14</v>
      </c>
      <c r="J17666" s="558">
        <v>141.86000000000001</v>
      </c>
      <c r="K17666" s="558">
        <v>6.33</v>
      </c>
      <c r="L17666" s="43">
        <v>8.4559331273850624</v>
      </c>
      <c r="M17666" s="43">
        <v>11.498912255257434</v>
      </c>
      <c r="N17666" s="43">
        <v>5.2736059479553914</v>
      </c>
      <c r="O17666" s="43">
        <v>11.503164556962025</v>
      </c>
      <c r="P17666" s="559"/>
      <c r="Q17666" s="559"/>
      <c r="R17666" s="559">
        <v>4</v>
      </c>
    </row>
    <row r="17667" spans="1:18" ht="84">
      <c r="A17667" s="555">
        <v>108</v>
      </c>
      <c r="B17667" s="552" t="s">
        <v>31794</v>
      </c>
      <c r="C17667" s="556" t="s">
        <v>31795</v>
      </c>
      <c r="D17667" s="557">
        <v>66.78</v>
      </c>
      <c r="E17667" s="557">
        <v>33.32</v>
      </c>
      <c r="F17667" s="557">
        <v>32.79</v>
      </c>
      <c r="G17667" s="557">
        <v>0.67</v>
      </c>
      <c r="H17667" s="558">
        <v>563.80999999999995</v>
      </c>
      <c r="I17667" s="558">
        <v>383.21</v>
      </c>
      <c r="J17667" s="558">
        <v>172.89</v>
      </c>
      <c r="K17667" s="558">
        <v>7.71</v>
      </c>
      <c r="L17667" s="43">
        <v>8.4427972446840354</v>
      </c>
      <c r="M17667" s="43">
        <v>11.500900360144056</v>
      </c>
      <c r="N17667" s="43">
        <v>5.2726440988106127</v>
      </c>
      <c r="O17667" s="43">
        <v>11.503164556962025</v>
      </c>
      <c r="P17667" s="559"/>
      <c r="Q17667" s="559"/>
      <c r="R17667" s="559">
        <v>4</v>
      </c>
    </row>
    <row r="17668" spans="1:18" ht="84">
      <c r="A17668" s="555">
        <v>109</v>
      </c>
      <c r="B17668" s="552" t="s">
        <v>31796</v>
      </c>
      <c r="C17668" s="556" t="s">
        <v>31797</v>
      </c>
      <c r="D17668" s="557">
        <v>78.52</v>
      </c>
      <c r="E17668" s="557">
        <v>39.07</v>
      </c>
      <c r="F17668" s="557">
        <v>38.67</v>
      </c>
      <c r="G17668" s="557">
        <v>0.78</v>
      </c>
      <c r="H17668" s="558">
        <v>662.17</v>
      </c>
      <c r="I17668" s="558">
        <v>449.28</v>
      </c>
      <c r="J17668" s="558">
        <v>203.92</v>
      </c>
      <c r="K17668" s="558">
        <v>8.9700000000000006</v>
      </c>
      <c r="L17668" s="43">
        <v>8.4331380539989809</v>
      </c>
      <c r="M17668" s="43">
        <v>11.499360122856411</v>
      </c>
      <c r="N17668" s="43">
        <v>5.2733385053012665</v>
      </c>
      <c r="O17668" s="43">
        <v>11.503164556962025</v>
      </c>
      <c r="P17668" s="559"/>
      <c r="Q17668" s="559"/>
      <c r="R17668" s="559">
        <v>4</v>
      </c>
    </row>
    <row r="17669" spans="1:18" ht="84">
      <c r="A17669" s="555">
        <v>110</v>
      </c>
      <c r="B17669" s="552" t="s">
        <v>31798</v>
      </c>
      <c r="C17669" s="556" t="s">
        <v>31799</v>
      </c>
      <c r="D17669" s="557">
        <v>90.27</v>
      </c>
      <c r="E17669" s="557">
        <v>44.81</v>
      </c>
      <c r="F17669" s="557">
        <v>44.56</v>
      </c>
      <c r="G17669" s="557">
        <v>0.9</v>
      </c>
      <c r="H17669" s="558">
        <v>760.65</v>
      </c>
      <c r="I17669" s="558">
        <v>515.35</v>
      </c>
      <c r="J17669" s="558">
        <v>234.95</v>
      </c>
      <c r="K17669" s="558">
        <v>10.35</v>
      </c>
      <c r="L17669" s="43">
        <v>8.4263875041542047</v>
      </c>
      <c r="M17669" s="43">
        <v>11.500781075652757</v>
      </c>
      <c r="N17669" s="43">
        <v>5.2726660682226205</v>
      </c>
      <c r="O17669" s="43">
        <v>11.503164556962025</v>
      </c>
      <c r="P17669" s="559"/>
      <c r="Q17669" s="559"/>
      <c r="R17669" s="559">
        <v>4</v>
      </c>
    </row>
    <row r="17670" spans="1:18" ht="84">
      <c r="A17670" s="555">
        <v>111</v>
      </c>
      <c r="B17670" s="552" t="s">
        <v>31800</v>
      </c>
      <c r="C17670" s="556" t="s">
        <v>31801</v>
      </c>
      <c r="D17670" s="557">
        <v>102.01</v>
      </c>
      <c r="E17670" s="557">
        <v>50.56</v>
      </c>
      <c r="F17670" s="557">
        <v>50.44</v>
      </c>
      <c r="G17670" s="557">
        <v>1.01</v>
      </c>
      <c r="H17670" s="558">
        <v>859.03</v>
      </c>
      <c r="I17670" s="558">
        <v>581.41999999999996</v>
      </c>
      <c r="J17670" s="558">
        <v>265.99</v>
      </c>
      <c r="K17670" s="558">
        <v>11.62</v>
      </c>
      <c r="L17670" s="43">
        <v>8.4210371532202721</v>
      </c>
      <c r="M17670" s="43">
        <v>11.499604430379746</v>
      </c>
      <c r="N17670" s="43">
        <v>5.2733941316415551</v>
      </c>
      <c r="O17670" s="43">
        <v>11.503164556962025</v>
      </c>
      <c r="P17670" s="559"/>
      <c r="Q17670" s="559"/>
      <c r="R17670" s="559">
        <v>4</v>
      </c>
    </row>
    <row r="17671" spans="1:18" ht="84">
      <c r="A17671" s="555">
        <v>112</v>
      </c>
      <c r="B17671" s="552" t="s">
        <v>31802</v>
      </c>
      <c r="C17671" s="556" t="s">
        <v>31803</v>
      </c>
      <c r="D17671" s="557">
        <v>119.79</v>
      </c>
      <c r="E17671" s="557">
        <v>59.75</v>
      </c>
      <c r="F17671" s="557">
        <v>58.85</v>
      </c>
      <c r="G17671" s="557">
        <v>1.19</v>
      </c>
      <c r="H17671" s="558">
        <v>1011.14</v>
      </c>
      <c r="I17671" s="558">
        <v>687.13</v>
      </c>
      <c r="J17671" s="558">
        <v>310.32</v>
      </c>
      <c r="K17671" s="558">
        <v>13.69</v>
      </c>
      <c r="L17671" s="43">
        <v>8.4409383087069028</v>
      </c>
      <c r="M17671" s="43">
        <v>11.500083682008368</v>
      </c>
      <c r="N17671" s="43">
        <v>5.2730671197960914</v>
      </c>
      <c r="O17671" s="43">
        <v>11.503164556962025</v>
      </c>
      <c r="P17671" s="559"/>
      <c r="Q17671" s="559"/>
      <c r="R17671" s="559">
        <v>4</v>
      </c>
    </row>
    <row r="17672" spans="1:18" ht="84">
      <c r="A17672" s="555">
        <v>113</v>
      </c>
      <c r="B17672" s="552" t="s">
        <v>31804</v>
      </c>
      <c r="C17672" s="556" t="s">
        <v>31805</v>
      </c>
      <c r="D17672" s="557">
        <v>35.229999999999997</v>
      </c>
      <c r="E17672" s="557">
        <v>17.239999999999998</v>
      </c>
      <c r="F17672" s="557">
        <v>17.649999999999999</v>
      </c>
      <c r="G17672" s="557">
        <v>0.34</v>
      </c>
      <c r="H17672" s="558">
        <v>295.22000000000003</v>
      </c>
      <c r="I17672" s="558">
        <v>198.21</v>
      </c>
      <c r="J17672" s="558">
        <v>93.1</v>
      </c>
      <c r="K17672" s="558">
        <v>3.91</v>
      </c>
      <c r="L17672" s="43">
        <v>8.3797899517456731</v>
      </c>
      <c r="M17672" s="43">
        <v>11.497099767981441</v>
      </c>
      <c r="N17672" s="43">
        <v>5.2747875354107654</v>
      </c>
      <c r="O17672" s="43">
        <v>11.503164556962025</v>
      </c>
      <c r="P17672" s="559"/>
      <c r="Q17672" s="559"/>
      <c r="R17672" s="559">
        <v>4</v>
      </c>
    </row>
    <row r="17673" spans="1:18" ht="84">
      <c r="A17673" s="555">
        <v>114</v>
      </c>
      <c r="B17673" s="552" t="s">
        <v>31806</v>
      </c>
      <c r="C17673" s="556" t="s">
        <v>31807</v>
      </c>
      <c r="D17673" s="557">
        <v>48.99</v>
      </c>
      <c r="E17673" s="557">
        <v>24.13</v>
      </c>
      <c r="F17673" s="557">
        <v>24.38</v>
      </c>
      <c r="G17673" s="557">
        <v>0.48</v>
      </c>
      <c r="H17673" s="558">
        <v>411.57</v>
      </c>
      <c r="I17673" s="558">
        <v>277.49</v>
      </c>
      <c r="J17673" s="558">
        <v>128.56</v>
      </c>
      <c r="K17673" s="558">
        <v>5.52</v>
      </c>
      <c r="L17673" s="43">
        <v>8.4011022657685235</v>
      </c>
      <c r="M17673" s="43">
        <v>11.499792789059263</v>
      </c>
      <c r="N17673" s="43">
        <v>5.2731747333880232</v>
      </c>
      <c r="O17673" s="43">
        <v>11.503164556962025</v>
      </c>
      <c r="P17673" s="559"/>
      <c r="Q17673" s="559"/>
      <c r="R17673" s="559">
        <v>4</v>
      </c>
    </row>
    <row r="17674" spans="1:18" ht="84">
      <c r="A17674" s="555">
        <v>115</v>
      </c>
      <c r="B17674" s="552" t="s">
        <v>31808</v>
      </c>
      <c r="C17674" s="556" t="s">
        <v>31809</v>
      </c>
      <c r="D17674" s="557">
        <v>62.75</v>
      </c>
      <c r="E17674" s="557">
        <v>31.02</v>
      </c>
      <c r="F17674" s="557">
        <v>31.11</v>
      </c>
      <c r="G17674" s="557">
        <v>0.62</v>
      </c>
      <c r="H17674" s="558">
        <v>527.92999999999995</v>
      </c>
      <c r="I17674" s="558">
        <v>356.78</v>
      </c>
      <c r="J17674" s="558">
        <v>164.02</v>
      </c>
      <c r="K17674" s="558">
        <v>7.13</v>
      </c>
      <c r="L17674" s="43">
        <v>8.4132270916334662</v>
      </c>
      <c r="M17674" s="43">
        <v>11.50161186331399</v>
      </c>
      <c r="N17674" s="43">
        <v>5.2722597235615565</v>
      </c>
      <c r="O17674" s="43">
        <v>11.503164556962025</v>
      </c>
      <c r="P17674" s="559"/>
      <c r="Q17674" s="559"/>
      <c r="R17674" s="559">
        <v>4</v>
      </c>
    </row>
    <row r="17675" spans="1:18" ht="84">
      <c r="A17675" s="555">
        <v>116</v>
      </c>
      <c r="B17675" s="552" t="s">
        <v>31810</v>
      </c>
      <c r="C17675" s="556" t="s">
        <v>31811</v>
      </c>
      <c r="D17675" s="557">
        <v>76.510000000000005</v>
      </c>
      <c r="E17675" s="557">
        <v>37.92</v>
      </c>
      <c r="F17675" s="557">
        <v>37.83</v>
      </c>
      <c r="G17675" s="557">
        <v>0.76</v>
      </c>
      <c r="H17675" s="558">
        <v>644.29</v>
      </c>
      <c r="I17675" s="558">
        <v>436.06</v>
      </c>
      <c r="J17675" s="558">
        <v>199.49</v>
      </c>
      <c r="K17675" s="558">
        <v>8.74</v>
      </c>
      <c r="L17675" s="43">
        <v>8.420990720167298</v>
      </c>
      <c r="M17675" s="43">
        <v>11.499472573839663</v>
      </c>
      <c r="N17675" s="43">
        <v>5.2733280465239236</v>
      </c>
      <c r="O17675" s="43">
        <v>11.503164556962025</v>
      </c>
      <c r="P17675" s="559"/>
      <c r="Q17675" s="559"/>
      <c r="R17675" s="559">
        <v>4</v>
      </c>
    </row>
    <row r="17676" spans="1:18" ht="84">
      <c r="A17676" s="555">
        <v>117</v>
      </c>
      <c r="B17676" s="552" t="s">
        <v>31812</v>
      </c>
      <c r="C17676" s="556" t="s">
        <v>31813</v>
      </c>
      <c r="D17676" s="557">
        <v>90.27</v>
      </c>
      <c r="E17676" s="557">
        <v>44.81</v>
      </c>
      <c r="F17676" s="557">
        <v>44.56</v>
      </c>
      <c r="G17676" s="557">
        <v>0.9</v>
      </c>
      <c r="H17676" s="558">
        <v>760.65</v>
      </c>
      <c r="I17676" s="558">
        <v>515.35</v>
      </c>
      <c r="J17676" s="558">
        <v>234.95</v>
      </c>
      <c r="K17676" s="558">
        <v>10.35</v>
      </c>
      <c r="L17676" s="43">
        <v>8.4263875041542047</v>
      </c>
      <c r="M17676" s="43">
        <v>11.500781075652757</v>
      </c>
      <c r="N17676" s="43">
        <v>5.2726660682226205</v>
      </c>
      <c r="O17676" s="43">
        <v>11.503164556962025</v>
      </c>
      <c r="P17676" s="559"/>
      <c r="Q17676" s="559"/>
      <c r="R17676" s="559">
        <v>4</v>
      </c>
    </row>
    <row r="17677" spans="1:18" ht="84">
      <c r="A17677" s="555">
        <v>118</v>
      </c>
      <c r="B17677" s="552" t="s">
        <v>31814</v>
      </c>
      <c r="C17677" s="556" t="s">
        <v>31815</v>
      </c>
      <c r="D17677" s="557">
        <v>104.02</v>
      </c>
      <c r="E17677" s="557">
        <v>51.71</v>
      </c>
      <c r="F17677" s="557">
        <v>51.28</v>
      </c>
      <c r="G17677" s="557">
        <v>1.03</v>
      </c>
      <c r="H17677" s="558">
        <v>876.9</v>
      </c>
      <c r="I17677" s="558">
        <v>594.63</v>
      </c>
      <c r="J17677" s="558">
        <v>270.42</v>
      </c>
      <c r="K17677" s="558">
        <v>11.85</v>
      </c>
      <c r="L17677" s="43">
        <v>8.4301095943087869</v>
      </c>
      <c r="M17677" s="43">
        <v>11.499323148327209</v>
      </c>
      <c r="N17677" s="43">
        <v>5.2734009360374419</v>
      </c>
      <c r="O17677" s="43">
        <v>11.503164556962025</v>
      </c>
      <c r="P17677" s="559"/>
      <c r="Q17677" s="559"/>
      <c r="R17677" s="559">
        <v>4</v>
      </c>
    </row>
    <row r="17678" spans="1:18" ht="84">
      <c r="A17678" s="555">
        <v>119</v>
      </c>
      <c r="B17678" s="552" t="s">
        <v>31816</v>
      </c>
      <c r="C17678" s="556" t="s">
        <v>31817</v>
      </c>
      <c r="D17678" s="557">
        <v>117.78</v>
      </c>
      <c r="E17678" s="557">
        <v>58.6</v>
      </c>
      <c r="F17678" s="557">
        <v>58.01</v>
      </c>
      <c r="G17678" s="557">
        <v>1.17</v>
      </c>
      <c r="H17678" s="558">
        <v>993.25</v>
      </c>
      <c r="I17678" s="558">
        <v>673.91</v>
      </c>
      <c r="J17678" s="558">
        <v>305.88</v>
      </c>
      <c r="K17678" s="558">
        <v>13.46</v>
      </c>
      <c r="L17678" s="43">
        <v>8.4330956019697734</v>
      </c>
      <c r="M17678" s="43">
        <v>11.500170648464163</v>
      </c>
      <c r="N17678" s="43">
        <v>5.272883985519738</v>
      </c>
      <c r="O17678" s="43">
        <v>11.503164556962025</v>
      </c>
      <c r="P17678" s="559"/>
      <c r="Q17678" s="559"/>
      <c r="R17678" s="559">
        <v>4</v>
      </c>
    </row>
    <row r="17679" spans="1:18" ht="84">
      <c r="A17679" s="555">
        <v>120</v>
      </c>
      <c r="B17679" s="552" t="s">
        <v>31818</v>
      </c>
      <c r="C17679" s="556" t="s">
        <v>31819</v>
      </c>
      <c r="D17679" s="557">
        <v>131.53</v>
      </c>
      <c r="E17679" s="557">
        <v>65.489999999999995</v>
      </c>
      <c r="F17679" s="557">
        <v>64.73</v>
      </c>
      <c r="G17679" s="557">
        <v>1.31</v>
      </c>
      <c r="H17679" s="558">
        <v>1109.6199999999999</v>
      </c>
      <c r="I17679" s="558">
        <v>753.2</v>
      </c>
      <c r="J17679" s="558">
        <v>341.35</v>
      </c>
      <c r="K17679" s="558">
        <v>15.07</v>
      </c>
      <c r="L17679" s="43">
        <v>8.436250285106059</v>
      </c>
      <c r="M17679" s="43">
        <v>11.500992517941672</v>
      </c>
      <c r="N17679" s="43">
        <v>5.273443534682527</v>
      </c>
      <c r="O17679" s="43">
        <v>11.503164556962025</v>
      </c>
      <c r="P17679" s="559"/>
      <c r="Q17679" s="559"/>
      <c r="R17679" s="559">
        <v>4</v>
      </c>
    </row>
    <row r="17680" spans="1:18" ht="84">
      <c r="A17680" s="555">
        <v>121</v>
      </c>
      <c r="B17680" s="552" t="s">
        <v>31820</v>
      </c>
      <c r="C17680" s="556" t="s">
        <v>31821</v>
      </c>
      <c r="D17680" s="557">
        <v>42.11</v>
      </c>
      <c r="E17680" s="557">
        <v>20.68</v>
      </c>
      <c r="F17680" s="557">
        <v>21.02</v>
      </c>
      <c r="G17680" s="557">
        <v>0.41</v>
      </c>
      <c r="H17680" s="558">
        <v>353.4</v>
      </c>
      <c r="I17680" s="558">
        <v>237.85</v>
      </c>
      <c r="J17680" s="558">
        <v>110.83</v>
      </c>
      <c r="K17680" s="558">
        <v>4.72</v>
      </c>
      <c r="L17680" s="43">
        <v>8.3923058655901208</v>
      </c>
      <c r="M17680" s="43">
        <v>11.501450676982591</v>
      </c>
      <c r="N17680" s="43">
        <v>5.2725975261655567</v>
      </c>
      <c r="O17680" s="43">
        <v>11.503164556962025</v>
      </c>
      <c r="P17680" s="559"/>
      <c r="Q17680" s="559"/>
      <c r="R17680" s="559">
        <v>4</v>
      </c>
    </row>
    <row r="17681" spans="1:18" ht="84">
      <c r="A17681" s="555">
        <v>122</v>
      </c>
      <c r="B17681" s="552" t="s">
        <v>31822</v>
      </c>
      <c r="C17681" s="556" t="s">
        <v>31823</v>
      </c>
      <c r="D17681" s="557">
        <v>55.87</v>
      </c>
      <c r="E17681" s="557">
        <v>27.58</v>
      </c>
      <c r="F17681" s="557">
        <v>27.74</v>
      </c>
      <c r="G17681" s="557">
        <v>0.55000000000000004</v>
      </c>
      <c r="H17681" s="558">
        <v>469.76</v>
      </c>
      <c r="I17681" s="558">
        <v>317.14</v>
      </c>
      <c r="J17681" s="558">
        <v>146.29</v>
      </c>
      <c r="K17681" s="558">
        <v>6.33</v>
      </c>
      <c r="L17681" s="43">
        <v>8.4080902094147127</v>
      </c>
      <c r="M17681" s="43">
        <v>11.498912255257434</v>
      </c>
      <c r="N17681" s="43">
        <v>5.2736121124729634</v>
      </c>
      <c r="O17681" s="43">
        <v>11.503164556962025</v>
      </c>
      <c r="P17681" s="559"/>
      <c r="Q17681" s="559"/>
      <c r="R17681" s="559">
        <v>4</v>
      </c>
    </row>
    <row r="17682" spans="1:18" ht="84">
      <c r="A17682" s="555">
        <v>123</v>
      </c>
      <c r="B17682" s="552" t="s">
        <v>31824</v>
      </c>
      <c r="C17682" s="556" t="s">
        <v>31825</v>
      </c>
      <c r="D17682" s="557">
        <v>71.64</v>
      </c>
      <c r="E17682" s="557">
        <v>35.619999999999997</v>
      </c>
      <c r="F17682" s="557">
        <v>35.31</v>
      </c>
      <c r="G17682" s="557">
        <v>0.71</v>
      </c>
      <c r="H17682" s="558">
        <v>603.99</v>
      </c>
      <c r="I17682" s="558">
        <v>409.63</v>
      </c>
      <c r="J17682" s="558">
        <v>186.19</v>
      </c>
      <c r="K17682" s="558">
        <v>8.17</v>
      </c>
      <c r="L17682" s="43">
        <v>8.4309045226130657</v>
      </c>
      <c r="M17682" s="43">
        <v>11.5</v>
      </c>
      <c r="N17682" s="43">
        <v>5.2730104786179552</v>
      </c>
      <c r="O17682" s="43">
        <v>11.503164556962025</v>
      </c>
      <c r="P17682" s="559"/>
      <c r="Q17682" s="559"/>
      <c r="R17682" s="559">
        <v>4</v>
      </c>
    </row>
    <row r="17683" spans="1:18" ht="84">
      <c r="A17683" s="555">
        <v>124</v>
      </c>
      <c r="B17683" s="552" t="s">
        <v>31826</v>
      </c>
      <c r="C17683" s="556" t="s">
        <v>31827</v>
      </c>
      <c r="D17683" s="557">
        <v>87.41</v>
      </c>
      <c r="E17683" s="557">
        <v>43.66</v>
      </c>
      <c r="F17683" s="557">
        <v>42.88</v>
      </c>
      <c r="G17683" s="557">
        <v>0.87</v>
      </c>
      <c r="H17683" s="558">
        <v>738.23</v>
      </c>
      <c r="I17683" s="558">
        <v>502.13</v>
      </c>
      <c r="J17683" s="558">
        <v>226.09</v>
      </c>
      <c r="K17683" s="558">
        <v>10.01</v>
      </c>
      <c r="L17683" s="43">
        <v>8.4456011897952177</v>
      </c>
      <c r="M17683" s="43">
        <v>11.500916170407697</v>
      </c>
      <c r="N17683" s="43">
        <v>5.2726212686567164</v>
      </c>
      <c r="O17683" s="43">
        <v>11.503164556962025</v>
      </c>
      <c r="P17683" s="559"/>
      <c r="Q17683" s="559"/>
      <c r="R17683" s="559">
        <v>4</v>
      </c>
    </row>
    <row r="17684" spans="1:18" ht="84">
      <c r="A17684" s="555">
        <v>125</v>
      </c>
      <c r="B17684" s="552" t="s">
        <v>31828</v>
      </c>
      <c r="C17684" s="556" t="s">
        <v>31829</v>
      </c>
      <c r="D17684" s="557">
        <v>102.01</v>
      </c>
      <c r="E17684" s="557">
        <v>50.56</v>
      </c>
      <c r="F17684" s="557">
        <v>50.44</v>
      </c>
      <c r="G17684" s="557">
        <v>1.01</v>
      </c>
      <c r="H17684" s="558">
        <v>859.03</v>
      </c>
      <c r="I17684" s="558">
        <v>581.41999999999996</v>
      </c>
      <c r="J17684" s="558">
        <v>265.99</v>
      </c>
      <c r="K17684" s="558">
        <v>11.62</v>
      </c>
      <c r="L17684" s="43">
        <v>8.4210371532202721</v>
      </c>
      <c r="M17684" s="43">
        <v>11.499604430379746</v>
      </c>
      <c r="N17684" s="43">
        <v>5.2733941316415551</v>
      </c>
      <c r="O17684" s="43">
        <v>11.503164556962025</v>
      </c>
      <c r="P17684" s="559"/>
      <c r="Q17684" s="559"/>
      <c r="R17684" s="559">
        <v>4</v>
      </c>
    </row>
    <row r="17685" spans="1:18" ht="84">
      <c r="A17685" s="555">
        <v>126</v>
      </c>
      <c r="B17685" s="552" t="s">
        <v>31830</v>
      </c>
      <c r="C17685" s="556" t="s">
        <v>31831</v>
      </c>
      <c r="D17685" s="557">
        <v>117.78</v>
      </c>
      <c r="E17685" s="557">
        <v>58.6</v>
      </c>
      <c r="F17685" s="557">
        <v>58.01</v>
      </c>
      <c r="G17685" s="557">
        <v>1.17</v>
      </c>
      <c r="H17685" s="558">
        <v>993.25</v>
      </c>
      <c r="I17685" s="558">
        <v>673.91</v>
      </c>
      <c r="J17685" s="558">
        <v>305.88</v>
      </c>
      <c r="K17685" s="558">
        <v>13.46</v>
      </c>
      <c r="L17685" s="43">
        <v>8.4330956019697734</v>
      </c>
      <c r="M17685" s="43">
        <v>11.500170648464163</v>
      </c>
      <c r="N17685" s="43">
        <v>5.272883985519738</v>
      </c>
      <c r="O17685" s="43">
        <v>11.503164556962025</v>
      </c>
      <c r="P17685" s="559"/>
      <c r="Q17685" s="559"/>
      <c r="R17685" s="559">
        <v>4</v>
      </c>
    </row>
    <row r="17686" spans="1:18" ht="84">
      <c r="A17686" s="555">
        <v>127</v>
      </c>
      <c r="B17686" s="552" t="s">
        <v>31832</v>
      </c>
      <c r="C17686" s="556" t="s">
        <v>31833</v>
      </c>
      <c r="D17686" s="557">
        <v>132.37</v>
      </c>
      <c r="E17686" s="557">
        <v>65.489999999999995</v>
      </c>
      <c r="F17686" s="557">
        <v>65.569999999999993</v>
      </c>
      <c r="G17686" s="557">
        <v>1.31</v>
      </c>
      <c r="H17686" s="558">
        <v>1114.05</v>
      </c>
      <c r="I17686" s="558">
        <v>753.2</v>
      </c>
      <c r="J17686" s="558">
        <v>345.78</v>
      </c>
      <c r="K17686" s="558">
        <v>15.07</v>
      </c>
      <c r="L17686" s="43">
        <v>8.416181914331041</v>
      </c>
      <c r="M17686" s="43">
        <v>11.500992517941672</v>
      </c>
      <c r="N17686" s="43">
        <v>5.2734482232728386</v>
      </c>
      <c r="O17686" s="43">
        <v>11.503164556962025</v>
      </c>
      <c r="P17686" s="559"/>
      <c r="Q17686" s="559"/>
      <c r="R17686" s="559">
        <v>4</v>
      </c>
    </row>
    <row r="17687" spans="1:18" ht="84">
      <c r="A17687" s="555">
        <v>128</v>
      </c>
      <c r="B17687" s="552" t="s">
        <v>31834</v>
      </c>
      <c r="C17687" s="556" t="s">
        <v>31835</v>
      </c>
      <c r="D17687" s="557">
        <v>148.15</v>
      </c>
      <c r="E17687" s="557">
        <v>73.540000000000006</v>
      </c>
      <c r="F17687" s="557">
        <v>73.14</v>
      </c>
      <c r="G17687" s="557">
        <v>1.47</v>
      </c>
      <c r="H17687" s="558">
        <v>1248.29</v>
      </c>
      <c r="I17687" s="558">
        <v>845.7</v>
      </c>
      <c r="J17687" s="558">
        <v>385.68</v>
      </c>
      <c r="K17687" s="558">
        <v>16.91</v>
      </c>
      <c r="L17687" s="43">
        <v>8.4258521768477888</v>
      </c>
      <c r="M17687" s="43">
        <v>11.49986401958118</v>
      </c>
      <c r="N17687" s="43">
        <v>5.2731747333880232</v>
      </c>
      <c r="O17687" s="43">
        <v>11.503164556962025</v>
      </c>
      <c r="P17687" s="559"/>
      <c r="Q17687" s="559"/>
      <c r="R17687" s="559">
        <v>4</v>
      </c>
    </row>
    <row r="17688" spans="1:18" ht="84">
      <c r="A17688" s="555">
        <v>129</v>
      </c>
      <c r="B17688" s="552" t="s">
        <v>31836</v>
      </c>
      <c r="C17688" s="556" t="s">
        <v>31837</v>
      </c>
      <c r="D17688" s="557">
        <v>46.14</v>
      </c>
      <c r="E17688" s="557">
        <v>22.98</v>
      </c>
      <c r="F17688" s="557">
        <v>22.7</v>
      </c>
      <c r="G17688" s="557">
        <v>0.46</v>
      </c>
      <c r="H17688" s="558">
        <v>389.26</v>
      </c>
      <c r="I17688" s="558">
        <v>264.27999999999997</v>
      </c>
      <c r="J17688" s="558">
        <v>119.69</v>
      </c>
      <c r="K17688" s="558">
        <v>5.29</v>
      </c>
      <c r="L17688" s="43">
        <v>8.4364976159514526</v>
      </c>
      <c r="M17688" s="43">
        <v>11.500435161009571</v>
      </c>
      <c r="N17688" s="43">
        <v>5.2726872246696033</v>
      </c>
      <c r="O17688" s="43">
        <v>11.503164556962025</v>
      </c>
      <c r="P17688" s="559"/>
      <c r="Q17688" s="559"/>
      <c r="R17688" s="559">
        <v>4</v>
      </c>
    </row>
    <row r="17689" spans="1:18" ht="84">
      <c r="A17689" s="555">
        <v>130</v>
      </c>
      <c r="B17689" s="552" t="s">
        <v>31838</v>
      </c>
      <c r="C17689" s="556" t="s">
        <v>31839</v>
      </c>
      <c r="D17689" s="557">
        <v>62.75</v>
      </c>
      <c r="E17689" s="557">
        <v>31.02</v>
      </c>
      <c r="F17689" s="557">
        <v>31.11</v>
      </c>
      <c r="G17689" s="557">
        <v>0.62</v>
      </c>
      <c r="H17689" s="558">
        <v>527.92999999999995</v>
      </c>
      <c r="I17689" s="558">
        <v>356.78</v>
      </c>
      <c r="J17689" s="558">
        <v>164.02</v>
      </c>
      <c r="K17689" s="558">
        <v>7.13</v>
      </c>
      <c r="L17689" s="43">
        <v>8.4132270916334662</v>
      </c>
      <c r="M17689" s="43">
        <v>11.50161186331399</v>
      </c>
      <c r="N17689" s="43">
        <v>5.2722597235615565</v>
      </c>
      <c r="O17689" s="43">
        <v>11.503164556962025</v>
      </c>
      <c r="P17689" s="559"/>
      <c r="Q17689" s="559"/>
      <c r="R17689" s="559">
        <v>4</v>
      </c>
    </row>
    <row r="17690" spans="1:18" ht="84">
      <c r="A17690" s="555">
        <v>131</v>
      </c>
      <c r="B17690" s="552" t="s">
        <v>31840</v>
      </c>
      <c r="C17690" s="556" t="s">
        <v>31841</v>
      </c>
      <c r="D17690" s="557">
        <v>81.37</v>
      </c>
      <c r="E17690" s="557">
        <v>40.22</v>
      </c>
      <c r="F17690" s="557">
        <v>40.35</v>
      </c>
      <c r="G17690" s="557">
        <v>0.8</v>
      </c>
      <c r="H17690" s="558">
        <v>684.48</v>
      </c>
      <c r="I17690" s="558">
        <v>462.49</v>
      </c>
      <c r="J17690" s="558">
        <v>212.79</v>
      </c>
      <c r="K17690" s="558">
        <v>9.1999999999999993</v>
      </c>
      <c r="L17690" s="43">
        <v>8.411945434435296</v>
      </c>
      <c r="M17690" s="43">
        <v>11.499005469915465</v>
      </c>
      <c r="N17690" s="43">
        <v>5.2736059479553896</v>
      </c>
      <c r="O17690" s="43">
        <v>11.503164556962025</v>
      </c>
      <c r="P17690" s="559"/>
      <c r="Q17690" s="559"/>
      <c r="R17690" s="559">
        <v>4</v>
      </c>
    </row>
    <row r="17691" spans="1:18" ht="84">
      <c r="A17691" s="555">
        <v>132</v>
      </c>
      <c r="B17691" s="552" t="s">
        <v>31842</v>
      </c>
      <c r="C17691" s="556" t="s">
        <v>31843</v>
      </c>
      <c r="D17691" s="557">
        <v>99.16</v>
      </c>
      <c r="E17691" s="557">
        <v>49.41</v>
      </c>
      <c r="F17691" s="557">
        <v>48.76</v>
      </c>
      <c r="G17691" s="557">
        <v>0.99</v>
      </c>
      <c r="H17691" s="558">
        <v>836.71</v>
      </c>
      <c r="I17691" s="558">
        <v>568.20000000000005</v>
      </c>
      <c r="J17691" s="558">
        <v>257.12</v>
      </c>
      <c r="K17691" s="558">
        <v>11.39</v>
      </c>
      <c r="L17691" s="43">
        <v>8.4379790237999206</v>
      </c>
      <c r="M17691" s="43">
        <v>11.499696417729206</v>
      </c>
      <c r="N17691" s="43">
        <v>5.2731747333880232</v>
      </c>
      <c r="O17691" s="43">
        <v>11.503164556962025</v>
      </c>
      <c r="P17691" s="559"/>
      <c r="Q17691" s="559"/>
      <c r="R17691" s="559">
        <v>4</v>
      </c>
    </row>
    <row r="17692" spans="1:18" ht="84">
      <c r="A17692" s="555">
        <v>133</v>
      </c>
      <c r="B17692" s="552" t="s">
        <v>31844</v>
      </c>
      <c r="C17692" s="556" t="s">
        <v>31845</v>
      </c>
      <c r="D17692" s="557">
        <v>117.78</v>
      </c>
      <c r="E17692" s="557">
        <v>58.6</v>
      </c>
      <c r="F17692" s="557">
        <v>58.01</v>
      </c>
      <c r="G17692" s="557">
        <v>1.17</v>
      </c>
      <c r="H17692" s="558">
        <v>993.25</v>
      </c>
      <c r="I17692" s="558">
        <v>673.91</v>
      </c>
      <c r="J17692" s="558">
        <v>305.88</v>
      </c>
      <c r="K17692" s="558">
        <v>13.46</v>
      </c>
      <c r="L17692" s="43">
        <v>8.4330956019697734</v>
      </c>
      <c r="M17692" s="43">
        <v>11.500170648464163</v>
      </c>
      <c r="N17692" s="43">
        <v>5.272883985519738</v>
      </c>
      <c r="O17692" s="43">
        <v>11.503164556962025</v>
      </c>
      <c r="P17692" s="559"/>
      <c r="Q17692" s="559"/>
      <c r="R17692" s="559">
        <v>4</v>
      </c>
    </row>
    <row r="17693" spans="1:18" ht="84">
      <c r="A17693" s="555">
        <v>134</v>
      </c>
      <c r="B17693" s="552" t="s">
        <v>31846</v>
      </c>
      <c r="C17693" s="556" t="s">
        <v>31847</v>
      </c>
      <c r="D17693" s="557">
        <v>134.38999999999999</v>
      </c>
      <c r="E17693" s="557">
        <v>66.64</v>
      </c>
      <c r="F17693" s="557">
        <v>66.42</v>
      </c>
      <c r="G17693" s="557">
        <v>1.33</v>
      </c>
      <c r="H17693" s="558">
        <v>1131.92</v>
      </c>
      <c r="I17693" s="558">
        <v>766.41</v>
      </c>
      <c r="J17693" s="558">
        <v>350.21</v>
      </c>
      <c r="K17693" s="558">
        <v>15.3</v>
      </c>
      <c r="L17693" s="43">
        <v>8.4226504948284848</v>
      </c>
      <c r="M17693" s="43">
        <v>11.500750300120048</v>
      </c>
      <c r="N17693" s="43">
        <v>5.2726588376994874</v>
      </c>
      <c r="O17693" s="43">
        <v>11.503164556962025</v>
      </c>
      <c r="P17693" s="559"/>
      <c r="Q17693" s="559"/>
      <c r="R17693" s="559">
        <v>4</v>
      </c>
    </row>
    <row r="17694" spans="1:18" ht="84">
      <c r="A17694" s="555">
        <v>135</v>
      </c>
      <c r="B17694" s="552" t="s">
        <v>31848</v>
      </c>
      <c r="C17694" s="556" t="s">
        <v>31849</v>
      </c>
      <c r="D17694" s="557">
        <v>151</v>
      </c>
      <c r="E17694" s="557">
        <v>74.69</v>
      </c>
      <c r="F17694" s="557">
        <v>74.819999999999993</v>
      </c>
      <c r="G17694" s="557">
        <v>1.49</v>
      </c>
      <c r="H17694" s="558">
        <v>1270.5999999999999</v>
      </c>
      <c r="I17694" s="558">
        <v>858.91</v>
      </c>
      <c r="J17694" s="558">
        <v>394.55</v>
      </c>
      <c r="K17694" s="558">
        <v>17.14</v>
      </c>
      <c r="L17694" s="43">
        <v>8.4145695364238406</v>
      </c>
      <c r="M17694" s="43">
        <v>11.499665283170438</v>
      </c>
      <c r="N17694" s="43">
        <v>5.2733226410050795</v>
      </c>
      <c r="O17694" s="43">
        <v>11.503164556962025</v>
      </c>
      <c r="P17694" s="559"/>
      <c r="Q17694" s="559"/>
      <c r="R17694" s="559">
        <v>4</v>
      </c>
    </row>
    <row r="17695" spans="1:18" ht="84">
      <c r="A17695" s="555">
        <v>136</v>
      </c>
      <c r="B17695" s="552" t="s">
        <v>31850</v>
      </c>
      <c r="C17695" s="556" t="s">
        <v>31851</v>
      </c>
      <c r="D17695" s="557">
        <v>168.79</v>
      </c>
      <c r="E17695" s="557">
        <v>83.88</v>
      </c>
      <c r="F17695" s="557">
        <v>83.23</v>
      </c>
      <c r="G17695" s="557">
        <v>1.68</v>
      </c>
      <c r="H17695" s="558">
        <v>1422.82</v>
      </c>
      <c r="I17695" s="558">
        <v>964.62</v>
      </c>
      <c r="J17695" s="558">
        <v>438.88</v>
      </c>
      <c r="K17695" s="558">
        <v>19.32</v>
      </c>
      <c r="L17695" s="43">
        <v>8.4295278156288873</v>
      </c>
      <c r="M17695" s="43">
        <v>11.5</v>
      </c>
      <c r="N17695" s="43">
        <v>5.2730986423164721</v>
      </c>
      <c r="O17695" s="43">
        <v>11.503164556962025</v>
      </c>
      <c r="P17695" s="559"/>
      <c r="Q17695" s="559"/>
      <c r="R17695" s="559">
        <v>4</v>
      </c>
    </row>
    <row r="17696" spans="1:18" ht="84">
      <c r="A17696" s="555">
        <v>137</v>
      </c>
      <c r="B17696" s="552" t="s">
        <v>31852</v>
      </c>
      <c r="C17696" s="556" t="s">
        <v>31853</v>
      </c>
      <c r="D17696" s="557">
        <v>55.87</v>
      </c>
      <c r="E17696" s="557">
        <v>27.58</v>
      </c>
      <c r="F17696" s="557">
        <v>27.74</v>
      </c>
      <c r="G17696" s="557">
        <v>0.55000000000000004</v>
      </c>
      <c r="H17696" s="558">
        <v>469.76</v>
      </c>
      <c r="I17696" s="558">
        <v>317.14</v>
      </c>
      <c r="J17696" s="558">
        <v>146.29</v>
      </c>
      <c r="K17696" s="558">
        <v>6.33</v>
      </c>
      <c r="L17696" s="43">
        <v>8.4080902094147127</v>
      </c>
      <c r="M17696" s="43">
        <v>11.498912255257434</v>
      </c>
      <c r="N17696" s="43">
        <v>5.2736121124729634</v>
      </c>
      <c r="O17696" s="43">
        <v>11.503164556962025</v>
      </c>
      <c r="P17696" s="559"/>
      <c r="Q17696" s="559"/>
      <c r="R17696" s="559">
        <v>4</v>
      </c>
    </row>
    <row r="17697" spans="1:18" ht="84">
      <c r="A17697" s="555">
        <v>138</v>
      </c>
      <c r="B17697" s="552" t="s">
        <v>31854</v>
      </c>
      <c r="C17697" s="556" t="s">
        <v>31855</v>
      </c>
      <c r="D17697" s="557">
        <v>76.510000000000005</v>
      </c>
      <c r="E17697" s="557">
        <v>37.92</v>
      </c>
      <c r="F17697" s="557">
        <v>37.83</v>
      </c>
      <c r="G17697" s="557">
        <v>0.76</v>
      </c>
      <c r="H17697" s="558">
        <v>644.29</v>
      </c>
      <c r="I17697" s="558">
        <v>436.06</v>
      </c>
      <c r="J17697" s="558">
        <v>199.49</v>
      </c>
      <c r="K17697" s="558">
        <v>8.74</v>
      </c>
      <c r="L17697" s="43">
        <v>8.420990720167298</v>
      </c>
      <c r="M17697" s="43">
        <v>11.499472573839663</v>
      </c>
      <c r="N17697" s="43">
        <v>5.2733280465239236</v>
      </c>
      <c r="O17697" s="43">
        <v>11.503164556962025</v>
      </c>
      <c r="P17697" s="559"/>
      <c r="Q17697" s="559"/>
      <c r="R17697" s="559">
        <v>4</v>
      </c>
    </row>
    <row r="17698" spans="1:18" ht="84">
      <c r="A17698" s="555">
        <v>139</v>
      </c>
      <c r="B17698" s="552" t="s">
        <v>31856</v>
      </c>
      <c r="C17698" s="556" t="s">
        <v>31857</v>
      </c>
      <c r="D17698" s="557">
        <v>97.15</v>
      </c>
      <c r="E17698" s="557">
        <v>48.26</v>
      </c>
      <c r="F17698" s="557">
        <v>47.92</v>
      </c>
      <c r="G17698" s="557">
        <v>0.97</v>
      </c>
      <c r="H17698" s="558">
        <v>818.84</v>
      </c>
      <c r="I17698" s="558">
        <v>554.99</v>
      </c>
      <c r="J17698" s="558">
        <v>252.69</v>
      </c>
      <c r="K17698" s="558">
        <v>11.16</v>
      </c>
      <c r="L17698" s="43">
        <v>8.4286155429747804</v>
      </c>
      <c r="M17698" s="43">
        <v>11.5</v>
      </c>
      <c r="N17698" s="43">
        <v>5.2731636060100167</v>
      </c>
      <c r="O17698" s="43">
        <v>11.503164556962025</v>
      </c>
      <c r="P17698" s="559"/>
      <c r="Q17698" s="559"/>
      <c r="R17698" s="559">
        <v>4</v>
      </c>
    </row>
    <row r="17699" spans="1:18" ht="84">
      <c r="A17699" s="555">
        <v>140</v>
      </c>
      <c r="B17699" s="552" t="s">
        <v>31858</v>
      </c>
      <c r="C17699" s="556" t="s">
        <v>31859</v>
      </c>
      <c r="D17699" s="557">
        <v>119.79</v>
      </c>
      <c r="E17699" s="557">
        <v>59.75</v>
      </c>
      <c r="F17699" s="557">
        <v>58.85</v>
      </c>
      <c r="G17699" s="557">
        <v>1.19</v>
      </c>
      <c r="H17699" s="558">
        <v>1011.14</v>
      </c>
      <c r="I17699" s="558">
        <v>687.13</v>
      </c>
      <c r="J17699" s="558">
        <v>310.32</v>
      </c>
      <c r="K17699" s="558">
        <v>13.69</v>
      </c>
      <c r="L17699" s="43">
        <v>8.4409383087069028</v>
      </c>
      <c r="M17699" s="43">
        <v>11.500083682008368</v>
      </c>
      <c r="N17699" s="43">
        <v>5.2730671197960914</v>
      </c>
      <c r="O17699" s="43">
        <v>11.503164556962025</v>
      </c>
      <c r="P17699" s="559"/>
      <c r="Q17699" s="559"/>
      <c r="R17699" s="559">
        <v>4</v>
      </c>
    </row>
    <row r="17700" spans="1:18" ht="84">
      <c r="A17700" s="555">
        <v>141</v>
      </c>
      <c r="B17700" s="552" t="s">
        <v>31860</v>
      </c>
      <c r="C17700" s="556" t="s">
        <v>31861</v>
      </c>
      <c r="D17700" s="557">
        <v>139.26</v>
      </c>
      <c r="E17700" s="557">
        <v>68.94</v>
      </c>
      <c r="F17700" s="557">
        <v>68.94</v>
      </c>
      <c r="G17700" s="557">
        <v>1.38</v>
      </c>
      <c r="H17700" s="558">
        <v>1172.22</v>
      </c>
      <c r="I17700" s="558">
        <v>792.84</v>
      </c>
      <c r="J17700" s="558">
        <v>363.51</v>
      </c>
      <c r="K17700" s="558">
        <v>15.87</v>
      </c>
      <c r="L17700" s="43">
        <v>8.4174924601464891</v>
      </c>
      <c r="M17700" s="43">
        <v>11.500435161009575</v>
      </c>
      <c r="N17700" s="43">
        <v>5.2728459530026113</v>
      </c>
      <c r="O17700" s="43">
        <v>11.503164556962025</v>
      </c>
      <c r="P17700" s="559"/>
      <c r="Q17700" s="559"/>
      <c r="R17700" s="559">
        <v>4</v>
      </c>
    </row>
    <row r="17701" spans="1:18" ht="84">
      <c r="A17701" s="555">
        <v>142</v>
      </c>
      <c r="B17701" s="552" t="s">
        <v>31862</v>
      </c>
      <c r="C17701" s="556" t="s">
        <v>31863</v>
      </c>
      <c r="D17701" s="557">
        <v>159.9</v>
      </c>
      <c r="E17701" s="557">
        <v>79.28</v>
      </c>
      <c r="F17701" s="557">
        <v>79.03</v>
      </c>
      <c r="G17701" s="557">
        <v>1.59</v>
      </c>
      <c r="H17701" s="558">
        <v>1346.77</v>
      </c>
      <c r="I17701" s="558">
        <v>911.77</v>
      </c>
      <c r="J17701" s="558">
        <v>416.71</v>
      </c>
      <c r="K17701" s="558">
        <v>18.29</v>
      </c>
      <c r="L17701" s="43">
        <v>8.4225766103814887</v>
      </c>
      <c r="M17701" s="43">
        <v>11.500630676084763</v>
      </c>
      <c r="N17701" s="43">
        <v>5.272807794508414</v>
      </c>
      <c r="O17701" s="43">
        <v>11.503164556962025</v>
      </c>
      <c r="P17701" s="559"/>
      <c r="Q17701" s="559"/>
      <c r="R17701" s="559">
        <v>4</v>
      </c>
    </row>
    <row r="17702" spans="1:18" ht="84">
      <c r="A17702" s="555">
        <v>143</v>
      </c>
      <c r="B17702" s="552" t="s">
        <v>31864</v>
      </c>
      <c r="C17702" s="556" t="s">
        <v>31865</v>
      </c>
      <c r="D17702" s="557">
        <v>178.51</v>
      </c>
      <c r="E17702" s="557">
        <v>88.47</v>
      </c>
      <c r="F17702" s="557">
        <v>88.27</v>
      </c>
      <c r="G17702" s="557">
        <v>1.77</v>
      </c>
      <c r="H17702" s="558">
        <v>1503.32</v>
      </c>
      <c r="I17702" s="558">
        <v>1017.48</v>
      </c>
      <c r="J17702" s="558">
        <v>465.48</v>
      </c>
      <c r="K17702" s="558">
        <v>20.36</v>
      </c>
      <c r="L17702" s="43">
        <v>8.4214889922133214</v>
      </c>
      <c r="M17702" s="43">
        <v>11.500847744998305</v>
      </c>
      <c r="N17702" s="43">
        <v>5.2733658094482845</v>
      </c>
      <c r="O17702" s="43">
        <v>11.503164556962025</v>
      </c>
      <c r="P17702" s="559"/>
      <c r="Q17702" s="559"/>
      <c r="R17702" s="559">
        <v>4</v>
      </c>
    </row>
    <row r="17703" spans="1:18" ht="84">
      <c r="A17703" s="555">
        <v>144</v>
      </c>
      <c r="B17703" s="552" t="s">
        <v>31866</v>
      </c>
      <c r="C17703" s="556" t="s">
        <v>31867</v>
      </c>
      <c r="D17703" s="557">
        <v>204.01</v>
      </c>
      <c r="E17703" s="557">
        <v>101.11</v>
      </c>
      <c r="F17703" s="557">
        <v>100.88</v>
      </c>
      <c r="G17703" s="557">
        <v>2.02</v>
      </c>
      <c r="H17703" s="558">
        <v>1718.03</v>
      </c>
      <c r="I17703" s="558">
        <v>1162.83</v>
      </c>
      <c r="J17703" s="558">
        <v>531.97</v>
      </c>
      <c r="K17703" s="558">
        <v>23.23</v>
      </c>
      <c r="L17703" s="43">
        <v>8.4213028773099357</v>
      </c>
      <c r="M17703" s="43">
        <v>11.500642864207299</v>
      </c>
      <c r="N17703" s="43">
        <v>5.2732950039651074</v>
      </c>
      <c r="O17703" s="43">
        <v>11.503164556962025</v>
      </c>
      <c r="P17703" s="559"/>
      <c r="Q17703" s="559"/>
      <c r="R17703" s="559">
        <v>4</v>
      </c>
    </row>
    <row r="17704" spans="1:18" ht="84">
      <c r="A17704" s="555">
        <v>145</v>
      </c>
      <c r="B17704" s="552" t="s">
        <v>31868</v>
      </c>
      <c r="C17704" s="556" t="s">
        <v>31869</v>
      </c>
      <c r="D17704" s="557">
        <v>62.75</v>
      </c>
      <c r="E17704" s="557">
        <v>31.02</v>
      </c>
      <c r="F17704" s="557">
        <v>31.11</v>
      </c>
      <c r="G17704" s="557">
        <v>0.62</v>
      </c>
      <c r="H17704" s="558">
        <v>527.92999999999995</v>
      </c>
      <c r="I17704" s="558">
        <v>356.78</v>
      </c>
      <c r="J17704" s="558">
        <v>164.02</v>
      </c>
      <c r="K17704" s="558">
        <v>7.13</v>
      </c>
      <c r="L17704" s="43">
        <v>8.4132270916334662</v>
      </c>
      <c r="M17704" s="43">
        <v>11.50161186331399</v>
      </c>
      <c r="N17704" s="43">
        <v>5.2722597235615565</v>
      </c>
      <c r="O17704" s="43">
        <v>11.503164556962025</v>
      </c>
      <c r="P17704" s="559"/>
      <c r="Q17704" s="559"/>
      <c r="R17704" s="559">
        <v>4</v>
      </c>
    </row>
    <row r="17705" spans="1:18" ht="84">
      <c r="A17705" s="555">
        <v>146</v>
      </c>
      <c r="B17705" s="552" t="s">
        <v>31870</v>
      </c>
      <c r="C17705" s="556" t="s">
        <v>31871</v>
      </c>
      <c r="D17705" s="557">
        <v>87.41</v>
      </c>
      <c r="E17705" s="557">
        <v>43.66</v>
      </c>
      <c r="F17705" s="557">
        <v>42.88</v>
      </c>
      <c r="G17705" s="557">
        <v>0.87</v>
      </c>
      <c r="H17705" s="558">
        <v>738.23</v>
      </c>
      <c r="I17705" s="558">
        <v>502.13</v>
      </c>
      <c r="J17705" s="558">
        <v>226.09</v>
      </c>
      <c r="K17705" s="558">
        <v>10.01</v>
      </c>
      <c r="L17705" s="43">
        <v>8.4456011897952177</v>
      </c>
      <c r="M17705" s="43">
        <v>11.500916170407697</v>
      </c>
      <c r="N17705" s="43">
        <v>5.2726212686567164</v>
      </c>
      <c r="O17705" s="43">
        <v>11.503164556962025</v>
      </c>
      <c r="P17705" s="559"/>
      <c r="Q17705" s="559"/>
      <c r="R17705" s="559">
        <v>4</v>
      </c>
    </row>
    <row r="17706" spans="1:18" ht="84">
      <c r="A17706" s="555">
        <v>147</v>
      </c>
      <c r="B17706" s="552" t="s">
        <v>31872</v>
      </c>
      <c r="C17706" s="556" t="s">
        <v>31873</v>
      </c>
      <c r="D17706" s="557">
        <v>110.9</v>
      </c>
      <c r="E17706" s="557">
        <v>55.15</v>
      </c>
      <c r="F17706" s="557">
        <v>54.65</v>
      </c>
      <c r="G17706" s="557">
        <v>1.1000000000000001</v>
      </c>
      <c r="H17706" s="558">
        <v>935.07</v>
      </c>
      <c r="I17706" s="558">
        <v>634.27</v>
      </c>
      <c r="J17706" s="558">
        <v>288.14999999999998</v>
      </c>
      <c r="K17706" s="558">
        <v>12.65</v>
      </c>
      <c r="L17706" s="43">
        <v>8.431650135256989</v>
      </c>
      <c r="M17706" s="43">
        <v>11.50081595648232</v>
      </c>
      <c r="N17706" s="43">
        <v>5.2726440988106127</v>
      </c>
      <c r="O17706" s="43">
        <v>11.503164556962025</v>
      </c>
      <c r="P17706" s="559"/>
      <c r="Q17706" s="559"/>
      <c r="R17706" s="559">
        <v>4</v>
      </c>
    </row>
    <row r="17707" spans="1:18" ht="84">
      <c r="A17707" s="555">
        <v>148</v>
      </c>
      <c r="B17707" s="552" t="s">
        <v>31874</v>
      </c>
      <c r="C17707" s="556" t="s">
        <v>31875</v>
      </c>
      <c r="D17707" s="557">
        <v>134.38999999999999</v>
      </c>
      <c r="E17707" s="557">
        <v>66.64</v>
      </c>
      <c r="F17707" s="557">
        <v>66.42</v>
      </c>
      <c r="G17707" s="557">
        <v>1.33</v>
      </c>
      <c r="H17707" s="558">
        <v>1131.92</v>
      </c>
      <c r="I17707" s="558">
        <v>766.41</v>
      </c>
      <c r="J17707" s="558">
        <v>350.21</v>
      </c>
      <c r="K17707" s="558">
        <v>15.3</v>
      </c>
      <c r="L17707" s="43">
        <v>8.4226504948284848</v>
      </c>
      <c r="M17707" s="43">
        <v>11.500750300120048</v>
      </c>
      <c r="N17707" s="43">
        <v>5.2726588376994874</v>
      </c>
      <c r="O17707" s="43">
        <v>11.503164556962025</v>
      </c>
      <c r="P17707" s="559"/>
      <c r="Q17707" s="559"/>
      <c r="R17707" s="559">
        <v>4</v>
      </c>
    </row>
    <row r="17708" spans="1:18" ht="84">
      <c r="A17708" s="555">
        <v>149</v>
      </c>
      <c r="B17708" s="552" t="s">
        <v>31876</v>
      </c>
      <c r="C17708" s="556" t="s">
        <v>31877</v>
      </c>
      <c r="D17708" s="557">
        <v>157.88</v>
      </c>
      <c r="E17708" s="557">
        <v>78.13</v>
      </c>
      <c r="F17708" s="557">
        <v>78.19</v>
      </c>
      <c r="G17708" s="557">
        <v>1.56</v>
      </c>
      <c r="H17708" s="558">
        <v>1328.77</v>
      </c>
      <c r="I17708" s="558">
        <v>898.55</v>
      </c>
      <c r="J17708" s="558">
        <v>412.28</v>
      </c>
      <c r="K17708" s="558">
        <v>17.940000000000001</v>
      </c>
      <c r="L17708" s="43">
        <v>8.4163288573600212</v>
      </c>
      <c r="M17708" s="43">
        <v>11.500703954946884</v>
      </c>
      <c r="N17708" s="43">
        <v>5.2727970328686533</v>
      </c>
      <c r="O17708" s="43">
        <v>11.503164556962025</v>
      </c>
      <c r="P17708" s="559"/>
      <c r="Q17708" s="559"/>
      <c r="R17708" s="559">
        <v>4</v>
      </c>
    </row>
    <row r="17709" spans="1:18" ht="84">
      <c r="A17709" s="555">
        <v>150</v>
      </c>
      <c r="B17709" s="552" t="s">
        <v>31878</v>
      </c>
      <c r="C17709" s="556" t="s">
        <v>31879</v>
      </c>
      <c r="D17709" s="557">
        <v>186.72</v>
      </c>
      <c r="E17709" s="557">
        <v>96.52</v>
      </c>
      <c r="F17709" s="557">
        <v>88.27</v>
      </c>
      <c r="G17709" s="557">
        <v>1.93</v>
      </c>
      <c r="H17709" s="558">
        <v>1597.66</v>
      </c>
      <c r="I17709" s="558">
        <v>1109.98</v>
      </c>
      <c r="J17709" s="558">
        <v>465.48</v>
      </c>
      <c r="K17709" s="558">
        <v>22.2</v>
      </c>
      <c r="L17709" s="43">
        <v>8.5564481576692373</v>
      </c>
      <c r="M17709" s="43">
        <v>11.5</v>
      </c>
      <c r="N17709" s="43">
        <v>5.2733658094482845</v>
      </c>
      <c r="O17709" s="43">
        <v>11.503164556962025</v>
      </c>
      <c r="P17709" s="559"/>
      <c r="Q17709" s="559"/>
      <c r="R17709" s="559">
        <v>4</v>
      </c>
    </row>
    <row r="17710" spans="1:18" ht="84">
      <c r="A17710" s="555">
        <v>151</v>
      </c>
      <c r="B17710" s="552" t="s">
        <v>31880</v>
      </c>
      <c r="C17710" s="556" t="s">
        <v>31881</v>
      </c>
      <c r="D17710" s="557">
        <v>204.01</v>
      </c>
      <c r="E17710" s="557">
        <v>101.11</v>
      </c>
      <c r="F17710" s="557">
        <v>100.88</v>
      </c>
      <c r="G17710" s="557">
        <v>2.02</v>
      </c>
      <c r="H17710" s="558">
        <v>1718.03</v>
      </c>
      <c r="I17710" s="558">
        <v>1162.83</v>
      </c>
      <c r="J17710" s="558">
        <v>531.97</v>
      </c>
      <c r="K17710" s="558">
        <v>23.23</v>
      </c>
      <c r="L17710" s="43">
        <v>8.4213028773099357</v>
      </c>
      <c r="M17710" s="43">
        <v>11.500642864207299</v>
      </c>
      <c r="N17710" s="43">
        <v>5.2732950039651074</v>
      </c>
      <c r="O17710" s="43">
        <v>11.503164556962025</v>
      </c>
      <c r="P17710" s="559"/>
      <c r="Q17710" s="559"/>
      <c r="R17710" s="559">
        <v>4</v>
      </c>
    </row>
    <row r="17711" spans="1:18" ht="84">
      <c r="A17711" s="555">
        <v>152</v>
      </c>
      <c r="B17711" s="552" t="s">
        <v>31882</v>
      </c>
      <c r="C17711" s="556" t="s">
        <v>31883</v>
      </c>
      <c r="D17711" s="557">
        <v>78.52</v>
      </c>
      <c r="E17711" s="557">
        <v>39.07</v>
      </c>
      <c r="F17711" s="557">
        <v>38.67</v>
      </c>
      <c r="G17711" s="557">
        <v>0.78</v>
      </c>
      <c r="H17711" s="558">
        <v>662.17</v>
      </c>
      <c r="I17711" s="558">
        <v>449.28</v>
      </c>
      <c r="J17711" s="558">
        <v>203.92</v>
      </c>
      <c r="K17711" s="558">
        <v>8.9700000000000006</v>
      </c>
      <c r="L17711" s="43">
        <v>8.4331380539989809</v>
      </c>
      <c r="M17711" s="43">
        <v>11.499360122856411</v>
      </c>
      <c r="N17711" s="43">
        <v>5.2733385053012665</v>
      </c>
      <c r="O17711" s="43">
        <v>11.503164556962025</v>
      </c>
      <c r="P17711" s="559"/>
      <c r="Q17711" s="559"/>
      <c r="R17711" s="559">
        <v>4</v>
      </c>
    </row>
    <row r="17712" spans="1:18" ht="84">
      <c r="A17712" s="555">
        <v>153</v>
      </c>
      <c r="B17712" s="552" t="s">
        <v>31884</v>
      </c>
      <c r="C17712" s="556" t="s">
        <v>31885</v>
      </c>
      <c r="D17712" s="557">
        <v>106.87</v>
      </c>
      <c r="E17712" s="557">
        <v>52.85</v>
      </c>
      <c r="F17712" s="557">
        <v>52.96</v>
      </c>
      <c r="G17712" s="557">
        <v>1.06</v>
      </c>
      <c r="H17712" s="558">
        <v>899.32</v>
      </c>
      <c r="I17712" s="558">
        <v>607.84</v>
      </c>
      <c r="J17712" s="558">
        <v>279.29000000000002</v>
      </c>
      <c r="K17712" s="558">
        <v>12.19</v>
      </c>
      <c r="L17712" s="43">
        <v>8.4150837466080279</v>
      </c>
      <c r="M17712" s="43">
        <v>11.501229895931884</v>
      </c>
      <c r="N17712" s="43">
        <v>5.2736027190332333</v>
      </c>
      <c r="O17712" s="43">
        <v>11.503164556962025</v>
      </c>
      <c r="P17712" s="559"/>
      <c r="Q17712" s="559"/>
      <c r="R17712" s="559">
        <v>4</v>
      </c>
    </row>
    <row r="17713" spans="1:18" ht="84">
      <c r="A17713" s="555">
        <v>154</v>
      </c>
      <c r="B17713" s="552" t="s">
        <v>31886</v>
      </c>
      <c r="C17713" s="556" t="s">
        <v>31887</v>
      </c>
      <c r="D17713" s="557">
        <v>138.41999999999999</v>
      </c>
      <c r="E17713" s="557">
        <v>68.94</v>
      </c>
      <c r="F17713" s="557">
        <v>68.099999999999994</v>
      </c>
      <c r="G17713" s="557">
        <v>1.38</v>
      </c>
      <c r="H17713" s="558">
        <v>1167.79</v>
      </c>
      <c r="I17713" s="558">
        <v>792.84</v>
      </c>
      <c r="J17713" s="558">
        <v>359.08</v>
      </c>
      <c r="K17713" s="558">
        <v>15.87</v>
      </c>
      <c r="L17713" s="43">
        <v>8.436569859846843</v>
      </c>
      <c r="M17713" s="43">
        <v>11.500435161009575</v>
      </c>
      <c r="N17713" s="43">
        <v>5.2728340675477243</v>
      </c>
      <c r="O17713" s="43">
        <v>11.503164556962025</v>
      </c>
      <c r="P17713" s="559"/>
      <c r="Q17713" s="559"/>
      <c r="R17713" s="559">
        <v>4</v>
      </c>
    </row>
    <row r="17714" spans="1:18" ht="84">
      <c r="A17714" s="555">
        <v>155</v>
      </c>
      <c r="B17714" s="552" t="s">
        <v>31888</v>
      </c>
      <c r="C17714" s="556" t="s">
        <v>31889</v>
      </c>
      <c r="D17714" s="557">
        <v>168.79</v>
      </c>
      <c r="E17714" s="557">
        <v>83.88</v>
      </c>
      <c r="F17714" s="557">
        <v>83.23</v>
      </c>
      <c r="G17714" s="557">
        <v>1.68</v>
      </c>
      <c r="H17714" s="558">
        <v>1422.82</v>
      </c>
      <c r="I17714" s="558">
        <v>964.62</v>
      </c>
      <c r="J17714" s="558">
        <v>438.88</v>
      </c>
      <c r="K17714" s="558">
        <v>19.32</v>
      </c>
      <c r="L17714" s="43">
        <v>8.4295278156288873</v>
      </c>
      <c r="M17714" s="43">
        <v>11.5</v>
      </c>
      <c r="N17714" s="43">
        <v>5.2730986423164721</v>
      </c>
      <c r="O17714" s="43">
        <v>11.503164556962025</v>
      </c>
      <c r="P17714" s="559"/>
      <c r="Q17714" s="559"/>
      <c r="R17714" s="559">
        <v>4</v>
      </c>
    </row>
    <row r="17715" spans="1:18" ht="84">
      <c r="A17715" s="555">
        <v>156</v>
      </c>
      <c r="B17715" s="552" t="s">
        <v>31890</v>
      </c>
      <c r="C17715" s="556" t="s">
        <v>31891</v>
      </c>
      <c r="D17715" s="557">
        <v>92.28</v>
      </c>
      <c r="E17715" s="557">
        <v>45.96</v>
      </c>
      <c r="F17715" s="557">
        <v>45.4</v>
      </c>
      <c r="G17715" s="557">
        <v>0.92</v>
      </c>
      <c r="H17715" s="558">
        <v>778.53</v>
      </c>
      <c r="I17715" s="558">
        <v>528.55999999999995</v>
      </c>
      <c r="J17715" s="558">
        <v>239.39</v>
      </c>
      <c r="K17715" s="558">
        <v>10.58</v>
      </c>
      <c r="L17715" s="43">
        <v>8.4366059817945374</v>
      </c>
      <c r="M17715" s="43">
        <v>11.500435161009571</v>
      </c>
      <c r="N17715" s="43">
        <v>5.2729074889867844</v>
      </c>
      <c r="O17715" s="43">
        <v>11.503164556962025</v>
      </c>
      <c r="P17715" s="559"/>
      <c r="Q17715" s="559"/>
      <c r="R17715" s="559">
        <v>4</v>
      </c>
    </row>
    <row r="17716" spans="1:18" ht="84">
      <c r="A17716" s="555">
        <v>157</v>
      </c>
      <c r="B17716" s="552" t="s">
        <v>31892</v>
      </c>
      <c r="C17716" s="556" t="s">
        <v>31893</v>
      </c>
      <c r="D17716" s="557">
        <v>125.5</v>
      </c>
      <c r="E17716" s="557">
        <v>62.05</v>
      </c>
      <c r="F17716" s="557">
        <v>62.21</v>
      </c>
      <c r="G17716" s="557">
        <v>1.24</v>
      </c>
      <c r="H17716" s="558">
        <v>1055.8699999999999</v>
      </c>
      <c r="I17716" s="558">
        <v>713.56</v>
      </c>
      <c r="J17716" s="558">
        <v>328.05</v>
      </c>
      <c r="K17716" s="558">
        <v>14.26</v>
      </c>
      <c r="L17716" s="43">
        <v>8.4133067729083653</v>
      </c>
      <c r="M17716" s="43">
        <v>11.499758259468171</v>
      </c>
      <c r="N17716" s="43">
        <v>5.2732679633499435</v>
      </c>
      <c r="O17716" s="43">
        <v>11.503164556962025</v>
      </c>
      <c r="P17716" s="559"/>
      <c r="Q17716" s="559"/>
      <c r="R17716" s="559">
        <v>4</v>
      </c>
    </row>
    <row r="17717" spans="1:18" ht="84">
      <c r="A17717" s="555">
        <v>158</v>
      </c>
      <c r="B17717" s="552" t="s">
        <v>31894</v>
      </c>
      <c r="C17717" s="556" t="s">
        <v>31895</v>
      </c>
      <c r="D17717" s="557">
        <v>104.02</v>
      </c>
      <c r="E17717" s="557">
        <v>51.71</v>
      </c>
      <c r="F17717" s="557">
        <v>51.28</v>
      </c>
      <c r="G17717" s="557">
        <v>1.03</v>
      </c>
      <c r="H17717" s="558">
        <v>876.9</v>
      </c>
      <c r="I17717" s="558">
        <v>594.63</v>
      </c>
      <c r="J17717" s="558">
        <v>270.42</v>
      </c>
      <c r="K17717" s="558">
        <v>11.85</v>
      </c>
      <c r="L17717" s="43">
        <v>8.4301095943087869</v>
      </c>
      <c r="M17717" s="43">
        <v>11.499323148327209</v>
      </c>
      <c r="N17717" s="43">
        <v>5.2734009360374419</v>
      </c>
      <c r="O17717" s="43">
        <v>11.503164556962025</v>
      </c>
      <c r="P17717" s="559"/>
      <c r="Q17717" s="559"/>
      <c r="R17717" s="559">
        <v>4</v>
      </c>
    </row>
    <row r="17718" spans="1:18" ht="84">
      <c r="A17718" s="555">
        <v>159</v>
      </c>
      <c r="B17718" s="552" t="s">
        <v>31896</v>
      </c>
      <c r="C17718" s="556" t="s">
        <v>31897</v>
      </c>
      <c r="D17718" s="557">
        <v>143.28</v>
      </c>
      <c r="E17718" s="557">
        <v>71.239999999999995</v>
      </c>
      <c r="F17718" s="557">
        <v>70.62</v>
      </c>
      <c r="G17718" s="557">
        <v>1.42</v>
      </c>
      <c r="H17718" s="558">
        <v>1207.98</v>
      </c>
      <c r="I17718" s="558">
        <v>819.27</v>
      </c>
      <c r="J17718" s="558">
        <v>372.38</v>
      </c>
      <c r="K17718" s="558">
        <v>16.329999999999998</v>
      </c>
      <c r="L17718" s="43">
        <v>8.4309045226130657</v>
      </c>
      <c r="M17718" s="43">
        <v>11.500140370578327</v>
      </c>
      <c r="N17718" s="43">
        <v>5.2730104786179552</v>
      </c>
      <c r="O17718" s="43">
        <v>11.503164556962025</v>
      </c>
      <c r="P17718" s="559"/>
      <c r="Q17718" s="559"/>
      <c r="R17718" s="559">
        <v>4</v>
      </c>
    </row>
    <row r="17719" spans="1:18" ht="84">
      <c r="A17719" s="555">
        <v>160</v>
      </c>
      <c r="B17719" s="552" t="s">
        <v>31898</v>
      </c>
      <c r="C17719" s="556" t="s">
        <v>31899</v>
      </c>
      <c r="D17719" s="557">
        <v>119.79</v>
      </c>
      <c r="E17719" s="557">
        <v>59.75</v>
      </c>
      <c r="F17719" s="557">
        <v>58.85</v>
      </c>
      <c r="G17719" s="557">
        <v>1.19</v>
      </c>
      <c r="H17719" s="558">
        <v>1011.14</v>
      </c>
      <c r="I17719" s="558">
        <v>687.13</v>
      </c>
      <c r="J17719" s="558">
        <v>310.32</v>
      </c>
      <c r="K17719" s="558">
        <v>13.69</v>
      </c>
      <c r="L17719" s="43">
        <v>8.4409383087069028</v>
      </c>
      <c r="M17719" s="43">
        <v>11.500083682008368</v>
      </c>
      <c r="N17719" s="43">
        <v>5.2730671197960914</v>
      </c>
      <c r="O17719" s="43">
        <v>11.503164556962025</v>
      </c>
      <c r="P17719" s="559"/>
      <c r="Q17719" s="559"/>
      <c r="R17719" s="559">
        <v>4</v>
      </c>
    </row>
    <row r="17720" spans="1:18" ht="84">
      <c r="A17720" s="555">
        <v>161</v>
      </c>
      <c r="B17720" s="552" t="s">
        <v>31900</v>
      </c>
      <c r="C17720" s="556" t="s">
        <v>31901</v>
      </c>
      <c r="D17720" s="557">
        <v>163.92</v>
      </c>
      <c r="E17720" s="557">
        <v>81.58</v>
      </c>
      <c r="F17720" s="557">
        <v>80.709999999999994</v>
      </c>
      <c r="G17720" s="557">
        <v>1.63</v>
      </c>
      <c r="H17720" s="558">
        <v>1382.52</v>
      </c>
      <c r="I17720" s="558">
        <v>938.19</v>
      </c>
      <c r="J17720" s="558">
        <v>425.58</v>
      </c>
      <c r="K17720" s="558">
        <v>18.75</v>
      </c>
      <c r="L17720" s="43">
        <v>8.4341142020497806</v>
      </c>
      <c r="M17720" s="43">
        <v>11.500245158126992</v>
      </c>
      <c r="N17720" s="43">
        <v>5.2729525461528937</v>
      </c>
      <c r="O17720" s="43">
        <v>11.503164556962025</v>
      </c>
      <c r="P17720" s="559"/>
      <c r="Q17720" s="559"/>
      <c r="R17720" s="559">
        <v>4</v>
      </c>
    </row>
    <row r="17721" spans="1:18" ht="84">
      <c r="A17721" s="555">
        <v>162</v>
      </c>
      <c r="B17721" s="552" t="s">
        <v>31902</v>
      </c>
      <c r="C17721" s="556" t="s">
        <v>31903</v>
      </c>
      <c r="D17721" s="557">
        <v>129.52000000000001</v>
      </c>
      <c r="E17721" s="557">
        <v>64.34</v>
      </c>
      <c r="F17721" s="557">
        <v>63.89</v>
      </c>
      <c r="G17721" s="557">
        <v>1.29</v>
      </c>
      <c r="H17721" s="558">
        <v>1091.74</v>
      </c>
      <c r="I17721" s="558">
        <v>739.98</v>
      </c>
      <c r="J17721" s="558">
        <v>336.92</v>
      </c>
      <c r="K17721" s="558">
        <v>14.84</v>
      </c>
      <c r="L17721" s="43">
        <v>8.4291229153798639</v>
      </c>
      <c r="M17721" s="43">
        <v>11.501087970158533</v>
      </c>
      <c r="N17721" s="43">
        <v>5.273438722804821</v>
      </c>
      <c r="O17721" s="43">
        <v>11.503164556962025</v>
      </c>
      <c r="P17721" s="559"/>
      <c r="Q17721" s="559"/>
      <c r="R17721" s="559">
        <v>4</v>
      </c>
    </row>
    <row r="17722" spans="1:18" ht="84">
      <c r="A17722" s="555">
        <v>163</v>
      </c>
      <c r="B17722" s="552" t="s">
        <v>31904</v>
      </c>
      <c r="C17722" s="556" t="s">
        <v>31905</v>
      </c>
      <c r="D17722" s="557">
        <v>178.51</v>
      </c>
      <c r="E17722" s="557">
        <v>88.47</v>
      </c>
      <c r="F17722" s="557">
        <v>88.27</v>
      </c>
      <c r="G17722" s="557">
        <v>1.77</v>
      </c>
      <c r="H17722" s="558">
        <v>1503.32</v>
      </c>
      <c r="I17722" s="558">
        <v>1017.48</v>
      </c>
      <c r="J17722" s="558">
        <v>465.48</v>
      </c>
      <c r="K17722" s="558">
        <v>20.36</v>
      </c>
      <c r="L17722" s="43">
        <v>8.4214889922133214</v>
      </c>
      <c r="M17722" s="43">
        <v>11.500847744998305</v>
      </c>
      <c r="N17722" s="43">
        <v>5.2733658094482845</v>
      </c>
      <c r="O17722" s="43">
        <v>11.503164556962025</v>
      </c>
      <c r="P17722" s="559"/>
      <c r="Q17722" s="559"/>
      <c r="R17722" s="559">
        <v>4</v>
      </c>
    </row>
    <row r="17723" spans="1:18" ht="12.75" customHeight="1">
      <c r="A17723" s="628" t="s">
        <v>31906</v>
      </c>
      <c r="B17723" s="629"/>
      <c r="C17723" s="629"/>
      <c r="D17723" s="629"/>
      <c r="E17723" s="629"/>
      <c r="F17723" s="629"/>
      <c r="G17723" s="629"/>
      <c r="H17723" s="629"/>
      <c r="I17723" s="629"/>
      <c r="J17723" s="629"/>
      <c r="K17723" s="629"/>
      <c r="L17723" s="629"/>
      <c r="M17723" s="629"/>
      <c r="N17723" s="629"/>
      <c r="O17723" s="629"/>
      <c r="P17723" s="629"/>
      <c r="Q17723" s="629"/>
      <c r="R17723" s="629"/>
    </row>
    <row r="17724" spans="1:18" ht="84">
      <c r="A17724" s="555">
        <v>164</v>
      </c>
      <c r="B17724" s="552" t="s">
        <v>31907</v>
      </c>
      <c r="C17724" s="556" t="s">
        <v>31908</v>
      </c>
      <c r="D17724" s="557">
        <v>2.4900000000000002</v>
      </c>
      <c r="E17724" s="557">
        <v>1.26</v>
      </c>
      <c r="F17724" s="557">
        <v>1.2</v>
      </c>
      <c r="G17724" s="557">
        <v>0.03</v>
      </c>
      <c r="H17724" s="558">
        <v>21.22</v>
      </c>
      <c r="I17724" s="558">
        <v>14.54</v>
      </c>
      <c r="J17724" s="558">
        <v>6.33</v>
      </c>
      <c r="K17724" s="558">
        <v>0.35</v>
      </c>
      <c r="L17724" s="43">
        <v>8.522088353413654</v>
      </c>
      <c r="M17724" s="43">
        <v>11.5</v>
      </c>
      <c r="N17724" s="43">
        <v>5.2750000000000004</v>
      </c>
      <c r="O17724" s="43">
        <v>11.503164556962025</v>
      </c>
      <c r="P17724" s="559"/>
      <c r="Q17724" s="559"/>
      <c r="R17724" s="559">
        <v>5</v>
      </c>
    </row>
    <row r="17725" spans="1:18" ht="84">
      <c r="A17725" s="555">
        <v>165</v>
      </c>
      <c r="B17725" s="552" t="s">
        <v>31909</v>
      </c>
      <c r="C17725" s="556" t="s">
        <v>31910</v>
      </c>
      <c r="D17725" s="557">
        <v>2.96</v>
      </c>
      <c r="E17725" s="557">
        <v>1.49</v>
      </c>
      <c r="F17725" s="557">
        <v>1.44</v>
      </c>
      <c r="G17725" s="557">
        <v>0.03</v>
      </c>
      <c r="H17725" s="558">
        <v>25.13</v>
      </c>
      <c r="I17725" s="558">
        <v>17.18</v>
      </c>
      <c r="J17725" s="558">
        <v>7.6</v>
      </c>
      <c r="K17725" s="558">
        <v>0.35</v>
      </c>
      <c r="L17725" s="43">
        <v>8.4898648648648649</v>
      </c>
      <c r="M17725" s="43">
        <v>11.5</v>
      </c>
      <c r="N17725" s="43">
        <v>5.2777777777777777</v>
      </c>
      <c r="O17725" s="43">
        <v>11.503164556962025</v>
      </c>
      <c r="P17725" s="559"/>
      <c r="Q17725" s="559"/>
      <c r="R17725" s="559">
        <v>5</v>
      </c>
    </row>
    <row r="17726" spans="1:18" ht="84">
      <c r="A17726" s="555">
        <v>166</v>
      </c>
      <c r="B17726" s="552" t="s">
        <v>31911</v>
      </c>
      <c r="C17726" s="556" t="s">
        <v>31912</v>
      </c>
      <c r="D17726" s="557">
        <v>4.3899999999999997</v>
      </c>
      <c r="E17726" s="557">
        <v>2.2999999999999998</v>
      </c>
      <c r="F17726" s="557">
        <v>2.04</v>
      </c>
      <c r="G17726" s="557">
        <v>0.05</v>
      </c>
      <c r="H17726" s="558">
        <v>37.78</v>
      </c>
      <c r="I17726" s="558">
        <v>26.43</v>
      </c>
      <c r="J17726" s="558">
        <v>10.77</v>
      </c>
      <c r="K17726" s="558">
        <v>0.57999999999999996</v>
      </c>
      <c r="L17726" s="43">
        <v>8.6059225512528474</v>
      </c>
      <c r="M17726" s="43">
        <v>11.5</v>
      </c>
      <c r="N17726" s="43">
        <v>5.2794117647058822</v>
      </c>
      <c r="O17726" s="43">
        <v>11.503164556962025</v>
      </c>
      <c r="P17726" s="559"/>
      <c r="Q17726" s="559"/>
      <c r="R17726" s="559">
        <v>5</v>
      </c>
    </row>
    <row r="17727" spans="1:18" ht="84">
      <c r="A17727" s="555">
        <v>167</v>
      </c>
      <c r="B17727" s="552" t="s">
        <v>31913</v>
      </c>
      <c r="C17727" s="556" t="s">
        <v>31914</v>
      </c>
      <c r="D17727" s="557">
        <v>4.8600000000000003</v>
      </c>
      <c r="E17727" s="557">
        <v>2.41</v>
      </c>
      <c r="F17727" s="557">
        <v>2.4</v>
      </c>
      <c r="G17727" s="557">
        <v>0.05</v>
      </c>
      <c r="H17727" s="558">
        <v>41</v>
      </c>
      <c r="I17727" s="558">
        <v>27.75</v>
      </c>
      <c r="J17727" s="558">
        <v>12.67</v>
      </c>
      <c r="K17727" s="558">
        <v>0.57999999999999996</v>
      </c>
      <c r="L17727" s="43">
        <v>8.4362139917695469</v>
      </c>
      <c r="M17727" s="43">
        <v>11.504522821576799</v>
      </c>
      <c r="N17727" s="43">
        <v>5.2791666666666668</v>
      </c>
      <c r="O17727" s="43">
        <v>11.503164556962025</v>
      </c>
      <c r="P17727" s="559"/>
      <c r="Q17727" s="559"/>
      <c r="R17727" s="559">
        <v>5</v>
      </c>
    </row>
    <row r="17728" spans="1:18" ht="84">
      <c r="A17728" s="555">
        <v>168</v>
      </c>
      <c r="B17728" s="552" t="s">
        <v>31915</v>
      </c>
      <c r="C17728" s="556" t="s">
        <v>31916</v>
      </c>
      <c r="D17728" s="557">
        <v>5.58</v>
      </c>
      <c r="E17728" s="557">
        <v>2.76</v>
      </c>
      <c r="F17728" s="557">
        <v>2.76</v>
      </c>
      <c r="G17728" s="557">
        <v>0.06</v>
      </c>
      <c r="H17728" s="558">
        <v>46.97</v>
      </c>
      <c r="I17728" s="558">
        <v>31.71</v>
      </c>
      <c r="J17728" s="558">
        <v>14.57</v>
      </c>
      <c r="K17728" s="558">
        <v>0.69</v>
      </c>
      <c r="L17728" s="43">
        <v>8.4175627240143367</v>
      </c>
      <c r="M17728" s="43">
        <v>11.5</v>
      </c>
      <c r="N17728" s="43">
        <v>5.2789855072463769</v>
      </c>
      <c r="O17728" s="43">
        <v>11.503164556962025</v>
      </c>
      <c r="P17728" s="559"/>
      <c r="Q17728" s="559"/>
      <c r="R17728" s="559">
        <v>5</v>
      </c>
    </row>
    <row r="17729" spans="1:18" ht="84">
      <c r="A17729" s="555">
        <v>169</v>
      </c>
      <c r="B17729" s="552" t="s">
        <v>31917</v>
      </c>
      <c r="C17729" s="556" t="s">
        <v>31918</v>
      </c>
      <c r="D17729" s="557">
        <v>6.76</v>
      </c>
      <c r="E17729" s="557">
        <v>3.45</v>
      </c>
      <c r="F17729" s="557">
        <v>3.24</v>
      </c>
      <c r="G17729" s="557">
        <v>7.0000000000000007E-2</v>
      </c>
      <c r="H17729" s="558">
        <v>57.55</v>
      </c>
      <c r="I17729" s="558">
        <v>39.64</v>
      </c>
      <c r="J17729" s="558">
        <v>17.100000000000001</v>
      </c>
      <c r="K17729" s="558">
        <v>0.81</v>
      </c>
      <c r="L17729" s="43">
        <v>8.5133136094674562</v>
      </c>
      <c r="M17729" s="43">
        <v>11.5</v>
      </c>
      <c r="N17729" s="43">
        <v>5.2777777777777777</v>
      </c>
      <c r="O17729" s="43">
        <v>11.503164556962025</v>
      </c>
      <c r="P17729" s="559"/>
      <c r="Q17729" s="559"/>
      <c r="R17729" s="559">
        <v>5</v>
      </c>
    </row>
    <row r="17730" spans="1:18" ht="84">
      <c r="A17730" s="555">
        <v>170</v>
      </c>
      <c r="B17730" s="552" t="s">
        <v>31919</v>
      </c>
      <c r="C17730" s="556" t="s">
        <v>31920</v>
      </c>
      <c r="D17730" s="557">
        <v>7.83</v>
      </c>
      <c r="E17730" s="557">
        <v>3.91</v>
      </c>
      <c r="F17730" s="557">
        <v>3.84</v>
      </c>
      <c r="G17730" s="557">
        <v>0.08</v>
      </c>
      <c r="H17730" s="558">
        <v>66.12</v>
      </c>
      <c r="I17730" s="558">
        <v>44.93</v>
      </c>
      <c r="J17730" s="558">
        <v>20.27</v>
      </c>
      <c r="K17730" s="558">
        <v>0.92</v>
      </c>
      <c r="L17730" s="43">
        <v>8.4444444444444446</v>
      </c>
      <c r="M17730" s="43">
        <v>11.5</v>
      </c>
      <c r="N17730" s="43">
        <v>5.278645833333333</v>
      </c>
      <c r="O17730" s="43">
        <v>11.503164556962025</v>
      </c>
      <c r="P17730" s="559"/>
      <c r="Q17730" s="559"/>
      <c r="R17730" s="559">
        <v>5</v>
      </c>
    </row>
    <row r="17731" spans="1:18" ht="84">
      <c r="A17731" s="555">
        <v>171</v>
      </c>
      <c r="B17731" s="552" t="s">
        <v>31921</v>
      </c>
      <c r="C17731" s="556" t="s">
        <v>31922</v>
      </c>
      <c r="D17731" s="557">
        <v>7.35</v>
      </c>
      <c r="E17731" s="557">
        <v>3.68</v>
      </c>
      <c r="F17731" s="557">
        <v>3.6</v>
      </c>
      <c r="G17731" s="557">
        <v>7.0000000000000007E-2</v>
      </c>
      <c r="H17731" s="558">
        <v>62.09</v>
      </c>
      <c r="I17731" s="558">
        <v>42.28</v>
      </c>
      <c r="J17731" s="558">
        <v>19</v>
      </c>
      <c r="K17731" s="558">
        <v>0.81</v>
      </c>
      <c r="L17731" s="43">
        <v>8.4476190476190478</v>
      </c>
      <c r="M17731" s="43">
        <v>11.5</v>
      </c>
      <c r="N17731" s="43">
        <v>5.2777777777777777</v>
      </c>
      <c r="O17731" s="43">
        <v>11.503164556962025</v>
      </c>
      <c r="P17731" s="559"/>
      <c r="Q17731" s="559"/>
      <c r="R17731" s="559">
        <v>5</v>
      </c>
    </row>
    <row r="17732" spans="1:18" ht="84">
      <c r="A17732" s="555">
        <v>172</v>
      </c>
      <c r="B17732" s="552" t="s">
        <v>31923</v>
      </c>
      <c r="C17732" s="556" t="s">
        <v>31924</v>
      </c>
      <c r="D17732" s="557">
        <v>9.01</v>
      </c>
      <c r="E17732" s="557">
        <v>4.5999999999999996</v>
      </c>
      <c r="F17732" s="557">
        <v>4.32</v>
      </c>
      <c r="G17732" s="557">
        <v>0.09</v>
      </c>
      <c r="H17732" s="558">
        <v>76.7</v>
      </c>
      <c r="I17732" s="558">
        <v>52.86</v>
      </c>
      <c r="J17732" s="558">
        <v>22.8</v>
      </c>
      <c r="K17732" s="558">
        <v>1.04</v>
      </c>
      <c r="L17732" s="43">
        <v>8.5127635960044401</v>
      </c>
      <c r="M17732" s="43">
        <v>11.5</v>
      </c>
      <c r="N17732" s="43">
        <v>5.2777777777777777</v>
      </c>
      <c r="O17732" s="43">
        <v>11.503164556962025</v>
      </c>
      <c r="P17732" s="559"/>
      <c r="Q17732" s="559"/>
      <c r="R17732" s="559">
        <v>5</v>
      </c>
    </row>
    <row r="17733" spans="1:18" ht="84">
      <c r="A17733" s="555">
        <v>173</v>
      </c>
      <c r="B17733" s="552" t="s">
        <v>31925</v>
      </c>
      <c r="C17733" s="556" t="s">
        <v>31926</v>
      </c>
      <c r="D17733" s="557">
        <v>9.9600000000000009</v>
      </c>
      <c r="E17733" s="557">
        <v>4.9400000000000004</v>
      </c>
      <c r="F17733" s="557">
        <v>4.92</v>
      </c>
      <c r="G17733" s="557">
        <v>0.1</v>
      </c>
      <c r="H17733" s="558">
        <v>83.94</v>
      </c>
      <c r="I17733" s="558">
        <v>56.82</v>
      </c>
      <c r="J17733" s="558">
        <v>25.97</v>
      </c>
      <c r="K17733" s="558">
        <v>1.1499999999999999</v>
      </c>
      <c r="L17733" s="43">
        <v>8.4277108433734931</v>
      </c>
      <c r="M17733" s="43">
        <v>11.502024291497975</v>
      </c>
      <c r="N17733" s="43">
        <v>5.2784552845528454</v>
      </c>
      <c r="O17733" s="43">
        <v>11.503164556962025</v>
      </c>
      <c r="P17733" s="559"/>
      <c r="Q17733" s="559"/>
      <c r="R17733" s="559">
        <v>5</v>
      </c>
    </row>
    <row r="17734" spans="1:18" ht="84">
      <c r="A17734" s="555">
        <v>174</v>
      </c>
      <c r="B17734" s="552" t="s">
        <v>31927</v>
      </c>
      <c r="C17734" s="556" t="s">
        <v>31928</v>
      </c>
      <c r="D17734" s="557">
        <v>9.25</v>
      </c>
      <c r="E17734" s="557">
        <v>4.5999999999999996</v>
      </c>
      <c r="F17734" s="557">
        <v>4.5599999999999996</v>
      </c>
      <c r="G17734" s="557">
        <v>0.09</v>
      </c>
      <c r="H17734" s="558">
        <v>77.97</v>
      </c>
      <c r="I17734" s="558">
        <v>52.86</v>
      </c>
      <c r="J17734" s="558">
        <v>24.07</v>
      </c>
      <c r="K17734" s="558">
        <v>1.04</v>
      </c>
      <c r="L17734" s="43">
        <v>8.4291891891891897</v>
      </c>
      <c r="M17734" s="43">
        <v>11.5</v>
      </c>
      <c r="N17734" s="43">
        <v>5.2785087719298254</v>
      </c>
      <c r="O17734" s="43">
        <v>11.503164556962025</v>
      </c>
      <c r="P17734" s="559"/>
      <c r="Q17734" s="559"/>
      <c r="R17734" s="559">
        <v>5</v>
      </c>
    </row>
    <row r="17735" spans="1:18" ht="84">
      <c r="A17735" s="555">
        <v>175</v>
      </c>
      <c r="B17735" s="552" t="s">
        <v>31929</v>
      </c>
      <c r="C17735" s="556" t="s">
        <v>31930</v>
      </c>
      <c r="D17735" s="557">
        <v>11.26</v>
      </c>
      <c r="E17735" s="557">
        <v>5.75</v>
      </c>
      <c r="F17735" s="557">
        <v>5.4</v>
      </c>
      <c r="G17735" s="557">
        <v>0.11</v>
      </c>
      <c r="H17735" s="558">
        <v>95.84</v>
      </c>
      <c r="I17735" s="558">
        <v>66.069999999999993</v>
      </c>
      <c r="J17735" s="558">
        <v>28.5</v>
      </c>
      <c r="K17735" s="558">
        <v>1.27</v>
      </c>
      <c r="L17735" s="43">
        <v>8.5115452930728246</v>
      </c>
      <c r="M17735" s="43">
        <v>11.5</v>
      </c>
      <c r="N17735" s="43">
        <v>5.2777777777777777</v>
      </c>
      <c r="O17735" s="43">
        <v>11.503164556962025</v>
      </c>
      <c r="P17735" s="559"/>
      <c r="Q17735" s="559"/>
      <c r="R17735" s="559">
        <v>5</v>
      </c>
    </row>
    <row r="17736" spans="1:18" ht="84">
      <c r="A17736" s="555">
        <v>176</v>
      </c>
      <c r="B17736" s="552" t="s">
        <v>31931</v>
      </c>
      <c r="C17736" s="556" t="s">
        <v>31932</v>
      </c>
      <c r="D17736" s="557">
        <v>14.83</v>
      </c>
      <c r="E17736" s="557">
        <v>7.35</v>
      </c>
      <c r="F17736" s="557">
        <v>7.33</v>
      </c>
      <c r="G17736" s="557">
        <v>0.15</v>
      </c>
      <c r="H17736" s="558">
        <v>124.93</v>
      </c>
      <c r="I17736" s="558">
        <v>84.57</v>
      </c>
      <c r="J17736" s="558">
        <v>38.630000000000003</v>
      </c>
      <c r="K17736" s="558">
        <v>1.73</v>
      </c>
      <c r="L17736" s="43">
        <v>8.424140256237358</v>
      </c>
      <c r="M17736" s="43">
        <v>11.5021951219512</v>
      </c>
      <c r="N17736" s="43">
        <v>5.2701227830832202</v>
      </c>
      <c r="O17736" s="43">
        <v>11.503164556962025</v>
      </c>
      <c r="P17736" s="559"/>
      <c r="Q17736" s="559"/>
      <c r="R17736" s="559">
        <v>5</v>
      </c>
    </row>
    <row r="17737" spans="1:18" ht="84">
      <c r="A17737" s="555">
        <v>177</v>
      </c>
      <c r="B17737" s="552" t="s">
        <v>31933</v>
      </c>
      <c r="C17737" s="556" t="s">
        <v>31934</v>
      </c>
      <c r="D17737" s="557">
        <v>11.62</v>
      </c>
      <c r="E17737" s="557">
        <v>5.75</v>
      </c>
      <c r="F17737" s="557">
        <v>5.76</v>
      </c>
      <c r="G17737" s="557">
        <v>0.11</v>
      </c>
      <c r="H17737" s="558">
        <v>97.74</v>
      </c>
      <c r="I17737" s="558">
        <v>66.069999999999993</v>
      </c>
      <c r="J17737" s="558">
        <v>30.4</v>
      </c>
      <c r="K17737" s="558">
        <v>1.27</v>
      </c>
      <c r="L17737" s="43">
        <v>8.411359724612737</v>
      </c>
      <c r="M17737" s="43">
        <v>11.5</v>
      </c>
      <c r="N17737" s="43">
        <v>5.2777777777777777</v>
      </c>
      <c r="O17737" s="43">
        <v>11.503164556962025</v>
      </c>
      <c r="P17737" s="559"/>
      <c r="Q17737" s="559"/>
      <c r="R17737" s="559">
        <v>5</v>
      </c>
    </row>
    <row r="17738" spans="1:18" ht="84">
      <c r="A17738" s="555">
        <v>178</v>
      </c>
      <c r="B17738" s="552" t="s">
        <v>31935</v>
      </c>
      <c r="C17738" s="556" t="s">
        <v>31936</v>
      </c>
      <c r="D17738" s="557">
        <v>13.88</v>
      </c>
      <c r="E17738" s="557">
        <v>6.89</v>
      </c>
      <c r="F17738" s="557">
        <v>6.85</v>
      </c>
      <c r="G17738" s="557">
        <v>0.14000000000000001</v>
      </c>
      <c r="H17738" s="558">
        <v>116.99</v>
      </c>
      <c r="I17738" s="558">
        <v>79.28</v>
      </c>
      <c r="J17738" s="558">
        <v>36.1</v>
      </c>
      <c r="K17738" s="558">
        <v>1.61</v>
      </c>
      <c r="L17738" s="43">
        <v>8.4286743515850144</v>
      </c>
      <c r="M17738" s="43">
        <v>11.5021951219512</v>
      </c>
      <c r="N17738" s="43">
        <v>5.2700729927007304</v>
      </c>
      <c r="O17738" s="43">
        <v>11.503164556962025</v>
      </c>
      <c r="P17738" s="559"/>
      <c r="Q17738" s="559"/>
      <c r="R17738" s="559">
        <v>5</v>
      </c>
    </row>
    <row r="17739" spans="1:18" ht="84">
      <c r="A17739" s="555">
        <v>179</v>
      </c>
      <c r="B17739" s="552" t="s">
        <v>31937</v>
      </c>
      <c r="C17739" s="556" t="s">
        <v>31938</v>
      </c>
      <c r="D17739" s="557">
        <v>19.45</v>
      </c>
      <c r="E17739" s="557">
        <v>9.65</v>
      </c>
      <c r="F17739" s="557">
        <v>9.61</v>
      </c>
      <c r="G17739" s="557">
        <v>0.19</v>
      </c>
      <c r="H17739" s="558">
        <v>163.85</v>
      </c>
      <c r="I17739" s="558">
        <v>111</v>
      </c>
      <c r="J17739" s="558">
        <v>50.66</v>
      </c>
      <c r="K17739" s="558">
        <v>2.19</v>
      </c>
      <c r="L17739" s="43">
        <v>8.4241645244215935</v>
      </c>
      <c r="M17739" s="43">
        <v>11.50259067357513</v>
      </c>
      <c r="N17739" s="43">
        <v>5.2715920915712795</v>
      </c>
      <c r="O17739" s="43">
        <v>11.503164556962025</v>
      </c>
      <c r="P17739" s="559"/>
      <c r="Q17739" s="559"/>
      <c r="R17739" s="559">
        <v>5</v>
      </c>
    </row>
    <row r="17740" spans="1:18" ht="84">
      <c r="A17740" s="555">
        <v>180</v>
      </c>
      <c r="B17740" s="552" t="s">
        <v>31939</v>
      </c>
      <c r="C17740" s="556" t="s">
        <v>31940</v>
      </c>
      <c r="D17740" s="557">
        <v>23.25</v>
      </c>
      <c r="E17740" s="557">
        <v>11.49</v>
      </c>
      <c r="F17740" s="557">
        <v>11.53</v>
      </c>
      <c r="G17740" s="557">
        <v>0.23</v>
      </c>
      <c r="H17740" s="558">
        <v>195.59</v>
      </c>
      <c r="I17740" s="558">
        <v>132.13999999999999</v>
      </c>
      <c r="J17740" s="558">
        <v>60.8</v>
      </c>
      <c r="K17740" s="558">
        <v>2.65</v>
      </c>
      <c r="L17740" s="43">
        <v>8.4124731182795696</v>
      </c>
      <c r="M17740" s="43">
        <v>11.500435161009571</v>
      </c>
      <c r="N17740" s="43">
        <v>5.2732003469210751</v>
      </c>
      <c r="O17740" s="43">
        <v>11.503164556962025</v>
      </c>
      <c r="P17740" s="559"/>
      <c r="Q17740" s="559"/>
      <c r="R17740" s="559">
        <v>5</v>
      </c>
    </row>
    <row r="17741" spans="1:18" ht="84">
      <c r="A17741" s="555">
        <v>181</v>
      </c>
      <c r="B17741" s="552" t="s">
        <v>31941</v>
      </c>
      <c r="C17741" s="556" t="s">
        <v>31942</v>
      </c>
      <c r="D17741" s="557">
        <v>13.52</v>
      </c>
      <c r="E17741" s="557">
        <v>6.89</v>
      </c>
      <c r="F17741" s="557">
        <v>6.49</v>
      </c>
      <c r="G17741" s="557">
        <v>0.14000000000000001</v>
      </c>
      <c r="H17741" s="558">
        <v>115.09</v>
      </c>
      <c r="I17741" s="558">
        <v>79.28</v>
      </c>
      <c r="J17741" s="558">
        <v>34.200000000000003</v>
      </c>
      <c r="K17741" s="558">
        <v>1.61</v>
      </c>
      <c r="L17741" s="43">
        <v>8.512573964497042</v>
      </c>
      <c r="M17741" s="43">
        <v>11.5021951219512</v>
      </c>
      <c r="N17741" s="43">
        <v>5.26964560862866</v>
      </c>
      <c r="O17741" s="43">
        <v>11.503164556962025</v>
      </c>
      <c r="P17741" s="559"/>
      <c r="Q17741" s="559"/>
      <c r="R17741" s="559">
        <v>5</v>
      </c>
    </row>
    <row r="17742" spans="1:18" ht="84">
      <c r="A17742" s="555">
        <v>182</v>
      </c>
      <c r="B17742" s="552" t="s">
        <v>31943</v>
      </c>
      <c r="C17742" s="556" t="s">
        <v>31944</v>
      </c>
      <c r="D17742" s="557">
        <v>16.25</v>
      </c>
      <c r="E17742" s="557">
        <v>8.0399999999999991</v>
      </c>
      <c r="F17742" s="557">
        <v>8.0500000000000007</v>
      </c>
      <c r="G17742" s="557">
        <v>0.16</v>
      </c>
      <c r="H17742" s="558">
        <v>136.77000000000001</v>
      </c>
      <c r="I17742" s="558">
        <v>92.5</v>
      </c>
      <c r="J17742" s="558">
        <v>42.43</v>
      </c>
      <c r="K17742" s="558">
        <v>1.84</v>
      </c>
      <c r="L17742" s="43">
        <v>8.4166153846153851</v>
      </c>
      <c r="M17742" s="43">
        <v>11.504975124378111</v>
      </c>
      <c r="N17742" s="43">
        <v>5.2708074534161486</v>
      </c>
      <c r="O17742" s="43">
        <v>11.503164556962025</v>
      </c>
      <c r="P17742" s="559"/>
      <c r="Q17742" s="559"/>
      <c r="R17742" s="559">
        <v>5</v>
      </c>
    </row>
    <row r="17743" spans="1:18" ht="84">
      <c r="A17743" s="555">
        <v>183</v>
      </c>
      <c r="B17743" s="552" t="s">
        <v>31945</v>
      </c>
      <c r="C17743" s="556" t="s">
        <v>31946</v>
      </c>
      <c r="D17743" s="557">
        <v>22.77</v>
      </c>
      <c r="E17743" s="557">
        <v>11.49</v>
      </c>
      <c r="F17743" s="557">
        <v>11.05</v>
      </c>
      <c r="G17743" s="557">
        <v>0.23</v>
      </c>
      <c r="H17743" s="558">
        <v>193.05</v>
      </c>
      <c r="I17743" s="558">
        <v>132.13999999999999</v>
      </c>
      <c r="J17743" s="558">
        <v>58.26</v>
      </c>
      <c r="K17743" s="558">
        <v>2.65</v>
      </c>
      <c r="L17743" s="43">
        <v>8.4782608695652186</v>
      </c>
      <c r="M17743" s="43">
        <v>11.500435161009571</v>
      </c>
      <c r="N17743" s="43">
        <v>5.2723981900452488</v>
      </c>
      <c r="O17743" s="43">
        <v>11.503164556962025</v>
      </c>
      <c r="P17743" s="559"/>
      <c r="Q17743" s="559"/>
      <c r="R17743" s="559">
        <v>5</v>
      </c>
    </row>
    <row r="17744" spans="1:18" ht="84">
      <c r="A17744" s="555">
        <v>184</v>
      </c>
      <c r="B17744" s="552" t="s">
        <v>31947</v>
      </c>
      <c r="C17744" s="556" t="s">
        <v>31948</v>
      </c>
      <c r="D17744" s="557">
        <v>32.020000000000003</v>
      </c>
      <c r="E17744" s="557">
        <v>16.09</v>
      </c>
      <c r="F17744" s="557">
        <v>15.61</v>
      </c>
      <c r="G17744" s="557">
        <v>0.32</v>
      </c>
      <c r="H17744" s="558">
        <v>271.01</v>
      </c>
      <c r="I17744" s="558">
        <v>185</v>
      </c>
      <c r="J17744" s="558">
        <v>82.33</v>
      </c>
      <c r="K17744" s="558">
        <v>3.68</v>
      </c>
      <c r="L17744" s="43">
        <v>8.4637726420986876</v>
      </c>
      <c r="M17744" s="43">
        <v>11.497824735860783</v>
      </c>
      <c r="N17744" s="43">
        <v>5.2741832158872519</v>
      </c>
      <c r="O17744" s="43">
        <v>11.503164556962025</v>
      </c>
      <c r="P17744" s="559"/>
      <c r="Q17744" s="559"/>
      <c r="R17744" s="559">
        <v>5</v>
      </c>
    </row>
    <row r="17745" spans="1:18" ht="84">
      <c r="A17745" s="555">
        <v>185</v>
      </c>
      <c r="B17745" s="552" t="s">
        <v>31949</v>
      </c>
      <c r="C17745" s="556" t="s">
        <v>31950</v>
      </c>
      <c r="D17745" s="557">
        <v>19.45</v>
      </c>
      <c r="E17745" s="557">
        <v>9.65</v>
      </c>
      <c r="F17745" s="557">
        <v>9.61</v>
      </c>
      <c r="G17745" s="557">
        <v>0.19</v>
      </c>
      <c r="H17745" s="558">
        <v>163.85</v>
      </c>
      <c r="I17745" s="558">
        <v>111</v>
      </c>
      <c r="J17745" s="558">
        <v>50.66</v>
      </c>
      <c r="K17745" s="558">
        <v>2.19</v>
      </c>
      <c r="L17745" s="43">
        <v>8.4241645244215935</v>
      </c>
      <c r="M17745" s="43">
        <v>11.50259067357513</v>
      </c>
      <c r="N17745" s="43">
        <v>5.2715920915712795</v>
      </c>
      <c r="O17745" s="43">
        <v>11.503164556962025</v>
      </c>
      <c r="P17745" s="559"/>
      <c r="Q17745" s="559"/>
      <c r="R17745" s="559">
        <v>5</v>
      </c>
    </row>
    <row r="17746" spans="1:18" ht="84">
      <c r="A17746" s="555">
        <v>186</v>
      </c>
      <c r="B17746" s="552" t="s">
        <v>31951</v>
      </c>
      <c r="C17746" s="556" t="s">
        <v>31952</v>
      </c>
      <c r="D17746" s="557">
        <v>23.13</v>
      </c>
      <c r="E17746" s="557">
        <v>11.49</v>
      </c>
      <c r="F17746" s="557">
        <v>11.41</v>
      </c>
      <c r="G17746" s="557">
        <v>0.23</v>
      </c>
      <c r="H17746" s="558">
        <v>194.95</v>
      </c>
      <c r="I17746" s="558">
        <v>132.13999999999999</v>
      </c>
      <c r="J17746" s="558">
        <v>60.16</v>
      </c>
      <c r="K17746" s="558">
        <v>2.65</v>
      </c>
      <c r="L17746" s="43">
        <v>8.4284479031560746</v>
      </c>
      <c r="M17746" s="43">
        <v>11.500435161009571</v>
      </c>
      <c r="N17746" s="43">
        <v>5.2725679228746714</v>
      </c>
      <c r="O17746" s="43">
        <v>11.503164556962025</v>
      </c>
      <c r="P17746" s="559"/>
      <c r="Q17746" s="559"/>
      <c r="R17746" s="559">
        <v>5</v>
      </c>
    </row>
    <row r="17747" spans="1:18" ht="84">
      <c r="A17747" s="555">
        <v>187</v>
      </c>
      <c r="B17747" s="552" t="s">
        <v>31953</v>
      </c>
      <c r="C17747" s="556" t="s">
        <v>31954</v>
      </c>
      <c r="D17747" s="557">
        <v>32.020000000000003</v>
      </c>
      <c r="E17747" s="557">
        <v>16.09</v>
      </c>
      <c r="F17747" s="557">
        <v>15.61</v>
      </c>
      <c r="G17747" s="557">
        <v>0.32</v>
      </c>
      <c r="H17747" s="558">
        <v>271.01</v>
      </c>
      <c r="I17747" s="558">
        <v>185</v>
      </c>
      <c r="J17747" s="558">
        <v>82.33</v>
      </c>
      <c r="K17747" s="558">
        <v>3.68</v>
      </c>
      <c r="L17747" s="43">
        <v>8.4637726420986876</v>
      </c>
      <c r="M17747" s="43">
        <v>11.497824735860783</v>
      </c>
      <c r="N17747" s="43">
        <v>5.2741832158872519</v>
      </c>
      <c r="O17747" s="43">
        <v>11.503164556962025</v>
      </c>
      <c r="P17747" s="559"/>
      <c r="Q17747" s="559"/>
      <c r="R17747" s="559">
        <v>5</v>
      </c>
    </row>
    <row r="17748" spans="1:18" ht="84">
      <c r="A17748" s="555">
        <v>188</v>
      </c>
      <c r="B17748" s="552" t="s">
        <v>31955</v>
      </c>
      <c r="C17748" s="556" t="s">
        <v>31956</v>
      </c>
      <c r="D17748" s="557">
        <v>41.51</v>
      </c>
      <c r="E17748" s="557">
        <v>20.68</v>
      </c>
      <c r="F17748" s="557">
        <v>20.420000000000002</v>
      </c>
      <c r="G17748" s="557">
        <v>0.41</v>
      </c>
      <c r="H17748" s="558">
        <v>350.23</v>
      </c>
      <c r="I17748" s="558">
        <v>237.85</v>
      </c>
      <c r="J17748" s="558">
        <v>107.66</v>
      </c>
      <c r="K17748" s="558">
        <v>4.72</v>
      </c>
      <c r="L17748" s="43">
        <v>8.4372440375813067</v>
      </c>
      <c r="M17748" s="43">
        <v>11.501450676982591</v>
      </c>
      <c r="N17748" s="43">
        <v>5.2722820763956895</v>
      </c>
      <c r="O17748" s="43">
        <v>11.503164556962025</v>
      </c>
      <c r="P17748" s="559"/>
      <c r="Q17748" s="559"/>
      <c r="R17748" s="559">
        <v>5</v>
      </c>
    </row>
    <row r="17749" spans="1:18" ht="84">
      <c r="A17749" s="555">
        <v>189</v>
      </c>
      <c r="B17749" s="552" t="s">
        <v>31957</v>
      </c>
      <c r="C17749" s="556" t="s">
        <v>31958</v>
      </c>
      <c r="D17749" s="557">
        <v>48.63</v>
      </c>
      <c r="E17749" s="557">
        <v>24.13</v>
      </c>
      <c r="F17749" s="557">
        <v>24.02</v>
      </c>
      <c r="G17749" s="557">
        <v>0.48</v>
      </c>
      <c r="H17749" s="558">
        <v>409.67</v>
      </c>
      <c r="I17749" s="558">
        <v>277.49</v>
      </c>
      <c r="J17749" s="558">
        <v>126.66</v>
      </c>
      <c r="K17749" s="558">
        <v>5.52</v>
      </c>
      <c r="L17749" s="43">
        <v>8.4242237302076912</v>
      </c>
      <c r="M17749" s="43">
        <v>11.499792789059263</v>
      </c>
      <c r="N17749" s="43">
        <v>5.2731057452123231</v>
      </c>
      <c r="O17749" s="43">
        <v>11.503164556962025</v>
      </c>
      <c r="P17749" s="559"/>
      <c r="Q17749" s="559"/>
      <c r="R17749" s="559">
        <v>5</v>
      </c>
    </row>
    <row r="17750" spans="1:18" ht="84">
      <c r="A17750" s="555">
        <v>190</v>
      </c>
      <c r="B17750" s="552" t="s">
        <v>31959</v>
      </c>
      <c r="C17750" s="556" t="s">
        <v>31960</v>
      </c>
      <c r="D17750" s="557">
        <v>20.88</v>
      </c>
      <c r="E17750" s="557">
        <v>10.34</v>
      </c>
      <c r="F17750" s="557">
        <v>10.33</v>
      </c>
      <c r="G17750" s="557">
        <v>0.21</v>
      </c>
      <c r="H17750" s="558">
        <v>175.81</v>
      </c>
      <c r="I17750" s="558">
        <v>118.93</v>
      </c>
      <c r="J17750" s="558">
        <v>54.46</v>
      </c>
      <c r="K17750" s="558">
        <v>2.42</v>
      </c>
      <c r="L17750" s="43">
        <v>8.4200191570881238</v>
      </c>
      <c r="M17750" s="43">
        <v>11.50193423597679</v>
      </c>
      <c r="N17750" s="43">
        <v>5.2720232333010646</v>
      </c>
      <c r="O17750" s="43">
        <v>11.503164556962025</v>
      </c>
      <c r="P17750" s="559"/>
      <c r="Q17750" s="559"/>
      <c r="R17750" s="559">
        <v>5</v>
      </c>
    </row>
    <row r="17751" spans="1:18" ht="84">
      <c r="A17751" s="555">
        <v>191</v>
      </c>
      <c r="B17751" s="552" t="s">
        <v>31961</v>
      </c>
      <c r="C17751" s="556" t="s">
        <v>31962</v>
      </c>
      <c r="D17751" s="557">
        <v>24.9</v>
      </c>
      <c r="E17751" s="557">
        <v>12.64</v>
      </c>
      <c r="F17751" s="557">
        <v>12.01</v>
      </c>
      <c r="G17751" s="557">
        <v>0.25</v>
      </c>
      <c r="H17751" s="558">
        <v>211.56</v>
      </c>
      <c r="I17751" s="558">
        <v>145.35</v>
      </c>
      <c r="J17751" s="558">
        <v>63.33</v>
      </c>
      <c r="K17751" s="558">
        <v>2.88</v>
      </c>
      <c r="L17751" s="43">
        <v>8.4963855421686745</v>
      </c>
      <c r="M17751" s="43">
        <v>11.499208860759493</v>
      </c>
      <c r="N17751" s="43">
        <v>5.2731057452123231</v>
      </c>
      <c r="O17751" s="43">
        <v>11.503164556962025</v>
      </c>
      <c r="P17751" s="559"/>
      <c r="Q17751" s="559"/>
      <c r="R17751" s="559">
        <v>5</v>
      </c>
    </row>
    <row r="17752" spans="1:18" ht="84">
      <c r="A17752" s="555">
        <v>192</v>
      </c>
      <c r="B17752" s="552" t="s">
        <v>31963</v>
      </c>
      <c r="C17752" s="556" t="s">
        <v>31964</v>
      </c>
      <c r="D17752" s="557">
        <v>34.39</v>
      </c>
      <c r="E17752" s="557">
        <v>17.239999999999998</v>
      </c>
      <c r="F17752" s="557">
        <v>16.809999999999999</v>
      </c>
      <c r="G17752" s="557">
        <v>0.34</v>
      </c>
      <c r="H17752" s="558">
        <v>290.77999999999997</v>
      </c>
      <c r="I17752" s="558">
        <v>198.21</v>
      </c>
      <c r="J17752" s="558">
        <v>88.66</v>
      </c>
      <c r="K17752" s="558">
        <v>3.91</v>
      </c>
      <c r="L17752" s="43">
        <v>8.4553649316661819</v>
      </c>
      <c r="M17752" s="43">
        <v>11.497099767981441</v>
      </c>
      <c r="N17752" s="43">
        <v>5.2742415229030337</v>
      </c>
      <c r="O17752" s="43">
        <v>11.503164556962025</v>
      </c>
      <c r="P17752" s="559"/>
      <c r="Q17752" s="559"/>
      <c r="R17752" s="559">
        <v>5</v>
      </c>
    </row>
    <row r="17753" spans="1:18" ht="84">
      <c r="A17753" s="555">
        <v>193</v>
      </c>
      <c r="B17753" s="552" t="s">
        <v>31965</v>
      </c>
      <c r="C17753" s="556" t="s">
        <v>31966</v>
      </c>
      <c r="D17753" s="557">
        <v>43.89</v>
      </c>
      <c r="E17753" s="557">
        <v>21.83</v>
      </c>
      <c r="F17753" s="557">
        <v>21.62</v>
      </c>
      <c r="G17753" s="557">
        <v>0.44</v>
      </c>
      <c r="H17753" s="558">
        <v>370.12</v>
      </c>
      <c r="I17753" s="558">
        <v>251.07</v>
      </c>
      <c r="J17753" s="558">
        <v>113.99</v>
      </c>
      <c r="K17753" s="558">
        <v>5.0599999999999996</v>
      </c>
      <c r="L17753" s="43">
        <v>8.432900432900432</v>
      </c>
      <c r="M17753" s="43">
        <v>11.50114521300962</v>
      </c>
      <c r="N17753" s="43">
        <v>5.2724329324699344</v>
      </c>
      <c r="O17753" s="43">
        <v>11.503164556962025</v>
      </c>
      <c r="P17753" s="559"/>
      <c r="Q17753" s="559"/>
      <c r="R17753" s="559">
        <v>5</v>
      </c>
    </row>
    <row r="17754" spans="1:18" ht="84">
      <c r="A17754" s="555">
        <v>194</v>
      </c>
      <c r="B17754" s="552" t="s">
        <v>31967</v>
      </c>
      <c r="C17754" s="556" t="s">
        <v>31968</v>
      </c>
      <c r="D17754" s="557">
        <v>51.01</v>
      </c>
      <c r="E17754" s="557">
        <v>25.28</v>
      </c>
      <c r="F17754" s="557">
        <v>25.22</v>
      </c>
      <c r="G17754" s="557">
        <v>0.51</v>
      </c>
      <c r="H17754" s="558">
        <v>429.57</v>
      </c>
      <c r="I17754" s="558">
        <v>290.70999999999998</v>
      </c>
      <c r="J17754" s="558">
        <v>132.99</v>
      </c>
      <c r="K17754" s="558">
        <v>5.87</v>
      </c>
      <c r="L17754" s="43">
        <v>8.4212899431484018</v>
      </c>
      <c r="M17754" s="43">
        <v>11.499604430379746</v>
      </c>
      <c r="N17754" s="43">
        <v>5.2731958762886606</v>
      </c>
      <c r="O17754" s="43">
        <v>11.503164556962025</v>
      </c>
      <c r="P17754" s="559"/>
      <c r="Q17754" s="559"/>
      <c r="R17754" s="559">
        <v>5</v>
      </c>
    </row>
    <row r="17755" spans="1:18" ht="84">
      <c r="A17755" s="555">
        <v>195</v>
      </c>
      <c r="B17755" s="552" t="s">
        <v>31969</v>
      </c>
      <c r="C17755" s="556" t="s">
        <v>31970</v>
      </c>
      <c r="D17755" s="557">
        <v>60.5</v>
      </c>
      <c r="E17755" s="557">
        <v>29.87</v>
      </c>
      <c r="F17755" s="557">
        <v>30.03</v>
      </c>
      <c r="G17755" s="557">
        <v>0.6</v>
      </c>
      <c r="H17755" s="558">
        <v>508.79</v>
      </c>
      <c r="I17755" s="558">
        <v>343.56</v>
      </c>
      <c r="J17755" s="558">
        <v>158.33000000000001</v>
      </c>
      <c r="K17755" s="558">
        <v>6.9</v>
      </c>
      <c r="L17755" s="43">
        <v>8.4097520661157024</v>
      </c>
      <c r="M17755" s="43">
        <v>11.501841312353532</v>
      </c>
      <c r="N17755" s="43">
        <v>5.2723942723942727</v>
      </c>
      <c r="O17755" s="43">
        <v>11.503164556962025</v>
      </c>
      <c r="P17755" s="559"/>
      <c r="Q17755" s="559"/>
      <c r="R17755" s="559">
        <v>5</v>
      </c>
    </row>
    <row r="17756" spans="1:18" ht="84">
      <c r="A17756" s="555">
        <v>196</v>
      </c>
      <c r="B17756" s="552" t="s">
        <v>31971</v>
      </c>
      <c r="C17756" s="556" t="s">
        <v>31972</v>
      </c>
      <c r="D17756" s="557">
        <v>71.16</v>
      </c>
      <c r="E17756" s="557">
        <v>35.619999999999997</v>
      </c>
      <c r="F17756" s="557">
        <v>34.83</v>
      </c>
      <c r="G17756" s="557">
        <v>0.71</v>
      </c>
      <c r="H17756" s="558">
        <v>601.46</v>
      </c>
      <c r="I17756" s="558">
        <v>409.63</v>
      </c>
      <c r="J17756" s="558">
        <v>183.66</v>
      </c>
      <c r="K17756" s="558">
        <v>8.17</v>
      </c>
      <c r="L17756" s="43">
        <v>8.4522203485103997</v>
      </c>
      <c r="M17756" s="43">
        <v>11.5</v>
      </c>
      <c r="N17756" s="43">
        <v>5.2730404823428083</v>
      </c>
      <c r="O17756" s="43">
        <v>11.503164556962025</v>
      </c>
      <c r="P17756" s="559"/>
      <c r="Q17756" s="559"/>
      <c r="R17756" s="559">
        <v>5</v>
      </c>
    </row>
    <row r="17757" spans="1:18" ht="84">
      <c r="A17757" s="555">
        <v>197</v>
      </c>
      <c r="B17757" s="552" t="s">
        <v>31973</v>
      </c>
      <c r="C17757" s="556" t="s">
        <v>31974</v>
      </c>
      <c r="D17757" s="557">
        <v>80.650000000000006</v>
      </c>
      <c r="E17757" s="557">
        <v>40.22</v>
      </c>
      <c r="F17757" s="557">
        <v>39.630000000000003</v>
      </c>
      <c r="G17757" s="557">
        <v>0.8</v>
      </c>
      <c r="H17757" s="558">
        <v>680.68</v>
      </c>
      <c r="I17757" s="558">
        <v>462.49</v>
      </c>
      <c r="J17757" s="558">
        <v>208.99</v>
      </c>
      <c r="K17757" s="558">
        <v>9.1999999999999993</v>
      </c>
      <c r="L17757" s="43">
        <v>8.4399256044637312</v>
      </c>
      <c r="M17757" s="43">
        <v>11.499005469915465</v>
      </c>
      <c r="N17757" s="43">
        <v>5.2735301539237946</v>
      </c>
      <c r="O17757" s="43">
        <v>11.503164556962025</v>
      </c>
      <c r="P17757" s="559"/>
      <c r="Q17757" s="559"/>
      <c r="R17757" s="559">
        <v>5</v>
      </c>
    </row>
    <row r="17758" spans="1:18" ht="84">
      <c r="A17758" s="555">
        <v>198</v>
      </c>
      <c r="B17758" s="552" t="s">
        <v>31975</v>
      </c>
      <c r="C17758" s="556" t="s">
        <v>31976</v>
      </c>
      <c r="D17758" s="557">
        <v>92.52</v>
      </c>
      <c r="E17758" s="557">
        <v>45.96</v>
      </c>
      <c r="F17758" s="557">
        <v>45.64</v>
      </c>
      <c r="G17758" s="557">
        <v>0.92</v>
      </c>
      <c r="H17758" s="558">
        <v>779.79</v>
      </c>
      <c r="I17758" s="558">
        <v>528.55999999999995</v>
      </c>
      <c r="J17758" s="558">
        <v>240.65</v>
      </c>
      <c r="K17758" s="558">
        <v>10.58</v>
      </c>
      <c r="L17758" s="43">
        <v>8.4283398184176388</v>
      </c>
      <c r="M17758" s="43">
        <v>11.500435161009571</v>
      </c>
      <c r="N17758" s="43">
        <v>5.2727870289219982</v>
      </c>
      <c r="O17758" s="43">
        <v>11.503164556962025</v>
      </c>
      <c r="P17758" s="559"/>
      <c r="Q17758" s="559"/>
      <c r="R17758" s="559">
        <v>5</v>
      </c>
    </row>
    <row r="17759" spans="1:18" ht="84">
      <c r="A17759" s="555">
        <v>199</v>
      </c>
      <c r="B17759" s="552" t="s">
        <v>31977</v>
      </c>
      <c r="C17759" s="556" t="s">
        <v>31978</v>
      </c>
      <c r="D17759" s="557">
        <v>23.13</v>
      </c>
      <c r="E17759" s="557">
        <v>11.49</v>
      </c>
      <c r="F17759" s="557">
        <v>11.41</v>
      </c>
      <c r="G17759" s="557">
        <v>0.23</v>
      </c>
      <c r="H17759" s="558">
        <v>194.95</v>
      </c>
      <c r="I17759" s="558">
        <v>132.13999999999999</v>
      </c>
      <c r="J17759" s="558">
        <v>60.16</v>
      </c>
      <c r="K17759" s="558">
        <v>2.65</v>
      </c>
      <c r="L17759" s="43">
        <v>8.4284479031560746</v>
      </c>
      <c r="M17759" s="43">
        <v>11.500435161009571</v>
      </c>
      <c r="N17759" s="43">
        <v>5.2725679228746714</v>
      </c>
      <c r="O17759" s="43">
        <v>11.503164556962025</v>
      </c>
      <c r="P17759" s="559"/>
      <c r="Q17759" s="559"/>
      <c r="R17759" s="559">
        <v>5</v>
      </c>
    </row>
    <row r="17760" spans="1:18" ht="84">
      <c r="A17760" s="555">
        <v>200</v>
      </c>
      <c r="B17760" s="552" t="s">
        <v>31979</v>
      </c>
      <c r="C17760" s="556" t="s">
        <v>31980</v>
      </c>
      <c r="D17760" s="557">
        <v>27.28</v>
      </c>
      <c r="E17760" s="557">
        <v>13.79</v>
      </c>
      <c r="F17760" s="557">
        <v>13.21</v>
      </c>
      <c r="G17760" s="557">
        <v>0.28000000000000003</v>
      </c>
      <c r="H17760" s="558">
        <v>231.45</v>
      </c>
      <c r="I17760" s="558">
        <v>158.57</v>
      </c>
      <c r="J17760" s="558">
        <v>69.66</v>
      </c>
      <c r="K17760" s="558">
        <v>3.22</v>
      </c>
      <c r="L17760" s="43">
        <v>8.4842375366568898</v>
      </c>
      <c r="M17760" s="43">
        <v>11.498912255257434</v>
      </c>
      <c r="N17760" s="43">
        <v>5.2732778198334591</v>
      </c>
      <c r="O17760" s="43">
        <v>11.503164556962025</v>
      </c>
      <c r="P17760" s="559"/>
      <c r="Q17760" s="559"/>
      <c r="R17760" s="559">
        <v>5</v>
      </c>
    </row>
    <row r="17761" spans="1:18" ht="84">
      <c r="A17761" s="555">
        <v>201</v>
      </c>
      <c r="B17761" s="552" t="s">
        <v>31981</v>
      </c>
      <c r="C17761" s="556" t="s">
        <v>31982</v>
      </c>
      <c r="D17761" s="557">
        <v>39.14</v>
      </c>
      <c r="E17761" s="557">
        <v>19.53</v>
      </c>
      <c r="F17761" s="557">
        <v>19.22</v>
      </c>
      <c r="G17761" s="557">
        <v>0.39</v>
      </c>
      <c r="H17761" s="558">
        <v>330.46</v>
      </c>
      <c r="I17761" s="558">
        <v>224.64</v>
      </c>
      <c r="J17761" s="558">
        <v>101.33</v>
      </c>
      <c r="K17761" s="558">
        <v>4.49</v>
      </c>
      <c r="L17761" s="43">
        <v>8.4430250383239649</v>
      </c>
      <c r="M17761" s="43">
        <v>11.502304147465436</v>
      </c>
      <c r="N17761" s="43">
        <v>5.2721123829344432</v>
      </c>
      <c r="O17761" s="43">
        <v>11.503164556962025</v>
      </c>
      <c r="P17761" s="559"/>
      <c r="Q17761" s="559"/>
      <c r="R17761" s="559">
        <v>5</v>
      </c>
    </row>
    <row r="17762" spans="1:18" ht="84">
      <c r="A17762" s="555">
        <v>202</v>
      </c>
      <c r="B17762" s="552" t="s">
        <v>31983</v>
      </c>
      <c r="C17762" s="556" t="s">
        <v>31984</v>
      </c>
      <c r="D17762" s="557">
        <v>48.63</v>
      </c>
      <c r="E17762" s="557">
        <v>24.13</v>
      </c>
      <c r="F17762" s="557">
        <v>24.02</v>
      </c>
      <c r="G17762" s="557">
        <v>0.48</v>
      </c>
      <c r="H17762" s="558">
        <v>409.67</v>
      </c>
      <c r="I17762" s="558">
        <v>277.49</v>
      </c>
      <c r="J17762" s="558">
        <v>126.66</v>
      </c>
      <c r="K17762" s="558">
        <v>5.52</v>
      </c>
      <c r="L17762" s="43">
        <v>8.4242237302076912</v>
      </c>
      <c r="M17762" s="43">
        <v>11.499792789059263</v>
      </c>
      <c r="N17762" s="43">
        <v>5.2731057452123231</v>
      </c>
      <c r="O17762" s="43">
        <v>11.503164556962025</v>
      </c>
      <c r="P17762" s="559"/>
      <c r="Q17762" s="559"/>
      <c r="R17762" s="559">
        <v>5</v>
      </c>
    </row>
    <row r="17763" spans="1:18" ht="84">
      <c r="A17763" s="555">
        <v>203</v>
      </c>
      <c r="B17763" s="552" t="s">
        <v>31985</v>
      </c>
      <c r="C17763" s="556" t="s">
        <v>31986</v>
      </c>
      <c r="D17763" s="557">
        <v>58.12</v>
      </c>
      <c r="E17763" s="557">
        <v>28.73</v>
      </c>
      <c r="F17763" s="557">
        <v>28.82</v>
      </c>
      <c r="G17763" s="557">
        <v>0.56999999999999995</v>
      </c>
      <c r="H17763" s="558">
        <v>488.9</v>
      </c>
      <c r="I17763" s="558">
        <v>330.35</v>
      </c>
      <c r="J17763" s="558">
        <v>151.99</v>
      </c>
      <c r="K17763" s="558">
        <v>6.56</v>
      </c>
      <c r="L17763" s="43">
        <v>8.4119064005505848</v>
      </c>
      <c r="M17763" s="43">
        <v>11.498433693003829</v>
      </c>
      <c r="N17763" s="43">
        <v>5.2737682165163084</v>
      </c>
      <c r="O17763" s="43">
        <v>11.503164556962025</v>
      </c>
      <c r="P17763" s="559"/>
      <c r="Q17763" s="559"/>
      <c r="R17763" s="559">
        <v>5</v>
      </c>
    </row>
    <row r="17764" spans="1:18" ht="84">
      <c r="A17764" s="555">
        <v>204</v>
      </c>
      <c r="B17764" s="552" t="s">
        <v>31987</v>
      </c>
      <c r="C17764" s="556" t="s">
        <v>31988</v>
      </c>
      <c r="D17764" s="557">
        <v>71.16</v>
      </c>
      <c r="E17764" s="557">
        <v>35.619999999999997</v>
      </c>
      <c r="F17764" s="557">
        <v>34.83</v>
      </c>
      <c r="G17764" s="557">
        <v>0.71</v>
      </c>
      <c r="H17764" s="558">
        <v>601.46</v>
      </c>
      <c r="I17764" s="558">
        <v>409.63</v>
      </c>
      <c r="J17764" s="558">
        <v>183.66</v>
      </c>
      <c r="K17764" s="558">
        <v>8.17</v>
      </c>
      <c r="L17764" s="43">
        <v>8.4522203485103997</v>
      </c>
      <c r="M17764" s="43">
        <v>11.5</v>
      </c>
      <c r="N17764" s="43">
        <v>5.2730404823428083</v>
      </c>
      <c r="O17764" s="43">
        <v>11.503164556962025</v>
      </c>
      <c r="P17764" s="559"/>
      <c r="Q17764" s="559"/>
      <c r="R17764" s="559">
        <v>5</v>
      </c>
    </row>
    <row r="17765" spans="1:18" ht="84">
      <c r="A17765" s="555">
        <v>205</v>
      </c>
      <c r="B17765" s="552" t="s">
        <v>31989</v>
      </c>
      <c r="C17765" s="556" t="s">
        <v>31990</v>
      </c>
      <c r="D17765" s="557">
        <v>80.650000000000006</v>
      </c>
      <c r="E17765" s="557">
        <v>40.22</v>
      </c>
      <c r="F17765" s="557">
        <v>39.630000000000003</v>
      </c>
      <c r="G17765" s="557">
        <v>0.8</v>
      </c>
      <c r="H17765" s="558">
        <v>680.68</v>
      </c>
      <c r="I17765" s="558">
        <v>462.49</v>
      </c>
      <c r="J17765" s="558">
        <v>208.99</v>
      </c>
      <c r="K17765" s="558">
        <v>9.1999999999999993</v>
      </c>
      <c r="L17765" s="43">
        <v>8.4399256044637312</v>
      </c>
      <c r="M17765" s="43">
        <v>11.499005469915465</v>
      </c>
      <c r="N17765" s="43">
        <v>5.2735301539237946</v>
      </c>
      <c r="O17765" s="43">
        <v>11.503164556962025</v>
      </c>
      <c r="P17765" s="559"/>
      <c r="Q17765" s="559"/>
      <c r="R17765" s="559">
        <v>5</v>
      </c>
    </row>
    <row r="17766" spans="1:18" ht="84">
      <c r="A17766" s="555">
        <v>206</v>
      </c>
      <c r="B17766" s="552" t="s">
        <v>31991</v>
      </c>
      <c r="C17766" s="556" t="s">
        <v>31992</v>
      </c>
      <c r="D17766" s="557">
        <v>90.15</v>
      </c>
      <c r="E17766" s="557">
        <v>44.81</v>
      </c>
      <c r="F17766" s="557">
        <v>44.44</v>
      </c>
      <c r="G17766" s="557">
        <v>0.9</v>
      </c>
      <c r="H17766" s="558">
        <v>760.02</v>
      </c>
      <c r="I17766" s="558">
        <v>515.35</v>
      </c>
      <c r="J17766" s="558">
        <v>234.32</v>
      </c>
      <c r="K17766" s="558">
        <v>10.35</v>
      </c>
      <c r="L17766" s="43">
        <v>8.4306156405990009</v>
      </c>
      <c r="M17766" s="43">
        <v>11.500781075652757</v>
      </c>
      <c r="N17766" s="43">
        <v>5.2727272727272725</v>
      </c>
      <c r="O17766" s="43">
        <v>11.503164556962025</v>
      </c>
      <c r="P17766" s="559"/>
      <c r="Q17766" s="559"/>
      <c r="R17766" s="559">
        <v>5</v>
      </c>
    </row>
    <row r="17767" spans="1:18" ht="84">
      <c r="A17767" s="555">
        <v>207</v>
      </c>
      <c r="B17767" s="552" t="s">
        <v>31993</v>
      </c>
      <c r="C17767" s="556" t="s">
        <v>31994</v>
      </c>
      <c r="D17767" s="557">
        <v>24.9</v>
      </c>
      <c r="E17767" s="557">
        <v>12.64</v>
      </c>
      <c r="F17767" s="557">
        <v>12.01</v>
      </c>
      <c r="G17767" s="557">
        <v>0.25</v>
      </c>
      <c r="H17767" s="558">
        <v>211.56</v>
      </c>
      <c r="I17767" s="558">
        <v>145.35</v>
      </c>
      <c r="J17767" s="558">
        <v>63.33</v>
      </c>
      <c r="K17767" s="558">
        <v>2.88</v>
      </c>
      <c r="L17767" s="43">
        <v>8.4963855421686745</v>
      </c>
      <c r="M17767" s="43">
        <v>11.499208860759493</v>
      </c>
      <c r="N17767" s="43">
        <v>5.2731057452123231</v>
      </c>
      <c r="O17767" s="43">
        <v>11.503164556962025</v>
      </c>
      <c r="P17767" s="559"/>
      <c r="Q17767" s="559"/>
      <c r="R17767" s="559">
        <v>5</v>
      </c>
    </row>
    <row r="17768" spans="1:18" ht="84">
      <c r="A17768" s="555">
        <v>208</v>
      </c>
      <c r="B17768" s="552" t="s">
        <v>31995</v>
      </c>
      <c r="C17768" s="556" t="s">
        <v>31996</v>
      </c>
      <c r="D17768" s="557">
        <v>29.65</v>
      </c>
      <c r="E17768" s="557">
        <v>14.94</v>
      </c>
      <c r="F17768" s="557">
        <v>14.41</v>
      </c>
      <c r="G17768" s="557">
        <v>0.3</v>
      </c>
      <c r="H17768" s="558">
        <v>251.23</v>
      </c>
      <c r="I17768" s="558">
        <v>171.78</v>
      </c>
      <c r="J17768" s="558">
        <v>76</v>
      </c>
      <c r="K17768" s="558">
        <v>3.45</v>
      </c>
      <c r="L17768" s="43">
        <v>8.4731871838111292</v>
      </c>
      <c r="M17768" s="43">
        <v>11.497991967871487</v>
      </c>
      <c r="N17768" s="43">
        <v>5.2741151977793201</v>
      </c>
      <c r="O17768" s="43">
        <v>11.503164556962025</v>
      </c>
      <c r="P17768" s="559"/>
      <c r="Q17768" s="559"/>
      <c r="R17768" s="559">
        <v>5</v>
      </c>
    </row>
    <row r="17769" spans="1:18" ht="84">
      <c r="A17769" s="555">
        <v>209</v>
      </c>
      <c r="B17769" s="552" t="s">
        <v>31997</v>
      </c>
      <c r="C17769" s="556" t="s">
        <v>31998</v>
      </c>
      <c r="D17769" s="557">
        <v>41.51</v>
      </c>
      <c r="E17769" s="557">
        <v>20.68</v>
      </c>
      <c r="F17769" s="557">
        <v>20.420000000000002</v>
      </c>
      <c r="G17769" s="557">
        <v>0.41</v>
      </c>
      <c r="H17769" s="558">
        <v>350.23</v>
      </c>
      <c r="I17769" s="558">
        <v>237.85</v>
      </c>
      <c r="J17769" s="558">
        <v>107.66</v>
      </c>
      <c r="K17769" s="558">
        <v>4.72</v>
      </c>
      <c r="L17769" s="43">
        <v>8.4372440375813067</v>
      </c>
      <c r="M17769" s="43">
        <v>11.501450676982591</v>
      </c>
      <c r="N17769" s="43">
        <v>5.2722820763956895</v>
      </c>
      <c r="O17769" s="43">
        <v>11.503164556962025</v>
      </c>
      <c r="P17769" s="559"/>
      <c r="Q17769" s="559"/>
      <c r="R17769" s="559">
        <v>5</v>
      </c>
    </row>
    <row r="17770" spans="1:18" ht="84">
      <c r="A17770" s="555">
        <v>210</v>
      </c>
      <c r="B17770" s="552" t="s">
        <v>31999</v>
      </c>
      <c r="C17770" s="556" t="s">
        <v>32000</v>
      </c>
      <c r="D17770" s="557">
        <v>53.38</v>
      </c>
      <c r="E17770" s="557">
        <v>26.43</v>
      </c>
      <c r="F17770" s="557">
        <v>26.42</v>
      </c>
      <c r="G17770" s="557">
        <v>0.53</v>
      </c>
      <c r="H17770" s="558">
        <v>449.35</v>
      </c>
      <c r="I17770" s="558">
        <v>303.92</v>
      </c>
      <c r="J17770" s="558">
        <v>139.33000000000001</v>
      </c>
      <c r="K17770" s="558">
        <v>6.1</v>
      </c>
      <c r="L17770" s="43">
        <v>8.4179467965530161</v>
      </c>
      <c r="M17770" s="43">
        <v>11.499054105183504</v>
      </c>
      <c r="N17770" s="43">
        <v>5.2736563209689633</v>
      </c>
      <c r="O17770" s="43">
        <v>11.503164556962025</v>
      </c>
      <c r="P17770" s="559"/>
      <c r="Q17770" s="559"/>
      <c r="R17770" s="559">
        <v>5</v>
      </c>
    </row>
    <row r="17771" spans="1:18" ht="84">
      <c r="A17771" s="555">
        <v>211</v>
      </c>
      <c r="B17771" s="552" t="s">
        <v>32001</v>
      </c>
      <c r="C17771" s="556" t="s">
        <v>32002</v>
      </c>
      <c r="D17771" s="557">
        <v>62.87</v>
      </c>
      <c r="E17771" s="557">
        <v>31.02</v>
      </c>
      <c r="F17771" s="557">
        <v>31.23</v>
      </c>
      <c r="G17771" s="557">
        <v>0.62</v>
      </c>
      <c r="H17771" s="558">
        <v>528.57000000000005</v>
      </c>
      <c r="I17771" s="558">
        <v>356.78</v>
      </c>
      <c r="J17771" s="558">
        <v>164.66</v>
      </c>
      <c r="K17771" s="558">
        <v>7.13</v>
      </c>
      <c r="L17771" s="43">
        <v>8.4073484968983632</v>
      </c>
      <c r="M17771" s="43">
        <v>11.50161186331399</v>
      </c>
      <c r="N17771" s="43">
        <v>5.2724943964137045</v>
      </c>
      <c r="O17771" s="43">
        <v>11.503164556962025</v>
      </c>
      <c r="P17771" s="559"/>
      <c r="Q17771" s="559"/>
      <c r="R17771" s="559">
        <v>5</v>
      </c>
    </row>
    <row r="17772" spans="1:18" ht="84">
      <c r="A17772" s="555">
        <v>212</v>
      </c>
      <c r="B17772" s="552" t="s">
        <v>32003</v>
      </c>
      <c r="C17772" s="556" t="s">
        <v>32004</v>
      </c>
      <c r="D17772" s="557">
        <v>75.91</v>
      </c>
      <c r="E17772" s="557">
        <v>37.92</v>
      </c>
      <c r="F17772" s="557">
        <v>37.229999999999997</v>
      </c>
      <c r="G17772" s="557">
        <v>0.76</v>
      </c>
      <c r="H17772" s="558">
        <v>641.12</v>
      </c>
      <c r="I17772" s="558">
        <v>436.06</v>
      </c>
      <c r="J17772" s="558">
        <v>196.32</v>
      </c>
      <c r="K17772" s="558">
        <v>8.74</v>
      </c>
      <c r="L17772" s="43">
        <v>8.4457910683704398</v>
      </c>
      <c r="M17772" s="43">
        <v>11.499472573839663</v>
      </c>
      <c r="N17772" s="43">
        <v>5.2731668009669628</v>
      </c>
      <c r="O17772" s="43">
        <v>11.503164556962025</v>
      </c>
      <c r="P17772" s="559"/>
      <c r="Q17772" s="559"/>
      <c r="R17772" s="559">
        <v>5</v>
      </c>
    </row>
    <row r="17773" spans="1:18" ht="84">
      <c r="A17773" s="555">
        <v>213</v>
      </c>
      <c r="B17773" s="552" t="s">
        <v>32005</v>
      </c>
      <c r="C17773" s="556" t="s">
        <v>32006</v>
      </c>
      <c r="D17773" s="557">
        <v>87.77</v>
      </c>
      <c r="E17773" s="557">
        <v>43.66</v>
      </c>
      <c r="F17773" s="557">
        <v>43.24</v>
      </c>
      <c r="G17773" s="557">
        <v>0.87</v>
      </c>
      <c r="H17773" s="558">
        <v>740.13</v>
      </c>
      <c r="I17773" s="558">
        <v>502.13</v>
      </c>
      <c r="J17773" s="558">
        <v>227.99</v>
      </c>
      <c r="K17773" s="558">
        <v>10.01</v>
      </c>
      <c r="L17773" s="43">
        <v>8.4326079526033961</v>
      </c>
      <c r="M17773" s="43">
        <v>11.500916170407697</v>
      </c>
      <c r="N17773" s="43">
        <v>5.2726641998149857</v>
      </c>
      <c r="O17773" s="43">
        <v>11.503164556962025</v>
      </c>
      <c r="P17773" s="559"/>
      <c r="Q17773" s="559"/>
      <c r="R17773" s="559">
        <v>5</v>
      </c>
    </row>
    <row r="17774" spans="1:18" ht="84">
      <c r="A17774" s="555">
        <v>214</v>
      </c>
      <c r="B17774" s="552" t="s">
        <v>32007</v>
      </c>
      <c r="C17774" s="556" t="s">
        <v>32008</v>
      </c>
      <c r="D17774" s="557">
        <v>97.27</v>
      </c>
      <c r="E17774" s="557">
        <v>48.26</v>
      </c>
      <c r="F17774" s="557">
        <v>48.04</v>
      </c>
      <c r="G17774" s="557">
        <v>0.97</v>
      </c>
      <c r="H17774" s="558">
        <v>819.47</v>
      </c>
      <c r="I17774" s="558">
        <v>554.99</v>
      </c>
      <c r="J17774" s="558">
        <v>253.32</v>
      </c>
      <c r="K17774" s="558">
        <v>11.16</v>
      </c>
      <c r="L17774" s="43">
        <v>8.4246941503032797</v>
      </c>
      <c r="M17774" s="43">
        <v>11.5</v>
      </c>
      <c r="N17774" s="43">
        <v>5.2731057452123231</v>
      </c>
      <c r="O17774" s="43">
        <v>11.503164556962025</v>
      </c>
      <c r="P17774" s="559"/>
      <c r="Q17774" s="559"/>
      <c r="R17774" s="559">
        <v>5</v>
      </c>
    </row>
    <row r="17775" spans="1:18" ht="84">
      <c r="A17775" s="555">
        <v>215</v>
      </c>
      <c r="B17775" s="552" t="s">
        <v>32009</v>
      </c>
      <c r="C17775" s="556" t="s">
        <v>32010</v>
      </c>
      <c r="D17775" s="557">
        <v>34.39</v>
      </c>
      <c r="E17775" s="557">
        <v>17.239999999999998</v>
      </c>
      <c r="F17775" s="557">
        <v>16.809999999999999</v>
      </c>
      <c r="G17775" s="557">
        <v>0.34</v>
      </c>
      <c r="H17775" s="558">
        <v>290.77999999999997</v>
      </c>
      <c r="I17775" s="558">
        <v>198.21</v>
      </c>
      <c r="J17775" s="558">
        <v>88.66</v>
      </c>
      <c r="K17775" s="558">
        <v>3.91</v>
      </c>
      <c r="L17775" s="43">
        <v>8.4553649316661819</v>
      </c>
      <c r="M17775" s="43">
        <v>11.497099767981441</v>
      </c>
      <c r="N17775" s="43">
        <v>5.2742415229030337</v>
      </c>
      <c r="O17775" s="43">
        <v>11.503164556962025</v>
      </c>
      <c r="P17775" s="559"/>
      <c r="Q17775" s="559"/>
      <c r="R17775" s="559">
        <v>5</v>
      </c>
    </row>
    <row r="17776" spans="1:18" ht="84">
      <c r="A17776" s="555">
        <v>216</v>
      </c>
      <c r="B17776" s="552" t="s">
        <v>32011</v>
      </c>
      <c r="C17776" s="556" t="s">
        <v>32012</v>
      </c>
      <c r="D17776" s="557">
        <v>48.63</v>
      </c>
      <c r="E17776" s="557">
        <v>24.13</v>
      </c>
      <c r="F17776" s="557">
        <v>24.02</v>
      </c>
      <c r="G17776" s="557">
        <v>0.48</v>
      </c>
      <c r="H17776" s="558">
        <v>409.67</v>
      </c>
      <c r="I17776" s="558">
        <v>277.49</v>
      </c>
      <c r="J17776" s="558">
        <v>126.66</v>
      </c>
      <c r="K17776" s="558">
        <v>5.52</v>
      </c>
      <c r="L17776" s="43">
        <v>8.4242237302076912</v>
      </c>
      <c r="M17776" s="43">
        <v>11.499792789059263</v>
      </c>
      <c r="N17776" s="43">
        <v>5.2731057452123231</v>
      </c>
      <c r="O17776" s="43">
        <v>11.503164556962025</v>
      </c>
      <c r="P17776" s="559"/>
      <c r="Q17776" s="559"/>
      <c r="R17776" s="559">
        <v>5</v>
      </c>
    </row>
    <row r="17777" spans="1:18" ht="84">
      <c r="A17777" s="555">
        <v>217</v>
      </c>
      <c r="B17777" s="552" t="s">
        <v>32013</v>
      </c>
      <c r="C17777" s="556" t="s">
        <v>32014</v>
      </c>
      <c r="D17777" s="557">
        <v>60.5</v>
      </c>
      <c r="E17777" s="557">
        <v>29.87</v>
      </c>
      <c r="F17777" s="557">
        <v>30.03</v>
      </c>
      <c r="G17777" s="557">
        <v>0.6</v>
      </c>
      <c r="H17777" s="558">
        <v>508.79</v>
      </c>
      <c r="I17777" s="558">
        <v>343.56</v>
      </c>
      <c r="J17777" s="558">
        <v>158.33000000000001</v>
      </c>
      <c r="K17777" s="558">
        <v>6.9</v>
      </c>
      <c r="L17777" s="43">
        <v>8.4097520661157024</v>
      </c>
      <c r="M17777" s="43">
        <v>11.501841312353532</v>
      </c>
      <c r="N17777" s="43">
        <v>5.2723942723942727</v>
      </c>
      <c r="O17777" s="43">
        <v>11.503164556962025</v>
      </c>
      <c r="P17777" s="559"/>
      <c r="Q17777" s="559"/>
      <c r="R17777" s="559">
        <v>5</v>
      </c>
    </row>
    <row r="17778" spans="1:18" ht="84">
      <c r="A17778" s="555">
        <v>218</v>
      </c>
      <c r="B17778" s="552" t="s">
        <v>32015</v>
      </c>
      <c r="C17778" s="556" t="s">
        <v>32016</v>
      </c>
      <c r="D17778" s="557">
        <v>75.91</v>
      </c>
      <c r="E17778" s="557">
        <v>37.92</v>
      </c>
      <c r="F17778" s="557">
        <v>37.229999999999997</v>
      </c>
      <c r="G17778" s="557">
        <v>0.76</v>
      </c>
      <c r="H17778" s="558">
        <v>641.12</v>
      </c>
      <c r="I17778" s="558">
        <v>436.06</v>
      </c>
      <c r="J17778" s="558">
        <v>196.32</v>
      </c>
      <c r="K17778" s="558">
        <v>8.74</v>
      </c>
      <c r="L17778" s="43">
        <v>8.4457910683704398</v>
      </c>
      <c r="M17778" s="43">
        <v>11.499472573839663</v>
      </c>
      <c r="N17778" s="43">
        <v>5.2731668009669628</v>
      </c>
      <c r="O17778" s="43">
        <v>11.503164556962025</v>
      </c>
      <c r="P17778" s="559"/>
      <c r="Q17778" s="559"/>
      <c r="R17778" s="559">
        <v>5</v>
      </c>
    </row>
    <row r="17779" spans="1:18" ht="84">
      <c r="A17779" s="555">
        <v>219</v>
      </c>
      <c r="B17779" s="552" t="s">
        <v>32017</v>
      </c>
      <c r="C17779" s="556" t="s">
        <v>32018</v>
      </c>
      <c r="D17779" s="557">
        <v>87.77</v>
      </c>
      <c r="E17779" s="557">
        <v>43.66</v>
      </c>
      <c r="F17779" s="557">
        <v>43.24</v>
      </c>
      <c r="G17779" s="557">
        <v>0.87</v>
      </c>
      <c r="H17779" s="558">
        <v>740.13</v>
      </c>
      <c r="I17779" s="558">
        <v>502.13</v>
      </c>
      <c r="J17779" s="558">
        <v>227.99</v>
      </c>
      <c r="K17779" s="558">
        <v>10.01</v>
      </c>
      <c r="L17779" s="43">
        <v>8.4326079526033961</v>
      </c>
      <c r="M17779" s="43">
        <v>11.500916170407697</v>
      </c>
      <c r="N17779" s="43">
        <v>5.2726641998149857</v>
      </c>
      <c r="O17779" s="43">
        <v>11.503164556962025</v>
      </c>
      <c r="P17779" s="559"/>
      <c r="Q17779" s="559"/>
      <c r="R17779" s="559">
        <v>5</v>
      </c>
    </row>
    <row r="17780" spans="1:18" ht="84">
      <c r="A17780" s="555">
        <v>220</v>
      </c>
      <c r="B17780" s="552" t="s">
        <v>32019</v>
      </c>
      <c r="C17780" s="556" t="s">
        <v>32020</v>
      </c>
      <c r="D17780" s="557">
        <v>99.64</v>
      </c>
      <c r="E17780" s="557">
        <v>49.41</v>
      </c>
      <c r="F17780" s="557">
        <v>49.24</v>
      </c>
      <c r="G17780" s="557">
        <v>0.99</v>
      </c>
      <c r="H17780" s="558">
        <v>839.24</v>
      </c>
      <c r="I17780" s="558">
        <v>568.20000000000005</v>
      </c>
      <c r="J17780" s="558">
        <v>259.64999999999998</v>
      </c>
      <c r="K17780" s="558">
        <v>11.39</v>
      </c>
      <c r="L17780" s="43">
        <v>8.4227217984745089</v>
      </c>
      <c r="M17780" s="43">
        <v>11.499696417729206</v>
      </c>
      <c r="N17780" s="43">
        <v>5.2731519090170584</v>
      </c>
      <c r="O17780" s="43">
        <v>11.503164556962025</v>
      </c>
      <c r="P17780" s="559"/>
      <c r="Q17780" s="559"/>
      <c r="R17780" s="559">
        <v>5</v>
      </c>
    </row>
    <row r="17781" spans="1:18" ht="84">
      <c r="A17781" s="555">
        <v>221</v>
      </c>
      <c r="B17781" s="552" t="s">
        <v>32021</v>
      </c>
      <c r="C17781" s="556" t="s">
        <v>32022</v>
      </c>
      <c r="D17781" s="557">
        <v>113.88</v>
      </c>
      <c r="E17781" s="557">
        <v>56.3</v>
      </c>
      <c r="F17781" s="557">
        <v>56.45</v>
      </c>
      <c r="G17781" s="557">
        <v>1.1299999999999999</v>
      </c>
      <c r="H17781" s="558">
        <v>958.14</v>
      </c>
      <c r="I17781" s="558">
        <v>647.49</v>
      </c>
      <c r="J17781" s="558">
        <v>297.64999999999998</v>
      </c>
      <c r="K17781" s="558">
        <v>13</v>
      </c>
      <c r="L17781" s="43">
        <v>8.4135932560590092</v>
      </c>
      <c r="M17781" s="43">
        <v>11.500710479573714</v>
      </c>
      <c r="N17781" s="43">
        <v>5.272807794508414</v>
      </c>
      <c r="O17781" s="43">
        <v>11.503164556962025</v>
      </c>
      <c r="P17781" s="559"/>
      <c r="Q17781" s="559"/>
      <c r="R17781" s="559">
        <v>5</v>
      </c>
    </row>
    <row r="17782" spans="1:18" ht="84">
      <c r="A17782" s="555">
        <v>222</v>
      </c>
      <c r="B17782" s="552" t="s">
        <v>32023</v>
      </c>
      <c r="C17782" s="556" t="s">
        <v>32024</v>
      </c>
      <c r="D17782" s="557">
        <v>39.14</v>
      </c>
      <c r="E17782" s="557">
        <v>19.53</v>
      </c>
      <c r="F17782" s="557">
        <v>19.22</v>
      </c>
      <c r="G17782" s="557">
        <v>0.39</v>
      </c>
      <c r="H17782" s="558">
        <v>330.46</v>
      </c>
      <c r="I17782" s="558">
        <v>224.64</v>
      </c>
      <c r="J17782" s="558">
        <v>101.33</v>
      </c>
      <c r="K17782" s="558">
        <v>4.49</v>
      </c>
      <c r="L17782" s="43">
        <v>8.4430250383239649</v>
      </c>
      <c r="M17782" s="43">
        <v>11.502304147465436</v>
      </c>
      <c r="N17782" s="43">
        <v>5.2721123829344432</v>
      </c>
      <c r="O17782" s="43">
        <v>11.503164556962025</v>
      </c>
      <c r="P17782" s="559"/>
      <c r="Q17782" s="559"/>
      <c r="R17782" s="559">
        <v>5</v>
      </c>
    </row>
    <row r="17783" spans="1:18" ht="84">
      <c r="A17783" s="555">
        <v>223</v>
      </c>
      <c r="B17783" s="552" t="s">
        <v>32025</v>
      </c>
      <c r="C17783" s="556" t="s">
        <v>32026</v>
      </c>
      <c r="D17783" s="557">
        <v>53.38</v>
      </c>
      <c r="E17783" s="557">
        <v>26.43</v>
      </c>
      <c r="F17783" s="557">
        <v>26.42</v>
      </c>
      <c r="G17783" s="557">
        <v>0.53</v>
      </c>
      <c r="H17783" s="558">
        <v>449.35</v>
      </c>
      <c r="I17783" s="558">
        <v>303.92</v>
      </c>
      <c r="J17783" s="558">
        <v>139.33000000000001</v>
      </c>
      <c r="K17783" s="558">
        <v>6.1</v>
      </c>
      <c r="L17783" s="43">
        <v>8.4179467965530161</v>
      </c>
      <c r="M17783" s="43">
        <v>11.499054105183504</v>
      </c>
      <c r="N17783" s="43">
        <v>5.2736563209689633</v>
      </c>
      <c r="O17783" s="43">
        <v>11.503164556962025</v>
      </c>
      <c r="P17783" s="559"/>
      <c r="Q17783" s="559"/>
      <c r="R17783" s="559">
        <v>5</v>
      </c>
    </row>
    <row r="17784" spans="1:18" ht="84">
      <c r="A17784" s="555">
        <v>224</v>
      </c>
      <c r="B17784" s="552" t="s">
        <v>32027</v>
      </c>
      <c r="C17784" s="556" t="s">
        <v>32028</v>
      </c>
      <c r="D17784" s="557">
        <v>67.62</v>
      </c>
      <c r="E17784" s="557">
        <v>33.32</v>
      </c>
      <c r="F17784" s="557">
        <v>33.630000000000003</v>
      </c>
      <c r="G17784" s="557">
        <v>0.67</v>
      </c>
      <c r="H17784" s="558">
        <v>568.24</v>
      </c>
      <c r="I17784" s="558">
        <v>383.21</v>
      </c>
      <c r="J17784" s="558">
        <v>177.32</v>
      </c>
      <c r="K17784" s="558">
        <v>7.71</v>
      </c>
      <c r="L17784" s="43">
        <v>8.403430937592427</v>
      </c>
      <c r="M17784" s="43">
        <v>11.500900360144056</v>
      </c>
      <c r="N17784" s="43">
        <v>5.2726732084448402</v>
      </c>
      <c r="O17784" s="43">
        <v>11.503164556962025</v>
      </c>
      <c r="P17784" s="559"/>
      <c r="Q17784" s="559"/>
      <c r="R17784" s="559">
        <v>5</v>
      </c>
    </row>
    <row r="17785" spans="1:18" ht="84">
      <c r="A17785" s="555">
        <v>225</v>
      </c>
      <c r="B17785" s="552" t="s">
        <v>32029</v>
      </c>
      <c r="C17785" s="556" t="s">
        <v>32030</v>
      </c>
      <c r="D17785" s="557">
        <v>83.02</v>
      </c>
      <c r="E17785" s="557">
        <v>41.36</v>
      </c>
      <c r="F17785" s="557">
        <v>40.83</v>
      </c>
      <c r="G17785" s="557">
        <v>0.83</v>
      </c>
      <c r="H17785" s="558">
        <v>700.57</v>
      </c>
      <c r="I17785" s="558">
        <v>475.7</v>
      </c>
      <c r="J17785" s="558">
        <v>215.32</v>
      </c>
      <c r="K17785" s="558">
        <v>9.5500000000000007</v>
      </c>
      <c r="L17785" s="43">
        <v>8.4385690195133716</v>
      </c>
      <c r="M17785" s="43">
        <v>11.501450676982591</v>
      </c>
      <c r="N17785" s="43">
        <v>5.2735733529267694</v>
      </c>
      <c r="O17785" s="43">
        <v>11.503164556962025</v>
      </c>
      <c r="P17785" s="559"/>
      <c r="Q17785" s="559"/>
      <c r="R17785" s="559">
        <v>5</v>
      </c>
    </row>
    <row r="17786" spans="1:18" ht="84">
      <c r="A17786" s="555">
        <v>226</v>
      </c>
      <c r="B17786" s="552" t="s">
        <v>32031</v>
      </c>
      <c r="C17786" s="556" t="s">
        <v>32032</v>
      </c>
      <c r="D17786" s="557">
        <v>97.27</v>
      </c>
      <c r="E17786" s="557">
        <v>48.26</v>
      </c>
      <c r="F17786" s="557">
        <v>48.04</v>
      </c>
      <c r="G17786" s="557">
        <v>0.97</v>
      </c>
      <c r="H17786" s="558">
        <v>819.47</v>
      </c>
      <c r="I17786" s="558">
        <v>554.99</v>
      </c>
      <c r="J17786" s="558">
        <v>253.32</v>
      </c>
      <c r="K17786" s="558">
        <v>11.16</v>
      </c>
      <c r="L17786" s="43">
        <v>8.4246941503032797</v>
      </c>
      <c r="M17786" s="43">
        <v>11.5</v>
      </c>
      <c r="N17786" s="43">
        <v>5.2731057452123231</v>
      </c>
      <c r="O17786" s="43">
        <v>11.503164556962025</v>
      </c>
      <c r="P17786" s="559"/>
      <c r="Q17786" s="559"/>
      <c r="R17786" s="559">
        <v>5</v>
      </c>
    </row>
    <row r="17787" spans="1:18" ht="84">
      <c r="A17787" s="555">
        <v>227</v>
      </c>
      <c r="B17787" s="552" t="s">
        <v>32033</v>
      </c>
      <c r="C17787" s="556" t="s">
        <v>32034</v>
      </c>
      <c r="D17787" s="557">
        <v>115.05</v>
      </c>
      <c r="E17787" s="557">
        <v>57.45</v>
      </c>
      <c r="F17787" s="557">
        <v>56.45</v>
      </c>
      <c r="G17787" s="557">
        <v>1.1499999999999999</v>
      </c>
      <c r="H17787" s="558">
        <v>971.58</v>
      </c>
      <c r="I17787" s="558">
        <v>660.7</v>
      </c>
      <c r="J17787" s="558">
        <v>297.64999999999998</v>
      </c>
      <c r="K17787" s="558">
        <v>13.23</v>
      </c>
      <c r="L17787" s="43">
        <v>8.4448500651890495</v>
      </c>
      <c r="M17787" s="43">
        <v>11.500435161009573</v>
      </c>
      <c r="N17787" s="43">
        <v>5.272807794508414</v>
      </c>
      <c r="O17787" s="43">
        <v>11.503164556962025</v>
      </c>
      <c r="P17787" s="559"/>
      <c r="Q17787" s="559"/>
      <c r="R17787" s="559">
        <v>5</v>
      </c>
    </row>
    <row r="17788" spans="1:18" ht="84">
      <c r="A17788" s="555">
        <v>228</v>
      </c>
      <c r="B17788" s="552" t="s">
        <v>32035</v>
      </c>
      <c r="C17788" s="556" t="s">
        <v>32036</v>
      </c>
      <c r="D17788" s="557">
        <v>129.28</v>
      </c>
      <c r="E17788" s="557">
        <v>64.34</v>
      </c>
      <c r="F17788" s="557">
        <v>63.65</v>
      </c>
      <c r="G17788" s="557">
        <v>1.29</v>
      </c>
      <c r="H17788" s="558">
        <v>1090.47</v>
      </c>
      <c r="I17788" s="558">
        <v>739.98</v>
      </c>
      <c r="J17788" s="558">
        <v>335.65</v>
      </c>
      <c r="K17788" s="558">
        <v>14.84</v>
      </c>
      <c r="L17788" s="43">
        <v>8.4349474009900991</v>
      </c>
      <c r="M17788" s="43">
        <v>11.501087970158533</v>
      </c>
      <c r="N17788" s="43">
        <v>5.2733699921445405</v>
      </c>
      <c r="O17788" s="43">
        <v>11.503164556962025</v>
      </c>
      <c r="P17788" s="559"/>
      <c r="Q17788" s="559"/>
      <c r="R17788" s="559">
        <v>5</v>
      </c>
    </row>
    <row r="17789" spans="1:18" ht="84">
      <c r="A17789" s="555">
        <v>229</v>
      </c>
      <c r="B17789" s="552" t="s">
        <v>32037</v>
      </c>
      <c r="C17789" s="556" t="s">
        <v>32038</v>
      </c>
      <c r="D17789" s="557">
        <v>150.63999999999999</v>
      </c>
      <c r="E17789" s="557">
        <v>74.69</v>
      </c>
      <c r="F17789" s="557">
        <v>74.459999999999994</v>
      </c>
      <c r="G17789" s="557">
        <v>1.49</v>
      </c>
      <c r="H17789" s="558">
        <v>1268.7</v>
      </c>
      <c r="I17789" s="558">
        <v>858.91</v>
      </c>
      <c r="J17789" s="558">
        <v>392.65</v>
      </c>
      <c r="K17789" s="558">
        <v>17.14</v>
      </c>
      <c r="L17789" s="43">
        <v>8.4220658523632519</v>
      </c>
      <c r="M17789" s="43">
        <v>11.499665283170438</v>
      </c>
      <c r="N17789" s="43">
        <v>5.2733011012624234</v>
      </c>
      <c r="O17789" s="43">
        <v>11.503164556962025</v>
      </c>
      <c r="P17789" s="559"/>
      <c r="Q17789" s="559"/>
      <c r="R17789" s="559">
        <v>5</v>
      </c>
    </row>
    <row r="17790" spans="1:18" ht="12.75" customHeight="1">
      <c r="A17790" s="628" t="s">
        <v>32039</v>
      </c>
      <c r="B17790" s="629"/>
      <c r="C17790" s="629"/>
      <c r="D17790" s="629"/>
      <c r="E17790" s="629"/>
      <c r="F17790" s="629"/>
      <c r="G17790" s="629"/>
      <c r="H17790" s="629"/>
      <c r="I17790" s="629"/>
      <c r="J17790" s="629"/>
      <c r="K17790" s="629"/>
      <c r="L17790" s="629"/>
      <c r="M17790" s="629"/>
      <c r="N17790" s="629"/>
      <c r="O17790" s="629"/>
      <c r="P17790" s="629"/>
      <c r="Q17790" s="629"/>
      <c r="R17790" s="629"/>
    </row>
    <row r="17791" spans="1:18" ht="84">
      <c r="A17791" s="555">
        <v>230</v>
      </c>
      <c r="B17791" s="552" t="s">
        <v>32040</v>
      </c>
      <c r="C17791" s="556" t="s">
        <v>32041</v>
      </c>
      <c r="D17791" s="557">
        <v>43.89</v>
      </c>
      <c r="E17791" s="557">
        <v>21.83</v>
      </c>
      <c r="F17791" s="557">
        <v>21.62</v>
      </c>
      <c r="G17791" s="557">
        <v>0.44</v>
      </c>
      <c r="H17791" s="558">
        <v>370.12</v>
      </c>
      <c r="I17791" s="558">
        <v>251.07</v>
      </c>
      <c r="J17791" s="558">
        <v>113.99</v>
      </c>
      <c r="K17791" s="558">
        <v>5.0599999999999996</v>
      </c>
      <c r="L17791" s="43">
        <v>8.432900432900432</v>
      </c>
      <c r="M17791" s="43">
        <v>11.50114521300962</v>
      </c>
      <c r="N17791" s="43">
        <v>5.2724329324699344</v>
      </c>
      <c r="O17791" s="43">
        <v>11.503164556962025</v>
      </c>
      <c r="P17791" s="559"/>
      <c r="Q17791" s="559"/>
      <c r="R17791" s="559">
        <v>6</v>
      </c>
    </row>
    <row r="17792" spans="1:18" ht="84">
      <c r="A17792" s="555">
        <v>231</v>
      </c>
      <c r="B17792" s="552" t="s">
        <v>32042</v>
      </c>
      <c r="C17792" s="556" t="s">
        <v>32043</v>
      </c>
      <c r="D17792" s="557">
        <v>60.5</v>
      </c>
      <c r="E17792" s="557">
        <v>29.87</v>
      </c>
      <c r="F17792" s="557">
        <v>30.03</v>
      </c>
      <c r="G17792" s="557">
        <v>0.6</v>
      </c>
      <c r="H17792" s="558">
        <v>508.79</v>
      </c>
      <c r="I17792" s="558">
        <v>343.56</v>
      </c>
      <c r="J17792" s="558">
        <v>158.33000000000001</v>
      </c>
      <c r="K17792" s="558">
        <v>6.9</v>
      </c>
      <c r="L17792" s="43">
        <v>8.4097520661157024</v>
      </c>
      <c r="M17792" s="43">
        <v>11.501841312353532</v>
      </c>
      <c r="N17792" s="43">
        <v>5.2723942723942727</v>
      </c>
      <c r="O17792" s="43">
        <v>11.503164556962025</v>
      </c>
      <c r="P17792" s="559"/>
      <c r="Q17792" s="559"/>
      <c r="R17792" s="559">
        <v>6</v>
      </c>
    </row>
    <row r="17793" spans="1:18" ht="84">
      <c r="A17793" s="555">
        <v>232</v>
      </c>
      <c r="B17793" s="552" t="s">
        <v>32044</v>
      </c>
      <c r="C17793" s="556" t="s">
        <v>32045</v>
      </c>
      <c r="D17793" s="557">
        <v>78.28</v>
      </c>
      <c r="E17793" s="557">
        <v>39.07</v>
      </c>
      <c r="F17793" s="557">
        <v>38.43</v>
      </c>
      <c r="G17793" s="557">
        <v>0.78</v>
      </c>
      <c r="H17793" s="558">
        <v>660.91</v>
      </c>
      <c r="I17793" s="558">
        <v>449.28</v>
      </c>
      <c r="J17793" s="558">
        <v>202.66</v>
      </c>
      <c r="K17793" s="558">
        <v>8.9700000000000006</v>
      </c>
      <c r="L17793" s="43">
        <v>8.4428972917731215</v>
      </c>
      <c r="M17793" s="43">
        <v>11.499360122856411</v>
      </c>
      <c r="N17793" s="43">
        <v>5.2734842570908143</v>
      </c>
      <c r="O17793" s="43">
        <v>11.503164556962025</v>
      </c>
      <c r="P17793" s="559"/>
      <c r="Q17793" s="559"/>
      <c r="R17793" s="559">
        <v>6</v>
      </c>
    </row>
    <row r="17794" spans="1:18" ht="84">
      <c r="A17794" s="555">
        <v>233</v>
      </c>
      <c r="B17794" s="552" t="s">
        <v>32046</v>
      </c>
      <c r="C17794" s="556" t="s">
        <v>32047</v>
      </c>
      <c r="D17794" s="557">
        <v>94.89</v>
      </c>
      <c r="E17794" s="557">
        <v>47.11</v>
      </c>
      <c r="F17794" s="557">
        <v>46.84</v>
      </c>
      <c r="G17794" s="557">
        <v>0.94</v>
      </c>
      <c r="H17794" s="558">
        <v>799.57</v>
      </c>
      <c r="I17794" s="558">
        <v>541.77</v>
      </c>
      <c r="J17794" s="558">
        <v>246.99</v>
      </c>
      <c r="K17794" s="558">
        <v>10.81</v>
      </c>
      <c r="L17794" s="43">
        <v>8.4262830646011171</v>
      </c>
      <c r="M17794" s="43">
        <v>11.500106134578646</v>
      </c>
      <c r="N17794" s="43">
        <v>5.2730572160546538</v>
      </c>
      <c r="O17794" s="43">
        <v>11.503164556962025</v>
      </c>
      <c r="P17794" s="559"/>
      <c r="Q17794" s="559"/>
      <c r="R17794" s="559">
        <v>6</v>
      </c>
    </row>
    <row r="17795" spans="1:18" ht="84">
      <c r="A17795" s="555">
        <v>234</v>
      </c>
      <c r="B17795" s="552" t="s">
        <v>32048</v>
      </c>
      <c r="C17795" s="556" t="s">
        <v>32049</v>
      </c>
      <c r="D17795" s="557">
        <v>111.5</v>
      </c>
      <c r="E17795" s="557">
        <v>55.15</v>
      </c>
      <c r="F17795" s="557">
        <v>55.25</v>
      </c>
      <c r="G17795" s="557">
        <v>1.1000000000000001</v>
      </c>
      <c r="H17795" s="558">
        <v>938.24</v>
      </c>
      <c r="I17795" s="558">
        <v>634.27</v>
      </c>
      <c r="J17795" s="558">
        <v>291.32</v>
      </c>
      <c r="K17795" s="558">
        <v>12.65</v>
      </c>
      <c r="L17795" s="43">
        <v>8.4147085201793725</v>
      </c>
      <c r="M17795" s="43">
        <v>11.50081595648232</v>
      </c>
      <c r="N17795" s="43">
        <v>5.2727601809954754</v>
      </c>
      <c r="O17795" s="43">
        <v>11.503164556962025</v>
      </c>
      <c r="P17795" s="559"/>
      <c r="Q17795" s="559"/>
      <c r="R17795" s="559">
        <v>6</v>
      </c>
    </row>
    <row r="17796" spans="1:18" ht="84">
      <c r="A17796" s="555">
        <v>235</v>
      </c>
      <c r="B17796" s="552" t="s">
        <v>32050</v>
      </c>
      <c r="C17796" s="556" t="s">
        <v>32051</v>
      </c>
      <c r="D17796" s="557">
        <v>129.28</v>
      </c>
      <c r="E17796" s="557">
        <v>64.34</v>
      </c>
      <c r="F17796" s="557">
        <v>63.65</v>
      </c>
      <c r="G17796" s="557">
        <v>1.29</v>
      </c>
      <c r="H17796" s="558">
        <v>1090.47</v>
      </c>
      <c r="I17796" s="558">
        <v>739.98</v>
      </c>
      <c r="J17796" s="558">
        <v>335.65</v>
      </c>
      <c r="K17796" s="558">
        <v>14.84</v>
      </c>
      <c r="L17796" s="43">
        <v>8.4349474009900991</v>
      </c>
      <c r="M17796" s="43">
        <v>11.501087970158533</v>
      </c>
      <c r="N17796" s="43">
        <v>5.2733699921445405</v>
      </c>
      <c r="O17796" s="43">
        <v>11.503164556962025</v>
      </c>
      <c r="P17796" s="559"/>
      <c r="Q17796" s="559"/>
      <c r="R17796" s="559">
        <v>6</v>
      </c>
    </row>
    <row r="17797" spans="1:18" ht="84">
      <c r="A17797" s="555">
        <v>236</v>
      </c>
      <c r="B17797" s="552" t="s">
        <v>32052</v>
      </c>
      <c r="C17797" s="556" t="s">
        <v>32053</v>
      </c>
      <c r="D17797" s="557">
        <v>145.9</v>
      </c>
      <c r="E17797" s="557">
        <v>72.39</v>
      </c>
      <c r="F17797" s="557">
        <v>72.06</v>
      </c>
      <c r="G17797" s="557">
        <v>1.45</v>
      </c>
      <c r="H17797" s="558">
        <v>1229.1400000000001</v>
      </c>
      <c r="I17797" s="558">
        <v>832.48</v>
      </c>
      <c r="J17797" s="558">
        <v>379.98</v>
      </c>
      <c r="K17797" s="558">
        <v>16.68</v>
      </c>
      <c r="L17797" s="43">
        <v>8.4245373543522959</v>
      </c>
      <c r="M17797" s="43">
        <v>11.499930929686421</v>
      </c>
      <c r="N17797" s="43">
        <v>5.2731057452123231</v>
      </c>
      <c r="O17797" s="43">
        <v>11.503164556962025</v>
      </c>
      <c r="P17797" s="559"/>
      <c r="Q17797" s="559"/>
      <c r="R17797" s="559">
        <v>6</v>
      </c>
    </row>
    <row r="17798" spans="1:18" ht="84">
      <c r="A17798" s="555">
        <v>237</v>
      </c>
      <c r="B17798" s="552" t="s">
        <v>32054</v>
      </c>
      <c r="C17798" s="556" t="s">
        <v>32055</v>
      </c>
      <c r="D17798" s="557">
        <v>170.8</v>
      </c>
      <c r="E17798" s="557">
        <v>85.03</v>
      </c>
      <c r="F17798" s="557">
        <v>84.07</v>
      </c>
      <c r="G17798" s="557">
        <v>1.7</v>
      </c>
      <c r="H17798" s="558">
        <v>1440.7</v>
      </c>
      <c r="I17798" s="558">
        <v>977.84</v>
      </c>
      <c r="J17798" s="558">
        <v>443.31</v>
      </c>
      <c r="K17798" s="558">
        <v>19.55</v>
      </c>
      <c r="L17798" s="43">
        <v>8.4350117096018735</v>
      </c>
      <c r="M17798" s="43">
        <v>11.499941197224508</v>
      </c>
      <c r="N17798" s="43">
        <v>5.2731057452123231</v>
      </c>
      <c r="O17798" s="43">
        <v>11.503164556962025</v>
      </c>
      <c r="P17798" s="559"/>
      <c r="Q17798" s="559"/>
      <c r="R17798" s="559">
        <v>6</v>
      </c>
    </row>
    <row r="17799" spans="1:18" ht="84">
      <c r="A17799" s="555">
        <v>238</v>
      </c>
      <c r="B17799" s="552" t="s">
        <v>32056</v>
      </c>
      <c r="C17799" s="556" t="s">
        <v>32057</v>
      </c>
      <c r="D17799" s="557">
        <v>51.01</v>
      </c>
      <c r="E17799" s="557">
        <v>25.28</v>
      </c>
      <c r="F17799" s="557">
        <v>25.22</v>
      </c>
      <c r="G17799" s="557">
        <v>0.51</v>
      </c>
      <c r="H17799" s="558">
        <v>429.57</v>
      </c>
      <c r="I17799" s="558">
        <v>290.70999999999998</v>
      </c>
      <c r="J17799" s="558">
        <v>132.99</v>
      </c>
      <c r="K17799" s="558">
        <v>5.87</v>
      </c>
      <c r="L17799" s="43">
        <v>8.4212899431484018</v>
      </c>
      <c r="M17799" s="43">
        <v>11.499604430379746</v>
      </c>
      <c r="N17799" s="43">
        <v>5.2731958762886606</v>
      </c>
      <c r="O17799" s="43">
        <v>11.503164556962025</v>
      </c>
      <c r="P17799" s="559"/>
      <c r="Q17799" s="559"/>
      <c r="R17799" s="559">
        <v>6</v>
      </c>
    </row>
    <row r="17800" spans="1:18" ht="84">
      <c r="A17800" s="555">
        <v>239</v>
      </c>
      <c r="B17800" s="552" t="s">
        <v>32058</v>
      </c>
      <c r="C17800" s="556" t="s">
        <v>32059</v>
      </c>
      <c r="D17800" s="557">
        <v>71.16</v>
      </c>
      <c r="E17800" s="557">
        <v>35.619999999999997</v>
      </c>
      <c r="F17800" s="557">
        <v>34.83</v>
      </c>
      <c r="G17800" s="557">
        <v>0.71</v>
      </c>
      <c r="H17800" s="558">
        <v>601.46</v>
      </c>
      <c r="I17800" s="558">
        <v>409.63</v>
      </c>
      <c r="J17800" s="558">
        <v>183.66</v>
      </c>
      <c r="K17800" s="558">
        <v>8.17</v>
      </c>
      <c r="L17800" s="43">
        <v>8.4522203485103997</v>
      </c>
      <c r="M17800" s="43">
        <v>11.5</v>
      </c>
      <c r="N17800" s="43">
        <v>5.2730404823428083</v>
      </c>
      <c r="O17800" s="43">
        <v>11.503164556962025</v>
      </c>
      <c r="P17800" s="559"/>
      <c r="Q17800" s="559"/>
      <c r="R17800" s="559">
        <v>6</v>
      </c>
    </row>
    <row r="17801" spans="1:18" ht="84">
      <c r="A17801" s="555">
        <v>240</v>
      </c>
      <c r="B17801" s="552" t="s">
        <v>32060</v>
      </c>
      <c r="C17801" s="556" t="s">
        <v>32061</v>
      </c>
      <c r="D17801" s="557">
        <v>90.15</v>
      </c>
      <c r="E17801" s="557">
        <v>44.81</v>
      </c>
      <c r="F17801" s="557">
        <v>44.44</v>
      </c>
      <c r="G17801" s="557">
        <v>0.9</v>
      </c>
      <c r="H17801" s="558">
        <v>760.02</v>
      </c>
      <c r="I17801" s="558">
        <v>515.35</v>
      </c>
      <c r="J17801" s="558">
        <v>234.32</v>
      </c>
      <c r="K17801" s="558">
        <v>10.35</v>
      </c>
      <c r="L17801" s="43">
        <v>8.4306156405990009</v>
      </c>
      <c r="M17801" s="43">
        <v>11.500781075652757</v>
      </c>
      <c r="N17801" s="43">
        <v>5.2727272727272725</v>
      </c>
      <c r="O17801" s="43">
        <v>11.503164556962025</v>
      </c>
      <c r="P17801" s="559"/>
      <c r="Q17801" s="559"/>
      <c r="R17801" s="559">
        <v>6</v>
      </c>
    </row>
    <row r="17802" spans="1:18" ht="84">
      <c r="A17802" s="555">
        <v>241</v>
      </c>
      <c r="B17802" s="552" t="s">
        <v>32062</v>
      </c>
      <c r="C17802" s="556" t="s">
        <v>32063</v>
      </c>
      <c r="D17802" s="557">
        <v>109.13</v>
      </c>
      <c r="E17802" s="557">
        <v>54</v>
      </c>
      <c r="F17802" s="557">
        <v>54.05</v>
      </c>
      <c r="G17802" s="557">
        <v>1.08</v>
      </c>
      <c r="H17802" s="558">
        <v>918.47</v>
      </c>
      <c r="I17802" s="558">
        <v>621.05999999999995</v>
      </c>
      <c r="J17802" s="558">
        <v>284.99</v>
      </c>
      <c r="K17802" s="558">
        <v>12.42</v>
      </c>
      <c r="L17802" s="43">
        <v>8.4162924951892251</v>
      </c>
      <c r="M17802" s="43">
        <v>11.50111111111111</v>
      </c>
      <c r="N17802" s="43">
        <v>5.272710453283997</v>
      </c>
      <c r="O17802" s="43">
        <v>11.503164556962025</v>
      </c>
      <c r="P17802" s="559"/>
      <c r="Q17802" s="559"/>
      <c r="R17802" s="559">
        <v>6</v>
      </c>
    </row>
    <row r="17803" spans="1:18" ht="84">
      <c r="A17803" s="555">
        <v>242</v>
      </c>
      <c r="B17803" s="552" t="s">
        <v>32064</v>
      </c>
      <c r="C17803" s="556" t="s">
        <v>32065</v>
      </c>
      <c r="D17803" s="557">
        <v>129.28</v>
      </c>
      <c r="E17803" s="557">
        <v>64.34</v>
      </c>
      <c r="F17803" s="557">
        <v>63.65</v>
      </c>
      <c r="G17803" s="557">
        <v>1.29</v>
      </c>
      <c r="H17803" s="558">
        <v>1090.47</v>
      </c>
      <c r="I17803" s="558">
        <v>739.98</v>
      </c>
      <c r="J17803" s="558">
        <v>335.65</v>
      </c>
      <c r="K17803" s="558">
        <v>14.84</v>
      </c>
      <c r="L17803" s="43">
        <v>8.4349474009900991</v>
      </c>
      <c r="M17803" s="43">
        <v>11.501087970158533</v>
      </c>
      <c r="N17803" s="43">
        <v>5.2733699921445405</v>
      </c>
      <c r="O17803" s="43">
        <v>11.503164556962025</v>
      </c>
      <c r="P17803" s="559"/>
      <c r="Q17803" s="559"/>
      <c r="R17803" s="559">
        <v>6</v>
      </c>
    </row>
    <row r="17804" spans="1:18" ht="84">
      <c r="A17804" s="555">
        <v>243</v>
      </c>
      <c r="B17804" s="552" t="s">
        <v>32066</v>
      </c>
      <c r="C17804" s="556" t="s">
        <v>32067</v>
      </c>
      <c r="D17804" s="557">
        <v>148.27000000000001</v>
      </c>
      <c r="E17804" s="557">
        <v>73.540000000000006</v>
      </c>
      <c r="F17804" s="557">
        <v>73.260000000000005</v>
      </c>
      <c r="G17804" s="557">
        <v>1.47</v>
      </c>
      <c r="H17804" s="558">
        <v>1248.92</v>
      </c>
      <c r="I17804" s="558">
        <v>845.7</v>
      </c>
      <c r="J17804" s="558">
        <v>386.31</v>
      </c>
      <c r="K17804" s="558">
        <v>16.91</v>
      </c>
      <c r="L17804" s="43">
        <v>8.4232818506778173</v>
      </c>
      <c r="M17804" s="43">
        <v>11.49986401958118</v>
      </c>
      <c r="N17804" s="43">
        <v>5.2731367731367724</v>
      </c>
      <c r="O17804" s="43">
        <v>11.503164556962025</v>
      </c>
      <c r="P17804" s="559"/>
      <c r="Q17804" s="559"/>
      <c r="R17804" s="559">
        <v>6</v>
      </c>
    </row>
    <row r="17805" spans="1:18" ht="84">
      <c r="A17805" s="555">
        <v>244</v>
      </c>
      <c r="B17805" s="552" t="s">
        <v>32068</v>
      </c>
      <c r="C17805" s="556" t="s">
        <v>32069</v>
      </c>
      <c r="D17805" s="557">
        <v>168.43</v>
      </c>
      <c r="E17805" s="557">
        <v>83.88</v>
      </c>
      <c r="F17805" s="557">
        <v>82.87</v>
      </c>
      <c r="G17805" s="557">
        <v>1.68</v>
      </c>
      <c r="H17805" s="558">
        <v>1420.92</v>
      </c>
      <c r="I17805" s="558">
        <v>964.62</v>
      </c>
      <c r="J17805" s="558">
        <v>436.98</v>
      </c>
      <c r="K17805" s="558">
        <v>19.32</v>
      </c>
      <c r="L17805" s="43">
        <v>8.4362643234578165</v>
      </c>
      <c r="M17805" s="43">
        <v>11.5</v>
      </c>
      <c r="N17805" s="43">
        <v>5.2730783154338123</v>
      </c>
      <c r="O17805" s="43">
        <v>11.503164556962025</v>
      </c>
      <c r="P17805" s="559"/>
      <c r="Q17805" s="559"/>
      <c r="R17805" s="559">
        <v>6</v>
      </c>
    </row>
    <row r="17806" spans="1:18" ht="84">
      <c r="A17806" s="555">
        <v>245</v>
      </c>
      <c r="B17806" s="552" t="s">
        <v>32070</v>
      </c>
      <c r="C17806" s="556" t="s">
        <v>32071</v>
      </c>
      <c r="D17806" s="557">
        <v>187.41</v>
      </c>
      <c r="E17806" s="557">
        <v>93.07</v>
      </c>
      <c r="F17806" s="557">
        <v>92.48</v>
      </c>
      <c r="G17806" s="557">
        <v>1.86</v>
      </c>
      <c r="H17806" s="558">
        <v>1579.36</v>
      </c>
      <c r="I17806" s="558">
        <v>1070.33</v>
      </c>
      <c r="J17806" s="558">
        <v>487.64</v>
      </c>
      <c r="K17806" s="558">
        <v>21.39</v>
      </c>
      <c r="L17806" s="43">
        <v>8.4272984365828929</v>
      </c>
      <c r="M17806" s="43">
        <v>11.500268615020952</v>
      </c>
      <c r="N17806" s="43">
        <v>5.2729238754325252</v>
      </c>
      <c r="O17806" s="43">
        <v>11.503164556962025</v>
      </c>
      <c r="P17806" s="559"/>
      <c r="Q17806" s="559"/>
      <c r="R17806" s="559">
        <v>6</v>
      </c>
    </row>
    <row r="17807" spans="1:18" ht="84">
      <c r="A17807" s="555">
        <v>246</v>
      </c>
      <c r="B17807" s="552" t="s">
        <v>32072</v>
      </c>
      <c r="C17807" s="556" t="s">
        <v>32073</v>
      </c>
      <c r="D17807" s="557">
        <v>60.5</v>
      </c>
      <c r="E17807" s="557">
        <v>29.87</v>
      </c>
      <c r="F17807" s="557">
        <v>30.03</v>
      </c>
      <c r="G17807" s="557">
        <v>0.6</v>
      </c>
      <c r="H17807" s="558">
        <v>508.79</v>
      </c>
      <c r="I17807" s="558">
        <v>343.56</v>
      </c>
      <c r="J17807" s="558">
        <v>158.33000000000001</v>
      </c>
      <c r="K17807" s="558">
        <v>6.9</v>
      </c>
      <c r="L17807" s="43">
        <v>8.4097520661157024</v>
      </c>
      <c r="M17807" s="43">
        <v>11.501841312353532</v>
      </c>
      <c r="N17807" s="43">
        <v>5.2723942723942727</v>
      </c>
      <c r="O17807" s="43">
        <v>11.503164556962025</v>
      </c>
      <c r="P17807" s="559"/>
      <c r="Q17807" s="559"/>
      <c r="R17807" s="559">
        <v>6</v>
      </c>
    </row>
    <row r="17808" spans="1:18" ht="84">
      <c r="A17808" s="555">
        <v>247</v>
      </c>
      <c r="B17808" s="552" t="s">
        <v>32074</v>
      </c>
      <c r="C17808" s="556" t="s">
        <v>32075</v>
      </c>
      <c r="D17808" s="557">
        <v>80.650000000000006</v>
      </c>
      <c r="E17808" s="557">
        <v>40.22</v>
      </c>
      <c r="F17808" s="557">
        <v>39.630000000000003</v>
      </c>
      <c r="G17808" s="557">
        <v>0.8</v>
      </c>
      <c r="H17808" s="558">
        <v>680.68</v>
      </c>
      <c r="I17808" s="558">
        <v>462.49</v>
      </c>
      <c r="J17808" s="558">
        <v>208.99</v>
      </c>
      <c r="K17808" s="558">
        <v>9.1999999999999993</v>
      </c>
      <c r="L17808" s="43">
        <v>8.4399256044637312</v>
      </c>
      <c r="M17808" s="43">
        <v>11.499005469915465</v>
      </c>
      <c r="N17808" s="43">
        <v>5.2735301539237946</v>
      </c>
      <c r="O17808" s="43">
        <v>11.503164556962025</v>
      </c>
      <c r="P17808" s="559"/>
      <c r="Q17808" s="559"/>
      <c r="R17808" s="559">
        <v>6</v>
      </c>
    </row>
    <row r="17809" spans="1:18" ht="84">
      <c r="A17809" s="555">
        <v>248</v>
      </c>
      <c r="B17809" s="552" t="s">
        <v>32076</v>
      </c>
      <c r="C17809" s="556" t="s">
        <v>32077</v>
      </c>
      <c r="D17809" s="557">
        <v>102.01</v>
      </c>
      <c r="E17809" s="557">
        <v>50.56</v>
      </c>
      <c r="F17809" s="557">
        <v>50.44</v>
      </c>
      <c r="G17809" s="557">
        <v>1.01</v>
      </c>
      <c r="H17809" s="558">
        <v>859.03</v>
      </c>
      <c r="I17809" s="558">
        <v>581.41999999999996</v>
      </c>
      <c r="J17809" s="558">
        <v>265.99</v>
      </c>
      <c r="K17809" s="558">
        <v>11.62</v>
      </c>
      <c r="L17809" s="43">
        <v>8.4210371532202721</v>
      </c>
      <c r="M17809" s="43">
        <v>11.499604430379746</v>
      </c>
      <c r="N17809" s="43">
        <v>5.2733941316415551</v>
      </c>
      <c r="O17809" s="43">
        <v>11.503164556962025</v>
      </c>
      <c r="P17809" s="559"/>
      <c r="Q17809" s="559"/>
      <c r="R17809" s="559">
        <v>6</v>
      </c>
    </row>
    <row r="17810" spans="1:18" ht="84">
      <c r="A17810" s="555">
        <v>249</v>
      </c>
      <c r="B17810" s="552" t="s">
        <v>32078</v>
      </c>
      <c r="C17810" s="556" t="s">
        <v>32079</v>
      </c>
      <c r="D17810" s="557">
        <v>124.54</v>
      </c>
      <c r="E17810" s="557">
        <v>62.05</v>
      </c>
      <c r="F17810" s="557">
        <v>61.25</v>
      </c>
      <c r="G17810" s="557">
        <v>1.24</v>
      </c>
      <c r="H17810" s="558">
        <v>1050.8</v>
      </c>
      <c r="I17810" s="558">
        <v>713.56</v>
      </c>
      <c r="J17810" s="558">
        <v>322.98</v>
      </c>
      <c r="K17810" s="558">
        <v>14.26</v>
      </c>
      <c r="L17810" s="43">
        <v>8.4374498153203774</v>
      </c>
      <c r="M17810" s="43">
        <v>11.499758259468171</v>
      </c>
      <c r="N17810" s="43">
        <v>5.2731428571428571</v>
      </c>
      <c r="O17810" s="43">
        <v>11.503164556962025</v>
      </c>
      <c r="P17810" s="559"/>
      <c r="Q17810" s="559"/>
      <c r="R17810" s="559">
        <v>6</v>
      </c>
    </row>
    <row r="17811" spans="1:18" ht="84">
      <c r="A17811" s="555">
        <v>250</v>
      </c>
      <c r="B17811" s="552" t="s">
        <v>32080</v>
      </c>
      <c r="C17811" s="556" t="s">
        <v>32081</v>
      </c>
      <c r="D17811" s="557">
        <v>145.9</v>
      </c>
      <c r="E17811" s="557">
        <v>72.39</v>
      </c>
      <c r="F17811" s="557">
        <v>72.06</v>
      </c>
      <c r="G17811" s="557">
        <v>1.45</v>
      </c>
      <c r="H17811" s="558">
        <v>1229.1400000000001</v>
      </c>
      <c r="I17811" s="558">
        <v>832.48</v>
      </c>
      <c r="J17811" s="558">
        <v>379.98</v>
      </c>
      <c r="K17811" s="558">
        <v>16.68</v>
      </c>
      <c r="L17811" s="43">
        <v>8.4245373543522959</v>
      </c>
      <c r="M17811" s="43">
        <v>11.499930929686421</v>
      </c>
      <c r="N17811" s="43">
        <v>5.2731057452123231</v>
      </c>
      <c r="O17811" s="43">
        <v>11.503164556962025</v>
      </c>
      <c r="P17811" s="559"/>
      <c r="Q17811" s="559"/>
      <c r="R17811" s="559">
        <v>6</v>
      </c>
    </row>
    <row r="17812" spans="1:18" ht="84">
      <c r="A17812" s="555">
        <v>251</v>
      </c>
      <c r="B17812" s="552" t="s">
        <v>32082</v>
      </c>
      <c r="C17812" s="556" t="s">
        <v>32083</v>
      </c>
      <c r="D17812" s="557">
        <v>168.43</v>
      </c>
      <c r="E17812" s="557">
        <v>83.88</v>
      </c>
      <c r="F17812" s="557">
        <v>82.87</v>
      </c>
      <c r="G17812" s="557">
        <v>1.68</v>
      </c>
      <c r="H17812" s="558">
        <v>1420.92</v>
      </c>
      <c r="I17812" s="558">
        <v>964.62</v>
      </c>
      <c r="J17812" s="558">
        <v>436.98</v>
      </c>
      <c r="K17812" s="558">
        <v>19.32</v>
      </c>
      <c r="L17812" s="43">
        <v>8.4362643234578165</v>
      </c>
      <c r="M17812" s="43">
        <v>11.5</v>
      </c>
      <c r="N17812" s="43">
        <v>5.2730783154338123</v>
      </c>
      <c r="O17812" s="43">
        <v>11.503164556962025</v>
      </c>
      <c r="P17812" s="559"/>
      <c r="Q17812" s="559"/>
      <c r="R17812" s="559">
        <v>6</v>
      </c>
    </row>
    <row r="17813" spans="1:18" ht="84">
      <c r="A17813" s="555">
        <v>252</v>
      </c>
      <c r="B17813" s="552" t="s">
        <v>32084</v>
      </c>
      <c r="C17813" s="556" t="s">
        <v>32085</v>
      </c>
      <c r="D17813" s="557">
        <v>189.78</v>
      </c>
      <c r="E17813" s="557">
        <v>94.22</v>
      </c>
      <c r="F17813" s="557">
        <v>93.68</v>
      </c>
      <c r="G17813" s="557">
        <v>1.88</v>
      </c>
      <c r="H17813" s="558">
        <v>1599.14</v>
      </c>
      <c r="I17813" s="558">
        <v>1083.55</v>
      </c>
      <c r="J17813" s="558">
        <v>493.97</v>
      </c>
      <c r="K17813" s="558">
        <v>21.62</v>
      </c>
      <c r="L17813" s="43">
        <v>8.4262830646011171</v>
      </c>
      <c r="M17813" s="43">
        <v>11.500212269157291</v>
      </c>
      <c r="N17813" s="43">
        <v>5.272950469684031</v>
      </c>
      <c r="O17813" s="43">
        <v>11.503164556962025</v>
      </c>
      <c r="P17813" s="559"/>
      <c r="Q17813" s="559"/>
      <c r="R17813" s="559">
        <v>6</v>
      </c>
    </row>
    <row r="17814" spans="1:18" ht="84">
      <c r="A17814" s="555">
        <v>253</v>
      </c>
      <c r="B17814" s="552" t="s">
        <v>32086</v>
      </c>
      <c r="C17814" s="556" t="s">
        <v>32087</v>
      </c>
      <c r="D17814" s="557">
        <v>211.14</v>
      </c>
      <c r="E17814" s="557">
        <v>104.56</v>
      </c>
      <c r="F17814" s="557">
        <v>104.49</v>
      </c>
      <c r="G17814" s="557">
        <v>2.09</v>
      </c>
      <c r="H17814" s="558">
        <v>1777.48</v>
      </c>
      <c r="I17814" s="558">
        <v>1202.47</v>
      </c>
      <c r="J17814" s="558">
        <v>550.97</v>
      </c>
      <c r="K17814" s="558">
        <v>24.04</v>
      </c>
      <c r="L17814" s="43">
        <v>8.4184901013545517</v>
      </c>
      <c r="M17814" s="43">
        <v>11.500286916602908</v>
      </c>
      <c r="N17814" s="43">
        <v>5.2729447794047282</v>
      </c>
      <c r="O17814" s="43">
        <v>11.503164556962025</v>
      </c>
      <c r="P17814" s="559"/>
      <c r="Q17814" s="559"/>
      <c r="R17814" s="559">
        <v>6</v>
      </c>
    </row>
    <row r="17815" spans="1:18" ht="84">
      <c r="A17815" s="555">
        <v>254</v>
      </c>
      <c r="B17815" s="552" t="s">
        <v>32088</v>
      </c>
      <c r="C17815" s="556" t="s">
        <v>32089</v>
      </c>
      <c r="D17815" s="557">
        <v>65.239999999999995</v>
      </c>
      <c r="E17815" s="557">
        <v>32.17</v>
      </c>
      <c r="F17815" s="557">
        <v>32.43</v>
      </c>
      <c r="G17815" s="557">
        <v>0.64</v>
      </c>
      <c r="H17815" s="558">
        <v>548.34</v>
      </c>
      <c r="I17815" s="558">
        <v>369.99</v>
      </c>
      <c r="J17815" s="558">
        <v>170.99</v>
      </c>
      <c r="K17815" s="558">
        <v>7.36</v>
      </c>
      <c r="L17815" s="43">
        <v>8.404966278356838</v>
      </c>
      <c r="M17815" s="43">
        <v>11.501087970158533</v>
      </c>
      <c r="N17815" s="43">
        <v>5.2725871106999698</v>
      </c>
      <c r="O17815" s="43">
        <v>11.503164556962025</v>
      </c>
      <c r="P17815" s="559"/>
      <c r="Q17815" s="559"/>
      <c r="R17815" s="559">
        <v>6</v>
      </c>
    </row>
    <row r="17816" spans="1:18" ht="84">
      <c r="A17816" s="555">
        <v>255</v>
      </c>
      <c r="B17816" s="552" t="s">
        <v>32090</v>
      </c>
      <c r="C17816" s="556" t="s">
        <v>32091</v>
      </c>
      <c r="D17816" s="557">
        <v>90.15</v>
      </c>
      <c r="E17816" s="557">
        <v>44.81</v>
      </c>
      <c r="F17816" s="557">
        <v>44.44</v>
      </c>
      <c r="G17816" s="557">
        <v>0.9</v>
      </c>
      <c r="H17816" s="558">
        <v>760.02</v>
      </c>
      <c r="I17816" s="558">
        <v>515.35</v>
      </c>
      <c r="J17816" s="558">
        <v>234.32</v>
      </c>
      <c r="K17816" s="558">
        <v>10.35</v>
      </c>
      <c r="L17816" s="43">
        <v>8.4306156405990009</v>
      </c>
      <c r="M17816" s="43">
        <v>11.500781075652757</v>
      </c>
      <c r="N17816" s="43">
        <v>5.2727272727272725</v>
      </c>
      <c r="O17816" s="43">
        <v>11.503164556962025</v>
      </c>
      <c r="P17816" s="559"/>
      <c r="Q17816" s="559"/>
      <c r="R17816" s="559">
        <v>6</v>
      </c>
    </row>
    <row r="17817" spans="1:18" ht="84">
      <c r="A17817" s="555">
        <v>256</v>
      </c>
      <c r="B17817" s="552" t="s">
        <v>32092</v>
      </c>
      <c r="C17817" s="556" t="s">
        <v>32093</v>
      </c>
      <c r="D17817" s="557">
        <v>116.25</v>
      </c>
      <c r="E17817" s="557">
        <v>57.45</v>
      </c>
      <c r="F17817" s="557">
        <v>57.65</v>
      </c>
      <c r="G17817" s="557">
        <v>1.1499999999999999</v>
      </c>
      <c r="H17817" s="558">
        <v>977.91</v>
      </c>
      <c r="I17817" s="558">
        <v>660.7</v>
      </c>
      <c r="J17817" s="558">
        <v>303.98</v>
      </c>
      <c r="K17817" s="558">
        <v>13.23</v>
      </c>
      <c r="L17817" s="43">
        <v>8.4121290322580649</v>
      </c>
      <c r="M17817" s="43">
        <v>11.500435161009573</v>
      </c>
      <c r="N17817" s="43">
        <v>5.2728534258456206</v>
      </c>
      <c r="O17817" s="43">
        <v>11.503164556962025</v>
      </c>
      <c r="P17817" s="559"/>
      <c r="Q17817" s="559"/>
      <c r="R17817" s="559">
        <v>6</v>
      </c>
    </row>
    <row r="17818" spans="1:18" ht="84">
      <c r="A17818" s="555">
        <v>257</v>
      </c>
      <c r="B17818" s="552" t="s">
        <v>32094</v>
      </c>
      <c r="C17818" s="556" t="s">
        <v>32095</v>
      </c>
      <c r="D17818" s="557">
        <v>141.15</v>
      </c>
      <c r="E17818" s="557">
        <v>70.09</v>
      </c>
      <c r="F17818" s="557">
        <v>69.66</v>
      </c>
      <c r="G17818" s="557">
        <v>1.4</v>
      </c>
      <c r="H17818" s="558">
        <v>1189.46</v>
      </c>
      <c r="I17818" s="558">
        <v>806.05</v>
      </c>
      <c r="J17818" s="558">
        <v>367.31</v>
      </c>
      <c r="K17818" s="558">
        <v>16.100000000000001</v>
      </c>
      <c r="L17818" s="43">
        <v>8.4269217144881328</v>
      </c>
      <c r="M17818" s="43">
        <v>11.500214010557853</v>
      </c>
      <c r="N17818" s="43">
        <v>5.2728969279356876</v>
      </c>
      <c r="O17818" s="43">
        <v>11.503164556962025</v>
      </c>
      <c r="P17818" s="559"/>
      <c r="Q17818" s="559"/>
      <c r="R17818" s="559">
        <v>6</v>
      </c>
    </row>
    <row r="17819" spans="1:18" ht="84">
      <c r="A17819" s="555">
        <v>258</v>
      </c>
      <c r="B17819" s="552" t="s">
        <v>32096</v>
      </c>
      <c r="C17819" s="556" t="s">
        <v>32097</v>
      </c>
      <c r="D17819" s="557">
        <v>168.43</v>
      </c>
      <c r="E17819" s="557">
        <v>83.88</v>
      </c>
      <c r="F17819" s="557">
        <v>82.87</v>
      </c>
      <c r="G17819" s="557">
        <v>1.68</v>
      </c>
      <c r="H17819" s="558">
        <v>1420.92</v>
      </c>
      <c r="I17819" s="558">
        <v>964.62</v>
      </c>
      <c r="J17819" s="558">
        <v>436.98</v>
      </c>
      <c r="K17819" s="558">
        <v>19.32</v>
      </c>
      <c r="L17819" s="43">
        <v>8.4362643234578165</v>
      </c>
      <c r="M17819" s="43">
        <v>11.5</v>
      </c>
      <c r="N17819" s="43">
        <v>5.2730783154338123</v>
      </c>
      <c r="O17819" s="43">
        <v>11.503164556962025</v>
      </c>
      <c r="P17819" s="559"/>
      <c r="Q17819" s="559"/>
      <c r="R17819" s="559">
        <v>6</v>
      </c>
    </row>
    <row r="17820" spans="1:18" ht="84">
      <c r="A17820" s="555">
        <v>259</v>
      </c>
      <c r="B17820" s="552" t="s">
        <v>32098</v>
      </c>
      <c r="C17820" s="556" t="s">
        <v>32099</v>
      </c>
      <c r="D17820" s="557">
        <v>192.16</v>
      </c>
      <c r="E17820" s="557">
        <v>95.37</v>
      </c>
      <c r="F17820" s="557">
        <v>94.88</v>
      </c>
      <c r="G17820" s="557">
        <v>1.91</v>
      </c>
      <c r="H17820" s="558">
        <v>1619.04</v>
      </c>
      <c r="I17820" s="558">
        <v>1096.76</v>
      </c>
      <c r="J17820" s="558">
        <v>500.31</v>
      </c>
      <c r="K17820" s="558">
        <v>21.97</v>
      </c>
      <c r="L17820" s="43">
        <v>8.4254787676935887</v>
      </c>
      <c r="M17820" s="43">
        <v>11.500052427388066</v>
      </c>
      <c r="N17820" s="43">
        <v>5.2730817875210798</v>
      </c>
      <c r="O17820" s="43">
        <v>11.503164556962025</v>
      </c>
      <c r="P17820" s="559"/>
      <c r="Q17820" s="559"/>
      <c r="R17820" s="559">
        <v>6</v>
      </c>
    </row>
    <row r="17821" spans="1:18" ht="84">
      <c r="A17821" s="555">
        <v>260</v>
      </c>
      <c r="B17821" s="552" t="s">
        <v>32100</v>
      </c>
      <c r="C17821" s="556" t="s">
        <v>32101</v>
      </c>
      <c r="D17821" s="557">
        <v>217.06</v>
      </c>
      <c r="E17821" s="557">
        <v>108.01</v>
      </c>
      <c r="F17821" s="557">
        <v>106.89</v>
      </c>
      <c r="G17821" s="557">
        <v>2.16</v>
      </c>
      <c r="H17821" s="558">
        <v>1830.6</v>
      </c>
      <c r="I17821" s="558">
        <v>1242.1199999999999</v>
      </c>
      <c r="J17821" s="558">
        <v>563.64</v>
      </c>
      <c r="K17821" s="558">
        <v>24.84</v>
      </c>
      <c r="L17821" s="43">
        <v>8.4336128259467422</v>
      </c>
      <c r="M17821" s="43">
        <v>11.500046292009998</v>
      </c>
      <c r="N17821" s="43">
        <v>5.2730844793713159</v>
      </c>
      <c r="O17821" s="43">
        <v>11.503164556962025</v>
      </c>
      <c r="P17821" s="559"/>
      <c r="Q17821" s="559"/>
      <c r="R17821" s="559">
        <v>6</v>
      </c>
    </row>
    <row r="17822" spans="1:18" ht="84">
      <c r="A17822" s="555">
        <v>261</v>
      </c>
      <c r="B17822" s="552" t="s">
        <v>32102</v>
      </c>
      <c r="C17822" s="556" t="s">
        <v>32103</v>
      </c>
      <c r="D17822" s="557">
        <v>240.79</v>
      </c>
      <c r="E17822" s="557">
        <v>119.5</v>
      </c>
      <c r="F17822" s="557">
        <v>118.9</v>
      </c>
      <c r="G17822" s="557">
        <v>2.39</v>
      </c>
      <c r="H17822" s="558">
        <v>2028.72</v>
      </c>
      <c r="I17822" s="558">
        <v>1374.26</v>
      </c>
      <c r="J17822" s="558">
        <v>626.97</v>
      </c>
      <c r="K17822" s="558">
        <v>27.49</v>
      </c>
      <c r="L17822" s="43">
        <v>8.4252668300178577</v>
      </c>
      <c r="M17822" s="43">
        <v>11.500083682008368</v>
      </c>
      <c r="N17822" s="43">
        <v>5.2730866274179986</v>
      </c>
      <c r="O17822" s="43">
        <v>11.503164556962025</v>
      </c>
      <c r="P17822" s="559"/>
      <c r="Q17822" s="559"/>
      <c r="R17822" s="559">
        <v>6</v>
      </c>
    </row>
    <row r="17823" spans="1:18" ht="84">
      <c r="A17823" s="555">
        <v>262</v>
      </c>
      <c r="B17823" s="552" t="s">
        <v>32104</v>
      </c>
      <c r="C17823" s="556" t="s">
        <v>32105</v>
      </c>
      <c r="D17823" s="557">
        <v>80.650000000000006</v>
      </c>
      <c r="E17823" s="557">
        <v>40.22</v>
      </c>
      <c r="F17823" s="557">
        <v>39.630000000000003</v>
      </c>
      <c r="G17823" s="557">
        <v>0.8</v>
      </c>
      <c r="H17823" s="558">
        <v>680.68</v>
      </c>
      <c r="I17823" s="558">
        <v>462.49</v>
      </c>
      <c r="J17823" s="558">
        <v>208.99</v>
      </c>
      <c r="K17823" s="558">
        <v>9.1999999999999993</v>
      </c>
      <c r="L17823" s="43">
        <v>8.4399256044637312</v>
      </c>
      <c r="M17823" s="43">
        <v>11.499005469915465</v>
      </c>
      <c r="N17823" s="43">
        <v>5.2735301539237946</v>
      </c>
      <c r="O17823" s="43">
        <v>11.503164556962025</v>
      </c>
      <c r="P17823" s="559"/>
      <c r="Q17823" s="559"/>
      <c r="R17823" s="559">
        <v>6</v>
      </c>
    </row>
    <row r="17824" spans="1:18" ht="84">
      <c r="A17824" s="555">
        <v>263</v>
      </c>
      <c r="B17824" s="552" t="s">
        <v>32106</v>
      </c>
      <c r="C17824" s="556" t="s">
        <v>32107</v>
      </c>
      <c r="D17824" s="557">
        <v>109.13</v>
      </c>
      <c r="E17824" s="557">
        <v>54</v>
      </c>
      <c r="F17824" s="557">
        <v>54.05</v>
      </c>
      <c r="G17824" s="557">
        <v>1.08</v>
      </c>
      <c r="H17824" s="558">
        <v>918.47</v>
      </c>
      <c r="I17824" s="558">
        <v>621.05999999999995</v>
      </c>
      <c r="J17824" s="558">
        <v>284.99</v>
      </c>
      <c r="K17824" s="558">
        <v>12.42</v>
      </c>
      <c r="L17824" s="43">
        <v>8.4162924951892251</v>
      </c>
      <c r="M17824" s="43">
        <v>11.50111111111111</v>
      </c>
      <c r="N17824" s="43">
        <v>5.272710453283997</v>
      </c>
      <c r="O17824" s="43">
        <v>11.503164556962025</v>
      </c>
      <c r="P17824" s="559"/>
      <c r="Q17824" s="559"/>
      <c r="R17824" s="559">
        <v>6</v>
      </c>
    </row>
    <row r="17825" spans="1:18" ht="84">
      <c r="A17825" s="555">
        <v>264</v>
      </c>
      <c r="B17825" s="552" t="s">
        <v>32108</v>
      </c>
      <c r="C17825" s="556" t="s">
        <v>32109</v>
      </c>
      <c r="D17825" s="557">
        <v>138.78</v>
      </c>
      <c r="E17825" s="557">
        <v>68.94</v>
      </c>
      <c r="F17825" s="557">
        <v>68.459999999999994</v>
      </c>
      <c r="G17825" s="557">
        <v>1.38</v>
      </c>
      <c r="H17825" s="558">
        <v>1169.69</v>
      </c>
      <c r="I17825" s="558">
        <v>792.84</v>
      </c>
      <c r="J17825" s="558">
        <v>360.98</v>
      </c>
      <c r="K17825" s="558">
        <v>15.87</v>
      </c>
      <c r="L17825" s="43">
        <v>8.4283758466637853</v>
      </c>
      <c r="M17825" s="43">
        <v>11.500435161009575</v>
      </c>
      <c r="N17825" s="43">
        <v>5.2728600642711081</v>
      </c>
      <c r="O17825" s="43">
        <v>11.503164556962025</v>
      </c>
      <c r="P17825" s="559"/>
      <c r="Q17825" s="559"/>
      <c r="R17825" s="559">
        <v>6</v>
      </c>
    </row>
    <row r="17826" spans="1:18" ht="84">
      <c r="A17826" s="555">
        <v>265</v>
      </c>
      <c r="B17826" s="552" t="s">
        <v>32110</v>
      </c>
      <c r="C17826" s="556" t="s">
        <v>32111</v>
      </c>
      <c r="D17826" s="557">
        <v>170.8</v>
      </c>
      <c r="E17826" s="557">
        <v>85.03</v>
      </c>
      <c r="F17826" s="557">
        <v>84.07</v>
      </c>
      <c r="G17826" s="557">
        <v>1.7</v>
      </c>
      <c r="H17826" s="558">
        <v>1440.7</v>
      </c>
      <c r="I17826" s="558">
        <v>977.84</v>
      </c>
      <c r="J17826" s="558">
        <v>443.31</v>
      </c>
      <c r="K17826" s="558">
        <v>19.55</v>
      </c>
      <c r="L17826" s="43">
        <v>8.4350117096018735</v>
      </c>
      <c r="M17826" s="43">
        <v>11.499941197224508</v>
      </c>
      <c r="N17826" s="43">
        <v>5.2731057452123231</v>
      </c>
      <c r="O17826" s="43">
        <v>11.503164556962025</v>
      </c>
      <c r="P17826" s="559"/>
      <c r="Q17826" s="559"/>
      <c r="R17826" s="559">
        <v>6</v>
      </c>
    </row>
    <row r="17827" spans="1:18" ht="84">
      <c r="A17827" s="555">
        <v>266</v>
      </c>
      <c r="B17827" s="552" t="s">
        <v>32112</v>
      </c>
      <c r="C17827" s="556" t="s">
        <v>32113</v>
      </c>
      <c r="D17827" s="557">
        <v>199.27</v>
      </c>
      <c r="E17827" s="557">
        <v>98.81</v>
      </c>
      <c r="F17827" s="557">
        <v>98.48</v>
      </c>
      <c r="G17827" s="557">
        <v>1.98</v>
      </c>
      <c r="H17827" s="558">
        <v>1678.48</v>
      </c>
      <c r="I17827" s="558">
        <v>1136.4000000000001</v>
      </c>
      <c r="J17827" s="558">
        <v>519.30999999999995</v>
      </c>
      <c r="K17827" s="558">
        <v>22.77</v>
      </c>
      <c r="L17827" s="43">
        <v>8.4231444773422997</v>
      </c>
      <c r="M17827" s="43">
        <v>11.500860236818136</v>
      </c>
      <c r="N17827" s="43">
        <v>5.2732534524776593</v>
      </c>
      <c r="O17827" s="43">
        <v>11.503164556962025</v>
      </c>
      <c r="P17827" s="559"/>
      <c r="Q17827" s="559"/>
      <c r="R17827" s="559">
        <v>6</v>
      </c>
    </row>
    <row r="17828" spans="1:18" ht="84">
      <c r="A17828" s="555">
        <v>267</v>
      </c>
      <c r="B17828" s="552" t="s">
        <v>32114</v>
      </c>
      <c r="C17828" s="556" t="s">
        <v>32115</v>
      </c>
      <c r="D17828" s="557">
        <v>230.09</v>
      </c>
      <c r="E17828" s="557">
        <v>114.9</v>
      </c>
      <c r="F17828" s="557">
        <v>112.89</v>
      </c>
      <c r="G17828" s="557">
        <v>2.2999999999999998</v>
      </c>
      <c r="H17828" s="558">
        <v>1943.15</v>
      </c>
      <c r="I17828" s="558">
        <v>1321.4</v>
      </c>
      <c r="J17828" s="558">
        <v>595.29999999999995</v>
      </c>
      <c r="K17828" s="558">
        <v>26.45</v>
      </c>
      <c r="L17828" s="43">
        <v>8.4451736277108953</v>
      </c>
      <c r="M17828" s="43">
        <v>11.500435161009573</v>
      </c>
      <c r="N17828" s="43">
        <v>5.2732748693418365</v>
      </c>
      <c r="O17828" s="43">
        <v>11.503164556962025</v>
      </c>
      <c r="P17828" s="559"/>
      <c r="Q17828" s="559"/>
      <c r="R17828" s="559">
        <v>6</v>
      </c>
    </row>
    <row r="17829" spans="1:18" ht="84">
      <c r="A17829" s="555">
        <v>268</v>
      </c>
      <c r="B17829" s="552" t="s">
        <v>32116</v>
      </c>
      <c r="C17829" s="556" t="s">
        <v>32117</v>
      </c>
      <c r="D17829" s="557">
        <v>255.03</v>
      </c>
      <c r="E17829" s="557">
        <v>126.39</v>
      </c>
      <c r="F17829" s="557">
        <v>126.11</v>
      </c>
      <c r="G17829" s="557">
        <v>2.5299999999999998</v>
      </c>
      <c r="H17829" s="558">
        <v>2147.61</v>
      </c>
      <c r="I17829" s="558">
        <v>1453.54</v>
      </c>
      <c r="J17829" s="558">
        <v>664.97</v>
      </c>
      <c r="K17829" s="558">
        <v>29.1</v>
      </c>
      <c r="L17829" s="43">
        <v>8.4210092930243512</v>
      </c>
      <c r="M17829" s="43">
        <v>11.500435161009573</v>
      </c>
      <c r="N17829" s="43">
        <v>5.2729363254301802</v>
      </c>
      <c r="O17829" s="43">
        <v>11.503164556962025</v>
      </c>
      <c r="P17829" s="559"/>
      <c r="Q17829" s="559"/>
      <c r="R17829" s="559">
        <v>6</v>
      </c>
    </row>
    <row r="17830" spans="1:18" ht="84">
      <c r="A17830" s="555">
        <v>269</v>
      </c>
      <c r="B17830" s="552" t="s">
        <v>32118</v>
      </c>
      <c r="C17830" s="556" t="s">
        <v>32119</v>
      </c>
      <c r="D17830" s="557">
        <v>296.48</v>
      </c>
      <c r="E17830" s="557">
        <v>149.37</v>
      </c>
      <c r="F17830" s="557">
        <v>144.12</v>
      </c>
      <c r="G17830" s="557">
        <v>2.99</v>
      </c>
      <c r="H17830" s="558">
        <v>2512.17</v>
      </c>
      <c r="I17830" s="558">
        <v>1717.82</v>
      </c>
      <c r="J17830" s="558">
        <v>759.96</v>
      </c>
      <c r="K17830" s="558">
        <v>34.39</v>
      </c>
      <c r="L17830" s="43">
        <v>8.47332029141932</v>
      </c>
      <c r="M17830" s="43">
        <v>11.500435161009573</v>
      </c>
      <c r="N17830" s="43">
        <v>5.2731057452123231</v>
      </c>
      <c r="O17830" s="43">
        <v>11.503164556962025</v>
      </c>
      <c r="P17830" s="559"/>
      <c r="Q17830" s="559"/>
      <c r="R17830" s="559">
        <v>6</v>
      </c>
    </row>
    <row r="17831" spans="1:18" ht="84">
      <c r="A17831" s="555">
        <v>270</v>
      </c>
      <c r="B17831" s="552" t="s">
        <v>32120</v>
      </c>
      <c r="C17831" s="556" t="s">
        <v>32121</v>
      </c>
      <c r="D17831" s="557">
        <v>90.15</v>
      </c>
      <c r="E17831" s="557">
        <v>44.81</v>
      </c>
      <c r="F17831" s="557">
        <v>44.44</v>
      </c>
      <c r="G17831" s="557">
        <v>0.9</v>
      </c>
      <c r="H17831" s="558">
        <v>760.02</v>
      </c>
      <c r="I17831" s="558">
        <v>515.35</v>
      </c>
      <c r="J17831" s="558">
        <v>234.32</v>
      </c>
      <c r="K17831" s="558">
        <v>10.35</v>
      </c>
      <c r="L17831" s="43">
        <v>8.4306156405990009</v>
      </c>
      <c r="M17831" s="43">
        <v>11.500781075652757</v>
      </c>
      <c r="N17831" s="43">
        <v>5.2727272727272725</v>
      </c>
      <c r="O17831" s="43">
        <v>11.503164556962025</v>
      </c>
      <c r="P17831" s="559"/>
      <c r="Q17831" s="559"/>
      <c r="R17831" s="559">
        <v>6</v>
      </c>
    </row>
    <row r="17832" spans="1:18" ht="84">
      <c r="A17832" s="555">
        <v>271</v>
      </c>
      <c r="B17832" s="552" t="s">
        <v>32122</v>
      </c>
      <c r="C17832" s="556" t="s">
        <v>32123</v>
      </c>
      <c r="D17832" s="557">
        <v>124.54</v>
      </c>
      <c r="E17832" s="557">
        <v>62.05</v>
      </c>
      <c r="F17832" s="557">
        <v>61.25</v>
      </c>
      <c r="G17832" s="557">
        <v>1.24</v>
      </c>
      <c r="H17832" s="558">
        <v>1050.8</v>
      </c>
      <c r="I17832" s="558">
        <v>713.56</v>
      </c>
      <c r="J17832" s="558">
        <v>322.98</v>
      </c>
      <c r="K17832" s="558">
        <v>14.26</v>
      </c>
      <c r="L17832" s="43">
        <v>8.4374498153203774</v>
      </c>
      <c r="M17832" s="43">
        <v>11.499758259468171</v>
      </c>
      <c r="N17832" s="43">
        <v>5.2731428571428571</v>
      </c>
      <c r="O17832" s="43">
        <v>11.503164556962025</v>
      </c>
      <c r="P17832" s="559"/>
      <c r="Q17832" s="559"/>
      <c r="R17832" s="559">
        <v>6</v>
      </c>
    </row>
    <row r="17833" spans="1:18" ht="84">
      <c r="A17833" s="555">
        <v>272</v>
      </c>
      <c r="B17833" s="552" t="s">
        <v>32124</v>
      </c>
      <c r="C17833" s="556" t="s">
        <v>32125</v>
      </c>
      <c r="D17833" s="557">
        <v>157.76</v>
      </c>
      <c r="E17833" s="557">
        <v>78.13</v>
      </c>
      <c r="F17833" s="557">
        <v>78.069999999999993</v>
      </c>
      <c r="G17833" s="557">
        <v>1.56</v>
      </c>
      <c r="H17833" s="558">
        <v>1328.14</v>
      </c>
      <c r="I17833" s="558">
        <v>898.55</v>
      </c>
      <c r="J17833" s="558">
        <v>411.65</v>
      </c>
      <c r="K17833" s="558">
        <v>17.940000000000001</v>
      </c>
      <c r="L17833" s="43">
        <v>8.4187373225152147</v>
      </c>
      <c r="M17833" s="43">
        <v>11.500703954946884</v>
      </c>
      <c r="N17833" s="43">
        <v>5.2728320737799415</v>
      </c>
      <c r="O17833" s="43">
        <v>11.503164556962025</v>
      </c>
      <c r="P17833" s="559"/>
      <c r="Q17833" s="559"/>
      <c r="R17833" s="559">
        <v>6</v>
      </c>
    </row>
    <row r="17834" spans="1:18" ht="84">
      <c r="A17834" s="555">
        <v>273</v>
      </c>
      <c r="B17834" s="552" t="s">
        <v>32126</v>
      </c>
      <c r="C17834" s="556" t="s">
        <v>32127</v>
      </c>
      <c r="D17834" s="557">
        <v>192.16</v>
      </c>
      <c r="E17834" s="557">
        <v>95.37</v>
      </c>
      <c r="F17834" s="557">
        <v>94.88</v>
      </c>
      <c r="G17834" s="557">
        <v>1.91</v>
      </c>
      <c r="H17834" s="558">
        <v>1619.04</v>
      </c>
      <c r="I17834" s="558">
        <v>1096.76</v>
      </c>
      <c r="J17834" s="558">
        <v>500.31</v>
      </c>
      <c r="K17834" s="558">
        <v>21.97</v>
      </c>
      <c r="L17834" s="43">
        <v>8.4254787676935887</v>
      </c>
      <c r="M17834" s="43">
        <v>11.500052427388066</v>
      </c>
      <c r="N17834" s="43">
        <v>5.2730817875210798</v>
      </c>
      <c r="O17834" s="43">
        <v>11.503164556962025</v>
      </c>
      <c r="P17834" s="559"/>
      <c r="Q17834" s="559"/>
      <c r="R17834" s="559">
        <v>6</v>
      </c>
    </row>
    <row r="17835" spans="1:18" ht="84">
      <c r="A17835" s="555">
        <v>274</v>
      </c>
      <c r="B17835" s="552" t="s">
        <v>32128</v>
      </c>
      <c r="C17835" s="556" t="s">
        <v>32129</v>
      </c>
      <c r="D17835" s="557">
        <v>226.54</v>
      </c>
      <c r="E17835" s="557">
        <v>112.6</v>
      </c>
      <c r="F17835" s="557">
        <v>111.69</v>
      </c>
      <c r="G17835" s="557">
        <v>2.25</v>
      </c>
      <c r="H17835" s="558">
        <v>1909.82</v>
      </c>
      <c r="I17835" s="558">
        <v>1294.97</v>
      </c>
      <c r="J17835" s="558">
        <v>588.97</v>
      </c>
      <c r="K17835" s="558">
        <v>25.88</v>
      </c>
      <c r="L17835" s="43">
        <v>8.4303875695241466</v>
      </c>
      <c r="M17835" s="43">
        <v>11.500621669627</v>
      </c>
      <c r="N17835" s="43">
        <v>5.2732563344972698</v>
      </c>
      <c r="O17835" s="43">
        <v>11.503164556962025</v>
      </c>
      <c r="P17835" s="559"/>
      <c r="Q17835" s="559"/>
      <c r="R17835" s="559">
        <v>6</v>
      </c>
    </row>
    <row r="17836" spans="1:18" ht="84">
      <c r="A17836" s="555">
        <v>275</v>
      </c>
      <c r="B17836" s="552" t="s">
        <v>32130</v>
      </c>
      <c r="C17836" s="556" t="s">
        <v>32131</v>
      </c>
      <c r="D17836" s="557">
        <v>255.03</v>
      </c>
      <c r="E17836" s="557">
        <v>126.39</v>
      </c>
      <c r="F17836" s="557">
        <v>126.11</v>
      </c>
      <c r="G17836" s="557">
        <v>2.5299999999999998</v>
      </c>
      <c r="H17836" s="558">
        <v>2147.61</v>
      </c>
      <c r="I17836" s="558">
        <v>1453.54</v>
      </c>
      <c r="J17836" s="558">
        <v>664.97</v>
      </c>
      <c r="K17836" s="558">
        <v>29.1</v>
      </c>
      <c r="L17836" s="43">
        <v>8.4210092930243512</v>
      </c>
      <c r="M17836" s="43">
        <v>11.500435161009573</v>
      </c>
      <c r="N17836" s="43">
        <v>5.2729363254301802</v>
      </c>
      <c r="O17836" s="43">
        <v>11.503164556962025</v>
      </c>
      <c r="P17836" s="559"/>
      <c r="Q17836" s="559"/>
      <c r="R17836" s="559">
        <v>6</v>
      </c>
    </row>
    <row r="17837" spans="1:18" ht="84">
      <c r="A17837" s="555">
        <v>276</v>
      </c>
      <c r="B17837" s="552" t="s">
        <v>32132</v>
      </c>
      <c r="C17837" s="556" t="s">
        <v>32133</v>
      </c>
      <c r="D17837" s="557">
        <v>296.48</v>
      </c>
      <c r="E17837" s="557">
        <v>149.37</v>
      </c>
      <c r="F17837" s="557">
        <v>144.12</v>
      </c>
      <c r="G17837" s="557">
        <v>2.99</v>
      </c>
      <c r="H17837" s="558">
        <v>2512.17</v>
      </c>
      <c r="I17837" s="558">
        <v>1717.82</v>
      </c>
      <c r="J17837" s="558">
        <v>759.96</v>
      </c>
      <c r="K17837" s="558">
        <v>34.39</v>
      </c>
      <c r="L17837" s="43">
        <v>8.47332029141932</v>
      </c>
      <c r="M17837" s="43">
        <v>11.500435161009573</v>
      </c>
      <c r="N17837" s="43">
        <v>5.2731057452123231</v>
      </c>
      <c r="O17837" s="43">
        <v>11.503164556962025</v>
      </c>
      <c r="P17837" s="559"/>
      <c r="Q17837" s="559"/>
      <c r="R17837" s="559">
        <v>6</v>
      </c>
    </row>
    <row r="17838" spans="1:18" ht="84">
      <c r="A17838" s="555">
        <v>277</v>
      </c>
      <c r="B17838" s="552" t="s">
        <v>32134</v>
      </c>
      <c r="C17838" s="556" t="s">
        <v>32135</v>
      </c>
      <c r="D17838" s="557">
        <v>111.5</v>
      </c>
      <c r="E17838" s="557">
        <v>55.15</v>
      </c>
      <c r="F17838" s="557">
        <v>55.25</v>
      </c>
      <c r="G17838" s="557">
        <v>1.1000000000000001</v>
      </c>
      <c r="H17838" s="558">
        <v>938.24</v>
      </c>
      <c r="I17838" s="558">
        <v>634.27</v>
      </c>
      <c r="J17838" s="558">
        <v>291.32</v>
      </c>
      <c r="K17838" s="558">
        <v>12.65</v>
      </c>
      <c r="L17838" s="43">
        <v>8.4147085201793725</v>
      </c>
      <c r="M17838" s="43">
        <v>11.50081595648232</v>
      </c>
      <c r="N17838" s="43">
        <v>5.2727601809954754</v>
      </c>
      <c r="O17838" s="43">
        <v>11.503164556962025</v>
      </c>
      <c r="P17838" s="559"/>
      <c r="Q17838" s="559"/>
      <c r="R17838" s="559">
        <v>6</v>
      </c>
    </row>
    <row r="17839" spans="1:18" ht="84">
      <c r="A17839" s="555">
        <v>278</v>
      </c>
      <c r="B17839" s="552" t="s">
        <v>32136</v>
      </c>
      <c r="C17839" s="556" t="s">
        <v>32137</v>
      </c>
      <c r="D17839" s="557">
        <v>153.01</v>
      </c>
      <c r="E17839" s="557">
        <v>75.83</v>
      </c>
      <c r="F17839" s="557">
        <v>75.66</v>
      </c>
      <c r="G17839" s="557">
        <v>1.52</v>
      </c>
      <c r="H17839" s="558">
        <v>1288.58</v>
      </c>
      <c r="I17839" s="558">
        <v>872.12</v>
      </c>
      <c r="J17839" s="558">
        <v>398.98</v>
      </c>
      <c r="K17839" s="558">
        <v>17.48</v>
      </c>
      <c r="L17839" s="43">
        <v>8.4215410757466831</v>
      </c>
      <c r="M17839" s="43">
        <v>11.500989054463933</v>
      </c>
      <c r="N17839" s="43">
        <v>5.2733280465239236</v>
      </c>
      <c r="O17839" s="43">
        <v>11.503164556962025</v>
      </c>
      <c r="P17839" s="559"/>
      <c r="Q17839" s="559"/>
      <c r="R17839" s="559">
        <v>6</v>
      </c>
    </row>
    <row r="17840" spans="1:18" ht="84">
      <c r="A17840" s="555">
        <v>279</v>
      </c>
      <c r="B17840" s="552" t="s">
        <v>32138</v>
      </c>
      <c r="C17840" s="556" t="s">
        <v>32139</v>
      </c>
      <c r="D17840" s="557">
        <v>196.9</v>
      </c>
      <c r="E17840" s="557">
        <v>97.67</v>
      </c>
      <c r="F17840" s="557">
        <v>97.28</v>
      </c>
      <c r="G17840" s="557">
        <v>1.95</v>
      </c>
      <c r="H17840" s="558">
        <v>1658.59</v>
      </c>
      <c r="I17840" s="558">
        <v>1123.19</v>
      </c>
      <c r="J17840" s="558">
        <v>512.97</v>
      </c>
      <c r="K17840" s="558">
        <v>22.43</v>
      </c>
      <c r="L17840" s="43">
        <v>8.4235144743524621</v>
      </c>
      <c r="M17840" s="43">
        <v>11.499846421623836</v>
      </c>
      <c r="N17840" s="43">
        <v>5.2731291118421053</v>
      </c>
      <c r="O17840" s="43">
        <v>11.503164556962025</v>
      </c>
      <c r="P17840" s="559"/>
      <c r="Q17840" s="559"/>
      <c r="R17840" s="559">
        <v>6</v>
      </c>
    </row>
    <row r="17841" spans="1:18" ht="84">
      <c r="A17841" s="555">
        <v>280</v>
      </c>
      <c r="B17841" s="552" t="s">
        <v>32140</v>
      </c>
      <c r="C17841" s="556" t="s">
        <v>32141</v>
      </c>
      <c r="D17841" s="557">
        <v>240.79</v>
      </c>
      <c r="E17841" s="557">
        <v>119.5</v>
      </c>
      <c r="F17841" s="557">
        <v>118.9</v>
      </c>
      <c r="G17841" s="557">
        <v>2.39</v>
      </c>
      <c r="H17841" s="558">
        <v>2028.72</v>
      </c>
      <c r="I17841" s="558">
        <v>1374.26</v>
      </c>
      <c r="J17841" s="558">
        <v>626.97</v>
      </c>
      <c r="K17841" s="558">
        <v>27.49</v>
      </c>
      <c r="L17841" s="43">
        <v>8.4252668300178577</v>
      </c>
      <c r="M17841" s="43">
        <v>11.500083682008368</v>
      </c>
      <c r="N17841" s="43">
        <v>5.2730866274179986</v>
      </c>
      <c r="O17841" s="43">
        <v>11.503164556962025</v>
      </c>
      <c r="P17841" s="559"/>
      <c r="Q17841" s="559"/>
      <c r="R17841" s="559">
        <v>6</v>
      </c>
    </row>
    <row r="17842" spans="1:18" ht="84">
      <c r="A17842" s="555">
        <v>281</v>
      </c>
      <c r="B17842" s="552" t="s">
        <v>32142</v>
      </c>
      <c r="C17842" s="556" t="s">
        <v>32143</v>
      </c>
      <c r="D17842" s="557">
        <v>131.65</v>
      </c>
      <c r="E17842" s="557">
        <v>65.489999999999995</v>
      </c>
      <c r="F17842" s="557">
        <v>64.849999999999994</v>
      </c>
      <c r="G17842" s="557">
        <v>1.31</v>
      </c>
      <c r="H17842" s="558">
        <v>1110.25</v>
      </c>
      <c r="I17842" s="558">
        <v>753.2</v>
      </c>
      <c r="J17842" s="558">
        <v>341.98</v>
      </c>
      <c r="K17842" s="558">
        <v>15.07</v>
      </c>
      <c r="L17842" s="43">
        <v>8.4333459931636909</v>
      </c>
      <c r="M17842" s="43">
        <v>11.500992517941672</v>
      </c>
      <c r="N17842" s="43">
        <v>5.2734001542020055</v>
      </c>
      <c r="O17842" s="43">
        <v>11.503164556962025</v>
      </c>
      <c r="P17842" s="559"/>
      <c r="Q17842" s="559"/>
      <c r="R17842" s="559">
        <v>6</v>
      </c>
    </row>
    <row r="17843" spans="1:18" ht="84">
      <c r="A17843" s="555">
        <v>282</v>
      </c>
      <c r="B17843" s="552" t="s">
        <v>32144</v>
      </c>
      <c r="C17843" s="556" t="s">
        <v>32145</v>
      </c>
      <c r="D17843" s="557">
        <v>180.28</v>
      </c>
      <c r="E17843" s="557">
        <v>89.62</v>
      </c>
      <c r="F17843" s="557">
        <v>88.87</v>
      </c>
      <c r="G17843" s="557">
        <v>1.79</v>
      </c>
      <c r="H17843" s="558">
        <v>1519.92</v>
      </c>
      <c r="I17843" s="558">
        <v>1030.69</v>
      </c>
      <c r="J17843" s="558">
        <v>468.64</v>
      </c>
      <c r="K17843" s="558">
        <v>20.59</v>
      </c>
      <c r="L17843" s="43">
        <v>8.4308852895495896</v>
      </c>
      <c r="M17843" s="43">
        <v>11.500669493416648</v>
      </c>
      <c r="N17843" s="43">
        <v>5.2733205806233823</v>
      </c>
      <c r="O17843" s="43">
        <v>11.503164556962025</v>
      </c>
      <c r="P17843" s="559"/>
      <c r="Q17843" s="559"/>
      <c r="R17843" s="559">
        <v>6</v>
      </c>
    </row>
    <row r="17844" spans="1:18" ht="84">
      <c r="A17844" s="555">
        <v>283</v>
      </c>
      <c r="B17844" s="552" t="s">
        <v>32146</v>
      </c>
      <c r="C17844" s="556" t="s">
        <v>32147</v>
      </c>
      <c r="D17844" s="557">
        <v>148.27000000000001</v>
      </c>
      <c r="E17844" s="557">
        <v>73.540000000000006</v>
      </c>
      <c r="F17844" s="557">
        <v>73.260000000000005</v>
      </c>
      <c r="G17844" s="557">
        <v>1.47</v>
      </c>
      <c r="H17844" s="558">
        <v>1248.92</v>
      </c>
      <c r="I17844" s="558">
        <v>845.7</v>
      </c>
      <c r="J17844" s="558">
        <v>386.31</v>
      </c>
      <c r="K17844" s="558">
        <v>16.91</v>
      </c>
      <c r="L17844" s="43">
        <v>8.4232818506778173</v>
      </c>
      <c r="M17844" s="43">
        <v>11.49986401958118</v>
      </c>
      <c r="N17844" s="43">
        <v>5.2731367731367724</v>
      </c>
      <c r="O17844" s="43">
        <v>11.503164556962025</v>
      </c>
      <c r="P17844" s="559"/>
      <c r="Q17844" s="559"/>
      <c r="R17844" s="559">
        <v>6</v>
      </c>
    </row>
    <row r="17845" spans="1:18" ht="84">
      <c r="A17845" s="555">
        <v>284</v>
      </c>
      <c r="B17845" s="552" t="s">
        <v>32148</v>
      </c>
      <c r="C17845" s="556" t="s">
        <v>32149</v>
      </c>
      <c r="D17845" s="557">
        <v>204.01</v>
      </c>
      <c r="E17845" s="557">
        <v>101.11</v>
      </c>
      <c r="F17845" s="557">
        <v>100.88</v>
      </c>
      <c r="G17845" s="557">
        <v>2.02</v>
      </c>
      <c r="H17845" s="558">
        <v>1718.03</v>
      </c>
      <c r="I17845" s="558">
        <v>1162.83</v>
      </c>
      <c r="J17845" s="558">
        <v>531.97</v>
      </c>
      <c r="K17845" s="558">
        <v>23.23</v>
      </c>
      <c r="L17845" s="43">
        <v>8.4213028773099357</v>
      </c>
      <c r="M17845" s="43">
        <v>11.500642864207299</v>
      </c>
      <c r="N17845" s="43">
        <v>5.2732950039651074</v>
      </c>
      <c r="O17845" s="43">
        <v>11.503164556962025</v>
      </c>
      <c r="P17845" s="559"/>
      <c r="Q17845" s="559"/>
      <c r="R17845" s="559">
        <v>6</v>
      </c>
    </row>
    <row r="17846" spans="1:18" ht="84">
      <c r="A17846" s="555">
        <v>285</v>
      </c>
      <c r="B17846" s="552" t="s">
        <v>32150</v>
      </c>
      <c r="C17846" s="556" t="s">
        <v>32151</v>
      </c>
      <c r="D17846" s="557">
        <v>170.8</v>
      </c>
      <c r="E17846" s="557">
        <v>85.03</v>
      </c>
      <c r="F17846" s="557">
        <v>84.07</v>
      </c>
      <c r="G17846" s="557">
        <v>1.7</v>
      </c>
      <c r="H17846" s="558">
        <v>1440.7</v>
      </c>
      <c r="I17846" s="558">
        <v>977.84</v>
      </c>
      <c r="J17846" s="558">
        <v>443.31</v>
      </c>
      <c r="K17846" s="558">
        <v>19.55</v>
      </c>
      <c r="L17846" s="43">
        <v>8.4350117096018735</v>
      </c>
      <c r="M17846" s="43">
        <v>11.499941197224508</v>
      </c>
      <c r="N17846" s="43">
        <v>5.2731057452123231</v>
      </c>
      <c r="O17846" s="43">
        <v>11.503164556962025</v>
      </c>
      <c r="P17846" s="559"/>
      <c r="Q17846" s="559"/>
      <c r="R17846" s="559">
        <v>6</v>
      </c>
    </row>
    <row r="17847" spans="1:18" ht="84">
      <c r="A17847" s="555">
        <v>286</v>
      </c>
      <c r="B17847" s="552" t="s">
        <v>32152</v>
      </c>
      <c r="C17847" s="556" t="s">
        <v>32153</v>
      </c>
      <c r="D17847" s="557">
        <v>233.67</v>
      </c>
      <c r="E17847" s="557">
        <v>116.05</v>
      </c>
      <c r="F17847" s="557">
        <v>115.3</v>
      </c>
      <c r="G17847" s="557">
        <v>2.3199999999999998</v>
      </c>
      <c r="H17847" s="558">
        <v>1969.26</v>
      </c>
      <c r="I17847" s="558">
        <v>1334.61</v>
      </c>
      <c r="J17847" s="558">
        <v>607.97</v>
      </c>
      <c r="K17847" s="558">
        <v>26.68</v>
      </c>
      <c r="L17847" s="43">
        <v>8.4275259982025936</v>
      </c>
      <c r="M17847" s="43">
        <v>11.500301594140456</v>
      </c>
      <c r="N17847" s="43">
        <v>5.2729401561144842</v>
      </c>
      <c r="O17847" s="43">
        <v>11.503164556962025</v>
      </c>
      <c r="P17847" s="559"/>
      <c r="Q17847" s="559"/>
      <c r="R17847" s="559">
        <v>6</v>
      </c>
    </row>
    <row r="17848" spans="1:18" ht="84">
      <c r="A17848" s="555">
        <v>287</v>
      </c>
      <c r="B17848" s="552" t="s">
        <v>32154</v>
      </c>
      <c r="C17848" s="556" t="s">
        <v>32155</v>
      </c>
      <c r="D17848" s="557">
        <v>185.04</v>
      </c>
      <c r="E17848" s="557">
        <v>91.92</v>
      </c>
      <c r="F17848" s="557">
        <v>91.28</v>
      </c>
      <c r="G17848" s="557">
        <v>1.84</v>
      </c>
      <c r="H17848" s="558">
        <v>1559.59</v>
      </c>
      <c r="I17848" s="558">
        <v>1057.1199999999999</v>
      </c>
      <c r="J17848" s="558">
        <v>481.31</v>
      </c>
      <c r="K17848" s="558">
        <v>21.16</v>
      </c>
      <c r="L17848" s="43">
        <v>8.4283938607868567</v>
      </c>
      <c r="M17848" s="43">
        <v>11.500435161009571</v>
      </c>
      <c r="N17848" s="43">
        <v>5.2728965819456617</v>
      </c>
      <c r="O17848" s="43">
        <v>11.503164556962025</v>
      </c>
      <c r="P17848" s="559"/>
      <c r="Q17848" s="559"/>
      <c r="R17848" s="559">
        <v>6</v>
      </c>
    </row>
    <row r="17849" spans="1:18" ht="84">
      <c r="A17849" s="555">
        <v>288</v>
      </c>
      <c r="B17849" s="552" t="s">
        <v>32156</v>
      </c>
      <c r="C17849" s="556" t="s">
        <v>32157</v>
      </c>
      <c r="D17849" s="557">
        <v>255.03</v>
      </c>
      <c r="E17849" s="557">
        <v>126.39</v>
      </c>
      <c r="F17849" s="557">
        <v>126.11</v>
      </c>
      <c r="G17849" s="557">
        <v>2.5299999999999998</v>
      </c>
      <c r="H17849" s="558">
        <v>2147.61</v>
      </c>
      <c r="I17849" s="558">
        <v>1453.54</v>
      </c>
      <c r="J17849" s="558">
        <v>664.97</v>
      </c>
      <c r="K17849" s="558">
        <v>29.1</v>
      </c>
      <c r="L17849" s="43">
        <v>8.4210092930243512</v>
      </c>
      <c r="M17849" s="43">
        <v>11.500435161009573</v>
      </c>
      <c r="N17849" s="43">
        <v>5.2729363254301802</v>
      </c>
      <c r="O17849" s="43">
        <v>11.503164556962025</v>
      </c>
      <c r="P17849" s="559"/>
      <c r="Q17849" s="559"/>
      <c r="R17849" s="559">
        <v>6</v>
      </c>
    </row>
    <row r="17850" spans="1:18" ht="12.75" customHeight="1">
      <c r="A17850" s="628" t="s">
        <v>32158</v>
      </c>
      <c r="B17850" s="629"/>
      <c r="C17850" s="629"/>
      <c r="D17850" s="629"/>
      <c r="E17850" s="629"/>
      <c r="F17850" s="629"/>
      <c r="G17850" s="629"/>
      <c r="H17850" s="629"/>
      <c r="I17850" s="629"/>
      <c r="J17850" s="629"/>
      <c r="K17850" s="629"/>
      <c r="L17850" s="629"/>
      <c r="M17850" s="629"/>
      <c r="N17850" s="629"/>
      <c r="O17850" s="629"/>
      <c r="P17850" s="629"/>
      <c r="Q17850" s="629"/>
      <c r="R17850" s="629"/>
    </row>
    <row r="17851" spans="1:18" ht="84">
      <c r="A17851" s="555">
        <v>289</v>
      </c>
      <c r="B17851" s="552" t="s">
        <v>32159</v>
      </c>
      <c r="C17851" s="556" t="s">
        <v>32160</v>
      </c>
      <c r="D17851" s="557">
        <v>4.3899999999999997</v>
      </c>
      <c r="E17851" s="557">
        <v>2.2999999999999998</v>
      </c>
      <c r="F17851" s="557">
        <v>2.04</v>
      </c>
      <c r="G17851" s="557">
        <v>0.05</v>
      </c>
      <c r="H17851" s="558">
        <v>37.78</v>
      </c>
      <c r="I17851" s="558">
        <v>26.43</v>
      </c>
      <c r="J17851" s="558">
        <v>10.77</v>
      </c>
      <c r="K17851" s="558">
        <v>0.57999999999999996</v>
      </c>
      <c r="L17851" s="43">
        <v>8.6059225512528474</v>
      </c>
      <c r="M17851" s="43">
        <v>11.5</v>
      </c>
      <c r="N17851" s="43">
        <v>5.2794117647058822</v>
      </c>
      <c r="O17851" s="43">
        <v>11.503164556962025</v>
      </c>
      <c r="P17851" s="559"/>
      <c r="Q17851" s="559"/>
      <c r="R17851" s="559">
        <v>7</v>
      </c>
    </row>
    <row r="17852" spans="1:18" ht="84">
      <c r="A17852" s="555">
        <v>290</v>
      </c>
      <c r="B17852" s="552" t="s">
        <v>32161</v>
      </c>
      <c r="C17852" s="556" t="s">
        <v>32162</v>
      </c>
      <c r="D17852" s="557">
        <v>4.8600000000000003</v>
      </c>
      <c r="E17852" s="557">
        <v>2.41</v>
      </c>
      <c r="F17852" s="557">
        <v>2.4</v>
      </c>
      <c r="G17852" s="557">
        <v>0.05</v>
      </c>
      <c r="H17852" s="558">
        <v>41</v>
      </c>
      <c r="I17852" s="558">
        <v>27.75</v>
      </c>
      <c r="J17852" s="558">
        <v>12.67</v>
      </c>
      <c r="K17852" s="558">
        <v>0.57999999999999996</v>
      </c>
      <c r="L17852" s="43">
        <v>8.4362139917695469</v>
      </c>
      <c r="M17852" s="43">
        <v>11.504522821576799</v>
      </c>
      <c r="N17852" s="43">
        <v>5.2791666666666668</v>
      </c>
      <c r="O17852" s="43">
        <v>11.503164556962025</v>
      </c>
      <c r="P17852" s="559"/>
      <c r="Q17852" s="559"/>
      <c r="R17852" s="559">
        <v>7</v>
      </c>
    </row>
    <row r="17853" spans="1:18" ht="84">
      <c r="A17853" s="555">
        <v>291</v>
      </c>
      <c r="B17853" s="552" t="s">
        <v>32163</v>
      </c>
      <c r="C17853" s="556" t="s">
        <v>32164</v>
      </c>
      <c r="D17853" s="557">
        <v>7</v>
      </c>
      <c r="E17853" s="557">
        <v>3.45</v>
      </c>
      <c r="F17853" s="557">
        <v>3.48</v>
      </c>
      <c r="G17853" s="557">
        <v>7.0000000000000007E-2</v>
      </c>
      <c r="H17853" s="558">
        <v>58.82</v>
      </c>
      <c r="I17853" s="558">
        <v>39.64</v>
      </c>
      <c r="J17853" s="558">
        <v>18.37</v>
      </c>
      <c r="K17853" s="558">
        <v>0.81</v>
      </c>
      <c r="L17853" s="43">
        <v>8.4028571428571421</v>
      </c>
      <c r="M17853" s="43">
        <v>11.5</v>
      </c>
      <c r="N17853" s="43">
        <v>5.2787356321839081</v>
      </c>
      <c r="O17853" s="43">
        <v>11.503164556962025</v>
      </c>
      <c r="P17853" s="559"/>
      <c r="Q17853" s="559"/>
      <c r="R17853" s="559">
        <v>7</v>
      </c>
    </row>
    <row r="17854" spans="1:18" ht="84">
      <c r="A17854" s="555">
        <v>292</v>
      </c>
      <c r="B17854" s="552" t="s">
        <v>32165</v>
      </c>
      <c r="C17854" s="556" t="s">
        <v>32166</v>
      </c>
      <c r="D17854" s="557">
        <v>8.3000000000000007</v>
      </c>
      <c r="E17854" s="557">
        <v>4.1399999999999997</v>
      </c>
      <c r="F17854" s="557">
        <v>4.08</v>
      </c>
      <c r="G17854" s="557">
        <v>0.08</v>
      </c>
      <c r="H17854" s="558">
        <v>70.02</v>
      </c>
      <c r="I17854" s="558">
        <v>47.57</v>
      </c>
      <c r="J17854" s="558">
        <v>21.53</v>
      </c>
      <c r="K17854" s="558">
        <v>0.92</v>
      </c>
      <c r="L17854" s="43">
        <v>8.436144578313252</v>
      </c>
      <c r="M17854" s="43">
        <v>11.5</v>
      </c>
      <c r="N17854" s="43">
        <v>5.2769607843137258</v>
      </c>
      <c r="O17854" s="43">
        <v>11.503164556962025</v>
      </c>
      <c r="P17854" s="559"/>
      <c r="Q17854" s="559"/>
      <c r="R17854" s="559">
        <v>7</v>
      </c>
    </row>
    <row r="17855" spans="1:18" ht="84">
      <c r="A17855" s="555">
        <v>293</v>
      </c>
      <c r="B17855" s="552" t="s">
        <v>32167</v>
      </c>
      <c r="C17855" s="556" t="s">
        <v>32168</v>
      </c>
      <c r="D17855" s="557">
        <v>9.48</v>
      </c>
      <c r="E17855" s="557">
        <v>4.71</v>
      </c>
      <c r="F17855" s="557">
        <v>4.68</v>
      </c>
      <c r="G17855" s="557">
        <v>0.09</v>
      </c>
      <c r="H17855" s="558">
        <v>79.92</v>
      </c>
      <c r="I17855" s="558">
        <v>54.18</v>
      </c>
      <c r="J17855" s="558">
        <v>24.7</v>
      </c>
      <c r="K17855" s="558">
        <v>1.04</v>
      </c>
      <c r="L17855" s="43">
        <v>8.4303797468354436</v>
      </c>
      <c r="M17855" s="43">
        <v>11.503184713375797</v>
      </c>
      <c r="N17855" s="43">
        <v>5.2777777777777777</v>
      </c>
      <c r="O17855" s="43">
        <v>11.503164556962025</v>
      </c>
      <c r="P17855" s="559"/>
      <c r="Q17855" s="559"/>
      <c r="R17855" s="559">
        <v>7</v>
      </c>
    </row>
    <row r="17856" spans="1:18" ht="84">
      <c r="A17856" s="555">
        <v>294</v>
      </c>
      <c r="B17856" s="552" t="s">
        <v>32169</v>
      </c>
      <c r="C17856" s="556" t="s">
        <v>32170</v>
      </c>
      <c r="D17856" s="557">
        <v>11.38</v>
      </c>
      <c r="E17856" s="557">
        <v>5.75</v>
      </c>
      <c r="F17856" s="557">
        <v>5.52</v>
      </c>
      <c r="G17856" s="557">
        <v>0.11</v>
      </c>
      <c r="H17856" s="558">
        <v>96.47</v>
      </c>
      <c r="I17856" s="558">
        <v>66.069999999999993</v>
      </c>
      <c r="J17856" s="558">
        <v>29.13</v>
      </c>
      <c r="K17856" s="558">
        <v>1.27</v>
      </c>
      <c r="L17856" s="43">
        <v>8.4771528998242527</v>
      </c>
      <c r="M17856" s="43">
        <v>11.5</v>
      </c>
      <c r="N17856" s="43">
        <v>5.2771739130434785</v>
      </c>
      <c r="O17856" s="43">
        <v>11.503164556962025</v>
      </c>
      <c r="P17856" s="559"/>
      <c r="Q17856" s="559"/>
      <c r="R17856" s="559">
        <v>7</v>
      </c>
    </row>
    <row r="17857" spans="1:18" ht="84">
      <c r="A17857" s="555">
        <v>295</v>
      </c>
      <c r="B17857" s="552" t="s">
        <v>32171</v>
      </c>
      <c r="C17857" s="556" t="s">
        <v>32172</v>
      </c>
      <c r="D17857" s="557">
        <v>13.52</v>
      </c>
      <c r="E17857" s="557">
        <v>6.89</v>
      </c>
      <c r="F17857" s="557">
        <v>6.49</v>
      </c>
      <c r="G17857" s="557">
        <v>0.14000000000000001</v>
      </c>
      <c r="H17857" s="558">
        <v>115.09</v>
      </c>
      <c r="I17857" s="558">
        <v>79.28</v>
      </c>
      <c r="J17857" s="558">
        <v>34.200000000000003</v>
      </c>
      <c r="K17857" s="558">
        <v>1.61</v>
      </c>
      <c r="L17857" s="43">
        <v>8.512573964497042</v>
      </c>
      <c r="M17857" s="43">
        <v>11.5021951219512</v>
      </c>
      <c r="N17857" s="43">
        <v>5.26964560862866</v>
      </c>
      <c r="O17857" s="43">
        <v>11.503164556962025</v>
      </c>
      <c r="P17857" s="559"/>
      <c r="Q17857" s="559"/>
      <c r="R17857" s="559">
        <v>7</v>
      </c>
    </row>
    <row r="17858" spans="1:18" ht="84">
      <c r="A17858" s="555">
        <v>296</v>
      </c>
      <c r="B17858" s="552" t="s">
        <v>32173</v>
      </c>
      <c r="C17858" s="556" t="s">
        <v>32174</v>
      </c>
      <c r="D17858" s="557">
        <v>12.45</v>
      </c>
      <c r="E17858" s="557">
        <v>6.2</v>
      </c>
      <c r="F17858" s="557">
        <v>6.13</v>
      </c>
      <c r="G17858" s="557">
        <v>0.12</v>
      </c>
      <c r="H17858" s="558">
        <v>105.04</v>
      </c>
      <c r="I17858" s="558">
        <v>71.36</v>
      </c>
      <c r="J17858" s="558">
        <v>32.299999999999997</v>
      </c>
      <c r="K17858" s="558">
        <v>1.38</v>
      </c>
      <c r="L17858" s="43">
        <v>8.4369477911646591</v>
      </c>
      <c r="M17858" s="43">
        <v>11.5021951219512</v>
      </c>
      <c r="N17858" s="43">
        <v>5.2691680261011413</v>
      </c>
      <c r="O17858" s="43">
        <v>11.503164556962025</v>
      </c>
      <c r="P17858" s="559"/>
      <c r="Q17858" s="559"/>
      <c r="R17858" s="559">
        <v>7</v>
      </c>
    </row>
    <row r="17859" spans="1:18" ht="84">
      <c r="A17859" s="555">
        <v>297</v>
      </c>
      <c r="B17859" s="552" t="s">
        <v>32175</v>
      </c>
      <c r="C17859" s="556" t="s">
        <v>32176</v>
      </c>
      <c r="D17859" s="557">
        <v>14.83</v>
      </c>
      <c r="E17859" s="557">
        <v>7.35</v>
      </c>
      <c r="F17859" s="557">
        <v>7.33</v>
      </c>
      <c r="G17859" s="557">
        <v>0.15</v>
      </c>
      <c r="H17859" s="558">
        <v>124.93</v>
      </c>
      <c r="I17859" s="558">
        <v>84.57</v>
      </c>
      <c r="J17859" s="558">
        <v>38.630000000000003</v>
      </c>
      <c r="K17859" s="558">
        <v>1.73</v>
      </c>
      <c r="L17859" s="43">
        <v>8.424140256237358</v>
      </c>
      <c r="M17859" s="43">
        <v>11.5021951219512</v>
      </c>
      <c r="N17859" s="43">
        <v>5.2701227830832202</v>
      </c>
      <c r="O17859" s="43">
        <v>11.503164556962025</v>
      </c>
      <c r="P17859" s="559"/>
      <c r="Q17859" s="559"/>
      <c r="R17859" s="559">
        <v>7</v>
      </c>
    </row>
    <row r="17860" spans="1:18" ht="84">
      <c r="A17860" s="555">
        <v>298</v>
      </c>
      <c r="B17860" s="552" t="s">
        <v>32177</v>
      </c>
      <c r="C17860" s="556" t="s">
        <v>32178</v>
      </c>
      <c r="D17860" s="557">
        <v>17.079999999999998</v>
      </c>
      <c r="E17860" s="557">
        <v>8.5</v>
      </c>
      <c r="F17860" s="557">
        <v>8.41</v>
      </c>
      <c r="G17860" s="557">
        <v>0.17</v>
      </c>
      <c r="H17860" s="558">
        <v>144.07</v>
      </c>
      <c r="I17860" s="558">
        <v>97.78</v>
      </c>
      <c r="J17860" s="558">
        <v>44.33</v>
      </c>
      <c r="K17860" s="558">
        <v>1.96</v>
      </c>
      <c r="L17860" s="43">
        <v>8.4350117096018735</v>
      </c>
      <c r="M17860" s="43">
        <v>11.503529411764706</v>
      </c>
      <c r="N17860" s="43">
        <v>5.2711058263971458</v>
      </c>
      <c r="O17860" s="43">
        <v>11.503164556962025</v>
      </c>
      <c r="P17860" s="559"/>
      <c r="Q17860" s="559"/>
      <c r="R17860" s="559">
        <v>7</v>
      </c>
    </row>
    <row r="17861" spans="1:18" ht="84">
      <c r="A17861" s="555">
        <v>299</v>
      </c>
      <c r="B17861" s="552" t="s">
        <v>32179</v>
      </c>
      <c r="C17861" s="556" t="s">
        <v>32180</v>
      </c>
      <c r="D17861" s="557">
        <v>16.010000000000002</v>
      </c>
      <c r="E17861" s="557">
        <v>8.0399999999999991</v>
      </c>
      <c r="F17861" s="557">
        <v>7.81</v>
      </c>
      <c r="G17861" s="557">
        <v>0.16</v>
      </c>
      <c r="H17861" s="558">
        <v>135.5</v>
      </c>
      <c r="I17861" s="558">
        <v>92.5</v>
      </c>
      <c r="J17861" s="558">
        <v>41.16</v>
      </c>
      <c r="K17861" s="558">
        <v>1.84</v>
      </c>
      <c r="L17861" s="43">
        <v>8.4634603372891934</v>
      </c>
      <c r="M17861" s="43">
        <v>11.504975124378111</v>
      </c>
      <c r="N17861" s="43">
        <v>5.2701664532650447</v>
      </c>
      <c r="O17861" s="43">
        <v>11.503164556962025</v>
      </c>
      <c r="P17861" s="559"/>
      <c r="Q17861" s="559"/>
      <c r="R17861" s="559">
        <v>7</v>
      </c>
    </row>
    <row r="17862" spans="1:18" ht="84">
      <c r="A17862" s="555">
        <v>300</v>
      </c>
      <c r="B17862" s="552" t="s">
        <v>32181</v>
      </c>
      <c r="C17862" s="556" t="s">
        <v>32182</v>
      </c>
      <c r="D17862" s="557">
        <v>18.75</v>
      </c>
      <c r="E17862" s="557">
        <v>9.31</v>
      </c>
      <c r="F17862" s="557">
        <v>9.25</v>
      </c>
      <c r="G17862" s="557">
        <v>0.19</v>
      </c>
      <c r="H17862" s="558">
        <v>157.97999999999999</v>
      </c>
      <c r="I17862" s="558">
        <v>107.03</v>
      </c>
      <c r="J17862" s="558">
        <v>48.76</v>
      </c>
      <c r="K17862" s="558">
        <v>2.19</v>
      </c>
      <c r="L17862" s="43">
        <v>8.4255999999999993</v>
      </c>
      <c r="M17862" s="43">
        <v>11.496240601503759</v>
      </c>
      <c r="N17862" s="43">
        <v>5.2713513513513508</v>
      </c>
      <c r="O17862" s="43">
        <v>11.503164556962025</v>
      </c>
      <c r="P17862" s="559"/>
      <c r="Q17862" s="559"/>
      <c r="R17862" s="559">
        <v>7</v>
      </c>
    </row>
    <row r="17863" spans="1:18" ht="84">
      <c r="A17863" s="555">
        <v>301</v>
      </c>
      <c r="B17863" s="552" t="s">
        <v>32183</v>
      </c>
      <c r="C17863" s="556" t="s">
        <v>32184</v>
      </c>
      <c r="D17863" s="557">
        <v>25.38</v>
      </c>
      <c r="E17863" s="557">
        <v>12.64</v>
      </c>
      <c r="F17863" s="557">
        <v>12.49</v>
      </c>
      <c r="G17863" s="557">
        <v>0.25</v>
      </c>
      <c r="H17863" s="558">
        <v>214.09</v>
      </c>
      <c r="I17863" s="558">
        <v>145.35</v>
      </c>
      <c r="J17863" s="558">
        <v>65.86</v>
      </c>
      <c r="K17863" s="558">
        <v>2.88</v>
      </c>
      <c r="L17863" s="43">
        <v>8.4353821907013398</v>
      </c>
      <c r="M17863" s="43">
        <v>11.499208860759493</v>
      </c>
      <c r="N17863" s="43">
        <v>5.2730184147317853</v>
      </c>
      <c r="O17863" s="43">
        <v>11.503164556962025</v>
      </c>
      <c r="P17863" s="559"/>
      <c r="Q17863" s="559"/>
      <c r="R17863" s="559">
        <v>7</v>
      </c>
    </row>
    <row r="17864" spans="1:18" ht="84">
      <c r="A17864" s="555">
        <v>302</v>
      </c>
      <c r="B17864" s="552" t="s">
        <v>32185</v>
      </c>
      <c r="C17864" s="556" t="s">
        <v>32186</v>
      </c>
      <c r="D17864" s="557">
        <v>20.399999999999999</v>
      </c>
      <c r="E17864" s="557">
        <v>10.34</v>
      </c>
      <c r="F17864" s="557">
        <v>9.85</v>
      </c>
      <c r="G17864" s="557">
        <v>0.21</v>
      </c>
      <c r="H17864" s="558">
        <v>173.28</v>
      </c>
      <c r="I17864" s="558">
        <v>118.93</v>
      </c>
      <c r="J17864" s="558">
        <v>51.93</v>
      </c>
      <c r="K17864" s="558">
        <v>2.42</v>
      </c>
      <c r="L17864" s="43">
        <v>8.4941176470588236</v>
      </c>
      <c r="M17864" s="43">
        <v>11.50193423597679</v>
      </c>
      <c r="N17864" s="43">
        <v>5.2720812182741117</v>
      </c>
      <c r="O17864" s="43">
        <v>11.503164556962025</v>
      </c>
      <c r="P17864" s="559"/>
      <c r="Q17864" s="559"/>
      <c r="R17864" s="559">
        <v>7</v>
      </c>
    </row>
    <row r="17865" spans="1:18" ht="84">
      <c r="A17865" s="555">
        <v>303</v>
      </c>
      <c r="B17865" s="552" t="s">
        <v>32187</v>
      </c>
      <c r="C17865" s="556" t="s">
        <v>32188</v>
      </c>
      <c r="D17865" s="557">
        <v>23.37</v>
      </c>
      <c r="E17865" s="557">
        <v>11.49</v>
      </c>
      <c r="F17865" s="557">
        <v>11.65</v>
      </c>
      <c r="G17865" s="557">
        <v>0.23</v>
      </c>
      <c r="H17865" s="558">
        <v>196.22</v>
      </c>
      <c r="I17865" s="558">
        <v>132.13999999999999</v>
      </c>
      <c r="J17865" s="558">
        <v>61.43</v>
      </c>
      <c r="K17865" s="558">
        <v>2.65</v>
      </c>
      <c r="L17865" s="43">
        <v>8.3962344886606761</v>
      </c>
      <c r="M17865" s="43">
        <v>11.500435161009571</v>
      </c>
      <c r="N17865" s="43">
        <v>5.272961373390558</v>
      </c>
      <c r="O17865" s="43">
        <v>11.503164556962025</v>
      </c>
      <c r="P17865" s="559"/>
      <c r="Q17865" s="559"/>
      <c r="R17865" s="559">
        <v>7</v>
      </c>
    </row>
    <row r="17866" spans="1:18" ht="84">
      <c r="A17866" s="555">
        <v>304</v>
      </c>
      <c r="B17866" s="552" t="s">
        <v>32189</v>
      </c>
      <c r="C17866" s="556" t="s">
        <v>32190</v>
      </c>
      <c r="D17866" s="557">
        <v>32.74</v>
      </c>
      <c r="E17866" s="557">
        <v>16.09</v>
      </c>
      <c r="F17866" s="557">
        <v>16.329999999999998</v>
      </c>
      <c r="G17866" s="557">
        <v>0.32</v>
      </c>
      <c r="H17866" s="558">
        <v>274.81</v>
      </c>
      <c r="I17866" s="558">
        <v>185</v>
      </c>
      <c r="J17866" s="558">
        <v>86.13</v>
      </c>
      <c r="K17866" s="558">
        <v>3.68</v>
      </c>
      <c r="L17866" s="43">
        <v>8.3937080024434945</v>
      </c>
      <c r="M17866" s="43">
        <v>11.497824735860783</v>
      </c>
      <c r="N17866" s="43">
        <v>5.2743417023882424</v>
      </c>
      <c r="O17866" s="43">
        <v>11.503164556962025</v>
      </c>
      <c r="P17866" s="559"/>
      <c r="Q17866" s="559"/>
      <c r="R17866" s="559">
        <v>7</v>
      </c>
    </row>
    <row r="17867" spans="1:18" ht="84">
      <c r="A17867" s="555">
        <v>305</v>
      </c>
      <c r="B17867" s="552" t="s">
        <v>32191</v>
      </c>
      <c r="C17867" s="556" t="s">
        <v>32192</v>
      </c>
      <c r="D17867" s="557">
        <v>39.5</v>
      </c>
      <c r="E17867" s="557">
        <v>19.53</v>
      </c>
      <c r="F17867" s="557">
        <v>19.579999999999998</v>
      </c>
      <c r="G17867" s="557">
        <v>0.39</v>
      </c>
      <c r="H17867" s="558">
        <v>332.36</v>
      </c>
      <c r="I17867" s="558">
        <v>224.64</v>
      </c>
      <c r="J17867" s="558">
        <v>103.23</v>
      </c>
      <c r="K17867" s="558">
        <v>4.49</v>
      </c>
      <c r="L17867" s="43">
        <v>8.4141772151898735</v>
      </c>
      <c r="M17867" s="43">
        <v>11.502304147465436</v>
      </c>
      <c r="N17867" s="43">
        <v>5.2722165474974467</v>
      </c>
      <c r="O17867" s="43">
        <v>11.503164556962025</v>
      </c>
      <c r="P17867" s="559"/>
      <c r="Q17867" s="559"/>
      <c r="R17867" s="559">
        <v>7</v>
      </c>
    </row>
    <row r="17868" spans="1:18" ht="84">
      <c r="A17868" s="555">
        <v>306</v>
      </c>
      <c r="B17868" s="552" t="s">
        <v>32193</v>
      </c>
      <c r="C17868" s="556" t="s">
        <v>32194</v>
      </c>
      <c r="D17868" s="557">
        <v>22.77</v>
      </c>
      <c r="E17868" s="557">
        <v>11.49</v>
      </c>
      <c r="F17868" s="557">
        <v>11.05</v>
      </c>
      <c r="G17868" s="557">
        <v>0.23</v>
      </c>
      <c r="H17868" s="558">
        <v>193.05</v>
      </c>
      <c r="I17868" s="558">
        <v>132.13999999999999</v>
      </c>
      <c r="J17868" s="558">
        <v>58.26</v>
      </c>
      <c r="K17868" s="558">
        <v>2.65</v>
      </c>
      <c r="L17868" s="43">
        <v>8.4782608695652186</v>
      </c>
      <c r="M17868" s="43">
        <v>11.500435161009571</v>
      </c>
      <c r="N17868" s="43">
        <v>5.2723981900452488</v>
      </c>
      <c r="O17868" s="43">
        <v>11.503164556962025</v>
      </c>
      <c r="P17868" s="559"/>
      <c r="Q17868" s="559"/>
      <c r="R17868" s="559">
        <v>7</v>
      </c>
    </row>
    <row r="17869" spans="1:18" ht="84">
      <c r="A17869" s="555">
        <v>307</v>
      </c>
      <c r="B17869" s="552" t="s">
        <v>32195</v>
      </c>
      <c r="C17869" s="556" t="s">
        <v>32196</v>
      </c>
      <c r="D17869" s="557">
        <v>27.76</v>
      </c>
      <c r="E17869" s="557">
        <v>13.79</v>
      </c>
      <c r="F17869" s="557">
        <v>13.69</v>
      </c>
      <c r="G17869" s="557">
        <v>0.28000000000000003</v>
      </c>
      <c r="H17869" s="558">
        <v>233.99</v>
      </c>
      <c r="I17869" s="558">
        <v>158.57</v>
      </c>
      <c r="J17869" s="558">
        <v>72.2</v>
      </c>
      <c r="K17869" s="558">
        <v>3.22</v>
      </c>
      <c r="L17869" s="43">
        <v>8.4290345821325641</v>
      </c>
      <c r="M17869" s="43">
        <v>11.498912255257434</v>
      </c>
      <c r="N17869" s="43">
        <v>5.2739225712198685</v>
      </c>
      <c r="O17869" s="43">
        <v>11.503164556962025</v>
      </c>
      <c r="P17869" s="559"/>
      <c r="Q17869" s="559"/>
      <c r="R17869" s="559">
        <v>7</v>
      </c>
    </row>
    <row r="17870" spans="1:18" ht="84">
      <c r="A17870" s="555">
        <v>308</v>
      </c>
      <c r="B17870" s="552" t="s">
        <v>32197</v>
      </c>
      <c r="C17870" s="556" t="s">
        <v>32198</v>
      </c>
      <c r="D17870" s="557">
        <v>37.49</v>
      </c>
      <c r="E17870" s="557">
        <v>18.38</v>
      </c>
      <c r="F17870" s="557">
        <v>18.739999999999998</v>
      </c>
      <c r="G17870" s="557">
        <v>0.37</v>
      </c>
      <c r="H17870" s="558">
        <v>314.47000000000003</v>
      </c>
      <c r="I17870" s="558">
        <v>211.42</v>
      </c>
      <c r="J17870" s="558">
        <v>98.79</v>
      </c>
      <c r="K17870" s="558">
        <v>4.26</v>
      </c>
      <c r="L17870" s="43">
        <v>8.3881034942651382</v>
      </c>
      <c r="M17870" s="43">
        <v>11.502720348204571</v>
      </c>
      <c r="N17870" s="43">
        <v>5.2716115261472796</v>
      </c>
      <c r="O17870" s="43">
        <v>11.503164556962025</v>
      </c>
      <c r="P17870" s="559"/>
      <c r="Q17870" s="559"/>
      <c r="R17870" s="559">
        <v>7</v>
      </c>
    </row>
    <row r="17871" spans="1:18" ht="84">
      <c r="A17871" s="555">
        <v>309</v>
      </c>
      <c r="B17871" s="552" t="s">
        <v>32199</v>
      </c>
      <c r="C17871" s="556" t="s">
        <v>32200</v>
      </c>
      <c r="D17871" s="557">
        <v>53.5</v>
      </c>
      <c r="E17871" s="557">
        <v>26.43</v>
      </c>
      <c r="F17871" s="557">
        <v>26.54</v>
      </c>
      <c r="G17871" s="557">
        <v>0.53</v>
      </c>
      <c r="H17871" s="558">
        <v>449.98</v>
      </c>
      <c r="I17871" s="558">
        <v>303.92</v>
      </c>
      <c r="J17871" s="558">
        <v>139.96</v>
      </c>
      <c r="K17871" s="558">
        <v>6.1</v>
      </c>
      <c r="L17871" s="43">
        <v>8.4108411214953271</v>
      </c>
      <c r="M17871" s="43">
        <v>11.499054105183504</v>
      </c>
      <c r="N17871" s="43">
        <v>5.273549359457423</v>
      </c>
      <c r="O17871" s="43">
        <v>11.503164556962025</v>
      </c>
      <c r="P17871" s="559"/>
      <c r="Q17871" s="559"/>
      <c r="R17871" s="559">
        <v>7</v>
      </c>
    </row>
    <row r="17872" spans="1:18" ht="84">
      <c r="A17872" s="555">
        <v>310</v>
      </c>
      <c r="B17872" s="552" t="s">
        <v>32201</v>
      </c>
      <c r="C17872" s="556" t="s">
        <v>32202</v>
      </c>
      <c r="D17872" s="557">
        <v>32.74</v>
      </c>
      <c r="E17872" s="557">
        <v>16.09</v>
      </c>
      <c r="F17872" s="557">
        <v>16.329999999999998</v>
      </c>
      <c r="G17872" s="557">
        <v>0.32</v>
      </c>
      <c r="H17872" s="558">
        <v>274.81</v>
      </c>
      <c r="I17872" s="558">
        <v>185</v>
      </c>
      <c r="J17872" s="558">
        <v>86.13</v>
      </c>
      <c r="K17872" s="558">
        <v>3.68</v>
      </c>
      <c r="L17872" s="43">
        <v>8.3937080024434945</v>
      </c>
      <c r="M17872" s="43">
        <v>11.497824735860783</v>
      </c>
      <c r="N17872" s="43">
        <v>5.2743417023882424</v>
      </c>
      <c r="O17872" s="43">
        <v>11.503164556962025</v>
      </c>
      <c r="P17872" s="559"/>
      <c r="Q17872" s="559"/>
      <c r="R17872" s="559">
        <v>7</v>
      </c>
    </row>
    <row r="17873" spans="1:18" ht="84">
      <c r="A17873" s="555">
        <v>311</v>
      </c>
      <c r="B17873" s="552" t="s">
        <v>32203</v>
      </c>
      <c r="C17873" s="556" t="s">
        <v>32204</v>
      </c>
      <c r="D17873" s="557">
        <v>39.380000000000003</v>
      </c>
      <c r="E17873" s="557">
        <v>19.53</v>
      </c>
      <c r="F17873" s="557">
        <v>19.46</v>
      </c>
      <c r="G17873" s="557">
        <v>0.39</v>
      </c>
      <c r="H17873" s="558">
        <v>331.72</v>
      </c>
      <c r="I17873" s="558">
        <v>224.64</v>
      </c>
      <c r="J17873" s="558">
        <v>102.59</v>
      </c>
      <c r="K17873" s="558">
        <v>4.49</v>
      </c>
      <c r="L17873" s="43">
        <v>8.4235652615540886</v>
      </c>
      <c r="M17873" s="43">
        <v>11.502304147465436</v>
      </c>
      <c r="N17873" s="43">
        <v>5.2718396711202464</v>
      </c>
      <c r="O17873" s="43">
        <v>11.503164556962025</v>
      </c>
      <c r="P17873" s="559"/>
      <c r="Q17873" s="559"/>
      <c r="R17873" s="559">
        <v>7</v>
      </c>
    </row>
    <row r="17874" spans="1:18" ht="84">
      <c r="A17874" s="555">
        <v>312</v>
      </c>
      <c r="B17874" s="552" t="s">
        <v>32205</v>
      </c>
      <c r="C17874" s="556" t="s">
        <v>32206</v>
      </c>
      <c r="D17874" s="557">
        <v>53.5</v>
      </c>
      <c r="E17874" s="557">
        <v>26.43</v>
      </c>
      <c r="F17874" s="557">
        <v>26.54</v>
      </c>
      <c r="G17874" s="557">
        <v>0.53</v>
      </c>
      <c r="H17874" s="558">
        <v>449.98</v>
      </c>
      <c r="I17874" s="558">
        <v>303.92</v>
      </c>
      <c r="J17874" s="558">
        <v>139.96</v>
      </c>
      <c r="K17874" s="558">
        <v>6.1</v>
      </c>
      <c r="L17874" s="43">
        <v>8.4108411214953271</v>
      </c>
      <c r="M17874" s="43">
        <v>11.499054105183504</v>
      </c>
      <c r="N17874" s="43">
        <v>5.273549359457423</v>
      </c>
      <c r="O17874" s="43">
        <v>11.503164556962025</v>
      </c>
      <c r="P17874" s="559"/>
      <c r="Q17874" s="559"/>
      <c r="R17874" s="559">
        <v>7</v>
      </c>
    </row>
    <row r="17875" spans="1:18" ht="84">
      <c r="A17875" s="555">
        <v>313</v>
      </c>
      <c r="B17875" s="552" t="s">
        <v>32207</v>
      </c>
      <c r="C17875" s="556" t="s">
        <v>32208</v>
      </c>
      <c r="D17875" s="557">
        <v>69.87</v>
      </c>
      <c r="E17875" s="557">
        <v>34.47</v>
      </c>
      <c r="F17875" s="557">
        <v>34.71</v>
      </c>
      <c r="G17875" s="557">
        <v>0.69</v>
      </c>
      <c r="H17875" s="558">
        <v>587.38</v>
      </c>
      <c r="I17875" s="558">
        <v>396.42</v>
      </c>
      <c r="J17875" s="558">
        <v>183.02</v>
      </c>
      <c r="K17875" s="558">
        <v>7.94</v>
      </c>
      <c r="L17875" s="43">
        <v>8.4067554028910827</v>
      </c>
      <c r="M17875" s="43">
        <v>11.500435161009575</v>
      </c>
      <c r="N17875" s="43">
        <v>5.2728320368769808</v>
      </c>
      <c r="O17875" s="43">
        <v>11.503164556962025</v>
      </c>
      <c r="P17875" s="559"/>
      <c r="Q17875" s="559"/>
      <c r="R17875" s="559">
        <v>7</v>
      </c>
    </row>
    <row r="17876" spans="1:18" ht="84">
      <c r="A17876" s="555">
        <v>314</v>
      </c>
      <c r="B17876" s="552" t="s">
        <v>32209</v>
      </c>
      <c r="C17876" s="556" t="s">
        <v>32210</v>
      </c>
      <c r="D17876" s="557">
        <v>83.02</v>
      </c>
      <c r="E17876" s="557">
        <v>41.36</v>
      </c>
      <c r="F17876" s="557">
        <v>40.83</v>
      </c>
      <c r="G17876" s="557">
        <v>0.83</v>
      </c>
      <c r="H17876" s="558">
        <v>700.57</v>
      </c>
      <c r="I17876" s="558">
        <v>475.7</v>
      </c>
      <c r="J17876" s="558">
        <v>215.32</v>
      </c>
      <c r="K17876" s="558">
        <v>9.5500000000000007</v>
      </c>
      <c r="L17876" s="43">
        <v>8.4385690195133716</v>
      </c>
      <c r="M17876" s="43">
        <v>11.501450676982591</v>
      </c>
      <c r="N17876" s="43">
        <v>5.2735733529267694</v>
      </c>
      <c r="O17876" s="43">
        <v>11.503164556962025</v>
      </c>
      <c r="P17876" s="559"/>
      <c r="Q17876" s="559"/>
      <c r="R17876" s="559">
        <v>7</v>
      </c>
    </row>
    <row r="17877" spans="1:18" ht="84">
      <c r="A17877" s="555">
        <v>315</v>
      </c>
      <c r="B17877" s="552" t="s">
        <v>32211</v>
      </c>
      <c r="C17877" s="556" t="s">
        <v>32212</v>
      </c>
      <c r="D17877" s="557">
        <v>35.11</v>
      </c>
      <c r="E17877" s="557">
        <v>17.239999999999998</v>
      </c>
      <c r="F17877" s="557">
        <v>17.53</v>
      </c>
      <c r="G17877" s="557">
        <v>0.34</v>
      </c>
      <c r="H17877" s="558">
        <v>294.58</v>
      </c>
      <c r="I17877" s="558">
        <v>198.21</v>
      </c>
      <c r="J17877" s="558">
        <v>92.46</v>
      </c>
      <c r="K17877" s="558">
        <v>3.91</v>
      </c>
      <c r="L17877" s="43">
        <v>8.3902022215892913</v>
      </c>
      <c r="M17877" s="43">
        <v>11.497099767981441</v>
      </c>
      <c r="N17877" s="43">
        <v>5.2743867655447794</v>
      </c>
      <c r="O17877" s="43">
        <v>11.503164556962025</v>
      </c>
      <c r="P17877" s="559"/>
      <c r="Q17877" s="559"/>
      <c r="R17877" s="559">
        <v>7</v>
      </c>
    </row>
    <row r="17878" spans="1:18" ht="84">
      <c r="A17878" s="555">
        <v>316</v>
      </c>
      <c r="B17878" s="552" t="s">
        <v>32213</v>
      </c>
      <c r="C17878" s="556" t="s">
        <v>32214</v>
      </c>
      <c r="D17878" s="557">
        <v>41.51</v>
      </c>
      <c r="E17878" s="557">
        <v>20.68</v>
      </c>
      <c r="F17878" s="557">
        <v>20.420000000000002</v>
      </c>
      <c r="G17878" s="557">
        <v>0.41</v>
      </c>
      <c r="H17878" s="558">
        <v>350.23</v>
      </c>
      <c r="I17878" s="558">
        <v>237.85</v>
      </c>
      <c r="J17878" s="558">
        <v>107.66</v>
      </c>
      <c r="K17878" s="558">
        <v>4.72</v>
      </c>
      <c r="L17878" s="43">
        <v>8.4372440375813067</v>
      </c>
      <c r="M17878" s="43">
        <v>11.501450676982591</v>
      </c>
      <c r="N17878" s="43">
        <v>5.2722820763956895</v>
      </c>
      <c r="O17878" s="43">
        <v>11.503164556962025</v>
      </c>
      <c r="P17878" s="559"/>
      <c r="Q17878" s="559"/>
      <c r="R17878" s="559">
        <v>7</v>
      </c>
    </row>
    <row r="17879" spans="1:18" ht="84">
      <c r="A17879" s="555">
        <v>317</v>
      </c>
      <c r="B17879" s="552" t="s">
        <v>32215</v>
      </c>
      <c r="C17879" s="556" t="s">
        <v>32216</v>
      </c>
      <c r="D17879" s="557">
        <v>57.88</v>
      </c>
      <c r="E17879" s="557">
        <v>28.73</v>
      </c>
      <c r="F17879" s="557">
        <v>28.58</v>
      </c>
      <c r="G17879" s="557">
        <v>0.56999999999999995</v>
      </c>
      <c r="H17879" s="558">
        <v>487.64</v>
      </c>
      <c r="I17879" s="558">
        <v>330.35</v>
      </c>
      <c r="J17879" s="558">
        <v>150.72999999999999</v>
      </c>
      <c r="K17879" s="558">
        <v>6.56</v>
      </c>
      <c r="L17879" s="43">
        <v>8.425017277125086</v>
      </c>
      <c r="M17879" s="43">
        <v>11.498433693003829</v>
      </c>
      <c r="N17879" s="43">
        <v>5.273967809657103</v>
      </c>
      <c r="O17879" s="43">
        <v>11.503164556962025</v>
      </c>
      <c r="P17879" s="559"/>
      <c r="Q17879" s="559"/>
      <c r="R17879" s="559">
        <v>7</v>
      </c>
    </row>
    <row r="17880" spans="1:18" ht="84">
      <c r="A17880" s="555">
        <v>318</v>
      </c>
      <c r="B17880" s="552" t="s">
        <v>32217</v>
      </c>
      <c r="C17880" s="556" t="s">
        <v>32218</v>
      </c>
      <c r="D17880" s="557">
        <v>74.260000000000005</v>
      </c>
      <c r="E17880" s="557">
        <v>36.770000000000003</v>
      </c>
      <c r="F17880" s="557">
        <v>36.75</v>
      </c>
      <c r="G17880" s="557">
        <v>0.74</v>
      </c>
      <c r="H17880" s="558">
        <v>625.15</v>
      </c>
      <c r="I17880" s="558">
        <v>422.85</v>
      </c>
      <c r="J17880" s="558">
        <v>193.79</v>
      </c>
      <c r="K17880" s="558">
        <v>8.51</v>
      </c>
      <c r="L17880" s="43">
        <v>8.4183948289792614</v>
      </c>
      <c r="M17880" s="43">
        <v>11.49986401958118</v>
      </c>
      <c r="N17880" s="43">
        <v>5.2731972789115646</v>
      </c>
      <c r="O17880" s="43">
        <v>11.503164556962025</v>
      </c>
      <c r="P17880" s="559"/>
      <c r="Q17880" s="559"/>
      <c r="R17880" s="559">
        <v>7</v>
      </c>
    </row>
    <row r="17881" spans="1:18" ht="84">
      <c r="A17881" s="555">
        <v>319</v>
      </c>
      <c r="B17881" s="552" t="s">
        <v>32219</v>
      </c>
      <c r="C17881" s="556" t="s">
        <v>32220</v>
      </c>
      <c r="D17881" s="557">
        <v>87.41</v>
      </c>
      <c r="E17881" s="557">
        <v>43.66</v>
      </c>
      <c r="F17881" s="557">
        <v>42.88</v>
      </c>
      <c r="G17881" s="557">
        <v>0.87</v>
      </c>
      <c r="H17881" s="558">
        <v>738.23</v>
      </c>
      <c r="I17881" s="558">
        <v>502.13</v>
      </c>
      <c r="J17881" s="558">
        <v>226.09</v>
      </c>
      <c r="K17881" s="558">
        <v>10.01</v>
      </c>
      <c r="L17881" s="43">
        <v>8.4456011897952177</v>
      </c>
      <c r="M17881" s="43">
        <v>11.500916170407697</v>
      </c>
      <c r="N17881" s="43">
        <v>5.2726212686567164</v>
      </c>
      <c r="O17881" s="43">
        <v>11.503164556962025</v>
      </c>
      <c r="P17881" s="559"/>
      <c r="Q17881" s="559"/>
      <c r="R17881" s="559">
        <v>7</v>
      </c>
    </row>
    <row r="17882" spans="1:18" ht="84">
      <c r="A17882" s="555">
        <v>320</v>
      </c>
      <c r="B17882" s="552" t="s">
        <v>32221</v>
      </c>
      <c r="C17882" s="556" t="s">
        <v>32222</v>
      </c>
      <c r="D17882" s="557">
        <v>103.78</v>
      </c>
      <c r="E17882" s="557">
        <v>51.71</v>
      </c>
      <c r="F17882" s="557">
        <v>51.04</v>
      </c>
      <c r="G17882" s="557">
        <v>1.03</v>
      </c>
      <c r="H17882" s="558">
        <v>875.63</v>
      </c>
      <c r="I17882" s="558">
        <v>594.63</v>
      </c>
      <c r="J17882" s="558">
        <v>269.14999999999998</v>
      </c>
      <c r="K17882" s="558">
        <v>11.85</v>
      </c>
      <c r="L17882" s="43">
        <v>8.4373675081904018</v>
      </c>
      <c r="M17882" s="43">
        <v>11.499323148327209</v>
      </c>
      <c r="N17882" s="43">
        <v>5.273315047021943</v>
      </c>
      <c r="O17882" s="43">
        <v>11.503164556962025</v>
      </c>
      <c r="P17882" s="559"/>
      <c r="Q17882" s="559"/>
      <c r="R17882" s="559">
        <v>7</v>
      </c>
    </row>
    <row r="17883" spans="1:18" ht="84">
      <c r="A17883" s="555">
        <v>321</v>
      </c>
      <c r="B17883" s="552" t="s">
        <v>32223</v>
      </c>
      <c r="C17883" s="556" t="s">
        <v>32224</v>
      </c>
      <c r="D17883" s="557">
        <v>120.15</v>
      </c>
      <c r="E17883" s="557">
        <v>59.75</v>
      </c>
      <c r="F17883" s="557">
        <v>59.21</v>
      </c>
      <c r="G17883" s="557">
        <v>1.19</v>
      </c>
      <c r="H17883" s="558">
        <v>1013.04</v>
      </c>
      <c r="I17883" s="558">
        <v>687.13</v>
      </c>
      <c r="J17883" s="558">
        <v>312.22000000000003</v>
      </c>
      <c r="K17883" s="558">
        <v>13.69</v>
      </c>
      <c r="L17883" s="43">
        <v>8.4314606741573019</v>
      </c>
      <c r="M17883" s="43">
        <v>11.500083682008368</v>
      </c>
      <c r="N17883" s="43">
        <v>5.2730957608512083</v>
      </c>
      <c r="O17883" s="43">
        <v>11.503164556962025</v>
      </c>
      <c r="P17883" s="559"/>
      <c r="Q17883" s="559"/>
      <c r="R17883" s="559">
        <v>7</v>
      </c>
    </row>
    <row r="17884" spans="1:18" ht="84">
      <c r="A17884" s="555">
        <v>322</v>
      </c>
      <c r="B17884" s="552" t="s">
        <v>32225</v>
      </c>
      <c r="C17884" s="556" t="s">
        <v>32226</v>
      </c>
      <c r="D17884" s="557">
        <v>136.53</v>
      </c>
      <c r="E17884" s="557">
        <v>67.790000000000006</v>
      </c>
      <c r="F17884" s="557">
        <v>67.38</v>
      </c>
      <c r="G17884" s="557">
        <v>1.36</v>
      </c>
      <c r="H17884" s="558">
        <v>1150.55</v>
      </c>
      <c r="I17884" s="558">
        <v>779.63</v>
      </c>
      <c r="J17884" s="558">
        <v>355.28</v>
      </c>
      <c r="K17884" s="558">
        <v>15.64</v>
      </c>
      <c r="L17884" s="43">
        <v>8.4270856222075725</v>
      </c>
      <c r="M17884" s="43">
        <v>11.500663814721934</v>
      </c>
      <c r="N17884" s="43">
        <v>5.2727812407242505</v>
      </c>
      <c r="O17884" s="43">
        <v>11.503164556962025</v>
      </c>
      <c r="P17884" s="559"/>
      <c r="Q17884" s="559"/>
      <c r="R17884" s="559">
        <v>7</v>
      </c>
    </row>
    <row r="17885" spans="1:18" ht="84">
      <c r="A17885" s="555">
        <v>323</v>
      </c>
      <c r="B17885" s="552" t="s">
        <v>32227</v>
      </c>
      <c r="C17885" s="556" t="s">
        <v>32228</v>
      </c>
      <c r="D17885" s="557">
        <v>157.27000000000001</v>
      </c>
      <c r="E17885" s="557">
        <v>78.13</v>
      </c>
      <c r="F17885" s="557">
        <v>77.58</v>
      </c>
      <c r="G17885" s="557">
        <v>1.56</v>
      </c>
      <c r="H17885" s="558">
        <v>1325.6</v>
      </c>
      <c r="I17885" s="558">
        <v>898.55</v>
      </c>
      <c r="J17885" s="558">
        <v>409.11</v>
      </c>
      <c r="K17885" s="558">
        <v>17.940000000000001</v>
      </c>
      <c r="L17885" s="43">
        <v>8.428816684682392</v>
      </c>
      <c r="M17885" s="43">
        <v>11.500703954946884</v>
      </c>
      <c r="N17885" s="43">
        <v>5.2733952049497299</v>
      </c>
      <c r="O17885" s="43">
        <v>11.503164556962025</v>
      </c>
      <c r="P17885" s="559"/>
      <c r="Q17885" s="559"/>
      <c r="R17885" s="559">
        <v>7</v>
      </c>
    </row>
    <row r="17886" spans="1:18" ht="84">
      <c r="A17886" s="555">
        <v>324</v>
      </c>
      <c r="B17886" s="552" t="s">
        <v>32229</v>
      </c>
      <c r="C17886" s="556" t="s">
        <v>32230</v>
      </c>
      <c r="D17886" s="557">
        <v>39.380000000000003</v>
      </c>
      <c r="E17886" s="557">
        <v>19.53</v>
      </c>
      <c r="F17886" s="557">
        <v>19.46</v>
      </c>
      <c r="G17886" s="557">
        <v>0.39</v>
      </c>
      <c r="H17886" s="558">
        <v>331.72</v>
      </c>
      <c r="I17886" s="558">
        <v>224.64</v>
      </c>
      <c r="J17886" s="558">
        <v>102.59</v>
      </c>
      <c r="K17886" s="558">
        <v>4.49</v>
      </c>
      <c r="L17886" s="43">
        <v>8.4235652615540886</v>
      </c>
      <c r="M17886" s="43">
        <v>11.502304147465436</v>
      </c>
      <c r="N17886" s="43">
        <v>5.2718396711202464</v>
      </c>
      <c r="O17886" s="43">
        <v>11.503164556962025</v>
      </c>
      <c r="P17886" s="559"/>
      <c r="Q17886" s="559"/>
      <c r="R17886" s="559">
        <v>7</v>
      </c>
    </row>
    <row r="17887" spans="1:18" ht="84">
      <c r="A17887" s="555">
        <v>325</v>
      </c>
      <c r="B17887" s="552" t="s">
        <v>32231</v>
      </c>
      <c r="C17887" s="556" t="s">
        <v>32232</v>
      </c>
      <c r="D17887" s="557">
        <v>45.9</v>
      </c>
      <c r="E17887" s="557">
        <v>22.98</v>
      </c>
      <c r="F17887" s="557">
        <v>22.46</v>
      </c>
      <c r="G17887" s="557">
        <v>0.46</v>
      </c>
      <c r="H17887" s="558">
        <v>388</v>
      </c>
      <c r="I17887" s="558">
        <v>264.27999999999997</v>
      </c>
      <c r="J17887" s="558">
        <v>118.43</v>
      </c>
      <c r="K17887" s="558">
        <v>5.29</v>
      </c>
      <c r="L17887" s="43">
        <v>8.4531590413943363</v>
      </c>
      <c r="M17887" s="43">
        <v>11.500435161009571</v>
      </c>
      <c r="N17887" s="43">
        <v>5.2729296527159395</v>
      </c>
      <c r="O17887" s="43">
        <v>11.503164556962025</v>
      </c>
      <c r="P17887" s="559"/>
      <c r="Q17887" s="559"/>
      <c r="R17887" s="559">
        <v>7</v>
      </c>
    </row>
    <row r="17888" spans="1:18" ht="84">
      <c r="A17888" s="555">
        <v>326</v>
      </c>
      <c r="B17888" s="552" t="s">
        <v>32233</v>
      </c>
      <c r="C17888" s="556" t="s">
        <v>32234</v>
      </c>
      <c r="D17888" s="557">
        <v>66.66</v>
      </c>
      <c r="E17888" s="557">
        <v>33.32</v>
      </c>
      <c r="F17888" s="557">
        <v>32.67</v>
      </c>
      <c r="G17888" s="557">
        <v>0.67</v>
      </c>
      <c r="H17888" s="558">
        <v>563.17999999999995</v>
      </c>
      <c r="I17888" s="558">
        <v>383.21</v>
      </c>
      <c r="J17888" s="558">
        <v>172.26</v>
      </c>
      <c r="K17888" s="558">
        <v>7.71</v>
      </c>
      <c r="L17888" s="43">
        <v>8.4485448544854478</v>
      </c>
      <c r="M17888" s="43">
        <v>11.500900360144056</v>
      </c>
      <c r="N17888" s="43">
        <v>5.2727272727272725</v>
      </c>
      <c r="O17888" s="43">
        <v>11.503164556962025</v>
      </c>
      <c r="P17888" s="559"/>
      <c r="Q17888" s="559"/>
      <c r="R17888" s="559">
        <v>7</v>
      </c>
    </row>
    <row r="17889" spans="1:18" ht="84">
      <c r="A17889" s="555">
        <v>327</v>
      </c>
      <c r="B17889" s="552" t="s">
        <v>32235</v>
      </c>
      <c r="C17889" s="556" t="s">
        <v>32236</v>
      </c>
      <c r="D17889" s="557">
        <v>83.02</v>
      </c>
      <c r="E17889" s="557">
        <v>41.36</v>
      </c>
      <c r="F17889" s="557">
        <v>40.83</v>
      </c>
      <c r="G17889" s="557">
        <v>0.83</v>
      </c>
      <c r="H17889" s="558">
        <v>700.57</v>
      </c>
      <c r="I17889" s="558">
        <v>475.7</v>
      </c>
      <c r="J17889" s="558">
        <v>215.32</v>
      </c>
      <c r="K17889" s="558">
        <v>9.5500000000000007</v>
      </c>
      <c r="L17889" s="43">
        <v>8.4385690195133716</v>
      </c>
      <c r="M17889" s="43">
        <v>11.501450676982591</v>
      </c>
      <c r="N17889" s="43">
        <v>5.2735733529267694</v>
      </c>
      <c r="O17889" s="43">
        <v>11.503164556962025</v>
      </c>
      <c r="P17889" s="559"/>
      <c r="Q17889" s="559"/>
      <c r="R17889" s="559">
        <v>7</v>
      </c>
    </row>
    <row r="17890" spans="1:18" ht="84">
      <c r="A17890" s="555">
        <v>328</v>
      </c>
      <c r="B17890" s="552" t="s">
        <v>32237</v>
      </c>
      <c r="C17890" s="556" t="s">
        <v>32238</v>
      </c>
      <c r="D17890" s="557">
        <v>99.4</v>
      </c>
      <c r="E17890" s="557">
        <v>49.41</v>
      </c>
      <c r="F17890" s="557">
        <v>49</v>
      </c>
      <c r="G17890" s="557">
        <v>0.99</v>
      </c>
      <c r="H17890" s="558">
        <v>837.98</v>
      </c>
      <c r="I17890" s="558">
        <v>568.20000000000005</v>
      </c>
      <c r="J17890" s="558">
        <v>258.39</v>
      </c>
      <c r="K17890" s="558">
        <v>11.39</v>
      </c>
      <c r="L17890" s="43">
        <v>8.430382293762575</v>
      </c>
      <c r="M17890" s="43">
        <v>11.499696417729206</v>
      </c>
      <c r="N17890" s="43">
        <v>5.2732653061224486</v>
      </c>
      <c r="O17890" s="43">
        <v>11.503164556962025</v>
      </c>
      <c r="P17890" s="559"/>
      <c r="Q17890" s="559"/>
      <c r="R17890" s="559">
        <v>7</v>
      </c>
    </row>
    <row r="17891" spans="1:18" ht="84">
      <c r="A17891" s="555">
        <v>329</v>
      </c>
      <c r="B17891" s="552" t="s">
        <v>32239</v>
      </c>
      <c r="C17891" s="556" t="s">
        <v>32240</v>
      </c>
      <c r="D17891" s="557">
        <v>120.15</v>
      </c>
      <c r="E17891" s="557">
        <v>59.75</v>
      </c>
      <c r="F17891" s="557">
        <v>59.21</v>
      </c>
      <c r="G17891" s="557">
        <v>1.19</v>
      </c>
      <c r="H17891" s="558">
        <v>1013.04</v>
      </c>
      <c r="I17891" s="558">
        <v>687.13</v>
      </c>
      <c r="J17891" s="558">
        <v>312.22000000000003</v>
      </c>
      <c r="K17891" s="558">
        <v>13.69</v>
      </c>
      <c r="L17891" s="43">
        <v>8.4314606741573019</v>
      </c>
      <c r="M17891" s="43">
        <v>11.500083682008368</v>
      </c>
      <c r="N17891" s="43">
        <v>5.2730957608512083</v>
      </c>
      <c r="O17891" s="43">
        <v>11.503164556962025</v>
      </c>
      <c r="P17891" s="559"/>
      <c r="Q17891" s="559"/>
      <c r="R17891" s="559">
        <v>7</v>
      </c>
    </row>
    <row r="17892" spans="1:18" ht="84">
      <c r="A17892" s="555">
        <v>330</v>
      </c>
      <c r="B17892" s="552" t="s">
        <v>32241</v>
      </c>
      <c r="C17892" s="556" t="s">
        <v>32242</v>
      </c>
      <c r="D17892" s="557">
        <v>136.53</v>
      </c>
      <c r="E17892" s="557">
        <v>67.790000000000006</v>
      </c>
      <c r="F17892" s="557">
        <v>67.38</v>
      </c>
      <c r="G17892" s="557">
        <v>1.36</v>
      </c>
      <c r="H17892" s="558">
        <v>1150.55</v>
      </c>
      <c r="I17892" s="558">
        <v>779.63</v>
      </c>
      <c r="J17892" s="558">
        <v>355.28</v>
      </c>
      <c r="K17892" s="558">
        <v>15.64</v>
      </c>
      <c r="L17892" s="43">
        <v>8.4270856222075725</v>
      </c>
      <c r="M17892" s="43">
        <v>11.500663814721934</v>
      </c>
      <c r="N17892" s="43">
        <v>5.2727812407242505</v>
      </c>
      <c r="O17892" s="43">
        <v>11.503164556962025</v>
      </c>
      <c r="P17892" s="559"/>
      <c r="Q17892" s="559"/>
      <c r="R17892" s="559">
        <v>7</v>
      </c>
    </row>
    <row r="17893" spans="1:18" ht="84">
      <c r="A17893" s="555">
        <v>331</v>
      </c>
      <c r="B17893" s="552" t="s">
        <v>32243</v>
      </c>
      <c r="C17893" s="556" t="s">
        <v>32244</v>
      </c>
      <c r="D17893" s="557">
        <v>152.88999999999999</v>
      </c>
      <c r="E17893" s="557">
        <v>75.83</v>
      </c>
      <c r="F17893" s="557">
        <v>75.540000000000006</v>
      </c>
      <c r="G17893" s="557">
        <v>1.52</v>
      </c>
      <c r="H17893" s="558">
        <v>1287.95</v>
      </c>
      <c r="I17893" s="558">
        <v>872.12</v>
      </c>
      <c r="J17893" s="558">
        <v>398.35</v>
      </c>
      <c r="K17893" s="558">
        <v>17.48</v>
      </c>
      <c r="L17893" s="43">
        <v>8.4240303486166539</v>
      </c>
      <c r="M17893" s="43">
        <v>11.500989054463933</v>
      </c>
      <c r="N17893" s="43">
        <v>5.2733651045803542</v>
      </c>
      <c r="O17893" s="43">
        <v>11.503164556962025</v>
      </c>
      <c r="P17893" s="559"/>
      <c r="Q17893" s="559"/>
      <c r="R17893" s="559">
        <v>7</v>
      </c>
    </row>
    <row r="17894" spans="1:18" ht="84">
      <c r="A17894" s="555">
        <v>332</v>
      </c>
      <c r="B17894" s="552" t="s">
        <v>32245</v>
      </c>
      <c r="C17894" s="556" t="s">
        <v>32246</v>
      </c>
      <c r="D17894" s="557">
        <v>41.51</v>
      </c>
      <c r="E17894" s="557">
        <v>20.68</v>
      </c>
      <c r="F17894" s="557">
        <v>20.420000000000002</v>
      </c>
      <c r="G17894" s="557">
        <v>0.41</v>
      </c>
      <c r="H17894" s="558">
        <v>350.23</v>
      </c>
      <c r="I17894" s="558">
        <v>237.85</v>
      </c>
      <c r="J17894" s="558">
        <v>107.66</v>
      </c>
      <c r="K17894" s="558">
        <v>4.72</v>
      </c>
      <c r="L17894" s="43">
        <v>8.4372440375813067</v>
      </c>
      <c r="M17894" s="43">
        <v>11.501450676982591</v>
      </c>
      <c r="N17894" s="43">
        <v>5.2722820763956895</v>
      </c>
      <c r="O17894" s="43">
        <v>11.503164556962025</v>
      </c>
      <c r="P17894" s="559"/>
      <c r="Q17894" s="559"/>
      <c r="R17894" s="559">
        <v>7</v>
      </c>
    </row>
    <row r="17895" spans="1:18" ht="84">
      <c r="A17895" s="555">
        <v>333</v>
      </c>
      <c r="B17895" s="552" t="s">
        <v>32247</v>
      </c>
      <c r="C17895" s="556" t="s">
        <v>32248</v>
      </c>
      <c r="D17895" s="557">
        <v>49.11</v>
      </c>
      <c r="E17895" s="557">
        <v>24.13</v>
      </c>
      <c r="F17895" s="557">
        <v>24.5</v>
      </c>
      <c r="G17895" s="557">
        <v>0.48</v>
      </c>
      <c r="H17895" s="558">
        <v>412.2</v>
      </c>
      <c r="I17895" s="558">
        <v>277.49</v>
      </c>
      <c r="J17895" s="558">
        <v>129.19</v>
      </c>
      <c r="K17895" s="558">
        <v>5.52</v>
      </c>
      <c r="L17895" s="43">
        <v>8.3934025656689055</v>
      </c>
      <c r="M17895" s="43">
        <v>11.499792789059263</v>
      </c>
      <c r="N17895" s="43">
        <v>5.2730612244897959</v>
      </c>
      <c r="O17895" s="43">
        <v>11.503164556962025</v>
      </c>
      <c r="P17895" s="559"/>
      <c r="Q17895" s="559"/>
      <c r="R17895" s="559">
        <v>7</v>
      </c>
    </row>
    <row r="17896" spans="1:18" ht="84">
      <c r="A17896" s="555">
        <v>334</v>
      </c>
      <c r="B17896" s="552" t="s">
        <v>32249</v>
      </c>
      <c r="C17896" s="556" t="s">
        <v>32250</v>
      </c>
      <c r="D17896" s="557">
        <v>69.87</v>
      </c>
      <c r="E17896" s="557">
        <v>34.47</v>
      </c>
      <c r="F17896" s="557">
        <v>34.71</v>
      </c>
      <c r="G17896" s="557">
        <v>0.69</v>
      </c>
      <c r="H17896" s="558">
        <v>587.38</v>
      </c>
      <c r="I17896" s="558">
        <v>396.42</v>
      </c>
      <c r="J17896" s="558">
        <v>183.02</v>
      </c>
      <c r="K17896" s="558">
        <v>7.94</v>
      </c>
      <c r="L17896" s="43">
        <v>8.4067554028910827</v>
      </c>
      <c r="M17896" s="43">
        <v>11.500435161009575</v>
      </c>
      <c r="N17896" s="43">
        <v>5.2728320368769808</v>
      </c>
      <c r="O17896" s="43">
        <v>11.503164556962025</v>
      </c>
      <c r="P17896" s="559"/>
      <c r="Q17896" s="559"/>
      <c r="R17896" s="559">
        <v>7</v>
      </c>
    </row>
    <row r="17897" spans="1:18" ht="84">
      <c r="A17897" s="555">
        <v>335</v>
      </c>
      <c r="B17897" s="552" t="s">
        <v>32251</v>
      </c>
      <c r="C17897" s="556" t="s">
        <v>32252</v>
      </c>
      <c r="D17897" s="557">
        <v>90.63</v>
      </c>
      <c r="E17897" s="557">
        <v>44.81</v>
      </c>
      <c r="F17897" s="557">
        <v>44.92</v>
      </c>
      <c r="G17897" s="557">
        <v>0.9</v>
      </c>
      <c r="H17897" s="558">
        <v>762.55</v>
      </c>
      <c r="I17897" s="558">
        <v>515.35</v>
      </c>
      <c r="J17897" s="558">
        <v>236.85</v>
      </c>
      <c r="K17897" s="558">
        <v>10.35</v>
      </c>
      <c r="L17897" s="43">
        <v>8.4138806134833946</v>
      </c>
      <c r="M17897" s="43">
        <v>11.500781075652757</v>
      </c>
      <c r="N17897" s="43">
        <v>5.2727070347284055</v>
      </c>
      <c r="O17897" s="43">
        <v>11.503164556962025</v>
      </c>
      <c r="P17897" s="559"/>
      <c r="Q17897" s="559"/>
      <c r="R17897" s="559">
        <v>7</v>
      </c>
    </row>
    <row r="17898" spans="1:18" ht="84">
      <c r="A17898" s="555">
        <v>336</v>
      </c>
      <c r="B17898" s="552" t="s">
        <v>32253</v>
      </c>
      <c r="C17898" s="556" t="s">
        <v>32254</v>
      </c>
      <c r="D17898" s="557">
        <v>106.99</v>
      </c>
      <c r="E17898" s="557">
        <v>52.85</v>
      </c>
      <c r="F17898" s="557">
        <v>53.08</v>
      </c>
      <c r="G17898" s="557">
        <v>1.06</v>
      </c>
      <c r="H17898" s="558">
        <v>899.95</v>
      </c>
      <c r="I17898" s="558">
        <v>607.84</v>
      </c>
      <c r="J17898" s="558">
        <v>279.92</v>
      </c>
      <c r="K17898" s="558">
        <v>12.19</v>
      </c>
      <c r="L17898" s="43">
        <v>8.4115337882045065</v>
      </c>
      <c r="M17898" s="43">
        <v>11.501229895931884</v>
      </c>
      <c r="N17898" s="43">
        <v>5.273549359457423</v>
      </c>
      <c r="O17898" s="43">
        <v>11.503164556962025</v>
      </c>
      <c r="P17898" s="559"/>
      <c r="Q17898" s="559"/>
      <c r="R17898" s="559">
        <v>7</v>
      </c>
    </row>
    <row r="17899" spans="1:18" ht="84">
      <c r="A17899" s="555">
        <v>337</v>
      </c>
      <c r="B17899" s="552" t="s">
        <v>32255</v>
      </c>
      <c r="C17899" s="556" t="s">
        <v>32256</v>
      </c>
      <c r="D17899" s="557">
        <v>127.75</v>
      </c>
      <c r="E17899" s="557">
        <v>63.2</v>
      </c>
      <c r="F17899" s="557">
        <v>63.29</v>
      </c>
      <c r="G17899" s="557">
        <v>1.26</v>
      </c>
      <c r="H17899" s="558">
        <v>1075.01</v>
      </c>
      <c r="I17899" s="558">
        <v>726.77</v>
      </c>
      <c r="J17899" s="558">
        <v>333.75</v>
      </c>
      <c r="K17899" s="558">
        <v>14.49</v>
      </c>
      <c r="L17899" s="43">
        <v>8.4149510763209392</v>
      </c>
      <c r="M17899" s="43">
        <v>11.499525316455696</v>
      </c>
      <c r="N17899" s="43">
        <v>5.2733449202085643</v>
      </c>
      <c r="O17899" s="43">
        <v>11.503164556962025</v>
      </c>
      <c r="P17899" s="559"/>
      <c r="Q17899" s="559"/>
      <c r="R17899" s="559">
        <v>7</v>
      </c>
    </row>
    <row r="17900" spans="1:18" ht="84">
      <c r="A17900" s="555">
        <v>338</v>
      </c>
      <c r="B17900" s="552" t="s">
        <v>32257</v>
      </c>
      <c r="C17900" s="556" t="s">
        <v>32258</v>
      </c>
      <c r="D17900" s="557">
        <v>148.51</v>
      </c>
      <c r="E17900" s="557">
        <v>73.540000000000006</v>
      </c>
      <c r="F17900" s="557">
        <v>73.5</v>
      </c>
      <c r="G17900" s="557">
        <v>1.47</v>
      </c>
      <c r="H17900" s="558">
        <v>1250.19</v>
      </c>
      <c r="I17900" s="558">
        <v>845.7</v>
      </c>
      <c r="J17900" s="558">
        <v>387.58</v>
      </c>
      <c r="K17900" s="558">
        <v>16.91</v>
      </c>
      <c r="L17900" s="43">
        <v>8.418220995219178</v>
      </c>
      <c r="M17900" s="43">
        <v>11.49986401958118</v>
      </c>
      <c r="N17900" s="43">
        <v>5.2731972789115646</v>
      </c>
      <c r="O17900" s="43">
        <v>11.503164556962025</v>
      </c>
      <c r="P17900" s="559"/>
      <c r="Q17900" s="559"/>
      <c r="R17900" s="559">
        <v>7</v>
      </c>
    </row>
    <row r="17901" spans="1:18" ht="84">
      <c r="A17901" s="555">
        <v>339</v>
      </c>
      <c r="B17901" s="552" t="s">
        <v>32259</v>
      </c>
      <c r="C17901" s="556" t="s">
        <v>32260</v>
      </c>
      <c r="D17901" s="557">
        <v>164.88</v>
      </c>
      <c r="E17901" s="557">
        <v>81.58</v>
      </c>
      <c r="F17901" s="557">
        <v>81.67</v>
      </c>
      <c r="G17901" s="557">
        <v>1.63</v>
      </c>
      <c r="H17901" s="558">
        <v>1387.58</v>
      </c>
      <c r="I17901" s="558">
        <v>938.19</v>
      </c>
      <c r="J17901" s="558">
        <v>430.64</v>
      </c>
      <c r="K17901" s="558">
        <v>18.75</v>
      </c>
      <c r="L17901" s="43">
        <v>8.4156962639495383</v>
      </c>
      <c r="M17901" s="43">
        <v>11.500245158126992</v>
      </c>
      <c r="N17901" s="43">
        <v>5.2729276356067096</v>
      </c>
      <c r="O17901" s="43">
        <v>11.503164556962025</v>
      </c>
      <c r="P17901" s="559"/>
      <c r="Q17901" s="559"/>
      <c r="R17901" s="559">
        <v>7</v>
      </c>
    </row>
    <row r="17902" spans="1:18" ht="84">
      <c r="A17902" s="555">
        <v>340</v>
      </c>
      <c r="B17902" s="552" t="s">
        <v>32261</v>
      </c>
      <c r="C17902" s="556" t="s">
        <v>32262</v>
      </c>
      <c r="D17902" s="557">
        <v>57.88</v>
      </c>
      <c r="E17902" s="557">
        <v>28.73</v>
      </c>
      <c r="F17902" s="557">
        <v>28.58</v>
      </c>
      <c r="G17902" s="557">
        <v>0.56999999999999995</v>
      </c>
      <c r="H17902" s="558">
        <v>487.64</v>
      </c>
      <c r="I17902" s="558">
        <v>330.35</v>
      </c>
      <c r="J17902" s="558">
        <v>150.72999999999999</v>
      </c>
      <c r="K17902" s="558">
        <v>6.56</v>
      </c>
      <c r="L17902" s="43">
        <v>8.425017277125086</v>
      </c>
      <c r="M17902" s="43">
        <v>11.498433693003829</v>
      </c>
      <c r="N17902" s="43">
        <v>5.273967809657103</v>
      </c>
      <c r="O17902" s="43">
        <v>11.503164556962025</v>
      </c>
      <c r="P17902" s="559"/>
      <c r="Q17902" s="559"/>
      <c r="R17902" s="559">
        <v>7</v>
      </c>
    </row>
    <row r="17903" spans="1:18" ht="84">
      <c r="A17903" s="555">
        <v>341</v>
      </c>
      <c r="B17903" s="552" t="s">
        <v>32263</v>
      </c>
      <c r="C17903" s="556" t="s">
        <v>32264</v>
      </c>
      <c r="D17903" s="557">
        <v>83.02</v>
      </c>
      <c r="E17903" s="557">
        <v>41.36</v>
      </c>
      <c r="F17903" s="557">
        <v>40.83</v>
      </c>
      <c r="G17903" s="557">
        <v>0.83</v>
      </c>
      <c r="H17903" s="558">
        <v>700.57</v>
      </c>
      <c r="I17903" s="558">
        <v>475.7</v>
      </c>
      <c r="J17903" s="558">
        <v>215.32</v>
      </c>
      <c r="K17903" s="558">
        <v>9.5500000000000007</v>
      </c>
      <c r="L17903" s="43">
        <v>8.4385690195133716</v>
      </c>
      <c r="M17903" s="43">
        <v>11.501450676982591</v>
      </c>
      <c r="N17903" s="43">
        <v>5.2735733529267694</v>
      </c>
      <c r="O17903" s="43">
        <v>11.503164556962025</v>
      </c>
      <c r="P17903" s="559"/>
      <c r="Q17903" s="559"/>
      <c r="R17903" s="559">
        <v>7</v>
      </c>
    </row>
    <row r="17904" spans="1:18" ht="84">
      <c r="A17904" s="555">
        <v>342</v>
      </c>
      <c r="B17904" s="552" t="s">
        <v>32265</v>
      </c>
      <c r="C17904" s="556" t="s">
        <v>32266</v>
      </c>
      <c r="D17904" s="557">
        <v>103.78</v>
      </c>
      <c r="E17904" s="557">
        <v>51.71</v>
      </c>
      <c r="F17904" s="557">
        <v>51.04</v>
      </c>
      <c r="G17904" s="557">
        <v>1.03</v>
      </c>
      <c r="H17904" s="558">
        <v>875.63</v>
      </c>
      <c r="I17904" s="558">
        <v>594.63</v>
      </c>
      <c r="J17904" s="558">
        <v>269.14999999999998</v>
      </c>
      <c r="K17904" s="558">
        <v>11.85</v>
      </c>
      <c r="L17904" s="43">
        <v>8.4373675081904018</v>
      </c>
      <c r="M17904" s="43">
        <v>11.499323148327209</v>
      </c>
      <c r="N17904" s="43">
        <v>5.273315047021943</v>
      </c>
      <c r="O17904" s="43">
        <v>11.503164556962025</v>
      </c>
      <c r="P17904" s="559"/>
      <c r="Q17904" s="559"/>
      <c r="R17904" s="559">
        <v>7</v>
      </c>
    </row>
    <row r="17905" spans="1:18" ht="84">
      <c r="A17905" s="555">
        <v>343</v>
      </c>
      <c r="B17905" s="552" t="s">
        <v>32267</v>
      </c>
      <c r="C17905" s="556" t="s">
        <v>32268</v>
      </c>
      <c r="D17905" s="557">
        <v>127.75</v>
      </c>
      <c r="E17905" s="557">
        <v>63.2</v>
      </c>
      <c r="F17905" s="557">
        <v>63.29</v>
      </c>
      <c r="G17905" s="557">
        <v>1.26</v>
      </c>
      <c r="H17905" s="558">
        <v>1075.01</v>
      </c>
      <c r="I17905" s="558">
        <v>726.77</v>
      </c>
      <c r="J17905" s="558">
        <v>333.75</v>
      </c>
      <c r="K17905" s="558">
        <v>14.49</v>
      </c>
      <c r="L17905" s="43">
        <v>8.4149510763209392</v>
      </c>
      <c r="M17905" s="43">
        <v>11.499525316455696</v>
      </c>
      <c r="N17905" s="43">
        <v>5.2733449202085643</v>
      </c>
      <c r="O17905" s="43">
        <v>11.503164556962025</v>
      </c>
      <c r="P17905" s="559"/>
      <c r="Q17905" s="559"/>
      <c r="R17905" s="559">
        <v>7</v>
      </c>
    </row>
    <row r="17906" spans="1:18" ht="84">
      <c r="A17906" s="555">
        <v>344</v>
      </c>
      <c r="B17906" s="552" t="s">
        <v>32269</v>
      </c>
      <c r="C17906" s="556" t="s">
        <v>32270</v>
      </c>
      <c r="D17906" s="557">
        <v>148.51</v>
      </c>
      <c r="E17906" s="557">
        <v>73.540000000000006</v>
      </c>
      <c r="F17906" s="557">
        <v>73.5</v>
      </c>
      <c r="G17906" s="557">
        <v>1.47</v>
      </c>
      <c r="H17906" s="558">
        <v>1250.19</v>
      </c>
      <c r="I17906" s="558">
        <v>845.7</v>
      </c>
      <c r="J17906" s="558">
        <v>387.58</v>
      </c>
      <c r="K17906" s="558">
        <v>16.91</v>
      </c>
      <c r="L17906" s="43">
        <v>8.418220995219178</v>
      </c>
      <c r="M17906" s="43">
        <v>11.49986401958118</v>
      </c>
      <c r="N17906" s="43">
        <v>5.2731972789115646</v>
      </c>
      <c r="O17906" s="43">
        <v>11.503164556962025</v>
      </c>
      <c r="P17906" s="559"/>
      <c r="Q17906" s="559"/>
      <c r="R17906" s="559">
        <v>7</v>
      </c>
    </row>
    <row r="17907" spans="1:18" ht="84">
      <c r="A17907" s="555">
        <v>345</v>
      </c>
      <c r="B17907" s="552" t="s">
        <v>32271</v>
      </c>
      <c r="C17907" s="556" t="s">
        <v>32272</v>
      </c>
      <c r="D17907" s="557">
        <v>169.27</v>
      </c>
      <c r="E17907" s="557">
        <v>83.88</v>
      </c>
      <c r="F17907" s="557">
        <v>83.71</v>
      </c>
      <c r="G17907" s="557">
        <v>1.68</v>
      </c>
      <c r="H17907" s="558">
        <v>1425.35</v>
      </c>
      <c r="I17907" s="558">
        <v>964.62</v>
      </c>
      <c r="J17907" s="558">
        <v>441.41</v>
      </c>
      <c r="K17907" s="558">
        <v>19.32</v>
      </c>
      <c r="L17907" s="43">
        <v>8.4205706858864531</v>
      </c>
      <c r="M17907" s="43">
        <v>11.5</v>
      </c>
      <c r="N17907" s="43">
        <v>5.2730856528491223</v>
      </c>
      <c r="O17907" s="43">
        <v>11.503164556962025</v>
      </c>
      <c r="P17907" s="559"/>
      <c r="Q17907" s="559"/>
      <c r="R17907" s="559">
        <v>7</v>
      </c>
    </row>
    <row r="17908" spans="1:18" ht="84">
      <c r="A17908" s="555">
        <v>346</v>
      </c>
      <c r="B17908" s="552" t="s">
        <v>32273</v>
      </c>
      <c r="C17908" s="556" t="s">
        <v>32274</v>
      </c>
      <c r="D17908" s="557">
        <v>194.41</v>
      </c>
      <c r="E17908" s="557">
        <v>96.52</v>
      </c>
      <c r="F17908" s="557">
        <v>95.96</v>
      </c>
      <c r="G17908" s="557">
        <v>1.93</v>
      </c>
      <c r="H17908" s="558">
        <v>1638.19</v>
      </c>
      <c r="I17908" s="558">
        <v>1109.98</v>
      </c>
      <c r="J17908" s="558">
        <v>506.01</v>
      </c>
      <c r="K17908" s="558">
        <v>22.2</v>
      </c>
      <c r="L17908" s="43">
        <v>8.4264698317987765</v>
      </c>
      <c r="M17908" s="43">
        <v>11.5</v>
      </c>
      <c r="N17908" s="43">
        <v>5.2731346394330973</v>
      </c>
      <c r="O17908" s="43">
        <v>11.503164556962025</v>
      </c>
      <c r="P17908" s="559"/>
      <c r="Q17908" s="559"/>
      <c r="R17908" s="559">
        <v>7</v>
      </c>
    </row>
    <row r="17909" spans="1:18" ht="84">
      <c r="A17909" s="555">
        <v>347</v>
      </c>
      <c r="B17909" s="552" t="s">
        <v>32275</v>
      </c>
      <c r="C17909" s="556" t="s">
        <v>32276</v>
      </c>
      <c r="D17909" s="557">
        <v>66.66</v>
      </c>
      <c r="E17909" s="557">
        <v>33.32</v>
      </c>
      <c r="F17909" s="557">
        <v>32.67</v>
      </c>
      <c r="G17909" s="557">
        <v>0.67</v>
      </c>
      <c r="H17909" s="558">
        <v>563.17999999999995</v>
      </c>
      <c r="I17909" s="558">
        <v>383.21</v>
      </c>
      <c r="J17909" s="558">
        <v>172.26</v>
      </c>
      <c r="K17909" s="558">
        <v>7.71</v>
      </c>
      <c r="L17909" s="43">
        <v>8.4485448544854478</v>
      </c>
      <c r="M17909" s="43">
        <v>11.500900360144056</v>
      </c>
      <c r="N17909" s="43">
        <v>5.2727272727272725</v>
      </c>
      <c r="O17909" s="43">
        <v>11.503164556962025</v>
      </c>
      <c r="P17909" s="559"/>
      <c r="Q17909" s="559"/>
      <c r="R17909" s="559">
        <v>7</v>
      </c>
    </row>
    <row r="17910" spans="1:18" ht="84">
      <c r="A17910" s="555">
        <v>348</v>
      </c>
      <c r="B17910" s="552" t="s">
        <v>32277</v>
      </c>
      <c r="C17910" s="556" t="s">
        <v>32278</v>
      </c>
      <c r="D17910" s="557">
        <v>90.63</v>
      </c>
      <c r="E17910" s="557">
        <v>44.81</v>
      </c>
      <c r="F17910" s="557">
        <v>44.92</v>
      </c>
      <c r="G17910" s="557">
        <v>0.9</v>
      </c>
      <c r="H17910" s="558">
        <v>762.55</v>
      </c>
      <c r="I17910" s="558">
        <v>515.35</v>
      </c>
      <c r="J17910" s="558">
        <v>236.85</v>
      </c>
      <c r="K17910" s="558">
        <v>10.35</v>
      </c>
      <c r="L17910" s="43">
        <v>8.4138806134833946</v>
      </c>
      <c r="M17910" s="43">
        <v>11.500781075652757</v>
      </c>
      <c r="N17910" s="43">
        <v>5.2727070347284055</v>
      </c>
      <c r="O17910" s="43">
        <v>11.503164556962025</v>
      </c>
      <c r="P17910" s="559"/>
      <c r="Q17910" s="559"/>
      <c r="R17910" s="559">
        <v>7</v>
      </c>
    </row>
    <row r="17911" spans="1:18" ht="84">
      <c r="A17911" s="555">
        <v>349</v>
      </c>
      <c r="B17911" s="552" t="s">
        <v>32279</v>
      </c>
      <c r="C17911" s="556" t="s">
        <v>32280</v>
      </c>
      <c r="D17911" s="557">
        <v>115.77</v>
      </c>
      <c r="E17911" s="557">
        <v>57.45</v>
      </c>
      <c r="F17911" s="557">
        <v>57.17</v>
      </c>
      <c r="G17911" s="557">
        <v>1.1499999999999999</v>
      </c>
      <c r="H17911" s="558">
        <v>975.38</v>
      </c>
      <c r="I17911" s="558">
        <v>660.7</v>
      </c>
      <c r="J17911" s="558">
        <v>301.45</v>
      </c>
      <c r="K17911" s="558">
        <v>13.23</v>
      </c>
      <c r="L17911" s="43">
        <v>8.4251533212403906</v>
      </c>
      <c r="M17911" s="43">
        <v>11.500435161009573</v>
      </c>
      <c r="N17911" s="43">
        <v>5.2728703865663809</v>
      </c>
      <c r="O17911" s="43">
        <v>11.503164556962025</v>
      </c>
      <c r="P17911" s="559"/>
      <c r="Q17911" s="559"/>
      <c r="R17911" s="559">
        <v>7</v>
      </c>
    </row>
    <row r="17912" spans="1:18" ht="84">
      <c r="A17912" s="555">
        <v>350</v>
      </c>
      <c r="B17912" s="552" t="s">
        <v>32281</v>
      </c>
      <c r="C17912" s="556" t="s">
        <v>32282</v>
      </c>
      <c r="D17912" s="557">
        <v>140.91</v>
      </c>
      <c r="E17912" s="557">
        <v>70.09</v>
      </c>
      <c r="F17912" s="557">
        <v>69.42</v>
      </c>
      <c r="G17912" s="557">
        <v>1.4</v>
      </c>
      <c r="H17912" s="558">
        <v>1188.2</v>
      </c>
      <c r="I17912" s="558">
        <v>806.05</v>
      </c>
      <c r="J17912" s="558">
        <v>366.05</v>
      </c>
      <c r="K17912" s="558">
        <v>16.100000000000001</v>
      </c>
      <c r="L17912" s="43">
        <v>8.4323326946277763</v>
      </c>
      <c r="M17912" s="43">
        <v>11.500214010557853</v>
      </c>
      <c r="N17912" s="43">
        <v>5.2729760875828289</v>
      </c>
      <c r="O17912" s="43">
        <v>11.503164556962025</v>
      </c>
      <c r="P17912" s="559"/>
      <c r="Q17912" s="559"/>
      <c r="R17912" s="559">
        <v>7</v>
      </c>
    </row>
    <row r="17913" spans="1:18" ht="84">
      <c r="A17913" s="555">
        <v>351</v>
      </c>
      <c r="B17913" s="552" t="s">
        <v>32283</v>
      </c>
      <c r="C17913" s="556" t="s">
        <v>32284</v>
      </c>
      <c r="D17913" s="557">
        <v>164.88</v>
      </c>
      <c r="E17913" s="557">
        <v>81.58</v>
      </c>
      <c r="F17913" s="557">
        <v>81.67</v>
      </c>
      <c r="G17913" s="557">
        <v>1.63</v>
      </c>
      <c r="H17913" s="558">
        <v>1387.58</v>
      </c>
      <c r="I17913" s="558">
        <v>938.19</v>
      </c>
      <c r="J17913" s="558">
        <v>430.64</v>
      </c>
      <c r="K17913" s="558">
        <v>18.75</v>
      </c>
      <c r="L17913" s="43">
        <v>8.4156962639495383</v>
      </c>
      <c r="M17913" s="43">
        <v>11.500245158126992</v>
      </c>
      <c r="N17913" s="43">
        <v>5.2729276356067096</v>
      </c>
      <c r="O17913" s="43">
        <v>11.503164556962025</v>
      </c>
      <c r="P17913" s="559"/>
      <c r="Q17913" s="559"/>
      <c r="R17913" s="559">
        <v>7</v>
      </c>
    </row>
    <row r="17914" spans="1:18" ht="84">
      <c r="A17914" s="555">
        <v>352</v>
      </c>
      <c r="B17914" s="552" t="s">
        <v>32285</v>
      </c>
      <c r="C17914" s="556" t="s">
        <v>32286</v>
      </c>
      <c r="D17914" s="557">
        <v>194.41</v>
      </c>
      <c r="E17914" s="557">
        <v>96.52</v>
      </c>
      <c r="F17914" s="557">
        <v>95.96</v>
      </c>
      <c r="G17914" s="557">
        <v>1.93</v>
      </c>
      <c r="H17914" s="558">
        <v>1638.19</v>
      </c>
      <c r="I17914" s="558">
        <v>1109.98</v>
      </c>
      <c r="J17914" s="558">
        <v>506.01</v>
      </c>
      <c r="K17914" s="558">
        <v>22.2</v>
      </c>
      <c r="L17914" s="43">
        <v>8.4264698317987765</v>
      </c>
      <c r="M17914" s="43">
        <v>11.5</v>
      </c>
      <c r="N17914" s="43">
        <v>5.2731346394330973</v>
      </c>
      <c r="O17914" s="43">
        <v>11.503164556962025</v>
      </c>
      <c r="P17914" s="559"/>
      <c r="Q17914" s="559"/>
      <c r="R17914" s="559">
        <v>7</v>
      </c>
    </row>
    <row r="17915" spans="1:18" ht="84">
      <c r="A17915" s="555">
        <v>353</v>
      </c>
      <c r="B17915" s="552" t="s">
        <v>32287</v>
      </c>
      <c r="C17915" s="556" t="s">
        <v>32288</v>
      </c>
      <c r="D17915" s="557">
        <v>219.55</v>
      </c>
      <c r="E17915" s="557">
        <v>109.16</v>
      </c>
      <c r="F17915" s="557">
        <v>108.21</v>
      </c>
      <c r="G17915" s="557">
        <v>2.1800000000000002</v>
      </c>
      <c r="H17915" s="558">
        <v>1851</v>
      </c>
      <c r="I17915" s="558">
        <v>1255.33</v>
      </c>
      <c r="J17915" s="558">
        <v>570.6</v>
      </c>
      <c r="K17915" s="558">
        <v>25.07</v>
      </c>
      <c r="L17915" s="43">
        <v>8.4308813482122513</v>
      </c>
      <c r="M17915" s="43">
        <v>11.499908391352143</v>
      </c>
      <c r="N17915" s="43">
        <v>5.2730801219850294</v>
      </c>
      <c r="O17915" s="43">
        <v>11.503164556962025</v>
      </c>
      <c r="P17915" s="559"/>
      <c r="Q17915" s="559"/>
      <c r="R17915" s="559">
        <v>7</v>
      </c>
    </row>
    <row r="17916" spans="1:18" ht="84">
      <c r="A17916" s="555">
        <v>354</v>
      </c>
      <c r="B17916" s="552" t="s">
        <v>32289</v>
      </c>
      <c r="C17916" s="556" t="s">
        <v>32290</v>
      </c>
      <c r="D17916" s="557">
        <v>255.03</v>
      </c>
      <c r="E17916" s="557">
        <v>126.39</v>
      </c>
      <c r="F17916" s="557">
        <v>126.11</v>
      </c>
      <c r="G17916" s="557">
        <v>2.5299999999999998</v>
      </c>
      <c r="H17916" s="558">
        <v>2147.61</v>
      </c>
      <c r="I17916" s="558">
        <v>1453.54</v>
      </c>
      <c r="J17916" s="558">
        <v>664.97</v>
      </c>
      <c r="K17916" s="558">
        <v>29.1</v>
      </c>
      <c r="L17916" s="43">
        <v>8.4210092930243512</v>
      </c>
      <c r="M17916" s="43">
        <v>11.500435161009573</v>
      </c>
      <c r="N17916" s="43">
        <v>5.2729363254301802</v>
      </c>
      <c r="O17916" s="43">
        <v>11.503164556962025</v>
      </c>
      <c r="P17916" s="559"/>
      <c r="Q17916" s="559"/>
      <c r="R17916" s="559">
        <v>7</v>
      </c>
    </row>
    <row r="17917" spans="1:18" ht="12.75" customHeight="1">
      <c r="A17917" s="628" t="s">
        <v>32291</v>
      </c>
      <c r="B17917" s="629"/>
      <c r="C17917" s="629"/>
      <c r="D17917" s="629"/>
      <c r="E17917" s="629"/>
      <c r="F17917" s="629"/>
      <c r="G17917" s="629"/>
      <c r="H17917" s="629"/>
      <c r="I17917" s="629"/>
      <c r="J17917" s="629"/>
      <c r="K17917" s="629"/>
      <c r="L17917" s="629"/>
      <c r="M17917" s="629"/>
      <c r="N17917" s="629"/>
      <c r="O17917" s="629"/>
      <c r="P17917" s="629"/>
      <c r="Q17917" s="629"/>
      <c r="R17917" s="629"/>
    </row>
    <row r="17918" spans="1:18" ht="84">
      <c r="A17918" s="555">
        <v>355</v>
      </c>
      <c r="B17918" s="552" t="s">
        <v>32292</v>
      </c>
      <c r="C17918" s="556" t="s">
        <v>32293</v>
      </c>
      <c r="D17918" s="557">
        <v>74.260000000000005</v>
      </c>
      <c r="E17918" s="557">
        <v>36.770000000000003</v>
      </c>
      <c r="F17918" s="557">
        <v>36.75</v>
      </c>
      <c r="G17918" s="557">
        <v>0.74</v>
      </c>
      <c r="H17918" s="558">
        <v>625.15</v>
      </c>
      <c r="I17918" s="558">
        <v>422.85</v>
      </c>
      <c r="J17918" s="558">
        <v>193.79</v>
      </c>
      <c r="K17918" s="558">
        <v>8.51</v>
      </c>
      <c r="L17918" s="43">
        <v>8.4183948289792614</v>
      </c>
      <c r="M17918" s="43">
        <v>11.49986401958118</v>
      </c>
      <c r="N17918" s="43">
        <v>5.2731972789115646</v>
      </c>
      <c r="O17918" s="43">
        <v>11.503164556962025</v>
      </c>
      <c r="P17918" s="559"/>
      <c r="Q17918" s="559"/>
      <c r="R17918" s="559">
        <v>8</v>
      </c>
    </row>
    <row r="17919" spans="1:18" ht="84">
      <c r="A17919" s="555">
        <v>356</v>
      </c>
      <c r="B17919" s="552" t="s">
        <v>32294</v>
      </c>
      <c r="C17919" s="556" t="s">
        <v>32295</v>
      </c>
      <c r="D17919" s="557">
        <v>103.78</v>
      </c>
      <c r="E17919" s="557">
        <v>51.71</v>
      </c>
      <c r="F17919" s="557">
        <v>51.04</v>
      </c>
      <c r="G17919" s="557">
        <v>1.03</v>
      </c>
      <c r="H17919" s="558">
        <v>875.63</v>
      </c>
      <c r="I17919" s="558">
        <v>594.63</v>
      </c>
      <c r="J17919" s="558">
        <v>269.14999999999998</v>
      </c>
      <c r="K17919" s="558">
        <v>11.85</v>
      </c>
      <c r="L17919" s="43">
        <v>8.4373675081904018</v>
      </c>
      <c r="M17919" s="43">
        <v>11.499323148327209</v>
      </c>
      <c r="N17919" s="43">
        <v>5.273315047021943</v>
      </c>
      <c r="O17919" s="43">
        <v>11.503164556962025</v>
      </c>
      <c r="P17919" s="559"/>
      <c r="Q17919" s="559"/>
      <c r="R17919" s="559">
        <v>8</v>
      </c>
    </row>
    <row r="17920" spans="1:18" ht="84">
      <c r="A17920" s="555">
        <v>357</v>
      </c>
      <c r="B17920" s="552" t="s">
        <v>32296</v>
      </c>
      <c r="C17920" s="556" t="s">
        <v>32297</v>
      </c>
      <c r="D17920" s="557">
        <v>132.13</v>
      </c>
      <c r="E17920" s="557">
        <v>65.489999999999995</v>
      </c>
      <c r="F17920" s="557">
        <v>65.33</v>
      </c>
      <c r="G17920" s="557">
        <v>1.31</v>
      </c>
      <c r="H17920" s="558">
        <v>1112.79</v>
      </c>
      <c r="I17920" s="558">
        <v>753.2</v>
      </c>
      <c r="J17920" s="558">
        <v>344.52</v>
      </c>
      <c r="K17920" s="558">
        <v>15.07</v>
      </c>
      <c r="L17920" s="43">
        <v>8.4219329448270646</v>
      </c>
      <c r="M17920" s="43">
        <v>11.500992517941672</v>
      </c>
      <c r="N17920" s="43">
        <v>5.2735343639981629</v>
      </c>
      <c r="O17920" s="43">
        <v>11.503164556962025</v>
      </c>
      <c r="P17920" s="559"/>
      <c r="Q17920" s="559"/>
      <c r="R17920" s="559">
        <v>8</v>
      </c>
    </row>
    <row r="17921" spans="1:18" ht="84">
      <c r="A17921" s="555">
        <v>358</v>
      </c>
      <c r="B17921" s="552" t="s">
        <v>32298</v>
      </c>
      <c r="C17921" s="556" t="s">
        <v>32299</v>
      </c>
      <c r="D17921" s="557">
        <v>161.66999999999999</v>
      </c>
      <c r="E17921" s="557">
        <v>80.430000000000007</v>
      </c>
      <c r="F17921" s="557">
        <v>79.63</v>
      </c>
      <c r="G17921" s="557">
        <v>1.61</v>
      </c>
      <c r="H17921" s="558">
        <v>1363.38</v>
      </c>
      <c r="I17921" s="558">
        <v>924.98</v>
      </c>
      <c r="J17921" s="558">
        <v>419.88</v>
      </c>
      <c r="K17921" s="558">
        <v>18.52</v>
      </c>
      <c r="L17921" s="43">
        <v>8.4331044720727419</v>
      </c>
      <c r="M17921" s="43">
        <v>11.500435161009573</v>
      </c>
      <c r="N17921" s="43">
        <v>5.2728871028506843</v>
      </c>
      <c r="O17921" s="43">
        <v>11.503164556962025</v>
      </c>
      <c r="P17921" s="559"/>
      <c r="Q17921" s="559"/>
      <c r="R17921" s="559">
        <v>8</v>
      </c>
    </row>
    <row r="17922" spans="1:18" ht="84">
      <c r="A17922" s="555">
        <v>359</v>
      </c>
      <c r="B17922" s="552" t="s">
        <v>32300</v>
      </c>
      <c r="C17922" s="556" t="s">
        <v>32301</v>
      </c>
      <c r="D17922" s="557">
        <v>190.02</v>
      </c>
      <c r="E17922" s="557">
        <v>94.22</v>
      </c>
      <c r="F17922" s="557">
        <v>93.92</v>
      </c>
      <c r="G17922" s="557">
        <v>1.88</v>
      </c>
      <c r="H17922" s="558">
        <v>1600.41</v>
      </c>
      <c r="I17922" s="558">
        <v>1083.55</v>
      </c>
      <c r="J17922" s="558">
        <v>495.24</v>
      </c>
      <c r="K17922" s="558">
        <v>21.62</v>
      </c>
      <c r="L17922" s="43">
        <v>8.4223239658983271</v>
      </c>
      <c r="M17922" s="43">
        <v>11.500212269157291</v>
      </c>
      <c r="N17922" s="43">
        <v>5.2729982964224869</v>
      </c>
      <c r="O17922" s="43">
        <v>11.503164556962025</v>
      </c>
      <c r="P17922" s="559"/>
      <c r="Q17922" s="559"/>
      <c r="R17922" s="559">
        <v>8</v>
      </c>
    </row>
    <row r="17923" spans="1:18" ht="84">
      <c r="A17923" s="555">
        <v>360</v>
      </c>
      <c r="B17923" s="552" t="s">
        <v>32302</v>
      </c>
      <c r="C17923" s="556" t="s">
        <v>32303</v>
      </c>
      <c r="D17923" s="557">
        <v>219.55</v>
      </c>
      <c r="E17923" s="557">
        <v>109.16</v>
      </c>
      <c r="F17923" s="557">
        <v>108.21</v>
      </c>
      <c r="G17923" s="557">
        <v>2.1800000000000002</v>
      </c>
      <c r="H17923" s="558">
        <v>1851</v>
      </c>
      <c r="I17923" s="558">
        <v>1255.33</v>
      </c>
      <c r="J17923" s="558">
        <v>570.6</v>
      </c>
      <c r="K17923" s="558">
        <v>25.07</v>
      </c>
      <c r="L17923" s="43">
        <v>8.4308813482122513</v>
      </c>
      <c r="M17923" s="43">
        <v>11.499908391352143</v>
      </c>
      <c r="N17923" s="43">
        <v>5.2730801219850294</v>
      </c>
      <c r="O17923" s="43">
        <v>11.503164556962025</v>
      </c>
      <c r="P17923" s="559"/>
      <c r="Q17923" s="559"/>
      <c r="R17923" s="559">
        <v>8</v>
      </c>
    </row>
    <row r="17924" spans="1:18" ht="84">
      <c r="A17924" s="555">
        <v>361</v>
      </c>
      <c r="B17924" s="552" t="s">
        <v>32304</v>
      </c>
      <c r="C17924" s="556" t="s">
        <v>32305</v>
      </c>
      <c r="D17924" s="557">
        <v>251.42</v>
      </c>
      <c r="E17924" s="557">
        <v>126.39</v>
      </c>
      <c r="F17924" s="557">
        <v>122.5</v>
      </c>
      <c r="G17924" s="557">
        <v>2.5299999999999998</v>
      </c>
      <c r="H17924" s="558">
        <v>2128.61</v>
      </c>
      <c r="I17924" s="558">
        <v>1453.54</v>
      </c>
      <c r="J17924" s="558">
        <v>645.97</v>
      </c>
      <c r="K17924" s="558">
        <v>29.1</v>
      </c>
      <c r="L17924" s="43">
        <v>8.4663511256065558</v>
      </c>
      <c r="M17924" s="43">
        <v>11.500435161009573</v>
      </c>
      <c r="N17924" s="43">
        <v>5.2732244897959184</v>
      </c>
      <c r="O17924" s="43">
        <v>11.503164556962025</v>
      </c>
      <c r="P17924" s="559"/>
      <c r="Q17924" s="559"/>
      <c r="R17924" s="559">
        <v>8</v>
      </c>
    </row>
    <row r="17925" spans="1:18" ht="84">
      <c r="A17925" s="555">
        <v>362</v>
      </c>
      <c r="B17925" s="552" t="s">
        <v>32306</v>
      </c>
      <c r="C17925" s="556" t="s">
        <v>32307</v>
      </c>
      <c r="D17925" s="557">
        <v>295.27999999999997</v>
      </c>
      <c r="E17925" s="557">
        <v>149.37</v>
      </c>
      <c r="F17925" s="557">
        <v>142.91999999999999</v>
      </c>
      <c r="G17925" s="557">
        <v>2.99</v>
      </c>
      <c r="H17925" s="558">
        <v>2505.84</v>
      </c>
      <c r="I17925" s="558">
        <v>1717.82</v>
      </c>
      <c r="J17925" s="558">
        <v>753.63</v>
      </c>
      <c r="K17925" s="558">
        <v>34.39</v>
      </c>
      <c r="L17925" s="43">
        <v>8.486318070983474</v>
      </c>
      <c r="M17925" s="43">
        <v>11.500435161009573</v>
      </c>
      <c r="N17925" s="43">
        <v>5.2730898404701936</v>
      </c>
      <c r="O17925" s="43">
        <v>11.503164556962025</v>
      </c>
      <c r="P17925" s="559"/>
      <c r="Q17925" s="559"/>
      <c r="R17925" s="559">
        <v>8</v>
      </c>
    </row>
    <row r="17926" spans="1:18" ht="84">
      <c r="A17926" s="555">
        <v>363</v>
      </c>
      <c r="B17926" s="552" t="s">
        <v>32308</v>
      </c>
      <c r="C17926" s="556" t="s">
        <v>32309</v>
      </c>
      <c r="D17926" s="557">
        <v>87.41</v>
      </c>
      <c r="E17926" s="557">
        <v>43.66</v>
      </c>
      <c r="F17926" s="557">
        <v>42.88</v>
      </c>
      <c r="G17926" s="557">
        <v>0.87</v>
      </c>
      <c r="H17926" s="558">
        <v>738.23</v>
      </c>
      <c r="I17926" s="558">
        <v>502.13</v>
      </c>
      <c r="J17926" s="558">
        <v>226.09</v>
      </c>
      <c r="K17926" s="558">
        <v>10.01</v>
      </c>
      <c r="L17926" s="43">
        <v>8.4456011897952177</v>
      </c>
      <c r="M17926" s="43">
        <v>11.500916170407697</v>
      </c>
      <c r="N17926" s="43">
        <v>5.2726212686567164</v>
      </c>
      <c r="O17926" s="43">
        <v>11.503164556962025</v>
      </c>
      <c r="P17926" s="559"/>
      <c r="Q17926" s="559"/>
      <c r="R17926" s="559">
        <v>8</v>
      </c>
    </row>
    <row r="17927" spans="1:18" ht="84">
      <c r="A17927" s="555">
        <v>364</v>
      </c>
      <c r="B17927" s="552" t="s">
        <v>32310</v>
      </c>
      <c r="C17927" s="556" t="s">
        <v>32311</v>
      </c>
      <c r="D17927" s="557">
        <v>120.15</v>
      </c>
      <c r="E17927" s="557">
        <v>59.75</v>
      </c>
      <c r="F17927" s="557">
        <v>59.21</v>
      </c>
      <c r="G17927" s="557">
        <v>1.19</v>
      </c>
      <c r="H17927" s="558">
        <v>1013.04</v>
      </c>
      <c r="I17927" s="558">
        <v>687.13</v>
      </c>
      <c r="J17927" s="558">
        <v>312.22000000000003</v>
      </c>
      <c r="K17927" s="558">
        <v>13.69</v>
      </c>
      <c r="L17927" s="43">
        <v>8.4314606741573019</v>
      </c>
      <c r="M17927" s="43">
        <v>11.500083682008368</v>
      </c>
      <c r="N17927" s="43">
        <v>5.2730957608512083</v>
      </c>
      <c r="O17927" s="43">
        <v>11.503164556962025</v>
      </c>
      <c r="P17927" s="559"/>
      <c r="Q17927" s="559"/>
      <c r="R17927" s="559">
        <v>8</v>
      </c>
    </row>
    <row r="17928" spans="1:18" ht="84">
      <c r="A17928" s="555">
        <v>365</v>
      </c>
      <c r="B17928" s="552" t="s">
        <v>32312</v>
      </c>
      <c r="C17928" s="556" t="s">
        <v>32313</v>
      </c>
      <c r="D17928" s="557">
        <v>152.88999999999999</v>
      </c>
      <c r="E17928" s="557">
        <v>75.83</v>
      </c>
      <c r="F17928" s="557">
        <v>75.540000000000006</v>
      </c>
      <c r="G17928" s="557">
        <v>1.52</v>
      </c>
      <c r="H17928" s="558">
        <v>1287.95</v>
      </c>
      <c r="I17928" s="558">
        <v>872.12</v>
      </c>
      <c r="J17928" s="558">
        <v>398.35</v>
      </c>
      <c r="K17928" s="558">
        <v>17.48</v>
      </c>
      <c r="L17928" s="43">
        <v>8.4240303486166539</v>
      </c>
      <c r="M17928" s="43">
        <v>11.500989054463933</v>
      </c>
      <c r="N17928" s="43">
        <v>5.2733651045803542</v>
      </c>
      <c r="O17928" s="43">
        <v>11.503164556962025</v>
      </c>
      <c r="P17928" s="559"/>
      <c r="Q17928" s="559"/>
      <c r="R17928" s="559">
        <v>8</v>
      </c>
    </row>
    <row r="17929" spans="1:18" ht="84">
      <c r="A17929" s="555">
        <v>366</v>
      </c>
      <c r="B17929" s="552" t="s">
        <v>32314</v>
      </c>
      <c r="C17929" s="556" t="s">
        <v>32315</v>
      </c>
      <c r="D17929" s="557">
        <v>185.64</v>
      </c>
      <c r="E17929" s="557">
        <v>91.92</v>
      </c>
      <c r="F17929" s="557">
        <v>91.88</v>
      </c>
      <c r="G17929" s="557">
        <v>1.84</v>
      </c>
      <c r="H17929" s="558">
        <v>1562.75</v>
      </c>
      <c r="I17929" s="558">
        <v>1057.1199999999999</v>
      </c>
      <c r="J17929" s="558">
        <v>484.47</v>
      </c>
      <c r="K17929" s="558">
        <v>21.16</v>
      </c>
      <c r="L17929" s="43">
        <v>8.4181749622926105</v>
      </c>
      <c r="M17929" s="43">
        <v>11.500435161009571</v>
      </c>
      <c r="N17929" s="43">
        <v>5.2728558989986949</v>
      </c>
      <c r="O17929" s="43">
        <v>11.503164556962025</v>
      </c>
      <c r="P17929" s="559"/>
      <c r="Q17929" s="559"/>
      <c r="R17929" s="559">
        <v>8</v>
      </c>
    </row>
    <row r="17930" spans="1:18" ht="84">
      <c r="A17930" s="555">
        <v>367</v>
      </c>
      <c r="B17930" s="552" t="s">
        <v>32316</v>
      </c>
      <c r="C17930" s="556" t="s">
        <v>32317</v>
      </c>
      <c r="D17930" s="557">
        <v>219.55</v>
      </c>
      <c r="E17930" s="557">
        <v>109.16</v>
      </c>
      <c r="F17930" s="557">
        <v>108.21</v>
      </c>
      <c r="G17930" s="557">
        <v>2.1800000000000002</v>
      </c>
      <c r="H17930" s="558">
        <v>1851</v>
      </c>
      <c r="I17930" s="558">
        <v>1255.33</v>
      </c>
      <c r="J17930" s="558">
        <v>570.6</v>
      </c>
      <c r="K17930" s="558">
        <v>25.07</v>
      </c>
      <c r="L17930" s="43">
        <v>8.4308813482122513</v>
      </c>
      <c r="M17930" s="43">
        <v>11.499908391352143</v>
      </c>
      <c r="N17930" s="43">
        <v>5.2730801219850294</v>
      </c>
      <c r="O17930" s="43">
        <v>11.503164556962025</v>
      </c>
      <c r="P17930" s="559"/>
      <c r="Q17930" s="559"/>
      <c r="R17930" s="559">
        <v>8</v>
      </c>
    </row>
    <row r="17931" spans="1:18" ht="84">
      <c r="A17931" s="555">
        <v>368</v>
      </c>
      <c r="B17931" s="552" t="s">
        <v>32318</v>
      </c>
      <c r="C17931" s="556" t="s">
        <v>32319</v>
      </c>
      <c r="D17931" s="557">
        <v>253.82</v>
      </c>
      <c r="E17931" s="557">
        <v>126.39</v>
      </c>
      <c r="F17931" s="557">
        <v>124.9</v>
      </c>
      <c r="G17931" s="557">
        <v>2.5299999999999998</v>
      </c>
      <c r="H17931" s="558">
        <v>2141.27</v>
      </c>
      <c r="I17931" s="558">
        <v>1453.54</v>
      </c>
      <c r="J17931" s="558">
        <v>658.63</v>
      </c>
      <c r="K17931" s="558">
        <v>29.1</v>
      </c>
      <c r="L17931" s="43">
        <v>8.4361752422976917</v>
      </c>
      <c r="M17931" s="43">
        <v>11.500435161009573</v>
      </c>
      <c r="N17931" s="43">
        <v>5.2732586068855083</v>
      </c>
      <c r="O17931" s="43">
        <v>11.503164556962025</v>
      </c>
      <c r="P17931" s="559"/>
      <c r="Q17931" s="559"/>
      <c r="R17931" s="559">
        <v>8</v>
      </c>
    </row>
    <row r="17932" spans="1:18" ht="84">
      <c r="A17932" s="555">
        <v>369</v>
      </c>
      <c r="B17932" s="552" t="s">
        <v>32320</v>
      </c>
      <c r="C17932" s="556" t="s">
        <v>32321</v>
      </c>
      <c r="D17932" s="557">
        <v>281.16000000000003</v>
      </c>
      <c r="E17932" s="557">
        <v>137.88</v>
      </c>
      <c r="F17932" s="557">
        <v>140.52000000000001</v>
      </c>
      <c r="G17932" s="557">
        <v>2.76</v>
      </c>
      <c r="H17932" s="558">
        <v>2358.38</v>
      </c>
      <c r="I17932" s="558">
        <v>1585.68</v>
      </c>
      <c r="J17932" s="558">
        <v>740.96</v>
      </c>
      <c r="K17932" s="558">
        <v>31.74</v>
      </c>
      <c r="L17932" s="43">
        <v>8.3880352824014786</v>
      </c>
      <c r="M17932" s="43">
        <v>11.500435161009575</v>
      </c>
      <c r="N17932" s="43">
        <v>5.272986051807572</v>
      </c>
      <c r="O17932" s="43">
        <v>11.503164556962025</v>
      </c>
      <c r="P17932" s="559"/>
      <c r="Q17932" s="559"/>
      <c r="R17932" s="559">
        <v>8</v>
      </c>
    </row>
    <row r="17933" spans="1:18" ht="84">
      <c r="A17933" s="555">
        <v>370</v>
      </c>
      <c r="B17933" s="552" t="s">
        <v>32322</v>
      </c>
      <c r="C17933" s="556" t="s">
        <v>32323</v>
      </c>
      <c r="D17933" s="557">
        <v>321.41000000000003</v>
      </c>
      <c r="E17933" s="557">
        <v>160.86000000000001</v>
      </c>
      <c r="F17933" s="557">
        <v>157.33000000000001</v>
      </c>
      <c r="G17933" s="557">
        <v>3.22</v>
      </c>
      <c r="H17933" s="558">
        <v>2716.61</v>
      </c>
      <c r="I17933" s="558">
        <v>1849.96</v>
      </c>
      <c r="J17933" s="558">
        <v>829.62</v>
      </c>
      <c r="K17933" s="558">
        <v>37.03</v>
      </c>
      <c r="L17933" s="43">
        <v>8.4521639028032727</v>
      </c>
      <c r="M17933" s="43">
        <v>11.500435161009573</v>
      </c>
      <c r="N17933" s="43">
        <v>5.2731201932244325</v>
      </c>
      <c r="O17933" s="43">
        <v>11.503164556962025</v>
      </c>
      <c r="P17933" s="559"/>
      <c r="Q17933" s="559"/>
      <c r="R17933" s="559">
        <v>8</v>
      </c>
    </row>
    <row r="17934" spans="1:18" ht="84">
      <c r="A17934" s="555">
        <v>371</v>
      </c>
      <c r="B17934" s="552" t="s">
        <v>32324</v>
      </c>
      <c r="C17934" s="556" t="s">
        <v>32325</v>
      </c>
      <c r="D17934" s="557">
        <v>103.78</v>
      </c>
      <c r="E17934" s="557">
        <v>51.71</v>
      </c>
      <c r="F17934" s="557">
        <v>51.04</v>
      </c>
      <c r="G17934" s="557">
        <v>1.03</v>
      </c>
      <c r="H17934" s="558">
        <v>875.63</v>
      </c>
      <c r="I17934" s="558">
        <v>594.63</v>
      </c>
      <c r="J17934" s="558">
        <v>269.14999999999998</v>
      </c>
      <c r="K17934" s="558">
        <v>11.85</v>
      </c>
      <c r="L17934" s="43">
        <v>8.4373675081904018</v>
      </c>
      <c r="M17934" s="43">
        <v>11.499323148327209</v>
      </c>
      <c r="N17934" s="43">
        <v>5.273315047021943</v>
      </c>
      <c r="O17934" s="43">
        <v>11.503164556962025</v>
      </c>
      <c r="P17934" s="559"/>
      <c r="Q17934" s="559"/>
      <c r="R17934" s="559">
        <v>8</v>
      </c>
    </row>
    <row r="17935" spans="1:18" ht="84">
      <c r="A17935" s="555">
        <v>372</v>
      </c>
      <c r="B17935" s="552" t="s">
        <v>32326</v>
      </c>
      <c r="C17935" s="556" t="s">
        <v>32327</v>
      </c>
      <c r="D17935" s="557">
        <v>136.53</v>
      </c>
      <c r="E17935" s="557">
        <v>67.790000000000006</v>
      </c>
      <c r="F17935" s="557">
        <v>67.38</v>
      </c>
      <c r="G17935" s="557">
        <v>1.36</v>
      </c>
      <c r="H17935" s="558">
        <v>1150.55</v>
      </c>
      <c r="I17935" s="558">
        <v>779.63</v>
      </c>
      <c r="J17935" s="558">
        <v>355.28</v>
      </c>
      <c r="K17935" s="558">
        <v>15.64</v>
      </c>
      <c r="L17935" s="43">
        <v>8.4270856222075725</v>
      </c>
      <c r="M17935" s="43">
        <v>11.500663814721934</v>
      </c>
      <c r="N17935" s="43">
        <v>5.2727812407242505</v>
      </c>
      <c r="O17935" s="43">
        <v>11.503164556962025</v>
      </c>
      <c r="P17935" s="559"/>
      <c r="Q17935" s="559"/>
      <c r="R17935" s="559">
        <v>8</v>
      </c>
    </row>
    <row r="17936" spans="1:18" ht="84">
      <c r="A17936" s="555">
        <v>373</v>
      </c>
      <c r="B17936" s="552" t="s">
        <v>32328</v>
      </c>
      <c r="C17936" s="556" t="s">
        <v>32329</v>
      </c>
      <c r="D17936" s="557">
        <v>173.65</v>
      </c>
      <c r="E17936" s="557">
        <v>86.18</v>
      </c>
      <c r="F17936" s="557">
        <v>85.75</v>
      </c>
      <c r="G17936" s="557">
        <v>1.72</v>
      </c>
      <c r="H17936" s="558">
        <v>1463.01</v>
      </c>
      <c r="I17936" s="558">
        <v>991.05</v>
      </c>
      <c r="J17936" s="558">
        <v>452.18</v>
      </c>
      <c r="K17936" s="558">
        <v>19.78</v>
      </c>
      <c r="L17936" s="43">
        <v>8.4250503887129273</v>
      </c>
      <c r="M17936" s="43">
        <v>11.499767927593407</v>
      </c>
      <c r="N17936" s="43">
        <v>5.2732361516034985</v>
      </c>
      <c r="O17936" s="43">
        <v>11.503164556962025</v>
      </c>
      <c r="P17936" s="559"/>
      <c r="Q17936" s="559"/>
      <c r="R17936" s="559">
        <v>8</v>
      </c>
    </row>
    <row r="17937" spans="1:18" ht="84">
      <c r="A17937" s="555">
        <v>374</v>
      </c>
      <c r="B17937" s="552" t="s">
        <v>32330</v>
      </c>
      <c r="C17937" s="556" t="s">
        <v>32331</v>
      </c>
      <c r="D17937" s="557">
        <v>210.78</v>
      </c>
      <c r="E17937" s="557">
        <v>104.56</v>
      </c>
      <c r="F17937" s="557">
        <v>104.13</v>
      </c>
      <c r="G17937" s="557">
        <v>2.09</v>
      </c>
      <c r="H17937" s="558">
        <v>1775.58</v>
      </c>
      <c r="I17937" s="558">
        <v>1202.47</v>
      </c>
      <c r="J17937" s="558">
        <v>549.07000000000005</v>
      </c>
      <c r="K17937" s="558">
        <v>24.04</v>
      </c>
      <c r="L17937" s="43">
        <v>8.4238542556219755</v>
      </c>
      <c r="M17937" s="43">
        <v>11.500286916602908</v>
      </c>
      <c r="N17937" s="43">
        <v>5.2729280706808801</v>
      </c>
      <c r="O17937" s="43">
        <v>11.503164556962025</v>
      </c>
      <c r="P17937" s="559"/>
      <c r="Q17937" s="559"/>
      <c r="R17937" s="559">
        <v>8</v>
      </c>
    </row>
    <row r="17938" spans="1:18" ht="84">
      <c r="A17938" s="555">
        <v>375</v>
      </c>
      <c r="B17938" s="552" t="s">
        <v>32332</v>
      </c>
      <c r="C17938" s="556" t="s">
        <v>32333</v>
      </c>
      <c r="D17938" s="557">
        <v>251.42</v>
      </c>
      <c r="E17938" s="557">
        <v>126.39</v>
      </c>
      <c r="F17938" s="557">
        <v>122.5</v>
      </c>
      <c r="G17938" s="557">
        <v>2.5299999999999998</v>
      </c>
      <c r="H17938" s="558">
        <v>2128.61</v>
      </c>
      <c r="I17938" s="558">
        <v>1453.54</v>
      </c>
      <c r="J17938" s="558">
        <v>645.97</v>
      </c>
      <c r="K17938" s="558">
        <v>29.1</v>
      </c>
      <c r="L17938" s="43">
        <v>8.4663511256065558</v>
      </c>
      <c r="M17938" s="43">
        <v>11.500435161009573</v>
      </c>
      <c r="N17938" s="43">
        <v>5.2732244897959184</v>
      </c>
      <c r="O17938" s="43">
        <v>11.503164556962025</v>
      </c>
      <c r="P17938" s="559"/>
      <c r="Q17938" s="559"/>
      <c r="R17938" s="559">
        <v>8</v>
      </c>
    </row>
    <row r="17939" spans="1:18" ht="84">
      <c r="A17939" s="555">
        <v>376</v>
      </c>
      <c r="B17939" s="552" t="s">
        <v>32334</v>
      </c>
      <c r="C17939" s="556" t="s">
        <v>32335</v>
      </c>
      <c r="D17939" s="557">
        <v>281.16000000000003</v>
      </c>
      <c r="E17939" s="557">
        <v>137.88</v>
      </c>
      <c r="F17939" s="557">
        <v>140.52000000000001</v>
      </c>
      <c r="G17939" s="557">
        <v>2.76</v>
      </c>
      <c r="H17939" s="558">
        <v>2358.38</v>
      </c>
      <c r="I17939" s="558">
        <v>1585.68</v>
      </c>
      <c r="J17939" s="558">
        <v>740.96</v>
      </c>
      <c r="K17939" s="558">
        <v>31.74</v>
      </c>
      <c r="L17939" s="43">
        <v>8.3880352824014786</v>
      </c>
      <c r="M17939" s="43">
        <v>11.500435161009575</v>
      </c>
      <c r="N17939" s="43">
        <v>5.272986051807572</v>
      </c>
      <c r="O17939" s="43">
        <v>11.503164556962025</v>
      </c>
      <c r="P17939" s="559"/>
      <c r="Q17939" s="559"/>
      <c r="R17939" s="559">
        <v>8</v>
      </c>
    </row>
    <row r="17940" spans="1:18" ht="84">
      <c r="A17940" s="555">
        <v>377</v>
      </c>
      <c r="B17940" s="552" t="s">
        <v>32336</v>
      </c>
      <c r="C17940" s="556" t="s">
        <v>32337</v>
      </c>
      <c r="D17940" s="557">
        <v>323.81</v>
      </c>
      <c r="E17940" s="557">
        <v>160.86000000000001</v>
      </c>
      <c r="F17940" s="557">
        <v>159.72999999999999</v>
      </c>
      <c r="G17940" s="557">
        <v>3.22</v>
      </c>
      <c r="H17940" s="558">
        <v>2729.28</v>
      </c>
      <c r="I17940" s="558">
        <v>1849.96</v>
      </c>
      <c r="J17940" s="558">
        <v>842.29</v>
      </c>
      <c r="K17940" s="558">
        <v>37.03</v>
      </c>
      <c r="L17940" s="43">
        <v>8.4286464284611355</v>
      </c>
      <c r="M17940" s="43">
        <v>11.500435161009573</v>
      </c>
      <c r="N17940" s="43">
        <v>5.2732110436361364</v>
      </c>
      <c r="O17940" s="43">
        <v>11.503164556962025</v>
      </c>
      <c r="P17940" s="559"/>
      <c r="Q17940" s="559"/>
      <c r="R17940" s="559">
        <v>8</v>
      </c>
    </row>
    <row r="17941" spans="1:18" ht="84">
      <c r="A17941" s="555">
        <v>378</v>
      </c>
      <c r="B17941" s="552" t="s">
        <v>32338</v>
      </c>
      <c r="C17941" s="556" t="s">
        <v>32339</v>
      </c>
      <c r="D17941" s="557">
        <v>365.27</v>
      </c>
      <c r="E17941" s="557">
        <v>183.84</v>
      </c>
      <c r="F17941" s="557">
        <v>177.75</v>
      </c>
      <c r="G17941" s="557">
        <v>3.68</v>
      </c>
      <c r="H17941" s="558">
        <v>3093.84</v>
      </c>
      <c r="I17941" s="558">
        <v>2114.2399999999998</v>
      </c>
      <c r="J17941" s="558">
        <v>937.28</v>
      </c>
      <c r="K17941" s="558">
        <v>42.32</v>
      </c>
      <c r="L17941" s="43">
        <v>8.4700084868727252</v>
      </c>
      <c r="M17941" s="43">
        <v>11.500435161009571</v>
      </c>
      <c r="N17941" s="43">
        <v>5.2730239099859348</v>
      </c>
      <c r="O17941" s="43">
        <v>11.503164556962025</v>
      </c>
      <c r="P17941" s="559"/>
      <c r="Q17941" s="559"/>
      <c r="R17941" s="559">
        <v>8</v>
      </c>
    </row>
    <row r="17942" spans="1:18" ht="84">
      <c r="A17942" s="555">
        <v>379</v>
      </c>
      <c r="B17942" s="552" t="s">
        <v>32340</v>
      </c>
      <c r="C17942" s="556" t="s">
        <v>32341</v>
      </c>
      <c r="D17942" s="557">
        <v>111.38</v>
      </c>
      <c r="E17942" s="557">
        <v>55.15</v>
      </c>
      <c r="F17942" s="557">
        <v>55.13</v>
      </c>
      <c r="G17942" s="557">
        <v>1.1000000000000001</v>
      </c>
      <c r="H17942" s="558">
        <v>937.6</v>
      </c>
      <c r="I17942" s="558">
        <v>634.27</v>
      </c>
      <c r="J17942" s="558">
        <v>290.68</v>
      </c>
      <c r="K17942" s="558">
        <v>12.65</v>
      </c>
      <c r="L17942" s="43">
        <v>8.4180283713413537</v>
      </c>
      <c r="M17942" s="43">
        <v>11.50081595648232</v>
      </c>
      <c r="N17942" s="43">
        <v>5.2726283330310171</v>
      </c>
      <c r="O17942" s="43">
        <v>11.503164556962025</v>
      </c>
      <c r="P17942" s="559"/>
      <c r="Q17942" s="559"/>
      <c r="R17942" s="559">
        <v>8</v>
      </c>
    </row>
    <row r="17943" spans="1:18" ht="84">
      <c r="A17943" s="555">
        <v>380</v>
      </c>
      <c r="B17943" s="552" t="s">
        <v>32342</v>
      </c>
      <c r="C17943" s="556" t="s">
        <v>32343</v>
      </c>
      <c r="D17943" s="557">
        <v>152.88999999999999</v>
      </c>
      <c r="E17943" s="557">
        <v>75.83</v>
      </c>
      <c r="F17943" s="557">
        <v>75.540000000000006</v>
      </c>
      <c r="G17943" s="557">
        <v>1.52</v>
      </c>
      <c r="H17943" s="558">
        <v>1287.95</v>
      </c>
      <c r="I17943" s="558">
        <v>872.12</v>
      </c>
      <c r="J17943" s="558">
        <v>398.35</v>
      </c>
      <c r="K17943" s="558">
        <v>17.48</v>
      </c>
      <c r="L17943" s="43">
        <v>8.4240303486166539</v>
      </c>
      <c r="M17943" s="43">
        <v>11.500989054463933</v>
      </c>
      <c r="N17943" s="43">
        <v>5.2733651045803542</v>
      </c>
      <c r="O17943" s="43">
        <v>11.503164556962025</v>
      </c>
      <c r="P17943" s="559"/>
      <c r="Q17943" s="559"/>
      <c r="R17943" s="559">
        <v>8</v>
      </c>
    </row>
    <row r="17944" spans="1:18" ht="84">
      <c r="A17944" s="555">
        <v>381</v>
      </c>
      <c r="B17944" s="552" t="s">
        <v>32344</v>
      </c>
      <c r="C17944" s="556" t="s">
        <v>32345</v>
      </c>
      <c r="D17944" s="557">
        <v>198.79</v>
      </c>
      <c r="E17944" s="557">
        <v>98.81</v>
      </c>
      <c r="F17944" s="557">
        <v>98</v>
      </c>
      <c r="G17944" s="557">
        <v>1.98</v>
      </c>
      <c r="H17944" s="558">
        <v>1675.94</v>
      </c>
      <c r="I17944" s="558">
        <v>1136.4000000000001</v>
      </c>
      <c r="J17944" s="558">
        <v>516.77</v>
      </c>
      <c r="K17944" s="558">
        <v>22.77</v>
      </c>
      <c r="L17944" s="43">
        <v>8.4307057699079433</v>
      </c>
      <c r="M17944" s="43">
        <v>11.500860236818136</v>
      </c>
      <c r="N17944" s="43">
        <v>5.2731632653061222</v>
      </c>
      <c r="O17944" s="43">
        <v>11.503164556962025</v>
      </c>
      <c r="P17944" s="559"/>
      <c r="Q17944" s="559"/>
      <c r="R17944" s="559">
        <v>8</v>
      </c>
    </row>
    <row r="17945" spans="1:18" ht="84">
      <c r="A17945" s="555">
        <v>382</v>
      </c>
      <c r="B17945" s="552" t="s">
        <v>32346</v>
      </c>
      <c r="C17945" s="556" t="s">
        <v>32347</v>
      </c>
      <c r="D17945" s="557">
        <v>235.62</v>
      </c>
      <c r="E17945" s="557">
        <v>114.9</v>
      </c>
      <c r="F17945" s="557">
        <v>118.42</v>
      </c>
      <c r="G17945" s="557">
        <v>2.2999999999999998</v>
      </c>
      <c r="H17945" s="558">
        <v>1972.28</v>
      </c>
      <c r="I17945" s="558">
        <v>1321.4</v>
      </c>
      <c r="J17945" s="558">
        <v>624.42999999999995</v>
      </c>
      <c r="K17945" s="558">
        <v>26.45</v>
      </c>
      <c r="L17945" s="43">
        <v>8.3705967235378989</v>
      </c>
      <c r="M17945" s="43">
        <v>11.500435161009573</v>
      </c>
      <c r="N17945" s="43">
        <v>5.2730113156561389</v>
      </c>
      <c r="O17945" s="43">
        <v>11.503164556962025</v>
      </c>
      <c r="P17945" s="559"/>
      <c r="Q17945" s="559"/>
      <c r="R17945" s="559">
        <v>8</v>
      </c>
    </row>
    <row r="17946" spans="1:18" ht="84">
      <c r="A17946" s="555">
        <v>383</v>
      </c>
      <c r="B17946" s="552" t="s">
        <v>32348</v>
      </c>
      <c r="C17946" s="556" t="s">
        <v>32349</v>
      </c>
      <c r="D17946" s="557">
        <v>281.16000000000003</v>
      </c>
      <c r="E17946" s="557">
        <v>137.88</v>
      </c>
      <c r="F17946" s="557">
        <v>140.52000000000001</v>
      </c>
      <c r="G17946" s="557">
        <v>2.76</v>
      </c>
      <c r="H17946" s="558">
        <v>2358.38</v>
      </c>
      <c r="I17946" s="558">
        <v>1585.68</v>
      </c>
      <c r="J17946" s="558">
        <v>740.96</v>
      </c>
      <c r="K17946" s="558">
        <v>31.74</v>
      </c>
      <c r="L17946" s="43">
        <v>8.3880352824014786</v>
      </c>
      <c r="M17946" s="43">
        <v>11.500435161009575</v>
      </c>
      <c r="N17946" s="43">
        <v>5.272986051807572</v>
      </c>
      <c r="O17946" s="43">
        <v>11.503164556962025</v>
      </c>
      <c r="P17946" s="559"/>
      <c r="Q17946" s="559"/>
      <c r="R17946" s="559">
        <v>8</v>
      </c>
    </row>
    <row r="17947" spans="1:18" ht="84">
      <c r="A17947" s="555">
        <v>384</v>
      </c>
      <c r="B17947" s="552" t="s">
        <v>32350</v>
      </c>
      <c r="C17947" s="556" t="s">
        <v>32351</v>
      </c>
      <c r="D17947" s="557">
        <v>325.01</v>
      </c>
      <c r="E17947" s="557">
        <v>160.86000000000001</v>
      </c>
      <c r="F17947" s="557">
        <v>160.93</v>
      </c>
      <c r="G17947" s="557">
        <v>3.22</v>
      </c>
      <c r="H17947" s="558">
        <v>2735.61</v>
      </c>
      <c r="I17947" s="558">
        <v>1849.96</v>
      </c>
      <c r="J17947" s="558">
        <v>848.62</v>
      </c>
      <c r="K17947" s="558">
        <v>37.03</v>
      </c>
      <c r="L17947" s="43">
        <v>8.4170025537675777</v>
      </c>
      <c r="M17947" s="43">
        <v>11.500435161009573</v>
      </c>
      <c r="N17947" s="43">
        <v>5.2732243832722299</v>
      </c>
      <c r="O17947" s="43">
        <v>11.503164556962025</v>
      </c>
      <c r="P17947" s="559"/>
      <c r="Q17947" s="559"/>
      <c r="R17947" s="559">
        <v>8</v>
      </c>
    </row>
    <row r="17948" spans="1:18" ht="84">
      <c r="A17948" s="555">
        <v>385</v>
      </c>
      <c r="B17948" s="552" t="s">
        <v>32352</v>
      </c>
      <c r="C17948" s="556" t="s">
        <v>32353</v>
      </c>
      <c r="D17948" s="557">
        <v>368.87</v>
      </c>
      <c r="E17948" s="557">
        <v>183.84</v>
      </c>
      <c r="F17948" s="557">
        <v>181.35</v>
      </c>
      <c r="G17948" s="557">
        <v>3.68</v>
      </c>
      <c r="H17948" s="558">
        <v>3112.84</v>
      </c>
      <c r="I17948" s="558">
        <v>2114.2399999999998</v>
      </c>
      <c r="J17948" s="558">
        <v>956.28</v>
      </c>
      <c r="K17948" s="558">
        <v>42.32</v>
      </c>
      <c r="L17948" s="43">
        <v>8.4388537967305552</v>
      </c>
      <c r="M17948" s="43">
        <v>11.500435161009571</v>
      </c>
      <c r="N17948" s="43">
        <v>5.2731182795698928</v>
      </c>
      <c r="O17948" s="43">
        <v>11.503164556962025</v>
      </c>
      <c r="P17948" s="559"/>
      <c r="Q17948" s="559"/>
      <c r="R17948" s="559">
        <v>8</v>
      </c>
    </row>
    <row r="17949" spans="1:18" ht="84">
      <c r="A17949" s="555">
        <v>386</v>
      </c>
      <c r="B17949" s="552" t="s">
        <v>32354</v>
      </c>
      <c r="C17949" s="556" t="s">
        <v>32355</v>
      </c>
      <c r="D17949" s="557">
        <v>412.73</v>
      </c>
      <c r="E17949" s="557">
        <v>206.82</v>
      </c>
      <c r="F17949" s="557">
        <v>201.77</v>
      </c>
      <c r="G17949" s="557">
        <v>4.1399999999999997</v>
      </c>
      <c r="H17949" s="558">
        <v>3490.07</v>
      </c>
      <c r="I17949" s="558">
        <v>2378.52</v>
      </c>
      <c r="J17949" s="558">
        <v>1063.94</v>
      </c>
      <c r="K17949" s="558">
        <v>47.61</v>
      </c>
      <c r="L17949" s="43">
        <v>8.4560608630339456</v>
      </c>
      <c r="M17949" s="43">
        <v>11.500435161009573</v>
      </c>
      <c r="N17949" s="43">
        <v>5.2730336521782224</v>
      </c>
      <c r="O17949" s="43">
        <v>11.503164556962025</v>
      </c>
      <c r="P17949" s="559"/>
      <c r="Q17949" s="559"/>
      <c r="R17949" s="559">
        <v>8</v>
      </c>
    </row>
    <row r="17950" spans="1:18" ht="84">
      <c r="A17950" s="555">
        <v>387</v>
      </c>
      <c r="B17950" s="552" t="s">
        <v>32356</v>
      </c>
      <c r="C17950" s="556" t="s">
        <v>32357</v>
      </c>
      <c r="D17950" s="557">
        <v>136.53</v>
      </c>
      <c r="E17950" s="557">
        <v>67.790000000000006</v>
      </c>
      <c r="F17950" s="557">
        <v>67.38</v>
      </c>
      <c r="G17950" s="557">
        <v>1.36</v>
      </c>
      <c r="H17950" s="558">
        <v>1150.55</v>
      </c>
      <c r="I17950" s="558">
        <v>779.63</v>
      </c>
      <c r="J17950" s="558">
        <v>355.28</v>
      </c>
      <c r="K17950" s="558">
        <v>15.64</v>
      </c>
      <c r="L17950" s="43">
        <v>8.4270856222075725</v>
      </c>
      <c r="M17950" s="43">
        <v>11.500663814721934</v>
      </c>
      <c r="N17950" s="43">
        <v>5.2727812407242505</v>
      </c>
      <c r="O17950" s="43">
        <v>11.503164556962025</v>
      </c>
      <c r="P17950" s="559"/>
      <c r="Q17950" s="559"/>
      <c r="R17950" s="559">
        <v>8</v>
      </c>
    </row>
    <row r="17951" spans="1:18" ht="84">
      <c r="A17951" s="555">
        <v>388</v>
      </c>
      <c r="B17951" s="552" t="s">
        <v>32358</v>
      </c>
      <c r="C17951" s="556" t="s">
        <v>32359</v>
      </c>
      <c r="D17951" s="557">
        <v>185.64</v>
      </c>
      <c r="E17951" s="557">
        <v>91.92</v>
      </c>
      <c r="F17951" s="557">
        <v>91.88</v>
      </c>
      <c r="G17951" s="557">
        <v>1.84</v>
      </c>
      <c r="H17951" s="558">
        <v>1562.75</v>
      </c>
      <c r="I17951" s="558">
        <v>1057.1199999999999</v>
      </c>
      <c r="J17951" s="558">
        <v>484.47</v>
      </c>
      <c r="K17951" s="558">
        <v>21.16</v>
      </c>
      <c r="L17951" s="43">
        <v>8.4181749622926105</v>
      </c>
      <c r="M17951" s="43">
        <v>11.500435161009571</v>
      </c>
      <c r="N17951" s="43">
        <v>5.2728558989986949</v>
      </c>
      <c r="O17951" s="43">
        <v>11.503164556962025</v>
      </c>
      <c r="P17951" s="559"/>
      <c r="Q17951" s="559"/>
      <c r="R17951" s="559">
        <v>8</v>
      </c>
    </row>
    <row r="17952" spans="1:18" ht="84">
      <c r="A17952" s="555">
        <v>389</v>
      </c>
      <c r="B17952" s="552" t="s">
        <v>32360</v>
      </c>
      <c r="C17952" s="556" t="s">
        <v>32361</v>
      </c>
      <c r="D17952" s="557">
        <v>233.58</v>
      </c>
      <c r="E17952" s="557">
        <v>114.9</v>
      </c>
      <c r="F17952" s="557">
        <v>116.38</v>
      </c>
      <c r="G17952" s="557">
        <v>2.2999999999999998</v>
      </c>
      <c r="H17952" s="558">
        <v>1961.52</v>
      </c>
      <c r="I17952" s="558">
        <v>1321.4</v>
      </c>
      <c r="J17952" s="558">
        <v>613.66999999999996</v>
      </c>
      <c r="K17952" s="558">
        <v>26.45</v>
      </c>
      <c r="L17952" s="43">
        <v>8.3976367839712296</v>
      </c>
      <c r="M17952" s="43">
        <v>11.500435161009573</v>
      </c>
      <c r="N17952" s="43">
        <v>5.2729850489774872</v>
      </c>
      <c r="O17952" s="43">
        <v>11.503164556962025</v>
      </c>
      <c r="P17952" s="559"/>
      <c r="Q17952" s="559"/>
      <c r="R17952" s="559">
        <v>8</v>
      </c>
    </row>
    <row r="17953" spans="1:18" ht="84">
      <c r="A17953" s="555">
        <v>390</v>
      </c>
      <c r="B17953" s="552" t="s">
        <v>32362</v>
      </c>
      <c r="C17953" s="556" t="s">
        <v>32363</v>
      </c>
      <c r="D17953" s="557">
        <v>295.27999999999997</v>
      </c>
      <c r="E17953" s="557">
        <v>149.37</v>
      </c>
      <c r="F17953" s="557">
        <v>142.91999999999999</v>
      </c>
      <c r="G17953" s="557">
        <v>2.99</v>
      </c>
      <c r="H17953" s="558">
        <v>2505.84</v>
      </c>
      <c r="I17953" s="558">
        <v>1717.82</v>
      </c>
      <c r="J17953" s="558">
        <v>753.63</v>
      </c>
      <c r="K17953" s="558">
        <v>34.39</v>
      </c>
      <c r="L17953" s="43">
        <v>8.486318070983474</v>
      </c>
      <c r="M17953" s="43">
        <v>11.500435161009573</v>
      </c>
      <c r="N17953" s="43">
        <v>5.2730898404701936</v>
      </c>
      <c r="O17953" s="43">
        <v>11.503164556962025</v>
      </c>
      <c r="P17953" s="559"/>
      <c r="Q17953" s="559"/>
      <c r="R17953" s="559">
        <v>8</v>
      </c>
    </row>
    <row r="17954" spans="1:18" ht="84">
      <c r="A17954" s="555">
        <v>391</v>
      </c>
      <c r="B17954" s="552" t="s">
        <v>32364</v>
      </c>
      <c r="C17954" s="556" t="s">
        <v>32365</v>
      </c>
      <c r="D17954" s="557">
        <v>342.74</v>
      </c>
      <c r="E17954" s="557">
        <v>172.35</v>
      </c>
      <c r="F17954" s="557">
        <v>166.94</v>
      </c>
      <c r="G17954" s="557">
        <v>3.45</v>
      </c>
      <c r="H17954" s="558">
        <v>2902.07</v>
      </c>
      <c r="I17954" s="558">
        <v>1982.1</v>
      </c>
      <c r="J17954" s="558">
        <v>880.29</v>
      </c>
      <c r="K17954" s="558">
        <v>39.68</v>
      </c>
      <c r="L17954" s="43">
        <v>8.4672638151368389</v>
      </c>
      <c r="M17954" s="43">
        <v>11.500435161009573</v>
      </c>
      <c r="N17954" s="43">
        <v>5.2730921289085897</v>
      </c>
      <c r="O17954" s="43">
        <v>11.503164556962025</v>
      </c>
      <c r="P17954" s="559"/>
      <c r="Q17954" s="559"/>
      <c r="R17954" s="559">
        <v>8</v>
      </c>
    </row>
    <row r="17955" spans="1:18" ht="84">
      <c r="A17955" s="555">
        <v>392</v>
      </c>
      <c r="B17955" s="552" t="s">
        <v>32366</v>
      </c>
      <c r="C17955" s="556" t="s">
        <v>32367</v>
      </c>
      <c r="D17955" s="557">
        <v>391.4</v>
      </c>
      <c r="E17955" s="557">
        <v>195.33</v>
      </c>
      <c r="F17955" s="557">
        <v>192.16</v>
      </c>
      <c r="G17955" s="557">
        <v>3.91</v>
      </c>
      <c r="H17955" s="558">
        <v>3304.63</v>
      </c>
      <c r="I17955" s="558">
        <v>2246.38</v>
      </c>
      <c r="J17955" s="558">
        <v>1013.28</v>
      </c>
      <c r="K17955" s="558">
        <v>44.97</v>
      </c>
      <c r="L17955" s="43">
        <v>8.4431016862544723</v>
      </c>
      <c r="M17955" s="43">
        <v>11.500435161009573</v>
      </c>
      <c r="N17955" s="43">
        <v>5.2731057452123231</v>
      </c>
      <c r="O17955" s="43">
        <v>11.503164556962025</v>
      </c>
      <c r="P17955" s="559"/>
      <c r="Q17955" s="559"/>
      <c r="R17955" s="559">
        <v>8</v>
      </c>
    </row>
    <row r="17956" spans="1:18" ht="84">
      <c r="A17956" s="555">
        <v>393</v>
      </c>
      <c r="B17956" s="552" t="s">
        <v>32368</v>
      </c>
      <c r="C17956" s="556" t="s">
        <v>32369</v>
      </c>
      <c r="D17956" s="557">
        <v>437.66</v>
      </c>
      <c r="E17956" s="557">
        <v>218.31</v>
      </c>
      <c r="F17956" s="557">
        <v>214.98</v>
      </c>
      <c r="G17956" s="557">
        <v>4.37</v>
      </c>
      <c r="H17956" s="558">
        <v>3694.53</v>
      </c>
      <c r="I17956" s="558">
        <v>2510.66</v>
      </c>
      <c r="J17956" s="558">
        <v>1133.6099999999999</v>
      </c>
      <c r="K17956" s="558">
        <v>50.26</v>
      </c>
      <c r="L17956" s="43">
        <v>8.4415528035461325</v>
      </c>
      <c r="M17956" s="43">
        <v>11.500435161009573</v>
      </c>
      <c r="N17956" s="43">
        <v>5.2730951716438739</v>
      </c>
      <c r="O17956" s="43">
        <v>11.503164556962025</v>
      </c>
      <c r="P17956" s="559"/>
      <c r="Q17956" s="559"/>
      <c r="R17956" s="559">
        <v>8</v>
      </c>
    </row>
    <row r="17957" spans="1:18" ht="84">
      <c r="A17957" s="555">
        <v>394</v>
      </c>
      <c r="B17957" s="552" t="s">
        <v>32370</v>
      </c>
      <c r="C17957" s="556" t="s">
        <v>32371</v>
      </c>
      <c r="D17957" s="557">
        <v>491.12</v>
      </c>
      <c r="E17957" s="557">
        <v>241.29</v>
      </c>
      <c r="F17957" s="557">
        <v>245</v>
      </c>
      <c r="G17957" s="557">
        <v>4.83</v>
      </c>
      <c r="H17957" s="558">
        <v>4122.42</v>
      </c>
      <c r="I17957" s="558">
        <v>2774.94</v>
      </c>
      <c r="J17957" s="558">
        <v>1291.93</v>
      </c>
      <c r="K17957" s="558">
        <v>55.55</v>
      </c>
      <c r="L17957" s="43">
        <v>8.3939159472226752</v>
      </c>
      <c r="M17957" s="43">
        <v>11.500435161009575</v>
      </c>
      <c r="N17957" s="43">
        <v>5.2731836734693882</v>
      </c>
      <c r="O17957" s="43">
        <v>11.503164556962025</v>
      </c>
      <c r="P17957" s="559"/>
      <c r="Q17957" s="559"/>
      <c r="R17957" s="559">
        <v>8</v>
      </c>
    </row>
    <row r="17958" spans="1:18" ht="84">
      <c r="A17958" s="555">
        <v>395</v>
      </c>
      <c r="B17958" s="552" t="s">
        <v>32372</v>
      </c>
      <c r="C17958" s="556" t="s">
        <v>32373</v>
      </c>
      <c r="D17958" s="557">
        <v>152.88999999999999</v>
      </c>
      <c r="E17958" s="557">
        <v>75.83</v>
      </c>
      <c r="F17958" s="557">
        <v>75.540000000000006</v>
      </c>
      <c r="G17958" s="557">
        <v>1.52</v>
      </c>
      <c r="H17958" s="558">
        <v>1287.95</v>
      </c>
      <c r="I17958" s="558">
        <v>872.12</v>
      </c>
      <c r="J17958" s="558">
        <v>398.35</v>
      </c>
      <c r="K17958" s="558">
        <v>17.48</v>
      </c>
      <c r="L17958" s="43">
        <v>8.4240303486166539</v>
      </c>
      <c r="M17958" s="43">
        <v>11.500989054463933</v>
      </c>
      <c r="N17958" s="43">
        <v>5.2733651045803542</v>
      </c>
      <c r="O17958" s="43">
        <v>11.503164556962025</v>
      </c>
      <c r="P17958" s="559"/>
      <c r="Q17958" s="559"/>
      <c r="R17958" s="559">
        <v>8</v>
      </c>
    </row>
    <row r="17959" spans="1:18" ht="84">
      <c r="A17959" s="555">
        <v>396</v>
      </c>
      <c r="B17959" s="552" t="s">
        <v>32374</v>
      </c>
      <c r="C17959" s="556" t="s">
        <v>32375</v>
      </c>
      <c r="D17959" s="557">
        <v>210.78</v>
      </c>
      <c r="E17959" s="557">
        <v>104.56</v>
      </c>
      <c r="F17959" s="557">
        <v>104.13</v>
      </c>
      <c r="G17959" s="557">
        <v>2.09</v>
      </c>
      <c r="H17959" s="558">
        <v>1775.58</v>
      </c>
      <c r="I17959" s="558">
        <v>1202.47</v>
      </c>
      <c r="J17959" s="558">
        <v>549.07000000000005</v>
      </c>
      <c r="K17959" s="558">
        <v>24.04</v>
      </c>
      <c r="L17959" s="43">
        <v>8.4238542556219755</v>
      </c>
      <c r="M17959" s="43">
        <v>11.500286916602908</v>
      </c>
      <c r="N17959" s="43">
        <v>5.2729280706808801</v>
      </c>
      <c r="O17959" s="43">
        <v>11.503164556962025</v>
      </c>
      <c r="P17959" s="559"/>
      <c r="Q17959" s="559"/>
      <c r="R17959" s="559">
        <v>8</v>
      </c>
    </row>
    <row r="17960" spans="1:18" ht="84">
      <c r="A17960" s="555">
        <v>397</v>
      </c>
      <c r="B17960" s="552" t="s">
        <v>32376</v>
      </c>
      <c r="C17960" s="556" t="s">
        <v>32377</v>
      </c>
      <c r="D17960" s="557">
        <v>273.95</v>
      </c>
      <c r="E17960" s="557">
        <v>137.88</v>
      </c>
      <c r="F17960" s="557">
        <v>133.31</v>
      </c>
      <c r="G17960" s="557">
        <v>2.76</v>
      </c>
      <c r="H17960" s="558">
        <v>2320.38</v>
      </c>
      <c r="I17960" s="558">
        <v>1585.68</v>
      </c>
      <c r="J17960" s="558">
        <v>702.96</v>
      </c>
      <c r="K17960" s="558">
        <v>31.74</v>
      </c>
      <c r="L17960" s="43">
        <v>8.4700857820770228</v>
      </c>
      <c r="M17960" s="43">
        <v>11.500435161009575</v>
      </c>
      <c r="N17960" s="43">
        <v>5.2731227964893854</v>
      </c>
      <c r="O17960" s="43">
        <v>11.503164556962025</v>
      </c>
      <c r="P17960" s="559"/>
      <c r="Q17960" s="559"/>
      <c r="R17960" s="559">
        <v>8</v>
      </c>
    </row>
    <row r="17961" spans="1:18" ht="84">
      <c r="A17961" s="555">
        <v>398</v>
      </c>
      <c r="B17961" s="552" t="s">
        <v>32378</v>
      </c>
      <c r="C17961" s="556" t="s">
        <v>32379</v>
      </c>
      <c r="D17961" s="557">
        <v>325.01</v>
      </c>
      <c r="E17961" s="557">
        <v>160.86000000000001</v>
      </c>
      <c r="F17961" s="557">
        <v>160.93</v>
      </c>
      <c r="G17961" s="557">
        <v>3.22</v>
      </c>
      <c r="H17961" s="558">
        <v>2735.61</v>
      </c>
      <c r="I17961" s="558">
        <v>1849.96</v>
      </c>
      <c r="J17961" s="558">
        <v>848.62</v>
      </c>
      <c r="K17961" s="558">
        <v>37.03</v>
      </c>
      <c r="L17961" s="43">
        <v>8.4170025537675777</v>
      </c>
      <c r="M17961" s="43">
        <v>11.500435161009573</v>
      </c>
      <c r="N17961" s="43">
        <v>5.2732243832722299</v>
      </c>
      <c r="O17961" s="43">
        <v>11.503164556962025</v>
      </c>
      <c r="P17961" s="559"/>
      <c r="Q17961" s="559"/>
      <c r="R17961" s="559">
        <v>8</v>
      </c>
    </row>
    <row r="17962" spans="1:18" ht="84">
      <c r="A17962" s="555">
        <v>399</v>
      </c>
      <c r="B17962" s="552" t="s">
        <v>32380</v>
      </c>
      <c r="C17962" s="556" t="s">
        <v>32381</v>
      </c>
      <c r="D17962" s="557">
        <v>389</v>
      </c>
      <c r="E17962" s="557">
        <v>195.33</v>
      </c>
      <c r="F17962" s="557">
        <v>189.76</v>
      </c>
      <c r="G17962" s="557">
        <v>3.91</v>
      </c>
      <c r="H17962" s="558">
        <v>3291.96</v>
      </c>
      <c r="I17962" s="558">
        <v>2246.38</v>
      </c>
      <c r="J17962" s="558">
        <v>1000.61</v>
      </c>
      <c r="K17962" s="558">
        <v>44.97</v>
      </c>
      <c r="L17962" s="43">
        <v>8.4626221079691515</v>
      </c>
      <c r="M17962" s="43">
        <v>11.500435161009573</v>
      </c>
      <c r="N17962" s="43">
        <v>5.2730290893760543</v>
      </c>
      <c r="O17962" s="43">
        <v>11.503164556962025</v>
      </c>
      <c r="P17962" s="559"/>
      <c r="Q17962" s="559"/>
      <c r="R17962" s="559">
        <v>8</v>
      </c>
    </row>
    <row r="17963" spans="1:18" ht="84">
      <c r="A17963" s="555">
        <v>400</v>
      </c>
      <c r="B17963" s="552" t="s">
        <v>32382</v>
      </c>
      <c r="C17963" s="556" t="s">
        <v>32383</v>
      </c>
      <c r="D17963" s="557">
        <v>437.66</v>
      </c>
      <c r="E17963" s="557">
        <v>218.31</v>
      </c>
      <c r="F17963" s="557">
        <v>214.98</v>
      </c>
      <c r="G17963" s="557">
        <v>4.37</v>
      </c>
      <c r="H17963" s="558">
        <v>3694.53</v>
      </c>
      <c r="I17963" s="558">
        <v>2510.66</v>
      </c>
      <c r="J17963" s="558">
        <v>1133.6099999999999</v>
      </c>
      <c r="K17963" s="558">
        <v>50.26</v>
      </c>
      <c r="L17963" s="43">
        <v>8.4415528035461325</v>
      </c>
      <c r="M17963" s="43">
        <v>11.500435161009573</v>
      </c>
      <c r="N17963" s="43">
        <v>5.2730951716438739</v>
      </c>
      <c r="O17963" s="43">
        <v>11.503164556962025</v>
      </c>
      <c r="P17963" s="559"/>
      <c r="Q17963" s="559"/>
      <c r="R17963" s="559">
        <v>8</v>
      </c>
    </row>
    <row r="17964" spans="1:18" ht="84">
      <c r="A17964" s="555">
        <v>401</v>
      </c>
      <c r="B17964" s="552" t="s">
        <v>32384</v>
      </c>
      <c r="C17964" s="556" t="s">
        <v>32385</v>
      </c>
      <c r="D17964" s="557">
        <v>491.12</v>
      </c>
      <c r="E17964" s="557">
        <v>241.29</v>
      </c>
      <c r="F17964" s="557">
        <v>245</v>
      </c>
      <c r="G17964" s="557">
        <v>4.83</v>
      </c>
      <c r="H17964" s="558">
        <v>4122.42</v>
      </c>
      <c r="I17964" s="558">
        <v>2774.94</v>
      </c>
      <c r="J17964" s="558">
        <v>1291.93</v>
      </c>
      <c r="K17964" s="558">
        <v>55.55</v>
      </c>
      <c r="L17964" s="43">
        <v>8.3939159472226752</v>
      </c>
      <c r="M17964" s="43">
        <v>11.500435161009575</v>
      </c>
      <c r="N17964" s="43">
        <v>5.2731836734693882</v>
      </c>
      <c r="O17964" s="43">
        <v>11.503164556962025</v>
      </c>
      <c r="P17964" s="559"/>
      <c r="Q17964" s="559"/>
      <c r="R17964" s="559">
        <v>8</v>
      </c>
    </row>
    <row r="17965" spans="1:18" ht="84">
      <c r="A17965" s="555">
        <v>402</v>
      </c>
      <c r="B17965" s="552" t="s">
        <v>32386</v>
      </c>
      <c r="C17965" s="556" t="s">
        <v>32387</v>
      </c>
      <c r="D17965" s="557">
        <v>190.02</v>
      </c>
      <c r="E17965" s="557">
        <v>94.22</v>
      </c>
      <c r="F17965" s="557">
        <v>93.92</v>
      </c>
      <c r="G17965" s="557">
        <v>1.88</v>
      </c>
      <c r="H17965" s="558">
        <v>1600.41</v>
      </c>
      <c r="I17965" s="558">
        <v>1083.55</v>
      </c>
      <c r="J17965" s="558">
        <v>495.24</v>
      </c>
      <c r="K17965" s="558">
        <v>21.62</v>
      </c>
      <c r="L17965" s="43">
        <v>8.4223239658983271</v>
      </c>
      <c r="M17965" s="43">
        <v>11.500212269157291</v>
      </c>
      <c r="N17965" s="43">
        <v>5.2729982964224869</v>
      </c>
      <c r="O17965" s="43">
        <v>11.503164556962025</v>
      </c>
      <c r="P17965" s="559"/>
      <c r="Q17965" s="559"/>
      <c r="R17965" s="559">
        <v>8</v>
      </c>
    </row>
    <row r="17966" spans="1:18" ht="84">
      <c r="A17966" s="555">
        <v>403</v>
      </c>
      <c r="B17966" s="552" t="s">
        <v>32388</v>
      </c>
      <c r="C17966" s="556" t="s">
        <v>32389</v>
      </c>
      <c r="D17966" s="557">
        <v>257.43</v>
      </c>
      <c r="E17966" s="557">
        <v>126.39</v>
      </c>
      <c r="F17966" s="557">
        <v>128.51</v>
      </c>
      <c r="G17966" s="557">
        <v>2.5299999999999998</v>
      </c>
      <c r="H17966" s="558">
        <v>2160.27</v>
      </c>
      <c r="I17966" s="558">
        <v>1453.54</v>
      </c>
      <c r="J17966" s="558">
        <v>677.63</v>
      </c>
      <c r="K17966" s="558">
        <v>29.1</v>
      </c>
      <c r="L17966" s="43">
        <v>8.3916792914578711</v>
      </c>
      <c r="M17966" s="43">
        <v>11.500435161009573</v>
      </c>
      <c r="N17966" s="43">
        <v>5.2729748657692008</v>
      </c>
      <c r="O17966" s="43">
        <v>11.503164556962025</v>
      </c>
      <c r="P17966" s="559"/>
      <c r="Q17966" s="559"/>
      <c r="R17966" s="559">
        <v>8</v>
      </c>
    </row>
    <row r="17967" spans="1:18" ht="84">
      <c r="A17967" s="555">
        <v>404</v>
      </c>
      <c r="B17967" s="552" t="s">
        <v>32390</v>
      </c>
      <c r="C17967" s="556" t="s">
        <v>32391</v>
      </c>
      <c r="D17967" s="557">
        <v>341.54</v>
      </c>
      <c r="E17967" s="557">
        <v>172.35</v>
      </c>
      <c r="F17967" s="557">
        <v>165.74</v>
      </c>
      <c r="G17967" s="557">
        <v>3.45</v>
      </c>
      <c r="H17967" s="558">
        <v>2895.73</v>
      </c>
      <c r="I17967" s="558">
        <v>1982.1</v>
      </c>
      <c r="J17967" s="558">
        <v>873.95</v>
      </c>
      <c r="K17967" s="558">
        <v>39.68</v>
      </c>
      <c r="L17967" s="43">
        <v>8.4784505475200564</v>
      </c>
      <c r="M17967" s="43">
        <v>11.500435161009573</v>
      </c>
      <c r="N17967" s="43">
        <v>5.2730179799686256</v>
      </c>
      <c r="O17967" s="43">
        <v>11.503164556962025</v>
      </c>
      <c r="P17967" s="559"/>
      <c r="Q17967" s="559"/>
      <c r="R17967" s="559">
        <v>8</v>
      </c>
    </row>
    <row r="17968" spans="1:18" ht="84">
      <c r="A17968" s="555">
        <v>405</v>
      </c>
      <c r="B17968" s="552" t="s">
        <v>32392</v>
      </c>
      <c r="C17968" s="556" t="s">
        <v>32393</v>
      </c>
      <c r="D17968" s="557">
        <v>412.73</v>
      </c>
      <c r="E17968" s="557">
        <v>206.82</v>
      </c>
      <c r="F17968" s="557">
        <v>201.77</v>
      </c>
      <c r="G17968" s="557">
        <v>4.1399999999999997</v>
      </c>
      <c r="H17968" s="558">
        <v>3490.07</v>
      </c>
      <c r="I17968" s="558">
        <v>2378.52</v>
      </c>
      <c r="J17968" s="558">
        <v>1063.94</v>
      </c>
      <c r="K17968" s="558">
        <v>47.61</v>
      </c>
      <c r="L17968" s="43">
        <v>8.4560608630339456</v>
      </c>
      <c r="M17968" s="43">
        <v>11.500435161009573</v>
      </c>
      <c r="N17968" s="43">
        <v>5.2730336521782224</v>
      </c>
      <c r="O17968" s="43">
        <v>11.503164556962025</v>
      </c>
      <c r="P17968" s="559"/>
      <c r="Q17968" s="559"/>
      <c r="R17968" s="559">
        <v>8</v>
      </c>
    </row>
    <row r="17969" spans="1:18" ht="84">
      <c r="A17969" s="555">
        <v>406</v>
      </c>
      <c r="B17969" s="552" t="s">
        <v>32394</v>
      </c>
      <c r="C17969" s="556" t="s">
        <v>32395</v>
      </c>
      <c r="D17969" s="557">
        <v>222.76</v>
      </c>
      <c r="E17969" s="557">
        <v>110.3</v>
      </c>
      <c r="F17969" s="557">
        <v>110.25</v>
      </c>
      <c r="G17969" s="557">
        <v>2.21</v>
      </c>
      <c r="H17969" s="558">
        <v>1875.33</v>
      </c>
      <c r="I17969" s="558">
        <v>1268.54</v>
      </c>
      <c r="J17969" s="558">
        <v>581.37</v>
      </c>
      <c r="K17969" s="558">
        <v>25.42</v>
      </c>
      <c r="L17969" s="43">
        <v>8.4186119590590778</v>
      </c>
      <c r="M17969" s="43">
        <v>11.50081595648232</v>
      </c>
      <c r="N17969" s="43">
        <v>5.2731972789115646</v>
      </c>
      <c r="O17969" s="43">
        <v>11.503164556962025</v>
      </c>
      <c r="P17969" s="559"/>
      <c r="Q17969" s="559"/>
      <c r="R17969" s="559">
        <v>8</v>
      </c>
    </row>
    <row r="17970" spans="1:18" ht="84">
      <c r="A17970" s="555">
        <v>407</v>
      </c>
      <c r="B17970" s="552" t="s">
        <v>32396</v>
      </c>
      <c r="C17970" s="556" t="s">
        <v>32397</v>
      </c>
      <c r="D17970" s="557">
        <v>303.69</v>
      </c>
      <c r="E17970" s="557">
        <v>149.37</v>
      </c>
      <c r="F17970" s="557">
        <v>151.33000000000001</v>
      </c>
      <c r="G17970" s="557">
        <v>2.99</v>
      </c>
      <c r="H17970" s="558">
        <v>2550.17</v>
      </c>
      <c r="I17970" s="558">
        <v>1717.82</v>
      </c>
      <c r="J17970" s="558">
        <v>797.96</v>
      </c>
      <c r="K17970" s="558">
        <v>34.39</v>
      </c>
      <c r="L17970" s="43">
        <v>8.3972801211762</v>
      </c>
      <c r="M17970" s="43">
        <v>11.500435161009573</v>
      </c>
      <c r="N17970" s="43">
        <v>5.2729795810480402</v>
      </c>
      <c r="O17970" s="43">
        <v>11.503164556962025</v>
      </c>
      <c r="P17970" s="559"/>
      <c r="Q17970" s="559"/>
      <c r="R17970" s="559">
        <v>8</v>
      </c>
    </row>
    <row r="17971" spans="1:18" ht="84">
      <c r="A17971" s="555">
        <v>408</v>
      </c>
      <c r="B17971" s="552" t="s">
        <v>32398</v>
      </c>
      <c r="C17971" s="556" t="s">
        <v>32399</v>
      </c>
      <c r="D17971" s="557">
        <v>253.82</v>
      </c>
      <c r="E17971" s="557">
        <v>126.39</v>
      </c>
      <c r="F17971" s="557">
        <v>124.9</v>
      </c>
      <c r="G17971" s="557">
        <v>2.5299999999999998</v>
      </c>
      <c r="H17971" s="558">
        <v>2141.27</v>
      </c>
      <c r="I17971" s="558">
        <v>1453.54</v>
      </c>
      <c r="J17971" s="558">
        <v>658.63</v>
      </c>
      <c r="K17971" s="558">
        <v>29.1</v>
      </c>
      <c r="L17971" s="43">
        <v>8.4361752422976917</v>
      </c>
      <c r="M17971" s="43">
        <v>11.500435161009573</v>
      </c>
      <c r="N17971" s="43">
        <v>5.2732586068855083</v>
      </c>
      <c r="O17971" s="43">
        <v>11.503164556962025</v>
      </c>
      <c r="P17971" s="559"/>
      <c r="Q17971" s="559"/>
      <c r="R17971" s="559">
        <v>8</v>
      </c>
    </row>
    <row r="17972" spans="1:18" ht="84">
      <c r="A17972" s="555">
        <v>409</v>
      </c>
      <c r="B17972" s="552" t="s">
        <v>32400</v>
      </c>
      <c r="C17972" s="556" t="s">
        <v>32401</v>
      </c>
      <c r="D17972" s="557">
        <v>347.54</v>
      </c>
      <c r="E17972" s="557">
        <v>172.35</v>
      </c>
      <c r="F17972" s="557">
        <v>171.74</v>
      </c>
      <c r="G17972" s="557">
        <v>3.45</v>
      </c>
      <c r="H17972" s="558">
        <v>2927.4</v>
      </c>
      <c r="I17972" s="558">
        <v>1982.1</v>
      </c>
      <c r="J17972" s="558">
        <v>905.62</v>
      </c>
      <c r="K17972" s="558">
        <v>39.68</v>
      </c>
      <c r="L17972" s="43">
        <v>8.4232030845370307</v>
      </c>
      <c r="M17972" s="43">
        <v>11.500435161009573</v>
      </c>
      <c r="N17972" s="43">
        <v>5.2732036799813669</v>
      </c>
      <c r="O17972" s="43">
        <v>11.503164556962025</v>
      </c>
      <c r="P17972" s="559"/>
      <c r="Q17972" s="559"/>
      <c r="R17972" s="559">
        <v>8</v>
      </c>
    </row>
    <row r="17973" spans="1:18" ht="84">
      <c r="A17973" s="555">
        <v>410</v>
      </c>
      <c r="B17973" s="552" t="s">
        <v>32402</v>
      </c>
      <c r="C17973" s="556" t="s">
        <v>32403</v>
      </c>
      <c r="D17973" s="557">
        <v>295.27999999999997</v>
      </c>
      <c r="E17973" s="557">
        <v>149.37</v>
      </c>
      <c r="F17973" s="557">
        <v>142.91999999999999</v>
      </c>
      <c r="G17973" s="557">
        <v>2.99</v>
      </c>
      <c r="H17973" s="558">
        <v>2505.84</v>
      </c>
      <c r="I17973" s="558">
        <v>1717.82</v>
      </c>
      <c r="J17973" s="558">
        <v>753.63</v>
      </c>
      <c r="K17973" s="558">
        <v>34.39</v>
      </c>
      <c r="L17973" s="43">
        <v>8.486318070983474</v>
      </c>
      <c r="M17973" s="43">
        <v>11.500435161009573</v>
      </c>
      <c r="N17973" s="43">
        <v>5.2730898404701936</v>
      </c>
      <c r="O17973" s="43">
        <v>11.503164556962025</v>
      </c>
      <c r="P17973" s="559"/>
      <c r="Q17973" s="559"/>
      <c r="R17973" s="559">
        <v>8</v>
      </c>
    </row>
    <row r="17974" spans="1:18" ht="84">
      <c r="A17974" s="555">
        <v>411</v>
      </c>
      <c r="B17974" s="552" t="s">
        <v>32404</v>
      </c>
      <c r="C17974" s="556" t="s">
        <v>32405</v>
      </c>
      <c r="D17974" s="557">
        <v>395</v>
      </c>
      <c r="E17974" s="557">
        <v>195.33</v>
      </c>
      <c r="F17974" s="557">
        <v>195.76</v>
      </c>
      <c r="G17974" s="557">
        <v>3.91</v>
      </c>
      <c r="H17974" s="558">
        <v>3323.63</v>
      </c>
      <c r="I17974" s="558">
        <v>2246.38</v>
      </c>
      <c r="J17974" s="558">
        <v>1032.28</v>
      </c>
      <c r="K17974" s="558">
        <v>44.97</v>
      </c>
      <c r="L17974" s="43">
        <v>8.4142531645569623</v>
      </c>
      <c r="M17974" s="43">
        <v>11.500435161009573</v>
      </c>
      <c r="N17974" s="43">
        <v>5.2731916632611364</v>
      </c>
      <c r="O17974" s="43">
        <v>11.503164556962025</v>
      </c>
      <c r="P17974" s="559"/>
      <c r="Q17974" s="559"/>
      <c r="R17974" s="559">
        <v>8</v>
      </c>
    </row>
    <row r="17975" spans="1:18" ht="84">
      <c r="A17975" s="555">
        <v>412</v>
      </c>
      <c r="B17975" s="552" t="s">
        <v>32406</v>
      </c>
      <c r="C17975" s="556" t="s">
        <v>32407</v>
      </c>
      <c r="D17975" s="557">
        <v>319.01</v>
      </c>
      <c r="E17975" s="557">
        <v>160.86000000000001</v>
      </c>
      <c r="F17975" s="557">
        <v>154.93</v>
      </c>
      <c r="G17975" s="557">
        <v>3.22</v>
      </c>
      <c r="H17975" s="558">
        <v>2703.95</v>
      </c>
      <c r="I17975" s="558">
        <v>1849.96</v>
      </c>
      <c r="J17975" s="558">
        <v>816.96</v>
      </c>
      <c r="K17975" s="558">
        <v>37.03</v>
      </c>
      <c r="L17975" s="43">
        <v>8.4760665809849218</v>
      </c>
      <c r="M17975" s="43">
        <v>11.500435161009573</v>
      </c>
      <c r="N17975" s="43">
        <v>5.2730910733879819</v>
      </c>
      <c r="O17975" s="43">
        <v>11.503164556962025</v>
      </c>
      <c r="P17975" s="559"/>
      <c r="Q17975" s="559"/>
      <c r="R17975" s="559">
        <v>8</v>
      </c>
    </row>
    <row r="17976" spans="1:18" ht="84">
      <c r="A17976" s="555">
        <v>413</v>
      </c>
      <c r="B17976" s="552" t="s">
        <v>32408</v>
      </c>
      <c r="C17976" s="556" t="s">
        <v>32409</v>
      </c>
      <c r="D17976" s="557">
        <v>437.66</v>
      </c>
      <c r="E17976" s="557">
        <v>218.31</v>
      </c>
      <c r="F17976" s="557">
        <v>214.98</v>
      </c>
      <c r="G17976" s="557">
        <v>4.37</v>
      </c>
      <c r="H17976" s="558">
        <v>3694.53</v>
      </c>
      <c r="I17976" s="558">
        <v>2510.66</v>
      </c>
      <c r="J17976" s="558">
        <v>1133.6099999999999</v>
      </c>
      <c r="K17976" s="558">
        <v>50.26</v>
      </c>
      <c r="L17976" s="43">
        <v>8.4415528035461325</v>
      </c>
      <c r="M17976" s="43">
        <v>11.500435161009573</v>
      </c>
      <c r="N17976" s="43">
        <v>5.2730951716438739</v>
      </c>
      <c r="O17976" s="43">
        <v>11.503164556962025</v>
      </c>
      <c r="P17976" s="559"/>
      <c r="Q17976" s="559"/>
      <c r="R17976" s="559">
        <v>8</v>
      </c>
    </row>
    <row r="17977" spans="1:18" ht="12.75" customHeight="1">
      <c r="A17977" s="628" t="s">
        <v>32410</v>
      </c>
      <c r="B17977" s="629"/>
      <c r="C17977" s="629"/>
      <c r="D17977" s="629"/>
      <c r="E17977" s="629"/>
      <c r="F17977" s="629"/>
      <c r="G17977" s="629"/>
      <c r="H17977" s="629"/>
      <c r="I17977" s="629"/>
      <c r="J17977" s="629"/>
      <c r="K17977" s="629"/>
      <c r="L17977" s="629"/>
      <c r="M17977" s="629"/>
      <c r="N17977" s="629"/>
      <c r="O17977" s="629"/>
      <c r="P17977" s="629"/>
      <c r="Q17977" s="629"/>
      <c r="R17977" s="629"/>
    </row>
    <row r="17978" spans="1:18" ht="84">
      <c r="A17978" s="555">
        <v>414</v>
      </c>
      <c r="B17978" s="552" t="s">
        <v>32411</v>
      </c>
      <c r="C17978" s="556" t="s">
        <v>32412</v>
      </c>
      <c r="D17978" s="557">
        <v>3.43</v>
      </c>
      <c r="E17978" s="557">
        <v>1.72</v>
      </c>
      <c r="F17978" s="557">
        <v>1.68</v>
      </c>
      <c r="G17978" s="557">
        <v>0.03</v>
      </c>
      <c r="H17978" s="558">
        <v>29.04</v>
      </c>
      <c r="I17978" s="558">
        <v>19.82</v>
      </c>
      <c r="J17978" s="558">
        <v>8.8699999999999992</v>
      </c>
      <c r="K17978" s="558">
        <v>0.35</v>
      </c>
      <c r="L17978" s="43">
        <v>8.4664723032069968</v>
      </c>
      <c r="M17978" s="43">
        <v>11.5</v>
      </c>
      <c r="N17978" s="43">
        <v>5.2797619047619042</v>
      </c>
      <c r="O17978" s="43">
        <v>11.503164556962025</v>
      </c>
      <c r="P17978" s="559"/>
      <c r="Q17978" s="559"/>
      <c r="R17978" s="559">
        <v>9</v>
      </c>
    </row>
    <row r="17979" spans="1:18" ht="84">
      <c r="A17979" s="555">
        <v>415</v>
      </c>
      <c r="B17979" s="552" t="s">
        <v>32413</v>
      </c>
      <c r="C17979" s="556" t="s">
        <v>32414</v>
      </c>
      <c r="D17979" s="557">
        <v>3.91</v>
      </c>
      <c r="E17979" s="557">
        <v>1.95</v>
      </c>
      <c r="F17979" s="557">
        <v>1.92</v>
      </c>
      <c r="G17979" s="557">
        <v>0.04</v>
      </c>
      <c r="H17979" s="558">
        <v>33.049999999999997</v>
      </c>
      <c r="I17979" s="558">
        <v>22.46</v>
      </c>
      <c r="J17979" s="558">
        <v>10.130000000000001</v>
      </c>
      <c r="K17979" s="558">
        <v>0.46</v>
      </c>
      <c r="L17979" s="43">
        <v>8.4526854219948842</v>
      </c>
      <c r="M17979" s="43">
        <v>11.5</v>
      </c>
      <c r="N17979" s="43">
        <v>5.276041666666667</v>
      </c>
      <c r="O17979" s="43">
        <v>11.503164556962025</v>
      </c>
      <c r="P17979" s="559"/>
      <c r="Q17979" s="559"/>
      <c r="R17979" s="559">
        <v>9</v>
      </c>
    </row>
    <row r="17980" spans="1:18" ht="84">
      <c r="A17980" s="555">
        <v>416</v>
      </c>
      <c r="B17980" s="552" t="s">
        <v>32415</v>
      </c>
      <c r="C17980" s="556" t="s">
        <v>32416</v>
      </c>
      <c r="D17980" s="557">
        <v>5.33</v>
      </c>
      <c r="E17980" s="557">
        <v>2.64</v>
      </c>
      <c r="F17980" s="557">
        <v>2.64</v>
      </c>
      <c r="G17980" s="557">
        <v>0.05</v>
      </c>
      <c r="H17980" s="558">
        <v>44.9</v>
      </c>
      <c r="I17980" s="558">
        <v>30.39</v>
      </c>
      <c r="J17980" s="558">
        <v>13.93</v>
      </c>
      <c r="K17980" s="558">
        <v>0.57999999999999996</v>
      </c>
      <c r="L17980" s="43">
        <v>8.424015009380863</v>
      </c>
      <c r="M17980" s="43">
        <v>11.5013636363636</v>
      </c>
      <c r="N17980" s="43">
        <v>5.2765151515151514</v>
      </c>
      <c r="O17980" s="43">
        <v>11.503164556962025</v>
      </c>
      <c r="P17980" s="559"/>
      <c r="Q17980" s="559"/>
      <c r="R17980" s="559">
        <v>9</v>
      </c>
    </row>
    <row r="17981" spans="1:18" ht="84">
      <c r="A17981" s="555">
        <v>417</v>
      </c>
      <c r="B17981" s="552" t="s">
        <v>32417</v>
      </c>
      <c r="C17981" s="556" t="s">
        <v>32418</v>
      </c>
      <c r="D17981" s="557">
        <v>6.64</v>
      </c>
      <c r="E17981" s="557">
        <v>3.45</v>
      </c>
      <c r="F17981" s="557">
        <v>3.12</v>
      </c>
      <c r="G17981" s="557">
        <v>7.0000000000000007E-2</v>
      </c>
      <c r="H17981" s="558">
        <v>56.92</v>
      </c>
      <c r="I17981" s="558">
        <v>39.64</v>
      </c>
      <c r="J17981" s="558">
        <v>16.47</v>
      </c>
      <c r="K17981" s="558">
        <v>0.81</v>
      </c>
      <c r="L17981" s="43">
        <v>8.5722891566265069</v>
      </c>
      <c r="M17981" s="43">
        <v>11.5</v>
      </c>
      <c r="N17981" s="43">
        <v>5.2788461538461533</v>
      </c>
      <c r="O17981" s="43">
        <v>11.503164556962025</v>
      </c>
      <c r="P17981" s="559"/>
      <c r="Q17981" s="559"/>
      <c r="R17981" s="559">
        <v>9</v>
      </c>
    </row>
    <row r="17982" spans="1:18" ht="84">
      <c r="A17982" s="555">
        <v>418</v>
      </c>
      <c r="B17982" s="552" t="s">
        <v>32419</v>
      </c>
      <c r="C17982" s="556" t="s">
        <v>32420</v>
      </c>
      <c r="D17982" s="557">
        <v>7.59</v>
      </c>
      <c r="E17982" s="557">
        <v>3.79</v>
      </c>
      <c r="F17982" s="557">
        <v>3.72</v>
      </c>
      <c r="G17982" s="557">
        <v>0.08</v>
      </c>
      <c r="H17982" s="558">
        <v>64.16</v>
      </c>
      <c r="I17982" s="558">
        <v>43.61</v>
      </c>
      <c r="J17982" s="558">
        <v>19.63</v>
      </c>
      <c r="K17982" s="558">
        <v>0.92</v>
      </c>
      <c r="L17982" s="43">
        <v>8.4532279314888008</v>
      </c>
      <c r="M17982" s="43">
        <v>11.5021951219512</v>
      </c>
      <c r="N17982" s="43">
        <v>5.2768817204301071</v>
      </c>
      <c r="O17982" s="43">
        <v>11.503164556962025</v>
      </c>
      <c r="P17982" s="559"/>
      <c r="Q17982" s="559"/>
      <c r="R17982" s="559">
        <v>9</v>
      </c>
    </row>
    <row r="17983" spans="1:18" ht="84">
      <c r="A17983" s="555">
        <v>419</v>
      </c>
      <c r="B17983" s="552" t="s">
        <v>32421</v>
      </c>
      <c r="C17983" s="556" t="s">
        <v>32422</v>
      </c>
      <c r="D17983" s="557">
        <v>9.01</v>
      </c>
      <c r="E17983" s="557">
        <v>4.5999999999999996</v>
      </c>
      <c r="F17983" s="557">
        <v>4.32</v>
      </c>
      <c r="G17983" s="557">
        <v>0.09</v>
      </c>
      <c r="H17983" s="558">
        <v>76.7</v>
      </c>
      <c r="I17983" s="558">
        <v>52.86</v>
      </c>
      <c r="J17983" s="558">
        <v>22.8</v>
      </c>
      <c r="K17983" s="558">
        <v>1.04</v>
      </c>
      <c r="L17983" s="43">
        <v>8.5127635960044401</v>
      </c>
      <c r="M17983" s="43">
        <v>11.5</v>
      </c>
      <c r="N17983" s="43">
        <v>5.2777777777777777</v>
      </c>
      <c r="O17983" s="43">
        <v>11.503164556962025</v>
      </c>
      <c r="P17983" s="559"/>
      <c r="Q17983" s="559"/>
      <c r="R17983" s="559">
        <v>9</v>
      </c>
    </row>
    <row r="17984" spans="1:18" ht="84">
      <c r="A17984" s="555">
        <v>420</v>
      </c>
      <c r="B17984" s="552" t="s">
        <v>32423</v>
      </c>
      <c r="C17984" s="556" t="s">
        <v>32424</v>
      </c>
      <c r="D17984" s="557">
        <v>10.199999999999999</v>
      </c>
      <c r="E17984" s="557">
        <v>5.0599999999999996</v>
      </c>
      <c r="F17984" s="557">
        <v>5.04</v>
      </c>
      <c r="G17984" s="557">
        <v>0.1</v>
      </c>
      <c r="H17984" s="558">
        <v>85.89</v>
      </c>
      <c r="I17984" s="558">
        <v>58.14</v>
      </c>
      <c r="J17984" s="558">
        <v>26.6</v>
      </c>
      <c r="K17984" s="558">
        <v>1.1499999999999999</v>
      </c>
      <c r="L17984" s="43">
        <v>8.4205882352941188</v>
      </c>
      <c r="M17984" s="43">
        <v>11.5</v>
      </c>
      <c r="N17984" s="43">
        <v>5.2777777777777777</v>
      </c>
      <c r="O17984" s="43">
        <v>11.503164556962025</v>
      </c>
      <c r="P17984" s="559"/>
      <c r="Q17984" s="559"/>
      <c r="R17984" s="559">
        <v>9</v>
      </c>
    </row>
    <row r="17985" spans="1:18" ht="84">
      <c r="A17985" s="555">
        <v>421</v>
      </c>
      <c r="B17985" s="552" t="s">
        <v>32425</v>
      </c>
      <c r="C17985" s="556" t="s">
        <v>32426</v>
      </c>
      <c r="D17985" s="557">
        <v>9.73</v>
      </c>
      <c r="E17985" s="557">
        <v>4.83</v>
      </c>
      <c r="F17985" s="557">
        <v>4.8</v>
      </c>
      <c r="G17985" s="557">
        <v>0.1</v>
      </c>
      <c r="H17985" s="558">
        <v>81.98</v>
      </c>
      <c r="I17985" s="558">
        <v>55.5</v>
      </c>
      <c r="J17985" s="558">
        <v>25.33</v>
      </c>
      <c r="K17985" s="558">
        <v>1.1499999999999999</v>
      </c>
      <c r="L17985" s="43">
        <v>8.425488180883864</v>
      </c>
      <c r="M17985" s="43">
        <v>11.5</v>
      </c>
      <c r="N17985" s="43">
        <v>5.2770833333333336</v>
      </c>
      <c r="O17985" s="43">
        <v>11.503164556962025</v>
      </c>
      <c r="P17985" s="559"/>
      <c r="Q17985" s="559"/>
      <c r="R17985" s="559">
        <v>9</v>
      </c>
    </row>
    <row r="17986" spans="1:18" ht="84">
      <c r="A17986" s="555">
        <v>422</v>
      </c>
      <c r="B17986" s="552" t="s">
        <v>32427</v>
      </c>
      <c r="C17986" s="556" t="s">
        <v>32428</v>
      </c>
      <c r="D17986" s="557">
        <v>11.5</v>
      </c>
      <c r="E17986" s="557">
        <v>5.75</v>
      </c>
      <c r="F17986" s="557">
        <v>5.64</v>
      </c>
      <c r="G17986" s="557">
        <v>0.11</v>
      </c>
      <c r="H17986" s="558">
        <v>97.11</v>
      </c>
      <c r="I17986" s="558">
        <v>66.069999999999993</v>
      </c>
      <c r="J17986" s="558">
        <v>29.77</v>
      </c>
      <c r="K17986" s="558">
        <v>1.27</v>
      </c>
      <c r="L17986" s="43">
        <v>8.4443478260869558</v>
      </c>
      <c r="M17986" s="43">
        <v>11.5</v>
      </c>
      <c r="N17986" s="43">
        <v>5.2783687943262416</v>
      </c>
      <c r="O17986" s="43">
        <v>11.503164556962025</v>
      </c>
      <c r="P17986" s="559"/>
      <c r="Q17986" s="559"/>
      <c r="R17986" s="559">
        <v>9</v>
      </c>
    </row>
    <row r="17987" spans="1:18" ht="84">
      <c r="A17987" s="555">
        <v>423</v>
      </c>
      <c r="B17987" s="552" t="s">
        <v>32429</v>
      </c>
      <c r="C17987" s="556" t="s">
        <v>32430</v>
      </c>
      <c r="D17987" s="557">
        <v>13.52</v>
      </c>
      <c r="E17987" s="557">
        <v>6.89</v>
      </c>
      <c r="F17987" s="557">
        <v>6.49</v>
      </c>
      <c r="G17987" s="557">
        <v>0.14000000000000001</v>
      </c>
      <c r="H17987" s="558">
        <v>115.09</v>
      </c>
      <c r="I17987" s="558">
        <v>79.28</v>
      </c>
      <c r="J17987" s="558">
        <v>34.200000000000003</v>
      </c>
      <c r="K17987" s="558">
        <v>1.61</v>
      </c>
      <c r="L17987" s="43">
        <v>8.512573964497042</v>
      </c>
      <c r="M17987" s="43">
        <v>11.5021951219512</v>
      </c>
      <c r="N17987" s="43">
        <v>5.26964560862866</v>
      </c>
      <c r="O17987" s="43">
        <v>11.503164556962025</v>
      </c>
      <c r="P17987" s="559"/>
      <c r="Q17987" s="559"/>
      <c r="R17987" s="559">
        <v>9</v>
      </c>
    </row>
    <row r="17988" spans="1:18" ht="84">
      <c r="A17988" s="555">
        <v>424</v>
      </c>
      <c r="B17988" s="552" t="s">
        <v>32431</v>
      </c>
      <c r="C17988" s="556" t="s">
        <v>32432</v>
      </c>
      <c r="D17988" s="557">
        <v>12.22</v>
      </c>
      <c r="E17988" s="557">
        <v>6.09</v>
      </c>
      <c r="F17988" s="557">
        <v>6.01</v>
      </c>
      <c r="G17988" s="557">
        <v>0.12</v>
      </c>
      <c r="H17988" s="558">
        <v>103.08</v>
      </c>
      <c r="I17988" s="558">
        <v>70.03</v>
      </c>
      <c r="J17988" s="558">
        <v>31.67</v>
      </c>
      <c r="K17988" s="558">
        <v>1.38</v>
      </c>
      <c r="L17988" s="43">
        <v>8.4353518821603917</v>
      </c>
      <c r="M17988" s="43">
        <v>11.499178981937604</v>
      </c>
      <c r="N17988" s="43">
        <v>5.2695507487520805</v>
      </c>
      <c r="O17988" s="43">
        <v>11.503164556962025</v>
      </c>
      <c r="P17988" s="559"/>
      <c r="Q17988" s="559"/>
      <c r="R17988" s="559">
        <v>9</v>
      </c>
    </row>
    <row r="17989" spans="1:18" ht="84">
      <c r="A17989" s="555">
        <v>425</v>
      </c>
      <c r="B17989" s="552" t="s">
        <v>32433</v>
      </c>
      <c r="C17989" s="556" t="s">
        <v>32434</v>
      </c>
      <c r="D17989" s="557">
        <v>14.35</v>
      </c>
      <c r="E17989" s="557">
        <v>7.12</v>
      </c>
      <c r="F17989" s="557">
        <v>7.09</v>
      </c>
      <c r="G17989" s="557">
        <v>0.14000000000000001</v>
      </c>
      <c r="H17989" s="558">
        <v>120.9</v>
      </c>
      <c r="I17989" s="558">
        <v>81.93</v>
      </c>
      <c r="J17989" s="558">
        <v>37.36</v>
      </c>
      <c r="K17989" s="558">
        <v>1.61</v>
      </c>
      <c r="L17989" s="43">
        <v>8.4250871080139387</v>
      </c>
      <c r="M17989" s="43">
        <v>11.5021951219512</v>
      </c>
      <c r="N17989" s="43">
        <v>5.2693935119887163</v>
      </c>
      <c r="O17989" s="43">
        <v>11.503164556962025</v>
      </c>
      <c r="P17989" s="559"/>
      <c r="Q17989" s="559"/>
      <c r="R17989" s="559">
        <v>9</v>
      </c>
    </row>
    <row r="17990" spans="1:18" ht="84">
      <c r="A17990" s="555">
        <v>426</v>
      </c>
      <c r="B17990" s="552" t="s">
        <v>32435</v>
      </c>
      <c r="C17990" s="556" t="s">
        <v>32436</v>
      </c>
      <c r="D17990" s="557">
        <v>19.22</v>
      </c>
      <c r="E17990" s="557">
        <v>9.5399999999999991</v>
      </c>
      <c r="F17990" s="557">
        <v>9.49</v>
      </c>
      <c r="G17990" s="557">
        <v>0.19</v>
      </c>
      <c r="H17990" s="558">
        <v>161.9</v>
      </c>
      <c r="I17990" s="558">
        <v>109.68</v>
      </c>
      <c r="J17990" s="558">
        <v>50.03</v>
      </c>
      <c r="K17990" s="558">
        <v>2.19</v>
      </c>
      <c r="L17990" s="43">
        <v>8.4235171696149855</v>
      </c>
      <c r="M17990" s="43">
        <v>11.496855345911952</v>
      </c>
      <c r="N17990" s="43">
        <v>5.2718651211801895</v>
      </c>
      <c r="O17990" s="43">
        <v>11.503164556962025</v>
      </c>
      <c r="P17990" s="559"/>
      <c r="Q17990" s="559"/>
      <c r="R17990" s="559">
        <v>9</v>
      </c>
    </row>
    <row r="17991" spans="1:18" ht="84">
      <c r="A17991" s="555">
        <v>427</v>
      </c>
      <c r="B17991" s="552" t="s">
        <v>32437</v>
      </c>
      <c r="C17991" s="556" t="s">
        <v>32438</v>
      </c>
      <c r="D17991" s="557">
        <v>15.3</v>
      </c>
      <c r="E17991" s="557">
        <v>7.58</v>
      </c>
      <c r="F17991" s="557">
        <v>7.57</v>
      </c>
      <c r="G17991" s="557">
        <v>0.15</v>
      </c>
      <c r="H17991" s="558">
        <v>128.84</v>
      </c>
      <c r="I17991" s="558">
        <v>87.21</v>
      </c>
      <c r="J17991" s="558">
        <v>39.9</v>
      </c>
      <c r="K17991" s="558">
        <v>1.73</v>
      </c>
      <c r="L17991" s="43">
        <v>8.4209150326797388</v>
      </c>
      <c r="M17991" s="43">
        <v>11.5021951219512</v>
      </c>
      <c r="N17991" s="43">
        <v>5.2708058124174366</v>
      </c>
      <c r="O17991" s="43">
        <v>11.503164556962025</v>
      </c>
      <c r="P17991" s="559"/>
      <c r="Q17991" s="559"/>
      <c r="R17991" s="559">
        <v>9</v>
      </c>
    </row>
    <row r="17992" spans="1:18" ht="84">
      <c r="A17992" s="555">
        <v>428</v>
      </c>
      <c r="B17992" s="552" t="s">
        <v>32439</v>
      </c>
      <c r="C17992" s="556" t="s">
        <v>32440</v>
      </c>
      <c r="D17992" s="557">
        <v>18.5</v>
      </c>
      <c r="E17992" s="557">
        <v>9.19</v>
      </c>
      <c r="F17992" s="557">
        <v>9.1300000000000008</v>
      </c>
      <c r="G17992" s="557">
        <v>0.18</v>
      </c>
      <c r="H17992" s="558">
        <v>155.91</v>
      </c>
      <c r="I17992" s="558">
        <v>105.71</v>
      </c>
      <c r="J17992" s="558">
        <v>48.13</v>
      </c>
      <c r="K17992" s="558">
        <v>2.0699999999999998</v>
      </c>
      <c r="L17992" s="43">
        <v>8.4275675675675679</v>
      </c>
      <c r="M17992" s="43">
        <v>11.502720348204571</v>
      </c>
      <c r="N17992" s="43">
        <v>5.2716319824753555</v>
      </c>
      <c r="O17992" s="43">
        <v>11.503164556962025</v>
      </c>
      <c r="P17992" s="559"/>
      <c r="Q17992" s="559"/>
      <c r="R17992" s="559">
        <v>9</v>
      </c>
    </row>
    <row r="17993" spans="1:18" ht="84">
      <c r="A17993" s="555">
        <v>429</v>
      </c>
      <c r="B17993" s="552" t="s">
        <v>32441</v>
      </c>
      <c r="C17993" s="556" t="s">
        <v>32442</v>
      </c>
      <c r="D17993" s="557">
        <v>25.38</v>
      </c>
      <c r="E17993" s="557">
        <v>12.64</v>
      </c>
      <c r="F17993" s="557">
        <v>12.49</v>
      </c>
      <c r="G17993" s="557">
        <v>0.25</v>
      </c>
      <c r="H17993" s="558">
        <v>214.09</v>
      </c>
      <c r="I17993" s="558">
        <v>145.35</v>
      </c>
      <c r="J17993" s="558">
        <v>65.86</v>
      </c>
      <c r="K17993" s="558">
        <v>2.88</v>
      </c>
      <c r="L17993" s="43">
        <v>8.4353821907013398</v>
      </c>
      <c r="M17993" s="43">
        <v>11.499208860759493</v>
      </c>
      <c r="N17993" s="43">
        <v>5.2730184147317853</v>
      </c>
      <c r="O17993" s="43">
        <v>11.503164556962025</v>
      </c>
      <c r="P17993" s="559"/>
      <c r="Q17993" s="559"/>
      <c r="R17993" s="559">
        <v>9</v>
      </c>
    </row>
    <row r="17994" spans="1:18" ht="84">
      <c r="A17994" s="555">
        <v>430</v>
      </c>
      <c r="B17994" s="552" t="s">
        <v>32443</v>
      </c>
      <c r="C17994" s="556" t="s">
        <v>32444</v>
      </c>
      <c r="D17994" s="557">
        <v>29.65</v>
      </c>
      <c r="E17994" s="557">
        <v>14.94</v>
      </c>
      <c r="F17994" s="557">
        <v>14.41</v>
      </c>
      <c r="G17994" s="557">
        <v>0.3</v>
      </c>
      <c r="H17994" s="558">
        <v>251.23</v>
      </c>
      <c r="I17994" s="558">
        <v>171.78</v>
      </c>
      <c r="J17994" s="558">
        <v>76</v>
      </c>
      <c r="K17994" s="558">
        <v>3.45</v>
      </c>
      <c r="L17994" s="43">
        <v>8.4731871838111292</v>
      </c>
      <c r="M17994" s="43">
        <v>11.497991967871487</v>
      </c>
      <c r="N17994" s="43">
        <v>5.2741151977793201</v>
      </c>
      <c r="O17994" s="43">
        <v>11.503164556962025</v>
      </c>
      <c r="P17994" s="559"/>
      <c r="Q17994" s="559"/>
      <c r="R17994" s="559">
        <v>9</v>
      </c>
    </row>
    <row r="17995" spans="1:18" ht="84">
      <c r="A17995" s="555">
        <v>431</v>
      </c>
      <c r="B17995" s="552" t="s">
        <v>32445</v>
      </c>
      <c r="C17995" s="556" t="s">
        <v>32446</v>
      </c>
      <c r="D17995" s="557">
        <v>18.02</v>
      </c>
      <c r="E17995" s="557">
        <v>9.19</v>
      </c>
      <c r="F17995" s="557">
        <v>8.65</v>
      </c>
      <c r="G17995" s="557">
        <v>0.18</v>
      </c>
      <c r="H17995" s="558">
        <v>153.38</v>
      </c>
      <c r="I17995" s="558">
        <v>105.71</v>
      </c>
      <c r="J17995" s="558">
        <v>45.6</v>
      </c>
      <c r="K17995" s="558">
        <v>2.0699999999999998</v>
      </c>
      <c r="L17995" s="43">
        <v>8.5116537180910097</v>
      </c>
      <c r="M17995" s="43">
        <v>11.502720348204571</v>
      </c>
      <c r="N17995" s="43">
        <v>5.2716763005780347</v>
      </c>
      <c r="O17995" s="43">
        <v>11.503164556962025</v>
      </c>
      <c r="P17995" s="559"/>
      <c r="Q17995" s="559"/>
      <c r="R17995" s="559">
        <v>9</v>
      </c>
    </row>
    <row r="17996" spans="1:18" ht="84">
      <c r="A17996" s="555">
        <v>432</v>
      </c>
      <c r="B17996" s="552" t="s">
        <v>32447</v>
      </c>
      <c r="C17996" s="556" t="s">
        <v>32448</v>
      </c>
      <c r="D17996" s="557">
        <v>21.35</v>
      </c>
      <c r="E17996" s="557">
        <v>10.57</v>
      </c>
      <c r="F17996" s="557">
        <v>10.57</v>
      </c>
      <c r="G17996" s="557">
        <v>0.21</v>
      </c>
      <c r="H17996" s="558">
        <v>179.72</v>
      </c>
      <c r="I17996" s="558">
        <v>121.57</v>
      </c>
      <c r="J17996" s="558">
        <v>55.73</v>
      </c>
      <c r="K17996" s="558">
        <v>2.42</v>
      </c>
      <c r="L17996" s="43">
        <v>8.417798594847774</v>
      </c>
      <c r="M17996" s="43">
        <v>11.501419110690632</v>
      </c>
      <c r="N17996" s="43">
        <v>5.2724692526017023</v>
      </c>
      <c r="O17996" s="43">
        <v>11.503164556962025</v>
      </c>
      <c r="P17996" s="559"/>
      <c r="Q17996" s="559"/>
      <c r="R17996" s="559">
        <v>9</v>
      </c>
    </row>
    <row r="17997" spans="1:18" ht="84">
      <c r="A17997" s="555">
        <v>433</v>
      </c>
      <c r="B17997" s="552" t="s">
        <v>32449</v>
      </c>
      <c r="C17997" s="556" t="s">
        <v>32450</v>
      </c>
      <c r="D17997" s="557">
        <v>29.65</v>
      </c>
      <c r="E17997" s="557">
        <v>14.94</v>
      </c>
      <c r="F17997" s="557">
        <v>14.41</v>
      </c>
      <c r="G17997" s="557">
        <v>0.3</v>
      </c>
      <c r="H17997" s="558">
        <v>251.23</v>
      </c>
      <c r="I17997" s="558">
        <v>171.78</v>
      </c>
      <c r="J17997" s="558">
        <v>76</v>
      </c>
      <c r="K17997" s="558">
        <v>3.45</v>
      </c>
      <c r="L17997" s="43">
        <v>8.4731871838111292</v>
      </c>
      <c r="M17997" s="43">
        <v>11.497991967871487</v>
      </c>
      <c r="N17997" s="43">
        <v>5.2741151977793201</v>
      </c>
      <c r="O17997" s="43">
        <v>11.503164556962025</v>
      </c>
      <c r="P17997" s="559"/>
      <c r="Q17997" s="559"/>
      <c r="R17997" s="559">
        <v>9</v>
      </c>
    </row>
    <row r="17998" spans="1:18" ht="84">
      <c r="A17998" s="555">
        <v>434</v>
      </c>
      <c r="B17998" s="552" t="s">
        <v>32451</v>
      </c>
      <c r="C17998" s="556" t="s">
        <v>32452</v>
      </c>
      <c r="D17998" s="557">
        <v>41.27</v>
      </c>
      <c r="E17998" s="557">
        <v>20.68</v>
      </c>
      <c r="F17998" s="557">
        <v>20.18</v>
      </c>
      <c r="G17998" s="557">
        <v>0.41</v>
      </c>
      <c r="H17998" s="558">
        <v>348.96</v>
      </c>
      <c r="I17998" s="558">
        <v>237.85</v>
      </c>
      <c r="J17998" s="558">
        <v>106.39</v>
      </c>
      <c r="K17998" s="558">
        <v>4.72</v>
      </c>
      <c r="L17998" s="43">
        <v>8.4555367094741936</v>
      </c>
      <c r="M17998" s="43">
        <v>11.501450676982591</v>
      </c>
      <c r="N17998" s="43">
        <v>5.2720515361744305</v>
      </c>
      <c r="O17998" s="43">
        <v>11.503164556962025</v>
      </c>
      <c r="P17998" s="559"/>
      <c r="Q17998" s="559"/>
      <c r="R17998" s="559">
        <v>9</v>
      </c>
    </row>
    <row r="17999" spans="1:18" ht="84">
      <c r="A17999" s="555">
        <v>435</v>
      </c>
      <c r="B17999" s="552" t="s">
        <v>32453</v>
      </c>
      <c r="C17999" s="556" t="s">
        <v>32454</v>
      </c>
      <c r="D17999" s="557">
        <v>25.38</v>
      </c>
      <c r="E17999" s="557">
        <v>12.64</v>
      </c>
      <c r="F17999" s="557">
        <v>12.49</v>
      </c>
      <c r="G17999" s="557">
        <v>0.25</v>
      </c>
      <c r="H17999" s="558">
        <v>214.09</v>
      </c>
      <c r="I17999" s="558">
        <v>145.35</v>
      </c>
      <c r="J17999" s="558">
        <v>65.86</v>
      </c>
      <c r="K17999" s="558">
        <v>2.88</v>
      </c>
      <c r="L17999" s="43">
        <v>8.4353821907013398</v>
      </c>
      <c r="M17999" s="43">
        <v>11.499208860759493</v>
      </c>
      <c r="N17999" s="43">
        <v>5.2730184147317853</v>
      </c>
      <c r="O17999" s="43">
        <v>11.503164556962025</v>
      </c>
      <c r="P17999" s="559"/>
      <c r="Q17999" s="559"/>
      <c r="R17999" s="559">
        <v>9</v>
      </c>
    </row>
    <row r="18000" spans="1:18" ht="84">
      <c r="A18000" s="555">
        <v>436</v>
      </c>
      <c r="B18000" s="552" t="s">
        <v>32455</v>
      </c>
      <c r="C18000" s="556" t="s">
        <v>32456</v>
      </c>
      <c r="D18000" s="557">
        <v>30.61</v>
      </c>
      <c r="E18000" s="557">
        <v>14.94</v>
      </c>
      <c r="F18000" s="557">
        <v>15.37</v>
      </c>
      <c r="G18000" s="557">
        <v>0.3</v>
      </c>
      <c r="H18000" s="558">
        <v>256.29000000000002</v>
      </c>
      <c r="I18000" s="558">
        <v>171.78</v>
      </c>
      <c r="J18000" s="558">
        <v>81.06</v>
      </c>
      <c r="K18000" s="558">
        <v>3.45</v>
      </c>
      <c r="L18000" s="43">
        <v>8.3727540019601445</v>
      </c>
      <c r="M18000" s="43">
        <v>11.497991967871487</v>
      </c>
      <c r="N18000" s="43">
        <v>5.2739102147039691</v>
      </c>
      <c r="O18000" s="43">
        <v>11.503164556962025</v>
      </c>
      <c r="P18000" s="559"/>
      <c r="Q18000" s="559"/>
      <c r="R18000" s="559">
        <v>9</v>
      </c>
    </row>
    <row r="18001" spans="1:18" ht="84">
      <c r="A18001" s="555">
        <v>437</v>
      </c>
      <c r="B18001" s="552" t="s">
        <v>32457</v>
      </c>
      <c r="C18001" s="556" t="s">
        <v>32458</v>
      </c>
      <c r="D18001" s="557">
        <v>41.27</v>
      </c>
      <c r="E18001" s="557">
        <v>20.68</v>
      </c>
      <c r="F18001" s="557">
        <v>20.18</v>
      </c>
      <c r="G18001" s="557">
        <v>0.41</v>
      </c>
      <c r="H18001" s="558">
        <v>348.96</v>
      </c>
      <c r="I18001" s="558">
        <v>237.85</v>
      </c>
      <c r="J18001" s="558">
        <v>106.39</v>
      </c>
      <c r="K18001" s="558">
        <v>4.72</v>
      </c>
      <c r="L18001" s="43">
        <v>8.4555367094741936</v>
      </c>
      <c r="M18001" s="43">
        <v>11.501450676982591</v>
      </c>
      <c r="N18001" s="43">
        <v>5.2720515361744305</v>
      </c>
      <c r="O18001" s="43">
        <v>11.503164556962025</v>
      </c>
      <c r="P18001" s="559"/>
      <c r="Q18001" s="559"/>
      <c r="R18001" s="559">
        <v>9</v>
      </c>
    </row>
    <row r="18002" spans="1:18" ht="84">
      <c r="A18002" s="555">
        <v>438</v>
      </c>
      <c r="B18002" s="552" t="s">
        <v>32459</v>
      </c>
      <c r="C18002" s="556" t="s">
        <v>32460</v>
      </c>
      <c r="D18002" s="557">
        <v>55.03</v>
      </c>
      <c r="E18002" s="557">
        <v>27.58</v>
      </c>
      <c r="F18002" s="557">
        <v>26.9</v>
      </c>
      <c r="G18002" s="557">
        <v>0.55000000000000004</v>
      </c>
      <c r="H18002" s="558">
        <v>465.33</v>
      </c>
      <c r="I18002" s="558">
        <v>317.14</v>
      </c>
      <c r="J18002" s="558">
        <v>141.86000000000001</v>
      </c>
      <c r="K18002" s="558">
        <v>6.33</v>
      </c>
      <c r="L18002" s="43">
        <v>8.4559331273850624</v>
      </c>
      <c r="M18002" s="43">
        <v>11.498912255257434</v>
      </c>
      <c r="N18002" s="43">
        <v>5.2736059479553914</v>
      </c>
      <c r="O18002" s="43">
        <v>11.503164556962025</v>
      </c>
      <c r="P18002" s="559"/>
      <c r="Q18002" s="559"/>
      <c r="R18002" s="559">
        <v>9</v>
      </c>
    </row>
    <row r="18003" spans="1:18" ht="84">
      <c r="A18003" s="555">
        <v>439</v>
      </c>
      <c r="B18003" s="552" t="s">
        <v>32461</v>
      </c>
      <c r="C18003" s="556" t="s">
        <v>32462</v>
      </c>
      <c r="D18003" s="557">
        <v>66.66</v>
      </c>
      <c r="E18003" s="557">
        <v>33.32</v>
      </c>
      <c r="F18003" s="557">
        <v>32.67</v>
      </c>
      <c r="G18003" s="557">
        <v>0.67</v>
      </c>
      <c r="H18003" s="558">
        <v>563.17999999999995</v>
      </c>
      <c r="I18003" s="558">
        <v>383.21</v>
      </c>
      <c r="J18003" s="558">
        <v>172.26</v>
      </c>
      <c r="K18003" s="558">
        <v>7.71</v>
      </c>
      <c r="L18003" s="43">
        <v>8.4485448544854478</v>
      </c>
      <c r="M18003" s="43">
        <v>11.500900360144056</v>
      </c>
      <c r="N18003" s="43">
        <v>5.2727272727272725</v>
      </c>
      <c r="O18003" s="43">
        <v>11.503164556962025</v>
      </c>
      <c r="P18003" s="559"/>
      <c r="Q18003" s="559"/>
      <c r="R18003" s="559">
        <v>9</v>
      </c>
    </row>
    <row r="18004" spans="1:18" ht="84">
      <c r="A18004" s="555">
        <v>440</v>
      </c>
      <c r="B18004" s="552" t="s">
        <v>32463</v>
      </c>
      <c r="C18004" s="556" t="s">
        <v>32464</v>
      </c>
      <c r="D18004" s="557">
        <v>27.52</v>
      </c>
      <c r="E18004" s="557">
        <v>13.79</v>
      </c>
      <c r="F18004" s="557">
        <v>13.45</v>
      </c>
      <c r="G18004" s="557">
        <v>0.28000000000000003</v>
      </c>
      <c r="H18004" s="558">
        <v>232.72</v>
      </c>
      <c r="I18004" s="558">
        <v>158.57</v>
      </c>
      <c r="J18004" s="558">
        <v>70.930000000000007</v>
      </c>
      <c r="K18004" s="558">
        <v>3.22</v>
      </c>
      <c r="L18004" s="43">
        <v>8.4563953488372086</v>
      </c>
      <c r="M18004" s="43">
        <v>11.498912255257434</v>
      </c>
      <c r="N18004" s="43">
        <v>5.2736059479553914</v>
      </c>
      <c r="O18004" s="43">
        <v>11.503164556962025</v>
      </c>
      <c r="P18004" s="559"/>
      <c r="Q18004" s="559"/>
      <c r="R18004" s="559">
        <v>9</v>
      </c>
    </row>
    <row r="18005" spans="1:18" ht="84">
      <c r="A18005" s="555">
        <v>441</v>
      </c>
      <c r="B18005" s="552" t="s">
        <v>32465</v>
      </c>
      <c r="C18005" s="556" t="s">
        <v>32466</v>
      </c>
      <c r="D18005" s="557">
        <v>32.74</v>
      </c>
      <c r="E18005" s="557">
        <v>16.09</v>
      </c>
      <c r="F18005" s="557">
        <v>16.329999999999998</v>
      </c>
      <c r="G18005" s="557">
        <v>0.32</v>
      </c>
      <c r="H18005" s="558">
        <v>274.81</v>
      </c>
      <c r="I18005" s="558">
        <v>185</v>
      </c>
      <c r="J18005" s="558">
        <v>86.13</v>
      </c>
      <c r="K18005" s="558">
        <v>3.68</v>
      </c>
      <c r="L18005" s="43">
        <v>8.3937080024434945</v>
      </c>
      <c r="M18005" s="43">
        <v>11.497824735860783</v>
      </c>
      <c r="N18005" s="43">
        <v>5.2743417023882424</v>
      </c>
      <c r="O18005" s="43">
        <v>11.503164556962025</v>
      </c>
      <c r="P18005" s="559"/>
      <c r="Q18005" s="559"/>
      <c r="R18005" s="559">
        <v>9</v>
      </c>
    </row>
    <row r="18006" spans="1:18" ht="84">
      <c r="A18006" s="555">
        <v>442</v>
      </c>
      <c r="B18006" s="552" t="s">
        <v>32467</v>
      </c>
      <c r="C18006" s="556" t="s">
        <v>32468</v>
      </c>
      <c r="D18006" s="557">
        <v>45.54</v>
      </c>
      <c r="E18006" s="557">
        <v>22.98</v>
      </c>
      <c r="F18006" s="557">
        <v>22.1</v>
      </c>
      <c r="G18006" s="557">
        <v>0.46</v>
      </c>
      <c r="H18006" s="558">
        <v>386.1</v>
      </c>
      <c r="I18006" s="558">
        <v>264.27999999999997</v>
      </c>
      <c r="J18006" s="558">
        <v>116.53</v>
      </c>
      <c r="K18006" s="558">
        <v>5.29</v>
      </c>
      <c r="L18006" s="43">
        <v>8.4782608695652186</v>
      </c>
      <c r="M18006" s="43">
        <v>11.500435161009571</v>
      </c>
      <c r="N18006" s="43">
        <v>5.2728506787330316</v>
      </c>
      <c r="O18006" s="43">
        <v>11.503164556962025</v>
      </c>
      <c r="P18006" s="559"/>
      <c r="Q18006" s="559"/>
      <c r="R18006" s="559">
        <v>9</v>
      </c>
    </row>
    <row r="18007" spans="1:18" ht="84">
      <c r="A18007" s="555">
        <v>443</v>
      </c>
      <c r="B18007" s="552" t="s">
        <v>32469</v>
      </c>
      <c r="C18007" s="556" t="s">
        <v>32470</v>
      </c>
      <c r="D18007" s="557">
        <v>58.12</v>
      </c>
      <c r="E18007" s="557">
        <v>28.73</v>
      </c>
      <c r="F18007" s="557">
        <v>28.82</v>
      </c>
      <c r="G18007" s="557">
        <v>0.56999999999999995</v>
      </c>
      <c r="H18007" s="558">
        <v>488.9</v>
      </c>
      <c r="I18007" s="558">
        <v>330.35</v>
      </c>
      <c r="J18007" s="558">
        <v>151.99</v>
      </c>
      <c r="K18007" s="558">
        <v>6.56</v>
      </c>
      <c r="L18007" s="43">
        <v>8.4119064005505848</v>
      </c>
      <c r="M18007" s="43">
        <v>11.498433693003829</v>
      </c>
      <c r="N18007" s="43">
        <v>5.2737682165163084</v>
      </c>
      <c r="O18007" s="43">
        <v>11.503164556962025</v>
      </c>
      <c r="P18007" s="559"/>
      <c r="Q18007" s="559"/>
      <c r="R18007" s="559">
        <v>9</v>
      </c>
    </row>
    <row r="18008" spans="1:18" ht="84">
      <c r="A18008" s="555">
        <v>444</v>
      </c>
      <c r="B18008" s="552" t="s">
        <v>32471</v>
      </c>
      <c r="C18008" s="556" t="s">
        <v>32472</v>
      </c>
      <c r="D18008" s="557">
        <v>68.790000000000006</v>
      </c>
      <c r="E18008" s="557">
        <v>34.47</v>
      </c>
      <c r="F18008" s="557">
        <v>33.630000000000003</v>
      </c>
      <c r="G18008" s="557">
        <v>0.69</v>
      </c>
      <c r="H18008" s="558">
        <v>581.67999999999995</v>
      </c>
      <c r="I18008" s="558">
        <v>396.42</v>
      </c>
      <c r="J18008" s="558">
        <v>177.32</v>
      </c>
      <c r="K18008" s="558">
        <v>7.94</v>
      </c>
      <c r="L18008" s="43">
        <v>8.4558802151475483</v>
      </c>
      <c r="M18008" s="43">
        <v>11.500435161009575</v>
      </c>
      <c r="N18008" s="43">
        <v>5.2726732084448402</v>
      </c>
      <c r="O18008" s="43">
        <v>11.503164556962025</v>
      </c>
      <c r="P18008" s="559"/>
      <c r="Q18008" s="559"/>
      <c r="R18008" s="559">
        <v>9</v>
      </c>
    </row>
    <row r="18009" spans="1:18" ht="84">
      <c r="A18009" s="555">
        <v>445</v>
      </c>
      <c r="B18009" s="552" t="s">
        <v>32473</v>
      </c>
      <c r="C18009" s="556" t="s">
        <v>32474</v>
      </c>
      <c r="D18009" s="557">
        <v>79.239999999999995</v>
      </c>
      <c r="E18009" s="557">
        <v>39.07</v>
      </c>
      <c r="F18009" s="557">
        <v>39.39</v>
      </c>
      <c r="G18009" s="557">
        <v>0.78</v>
      </c>
      <c r="H18009" s="558">
        <v>665.97</v>
      </c>
      <c r="I18009" s="558">
        <v>449.28</v>
      </c>
      <c r="J18009" s="558">
        <v>207.72</v>
      </c>
      <c r="K18009" s="558">
        <v>8.9700000000000006</v>
      </c>
      <c r="L18009" s="43">
        <v>8.4044674406865223</v>
      </c>
      <c r="M18009" s="43">
        <v>11.499360122856411</v>
      </c>
      <c r="N18009" s="43">
        <v>5.2734196496572734</v>
      </c>
      <c r="O18009" s="43">
        <v>11.503164556962025</v>
      </c>
      <c r="P18009" s="559"/>
      <c r="Q18009" s="559"/>
      <c r="R18009" s="559">
        <v>9</v>
      </c>
    </row>
    <row r="18010" spans="1:18" ht="84">
      <c r="A18010" s="555">
        <v>446</v>
      </c>
      <c r="B18010" s="552" t="s">
        <v>32475</v>
      </c>
      <c r="C18010" s="556" t="s">
        <v>32476</v>
      </c>
      <c r="D18010" s="557">
        <v>93</v>
      </c>
      <c r="E18010" s="557">
        <v>45.96</v>
      </c>
      <c r="F18010" s="557">
        <v>46.12</v>
      </c>
      <c r="G18010" s="557">
        <v>0.92</v>
      </c>
      <c r="H18010" s="558">
        <v>782.33</v>
      </c>
      <c r="I18010" s="558">
        <v>528.55999999999995</v>
      </c>
      <c r="J18010" s="558">
        <v>243.19</v>
      </c>
      <c r="K18010" s="558">
        <v>10.58</v>
      </c>
      <c r="L18010" s="43">
        <v>8.4121505376344086</v>
      </c>
      <c r="M18010" s="43">
        <v>11.500435161009571</v>
      </c>
      <c r="N18010" s="43">
        <v>5.272983521248916</v>
      </c>
      <c r="O18010" s="43">
        <v>11.503164556962025</v>
      </c>
      <c r="P18010" s="559"/>
      <c r="Q18010" s="559"/>
      <c r="R18010" s="559">
        <v>9</v>
      </c>
    </row>
    <row r="18011" spans="1:18" ht="84">
      <c r="A18011" s="555">
        <v>447</v>
      </c>
      <c r="B18011" s="552" t="s">
        <v>32477</v>
      </c>
      <c r="C18011" s="556" t="s">
        <v>32478</v>
      </c>
      <c r="D18011" s="557">
        <v>104.62</v>
      </c>
      <c r="E18011" s="557">
        <v>51.71</v>
      </c>
      <c r="F18011" s="557">
        <v>51.88</v>
      </c>
      <c r="G18011" s="557">
        <v>1.03</v>
      </c>
      <c r="H18011" s="558">
        <v>880.07</v>
      </c>
      <c r="I18011" s="558">
        <v>594.63</v>
      </c>
      <c r="J18011" s="558">
        <v>273.58999999999997</v>
      </c>
      <c r="K18011" s="558">
        <v>11.85</v>
      </c>
      <c r="L18011" s="43">
        <v>8.4120627031160389</v>
      </c>
      <c r="M18011" s="43">
        <v>11.499323148327209</v>
      </c>
      <c r="N18011" s="43">
        <v>5.2735158057054736</v>
      </c>
      <c r="O18011" s="43">
        <v>11.503164556962025</v>
      </c>
      <c r="P18011" s="559"/>
      <c r="Q18011" s="559"/>
      <c r="R18011" s="559">
        <v>9</v>
      </c>
    </row>
    <row r="18012" spans="1:18" ht="84">
      <c r="A18012" s="555">
        <v>448</v>
      </c>
      <c r="B18012" s="552" t="s">
        <v>32479</v>
      </c>
      <c r="C18012" s="556" t="s">
        <v>32480</v>
      </c>
      <c r="D18012" s="557">
        <v>117.21</v>
      </c>
      <c r="E18012" s="557">
        <v>57.45</v>
      </c>
      <c r="F18012" s="557">
        <v>58.61</v>
      </c>
      <c r="G18012" s="557">
        <v>1.1499999999999999</v>
      </c>
      <c r="H18012" s="558">
        <v>982.98</v>
      </c>
      <c r="I18012" s="558">
        <v>660.7</v>
      </c>
      <c r="J18012" s="558">
        <v>309.05</v>
      </c>
      <c r="K18012" s="558">
        <v>13.23</v>
      </c>
      <c r="L18012" s="43">
        <v>8.3864857947274132</v>
      </c>
      <c r="M18012" s="43">
        <v>11.500435161009573</v>
      </c>
      <c r="N18012" s="43">
        <v>5.2729909571745441</v>
      </c>
      <c r="O18012" s="43">
        <v>11.503164556962025</v>
      </c>
      <c r="P18012" s="559"/>
      <c r="Q18012" s="559"/>
      <c r="R18012" s="559">
        <v>9</v>
      </c>
    </row>
    <row r="18013" spans="1:18" ht="84">
      <c r="A18013" s="555">
        <v>449</v>
      </c>
      <c r="B18013" s="552" t="s">
        <v>32481</v>
      </c>
      <c r="C18013" s="556" t="s">
        <v>32482</v>
      </c>
      <c r="D18013" s="557">
        <v>30.61</v>
      </c>
      <c r="E18013" s="557">
        <v>14.94</v>
      </c>
      <c r="F18013" s="557">
        <v>15.37</v>
      </c>
      <c r="G18013" s="557">
        <v>0.3</v>
      </c>
      <c r="H18013" s="558">
        <v>256.29000000000002</v>
      </c>
      <c r="I18013" s="558">
        <v>171.78</v>
      </c>
      <c r="J18013" s="558">
        <v>81.06</v>
      </c>
      <c r="K18013" s="558">
        <v>3.45</v>
      </c>
      <c r="L18013" s="43">
        <v>8.3727540019601445</v>
      </c>
      <c r="M18013" s="43">
        <v>11.497991967871487</v>
      </c>
      <c r="N18013" s="43">
        <v>5.2739102147039691</v>
      </c>
      <c r="O18013" s="43">
        <v>11.503164556962025</v>
      </c>
      <c r="P18013" s="559"/>
      <c r="Q18013" s="559"/>
      <c r="R18013" s="559">
        <v>9</v>
      </c>
    </row>
    <row r="18014" spans="1:18" ht="84">
      <c r="A18014" s="555">
        <v>450</v>
      </c>
      <c r="B18014" s="552" t="s">
        <v>32483</v>
      </c>
      <c r="C18014" s="556" t="s">
        <v>32484</v>
      </c>
      <c r="D18014" s="557">
        <v>37.01</v>
      </c>
      <c r="E18014" s="557">
        <v>18.38</v>
      </c>
      <c r="F18014" s="557">
        <v>18.260000000000002</v>
      </c>
      <c r="G18014" s="557">
        <v>0.37</v>
      </c>
      <c r="H18014" s="558">
        <v>311.94</v>
      </c>
      <c r="I18014" s="558">
        <v>211.42</v>
      </c>
      <c r="J18014" s="558">
        <v>96.26</v>
      </c>
      <c r="K18014" s="558">
        <v>4.26</v>
      </c>
      <c r="L18014" s="43">
        <v>8.4285328289651442</v>
      </c>
      <c r="M18014" s="43">
        <v>11.502720348204571</v>
      </c>
      <c r="N18014" s="43">
        <v>5.2716319824753555</v>
      </c>
      <c r="O18014" s="43">
        <v>11.503164556962025</v>
      </c>
      <c r="P18014" s="559"/>
      <c r="Q18014" s="559"/>
      <c r="R18014" s="559">
        <v>9</v>
      </c>
    </row>
    <row r="18015" spans="1:18" ht="84">
      <c r="A18015" s="555">
        <v>451</v>
      </c>
      <c r="B18015" s="552" t="s">
        <v>32485</v>
      </c>
      <c r="C18015" s="556" t="s">
        <v>32486</v>
      </c>
      <c r="D18015" s="557">
        <v>52.9</v>
      </c>
      <c r="E18015" s="557">
        <v>26.43</v>
      </c>
      <c r="F18015" s="557">
        <v>25.94</v>
      </c>
      <c r="G18015" s="557">
        <v>0.53</v>
      </c>
      <c r="H18015" s="558">
        <v>446.81</v>
      </c>
      <c r="I18015" s="558">
        <v>303.92</v>
      </c>
      <c r="J18015" s="558">
        <v>136.79</v>
      </c>
      <c r="K18015" s="558">
        <v>6.1</v>
      </c>
      <c r="L18015" s="43">
        <v>8.4463137996219277</v>
      </c>
      <c r="M18015" s="43">
        <v>11.499054105183504</v>
      </c>
      <c r="N18015" s="43">
        <v>5.2733230531996913</v>
      </c>
      <c r="O18015" s="43">
        <v>11.503164556962025</v>
      </c>
      <c r="P18015" s="559"/>
      <c r="Q18015" s="559"/>
      <c r="R18015" s="559">
        <v>9</v>
      </c>
    </row>
    <row r="18016" spans="1:18" ht="84">
      <c r="A18016" s="555">
        <v>452</v>
      </c>
      <c r="B18016" s="552" t="s">
        <v>32487</v>
      </c>
      <c r="C18016" s="556" t="s">
        <v>32488</v>
      </c>
      <c r="D18016" s="557">
        <v>66.66</v>
      </c>
      <c r="E18016" s="557">
        <v>33.32</v>
      </c>
      <c r="F18016" s="557">
        <v>32.67</v>
      </c>
      <c r="G18016" s="557">
        <v>0.67</v>
      </c>
      <c r="H18016" s="558">
        <v>563.17999999999995</v>
      </c>
      <c r="I18016" s="558">
        <v>383.21</v>
      </c>
      <c r="J18016" s="558">
        <v>172.26</v>
      </c>
      <c r="K18016" s="558">
        <v>7.71</v>
      </c>
      <c r="L18016" s="43">
        <v>8.4485448544854478</v>
      </c>
      <c r="M18016" s="43">
        <v>11.500900360144056</v>
      </c>
      <c r="N18016" s="43">
        <v>5.2727272727272725</v>
      </c>
      <c r="O18016" s="43">
        <v>11.503164556962025</v>
      </c>
      <c r="P18016" s="559"/>
      <c r="Q18016" s="559"/>
      <c r="R18016" s="559">
        <v>9</v>
      </c>
    </row>
    <row r="18017" spans="1:18" ht="84">
      <c r="A18017" s="555">
        <v>453</v>
      </c>
      <c r="B18017" s="552" t="s">
        <v>32489</v>
      </c>
      <c r="C18017" s="556" t="s">
        <v>32490</v>
      </c>
      <c r="D18017" s="557">
        <v>79.239999999999995</v>
      </c>
      <c r="E18017" s="557">
        <v>39.07</v>
      </c>
      <c r="F18017" s="557">
        <v>39.39</v>
      </c>
      <c r="G18017" s="557">
        <v>0.78</v>
      </c>
      <c r="H18017" s="558">
        <v>665.97</v>
      </c>
      <c r="I18017" s="558">
        <v>449.28</v>
      </c>
      <c r="J18017" s="558">
        <v>207.72</v>
      </c>
      <c r="K18017" s="558">
        <v>8.9700000000000006</v>
      </c>
      <c r="L18017" s="43">
        <v>8.4044674406865223</v>
      </c>
      <c r="M18017" s="43">
        <v>11.499360122856411</v>
      </c>
      <c r="N18017" s="43">
        <v>5.2734196496572734</v>
      </c>
      <c r="O18017" s="43">
        <v>11.503164556962025</v>
      </c>
      <c r="P18017" s="559"/>
      <c r="Q18017" s="559"/>
      <c r="R18017" s="559">
        <v>9</v>
      </c>
    </row>
    <row r="18018" spans="1:18" ht="84">
      <c r="A18018" s="555">
        <v>454</v>
      </c>
      <c r="B18018" s="552" t="s">
        <v>32491</v>
      </c>
      <c r="C18018" s="556" t="s">
        <v>32492</v>
      </c>
      <c r="D18018" s="557">
        <v>93</v>
      </c>
      <c r="E18018" s="557">
        <v>45.96</v>
      </c>
      <c r="F18018" s="557">
        <v>46.12</v>
      </c>
      <c r="G18018" s="557">
        <v>0.92</v>
      </c>
      <c r="H18018" s="558">
        <v>782.33</v>
      </c>
      <c r="I18018" s="558">
        <v>528.55999999999995</v>
      </c>
      <c r="J18018" s="558">
        <v>243.19</v>
      </c>
      <c r="K18018" s="558">
        <v>10.58</v>
      </c>
      <c r="L18018" s="43">
        <v>8.4121505376344086</v>
      </c>
      <c r="M18018" s="43">
        <v>11.500435161009571</v>
      </c>
      <c r="N18018" s="43">
        <v>5.272983521248916</v>
      </c>
      <c r="O18018" s="43">
        <v>11.503164556962025</v>
      </c>
      <c r="P18018" s="559"/>
      <c r="Q18018" s="559"/>
      <c r="R18018" s="559">
        <v>9</v>
      </c>
    </row>
    <row r="18019" spans="1:18" ht="84">
      <c r="A18019" s="555">
        <v>455</v>
      </c>
      <c r="B18019" s="552" t="s">
        <v>32493</v>
      </c>
      <c r="C18019" s="556" t="s">
        <v>32494</v>
      </c>
      <c r="D18019" s="557">
        <v>106.75</v>
      </c>
      <c r="E18019" s="557">
        <v>52.85</v>
      </c>
      <c r="F18019" s="557">
        <v>52.84</v>
      </c>
      <c r="G18019" s="557">
        <v>1.06</v>
      </c>
      <c r="H18019" s="558">
        <v>898.68</v>
      </c>
      <c r="I18019" s="558">
        <v>607.84</v>
      </c>
      <c r="J18019" s="558">
        <v>278.64999999999998</v>
      </c>
      <c r="K18019" s="558">
        <v>12.19</v>
      </c>
      <c r="L18019" s="43">
        <v>8.4185480093676812</v>
      </c>
      <c r="M18019" s="43">
        <v>11.501229895931884</v>
      </c>
      <c r="N18019" s="43">
        <v>5.2734670704012103</v>
      </c>
      <c r="O18019" s="43">
        <v>11.503164556962025</v>
      </c>
      <c r="P18019" s="559"/>
      <c r="Q18019" s="559"/>
      <c r="R18019" s="559">
        <v>9</v>
      </c>
    </row>
    <row r="18020" spans="1:18" ht="84">
      <c r="A18020" s="555">
        <v>456</v>
      </c>
      <c r="B18020" s="552" t="s">
        <v>32495</v>
      </c>
      <c r="C18020" s="556" t="s">
        <v>32496</v>
      </c>
      <c r="D18020" s="557">
        <v>120.51</v>
      </c>
      <c r="E18020" s="557">
        <v>59.75</v>
      </c>
      <c r="F18020" s="557">
        <v>59.57</v>
      </c>
      <c r="G18020" s="557">
        <v>1.19</v>
      </c>
      <c r="H18020" s="558">
        <v>1014.94</v>
      </c>
      <c r="I18020" s="558">
        <v>687.13</v>
      </c>
      <c r="J18020" s="558">
        <v>314.12</v>
      </c>
      <c r="K18020" s="558">
        <v>13.69</v>
      </c>
      <c r="L18020" s="43">
        <v>8.4220396647581115</v>
      </c>
      <c r="M18020" s="43">
        <v>11.500083682008368</v>
      </c>
      <c r="N18020" s="43">
        <v>5.273124055732751</v>
      </c>
      <c r="O18020" s="43">
        <v>11.503164556962025</v>
      </c>
      <c r="P18020" s="559"/>
      <c r="Q18020" s="559"/>
      <c r="R18020" s="559">
        <v>9</v>
      </c>
    </row>
    <row r="18021" spans="1:18" ht="84">
      <c r="A18021" s="555">
        <v>457</v>
      </c>
      <c r="B18021" s="552" t="s">
        <v>32497</v>
      </c>
      <c r="C18021" s="556" t="s">
        <v>32498</v>
      </c>
      <c r="D18021" s="557">
        <v>32.74</v>
      </c>
      <c r="E18021" s="557">
        <v>16.09</v>
      </c>
      <c r="F18021" s="557">
        <v>16.329999999999998</v>
      </c>
      <c r="G18021" s="557">
        <v>0.32</v>
      </c>
      <c r="H18021" s="558">
        <v>274.81</v>
      </c>
      <c r="I18021" s="558">
        <v>185</v>
      </c>
      <c r="J18021" s="558">
        <v>86.13</v>
      </c>
      <c r="K18021" s="558">
        <v>3.68</v>
      </c>
      <c r="L18021" s="43">
        <v>8.3937080024434945</v>
      </c>
      <c r="M18021" s="43">
        <v>11.497824735860783</v>
      </c>
      <c r="N18021" s="43">
        <v>5.2743417023882424</v>
      </c>
      <c r="O18021" s="43">
        <v>11.503164556962025</v>
      </c>
      <c r="P18021" s="559"/>
      <c r="Q18021" s="559"/>
      <c r="R18021" s="559">
        <v>9</v>
      </c>
    </row>
    <row r="18022" spans="1:18" ht="84">
      <c r="A18022" s="555">
        <v>458</v>
      </c>
      <c r="B18022" s="552" t="s">
        <v>32499</v>
      </c>
      <c r="C18022" s="556" t="s">
        <v>32500</v>
      </c>
      <c r="D18022" s="557">
        <v>41.27</v>
      </c>
      <c r="E18022" s="557">
        <v>20.68</v>
      </c>
      <c r="F18022" s="557">
        <v>20.18</v>
      </c>
      <c r="G18022" s="557">
        <v>0.41</v>
      </c>
      <c r="H18022" s="558">
        <v>348.96</v>
      </c>
      <c r="I18022" s="558">
        <v>237.85</v>
      </c>
      <c r="J18022" s="558">
        <v>106.39</v>
      </c>
      <c r="K18022" s="558">
        <v>4.72</v>
      </c>
      <c r="L18022" s="43">
        <v>8.4555367094741936</v>
      </c>
      <c r="M18022" s="43">
        <v>11.501450676982591</v>
      </c>
      <c r="N18022" s="43">
        <v>5.2720515361744305</v>
      </c>
      <c r="O18022" s="43">
        <v>11.503164556962025</v>
      </c>
      <c r="P18022" s="559"/>
      <c r="Q18022" s="559"/>
      <c r="R18022" s="559">
        <v>9</v>
      </c>
    </row>
    <row r="18023" spans="1:18" ht="84">
      <c r="A18023" s="555">
        <v>459</v>
      </c>
      <c r="B18023" s="552" t="s">
        <v>32501</v>
      </c>
      <c r="C18023" s="556" t="s">
        <v>32502</v>
      </c>
      <c r="D18023" s="557">
        <v>55.03</v>
      </c>
      <c r="E18023" s="557">
        <v>27.58</v>
      </c>
      <c r="F18023" s="557">
        <v>26.9</v>
      </c>
      <c r="G18023" s="557">
        <v>0.55000000000000004</v>
      </c>
      <c r="H18023" s="558">
        <v>465.33</v>
      </c>
      <c r="I18023" s="558">
        <v>317.14</v>
      </c>
      <c r="J18023" s="558">
        <v>141.86000000000001</v>
      </c>
      <c r="K18023" s="558">
        <v>6.33</v>
      </c>
      <c r="L18023" s="43">
        <v>8.4559331273850624</v>
      </c>
      <c r="M18023" s="43">
        <v>11.498912255257434</v>
      </c>
      <c r="N18023" s="43">
        <v>5.2736059479553914</v>
      </c>
      <c r="O18023" s="43">
        <v>11.503164556962025</v>
      </c>
      <c r="P18023" s="559"/>
      <c r="Q18023" s="559"/>
      <c r="R18023" s="559">
        <v>9</v>
      </c>
    </row>
    <row r="18024" spans="1:18" ht="84">
      <c r="A18024" s="555">
        <v>460</v>
      </c>
      <c r="B18024" s="552" t="s">
        <v>32503</v>
      </c>
      <c r="C18024" s="556" t="s">
        <v>32504</v>
      </c>
      <c r="D18024" s="557">
        <v>70.709999999999994</v>
      </c>
      <c r="E18024" s="557">
        <v>34.47</v>
      </c>
      <c r="F18024" s="557">
        <v>35.549999999999997</v>
      </c>
      <c r="G18024" s="557">
        <v>0.69</v>
      </c>
      <c r="H18024" s="558">
        <v>591.82000000000005</v>
      </c>
      <c r="I18024" s="558">
        <v>396.42</v>
      </c>
      <c r="J18024" s="558">
        <v>187.46</v>
      </c>
      <c r="K18024" s="558">
        <v>7.94</v>
      </c>
      <c r="L18024" s="43">
        <v>8.3696789704426546</v>
      </c>
      <c r="M18024" s="43">
        <v>11.500435161009575</v>
      </c>
      <c r="N18024" s="43">
        <v>5.2731364275668078</v>
      </c>
      <c r="O18024" s="43">
        <v>11.503164556962025</v>
      </c>
      <c r="P18024" s="559"/>
      <c r="Q18024" s="559"/>
      <c r="R18024" s="559">
        <v>9</v>
      </c>
    </row>
    <row r="18025" spans="1:18" ht="84">
      <c r="A18025" s="555">
        <v>461</v>
      </c>
      <c r="B18025" s="552" t="s">
        <v>32505</v>
      </c>
      <c r="C18025" s="556" t="s">
        <v>32506</v>
      </c>
      <c r="D18025" s="557">
        <v>85.64</v>
      </c>
      <c r="E18025" s="557">
        <v>42.51</v>
      </c>
      <c r="F18025" s="557">
        <v>42.28</v>
      </c>
      <c r="G18025" s="557">
        <v>0.85</v>
      </c>
      <c r="H18025" s="558">
        <v>721.62</v>
      </c>
      <c r="I18025" s="558">
        <v>488.92</v>
      </c>
      <c r="J18025" s="558">
        <v>222.92</v>
      </c>
      <c r="K18025" s="558">
        <v>9.7799999999999994</v>
      </c>
      <c r="L18025" s="43">
        <v>8.4262027090144791</v>
      </c>
      <c r="M18025" s="43">
        <v>11.501293813220419</v>
      </c>
      <c r="N18025" s="43">
        <v>5.2724692526017023</v>
      </c>
      <c r="O18025" s="43">
        <v>11.503164556962025</v>
      </c>
      <c r="P18025" s="559"/>
      <c r="Q18025" s="559"/>
      <c r="R18025" s="559">
        <v>9</v>
      </c>
    </row>
    <row r="18026" spans="1:18" ht="84">
      <c r="A18026" s="555">
        <v>462</v>
      </c>
      <c r="B18026" s="552" t="s">
        <v>32507</v>
      </c>
      <c r="C18026" s="556" t="s">
        <v>32508</v>
      </c>
      <c r="D18026" s="557">
        <v>101.53</v>
      </c>
      <c r="E18026" s="557">
        <v>50.56</v>
      </c>
      <c r="F18026" s="557">
        <v>49.96</v>
      </c>
      <c r="G18026" s="557">
        <v>1.01</v>
      </c>
      <c r="H18026" s="558">
        <v>856.49</v>
      </c>
      <c r="I18026" s="558">
        <v>581.41999999999996</v>
      </c>
      <c r="J18026" s="558">
        <v>263.45</v>
      </c>
      <c r="K18026" s="558">
        <v>11.62</v>
      </c>
      <c r="L18026" s="43">
        <v>8.4358317738599435</v>
      </c>
      <c r="M18026" s="43">
        <v>11.499604430379746</v>
      </c>
      <c r="N18026" s="43">
        <v>5.2732185748598877</v>
      </c>
      <c r="O18026" s="43">
        <v>11.503164556962025</v>
      </c>
      <c r="P18026" s="559"/>
      <c r="Q18026" s="559"/>
      <c r="R18026" s="559">
        <v>9</v>
      </c>
    </row>
    <row r="18027" spans="1:18" ht="84">
      <c r="A18027" s="555">
        <v>463</v>
      </c>
      <c r="B18027" s="552" t="s">
        <v>32509</v>
      </c>
      <c r="C18027" s="556" t="s">
        <v>32510</v>
      </c>
      <c r="D18027" s="557">
        <v>116.25</v>
      </c>
      <c r="E18027" s="557">
        <v>57.45</v>
      </c>
      <c r="F18027" s="557">
        <v>57.65</v>
      </c>
      <c r="G18027" s="557">
        <v>1.1499999999999999</v>
      </c>
      <c r="H18027" s="558">
        <v>977.91</v>
      </c>
      <c r="I18027" s="558">
        <v>660.7</v>
      </c>
      <c r="J18027" s="558">
        <v>303.98</v>
      </c>
      <c r="K18027" s="558">
        <v>13.23</v>
      </c>
      <c r="L18027" s="43">
        <v>8.4121290322580649</v>
      </c>
      <c r="M18027" s="43">
        <v>11.500435161009573</v>
      </c>
      <c r="N18027" s="43">
        <v>5.2728534258456206</v>
      </c>
      <c r="O18027" s="43">
        <v>11.503164556962025</v>
      </c>
      <c r="P18027" s="559"/>
      <c r="Q18027" s="559"/>
      <c r="R18027" s="559">
        <v>9</v>
      </c>
    </row>
    <row r="18028" spans="1:18" ht="84">
      <c r="A18028" s="555">
        <v>464</v>
      </c>
      <c r="B18028" s="552" t="s">
        <v>32511</v>
      </c>
      <c r="C18028" s="556" t="s">
        <v>32512</v>
      </c>
      <c r="D18028" s="557">
        <v>132.13</v>
      </c>
      <c r="E18028" s="557">
        <v>65.489999999999995</v>
      </c>
      <c r="F18028" s="557">
        <v>65.33</v>
      </c>
      <c r="G18028" s="557">
        <v>1.31</v>
      </c>
      <c r="H18028" s="558">
        <v>1112.79</v>
      </c>
      <c r="I18028" s="558">
        <v>753.2</v>
      </c>
      <c r="J18028" s="558">
        <v>344.52</v>
      </c>
      <c r="K18028" s="558">
        <v>15.07</v>
      </c>
      <c r="L18028" s="43">
        <v>8.4219329448270646</v>
      </c>
      <c r="M18028" s="43">
        <v>11.500992517941672</v>
      </c>
      <c r="N18028" s="43">
        <v>5.2735343639981629</v>
      </c>
      <c r="O18028" s="43">
        <v>11.503164556962025</v>
      </c>
      <c r="P18028" s="559"/>
      <c r="Q18028" s="559"/>
      <c r="R18028" s="559">
        <v>9</v>
      </c>
    </row>
    <row r="18029" spans="1:18" ht="84">
      <c r="A18029" s="555">
        <v>465</v>
      </c>
      <c r="B18029" s="552" t="s">
        <v>32513</v>
      </c>
      <c r="C18029" s="556" t="s">
        <v>32514</v>
      </c>
      <c r="D18029" s="557">
        <v>46.5</v>
      </c>
      <c r="E18029" s="557">
        <v>22.98</v>
      </c>
      <c r="F18029" s="557">
        <v>23.06</v>
      </c>
      <c r="G18029" s="557">
        <v>0.46</v>
      </c>
      <c r="H18029" s="558">
        <v>391.16</v>
      </c>
      <c r="I18029" s="558">
        <v>264.27999999999997</v>
      </c>
      <c r="J18029" s="558">
        <v>121.59</v>
      </c>
      <c r="K18029" s="558">
        <v>5.29</v>
      </c>
      <c r="L18029" s="43">
        <v>8.4120430107526882</v>
      </c>
      <c r="M18029" s="43">
        <v>11.500435161009571</v>
      </c>
      <c r="N18029" s="43">
        <v>5.2727666955767569</v>
      </c>
      <c r="O18029" s="43">
        <v>11.503164556962025</v>
      </c>
      <c r="P18029" s="559"/>
      <c r="Q18029" s="559"/>
      <c r="R18029" s="559">
        <v>9</v>
      </c>
    </row>
    <row r="18030" spans="1:18" ht="84">
      <c r="A18030" s="555">
        <v>466</v>
      </c>
      <c r="B18030" s="552" t="s">
        <v>32515</v>
      </c>
      <c r="C18030" s="556" t="s">
        <v>32516</v>
      </c>
      <c r="D18030" s="557">
        <v>64.52</v>
      </c>
      <c r="E18030" s="557">
        <v>32.17</v>
      </c>
      <c r="F18030" s="557">
        <v>31.71</v>
      </c>
      <c r="G18030" s="557">
        <v>0.64</v>
      </c>
      <c r="H18030" s="558">
        <v>544.54</v>
      </c>
      <c r="I18030" s="558">
        <v>369.99</v>
      </c>
      <c r="J18030" s="558">
        <v>167.19</v>
      </c>
      <c r="K18030" s="558">
        <v>7.36</v>
      </c>
      <c r="L18030" s="43">
        <v>8.4398636081835097</v>
      </c>
      <c r="M18030" s="43">
        <v>11.501087970158533</v>
      </c>
      <c r="N18030" s="43">
        <v>5.2724692526017023</v>
      </c>
      <c r="O18030" s="43">
        <v>11.503164556962025</v>
      </c>
      <c r="P18030" s="559"/>
      <c r="Q18030" s="559"/>
      <c r="R18030" s="559">
        <v>9</v>
      </c>
    </row>
    <row r="18031" spans="1:18" ht="84">
      <c r="A18031" s="555">
        <v>467</v>
      </c>
      <c r="B18031" s="552" t="s">
        <v>32517</v>
      </c>
      <c r="C18031" s="556" t="s">
        <v>32518</v>
      </c>
      <c r="D18031" s="557">
        <v>83.5</v>
      </c>
      <c r="E18031" s="557">
        <v>41.36</v>
      </c>
      <c r="F18031" s="557">
        <v>41.31</v>
      </c>
      <c r="G18031" s="557">
        <v>0.83</v>
      </c>
      <c r="H18031" s="558">
        <v>703.11</v>
      </c>
      <c r="I18031" s="558">
        <v>475.7</v>
      </c>
      <c r="J18031" s="558">
        <v>217.86</v>
      </c>
      <c r="K18031" s="558">
        <v>9.5500000000000007</v>
      </c>
      <c r="L18031" s="43">
        <v>8.4204790419161686</v>
      </c>
      <c r="M18031" s="43">
        <v>11.501450676982591</v>
      </c>
      <c r="N18031" s="43">
        <v>5.2737835875090777</v>
      </c>
      <c r="O18031" s="43">
        <v>11.503164556962025</v>
      </c>
      <c r="P18031" s="559"/>
      <c r="Q18031" s="559"/>
      <c r="R18031" s="559">
        <v>9</v>
      </c>
    </row>
    <row r="18032" spans="1:18" ht="84">
      <c r="A18032" s="555">
        <v>468</v>
      </c>
      <c r="B18032" s="552" t="s">
        <v>32519</v>
      </c>
      <c r="C18032" s="556" t="s">
        <v>32520</v>
      </c>
      <c r="D18032" s="557">
        <v>101.53</v>
      </c>
      <c r="E18032" s="557">
        <v>50.56</v>
      </c>
      <c r="F18032" s="557">
        <v>49.96</v>
      </c>
      <c r="G18032" s="557">
        <v>1.01</v>
      </c>
      <c r="H18032" s="558">
        <v>856.49</v>
      </c>
      <c r="I18032" s="558">
        <v>581.41999999999996</v>
      </c>
      <c r="J18032" s="558">
        <v>263.45</v>
      </c>
      <c r="K18032" s="558">
        <v>11.62</v>
      </c>
      <c r="L18032" s="43">
        <v>8.4358317738599435</v>
      </c>
      <c r="M18032" s="43">
        <v>11.499604430379746</v>
      </c>
      <c r="N18032" s="43">
        <v>5.2732185748598877</v>
      </c>
      <c r="O18032" s="43">
        <v>11.503164556962025</v>
      </c>
      <c r="P18032" s="559"/>
      <c r="Q18032" s="559"/>
      <c r="R18032" s="559">
        <v>9</v>
      </c>
    </row>
    <row r="18033" spans="1:18" ht="84">
      <c r="A18033" s="555">
        <v>469</v>
      </c>
      <c r="B18033" s="552" t="s">
        <v>32521</v>
      </c>
      <c r="C18033" s="556" t="s">
        <v>32522</v>
      </c>
      <c r="D18033" s="557">
        <v>118.38</v>
      </c>
      <c r="E18033" s="557">
        <v>58.6</v>
      </c>
      <c r="F18033" s="557">
        <v>58.61</v>
      </c>
      <c r="G18033" s="557">
        <v>1.17</v>
      </c>
      <c r="H18033" s="558">
        <v>996.42</v>
      </c>
      <c r="I18033" s="558">
        <v>673.91</v>
      </c>
      <c r="J18033" s="558">
        <v>309.05</v>
      </c>
      <c r="K18033" s="558">
        <v>13.46</v>
      </c>
      <c r="L18033" s="43">
        <v>8.4171312721743536</v>
      </c>
      <c r="M18033" s="43">
        <v>11.500170648464163</v>
      </c>
      <c r="N18033" s="43">
        <v>5.2729909571745441</v>
      </c>
      <c r="O18033" s="43">
        <v>11.503164556962025</v>
      </c>
      <c r="P18033" s="559"/>
      <c r="Q18033" s="559"/>
      <c r="R18033" s="559">
        <v>9</v>
      </c>
    </row>
    <row r="18034" spans="1:18" ht="84">
      <c r="A18034" s="555">
        <v>470</v>
      </c>
      <c r="B18034" s="552" t="s">
        <v>32523</v>
      </c>
      <c r="C18034" s="556" t="s">
        <v>32524</v>
      </c>
      <c r="D18034" s="557">
        <v>134.27000000000001</v>
      </c>
      <c r="E18034" s="557">
        <v>66.64</v>
      </c>
      <c r="F18034" s="557">
        <v>66.3</v>
      </c>
      <c r="G18034" s="557">
        <v>1.33</v>
      </c>
      <c r="H18034" s="558">
        <v>1131.29</v>
      </c>
      <c r="I18034" s="558">
        <v>766.41</v>
      </c>
      <c r="J18034" s="558">
        <v>349.58</v>
      </c>
      <c r="K18034" s="558">
        <v>15.3</v>
      </c>
      <c r="L18034" s="43">
        <v>8.4254859611231101</v>
      </c>
      <c r="M18034" s="43">
        <v>11.500750300120048</v>
      </c>
      <c r="N18034" s="43">
        <v>5.2726998491704373</v>
      </c>
      <c r="O18034" s="43">
        <v>11.503164556962025</v>
      </c>
      <c r="P18034" s="559"/>
      <c r="Q18034" s="559"/>
      <c r="R18034" s="559">
        <v>9</v>
      </c>
    </row>
    <row r="18035" spans="1:18" ht="84">
      <c r="A18035" s="555">
        <v>471</v>
      </c>
      <c r="B18035" s="552" t="s">
        <v>32525</v>
      </c>
      <c r="C18035" s="556" t="s">
        <v>32526</v>
      </c>
      <c r="D18035" s="557">
        <v>152.29</v>
      </c>
      <c r="E18035" s="557">
        <v>75.83</v>
      </c>
      <c r="F18035" s="557">
        <v>74.94</v>
      </c>
      <c r="G18035" s="557">
        <v>1.52</v>
      </c>
      <c r="H18035" s="558">
        <v>1284.78</v>
      </c>
      <c r="I18035" s="558">
        <v>872.12</v>
      </c>
      <c r="J18035" s="558">
        <v>395.18</v>
      </c>
      <c r="K18035" s="558">
        <v>17.48</v>
      </c>
      <c r="L18035" s="43">
        <v>8.4364042287740499</v>
      </c>
      <c r="M18035" s="43">
        <v>11.500989054463933</v>
      </c>
      <c r="N18035" s="43">
        <v>5.273285294902589</v>
      </c>
      <c r="O18035" s="43">
        <v>11.503164556962025</v>
      </c>
      <c r="P18035" s="559"/>
      <c r="Q18035" s="559"/>
      <c r="R18035" s="559">
        <v>9</v>
      </c>
    </row>
    <row r="18036" spans="1:18" ht="84">
      <c r="A18036" s="555">
        <v>472</v>
      </c>
      <c r="B18036" s="552" t="s">
        <v>32527</v>
      </c>
      <c r="C18036" s="556" t="s">
        <v>32528</v>
      </c>
      <c r="D18036" s="557">
        <v>55.03</v>
      </c>
      <c r="E18036" s="557">
        <v>27.58</v>
      </c>
      <c r="F18036" s="557">
        <v>26.9</v>
      </c>
      <c r="G18036" s="557">
        <v>0.55000000000000004</v>
      </c>
      <c r="H18036" s="558">
        <v>465.33</v>
      </c>
      <c r="I18036" s="558">
        <v>317.14</v>
      </c>
      <c r="J18036" s="558">
        <v>141.86000000000001</v>
      </c>
      <c r="K18036" s="558">
        <v>6.33</v>
      </c>
      <c r="L18036" s="43">
        <v>8.4559331273850624</v>
      </c>
      <c r="M18036" s="43">
        <v>11.498912255257434</v>
      </c>
      <c r="N18036" s="43">
        <v>5.2736059479553914</v>
      </c>
      <c r="O18036" s="43">
        <v>11.503164556962025</v>
      </c>
      <c r="P18036" s="559"/>
      <c r="Q18036" s="559"/>
      <c r="R18036" s="559">
        <v>9</v>
      </c>
    </row>
    <row r="18037" spans="1:18" ht="84">
      <c r="A18037" s="555">
        <v>473</v>
      </c>
      <c r="B18037" s="552" t="s">
        <v>32529</v>
      </c>
      <c r="C18037" s="556" t="s">
        <v>32530</v>
      </c>
      <c r="D18037" s="557">
        <v>71.88</v>
      </c>
      <c r="E18037" s="557">
        <v>35.619999999999997</v>
      </c>
      <c r="F18037" s="557">
        <v>35.549999999999997</v>
      </c>
      <c r="G18037" s="557">
        <v>0.71</v>
      </c>
      <c r="H18037" s="558">
        <v>605.26</v>
      </c>
      <c r="I18037" s="558">
        <v>409.63</v>
      </c>
      <c r="J18037" s="558">
        <v>187.46</v>
      </c>
      <c r="K18037" s="558">
        <v>8.17</v>
      </c>
      <c r="L18037" s="43">
        <v>8.4204229271007236</v>
      </c>
      <c r="M18037" s="43">
        <v>11.5</v>
      </c>
      <c r="N18037" s="43">
        <v>5.2731364275668078</v>
      </c>
      <c r="O18037" s="43">
        <v>11.503164556962025</v>
      </c>
      <c r="P18037" s="559"/>
      <c r="Q18037" s="559"/>
      <c r="R18037" s="559">
        <v>9</v>
      </c>
    </row>
    <row r="18038" spans="1:18" ht="84">
      <c r="A18038" s="555">
        <v>474</v>
      </c>
      <c r="B18038" s="552" t="s">
        <v>32531</v>
      </c>
      <c r="C18038" s="556" t="s">
        <v>32532</v>
      </c>
      <c r="D18038" s="557">
        <v>93</v>
      </c>
      <c r="E18038" s="557">
        <v>45.96</v>
      </c>
      <c r="F18038" s="557">
        <v>46.12</v>
      </c>
      <c r="G18038" s="557">
        <v>0.92</v>
      </c>
      <c r="H18038" s="558">
        <v>782.33</v>
      </c>
      <c r="I18038" s="558">
        <v>528.55999999999995</v>
      </c>
      <c r="J18038" s="558">
        <v>243.19</v>
      </c>
      <c r="K18038" s="558">
        <v>10.58</v>
      </c>
      <c r="L18038" s="43">
        <v>8.4121505376344086</v>
      </c>
      <c r="M18038" s="43">
        <v>11.500435161009571</v>
      </c>
      <c r="N18038" s="43">
        <v>5.272983521248916</v>
      </c>
      <c r="O18038" s="43">
        <v>11.503164556962025</v>
      </c>
      <c r="P18038" s="559"/>
      <c r="Q18038" s="559"/>
      <c r="R18038" s="559">
        <v>9</v>
      </c>
    </row>
    <row r="18039" spans="1:18" ht="84">
      <c r="A18039" s="555">
        <v>475</v>
      </c>
      <c r="B18039" s="552" t="s">
        <v>32533</v>
      </c>
      <c r="C18039" s="556" t="s">
        <v>32534</v>
      </c>
      <c r="D18039" s="557">
        <v>113.16</v>
      </c>
      <c r="E18039" s="557">
        <v>56.3</v>
      </c>
      <c r="F18039" s="557">
        <v>55.73</v>
      </c>
      <c r="G18039" s="557">
        <v>1.1299999999999999</v>
      </c>
      <c r="H18039" s="558">
        <v>954.34</v>
      </c>
      <c r="I18039" s="558">
        <v>647.49</v>
      </c>
      <c r="J18039" s="558">
        <v>293.85000000000002</v>
      </c>
      <c r="K18039" s="558">
        <v>13</v>
      </c>
      <c r="L18039" s="43">
        <v>8.4335454224107469</v>
      </c>
      <c r="M18039" s="43">
        <v>11.500710479573714</v>
      </c>
      <c r="N18039" s="43">
        <v>5.2727435851426527</v>
      </c>
      <c r="O18039" s="43">
        <v>11.503164556962025</v>
      </c>
      <c r="P18039" s="559"/>
      <c r="Q18039" s="559"/>
      <c r="R18039" s="559">
        <v>9</v>
      </c>
    </row>
    <row r="18040" spans="1:18" ht="84">
      <c r="A18040" s="555">
        <v>476</v>
      </c>
      <c r="B18040" s="552" t="s">
        <v>32535</v>
      </c>
      <c r="C18040" s="556" t="s">
        <v>32536</v>
      </c>
      <c r="D18040" s="557">
        <v>130</v>
      </c>
      <c r="E18040" s="557">
        <v>64.34</v>
      </c>
      <c r="F18040" s="557">
        <v>64.37</v>
      </c>
      <c r="G18040" s="557">
        <v>1.29</v>
      </c>
      <c r="H18040" s="558">
        <v>1094.27</v>
      </c>
      <c r="I18040" s="558">
        <v>739.98</v>
      </c>
      <c r="J18040" s="558">
        <v>339.45</v>
      </c>
      <c r="K18040" s="558">
        <v>14.84</v>
      </c>
      <c r="L18040" s="43">
        <v>8.4174615384615379</v>
      </c>
      <c r="M18040" s="43">
        <v>11.501087970158533</v>
      </c>
      <c r="N18040" s="43">
        <v>5.2734192947025003</v>
      </c>
      <c r="O18040" s="43">
        <v>11.503164556962025</v>
      </c>
      <c r="P18040" s="559"/>
      <c r="Q18040" s="559"/>
      <c r="R18040" s="559">
        <v>9</v>
      </c>
    </row>
    <row r="18041" spans="1:18" ht="84">
      <c r="A18041" s="555">
        <v>477</v>
      </c>
      <c r="B18041" s="552" t="s">
        <v>32537</v>
      </c>
      <c r="C18041" s="556" t="s">
        <v>32538</v>
      </c>
      <c r="D18041" s="557">
        <v>152.29</v>
      </c>
      <c r="E18041" s="557">
        <v>75.83</v>
      </c>
      <c r="F18041" s="557">
        <v>74.94</v>
      </c>
      <c r="G18041" s="557">
        <v>1.52</v>
      </c>
      <c r="H18041" s="558">
        <v>1284.78</v>
      </c>
      <c r="I18041" s="558">
        <v>872.12</v>
      </c>
      <c r="J18041" s="558">
        <v>395.18</v>
      </c>
      <c r="K18041" s="558">
        <v>17.48</v>
      </c>
      <c r="L18041" s="43">
        <v>8.4364042287740499</v>
      </c>
      <c r="M18041" s="43">
        <v>11.500989054463933</v>
      </c>
      <c r="N18041" s="43">
        <v>5.273285294902589</v>
      </c>
      <c r="O18041" s="43">
        <v>11.503164556962025</v>
      </c>
      <c r="P18041" s="559"/>
      <c r="Q18041" s="559"/>
      <c r="R18041" s="559">
        <v>9</v>
      </c>
    </row>
    <row r="18042" spans="1:18" ht="84">
      <c r="A18042" s="555">
        <v>478</v>
      </c>
      <c r="B18042" s="552" t="s">
        <v>32539</v>
      </c>
      <c r="C18042" s="556" t="s">
        <v>32540</v>
      </c>
      <c r="D18042" s="557">
        <v>173.41</v>
      </c>
      <c r="E18042" s="557">
        <v>86.18</v>
      </c>
      <c r="F18042" s="557">
        <v>85.51</v>
      </c>
      <c r="G18042" s="557">
        <v>1.72</v>
      </c>
      <c r="H18042" s="558">
        <v>1461.74</v>
      </c>
      <c r="I18042" s="558">
        <v>991.05</v>
      </c>
      <c r="J18042" s="558">
        <v>450.91</v>
      </c>
      <c r="K18042" s="558">
        <v>19.78</v>
      </c>
      <c r="L18042" s="43">
        <v>8.4293870019030042</v>
      </c>
      <c r="M18042" s="43">
        <v>11.499767927593407</v>
      </c>
      <c r="N18042" s="43">
        <v>5.2731844228745173</v>
      </c>
      <c r="O18042" s="43">
        <v>11.503164556962025</v>
      </c>
      <c r="P18042" s="559"/>
      <c r="Q18042" s="559"/>
      <c r="R18042" s="559">
        <v>9</v>
      </c>
    </row>
    <row r="18043" spans="1:18" ht="84">
      <c r="A18043" s="555">
        <v>479</v>
      </c>
      <c r="B18043" s="552" t="s">
        <v>32541</v>
      </c>
      <c r="C18043" s="556" t="s">
        <v>32542</v>
      </c>
      <c r="D18043" s="557">
        <v>204.01</v>
      </c>
      <c r="E18043" s="557">
        <v>101.11</v>
      </c>
      <c r="F18043" s="557">
        <v>100.88</v>
      </c>
      <c r="G18043" s="557">
        <v>2.02</v>
      </c>
      <c r="H18043" s="558">
        <v>1718.03</v>
      </c>
      <c r="I18043" s="558">
        <v>1162.83</v>
      </c>
      <c r="J18043" s="558">
        <v>531.97</v>
      </c>
      <c r="K18043" s="558">
        <v>23.23</v>
      </c>
      <c r="L18043" s="43">
        <v>8.4213028773099357</v>
      </c>
      <c r="M18043" s="43">
        <v>11.500642864207299</v>
      </c>
      <c r="N18043" s="43">
        <v>5.2732950039651074</v>
      </c>
      <c r="O18043" s="43">
        <v>11.503164556962025</v>
      </c>
      <c r="P18043" s="559"/>
      <c r="Q18043" s="559"/>
      <c r="R18043" s="559">
        <v>9</v>
      </c>
    </row>
    <row r="18044" spans="1:18" ht="12.75" customHeight="1">
      <c r="A18044" s="628" t="s">
        <v>32543</v>
      </c>
      <c r="B18044" s="629"/>
      <c r="C18044" s="629"/>
      <c r="D18044" s="629"/>
      <c r="E18044" s="629"/>
      <c r="F18044" s="629"/>
      <c r="G18044" s="629"/>
      <c r="H18044" s="629"/>
      <c r="I18044" s="629"/>
      <c r="J18044" s="629"/>
      <c r="K18044" s="629"/>
      <c r="L18044" s="629"/>
      <c r="M18044" s="629"/>
      <c r="N18044" s="629"/>
      <c r="O18044" s="629"/>
      <c r="P18044" s="629"/>
      <c r="Q18044" s="629"/>
      <c r="R18044" s="629"/>
    </row>
    <row r="18045" spans="1:18" ht="84">
      <c r="A18045" s="555">
        <v>480</v>
      </c>
      <c r="B18045" s="552" t="s">
        <v>32544</v>
      </c>
      <c r="C18045" s="556" t="s">
        <v>32545</v>
      </c>
      <c r="D18045" s="557">
        <v>60.25</v>
      </c>
      <c r="E18045" s="557">
        <v>29.87</v>
      </c>
      <c r="F18045" s="557">
        <v>29.78</v>
      </c>
      <c r="G18045" s="557">
        <v>0.6</v>
      </c>
      <c r="H18045" s="558">
        <v>507.52</v>
      </c>
      <c r="I18045" s="558">
        <v>343.56</v>
      </c>
      <c r="J18045" s="558">
        <v>157.06</v>
      </c>
      <c r="K18045" s="558">
        <v>6.9</v>
      </c>
      <c r="L18045" s="43">
        <v>8.4235684647302893</v>
      </c>
      <c r="M18045" s="43">
        <v>11.501841312353532</v>
      </c>
      <c r="N18045" s="43">
        <v>5.2740094022834114</v>
      </c>
      <c r="O18045" s="43">
        <v>11.503164556962025</v>
      </c>
      <c r="P18045" s="559"/>
      <c r="Q18045" s="559"/>
      <c r="R18045" s="559">
        <v>10</v>
      </c>
    </row>
    <row r="18046" spans="1:18" ht="84">
      <c r="A18046" s="555">
        <v>481</v>
      </c>
      <c r="B18046" s="552" t="s">
        <v>32546</v>
      </c>
      <c r="C18046" s="556" t="s">
        <v>32547</v>
      </c>
      <c r="D18046" s="557">
        <v>81.37</v>
      </c>
      <c r="E18046" s="557">
        <v>40.22</v>
      </c>
      <c r="F18046" s="557">
        <v>40.35</v>
      </c>
      <c r="G18046" s="557">
        <v>0.8</v>
      </c>
      <c r="H18046" s="558">
        <v>684.48</v>
      </c>
      <c r="I18046" s="558">
        <v>462.49</v>
      </c>
      <c r="J18046" s="558">
        <v>212.79</v>
      </c>
      <c r="K18046" s="558">
        <v>9.1999999999999993</v>
      </c>
      <c r="L18046" s="43">
        <v>8.411945434435296</v>
      </c>
      <c r="M18046" s="43">
        <v>11.499005469915465</v>
      </c>
      <c r="N18046" s="43">
        <v>5.2736059479553896</v>
      </c>
      <c r="O18046" s="43">
        <v>11.503164556962025</v>
      </c>
      <c r="P18046" s="559"/>
      <c r="Q18046" s="559"/>
      <c r="R18046" s="559">
        <v>10</v>
      </c>
    </row>
    <row r="18047" spans="1:18" ht="84">
      <c r="A18047" s="555">
        <v>482</v>
      </c>
      <c r="B18047" s="552" t="s">
        <v>32548</v>
      </c>
      <c r="C18047" s="556" t="s">
        <v>32549</v>
      </c>
      <c r="D18047" s="557">
        <v>106.75</v>
      </c>
      <c r="E18047" s="557">
        <v>52.85</v>
      </c>
      <c r="F18047" s="557">
        <v>52.84</v>
      </c>
      <c r="G18047" s="557">
        <v>1.06</v>
      </c>
      <c r="H18047" s="558">
        <v>898.68</v>
      </c>
      <c r="I18047" s="558">
        <v>607.84</v>
      </c>
      <c r="J18047" s="558">
        <v>278.64999999999998</v>
      </c>
      <c r="K18047" s="558">
        <v>12.19</v>
      </c>
      <c r="L18047" s="43">
        <v>8.4185480093676812</v>
      </c>
      <c r="M18047" s="43">
        <v>11.501229895931884</v>
      </c>
      <c r="N18047" s="43">
        <v>5.2734670704012103</v>
      </c>
      <c r="O18047" s="43">
        <v>11.503164556962025</v>
      </c>
      <c r="P18047" s="559"/>
      <c r="Q18047" s="559"/>
      <c r="R18047" s="559">
        <v>10</v>
      </c>
    </row>
    <row r="18048" spans="1:18" ht="84">
      <c r="A18048" s="555">
        <v>483</v>
      </c>
      <c r="B18048" s="552" t="s">
        <v>32550</v>
      </c>
      <c r="C18048" s="556" t="s">
        <v>32551</v>
      </c>
      <c r="D18048" s="557">
        <v>127.87</v>
      </c>
      <c r="E18048" s="557">
        <v>63.2</v>
      </c>
      <c r="F18048" s="557">
        <v>63.41</v>
      </c>
      <c r="G18048" s="557">
        <v>1.26</v>
      </c>
      <c r="H18048" s="558">
        <v>1075.6400000000001</v>
      </c>
      <c r="I18048" s="558">
        <v>726.77</v>
      </c>
      <c r="J18048" s="558">
        <v>334.38</v>
      </c>
      <c r="K18048" s="558">
        <v>14.49</v>
      </c>
      <c r="L18048" s="43">
        <v>8.4119809181199656</v>
      </c>
      <c r="M18048" s="43">
        <v>11.499525316455696</v>
      </c>
      <c r="N18048" s="43">
        <v>5.2733007412080113</v>
      </c>
      <c r="O18048" s="43">
        <v>11.503164556962025</v>
      </c>
      <c r="P18048" s="559"/>
      <c r="Q18048" s="559"/>
      <c r="R18048" s="559">
        <v>10</v>
      </c>
    </row>
    <row r="18049" spans="1:18" ht="84">
      <c r="A18049" s="555">
        <v>484</v>
      </c>
      <c r="B18049" s="552" t="s">
        <v>32552</v>
      </c>
      <c r="C18049" s="556" t="s">
        <v>32553</v>
      </c>
      <c r="D18049" s="557">
        <v>150.16</v>
      </c>
      <c r="E18049" s="557">
        <v>74.69</v>
      </c>
      <c r="F18049" s="557">
        <v>73.98</v>
      </c>
      <c r="G18049" s="557">
        <v>1.49</v>
      </c>
      <c r="H18049" s="558">
        <v>1266.1600000000001</v>
      </c>
      <c r="I18049" s="558">
        <v>858.91</v>
      </c>
      <c r="J18049" s="558">
        <v>390.11</v>
      </c>
      <c r="K18049" s="558">
        <v>17.14</v>
      </c>
      <c r="L18049" s="43">
        <v>8.4320724560468836</v>
      </c>
      <c r="M18049" s="43">
        <v>11.499665283170438</v>
      </c>
      <c r="N18049" s="43">
        <v>5.273181941065153</v>
      </c>
      <c r="O18049" s="43">
        <v>11.503164556962025</v>
      </c>
      <c r="P18049" s="559"/>
      <c r="Q18049" s="559"/>
      <c r="R18049" s="559">
        <v>10</v>
      </c>
    </row>
    <row r="18050" spans="1:18" ht="84">
      <c r="A18050" s="555">
        <v>485</v>
      </c>
      <c r="B18050" s="552" t="s">
        <v>32554</v>
      </c>
      <c r="C18050" s="556" t="s">
        <v>32555</v>
      </c>
      <c r="D18050" s="557">
        <v>171.28</v>
      </c>
      <c r="E18050" s="557">
        <v>85.03</v>
      </c>
      <c r="F18050" s="557">
        <v>84.55</v>
      </c>
      <c r="G18050" s="557">
        <v>1.7</v>
      </c>
      <c r="H18050" s="558">
        <v>1443.23</v>
      </c>
      <c r="I18050" s="558">
        <v>977.84</v>
      </c>
      <c r="J18050" s="558">
        <v>445.84</v>
      </c>
      <c r="K18050" s="558">
        <v>19.55</v>
      </c>
      <c r="L18050" s="43">
        <v>8.4261443250817383</v>
      </c>
      <c r="M18050" s="43">
        <v>11.499941197224508</v>
      </c>
      <c r="N18050" s="43">
        <v>5.2730928444707272</v>
      </c>
      <c r="O18050" s="43">
        <v>11.503164556962025</v>
      </c>
      <c r="P18050" s="559"/>
      <c r="Q18050" s="559"/>
      <c r="R18050" s="559">
        <v>10</v>
      </c>
    </row>
    <row r="18051" spans="1:18" ht="84">
      <c r="A18051" s="555">
        <v>486</v>
      </c>
      <c r="B18051" s="552" t="s">
        <v>32556</v>
      </c>
      <c r="C18051" s="556" t="s">
        <v>32557</v>
      </c>
      <c r="D18051" s="557">
        <v>194.53</v>
      </c>
      <c r="E18051" s="557">
        <v>96.52</v>
      </c>
      <c r="F18051" s="557">
        <v>96.08</v>
      </c>
      <c r="G18051" s="557">
        <v>1.93</v>
      </c>
      <c r="H18051" s="558">
        <v>1638.82</v>
      </c>
      <c r="I18051" s="558">
        <v>1109.98</v>
      </c>
      <c r="J18051" s="558">
        <v>506.64</v>
      </c>
      <c r="K18051" s="558">
        <v>22.2</v>
      </c>
      <c r="L18051" s="43">
        <v>8.4245103582994911</v>
      </c>
      <c r="M18051" s="43">
        <v>11.5</v>
      </c>
      <c r="N18051" s="43">
        <v>5.2731057452123231</v>
      </c>
      <c r="O18051" s="43">
        <v>11.503164556962025</v>
      </c>
      <c r="P18051" s="559"/>
      <c r="Q18051" s="559"/>
      <c r="R18051" s="559">
        <v>10</v>
      </c>
    </row>
    <row r="18052" spans="1:18" ht="84">
      <c r="A18052" s="555">
        <v>487</v>
      </c>
      <c r="B18052" s="552" t="s">
        <v>32558</v>
      </c>
      <c r="C18052" s="556" t="s">
        <v>32559</v>
      </c>
      <c r="D18052" s="557">
        <v>227.69</v>
      </c>
      <c r="E18052" s="557">
        <v>114.9</v>
      </c>
      <c r="F18052" s="557">
        <v>110.49</v>
      </c>
      <c r="G18052" s="557">
        <v>2.2999999999999998</v>
      </c>
      <c r="H18052" s="558">
        <v>1930.49</v>
      </c>
      <c r="I18052" s="558">
        <v>1321.4</v>
      </c>
      <c r="J18052" s="558">
        <v>582.64</v>
      </c>
      <c r="K18052" s="558">
        <v>26.45</v>
      </c>
      <c r="L18052" s="43">
        <v>8.4785893100267913</v>
      </c>
      <c r="M18052" s="43">
        <v>11.500435161009573</v>
      </c>
      <c r="N18052" s="43">
        <v>5.273237397049507</v>
      </c>
      <c r="O18052" s="43">
        <v>11.503164556962025</v>
      </c>
      <c r="P18052" s="559"/>
      <c r="Q18052" s="559"/>
      <c r="R18052" s="559">
        <v>10</v>
      </c>
    </row>
    <row r="18053" spans="1:18" ht="84">
      <c r="A18053" s="555">
        <v>488</v>
      </c>
      <c r="B18053" s="552" t="s">
        <v>32560</v>
      </c>
      <c r="C18053" s="556" t="s">
        <v>32561</v>
      </c>
      <c r="D18053" s="557">
        <v>71.88</v>
      </c>
      <c r="E18053" s="557">
        <v>35.619999999999997</v>
      </c>
      <c r="F18053" s="557">
        <v>35.549999999999997</v>
      </c>
      <c r="G18053" s="557">
        <v>0.71</v>
      </c>
      <c r="H18053" s="558">
        <v>605.26</v>
      </c>
      <c r="I18053" s="558">
        <v>409.63</v>
      </c>
      <c r="J18053" s="558">
        <v>187.46</v>
      </c>
      <c r="K18053" s="558">
        <v>8.17</v>
      </c>
      <c r="L18053" s="43">
        <v>8.4204229271007236</v>
      </c>
      <c r="M18053" s="43">
        <v>11.5</v>
      </c>
      <c r="N18053" s="43">
        <v>5.2731364275668078</v>
      </c>
      <c r="O18053" s="43">
        <v>11.503164556962025</v>
      </c>
      <c r="P18053" s="559"/>
      <c r="Q18053" s="559"/>
      <c r="R18053" s="559">
        <v>10</v>
      </c>
    </row>
    <row r="18054" spans="1:18" ht="84">
      <c r="A18054" s="555">
        <v>489</v>
      </c>
      <c r="B18054" s="552" t="s">
        <v>32562</v>
      </c>
      <c r="C18054" s="556" t="s">
        <v>32563</v>
      </c>
      <c r="D18054" s="557">
        <v>95.13</v>
      </c>
      <c r="E18054" s="557">
        <v>47.11</v>
      </c>
      <c r="F18054" s="557">
        <v>47.08</v>
      </c>
      <c r="G18054" s="557">
        <v>0.94</v>
      </c>
      <c r="H18054" s="558">
        <v>800.83</v>
      </c>
      <c r="I18054" s="558">
        <v>541.77</v>
      </c>
      <c r="J18054" s="558">
        <v>248.25</v>
      </c>
      <c r="K18054" s="558">
        <v>10.81</v>
      </c>
      <c r="L18054" s="43">
        <v>8.4182697361505312</v>
      </c>
      <c r="M18054" s="43">
        <v>11.500106134578646</v>
      </c>
      <c r="N18054" s="43">
        <v>5.2729396771452848</v>
      </c>
      <c r="O18054" s="43">
        <v>11.503164556962025</v>
      </c>
      <c r="P18054" s="559"/>
      <c r="Q18054" s="559"/>
      <c r="R18054" s="559">
        <v>10</v>
      </c>
    </row>
    <row r="18055" spans="1:18" ht="84">
      <c r="A18055" s="555">
        <v>490</v>
      </c>
      <c r="B18055" s="552" t="s">
        <v>32564</v>
      </c>
      <c r="C18055" s="556" t="s">
        <v>32565</v>
      </c>
      <c r="D18055" s="557">
        <v>122.65</v>
      </c>
      <c r="E18055" s="557">
        <v>60.9</v>
      </c>
      <c r="F18055" s="557">
        <v>60.53</v>
      </c>
      <c r="G18055" s="557">
        <v>1.22</v>
      </c>
      <c r="H18055" s="558">
        <v>1033.55</v>
      </c>
      <c r="I18055" s="558">
        <v>700.34</v>
      </c>
      <c r="J18055" s="558">
        <v>319.18</v>
      </c>
      <c r="K18055" s="558">
        <v>14.03</v>
      </c>
      <c r="L18055" s="43">
        <v>8.4268242967794524</v>
      </c>
      <c r="M18055" s="43">
        <v>11.499835796387522</v>
      </c>
      <c r="N18055" s="43">
        <v>5.2730877250949941</v>
      </c>
      <c r="O18055" s="43">
        <v>11.503164556962025</v>
      </c>
      <c r="P18055" s="559"/>
      <c r="Q18055" s="559"/>
      <c r="R18055" s="559">
        <v>10</v>
      </c>
    </row>
    <row r="18056" spans="1:18" ht="84">
      <c r="A18056" s="555">
        <v>491</v>
      </c>
      <c r="B18056" s="552" t="s">
        <v>32566</v>
      </c>
      <c r="C18056" s="556" t="s">
        <v>32567</v>
      </c>
      <c r="D18056" s="557">
        <v>150.16</v>
      </c>
      <c r="E18056" s="557">
        <v>74.69</v>
      </c>
      <c r="F18056" s="557">
        <v>73.98</v>
      </c>
      <c r="G18056" s="557">
        <v>1.49</v>
      </c>
      <c r="H18056" s="558">
        <v>1266.1600000000001</v>
      </c>
      <c r="I18056" s="558">
        <v>858.91</v>
      </c>
      <c r="J18056" s="558">
        <v>390.11</v>
      </c>
      <c r="K18056" s="558">
        <v>17.14</v>
      </c>
      <c r="L18056" s="43">
        <v>8.4320724560468836</v>
      </c>
      <c r="M18056" s="43">
        <v>11.499665283170438</v>
      </c>
      <c r="N18056" s="43">
        <v>5.273181941065153</v>
      </c>
      <c r="O18056" s="43">
        <v>11.503164556962025</v>
      </c>
      <c r="P18056" s="559"/>
      <c r="Q18056" s="559"/>
      <c r="R18056" s="559">
        <v>10</v>
      </c>
    </row>
    <row r="18057" spans="1:18" ht="84">
      <c r="A18057" s="555">
        <v>492</v>
      </c>
      <c r="B18057" s="552" t="s">
        <v>32568</v>
      </c>
      <c r="C18057" s="556" t="s">
        <v>32569</v>
      </c>
      <c r="D18057" s="557">
        <v>173.41</v>
      </c>
      <c r="E18057" s="557">
        <v>86.18</v>
      </c>
      <c r="F18057" s="557">
        <v>85.51</v>
      </c>
      <c r="G18057" s="557">
        <v>1.72</v>
      </c>
      <c r="H18057" s="558">
        <v>1461.74</v>
      </c>
      <c r="I18057" s="558">
        <v>991.05</v>
      </c>
      <c r="J18057" s="558">
        <v>450.91</v>
      </c>
      <c r="K18057" s="558">
        <v>19.78</v>
      </c>
      <c r="L18057" s="43">
        <v>8.4293870019030042</v>
      </c>
      <c r="M18057" s="43">
        <v>11.499767927593407</v>
      </c>
      <c r="N18057" s="43">
        <v>5.2731844228745173</v>
      </c>
      <c r="O18057" s="43">
        <v>11.503164556962025</v>
      </c>
      <c r="P18057" s="559"/>
      <c r="Q18057" s="559"/>
      <c r="R18057" s="559">
        <v>10</v>
      </c>
    </row>
    <row r="18058" spans="1:18" ht="84">
      <c r="A18058" s="555">
        <v>493</v>
      </c>
      <c r="B18058" s="552" t="s">
        <v>32570</v>
      </c>
      <c r="C18058" s="556" t="s">
        <v>32571</v>
      </c>
      <c r="D18058" s="557">
        <v>194.53</v>
      </c>
      <c r="E18058" s="557">
        <v>96.52</v>
      </c>
      <c r="F18058" s="557">
        <v>96.08</v>
      </c>
      <c r="G18058" s="557">
        <v>1.93</v>
      </c>
      <c r="H18058" s="558">
        <v>1638.82</v>
      </c>
      <c r="I18058" s="558">
        <v>1109.98</v>
      </c>
      <c r="J18058" s="558">
        <v>506.64</v>
      </c>
      <c r="K18058" s="558">
        <v>22.2</v>
      </c>
      <c r="L18058" s="43">
        <v>8.4245103582994911</v>
      </c>
      <c r="M18058" s="43">
        <v>11.5</v>
      </c>
      <c r="N18058" s="43">
        <v>5.2731057452123231</v>
      </c>
      <c r="O18058" s="43">
        <v>11.503164556962025</v>
      </c>
      <c r="P18058" s="559"/>
      <c r="Q18058" s="559"/>
      <c r="R18058" s="559">
        <v>10</v>
      </c>
    </row>
    <row r="18059" spans="1:18" ht="84">
      <c r="A18059" s="555">
        <v>494</v>
      </c>
      <c r="B18059" s="552" t="s">
        <v>32572</v>
      </c>
      <c r="C18059" s="556" t="s">
        <v>32573</v>
      </c>
      <c r="D18059" s="557">
        <v>224.17</v>
      </c>
      <c r="E18059" s="557">
        <v>111.45</v>
      </c>
      <c r="F18059" s="557">
        <v>110.49</v>
      </c>
      <c r="G18059" s="557">
        <v>2.23</v>
      </c>
      <c r="H18059" s="558">
        <v>1890.05</v>
      </c>
      <c r="I18059" s="558">
        <v>1281.76</v>
      </c>
      <c r="J18059" s="558">
        <v>582.64</v>
      </c>
      <c r="K18059" s="558">
        <v>25.65</v>
      </c>
      <c r="L18059" s="43">
        <v>8.431324441272249</v>
      </c>
      <c r="M18059" s="43">
        <v>11.500762673844774</v>
      </c>
      <c r="N18059" s="43">
        <v>5.273237397049507</v>
      </c>
      <c r="O18059" s="43">
        <v>11.503164556962025</v>
      </c>
      <c r="P18059" s="559"/>
      <c r="Q18059" s="559"/>
      <c r="R18059" s="559">
        <v>10</v>
      </c>
    </row>
    <row r="18060" spans="1:18" ht="84">
      <c r="A18060" s="555">
        <v>495</v>
      </c>
      <c r="B18060" s="552" t="s">
        <v>32574</v>
      </c>
      <c r="C18060" s="556" t="s">
        <v>32575</v>
      </c>
      <c r="D18060" s="557">
        <v>253.82</v>
      </c>
      <c r="E18060" s="557">
        <v>126.39</v>
      </c>
      <c r="F18060" s="557">
        <v>124.9</v>
      </c>
      <c r="G18060" s="557">
        <v>2.5299999999999998</v>
      </c>
      <c r="H18060" s="558">
        <v>2141.27</v>
      </c>
      <c r="I18060" s="558">
        <v>1453.54</v>
      </c>
      <c r="J18060" s="558">
        <v>658.63</v>
      </c>
      <c r="K18060" s="558">
        <v>29.1</v>
      </c>
      <c r="L18060" s="43">
        <v>8.4361752422976917</v>
      </c>
      <c r="M18060" s="43">
        <v>11.500435161009573</v>
      </c>
      <c r="N18060" s="43">
        <v>5.2732586068855083</v>
      </c>
      <c r="O18060" s="43">
        <v>11.503164556962025</v>
      </c>
      <c r="P18060" s="559"/>
      <c r="Q18060" s="559"/>
      <c r="R18060" s="559">
        <v>10</v>
      </c>
    </row>
    <row r="18061" spans="1:18" ht="84">
      <c r="A18061" s="555">
        <v>496</v>
      </c>
      <c r="B18061" s="552" t="s">
        <v>32576</v>
      </c>
      <c r="C18061" s="556" t="s">
        <v>32577</v>
      </c>
      <c r="D18061" s="557">
        <v>83.5</v>
      </c>
      <c r="E18061" s="557">
        <v>41.36</v>
      </c>
      <c r="F18061" s="557">
        <v>41.31</v>
      </c>
      <c r="G18061" s="557">
        <v>0.83</v>
      </c>
      <c r="H18061" s="558">
        <v>703.11</v>
      </c>
      <c r="I18061" s="558">
        <v>475.7</v>
      </c>
      <c r="J18061" s="558">
        <v>217.86</v>
      </c>
      <c r="K18061" s="558">
        <v>9.5500000000000007</v>
      </c>
      <c r="L18061" s="43">
        <v>8.4204790419161686</v>
      </c>
      <c r="M18061" s="43">
        <v>11.501450676982591</v>
      </c>
      <c r="N18061" s="43">
        <v>5.2737835875090777</v>
      </c>
      <c r="O18061" s="43">
        <v>11.503164556962025</v>
      </c>
      <c r="P18061" s="559"/>
      <c r="Q18061" s="559"/>
      <c r="R18061" s="559">
        <v>10</v>
      </c>
    </row>
    <row r="18062" spans="1:18" ht="84">
      <c r="A18062" s="555">
        <v>497</v>
      </c>
      <c r="B18062" s="552" t="s">
        <v>32578</v>
      </c>
      <c r="C18062" s="556" t="s">
        <v>32579</v>
      </c>
      <c r="D18062" s="557">
        <v>108.88</v>
      </c>
      <c r="E18062" s="557">
        <v>54</v>
      </c>
      <c r="F18062" s="557">
        <v>53.8</v>
      </c>
      <c r="G18062" s="557">
        <v>1.08</v>
      </c>
      <c r="H18062" s="558">
        <v>917.2</v>
      </c>
      <c r="I18062" s="558">
        <v>621.05999999999995</v>
      </c>
      <c r="J18062" s="558">
        <v>283.72000000000003</v>
      </c>
      <c r="K18062" s="558">
        <v>12.42</v>
      </c>
      <c r="L18062" s="43">
        <v>8.4239529757531226</v>
      </c>
      <c r="M18062" s="43">
        <v>11.50111111111111</v>
      </c>
      <c r="N18062" s="43">
        <v>5.2736059479553914</v>
      </c>
      <c r="O18062" s="43">
        <v>11.503164556962025</v>
      </c>
      <c r="P18062" s="559"/>
      <c r="Q18062" s="559"/>
      <c r="R18062" s="559">
        <v>10</v>
      </c>
    </row>
    <row r="18063" spans="1:18" ht="84">
      <c r="A18063" s="555">
        <v>498</v>
      </c>
      <c r="B18063" s="552" t="s">
        <v>32580</v>
      </c>
      <c r="C18063" s="556" t="s">
        <v>32581</v>
      </c>
      <c r="D18063" s="557">
        <v>140.66999999999999</v>
      </c>
      <c r="E18063" s="557">
        <v>70.09</v>
      </c>
      <c r="F18063" s="557">
        <v>69.180000000000007</v>
      </c>
      <c r="G18063" s="557">
        <v>1.4</v>
      </c>
      <c r="H18063" s="558">
        <v>1186.93</v>
      </c>
      <c r="I18063" s="558">
        <v>806.05</v>
      </c>
      <c r="J18063" s="558">
        <v>364.78</v>
      </c>
      <c r="K18063" s="558">
        <v>16.100000000000001</v>
      </c>
      <c r="L18063" s="43">
        <v>8.4376910499751201</v>
      </c>
      <c r="M18063" s="43">
        <v>11.500214010557853</v>
      </c>
      <c r="N18063" s="43">
        <v>5.2729112460248615</v>
      </c>
      <c r="O18063" s="43">
        <v>11.503164556962025</v>
      </c>
      <c r="P18063" s="559"/>
      <c r="Q18063" s="559"/>
      <c r="R18063" s="559">
        <v>10</v>
      </c>
    </row>
    <row r="18064" spans="1:18" ht="84">
      <c r="A18064" s="555">
        <v>499</v>
      </c>
      <c r="B18064" s="552" t="s">
        <v>32582</v>
      </c>
      <c r="C18064" s="556" t="s">
        <v>32583</v>
      </c>
      <c r="D18064" s="557">
        <v>169.15</v>
      </c>
      <c r="E18064" s="557">
        <v>83.88</v>
      </c>
      <c r="F18064" s="557">
        <v>83.59</v>
      </c>
      <c r="G18064" s="557">
        <v>1.68</v>
      </c>
      <c r="H18064" s="558">
        <v>1424.72</v>
      </c>
      <c r="I18064" s="558">
        <v>964.62</v>
      </c>
      <c r="J18064" s="558">
        <v>440.78</v>
      </c>
      <c r="K18064" s="558">
        <v>19.32</v>
      </c>
      <c r="L18064" s="43">
        <v>8.4228199822642615</v>
      </c>
      <c r="M18064" s="43">
        <v>11.5</v>
      </c>
      <c r="N18064" s="43">
        <v>5.2731187941141275</v>
      </c>
      <c r="O18064" s="43">
        <v>11.503164556962025</v>
      </c>
      <c r="P18064" s="559"/>
      <c r="Q18064" s="559"/>
      <c r="R18064" s="559">
        <v>10</v>
      </c>
    </row>
    <row r="18065" spans="1:18" ht="84">
      <c r="A18065" s="555">
        <v>500</v>
      </c>
      <c r="B18065" s="552" t="s">
        <v>32584</v>
      </c>
      <c r="C18065" s="556" t="s">
        <v>32585</v>
      </c>
      <c r="D18065" s="557">
        <v>194.53</v>
      </c>
      <c r="E18065" s="557">
        <v>96.52</v>
      </c>
      <c r="F18065" s="557">
        <v>96.08</v>
      </c>
      <c r="G18065" s="557">
        <v>1.93</v>
      </c>
      <c r="H18065" s="558">
        <v>1638.82</v>
      </c>
      <c r="I18065" s="558">
        <v>1109.98</v>
      </c>
      <c r="J18065" s="558">
        <v>506.64</v>
      </c>
      <c r="K18065" s="558">
        <v>22.2</v>
      </c>
      <c r="L18065" s="43">
        <v>8.4245103582994911</v>
      </c>
      <c r="M18065" s="43">
        <v>11.5</v>
      </c>
      <c r="N18065" s="43">
        <v>5.2731057452123231</v>
      </c>
      <c r="O18065" s="43">
        <v>11.503164556962025</v>
      </c>
      <c r="P18065" s="559"/>
      <c r="Q18065" s="559"/>
      <c r="R18065" s="559">
        <v>10</v>
      </c>
    </row>
    <row r="18066" spans="1:18" ht="84">
      <c r="A18066" s="555">
        <v>501</v>
      </c>
      <c r="B18066" s="552" t="s">
        <v>32586</v>
      </c>
      <c r="C18066" s="556" t="s">
        <v>32587</v>
      </c>
      <c r="D18066" s="557">
        <v>224.17</v>
      </c>
      <c r="E18066" s="557">
        <v>111.45</v>
      </c>
      <c r="F18066" s="557">
        <v>110.49</v>
      </c>
      <c r="G18066" s="557">
        <v>2.23</v>
      </c>
      <c r="H18066" s="558">
        <v>1890.05</v>
      </c>
      <c r="I18066" s="558">
        <v>1281.76</v>
      </c>
      <c r="J18066" s="558">
        <v>582.64</v>
      </c>
      <c r="K18066" s="558">
        <v>25.65</v>
      </c>
      <c r="L18066" s="43">
        <v>8.431324441272249</v>
      </c>
      <c r="M18066" s="43">
        <v>11.500762673844774</v>
      </c>
      <c r="N18066" s="43">
        <v>5.273237397049507</v>
      </c>
      <c r="O18066" s="43">
        <v>11.503164556962025</v>
      </c>
      <c r="P18066" s="559"/>
      <c r="Q18066" s="559"/>
      <c r="R18066" s="559">
        <v>10</v>
      </c>
    </row>
    <row r="18067" spans="1:18" ht="84">
      <c r="A18067" s="555">
        <v>502</v>
      </c>
      <c r="B18067" s="552" t="s">
        <v>32588</v>
      </c>
      <c r="C18067" s="556" t="s">
        <v>32589</v>
      </c>
      <c r="D18067" s="557">
        <v>253.82</v>
      </c>
      <c r="E18067" s="557">
        <v>126.39</v>
      </c>
      <c r="F18067" s="557">
        <v>124.9</v>
      </c>
      <c r="G18067" s="557">
        <v>2.5299999999999998</v>
      </c>
      <c r="H18067" s="558">
        <v>2141.27</v>
      </c>
      <c r="I18067" s="558">
        <v>1453.54</v>
      </c>
      <c r="J18067" s="558">
        <v>658.63</v>
      </c>
      <c r="K18067" s="558">
        <v>29.1</v>
      </c>
      <c r="L18067" s="43">
        <v>8.4361752422976917</v>
      </c>
      <c r="M18067" s="43">
        <v>11.500435161009573</v>
      </c>
      <c r="N18067" s="43">
        <v>5.2732586068855083</v>
      </c>
      <c r="O18067" s="43">
        <v>11.503164556962025</v>
      </c>
      <c r="P18067" s="559"/>
      <c r="Q18067" s="559"/>
      <c r="R18067" s="559">
        <v>10</v>
      </c>
    </row>
    <row r="18068" spans="1:18" ht="84">
      <c r="A18068" s="555">
        <v>503</v>
      </c>
      <c r="B18068" s="552" t="s">
        <v>32590</v>
      </c>
      <c r="C18068" s="556" t="s">
        <v>32591</v>
      </c>
      <c r="D18068" s="557">
        <v>282.3</v>
      </c>
      <c r="E18068" s="557">
        <v>140.18</v>
      </c>
      <c r="F18068" s="557">
        <v>139.32</v>
      </c>
      <c r="G18068" s="557">
        <v>2.8</v>
      </c>
      <c r="H18068" s="558">
        <v>2378.94</v>
      </c>
      <c r="I18068" s="558">
        <v>1612.11</v>
      </c>
      <c r="J18068" s="558">
        <v>734.63</v>
      </c>
      <c r="K18068" s="558">
        <v>32.200000000000003</v>
      </c>
      <c r="L18068" s="43">
        <v>8.426992561105207</v>
      </c>
      <c r="M18068" s="43">
        <v>11.500285347410472</v>
      </c>
      <c r="N18068" s="43">
        <v>5.272968705139248</v>
      </c>
      <c r="O18068" s="43">
        <v>11.503164556962025</v>
      </c>
      <c r="P18068" s="559"/>
      <c r="Q18068" s="559"/>
      <c r="R18068" s="559">
        <v>10</v>
      </c>
    </row>
    <row r="18069" spans="1:18" ht="84">
      <c r="A18069" s="555">
        <v>504</v>
      </c>
      <c r="B18069" s="552" t="s">
        <v>32592</v>
      </c>
      <c r="C18069" s="556" t="s">
        <v>32593</v>
      </c>
      <c r="D18069" s="557">
        <v>92.04</v>
      </c>
      <c r="E18069" s="557">
        <v>45.96</v>
      </c>
      <c r="F18069" s="557">
        <v>45.16</v>
      </c>
      <c r="G18069" s="557">
        <v>0.92</v>
      </c>
      <c r="H18069" s="558">
        <v>777.26</v>
      </c>
      <c r="I18069" s="558">
        <v>528.55999999999995</v>
      </c>
      <c r="J18069" s="558">
        <v>238.12</v>
      </c>
      <c r="K18069" s="558">
        <v>10.58</v>
      </c>
      <c r="L18069" s="43">
        <v>8.4448066058235547</v>
      </c>
      <c r="M18069" s="43">
        <v>11.500435161009571</v>
      </c>
      <c r="N18069" s="43">
        <v>5.2728077945084149</v>
      </c>
      <c r="O18069" s="43">
        <v>11.503164556962025</v>
      </c>
      <c r="P18069" s="559"/>
      <c r="Q18069" s="559"/>
      <c r="R18069" s="559">
        <v>10</v>
      </c>
    </row>
    <row r="18070" spans="1:18" ht="84">
      <c r="A18070" s="555">
        <v>505</v>
      </c>
      <c r="B18070" s="552" t="s">
        <v>32594</v>
      </c>
      <c r="C18070" s="556" t="s">
        <v>32595</v>
      </c>
      <c r="D18070" s="557">
        <v>122.65</v>
      </c>
      <c r="E18070" s="557">
        <v>60.9</v>
      </c>
      <c r="F18070" s="557">
        <v>60.53</v>
      </c>
      <c r="G18070" s="557">
        <v>1.22</v>
      </c>
      <c r="H18070" s="558">
        <v>1033.55</v>
      </c>
      <c r="I18070" s="558">
        <v>700.34</v>
      </c>
      <c r="J18070" s="558">
        <v>319.18</v>
      </c>
      <c r="K18070" s="558">
        <v>14.03</v>
      </c>
      <c r="L18070" s="43">
        <v>8.4268242967794524</v>
      </c>
      <c r="M18070" s="43">
        <v>11.499835796387522</v>
      </c>
      <c r="N18070" s="43">
        <v>5.2730877250949941</v>
      </c>
      <c r="O18070" s="43">
        <v>11.503164556962025</v>
      </c>
      <c r="P18070" s="559"/>
      <c r="Q18070" s="559"/>
      <c r="R18070" s="559">
        <v>10</v>
      </c>
    </row>
    <row r="18071" spans="1:18" ht="84">
      <c r="A18071" s="555">
        <v>506</v>
      </c>
      <c r="B18071" s="552" t="s">
        <v>32596</v>
      </c>
      <c r="C18071" s="556" t="s">
        <v>32597</v>
      </c>
      <c r="D18071" s="557">
        <v>164.88</v>
      </c>
      <c r="E18071" s="557">
        <v>81.58</v>
      </c>
      <c r="F18071" s="557">
        <v>81.67</v>
      </c>
      <c r="G18071" s="557">
        <v>1.63</v>
      </c>
      <c r="H18071" s="558">
        <v>1387.58</v>
      </c>
      <c r="I18071" s="558">
        <v>938.19</v>
      </c>
      <c r="J18071" s="558">
        <v>430.64</v>
      </c>
      <c r="K18071" s="558">
        <v>18.75</v>
      </c>
      <c r="L18071" s="43">
        <v>8.4156962639495383</v>
      </c>
      <c r="M18071" s="43">
        <v>11.500245158126992</v>
      </c>
      <c r="N18071" s="43">
        <v>5.2729276356067096</v>
      </c>
      <c r="O18071" s="43">
        <v>11.503164556962025</v>
      </c>
      <c r="P18071" s="559"/>
      <c r="Q18071" s="559"/>
      <c r="R18071" s="559">
        <v>10</v>
      </c>
    </row>
    <row r="18072" spans="1:18" ht="84">
      <c r="A18072" s="555">
        <v>507</v>
      </c>
      <c r="B18072" s="552" t="s">
        <v>32598</v>
      </c>
      <c r="C18072" s="556" t="s">
        <v>32599</v>
      </c>
      <c r="D18072" s="557">
        <v>192.4</v>
      </c>
      <c r="E18072" s="557">
        <v>95.37</v>
      </c>
      <c r="F18072" s="557">
        <v>95.12</v>
      </c>
      <c r="G18072" s="557">
        <v>1.91</v>
      </c>
      <c r="H18072" s="558">
        <v>1620.3</v>
      </c>
      <c r="I18072" s="558">
        <v>1096.76</v>
      </c>
      <c r="J18072" s="558">
        <v>501.57</v>
      </c>
      <c r="K18072" s="558">
        <v>21.97</v>
      </c>
      <c r="L18072" s="43">
        <v>8.4215176715176714</v>
      </c>
      <c r="M18072" s="43">
        <v>11.500052427388066</v>
      </c>
      <c r="N18072" s="43">
        <v>5.2730235492010094</v>
      </c>
      <c r="O18072" s="43">
        <v>11.503164556962025</v>
      </c>
      <c r="P18072" s="559"/>
      <c r="Q18072" s="559"/>
      <c r="R18072" s="559">
        <v>10</v>
      </c>
    </row>
    <row r="18073" spans="1:18" ht="84">
      <c r="A18073" s="555">
        <v>508</v>
      </c>
      <c r="B18073" s="552" t="s">
        <v>32600</v>
      </c>
      <c r="C18073" s="556" t="s">
        <v>32601</v>
      </c>
      <c r="D18073" s="557">
        <v>224.17</v>
      </c>
      <c r="E18073" s="557">
        <v>111.45</v>
      </c>
      <c r="F18073" s="557">
        <v>110.49</v>
      </c>
      <c r="G18073" s="557">
        <v>2.23</v>
      </c>
      <c r="H18073" s="558">
        <v>1890.05</v>
      </c>
      <c r="I18073" s="558">
        <v>1281.76</v>
      </c>
      <c r="J18073" s="558">
        <v>582.64</v>
      </c>
      <c r="K18073" s="558">
        <v>25.65</v>
      </c>
      <c r="L18073" s="43">
        <v>8.431324441272249</v>
      </c>
      <c r="M18073" s="43">
        <v>11.500762673844774</v>
      </c>
      <c r="N18073" s="43">
        <v>5.273237397049507</v>
      </c>
      <c r="O18073" s="43">
        <v>11.503164556962025</v>
      </c>
      <c r="P18073" s="559"/>
      <c r="Q18073" s="559"/>
      <c r="R18073" s="559">
        <v>10</v>
      </c>
    </row>
    <row r="18074" spans="1:18" ht="84">
      <c r="A18074" s="555">
        <v>509</v>
      </c>
      <c r="B18074" s="552" t="s">
        <v>32602</v>
      </c>
      <c r="C18074" s="556" t="s">
        <v>32603</v>
      </c>
      <c r="D18074" s="557">
        <v>253.82</v>
      </c>
      <c r="E18074" s="557">
        <v>126.39</v>
      </c>
      <c r="F18074" s="557">
        <v>124.9</v>
      </c>
      <c r="G18074" s="557">
        <v>2.5299999999999998</v>
      </c>
      <c r="H18074" s="558">
        <v>2141.27</v>
      </c>
      <c r="I18074" s="558">
        <v>1453.54</v>
      </c>
      <c r="J18074" s="558">
        <v>658.63</v>
      </c>
      <c r="K18074" s="558">
        <v>29.1</v>
      </c>
      <c r="L18074" s="43">
        <v>8.4361752422976917</v>
      </c>
      <c r="M18074" s="43">
        <v>11.500435161009573</v>
      </c>
      <c r="N18074" s="43">
        <v>5.2732586068855083</v>
      </c>
      <c r="O18074" s="43">
        <v>11.503164556962025</v>
      </c>
      <c r="P18074" s="559"/>
      <c r="Q18074" s="559"/>
      <c r="R18074" s="559">
        <v>10</v>
      </c>
    </row>
    <row r="18075" spans="1:18" ht="84">
      <c r="A18075" s="555">
        <v>510</v>
      </c>
      <c r="B18075" s="552" t="s">
        <v>32604</v>
      </c>
      <c r="C18075" s="556" t="s">
        <v>32605</v>
      </c>
      <c r="D18075" s="557">
        <v>296.48</v>
      </c>
      <c r="E18075" s="557">
        <v>149.37</v>
      </c>
      <c r="F18075" s="557">
        <v>144.12</v>
      </c>
      <c r="G18075" s="557">
        <v>2.99</v>
      </c>
      <c r="H18075" s="558">
        <v>2512.17</v>
      </c>
      <c r="I18075" s="558">
        <v>1717.82</v>
      </c>
      <c r="J18075" s="558">
        <v>759.96</v>
      </c>
      <c r="K18075" s="558">
        <v>34.39</v>
      </c>
      <c r="L18075" s="43">
        <v>8.47332029141932</v>
      </c>
      <c r="M18075" s="43">
        <v>11.500435161009573</v>
      </c>
      <c r="N18075" s="43">
        <v>5.2731057452123231</v>
      </c>
      <c r="O18075" s="43">
        <v>11.503164556962025</v>
      </c>
      <c r="P18075" s="559"/>
      <c r="Q18075" s="559"/>
      <c r="R18075" s="559">
        <v>10</v>
      </c>
    </row>
    <row r="18076" spans="1:18" ht="84">
      <c r="A18076" s="555">
        <v>511</v>
      </c>
      <c r="B18076" s="552" t="s">
        <v>32606</v>
      </c>
      <c r="C18076" s="556" t="s">
        <v>32607</v>
      </c>
      <c r="D18076" s="557">
        <v>370.07</v>
      </c>
      <c r="E18076" s="557">
        <v>183.84</v>
      </c>
      <c r="F18076" s="557">
        <v>182.55</v>
      </c>
      <c r="G18076" s="557">
        <v>3.68</v>
      </c>
      <c r="H18076" s="558">
        <v>3119.18</v>
      </c>
      <c r="I18076" s="558">
        <v>2114.2399999999998</v>
      </c>
      <c r="J18076" s="558">
        <v>962.62</v>
      </c>
      <c r="K18076" s="558">
        <v>42.32</v>
      </c>
      <c r="L18076" s="43">
        <v>8.4286216121274347</v>
      </c>
      <c r="M18076" s="43">
        <v>11.500435161009571</v>
      </c>
      <c r="N18076" s="43">
        <v>5.2731854286496844</v>
      </c>
      <c r="O18076" s="43">
        <v>11.503164556962025</v>
      </c>
      <c r="P18076" s="559"/>
      <c r="Q18076" s="559"/>
      <c r="R18076" s="559">
        <v>10</v>
      </c>
    </row>
    <row r="18077" spans="1:18" ht="84">
      <c r="A18077" s="555">
        <v>512</v>
      </c>
      <c r="B18077" s="552" t="s">
        <v>32608</v>
      </c>
      <c r="C18077" s="556" t="s">
        <v>32609</v>
      </c>
      <c r="D18077" s="557">
        <v>111.02</v>
      </c>
      <c r="E18077" s="557">
        <v>55.15</v>
      </c>
      <c r="F18077" s="557">
        <v>54.77</v>
      </c>
      <c r="G18077" s="557">
        <v>1.1000000000000001</v>
      </c>
      <c r="H18077" s="558">
        <v>935.7</v>
      </c>
      <c r="I18077" s="558">
        <v>634.27</v>
      </c>
      <c r="J18077" s="558">
        <v>288.77999999999997</v>
      </c>
      <c r="K18077" s="558">
        <v>12.65</v>
      </c>
      <c r="L18077" s="43">
        <v>8.4282111331291674</v>
      </c>
      <c r="M18077" s="43">
        <v>11.50081595648232</v>
      </c>
      <c r="N18077" s="43">
        <v>5.2725944860324985</v>
      </c>
      <c r="O18077" s="43">
        <v>11.503164556962025</v>
      </c>
      <c r="P18077" s="559"/>
      <c r="Q18077" s="559"/>
      <c r="R18077" s="559">
        <v>10</v>
      </c>
    </row>
    <row r="18078" spans="1:18" ht="84">
      <c r="A18078" s="555">
        <v>513</v>
      </c>
      <c r="B18078" s="552" t="s">
        <v>32610</v>
      </c>
      <c r="C18078" s="556" t="s">
        <v>32611</v>
      </c>
      <c r="D18078" s="557">
        <v>148.03</v>
      </c>
      <c r="E18078" s="557">
        <v>73.540000000000006</v>
      </c>
      <c r="F18078" s="557">
        <v>73.02</v>
      </c>
      <c r="G18078" s="557">
        <v>1.47</v>
      </c>
      <c r="H18078" s="558">
        <v>1247.6600000000001</v>
      </c>
      <c r="I18078" s="558">
        <v>845.7</v>
      </c>
      <c r="J18078" s="558">
        <v>385.05</v>
      </c>
      <c r="K18078" s="558">
        <v>16.91</v>
      </c>
      <c r="L18078" s="43">
        <v>8.4284266702695412</v>
      </c>
      <c r="M18078" s="43">
        <v>11.49986401958118</v>
      </c>
      <c r="N18078" s="43">
        <v>5.2732128184059164</v>
      </c>
      <c r="O18078" s="43">
        <v>11.503164556962025</v>
      </c>
      <c r="P18078" s="559"/>
      <c r="Q18078" s="559"/>
      <c r="R18078" s="559">
        <v>10</v>
      </c>
    </row>
    <row r="18079" spans="1:18" ht="84">
      <c r="A18079" s="555">
        <v>514</v>
      </c>
      <c r="B18079" s="552" t="s">
        <v>32612</v>
      </c>
      <c r="C18079" s="556" t="s">
        <v>32613</v>
      </c>
      <c r="D18079" s="557">
        <v>189.3</v>
      </c>
      <c r="E18079" s="557">
        <v>94.22</v>
      </c>
      <c r="F18079" s="557">
        <v>93.2</v>
      </c>
      <c r="G18079" s="557">
        <v>1.88</v>
      </c>
      <c r="H18079" s="558">
        <v>1596.61</v>
      </c>
      <c r="I18079" s="558">
        <v>1083.55</v>
      </c>
      <c r="J18079" s="558">
        <v>491.44</v>
      </c>
      <c r="K18079" s="558">
        <v>21.62</v>
      </c>
      <c r="L18079" s="43">
        <v>8.4342842049656621</v>
      </c>
      <c r="M18079" s="43">
        <v>11.500212269157291</v>
      </c>
      <c r="N18079" s="43">
        <v>5.272961373390558</v>
      </c>
      <c r="O18079" s="43">
        <v>11.503164556962025</v>
      </c>
      <c r="P18079" s="559"/>
      <c r="Q18079" s="559"/>
      <c r="R18079" s="559">
        <v>10</v>
      </c>
    </row>
    <row r="18080" spans="1:18" ht="84">
      <c r="A18080" s="555">
        <v>515</v>
      </c>
      <c r="B18080" s="552" t="s">
        <v>32614</v>
      </c>
      <c r="C18080" s="556" t="s">
        <v>32615</v>
      </c>
      <c r="D18080" s="557">
        <v>233.67</v>
      </c>
      <c r="E18080" s="557">
        <v>116.05</v>
      </c>
      <c r="F18080" s="557">
        <v>115.3</v>
      </c>
      <c r="G18080" s="557">
        <v>2.3199999999999998</v>
      </c>
      <c r="H18080" s="558">
        <v>1969.26</v>
      </c>
      <c r="I18080" s="558">
        <v>1334.61</v>
      </c>
      <c r="J18080" s="558">
        <v>607.97</v>
      </c>
      <c r="K18080" s="558">
        <v>26.68</v>
      </c>
      <c r="L18080" s="43">
        <v>8.4275259982025936</v>
      </c>
      <c r="M18080" s="43">
        <v>11.500301594140456</v>
      </c>
      <c r="N18080" s="43">
        <v>5.2729401561144842</v>
      </c>
      <c r="O18080" s="43">
        <v>11.503164556962025</v>
      </c>
      <c r="P18080" s="559"/>
      <c r="Q18080" s="559"/>
      <c r="R18080" s="559">
        <v>10</v>
      </c>
    </row>
    <row r="18081" spans="1:18" ht="84">
      <c r="A18081" s="555">
        <v>516</v>
      </c>
      <c r="B18081" s="552" t="s">
        <v>32616</v>
      </c>
      <c r="C18081" s="556" t="s">
        <v>32617</v>
      </c>
      <c r="D18081" s="557">
        <v>262.14999999999998</v>
      </c>
      <c r="E18081" s="557">
        <v>129.84</v>
      </c>
      <c r="F18081" s="557">
        <v>129.71</v>
      </c>
      <c r="G18081" s="557">
        <v>2.6</v>
      </c>
      <c r="H18081" s="558">
        <v>2207.04</v>
      </c>
      <c r="I18081" s="558">
        <v>1493.18</v>
      </c>
      <c r="J18081" s="558">
        <v>683.96</v>
      </c>
      <c r="K18081" s="558">
        <v>29.9</v>
      </c>
      <c r="L18081" s="43">
        <v>8.4189967575815388</v>
      </c>
      <c r="M18081" s="43">
        <v>11.500154035736291</v>
      </c>
      <c r="N18081" s="43">
        <v>5.2729936011101692</v>
      </c>
      <c r="O18081" s="43">
        <v>11.503164556962025</v>
      </c>
      <c r="P18081" s="559"/>
      <c r="Q18081" s="559"/>
      <c r="R18081" s="559">
        <v>10</v>
      </c>
    </row>
    <row r="18082" spans="1:18" ht="84">
      <c r="A18082" s="555">
        <v>517</v>
      </c>
      <c r="B18082" s="552" t="s">
        <v>32618</v>
      </c>
      <c r="C18082" s="556" t="s">
        <v>32619</v>
      </c>
      <c r="D18082" s="557">
        <v>301.27999999999997</v>
      </c>
      <c r="E18082" s="557">
        <v>149.37</v>
      </c>
      <c r="F18082" s="557">
        <v>148.91999999999999</v>
      </c>
      <c r="G18082" s="557">
        <v>2.99</v>
      </c>
      <c r="H18082" s="558">
        <v>2537.5</v>
      </c>
      <c r="I18082" s="558">
        <v>1717.82</v>
      </c>
      <c r="J18082" s="558">
        <v>785.29</v>
      </c>
      <c r="K18082" s="558">
        <v>34.39</v>
      </c>
      <c r="L18082" s="43">
        <v>8.4223977695167296</v>
      </c>
      <c r="M18082" s="43">
        <v>11.500435161009573</v>
      </c>
      <c r="N18082" s="43">
        <v>5.2732339511146931</v>
      </c>
      <c r="O18082" s="43">
        <v>11.503164556962025</v>
      </c>
      <c r="P18082" s="559"/>
      <c r="Q18082" s="559"/>
      <c r="R18082" s="559">
        <v>10</v>
      </c>
    </row>
    <row r="18083" spans="1:18" ht="84">
      <c r="A18083" s="555">
        <v>518</v>
      </c>
      <c r="B18083" s="552" t="s">
        <v>32620</v>
      </c>
      <c r="C18083" s="556" t="s">
        <v>32621</v>
      </c>
      <c r="D18083" s="557">
        <v>340.42</v>
      </c>
      <c r="E18083" s="557">
        <v>168.9</v>
      </c>
      <c r="F18083" s="557">
        <v>168.14</v>
      </c>
      <c r="G18083" s="557">
        <v>3.38</v>
      </c>
      <c r="H18083" s="558">
        <v>2867.95</v>
      </c>
      <c r="I18083" s="558">
        <v>1942.46</v>
      </c>
      <c r="J18083" s="558">
        <v>886.62</v>
      </c>
      <c r="K18083" s="558">
        <v>38.869999999999997</v>
      </c>
      <c r="L18083" s="43">
        <v>8.4247400270254378</v>
      </c>
      <c r="M18083" s="43">
        <v>11.500651272942569</v>
      </c>
      <c r="N18083" s="43">
        <v>5.2731057452123231</v>
      </c>
      <c r="O18083" s="43">
        <v>11.503164556962025</v>
      </c>
      <c r="P18083" s="559"/>
      <c r="Q18083" s="559"/>
      <c r="R18083" s="559">
        <v>10</v>
      </c>
    </row>
    <row r="18084" spans="1:18" ht="84">
      <c r="A18084" s="555">
        <v>519</v>
      </c>
      <c r="B18084" s="552" t="s">
        <v>32622</v>
      </c>
      <c r="C18084" s="556" t="s">
        <v>32623</v>
      </c>
      <c r="D18084" s="557">
        <v>391.4</v>
      </c>
      <c r="E18084" s="557">
        <v>195.33</v>
      </c>
      <c r="F18084" s="557">
        <v>192.16</v>
      </c>
      <c r="G18084" s="557">
        <v>3.91</v>
      </c>
      <c r="H18084" s="558">
        <v>3304.63</v>
      </c>
      <c r="I18084" s="558">
        <v>2246.38</v>
      </c>
      <c r="J18084" s="558">
        <v>1013.28</v>
      </c>
      <c r="K18084" s="558">
        <v>44.97</v>
      </c>
      <c r="L18084" s="43">
        <v>8.4431016862544723</v>
      </c>
      <c r="M18084" s="43">
        <v>11.500435161009573</v>
      </c>
      <c r="N18084" s="43">
        <v>5.2731057452123231</v>
      </c>
      <c r="O18084" s="43">
        <v>11.503164556962025</v>
      </c>
      <c r="P18084" s="559"/>
      <c r="Q18084" s="559"/>
      <c r="R18084" s="559">
        <v>10</v>
      </c>
    </row>
    <row r="18085" spans="1:18" ht="84">
      <c r="A18085" s="555">
        <v>520</v>
      </c>
      <c r="B18085" s="552" t="s">
        <v>32624</v>
      </c>
      <c r="C18085" s="556" t="s">
        <v>32625</v>
      </c>
      <c r="D18085" s="557">
        <v>124.78</v>
      </c>
      <c r="E18085" s="557">
        <v>62.05</v>
      </c>
      <c r="F18085" s="557">
        <v>61.49</v>
      </c>
      <c r="G18085" s="557">
        <v>1.24</v>
      </c>
      <c r="H18085" s="558">
        <v>1052.07</v>
      </c>
      <c r="I18085" s="558">
        <v>713.56</v>
      </c>
      <c r="J18085" s="558">
        <v>324.25</v>
      </c>
      <c r="K18085" s="558">
        <v>14.26</v>
      </c>
      <c r="L18085" s="43">
        <v>8.4313992627023548</v>
      </c>
      <c r="M18085" s="43">
        <v>11.499758259468171</v>
      </c>
      <c r="N18085" s="43">
        <v>5.2732151569360868</v>
      </c>
      <c r="O18085" s="43">
        <v>11.503164556962025</v>
      </c>
      <c r="P18085" s="559"/>
      <c r="Q18085" s="559"/>
      <c r="R18085" s="559">
        <v>10</v>
      </c>
    </row>
    <row r="18086" spans="1:18" ht="84">
      <c r="A18086" s="555">
        <v>521</v>
      </c>
      <c r="B18086" s="552" t="s">
        <v>32626</v>
      </c>
      <c r="C18086" s="556" t="s">
        <v>32627</v>
      </c>
      <c r="D18086" s="557">
        <v>167.01</v>
      </c>
      <c r="E18086" s="557">
        <v>82.73</v>
      </c>
      <c r="F18086" s="557">
        <v>82.63</v>
      </c>
      <c r="G18086" s="557">
        <v>1.65</v>
      </c>
      <c r="H18086" s="558">
        <v>1406.1</v>
      </c>
      <c r="I18086" s="558">
        <v>951.41</v>
      </c>
      <c r="J18086" s="558">
        <v>435.71</v>
      </c>
      <c r="K18086" s="558">
        <v>18.98</v>
      </c>
      <c r="L18086" s="43">
        <v>8.41925633195617</v>
      </c>
      <c r="M18086" s="43">
        <v>11.500181312703976</v>
      </c>
      <c r="N18086" s="43">
        <v>5.2730243253055793</v>
      </c>
      <c r="O18086" s="43">
        <v>11.503164556962025</v>
      </c>
      <c r="P18086" s="559"/>
      <c r="Q18086" s="559"/>
      <c r="R18086" s="559">
        <v>10</v>
      </c>
    </row>
    <row r="18087" spans="1:18" ht="84">
      <c r="A18087" s="555">
        <v>522</v>
      </c>
      <c r="B18087" s="552" t="s">
        <v>32628</v>
      </c>
      <c r="C18087" s="556" t="s">
        <v>32629</v>
      </c>
      <c r="D18087" s="557">
        <v>213.51</v>
      </c>
      <c r="E18087" s="557">
        <v>105.71</v>
      </c>
      <c r="F18087" s="557">
        <v>105.69</v>
      </c>
      <c r="G18087" s="557">
        <v>2.11</v>
      </c>
      <c r="H18087" s="558">
        <v>1797.26</v>
      </c>
      <c r="I18087" s="558">
        <v>1215.69</v>
      </c>
      <c r="J18087" s="558">
        <v>557.29999999999995</v>
      </c>
      <c r="K18087" s="558">
        <v>24.27</v>
      </c>
      <c r="L18087" s="43">
        <v>8.4176853543159567</v>
      </c>
      <c r="M18087" s="43">
        <v>11.500236496074166</v>
      </c>
      <c r="N18087" s="43">
        <v>5.2729681142965275</v>
      </c>
      <c r="O18087" s="43">
        <v>11.503164556962025</v>
      </c>
      <c r="P18087" s="559"/>
      <c r="Q18087" s="559"/>
      <c r="R18087" s="559">
        <v>10</v>
      </c>
    </row>
    <row r="18088" spans="1:18" ht="84">
      <c r="A18088" s="555">
        <v>523</v>
      </c>
      <c r="B18088" s="552" t="s">
        <v>32630</v>
      </c>
      <c r="C18088" s="556" t="s">
        <v>32631</v>
      </c>
      <c r="D18088" s="557">
        <v>262.14999999999998</v>
      </c>
      <c r="E18088" s="557">
        <v>129.84</v>
      </c>
      <c r="F18088" s="557">
        <v>129.71</v>
      </c>
      <c r="G18088" s="557">
        <v>2.6</v>
      </c>
      <c r="H18088" s="558">
        <v>2207.04</v>
      </c>
      <c r="I18088" s="558">
        <v>1493.18</v>
      </c>
      <c r="J18088" s="558">
        <v>683.96</v>
      </c>
      <c r="K18088" s="558">
        <v>29.9</v>
      </c>
      <c r="L18088" s="43">
        <v>8.4189967575815388</v>
      </c>
      <c r="M18088" s="43">
        <v>11.500154035736291</v>
      </c>
      <c r="N18088" s="43">
        <v>5.2729936011101692</v>
      </c>
      <c r="O18088" s="43">
        <v>11.503164556962025</v>
      </c>
      <c r="P18088" s="559"/>
      <c r="Q18088" s="559"/>
      <c r="R18088" s="559">
        <v>10</v>
      </c>
    </row>
    <row r="18089" spans="1:18" ht="84">
      <c r="A18089" s="555">
        <v>524</v>
      </c>
      <c r="B18089" s="552" t="s">
        <v>32632</v>
      </c>
      <c r="C18089" s="556" t="s">
        <v>32633</v>
      </c>
      <c r="D18089" s="557">
        <v>301.27999999999997</v>
      </c>
      <c r="E18089" s="557">
        <v>149.37</v>
      </c>
      <c r="F18089" s="557">
        <v>148.91999999999999</v>
      </c>
      <c r="G18089" s="557">
        <v>2.99</v>
      </c>
      <c r="H18089" s="558">
        <v>2537.5</v>
      </c>
      <c r="I18089" s="558">
        <v>1717.82</v>
      </c>
      <c r="J18089" s="558">
        <v>785.29</v>
      </c>
      <c r="K18089" s="558">
        <v>34.39</v>
      </c>
      <c r="L18089" s="43">
        <v>8.4223977695167296</v>
      </c>
      <c r="M18089" s="43">
        <v>11.500435161009573</v>
      </c>
      <c r="N18089" s="43">
        <v>5.2732339511146931</v>
      </c>
      <c r="O18089" s="43">
        <v>11.503164556962025</v>
      </c>
      <c r="P18089" s="559"/>
      <c r="Q18089" s="559"/>
      <c r="R18089" s="559">
        <v>10</v>
      </c>
    </row>
    <row r="18090" spans="1:18" ht="84">
      <c r="A18090" s="555">
        <v>525</v>
      </c>
      <c r="B18090" s="552" t="s">
        <v>32634</v>
      </c>
      <c r="C18090" s="556" t="s">
        <v>32635</v>
      </c>
      <c r="D18090" s="557">
        <v>340.42</v>
      </c>
      <c r="E18090" s="557">
        <v>168.9</v>
      </c>
      <c r="F18090" s="557">
        <v>168.14</v>
      </c>
      <c r="G18090" s="557">
        <v>3.38</v>
      </c>
      <c r="H18090" s="558">
        <v>2867.95</v>
      </c>
      <c r="I18090" s="558">
        <v>1942.46</v>
      </c>
      <c r="J18090" s="558">
        <v>886.62</v>
      </c>
      <c r="K18090" s="558">
        <v>38.869999999999997</v>
      </c>
      <c r="L18090" s="43">
        <v>8.4247400270254378</v>
      </c>
      <c r="M18090" s="43">
        <v>11.500651272942569</v>
      </c>
      <c r="N18090" s="43">
        <v>5.2731057452123231</v>
      </c>
      <c r="O18090" s="43">
        <v>11.503164556962025</v>
      </c>
      <c r="P18090" s="559"/>
      <c r="Q18090" s="559"/>
      <c r="R18090" s="559">
        <v>10</v>
      </c>
    </row>
    <row r="18091" spans="1:18" ht="84">
      <c r="A18091" s="555">
        <v>526</v>
      </c>
      <c r="B18091" s="552" t="s">
        <v>32636</v>
      </c>
      <c r="C18091" s="556" t="s">
        <v>32637</v>
      </c>
      <c r="D18091" s="557">
        <v>391.4</v>
      </c>
      <c r="E18091" s="557">
        <v>195.33</v>
      </c>
      <c r="F18091" s="557">
        <v>192.16</v>
      </c>
      <c r="G18091" s="557">
        <v>3.91</v>
      </c>
      <c r="H18091" s="558">
        <v>3304.63</v>
      </c>
      <c r="I18091" s="558">
        <v>2246.38</v>
      </c>
      <c r="J18091" s="558">
        <v>1013.28</v>
      </c>
      <c r="K18091" s="558">
        <v>44.97</v>
      </c>
      <c r="L18091" s="43">
        <v>8.4431016862544723</v>
      </c>
      <c r="M18091" s="43">
        <v>11.500435161009573</v>
      </c>
      <c r="N18091" s="43">
        <v>5.2731057452123231</v>
      </c>
      <c r="O18091" s="43">
        <v>11.503164556962025</v>
      </c>
      <c r="P18091" s="559"/>
      <c r="Q18091" s="559"/>
      <c r="R18091" s="559">
        <v>10</v>
      </c>
    </row>
    <row r="18092" spans="1:18" ht="84">
      <c r="A18092" s="555">
        <v>527</v>
      </c>
      <c r="B18092" s="552" t="s">
        <v>32638</v>
      </c>
      <c r="C18092" s="556" t="s">
        <v>32639</v>
      </c>
      <c r="D18092" s="557">
        <v>155.38</v>
      </c>
      <c r="E18092" s="557">
        <v>76.98</v>
      </c>
      <c r="F18092" s="557">
        <v>76.86</v>
      </c>
      <c r="G18092" s="557">
        <v>1.54</v>
      </c>
      <c r="H18092" s="558">
        <v>1308.3599999999999</v>
      </c>
      <c r="I18092" s="558">
        <v>885.34</v>
      </c>
      <c r="J18092" s="558">
        <v>405.31</v>
      </c>
      <c r="K18092" s="558">
        <v>17.71</v>
      </c>
      <c r="L18092" s="43">
        <v>8.4203887244175561</v>
      </c>
      <c r="M18092" s="43">
        <v>11.500909327097947</v>
      </c>
      <c r="N18092" s="43">
        <v>5.273354150403331</v>
      </c>
      <c r="O18092" s="43">
        <v>11.503164556962025</v>
      </c>
      <c r="P18092" s="559"/>
      <c r="Q18092" s="559"/>
      <c r="R18092" s="559">
        <v>10</v>
      </c>
    </row>
    <row r="18093" spans="1:18" ht="84">
      <c r="A18093" s="555">
        <v>528</v>
      </c>
      <c r="B18093" s="552" t="s">
        <v>32640</v>
      </c>
      <c r="C18093" s="556" t="s">
        <v>32641</v>
      </c>
      <c r="D18093" s="557">
        <v>204.01</v>
      </c>
      <c r="E18093" s="557">
        <v>101.11</v>
      </c>
      <c r="F18093" s="557">
        <v>100.88</v>
      </c>
      <c r="G18093" s="557">
        <v>2.02</v>
      </c>
      <c r="H18093" s="558">
        <v>1718.03</v>
      </c>
      <c r="I18093" s="558">
        <v>1162.83</v>
      </c>
      <c r="J18093" s="558">
        <v>531.97</v>
      </c>
      <c r="K18093" s="558">
        <v>23.23</v>
      </c>
      <c r="L18093" s="43">
        <v>8.4213028773099357</v>
      </c>
      <c r="M18093" s="43">
        <v>11.500642864207299</v>
      </c>
      <c r="N18093" s="43">
        <v>5.2732950039651074</v>
      </c>
      <c r="O18093" s="43">
        <v>11.503164556962025</v>
      </c>
      <c r="P18093" s="559"/>
      <c r="Q18093" s="559"/>
      <c r="R18093" s="559">
        <v>10</v>
      </c>
    </row>
    <row r="18094" spans="1:18" ht="84">
      <c r="A18094" s="555">
        <v>529</v>
      </c>
      <c r="B18094" s="552" t="s">
        <v>32642</v>
      </c>
      <c r="C18094" s="556" t="s">
        <v>32643</v>
      </c>
      <c r="D18094" s="557">
        <v>272.8</v>
      </c>
      <c r="E18094" s="557">
        <v>135.58000000000001</v>
      </c>
      <c r="F18094" s="557">
        <v>134.51</v>
      </c>
      <c r="G18094" s="557">
        <v>2.71</v>
      </c>
      <c r="H18094" s="558">
        <v>2299.7199999999998</v>
      </c>
      <c r="I18094" s="558">
        <v>1559.25</v>
      </c>
      <c r="J18094" s="558">
        <v>709.3</v>
      </c>
      <c r="K18094" s="558">
        <v>31.17</v>
      </c>
      <c r="L18094" s="43">
        <v>8.4300586510263926</v>
      </c>
      <c r="M18094" s="43">
        <v>11.500590057530609</v>
      </c>
      <c r="N18094" s="43">
        <v>5.2732138874433128</v>
      </c>
      <c r="O18094" s="43">
        <v>11.503164556962025</v>
      </c>
      <c r="P18094" s="559"/>
      <c r="Q18094" s="559"/>
      <c r="R18094" s="559">
        <v>10</v>
      </c>
    </row>
    <row r="18095" spans="1:18" ht="84">
      <c r="A18095" s="555">
        <v>530</v>
      </c>
      <c r="B18095" s="552" t="s">
        <v>32644</v>
      </c>
      <c r="C18095" s="556" t="s">
        <v>32645</v>
      </c>
      <c r="D18095" s="557">
        <v>330.94</v>
      </c>
      <c r="E18095" s="557">
        <v>164.31</v>
      </c>
      <c r="F18095" s="557">
        <v>163.34</v>
      </c>
      <c r="G18095" s="557">
        <v>3.29</v>
      </c>
      <c r="H18095" s="558">
        <v>2788.73</v>
      </c>
      <c r="I18095" s="558">
        <v>1889.6</v>
      </c>
      <c r="J18095" s="558">
        <v>861.29</v>
      </c>
      <c r="K18095" s="558">
        <v>37.840000000000003</v>
      </c>
      <c r="L18095" s="43">
        <v>8.4266936604822629</v>
      </c>
      <c r="M18095" s="43">
        <v>11.500213011989532</v>
      </c>
      <c r="N18095" s="43">
        <v>5.2729888575976487</v>
      </c>
      <c r="O18095" s="43">
        <v>11.503164556962025</v>
      </c>
      <c r="P18095" s="559"/>
      <c r="Q18095" s="559"/>
      <c r="R18095" s="559">
        <v>10</v>
      </c>
    </row>
    <row r="18096" spans="1:18" ht="84">
      <c r="A18096" s="555">
        <v>531</v>
      </c>
      <c r="B18096" s="552" t="s">
        <v>32646</v>
      </c>
      <c r="C18096" s="556" t="s">
        <v>32647</v>
      </c>
      <c r="D18096" s="557">
        <v>180.76</v>
      </c>
      <c r="E18096" s="557">
        <v>89.62</v>
      </c>
      <c r="F18096" s="557">
        <v>89.35</v>
      </c>
      <c r="G18096" s="557">
        <v>1.79</v>
      </c>
      <c r="H18096" s="558">
        <v>1522.46</v>
      </c>
      <c r="I18096" s="558">
        <v>1030.69</v>
      </c>
      <c r="J18096" s="558">
        <v>471.18</v>
      </c>
      <c r="K18096" s="558">
        <v>20.59</v>
      </c>
      <c r="L18096" s="43">
        <v>8.4225492365567618</v>
      </c>
      <c r="M18096" s="43">
        <v>11.500669493416648</v>
      </c>
      <c r="N18096" s="43">
        <v>5.2734191382204818</v>
      </c>
      <c r="O18096" s="43">
        <v>11.503164556962025</v>
      </c>
      <c r="P18096" s="559"/>
      <c r="Q18096" s="559"/>
      <c r="R18096" s="559">
        <v>10</v>
      </c>
    </row>
    <row r="18097" spans="1:18" ht="84">
      <c r="A18097" s="555">
        <v>532</v>
      </c>
      <c r="B18097" s="552" t="s">
        <v>32648</v>
      </c>
      <c r="C18097" s="556" t="s">
        <v>32649</v>
      </c>
      <c r="D18097" s="557">
        <v>243.16</v>
      </c>
      <c r="E18097" s="557">
        <v>120.65</v>
      </c>
      <c r="F18097" s="557">
        <v>120.1</v>
      </c>
      <c r="G18097" s="557">
        <v>2.41</v>
      </c>
      <c r="H18097" s="558">
        <v>2048.4899999999998</v>
      </c>
      <c r="I18097" s="558">
        <v>1387.47</v>
      </c>
      <c r="J18097" s="558">
        <v>633.29999999999995</v>
      </c>
      <c r="K18097" s="558">
        <v>27.72</v>
      </c>
      <c r="L18097" s="43">
        <v>8.4244530350386562</v>
      </c>
      <c r="M18097" s="43">
        <v>11.499958557811851</v>
      </c>
      <c r="N18097" s="43">
        <v>5.2731057452123231</v>
      </c>
      <c r="O18097" s="43">
        <v>11.503164556962025</v>
      </c>
      <c r="P18097" s="559"/>
      <c r="Q18097" s="559"/>
      <c r="R18097" s="559">
        <v>10</v>
      </c>
    </row>
    <row r="18098" spans="1:18" ht="84">
      <c r="A18098" s="555">
        <v>533</v>
      </c>
      <c r="B18098" s="552" t="s">
        <v>32650</v>
      </c>
      <c r="C18098" s="556" t="s">
        <v>32651</v>
      </c>
      <c r="D18098" s="557">
        <v>204.01</v>
      </c>
      <c r="E18098" s="557">
        <v>101.11</v>
      </c>
      <c r="F18098" s="557">
        <v>100.88</v>
      </c>
      <c r="G18098" s="557">
        <v>2.02</v>
      </c>
      <c r="H18098" s="558">
        <v>1718.03</v>
      </c>
      <c r="I18098" s="558">
        <v>1162.83</v>
      </c>
      <c r="J18098" s="558">
        <v>531.97</v>
      </c>
      <c r="K18098" s="558">
        <v>23.23</v>
      </c>
      <c r="L18098" s="43">
        <v>8.4213028773099357</v>
      </c>
      <c r="M18098" s="43">
        <v>11.500642864207299</v>
      </c>
      <c r="N18098" s="43">
        <v>5.2732950039651074</v>
      </c>
      <c r="O18098" s="43">
        <v>11.503164556962025</v>
      </c>
      <c r="P18098" s="559"/>
      <c r="Q18098" s="559"/>
      <c r="R18098" s="559">
        <v>10</v>
      </c>
    </row>
    <row r="18099" spans="1:18" ht="84">
      <c r="A18099" s="555">
        <v>534</v>
      </c>
      <c r="B18099" s="552" t="s">
        <v>32652</v>
      </c>
      <c r="C18099" s="556" t="s">
        <v>32653</v>
      </c>
      <c r="D18099" s="557">
        <v>275.14999999999998</v>
      </c>
      <c r="E18099" s="557">
        <v>137.88</v>
      </c>
      <c r="F18099" s="557">
        <v>134.51</v>
      </c>
      <c r="G18099" s="557">
        <v>2.76</v>
      </c>
      <c r="H18099" s="558">
        <v>2326.7199999999998</v>
      </c>
      <c r="I18099" s="558">
        <v>1585.68</v>
      </c>
      <c r="J18099" s="558">
        <v>709.3</v>
      </c>
      <c r="K18099" s="558">
        <v>31.74</v>
      </c>
      <c r="L18099" s="43">
        <v>8.456187534072324</v>
      </c>
      <c r="M18099" s="43">
        <v>11.500435161009575</v>
      </c>
      <c r="N18099" s="43">
        <v>5.2732138874433128</v>
      </c>
      <c r="O18099" s="43">
        <v>11.503164556962025</v>
      </c>
      <c r="P18099" s="559"/>
      <c r="Q18099" s="559"/>
      <c r="R18099" s="559">
        <v>10</v>
      </c>
    </row>
    <row r="18100" spans="1:18" ht="84">
      <c r="A18100" s="555">
        <v>535</v>
      </c>
      <c r="B18100" s="552" t="s">
        <v>32654</v>
      </c>
      <c r="C18100" s="556" t="s">
        <v>32655</v>
      </c>
      <c r="D18100" s="557">
        <v>233.67</v>
      </c>
      <c r="E18100" s="557">
        <v>116.05</v>
      </c>
      <c r="F18100" s="557">
        <v>115.3</v>
      </c>
      <c r="G18100" s="557">
        <v>2.3199999999999998</v>
      </c>
      <c r="H18100" s="558">
        <v>1969.26</v>
      </c>
      <c r="I18100" s="558">
        <v>1334.61</v>
      </c>
      <c r="J18100" s="558">
        <v>607.97</v>
      </c>
      <c r="K18100" s="558">
        <v>26.68</v>
      </c>
      <c r="L18100" s="43">
        <v>8.4275259982025936</v>
      </c>
      <c r="M18100" s="43">
        <v>11.500301594140456</v>
      </c>
      <c r="N18100" s="43">
        <v>5.2729401561144842</v>
      </c>
      <c r="O18100" s="43">
        <v>11.503164556962025</v>
      </c>
      <c r="P18100" s="559"/>
      <c r="Q18100" s="559"/>
      <c r="R18100" s="559">
        <v>10</v>
      </c>
    </row>
    <row r="18101" spans="1:18" ht="84">
      <c r="A18101" s="555">
        <v>536</v>
      </c>
      <c r="B18101" s="552" t="s">
        <v>32656</v>
      </c>
      <c r="C18101" s="556" t="s">
        <v>32657</v>
      </c>
      <c r="D18101" s="557">
        <v>310.77999999999997</v>
      </c>
      <c r="E18101" s="557">
        <v>153.97</v>
      </c>
      <c r="F18101" s="557">
        <v>153.72999999999999</v>
      </c>
      <c r="G18101" s="557">
        <v>3.08</v>
      </c>
      <c r="H18101" s="558">
        <v>2616.7199999999998</v>
      </c>
      <c r="I18101" s="558">
        <v>1770.68</v>
      </c>
      <c r="J18101" s="558">
        <v>810.62</v>
      </c>
      <c r="K18101" s="558">
        <v>35.42</v>
      </c>
      <c r="L18101" s="43">
        <v>8.4198468369907982</v>
      </c>
      <c r="M18101" s="43">
        <v>11.50016236929272</v>
      </c>
      <c r="N18101" s="43">
        <v>5.2730111233981658</v>
      </c>
      <c r="O18101" s="43">
        <v>11.503164556962025</v>
      </c>
      <c r="P18101" s="559"/>
      <c r="Q18101" s="559"/>
      <c r="R18101" s="559">
        <v>10</v>
      </c>
    </row>
    <row r="18102" spans="1:18" ht="84">
      <c r="A18102" s="555">
        <v>537</v>
      </c>
      <c r="B18102" s="552" t="s">
        <v>32658</v>
      </c>
      <c r="C18102" s="556" t="s">
        <v>32659</v>
      </c>
      <c r="D18102" s="557">
        <v>253.82</v>
      </c>
      <c r="E18102" s="557">
        <v>126.39</v>
      </c>
      <c r="F18102" s="557">
        <v>124.9</v>
      </c>
      <c r="G18102" s="557">
        <v>2.5299999999999998</v>
      </c>
      <c r="H18102" s="558">
        <v>2141.27</v>
      </c>
      <c r="I18102" s="558">
        <v>1453.54</v>
      </c>
      <c r="J18102" s="558">
        <v>658.63</v>
      </c>
      <c r="K18102" s="558">
        <v>29.1</v>
      </c>
      <c r="L18102" s="43">
        <v>8.4361752422976917</v>
      </c>
      <c r="M18102" s="43">
        <v>11.500435161009573</v>
      </c>
      <c r="N18102" s="43">
        <v>5.2732586068855083</v>
      </c>
      <c r="O18102" s="43">
        <v>11.503164556962025</v>
      </c>
      <c r="P18102" s="559"/>
      <c r="Q18102" s="559"/>
      <c r="R18102" s="559">
        <v>10</v>
      </c>
    </row>
    <row r="18103" spans="1:18" ht="84">
      <c r="A18103" s="555">
        <v>538</v>
      </c>
      <c r="B18103" s="552" t="s">
        <v>32660</v>
      </c>
      <c r="C18103" s="556" t="s">
        <v>32661</v>
      </c>
      <c r="D18103" s="557">
        <v>340.42</v>
      </c>
      <c r="E18103" s="557">
        <v>168.9</v>
      </c>
      <c r="F18103" s="557">
        <v>168.14</v>
      </c>
      <c r="G18103" s="557">
        <v>3.38</v>
      </c>
      <c r="H18103" s="558">
        <v>2867.95</v>
      </c>
      <c r="I18103" s="558">
        <v>1942.46</v>
      </c>
      <c r="J18103" s="558">
        <v>886.62</v>
      </c>
      <c r="K18103" s="558">
        <v>38.869999999999997</v>
      </c>
      <c r="L18103" s="43">
        <v>8.4247400270254378</v>
      </c>
      <c r="M18103" s="43">
        <v>11.500651272942569</v>
      </c>
      <c r="N18103" s="43">
        <v>5.2731057452123231</v>
      </c>
      <c r="O18103" s="43">
        <v>11.503164556962025</v>
      </c>
      <c r="P18103" s="559"/>
      <c r="Q18103" s="559"/>
      <c r="R18103" s="559">
        <v>10</v>
      </c>
    </row>
    <row r="18104" spans="1:18" ht="12.75" customHeight="1">
      <c r="A18104" s="628" t="s">
        <v>32662</v>
      </c>
      <c r="B18104" s="629"/>
      <c r="C18104" s="629"/>
      <c r="D18104" s="629"/>
      <c r="E18104" s="629"/>
      <c r="F18104" s="629"/>
      <c r="G18104" s="629"/>
      <c r="H18104" s="629"/>
      <c r="I18104" s="629"/>
      <c r="J18104" s="629"/>
      <c r="K18104" s="629"/>
      <c r="L18104" s="629"/>
      <c r="M18104" s="629"/>
      <c r="N18104" s="629"/>
      <c r="O18104" s="629"/>
      <c r="P18104" s="629"/>
      <c r="Q18104" s="629"/>
      <c r="R18104" s="629"/>
    </row>
    <row r="18105" spans="1:18" ht="84">
      <c r="A18105" s="555">
        <v>539</v>
      </c>
      <c r="B18105" s="552" t="s">
        <v>32663</v>
      </c>
      <c r="C18105" s="556" t="s">
        <v>32664</v>
      </c>
      <c r="D18105" s="557">
        <v>4.3899999999999997</v>
      </c>
      <c r="E18105" s="557">
        <v>2.2999999999999998</v>
      </c>
      <c r="F18105" s="557">
        <v>2.04</v>
      </c>
      <c r="G18105" s="557">
        <v>0.05</v>
      </c>
      <c r="H18105" s="558">
        <v>37.78</v>
      </c>
      <c r="I18105" s="558">
        <v>26.43</v>
      </c>
      <c r="J18105" s="558">
        <v>10.77</v>
      </c>
      <c r="K18105" s="558">
        <v>0.57999999999999996</v>
      </c>
      <c r="L18105" s="43">
        <v>8.6059225512528474</v>
      </c>
      <c r="M18105" s="43">
        <v>11.5</v>
      </c>
      <c r="N18105" s="43">
        <v>5.2794117647058822</v>
      </c>
      <c r="O18105" s="43">
        <v>11.503164556962025</v>
      </c>
      <c r="P18105" s="559"/>
      <c r="Q18105" s="559"/>
      <c r="R18105" s="559">
        <v>11</v>
      </c>
    </row>
    <row r="18106" spans="1:18" ht="84">
      <c r="A18106" s="555">
        <v>540</v>
      </c>
      <c r="B18106" s="552" t="s">
        <v>32665</v>
      </c>
      <c r="C18106" s="556" t="s">
        <v>32666</v>
      </c>
      <c r="D18106" s="557">
        <v>4.8600000000000003</v>
      </c>
      <c r="E18106" s="557">
        <v>2.41</v>
      </c>
      <c r="F18106" s="557">
        <v>2.4</v>
      </c>
      <c r="G18106" s="557">
        <v>0.05</v>
      </c>
      <c r="H18106" s="558">
        <v>41</v>
      </c>
      <c r="I18106" s="558">
        <v>27.75</v>
      </c>
      <c r="J18106" s="558">
        <v>12.67</v>
      </c>
      <c r="K18106" s="558">
        <v>0.57999999999999996</v>
      </c>
      <c r="L18106" s="43">
        <v>8.4362139917695469</v>
      </c>
      <c r="M18106" s="43">
        <v>11.504522821576799</v>
      </c>
      <c r="N18106" s="43">
        <v>5.2791666666666668</v>
      </c>
      <c r="O18106" s="43">
        <v>11.503164556962025</v>
      </c>
      <c r="P18106" s="559"/>
      <c r="Q18106" s="559"/>
      <c r="R18106" s="559">
        <v>11</v>
      </c>
    </row>
    <row r="18107" spans="1:18" ht="84">
      <c r="A18107" s="555">
        <v>541</v>
      </c>
      <c r="B18107" s="552" t="s">
        <v>32667</v>
      </c>
      <c r="C18107" s="556" t="s">
        <v>32668</v>
      </c>
      <c r="D18107" s="557">
        <v>6.88</v>
      </c>
      <c r="E18107" s="557">
        <v>3.45</v>
      </c>
      <c r="F18107" s="557">
        <v>3.36</v>
      </c>
      <c r="G18107" s="557">
        <v>7.0000000000000007E-2</v>
      </c>
      <c r="H18107" s="558">
        <v>58.18</v>
      </c>
      <c r="I18107" s="558">
        <v>39.64</v>
      </c>
      <c r="J18107" s="558">
        <v>17.73</v>
      </c>
      <c r="K18107" s="558">
        <v>0.81</v>
      </c>
      <c r="L18107" s="43">
        <v>8.4563953488372086</v>
      </c>
      <c r="M18107" s="43">
        <v>11.5</v>
      </c>
      <c r="N18107" s="43">
        <v>5.2767857142857144</v>
      </c>
      <c r="O18107" s="43">
        <v>11.503164556962025</v>
      </c>
      <c r="P18107" s="559"/>
      <c r="Q18107" s="559"/>
      <c r="R18107" s="559">
        <v>11</v>
      </c>
    </row>
    <row r="18108" spans="1:18" ht="84">
      <c r="A18108" s="555">
        <v>542</v>
      </c>
      <c r="B18108" s="552" t="s">
        <v>32669</v>
      </c>
      <c r="C18108" s="556" t="s">
        <v>32670</v>
      </c>
      <c r="D18108" s="557">
        <v>8.06</v>
      </c>
      <c r="E18108" s="557">
        <v>4.0199999999999996</v>
      </c>
      <c r="F18108" s="557">
        <v>3.96</v>
      </c>
      <c r="G18108" s="557">
        <v>0.08</v>
      </c>
      <c r="H18108" s="558">
        <v>68.069999999999993</v>
      </c>
      <c r="I18108" s="558">
        <v>46.25</v>
      </c>
      <c r="J18108" s="558">
        <v>20.9</v>
      </c>
      <c r="K18108" s="558">
        <v>0.92</v>
      </c>
      <c r="L18108" s="43">
        <v>8.4454094292803958</v>
      </c>
      <c r="M18108" s="43">
        <v>11.504975124378111</v>
      </c>
      <c r="N18108" s="43">
        <v>5.2777777777777777</v>
      </c>
      <c r="O18108" s="43">
        <v>11.503164556962025</v>
      </c>
      <c r="P18108" s="559"/>
      <c r="Q18108" s="559"/>
      <c r="R18108" s="559">
        <v>11</v>
      </c>
    </row>
    <row r="18109" spans="1:18" ht="84">
      <c r="A18109" s="555">
        <v>543</v>
      </c>
      <c r="B18109" s="552" t="s">
        <v>32671</v>
      </c>
      <c r="C18109" s="556" t="s">
        <v>32672</v>
      </c>
      <c r="D18109" s="557">
        <v>9.48</v>
      </c>
      <c r="E18109" s="557">
        <v>4.71</v>
      </c>
      <c r="F18109" s="557">
        <v>4.68</v>
      </c>
      <c r="G18109" s="557">
        <v>0.09</v>
      </c>
      <c r="H18109" s="558">
        <v>79.92</v>
      </c>
      <c r="I18109" s="558">
        <v>54.18</v>
      </c>
      <c r="J18109" s="558">
        <v>24.7</v>
      </c>
      <c r="K18109" s="558">
        <v>1.04</v>
      </c>
      <c r="L18109" s="43">
        <v>8.4303797468354436</v>
      </c>
      <c r="M18109" s="43">
        <v>11.503184713375797</v>
      </c>
      <c r="N18109" s="43">
        <v>5.2777777777777777</v>
      </c>
      <c r="O18109" s="43">
        <v>11.503164556962025</v>
      </c>
      <c r="P18109" s="559"/>
      <c r="Q18109" s="559"/>
      <c r="R18109" s="559">
        <v>11</v>
      </c>
    </row>
    <row r="18110" spans="1:18" ht="84">
      <c r="A18110" s="555">
        <v>544</v>
      </c>
      <c r="B18110" s="552" t="s">
        <v>32673</v>
      </c>
      <c r="C18110" s="556" t="s">
        <v>32674</v>
      </c>
      <c r="D18110" s="557">
        <v>11.26</v>
      </c>
      <c r="E18110" s="557">
        <v>5.75</v>
      </c>
      <c r="F18110" s="557">
        <v>5.4</v>
      </c>
      <c r="G18110" s="557">
        <v>0.11</v>
      </c>
      <c r="H18110" s="558">
        <v>95.84</v>
      </c>
      <c r="I18110" s="558">
        <v>66.069999999999993</v>
      </c>
      <c r="J18110" s="558">
        <v>28.5</v>
      </c>
      <c r="K18110" s="558">
        <v>1.27</v>
      </c>
      <c r="L18110" s="43">
        <v>8.5115452930728246</v>
      </c>
      <c r="M18110" s="43">
        <v>11.5</v>
      </c>
      <c r="N18110" s="43">
        <v>5.2777777777777777</v>
      </c>
      <c r="O18110" s="43">
        <v>11.503164556962025</v>
      </c>
      <c r="P18110" s="559"/>
      <c r="Q18110" s="559"/>
      <c r="R18110" s="559">
        <v>11</v>
      </c>
    </row>
    <row r="18111" spans="1:18" ht="84">
      <c r="A18111" s="555">
        <v>545</v>
      </c>
      <c r="B18111" s="552" t="s">
        <v>32675</v>
      </c>
      <c r="C18111" s="556" t="s">
        <v>32676</v>
      </c>
      <c r="D18111" s="557">
        <v>12.7</v>
      </c>
      <c r="E18111" s="557">
        <v>6.32</v>
      </c>
      <c r="F18111" s="557">
        <v>6.25</v>
      </c>
      <c r="G18111" s="557">
        <v>0.13</v>
      </c>
      <c r="H18111" s="558">
        <v>107.11</v>
      </c>
      <c r="I18111" s="558">
        <v>72.680000000000007</v>
      </c>
      <c r="J18111" s="558">
        <v>32.93</v>
      </c>
      <c r="K18111" s="558">
        <v>1.5</v>
      </c>
      <c r="L18111" s="43">
        <v>8.4338582677165359</v>
      </c>
      <c r="M18111" s="43">
        <v>11.5</v>
      </c>
      <c r="N18111" s="43">
        <v>5.2687999999999997</v>
      </c>
      <c r="O18111" s="43">
        <v>11.503164556962025</v>
      </c>
      <c r="P18111" s="559"/>
      <c r="Q18111" s="559"/>
      <c r="R18111" s="559">
        <v>11</v>
      </c>
    </row>
    <row r="18112" spans="1:18" ht="84">
      <c r="A18112" s="555">
        <v>546</v>
      </c>
      <c r="B18112" s="552" t="s">
        <v>32677</v>
      </c>
      <c r="C18112" s="556" t="s">
        <v>32678</v>
      </c>
      <c r="D18112" s="557">
        <v>12.22</v>
      </c>
      <c r="E18112" s="557">
        <v>6.09</v>
      </c>
      <c r="F18112" s="557">
        <v>6.01</v>
      </c>
      <c r="G18112" s="557">
        <v>0.12</v>
      </c>
      <c r="H18112" s="558">
        <v>103.08</v>
      </c>
      <c r="I18112" s="558">
        <v>70.03</v>
      </c>
      <c r="J18112" s="558">
        <v>31.67</v>
      </c>
      <c r="K18112" s="558">
        <v>1.38</v>
      </c>
      <c r="L18112" s="43">
        <v>8.4353518821603917</v>
      </c>
      <c r="M18112" s="43">
        <v>11.499178981937604</v>
      </c>
      <c r="N18112" s="43">
        <v>5.2695507487520805</v>
      </c>
      <c r="O18112" s="43">
        <v>11.503164556962025</v>
      </c>
      <c r="P18112" s="559"/>
      <c r="Q18112" s="559"/>
      <c r="R18112" s="559">
        <v>11</v>
      </c>
    </row>
    <row r="18113" spans="1:18" ht="84">
      <c r="A18113" s="555">
        <v>547</v>
      </c>
      <c r="B18113" s="552" t="s">
        <v>32679</v>
      </c>
      <c r="C18113" s="556" t="s">
        <v>32680</v>
      </c>
      <c r="D18113" s="557">
        <v>14.35</v>
      </c>
      <c r="E18113" s="557">
        <v>7.12</v>
      </c>
      <c r="F18113" s="557">
        <v>7.09</v>
      </c>
      <c r="G18113" s="557">
        <v>0.14000000000000001</v>
      </c>
      <c r="H18113" s="558">
        <v>120.9</v>
      </c>
      <c r="I18113" s="558">
        <v>81.93</v>
      </c>
      <c r="J18113" s="558">
        <v>37.36</v>
      </c>
      <c r="K18113" s="558">
        <v>1.61</v>
      </c>
      <c r="L18113" s="43">
        <v>8.4250871080139387</v>
      </c>
      <c r="M18113" s="43">
        <v>11.5021951219512</v>
      </c>
      <c r="N18113" s="43">
        <v>5.2693935119887163</v>
      </c>
      <c r="O18113" s="43">
        <v>11.503164556962025</v>
      </c>
      <c r="P18113" s="559"/>
      <c r="Q18113" s="559"/>
      <c r="R18113" s="559">
        <v>11</v>
      </c>
    </row>
    <row r="18114" spans="1:18" ht="84">
      <c r="A18114" s="555">
        <v>548</v>
      </c>
      <c r="B18114" s="552" t="s">
        <v>32681</v>
      </c>
      <c r="C18114" s="556" t="s">
        <v>32682</v>
      </c>
      <c r="D18114" s="557">
        <v>16.25</v>
      </c>
      <c r="E18114" s="557">
        <v>8.0399999999999991</v>
      </c>
      <c r="F18114" s="557">
        <v>8.0500000000000007</v>
      </c>
      <c r="G18114" s="557">
        <v>0.16</v>
      </c>
      <c r="H18114" s="558">
        <v>136.77000000000001</v>
      </c>
      <c r="I18114" s="558">
        <v>92.5</v>
      </c>
      <c r="J18114" s="558">
        <v>42.43</v>
      </c>
      <c r="K18114" s="558">
        <v>1.84</v>
      </c>
      <c r="L18114" s="43">
        <v>8.4166153846153851</v>
      </c>
      <c r="M18114" s="43">
        <v>11.504975124378111</v>
      </c>
      <c r="N18114" s="43">
        <v>5.2708074534161486</v>
      </c>
      <c r="O18114" s="43">
        <v>11.503164556962025</v>
      </c>
      <c r="P18114" s="559"/>
      <c r="Q18114" s="559"/>
      <c r="R18114" s="559">
        <v>11</v>
      </c>
    </row>
    <row r="18115" spans="1:18" ht="84">
      <c r="A18115" s="555">
        <v>549</v>
      </c>
      <c r="B18115" s="552" t="s">
        <v>32683</v>
      </c>
      <c r="C18115" s="556" t="s">
        <v>32684</v>
      </c>
      <c r="D18115" s="557">
        <v>15.07</v>
      </c>
      <c r="E18115" s="557">
        <v>7.47</v>
      </c>
      <c r="F18115" s="557">
        <v>7.45</v>
      </c>
      <c r="G18115" s="557">
        <v>0.15</v>
      </c>
      <c r="H18115" s="558">
        <v>126.88</v>
      </c>
      <c r="I18115" s="558">
        <v>85.89</v>
      </c>
      <c r="J18115" s="558">
        <v>39.26</v>
      </c>
      <c r="K18115" s="558">
        <v>1.73</v>
      </c>
      <c r="L18115" s="43">
        <v>8.4193762441937618</v>
      </c>
      <c r="M18115" s="43">
        <v>11.497991967871487</v>
      </c>
      <c r="N18115" s="43">
        <v>5.2697986577181206</v>
      </c>
      <c r="O18115" s="43">
        <v>11.503164556962025</v>
      </c>
      <c r="P18115" s="559"/>
      <c r="Q18115" s="559"/>
      <c r="R18115" s="559">
        <v>11</v>
      </c>
    </row>
    <row r="18116" spans="1:18" ht="84">
      <c r="A18116" s="555">
        <v>550</v>
      </c>
      <c r="B18116" s="552" t="s">
        <v>32685</v>
      </c>
      <c r="C18116" s="556" t="s">
        <v>32686</v>
      </c>
      <c r="D18116" s="557">
        <v>18.260000000000002</v>
      </c>
      <c r="E18116" s="557">
        <v>9.19</v>
      </c>
      <c r="F18116" s="557">
        <v>8.89</v>
      </c>
      <c r="G18116" s="557">
        <v>0.18</v>
      </c>
      <c r="H18116" s="558">
        <v>154.63999999999999</v>
      </c>
      <c r="I18116" s="558">
        <v>105.71</v>
      </c>
      <c r="J18116" s="558">
        <v>46.86</v>
      </c>
      <c r="K18116" s="558">
        <v>2.0699999999999998</v>
      </c>
      <c r="L18116" s="43">
        <v>8.4687842278203718</v>
      </c>
      <c r="M18116" s="43">
        <v>11.502720348204571</v>
      </c>
      <c r="N18116" s="43">
        <v>5.2710911136107983</v>
      </c>
      <c r="O18116" s="43">
        <v>11.503164556962025</v>
      </c>
      <c r="P18116" s="559"/>
      <c r="Q18116" s="559"/>
      <c r="R18116" s="559">
        <v>11</v>
      </c>
    </row>
    <row r="18117" spans="1:18" ht="84">
      <c r="A18117" s="555">
        <v>551</v>
      </c>
      <c r="B18117" s="552" t="s">
        <v>32687</v>
      </c>
      <c r="C18117" s="556" t="s">
        <v>32688</v>
      </c>
      <c r="D18117" s="557">
        <v>23.61</v>
      </c>
      <c r="E18117" s="557">
        <v>11.49</v>
      </c>
      <c r="F18117" s="557">
        <v>11.89</v>
      </c>
      <c r="G18117" s="557">
        <v>0.23</v>
      </c>
      <c r="H18117" s="558">
        <v>197.49</v>
      </c>
      <c r="I18117" s="558">
        <v>132.13999999999999</v>
      </c>
      <c r="J18117" s="558">
        <v>62.7</v>
      </c>
      <c r="K18117" s="558">
        <v>2.65</v>
      </c>
      <c r="L18117" s="43">
        <v>8.3646759847522247</v>
      </c>
      <c r="M18117" s="43">
        <v>11.500435161009571</v>
      </c>
      <c r="N18117" s="43">
        <v>5.2733389402859547</v>
      </c>
      <c r="O18117" s="43">
        <v>11.503164556962025</v>
      </c>
      <c r="P18117" s="559"/>
      <c r="Q18117" s="559"/>
      <c r="R18117" s="559">
        <v>11</v>
      </c>
    </row>
    <row r="18118" spans="1:18" ht="84">
      <c r="A18118" s="555">
        <v>552</v>
      </c>
      <c r="B18118" s="552" t="s">
        <v>32689</v>
      </c>
      <c r="C18118" s="556" t="s">
        <v>32690</v>
      </c>
      <c r="D18118" s="557">
        <v>19.22</v>
      </c>
      <c r="E18118" s="557">
        <v>9.5399999999999991</v>
      </c>
      <c r="F18118" s="557">
        <v>9.49</v>
      </c>
      <c r="G18118" s="557">
        <v>0.19</v>
      </c>
      <c r="H18118" s="558">
        <v>161.9</v>
      </c>
      <c r="I18118" s="558">
        <v>109.68</v>
      </c>
      <c r="J18118" s="558">
        <v>50.03</v>
      </c>
      <c r="K18118" s="558">
        <v>2.19</v>
      </c>
      <c r="L18118" s="43">
        <v>8.4235171696149855</v>
      </c>
      <c r="M18118" s="43">
        <v>11.496855345911952</v>
      </c>
      <c r="N18118" s="43">
        <v>5.2718651211801895</v>
      </c>
      <c r="O18118" s="43">
        <v>11.503164556962025</v>
      </c>
      <c r="P18118" s="559"/>
      <c r="Q18118" s="559"/>
      <c r="R18118" s="559">
        <v>11</v>
      </c>
    </row>
    <row r="18119" spans="1:18" ht="84">
      <c r="A18119" s="555">
        <v>553</v>
      </c>
      <c r="B18119" s="552" t="s">
        <v>32691</v>
      </c>
      <c r="C18119" s="556" t="s">
        <v>32692</v>
      </c>
      <c r="D18119" s="557">
        <v>23.13</v>
      </c>
      <c r="E18119" s="557">
        <v>11.49</v>
      </c>
      <c r="F18119" s="557">
        <v>11.41</v>
      </c>
      <c r="G18119" s="557">
        <v>0.23</v>
      </c>
      <c r="H18119" s="558">
        <v>194.95</v>
      </c>
      <c r="I18119" s="558">
        <v>132.13999999999999</v>
      </c>
      <c r="J18119" s="558">
        <v>60.16</v>
      </c>
      <c r="K18119" s="558">
        <v>2.65</v>
      </c>
      <c r="L18119" s="43">
        <v>8.4284479031560746</v>
      </c>
      <c r="M18119" s="43">
        <v>11.500435161009571</v>
      </c>
      <c r="N18119" s="43">
        <v>5.2725679228746714</v>
      </c>
      <c r="O18119" s="43">
        <v>11.503164556962025</v>
      </c>
      <c r="P18119" s="559"/>
      <c r="Q18119" s="559"/>
      <c r="R18119" s="559">
        <v>11</v>
      </c>
    </row>
    <row r="18120" spans="1:18" ht="84">
      <c r="A18120" s="555">
        <v>554</v>
      </c>
      <c r="B18120" s="552" t="s">
        <v>32693</v>
      </c>
      <c r="C18120" s="556" t="s">
        <v>32694</v>
      </c>
      <c r="D18120" s="557">
        <v>32.020000000000003</v>
      </c>
      <c r="E18120" s="557">
        <v>16.09</v>
      </c>
      <c r="F18120" s="557">
        <v>15.61</v>
      </c>
      <c r="G18120" s="557">
        <v>0.32</v>
      </c>
      <c r="H18120" s="558">
        <v>271.01</v>
      </c>
      <c r="I18120" s="558">
        <v>185</v>
      </c>
      <c r="J18120" s="558">
        <v>82.33</v>
      </c>
      <c r="K18120" s="558">
        <v>3.68</v>
      </c>
      <c r="L18120" s="43">
        <v>8.4637726420986876</v>
      </c>
      <c r="M18120" s="43">
        <v>11.497824735860783</v>
      </c>
      <c r="N18120" s="43">
        <v>5.2741832158872519</v>
      </c>
      <c r="O18120" s="43">
        <v>11.503164556962025</v>
      </c>
      <c r="P18120" s="559"/>
      <c r="Q18120" s="559"/>
      <c r="R18120" s="559">
        <v>11</v>
      </c>
    </row>
    <row r="18121" spans="1:18" ht="84">
      <c r="A18121" s="555">
        <v>555</v>
      </c>
      <c r="B18121" s="552" t="s">
        <v>32695</v>
      </c>
      <c r="C18121" s="556" t="s">
        <v>32696</v>
      </c>
      <c r="D18121" s="557">
        <v>36.770000000000003</v>
      </c>
      <c r="E18121" s="557">
        <v>18.38</v>
      </c>
      <c r="F18121" s="557">
        <v>18.02</v>
      </c>
      <c r="G18121" s="557">
        <v>0.37</v>
      </c>
      <c r="H18121" s="558">
        <v>310.68</v>
      </c>
      <c r="I18121" s="558">
        <v>211.42</v>
      </c>
      <c r="J18121" s="558">
        <v>95</v>
      </c>
      <c r="K18121" s="558">
        <v>4.26</v>
      </c>
      <c r="L18121" s="43">
        <v>8.4492793037802549</v>
      </c>
      <c r="M18121" s="43">
        <v>11.502720348204571</v>
      </c>
      <c r="N18121" s="43">
        <v>5.2719200887902335</v>
      </c>
      <c r="O18121" s="43">
        <v>11.503164556962025</v>
      </c>
      <c r="P18121" s="559"/>
      <c r="Q18121" s="559"/>
      <c r="R18121" s="559">
        <v>11</v>
      </c>
    </row>
    <row r="18122" spans="1:18" ht="84">
      <c r="A18122" s="555">
        <v>556</v>
      </c>
      <c r="B18122" s="552" t="s">
        <v>32697</v>
      </c>
      <c r="C18122" s="556" t="s">
        <v>32698</v>
      </c>
      <c r="D18122" s="557">
        <v>21.95</v>
      </c>
      <c r="E18122" s="557">
        <v>10.92</v>
      </c>
      <c r="F18122" s="557">
        <v>10.81</v>
      </c>
      <c r="G18122" s="557">
        <v>0.22</v>
      </c>
      <c r="H18122" s="558">
        <v>185.06</v>
      </c>
      <c r="I18122" s="558">
        <v>125.53</v>
      </c>
      <c r="J18122" s="558">
        <v>57</v>
      </c>
      <c r="K18122" s="558">
        <v>2.5299999999999998</v>
      </c>
      <c r="L18122" s="43">
        <v>8.4309794988610474</v>
      </c>
      <c r="M18122" s="43">
        <v>11.495421245421246</v>
      </c>
      <c r="N18122" s="43">
        <v>5.272895467160037</v>
      </c>
      <c r="O18122" s="43">
        <v>11.503164556962025</v>
      </c>
      <c r="P18122" s="559"/>
      <c r="Q18122" s="559"/>
      <c r="R18122" s="559">
        <v>11</v>
      </c>
    </row>
    <row r="18123" spans="1:18" ht="84">
      <c r="A18123" s="555">
        <v>557</v>
      </c>
      <c r="B18123" s="552" t="s">
        <v>32699</v>
      </c>
      <c r="C18123" s="556" t="s">
        <v>32700</v>
      </c>
      <c r="D18123" s="557">
        <v>27.28</v>
      </c>
      <c r="E18123" s="557">
        <v>13.79</v>
      </c>
      <c r="F18123" s="557">
        <v>13.21</v>
      </c>
      <c r="G18123" s="557">
        <v>0.28000000000000003</v>
      </c>
      <c r="H18123" s="558">
        <v>231.45</v>
      </c>
      <c r="I18123" s="558">
        <v>158.57</v>
      </c>
      <c r="J18123" s="558">
        <v>69.66</v>
      </c>
      <c r="K18123" s="558">
        <v>3.22</v>
      </c>
      <c r="L18123" s="43">
        <v>8.4842375366568898</v>
      </c>
      <c r="M18123" s="43">
        <v>11.498912255257434</v>
      </c>
      <c r="N18123" s="43">
        <v>5.2732778198334591</v>
      </c>
      <c r="O18123" s="43">
        <v>11.503164556962025</v>
      </c>
      <c r="P18123" s="559"/>
      <c r="Q18123" s="559"/>
      <c r="R18123" s="559">
        <v>11</v>
      </c>
    </row>
    <row r="18124" spans="1:18" ht="84">
      <c r="A18124" s="555">
        <v>558</v>
      </c>
      <c r="B18124" s="552" t="s">
        <v>32701</v>
      </c>
      <c r="C18124" s="556" t="s">
        <v>32702</v>
      </c>
      <c r="D18124" s="557">
        <v>36.770000000000003</v>
      </c>
      <c r="E18124" s="557">
        <v>18.38</v>
      </c>
      <c r="F18124" s="557">
        <v>18.02</v>
      </c>
      <c r="G18124" s="557">
        <v>0.37</v>
      </c>
      <c r="H18124" s="558">
        <v>310.68</v>
      </c>
      <c r="I18124" s="558">
        <v>211.42</v>
      </c>
      <c r="J18124" s="558">
        <v>95</v>
      </c>
      <c r="K18124" s="558">
        <v>4.26</v>
      </c>
      <c r="L18124" s="43">
        <v>8.4492793037802549</v>
      </c>
      <c r="M18124" s="43">
        <v>11.502720348204571</v>
      </c>
      <c r="N18124" s="43">
        <v>5.2719200887902335</v>
      </c>
      <c r="O18124" s="43">
        <v>11.503164556962025</v>
      </c>
      <c r="P18124" s="559"/>
      <c r="Q18124" s="559"/>
      <c r="R18124" s="559">
        <v>11</v>
      </c>
    </row>
    <row r="18125" spans="1:18" ht="84">
      <c r="A18125" s="555">
        <v>559</v>
      </c>
      <c r="B18125" s="552" t="s">
        <v>32703</v>
      </c>
      <c r="C18125" s="556" t="s">
        <v>32704</v>
      </c>
      <c r="D18125" s="557">
        <v>51.01</v>
      </c>
      <c r="E18125" s="557">
        <v>25.28</v>
      </c>
      <c r="F18125" s="557">
        <v>25.22</v>
      </c>
      <c r="G18125" s="557">
        <v>0.51</v>
      </c>
      <c r="H18125" s="558">
        <v>429.57</v>
      </c>
      <c r="I18125" s="558">
        <v>290.70999999999998</v>
      </c>
      <c r="J18125" s="558">
        <v>132.99</v>
      </c>
      <c r="K18125" s="558">
        <v>5.87</v>
      </c>
      <c r="L18125" s="43">
        <v>8.4212899431484018</v>
      </c>
      <c r="M18125" s="43">
        <v>11.499604430379746</v>
      </c>
      <c r="N18125" s="43">
        <v>5.2731958762886606</v>
      </c>
      <c r="O18125" s="43">
        <v>11.503164556962025</v>
      </c>
      <c r="P18125" s="559"/>
      <c r="Q18125" s="559"/>
      <c r="R18125" s="559">
        <v>11</v>
      </c>
    </row>
    <row r="18126" spans="1:18" ht="84">
      <c r="A18126" s="555">
        <v>560</v>
      </c>
      <c r="B18126" s="552" t="s">
        <v>32705</v>
      </c>
      <c r="C18126" s="556" t="s">
        <v>32706</v>
      </c>
      <c r="D18126" s="557">
        <v>32.020000000000003</v>
      </c>
      <c r="E18126" s="557">
        <v>16.09</v>
      </c>
      <c r="F18126" s="557">
        <v>15.61</v>
      </c>
      <c r="G18126" s="557">
        <v>0.32</v>
      </c>
      <c r="H18126" s="558">
        <v>271.01</v>
      </c>
      <c r="I18126" s="558">
        <v>185</v>
      </c>
      <c r="J18126" s="558">
        <v>82.33</v>
      </c>
      <c r="K18126" s="558">
        <v>3.68</v>
      </c>
      <c r="L18126" s="43">
        <v>8.4637726420986876</v>
      </c>
      <c r="M18126" s="43">
        <v>11.497824735860783</v>
      </c>
      <c r="N18126" s="43">
        <v>5.2741832158872519</v>
      </c>
      <c r="O18126" s="43">
        <v>11.503164556962025</v>
      </c>
      <c r="P18126" s="559"/>
      <c r="Q18126" s="559"/>
      <c r="R18126" s="559">
        <v>11</v>
      </c>
    </row>
    <row r="18127" spans="1:18" ht="84">
      <c r="A18127" s="555">
        <v>561</v>
      </c>
      <c r="B18127" s="552" t="s">
        <v>32707</v>
      </c>
      <c r="C18127" s="556" t="s">
        <v>32708</v>
      </c>
      <c r="D18127" s="557">
        <v>39.14</v>
      </c>
      <c r="E18127" s="557">
        <v>19.53</v>
      </c>
      <c r="F18127" s="557">
        <v>19.22</v>
      </c>
      <c r="G18127" s="557">
        <v>0.39</v>
      </c>
      <c r="H18127" s="558">
        <v>330.46</v>
      </c>
      <c r="I18127" s="558">
        <v>224.64</v>
      </c>
      <c r="J18127" s="558">
        <v>101.33</v>
      </c>
      <c r="K18127" s="558">
        <v>4.49</v>
      </c>
      <c r="L18127" s="43">
        <v>8.4430250383239649</v>
      </c>
      <c r="M18127" s="43">
        <v>11.502304147465436</v>
      </c>
      <c r="N18127" s="43">
        <v>5.2721123829344432</v>
      </c>
      <c r="O18127" s="43">
        <v>11.503164556962025</v>
      </c>
      <c r="P18127" s="559"/>
      <c r="Q18127" s="559"/>
      <c r="R18127" s="559">
        <v>11</v>
      </c>
    </row>
    <row r="18128" spans="1:18" ht="84">
      <c r="A18128" s="555">
        <v>562</v>
      </c>
      <c r="B18128" s="552" t="s">
        <v>32709</v>
      </c>
      <c r="C18128" s="556" t="s">
        <v>32710</v>
      </c>
      <c r="D18128" s="557">
        <v>51.01</v>
      </c>
      <c r="E18128" s="557">
        <v>25.28</v>
      </c>
      <c r="F18128" s="557">
        <v>25.22</v>
      </c>
      <c r="G18128" s="557">
        <v>0.51</v>
      </c>
      <c r="H18128" s="558">
        <v>429.57</v>
      </c>
      <c r="I18128" s="558">
        <v>290.70999999999998</v>
      </c>
      <c r="J18128" s="558">
        <v>132.99</v>
      </c>
      <c r="K18128" s="558">
        <v>5.87</v>
      </c>
      <c r="L18128" s="43">
        <v>8.4212899431484018</v>
      </c>
      <c r="M18128" s="43">
        <v>11.499604430379746</v>
      </c>
      <c r="N18128" s="43">
        <v>5.2731958762886606</v>
      </c>
      <c r="O18128" s="43">
        <v>11.503164556962025</v>
      </c>
      <c r="P18128" s="559"/>
      <c r="Q18128" s="559"/>
      <c r="R18128" s="559">
        <v>11</v>
      </c>
    </row>
    <row r="18129" spans="1:18" ht="84">
      <c r="A18129" s="555">
        <v>563</v>
      </c>
      <c r="B18129" s="552" t="s">
        <v>32711</v>
      </c>
      <c r="C18129" s="556" t="s">
        <v>32712</v>
      </c>
      <c r="D18129" s="557">
        <v>67.62</v>
      </c>
      <c r="E18129" s="557">
        <v>33.32</v>
      </c>
      <c r="F18129" s="557">
        <v>33.630000000000003</v>
      </c>
      <c r="G18129" s="557">
        <v>0.67</v>
      </c>
      <c r="H18129" s="558">
        <v>568.24</v>
      </c>
      <c r="I18129" s="558">
        <v>383.21</v>
      </c>
      <c r="J18129" s="558">
        <v>177.32</v>
      </c>
      <c r="K18129" s="558">
        <v>7.71</v>
      </c>
      <c r="L18129" s="43">
        <v>8.403430937592427</v>
      </c>
      <c r="M18129" s="43">
        <v>11.500900360144056</v>
      </c>
      <c r="N18129" s="43">
        <v>5.2726732084448402</v>
      </c>
      <c r="O18129" s="43">
        <v>11.503164556962025</v>
      </c>
      <c r="P18129" s="559"/>
      <c r="Q18129" s="559"/>
      <c r="R18129" s="559">
        <v>11</v>
      </c>
    </row>
    <row r="18130" spans="1:18" ht="84">
      <c r="A18130" s="555">
        <v>564</v>
      </c>
      <c r="B18130" s="552" t="s">
        <v>32713</v>
      </c>
      <c r="C18130" s="556" t="s">
        <v>32714</v>
      </c>
      <c r="D18130" s="557">
        <v>83.02</v>
      </c>
      <c r="E18130" s="557">
        <v>41.36</v>
      </c>
      <c r="F18130" s="557">
        <v>40.83</v>
      </c>
      <c r="G18130" s="557">
        <v>0.83</v>
      </c>
      <c r="H18130" s="558">
        <v>700.57</v>
      </c>
      <c r="I18130" s="558">
        <v>475.7</v>
      </c>
      <c r="J18130" s="558">
        <v>215.32</v>
      </c>
      <c r="K18130" s="558">
        <v>9.5500000000000007</v>
      </c>
      <c r="L18130" s="43">
        <v>8.4385690195133716</v>
      </c>
      <c r="M18130" s="43">
        <v>11.501450676982591</v>
      </c>
      <c r="N18130" s="43">
        <v>5.2735733529267694</v>
      </c>
      <c r="O18130" s="43">
        <v>11.503164556962025</v>
      </c>
      <c r="P18130" s="559"/>
      <c r="Q18130" s="559"/>
      <c r="R18130" s="559">
        <v>11</v>
      </c>
    </row>
    <row r="18131" spans="1:18" ht="84">
      <c r="A18131" s="555">
        <v>565</v>
      </c>
      <c r="B18131" s="552" t="s">
        <v>32715</v>
      </c>
      <c r="C18131" s="556" t="s">
        <v>32716</v>
      </c>
      <c r="D18131" s="557">
        <v>34.39</v>
      </c>
      <c r="E18131" s="557">
        <v>17.239999999999998</v>
      </c>
      <c r="F18131" s="557">
        <v>16.809999999999999</v>
      </c>
      <c r="G18131" s="557">
        <v>0.34</v>
      </c>
      <c r="H18131" s="558">
        <v>290.77999999999997</v>
      </c>
      <c r="I18131" s="558">
        <v>198.21</v>
      </c>
      <c r="J18131" s="558">
        <v>88.66</v>
      </c>
      <c r="K18131" s="558">
        <v>3.91</v>
      </c>
      <c r="L18131" s="43">
        <v>8.4553649316661819</v>
      </c>
      <c r="M18131" s="43">
        <v>11.497099767981441</v>
      </c>
      <c r="N18131" s="43">
        <v>5.2742415229030337</v>
      </c>
      <c r="O18131" s="43">
        <v>11.503164556962025</v>
      </c>
      <c r="P18131" s="559"/>
      <c r="Q18131" s="559"/>
      <c r="R18131" s="559">
        <v>11</v>
      </c>
    </row>
    <row r="18132" spans="1:18" ht="84">
      <c r="A18132" s="555">
        <v>566</v>
      </c>
      <c r="B18132" s="552" t="s">
        <v>32717</v>
      </c>
      <c r="C18132" s="556" t="s">
        <v>32718</v>
      </c>
      <c r="D18132" s="557">
        <v>41.51</v>
      </c>
      <c r="E18132" s="557">
        <v>20.68</v>
      </c>
      <c r="F18132" s="557">
        <v>20.420000000000002</v>
      </c>
      <c r="G18132" s="557">
        <v>0.41</v>
      </c>
      <c r="H18132" s="558">
        <v>350.23</v>
      </c>
      <c r="I18132" s="558">
        <v>237.85</v>
      </c>
      <c r="J18132" s="558">
        <v>107.66</v>
      </c>
      <c r="K18132" s="558">
        <v>4.72</v>
      </c>
      <c r="L18132" s="43">
        <v>8.4372440375813067</v>
      </c>
      <c r="M18132" s="43">
        <v>11.501450676982591</v>
      </c>
      <c r="N18132" s="43">
        <v>5.2722820763956895</v>
      </c>
      <c r="O18132" s="43">
        <v>11.503164556962025</v>
      </c>
      <c r="P18132" s="559"/>
      <c r="Q18132" s="559"/>
      <c r="R18132" s="559">
        <v>11</v>
      </c>
    </row>
    <row r="18133" spans="1:18" ht="84">
      <c r="A18133" s="555">
        <v>567</v>
      </c>
      <c r="B18133" s="552" t="s">
        <v>32719</v>
      </c>
      <c r="C18133" s="556" t="s">
        <v>32720</v>
      </c>
      <c r="D18133" s="557">
        <v>55.75</v>
      </c>
      <c r="E18133" s="557">
        <v>27.58</v>
      </c>
      <c r="F18133" s="557">
        <v>27.62</v>
      </c>
      <c r="G18133" s="557">
        <v>0.55000000000000004</v>
      </c>
      <c r="H18133" s="558">
        <v>469.13</v>
      </c>
      <c r="I18133" s="558">
        <v>317.14</v>
      </c>
      <c r="J18133" s="558">
        <v>145.66</v>
      </c>
      <c r="K18133" s="558">
        <v>6.33</v>
      </c>
      <c r="L18133" s="43">
        <v>8.4148878923766812</v>
      </c>
      <c r="M18133" s="43">
        <v>11.498912255257434</v>
      </c>
      <c r="N18133" s="43">
        <v>5.2737146994931203</v>
      </c>
      <c r="O18133" s="43">
        <v>11.503164556962025</v>
      </c>
      <c r="P18133" s="559"/>
      <c r="Q18133" s="559"/>
      <c r="R18133" s="559">
        <v>11</v>
      </c>
    </row>
    <row r="18134" spans="1:18" ht="84">
      <c r="A18134" s="555">
        <v>568</v>
      </c>
      <c r="B18134" s="552" t="s">
        <v>32721</v>
      </c>
      <c r="C18134" s="556" t="s">
        <v>32722</v>
      </c>
      <c r="D18134" s="557">
        <v>73.540000000000006</v>
      </c>
      <c r="E18134" s="557">
        <v>36.770000000000003</v>
      </c>
      <c r="F18134" s="557">
        <v>36.03</v>
      </c>
      <c r="G18134" s="557">
        <v>0.74</v>
      </c>
      <c r="H18134" s="558">
        <v>621.35</v>
      </c>
      <c r="I18134" s="558">
        <v>422.85</v>
      </c>
      <c r="J18134" s="558">
        <v>189.99</v>
      </c>
      <c r="K18134" s="558">
        <v>8.51</v>
      </c>
      <c r="L18134" s="43">
        <v>8.4491433233614348</v>
      </c>
      <c r="M18134" s="43">
        <v>11.49986401958118</v>
      </c>
      <c r="N18134" s="43">
        <v>5.2731057452123231</v>
      </c>
      <c r="O18134" s="43">
        <v>11.503164556962025</v>
      </c>
      <c r="P18134" s="559"/>
      <c r="Q18134" s="559"/>
      <c r="R18134" s="559">
        <v>11</v>
      </c>
    </row>
    <row r="18135" spans="1:18" ht="84">
      <c r="A18135" s="555">
        <v>569</v>
      </c>
      <c r="B18135" s="552" t="s">
        <v>32723</v>
      </c>
      <c r="C18135" s="556" t="s">
        <v>32724</v>
      </c>
      <c r="D18135" s="557">
        <v>85.4</v>
      </c>
      <c r="E18135" s="557">
        <v>42.51</v>
      </c>
      <c r="F18135" s="557">
        <v>42.04</v>
      </c>
      <c r="G18135" s="557">
        <v>0.85</v>
      </c>
      <c r="H18135" s="558">
        <v>720.36</v>
      </c>
      <c r="I18135" s="558">
        <v>488.92</v>
      </c>
      <c r="J18135" s="558">
        <v>221.66</v>
      </c>
      <c r="K18135" s="558">
        <v>9.7799999999999994</v>
      </c>
      <c r="L18135" s="43">
        <v>8.4351288056206091</v>
      </c>
      <c r="M18135" s="43">
        <v>11.501293813220419</v>
      </c>
      <c r="N18135" s="43">
        <v>5.2725975261655567</v>
      </c>
      <c r="O18135" s="43">
        <v>11.503164556962025</v>
      </c>
      <c r="P18135" s="559"/>
      <c r="Q18135" s="559"/>
      <c r="R18135" s="559">
        <v>11</v>
      </c>
    </row>
    <row r="18136" spans="1:18" ht="84">
      <c r="A18136" s="555">
        <v>570</v>
      </c>
      <c r="B18136" s="552" t="s">
        <v>32725</v>
      </c>
      <c r="C18136" s="556" t="s">
        <v>32726</v>
      </c>
      <c r="D18136" s="557">
        <v>99.64</v>
      </c>
      <c r="E18136" s="557">
        <v>49.41</v>
      </c>
      <c r="F18136" s="557">
        <v>49.24</v>
      </c>
      <c r="G18136" s="557">
        <v>0.99</v>
      </c>
      <c r="H18136" s="558">
        <v>839.24</v>
      </c>
      <c r="I18136" s="558">
        <v>568.20000000000005</v>
      </c>
      <c r="J18136" s="558">
        <v>259.64999999999998</v>
      </c>
      <c r="K18136" s="558">
        <v>11.39</v>
      </c>
      <c r="L18136" s="43">
        <v>8.4227217984745089</v>
      </c>
      <c r="M18136" s="43">
        <v>11.499696417729206</v>
      </c>
      <c r="N18136" s="43">
        <v>5.2731519090170584</v>
      </c>
      <c r="O18136" s="43">
        <v>11.503164556962025</v>
      </c>
      <c r="P18136" s="559"/>
      <c r="Q18136" s="559"/>
      <c r="R18136" s="559">
        <v>11</v>
      </c>
    </row>
    <row r="18137" spans="1:18" ht="84">
      <c r="A18137" s="555">
        <v>571</v>
      </c>
      <c r="B18137" s="552" t="s">
        <v>32727</v>
      </c>
      <c r="C18137" s="556" t="s">
        <v>32728</v>
      </c>
      <c r="D18137" s="557">
        <v>116.25</v>
      </c>
      <c r="E18137" s="557">
        <v>57.45</v>
      </c>
      <c r="F18137" s="557">
        <v>57.65</v>
      </c>
      <c r="G18137" s="557">
        <v>1.1499999999999999</v>
      </c>
      <c r="H18137" s="558">
        <v>977.91</v>
      </c>
      <c r="I18137" s="558">
        <v>660.7</v>
      </c>
      <c r="J18137" s="558">
        <v>303.98</v>
      </c>
      <c r="K18137" s="558">
        <v>13.23</v>
      </c>
      <c r="L18137" s="43">
        <v>8.4121290322580649</v>
      </c>
      <c r="M18137" s="43">
        <v>11.500435161009573</v>
      </c>
      <c r="N18137" s="43">
        <v>5.2728534258456206</v>
      </c>
      <c r="O18137" s="43">
        <v>11.503164556962025</v>
      </c>
      <c r="P18137" s="559"/>
      <c r="Q18137" s="559"/>
      <c r="R18137" s="559">
        <v>11</v>
      </c>
    </row>
    <row r="18138" spans="1:18" ht="84">
      <c r="A18138" s="555">
        <v>572</v>
      </c>
      <c r="B18138" s="552" t="s">
        <v>32729</v>
      </c>
      <c r="C18138" s="556" t="s">
        <v>32730</v>
      </c>
      <c r="D18138" s="557">
        <v>131.65</v>
      </c>
      <c r="E18138" s="557">
        <v>65.489999999999995</v>
      </c>
      <c r="F18138" s="557">
        <v>64.849999999999994</v>
      </c>
      <c r="G18138" s="557">
        <v>1.31</v>
      </c>
      <c r="H18138" s="558">
        <v>1110.25</v>
      </c>
      <c r="I18138" s="558">
        <v>753.2</v>
      </c>
      <c r="J18138" s="558">
        <v>341.98</v>
      </c>
      <c r="K18138" s="558">
        <v>15.07</v>
      </c>
      <c r="L18138" s="43">
        <v>8.4333459931636909</v>
      </c>
      <c r="M18138" s="43">
        <v>11.500992517941672</v>
      </c>
      <c r="N18138" s="43">
        <v>5.2734001542020055</v>
      </c>
      <c r="O18138" s="43">
        <v>11.503164556962025</v>
      </c>
      <c r="P18138" s="559"/>
      <c r="Q18138" s="559"/>
      <c r="R18138" s="559">
        <v>11</v>
      </c>
    </row>
    <row r="18139" spans="1:18" ht="84">
      <c r="A18139" s="555">
        <v>573</v>
      </c>
      <c r="B18139" s="552" t="s">
        <v>32731</v>
      </c>
      <c r="C18139" s="556" t="s">
        <v>32732</v>
      </c>
      <c r="D18139" s="557">
        <v>148.27000000000001</v>
      </c>
      <c r="E18139" s="557">
        <v>73.540000000000006</v>
      </c>
      <c r="F18139" s="557">
        <v>73.260000000000005</v>
      </c>
      <c r="G18139" s="557">
        <v>1.47</v>
      </c>
      <c r="H18139" s="558">
        <v>1248.92</v>
      </c>
      <c r="I18139" s="558">
        <v>845.7</v>
      </c>
      <c r="J18139" s="558">
        <v>386.31</v>
      </c>
      <c r="K18139" s="558">
        <v>16.91</v>
      </c>
      <c r="L18139" s="43">
        <v>8.4232818506778173</v>
      </c>
      <c r="M18139" s="43">
        <v>11.49986401958118</v>
      </c>
      <c r="N18139" s="43">
        <v>5.2731367731367724</v>
      </c>
      <c r="O18139" s="43">
        <v>11.503164556962025</v>
      </c>
      <c r="P18139" s="559"/>
      <c r="Q18139" s="559"/>
      <c r="R18139" s="559">
        <v>11</v>
      </c>
    </row>
    <row r="18140" spans="1:18" ht="84">
      <c r="A18140" s="555">
        <v>574</v>
      </c>
      <c r="B18140" s="552" t="s">
        <v>32733</v>
      </c>
      <c r="C18140" s="556" t="s">
        <v>32734</v>
      </c>
      <c r="D18140" s="557">
        <v>39.14</v>
      </c>
      <c r="E18140" s="557">
        <v>19.53</v>
      </c>
      <c r="F18140" s="557">
        <v>19.22</v>
      </c>
      <c r="G18140" s="557">
        <v>0.39</v>
      </c>
      <c r="H18140" s="558">
        <v>330.46</v>
      </c>
      <c r="I18140" s="558">
        <v>224.64</v>
      </c>
      <c r="J18140" s="558">
        <v>101.33</v>
      </c>
      <c r="K18140" s="558">
        <v>4.49</v>
      </c>
      <c r="L18140" s="43">
        <v>8.4430250383239649</v>
      </c>
      <c r="M18140" s="43">
        <v>11.502304147465436</v>
      </c>
      <c r="N18140" s="43">
        <v>5.2721123829344432</v>
      </c>
      <c r="O18140" s="43">
        <v>11.503164556962025</v>
      </c>
      <c r="P18140" s="559"/>
      <c r="Q18140" s="559"/>
      <c r="R18140" s="559">
        <v>11</v>
      </c>
    </row>
    <row r="18141" spans="1:18" ht="84">
      <c r="A18141" s="555">
        <v>575</v>
      </c>
      <c r="B18141" s="552" t="s">
        <v>32735</v>
      </c>
      <c r="C18141" s="556" t="s">
        <v>32736</v>
      </c>
      <c r="D18141" s="557">
        <v>46.26</v>
      </c>
      <c r="E18141" s="557">
        <v>22.98</v>
      </c>
      <c r="F18141" s="557">
        <v>22.82</v>
      </c>
      <c r="G18141" s="557">
        <v>0.46</v>
      </c>
      <c r="H18141" s="558">
        <v>389.9</v>
      </c>
      <c r="I18141" s="558">
        <v>264.27999999999997</v>
      </c>
      <c r="J18141" s="558">
        <v>120.33</v>
      </c>
      <c r="K18141" s="558">
        <v>5.29</v>
      </c>
      <c r="L18141" s="43">
        <v>8.4284479031560746</v>
      </c>
      <c r="M18141" s="43">
        <v>11.500435161009571</v>
      </c>
      <c r="N18141" s="43">
        <v>5.2730061349693251</v>
      </c>
      <c r="O18141" s="43">
        <v>11.503164556962025</v>
      </c>
      <c r="P18141" s="559"/>
      <c r="Q18141" s="559"/>
      <c r="R18141" s="559">
        <v>11</v>
      </c>
    </row>
    <row r="18142" spans="1:18" ht="84">
      <c r="A18142" s="555">
        <v>576</v>
      </c>
      <c r="B18142" s="552" t="s">
        <v>32737</v>
      </c>
      <c r="C18142" s="556" t="s">
        <v>32738</v>
      </c>
      <c r="D18142" s="557">
        <v>65.239999999999995</v>
      </c>
      <c r="E18142" s="557">
        <v>32.17</v>
      </c>
      <c r="F18142" s="557">
        <v>32.43</v>
      </c>
      <c r="G18142" s="557">
        <v>0.64</v>
      </c>
      <c r="H18142" s="558">
        <v>548.34</v>
      </c>
      <c r="I18142" s="558">
        <v>369.99</v>
      </c>
      <c r="J18142" s="558">
        <v>170.99</v>
      </c>
      <c r="K18142" s="558">
        <v>7.36</v>
      </c>
      <c r="L18142" s="43">
        <v>8.404966278356838</v>
      </c>
      <c r="M18142" s="43">
        <v>11.501087970158533</v>
      </c>
      <c r="N18142" s="43">
        <v>5.2725871106999698</v>
      </c>
      <c r="O18142" s="43">
        <v>11.503164556962025</v>
      </c>
      <c r="P18142" s="559"/>
      <c r="Q18142" s="559"/>
      <c r="R18142" s="559">
        <v>11</v>
      </c>
    </row>
    <row r="18143" spans="1:18" ht="84">
      <c r="A18143" s="555">
        <v>577</v>
      </c>
      <c r="B18143" s="552" t="s">
        <v>32739</v>
      </c>
      <c r="C18143" s="556" t="s">
        <v>32740</v>
      </c>
      <c r="D18143" s="557">
        <v>83.02</v>
      </c>
      <c r="E18143" s="557">
        <v>41.36</v>
      </c>
      <c r="F18143" s="557">
        <v>40.83</v>
      </c>
      <c r="G18143" s="557">
        <v>0.83</v>
      </c>
      <c r="H18143" s="558">
        <v>700.57</v>
      </c>
      <c r="I18143" s="558">
        <v>475.7</v>
      </c>
      <c r="J18143" s="558">
        <v>215.32</v>
      </c>
      <c r="K18143" s="558">
        <v>9.5500000000000007</v>
      </c>
      <c r="L18143" s="43">
        <v>8.4385690195133716</v>
      </c>
      <c r="M18143" s="43">
        <v>11.501450676982591</v>
      </c>
      <c r="N18143" s="43">
        <v>5.2735733529267694</v>
      </c>
      <c r="O18143" s="43">
        <v>11.503164556962025</v>
      </c>
      <c r="P18143" s="559"/>
      <c r="Q18143" s="559"/>
      <c r="R18143" s="559">
        <v>11</v>
      </c>
    </row>
    <row r="18144" spans="1:18" ht="84">
      <c r="A18144" s="555">
        <v>578</v>
      </c>
      <c r="B18144" s="552" t="s">
        <v>32741</v>
      </c>
      <c r="C18144" s="556" t="s">
        <v>32742</v>
      </c>
      <c r="D18144" s="557">
        <v>99.64</v>
      </c>
      <c r="E18144" s="557">
        <v>49.41</v>
      </c>
      <c r="F18144" s="557">
        <v>49.24</v>
      </c>
      <c r="G18144" s="557">
        <v>0.99</v>
      </c>
      <c r="H18144" s="558">
        <v>839.24</v>
      </c>
      <c r="I18144" s="558">
        <v>568.20000000000005</v>
      </c>
      <c r="J18144" s="558">
        <v>259.64999999999998</v>
      </c>
      <c r="K18144" s="558">
        <v>11.39</v>
      </c>
      <c r="L18144" s="43">
        <v>8.4227217984745089</v>
      </c>
      <c r="M18144" s="43">
        <v>11.499696417729206</v>
      </c>
      <c r="N18144" s="43">
        <v>5.2731519090170584</v>
      </c>
      <c r="O18144" s="43">
        <v>11.503164556962025</v>
      </c>
      <c r="P18144" s="559"/>
      <c r="Q18144" s="559"/>
      <c r="R18144" s="559">
        <v>11</v>
      </c>
    </row>
    <row r="18145" spans="1:18" ht="84">
      <c r="A18145" s="555">
        <v>579</v>
      </c>
      <c r="B18145" s="552" t="s">
        <v>32743</v>
      </c>
      <c r="C18145" s="556" t="s">
        <v>32744</v>
      </c>
      <c r="D18145" s="557">
        <v>116.25</v>
      </c>
      <c r="E18145" s="557">
        <v>57.45</v>
      </c>
      <c r="F18145" s="557">
        <v>57.65</v>
      </c>
      <c r="G18145" s="557">
        <v>1.1499999999999999</v>
      </c>
      <c r="H18145" s="558">
        <v>977.91</v>
      </c>
      <c r="I18145" s="558">
        <v>660.7</v>
      </c>
      <c r="J18145" s="558">
        <v>303.98</v>
      </c>
      <c r="K18145" s="558">
        <v>13.23</v>
      </c>
      <c r="L18145" s="43">
        <v>8.4121290322580649</v>
      </c>
      <c r="M18145" s="43">
        <v>11.500435161009573</v>
      </c>
      <c r="N18145" s="43">
        <v>5.2728534258456206</v>
      </c>
      <c r="O18145" s="43">
        <v>11.503164556962025</v>
      </c>
      <c r="P18145" s="559"/>
      <c r="Q18145" s="559"/>
      <c r="R18145" s="559">
        <v>11</v>
      </c>
    </row>
    <row r="18146" spans="1:18" ht="84">
      <c r="A18146" s="555">
        <v>580</v>
      </c>
      <c r="B18146" s="552" t="s">
        <v>32745</v>
      </c>
      <c r="C18146" s="556" t="s">
        <v>32746</v>
      </c>
      <c r="D18146" s="557">
        <v>134.03</v>
      </c>
      <c r="E18146" s="557">
        <v>66.64</v>
      </c>
      <c r="F18146" s="557">
        <v>66.06</v>
      </c>
      <c r="G18146" s="557">
        <v>1.33</v>
      </c>
      <c r="H18146" s="558">
        <v>1130.03</v>
      </c>
      <c r="I18146" s="558">
        <v>766.41</v>
      </c>
      <c r="J18146" s="558">
        <v>348.32</v>
      </c>
      <c r="K18146" s="558">
        <v>15.3</v>
      </c>
      <c r="L18146" s="43">
        <v>8.4311721256435117</v>
      </c>
      <c r="M18146" s="43">
        <v>11.500750300120048</v>
      </c>
      <c r="N18146" s="43">
        <v>5.272782319103845</v>
      </c>
      <c r="O18146" s="43">
        <v>11.503164556962025</v>
      </c>
      <c r="P18146" s="559"/>
      <c r="Q18146" s="559"/>
      <c r="R18146" s="559">
        <v>11</v>
      </c>
    </row>
    <row r="18147" spans="1:18" ht="84">
      <c r="A18147" s="555">
        <v>581</v>
      </c>
      <c r="B18147" s="552" t="s">
        <v>32747</v>
      </c>
      <c r="C18147" s="556" t="s">
        <v>32748</v>
      </c>
      <c r="D18147" s="557">
        <v>150.63999999999999</v>
      </c>
      <c r="E18147" s="557">
        <v>74.69</v>
      </c>
      <c r="F18147" s="557">
        <v>74.459999999999994</v>
      </c>
      <c r="G18147" s="557">
        <v>1.49</v>
      </c>
      <c r="H18147" s="558">
        <v>1268.7</v>
      </c>
      <c r="I18147" s="558">
        <v>858.91</v>
      </c>
      <c r="J18147" s="558">
        <v>392.65</v>
      </c>
      <c r="K18147" s="558">
        <v>17.14</v>
      </c>
      <c r="L18147" s="43">
        <v>8.4220658523632519</v>
      </c>
      <c r="M18147" s="43">
        <v>11.499665283170438</v>
      </c>
      <c r="N18147" s="43">
        <v>5.2733011012624234</v>
      </c>
      <c r="O18147" s="43">
        <v>11.503164556962025</v>
      </c>
      <c r="P18147" s="559"/>
      <c r="Q18147" s="559"/>
      <c r="R18147" s="559">
        <v>11</v>
      </c>
    </row>
    <row r="18148" spans="1:18" ht="84">
      <c r="A18148" s="555">
        <v>582</v>
      </c>
      <c r="B18148" s="552" t="s">
        <v>32749</v>
      </c>
      <c r="C18148" s="556" t="s">
        <v>32750</v>
      </c>
      <c r="D18148" s="557">
        <v>41.51</v>
      </c>
      <c r="E18148" s="557">
        <v>20.68</v>
      </c>
      <c r="F18148" s="557">
        <v>20.420000000000002</v>
      </c>
      <c r="G18148" s="557">
        <v>0.41</v>
      </c>
      <c r="H18148" s="558">
        <v>350.23</v>
      </c>
      <c r="I18148" s="558">
        <v>237.85</v>
      </c>
      <c r="J18148" s="558">
        <v>107.66</v>
      </c>
      <c r="K18148" s="558">
        <v>4.72</v>
      </c>
      <c r="L18148" s="43">
        <v>8.4372440375813067</v>
      </c>
      <c r="M18148" s="43">
        <v>11.501450676982591</v>
      </c>
      <c r="N18148" s="43">
        <v>5.2722820763956895</v>
      </c>
      <c r="O18148" s="43">
        <v>11.503164556962025</v>
      </c>
      <c r="P18148" s="559"/>
      <c r="Q18148" s="559"/>
      <c r="R18148" s="559">
        <v>11</v>
      </c>
    </row>
    <row r="18149" spans="1:18" ht="84">
      <c r="A18149" s="555">
        <v>583</v>
      </c>
      <c r="B18149" s="552" t="s">
        <v>32751</v>
      </c>
      <c r="C18149" s="556" t="s">
        <v>32752</v>
      </c>
      <c r="D18149" s="557">
        <v>51.01</v>
      </c>
      <c r="E18149" s="557">
        <v>25.28</v>
      </c>
      <c r="F18149" s="557">
        <v>25.22</v>
      </c>
      <c r="G18149" s="557">
        <v>0.51</v>
      </c>
      <c r="H18149" s="558">
        <v>429.57</v>
      </c>
      <c r="I18149" s="558">
        <v>290.70999999999998</v>
      </c>
      <c r="J18149" s="558">
        <v>132.99</v>
      </c>
      <c r="K18149" s="558">
        <v>5.87</v>
      </c>
      <c r="L18149" s="43">
        <v>8.4212899431484018</v>
      </c>
      <c r="M18149" s="43">
        <v>11.499604430379746</v>
      </c>
      <c r="N18149" s="43">
        <v>5.2731958762886606</v>
      </c>
      <c r="O18149" s="43">
        <v>11.503164556962025</v>
      </c>
      <c r="P18149" s="559"/>
      <c r="Q18149" s="559"/>
      <c r="R18149" s="559">
        <v>11</v>
      </c>
    </row>
    <row r="18150" spans="1:18" ht="84">
      <c r="A18150" s="555">
        <v>584</v>
      </c>
      <c r="B18150" s="552" t="s">
        <v>32753</v>
      </c>
      <c r="C18150" s="556" t="s">
        <v>32754</v>
      </c>
      <c r="D18150" s="557">
        <v>68.790000000000006</v>
      </c>
      <c r="E18150" s="557">
        <v>34.47</v>
      </c>
      <c r="F18150" s="557">
        <v>33.630000000000003</v>
      </c>
      <c r="G18150" s="557">
        <v>0.69</v>
      </c>
      <c r="H18150" s="558">
        <v>581.67999999999995</v>
      </c>
      <c r="I18150" s="558">
        <v>396.42</v>
      </c>
      <c r="J18150" s="558">
        <v>177.32</v>
      </c>
      <c r="K18150" s="558">
        <v>7.94</v>
      </c>
      <c r="L18150" s="43">
        <v>8.4558802151475483</v>
      </c>
      <c r="M18150" s="43">
        <v>11.500435161009575</v>
      </c>
      <c r="N18150" s="43">
        <v>5.2726732084448402</v>
      </c>
      <c r="O18150" s="43">
        <v>11.503164556962025</v>
      </c>
      <c r="P18150" s="559"/>
      <c r="Q18150" s="559"/>
      <c r="R18150" s="559">
        <v>11</v>
      </c>
    </row>
    <row r="18151" spans="1:18" ht="84">
      <c r="A18151" s="555">
        <v>585</v>
      </c>
      <c r="B18151" s="552" t="s">
        <v>32755</v>
      </c>
      <c r="C18151" s="556" t="s">
        <v>32756</v>
      </c>
      <c r="D18151" s="557">
        <v>90.15</v>
      </c>
      <c r="E18151" s="557">
        <v>44.81</v>
      </c>
      <c r="F18151" s="557">
        <v>44.44</v>
      </c>
      <c r="G18151" s="557">
        <v>0.9</v>
      </c>
      <c r="H18151" s="558">
        <v>760.02</v>
      </c>
      <c r="I18151" s="558">
        <v>515.35</v>
      </c>
      <c r="J18151" s="558">
        <v>234.32</v>
      </c>
      <c r="K18151" s="558">
        <v>10.35</v>
      </c>
      <c r="L18151" s="43">
        <v>8.4306156405990009</v>
      </c>
      <c r="M18151" s="43">
        <v>11.500781075652757</v>
      </c>
      <c r="N18151" s="43">
        <v>5.2727272727272725</v>
      </c>
      <c r="O18151" s="43">
        <v>11.503164556962025</v>
      </c>
      <c r="P18151" s="559"/>
      <c r="Q18151" s="559"/>
      <c r="R18151" s="559">
        <v>11</v>
      </c>
    </row>
    <row r="18152" spans="1:18" ht="84">
      <c r="A18152" s="555">
        <v>586</v>
      </c>
      <c r="B18152" s="552" t="s">
        <v>32757</v>
      </c>
      <c r="C18152" s="556" t="s">
        <v>32758</v>
      </c>
      <c r="D18152" s="557">
        <v>106.75</v>
      </c>
      <c r="E18152" s="557">
        <v>52.85</v>
      </c>
      <c r="F18152" s="557">
        <v>52.84</v>
      </c>
      <c r="G18152" s="557">
        <v>1.06</v>
      </c>
      <c r="H18152" s="558">
        <v>898.68</v>
      </c>
      <c r="I18152" s="558">
        <v>607.84</v>
      </c>
      <c r="J18152" s="558">
        <v>278.64999999999998</v>
      </c>
      <c r="K18152" s="558">
        <v>12.19</v>
      </c>
      <c r="L18152" s="43">
        <v>8.4185480093676812</v>
      </c>
      <c r="M18152" s="43">
        <v>11.501229895931884</v>
      </c>
      <c r="N18152" s="43">
        <v>5.2734670704012103</v>
      </c>
      <c r="O18152" s="43">
        <v>11.503164556962025</v>
      </c>
      <c r="P18152" s="559"/>
      <c r="Q18152" s="559"/>
      <c r="R18152" s="559">
        <v>11</v>
      </c>
    </row>
    <row r="18153" spans="1:18" ht="84">
      <c r="A18153" s="555">
        <v>587</v>
      </c>
      <c r="B18153" s="552" t="s">
        <v>32759</v>
      </c>
      <c r="C18153" s="556" t="s">
        <v>32760</v>
      </c>
      <c r="D18153" s="557">
        <v>126.91</v>
      </c>
      <c r="E18153" s="557">
        <v>63.2</v>
      </c>
      <c r="F18153" s="557">
        <v>62.45</v>
      </c>
      <c r="G18153" s="557">
        <v>1.26</v>
      </c>
      <c r="H18153" s="558">
        <v>1070.58</v>
      </c>
      <c r="I18153" s="558">
        <v>726.77</v>
      </c>
      <c r="J18153" s="558">
        <v>329.32</v>
      </c>
      <c r="K18153" s="558">
        <v>14.49</v>
      </c>
      <c r="L18153" s="43">
        <v>8.4357418643132931</v>
      </c>
      <c r="M18153" s="43">
        <v>11.499525316455696</v>
      </c>
      <c r="N18153" s="43">
        <v>5.2733386709367487</v>
      </c>
      <c r="O18153" s="43">
        <v>11.503164556962025</v>
      </c>
      <c r="P18153" s="559"/>
      <c r="Q18153" s="559"/>
      <c r="R18153" s="559">
        <v>11</v>
      </c>
    </row>
    <row r="18154" spans="1:18" ht="84">
      <c r="A18154" s="555">
        <v>588</v>
      </c>
      <c r="B18154" s="552" t="s">
        <v>32761</v>
      </c>
      <c r="C18154" s="556" t="s">
        <v>32762</v>
      </c>
      <c r="D18154" s="557">
        <v>145.9</v>
      </c>
      <c r="E18154" s="557">
        <v>72.39</v>
      </c>
      <c r="F18154" s="557">
        <v>72.06</v>
      </c>
      <c r="G18154" s="557">
        <v>1.45</v>
      </c>
      <c r="H18154" s="558">
        <v>1229.1400000000001</v>
      </c>
      <c r="I18154" s="558">
        <v>832.48</v>
      </c>
      <c r="J18154" s="558">
        <v>379.98</v>
      </c>
      <c r="K18154" s="558">
        <v>16.68</v>
      </c>
      <c r="L18154" s="43">
        <v>8.4245373543522959</v>
      </c>
      <c r="M18154" s="43">
        <v>11.499930929686421</v>
      </c>
      <c r="N18154" s="43">
        <v>5.2731057452123231</v>
      </c>
      <c r="O18154" s="43">
        <v>11.503164556962025</v>
      </c>
      <c r="P18154" s="559"/>
      <c r="Q18154" s="559"/>
      <c r="R18154" s="559">
        <v>11</v>
      </c>
    </row>
    <row r="18155" spans="1:18" ht="84">
      <c r="A18155" s="555">
        <v>589</v>
      </c>
      <c r="B18155" s="552" t="s">
        <v>32763</v>
      </c>
      <c r="C18155" s="556" t="s">
        <v>32764</v>
      </c>
      <c r="D18155" s="557">
        <v>166.05</v>
      </c>
      <c r="E18155" s="557">
        <v>82.73</v>
      </c>
      <c r="F18155" s="557">
        <v>81.67</v>
      </c>
      <c r="G18155" s="557">
        <v>1.65</v>
      </c>
      <c r="H18155" s="558">
        <v>1401.03</v>
      </c>
      <c r="I18155" s="558">
        <v>951.41</v>
      </c>
      <c r="J18155" s="558">
        <v>430.64</v>
      </c>
      <c r="K18155" s="558">
        <v>18.98</v>
      </c>
      <c r="L18155" s="43">
        <v>8.4373983739837399</v>
      </c>
      <c r="M18155" s="43">
        <v>11.500181312703976</v>
      </c>
      <c r="N18155" s="43">
        <v>5.2729276356067096</v>
      </c>
      <c r="O18155" s="43">
        <v>11.503164556962025</v>
      </c>
      <c r="P18155" s="559"/>
      <c r="Q18155" s="559"/>
      <c r="R18155" s="559">
        <v>11</v>
      </c>
    </row>
    <row r="18156" spans="1:18" ht="84">
      <c r="A18156" s="555">
        <v>590</v>
      </c>
      <c r="B18156" s="552" t="s">
        <v>32765</v>
      </c>
      <c r="C18156" s="556" t="s">
        <v>32766</v>
      </c>
      <c r="D18156" s="557">
        <v>58.12</v>
      </c>
      <c r="E18156" s="557">
        <v>28.73</v>
      </c>
      <c r="F18156" s="557">
        <v>28.82</v>
      </c>
      <c r="G18156" s="557">
        <v>0.56999999999999995</v>
      </c>
      <c r="H18156" s="558">
        <v>488.9</v>
      </c>
      <c r="I18156" s="558">
        <v>330.35</v>
      </c>
      <c r="J18156" s="558">
        <v>151.99</v>
      </c>
      <c r="K18156" s="558">
        <v>6.56</v>
      </c>
      <c r="L18156" s="43">
        <v>8.4119064005505848</v>
      </c>
      <c r="M18156" s="43">
        <v>11.498433693003829</v>
      </c>
      <c r="N18156" s="43">
        <v>5.2737682165163084</v>
      </c>
      <c r="O18156" s="43">
        <v>11.503164556962025</v>
      </c>
      <c r="P18156" s="559"/>
      <c r="Q18156" s="559"/>
      <c r="R18156" s="559">
        <v>11</v>
      </c>
    </row>
    <row r="18157" spans="1:18" ht="84">
      <c r="A18157" s="555">
        <v>591</v>
      </c>
      <c r="B18157" s="552" t="s">
        <v>32767</v>
      </c>
      <c r="C18157" s="556" t="s">
        <v>32768</v>
      </c>
      <c r="D18157" s="557">
        <v>80.650000000000006</v>
      </c>
      <c r="E18157" s="557">
        <v>40.22</v>
      </c>
      <c r="F18157" s="557">
        <v>39.630000000000003</v>
      </c>
      <c r="G18157" s="557">
        <v>0.8</v>
      </c>
      <c r="H18157" s="558">
        <v>680.68</v>
      </c>
      <c r="I18157" s="558">
        <v>462.49</v>
      </c>
      <c r="J18157" s="558">
        <v>208.99</v>
      </c>
      <c r="K18157" s="558">
        <v>9.1999999999999993</v>
      </c>
      <c r="L18157" s="43">
        <v>8.4399256044637312</v>
      </c>
      <c r="M18157" s="43">
        <v>11.499005469915465</v>
      </c>
      <c r="N18157" s="43">
        <v>5.2735301539237946</v>
      </c>
      <c r="O18157" s="43">
        <v>11.503164556962025</v>
      </c>
      <c r="P18157" s="559"/>
      <c r="Q18157" s="559"/>
      <c r="R18157" s="559">
        <v>11</v>
      </c>
    </row>
    <row r="18158" spans="1:18" ht="84">
      <c r="A18158" s="555">
        <v>592</v>
      </c>
      <c r="B18158" s="552" t="s">
        <v>32769</v>
      </c>
      <c r="C18158" s="556" t="s">
        <v>32770</v>
      </c>
      <c r="D18158" s="557">
        <v>104.38</v>
      </c>
      <c r="E18158" s="557">
        <v>51.71</v>
      </c>
      <c r="F18158" s="557">
        <v>51.64</v>
      </c>
      <c r="G18158" s="557">
        <v>1.03</v>
      </c>
      <c r="H18158" s="558">
        <v>878.8</v>
      </c>
      <c r="I18158" s="558">
        <v>594.63</v>
      </c>
      <c r="J18158" s="558">
        <v>272.32</v>
      </c>
      <c r="K18158" s="558">
        <v>11.85</v>
      </c>
      <c r="L18158" s="43">
        <v>8.4192374018011105</v>
      </c>
      <c r="M18158" s="43">
        <v>11.499323148327209</v>
      </c>
      <c r="N18158" s="43">
        <v>5.2734314484895428</v>
      </c>
      <c r="O18158" s="43">
        <v>11.503164556962025</v>
      </c>
      <c r="P18158" s="559"/>
      <c r="Q18158" s="559"/>
      <c r="R18158" s="559">
        <v>11</v>
      </c>
    </row>
    <row r="18159" spans="1:18" ht="84">
      <c r="A18159" s="555">
        <v>593</v>
      </c>
      <c r="B18159" s="552" t="s">
        <v>32771</v>
      </c>
      <c r="C18159" s="556" t="s">
        <v>32772</v>
      </c>
      <c r="D18159" s="557">
        <v>126.91</v>
      </c>
      <c r="E18159" s="557">
        <v>63.2</v>
      </c>
      <c r="F18159" s="557">
        <v>62.45</v>
      </c>
      <c r="G18159" s="557">
        <v>1.26</v>
      </c>
      <c r="H18159" s="558">
        <v>1070.58</v>
      </c>
      <c r="I18159" s="558">
        <v>726.77</v>
      </c>
      <c r="J18159" s="558">
        <v>329.32</v>
      </c>
      <c r="K18159" s="558">
        <v>14.49</v>
      </c>
      <c r="L18159" s="43">
        <v>8.4357418643132931</v>
      </c>
      <c r="M18159" s="43">
        <v>11.499525316455696</v>
      </c>
      <c r="N18159" s="43">
        <v>5.2733386709367487</v>
      </c>
      <c r="O18159" s="43">
        <v>11.503164556962025</v>
      </c>
      <c r="P18159" s="559"/>
      <c r="Q18159" s="559"/>
      <c r="R18159" s="559">
        <v>11</v>
      </c>
    </row>
    <row r="18160" spans="1:18" ht="84">
      <c r="A18160" s="555">
        <v>594</v>
      </c>
      <c r="B18160" s="552" t="s">
        <v>32773</v>
      </c>
      <c r="C18160" s="556" t="s">
        <v>32774</v>
      </c>
      <c r="D18160" s="557">
        <v>148.27000000000001</v>
      </c>
      <c r="E18160" s="557">
        <v>73.540000000000006</v>
      </c>
      <c r="F18160" s="557">
        <v>73.260000000000005</v>
      </c>
      <c r="G18160" s="557">
        <v>1.47</v>
      </c>
      <c r="H18160" s="558">
        <v>1248.92</v>
      </c>
      <c r="I18160" s="558">
        <v>845.7</v>
      </c>
      <c r="J18160" s="558">
        <v>386.31</v>
      </c>
      <c r="K18160" s="558">
        <v>16.91</v>
      </c>
      <c r="L18160" s="43">
        <v>8.4232818506778173</v>
      </c>
      <c r="M18160" s="43">
        <v>11.49986401958118</v>
      </c>
      <c r="N18160" s="43">
        <v>5.2731367731367724</v>
      </c>
      <c r="O18160" s="43">
        <v>11.503164556962025</v>
      </c>
      <c r="P18160" s="559"/>
      <c r="Q18160" s="559"/>
      <c r="R18160" s="559">
        <v>11</v>
      </c>
    </row>
    <row r="18161" spans="1:18" ht="84">
      <c r="A18161" s="555">
        <v>595</v>
      </c>
      <c r="B18161" s="552" t="s">
        <v>32775</v>
      </c>
      <c r="C18161" s="556" t="s">
        <v>32776</v>
      </c>
      <c r="D18161" s="557">
        <v>168.43</v>
      </c>
      <c r="E18161" s="557">
        <v>83.88</v>
      </c>
      <c r="F18161" s="557">
        <v>82.87</v>
      </c>
      <c r="G18161" s="557">
        <v>1.68</v>
      </c>
      <c r="H18161" s="558">
        <v>1420.92</v>
      </c>
      <c r="I18161" s="558">
        <v>964.62</v>
      </c>
      <c r="J18161" s="558">
        <v>436.98</v>
      </c>
      <c r="K18161" s="558">
        <v>19.32</v>
      </c>
      <c r="L18161" s="43">
        <v>8.4362643234578165</v>
      </c>
      <c r="M18161" s="43">
        <v>11.5</v>
      </c>
      <c r="N18161" s="43">
        <v>5.2730783154338123</v>
      </c>
      <c r="O18161" s="43">
        <v>11.503164556962025</v>
      </c>
      <c r="P18161" s="559"/>
      <c r="Q18161" s="559"/>
      <c r="R18161" s="559">
        <v>11</v>
      </c>
    </row>
    <row r="18162" spans="1:18" ht="84">
      <c r="A18162" s="555">
        <v>596</v>
      </c>
      <c r="B18162" s="552" t="s">
        <v>32777</v>
      </c>
      <c r="C18162" s="556" t="s">
        <v>32778</v>
      </c>
      <c r="D18162" s="557">
        <v>189.78</v>
      </c>
      <c r="E18162" s="557">
        <v>94.22</v>
      </c>
      <c r="F18162" s="557">
        <v>93.68</v>
      </c>
      <c r="G18162" s="557">
        <v>1.88</v>
      </c>
      <c r="H18162" s="558">
        <v>1599.14</v>
      </c>
      <c r="I18162" s="558">
        <v>1083.55</v>
      </c>
      <c r="J18162" s="558">
        <v>493.97</v>
      </c>
      <c r="K18162" s="558">
        <v>21.62</v>
      </c>
      <c r="L18162" s="43">
        <v>8.4262830646011171</v>
      </c>
      <c r="M18162" s="43">
        <v>11.500212269157291</v>
      </c>
      <c r="N18162" s="43">
        <v>5.272950469684031</v>
      </c>
      <c r="O18162" s="43">
        <v>11.503164556962025</v>
      </c>
      <c r="P18162" s="559"/>
      <c r="Q18162" s="559"/>
      <c r="R18162" s="559">
        <v>11</v>
      </c>
    </row>
    <row r="18163" spans="1:18" ht="84">
      <c r="A18163" s="555">
        <v>597</v>
      </c>
      <c r="B18163" s="552" t="s">
        <v>32779</v>
      </c>
      <c r="C18163" s="556" t="s">
        <v>32780</v>
      </c>
      <c r="D18163" s="557">
        <v>68.790000000000006</v>
      </c>
      <c r="E18163" s="557">
        <v>34.47</v>
      </c>
      <c r="F18163" s="557">
        <v>33.630000000000003</v>
      </c>
      <c r="G18163" s="557">
        <v>0.69</v>
      </c>
      <c r="H18163" s="558">
        <v>581.67999999999995</v>
      </c>
      <c r="I18163" s="558">
        <v>396.42</v>
      </c>
      <c r="J18163" s="558">
        <v>177.32</v>
      </c>
      <c r="K18163" s="558">
        <v>7.94</v>
      </c>
      <c r="L18163" s="43">
        <v>8.4558802151475483</v>
      </c>
      <c r="M18163" s="43">
        <v>11.500435161009575</v>
      </c>
      <c r="N18163" s="43">
        <v>5.2726732084448402</v>
      </c>
      <c r="O18163" s="43">
        <v>11.503164556962025</v>
      </c>
      <c r="P18163" s="559"/>
      <c r="Q18163" s="559"/>
      <c r="R18163" s="559">
        <v>11</v>
      </c>
    </row>
    <row r="18164" spans="1:18" ht="84">
      <c r="A18164" s="555">
        <v>598</v>
      </c>
      <c r="B18164" s="552" t="s">
        <v>32781</v>
      </c>
      <c r="C18164" s="556" t="s">
        <v>32782</v>
      </c>
      <c r="D18164" s="557">
        <v>90.15</v>
      </c>
      <c r="E18164" s="557">
        <v>44.81</v>
      </c>
      <c r="F18164" s="557">
        <v>44.44</v>
      </c>
      <c r="G18164" s="557">
        <v>0.9</v>
      </c>
      <c r="H18164" s="558">
        <v>760.02</v>
      </c>
      <c r="I18164" s="558">
        <v>515.35</v>
      </c>
      <c r="J18164" s="558">
        <v>234.32</v>
      </c>
      <c r="K18164" s="558">
        <v>10.35</v>
      </c>
      <c r="L18164" s="43">
        <v>8.4306156405990009</v>
      </c>
      <c r="M18164" s="43">
        <v>11.500781075652757</v>
      </c>
      <c r="N18164" s="43">
        <v>5.2727272727272725</v>
      </c>
      <c r="O18164" s="43">
        <v>11.503164556962025</v>
      </c>
      <c r="P18164" s="559"/>
      <c r="Q18164" s="559"/>
      <c r="R18164" s="559">
        <v>11</v>
      </c>
    </row>
    <row r="18165" spans="1:18" ht="84">
      <c r="A18165" s="555">
        <v>599</v>
      </c>
      <c r="B18165" s="552" t="s">
        <v>32783</v>
      </c>
      <c r="C18165" s="556" t="s">
        <v>32784</v>
      </c>
      <c r="D18165" s="557">
        <v>116.25</v>
      </c>
      <c r="E18165" s="557">
        <v>57.45</v>
      </c>
      <c r="F18165" s="557">
        <v>57.65</v>
      </c>
      <c r="G18165" s="557">
        <v>1.1499999999999999</v>
      </c>
      <c r="H18165" s="558">
        <v>977.91</v>
      </c>
      <c r="I18165" s="558">
        <v>660.7</v>
      </c>
      <c r="J18165" s="558">
        <v>303.98</v>
      </c>
      <c r="K18165" s="558">
        <v>13.23</v>
      </c>
      <c r="L18165" s="43">
        <v>8.4121290322580649</v>
      </c>
      <c r="M18165" s="43">
        <v>11.500435161009573</v>
      </c>
      <c r="N18165" s="43">
        <v>5.2728534258456206</v>
      </c>
      <c r="O18165" s="43">
        <v>11.503164556962025</v>
      </c>
      <c r="P18165" s="559"/>
      <c r="Q18165" s="559"/>
      <c r="R18165" s="559">
        <v>11</v>
      </c>
    </row>
    <row r="18166" spans="1:18" ht="84">
      <c r="A18166" s="555">
        <v>600</v>
      </c>
      <c r="B18166" s="552" t="s">
        <v>32785</v>
      </c>
      <c r="C18166" s="556" t="s">
        <v>32786</v>
      </c>
      <c r="D18166" s="557">
        <v>141.15</v>
      </c>
      <c r="E18166" s="557">
        <v>70.09</v>
      </c>
      <c r="F18166" s="557">
        <v>69.66</v>
      </c>
      <c r="G18166" s="557">
        <v>1.4</v>
      </c>
      <c r="H18166" s="558">
        <v>1189.46</v>
      </c>
      <c r="I18166" s="558">
        <v>806.05</v>
      </c>
      <c r="J18166" s="558">
        <v>367.31</v>
      </c>
      <c r="K18166" s="558">
        <v>16.100000000000001</v>
      </c>
      <c r="L18166" s="43">
        <v>8.4269217144881328</v>
      </c>
      <c r="M18166" s="43">
        <v>11.500214010557853</v>
      </c>
      <c r="N18166" s="43">
        <v>5.2728969279356876</v>
      </c>
      <c r="O18166" s="43">
        <v>11.503164556962025</v>
      </c>
      <c r="P18166" s="559"/>
      <c r="Q18166" s="559"/>
      <c r="R18166" s="559">
        <v>11</v>
      </c>
    </row>
    <row r="18167" spans="1:18" ht="84">
      <c r="A18167" s="555">
        <v>601</v>
      </c>
      <c r="B18167" s="552" t="s">
        <v>32787</v>
      </c>
      <c r="C18167" s="556" t="s">
        <v>32788</v>
      </c>
      <c r="D18167" s="557">
        <v>162.51</v>
      </c>
      <c r="E18167" s="557">
        <v>80.430000000000007</v>
      </c>
      <c r="F18167" s="557">
        <v>80.47</v>
      </c>
      <c r="G18167" s="557">
        <v>1.61</v>
      </c>
      <c r="H18167" s="558">
        <v>1367.81</v>
      </c>
      <c r="I18167" s="558">
        <v>924.98</v>
      </c>
      <c r="J18167" s="558">
        <v>424.31</v>
      </c>
      <c r="K18167" s="558">
        <v>18.52</v>
      </c>
      <c r="L18167" s="43">
        <v>8.4167743523475487</v>
      </c>
      <c r="M18167" s="43">
        <v>11.500435161009573</v>
      </c>
      <c r="N18167" s="43">
        <v>5.2728967317012554</v>
      </c>
      <c r="O18167" s="43">
        <v>11.503164556962025</v>
      </c>
      <c r="P18167" s="559"/>
      <c r="Q18167" s="559"/>
      <c r="R18167" s="559">
        <v>11</v>
      </c>
    </row>
    <row r="18168" spans="1:18" ht="84">
      <c r="A18168" s="555">
        <v>602</v>
      </c>
      <c r="B18168" s="552" t="s">
        <v>32789</v>
      </c>
      <c r="C18168" s="556" t="s">
        <v>32790</v>
      </c>
      <c r="D18168" s="557">
        <v>189.78</v>
      </c>
      <c r="E18168" s="557">
        <v>94.22</v>
      </c>
      <c r="F18168" s="557">
        <v>93.68</v>
      </c>
      <c r="G18168" s="557">
        <v>1.88</v>
      </c>
      <c r="H18168" s="558">
        <v>1599.14</v>
      </c>
      <c r="I18168" s="558">
        <v>1083.55</v>
      </c>
      <c r="J18168" s="558">
        <v>493.97</v>
      </c>
      <c r="K18168" s="558">
        <v>21.62</v>
      </c>
      <c r="L18168" s="43">
        <v>8.4262830646011171</v>
      </c>
      <c r="M18168" s="43">
        <v>11.500212269157291</v>
      </c>
      <c r="N18168" s="43">
        <v>5.272950469684031</v>
      </c>
      <c r="O18168" s="43">
        <v>11.503164556962025</v>
      </c>
      <c r="P18168" s="559"/>
      <c r="Q18168" s="559"/>
      <c r="R18168" s="559">
        <v>11</v>
      </c>
    </row>
    <row r="18169" spans="1:18" ht="84">
      <c r="A18169" s="555">
        <v>603</v>
      </c>
      <c r="B18169" s="552" t="s">
        <v>32791</v>
      </c>
      <c r="C18169" s="556" t="s">
        <v>32792</v>
      </c>
      <c r="D18169" s="557">
        <v>217.06</v>
      </c>
      <c r="E18169" s="557">
        <v>108.01</v>
      </c>
      <c r="F18169" s="557">
        <v>106.89</v>
      </c>
      <c r="G18169" s="557">
        <v>2.16</v>
      </c>
      <c r="H18169" s="558">
        <v>1830.6</v>
      </c>
      <c r="I18169" s="558">
        <v>1242.1199999999999</v>
      </c>
      <c r="J18169" s="558">
        <v>563.64</v>
      </c>
      <c r="K18169" s="558">
        <v>24.84</v>
      </c>
      <c r="L18169" s="43">
        <v>8.4336128259467422</v>
      </c>
      <c r="M18169" s="43">
        <v>11.500046292009998</v>
      </c>
      <c r="N18169" s="43">
        <v>5.2730844793713159</v>
      </c>
      <c r="O18169" s="43">
        <v>11.503164556962025</v>
      </c>
      <c r="P18169" s="559"/>
      <c r="Q18169" s="559"/>
      <c r="R18169" s="559">
        <v>11</v>
      </c>
    </row>
    <row r="18170" spans="1:18" ht="84">
      <c r="A18170" s="555">
        <v>604</v>
      </c>
      <c r="B18170" s="552" t="s">
        <v>32793</v>
      </c>
      <c r="C18170" s="556" t="s">
        <v>32794</v>
      </c>
      <c r="D18170" s="557">
        <v>255.03</v>
      </c>
      <c r="E18170" s="557">
        <v>126.39</v>
      </c>
      <c r="F18170" s="557">
        <v>126.11</v>
      </c>
      <c r="G18170" s="557">
        <v>2.5299999999999998</v>
      </c>
      <c r="H18170" s="558">
        <v>2147.61</v>
      </c>
      <c r="I18170" s="558">
        <v>1453.54</v>
      </c>
      <c r="J18170" s="558">
        <v>664.97</v>
      </c>
      <c r="K18170" s="558">
        <v>29.1</v>
      </c>
      <c r="L18170" s="43">
        <v>8.4210092930243512</v>
      </c>
      <c r="M18170" s="43">
        <v>11.500435161009573</v>
      </c>
      <c r="N18170" s="43">
        <v>5.2729363254301802</v>
      </c>
      <c r="O18170" s="43">
        <v>11.503164556962025</v>
      </c>
      <c r="P18170" s="559"/>
      <c r="Q18170" s="559"/>
      <c r="R18170" s="559">
        <v>11</v>
      </c>
    </row>
    <row r="18171" spans="1:18" ht="12.75" customHeight="1">
      <c r="A18171" s="628" t="s">
        <v>32795</v>
      </c>
      <c r="B18171" s="629"/>
      <c r="C18171" s="629"/>
      <c r="D18171" s="629"/>
      <c r="E18171" s="629"/>
      <c r="F18171" s="629"/>
      <c r="G18171" s="629"/>
      <c r="H18171" s="629"/>
      <c r="I18171" s="629"/>
      <c r="J18171" s="629"/>
      <c r="K18171" s="629"/>
      <c r="L18171" s="629"/>
      <c r="M18171" s="629"/>
      <c r="N18171" s="629"/>
      <c r="O18171" s="629"/>
      <c r="P18171" s="629"/>
      <c r="Q18171" s="629"/>
      <c r="R18171" s="629"/>
    </row>
    <row r="18172" spans="1:18" ht="84">
      <c r="A18172" s="555">
        <v>605</v>
      </c>
      <c r="B18172" s="552" t="s">
        <v>32796</v>
      </c>
      <c r="C18172" s="556" t="s">
        <v>32797</v>
      </c>
      <c r="D18172" s="557">
        <v>75.91</v>
      </c>
      <c r="E18172" s="557">
        <v>37.92</v>
      </c>
      <c r="F18172" s="557">
        <v>37.229999999999997</v>
      </c>
      <c r="G18172" s="557">
        <v>0.76</v>
      </c>
      <c r="H18172" s="558">
        <v>641.12</v>
      </c>
      <c r="I18172" s="558">
        <v>436.06</v>
      </c>
      <c r="J18172" s="558">
        <v>196.32</v>
      </c>
      <c r="K18172" s="558">
        <v>8.74</v>
      </c>
      <c r="L18172" s="43">
        <v>8.4457910683704398</v>
      </c>
      <c r="M18172" s="43">
        <v>11.499472573839663</v>
      </c>
      <c r="N18172" s="43">
        <v>5.2731668009669628</v>
      </c>
      <c r="O18172" s="43">
        <v>11.503164556962025</v>
      </c>
      <c r="P18172" s="559"/>
      <c r="Q18172" s="559"/>
      <c r="R18172" s="559">
        <v>12</v>
      </c>
    </row>
    <row r="18173" spans="1:18" ht="84">
      <c r="A18173" s="555">
        <v>606</v>
      </c>
      <c r="B18173" s="552" t="s">
        <v>32798</v>
      </c>
      <c r="C18173" s="556" t="s">
        <v>32799</v>
      </c>
      <c r="D18173" s="557">
        <v>102.01</v>
      </c>
      <c r="E18173" s="557">
        <v>50.56</v>
      </c>
      <c r="F18173" s="557">
        <v>50.44</v>
      </c>
      <c r="G18173" s="557">
        <v>1.01</v>
      </c>
      <c r="H18173" s="558">
        <v>859.03</v>
      </c>
      <c r="I18173" s="558">
        <v>581.41999999999996</v>
      </c>
      <c r="J18173" s="558">
        <v>265.99</v>
      </c>
      <c r="K18173" s="558">
        <v>11.62</v>
      </c>
      <c r="L18173" s="43">
        <v>8.4210371532202721</v>
      </c>
      <c r="M18173" s="43">
        <v>11.499604430379746</v>
      </c>
      <c r="N18173" s="43">
        <v>5.2733941316415551</v>
      </c>
      <c r="O18173" s="43">
        <v>11.503164556962025</v>
      </c>
      <c r="P18173" s="559"/>
      <c r="Q18173" s="559"/>
      <c r="R18173" s="559">
        <v>12</v>
      </c>
    </row>
    <row r="18174" spans="1:18" ht="84">
      <c r="A18174" s="555">
        <v>607</v>
      </c>
      <c r="B18174" s="552" t="s">
        <v>32800</v>
      </c>
      <c r="C18174" s="556" t="s">
        <v>32801</v>
      </c>
      <c r="D18174" s="557">
        <v>134.03</v>
      </c>
      <c r="E18174" s="557">
        <v>66.64</v>
      </c>
      <c r="F18174" s="557">
        <v>66.06</v>
      </c>
      <c r="G18174" s="557">
        <v>1.33</v>
      </c>
      <c r="H18174" s="558">
        <v>1130.03</v>
      </c>
      <c r="I18174" s="558">
        <v>766.41</v>
      </c>
      <c r="J18174" s="558">
        <v>348.32</v>
      </c>
      <c r="K18174" s="558">
        <v>15.3</v>
      </c>
      <c r="L18174" s="43">
        <v>8.4311721256435117</v>
      </c>
      <c r="M18174" s="43">
        <v>11.500750300120048</v>
      </c>
      <c r="N18174" s="43">
        <v>5.272782319103845</v>
      </c>
      <c r="O18174" s="43">
        <v>11.503164556962025</v>
      </c>
      <c r="P18174" s="559"/>
      <c r="Q18174" s="559"/>
      <c r="R18174" s="559">
        <v>12</v>
      </c>
    </row>
    <row r="18175" spans="1:18" ht="84">
      <c r="A18175" s="555">
        <v>608</v>
      </c>
      <c r="B18175" s="552" t="s">
        <v>32802</v>
      </c>
      <c r="C18175" s="556" t="s">
        <v>32803</v>
      </c>
      <c r="D18175" s="557">
        <v>161.31</v>
      </c>
      <c r="E18175" s="557">
        <v>80.430000000000007</v>
      </c>
      <c r="F18175" s="557">
        <v>79.27</v>
      </c>
      <c r="G18175" s="557">
        <v>1.61</v>
      </c>
      <c r="H18175" s="558">
        <v>1361.48</v>
      </c>
      <c r="I18175" s="558">
        <v>924.98</v>
      </c>
      <c r="J18175" s="558">
        <v>417.98</v>
      </c>
      <c r="K18175" s="558">
        <v>18.52</v>
      </c>
      <c r="L18175" s="43">
        <v>8.4401463021511383</v>
      </c>
      <c r="M18175" s="43">
        <v>11.500435161009573</v>
      </c>
      <c r="N18175" s="43">
        <v>5.2728648921407855</v>
      </c>
      <c r="O18175" s="43">
        <v>11.503164556962025</v>
      </c>
      <c r="P18175" s="559"/>
      <c r="Q18175" s="559"/>
      <c r="R18175" s="559">
        <v>12</v>
      </c>
    </row>
    <row r="18176" spans="1:18" ht="84">
      <c r="A18176" s="555">
        <v>609</v>
      </c>
      <c r="B18176" s="552" t="s">
        <v>32804</v>
      </c>
      <c r="C18176" s="556" t="s">
        <v>32805</v>
      </c>
      <c r="D18176" s="557">
        <v>187.41</v>
      </c>
      <c r="E18176" s="557">
        <v>93.07</v>
      </c>
      <c r="F18176" s="557">
        <v>92.48</v>
      </c>
      <c r="G18176" s="557">
        <v>1.86</v>
      </c>
      <c r="H18176" s="558">
        <v>1579.36</v>
      </c>
      <c r="I18176" s="558">
        <v>1070.33</v>
      </c>
      <c r="J18176" s="558">
        <v>487.64</v>
      </c>
      <c r="K18176" s="558">
        <v>21.39</v>
      </c>
      <c r="L18176" s="43">
        <v>8.4272984365828929</v>
      </c>
      <c r="M18176" s="43">
        <v>11.500268615020952</v>
      </c>
      <c r="N18176" s="43">
        <v>5.2729238754325252</v>
      </c>
      <c r="O18176" s="43">
        <v>11.503164556962025</v>
      </c>
      <c r="P18176" s="559"/>
      <c r="Q18176" s="559"/>
      <c r="R18176" s="559">
        <v>12</v>
      </c>
    </row>
    <row r="18177" spans="1:18" ht="84">
      <c r="A18177" s="555">
        <v>610</v>
      </c>
      <c r="B18177" s="552" t="s">
        <v>32806</v>
      </c>
      <c r="C18177" s="556" t="s">
        <v>32807</v>
      </c>
      <c r="D18177" s="557">
        <v>213.51</v>
      </c>
      <c r="E18177" s="557">
        <v>105.71</v>
      </c>
      <c r="F18177" s="557">
        <v>105.69</v>
      </c>
      <c r="G18177" s="557">
        <v>2.11</v>
      </c>
      <c r="H18177" s="558">
        <v>1797.26</v>
      </c>
      <c r="I18177" s="558">
        <v>1215.69</v>
      </c>
      <c r="J18177" s="558">
        <v>557.29999999999995</v>
      </c>
      <c r="K18177" s="558">
        <v>24.27</v>
      </c>
      <c r="L18177" s="43">
        <v>8.4176853543159567</v>
      </c>
      <c r="M18177" s="43">
        <v>11.500236496074166</v>
      </c>
      <c r="N18177" s="43">
        <v>5.2729681142965275</v>
      </c>
      <c r="O18177" s="43">
        <v>11.503164556962025</v>
      </c>
      <c r="P18177" s="559"/>
      <c r="Q18177" s="559"/>
      <c r="R18177" s="559">
        <v>12</v>
      </c>
    </row>
    <row r="18178" spans="1:18" ht="84">
      <c r="A18178" s="555">
        <v>611</v>
      </c>
      <c r="B18178" s="552" t="s">
        <v>32808</v>
      </c>
      <c r="C18178" s="556" t="s">
        <v>32809</v>
      </c>
      <c r="D18178" s="557">
        <v>243.16</v>
      </c>
      <c r="E18178" s="557">
        <v>120.65</v>
      </c>
      <c r="F18178" s="557">
        <v>120.1</v>
      </c>
      <c r="G18178" s="557">
        <v>2.41</v>
      </c>
      <c r="H18178" s="558">
        <v>2048.4899999999998</v>
      </c>
      <c r="I18178" s="558">
        <v>1387.47</v>
      </c>
      <c r="J18178" s="558">
        <v>633.29999999999995</v>
      </c>
      <c r="K18178" s="558">
        <v>27.72</v>
      </c>
      <c r="L18178" s="43">
        <v>8.4244530350386562</v>
      </c>
      <c r="M18178" s="43">
        <v>11.499958557811851</v>
      </c>
      <c r="N18178" s="43">
        <v>5.2731057452123231</v>
      </c>
      <c r="O18178" s="43">
        <v>11.503164556962025</v>
      </c>
      <c r="P18178" s="559"/>
      <c r="Q18178" s="559"/>
      <c r="R18178" s="559">
        <v>12</v>
      </c>
    </row>
    <row r="18179" spans="1:18" ht="84">
      <c r="A18179" s="555">
        <v>612</v>
      </c>
      <c r="B18179" s="552" t="s">
        <v>32810</v>
      </c>
      <c r="C18179" s="556" t="s">
        <v>32811</v>
      </c>
      <c r="D18179" s="557">
        <v>279.93</v>
      </c>
      <c r="E18179" s="557">
        <v>139.03</v>
      </c>
      <c r="F18179" s="557">
        <v>138.12</v>
      </c>
      <c r="G18179" s="557">
        <v>2.78</v>
      </c>
      <c r="H18179" s="558">
        <v>2359.16</v>
      </c>
      <c r="I18179" s="558">
        <v>1598.89</v>
      </c>
      <c r="J18179" s="558">
        <v>728.3</v>
      </c>
      <c r="K18179" s="558">
        <v>31.97</v>
      </c>
      <c r="L18179" s="43">
        <v>8.4276783481584676</v>
      </c>
      <c r="M18179" s="43">
        <v>11.500323671150111</v>
      </c>
      <c r="N18179" s="43">
        <v>5.2729510570518388</v>
      </c>
      <c r="O18179" s="43">
        <v>11.503164556962025</v>
      </c>
      <c r="P18179" s="559"/>
      <c r="Q18179" s="559"/>
      <c r="R18179" s="559">
        <v>12</v>
      </c>
    </row>
    <row r="18180" spans="1:18" ht="84">
      <c r="A18180" s="555">
        <v>613</v>
      </c>
      <c r="B18180" s="552" t="s">
        <v>32812</v>
      </c>
      <c r="C18180" s="556" t="s">
        <v>32813</v>
      </c>
      <c r="D18180" s="557">
        <v>91.32</v>
      </c>
      <c r="E18180" s="557">
        <v>45.96</v>
      </c>
      <c r="F18180" s="557">
        <v>44.44</v>
      </c>
      <c r="G18180" s="557">
        <v>0.92</v>
      </c>
      <c r="H18180" s="558">
        <v>773.46</v>
      </c>
      <c r="I18180" s="558">
        <v>528.55999999999995</v>
      </c>
      <c r="J18180" s="558">
        <v>234.32</v>
      </c>
      <c r="K18180" s="558">
        <v>10.58</v>
      </c>
      <c r="L18180" s="43">
        <v>8.4697766097240486</v>
      </c>
      <c r="M18180" s="43">
        <v>11.500435161009571</v>
      </c>
      <c r="N18180" s="43">
        <v>5.2727272727272725</v>
      </c>
      <c r="O18180" s="43">
        <v>11.503164556962025</v>
      </c>
      <c r="P18180" s="559"/>
      <c r="Q18180" s="559"/>
      <c r="R18180" s="559">
        <v>12</v>
      </c>
    </row>
    <row r="18181" spans="1:18" ht="84">
      <c r="A18181" s="555">
        <v>614</v>
      </c>
      <c r="B18181" s="552" t="s">
        <v>32814</v>
      </c>
      <c r="C18181" s="556" t="s">
        <v>32815</v>
      </c>
      <c r="D18181" s="557">
        <v>119.79</v>
      </c>
      <c r="E18181" s="557">
        <v>59.75</v>
      </c>
      <c r="F18181" s="557">
        <v>58.85</v>
      </c>
      <c r="G18181" s="557">
        <v>1.19</v>
      </c>
      <c r="H18181" s="558">
        <v>1011.14</v>
      </c>
      <c r="I18181" s="558">
        <v>687.13</v>
      </c>
      <c r="J18181" s="558">
        <v>310.32</v>
      </c>
      <c r="K18181" s="558">
        <v>13.69</v>
      </c>
      <c r="L18181" s="43">
        <v>8.4409383087069028</v>
      </c>
      <c r="M18181" s="43">
        <v>11.500083682008368</v>
      </c>
      <c r="N18181" s="43">
        <v>5.2730671197960914</v>
      </c>
      <c r="O18181" s="43">
        <v>11.503164556962025</v>
      </c>
      <c r="P18181" s="559"/>
      <c r="Q18181" s="559"/>
      <c r="R18181" s="559">
        <v>12</v>
      </c>
    </row>
    <row r="18182" spans="1:18" ht="84">
      <c r="A18182" s="555">
        <v>615</v>
      </c>
      <c r="B18182" s="552" t="s">
        <v>32816</v>
      </c>
      <c r="C18182" s="556" t="s">
        <v>32817</v>
      </c>
      <c r="D18182" s="557">
        <v>153.01</v>
      </c>
      <c r="E18182" s="557">
        <v>75.83</v>
      </c>
      <c r="F18182" s="557">
        <v>75.66</v>
      </c>
      <c r="G18182" s="557">
        <v>1.52</v>
      </c>
      <c r="H18182" s="558">
        <v>1288.58</v>
      </c>
      <c r="I18182" s="558">
        <v>872.12</v>
      </c>
      <c r="J18182" s="558">
        <v>398.98</v>
      </c>
      <c r="K18182" s="558">
        <v>17.48</v>
      </c>
      <c r="L18182" s="43">
        <v>8.4215410757466831</v>
      </c>
      <c r="M18182" s="43">
        <v>11.500989054463933</v>
      </c>
      <c r="N18182" s="43">
        <v>5.2733280465239236</v>
      </c>
      <c r="O18182" s="43">
        <v>11.503164556962025</v>
      </c>
      <c r="P18182" s="559"/>
      <c r="Q18182" s="559"/>
      <c r="R18182" s="559">
        <v>12</v>
      </c>
    </row>
    <row r="18183" spans="1:18" ht="84">
      <c r="A18183" s="555">
        <v>616</v>
      </c>
      <c r="B18183" s="552" t="s">
        <v>32818</v>
      </c>
      <c r="C18183" s="556" t="s">
        <v>32819</v>
      </c>
      <c r="D18183" s="557">
        <v>187.41</v>
      </c>
      <c r="E18183" s="557">
        <v>93.07</v>
      </c>
      <c r="F18183" s="557">
        <v>92.48</v>
      </c>
      <c r="G18183" s="557">
        <v>1.86</v>
      </c>
      <c r="H18183" s="558">
        <v>1579.36</v>
      </c>
      <c r="I18183" s="558">
        <v>1070.33</v>
      </c>
      <c r="J18183" s="558">
        <v>487.64</v>
      </c>
      <c r="K18183" s="558">
        <v>21.39</v>
      </c>
      <c r="L18183" s="43">
        <v>8.4272984365828929</v>
      </c>
      <c r="M18183" s="43">
        <v>11.500268615020952</v>
      </c>
      <c r="N18183" s="43">
        <v>5.2729238754325252</v>
      </c>
      <c r="O18183" s="43">
        <v>11.503164556962025</v>
      </c>
      <c r="P18183" s="559"/>
      <c r="Q18183" s="559"/>
      <c r="R18183" s="559">
        <v>12</v>
      </c>
    </row>
    <row r="18184" spans="1:18" ht="84">
      <c r="A18184" s="555">
        <v>617</v>
      </c>
      <c r="B18184" s="552" t="s">
        <v>32820</v>
      </c>
      <c r="C18184" s="556" t="s">
        <v>32821</v>
      </c>
      <c r="D18184" s="557">
        <v>217.06</v>
      </c>
      <c r="E18184" s="557">
        <v>108.01</v>
      </c>
      <c r="F18184" s="557">
        <v>106.89</v>
      </c>
      <c r="G18184" s="557">
        <v>2.16</v>
      </c>
      <c r="H18184" s="558">
        <v>1830.6</v>
      </c>
      <c r="I18184" s="558">
        <v>1242.1199999999999</v>
      </c>
      <c r="J18184" s="558">
        <v>563.64</v>
      </c>
      <c r="K18184" s="558">
        <v>24.84</v>
      </c>
      <c r="L18184" s="43">
        <v>8.4336128259467422</v>
      </c>
      <c r="M18184" s="43">
        <v>11.500046292009998</v>
      </c>
      <c r="N18184" s="43">
        <v>5.2730844793713159</v>
      </c>
      <c r="O18184" s="43">
        <v>11.503164556962025</v>
      </c>
      <c r="P18184" s="559"/>
      <c r="Q18184" s="559"/>
      <c r="R18184" s="559">
        <v>12</v>
      </c>
    </row>
    <row r="18185" spans="1:18" ht="84">
      <c r="A18185" s="555">
        <v>618</v>
      </c>
      <c r="B18185" s="552" t="s">
        <v>32822</v>
      </c>
      <c r="C18185" s="556" t="s">
        <v>32823</v>
      </c>
      <c r="D18185" s="557">
        <v>243.16</v>
      </c>
      <c r="E18185" s="557">
        <v>120.65</v>
      </c>
      <c r="F18185" s="557">
        <v>120.1</v>
      </c>
      <c r="G18185" s="557">
        <v>2.41</v>
      </c>
      <c r="H18185" s="558">
        <v>2048.4899999999998</v>
      </c>
      <c r="I18185" s="558">
        <v>1387.47</v>
      </c>
      <c r="J18185" s="558">
        <v>633.29999999999995</v>
      </c>
      <c r="K18185" s="558">
        <v>27.72</v>
      </c>
      <c r="L18185" s="43">
        <v>8.4244530350386562</v>
      </c>
      <c r="M18185" s="43">
        <v>11.499958557811851</v>
      </c>
      <c r="N18185" s="43">
        <v>5.2731057452123231</v>
      </c>
      <c r="O18185" s="43">
        <v>11.503164556962025</v>
      </c>
      <c r="P18185" s="559"/>
      <c r="Q18185" s="559"/>
      <c r="R18185" s="559">
        <v>12</v>
      </c>
    </row>
    <row r="18186" spans="1:18" ht="84">
      <c r="A18186" s="555">
        <v>619</v>
      </c>
      <c r="B18186" s="552" t="s">
        <v>32824</v>
      </c>
      <c r="C18186" s="556" t="s">
        <v>32825</v>
      </c>
      <c r="D18186" s="557">
        <v>279.93</v>
      </c>
      <c r="E18186" s="557">
        <v>139.03</v>
      </c>
      <c r="F18186" s="557">
        <v>138.12</v>
      </c>
      <c r="G18186" s="557">
        <v>2.78</v>
      </c>
      <c r="H18186" s="558">
        <v>2359.16</v>
      </c>
      <c r="I18186" s="558">
        <v>1598.89</v>
      </c>
      <c r="J18186" s="558">
        <v>728.3</v>
      </c>
      <c r="K18186" s="558">
        <v>31.97</v>
      </c>
      <c r="L18186" s="43">
        <v>8.4276783481584676</v>
      </c>
      <c r="M18186" s="43">
        <v>11.500323671150111</v>
      </c>
      <c r="N18186" s="43">
        <v>5.2729510570518388</v>
      </c>
      <c r="O18186" s="43">
        <v>11.503164556962025</v>
      </c>
      <c r="P18186" s="559"/>
      <c r="Q18186" s="559"/>
      <c r="R18186" s="559">
        <v>12</v>
      </c>
    </row>
    <row r="18187" spans="1:18" ht="84">
      <c r="A18187" s="555">
        <v>620</v>
      </c>
      <c r="B18187" s="552" t="s">
        <v>32826</v>
      </c>
      <c r="C18187" s="556" t="s">
        <v>32827</v>
      </c>
      <c r="D18187" s="557">
        <v>320.20999999999998</v>
      </c>
      <c r="E18187" s="557">
        <v>160.86000000000001</v>
      </c>
      <c r="F18187" s="557">
        <v>156.13</v>
      </c>
      <c r="G18187" s="557">
        <v>3.22</v>
      </c>
      <c r="H18187" s="558">
        <v>2710.28</v>
      </c>
      <c r="I18187" s="558">
        <v>1849.96</v>
      </c>
      <c r="J18187" s="558">
        <v>823.29</v>
      </c>
      <c r="K18187" s="558">
        <v>37.03</v>
      </c>
      <c r="L18187" s="43">
        <v>8.4640704537647178</v>
      </c>
      <c r="M18187" s="43">
        <v>11.500435161009573</v>
      </c>
      <c r="N18187" s="43">
        <v>5.2731057452123231</v>
      </c>
      <c r="O18187" s="43">
        <v>11.503164556962025</v>
      </c>
      <c r="P18187" s="559"/>
      <c r="Q18187" s="559"/>
      <c r="R18187" s="559">
        <v>12</v>
      </c>
    </row>
    <row r="18188" spans="1:18" ht="84">
      <c r="A18188" s="555">
        <v>621</v>
      </c>
      <c r="B18188" s="552" t="s">
        <v>32828</v>
      </c>
      <c r="C18188" s="556" t="s">
        <v>32829</v>
      </c>
      <c r="D18188" s="557">
        <v>104.38</v>
      </c>
      <c r="E18188" s="557">
        <v>51.71</v>
      </c>
      <c r="F18188" s="557">
        <v>51.64</v>
      </c>
      <c r="G18188" s="557">
        <v>1.03</v>
      </c>
      <c r="H18188" s="558">
        <v>878.8</v>
      </c>
      <c r="I18188" s="558">
        <v>594.63</v>
      </c>
      <c r="J18188" s="558">
        <v>272.32</v>
      </c>
      <c r="K18188" s="558">
        <v>11.85</v>
      </c>
      <c r="L18188" s="43">
        <v>8.4192374018011105</v>
      </c>
      <c r="M18188" s="43">
        <v>11.499323148327209</v>
      </c>
      <c r="N18188" s="43">
        <v>5.2734314484895428</v>
      </c>
      <c r="O18188" s="43">
        <v>11.503164556962025</v>
      </c>
      <c r="P18188" s="559"/>
      <c r="Q18188" s="559"/>
      <c r="R18188" s="559">
        <v>12</v>
      </c>
    </row>
    <row r="18189" spans="1:18" ht="84">
      <c r="A18189" s="555">
        <v>622</v>
      </c>
      <c r="B18189" s="552" t="s">
        <v>32830</v>
      </c>
      <c r="C18189" s="556" t="s">
        <v>32831</v>
      </c>
      <c r="D18189" s="557">
        <v>136.41</v>
      </c>
      <c r="E18189" s="557">
        <v>67.790000000000006</v>
      </c>
      <c r="F18189" s="557">
        <v>67.260000000000005</v>
      </c>
      <c r="G18189" s="557">
        <v>1.36</v>
      </c>
      <c r="H18189" s="558">
        <v>1149.92</v>
      </c>
      <c r="I18189" s="558">
        <v>779.63</v>
      </c>
      <c r="J18189" s="558">
        <v>354.65</v>
      </c>
      <c r="K18189" s="558">
        <v>15.64</v>
      </c>
      <c r="L18189" s="43">
        <v>8.4298805072941878</v>
      </c>
      <c r="M18189" s="43">
        <v>11.500663814721934</v>
      </c>
      <c r="N18189" s="43">
        <v>5.2728218852215276</v>
      </c>
      <c r="O18189" s="43">
        <v>11.503164556962025</v>
      </c>
      <c r="P18189" s="559"/>
      <c r="Q18189" s="559"/>
      <c r="R18189" s="559">
        <v>12</v>
      </c>
    </row>
    <row r="18190" spans="1:18" ht="84">
      <c r="A18190" s="555">
        <v>623</v>
      </c>
      <c r="B18190" s="552" t="s">
        <v>32832</v>
      </c>
      <c r="C18190" s="556" t="s">
        <v>32833</v>
      </c>
      <c r="D18190" s="557">
        <v>175.54</v>
      </c>
      <c r="E18190" s="557">
        <v>87.32</v>
      </c>
      <c r="F18190" s="557">
        <v>86.47</v>
      </c>
      <c r="G18190" s="557">
        <v>1.75</v>
      </c>
      <c r="H18190" s="558">
        <v>1480.37</v>
      </c>
      <c r="I18190" s="558">
        <v>1004.26</v>
      </c>
      <c r="J18190" s="558">
        <v>455.98</v>
      </c>
      <c r="K18190" s="558">
        <v>20.13</v>
      </c>
      <c r="L18190" s="43">
        <v>8.4332345904067445</v>
      </c>
      <c r="M18190" s="43">
        <v>11.500916170407697</v>
      </c>
      <c r="N18190" s="43">
        <v>5.2732739678501215</v>
      </c>
      <c r="O18190" s="43">
        <v>11.503164556962025</v>
      </c>
      <c r="P18190" s="559"/>
      <c r="Q18190" s="559"/>
      <c r="R18190" s="559">
        <v>12</v>
      </c>
    </row>
    <row r="18191" spans="1:18" ht="84">
      <c r="A18191" s="555">
        <v>624</v>
      </c>
      <c r="B18191" s="552" t="s">
        <v>32834</v>
      </c>
      <c r="C18191" s="556" t="s">
        <v>32835</v>
      </c>
      <c r="D18191" s="557">
        <v>211.14</v>
      </c>
      <c r="E18191" s="557">
        <v>104.56</v>
      </c>
      <c r="F18191" s="557">
        <v>104.49</v>
      </c>
      <c r="G18191" s="557">
        <v>2.09</v>
      </c>
      <c r="H18191" s="558">
        <v>1777.48</v>
      </c>
      <c r="I18191" s="558">
        <v>1202.47</v>
      </c>
      <c r="J18191" s="558">
        <v>550.97</v>
      </c>
      <c r="K18191" s="558">
        <v>24.04</v>
      </c>
      <c r="L18191" s="43">
        <v>8.4184901013545517</v>
      </c>
      <c r="M18191" s="43">
        <v>11.500286916602908</v>
      </c>
      <c r="N18191" s="43">
        <v>5.2729447794047282</v>
      </c>
      <c r="O18191" s="43">
        <v>11.503164556962025</v>
      </c>
      <c r="P18191" s="559"/>
      <c r="Q18191" s="559"/>
      <c r="R18191" s="559">
        <v>12</v>
      </c>
    </row>
    <row r="18192" spans="1:18" ht="84">
      <c r="A18192" s="555">
        <v>625</v>
      </c>
      <c r="B18192" s="552" t="s">
        <v>32836</v>
      </c>
      <c r="C18192" s="556" t="s">
        <v>32837</v>
      </c>
      <c r="D18192" s="557">
        <v>243.16</v>
      </c>
      <c r="E18192" s="557">
        <v>120.65</v>
      </c>
      <c r="F18192" s="557">
        <v>120.1</v>
      </c>
      <c r="G18192" s="557">
        <v>2.41</v>
      </c>
      <c r="H18192" s="558">
        <v>2048.4899999999998</v>
      </c>
      <c r="I18192" s="558">
        <v>1387.47</v>
      </c>
      <c r="J18192" s="558">
        <v>633.29999999999995</v>
      </c>
      <c r="K18192" s="558">
        <v>27.72</v>
      </c>
      <c r="L18192" s="43">
        <v>8.4244530350386562</v>
      </c>
      <c r="M18192" s="43">
        <v>11.499958557811851</v>
      </c>
      <c r="N18192" s="43">
        <v>5.2731057452123231</v>
      </c>
      <c r="O18192" s="43">
        <v>11.503164556962025</v>
      </c>
      <c r="P18192" s="559"/>
      <c r="Q18192" s="559"/>
      <c r="R18192" s="559">
        <v>12</v>
      </c>
    </row>
    <row r="18193" spans="1:18" ht="84">
      <c r="A18193" s="555">
        <v>626</v>
      </c>
      <c r="B18193" s="552" t="s">
        <v>32838</v>
      </c>
      <c r="C18193" s="556" t="s">
        <v>32839</v>
      </c>
      <c r="D18193" s="557">
        <v>279.93</v>
      </c>
      <c r="E18193" s="557">
        <v>139.03</v>
      </c>
      <c r="F18193" s="557">
        <v>138.12</v>
      </c>
      <c r="G18193" s="557">
        <v>2.78</v>
      </c>
      <c r="H18193" s="558">
        <v>2359.16</v>
      </c>
      <c r="I18193" s="558">
        <v>1598.89</v>
      </c>
      <c r="J18193" s="558">
        <v>728.3</v>
      </c>
      <c r="K18193" s="558">
        <v>31.97</v>
      </c>
      <c r="L18193" s="43">
        <v>8.4276783481584676</v>
      </c>
      <c r="M18193" s="43">
        <v>11.500323671150111</v>
      </c>
      <c r="N18193" s="43">
        <v>5.2729510570518388</v>
      </c>
      <c r="O18193" s="43">
        <v>11.503164556962025</v>
      </c>
      <c r="P18193" s="559"/>
      <c r="Q18193" s="559"/>
      <c r="R18193" s="559">
        <v>12</v>
      </c>
    </row>
    <row r="18194" spans="1:18" ht="84">
      <c r="A18194" s="555">
        <v>627</v>
      </c>
      <c r="B18194" s="552" t="s">
        <v>32840</v>
      </c>
      <c r="C18194" s="556" t="s">
        <v>32841</v>
      </c>
      <c r="D18194" s="557">
        <v>316.69</v>
      </c>
      <c r="E18194" s="557">
        <v>157.41</v>
      </c>
      <c r="F18194" s="557">
        <v>156.13</v>
      </c>
      <c r="G18194" s="557">
        <v>3.15</v>
      </c>
      <c r="H18194" s="558">
        <v>2669.84</v>
      </c>
      <c r="I18194" s="558">
        <v>1810.32</v>
      </c>
      <c r="J18194" s="558">
        <v>823.29</v>
      </c>
      <c r="K18194" s="558">
        <v>36.229999999999997</v>
      </c>
      <c r="L18194" s="43">
        <v>8.4304524929742026</v>
      </c>
      <c r="M18194" s="43">
        <v>11.50066704783686</v>
      </c>
      <c r="N18194" s="43">
        <v>5.2731057452123231</v>
      </c>
      <c r="O18194" s="43">
        <v>11.503164556962025</v>
      </c>
      <c r="P18194" s="559"/>
      <c r="Q18194" s="559"/>
      <c r="R18194" s="559">
        <v>12</v>
      </c>
    </row>
    <row r="18195" spans="1:18" ht="84">
      <c r="A18195" s="555">
        <v>628</v>
      </c>
      <c r="B18195" s="552" t="s">
        <v>32842</v>
      </c>
      <c r="C18195" s="556" t="s">
        <v>32843</v>
      </c>
      <c r="D18195" s="557">
        <v>352.29</v>
      </c>
      <c r="E18195" s="557">
        <v>174.65</v>
      </c>
      <c r="F18195" s="557">
        <v>174.15</v>
      </c>
      <c r="G18195" s="557">
        <v>3.49</v>
      </c>
      <c r="H18195" s="558">
        <v>2966.96</v>
      </c>
      <c r="I18195" s="558">
        <v>2008.53</v>
      </c>
      <c r="J18195" s="558">
        <v>918.29</v>
      </c>
      <c r="K18195" s="558">
        <v>40.14</v>
      </c>
      <c r="L18195" s="43">
        <v>8.4219251185103179</v>
      </c>
      <c r="M18195" s="43">
        <v>11.500314915545376</v>
      </c>
      <c r="N18195" s="43">
        <v>5.2729830605799597</v>
      </c>
      <c r="O18195" s="43">
        <v>11.503164556962025</v>
      </c>
      <c r="P18195" s="559"/>
      <c r="Q18195" s="559"/>
      <c r="R18195" s="559">
        <v>12</v>
      </c>
    </row>
    <row r="18196" spans="1:18" ht="84">
      <c r="A18196" s="555">
        <v>629</v>
      </c>
      <c r="B18196" s="552" t="s">
        <v>32844</v>
      </c>
      <c r="C18196" s="556" t="s">
        <v>32845</v>
      </c>
      <c r="D18196" s="557">
        <v>115.05</v>
      </c>
      <c r="E18196" s="557">
        <v>57.45</v>
      </c>
      <c r="F18196" s="557">
        <v>56.45</v>
      </c>
      <c r="G18196" s="557">
        <v>1.1499999999999999</v>
      </c>
      <c r="H18196" s="558">
        <v>971.58</v>
      </c>
      <c r="I18196" s="558">
        <v>660.7</v>
      </c>
      <c r="J18196" s="558">
        <v>297.64999999999998</v>
      </c>
      <c r="K18196" s="558">
        <v>13.23</v>
      </c>
      <c r="L18196" s="43">
        <v>8.4448500651890495</v>
      </c>
      <c r="M18196" s="43">
        <v>11.500435161009573</v>
      </c>
      <c r="N18196" s="43">
        <v>5.272807794508414</v>
      </c>
      <c r="O18196" s="43">
        <v>11.503164556962025</v>
      </c>
      <c r="P18196" s="559"/>
      <c r="Q18196" s="559"/>
      <c r="R18196" s="559">
        <v>12</v>
      </c>
    </row>
    <row r="18197" spans="1:18" ht="84">
      <c r="A18197" s="555">
        <v>630</v>
      </c>
      <c r="B18197" s="552" t="s">
        <v>32846</v>
      </c>
      <c r="C18197" s="556" t="s">
        <v>32847</v>
      </c>
      <c r="D18197" s="557">
        <v>153.01</v>
      </c>
      <c r="E18197" s="557">
        <v>75.83</v>
      </c>
      <c r="F18197" s="557">
        <v>75.66</v>
      </c>
      <c r="G18197" s="557">
        <v>1.52</v>
      </c>
      <c r="H18197" s="558">
        <v>1288.58</v>
      </c>
      <c r="I18197" s="558">
        <v>872.12</v>
      </c>
      <c r="J18197" s="558">
        <v>398.98</v>
      </c>
      <c r="K18197" s="558">
        <v>17.48</v>
      </c>
      <c r="L18197" s="43">
        <v>8.4215410757466831</v>
      </c>
      <c r="M18197" s="43">
        <v>11.500989054463933</v>
      </c>
      <c r="N18197" s="43">
        <v>5.2733280465239236</v>
      </c>
      <c r="O18197" s="43">
        <v>11.503164556962025</v>
      </c>
      <c r="P18197" s="559"/>
      <c r="Q18197" s="559"/>
      <c r="R18197" s="559">
        <v>12</v>
      </c>
    </row>
    <row r="18198" spans="1:18" ht="84">
      <c r="A18198" s="555">
        <v>631</v>
      </c>
      <c r="B18198" s="552" t="s">
        <v>32848</v>
      </c>
      <c r="C18198" s="556" t="s">
        <v>32849</v>
      </c>
      <c r="D18198" s="557">
        <v>207.57</v>
      </c>
      <c r="E18198" s="557">
        <v>103.41</v>
      </c>
      <c r="F18198" s="557">
        <v>102.09</v>
      </c>
      <c r="G18198" s="557">
        <v>2.0699999999999998</v>
      </c>
      <c r="H18198" s="558">
        <v>1751.38</v>
      </c>
      <c r="I18198" s="558">
        <v>1189.26</v>
      </c>
      <c r="J18198" s="558">
        <v>538.30999999999995</v>
      </c>
      <c r="K18198" s="558">
        <v>23.81</v>
      </c>
      <c r="L18198" s="43">
        <v>8.4375391434214979</v>
      </c>
      <c r="M18198" s="43">
        <v>11.500435161009573</v>
      </c>
      <c r="N18198" s="43">
        <v>5.2728964639043978</v>
      </c>
      <c r="O18198" s="43">
        <v>11.503164556962025</v>
      </c>
      <c r="P18198" s="559"/>
      <c r="Q18198" s="559"/>
      <c r="R18198" s="559">
        <v>12</v>
      </c>
    </row>
    <row r="18199" spans="1:18" ht="84">
      <c r="A18199" s="555">
        <v>632</v>
      </c>
      <c r="B18199" s="552" t="s">
        <v>32850</v>
      </c>
      <c r="C18199" s="556" t="s">
        <v>32851</v>
      </c>
      <c r="D18199" s="557">
        <v>240.79</v>
      </c>
      <c r="E18199" s="557">
        <v>119.5</v>
      </c>
      <c r="F18199" s="557">
        <v>118.9</v>
      </c>
      <c r="G18199" s="557">
        <v>2.39</v>
      </c>
      <c r="H18199" s="558">
        <v>2028.72</v>
      </c>
      <c r="I18199" s="558">
        <v>1374.26</v>
      </c>
      <c r="J18199" s="558">
        <v>626.97</v>
      </c>
      <c r="K18199" s="558">
        <v>27.49</v>
      </c>
      <c r="L18199" s="43">
        <v>8.4252668300178577</v>
      </c>
      <c r="M18199" s="43">
        <v>11.500083682008368</v>
      </c>
      <c r="N18199" s="43">
        <v>5.2730866274179986</v>
      </c>
      <c r="O18199" s="43">
        <v>11.503164556962025</v>
      </c>
      <c r="P18199" s="559"/>
      <c r="Q18199" s="559"/>
      <c r="R18199" s="559">
        <v>12</v>
      </c>
    </row>
    <row r="18200" spans="1:18" ht="84">
      <c r="A18200" s="555">
        <v>633</v>
      </c>
      <c r="B18200" s="552" t="s">
        <v>32852</v>
      </c>
      <c r="C18200" s="556" t="s">
        <v>32853</v>
      </c>
      <c r="D18200" s="557">
        <v>279.93</v>
      </c>
      <c r="E18200" s="557">
        <v>139.03</v>
      </c>
      <c r="F18200" s="557">
        <v>138.12</v>
      </c>
      <c r="G18200" s="557">
        <v>2.78</v>
      </c>
      <c r="H18200" s="558">
        <v>2359.16</v>
      </c>
      <c r="I18200" s="558">
        <v>1598.89</v>
      </c>
      <c r="J18200" s="558">
        <v>728.3</v>
      </c>
      <c r="K18200" s="558">
        <v>31.97</v>
      </c>
      <c r="L18200" s="43">
        <v>8.4276783481584676</v>
      </c>
      <c r="M18200" s="43">
        <v>11.500323671150111</v>
      </c>
      <c r="N18200" s="43">
        <v>5.2729510570518388</v>
      </c>
      <c r="O18200" s="43">
        <v>11.503164556962025</v>
      </c>
      <c r="P18200" s="559"/>
      <c r="Q18200" s="559"/>
      <c r="R18200" s="559">
        <v>12</v>
      </c>
    </row>
    <row r="18201" spans="1:18" ht="84">
      <c r="A18201" s="555">
        <v>634</v>
      </c>
      <c r="B18201" s="552" t="s">
        <v>32854</v>
      </c>
      <c r="C18201" s="556" t="s">
        <v>32855</v>
      </c>
      <c r="D18201" s="557">
        <v>320.20999999999998</v>
      </c>
      <c r="E18201" s="557">
        <v>160.86000000000001</v>
      </c>
      <c r="F18201" s="557">
        <v>156.13</v>
      </c>
      <c r="G18201" s="557">
        <v>3.22</v>
      </c>
      <c r="H18201" s="558">
        <v>2710.28</v>
      </c>
      <c r="I18201" s="558">
        <v>1849.96</v>
      </c>
      <c r="J18201" s="558">
        <v>823.29</v>
      </c>
      <c r="K18201" s="558">
        <v>37.03</v>
      </c>
      <c r="L18201" s="43">
        <v>8.4640704537647178</v>
      </c>
      <c r="M18201" s="43">
        <v>11.500435161009573</v>
      </c>
      <c r="N18201" s="43">
        <v>5.2731057452123231</v>
      </c>
      <c r="O18201" s="43">
        <v>11.503164556962025</v>
      </c>
      <c r="P18201" s="559"/>
      <c r="Q18201" s="559"/>
      <c r="R18201" s="559">
        <v>12</v>
      </c>
    </row>
    <row r="18202" spans="1:18" ht="84">
      <c r="A18202" s="555">
        <v>635</v>
      </c>
      <c r="B18202" s="552" t="s">
        <v>32856</v>
      </c>
      <c r="C18202" s="556" t="s">
        <v>32857</v>
      </c>
      <c r="D18202" s="557">
        <v>367.67</v>
      </c>
      <c r="E18202" s="557">
        <v>183.84</v>
      </c>
      <c r="F18202" s="557">
        <v>180.15</v>
      </c>
      <c r="G18202" s="557">
        <v>3.68</v>
      </c>
      <c r="H18202" s="558">
        <v>3106.51</v>
      </c>
      <c r="I18202" s="558">
        <v>2114.2399999999998</v>
      </c>
      <c r="J18202" s="558">
        <v>949.95</v>
      </c>
      <c r="K18202" s="558">
        <v>42.32</v>
      </c>
      <c r="L18202" s="43">
        <v>8.4491799711697997</v>
      </c>
      <c r="M18202" s="43">
        <v>11.500435161009571</v>
      </c>
      <c r="N18202" s="43">
        <v>5.2731057452123231</v>
      </c>
      <c r="O18202" s="43">
        <v>11.503164556962025</v>
      </c>
      <c r="P18202" s="559"/>
      <c r="Q18202" s="559"/>
      <c r="R18202" s="559">
        <v>12</v>
      </c>
    </row>
    <row r="18203" spans="1:18" ht="84">
      <c r="A18203" s="555">
        <v>636</v>
      </c>
      <c r="B18203" s="552" t="s">
        <v>32858</v>
      </c>
      <c r="C18203" s="556" t="s">
        <v>32859</v>
      </c>
      <c r="D18203" s="557">
        <v>400.93</v>
      </c>
      <c r="E18203" s="557">
        <v>198.78</v>
      </c>
      <c r="F18203" s="557">
        <v>198.17</v>
      </c>
      <c r="G18203" s="557">
        <v>3.98</v>
      </c>
      <c r="H18203" s="558">
        <v>3376.74</v>
      </c>
      <c r="I18203" s="558">
        <v>2286.02</v>
      </c>
      <c r="J18203" s="558">
        <v>1044.95</v>
      </c>
      <c r="K18203" s="558">
        <v>45.77</v>
      </c>
      <c r="L18203" s="43">
        <v>8.4222682263736797</v>
      </c>
      <c r="M18203" s="43">
        <v>11.500251534359593</v>
      </c>
      <c r="N18203" s="43">
        <v>5.2729979310692849</v>
      </c>
      <c r="O18203" s="43">
        <v>11.503164556962025</v>
      </c>
      <c r="P18203" s="559"/>
      <c r="Q18203" s="559"/>
      <c r="R18203" s="559">
        <v>12</v>
      </c>
    </row>
    <row r="18204" spans="1:18" ht="84">
      <c r="A18204" s="555">
        <v>637</v>
      </c>
      <c r="B18204" s="552" t="s">
        <v>32860</v>
      </c>
      <c r="C18204" s="556" t="s">
        <v>32861</v>
      </c>
      <c r="D18204" s="557">
        <v>138.78</v>
      </c>
      <c r="E18204" s="557">
        <v>68.94</v>
      </c>
      <c r="F18204" s="557">
        <v>68.459999999999994</v>
      </c>
      <c r="G18204" s="557">
        <v>1.38</v>
      </c>
      <c r="H18204" s="558">
        <v>1169.69</v>
      </c>
      <c r="I18204" s="558">
        <v>792.84</v>
      </c>
      <c r="J18204" s="558">
        <v>360.98</v>
      </c>
      <c r="K18204" s="558">
        <v>15.87</v>
      </c>
      <c r="L18204" s="43">
        <v>8.4283758466637853</v>
      </c>
      <c r="M18204" s="43">
        <v>11.500435161009575</v>
      </c>
      <c r="N18204" s="43">
        <v>5.2728600642711081</v>
      </c>
      <c r="O18204" s="43">
        <v>11.503164556962025</v>
      </c>
      <c r="P18204" s="559"/>
      <c r="Q18204" s="559"/>
      <c r="R18204" s="559">
        <v>12</v>
      </c>
    </row>
    <row r="18205" spans="1:18" ht="84">
      <c r="A18205" s="555">
        <v>638</v>
      </c>
      <c r="B18205" s="552" t="s">
        <v>32862</v>
      </c>
      <c r="C18205" s="556" t="s">
        <v>32863</v>
      </c>
      <c r="D18205" s="557">
        <v>185.04</v>
      </c>
      <c r="E18205" s="557">
        <v>91.92</v>
      </c>
      <c r="F18205" s="557">
        <v>91.28</v>
      </c>
      <c r="G18205" s="557">
        <v>1.84</v>
      </c>
      <c r="H18205" s="558">
        <v>1559.59</v>
      </c>
      <c r="I18205" s="558">
        <v>1057.1199999999999</v>
      </c>
      <c r="J18205" s="558">
        <v>481.31</v>
      </c>
      <c r="K18205" s="558">
        <v>21.16</v>
      </c>
      <c r="L18205" s="43">
        <v>8.4283938607868567</v>
      </c>
      <c r="M18205" s="43">
        <v>11.500435161009571</v>
      </c>
      <c r="N18205" s="43">
        <v>5.2728965819456617</v>
      </c>
      <c r="O18205" s="43">
        <v>11.503164556962025</v>
      </c>
      <c r="P18205" s="559"/>
      <c r="Q18205" s="559"/>
      <c r="R18205" s="559">
        <v>12</v>
      </c>
    </row>
    <row r="18206" spans="1:18" ht="84">
      <c r="A18206" s="555">
        <v>639</v>
      </c>
      <c r="B18206" s="552" t="s">
        <v>32864</v>
      </c>
      <c r="C18206" s="556" t="s">
        <v>32865</v>
      </c>
      <c r="D18206" s="557">
        <v>236.04</v>
      </c>
      <c r="E18206" s="557">
        <v>117.2</v>
      </c>
      <c r="F18206" s="557">
        <v>116.5</v>
      </c>
      <c r="G18206" s="557">
        <v>2.34</v>
      </c>
      <c r="H18206" s="558">
        <v>1989.04</v>
      </c>
      <c r="I18206" s="558">
        <v>1347.83</v>
      </c>
      <c r="J18206" s="558">
        <v>614.29999999999995</v>
      </c>
      <c r="K18206" s="558">
        <v>26.91</v>
      </c>
      <c r="L18206" s="43">
        <v>8.4267073377393658</v>
      </c>
      <c r="M18206" s="43">
        <v>11.500255972696245</v>
      </c>
      <c r="N18206" s="43">
        <v>5.2729613733905571</v>
      </c>
      <c r="O18206" s="43">
        <v>11.503164556962025</v>
      </c>
      <c r="P18206" s="559"/>
      <c r="Q18206" s="559"/>
      <c r="R18206" s="559">
        <v>12</v>
      </c>
    </row>
    <row r="18207" spans="1:18" ht="84">
      <c r="A18207" s="555">
        <v>640</v>
      </c>
      <c r="B18207" s="552" t="s">
        <v>32866</v>
      </c>
      <c r="C18207" s="556" t="s">
        <v>32867</v>
      </c>
      <c r="D18207" s="557">
        <v>296.48</v>
      </c>
      <c r="E18207" s="557">
        <v>149.37</v>
      </c>
      <c r="F18207" s="557">
        <v>144.12</v>
      </c>
      <c r="G18207" s="557">
        <v>2.99</v>
      </c>
      <c r="H18207" s="558">
        <v>2512.17</v>
      </c>
      <c r="I18207" s="558">
        <v>1717.82</v>
      </c>
      <c r="J18207" s="558">
        <v>759.96</v>
      </c>
      <c r="K18207" s="558">
        <v>34.39</v>
      </c>
      <c r="L18207" s="43">
        <v>8.47332029141932</v>
      </c>
      <c r="M18207" s="43">
        <v>11.500435161009573</v>
      </c>
      <c r="N18207" s="43">
        <v>5.2731057452123231</v>
      </c>
      <c r="O18207" s="43">
        <v>11.503164556962025</v>
      </c>
      <c r="P18207" s="559"/>
      <c r="Q18207" s="559"/>
      <c r="R18207" s="559">
        <v>12</v>
      </c>
    </row>
    <row r="18208" spans="1:18" ht="84">
      <c r="A18208" s="555">
        <v>641</v>
      </c>
      <c r="B18208" s="552" t="s">
        <v>32868</v>
      </c>
      <c r="C18208" s="556" t="s">
        <v>32869</v>
      </c>
      <c r="D18208" s="557">
        <v>328.56</v>
      </c>
      <c r="E18208" s="557">
        <v>163.16</v>
      </c>
      <c r="F18208" s="557">
        <v>162.13999999999999</v>
      </c>
      <c r="G18208" s="557">
        <v>3.26</v>
      </c>
      <c r="H18208" s="558">
        <v>2768.84</v>
      </c>
      <c r="I18208" s="558">
        <v>1876.39</v>
      </c>
      <c r="J18208" s="558">
        <v>854.96</v>
      </c>
      <c r="K18208" s="558">
        <v>37.49</v>
      </c>
      <c r="L18208" s="43">
        <v>8.4271974677380079</v>
      </c>
      <c r="M18208" s="43">
        <v>11.50030644765874</v>
      </c>
      <c r="N18208" s="43">
        <v>5.272973973109659</v>
      </c>
      <c r="O18208" s="43">
        <v>11.503164556962025</v>
      </c>
      <c r="P18208" s="559"/>
      <c r="Q18208" s="559"/>
      <c r="R18208" s="559">
        <v>12</v>
      </c>
    </row>
    <row r="18209" spans="1:18" ht="84">
      <c r="A18209" s="555">
        <v>642</v>
      </c>
      <c r="B18209" s="552" t="s">
        <v>32870</v>
      </c>
      <c r="C18209" s="556" t="s">
        <v>32871</v>
      </c>
      <c r="D18209" s="557">
        <v>377.2</v>
      </c>
      <c r="E18209" s="557">
        <v>187.29</v>
      </c>
      <c r="F18209" s="557">
        <v>186.16</v>
      </c>
      <c r="G18209" s="557">
        <v>3.75</v>
      </c>
      <c r="H18209" s="558">
        <v>3178.63</v>
      </c>
      <c r="I18209" s="558">
        <v>2153.88</v>
      </c>
      <c r="J18209" s="558">
        <v>981.62</v>
      </c>
      <c r="K18209" s="558">
        <v>43.13</v>
      </c>
      <c r="L18209" s="43">
        <v>8.4269088016967135</v>
      </c>
      <c r="M18209" s="43">
        <v>11.500240269101395</v>
      </c>
      <c r="N18209" s="43">
        <v>5.2729909755049418</v>
      </c>
      <c r="O18209" s="43">
        <v>11.503164556962025</v>
      </c>
      <c r="P18209" s="559"/>
      <c r="Q18209" s="559"/>
      <c r="R18209" s="559">
        <v>12</v>
      </c>
    </row>
    <row r="18210" spans="1:18" ht="84">
      <c r="A18210" s="555">
        <v>643</v>
      </c>
      <c r="B18210" s="552" t="s">
        <v>32872</v>
      </c>
      <c r="C18210" s="556" t="s">
        <v>32873</v>
      </c>
      <c r="D18210" s="557">
        <v>425.83</v>
      </c>
      <c r="E18210" s="557">
        <v>211.42</v>
      </c>
      <c r="F18210" s="557">
        <v>210.18</v>
      </c>
      <c r="G18210" s="557">
        <v>4.2300000000000004</v>
      </c>
      <c r="H18210" s="558">
        <v>3588.31</v>
      </c>
      <c r="I18210" s="558">
        <v>2431.38</v>
      </c>
      <c r="J18210" s="558">
        <v>1108.28</v>
      </c>
      <c r="K18210" s="558">
        <v>48.65</v>
      </c>
      <c r="L18210" s="43">
        <v>8.4266256487330633</v>
      </c>
      <c r="M18210" s="43">
        <v>11.500236496074166</v>
      </c>
      <c r="N18210" s="43">
        <v>5.2730040917308969</v>
      </c>
      <c r="O18210" s="43">
        <v>11.503164556962025</v>
      </c>
      <c r="P18210" s="559"/>
      <c r="Q18210" s="559"/>
      <c r="R18210" s="559">
        <v>12</v>
      </c>
    </row>
    <row r="18211" spans="1:18" ht="84">
      <c r="A18211" s="555">
        <v>644</v>
      </c>
      <c r="B18211" s="552" t="s">
        <v>32874</v>
      </c>
      <c r="C18211" s="556" t="s">
        <v>32875</v>
      </c>
      <c r="D18211" s="557">
        <v>486.32</v>
      </c>
      <c r="E18211" s="557">
        <v>241.29</v>
      </c>
      <c r="F18211" s="557">
        <v>240.2</v>
      </c>
      <c r="G18211" s="557">
        <v>4.83</v>
      </c>
      <c r="H18211" s="558">
        <v>4097.09</v>
      </c>
      <c r="I18211" s="558">
        <v>2774.94</v>
      </c>
      <c r="J18211" s="558">
        <v>1266.5999999999999</v>
      </c>
      <c r="K18211" s="558">
        <v>55.55</v>
      </c>
      <c r="L18211" s="43">
        <v>8.424679223556506</v>
      </c>
      <c r="M18211" s="43">
        <v>11.500435161009575</v>
      </c>
      <c r="N18211" s="43">
        <v>5.2731057452123231</v>
      </c>
      <c r="O18211" s="43">
        <v>11.503164556962025</v>
      </c>
      <c r="P18211" s="559"/>
      <c r="Q18211" s="559"/>
      <c r="R18211" s="559">
        <v>12</v>
      </c>
    </row>
    <row r="18212" spans="1:18" ht="84">
      <c r="A18212" s="555">
        <v>645</v>
      </c>
      <c r="B18212" s="552" t="s">
        <v>32876</v>
      </c>
      <c r="C18212" s="556" t="s">
        <v>32877</v>
      </c>
      <c r="D18212" s="557">
        <v>155.38</v>
      </c>
      <c r="E18212" s="557">
        <v>76.98</v>
      </c>
      <c r="F18212" s="557">
        <v>76.86</v>
      </c>
      <c r="G18212" s="557">
        <v>1.54</v>
      </c>
      <c r="H18212" s="558">
        <v>1308.3599999999999</v>
      </c>
      <c r="I18212" s="558">
        <v>885.34</v>
      </c>
      <c r="J18212" s="558">
        <v>405.31</v>
      </c>
      <c r="K18212" s="558">
        <v>17.71</v>
      </c>
      <c r="L18212" s="43">
        <v>8.4203887244175561</v>
      </c>
      <c r="M18212" s="43">
        <v>11.500909327097947</v>
      </c>
      <c r="N18212" s="43">
        <v>5.273354150403331</v>
      </c>
      <c r="O18212" s="43">
        <v>11.503164556962025</v>
      </c>
      <c r="P18212" s="559"/>
      <c r="Q18212" s="559"/>
      <c r="R18212" s="559">
        <v>12</v>
      </c>
    </row>
    <row r="18213" spans="1:18" ht="84">
      <c r="A18213" s="555">
        <v>646</v>
      </c>
      <c r="B18213" s="552" t="s">
        <v>32878</v>
      </c>
      <c r="C18213" s="556" t="s">
        <v>32879</v>
      </c>
      <c r="D18213" s="557">
        <v>208.77</v>
      </c>
      <c r="E18213" s="557">
        <v>103.41</v>
      </c>
      <c r="F18213" s="557">
        <v>103.29</v>
      </c>
      <c r="G18213" s="557">
        <v>2.0699999999999998</v>
      </c>
      <c r="H18213" s="558">
        <v>1757.71</v>
      </c>
      <c r="I18213" s="558">
        <v>1189.26</v>
      </c>
      <c r="J18213" s="558">
        <v>544.64</v>
      </c>
      <c r="K18213" s="558">
        <v>23.81</v>
      </c>
      <c r="L18213" s="43">
        <v>8.4193610193035404</v>
      </c>
      <c r="M18213" s="43">
        <v>11.500435161009573</v>
      </c>
      <c r="N18213" s="43">
        <v>5.2729209023138734</v>
      </c>
      <c r="O18213" s="43">
        <v>11.503164556962025</v>
      </c>
      <c r="P18213" s="559"/>
      <c r="Q18213" s="559"/>
      <c r="R18213" s="559">
        <v>12</v>
      </c>
    </row>
    <row r="18214" spans="1:18" ht="84">
      <c r="A18214" s="555">
        <v>647</v>
      </c>
      <c r="B18214" s="552" t="s">
        <v>32880</v>
      </c>
      <c r="C18214" s="556" t="s">
        <v>32881</v>
      </c>
      <c r="D18214" s="557">
        <v>272.75</v>
      </c>
      <c r="E18214" s="557">
        <v>137.88</v>
      </c>
      <c r="F18214" s="557">
        <v>132.11000000000001</v>
      </c>
      <c r="G18214" s="557">
        <v>2.76</v>
      </c>
      <c r="H18214" s="558">
        <v>2314.0500000000002</v>
      </c>
      <c r="I18214" s="558">
        <v>1585.68</v>
      </c>
      <c r="J18214" s="558">
        <v>696.63</v>
      </c>
      <c r="K18214" s="558">
        <v>31.74</v>
      </c>
      <c r="L18214" s="43">
        <v>8.4841429880843275</v>
      </c>
      <c r="M18214" s="43">
        <v>11.500435161009575</v>
      </c>
      <c r="N18214" s="43">
        <v>5.2731057452123222</v>
      </c>
      <c r="O18214" s="43">
        <v>11.503164556962025</v>
      </c>
      <c r="P18214" s="559"/>
      <c r="Q18214" s="559"/>
      <c r="R18214" s="559">
        <v>12</v>
      </c>
    </row>
    <row r="18215" spans="1:18" ht="84">
      <c r="A18215" s="555">
        <v>648</v>
      </c>
      <c r="B18215" s="552" t="s">
        <v>32882</v>
      </c>
      <c r="C18215" s="556" t="s">
        <v>32883</v>
      </c>
      <c r="D18215" s="557">
        <v>328.56</v>
      </c>
      <c r="E18215" s="557">
        <v>163.16</v>
      </c>
      <c r="F18215" s="557">
        <v>162.13999999999999</v>
      </c>
      <c r="G18215" s="557">
        <v>3.26</v>
      </c>
      <c r="H18215" s="558">
        <v>2768.84</v>
      </c>
      <c r="I18215" s="558">
        <v>1876.39</v>
      </c>
      <c r="J18215" s="558">
        <v>854.96</v>
      </c>
      <c r="K18215" s="558">
        <v>37.49</v>
      </c>
      <c r="L18215" s="43">
        <v>8.4271974677380079</v>
      </c>
      <c r="M18215" s="43">
        <v>11.50030644765874</v>
      </c>
      <c r="N18215" s="43">
        <v>5.272973973109659</v>
      </c>
      <c r="O18215" s="43">
        <v>11.503164556962025</v>
      </c>
      <c r="P18215" s="559"/>
      <c r="Q18215" s="559"/>
      <c r="R18215" s="559">
        <v>12</v>
      </c>
    </row>
    <row r="18216" spans="1:18" ht="84">
      <c r="A18216" s="555">
        <v>649</v>
      </c>
      <c r="B18216" s="552" t="s">
        <v>32884</v>
      </c>
      <c r="C18216" s="556" t="s">
        <v>32885</v>
      </c>
      <c r="D18216" s="557">
        <v>377.2</v>
      </c>
      <c r="E18216" s="557">
        <v>187.29</v>
      </c>
      <c r="F18216" s="557">
        <v>186.16</v>
      </c>
      <c r="G18216" s="557">
        <v>3.75</v>
      </c>
      <c r="H18216" s="558">
        <v>3178.63</v>
      </c>
      <c r="I18216" s="558">
        <v>2153.88</v>
      </c>
      <c r="J18216" s="558">
        <v>981.62</v>
      </c>
      <c r="K18216" s="558">
        <v>43.13</v>
      </c>
      <c r="L18216" s="43">
        <v>8.4269088016967135</v>
      </c>
      <c r="M18216" s="43">
        <v>11.500240269101395</v>
      </c>
      <c r="N18216" s="43">
        <v>5.2729909755049418</v>
      </c>
      <c r="O18216" s="43">
        <v>11.503164556962025</v>
      </c>
      <c r="P18216" s="559"/>
      <c r="Q18216" s="559"/>
      <c r="R18216" s="559">
        <v>12</v>
      </c>
    </row>
    <row r="18217" spans="1:18" ht="84">
      <c r="A18217" s="555">
        <v>650</v>
      </c>
      <c r="B18217" s="552" t="s">
        <v>32886</v>
      </c>
      <c r="C18217" s="556" t="s">
        <v>32887</v>
      </c>
      <c r="D18217" s="557">
        <v>425.83</v>
      </c>
      <c r="E18217" s="557">
        <v>211.42</v>
      </c>
      <c r="F18217" s="557">
        <v>210.18</v>
      </c>
      <c r="G18217" s="557">
        <v>4.2300000000000004</v>
      </c>
      <c r="H18217" s="558">
        <v>3588.31</v>
      </c>
      <c r="I18217" s="558">
        <v>2431.38</v>
      </c>
      <c r="J18217" s="558">
        <v>1108.28</v>
      </c>
      <c r="K18217" s="558">
        <v>48.65</v>
      </c>
      <c r="L18217" s="43">
        <v>8.4266256487330633</v>
      </c>
      <c r="M18217" s="43">
        <v>11.500236496074166</v>
      </c>
      <c r="N18217" s="43">
        <v>5.2730040917308969</v>
      </c>
      <c r="O18217" s="43">
        <v>11.503164556962025</v>
      </c>
      <c r="P18217" s="559"/>
      <c r="Q18217" s="559"/>
      <c r="R18217" s="559">
        <v>12</v>
      </c>
    </row>
    <row r="18218" spans="1:18" ht="84">
      <c r="A18218" s="555">
        <v>651</v>
      </c>
      <c r="B18218" s="552" t="s">
        <v>32888</v>
      </c>
      <c r="C18218" s="556" t="s">
        <v>32889</v>
      </c>
      <c r="D18218" s="557">
        <v>486.32</v>
      </c>
      <c r="E18218" s="557">
        <v>241.29</v>
      </c>
      <c r="F18218" s="557">
        <v>240.2</v>
      </c>
      <c r="G18218" s="557">
        <v>4.83</v>
      </c>
      <c r="H18218" s="558">
        <v>4097.09</v>
      </c>
      <c r="I18218" s="558">
        <v>2774.94</v>
      </c>
      <c r="J18218" s="558">
        <v>1266.5999999999999</v>
      </c>
      <c r="K18218" s="558">
        <v>55.55</v>
      </c>
      <c r="L18218" s="43">
        <v>8.424679223556506</v>
      </c>
      <c r="M18218" s="43">
        <v>11.500435161009575</v>
      </c>
      <c r="N18218" s="43">
        <v>5.2731057452123231</v>
      </c>
      <c r="O18218" s="43">
        <v>11.503164556962025</v>
      </c>
      <c r="P18218" s="559"/>
      <c r="Q18218" s="559"/>
      <c r="R18218" s="559">
        <v>12</v>
      </c>
    </row>
    <row r="18219" spans="1:18" ht="84">
      <c r="A18219" s="555">
        <v>652</v>
      </c>
      <c r="B18219" s="552" t="s">
        <v>32890</v>
      </c>
      <c r="C18219" s="556" t="s">
        <v>32891</v>
      </c>
      <c r="D18219" s="557">
        <v>194.53</v>
      </c>
      <c r="E18219" s="557">
        <v>96.52</v>
      </c>
      <c r="F18219" s="557">
        <v>96.08</v>
      </c>
      <c r="G18219" s="557">
        <v>1.93</v>
      </c>
      <c r="H18219" s="558">
        <v>1638.82</v>
      </c>
      <c r="I18219" s="558">
        <v>1109.98</v>
      </c>
      <c r="J18219" s="558">
        <v>506.64</v>
      </c>
      <c r="K18219" s="558">
        <v>22.2</v>
      </c>
      <c r="L18219" s="43">
        <v>8.4245103582994911</v>
      </c>
      <c r="M18219" s="43">
        <v>11.5</v>
      </c>
      <c r="N18219" s="43">
        <v>5.2731057452123231</v>
      </c>
      <c r="O18219" s="43">
        <v>11.503164556962025</v>
      </c>
      <c r="P18219" s="559"/>
      <c r="Q18219" s="559"/>
      <c r="R18219" s="559">
        <v>12</v>
      </c>
    </row>
    <row r="18220" spans="1:18" ht="84">
      <c r="A18220" s="555">
        <v>653</v>
      </c>
      <c r="B18220" s="552" t="s">
        <v>32892</v>
      </c>
      <c r="C18220" s="556" t="s">
        <v>32893</v>
      </c>
      <c r="D18220" s="557">
        <v>255.03</v>
      </c>
      <c r="E18220" s="557">
        <v>126.39</v>
      </c>
      <c r="F18220" s="557">
        <v>126.11</v>
      </c>
      <c r="G18220" s="557">
        <v>2.5299999999999998</v>
      </c>
      <c r="H18220" s="558">
        <v>2147.61</v>
      </c>
      <c r="I18220" s="558">
        <v>1453.54</v>
      </c>
      <c r="J18220" s="558">
        <v>664.97</v>
      </c>
      <c r="K18220" s="558">
        <v>29.1</v>
      </c>
      <c r="L18220" s="43">
        <v>8.4210092930243512</v>
      </c>
      <c r="M18220" s="43">
        <v>11.500435161009573</v>
      </c>
      <c r="N18220" s="43">
        <v>5.2729363254301802</v>
      </c>
      <c r="O18220" s="43">
        <v>11.503164556962025</v>
      </c>
      <c r="P18220" s="559"/>
      <c r="Q18220" s="559"/>
      <c r="R18220" s="559">
        <v>12</v>
      </c>
    </row>
    <row r="18221" spans="1:18" ht="84">
      <c r="A18221" s="555">
        <v>654</v>
      </c>
      <c r="B18221" s="552" t="s">
        <v>32894</v>
      </c>
      <c r="C18221" s="556" t="s">
        <v>32895</v>
      </c>
      <c r="D18221" s="557">
        <v>343.94</v>
      </c>
      <c r="E18221" s="557">
        <v>172.35</v>
      </c>
      <c r="F18221" s="557">
        <v>168.14</v>
      </c>
      <c r="G18221" s="557">
        <v>3.45</v>
      </c>
      <c r="H18221" s="558">
        <v>2908.4</v>
      </c>
      <c r="I18221" s="558">
        <v>1982.1</v>
      </c>
      <c r="J18221" s="558">
        <v>886.62</v>
      </c>
      <c r="K18221" s="558">
        <v>39.68</v>
      </c>
      <c r="L18221" s="43">
        <v>8.4561260685003194</v>
      </c>
      <c r="M18221" s="43">
        <v>11.500435161009573</v>
      </c>
      <c r="N18221" s="43">
        <v>5.2731057452123231</v>
      </c>
      <c r="O18221" s="43">
        <v>11.503164556962025</v>
      </c>
      <c r="P18221" s="559"/>
      <c r="Q18221" s="559"/>
      <c r="R18221" s="559">
        <v>12</v>
      </c>
    </row>
    <row r="18222" spans="1:18" ht="84">
      <c r="A18222" s="555">
        <v>655</v>
      </c>
      <c r="B18222" s="552" t="s">
        <v>32896</v>
      </c>
      <c r="C18222" s="556" t="s">
        <v>32897</v>
      </c>
      <c r="D18222" s="557">
        <v>415.13</v>
      </c>
      <c r="E18222" s="557">
        <v>206.82</v>
      </c>
      <c r="F18222" s="557">
        <v>204.17</v>
      </c>
      <c r="G18222" s="557">
        <v>4.1399999999999997</v>
      </c>
      <c r="H18222" s="558">
        <v>3502.74</v>
      </c>
      <c r="I18222" s="558">
        <v>2378.52</v>
      </c>
      <c r="J18222" s="558">
        <v>1076.6099999999999</v>
      </c>
      <c r="K18222" s="558">
        <v>47.61</v>
      </c>
      <c r="L18222" s="43">
        <v>8.4376942162696018</v>
      </c>
      <c r="M18222" s="43">
        <v>11.500435161009573</v>
      </c>
      <c r="N18222" s="43">
        <v>5.2731057452123231</v>
      </c>
      <c r="O18222" s="43">
        <v>11.503164556962025</v>
      </c>
      <c r="P18222" s="559"/>
      <c r="Q18222" s="559"/>
      <c r="R18222" s="559">
        <v>12</v>
      </c>
    </row>
    <row r="18223" spans="1:18" ht="84">
      <c r="A18223" s="555">
        <v>656</v>
      </c>
      <c r="B18223" s="552" t="s">
        <v>32898</v>
      </c>
      <c r="C18223" s="556" t="s">
        <v>32899</v>
      </c>
      <c r="D18223" s="557">
        <v>228.89</v>
      </c>
      <c r="E18223" s="557">
        <v>114.9</v>
      </c>
      <c r="F18223" s="557">
        <v>111.69</v>
      </c>
      <c r="G18223" s="557">
        <v>2.2999999999999998</v>
      </c>
      <c r="H18223" s="558">
        <v>1936.82</v>
      </c>
      <c r="I18223" s="558">
        <v>1321.4</v>
      </c>
      <c r="J18223" s="558">
        <v>588.97</v>
      </c>
      <c r="K18223" s="558">
        <v>26.45</v>
      </c>
      <c r="L18223" s="43">
        <v>8.4617938747870163</v>
      </c>
      <c r="M18223" s="43">
        <v>11.500435161009573</v>
      </c>
      <c r="N18223" s="43">
        <v>5.2732563344972698</v>
      </c>
      <c r="O18223" s="43">
        <v>11.503164556962025</v>
      </c>
      <c r="P18223" s="559"/>
      <c r="Q18223" s="559"/>
      <c r="R18223" s="559">
        <v>12</v>
      </c>
    </row>
    <row r="18224" spans="1:18" ht="84">
      <c r="A18224" s="555">
        <v>657</v>
      </c>
      <c r="B18224" s="552" t="s">
        <v>32900</v>
      </c>
      <c r="C18224" s="556" t="s">
        <v>32901</v>
      </c>
      <c r="D18224" s="557">
        <v>302.49</v>
      </c>
      <c r="E18224" s="557">
        <v>149.37</v>
      </c>
      <c r="F18224" s="557">
        <v>150.13</v>
      </c>
      <c r="G18224" s="557">
        <v>2.99</v>
      </c>
      <c r="H18224" s="558">
        <v>2543.84</v>
      </c>
      <c r="I18224" s="558">
        <v>1717.82</v>
      </c>
      <c r="J18224" s="558">
        <v>791.63</v>
      </c>
      <c r="K18224" s="558">
        <v>34.39</v>
      </c>
      <c r="L18224" s="43">
        <v>8.4096664352540582</v>
      </c>
      <c r="M18224" s="43">
        <v>11.500435161009573</v>
      </c>
      <c r="N18224" s="43">
        <v>5.2729634316925331</v>
      </c>
      <c r="O18224" s="43">
        <v>11.503164556962025</v>
      </c>
      <c r="P18224" s="559"/>
      <c r="Q18224" s="559"/>
      <c r="R18224" s="559">
        <v>12</v>
      </c>
    </row>
    <row r="18225" spans="1:18" ht="84">
      <c r="A18225" s="555">
        <v>658</v>
      </c>
      <c r="B18225" s="552" t="s">
        <v>32902</v>
      </c>
      <c r="C18225" s="556" t="s">
        <v>32903</v>
      </c>
      <c r="D18225" s="557">
        <v>255.03</v>
      </c>
      <c r="E18225" s="557">
        <v>126.39</v>
      </c>
      <c r="F18225" s="557">
        <v>126.11</v>
      </c>
      <c r="G18225" s="557">
        <v>2.5299999999999998</v>
      </c>
      <c r="H18225" s="558">
        <v>2147.61</v>
      </c>
      <c r="I18225" s="558">
        <v>1453.54</v>
      </c>
      <c r="J18225" s="558">
        <v>664.97</v>
      </c>
      <c r="K18225" s="558">
        <v>29.1</v>
      </c>
      <c r="L18225" s="43">
        <v>8.4210092930243512</v>
      </c>
      <c r="M18225" s="43">
        <v>11.500435161009573</v>
      </c>
      <c r="N18225" s="43">
        <v>5.2729363254301802</v>
      </c>
      <c r="O18225" s="43">
        <v>11.503164556962025</v>
      </c>
      <c r="P18225" s="559"/>
      <c r="Q18225" s="559"/>
      <c r="R18225" s="559">
        <v>12</v>
      </c>
    </row>
    <row r="18226" spans="1:18" ht="84">
      <c r="A18226" s="555">
        <v>659</v>
      </c>
      <c r="B18226" s="552" t="s">
        <v>32904</v>
      </c>
      <c r="C18226" s="556" t="s">
        <v>32905</v>
      </c>
      <c r="D18226" s="557">
        <v>343.94</v>
      </c>
      <c r="E18226" s="557">
        <v>172.35</v>
      </c>
      <c r="F18226" s="557">
        <v>168.14</v>
      </c>
      <c r="G18226" s="557">
        <v>3.45</v>
      </c>
      <c r="H18226" s="558">
        <v>2908.4</v>
      </c>
      <c r="I18226" s="558">
        <v>1982.1</v>
      </c>
      <c r="J18226" s="558">
        <v>886.62</v>
      </c>
      <c r="K18226" s="558">
        <v>39.68</v>
      </c>
      <c r="L18226" s="43">
        <v>8.4561260685003194</v>
      </c>
      <c r="M18226" s="43">
        <v>11.500435161009573</v>
      </c>
      <c r="N18226" s="43">
        <v>5.2731057452123231</v>
      </c>
      <c r="O18226" s="43">
        <v>11.503164556962025</v>
      </c>
      <c r="P18226" s="559"/>
      <c r="Q18226" s="559"/>
      <c r="R18226" s="559">
        <v>12</v>
      </c>
    </row>
    <row r="18227" spans="1:18" ht="84">
      <c r="A18227" s="555">
        <v>660</v>
      </c>
      <c r="B18227" s="552" t="s">
        <v>32906</v>
      </c>
      <c r="C18227" s="556" t="s">
        <v>32907</v>
      </c>
      <c r="D18227" s="557">
        <v>296.48</v>
      </c>
      <c r="E18227" s="557">
        <v>149.37</v>
      </c>
      <c r="F18227" s="557">
        <v>144.12</v>
      </c>
      <c r="G18227" s="557">
        <v>2.99</v>
      </c>
      <c r="H18227" s="558">
        <v>2512.17</v>
      </c>
      <c r="I18227" s="558">
        <v>1717.82</v>
      </c>
      <c r="J18227" s="558">
        <v>759.96</v>
      </c>
      <c r="K18227" s="558">
        <v>34.39</v>
      </c>
      <c r="L18227" s="43">
        <v>8.47332029141932</v>
      </c>
      <c r="M18227" s="43">
        <v>11.500435161009573</v>
      </c>
      <c r="N18227" s="43">
        <v>5.2731057452123231</v>
      </c>
      <c r="O18227" s="43">
        <v>11.503164556962025</v>
      </c>
      <c r="P18227" s="559"/>
      <c r="Q18227" s="559"/>
      <c r="R18227" s="559">
        <v>12</v>
      </c>
    </row>
    <row r="18228" spans="1:18" ht="84">
      <c r="A18228" s="555">
        <v>661</v>
      </c>
      <c r="B18228" s="552" t="s">
        <v>32908</v>
      </c>
      <c r="C18228" s="556" t="s">
        <v>32909</v>
      </c>
      <c r="D18228" s="557">
        <v>391.4</v>
      </c>
      <c r="E18228" s="557">
        <v>195.33</v>
      </c>
      <c r="F18228" s="557">
        <v>192.16</v>
      </c>
      <c r="G18228" s="557">
        <v>3.91</v>
      </c>
      <c r="H18228" s="558">
        <v>3304.63</v>
      </c>
      <c r="I18228" s="558">
        <v>2246.38</v>
      </c>
      <c r="J18228" s="558">
        <v>1013.28</v>
      </c>
      <c r="K18228" s="558">
        <v>44.97</v>
      </c>
      <c r="L18228" s="43">
        <v>8.4431016862544723</v>
      </c>
      <c r="M18228" s="43">
        <v>11.500435161009573</v>
      </c>
      <c r="N18228" s="43">
        <v>5.2731057452123231</v>
      </c>
      <c r="O18228" s="43">
        <v>11.503164556962025</v>
      </c>
      <c r="P18228" s="559"/>
      <c r="Q18228" s="559"/>
      <c r="R18228" s="559">
        <v>12</v>
      </c>
    </row>
    <row r="18229" spans="1:18" ht="84">
      <c r="A18229" s="555">
        <v>662</v>
      </c>
      <c r="B18229" s="552" t="s">
        <v>32910</v>
      </c>
      <c r="C18229" s="556" t="s">
        <v>32911</v>
      </c>
      <c r="D18229" s="557">
        <v>320.20999999999998</v>
      </c>
      <c r="E18229" s="557">
        <v>160.86000000000001</v>
      </c>
      <c r="F18229" s="557">
        <v>156.13</v>
      </c>
      <c r="G18229" s="557">
        <v>3.22</v>
      </c>
      <c r="H18229" s="558">
        <v>2710.28</v>
      </c>
      <c r="I18229" s="558">
        <v>1849.96</v>
      </c>
      <c r="J18229" s="558">
        <v>823.29</v>
      </c>
      <c r="K18229" s="558">
        <v>37.03</v>
      </c>
      <c r="L18229" s="43">
        <v>8.4640704537647178</v>
      </c>
      <c r="M18229" s="43">
        <v>11.500435161009573</v>
      </c>
      <c r="N18229" s="43">
        <v>5.2731057452123231</v>
      </c>
      <c r="O18229" s="43">
        <v>11.503164556962025</v>
      </c>
      <c r="P18229" s="559"/>
      <c r="Q18229" s="559"/>
      <c r="R18229" s="559">
        <v>12</v>
      </c>
    </row>
    <row r="18230" spans="1:18" ht="84">
      <c r="A18230" s="555">
        <v>663</v>
      </c>
      <c r="B18230" s="552" t="s">
        <v>32912</v>
      </c>
      <c r="C18230" s="556" t="s">
        <v>32913</v>
      </c>
      <c r="D18230" s="557">
        <v>425.83</v>
      </c>
      <c r="E18230" s="557">
        <v>211.42</v>
      </c>
      <c r="F18230" s="557">
        <v>210.18</v>
      </c>
      <c r="G18230" s="557">
        <v>4.2300000000000004</v>
      </c>
      <c r="H18230" s="558">
        <v>3588.31</v>
      </c>
      <c r="I18230" s="558">
        <v>2431.38</v>
      </c>
      <c r="J18230" s="558">
        <v>1108.28</v>
      </c>
      <c r="K18230" s="558">
        <v>48.65</v>
      </c>
      <c r="L18230" s="43">
        <v>8.4266256487330633</v>
      </c>
      <c r="M18230" s="43">
        <v>11.500236496074166</v>
      </c>
      <c r="N18230" s="43">
        <v>5.2730040917308969</v>
      </c>
      <c r="O18230" s="43">
        <v>11.503164556962025</v>
      </c>
      <c r="P18230" s="559"/>
      <c r="Q18230" s="559"/>
      <c r="R18230" s="559">
        <v>12</v>
      </c>
    </row>
    <row r="18231" spans="1:18" ht="12.75" customHeight="1">
      <c r="A18231" s="628" t="s">
        <v>32914</v>
      </c>
      <c r="B18231" s="629"/>
      <c r="C18231" s="629"/>
      <c r="D18231" s="629"/>
      <c r="E18231" s="629"/>
      <c r="F18231" s="629"/>
      <c r="G18231" s="629"/>
      <c r="H18231" s="629"/>
      <c r="I18231" s="629"/>
      <c r="J18231" s="629"/>
      <c r="K18231" s="629"/>
      <c r="L18231" s="629"/>
      <c r="M18231" s="629"/>
      <c r="N18231" s="629"/>
      <c r="O18231" s="629"/>
      <c r="P18231" s="629"/>
      <c r="Q18231" s="629"/>
      <c r="R18231" s="629"/>
    </row>
    <row r="18232" spans="1:18" ht="84">
      <c r="A18232" s="555">
        <v>664</v>
      </c>
      <c r="B18232" s="552" t="s">
        <v>32915</v>
      </c>
      <c r="C18232" s="556" t="s">
        <v>32916</v>
      </c>
      <c r="D18232" s="557">
        <v>6.28</v>
      </c>
      <c r="E18232" s="557">
        <v>3.1</v>
      </c>
      <c r="F18232" s="557">
        <v>3.12</v>
      </c>
      <c r="G18232" s="557">
        <v>0.06</v>
      </c>
      <c r="H18232" s="558">
        <v>52.84</v>
      </c>
      <c r="I18232" s="558">
        <v>35.68</v>
      </c>
      <c r="J18232" s="558">
        <v>16.47</v>
      </c>
      <c r="K18232" s="558">
        <v>0.69</v>
      </c>
      <c r="L18232" s="43">
        <v>8.4140127388535042</v>
      </c>
      <c r="M18232" s="43">
        <v>11.5021951219512</v>
      </c>
      <c r="N18232" s="43">
        <v>5.2788461538461533</v>
      </c>
      <c r="O18232" s="43">
        <v>11.503164556962025</v>
      </c>
      <c r="P18232" s="559"/>
      <c r="Q18232" s="559"/>
      <c r="R18232" s="559">
        <v>13</v>
      </c>
    </row>
    <row r="18233" spans="1:18" ht="84">
      <c r="A18233" s="555">
        <v>665</v>
      </c>
      <c r="B18233" s="552" t="s">
        <v>32917</v>
      </c>
      <c r="C18233" s="556" t="s">
        <v>32918</v>
      </c>
      <c r="D18233" s="557">
        <v>7.35</v>
      </c>
      <c r="E18233" s="557">
        <v>3.68</v>
      </c>
      <c r="F18233" s="557">
        <v>3.6</v>
      </c>
      <c r="G18233" s="557">
        <v>7.0000000000000007E-2</v>
      </c>
      <c r="H18233" s="558">
        <v>62.09</v>
      </c>
      <c r="I18233" s="558">
        <v>42.28</v>
      </c>
      <c r="J18233" s="558">
        <v>19</v>
      </c>
      <c r="K18233" s="558">
        <v>0.81</v>
      </c>
      <c r="L18233" s="43">
        <v>8.4476190476190478</v>
      </c>
      <c r="M18233" s="43">
        <v>11.5</v>
      </c>
      <c r="N18233" s="43">
        <v>5.2777777777777777</v>
      </c>
      <c r="O18233" s="43">
        <v>11.503164556962025</v>
      </c>
      <c r="P18233" s="559"/>
      <c r="Q18233" s="559"/>
      <c r="R18233" s="559">
        <v>13</v>
      </c>
    </row>
    <row r="18234" spans="1:18" ht="84">
      <c r="A18234" s="555">
        <v>666</v>
      </c>
      <c r="B18234" s="552" t="s">
        <v>32919</v>
      </c>
      <c r="C18234" s="556" t="s">
        <v>32920</v>
      </c>
      <c r="D18234" s="557">
        <v>10.199999999999999</v>
      </c>
      <c r="E18234" s="557">
        <v>5.0599999999999996</v>
      </c>
      <c r="F18234" s="557">
        <v>5.04</v>
      </c>
      <c r="G18234" s="557">
        <v>0.1</v>
      </c>
      <c r="H18234" s="558">
        <v>85.89</v>
      </c>
      <c r="I18234" s="558">
        <v>58.14</v>
      </c>
      <c r="J18234" s="558">
        <v>26.6</v>
      </c>
      <c r="K18234" s="558">
        <v>1.1499999999999999</v>
      </c>
      <c r="L18234" s="43">
        <v>8.4205882352941188</v>
      </c>
      <c r="M18234" s="43">
        <v>11.5</v>
      </c>
      <c r="N18234" s="43">
        <v>5.2777777777777777</v>
      </c>
      <c r="O18234" s="43">
        <v>11.503164556962025</v>
      </c>
      <c r="P18234" s="559"/>
      <c r="Q18234" s="559"/>
      <c r="R18234" s="559">
        <v>13</v>
      </c>
    </row>
    <row r="18235" spans="1:18" ht="84">
      <c r="A18235" s="555">
        <v>667</v>
      </c>
      <c r="B18235" s="552" t="s">
        <v>32921</v>
      </c>
      <c r="C18235" s="556" t="s">
        <v>32922</v>
      </c>
      <c r="D18235" s="557">
        <v>12.22</v>
      </c>
      <c r="E18235" s="557">
        <v>6.09</v>
      </c>
      <c r="F18235" s="557">
        <v>6.01</v>
      </c>
      <c r="G18235" s="557">
        <v>0.12</v>
      </c>
      <c r="H18235" s="558">
        <v>103.08</v>
      </c>
      <c r="I18235" s="558">
        <v>70.03</v>
      </c>
      <c r="J18235" s="558">
        <v>31.67</v>
      </c>
      <c r="K18235" s="558">
        <v>1.38</v>
      </c>
      <c r="L18235" s="43">
        <v>8.4353518821603917</v>
      </c>
      <c r="M18235" s="43">
        <v>11.499178981937604</v>
      </c>
      <c r="N18235" s="43">
        <v>5.2695507487520805</v>
      </c>
      <c r="O18235" s="43">
        <v>11.503164556962025</v>
      </c>
      <c r="P18235" s="559"/>
      <c r="Q18235" s="559"/>
      <c r="R18235" s="559">
        <v>13</v>
      </c>
    </row>
    <row r="18236" spans="1:18" ht="84">
      <c r="A18236" s="555">
        <v>668</v>
      </c>
      <c r="B18236" s="552" t="s">
        <v>32923</v>
      </c>
      <c r="C18236" s="556" t="s">
        <v>32924</v>
      </c>
      <c r="D18236" s="557">
        <v>14.35</v>
      </c>
      <c r="E18236" s="557">
        <v>7.12</v>
      </c>
      <c r="F18236" s="557">
        <v>7.09</v>
      </c>
      <c r="G18236" s="557">
        <v>0.14000000000000001</v>
      </c>
      <c r="H18236" s="558">
        <v>120.9</v>
      </c>
      <c r="I18236" s="558">
        <v>81.93</v>
      </c>
      <c r="J18236" s="558">
        <v>37.36</v>
      </c>
      <c r="K18236" s="558">
        <v>1.61</v>
      </c>
      <c r="L18236" s="43">
        <v>8.4250871080139387</v>
      </c>
      <c r="M18236" s="43">
        <v>11.5021951219512</v>
      </c>
      <c r="N18236" s="43">
        <v>5.2693935119887163</v>
      </c>
      <c r="O18236" s="43">
        <v>11.503164556962025</v>
      </c>
      <c r="P18236" s="559"/>
      <c r="Q18236" s="559"/>
      <c r="R18236" s="559">
        <v>13</v>
      </c>
    </row>
    <row r="18237" spans="1:18" ht="84">
      <c r="A18237" s="555">
        <v>669</v>
      </c>
      <c r="B18237" s="552" t="s">
        <v>32925</v>
      </c>
      <c r="C18237" s="556" t="s">
        <v>32926</v>
      </c>
      <c r="D18237" s="557">
        <v>16.489999999999998</v>
      </c>
      <c r="E18237" s="557">
        <v>8.16</v>
      </c>
      <c r="F18237" s="557">
        <v>8.17</v>
      </c>
      <c r="G18237" s="557">
        <v>0.16</v>
      </c>
      <c r="H18237" s="558">
        <v>138.72</v>
      </c>
      <c r="I18237" s="558">
        <v>93.82</v>
      </c>
      <c r="J18237" s="558">
        <v>43.06</v>
      </c>
      <c r="K18237" s="558">
        <v>1.84</v>
      </c>
      <c r="L18237" s="43">
        <v>8.4123711340206189</v>
      </c>
      <c r="M18237" s="43">
        <v>11.497549019607842</v>
      </c>
      <c r="N18237" s="43">
        <v>5.2705018359853124</v>
      </c>
      <c r="O18237" s="43">
        <v>11.503164556962025</v>
      </c>
      <c r="P18237" s="559"/>
      <c r="Q18237" s="559"/>
      <c r="R18237" s="559">
        <v>13</v>
      </c>
    </row>
    <row r="18238" spans="1:18" ht="84">
      <c r="A18238" s="555">
        <v>670</v>
      </c>
      <c r="B18238" s="552" t="s">
        <v>32927</v>
      </c>
      <c r="C18238" s="556" t="s">
        <v>32928</v>
      </c>
      <c r="D18238" s="557">
        <v>18.98</v>
      </c>
      <c r="E18238" s="557">
        <v>9.42</v>
      </c>
      <c r="F18238" s="557">
        <v>9.3699999999999992</v>
      </c>
      <c r="G18238" s="557">
        <v>0.19</v>
      </c>
      <c r="H18238" s="558">
        <v>159.94</v>
      </c>
      <c r="I18238" s="558">
        <v>108.35</v>
      </c>
      <c r="J18238" s="558">
        <v>49.4</v>
      </c>
      <c r="K18238" s="558">
        <v>2.19</v>
      </c>
      <c r="L18238" s="43">
        <v>8.4267650158061116</v>
      </c>
      <c r="M18238" s="43">
        <v>11.502123142250531</v>
      </c>
      <c r="N18238" s="43">
        <v>5.2721451440768412</v>
      </c>
      <c r="O18238" s="43">
        <v>11.503164556962025</v>
      </c>
      <c r="P18238" s="559"/>
      <c r="Q18238" s="559"/>
      <c r="R18238" s="559">
        <v>13</v>
      </c>
    </row>
    <row r="18239" spans="1:18" ht="84">
      <c r="A18239" s="555">
        <v>671</v>
      </c>
      <c r="B18239" s="552" t="s">
        <v>32929</v>
      </c>
      <c r="C18239" s="556" t="s">
        <v>32930</v>
      </c>
      <c r="D18239" s="557">
        <v>18.38</v>
      </c>
      <c r="E18239" s="557">
        <v>9.19</v>
      </c>
      <c r="F18239" s="557">
        <v>9.01</v>
      </c>
      <c r="G18239" s="557">
        <v>0.18</v>
      </c>
      <c r="H18239" s="558">
        <v>155.28</v>
      </c>
      <c r="I18239" s="558">
        <v>105.71</v>
      </c>
      <c r="J18239" s="558">
        <v>47.5</v>
      </c>
      <c r="K18239" s="558">
        <v>2.0699999999999998</v>
      </c>
      <c r="L18239" s="43">
        <v>8.4483133841131668</v>
      </c>
      <c r="M18239" s="43">
        <v>11.502720348204571</v>
      </c>
      <c r="N18239" s="43">
        <v>5.2719200887902335</v>
      </c>
      <c r="O18239" s="43">
        <v>11.503164556962025</v>
      </c>
      <c r="P18239" s="559"/>
      <c r="Q18239" s="559"/>
      <c r="R18239" s="559">
        <v>13</v>
      </c>
    </row>
    <row r="18240" spans="1:18" ht="84">
      <c r="A18240" s="555">
        <v>672</v>
      </c>
      <c r="B18240" s="552" t="s">
        <v>32931</v>
      </c>
      <c r="C18240" s="556" t="s">
        <v>32932</v>
      </c>
      <c r="D18240" s="557">
        <v>21.71</v>
      </c>
      <c r="E18240" s="557">
        <v>10.8</v>
      </c>
      <c r="F18240" s="557">
        <v>10.69</v>
      </c>
      <c r="G18240" s="557">
        <v>0.22</v>
      </c>
      <c r="H18240" s="558">
        <v>183.1</v>
      </c>
      <c r="I18240" s="558">
        <v>124.21</v>
      </c>
      <c r="J18240" s="558">
        <v>56.36</v>
      </c>
      <c r="K18240" s="558">
        <v>2.5299999999999998</v>
      </c>
      <c r="L18240" s="43">
        <v>8.433901427913403</v>
      </c>
      <c r="M18240" s="43">
        <v>11.500925925925925</v>
      </c>
      <c r="N18240" s="43">
        <v>5.27221702525725</v>
      </c>
      <c r="O18240" s="43">
        <v>11.503164556962025</v>
      </c>
      <c r="P18240" s="559"/>
      <c r="Q18240" s="559"/>
      <c r="R18240" s="559">
        <v>13</v>
      </c>
    </row>
    <row r="18241" spans="1:18" ht="84">
      <c r="A18241" s="555">
        <v>673</v>
      </c>
      <c r="B18241" s="552" t="s">
        <v>32933</v>
      </c>
      <c r="C18241" s="556" t="s">
        <v>32934</v>
      </c>
      <c r="D18241" s="557">
        <v>25.02</v>
      </c>
      <c r="E18241" s="557">
        <v>12.64</v>
      </c>
      <c r="F18241" s="557">
        <v>12.13</v>
      </c>
      <c r="G18241" s="557">
        <v>0.25</v>
      </c>
      <c r="H18241" s="558">
        <v>212.19</v>
      </c>
      <c r="I18241" s="558">
        <v>145.35</v>
      </c>
      <c r="J18241" s="558">
        <v>63.96</v>
      </c>
      <c r="K18241" s="558">
        <v>2.88</v>
      </c>
      <c r="L18241" s="43">
        <v>8.4808153477218227</v>
      </c>
      <c r="M18241" s="43">
        <v>11.499208860759493</v>
      </c>
      <c r="N18241" s="43">
        <v>5.2728771640560588</v>
      </c>
      <c r="O18241" s="43">
        <v>11.503164556962025</v>
      </c>
      <c r="P18241" s="559"/>
      <c r="Q18241" s="559"/>
      <c r="R18241" s="559">
        <v>13</v>
      </c>
    </row>
    <row r="18242" spans="1:18" ht="84">
      <c r="A18242" s="555">
        <v>674</v>
      </c>
      <c r="B18242" s="552" t="s">
        <v>32935</v>
      </c>
      <c r="C18242" s="556" t="s">
        <v>32936</v>
      </c>
      <c r="D18242" s="557">
        <v>22.89</v>
      </c>
      <c r="E18242" s="557">
        <v>11.49</v>
      </c>
      <c r="F18242" s="557">
        <v>11.17</v>
      </c>
      <c r="G18242" s="557">
        <v>0.23</v>
      </c>
      <c r="H18242" s="558">
        <v>193.69</v>
      </c>
      <c r="I18242" s="558">
        <v>132.13999999999999</v>
      </c>
      <c r="J18242" s="558">
        <v>58.9</v>
      </c>
      <c r="K18242" s="558">
        <v>2.65</v>
      </c>
      <c r="L18242" s="43">
        <v>8.4617737003058107</v>
      </c>
      <c r="M18242" s="43">
        <v>11.500435161009571</v>
      </c>
      <c r="N18242" s="43">
        <v>5.2730528200537155</v>
      </c>
      <c r="O18242" s="43">
        <v>11.503164556962025</v>
      </c>
      <c r="P18242" s="559"/>
      <c r="Q18242" s="559"/>
      <c r="R18242" s="559">
        <v>13</v>
      </c>
    </row>
    <row r="18243" spans="1:18" ht="84">
      <c r="A18243" s="555">
        <v>675</v>
      </c>
      <c r="B18243" s="552" t="s">
        <v>32937</v>
      </c>
      <c r="C18243" s="556" t="s">
        <v>32938</v>
      </c>
      <c r="D18243" s="557">
        <v>27.4</v>
      </c>
      <c r="E18243" s="557">
        <v>13.79</v>
      </c>
      <c r="F18243" s="557">
        <v>13.33</v>
      </c>
      <c r="G18243" s="557">
        <v>0.28000000000000003</v>
      </c>
      <c r="H18243" s="558">
        <v>232.09</v>
      </c>
      <c r="I18243" s="558">
        <v>158.57</v>
      </c>
      <c r="J18243" s="558">
        <v>70.3</v>
      </c>
      <c r="K18243" s="558">
        <v>3.22</v>
      </c>
      <c r="L18243" s="43">
        <v>8.4704379562043801</v>
      </c>
      <c r="M18243" s="43">
        <v>11.498912255257434</v>
      </c>
      <c r="N18243" s="43">
        <v>5.2738184546136528</v>
      </c>
      <c r="O18243" s="43">
        <v>11.503164556962025</v>
      </c>
      <c r="P18243" s="559"/>
      <c r="Q18243" s="559"/>
      <c r="R18243" s="559">
        <v>13</v>
      </c>
    </row>
    <row r="18244" spans="1:18" ht="84">
      <c r="A18244" s="555">
        <v>676</v>
      </c>
      <c r="B18244" s="552" t="s">
        <v>32939</v>
      </c>
      <c r="C18244" s="556" t="s">
        <v>32940</v>
      </c>
      <c r="D18244" s="557">
        <v>36.64</v>
      </c>
      <c r="E18244" s="557">
        <v>18.38</v>
      </c>
      <c r="F18244" s="557">
        <v>17.89</v>
      </c>
      <c r="G18244" s="557">
        <v>0.37</v>
      </c>
      <c r="H18244" s="558">
        <v>310.04000000000002</v>
      </c>
      <c r="I18244" s="558">
        <v>211.42</v>
      </c>
      <c r="J18244" s="558">
        <v>94.36</v>
      </c>
      <c r="K18244" s="558">
        <v>4.26</v>
      </c>
      <c r="L18244" s="43">
        <v>8.4617903930131</v>
      </c>
      <c r="M18244" s="43">
        <v>11.502720348204571</v>
      </c>
      <c r="N18244" s="43">
        <v>5.2744550027948574</v>
      </c>
      <c r="O18244" s="43">
        <v>11.503164556962025</v>
      </c>
      <c r="P18244" s="559"/>
      <c r="Q18244" s="559"/>
      <c r="R18244" s="559">
        <v>13</v>
      </c>
    </row>
    <row r="18245" spans="1:18" ht="84">
      <c r="A18245" s="555">
        <v>677</v>
      </c>
      <c r="B18245" s="552" t="s">
        <v>32941</v>
      </c>
      <c r="C18245" s="556" t="s">
        <v>32942</v>
      </c>
      <c r="D18245" s="557">
        <v>29.53</v>
      </c>
      <c r="E18245" s="557">
        <v>14.94</v>
      </c>
      <c r="F18245" s="557">
        <v>14.29</v>
      </c>
      <c r="G18245" s="557">
        <v>0.3</v>
      </c>
      <c r="H18245" s="558">
        <v>250.59</v>
      </c>
      <c r="I18245" s="558">
        <v>171.78</v>
      </c>
      <c r="J18245" s="558">
        <v>75.36</v>
      </c>
      <c r="K18245" s="558">
        <v>3.45</v>
      </c>
      <c r="L18245" s="43">
        <v>8.4859464950897383</v>
      </c>
      <c r="M18245" s="43">
        <v>11.497991967871487</v>
      </c>
      <c r="N18245" s="43">
        <v>5.2736179146256124</v>
      </c>
      <c r="O18245" s="43">
        <v>11.503164556962025</v>
      </c>
      <c r="P18245" s="559"/>
      <c r="Q18245" s="559"/>
      <c r="R18245" s="559">
        <v>13</v>
      </c>
    </row>
    <row r="18246" spans="1:18" ht="84">
      <c r="A18246" s="555">
        <v>678</v>
      </c>
      <c r="B18246" s="552" t="s">
        <v>32943</v>
      </c>
      <c r="C18246" s="556" t="s">
        <v>32944</v>
      </c>
      <c r="D18246" s="557">
        <v>34.75</v>
      </c>
      <c r="E18246" s="557">
        <v>17.239999999999998</v>
      </c>
      <c r="F18246" s="557">
        <v>17.170000000000002</v>
      </c>
      <c r="G18246" s="557">
        <v>0.34</v>
      </c>
      <c r="H18246" s="558">
        <v>292.68</v>
      </c>
      <c r="I18246" s="558">
        <v>198.21</v>
      </c>
      <c r="J18246" s="558">
        <v>90.56</v>
      </c>
      <c r="K18246" s="558">
        <v>3.91</v>
      </c>
      <c r="L18246" s="43">
        <v>8.4224460431654684</v>
      </c>
      <c r="M18246" s="43">
        <v>11.497099767981441</v>
      </c>
      <c r="N18246" s="43">
        <v>5.2743156668608036</v>
      </c>
      <c r="O18246" s="43">
        <v>11.503164556962025</v>
      </c>
      <c r="P18246" s="559"/>
      <c r="Q18246" s="559"/>
      <c r="R18246" s="559">
        <v>13</v>
      </c>
    </row>
    <row r="18247" spans="1:18" ht="84">
      <c r="A18247" s="555">
        <v>679</v>
      </c>
      <c r="B18247" s="552" t="s">
        <v>32945</v>
      </c>
      <c r="C18247" s="556" t="s">
        <v>32946</v>
      </c>
      <c r="D18247" s="557">
        <v>48.03</v>
      </c>
      <c r="E18247" s="557">
        <v>24.13</v>
      </c>
      <c r="F18247" s="557">
        <v>23.42</v>
      </c>
      <c r="G18247" s="557">
        <v>0.48</v>
      </c>
      <c r="H18247" s="558">
        <v>406.5</v>
      </c>
      <c r="I18247" s="558">
        <v>277.49</v>
      </c>
      <c r="J18247" s="558">
        <v>123.49</v>
      </c>
      <c r="K18247" s="558">
        <v>5.52</v>
      </c>
      <c r="L18247" s="43">
        <v>8.4634603372891934</v>
      </c>
      <c r="M18247" s="43">
        <v>11.499792789059263</v>
      </c>
      <c r="N18247" s="43">
        <v>5.2728437233134064</v>
      </c>
      <c r="O18247" s="43">
        <v>11.503164556962025</v>
      </c>
      <c r="P18247" s="559"/>
      <c r="Q18247" s="559"/>
      <c r="R18247" s="559">
        <v>13</v>
      </c>
    </row>
    <row r="18248" spans="1:18" ht="84">
      <c r="A18248" s="555">
        <v>680</v>
      </c>
      <c r="B18248" s="552" t="s">
        <v>32947</v>
      </c>
      <c r="C18248" s="556" t="s">
        <v>32948</v>
      </c>
      <c r="D18248" s="557">
        <v>55.15</v>
      </c>
      <c r="E18248" s="557">
        <v>27.58</v>
      </c>
      <c r="F18248" s="557">
        <v>27.02</v>
      </c>
      <c r="G18248" s="557">
        <v>0.55000000000000004</v>
      </c>
      <c r="H18248" s="558">
        <v>465.96</v>
      </c>
      <c r="I18248" s="558">
        <v>317.14</v>
      </c>
      <c r="J18248" s="558">
        <v>142.49</v>
      </c>
      <c r="K18248" s="558">
        <v>6.33</v>
      </c>
      <c r="L18248" s="43">
        <v>8.448957388939256</v>
      </c>
      <c r="M18248" s="43">
        <v>11.498912255257434</v>
      </c>
      <c r="N18248" s="43">
        <v>5.2735011102886755</v>
      </c>
      <c r="O18248" s="43">
        <v>11.503164556962025</v>
      </c>
      <c r="P18248" s="559"/>
      <c r="Q18248" s="559"/>
      <c r="R18248" s="559">
        <v>13</v>
      </c>
    </row>
    <row r="18249" spans="1:18" ht="84">
      <c r="A18249" s="555">
        <v>681</v>
      </c>
      <c r="B18249" s="552" t="s">
        <v>32949</v>
      </c>
      <c r="C18249" s="556" t="s">
        <v>32950</v>
      </c>
      <c r="D18249" s="557">
        <v>32.619999999999997</v>
      </c>
      <c r="E18249" s="557">
        <v>16.09</v>
      </c>
      <c r="F18249" s="557">
        <v>16.21</v>
      </c>
      <c r="G18249" s="557">
        <v>0.32</v>
      </c>
      <c r="H18249" s="558">
        <v>274.18</v>
      </c>
      <c r="I18249" s="558">
        <v>185</v>
      </c>
      <c r="J18249" s="558">
        <v>85.5</v>
      </c>
      <c r="K18249" s="558">
        <v>3.68</v>
      </c>
      <c r="L18249" s="43">
        <v>8.4052728387492337</v>
      </c>
      <c r="M18249" s="43">
        <v>11.497824735860783</v>
      </c>
      <c r="N18249" s="43">
        <v>5.2745219000616901</v>
      </c>
      <c r="O18249" s="43">
        <v>11.503164556962025</v>
      </c>
      <c r="P18249" s="559"/>
      <c r="Q18249" s="559"/>
      <c r="R18249" s="559">
        <v>13</v>
      </c>
    </row>
    <row r="18250" spans="1:18" ht="84">
      <c r="A18250" s="555">
        <v>682</v>
      </c>
      <c r="B18250" s="552" t="s">
        <v>32951</v>
      </c>
      <c r="C18250" s="556" t="s">
        <v>32952</v>
      </c>
      <c r="D18250" s="557">
        <v>39.74</v>
      </c>
      <c r="E18250" s="557">
        <v>19.53</v>
      </c>
      <c r="F18250" s="557">
        <v>19.82</v>
      </c>
      <c r="G18250" s="557">
        <v>0.39</v>
      </c>
      <c r="H18250" s="558">
        <v>333.62</v>
      </c>
      <c r="I18250" s="558">
        <v>224.64</v>
      </c>
      <c r="J18250" s="558">
        <v>104.49</v>
      </c>
      <c r="K18250" s="558">
        <v>4.49</v>
      </c>
      <c r="L18250" s="43">
        <v>8.3950679416205336</v>
      </c>
      <c r="M18250" s="43">
        <v>11.502304147465436</v>
      </c>
      <c r="N18250" s="43">
        <v>5.271947527749747</v>
      </c>
      <c r="O18250" s="43">
        <v>11.503164556962025</v>
      </c>
      <c r="P18250" s="559"/>
      <c r="Q18250" s="559"/>
      <c r="R18250" s="559">
        <v>13</v>
      </c>
    </row>
    <row r="18251" spans="1:18" ht="84">
      <c r="A18251" s="555">
        <v>683</v>
      </c>
      <c r="B18251" s="552" t="s">
        <v>32953</v>
      </c>
      <c r="C18251" s="556" t="s">
        <v>32954</v>
      </c>
      <c r="D18251" s="557">
        <v>55.15</v>
      </c>
      <c r="E18251" s="557">
        <v>27.58</v>
      </c>
      <c r="F18251" s="557">
        <v>27.02</v>
      </c>
      <c r="G18251" s="557">
        <v>0.55000000000000004</v>
      </c>
      <c r="H18251" s="558">
        <v>465.96</v>
      </c>
      <c r="I18251" s="558">
        <v>317.14</v>
      </c>
      <c r="J18251" s="558">
        <v>142.49</v>
      </c>
      <c r="K18251" s="558">
        <v>6.33</v>
      </c>
      <c r="L18251" s="43">
        <v>8.448957388939256</v>
      </c>
      <c r="M18251" s="43">
        <v>11.498912255257434</v>
      </c>
      <c r="N18251" s="43">
        <v>5.2735011102886755</v>
      </c>
      <c r="O18251" s="43">
        <v>11.503164556962025</v>
      </c>
      <c r="P18251" s="559"/>
      <c r="Q18251" s="559"/>
      <c r="R18251" s="559">
        <v>13</v>
      </c>
    </row>
    <row r="18252" spans="1:18" ht="84">
      <c r="A18252" s="555">
        <v>684</v>
      </c>
      <c r="B18252" s="552" t="s">
        <v>32955</v>
      </c>
      <c r="C18252" s="556" t="s">
        <v>32956</v>
      </c>
      <c r="D18252" s="557">
        <v>76.510000000000005</v>
      </c>
      <c r="E18252" s="557">
        <v>37.92</v>
      </c>
      <c r="F18252" s="557">
        <v>37.83</v>
      </c>
      <c r="G18252" s="557">
        <v>0.76</v>
      </c>
      <c r="H18252" s="558">
        <v>644.29</v>
      </c>
      <c r="I18252" s="558">
        <v>436.06</v>
      </c>
      <c r="J18252" s="558">
        <v>199.49</v>
      </c>
      <c r="K18252" s="558">
        <v>8.74</v>
      </c>
      <c r="L18252" s="43">
        <v>8.420990720167298</v>
      </c>
      <c r="M18252" s="43">
        <v>11.499472573839663</v>
      </c>
      <c r="N18252" s="43">
        <v>5.2733280465239236</v>
      </c>
      <c r="O18252" s="43">
        <v>11.503164556962025</v>
      </c>
      <c r="P18252" s="559"/>
      <c r="Q18252" s="559"/>
      <c r="R18252" s="559">
        <v>13</v>
      </c>
    </row>
    <row r="18253" spans="1:18" ht="84">
      <c r="A18253" s="555">
        <v>685</v>
      </c>
      <c r="B18253" s="552" t="s">
        <v>32957</v>
      </c>
      <c r="C18253" s="556" t="s">
        <v>32958</v>
      </c>
      <c r="D18253" s="557">
        <v>48.03</v>
      </c>
      <c r="E18253" s="557">
        <v>24.13</v>
      </c>
      <c r="F18253" s="557">
        <v>23.42</v>
      </c>
      <c r="G18253" s="557">
        <v>0.48</v>
      </c>
      <c r="H18253" s="558">
        <v>406.5</v>
      </c>
      <c r="I18253" s="558">
        <v>277.49</v>
      </c>
      <c r="J18253" s="558">
        <v>123.49</v>
      </c>
      <c r="K18253" s="558">
        <v>5.52</v>
      </c>
      <c r="L18253" s="43">
        <v>8.4634603372891934</v>
      </c>
      <c r="M18253" s="43">
        <v>11.499792789059263</v>
      </c>
      <c r="N18253" s="43">
        <v>5.2728437233134064</v>
      </c>
      <c r="O18253" s="43">
        <v>11.503164556962025</v>
      </c>
      <c r="P18253" s="559"/>
      <c r="Q18253" s="559"/>
      <c r="R18253" s="559">
        <v>13</v>
      </c>
    </row>
    <row r="18254" spans="1:18" ht="84">
      <c r="A18254" s="555">
        <v>686</v>
      </c>
      <c r="B18254" s="552" t="s">
        <v>32959</v>
      </c>
      <c r="C18254" s="556" t="s">
        <v>32960</v>
      </c>
      <c r="D18254" s="557">
        <v>58.12</v>
      </c>
      <c r="E18254" s="557">
        <v>28.73</v>
      </c>
      <c r="F18254" s="557">
        <v>28.82</v>
      </c>
      <c r="G18254" s="557">
        <v>0.56999999999999995</v>
      </c>
      <c r="H18254" s="558">
        <v>488.9</v>
      </c>
      <c r="I18254" s="558">
        <v>330.35</v>
      </c>
      <c r="J18254" s="558">
        <v>151.99</v>
      </c>
      <c r="K18254" s="558">
        <v>6.56</v>
      </c>
      <c r="L18254" s="43">
        <v>8.4119064005505848</v>
      </c>
      <c r="M18254" s="43">
        <v>11.498433693003829</v>
      </c>
      <c r="N18254" s="43">
        <v>5.2737682165163084</v>
      </c>
      <c r="O18254" s="43">
        <v>11.503164556962025</v>
      </c>
      <c r="P18254" s="559"/>
      <c r="Q18254" s="559"/>
      <c r="R18254" s="559">
        <v>13</v>
      </c>
    </row>
    <row r="18255" spans="1:18" ht="84">
      <c r="A18255" s="555">
        <v>687</v>
      </c>
      <c r="B18255" s="552" t="s">
        <v>32961</v>
      </c>
      <c r="C18255" s="556" t="s">
        <v>32962</v>
      </c>
      <c r="D18255" s="557">
        <v>76.510000000000005</v>
      </c>
      <c r="E18255" s="557">
        <v>37.92</v>
      </c>
      <c r="F18255" s="557">
        <v>37.83</v>
      </c>
      <c r="G18255" s="557">
        <v>0.76</v>
      </c>
      <c r="H18255" s="558">
        <v>644.29</v>
      </c>
      <c r="I18255" s="558">
        <v>436.06</v>
      </c>
      <c r="J18255" s="558">
        <v>199.49</v>
      </c>
      <c r="K18255" s="558">
        <v>8.74</v>
      </c>
      <c r="L18255" s="43">
        <v>8.420990720167298</v>
      </c>
      <c r="M18255" s="43">
        <v>11.499472573839663</v>
      </c>
      <c r="N18255" s="43">
        <v>5.2733280465239236</v>
      </c>
      <c r="O18255" s="43">
        <v>11.503164556962025</v>
      </c>
      <c r="P18255" s="559"/>
      <c r="Q18255" s="559"/>
      <c r="R18255" s="559">
        <v>13</v>
      </c>
    </row>
    <row r="18256" spans="1:18" ht="84">
      <c r="A18256" s="555">
        <v>688</v>
      </c>
      <c r="B18256" s="552" t="s">
        <v>32963</v>
      </c>
      <c r="C18256" s="556" t="s">
        <v>32964</v>
      </c>
      <c r="D18256" s="557">
        <v>102.01</v>
      </c>
      <c r="E18256" s="557">
        <v>50.56</v>
      </c>
      <c r="F18256" s="557">
        <v>50.44</v>
      </c>
      <c r="G18256" s="557">
        <v>1.01</v>
      </c>
      <c r="H18256" s="558">
        <v>859.03</v>
      </c>
      <c r="I18256" s="558">
        <v>581.41999999999996</v>
      </c>
      <c r="J18256" s="558">
        <v>265.99</v>
      </c>
      <c r="K18256" s="558">
        <v>11.62</v>
      </c>
      <c r="L18256" s="43">
        <v>8.4210371532202721</v>
      </c>
      <c r="M18256" s="43">
        <v>11.499604430379746</v>
      </c>
      <c r="N18256" s="43">
        <v>5.2733941316415551</v>
      </c>
      <c r="O18256" s="43">
        <v>11.503164556962025</v>
      </c>
      <c r="P18256" s="559"/>
      <c r="Q18256" s="559"/>
      <c r="R18256" s="559">
        <v>13</v>
      </c>
    </row>
    <row r="18257" spans="1:18" ht="84">
      <c r="A18257" s="555">
        <v>689</v>
      </c>
      <c r="B18257" s="552" t="s">
        <v>32965</v>
      </c>
      <c r="C18257" s="556" t="s">
        <v>32966</v>
      </c>
      <c r="D18257" s="557">
        <v>124.54</v>
      </c>
      <c r="E18257" s="557">
        <v>62.05</v>
      </c>
      <c r="F18257" s="557">
        <v>61.25</v>
      </c>
      <c r="G18257" s="557">
        <v>1.24</v>
      </c>
      <c r="H18257" s="558">
        <v>1050.8</v>
      </c>
      <c r="I18257" s="558">
        <v>713.56</v>
      </c>
      <c r="J18257" s="558">
        <v>322.98</v>
      </c>
      <c r="K18257" s="558">
        <v>14.26</v>
      </c>
      <c r="L18257" s="43">
        <v>8.4374498153203774</v>
      </c>
      <c r="M18257" s="43">
        <v>11.499758259468171</v>
      </c>
      <c r="N18257" s="43">
        <v>5.2731428571428571</v>
      </c>
      <c r="O18257" s="43">
        <v>11.503164556962025</v>
      </c>
      <c r="P18257" s="559"/>
      <c r="Q18257" s="559"/>
      <c r="R18257" s="559">
        <v>13</v>
      </c>
    </row>
    <row r="18258" spans="1:18" ht="84">
      <c r="A18258" s="555">
        <v>690</v>
      </c>
      <c r="B18258" s="552" t="s">
        <v>32967</v>
      </c>
      <c r="C18258" s="556" t="s">
        <v>32968</v>
      </c>
      <c r="D18258" s="557">
        <v>51.01</v>
      </c>
      <c r="E18258" s="557">
        <v>25.28</v>
      </c>
      <c r="F18258" s="557">
        <v>25.22</v>
      </c>
      <c r="G18258" s="557">
        <v>0.51</v>
      </c>
      <c r="H18258" s="558">
        <v>429.57</v>
      </c>
      <c r="I18258" s="558">
        <v>290.70999999999998</v>
      </c>
      <c r="J18258" s="558">
        <v>132.99</v>
      </c>
      <c r="K18258" s="558">
        <v>5.87</v>
      </c>
      <c r="L18258" s="43">
        <v>8.4212899431484018</v>
      </c>
      <c r="M18258" s="43">
        <v>11.499604430379746</v>
      </c>
      <c r="N18258" s="43">
        <v>5.2731958762886606</v>
      </c>
      <c r="O18258" s="43">
        <v>11.503164556962025</v>
      </c>
      <c r="P18258" s="559"/>
      <c r="Q18258" s="559"/>
      <c r="R18258" s="559">
        <v>13</v>
      </c>
    </row>
    <row r="18259" spans="1:18" ht="84">
      <c r="A18259" s="555">
        <v>691</v>
      </c>
      <c r="B18259" s="552" t="s">
        <v>32969</v>
      </c>
      <c r="C18259" s="556" t="s">
        <v>32970</v>
      </c>
      <c r="D18259" s="557">
        <v>62.27</v>
      </c>
      <c r="E18259" s="557">
        <v>31.02</v>
      </c>
      <c r="F18259" s="557">
        <v>30.63</v>
      </c>
      <c r="G18259" s="557">
        <v>0.62</v>
      </c>
      <c r="H18259" s="558">
        <v>525.4</v>
      </c>
      <c r="I18259" s="558">
        <v>356.78</v>
      </c>
      <c r="J18259" s="558">
        <v>161.49</v>
      </c>
      <c r="K18259" s="558">
        <v>7.13</v>
      </c>
      <c r="L18259" s="43">
        <v>8.4374498153203774</v>
      </c>
      <c r="M18259" s="43">
        <v>11.50161186331399</v>
      </c>
      <c r="N18259" s="43">
        <v>5.2722820763956912</v>
      </c>
      <c r="O18259" s="43">
        <v>11.503164556962025</v>
      </c>
      <c r="P18259" s="559"/>
      <c r="Q18259" s="559"/>
      <c r="R18259" s="559">
        <v>13</v>
      </c>
    </row>
    <row r="18260" spans="1:18" ht="84">
      <c r="A18260" s="555">
        <v>692</v>
      </c>
      <c r="B18260" s="552" t="s">
        <v>32971</v>
      </c>
      <c r="C18260" s="556" t="s">
        <v>32972</v>
      </c>
      <c r="D18260" s="557">
        <v>83.62</v>
      </c>
      <c r="E18260" s="557">
        <v>41.36</v>
      </c>
      <c r="F18260" s="557">
        <v>41.43</v>
      </c>
      <c r="G18260" s="557">
        <v>0.83</v>
      </c>
      <c r="H18260" s="558">
        <v>703.74</v>
      </c>
      <c r="I18260" s="558">
        <v>475.7</v>
      </c>
      <c r="J18260" s="558">
        <v>218.49</v>
      </c>
      <c r="K18260" s="558">
        <v>9.5500000000000007</v>
      </c>
      <c r="L18260" s="43">
        <v>8.4159292035398234</v>
      </c>
      <c r="M18260" s="43">
        <v>11.501450676982591</v>
      </c>
      <c r="N18260" s="43">
        <v>5.2737146994931212</v>
      </c>
      <c r="O18260" s="43">
        <v>11.503164556962025</v>
      </c>
      <c r="P18260" s="559"/>
      <c r="Q18260" s="559"/>
      <c r="R18260" s="559">
        <v>13</v>
      </c>
    </row>
    <row r="18261" spans="1:18" ht="84">
      <c r="A18261" s="555">
        <v>693</v>
      </c>
      <c r="B18261" s="552" t="s">
        <v>32973</v>
      </c>
      <c r="C18261" s="556" t="s">
        <v>32974</v>
      </c>
      <c r="D18261" s="557">
        <v>109.13</v>
      </c>
      <c r="E18261" s="557">
        <v>54</v>
      </c>
      <c r="F18261" s="557">
        <v>54.05</v>
      </c>
      <c r="G18261" s="557">
        <v>1.08</v>
      </c>
      <c r="H18261" s="558">
        <v>918.47</v>
      </c>
      <c r="I18261" s="558">
        <v>621.05999999999995</v>
      </c>
      <c r="J18261" s="558">
        <v>284.99</v>
      </c>
      <c r="K18261" s="558">
        <v>12.42</v>
      </c>
      <c r="L18261" s="43">
        <v>8.4162924951892251</v>
      </c>
      <c r="M18261" s="43">
        <v>11.50111111111111</v>
      </c>
      <c r="N18261" s="43">
        <v>5.272710453283997</v>
      </c>
      <c r="O18261" s="43">
        <v>11.503164556962025</v>
      </c>
      <c r="P18261" s="559"/>
      <c r="Q18261" s="559"/>
      <c r="R18261" s="559">
        <v>13</v>
      </c>
    </row>
    <row r="18262" spans="1:18" ht="84">
      <c r="A18262" s="555">
        <v>694</v>
      </c>
      <c r="B18262" s="552" t="s">
        <v>32975</v>
      </c>
      <c r="C18262" s="556" t="s">
        <v>32976</v>
      </c>
      <c r="D18262" s="557">
        <v>127.51</v>
      </c>
      <c r="E18262" s="557">
        <v>63.2</v>
      </c>
      <c r="F18262" s="557">
        <v>63.05</v>
      </c>
      <c r="G18262" s="557">
        <v>1.26</v>
      </c>
      <c r="H18262" s="558">
        <v>1073.74</v>
      </c>
      <c r="I18262" s="558">
        <v>726.77</v>
      </c>
      <c r="J18262" s="558">
        <v>332.48</v>
      </c>
      <c r="K18262" s="558">
        <v>14.49</v>
      </c>
      <c r="L18262" s="43">
        <v>8.4208297388440112</v>
      </c>
      <c r="M18262" s="43">
        <v>11.499525316455696</v>
      </c>
      <c r="N18262" s="43">
        <v>5.2732751784298184</v>
      </c>
      <c r="O18262" s="43">
        <v>11.503164556962025</v>
      </c>
      <c r="P18262" s="559"/>
      <c r="Q18262" s="559"/>
      <c r="R18262" s="559">
        <v>13</v>
      </c>
    </row>
    <row r="18263" spans="1:18" ht="84">
      <c r="A18263" s="555">
        <v>695</v>
      </c>
      <c r="B18263" s="552" t="s">
        <v>32977</v>
      </c>
      <c r="C18263" s="556" t="s">
        <v>32978</v>
      </c>
      <c r="D18263" s="557">
        <v>150.04</v>
      </c>
      <c r="E18263" s="557">
        <v>74.69</v>
      </c>
      <c r="F18263" s="557">
        <v>73.86</v>
      </c>
      <c r="G18263" s="557">
        <v>1.49</v>
      </c>
      <c r="H18263" s="558">
        <v>1265.53</v>
      </c>
      <c r="I18263" s="558">
        <v>858.91</v>
      </c>
      <c r="J18263" s="558">
        <v>389.48</v>
      </c>
      <c r="K18263" s="558">
        <v>17.14</v>
      </c>
      <c r="L18263" s="43">
        <v>8.4346174353505727</v>
      </c>
      <c r="M18263" s="43">
        <v>11.499665283170438</v>
      </c>
      <c r="N18263" s="43">
        <v>5.2732196046574602</v>
      </c>
      <c r="O18263" s="43">
        <v>11.503164556962025</v>
      </c>
      <c r="P18263" s="559"/>
      <c r="Q18263" s="559"/>
      <c r="R18263" s="559">
        <v>13</v>
      </c>
    </row>
    <row r="18264" spans="1:18" ht="84">
      <c r="A18264" s="555">
        <v>696</v>
      </c>
      <c r="B18264" s="552" t="s">
        <v>32979</v>
      </c>
      <c r="C18264" s="556" t="s">
        <v>32980</v>
      </c>
      <c r="D18264" s="557">
        <v>175.54</v>
      </c>
      <c r="E18264" s="557">
        <v>87.32</v>
      </c>
      <c r="F18264" s="557">
        <v>86.47</v>
      </c>
      <c r="G18264" s="557">
        <v>1.75</v>
      </c>
      <c r="H18264" s="558">
        <v>1480.37</v>
      </c>
      <c r="I18264" s="558">
        <v>1004.26</v>
      </c>
      <c r="J18264" s="558">
        <v>455.98</v>
      </c>
      <c r="K18264" s="558">
        <v>20.13</v>
      </c>
      <c r="L18264" s="43">
        <v>8.4332345904067445</v>
      </c>
      <c r="M18264" s="43">
        <v>11.500916170407697</v>
      </c>
      <c r="N18264" s="43">
        <v>5.2732739678501215</v>
      </c>
      <c r="O18264" s="43">
        <v>11.503164556962025</v>
      </c>
      <c r="P18264" s="559"/>
      <c r="Q18264" s="559"/>
      <c r="R18264" s="559">
        <v>13</v>
      </c>
    </row>
    <row r="18265" spans="1:18" ht="84">
      <c r="A18265" s="555">
        <v>697</v>
      </c>
      <c r="B18265" s="552" t="s">
        <v>32981</v>
      </c>
      <c r="C18265" s="556" t="s">
        <v>32982</v>
      </c>
      <c r="D18265" s="557">
        <v>196.9</v>
      </c>
      <c r="E18265" s="557">
        <v>97.67</v>
      </c>
      <c r="F18265" s="557">
        <v>97.28</v>
      </c>
      <c r="G18265" s="557">
        <v>1.95</v>
      </c>
      <c r="H18265" s="558">
        <v>1658.59</v>
      </c>
      <c r="I18265" s="558">
        <v>1123.19</v>
      </c>
      <c r="J18265" s="558">
        <v>512.97</v>
      </c>
      <c r="K18265" s="558">
        <v>22.43</v>
      </c>
      <c r="L18265" s="43">
        <v>8.4235144743524621</v>
      </c>
      <c r="M18265" s="43">
        <v>11.499846421623836</v>
      </c>
      <c r="N18265" s="43">
        <v>5.2731291118421053</v>
      </c>
      <c r="O18265" s="43">
        <v>11.503164556962025</v>
      </c>
      <c r="P18265" s="559"/>
      <c r="Q18265" s="559"/>
      <c r="R18265" s="559">
        <v>13</v>
      </c>
    </row>
    <row r="18266" spans="1:18" ht="84">
      <c r="A18266" s="555">
        <v>698</v>
      </c>
      <c r="B18266" s="552" t="s">
        <v>32983</v>
      </c>
      <c r="C18266" s="556" t="s">
        <v>32984</v>
      </c>
      <c r="D18266" s="557">
        <v>222.4</v>
      </c>
      <c r="E18266" s="557">
        <v>110.3</v>
      </c>
      <c r="F18266" s="557">
        <v>109.89</v>
      </c>
      <c r="G18266" s="557">
        <v>2.21</v>
      </c>
      <c r="H18266" s="558">
        <v>1873.43</v>
      </c>
      <c r="I18266" s="558">
        <v>1268.54</v>
      </c>
      <c r="J18266" s="558">
        <v>579.47</v>
      </c>
      <c r="K18266" s="558">
        <v>25.42</v>
      </c>
      <c r="L18266" s="43">
        <v>8.4236960431654673</v>
      </c>
      <c r="M18266" s="43">
        <v>11.50081595648232</v>
      </c>
      <c r="N18266" s="43">
        <v>5.2731822731822735</v>
      </c>
      <c r="O18266" s="43">
        <v>11.503164556962025</v>
      </c>
      <c r="P18266" s="559"/>
      <c r="Q18266" s="559"/>
      <c r="R18266" s="559">
        <v>13</v>
      </c>
    </row>
    <row r="18267" spans="1:18" ht="84">
      <c r="A18267" s="555">
        <v>699</v>
      </c>
      <c r="B18267" s="552" t="s">
        <v>32985</v>
      </c>
      <c r="C18267" s="556" t="s">
        <v>32986</v>
      </c>
      <c r="D18267" s="557">
        <v>58.12</v>
      </c>
      <c r="E18267" s="557">
        <v>28.73</v>
      </c>
      <c r="F18267" s="557">
        <v>28.82</v>
      </c>
      <c r="G18267" s="557">
        <v>0.56999999999999995</v>
      </c>
      <c r="H18267" s="558">
        <v>488.9</v>
      </c>
      <c r="I18267" s="558">
        <v>330.35</v>
      </c>
      <c r="J18267" s="558">
        <v>151.99</v>
      </c>
      <c r="K18267" s="558">
        <v>6.56</v>
      </c>
      <c r="L18267" s="43">
        <v>8.4119064005505848</v>
      </c>
      <c r="M18267" s="43">
        <v>11.498433693003829</v>
      </c>
      <c r="N18267" s="43">
        <v>5.2737682165163084</v>
      </c>
      <c r="O18267" s="43">
        <v>11.503164556962025</v>
      </c>
      <c r="P18267" s="559"/>
      <c r="Q18267" s="559"/>
      <c r="R18267" s="559">
        <v>13</v>
      </c>
    </row>
    <row r="18268" spans="1:18" ht="84">
      <c r="A18268" s="555">
        <v>700</v>
      </c>
      <c r="B18268" s="552" t="s">
        <v>32987</v>
      </c>
      <c r="C18268" s="556" t="s">
        <v>32988</v>
      </c>
      <c r="D18268" s="557">
        <v>69.39</v>
      </c>
      <c r="E18268" s="557">
        <v>34.47</v>
      </c>
      <c r="F18268" s="557">
        <v>34.229999999999997</v>
      </c>
      <c r="G18268" s="557">
        <v>0.69</v>
      </c>
      <c r="H18268" s="558">
        <v>584.85</v>
      </c>
      <c r="I18268" s="558">
        <v>396.42</v>
      </c>
      <c r="J18268" s="558">
        <v>180.49</v>
      </c>
      <c r="K18268" s="558">
        <v>7.94</v>
      </c>
      <c r="L18268" s="43">
        <v>8.4284479031560746</v>
      </c>
      <c r="M18268" s="43">
        <v>11.500435161009575</v>
      </c>
      <c r="N18268" s="43">
        <v>5.2728600642711081</v>
      </c>
      <c r="O18268" s="43">
        <v>11.503164556962025</v>
      </c>
      <c r="P18268" s="559"/>
      <c r="Q18268" s="559"/>
      <c r="R18268" s="559">
        <v>13</v>
      </c>
    </row>
    <row r="18269" spans="1:18" ht="84">
      <c r="A18269" s="555">
        <v>701</v>
      </c>
      <c r="B18269" s="552" t="s">
        <v>32989</v>
      </c>
      <c r="C18269" s="556" t="s">
        <v>32990</v>
      </c>
      <c r="D18269" s="557">
        <v>99.04</v>
      </c>
      <c r="E18269" s="557">
        <v>49.41</v>
      </c>
      <c r="F18269" s="557">
        <v>48.64</v>
      </c>
      <c r="G18269" s="557">
        <v>0.99</v>
      </c>
      <c r="H18269" s="558">
        <v>836.08</v>
      </c>
      <c r="I18269" s="558">
        <v>568.20000000000005</v>
      </c>
      <c r="J18269" s="558">
        <v>256.49</v>
      </c>
      <c r="K18269" s="558">
        <v>11.39</v>
      </c>
      <c r="L18269" s="43">
        <v>8.4418416801292402</v>
      </c>
      <c r="M18269" s="43">
        <v>11.499696417729206</v>
      </c>
      <c r="N18269" s="43">
        <v>5.2732319078947372</v>
      </c>
      <c r="O18269" s="43">
        <v>11.503164556962025</v>
      </c>
      <c r="P18269" s="559"/>
      <c r="Q18269" s="559"/>
      <c r="R18269" s="559">
        <v>13</v>
      </c>
    </row>
    <row r="18270" spans="1:18" ht="84">
      <c r="A18270" s="555">
        <v>702</v>
      </c>
      <c r="B18270" s="552" t="s">
        <v>32991</v>
      </c>
      <c r="C18270" s="556" t="s">
        <v>32992</v>
      </c>
      <c r="D18270" s="557">
        <v>124.54</v>
      </c>
      <c r="E18270" s="557">
        <v>62.05</v>
      </c>
      <c r="F18270" s="557">
        <v>61.25</v>
      </c>
      <c r="G18270" s="557">
        <v>1.24</v>
      </c>
      <c r="H18270" s="558">
        <v>1050.8</v>
      </c>
      <c r="I18270" s="558">
        <v>713.56</v>
      </c>
      <c r="J18270" s="558">
        <v>322.98</v>
      </c>
      <c r="K18270" s="558">
        <v>14.26</v>
      </c>
      <c r="L18270" s="43">
        <v>8.4374498153203774</v>
      </c>
      <c r="M18270" s="43">
        <v>11.499758259468171</v>
      </c>
      <c r="N18270" s="43">
        <v>5.2731428571428571</v>
      </c>
      <c r="O18270" s="43">
        <v>11.503164556962025</v>
      </c>
      <c r="P18270" s="559"/>
      <c r="Q18270" s="559"/>
      <c r="R18270" s="559">
        <v>13</v>
      </c>
    </row>
    <row r="18271" spans="1:18" ht="84">
      <c r="A18271" s="555">
        <v>703</v>
      </c>
      <c r="B18271" s="552" t="s">
        <v>32993</v>
      </c>
      <c r="C18271" s="556" t="s">
        <v>32994</v>
      </c>
      <c r="D18271" s="557">
        <v>150.04</v>
      </c>
      <c r="E18271" s="557">
        <v>74.69</v>
      </c>
      <c r="F18271" s="557">
        <v>73.86</v>
      </c>
      <c r="G18271" s="557">
        <v>1.49</v>
      </c>
      <c r="H18271" s="558">
        <v>1265.53</v>
      </c>
      <c r="I18271" s="558">
        <v>858.91</v>
      </c>
      <c r="J18271" s="558">
        <v>389.48</v>
      </c>
      <c r="K18271" s="558">
        <v>17.14</v>
      </c>
      <c r="L18271" s="43">
        <v>8.4346174353505727</v>
      </c>
      <c r="M18271" s="43">
        <v>11.499665283170438</v>
      </c>
      <c r="N18271" s="43">
        <v>5.2732196046574602</v>
      </c>
      <c r="O18271" s="43">
        <v>11.503164556962025</v>
      </c>
      <c r="P18271" s="559"/>
      <c r="Q18271" s="559"/>
      <c r="R18271" s="559">
        <v>13</v>
      </c>
    </row>
    <row r="18272" spans="1:18" ht="84">
      <c r="A18272" s="555">
        <v>704</v>
      </c>
      <c r="B18272" s="552" t="s">
        <v>32995</v>
      </c>
      <c r="C18272" s="556" t="s">
        <v>32996</v>
      </c>
      <c r="D18272" s="557">
        <v>175.54</v>
      </c>
      <c r="E18272" s="557">
        <v>87.32</v>
      </c>
      <c r="F18272" s="557">
        <v>86.47</v>
      </c>
      <c r="G18272" s="557">
        <v>1.75</v>
      </c>
      <c r="H18272" s="558">
        <v>1480.37</v>
      </c>
      <c r="I18272" s="558">
        <v>1004.26</v>
      </c>
      <c r="J18272" s="558">
        <v>455.98</v>
      </c>
      <c r="K18272" s="558">
        <v>20.13</v>
      </c>
      <c r="L18272" s="43">
        <v>8.4332345904067445</v>
      </c>
      <c r="M18272" s="43">
        <v>11.500916170407697</v>
      </c>
      <c r="N18272" s="43">
        <v>5.2732739678501215</v>
      </c>
      <c r="O18272" s="43">
        <v>11.503164556962025</v>
      </c>
      <c r="P18272" s="559"/>
      <c r="Q18272" s="559"/>
      <c r="R18272" s="559">
        <v>13</v>
      </c>
    </row>
    <row r="18273" spans="1:18" ht="84">
      <c r="A18273" s="555">
        <v>705</v>
      </c>
      <c r="B18273" s="552" t="s">
        <v>32997</v>
      </c>
      <c r="C18273" s="556" t="s">
        <v>32998</v>
      </c>
      <c r="D18273" s="557">
        <v>201.04</v>
      </c>
      <c r="E18273" s="557">
        <v>99.96</v>
      </c>
      <c r="F18273" s="557">
        <v>99.08</v>
      </c>
      <c r="G18273" s="557">
        <v>2</v>
      </c>
      <c r="H18273" s="558">
        <v>1695.09</v>
      </c>
      <c r="I18273" s="558">
        <v>1149.6199999999999</v>
      </c>
      <c r="J18273" s="558">
        <v>522.47</v>
      </c>
      <c r="K18273" s="558">
        <v>23</v>
      </c>
      <c r="L18273" s="43">
        <v>8.4316056506167918</v>
      </c>
      <c r="M18273" s="43">
        <v>11.50080032012805</v>
      </c>
      <c r="N18273" s="43">
        <v>5.2732135647961247</v>
      </c>
      <c r="O18273" s="43">
        <v>11.503164556962025</v>
      </c>
      <c r="P18273" s="559"/>
      <c r="Q18273" s="559"/>
      <c r="R18273" s="559">
        <v>13</v>
      </c>
    </row>
    <row r="18274" spans="1:18" ht="84">
      <c r="A18274" s="555">
        <v>706</v>
      </c>
      <c r="B18274" s="552" t="s">
        <v>32999</v>
      </c>
      <c r="C18274" s="556" t="s">
        <v>33000</v>
      </c>
      <c r="D18274" s="557">
        <v>226.54</v>
      </c>
      <c r="E18274" s="557">
        <v>112.6</v>
      </c>
      <c r="F18274" s="557">
        <v>111.69</v>
      </c>
      <c r="G18274" s="557">
        <v>2.25</v>
      </c>
      <c r="H18274" s="558">
        <v>1909.82</v>
      </c>
      <c r="I18274" s="558">
        <v>1294.97</v>
      </c>
      <c r="J18274" s="558">
        <v>588.97</v>
      </c>
      <c r="K18274" s="558">
        <v>25.88</v>
      </c>
      <c r="L18274" s="43">
        <v>8.4303875695241466</v>
      </c>
      <c r="M18274" s="43">
        <v>11.500621669627</v>
      </c>
      <c r="N18274" s="43">
        <v>5.2732563344972698</v>
      </c>
      <c r="O18274" s="43">
        <v>11.503164556962025</v>
      </c>
      <c r="P18274" s="559"/>
      <c r="Q18274" s="559"/>
      <c r="R18274" s="559">
        <v>13</v>
      </c>
    </row>
    <row r="18275" spans="1:18" ht="84">
      <c r="A18275" s="555">
        <v>707</v>
      </c>
      <c r="B18275" s="552" t="s">
        <v>33001</v>
      </c>
      <c r="C18275" s="556" t="s">
        <v>33002</v>
      </c>
      <c r="D18275" s="557">
        <v>62.27</v>
      </c>
      <c r="E18275" s="557">
        <v>31.02</v>
      </c>
      <c r="F18275" s="557">
        <v>30.63</v>
      </c>
      <c r="G18275" s="557">
        <v>0.62</v>
      </c>
      <c r="H18275" s="558">
        <v>525.4</v>
      </c>
      <c r="I18275" s="558">
        <v>356.78</v>
      </c>
      <c r="J18275" s="558">
        <v>161.49</v>
      </c>
      <c r="K18275" s="558">
        <v>7.13</v>
      </c>
      <c r="L18275" s="43">
        <v>8.4374498153203774</v>
      </c>
      <c r="M18275" s="43">
        <v>11.50161186331399</v>
      </c>
      <c r="N18275" s="43">
        <v>5.2722820763956912</v>
      </c>
      <c r="O18275" s="43">
        <v>11.503164556962025</v>
      </c>
      <c r="P18275" s="559"/>
      <c r="Q18275" s="559"/>
      <c r="R18275" s="559">
        <v>13</v>
      </c>
    </row>
    <row r="18276" spans="1:18" ht="84">
      <c r="A18276" s="555">
        <v>708</v>
      </c>
      <c r="B18276" s="552" t="s">
        <v>33003</v>
      </c>
      <c r="C18276" s="556" t="s">
        <v>33004</v>
      </c>
      <c r="D18276" s="557">
        <v>76.510000000000005</v>
      </c>
      <c r="E18276" s="557">
        <v>37.92</v>
      </c>
      <c r="F18276" s="557">
        <v>37.83</v>
      </c>
      <c r="G18276" s="557">
        <v>0.76</v>
      </c>
      <c r="H18276" s="558">
        <v>644.29</v>
      </c>
      <c r="I18276" s="558">
        <v>436.06</v>
      </c>
      <c r="J18276" s="558">
        <v>199.49</v>
      </c>
      <c r="K18276" s="558">
        <v>8.74</v>
      </c>
      <c r="L18276" s="43">
        <v>8.420990720167298</v>
      </c>
      <c r="M18276" s="43">
        <v>11.499472573839663</v>
      </c>
      <c r="N18276" s="43">
        <v>5.2733280465239236</v>
      </c>
      <c r="O18276" s="43">
        <v>11.503164556962025</v>
      </c>
      <c r="P18276" s="559"/>
      <c r="Q18276" s="559"/>
      <c r="R18276" s="559">
        <v>13</v>
      </c>
    </row>
    <row r="18277" spans="1:18" ht="84">
      <c r="A18277" s="555">
        <v>709</v>
      </c>
      <c r="B18277" s="552" t="s">
        <v>33005</v>
      </c>
      <c r="C18277" s="556" t="s">
        <v>33006</v>
      </c>
      <c r="D18277" s="557">
        <v>102.01</v>
      </c>
      <c r="E18277" s="557">
        <v>50.56</v>
      </c>
      <c r="F18277" s="557">
        <v>50.44</v>
      </c>
      <c r="G18277" s="557">
        <v>1.01</v>
      </c>
      <c r="H18277" s="558">
        <v>859.03</v>
      </c>
      <c r="I18277" s="558">
        <v>581.41999999999996</v>
      </c>
      <c r="J18277" s="558">
        <v>265.99</v>
      </c>
      <c r="K18277" s="558">
        <v>11.62</v>
      </c>
      <c r="L18277" s="43">
        <v>8.4210371532202721</v>
      </c>
      <c r="M18277" s="43">
        <v>11.499604430379746</v>
      </c>
      <c r="N18277" s="43">
        <v>5.2733941316415551</v>
      </c>
      <c r="O18277" s="43">
        <v>11.503164556962025</v>
      </c>
      <c r="P18277" s="559"/>
      <c r="Q18277" s="559"/>
      <c r="R18277" s="559">
        <v>13</v>
      </c>
    </row>
    <row r="18278" spans="1:18" ht="84">
      <c r="A18278" s="555">
        <v>710</v>
      </c>
      <c r="B18278" s="552" t="s">
        <v>33007</v>
      </c>
      <c r="C18278" s="556" t="s">
        <v>33008</v>
      </c>
      <c r="D18278" s="557">
        <v>134.63</v>
      </c>
      <c r="E18278" s="557">
        <v>66.64</v>
      </c>
      <c r="F18278" s="557">
        <v>66.66</v>
      </c>
      <c r="G18278" s="557">
        <v>1.33</v>
      </c>
      <c r="H18278" s="558">
        <v>1133.19</v>
      </c>
      <c r="I18278" s="558">
        <v>766.41</v>
      </c>
      <c r="J18278" s="558">
        <v>351.48</v>
      </c>
      <c r="K18278" s="558">
        <v>15.3</v>
      </c>
      <c r="L18278" s="43">
        <v>8.4170690039367155</v>
      </c>
      <c r="M18278" s="43">
        <v>11.500750300120048</v>
      </c>
      <c r="N18278" s="43">
        <v>5.2727272727272734</v>
      </c>
      <c r="O18278" s="43">
        <v>11.503164556962025</v>
      </c>
      <c r="P18278" s="559"/>
      <c r="Q18278" s="559"/>
      <c r="R18278" s="559">
        <v>13</v>
      </c>
    </row>
    <row r="18279" spans="1:18" ht="84">
      <c r="A18279" s="555">
        <v>711</v>
      </c>
      <c r="B18279" s="552" t="s">
        <v>33009</v>
      </c>
      <c r="C18279" s="556" t="s">
        <v>33010</v>
      </c>
      <c r="D18279" s="557">
        <v>161.31</v>
      </c>
      <c r="E18279" s="557">
        <v>80.430000000000007</v>
      </c>
      <c r="F18279" s="557">
        <v>79.27</v>
      </c>
      <c r="G18279" s="557">
        <v>1.61</v>
      </c>
      <c r="H18279" s="558">
        <v>1361.48</v>
      </c>
      <c r="I18279" s="558">
        <v>924.98</v>
      </c>
      <c r="J18279" s="558">
        <v>417.98</v>
      </c>
      <c r="K18279" s="558">
        <v>18.52</v>
      </c>
      <c r="L18279" s="43">
        <v>8.4401463021511383</v>
      </c>
      <c r="M18279" s="43">
        <v>11.500435161009573</v>
      </c>
      <c r="N18279" s="43">
        <v>5.2728648921407855</v>
      </c>
      <c r="O18279" s="43">
        <v>11.503164556962025</v>
      </c>
      <c r="P18279" s="559"/>
      <c r="Q18279" s="559"/>
      <c r="R18279" s="559">
        <v>13</v>
      </c>
    </row>
    <row r="18280" spans="1:18" ht="84">
      <c r="A18280" s="555">
        <v>712</v>
      </c>
      <c r="B18280" s="552" t="s">
        <v>33011</v>
      </c>
      <c r="C18280" s="556" t="s">
        <v>33012</v>
      </c>
      <c r="D18280" s="557">
        <v>189.78</v>
      </c>
      <c r="E18280" s="557">
        <v>94.22</v>
      </c>
      <c r="F18280" s="557">
        <v>93.68</v>
      </c>
      <c r="G18280" s="557">
        <v>1.88</v>
      </c>
      <c r="H18280" s="558">
        <v>1599.14</v>
      </c>
      <c r="I18280" s="558">
        <v>1083.55</v>
      </c>
      <c r="J18280" s="558">
        <v>493.97</v>
      </c>
      <c r="K18280" s="558">
        <v>21.62</v>
      </c>
      <c r="L18280" s="43">
        <v>8.4262830646011171</v>
      </c>
      <c r="M18280" s="43">
        <v>11.500212269157291</v>
      </c>
      <c r="N18280" s="43">
        <v>5.272950469684031</v>
      </c>
      <c r="O18280" s="43">
        <v>11.503164556962025</v>
      </c>
      <c r="P18280" s="559"/>
      <c r="Q18280" s="559"/>
      <c r="R18280" s="559">
        <v>13</v>
      </c>
    </row>
    <row r="18281" spans="1:18" ht="84">
      <c r="A18281" s="555">
        <v>713</v>
      </c>
      <c r="B18281" s="552" t="s">
        <v>33013</v>
      </c>
      <c r="C18281" s="556" t="s">
        <v>33014</v>
      </c>
      <c r="D18281" s="557">
        <v>219.43</v>
      </c>
      <c r="E18281" s="557">
        <v>109.16</v>
      </c>
      <c r="F18281" s="557">
        <v>108.09</v>
      </c>
      <c r="G18281" s="557">
        <v>2.1800000000000002</v>
      </c>
      <c r="H18281" s="558">
        <v>1850.37</v>
      </c>
      <c r="I18281" s="558">
        <v>1255.33</v>
      </c>
      <c r="J18281" s="558">
        <v>569.97</v>
      </c>
      <c r="K18281" s="558">
        <v>25.07</v>
      </c>
      <c r="L18281" s="43">
        <v>8.4326208813744703</v>
      </c>
      <c r="M18281" s="43">
        <v>11.499908391352143</v>
      </c>
      <c r="N18281" s="43">
        <v>5.2731057452123231</v>
      </c>
      <c r="O18281" s="43">
        <v>11.503164556962025</v>
      </c>
      <c r="P18281" s="559"/>
      <c r="Q18281" s="559"/>
      <c r="R18281" s="559">
        <v>13</v>
      </c>
    </row>
    <row r="18282" spans="1:18" ht="84">
      <c r="A18282" s="555">
        <v>714</v>
      </c>
      <c r="B18282" s="552" t="s">
        <v>33015</v>
      </c>
      <c r="C18282" s="556" t="s">
        <v>33016</v>
      </c>
      <c r="D18282" s="557">
        <v>251.42</v>
      </c>
      <c r="E18282" s="557">
        <v>126.39</v>
      </c>
      <c r="F18282" s="557">
        <v>122.5</v>
      </c>
      <c r="G18282" s="557">
        <v>2.5299999999999998</v>
      </c>
      <c r="H18282" s="558">
        <v>2128.61</v>
      </c>
      <c r="I18282" s="558">
        <v>1453.54</v>
      </c>
      <c r="J18282" s="558">
        <v>645.97</v>
      </c>
      <c r="K18282" s="558">
        <v>29.1</v>
      </c>
      <c r="L18282" s="43">
        <v>8.4663511256065558</v>
      </c>
      <c r="M18282" s="43">
        <v>11.500435161009573</v>
      </c>
      <c r="N18282" s="43">
        <v>5.2732244897959184</v>
      </c>
      <c r="O18282" s="43">
        <v>11.503164556962025</v>
      </c>
      <c r="P18282" s="559"/>
      <c r="Q18282" s="559"/>
      <c r="R18282" s="559">
        <v>13</v>
      </c>
    </row>
    <row r="18283" spans="1:18" ht="84">
      <c r="A18283" s="555">
        <v>715</v>
      </c>
      <c r="B18283" s="552" t="s">
        <v>33017</v>
      </c>
      <c r="C18283" s="556" t="s">
        <v>33018</v>
      </c>
      <c r="D18283" s="557">
        <v>87.77</v>
      </c>
      <c r="E18283" s="557">
        <v>43.66</v>
      </c>
      <c r="F18283" s="557">
        <v>43.24</v>
      </c>
      <c r="G18283" s="557">
        <v>0.87</v>
      </c>
      <c r="H18283" s="558">
        <v>740.13</v>
      </c>
      <c r="I18283" s="558">
        <v>502.13</v>
      </c>
      <c r="J18283" s="558">
        <v>227.99</v>
      </c>
      <c r="K18283" s="558">
        <v>10.01</v>
      </c>
      <c r="L18283" s="43">
        <v>8.4326079526033961</v>
      </c>
      <c r="M18283" s="43">
        <v>11.500916170407697</v>
      </c>
      <c r="N18283" s="43">
        <v>5.2726641998149857</v>
      </c>
      <c r="O18283" s="43">
        <v>11.503164556962025</v>
      </c>
      <c r="P18283" s="559"/>
      <c r="Q18283" s="559"/>
      <c r="R18283" s="559">
        <v>13</v>
      </c>
    </row>
    <row r="18284" spans="1:18" ht="84">
      <c r="A18284" s="555">
        <v>716</v>
      </c>
      <c r="B18284" s="552" t="s">
        <v>33019</v>
      </c>
      <c r="C18284" s="556" t="s">
        <v>33020</v>
      </c>
      <c r="D18284" s="557">
        <v>120.39</v>
      </c>
      <c r="E18284" s="557">
        <v>59.75</v>
      </c>
      <c r="F18284" s="557">
        <v>59.45</v>
      </c>
      <c r="G18284" s="557">
        <v>1.19</v>
      </c>
      <c r="H18284" s="558">
        <v>1014.3</v>
      </c>
      <c r="I18284" s="558">
        <v>687.13</v>
      </c>
      <c r="J18284" s="558">
        <v>313.48</v>
      </c>
      <c r="K18284" s="558">
        <v>13.69</v>
      </c>
      <c r="L18284" s="43">
        <v>8.4251183653127324</v>
      </c>
      <c r="M18284" s="43">
        <v>11.500083682008368</v>
      </c>
      <c r="N18284" s="43">
        <v>5.2730025231286799</v>
      </c>
      <c r="O18284" s="43">
        <v>11.503164556962025</v>
      </c>
      <c r="P18284" s="559"/>
      <c r="Q18284" s="559"/>
      <c r="R18284" s="559">
        <v>13</v>
      </c>
    </row>
    <row r="18285" spans="1:18" ht="84">
      <c r="A18285" s="555">
        <v>717</v>
      </c>
      <c r="B18285" s="552" t="s">
        <v>33021</v>
      </c>
      <c r="C18285" s="556" t="s">
        <v>33022</v>
      </c>
      <c r="D18285" s="557">
        <v>157.15</v>
      </c>
      <c r="E18285" s="557">
        <v>78.13</v>
      </c>
      <c r="F18285" s="557">
        <v>77.459999999999994</v>
      </c>
      <c r="G18285" s="557">
        <v>1.56</v>
      </c>
      <c r="H18285" s="558">
        <v>1324.97</v>
      </c>
      <c r="I18285" s="558">
        <v>898.55</v>
      </c>
      <c r="J18285" s="558">
        <v>408.48</v>
      </c>
      <c r="K18285" s="558">
        <v>17.940000000000001</v>
      </c>
      <c r="L18285" s="43">
        <v>8.4312440343620736</v>
      </c>
      <c r="M18285" s="43">
        <v>11.500703954946884</v>
      </c>
      <c r="N18285" s="43">
        <v>5.2734314484895437</v>
      </c>
      <c r="O18285" s="43">
        <v>11.503164556962025</v>
      </c>
      <c r="P18285" s="559"/>
      <c r="Q18285" s="559"/>
      <c r="R18285" s="559">
        <v>13</v>
      </c>
    </row>
    <row r="18286" spans="1:18" ht="84">
      <c r="A18286" s="555">
        <v>718</v>
      </c>
      <c r="B18286" s="552" t="s">
        <v>33023</v>
      </c>
      <c r="C18286" s="556" t="s">
        <v>33024</v>
      </c>
      <c r="D18286" s="557">
        <v>189.78</v>
      </c>
      <c r="E18286" s="557">
        <v>94.22</v>
      </c>
      <c r="F18286" s="557">
        <v>93.68</v>
      </c>
      <c r="G18286" s="557">
        <v>1.88</v>
      </c>
      <c r="H18286" s="558">
        <v>1599.14</v>
      </c>
      <c r="I18286" s="558">
        <v>1083.55</v>
      </c>
      <c r="J18286" s="558">
        <v>493.97</v>
      </c>
      <c r="K18286" s="558">
        <v>21.62</v>
      </c>
      <c r="L18286" s="43">
        <v>8.4262830646011171</v>
      </c>
      <c r="M18286" s="43">
        <v>11.500212269157291</v>
      </c>
      <c r="N18286" s="43">
        <v>5.272950469684031</v>
      </c>
      <c r="O18286" s="43">
        <v>11.503164556962025</v>
      </c>
      <c r="P18286" s="559"/>
      <c r="Q18286" s="559"/>
      <c r="R18286" s="559">
        <v>13</v>
      </c>
    </row>
    <row r="18287" spans="1:18" ht="84">
      <c r="A18287" s="555">
        <v>719</v>
      </c>
      <c r="B18287" s="552" t="s">
        <v>33025</v>
      </c>
      <c r="C18287" s="556" t="s">
        <v>33026</v>
      </c>
      <c r="D18287" s="557">
        <v>222.4</v>
      </c>
      <c r="E18287" s="557">
        <v>110.3</v>
      </c>
      <c r="F18287" s="557">
        <v>109.89</v>
      </c>
      <c r="G18287" s="557">
        <v>2.21</v>
      </c>
      <c r="H18287" s="558">
        <v>1873.43</v>
      </c>
      <c r="I18287" s="558">
        <v>1268.54</v>
      </c>
      <c r="J18287" s="558">
        <v>579.47</v>
      </c>
      <c r="K18287" s="558">
        <v>25.42</v>
      </c>
      <c r="L18287" s="43">
        <v>8.4236960431654673</v>
      </c>
      <c r="M18287" s="43">
        <v>11.50081595648232</v>
      </c>
      <c r="N18287" s="43">
        <v>5.2731822731822735</v>
      </c>
      <c r="O18287" s="43">
        <v>11.503164556962025</v>
      </c>
      <c r="P18287" s="559"/>
      <c r="Q18287" s="559"/>
      <c r="R18287" s="559">
        <v>13</v>
      </c>
    </row>
    <row r="18288" spans="1:18" ht="84">
      <c r="A18288" s="555">
        <v>720</v>
      </c>
      <c r="B18288" s="552" t="s">
        <v>33027</v>
      </c>
      <c r="C18288" s="556" t="s">
        <v>33028</v>
      </c>
      <c r="D18288" s="557">
        <v>253.82</v>
      </c>
      <c r="E18288" s="557">
        <v>126.39</v>
      </c>
      <c r="F18288" s="557">
        <v>124.9</v>
      </c>
      <c r="G18288" s="557">
        <v>2.5299999999999998</v>
      </c>
      <c r="H18288" s="558">
        <v>2141.27</v>
      </c>
      <c r="I18288" s="558">
        <v>1453.54</v>
      </c>
      <c r="J18288" s="558">
        <v>658.63</v>
      </c>
      <c r="K18288" s="558">
        <v>29.1</v>
      </c>
      <c r="L18288" s="43">
        <v>8.4361752422976917</v>
      </c>
      <c r="M18288" s="43">
        <v>11.500435161009573</v>
      </c>
      <c r="N18288" s="43">
        <v>5.2732586068855083</v>
      </c>
      <c r="O18288" s="43">
        <v>11.503164556962025</v>
      </c>
      <c r="P18288" s="559"/>
      <c r="Q18288" s="559"/>
      <c r="R18288" s="559">
        <v>13</v>
      </c>
    </row>
    <row r="18289" spans="1:18" ht="84">
      <c r="A18289" s="555">
        <v>721</v>
      </c>
      <c r="B18289" s="552" t="s">
        <v>33029</v>
      </c>
      <c r="C18289" s="556" t="s">
        <v>33030</v>
      </c>
      <c r="D18289" s="557">
        <v>284.68</v>
      </c>
      <c r="E18289" s="557">
        <v>141.33000000000001</v>
      </c>
      <c r="F18289" s="557">
        <v>140.52000000000001</v>
      </c>
      <c r="G18289" s="557">
        <v>2.83</v>
      </c>
      <c r="H18289" s="558">
        <v>2398.83</v>
      </c>
      <c r="I18289" s="558">
        <v>1625.32</v>
      </c>
      <c r="J18289" s="558">
        <v>740.96</v>
      </c>
      <c r="K18289" s="558">
        <v>32.549999999999997</v>
      </c>
      <c r="L18289" s="43">
        <v>8.4264085991288464</v>
      </c>
      <c r="M18289" s="43">
        <v>11.500176890964408</v>
      </c>
      <c r="N18289" s="43">
        <v>5.272986051807572</v>
      </c>
      <c r="O18289" s="43">
        <v>11.503164556962025</v>
      </c>
      <c r="P18289" s="559"/>
      <c r="Q18289" s="559"/>
      <c r="R18289" s="559">
        <v>13</v>
      </c>
    </row>
    <row r="18290" spans="1:18" ht="84">
      <c r="A18290" s="555">
        <v>722</v>
      </c>
      <c r="B18290" s="552" t="s">
        <v>33031</v>
      </c>
      <c r="C18290" s="556" t="s">
        <v>33032</v>
      </c>
      <c r="D18290" s="557">
        <v>102.01</v>
      </c>
      <c r="E18290" s="557">
        <v>50.56</v>
      </c>
      <c r="F18290" s="557">
        <v>50.44</v>
      </c>
      <c r="G18290" s="557">
        <v>1.01</v>
      </c>
      <c r="H18290" s="558">
        <v>859.03</v>
      </c>
      <c r="I18290" s="558">
        <v>581.41999999999996</v>
      </c>
      <c r="J18290" s="558">
        <v>265.99</v>
      </c>
      <c r="K18290" s="558">
        <v>11.62</v>
      </c>
      <c r="L18290" s="43">
        <v>8.4210371532202721</v>
      </c>
      <c r="M18290" s="43">
        <v>11.499604430379746</v>
      </c>
      <c r="N18290" s="43">
        <v>5.2733941316415551</v>
      </c>
      <c r="O18290" s="43">
        <v>11.503164556962025</v>
      </c>
      <c r="P18290" s="559"/>
      <c r="Q18290" s="559"/>
      <c r="R18290" s="559">
        <v>13</v>
      </c>
    </row>
    <row r="18291" spans="1:18" ht="84">
      <c r="A18291" s="555">
        <v>723</v>
      </c>
      <c r="B18291" s="552" t="s">
        <v>33033</v>
      </c>
      <c r="C18291" s="556" t="s">
        <v>33034</v>
      </c>
      <c r="D18291" s="557">
        <v>134.63</v>
      </c>
      <c r="E18291" s="557">
        <v>66.64</v>
      </c>
      <c r="F18291" s="557">
        <v>66.66</v>
      </c>
      <c r="G18291" s="557">
        <v>1.33</v>
      </c>
      <c r="H18291" s="558">
        <v>1133.19</v>
      </c>
      <c r="I18291" s="558">
        <v>766.41</v>
      </c>
      <c r="J18291" s="558">
        <v>351.48</v>
      </c>
      <c r="K18291" s="558">
        <v>15.3</v>
      </c>
      <c r="L18291" s="43">
        <v>8.4170690039367155</v>
      </c>
      <c r="M18291" s="43">
        <v>11.500750300120048</v>
      </c>
      <c r="N18291" s="43">
        <v>5.2727272727272734</v>
      </c>
      <c r="O18291" s="43">
        <v>11.503164556962025</v>
      </c>
      <c r="P18291" s="559"/>
      <c r="Q18291" s="559"/>
      <c r="R18291" s="559">
        <v>13</v>
      </c>
    </row>
    <row r="18292" spans="1:18" ht="84">
      <c r="A18292" s="555">
        <v>724</v>
      </c>
      <c r="B18292" s="552" t="s">
        <v>33035</v>
      </c>
      <c r="C18292" s="556" t="s">
        <v>33036</v>
      </c>
      <c r="D18292" s="557">
        <v>175.54</v>
      </c>
      <c r="E18292" s="557">
        <v>87.32</v>
      </c>
      <c r="F18292" s="557">
        <v>86.47</v>
      </c>
      <c r="G18292" s="557">
        <v>1.75</v>
      </c>
      <c r="H18292" s="558">
        <v>1480.37</v>
      </c>
      <c r="I18292" s="558">
        <v>1004.26</v>
      </c>
      <c r="J18292" s="558">
        <v>455.98</v>
      </c>
      <c r="K18292" s="558">
        <v>20.13</v>
      </c>
      <c r="L18292" s="43">
        <v>8.4332345904067445</v>
      </c>
      <c r="M18292" s="43">
        <v>11.500916170407697</v>
      </c>
      <c r="N18292" s="43">
        <v>5.2732739678501215</v>
      </c>
      <c r="O18292" s="43">
        <v>11.503164556962025</v>
      </c>
      <c r="P18292" s="559"/>
      <c r="Q18292" s="559"/>
      <c r="R18292" s="559">
        <v>13</v>
      </c>
    </row>
    <row r="18293" spans="1:18" ht="84">
      <c r="A18293" s="555">
        <v>725</v>
      </c>
      <c r="B18293" s="552" t="s">
        <v>33037</v>
      </c>
      <c r="C18293" s="556" t="s">
        <v>33038</v>
      </c>
      <c r="D18293" s="557">
        <v>212.31</v>
      </c>
      <c r="E18293" s="557">
        <v>105.71</v>
      </c>
      <c r="F18293" s="557">
        <v>104.49</v>
      </c>
      <c r="G18293" s="557">
        <v>2.11</v>
      </c>
      <c r="H18293" s="558">
        <v>1790.93</v>
      </c>
      <c r="I18293" s="558">
        <v>1215.69</v>
      </c>
      <c r="J18293" s="558">
        <v>550.97</v>
      </c>
      <c r="K18293" s="558">
        <v>24.27</v>
      </c>
      <c r="L18293" s="43">
        <v>8.4354481654184923</v>
      </c>
      <c r="M18293" s="43">
        <v>11.500236496074166</v>
      </c>
      <c r="N18293" s="43">
        <v>5.2729447794047282</v>
      </c>
      <c r="O18293" s="43">
        <v>11.503164556962025</v>
      </c>
      <c r="P18293" s="559"/>
      <c r="Q18293" s="559"/>
      <c r="R18293" s="559">
        <v>13</v>
      </c>
    </row>
    <row r="18294" spans="1:18" ht="84">
      <c r="A18294" s="555">
        <v>726</v>
      </c>
      <c r="B18294" s="552" t="s">
        <v>33039</v>
      </c>
      <c r="C18294" s="556" t="s">
        <v>33040</v>
      </c>
      <c r="D18294" s="557">
        <v>250.22</v>
      </c>
      <c r="E18294" s="557">
        <v>126.39</v>
      </c>
      <c r="F18294" s="557">
        <v>121.3</v>
      </c>
      <c r="G18294" s="557">
        <v>2.5299999999999998</v>
      </c>
      <c r="H18294" s="558">
        <v>2122.27</v>
      </c>
      <c r="I18294" s="558">
        <v>1453.54</v>
      </c>
      <c r="J18294" s="558">
        <v>639.63</v>
      </c>
      <c r="K18294" s="558">
        <v>29.1</v>
      </c>
      <c r="L18294" s="43">
        <v>8.4816161777635681</v>
      </c>
      <c r="M18294" s="43">
        <v>11.500435161009573</v>
      </c>
      <c r="N18294" s="43">
        <v>5.273124484748557</v>
      </c>
      <c r="O18294" s="43">
        <v>11.503164556962025</v>
      </c>
      <c r="P18294" s="559"/>
      <c r="Q18294" s="559"/>
      <c r="R18294" s="559">
        <v>13</v>
      </c>
    </row>
    <row r="18295" spans="1:18" ht="84">
      <c r="A18295" s="555">
        <v>727</v>
      </c>
      <c r="B18295" s="552" t="s">
        <v>33041</v>
      </c>
      <c r="C18295" s="556" t="s">
        <v>33042</v>
      </c>
      <c r="D18295" s="557">
        <v>284.68</v>
      </c>
      <c r="E18295" s="557">
        <v>141.33000000000001</v>
      </c>
      <c r="F18295" s="557">
        <v>140.52000000000001</v>
      </c>
      <c r="G18295" s="557">
        <v>2.83</v>
      </c>
      <c r="H18295" s="558">
        <v>2398.83</v>
      </c>
      <c r="I18295" s="558">
        <v>1625.32</v>
      </c>
      <c r="J18295" s="558">
        <v>740.96</v>
      </c>
      <c r="K18295" s="558">
        <v>32.549999999999997</v>
      </c>
      <c r="L18295" s="43">
        <v>8.4264085991288464</v>
      </c>
      <c r="M18295" s="43">
        <v>11.500176890964408</v>
      </c>
      <c r="N18295" s="43">
        <v>5.272986051807572</v>
      </c>
      <c r="O18295" s="43">
        <v>11.503164556962025</v>
      </c>
      <c r="P18295" s="559"/>
      <c r="Q18295" s="559"/>
      <c r="R18295" s="559">
        <v>13</v>
      </c>
    </row>
    <row r="18296" spans="1:18" ht="84">
      <c r="A18296" s="555">
        <v>728</v>
      </c>
      <c r="B18296" s="552" t="s">
        <v>33043</v>
      </c>
      <c r="C18296" s="556" t="s">
        <v>33044</v>
      </c>
      <c r="D18296" s="557">
        <v>325.01</v>
      </c>
      <c r="E18296" s="557">
        <v>160.86000000000001</v>
      </c>
      <c r="F18296" s="557">
        <v>160.93</v>
      </c>
      <c r="G18296" s="557">
        <v>3.22</v>
      </c>
      <c r="H18296" s="558">
        <v>2735.61</v>
      </c>
      <c r="I18296" s="558">
        <v>1849.96</v>
      </c>
      <c r="J18296" s="558">
        <v>848.62</v>
      </c>
      <c r="K18296" s="558">
        <v>37.03</v>
      </c>
      <c r="L18296" s="43">
        <v>8.4170025537675777</v>
      </c>
      <c r="M18296" s="43">
        <v>11.500435161009573</v>
      </c>
      <c r="N18296" s="43">
        <v>5.2732243832722299</v>
      </c>
      <c r="O18296" s="43">
        <v>11.503164556962025</v>
      </c>
      <c r="P18296" s="559"/>
      <c r="Q18296" s="559"/>
      <c r="R18296" s="559">
        <v>13</v>
      </c>
    </row>
    <row r="18297" spans="1:18" ht="84">
      <c r="A18297" s="555">
        <v>729</v>
      </c>
      <c r="B18297" s="552" t="s">
        <v>33045</v>
      </c>
      <c r="C18297" s="556" t="s">
        <v>33046</v>
      </c>
      <c r="D18297" s="557">
        <v>389</v>
      </c>
      <c r="E18297" s="557">
        <v>195.33</v>
      </c>
      <c r="F18297" s="557">
        <v>189.76</v>
      </c>
      <c r="G18297" s="557">
        <v>3.91</v>
      </c>
      <c r="H18297" s="558">
        <v>3291.96</v>
      </c>
      <c r="I18297" s="558">
        <v>2246.38</v>
      </c>
      <c r="J18297" s="558">
        <v>1000.61</v>
      </c>
      <c r="K18297" s="558">
        <v>44.97</v>
      </c>
      <c r="L18297" s="43">
        <v>8.4626221079691515</v>
      </c>
      <c r="M18297" s="43">
        <v>11.500435161009573</v>
      </c>
      <c r="N18297" s="43">
        <v>5.2730290893760543</v>
      </c>
      <c r="O18297" s="43">
        <v>11.503164556962025</v>
      </c>
      <c r="P18297" s="559"/>
      <c r="Q18297" s="559"/>
      <c r="R18297" s="559">
        <v>13</v>
      </c>
    </row>
    <row r="18298" spans="1:18" ht="12.75" customHeight="1">
      <c r="A18298" s="628" t="s">
        <v>33047</v>
      </c>
      <c r="B18298" s="629"/>
      <c r="C18298" s="629"/>
      <c r="D18298" s="629"/>
      <c r="E18298" s="629"/>
      <c r="F18298" s="629"/>
      <c r="G18298" s="629"/>
      <c r="H18298" s="629"/>
      <c r="I18298" s="629"/>
      <c r="J18298" s="629"/>
      <c r="K18298" s="629"/>
      <c r="L18298" s="629"/>
      <c r="M18298" s="629"/>
      <c r="N18298" s="629"/>
      <c r="O18298" s="629"/>
      <c r="P18298" s="629"/>
      <c r="Q18298" s="629"/>
      <c r="R18298" s="629"/>
    </row>
    <row r="18299" spans="1:18" ht="84">
      <c r="A18299" s="555">
        <v>730</v>
      </c>
      <c r="B18299" s="552" t="s">
        <v>33048</v>
      </c>
      <c r="C18299" s="556" t="s">
        <v>33049</v>
      </c>
      <c r="D18299" s="557">
        <v>114.45</v>
      </c>
      <c r="E18299" s="557">
        <v>57.45</v>
      </c>
      <c r="F18299" s="557">
        <v>55.85</v>
      </c>
      <c r="G18299" s="557">
        <v>1.1499999999999999</v>
      </c>
      <c r="H18299" s="558">
        <v>968.41</v>
      </c>
      <c r="I18299" s="558">
        <v>660.7</v>
      </c>
      <c r="J18299" s="558">
        <v>294.48</v>
      </c>
      <c r="K18299" s="558">
        <v>13.23</v>
      </c>
      <c r="L18299" s="43">
        <v>8.4614242027086064</v>
      </c>
      <c r="M18299" s="43">
        <v>11.500435161009573</v>
      </c>
      <c r="N18299" s="43">
        <v>5.2726947179946286</v>
      </c>
      <c r="O18299" s="43">
        <v>11.504347826086958</v>
      </c>
      <c r="P18299" s="559"/>
      <c r="Q18299" s="559"/>
      <c r="R18299" s="559">
        <v>14</v>
      </c>
    </row>
    <row r="18300" spans="1:18" ht="84">
      <c r="A18300" s="555">
        <v>731</v>
      </c>
      <c r="B18300" s="552" t="s">
        <v>33050</v>
      </c>
      <c r="C18300" s="556" t="s">
        <v>33051</v>
      </c>
      <c r="D18300" s="557">
        <v>153.01</v>
      </c>
      <c r="E18300" s="557">
        <v>75.83</v>
      </c>
      <c r="F18300" s="557">
        <v>75.66</v>
      </c>
      <c r="G18300" s="557">
        <v>1.52</v>
      </c>
      <c r="H18300" s="558">
        <v>1288.58</v>
      </c>
      <c r="I18300" s="558">
        <v>872.12</v>
      </c>
      <c r="J18300" s="558">
        <v>398.98</v>
      </c>
      <c r="K18300" s="558">
        <v>17.48</v>
      </c>
      <c r="L18300" s="43">
        <v>8.4215410757466831</v>
      </c>
      <c r="M18300" s="43">
        <v>11.500989054463933</v>
      </c>
      <c r="N18300" s="43">
        <v>5.2733280465239236</v>
      </c>
      <c r="O18300" s="43">
        <v>11.5</v>
      </c>
      <c r="P18300" s="559"/>
      <c r="Q18300" s="559"/>
      <c r="R18300" s="559">
        <v>14</v>
      </c>
    </row>
    <row r="18301" spans="1:18" ht="84">
      <c r="A18301" s="555">
        <v>732</v>
      </c>
      <c r="B18301" s="552" t="s">
        <v>33052</v>
      </c>
      <c r="C18301" s="556" t="s">
        <v>33053</v>
      </c>
      <c r="D18301" s="557">
        <v>201.04</v>
      </c>
      <c r="E18301" s="557">
        <v>99.96</v>
      </c>
      <c r="F18301" s="557">
        <v>99.08</v>
      </c>
      <c r="G18301" s="557">
        <v>2</v>
      </c>
      <c r="H18301" s="558">
        <v>1695.09</v>
      </c>
      <c r="I18301" s="558">
        <v>1149.6199999999999</v>
      </c>
      <c r="J18301" s="558">
        <v>522.47</v>
      </c>
      <c r="K18301" s="558">
        <v>23</v>
      </c>
      <c r="L18301" s="43">
        <v>8.4316056506167918</v>
      </c>
      <c r="M18301" s="43">
        <v>11.50080032012805</v>
      </c>
      <c r="N18301" s="43">
        <v>5.2732135647961247</v>
      </c>
      <c r="O18301" s="43">
        <v>11.5</v>
      </c>
      <c r="P18301" s="559"/>
      <c r="Q18301" s="559"/>
      <c r="R18301" s="559">
        <v>14</v>
      </c>
    </row>
    <row r="18302" spans="1:18" ht="84">
      <c r="A18302" s="555">
        <v>733</v>
      </c>
      <c r="B18302" s="552" t="s">
        <v>33054</v>
      </c>
      <c r="C18302" s="556" t="s">
        <v>33055</v>
      </c>
      <c r="D18302" s="557">
        <v>240.79</v>
      </c>
      <c r="E18302" s="557">
        <v>119.5</v>
      </c>
      <c r="F18302" s="557">
        <v>118.9</v>
      </c>
      <c r="G18302" s="557">
        <v>2.39</v>
      </c>
      <c r="H18302" s="558">
        <v>2028.72</v>
      </c>
      <c r="I18302" s="558">
        <v>1374.26</v>
      </c>
      <c r="J18302" s="558">
        <v>626.97</v>
      </c>
      <c r="K18302" s="558">
        <v>27.49</v>
      </c>
      <c r="L18302" s="43">
        <v>8.4252668300178577</v>
      </c>
      <c r="M18302" s="43">
        <v>11.500083682008368</v>
      </c>
      <c r="N18302" s="43">
        <v>5.2730866274179986</v>
      </c>
      <c r="O18302" s="43">
        <v>11.502092050209203</v>
      </c>
      <c r="P18302" s="559"/>
      <c r="Q18302" s="559"/>
      <c r="R18302" s="559">
        <v>14</v>
      </c>
    </row>
    <row r="18303" spans="1:18" ht="84">
      <c r="A18303" s="555">
        <v>734</v>
      </c>
      <c r="B18303" s="552" t="s">
        <v>33056</v>
      </c>
      <c r="C18303" s="556" t="s">
        <v>33057</v>
      </c>
      <c r="D18303" s="557">
        <v>281.13</v>
      </c>
      <c r="E18303" s="557">
        <v>139.03</v>
      </c>
      <c r="F18303" s="557">
        <v>139.32</v>
      </c>
      <c r="G18303" s="557">
        <v>2.78</v>
      </c>
      <c r="H18303" s="558">
        <v>2365.4899999999998</v>
      </c>
      <c r="I18303" s="558">
        <v>1598.89</v>
      </c>
      <c r="J18303" s="558">
        <v>734.63</v>
      </c>
      <c r="K18303" s="558">
        <v>31.97</v>
      </c>
      <c r="L18303" s="43">
        <v>8.4142211788140706</v>
      </c>
      <c r="M18303" s="43">
        <v>11.500323671150111</v>
      </c>
      <c r="N18303" s="43">
        <v>5.272968705139248</v>
      </c>
      <c r="O18303" s="43">
        <v>11.5</v>
      </c>
      <c r="P18303" s="559"/>
      <c r="Q18303" s="559"/>
      <c r="R18303" s="559">
        <v>14</v>
      </c>
    </row>
    <row r="18304" spans="1:18" ht="84">
      <c r="A18304" s="555">
        <v>735</v>
      </c>
      <c r="B18304" s="552" t="s">
        <v>33058</v>
      </c>
      <c r="C18304" s="556" t="s">
        <v>33059</v>
      </c>
      <c r="D18304" s="557">
        <v>322.61</v>
      </c>
      <c r="E18304" s="557">
        <v>160.86000000000001</v>
      </c>
      <c r="F18304" s="557">
        <v>158.53</v>
      </c>
      <c r="G18304" s="557">
        <v>3.22</v>
      </c>
      <c r="H18304" s="558">
        <v>2722.95</v>
      </c>
      <c r="I18304" s="558">
        <v>1849.96</v>
      </c>
      <c r="J18304" s="558">
        <v>835.96</v>
      </c>
      <c r="K18304" s="558">
        <v>37.03</v>
      </c>
      <c r="L18304" s="43">
        <v>8.4403769256997609</v>
      </c>
      <c r="M18304" s="43">
        <v>11.500435161009573</v>
      </c>
      <c r="N18304" s="43">
        <v>5.2731975020500856</v>
      </c>
      <c r="O18304" s="43">
        <v>11.5</v>
      </c>
      <c r="P18304" s="559"/>
      <c r="Q18304" s="559"/>
      <c r="R18304" s="559">
        <v>14</v>
      </c>
    </row>
    <row r="18305" spans="1:18" ht="84">
      <c r="A18305" s="555">
        <v>736</v>
      </c>
      <c r="B18305" s="552" t="s">
        <v>33060</v>
      </c>
      <c r="C18305" s="556" t="s">
        <v>33061</v>
      </c>
      <c r="D18305" s="557">
        <v>367.67</v>
      </c>
      <c r="E18305" s="557">
        <v>183.84</v>
      </c>
      <c r="F18305" s="557">
        <v>180.15</v>
      </c>
      <c r="G18305" s="557">
        <v>3.68</v>
      </c>
      <c r="H18305" s="558">
        <v>3106.51</v>
      </c>
      <c r="I18305" s="558">
        <v>2114.2399999999998</v>
      </c>
      <c r="J18305" s="558">
        <v>949.95</v>
      </c>
      <c r="K18305" s="558">
        <v>42.32</v>
      </c>
      <c r="L18305" s="43">
        <v>8.4491799711697997</v>
      </c>
      <c r="M18305" s="43">
        <v>11.500435161009571</v>
      </c>
      <c r="N18305" s="43">
        <v>5.2731057452123231</v>
      </c>
      <c r="O18305" s="43">
        <v>11.5</v>
      </c>
      <c r="P18305" s="559"/>
      <c r="Q18305" s="559"/>
      <c r="R18305" s="559">
        <v>14</v>
      </c>
    </row>
    <row r="18306" spans="1:18" ht="84">
      <c r="A18306" s="555">
        <v>737</v>
      </c>
      <c r="B18306" s="552" t="s">
        <v>33062</v>
      </c>
      <c r="C18306" s="556" t="s">
        <v>33063</v>
      </c>
      <c r="D18306" s="557">
        <v>419.9</v>
      </c>
      <c r="E18306" s="557">
        <v>207.97</v>
      </c>
      <c r="F18306" s="557">
        <v>207.77</v>
      </c>
      <c r="G18306" s="557">
        <v>4.16</v>
      </c>
      <c r="H18306" s="558">
        <v>3535.18</v>
      </c>
      <c r="I18306" s="558">
        <v>2391.73</v>
      </c>
      <c r="J18306" s="558">
        <v>1095.6099999999999</v>
      </c>
      <c r="K18306" s="558">
        <v>47.84</v>
      </c>
      <c r="L18306" s="43">
        <v>8.4190997856632528</v>
      </c>
      <c r="M18306" s="43">
        <v>11.500360628936866</v>
      </c>
      <c r="N18306" s="43">
        <v>5.2731866968282226</v>
      </c>
      <c r="O18306" s="43">
        <v>11.5</v>
      </c>
      <c r="P18306" s="559"/>
      <c r="Q18306" s="559"/>
      <c r="R18306" s="559">
        <v>14</v>
      </c>
    </row>
    <row r="18307" spans="1:18" ht="84">
      <c r="A18307" s="555">
        <v>738</v>
      </c>
      <c r="B18307" s="552" t="s">
        <v>33064</v>
      </c>
      <c r="C18307" s="556" t="s">
        <v>33065</v>
      </c>
      <c r="D18307" s="557">
        <v>134.63</v>
      </c>
      <c r="E18307" s="557">
        <v>66.64</v>
      </c>
      <c r="F18307" s="557">
        <v>66.66</v>
      </c>
      <c r="G18307" s="557">
        <v>1.33</v>
      </c>
      <c r="H18307" s="558">
        <v>1133.19</v>
      </c>
      <c r="I18307" s="558">
        <v>766.41</v>
      </c>
      <c r="J18307" s="558">
        <v>351.48</v>
      </c>
      <c r="K18307" s="558">
        <v>15.3</v>
      </c>
      <c r="L18307" s="43">
        <v>8.4170690039367155</v>
      </c>
      <c r="M18307" s="43">
        <v>11.500750300120048</v>
      </c>
      <c r="N18307" s="43">
        <v>5.2727272727272734</v>
      </c>
      <c r="O18307" s="43">
        <v>11.503759398496241</v>
      </c>
      <c r="P18307" s="559"/>
      <c r="Q18307" s="559"/>
      <c r="R18307" s="559">
        <v>14</v>
      </c>
    </row>
    <row r="18308" spans="1:18" ht="84">
      <c r="A18308" s="555">
        <v>739</v>
      </c>
      <c r="B18308" s="552" t="s">
        <v>33066</v>
      </c>
      <c r="C18308" s="556" t="s">
        <v>33067</v>
      </c>
      <c r="D18308" s="557">
        <v>178.51</v>
      </c>
      <c r="E18308" s="557">
        <v>88.47</v>
      </c>
      <c r="F18308" s="557">
        <v>88.27</v>
      </c>
      <c r="G18308" s="557">
        <v>1.77</v>
      </c>
      <c r="H18308" s="558">
        <v>1503.32</v>
      </c>
      <c r="I18308" s="558">
        <v>1017.48</v>
      </c>
      <c r="J18308" s="558">
        <v>465.48</v>
      </c>
      <c r="K18308" s="558">
        <v>20.36</v>
      </c>
      <c r="L18308" s="43">
        <v>8.4214889922133214</v>
      </c>
      <c r="M18308" s="43">
        <v>11.500847744998305</v>
      </c>
      <c r="N18308" s="43">
        <v>5.2733658094482845</v>
      </c>
      <c r="O18308" s="43">
        <v>11.502824858757062</v>
      </c>
      <c r="P18308" s="559"/>
      <c r="Q18308" s="559"/>
      <c r="R18308" s="559">
        <v>14</v>
      </c>
    </row>
    <row r="18309" spans="1:18" ht="84">
      <c r="A18309" s="555">
        <v>740</v>
      </c>
      <c r="B18309" s="552" t="s">
        <v>33068</v>
      </c>
      <c r="C18309" s="556" t="s">
        <v>33069</v>
      </c>
      <c r="D18309" s="557">
        <v>230.69</v>
      </c>
      <c r="E18309" s="557">
        <v>114.9</v>
      </c>
      <c r="F18309" s="557">
        <v>113.49</v>
      </c>
      <c r="G18309" s="557">
        <v>2.2999999999999998</v>
      </c>
      <c r="H18309" s="558">
        <v>1946.32</v>
      </c>
      <c r="I18309" s="558">
        <v>1321.4</v>
      </c>
      <c r="J18309" s="558">
        <v>598.47</v>
      </c>
      <c r="K18309" s="558">
        <v>26.45</v>
      </c>
      <c r="L18309" s="43">
        <v>8.436950019506698</v>
      </c>
      <c r="M18309" s="43">
        <v>11.500435161009573</v>
      </c>
      <c r="N18309" s="43">
        <v>5.2733280465239236</v>
      </c>
      <c r="O18309" s="43">
        <v>11.5</v>
      </c>
      <c r="P18309" s="559"/>
      <c r="Q18309" s="559"/>
      <c r="R18309" s="559">
        <v>14</v>
      </c>
    </row>
    <row r="18310" spans="1:18" ht="84">
      <c r="A18310" s="555">
        <v>741</v>
      </c>
      <c r="B18310" s="552" t="s">
        <v>33070</v>
      </c>
      <c r="C18310" s="556" t="s">
        <v>33071</v>
      </c>
      <c r="D18310" s="557">
        <v>281.13</v>
      </c>
      <c r="E18310" s="557">
        <v>139.03</v>
      </c>
      <c r="F18310" s="557">
        <v>139.32</v>
      </c>
      <c r="G18310" s="557">
        <v>2.78</v>
      </c>
      <c r="H18310" s="558">
        <v>2365.4899999999998</v>
      </c>
      <c r="I18310" s="558">
        <v>1598.89</v>
      </c>
      <c r="J18310" s="558">
        <v>734.63</v>
      </c>
      <c r="K18310" s="558">
        <v>31.97</v>
      </c>
      <c r="L18310" s="43">
        <v>8.4142211788140706</v>
      </c>
      <c r="M18310" s="43">
        <v>11.500323671150111</v>
      </c>
      <c r="N18310" s="43">
        <v>5.272968705139248</v>
      </c>
      <c r="O18310" s="43">
        <v>11.5</v>
      </c>
      <c r="P18310" s="559"/>
      <c r="Q18310" s="559"/>
      <c r="R18310" s="559">
        <v>14</v>
      </c>
    </row>
    <row r="18311" spans="1:18" ht="84">
      <c r="A18311" s="555">
        <v>742</v>
      </c>
      <c r="B18311" s="552" t="s">
        <v>33072</v>
      </c>
      <c r="C18311" s="556" t="s">
        <v>33073</v>
      </c>
      <c r="D18311" s="557">
        <v>325.01</v>
      </c>
      <c r="E18311" s="557">
        <v>160.86000000000001</v>
      </c>
      <c r="F18311" s="557">
        <v>160.93</v>
      </c>
      <c r="G18311" s="557">
        <v>3.22</v>
      </c>
      <c r="H18311" s="558">
        <v>2735.61</v>
      </c>
      <c r="I18311" s="558">
        <v>1849.96</v>
      </c>
      <c r="J18311" s="558">
        <v>848.62</v>
      </c>
      <c r="K18311" s="558">
        <v>37.03</v>
      </c>
      <c r="L18311" s="43">
        <v>8.4170025537675777</v>
      </c>
      <c r="M18311" s="43">
        <v>11.500435161009573</v>
      </c>
      <c r="N18311" s="43">
        <v>5.2732243832722299</v>
      </c>
      <c r="O18311" s="43">
        <v>11.5</v>
      </c>
      <c r="P18311" s="559"/>
      <c r="Q18311" s="559"/>
      <c r="R18311" s="559">
        <v>14</v>
      </c>
    </row>
    <row r="18312" spans="1:18" ht="84">
      <c r="A18312" s="555">
        <v>743</v>
      </c>
      <c r="B18312" s="552" t="s">
        <v>33074</v>
      </c>
      <c r="C18312" s="556" t="s">
        <v>33075</v>
      </c>
      <c r="D18312" s="557">
        <v>367.67</v>
      </c>
      <c r="E18312" s="557">
        <v>183.84</v>
      </c>
      <c r="F18312" s="557">
        <v>180.15</v>
      </c>
      <c r="G18312" s="557">
        <v>3.68</v>
      </c>
      <c r="H18312" s="558">
        <v>3106.51</v>
      </c>
      <c r="I18312" s="558">
        <v>2114.2399999999998</v>
      </c>
      <c r="J18312" s="558">
        <v>949.95</v>
      </c>
      <c r="K18312" s="558">
        <v>42.32</v>
      </c>
      <c r="L18312" s="43">
        <v>8.4491799711697997</v>
      </c>
      <c r="M18312" s="43">
        <v>11.500435161009571</v>
      </c>
      <c r="N18312" s="43">
        <v>5.2731057452123231</v>
      </c>
      <c r="O18312" s="43">
        <v>11.5</v>
      </c>
      <c r="P18312" s="559"/>
      <c r="Q18312" s="559"/>
      <c r="R18312" s="559">
        <v>14</v>
      </c>
    </row>
    <row r="18313" spans="1:18" ht="84">
      <c r="A18313" s="555">
        <v>744</v>
      </c>
      <c r="B18313" s="552" t="s">
        <v>33076</v>
      </c>
      <c r="C18313" s="556" t="s">
        <v>33077</v>
      </c>
      <c r="D18313" s="557">
        <v>419.9</v>
      </c>
      <c r="E18313" s="557">
        <v>207.97</v>
      </c>
      <c r="F18313" s="557">
        <v>207.77</v>
      </c>
      <c r="G18313" s="557">
        <v>4.16</v>
      </c>
      <c r="H18313" s="558">
        <v>3535.18</v>
      </c>
      <c r="I18313" s="558">
        <v>2391.73</v>
      </c>
      <c r="J18313" s="558">
        <v>1095.6099999999999</v>
      </c>
      <c r="K18313" s="558">
        <v>47.84</v>
      </c>
      <c r="L18313" s="43">
        <v>8.4190997856632528</v>
      </c>
      <c r="M18313" s="43">
        <v>11.500360628936866</v>
      </c>
      <c r="N18313" s="43">
        <v>5.2731866968282226</v>
      </c>
      <c r="O18313" s="43">
        <v>11.5</v>
      </c>
      <c r="P18313" s="559"/>
      <c r="Q18313" s="559"/>
      <c r="R18313" s="559">
        <v>14</v>
      </c>
    </row>
    <row r="18314" spans="1:18" ht="84">
      <c r="A18314" s="555">
        <v>745</v>
      </c>
      <c r="B18314" s="552" t="s">
        <v>33078</v>
      </c>
      <c r="C18314" s="556" t="s">
        <v>33079</v>
      </c>
      <c r="D18314" s="557">
        <v>474.46</v>
      </c>
      <c r="E18314" s="557">
        <v>235.55</v>
      </c>
      <c r="F18314" s="557">
        <v>234.2</v>
      </c>
      <c r="G18314" s="557">
        <v>4.71</v>
      </c>
      <c r="H18314" s="558">
        <v>3997.98</v>
      </c>
      <c r="I18314" s="558">
        <v>2708.87</v>
      </c>
      <c r="J18314" s="558">
        <v>1234.94</v>
      </c>
      <c r="K18314" s="558">
        <v>54.17</v>
      </c>
      <c r="L18314" s="43">
        <v>8.426379462968427</v>
      </c>
      <c r="M18314" s="43">
        <v>11.500191042241561</v>
      </c>
      <c r="N18314" s="43">
        <v>5.2730145175064056</v>
      </c>
      <c r="O18314" s="43">
        <v>11.501061571125266</v>
      </c>
      <c r="P18314" s="559"/>
      <c r="Q18314" s="559"/>
      <c r="R18314" s="559">
        <v>14</v>
      </c>
    </row>
    <row r="18315" spans="1:18" ht="84">
      <c r="A18315" s="555">
        <v>746</v>
      </c>
      <c r="B18315" s="552" t="s">
        <v>33080</v>
      </c>
      <c r="C18315" s="556" t="s">
        <v>33081</v>
      </c>
      <c r="D18315" s="557">
        <v>157.15</v>
      </c>
      <c r="E18315" s="557">
        <v>78.13</v>
      </c>
      <c r="F18315" s="557">
        <v>77.459999999999994</v>
      </c>
      <c r="G18315" s="557">
        <v>1.56</v>
      </c>
      <c r="H18315" s="558">
        <v>1324.97</v>
      </c>
      <c r="I18315" s="558">
        <v>898.55</v>
      </c>
      <c r="J18315" s="558">
        <v>408.48</v>
      </c>
      <c r="K18315" s="558">
        <v>17.940000000000001</v>
      </c>
      <c r="L18315" s="43">
        <v>8.4312440343620736</v>
      </c>
      <c r="M18315" s="43">
        <v>11.500703954946884</v>
      </c>
      <c r="N18315" s="43">
        <v>5.2734314484895437</v>
      </c>
      <c r="O18315" s="43">
        <v>11.5</v>
      </c>
      <c r="P18315" s="559"/>
      <c r="Q18315" s="559"/>
      <c r="R18315" s="559">
        <v>14</v>
      </c>
    </row>
    <row r="18316" spans="1:18" ht="84">
      <c r="A18316" s="555">
        <v>747</v>
      </c>
      <c r="B18316" s="552" t="s">
        <v>33082</v>
      </c>
      <c r="C18316" s="556" t="s">
        <v>33083</v>
      </c>
      <c r="D18316" s="557">
        <v>204.01</v>
      </c>
      <c r="E18316" s="557">
        <v>101.11</v>
      </c>
      <c r="F18316" s="557">
        <v>100.88</v>
      </c>
      <c r="G18316" s="557">
        <v>2.02</v>
      </c>
      <c r="H18316" s="558">
        <v>1718.03</v>
      </c>
      <c r="I18316" s="558">
        <v>1162.83</v>
      </c>
      <c r="J18316" s="558">
        <v>531.97</v>
      </c>
      <c r="K18316" s="558">
        <v>23.23</v>
      </c>
      <c r="L18316" s="43">
        <v>8.4213028773099357</v>
      </c>
      <c r="M18316" s="43">
        <v>11.500642864207299</v>
      </c>
      <c r="N18316" s="43">
        <v>5.2732950039651074</v>
      </c>
      <c r="O18316" s="43">
        <v>11.5</v>
      </c>
      <c r="P18316" s="559"/>
      <c r="Q18316" s="559"/>
      <c r="R18316" s="559">
        <v>14</v>
      </c>
    </row>
    <row r="18317" spans="1:18" ht="84">
      <c r="A18317" s="555">
        <v>748</v>
      </c>
      <c r="B18317" s="552" t="s">
        <v>33084</v>
      </c>
      <c r="C18317" s="556" t="s">
        <v>33085</v>
      </c>
      <c r="D18317" s="557">
        <v>262.14999999999998</v>
      </c>
      <c r="E18317" s="557">
        <v>129.84</v>
      </c>
      <c r="F18317" s="557">
        <v>129.71</v>
      </c>
      <c r="G18317" s="557">
        <v>2.6</v>
      </c>
      <c r="H18317" s="558">
        <v>2207.04</v>
      </c>
      <c r="I18317" s="558">
        <v>1493.18</v>
      </c>
      <c r="J18317" s="558">
        <v>683.96</v>
      </c>
      <c r="K18317" s="558">
        <v>29.9</v>
      </c>
      <c r="L18317" s="43">
        <v>8.4189967575815388</v>
      </c>
      <c r="M18317" s="43">
        <v>11.500154035736291</v>
      </c>
      <c r="N18317" s="43">
        <v>5.2729936011101692</v>
      </c>
      <c r="O18317" s="43">
        <v>11.499999999999998</v>
      </c>
      <c r="P18317" s="559"/>
      <c r="Q18317" s="559"/>
      <c r="R18317" s="559">
        <v>14</v>
      </c>
    </row>
    <row r="18318" spans="1:18" ht="84">
      <c r="A18318" s="555">
        <v>749</v>
      </c>
      <c r="B18318" s="552" t="s">
        <v>33086</v>
      </c>
      <c r="C18318" s="556" t="s">
        <v>33087</v>
      </c>
      <c r="D18318" s="557">
        <v>321.41000000000003</v>
      </c>
      <c r="E18318" s="557">
        <v>160.86000000000001</v>
      </c>
      <c r="F18318" s="557">
        <v>157.33000000000001</v>
      </c>
      <c r="G18318" s="557">
        <v>3.22</v>
      </c>
      <c r="H18318" s="558">
        <v>2716.61</v>
      </c>
      <c r="I18318" s="558">
        <v>1849.96</v>
      </c>
      <c r="J18318" s="558">
        <v>829.62</v>
      </c>
      <c r="K18318" s="558">
        <v>37.03</v>
      </c>
      <c r="L18318" s="43">
        <v>8.4521639028032727</v>
      </c>
      <c r="M18318" s="43">
        <v>11.500435161009573</v>
      </c>
      <c r="N18318" s="43">
        <v>5.2731201932244325</v>
      </c>
      <c r="O18318" s="43">
        <v>11.5</v>
      </c>
      <c r="P18318" s="559"/>
      <c r="Q18318" s="559"/>
      <c r="R18318" s="559">
        <v>14</v>
      </c>
    </row>
    <row r="18319" spans="1:18" ht="84">
      <c r="A18319" s="555">
        <v>750</v>
      </c>
      <c r="B18319" s="552" t="s">
        <v>33088</v>
      </c>
      <c r="C18319" s="556" t="s">
        <v>33089</v>
      </c>
      <c r="D18319" s="557">
        <v>367.67</v>
      </c>
      <c r="E18319" s="557">
        <v>183.84</v>
      </c>
      <c r="F18319" s="557">
        <v>180.15</v>
      </c>
      <c r="G18319" s="557">
        <v>3.68</v>
      </c>
      <c r="H18319" s="558">
        <v>3106.51</v>
      </c>
      <c r="I18319" s="558">
        <v>2114.2399999999998</v>
      </c>
      <c r="J18319" s="558">
        <v>949.95</v>
      </c>
      <c r="K18319" s="558">
        <v>42.32</v>
      </c>
      <c r="L18319" s="43">
        <v>8.4491799711697997</v>
      </c>
      <c r="M18319" s="43">
        <v>11.500435161009571</v>
      </c>
      <c r="N18319" s="43">
        <v>5.2731057452123231</v>
      </c>
      <c r="O18319" s="43">
        <v>11.5</v>
      </c>
      <c r="P18319" s="559"/>
      <c r="Q18319" s="559"/>
      <c r="R18319" s="559">
        <v>14</v>
      </c>
    </row>
    <row r="18320" spans="1:18" ht="84">
      <c r="A18320" s="555">
        <v>751</v>
      </c>
      <c r="B18320" s="552" t="s">
        <v>33090</v>
      </c>
      <c r="C18320" s="556" t="s">
        <v>33091</v>
      </c>
      <c r="D18320" s="557">
        <v>419.9</v>
      </c>
      <c r="E18320" s="557">
        <v>207.97</v>
      </c>
      <c r="F18320" s="557">
        <v>207.77</v>
      </c>
      <c r="G18320" s="557">
        <v>4.16</v>
      </c>
      <c r="H18320" s="558">
        <v>3535.18</v>
      </c>
      <c r="I18320" s="558">
        <v>2391.73</v>
      </c>
      <c r="J18320" s="558">
        <v>1095.6099999999999</v>
      </c>
      <c r="K18320" s="558">
        <v>47.84</v>
      </c>
      <c r="L18320" s="43">
        <v>8.4190997856632528</v>
      </c>
      <c r="M18320" s="43">
        <v>11.500360628936866</v>
      </c>
      <c r="N18320" s="43">
        <v>5.2731866968282226</v>
      </c>
      <c r="O18320" s="43">
        <v>11.5</v>
      </c>
      <c r="P18320" s="559"/>
      <c r="Q18320" s="559"/>
      <c r="R18320" s="559">
        <v>14</v>
      </c>
    </row>
    <row r="18321" spans="1:18" ht="84">
      <c r="A18321" s="555">
        <v>752</v>
      </c>
      <c r="B18321" s="552" t="s">
        <v>33092</v>
      </c>
      <c r="C18321" s="556" t="s">
        <v>33093</v>
      </c>
      <c r="D18321" s="557">
        <v>474.46</v>
      </c>
      <c r="E18321" s="557">
        <v>235.55</v>
      </c>
      <c r="F18321" s="557">
        <v>234.2</v>
      </c>
      <c r="G18321" s="557">
        <v>4.71</v>
      </c>
      <c r="H18321" s="558">
        <v>3997.98</v>
      </c>
      <c r="I18321" s="558">
        <v>2708.87</v>
      </c>
      <c r="J18321" s="558">
        <v>1234.94</v>
      </c>
      <c r="K18321" s="558">
        <v>54.17</v>
      </c>
      <c r="L18321" s="43">
        <v>8.426379462968427</v>
      </c>
      <c r="M18321" s="43">
        <v>11.500191042241561</v>
      </c>
      <c r="N18321" s="43">
        <v>5.2730145175064056</v>
      </c>
      <c r="O18321" s="43">
        <v>11.501061571125266</v>
      </c>
      <c r="P18321" s="559"/>
      <c r="Q18321" s="559"/>
      <c r="R18321" s="559">
        <v>14</v>
      </c>
    </row>
    <row r="18322" spans="1:18" ht="84">
      <c r="A18322" s="555">
        <v>753</v>
      </c>
      <c r="B18322" s="552" t="s">
        <v>33094</v>
      </c>
      <c r="C18322" s="556" t="s">
        <v>33095</v>
      </c>
      <c r="D18322" s="557">
        <v>531.38</v>
      </c>
      <c r="E18322" s="557">
        <v>264.27</v>
      </c>
      <c r="F18322" s="557">
        <v>261.82</v>
      </c>
      <c r="G18322" s="557">
        <v>5.29</v>
      </c>
      <c r="H18322" s="558">
        <v>4480.6499999999996</v>
      </c>
      <c r="I18322" s="558">
        <v>3039.22</v>
      </c>
      <c r="J18322" s="558">
        <v>1380.59</v>
      </c>
      <c r="K18322" s="558">
        <v>60.84</v>
      </c>
      <c r="L18322" s="43">
        <v>8.4321013210884868</v>
      </c>
      <c r="M18322" s="43">
        <v>11.500435161009573</v>
      </c>
      <c r="N18322" s="43">
        <v>5.2730501871514779</v>
      </c>
      <c r="O18322" s="43">
        <v>11.500945179584122</v>
      </c>
      <c r="P18322" s="559"/>
      <c r="Q18322" s="559"/>
      <c r="R18322" s="559">
        <v>14</v>
      </c>
    </row>
    <row r="18323" spans="1:18" ht="84">
      <c r="A18323" s="555">
        <v>754</v>
      </c>
      <c r="B18323" s="552" t="s">
        <v>33096</v>
      </c>
      <c r="C18323" s="556" t="s">
        <v>33097</v>
      </c>
      <c r="D18323" s="557">
        <v>171.4</v>
      </c>
      <c r="E18323" s="557">
        <v>85.03</v>
      </c>
      <c r="F18323" s="557">
        <v>84.67</v>
      </c>
      <c r="G18323" s="557">
        <v>1.7</v>
      </c>
      <c r="H18323" s="558">
        <v>1443.87</v>
      </c>
      <c r="I18323" s="558">
        <v>977.84</v>
      </c>
      <c r="J18323" s="558">
        <v>446.48</v>
      </c>
      <c r="K18323" s="558">
        <v>19.55</v>
      </c>
      <c r="L18323" s="43">
        <v>8.4239789964994163</v>
      </c>
      <c r="M18323" s="43">
        <v>11.499941197224508</v>
      </c>
      <c r="N18323" s="43">
        <v>5.2731782213298688</v>
      </c>
      <c r="O18323" s="43">
        <v>11.5</v>
      </c>
      <c r="P18323" s="559"/>
      <c r="Q18323" s="559"/>
      <c r="R18323" s="559">
        <v>14</v>
      </c>
    </row>
    <row r="18324" spans="1:18" ht="84">
      <c r="A18324" s="555">
        <v>755</v>
      </c>
      <c r="B18324" s="552" t="s">
        <v>33098</v>
      </c>
      <c r="C18324" s="556" t="s">
        <v>33099</v>
      </c>
      <c r="D18324" s="557">
        <v>230.69</v>
      </c>
      <c r="E18324" s="557">
        <v>114.9</v>
      </c>
      <c r="F18324" s="557">
        <v>113.49</v>
      </c>
      <c r="G18324" s="557">
        <v>2.2999999999999998</v>
      </c>
      <c r="H18324" s="558">
        <v>1946.32</v>
      </c>
      <c r="I18324" s="558">
        <v>1321.4</v>
      </c>
      <c r="J18324" s="558">
        <v>598.47</v>
      </c>
      <c r="K18324" s="558">
        <v>26.45</v>
      </c>
      <c r="L18324" s="43">
        <v>8.436950019506698</v>
      </c>
      <c r="M18324" s="43">
        <v>11.500435161009573</v>
      </c>
      <c r="N18324" s="43">
        <v>5.2733280465239236</v>
      </c>
      <c r="O18324" s="43">
        <v>11.5</v>
      </c>
      <c r="P18324" s="559"/>
      <c r="Q18324" s="559"/>
      <c r="R18324" s="559">
        <v>14</v>
      </c>
    </row>
    <row r="18325" spans="1:18" ht="84">
      <c r="A18325" s="555">
        <v>756</v>
      </c>
      <c r="B18325" s="552" t="s">
        <v>33100</v>
      </c>
      <c r="C18325" s="556" t="s">
        <v>33101</v>
      </c>
      <c r="D18325" s="557">
        <v>310.77999999999997</v>
      </c>
      <c r="E18325" s="557">
        <v>153.97</v>
      </c>
      <c r="F18325" s="557">
        <v>153.72999999999999</v>
      </c>
      <c r="G18325" s="557">
        <v>3.08</v>
      </c>
      <c r="H18325" s="558">
        <v>2616.7199999999998</v>
      </c>
      <c r="I18325" s="558">
        <v>1770.68</v>
      </c>
      <c r="J18325" s="558">
        <v>810.62</v>
      </c>
      <c r="K18325" s="558">
        <v>35.42</v>
      </c>
      <c r="L18325" s="43">
        <v>8.4198468369907982</v>
      </c>
      <c r="M18325" s="43">
        <v>11.50016236929272</v>
      </c>
      <c r="N18325" s="43">
        <v>5.2730111233981658</v>
      </c>
      <c r="O18325" s="43">
        <v>11.5</v>
      </c>
      <c r="P18325" s="559"/>
      <c r="Q18325" s="559"/>
      <c r="R18325" s="559">
        <v>14</v>
      </c>
    </row>
    <row r="18326" spans="1:18" ht="84">
      <c r="A18326" s="555">
        <v>757</v>
      </c>
      <c r="B18326" s="552" t="s">
        <v>33102</v>
      </c>
      <c r="C18326" s="556" t="s">
        <v>33103</v>
      </c>
      <c r="D18326" s="557">
        <v>366.47</v>
      </c>
      <c r="E18326" s="557">
        <v>183.84</v>
      </c>
      <c r="F18326" s="557">
        <v>178.95</v>
      </c>
      <c r="G18326" s="557">
        <v>3.68</v>
      </c>
      <c r="H18326" s="558">
        <v>3100.18</v>
      </c>
      <c r="I18326" s="558">
        <v>2114.2399999999998</v>
      </c>
      <c r="J18326" s="558">
        <v>943.62</v>
      </c>
      <c r="K18326" s="558">
        <v>42.32</v>
      </c>
      <c r="L18326" s="43">
        <v>8.45957377138647</v>
      </c>
      <c r="M18326" s="43">
        <v>11.500435161009571</v>
      </c>
      <c r="N18326" s="43">
        <v>5.2730930427493714</v>
      </c>
      <c r="O18326" s="43">
        <v>11.5</v>
      </c>
      <c r="P18326" s="559"/>
      <c r="Q18326" s="559"/>
      <c r="R18326" s="559">
        <v>14</v>
      </c>
    </row>
    <row r="18327" spans="1:18" ht="84">
      <c r="A18327" s="555">
        <v>758</v>
      </c>
      <c r="B18327" s="552" t="s">
        <v>33104</v>
      </c>
      <c r="C18327" s="556" t="s">
        <v>33105</v>
      </c>
      <c r="D18327" s="557">
        <v>419.9</v>
      </c>
      <c r="E18327" s="557">
        <v>207.97</v>
      </c>
      <c r="F18327" s="557">
        <v>207.77</v>
      </c>
      <c r="G18327" s="557">
        <v>4.16</v>
      </c>
      <c r="H18327" s="558">
        <v>3535.18</v>
      </c>
      <c r="I18327" s="558">
        <v>2391.73</v>
      </c>
      <c r="J18327" s="558">
        <v>1095.6099999999999</v>
      </c>
      <c r="K18327" s="558">
        <v>47.84</v>
      </c>
      <c r="L18327" s="43">
        <v>8.4190997856632528</v>
      </c>
      <c r="M18327" s="43">
        <v>11.500360628936866</v>
      </c>
      <c r="N18327" s="43">
        <v>5.2731866968282226</v>
      </c>
      <c r="O18327" s="43">
        <v>11.5</v>
      </c>
      <c r="P18327" s="559"/>
      <c r="Q18327" s="559"/>
      <c r="R18327" s="559">
        <v>14</v>
      </c>
    </row>
    <row r="18328" spans="1:18" ht="84">
      <c r="A18328" s="555">
        <v>759</v>
      </c>
      <c r="B18328" s="552" t="s">
        <v>33106</v>
      </c>
      <c r="C18328" s="556" t="s">
        <v>33107</v>
      </c>
      <c r="D18328" s="557">
        <v>474.46</v>
      </c>
      <c r="E18328" s="557">
        <v>235.55</v>
      </c>
      <c r="F18328" s="557">
        <v>234.2</v>
      </c>
      <c r="G18328" s="557">
        <v>4.71</v>
      </c>
      <c r="H18328" s="558">
        <v>3997.98</v>
      </c>
      <c r="I18328" s="558">
        <v>2708.87</v>
      </c>
      <c r="J18328" s="558">
        <v>1234.94</v>
      </c>
      <c r="K18328" s="558">
        <v>54.17</v>
      </c>
      <c r="L18328" s="43">
        <v>8.426379462968427</v>
      </c>
      <c r="M18328" s="43">
        <v>11.500191042241561</v>
      </c>
      <c r="N18328" s="43">
        <v>5.2730145175064056</v>
      </c>
      <c r="O18328" s="43">
        <v>11.501061571125266</v>
      </c>
      <c r="P18328" s="559"/>
      <c r="Q18328" s="559"/>
      <c r="R18328" s="559">
        <v>14</v>
      </c>
    </row>
    <row r="18329" spans="1:18" ht="84">
      <c r="A18329" s="555">
        <v>760</v>
      </c>
      <c r="B18329" s="552" t="s">
        <v>33108</v>
      </c>
      <c r="C18329" s="556" t="s">
        <v>33109</v>
      </c>
      <c r="D18329" s="557">
        <v>551.51</v>
      </c>
      <c r="E18329" s="557">
        <v>275.76</v>
      </c>
      <c r="F18329" s="557">
        <v>270.23</v>
      </c>
      <c r="G18329" s="557">
        <v>5.52</v>
      </c>
      <c r="H18329" s="558">
        <v>4659.7700000000004</v>
      </c>
      <c r="I18329" s="558">
        <v>3171.36</v>
      </c>
      <c r="J18329" s="558">
        <v>1424.93</v>
      </c>
      <c r="K18329" s="558">
        <v>63.48</v>
      </c>
      <c r="L18329" s="43">
        <v>8.449112436764521</v>
      </c>
      <c r="M18329" s="43">
        <v>11.500435161009575</v>
      </c>
      <c r="N18329" s="43">
        <v>5.2730266809754651</v>
      </c>
      <c r="O18329" s="43">
        <v>11.5</v>
      </c>
      <c r="P18329" s="559"/>
      <c r="Q18329" s="559"/>
      <c r="R18329" s="559">
        <v>14</v>
      </c>
    </row>
    <row r="18330" spans="1:18" ht="84">
      <c r="A18330" s="555">
        <v>761</v>
      </c>
      <c r="B18330" s="552" t="s">
        <v>33110</v>
      </c>
      <c r="C18330" s="556" t="s">
        <v>33111</v>
      </c>
      <c r="D18330" s="557">
        <v>602.55999999999995</v>
      </c>
      <c r="E18330" s="557">
        <v>298.74</v>
      </c>
      <c r="F18330" s="557">
        <v>297.85000000000002</v>
      </c>
      <c r="G18330" s="557">
        <v>5.97</v>
      </c>
      <c r="H18330" s="558">
        <v>5074.88</v>
      </c>
      <c r="I18330" s="558">
        <v>3435.64</v>
      </c>
      <c r="J18330" s="558">
        <v>1570.58</v>
      </c>
      <c r="K18330" s="558">
        <v>68.66</v>
      </c>
      <c r="L18330" s="43">
        <v>8.422198619224643</v>
      </c>
      <c r="M18330" s="43">
        <v>11.500435161009573</v>
      </c>
      <c r="N18330" s="43">
        <v>5.273056907839516</v>
      </c>
      <c r="O18330" s="43">
        <v>11.500837520938024</v>
      </c>
      <c r="P18330" s="559"/>
      <c r="Q18330" s="559"/>
      <c r="R18330" s="559">
        <v>14</v>
      </c>
    </row>
    <row r="18331" spans="1:18" ht="84">
      <c r="A18331" s="555">
        <v>762</v>
      </c>
      <c r="B18331" s="552" t="s">
        <v>33112</v>
      </c>
      <c r="C18331" s="556" t="s">
        <v>33113</v>
      </c>
      <c r="D18331" s="557">
        <v>208.17</v>
      </c>
      <c r="E18331" s="557">
        <v>103.41</v>
      </c>
      <c r="F18331" s="557">
        <v>102.69</v>
      </c>
      <c r="G18331" s="557">
        <v>2.0699999999999998</v>
      </c>
      <c r="H18331" s="558">
        <v>1754.54</v>
      </c>
      <c r="I18331" s="558">
        <v>1189.26</v>
      </c>
      <c r="J18331" s="558">
        <v>541.47</v>
      </c>
      <c r="K18331" s="558">
        <v>23.81</v>
      </c>
      <c r="L18331" s="43">
        <v>8.4283998654945478</v>
      </c>
      <c r="M18331" s="43">
        <v>11.500435161009573</v>
      </c>
      <c r="N18331" s="43">
        <v>5.2728600642711072</v>
      </c>
      <c r="O18331" s="43">
        <v>11.502415458937199</v>
      </c>
      <c r="P18331" s="559"/>
      <c r="Q18331" s="559"/>
      <c r="R18331" s="559">
        <v>14</v>
      </c>
    </row>
    <row r="18332" spans="1:18" ht="84">
      <c r="A18332" s="555">
        <v>763</v>
      </c>
      <c r="B18332" s="552" t="s">
        <v>33114</v>
      </c>
      <c r="C18332" s="556" t="s">
        <v>33115</v>
      </c>
      <c r="D18332" s="557">
        <v>277.55</v>
      </c>
      <c r="E18332" s="557">
        <v>137.88</v>
      </c>
      <c r="F18332" s="557">
        <v>136.91</v>
      </c>
      <c r="G18332" s="557">
        <v>2.76</v>
      </c>
      <c r="H18332" s="558">
        <v>2339.38</v>
      </c>
      <c r="I18332" s="558">
        <v>1585.68</v>
      </c>
      <c r="J18332" s="558">
        <v>721.96</v>
      </c>
      <c r="K18332" s="558">
        <v>31.74</v>
      </c>
      <c r="L18332" s="43">
        <v>8.4286795172041078</v>
      </c>
      <c r="M18332" s="43">
        <v>11.500435161009575</v>
      </c>
      <c r="N18332" s="43">
        <v>5.2732451975750498</v>
      </c>
      <c r="O18332" s="43">
        <v>11.5</v>
      </c>
      <c r="P18332" s="559"/>
      <c r="Q18332" s="559"/>
      <c r="R18332" s="559">
        <v>14</v>
      </c>
    </row>
    <row r="18333" spans="1:18" ht="84">
      <c r="A18333" s="555">
        <v>764</v>
      </c>
      <c r="B18333" s="552" t="s">
        <v>33116</v>
      </c>
      <c r="C18333" s="556" t="s">
        <v>33117</v>
      </c>
      <c r="D18333" s="557">
        <v>354.67</v>
      </c>
      <c r="E18333" s="557">
        <v>175.8</v>
      </c>
      <c r="F18333" s="557">
        <v>175.35</v>
      </c>
      <c r="G18333" s="557">
        <v>3.52</v>
      </c>
      <c r="H18333" s="558">
        <v>2986.84</v>
      </c>
      <c r="I18333" s="558">
        <v>2021.74</v>
      </c>
      <c r="J18333" s="558">
        <v>924.62</v>
      </c>
      <c r="K18333" s="558">
        <v>40.479999999999997</v>
      </c>
      <c r="L18333" s="43">
        <v>8.4214622043025908</v>
      </c>
      <c r="M18333" s="43">
        <v>11.500227531285551</v>
      </c>
      <c r="N18333" s="43">
        <v>5.2729968634160249</v>
      </c>
      <c r="O18333" s="43">
        <v>11.499999999999998</v>
      </c>
      <c r="P18333" s="559"/>
      <c r="Q18333" s="559"/>
      <c r="R18333" s="559">
        <v>14</v>
      </c>
    </row>
    <row r="18334" spans="1:18" ht="84">
      <c r="A18334" s="555">
        <v>765</v>
      </c>
      <c r="B18334" s="552" t="s">
        <v>33118</v>
      </c>
      <c r="C18334" s="556" t="s">
        <v>33119</v>
      </c>
      <c r="D18334" s="557">
        <v>438.86</v>
      </c>
      <c r="E18334" s="557">
        <v>218.31</v>
      </c>
      <c r="F18334" s="557">
        <v>216.18</v>
      </c>
      <c r="G18334" s="557">
        <v>4.37</v>
      </c>
      <c r="H18334" s="558">
        <v>3700.86</v>
      </c>
      <c r="I18334" s="558">
        <v>2510.66</v>
      </c>
      <c r="J18334" s="558">
        <v>1139.94</v>
      </c>
      <c r="K18334" s="558">
        <v>50.26</v>
      </c>
      <c r="L18334" s="43">
        <v>8.4328943170942896</v>
      </c>
      <c r="M18334" s="43">
        <v>11.500435161009573</v>
      </c>
      <c r="N18334" s="43">
        <v>5.2731057452123231</v>
      </c>
      <c r="O18334" s="43">
        <v>11.501144164759724</v>
      </c>
      <c r="P18334" s="559"/>
      <c r="Q18334" s="559"/>
      <c r="R18334" s="559">
        <v>14</v>
      </c>
    </row>
    <row r="18335" spans="1:18" ht="84">
      <c r="A18335" s="555">
        <v>766</v>
      </c>
      <c r="B18335" s="552" t="s">
        <v>33120</v>
      </c>
      <c r="C18335" s="556" t="s">
        <v>33121</v>
      </c>
      <c r="D18335" s="557">
        <v>489.92</v>
      </c>
      <c r="E18335" s="557">
        <v>241.29</v>
      </c>
      <c r="F18335" s="557">
        <v>243.8</v>
      </c>
      <c r="G18335" s="557">
        <v>4.83</v>
      </c>
      <c r="H18335" s="558">
        <v>4116.09</v>
      </c>
      <c r="I18335" s="558">
        <v>2774.94</v>
      </c>
      <c r="J18335" s="558">
        <v>1285.5999999999999</v>
      </c>
      <c r="K18335" s="558">
        <v>55.55</v>
      </c>
      <c r="L18335" s="43">
        <v>8.4015553559764857</v>
      </c>
      <c r="M18335" s="43">
        <v>11.500435161009575</v>
      </c>
      <c r="N18335" s="43">
        <v>5.2731747333880223</v>
      </c>
      <c r="O18335" s="43">
        <v>11.50103519668737</v>
      </c>
      <c r="P18335" s="559"/>
      <c r="Q18335" s="559"/>
      <c r="R18335" s="559">
        <v>14</v>
      </c>
    </row>
    <row r="18336" spans="1:18" ht="84">
      <c r="A18336" s="555">
        <v>767</v>
      </c>
      <c r="B18336" s="552" t="s">
        <v>33122</v>
      </c>
      <c r="C18336" s="556" t="s">
        <v>33123</v>
      </c>
      <c r="D18336" s="557">
        <v>561.11</v>
      </c>
      <c r="E18336" s="557">
        <v>275.76</v>
      </c>
      <c r="F18336" s="557">
        <v>279.83</v>
      </c>
      <c r="G18336" s="557">
        <v>5.52</v>
      </c>
      <c r="H18336" s="558">
        <v>4710.43</v>
      </c>
      <c r="I18336" s="558">
        <v>3171.36</v>
      </c>
      <c r="J18336" s="558">
        <v>1475.59</v>
      </c>
      <c r="K18336" s="558">
        <v>63.48</v>
      </c>
      <c r="L18336" s="43">
        <v>8.3948423660244877</v>
      </c>
      <c r="M18336" s="43">
        <v>11.500435161009575</v>
      </c>
      <c r="N18336" s="43">
        <v>5.2731658506950652</v>
      </c>
      <c r="O18336" s="43">
        <v>11.5</v>
      </c>
      <c r="P18336" s="559"/>
      <c r="Q18336" s="559"/>
      <c r="R18336" s="559">
        <v>14</v>
      </c>
    </row>
    <row r="18337" spans="1:18" ht="84">
      <c r="A18337" s="555">
        <v>768</v>
      </c>
      <c r="B18337" s="552" t="s">
        <v>33124</v>
      </c>
      <c r="C18337" s="556" t="s">
        <v>33125</v>
      </c>
      <c r="D18337" s="557">
        <v>644.01</v>
      </c>
      <c r="E18337" s="557">
        <v>321.72000000000003</v>
      </c>
      <c r="F18337" s="557">
        <v>315.86</v>
      </c>
      <c r="G18337" s="557">
        <v>6.43</v>
      </c>
      <c r="H18337" s="558">
        <v>5439.45</v>
      </c>
      <c r="I18337" s="558">
        <v>3699.92</v>
      </c>
      <c r="J18337" s="558">
        <v>1665.58</v>
      </c>
      <c r="K18337" s="558">
        <v>73.95</v>
      </c>
      <c r="L18337" s="43">
        <v>8.4462197791959746</v>
      </c>
      <c r="M18337" s="43">
        <v>11.500435161009573</v>
      </c>
      <c r="N18337" s="43">
        <v>5.2731589944912303</v>
      </c>
      <c r="O18337" s="43">
        <v>11.500777604976673</v>
      </c>
      <c r="P18337" s="559"/>
      <c r="Q18337" s="559"/>
      <c r="R18337" s="559">
        <v>14</v>
      </c>
    </row>
    <row r="18338" spans="1:18" ht="84">
      <c r="A18338" s="555">
        <v>769</v>
      </c>
      <c r="B18338" s="552" t="s">
        <v>33126</v>
      </c>
      <c r="C18338" s="556" t="s">
        <v>33127</v>
      </c>
      <c r="D18338" s="557">
        <v>735.33</v>
      </c>
      <c r="E18338" s="557">
        <v>367.68</v>
      </c>
      <c r="F18338" s="557">
        <v>360.3</v>
      </c>
      <c r="G18338" s="557">
        <v>7.35</v>
      </c>
      <c r="H18338" s="558">
        <v>6212.91</v>
      </c>
      <c r="I18338" s="558">
        <v>4228.4799999999996</v>
      </c>
      <c r="J18338" s="558">
        <v>1899.9</v>
      </c>
      <c r="K18338" s="558">
        <v>84.53</v>
      </c>
      <c r="L18338" s="43">
        <v>8.4491452817102513</v>
      </c>
      <c r="M18338" s="43">
        <v>11.500435161009571</v>
      </c>
      <c r="N18338" s="43">
        <v>5.2731057452123231</v>
      </c>
      <c r="O18338" s="43">
        <v>11.500680272108845</v>
      </c>
      <c r="P18338" s="559"/>
      <c r="Q18338" s="559"/>
      <c r="R18338" s="559">
        <v>14</v>
      </c>
    </row>
    <row r="18339" spans="1:18" ht="84">
      <c r="A18339" s="555">
        <v>770</v>
      </c>
      <c r="B18339" s="552" t="s">
        <v>33128</v>
      </c>
      <c r="C18339" s="556" t="s">
        <v>33129</v>
      </c>
      <c r="D18339" s="557">
        <v>232.5</v>
      </c>
      <c r="E18339" s="557">
        <v>114.9</v>
      </c>
      <c r="F18339" s="557">
        <v>115.3</v>
      </c>
      <c r="G18339" s="557">
        <v>2.2999999999999998</v>
      </c>
      <c r="H18339" s="558">
        <v>1955.82</v>
      </c>
      <c r="I18339" s="558">
        <v>1321.4</v>
      </c>
      <c r="J18339" s="558">
        <v>607.97</v>
      </c>
      <c r="K18339" s="558">
        <v>26.45</v>
      </c>
      <c r="L18339" s="43">
        <v>8.4121290322580649</v>
      </c>
      <c r="M18339" s="43">
        <v>11.500435161009573</v>
      </c>
      <c r="N18339" s="43">
        <v>5.2729401561144842</v>
      </c>
      <c r="O18339" s="43">
        <v>11.5</v>
      </c>
      <c r="P18339" s="559"/>
      <c r="Q18339" s="559"/>
      <c r="R18339" s="559">
        <v>14</v>
      </c>
    </row>
    <row r="18340" spans="1:18" ht="84">
      <c r="A18340" s="555">
        <v>771</v>
      </c>
      <c r="B18340" s="552" t="s">
        <v>33130</v>
      </c>
      <c r="C18340" s="556" t="s">
        <v>33131</v>
      </c>
      <c r="D18340" s="557">
        <v>319.01</v>
      </c>
      <c r="E18340" s="557">
        <v>160.86000000000001</v>
      </c>
      <c r="F18340" s="557">
        <v>154.93</v>
      </c>
      <c r="G18340" s="557">
        <v>3.22</v>
      </c>
      <c r="H18340" s="558">
        <v>2703.95</v>
      </c>
      <c r="I18340" s="558">
        <v>1849.96</v>
      </c>
      <c r="J18340" s="558">
        <v>816.96</v>
      </c>
      <c r="K18340" s="558">
        <v>37.03</v>
      </c>
      <c r="L18340" s="43">
        <v>8.4760665809849218</v>
      </c>
      <c r="M18340" s="43">
        <v>11.500435161009573</v>
      </c>
      <c r="N18340" s="43">
        <v>5.2730910733879819</v>
      </c>
      <c r="O18340" s="43">
        <v>11.5</v>
      </c>
      <c r="P18340" s="559"/>
      <c r="Q18340" s="559"/>
      <c r="R18340" s="559">
        <v>14</v>
      </c>
    </row>
    <row r="18341" spans="1:18" ht="84">
      <c r="A18341" s="555">
        <v>772</v>
      </c>
      <c r="B18341" s="552" t="s">
        <v>33132</v>
      </c>
      <c r="C18341" s="556" t="s">
        <v>33133</v>
      </c>
      <c r="D18341" s="557">
        <v>397.41</v>
      </c>
      <c r="E18341" s="557">
        <v>195.33</v>
      </c>
      <c r="F18341" s="557">
        <v>198.17</v>
      </c>
      <c r="G18341" s="557">
        <v>3.91</v>
      </c>
      <c r="H18341" s="558">
        <v>3336.3</v>
      </c>
      <c r="I18341" s="558">
        <v>2246.38</v>
      </c>
      <c r="J18341" s="558">
        <v>1044.95</v>
      </c>
      <c r="K18341" s="558">
        <v>44.97</v>
      </c>
      <c r="L18341" s="43">
        <v>8.3951083264135278</v>
      </c>
      <c r="M18341" s="43">
        <v>11.500435161009573</v>
      </c>
      <c r="N18341" s="43">
        <v>5.2729979310692849</v>
      </c>
      <c r="O18341" s="43">
        <v>11.501278772378516</v>
      </c>
      <c r="P18341" s="559"/>
      <c r="Q18341" s="559"/>
      <c r="R18341" s="559">
        <v>14</v>
      </c>
    </row>
    <row r="18342" spans="1:18" ht="84">
      <c r="A18342" s="555">
        <v>773</v>
      </c>
      <c r="B18342" s="552" t="s">
        <v>33134</v>
      </c>
      <c r="C18342" s="556" t="s">
        <v>33135</v>
      </c>
      <c r="D18342" s="557">
        <v>501.64</v>
      </c>
      <c r="E18342" s="557">
        <v>252.78</v>
      </c>
      <c r="F18342" s="557">
        <v>243.8</v>
      </c>
      <c r="G18342" s="557">
        <v>5.0599999999999996</v>
      </c>
      <c r="H18342" s="558">
        <v>4250.87</v>
      </c>
      <c r="I18342" s="558">
        <v>2907.08</v>
      </c>
      <c r="J18342" s="558">
        <v>1285.5999999999999</v>
      </c>
      <c r="K18342" s="558">
        <v>58.19</v>
      </c>
      <c r="L18342" s="43">
        <v>8.4739454588948249</v>
      </c>
      <c r="M18342" s="43">
        <v>11.500435161009573</v>
      </c>
      <c r="N18342" s="43">
        <v>5.2731747333880223</v>
      </c>
      <c r="O18342" s="43">
        <v>11.5</v>
      </c>
      <c r="P18342" s="559"/>
      <c r="Q18342" s="559"/>
      <c r="R18342" s="559">
        <v>14</v>
      </c>
    </row>
    <row r="18343" spans="1:18" ht="84">
      <c r="A18343" s="555">
        <v>774</v>
      </c>
      <c r="B18343" s="552" t="s">
        <v>33136</v>
      </c>
      <c r="C18343" s="556" t="s">
        <v>33137</v>
      </c>
      <c r="D18343" s="557">
        <v>561.11</v>
      </c>
      <c r="E18343" s="557">
        <v>275.76</v>
      </c>
      <c r="F18343" s="557">
        <v>279.83</v>
      </c>
      <c r="G18343" s="557">
        <v>5.52</v>
      </c>
      <c r="H18343" s="558">
        <v>4710.43</v>
      </c>
      <c r="I18343" s="558">
        <v>3171.36</v>
      </c>
      <c r="J18343" s="558">
        <v>1475.59</v>
      </c>
      <c r="K18343" s="558">
        <v>63.48</v>
      </c>
      <c r="L18343" s="43">
        <v>8.3948423660244877</v>
      </c>
      <c r="M18343" s="43">
        <v>11.500435161009575</v>
      </c>
      <c r="N18343" s="43">
        <v>5.2731658506950652</v>
      </c>
      <c r="O18343" s="43">
        <v>11.5</v>
      </c>
      <c r="P18343" s="559"/>
      <c r="Q18343" s="559"/>
      <c r="R18343" s="559">
        <v>14</v>
      </c>
    </row>
    <row r="18344" spans="1:18" ht="84">
      <c r="A18344" s="555">
        <v>775</v>
      </c>
      <c r="B18344" s="552" t="s">
        <v>33138</v>
      </c>
      <c r="C18344" s="556" t="s">
        <v>33139</v>
      </c>
      <c r="D18344" s="557">
        <v>644.01</v>
      </c>
      <c r="E18344" s="557">
        <v>321.72000000000003</v>
      </c>
      <c r="F18344" s="557">
        <v>315.86</v>
      </c>
      <c r="G18344" s="557">
        <v>6.43</v>
      </c>
      <c r="H18344" s="558">
        <v>5439.45</v>
      </c>
      <c r="I18344" s="558">
        <v>3699.92</v>
      </c>
      <c r="J18344" s="558">
        <v>1665.58</v>
      </c>
      <c r="K18344" s="558">
        <v>73.95</v>
      </c>
      <c r="L18344" s="43">
        <v>8.4462197791959746</v>
      </c>
      <c r="M18344" s="43">
        <v>11.500435161009573</v>
      </c>
      <c r="N18344" s="43">
        <v>5.2731589944912303</v>
      </c>
      <c r="O18344" s="43">
        <v>11.500777604976673</v>
      </c>
      <c r="P18344" s="559"/>
      <c r="Q18344" s="559"/>
      <c r="R18344" s="559">
        <v>14</v>
      </c>
    </row>
    <row r="18345" spans="1:18" ht="84">
      <c r="A18345" s="555">
        <v>776</v>
      </c>
      <c r="B18345" s="552" t="s">
        <v>33140</v>
      </c>
      <c r="C18345" s="556" t="s">
        <v>33141</v>
      </c>
      <c r="D18345" s="557">
        <v>735.33</v>
      </c>
      <c r="E18345" s="557">
        <v>367.68</v>
      </c>
      <c r="F18345" s="557">
        <v>360.3</v>
      </c>
      <c r="G18345" s="557">
        <v>7.35</v>
      </c>
      <c r="H18345" s="558">
        <v>6212.91</v>
      </c>
      <c r="I18345" s="558">
        <v>4228.4799999999996</v>
      </c>
      <c r="J18345" s="558">
        <v>1899.9</v>
      </c>
      <c r="K18345" s="558">
        <v>84.53</v>
      </c>
      <c r="L18345" s="43">
        <v>8.4491452817102513</v>
      </c>
      <c r="M18345" s="43">
        <v>11.500435161009571</v>
      </c>
      <c r="N18345" s="43">
        <v>5.2731057452123231</v>
      </c>
      <c r="O18345" s="43">
        <v>11.500680272108845</v>
      </c>
      <c r="P18345" s="559"/>
      <c r="Q18345" s="559"/>
      <c r="R18345" s="559">
        <v>14</v>
      </c>
    </row>
    <row r="18346" spans="1:18" ht="84">
      <c r="A18346" s="555">
        <v>777</v>
      </c>
      <c r="B18346" s="552" t="s">
        <v>33142</v>
      </c>
      <c r="C18346" s="556" t="s">
        <v>33143</v>
      </c>
      <c r="D18346" s="557">
        <v>296.48</v>
      </c>
      <c r="E18346" s="557">
        <v>149.37</v>
      </c>
      <c r="F18346" s="557">
        <v>144.12</v>
      </c>
      <c r="G18346" s="557">
        <v>2.99</v>
      </c>
      <c r="H18346" s="558">
        <v>2512.17</v>
      </c>
      <c r="I18346" s="558">
        <v>1717.82</v>
      </c>
      <c r="J18346" s="558">
        <v>759.96</v>
      </c>
      <c r="K18346" s="558">
        <v>34.39</v>
      </c>
      <c r="L18346" s="43">
        <v>8.47332029141932</v>
      </c>
      <c r="M18346" s="43">
        <v>11.500435161009573</v>
      </c>
      <c r="N18346" s="43">
        <v>5.2731057452123231</v>
      </c>
      <c r="O18346" s="43">
        <v>11.501672240802675</v>
      </c>
      <c r="P18346" s="559"/>
      <c r="Q18346" s="559"/>
      <c r="R18346" s="559">
        <v>14</v>
      </c>
    </row>
    <row r="18347" spans="1:18" ht="84">
      <c r="A18347" s="555">
        <v>778</v>
      </c>
      <c r="B18347" s="552" t="s">
        <v>33144</v>
      </c>
      <c r="C18347" s="556" t="s">
        <v>33145</v>
      </c>
      <c r="D18347" s="557">
        <v>389</v>
      </c>
      <c r="E18347" s="557">
        <v>195.33</v>
      </c>
      <c r="F18347" s="557">
        <v>189.76</v>
      </c>
      <c r="G18347" s="557">
        <v>3.91</v>
      </c>
      <c r="H18347" s="558">
        <v>3291.96</v>
      </c>
      <c r="I18347" s="558">
        <v>2246.38</v>
      </c>
      <c r="J18347" s="558">
        <v>1000.61</v>
      </c>
      <c r="K18347" s="558">
        <v>44.97</v>
      </c>
      <c r="L18347" s="43">
        <v>8.4626221079691515</v>
      </c>
      <c r="M18347" s="43">
        <v>11.500435161009573</v>
      </c>
      <c r="N18347" s="43">
        <v>5.2730290893760543</v>
      </c>
      <c r="O18347" s="43">
        <v>11.501278772378516</v>
      </c>
      <c r="P18347" s="559"/>
      <c r="Q18347" s="559"/>
      <c r="R18347" s="559">
        <v>14</v>
      </c>
    </row>
    <row r="18348" spans="1:18" ht="84">
      <c r="A18348" s="555">
        <v>779</v>
      </c>
      <c r="B18348" s="552" t="s">
        <v>33146</v>
      </c>
      <c r="C18348" s="556" t="s">
        <v>33147</v>
      </c>
      <c r="D18348" s="557">
        <v>510.05</v>
      </c>
      <c r="E18348" s="557">
        <v>252.78</v>
      </c>
      <c r="F18348" s="557">
        <v>252.21</v>
      </c>
      <c r="G18348" s="557">
        <v>5.0599999999999996</v>
      </c>
      <c r="H18348" s="558">
        <v>4295.2</v>
      </c>
      <c r="I18348" s="558">
        <v>2907.08</v>
      </c>
      <c r="J18348" s="558">
        <v>1329.93</v>
      </c>
      <c r="K18348" s="558">
        <v>58.19</v>
      </c>
      <c r="L18348" s="43">
        <v>8.4211351828252123</v>
      </c>
      <c r="M18348" s="43">
        <v>11.500435161009573</v>
      </c>
      <c r="N18348" s="43">
        <v>5.2731057452123231</v>
      </c>
      <c r="O18348" s="43">
        <v>11.5</v>
      </c>
      <c r="P18348" s="559"/>
      <c r="Q18348" s="559"/>
      <c r="R18348" s="559">
        <v>14</v>
      </c>
    </row>
    <row r="18349" spans="1:18" ht="84">
      <c r="A18349" s="555">
        <v>780</v>
      </c>
      <c r="B18349" s="552" t="s">
        <v>33148</v>
      </c>
      <c r="C18349" s="556" t="s">
        <v>33149</v>
      </c>
      <c r="D18349" s="557">
        <v>622.69000000000005</v>
      </c>
      <c r="E18349" s="557">
        <v>310.23</v>
      </c>
      <c r="F18349" s="557">
        <v>306.26</v>
      </c>
      <c r="G18349" s="557">
        <v>6.2</v>
      </c>
      <c r="H18349" s="558">
        <v>5254</v>
      </c>
      <c r="I18349" s="558">
        <v>3567.78</v>
      </c>
      <c r="J18349" s="558">
        <v>1614.92</v>
      </c>
      <c r="K18349" s="558">
        <v>71.3</v>
      </c>
      <c r="L18349" s="43">
        <v>8.4375853153254425</v>
      </c>
      <c r="M18349" s="43">
        <v>11.500435161009573</v>
      </c>
      <c r="N18349" s="43">
        <v>5.2730359824985307</v>
      </c>
      <c r="O18349" s="43">
        <v>11.5</v>
      </c>
      <c r="P18349" s="559"/>
      <c r="Q18349" s="559"/>
      <c r="R18349" s="559">
        <v>14</v>
      </c>
    </row>
    <row r="18350" spans="1:18" ht="84">
      <c r="A18350" s="555">
        <v>781</v>
      </c>
      <c r="B18350" s="552" t="s">
        <v>33150</v>
      </c>
      <c r="C18350" s="556" t="s">
        <v>33151</v>
      </c>
      <c r="D18350" s="557">
        <v>343.94</v>
      </c>
      <c r="E18350" s="557">
        <v>172.35</v>
      </c>
      <c r="F18350" s="557">
        <v>168.14</v>
      </c>
      <c r="G18350" s="557">
        <v>3.45</v>
      </c>
      <c r="H18350" s="558">
        <v>2908.4</v>
      </c>
      <c r="I18350" s="558">
        <v>1982.1</v>
      </c>
      <c r="J18350" s="558">
        <v>886.62</v>
      </c>
      <c r="K18350" s="558">
        <v>39.68</v>
      </c>
      <c r="L18350" s="43">
        <v>8.4561260685003194</v>
      </c>
      <c r="M18350" s="43">
        <v>11.500435161009573</v>
      </c>
      <c r="N18350" s="43">
        <v>5.2731057452123231</v>
      </c>
      <c r="O18350" s="43">
        <v>11.501449275362319</v>
      </c>
      <c r="P18350" s="559"/>
      <c r="Q18350" s="559"/>
      <c r="R18350" s="559">
        <v>14</v>
      </c>
    </row>
    <row r="18351" spans="1:18" ht="84">
      <c r="A18351" s="555">
        <v>782</v>
      </c>
      <c r="B18351" s="552" t="s">
        <v>33152</v>
      </c>
      <c r="C18351" s="556" t="s">
        <v>33153</v>
      </c>
      <c r="D18351" s="557">
        <v>460.19</v>
      </c>
      <c r="E18351" s="557">
        <v>229.8</v>
      </c>
      <c r="F18351" s="557">
        <v>225.79</v>
      </c>
      <c r="G18351" s="557">
        <v>4.5999999999999996</v>
      </c>
      <c r="H18351" s="558">
        <v>3886.3</v>
      </c>
      <c r="I18351" s="558">
        <v>2642.8</v>
      </c>
      <c r="J18351" s="558">
        <v>1190.5999999999999</v>
      </c>
      <c r="K18351" s="558">
        <v>52.9</v>
      </c>
      <c r="L18351" s="43">
        <v>8.4449901127795037</v>
      </c>
      <c r="M18351" s="43">
        <v>11.500435161009573</v>
      </c>
      <c r="N18351" s="43">
        <v>5.2730413215820011</v>
      </c>
      <c r="O18351" s="43">
        <v>11.5</v>
      </c>
      <c r="P18351" s="559"/>
      <c r="Q18351" s="559"/>
      <c r="R18351" s="559">
        <v>14</v>
      </c>
    </row>
    <row r="18352" spans="1:18" ht="84">
      <c r="A18352" s="555">
        <v>783</v>
      </c>
      <c r="B18352" s="552" t="s">
        <v>33154</v>
      </c>
      <c r="C18352" s="556" t="s">
        <v>33155</v>
      </c>
      <c r="D18352" s="557">
        <v>389</v>
      </c>
      <c r="E18352" s="557">
        <v>195.33</v>
      </c>
      <c r="F18352" s="557">
        <v>189.76</v>
      </c>
      <c r="G18352" s="557">
        <v>3.91</v>
      </c>
      <c r="H18352" s="558">
        <v>3291.96</v>
      </c>
      <c r="I18352" s="558">
        <v>2246.38</v>
      </c>
      <c r="J18352" s="558">
        <v>1000.61</v>
      </c>
      <c r="K18352" s="558">
        <v>44.97</v>
      </c>
      <c r="L18352" s="43">
        <v>8.4626221079691515</v>
      </c>
      <c r="M18352" s="43">
        <v>11.500435161009573</v>
      </c>
      <c r="N18352" s="43">
        <v>5.2730290893760543</v>
      </c>
      <c r="O18352" s="43">
        <v>11.501278772378516</v>
      </c>
      <c r="P18352" s="559"/>
      <c r="Q18352" s="559"/>
      <c r="R18352" s="559">
        <v>14</v>
      </c>
    </row>
    <row r="18353" spans="1:18" ht="84">
      <c r="A18353" s="555">
        <v>784</v>
      </c>
      <c r="B18353" s="552" t="s">
        <v>33156</v>
      </c>
      <c r="C18353" s="556" t="s">
        <v>33157</v>
      </c>
      <c r="D18353" s="557">
        <v>510.05</v>
      </c>
      <c r="E18353" s="557">
        <v>252.78</v>
      </c>
      <c r="F18353" s="557">
        <v>252.21</v>
      </c>
      <c r="G18353" s="557">
        <v>5.0599999999999996</v>
      </c>
      <c r="H18353" s="558">
        <v>4295.2</v>
      </c>
      <c r="I18353" s="558">
        <v>2907.08</v>
      </c>
      <c r="J18353" s="558">
        <v>1329.93</v>
      </c>
      <c r="K18353" s="558">
        <v>58.19</v>
      </c>
      <c r="L18353" s="43">
        <v>8.4211351828252123</v>
      </c>
      <c r="M18353" s="43">
        <v>11.500435161009573</v>
      </c>
      <c r="N18353" s="43">
        <v>5.2731057452123231</v>
      </c>
      <c r="O18353" s="43">
        <v>11.5</v>
      </c>
      <c r="P18353" s="559"/>
      <c r="Q18353" s="559"/>
      <c r="R18353" s="559">
        <v>14</v>
      </c>
    </row>
    <row r="18354" spans="1:18" ht="84">
      <c r="A18354" s="555">
        <v>785</v>
      </c>
      <c r="B18354" s="552" t="s">
        <v>33158</v>
      </c>
      <c r="C18354" s="556" t="s">
        <v>33159</v>
      </c>
      <c r="D18354" s="557">
        <v>438.86</v>
      </c>
      <c r="E18354" s="557">
        <v>218.31</v>
      </c>
      <c r="F18354" s="557">
        <v>216.18</v>
      </c>
      <c r="G18354" s="557">
        <v>4.37</v>
      </c>
      <c r="H18354" s="558">
        <v>3700.86</v>
      </c>
      <c r="I18354" s="558">
        <v>2510.66</v>
      </c>
      <c r="J18354" s="558">
        <v>1139.94</v>
      </c>
      <c r="K18354" s="558">
        <v>50.26</v>
      </c>
      <c r="L18354" s="43">
        <v>8.4328943170942896</v>
      </c>
      <c r="M18354" s="43">
        <v>11.500435161009573</v>
      </c>
      <c r="N18354" s="43">
        <v>5.2731057452123231</v>
      </c>
      <c r="O18354" s="43">
        <v>11.501144164759724</v>
      </c>
      <c r="P18354" s="559"/>
      <c r="Q18354" s="559"/>
      <c r="R18354" s="559">
        <v>14</v>
      </c>
    </row>
    <row r="18355" spans="1:18" ht="84">
      <c r="A18355" s="555">
        <v>786</v>
      </c>
      <c r="B18355" s="552" t="s">
        <v>33160</v>
      </c>
      <c r="C18355" s="556" t="s">
        <v>33161</v>
      </c>
      <c r="D18355" s="557">
        <v>581.24</v>
      </c>
      <c r="E18355" s="557">
        <v>287.25</v>
      </c>
      <c r="F18355" s="557">
        <v>288.24</v>
      </c>
      <c r="G18355" s="557">
        <v>5.75</v>
      </c>
      <c r="H18355" s="558">
        <v>4889.55</v>
      </c>
      <c r="I18355" s="558">
        <v>3303.5</v>
      </c>
      <c r="J18355" s="558">
        <v>1519.92</v>
      </c>
      <c r="K18355" s="558">
        <v>66.13</v>
      </c>
      <c r="L18355" s="43">
        <v>8.4122737595485511</v>
      </c>
      <c r="M18355" s="43">
        <v>11.500435161009573</v>
      </c>
      <c r="N18355" s="43">
        <v>5.2731057452123231</v>
      </c>
      <c r="O18355" s="43">
        <v>11.500869565217391</v>
      </c>
      <c r="P18355" s="559"/>
      <c r="Q18355" s="559"/>
      <c r="R18355" s="559">
        <v>14</v>
      </c>
    </row>
    <row r="18356" spans="1:18" ht="84">
      <c r="A18356" s="555">
        <v>787</v>
      </c>
      <c r="B18356" s="552" t="s">
        <v>33162</v>
      </c>
      <c r="C18356" s="556" t="s">
        <v>33163</v>
      </c>
      <c r="D18356" s="557">
        <v>474.46</v>
      </c>
      <c r="E18356" s="557">
        <v>235.55</v>
      </c>
      <c r="F18356" s="557">
        <v>234.2</v>
      </c>
      <c r="G18356" s="557">
        <v>4.71</v>
      </c>
      <c r="H18356" s="558">
        <v>3997.98</v>
      </c>
      <c r="I18356" s="558">
        <v>2708.87</v>
      </c>
      <c r="J18356" s="558">
        <v>1234.94</v>
      </c>
      <c r="K18356" s="558">
        <v>54.17</v>
      </c>
      <c r="L18356" s="43">
        <v>8.426379462968427</v>
      </c>
      <c r="M18356" s="43">
        <v>11.500191042241561</v>
      </c>
      <c r="N18356" s="43">
        <v>5.2730145175064056</v>
      </c>
      <c r="O18356" s="43">
        <v>11.501061571125266</v>
      </c>
      <c r="P18356" s="559"/>
      <c r="Q18356" s="559"/>
      <c r="R18356" s="559">
        <v>14</v>
      </c>
    </row>
    <row r="18357" spans="1:18" ht="84">
      <c r="A18357" s="555">
        <v>788</v>
      </c>
      <c r="B18357" s="552" t="s">
        <v>33164</v>
      </c>
      <c r="C18357" s="556" t="s">
        <v>33165</v>
      </c>
      <c r="D18357" s="557">
        <v>644.01</v>
      </c>
      <c r="E18357" s="557">
        <v>321.72000000000003</v>
      </c>
      <c r="F18357" s="557">
        <v>315.86</v>
      </c>
      <c r="G18357" s="557">
        <v>6.43</v>
      </c>
      <c r="H18357" s="558">
        <v>5439.45</v>
      </c>
      <c r="I18357" s="558">
        <v>3699.92</v>
      </c>
      <c r="J18357" s="558">
        <v>1665.58</v>
      </c>
      <c r="K18357" s="558">
        <v>73.95</v>
      </c>
      <c r="L18357" s="43">
        <v>8.4462197791959746</v>
      </c>
      <c r="M18357" s="43">
        <v>11.500435161009573</v>
      </c>
      <c r="N18357" s="43">
        <v>5.2731589944912303</v>
      </c>
      <c r="O18357" s="43">
        <v>11.500777604976673</v>
      </c>
      <c r="P18357" s="559"/>
      <c r="Q18357" s="559"/>
      <c r="R18357" s="559">
        <v>14</v>
      </c>
    </row>
    <row r="18358" spans="1:18" ht="12.75" customHeight="1">
      <c r="A18358" s="628" t="s">
        <v>33166</v>
      </c>
      <c r="B18358" s="629"/>
      <c r="C18358" s="629"/>
      <c r="D18358" s="629"/>
      <c r="E18358" s="629"/>
      <c r="F18358" s="629"/>
      <c r="G18358" s="629"/>
      <c r="H18358" s="629"/>
      <c r="I18358" s="629"/>
      <c r="J18358" s="629"/>
      <c r="K18358" s="629"/>
      <c r="L18358" s="629"/>
      <c r="M18358" s="629"/>
      <c r="N18358" s="629"/>
      <c r="O18358" s="629"/>
      <c r="P18358" s="629"/>
      <c r="Q18358" s="629"/>
      <c r="R18358" s="629"/>
    </row>
    <row r="18359" spans="1:18" ht="84">
      <c r="A18359" s="555">
        <v>789</v>
      </c>
      <c r="B18359" s="552" t="s">
        <v>33167</v>
      </c>
      <c r="C18359" s="556" t="s">
        <v>33168</v>
      </c>
      <c r="D18359" s="557">
        <v>2.73</v>
      </c>
      <c r="E18359" s="557">
        <v>1.38</v>
      </c>
      <c r="F18359" s="557">
        <v>1.32</v>
      </c>
      <c r="G18359" s="557">
        <v>0.03</v>
      </c>
      <c r="H18359" s="558">
        <v>23.18</v>
      </c>
      <c r="I18359" s="558">
        <v>15.86</v>
      </c>
      <c r="J18359" s="558">
        <v>6.97</v>
      </c>
      <c r="K18359" s="558">
        <v>0.35</v>
      </c>
      <c r="L18359" s="43">
        <v>8.4908424908424909</v>
      </c>
      <c r="M18359" s="43">
        <v>11.5</v>
      </c>
      <c r="N18359" s="43">
        <v>5.2803030303030303</v>
      </c>
      <c r="O18359" s="43">
        <v>11.503164556962025</v>
      </c>
      <c r="P18359" s="559"/>
      <c r="Q18359" s="559"/>
      <c r="R18359" s="559">
        <v>15</v>
      </c>
    </row>
    <row r="18360" spans="1:18" ht="84">
      <c r="A18360" s="555">
        <v>790</v>
      </c>
      <c r="B18360" s="552" t="s">
        <v>33169</v>
      </c>
      <c r="C18360" s="556" t="s">
        <v>33170</v>
      </c>
      <c r="D18360" s="557">
        <v>2.96</v>
      </c>
      <c r="E18360" s="557">
        <v>1.49</v>
      </c>
      <c r="F18360" s="557">
        <v>1.44</v>
      </c>
      <c r="G18360" s="557">
        <v>0.03</v>
      </c>
      <c r="H18360" s="558">
        <v>25.13</v>
      </c>
      <c r="I18360" s="558">
        <v>17.18</v>
      </c>
      <c r="J18360" s="558">
        <v>7.6</v>
      </c>
      <c r="K18360" s="558">
        <v>0.35</v>
      </c>
      <c r="L18360" s="43">
        <v>8.4898648648648649</v>
      </c>
      <c r="M18360" s="43">
        <v>11.5</v>
      </c>
      <c r="N18360" s="43">
        <v>5.2777777777777777</v>
      </c>
      <c r="O18360" s="43">
        <v>11.503164556962025</v>
      </c>
      <c r="P18360" s="559"/>
      <c r="Q18360" s="559"/>
      <c r="R18360" s="559">
        <v>15</v>
      </c>
    </row>
    <row r="18361" spans="1:18" ht="84">
      <c r="A18361" s="555">
        <v>791</v>
      </c>
      <c r="B18361" s="552" t="s">
        <v>33171</v>
      </c>
      <c r="C18361" s="556" t="s">
        <v>33172</v>
      </c>
      <c r="D18361" s="557">
        <v>4.51</v>
      </c>
      <c r="E18361" s="557">
        <v>2.2999999999999998</v>
      </c>
      <c r="F18361" s="557">
        <v>2.16</v>
      </c>
      <c r="G18361" s="557">
        <v>0.05</v>
      </c>
      <c r="H18361" s="558">
        <v>38.409999999999997</v>
      </c>
      <c r="I18361" s="558">
        <v>26.43</v>
      </c>
      <c r="J18361" s="558">
        <v>11.4</v>
      </c>
      <c r="K18361" s="558">
        <v>0.57999999999999996</v>
      </c>
      <c r="L18361" s="43">
        <v>8.5166297117516621</v>
      </c>
      <c r="M18361" s="43">
        <v>11.5</v>
      </c>
      <c r="N18361" s="43">
        <v>5.2777777777777777</v>
      </c>
      <c r="O18361" s="43">
        <v>11.503164556962025</v>
      </c>
      <c r="P18361" s="559"/>
      <c r="Q18361" s="559"/>
      <c r="R18361" s="559">
        <v>15</v>
      </c>
    </row>
    <row r="18362" spans="1:18" ht="84">
      <c r="A18362" s="555">
        <v>792</v>
      </c>
      <c r="B18362" s="552" t="s">
        <v>33173</v>
      </c>
      <c r="C18362" s="556" t="s">
        <v>33174</v>
      </c>
      <c r="D18362" s="557">
        <v>5.33</v>
      </c>
      <c r="E18362" s="557">
        <v>2.64</v>
      </c>
      <c r="F18362" s="557">
        <v>2.64</v>
      </c>
      <c r="G18362" s="557">
        <v>0.05</v>
      </c>
      <c r="H18362" s="558">
        <v>44.9</v>
      </c>
      <c r="I18362" s="558">
        <v>30.39</v>
      </c>
      <c r="J18362" s="558">
        <v>13.93</v>
      </c>
      <c r="K18362" s="558">
        <v>0.57999999999999996</v>
      </c>
      <c r="L18362" s="43">
        <v>8.424015009380863</v>
      </c>
      <c r="M18362" s="43">
        <v>11.5013636363636</v>
      </c>
      <c r="N18362" s="43">
        <v>5.2765151515151514</v>
      </c>
      <c r="O18362" s="43">
        <v>11.503164556962025</v>
      </c>
      <c r="P18362" s="559"/>
      <c r="Q18362" s="559"/>
      <c r="R18362" s="559">
        <v>15</v>
      </c>
    </row>
    <row r="18363" spans="1:18" ht="84">
      <c r="A18363" s="555">
        <v>793</v>
      </c>
      <c r="B18363" s="552" t="s">
        <v>33175</v>
      </c>
      <c r="C18363" s="556" t="s">
        <v>33176</v>
      </c>
      <c r="D18363" s="557">
        <v>5.81</v>
      </c>
      <c r="E18363" s="557">
        <v>2.87</v>
      </c>
      <c r="F18363" s="557">
        <v>2.88</v>
      </c>
      <c r="G18363" s="557">
        <v>0.06</v>
      </c>
      <c r="H18363" s="558">
        <v>48.93</v>
      </c>
      <c r="I18363" s="558">
        <v>33.04</v>
      </c>
      <c r="J18363" s="558">
        <v>15.2</v>
      </c>
      <c r="K18363" s="558">
        <v>0.69</v>
      </c>
      <c r="L18363" s="43">
        <v>8.4216867469879517</v>
      </c>
      <c r="M18363" s="43">
        <v>11.5021951219512</v>
      </c>
      <c r="N18363" s="43">
        <v>5.2777777777777777</v>
      </c>
      <c r="O18363" s="43">
        <v>11.503164556962025</v>
      </c>
      <c r="P18363" s="559"/>
      <c r="Q18363" s="559"/>
      <c r="R18363" s="559">
        <v>15</v>
      </c>
    </row>
    <row r="18364" spans="1:18" ht="84">
      <c r="A18364" s="555">
        <v>794</v>
      </c>
      <c r="B18364" s="552" t="s">
        <v>33177</v>
      </c>
      <c r="C18364" s="556" t="s">
        <v>33178</v>
      </c>
      <c r="D18364" s="557">
        <v>7.11</v>
      </c>
      <c r="E18364" s="557">
        <v>3.56</v>
      </c>
      <c r="F18364" s="557">
        <v>3.48</v>
      </c>
      <c r="G18364" s="557">
        <v>7.0000000000000007E-2</v>
      </c>
      <c r="H18364" s="558">
        <v>60.14</v>
      </c>
      <c r="I18364" s="558">
        <v>40.96</v>
      </c>
      <c r="J18364" s="558">
        <v>18.37</v>
      </c>
      <c r="K18364" s="558">
        <v>0.81</v>
      </c>
      <c r="L18364" s="43">
        <v>8.4585091420534457</v>
      </c>
      <c r="M18364" s="43">
        <v>11.5021951219512</v>
      </c>
      <c r="N18364" s="43">
        <v>5.2787356321839081</v>
      </c>
      <c r="O18364" s="43">
        <v>11.503164556962025</v>
      </c>
      <c r="P18364" s="559"/>
      <c r="Q18364" s="559"/>
      <c r="R18364" s="559">
        <v>15</v>
      </c>
    </row>
    <row r="18365" spans="1:18" ht="84">
      <c r="A18365" s="555">
        <v>795</v>
      </c>
      <c r="B18365" s="552" t="s">
        <v>33179</v>
      </c>
      <c r="C18365" s="556" t="s">
        <v>33180</v>
      </c>
      <c r="D18365" s="557">
        <v>7.83</v>
      </c>
      <c r="E18365" s="557">
        <v>3.91</v>
      </c>
      <c r="F18365" s="557">
        <v>3.84</v>
      </c>
      <c r="G18365" s="557">
        <v>0.08</v>
      </c>
      <c r="H18365" s="558">
        <v>66.12</v>
      </c>
      <c r="I18365" s="558">
        <v>44.93</v>
      </c>
      <c r="J18365" s="558">
        <v>20.27</v>
      </c>
      <c r="K18365" s="558">
        <v>0.92</v>
      </c>
      <c r="L18365" s="43">
        <v>8.4444444444444446</v>
      </c>
      <c r="M18365" s="43">
        <v>11.5</v>
      </c>
      <c r="N18365" s="43">
        <v>5.278645833333333</v>
      </c>
      <c r="O18365" s="43">
        <v>11.503164556962025</v>
      </c>
      <c r="P18365" s="559"/>
      <c r="Q18365" s="559"/>
      <c r="R18365" s="559">
        <v>15</v>
      </c>
    </row>
    <row r="18366" spans="1:18" ht="84">
      <c r="A18366" s="555">
        <v>796</v>
      </c>
      <c r="B18366" s="552" t="s">
        <v>33181</v>
      </c>
      <c r="C18366" s="556" t="s">
        <v>33182</v>
      </c>
      <c r="D18366" s="557">
        <v>9.25</v>
      </c>
      <c r="E18366" s="557">
        <v>4.5999999999999996</v>
      </c>
      <c r="F18366" s="557">
        <v>4.5599999999999996</v>
      </c>
      <c r="G18366" s="557">
        <v>0.09</v>
      </c>
      <c r="H18366" s="558">
        <v>77.97</v>
      </c>
      <c r="I18366" s="558">
        <v>52.86</v>
      </c>
      <c r="J18366" s="558">
        <v>24.07</v>
      </c>
      <c r="K18366" s="558">
        <v>1.04</v>
      </c>
      <c r="L18366" s="43">
        <v>8.4291891891891897</v>
      </c>
      <c r="M18366" s="43">
        <v>11.5</v>
      </c>
      <c r="N18366" s="43">
        <v>5.2785087719298254</v>
      </c>
      <c r="O18366" s="43">
        <v>11.503164556962025</v>
      </c>
      <c r="P18366" s="559"/>
      <c r="Q18366" s="559"/>
      <c r="R18366" s="559">
        <v>15</v>
      </c>
    </row>
    <row r="18367" spans="1:18" ht="84">
      <c r="A18367" s="555">
        <v>797</v>
      </c>
      <c r="B18367" s="552" t="s">
        <v>33183</v>
      </c>
      <c r="C18367" s="556" t="s">
        <v>33184</v>
      </c>
      <c r="D18367" s="557">
        <v>9.73</v>
      </c>
      <c r="E18367" s="557">
        <v>4.83</v>
      </c>
      <c r="F18367" s="557">
        <v>4.8</v>
      </c>
      <c r="G18367" s="557">
        <v>0.1</v>
      </c>
      <c r="H18367" s="558">
        <v>81.98</v>
      </c>
      <c r="I18367" s="558">
        <v>55.5</v>
      </c>
      <c r="J18367" s="558">
        <v>25.33</v>
      </c>
      <c r="K18367" s="558">
        <v>1.1499999999999999</v>
      </c>
      <c r="L18367" s="43">
        <v>8.425488180883864</v>
      </c>
      <c r="M18367" s="43">
        <v>11.5</v>
      </c>
      <c r="N18367" s="43">
        <v>5.2770833333333336</v>
      </c>
      <c r="O18367" s="43">
        <v>11.503164556962025</v>
      </c>
      <c r="P18367" s="559"/>
      <c r="Q18367" s="559"/>
      <c r="R18367" s="559">
        <v>15</v>
      </c>
    </row>
    <row r="18368" spans="1:18" ht="84">
      <c r="A18368" s="555">
        <v>798</v>
      </c>
      <c r="B18368" s="552" t="s">
        <v>33185</v>
      </c>
      <c r="C18368" s="556" t="s">
        <v>33186</v>
      </c>
      <c r="D18368" s="557">
        <v>11.5</v>
      </c>
      <c r="E18368" s="557">
        <v>5.75</v>
      </c>
      <c r="F18368" s="557">
        <v>5.64</v>
      </c>
      <c r="G18368" s="557">
        <v>0.11</v>
      </c>
      <c r="H18368" s="558">
        <v>97.11</v>
      </c>
      <c r="I18368" s="558">
        <v>66.069999999999993</v>
      </c>
      <c r="J18368" s="558">
        <v>29.77</v>
      </c>
      <c r="K18368" s="558">
        <v>1.27</v>
      </c>
      <c r="L18368" s="43">
        <v>8.4443478260869558</v>
      </c>
      <c r="M18368" s="43">
        <v>11.5</v>
      </c>
      <c r="N18368" s="43">
        <v>5.2783687943262416</v>
      </c>
      <c r="O18368" s="43">
        <v>11.503164556962025</v>
      </c>
      <c r="P18368" s="559"/>
      <c r="Q18368" s="559"/>
      <c r="R18368" s="559">
        <v>15</v>
      </c>
    </row>
    <row r="18369" spans="1:18" ht="84">
      <c r="A18369" s="555">
        <v>799</v>
      </c>
      <c r="B18369" s="552" t="s">
        <v>33187</v>
      </c>
      <c r="C18369" s="556" t="s">
        <v>33188</v>
      </c>
      <c r="D18369" s="557">
        <v>15.78</v>
      </c>
      <c r="E18369" s="557">
        <v>7.81</v>
      </c>
      <c r="F18369" s="557">
        <v>7.81</v>
      </c>
      <c r="G18369" s="557">
        <v>0.16</v>
      </c>
      <c r="H18369" s="558">
        <v>132.86000000000001</v>
      </c>
      <c r="I18369" s="558">
        <v>89.86</v>
      </c>
      <c r="J18369" s="558">
        <v>41.16</v>
      </c>
      <c r="K18369" s="558">
        <v>1.84</v>
      </c>
      <c r="L18369" s="43">
        <v>8.4195183776932847</v>
      </c>
      <c r="M18369" s="43">
        <v>11.5021951219512</v>
      </c>
      <c r="N18369" s="43">
        <v>5.2701664532650447</v>
      </c>
      <c r="O18369" s="43">
        <v>11.503164556962025</v>
      </c>
      <c r="P18369" s="559"/>
      <c r="Q18369" s="559"/>
      <c r="R18369" s="559">
        <v>15</v>
      </c>
    </row>
    <row r="18370" spans="1:18" ht="84">
      <c r="A18370" s="555">
        <v>800</v>
      </c>
      <c r="B18370" s="552" t="s">
        <v>33189</v>
      </c>
      <c r="C18370" s="556" t="s">
        <v>33190</v>
      </c>
      <c r="D18370" s="557">
        <v>12.45</v>
      </c>
      <c r="E18370" s="557">
        <v>6.2</v>
      </c>
      <c r="F18370" s="557">
        <v>6.13</v>
      </c>
      <c r="G18370" s="557">
        <v>0.12</v>
      </c>
      <c r="H18370" s="558">
        <v>105.04</v>
      </c>
      <c r="I18370" s="558">
        <v>71.36</v>
      </c>
      <c r="J18370" s="558">
        <v>32.299999999999997</v>
      </c>
      <c r="K18370" s="558">
        <v>1.38</v>
      </c>
      <c r="L18370" s="43">
        <v>8.4369477911646591</v>
      </c>
      <c r="M18370" s="43">
        <v>11.5021951219512</v>
      </c>
      <c r="N18370" s="43">
        <v>5.2691680261011413</v>
      </c>
      <c r="O18370" s="43">
        <v>11.503164556962025</v>
      </c>
      <c r="P18370" s="559"/>
      <c r="Q18370" s="559"/>
      <c r="R18370" s="559">
        <v>15</v>
      </c>
    </row>
    <row r="18371" spans="1:18" ht="84">
      <c r="A18371" s="555">
        <v>801</v>
      </c>
      <c r="B18371" s="552" t="s">
        <v>33191</v>
      </c>
      <c r="C18371" s="556" t="s">
        <v>33192</v>
      </c>
      <c r="D18371" s="557">
        <v>14.59</v>
      </c>
      <c r="E18371" s="557">
        <v>7.24</v>
      </c>
      <c r="F18371" s="557">
        <v>7.21</v>
      </c>
      <c r="G18371" s="557">
        <v>0.14000000000000001</v>
      </c>
      <c r="H18371" s="558">
        <v>122.86</v>
      </c>
      <c r="I18371" s="558">
        <v>83.25</v>
      </c>
      <c r="J18371" s="558">
        <v>38</v>
      </c>
      <c r="K18371" s="558">
        <v>1.61</v>
      </c>
      <c r="L18371" s="43">
        <v>8.4208361891706645</v>
      </c>
      <c r="M18371" s="43">
        <v>11.498618784530386</v>
      </c>
      <c r="N18371" s="43">
        <v>5.270457697642164</v>
      </c>
      <c r="O18371" s="43">
        <v>11.503164556962025</v>
      </c>
      <c r="P18371" s="559"/>
      <c r="Q18371" s="559"/>
      <c r="R18371" s="559">
        <v>15</v>
      </c>
    </row>
    <row r="18372" spans="1:18" ht="84">
      <c r="A18372" s="555">
        <v>802</v>
      </c>
      <c r="B18372" s="552" t="s">
        <v>33193</v>
      </c>
      <c r="C18372" s="556" t="s">
        <v>33194</v>
      </c>
      <c r="D18372" s="557">
        <v>20.64</v>
      </c>
      <c r="E18372" s="557">
        <v>10.34</v>
      </c>
      <c r="F18372" s="557">
        <v>10.09</v>
      </c>
      <c r="G18372" s="557">
        <v>0.21</v>
      </c>
      <c r="H18372" s="558">
        <v>174.55</v>
      </c>
      <c r="I18372" s="558">
        <v>118.93</v>
      </c>
      <c r="J18372" s="558">
        <v>53.2</v>
      </c>
      <c r="K18372" s="558">
        <v>2.42</v>
      </c>
      <c r="L18372" s="43">
        <v>8.4568798449612412</v>
      </c>
      <c r="M18372" s="43">
        <v>11.50193423597679</v>
      </c>
      <c r="N18372" s="43">
        <v>5.2725470763131819</v>
      </c>
      <c r="O18372" s="43">
        <v>11.503164556962025</v>
      </c>
      <c r="P18372" s="559"/>
      <c r="Q18372" s="559"/>
      <c r="R18372" s="559">
        <v>15</v>
      </c>
    </row>
    <row r="18373" spans="1:18" ht="84">
      <c r="A18373" s="555">
        <v>803</v>
      </c>
      <c r="B18373" s="552" t="s">
        <v>33195</v>
      </c>
      <c r="C18373" s="556" t="s">
        <v>33196</v>
      </c>
      <c r="D18373" s="557">
        <v>13.88</v>
      </c>
      <c r="E18373" s="557">
        <v>6.89</v>
      </c>
      <c r="F18373" s="557">
        <v>6.85</v>
      </c>
      <c r="G18373" s="557">
        <v>0.14000000000000001</v>
      </c>
      <c r="H18373" s="558">
        <v>116.99</v>
      </c>
      <c r="I18373" s="558">
        <v>79.28</v>
      </c>
      <c r="J18373" s="558">
        <v>36.1</v>
      </c>
      <c r="K18373" s="558">
        <v>1.61</v>
      </c>
      <c r="L18373" s="43">
        <v>8.4286743515850144</v>
      </c>
      <c r="M18373" s="43">
        <v>11.5021951219512</v>
      </c>
      <c r="N18373" s="43">
        <v>5.2700729927007304</v>
      </c>
      <c r="O18373" s="43">
        <v>11.503164556962025</v>
      </c>
      <c r="P18373" s="559"/>
      <c r="Q18373" s="559"/>
      <c r="R18373" s="559">
        <v>15</v>
      </c>
    </row>
    <row r="18374" spans="1:18" ht="84">
      <c r="A18374" s="555">
        <v>804</v>
      </c>
      <c r="B18374" s="552" t="s">
        <v>33197</v>
      </c>
      <c r="C18374" s="556" t="s">
        <v>33198</v>
      </c>
      <c r="D18374" s="557">
        <v>17.079999999999998</v>
      </c>
      <c r="E18374" s="557">
        <v>8.5</v>
      </c>
      <c r="F18374" s="557">
        <v>8.41</v>
      </c>
      <c r="G18374" s="557">
        <v>0.17</v>
      </c>
      <c r="H18374" s="558">
        <v>144.07</v>
      </c>
      <c r="I18374" s="558">
        <v>97.78</v>
      </c>
      <c r="J18374" s="558">
        <v>44.33</v>
      </c>
      <c r="K18374" s="558">
        <v>1.96</v>
      </c>
      <c r="L18374" s="43">
        <v>8.4350117096018735</v>
      </c>
      <c r="M18374" s="43">
        <v>11.503529411764706</v>
      </c>
      <c r="N18374" s="43">
        <v>5.2711058263971458</v>
      </c>
      <c r="O18374" s="43">
        <v>11.503164556962025</v>
      </c>
      <c r="P18374" s="559"/>
      <c r="Q18374" s="559"/>
      <c r="R18374" s="559">
        <v>15</v>
      </c>
    </row>
    <row r="18375" spans="1:18" ht="84">
      <c r="A18375" s="555">
        <v>805</v>
      </c>
      <c r="B18375" s="552" t="s">
        <v>33199</v>
      </c>
      <c r="C18375" s="556" t="s">
        <v>33200</v>
      </c>
      <c r="D18375" s="557">
        <v>23.49</v>
      </c>
      <c r="E18375" s="557">
        <v>11.49</v>
      </c>
      <c r="F18375" s="557">
        <v>11.77</v>
      </c>
      <c r="G18375" s="557">
        <v>0.23</v>
      </c>
      <c r="H18375" s="558">
        <v>196.85</v>
      </c>
      <c r="I18375" s="558">
        <v>132.13999999999999</v>
      </c>
      <c r="J18375" s="558">
        <v>62.06</v>
      </c>
      <c r="K18375" s="558">
        <v>2.65</v>
      </c>
      <c r="L18375" s="43">
        <v>8.3801617709663692</v>
      </c>
      <c r="M18375" s="43">
        <v>11.500435161009571</v>
      </c>
      <c r="N18375" s="43">
        <v>5.2727272727272734</v>
      </c>
      <c r="O18375" s="43">
        <v>11.503164556962025</v>
      </c>
      <c r="P18375" s="559"/>
      <c r="Q18375" s="559"/>
      <c r="R18375" s="559">
        <v>15</v>
      </c>
    </row>
    <row r="18376" spans="1:18" ht="84">
      <c r="A18376" s="555">
        <v>806</v>
      </c>
      <c r="B18376" s="552" t="s">
        <v>33201</v>
      </c>
      <c r="C18376" s="556" t="s">
        <v>33202</v>
      </c>
      <c r="D18376" s="557">
        <v>20.64</v>
      </c>
      <c r="E18376" s="557">
        <v>10.34</v>
      </c>
      <c r="F18376" s="557">
        <v>10.09</v>
      </c>
      <c r="G18376" s="557">
        <v>0.21</v>
      </c>
      <c r="H18376" s="558">
        <v>174.55</v>
      </c>
      <c r="I18376" s="558">
        <v>118.93</v>
      </c>
      <c r="J18376" s="558">
        <v>53.2</v>
      </c>
      <c r="K18376" s="558">
        <v>2.42</v>
      </c>
      <c r="L18376" s="43">
        <v>8.4568798449612412</v>
      </c>
      <c r="M18376" s="43">
        <v>11.50193423597679</v>
      </c>
      <c r="N18376" s="43">
        <v>5.2725470763131819</v>
      </c>
      <c r="O18376" s="43">
        <v>11.503164556962025</v>
      </c>
      <c r="P18376" s="559"/>
      <c r="Q18376" s="559"/>
      <c r="R18376" s="559">
        <v>15</v>
      </c>
    </row>
    <row r="18377" spans="1:18" ht="84">
      <c r="A18377" s="555">
        <v>807</v>
      </c>
      <c r="B18377" s="552" t="s">
        <v>33203</v>
      </c>
      <c r="C18377" s="556" t="s">
        <v>33204</v>
      </c>
      <c r="D18377" s="557">
        <v>25.5</v>
      </c>
      <c r="E18377" s="557">
        <v>12.64</v>
      </c>
      <c r="F18377" s="557">
        <v>12.61</v>
      </c>
      <c r="G18377" s="557">
        <v>0.25</v>
      </c>
      <c r="H18377" s="558">
        <v>214.73</v>
      </c>
      <c r="I18377" s="558">
        <v>145.35</v>
      </c>
      <c r="J18377" s="558">
        <v>66.5</v>
      </c>
      <c r="K18377" s="558">
        <v>2.88</v>
      </c>
      <c r="L18377" s="43">
        <v>8.4207843137254894</v>
      </c>
      <c r="M18377" s="43">
        <v>11.499208860759493</v>
      </c>
      <c r="N18377" s="43">
        <v>5.2735923869944488</v>
      </c>
      <c r="O18377" s="43">
        <v>11.503164556962025</v>
      </c>
      <c r="P18377" s="559"/>
      <c r="Q18377" s="559"/>
      <c r="R18377" s="559">
        <v>15</v>
      </c>
    </row>
    <row r="18378" spans="1:18" ht="84">
      <c r="A18378" s="555">
        <v>808</v>
      </c>
      <c r="B18378" s="552" t="s">
        <v>33205</v>
      </c>
      <c r="C18378" s="556" t="s">
        <v>33206</v>
      </c>
      <c r="D18378" s="557">
        <v>34.39</v>
      </c>
      <c r="E18378" s="557">
        <v>17.239999999999998</v>
      </c>
      <c r="F18378" s="557">
        <v>16.809999999999999</v>
      </c>
      <c r="G18378" s="557">
        <v>0.34</v>
      </c>
      <c r="H18378" s="558">
        <v>290.77999999999997</v>
      </c>
      <c r="I18378" s="558">
        <v>198.21</v>
      </c>
      <c r="J18378" s="558">
        <v>88.66</v>
      </c>
      <c r="K18378" s="558">
        <v>3.91</v>
      </c>
      <c r="L18378" s="43">
        <v>8.4553649316661819</v>
      </c>
      <c r="M18378" s="43">
        <v>11.497099767981441</v>
      </c>
      <c r="N18378" s="43">
        <v>5.2742415229030337</v>
      </c>
      <c r="O18378" s="43">
        <v>11.503164556962025</v>
      </c>
      <c r="P18378" s="559"/>
      <c r="Q18378" s="559"/>
      <c r="R18378" s="559">
        <v>15</v>
      </c>
    </row>
    <row r="18379" spans="1:18" ht="84">
      <c r="A18379" s="555">
        <v>809</v>
      </c>
      <c r="B18379" s="552" t="s">
        <v>33207</v>
      </c>
      <c r="C18379" s="556" t="s">
        <v>33208</v>
      </c>
      <c r="D18379" s="557">
        <v>22.18</v>
      </c>
      <c r="E18379" s="557">
        <v>11.03</v>
      </c>
      <c r="F18379" s="557">
        <v>10.93</v>
      </c>
      <c r="G18379" s="557">
        <v>0.22</v>
      </c>
      <c r="H18379" s="558">
        <v>187.01</v>
      </c>
      <c r="I18379" s="558">
        <v>126.85</v>
      </c>
      <c r="J18379" s="558">
        <v>57.63</v>
      </c>
      <c r="K18379" s="558">
        <v>2.5299999999999998</v>
      </c>
      <c r="L18379" s="43">
        <v>8.4314697926059505</v>
      </c>
      <c r="M18379" s="43">
        <v>11.500453309156844</v>
      </c>
      <c r="N18379" s="43">
        <v>5.2726440988106136</v>
      </c>
      <c r="O18379" s="43">
        <v>11.503164556962025</v>
      </c>
      <c r="P18379" s="559"/>
      <c r="Q18379" s="559"/>
      <c r="R18379" s="559">
        <v>15</v>
      </c>
    </row>
    <row r="18380" spans="1:18" ht="84">
      <c r="A18380" s="555">
        <v>810</v>
      </c>
      <c r="B18380" s="552" t="s">
        <v>33209</v>
      </c>
      <c r="C18380" s="556" t="s">
        <v>33210</v>
      </c>
      <c r="D18380" s="557">
        <v>25.5</v>
      </c>
      <c r="E18380" s="557">
        <v>12.64</v>
      </c>
      <c r="F18380" s="557">
        <v>12.61</v>
      </c>
      <c r="G18380" s="557">
        <v>0.25</v>
      </c>
      <c r="H18380" s="558">
        <v>214.73</v>
      </c>
      <c r="I18380" s="558">
        <v>145.35</v>
      </c>
      <c r="J18380" s="558">
        <v>66.5</v>
      </c>
      <c r="K18380" s="558">
        <v>2.88</v>
      </c>
      <c r="L18380" s="43">
        <v>8.4207843137254894</v>
      </c>
      <c r="M18380" s="43">
        <v>11.499208860759493</v>
      </c>
      <c r="N18380" s="43">
        <v>5.2735923869944488</v>
      </c>
      <c r="O18380" s="43">
        <v>11.503164556962025</v>
      </c>
      <c r="P18380" s="559"/>
      <c r="Q18380" s="559"/>
      <c r="R18380" s="559">
        <v>15</v>
      </c>
    </row>
    <row r="18381" spans="1:18" ht="84">
      <c r="A18381" s="555">
        <v>811</v>
      </c>
      <c r="B18381" s="552" t="s">
        <v>33211</v>
      </c>
      <c r="C18381" s="556" t="s">
        <v>33212</v>
      </c>
      <c r="D18381" s="557">
        <v>35.229999999999997</v>
      </c>
      <c r="E18381" s="557">
        <v>17.239999999999998</v>
      </c>
      <c r="F18381" s="557">
        <v>17.649999999999999</v>
      </c>
      <c r="G18381" s="557">
        <v>0.34</v>
      </c>
      <c r="H18381" s="558">
        <v>295.22000000000003</v>
      </c>
      <c r="I18381" s="558">
        <v>198.21</v>
      </c>
      <c r="J18381" s="558">
        <v>93.1</v>
      </c>
      <c r="K18381" s="558">
        <v>3.91</v>
      </c>
      <c r="L18381" s="43">
        <v>8.3797899517456731</v>
      </c>
      <c r="M18381" s="43">
        <v>11.497099767981441</v>
      </c>
      <c r="N18381" s="43">
        <v>5.2747875354107654</v>
      </c>
      <c r="O18381" s="43">
        <v>11.503164556962025</v>
      </c>
      <c r="P18381" s="559"/>
      <c r="Q18381" s="559"/>
      <c r="R18381" s="559">
        <v>15</v>
      </c>
    </row>
    <row r="18382" spans="1:18" ht="84">
      <c r="A18382" s="555">
        <v>812</v>
      </c>
      <c r="B18382" s="552" t="s">
        <v>33213</v>
      </c>
      <c r="C18382" s="556" t="s">
        <v>33214</v>
      </c>
      <c r="D18382" s="557">
        <v>46.14</v>
      </c>
      <c r="E18382" s="557">
        <v>22.98</v>
      </c>
      <c r="F18382" s="557">
        <v>22.7</v>
      </c>
      <c r="G18382" s="557">
        <v>0.46</v>
      </c>
      <c r="H18382" s="558">
        <v>389.26</v>
      </c>
      <c r="I18382" s="558">
        <v>264.27999999999997</v>
      </c>
      <c r="J18382" s="558">
        <v>119.69</v>
      </c>
      <c r="K18382" s="558">
        <v>5.29</v>
      </c>
      <c r="L18382" s="43">
        <v>8.4364976159514526</v>
      </c>
      <c r="M18382" s="43">
        <v>11.500435161009571</v>
      </c>
      <c r="N18382" s="43">
        <v>5.2726872246696033</v>
      </c>
      <c r="O18382" s="43">
        <v>11.503164556962025</v>
      </c>
      <c r="P18382" s="559"/>
      <c r="Q18382" s="559"/>
      <c r="R18382" s="559">
        <v>15</v>
      </c>
    </row>
    <row r="18383" spans="1:18" ht="84">
      <c r="A18383" s="555">
        <v>813</v>
      </c>
      <c r="B18383" s="552" t="s">
        <v>33215</v>
      </c>
      <c r="C18383" s="556" t="s">
        <v>33216</v>
      </c>
      <c r="D18383" s="557">
        <v>55.03</v>
      </c>
      <c r="E18383" s="557">
        <v>27.58</v>
      </c>
      <c r="F18383" s="557">
        <v>26.9</v>
      </c>
      <c r="G18383" s="557">
        <v>0.55000000000000004</v>
      </c>
      <c r="H18383" s="558">
        <v>465.33</v>
      </c>
      <c r="I18383" s="558">
        <v>317.14</v>
      </c>
      <c r="J18383" s="558">
        <v>141.86000000000001</v>
      </c>
      <c r="K18383" s="558">
        <v>6.33</v>
      </c>
      <c r="L18383" s="43">
        <v>8.4559331273850624</v>
      </c>
      <c r="M18383" s="43">
        <v>11.498912255257434</v>
      </c>
      <c r="N18383" s="43">
        <v>5.2736059479553914</v>
      </c>
      <c r="O18383" s="43">
        <v>11.503164556962025</v>
      </c>
      <c r="P18383" s="559"/>
      <c r="Q18383" s="559"/>
      <c r="R18383" s="559">
        <v>15</v>
      </c>
    </row>
    <row r="18384" spans="1:18" ht="84">
      <c r="A18384" s="555">
        <v>814</v>
      </c>
      <c r="B18384" s="552" t="s">
        <v>33217</v>
      </c>
      <c r="C18384" s="556" t="s">
        <v>33218</v>
      </c>
      <c r="D18384" s="557">
        <v>25.5</v>
      </c>
      <c r="E18384" s="557">
        <v>12.64</v>
      </c>
      <c r="F18384" s="557">
        <v>12.61</v>
      </c>
      <c r="G18384" s="557">
        <v>0.25</v>
      </c>
      <c r="H18384" s="558">
        <v>214.73</v>
      </c>
      <c r="I18384" s="558">
        <v>145.35</v>
      </c>
      <c r="J18384" s="558">
        <v>66.5</v>
      </c>
      <c r="K18384" s="558">
        <v>2.88</v>
      </c>
      <c r="L18384" s="43">
        <v>8.4207843137254894</v>
      </c>
      <c r="M18384" s="43">
        <v>11.499208860759493</v>
      </c>
      <c r="N18384" s="43">
        <v>5.2735923869944488</v>
      </c>
      <c r="O18384" s="43">
        <v>11.503164556962025</v>
      </c>
      <c r="P18384" s="559"/>
      <c r="Q18384" s="559"/>
      <c r="R18384" s="559">
        <v>15</v>
      </c>
    </row>
    <row r="18385" spans="1:18" ht="84">
      <c r="A18385" s="555">
        <v>815</v>
      </c>
      <c r="B18385" s="552" t="s">
        <v>33219</v>
      </c>
      <c r="C18385" s="556" t="s">
        <v>33220</v>
      </c>
      <c r="D18385" s="557">
        <v>30.37</v>
      </c>
      <c r="E18385" s="557">
        <v>14.94</v>
      </c>
      <c r="F18385" s="557">
        <v>15.13</v>
      </c>
      <c r="G18385" s="557">
        <v>0.3</v>
      </c>
      <c r="H18385" s="558">
        <v>255.03</v>
      </c>
      <c r="I18385" s="558">
        <v>171.78</v>
      </c>
      <c r="J18385" s="558">
        <v>79.8</v>
      </c>
      <c r="K18385" s="558">
        <v>3.45</v>
      </c>
      <c r="L18385" s="43">
        <v>8.3974316759960477</v>
      </c>
      <c r="M18385" s="43">
        <v>11.497991967871487</v>
      </c>
      <c r="N18385" s="43">
        <v>5.2742894910773295</v>
      </c>
      <c r="O18385" s="43">
        <v>11.503164556962025</v>
      </c>
      <c r="P18385" s="559"/>
      <c r="Q18385" s="559"/>
      <c r="R18385" s="559">
        <v>15</v>
      </c>
    </row>
    <row r="18386" spans="1:18" ht="84">
      <c r="A18386" s="555">
        <v>816</v>
      </c>
      <c r="B18386" s="552" t="s">
        <v>33221</v>
      </c>
      <c r="C18386" s="556" t="s">
        <v>33222</v>
      </c>
      <c r="D18386" s="557">
        <v>41.27</v>
      </c>
      <c r="E18386" s="557">
        <v>20.68</v>
      </c>
      <c r="F18386" s="557">
        <v>20.18</v>
      </c>
      <c r="G18386" s="557">
        <v>0.41</v>
      </c>
      <c r="H18386" s="558">
        <v>348.96</v>
      </c>
      <c r="I18386" s="558">
        <v>237.85</v>
      </c>
      <c r="J18386" s="558">
        <v>106.39</v>
      </c>
      <c r="K18386" s="558">
        <v>4.72</v>
      </c>
      <c r="L18386" s="43">
        <v>8.4555367094741936</v>
      </c>
      <c r="M18386" s="43">
        <v>11.501450676982591</v>
      </c>
      <c r="N18386" s="43">
        <v>5.2720515361744305</v>
      </c>
      <c r="O18386" s="43">
        <v>11.503164556962025</v>
      </c>
      <c r="P18386" s="559"/>
      <c r="Q18386" s="559"/>
      <c r="R18386" s="559">
        <v>15</v>
      </c>
    </row>
    <row r="18387" spans="1:18" ht="84">
      <c r="A18387" s="555">
        <v>817</v>
      </c>
      <c r="B18387" s="552" t="s">
        <v>33223</v>
      </c>
      <c r="C18387" s="556" t="s">
        <v>33224</v>
      </c>
      <c r="D18387" s="557">
        <v>53.02</v>
      </c>
      <c r="E18387" s="557">
        <v>26.43</v>
      </c>
      <c r="F18387" s="557">
        <v>26.06</v>
      </c>
      <c r="G18387" s="557">
        <v>0.53</v>
      </c>
      <c r="H18387" s="558">
        <v>447.45</v>
      </c>
      <c r="I18387" s="558">
        <v>303.92</v>
      </c>
      <c r="J18387" s="558">
        <v>137.43</v>
      </c>
      <c r="K18387" s="558">
        <v>6.1</v>
      </c>
      <c r="L18387" s="43">
        <v>8.4392682006789883</v>
      </c>
      <c r="M18387" s="43">
        <v>11.499054105183504</v>
      </c>
      <c r="N18387" s="43">
        <v>5.2735993860322337</v>
      </c>
      <c r="O18387" s="43">
        <v>11.503164556962025</v>
      </c>
      <c r="P18387" s="559"/>
      <c r="Q18387" s="559"/>
      <c r="R18387" s="559">
        <v>15</v>
      </c>
    </row>
    <row r="18388" spans="1:18" ht="84">
      <c r="A18388" s="555">
        <v>818</v>
      </c>
      <c r="B18388" s="552" t="s">
        <v>33225</v>
      </c>
      <c r="C18388" s="556" t="s">
        <v>33226</v>
      </c>
      <c r="D18388" s="557">
        <v>64.760000000000005</v>
      </c>
      <c r="E18388" s="557">
        <v>32.17</v>
      </c>
      <c r="F18388" s="557">
        <v>31.95</v>
      </c>
      <c r="G18388" s="557">
        <v>0.64</v>
      </c>
      <c r="H18388" s="558">
        <v>545.80999999999995</v>
      </c>
      <c r="I18388" s="558">
        <v>369.99</v>
      </c>
      <c r="J18388" s="558">
        <v>168.46</v>
      </c>
      <c r="K18388" s="558">
        <v>7.36</v>
      </c>
      <c r="L18388" s="43">
        <v>8.4281964175416917</v>
      </c>
      <c r="M18388" s="43">
        <v>11.501087970158533</v>
      </c>
      <c r="N18388" s="43">
        <v>5.2726134585289515</v>
      </c>
      <c r="O18388" s="43">
        <v>11.503164556962025</v>
      </c>
      <c r="P18388" s="559"/>
      <c r="Q18388" s="559"/>
      <c r="R18388" s="559">
        <v>15</v>
      </c>
    </row>
    <row r="18389" spans="1:18" ht="84">
      <c r="A18389" s="555">
        <v>819</v>
      </c>
      <c r="B18389" s="552" t="s">
        <v>33227</v>
      </c>
      <c r="C18389" s="556" t="s">
        <v>33228</v>
      </c>
      <c r="D18389" s="557">
        <v>25.5</v>
      </c>
      <c r="E18389" s="557">
        <v>12.64</v>
      </c>
      <c r="F18389" s="557">
        <v>12.61</v>
      </c>
      <c r="G18389" s="557">
        <v>0.25</v>
      </c>
      <c r="H18389" s="558">
        <v>214.73</v>
      </c>
      <c r="I18389" s="558">
        <v>145.35</v>
      </c>
      <c r="J18389" s="558">
        <v>66.5</v>
      </c>
      <c r="K18389" s="558">
        <v>2.88</v>
      </c>
      <c r="L18389" s="43">
        <v>8.4207843137254894</v>
      </c>
      <c r="M18389" s="43">
        <v>11.499208860759493</v>
      </c>
      <c r="N18389" s="43">
        <v>5.2735923869944488</v>
      </c>
      <c r="O18389" s="43">
        <v>11.503164556962025</v>
      </c>
      <c r="P18389" s="559"/>
      <c r="Q18389" s="559"/>
      <c r="R18389" s="559">
        <v>15</v>
      </c>
    </row>
    <row r="18390" spans="1:18" ht="84">
      <c r="A18390" s="555">
        <v>820</v>
      </c>
      <c r="B18390" s="552" t="s">
        <v>33229</v>
      </c>
      <c r="C18390" s="556" t="s">
        <v>33230</v>
      </c>
      <c r="D18390" s="557">
        <v>30.37</v>
      </c>
      <c r="E18390" s="557">
        <v>14.94</v>
      </c>
      <c r="F18390" s="557">
        <v>15.13</v>
      </c>
      <c r="G18390" s="557">
        <v>0.3</v>
      </c>
      <c r="H18390" s="558">
        <v>255.03</v>
      </c>
      <c r="I18390" s="558">
        <v>171.78</v>
      </c>
      <c r="J18390" s="558">
        <v>79.8</v>
      </c>
      <c r="K18390" s="558">
        <v>3.45</v>
      </c>
      <c r="L18390" s="43">
        <v>8.3974316759960477</v>
      </c>
      <c r="M18390" s="43">
        <v>11.497991967871487</v>
      </c>
      <c r="N18390" s="43">
        <v>5.2742894910773295</v>
      </c>
      <c r="O18390" s="43">
        <v>11.503164556962025</v>
      </c>
      <c r="P18390" s="559"/>
      <c r="Q18390" s="559"/>
      <c r="R18390" s="559">
        <v>15</v>
      </c>
    </row>
    <row r="18391" spans="1:18" ht="84">
      <c r="A18391" s="555">
        <v>821</v>
      </c>
      <c r="B18391" s="552" t="s">
        <v>33231</v>
      </c>
      <c r="C18391" s="556" t="s">
        <v>33232</v>
      </c>
      <c r="D18391" s="557">
        <v>44.13</v>
      </c>
      <c r="E18391" s="557">
        <v>21.83</v>
      </c>
      <c r="F18391" s="557">
        <v>21.86</v>
      </c>
      <c r="G18391" s="557">
        <v>0.44</v>
      </c>
      <c r="H18391" s="558">
        <v>371.39</v>
      </c>
      <c r="I18391" s="558">
        <v>251.07</v>
      </c>
      <c r="J18391" s="558">
        <v>115.26</v>
      </c>
      <c r="K18391" s="558">
        <v>5.0599999999999996</v>
      </c>
      <c r="L18391" s="43">
        <v>8.4158169046000442</v>
      </c>
      <c r="M18391" s="43">
        <v>11.50114521300962</v>
      </c>
      <c r="N18391" s="43">
        <v>5.2726440988106136</v>
      </c>
      <c r="O18391" s="43">
        <v>11.503164556962025</v>
      </c>
      <c r="P18391" s="559"/>
      <c r="Q18391" s="559"/>
      <c r="R18391" s="559">
        <v>15</v>
      </c>
    </row>
    <row r="18392" spans="1:18" ht="84">
      <c r="A18392" s="555">
        <v>822</v>
      </c>
      <c r="B18392" s="552" t="s">
        <v>33233</v>
      </c>
      <c r="C18392" s="556" t="s">
        <v>33234</v>
      </c>
      <c r="D18392" s="557">
        <v>55.87</v>
      </c>
      <c r="E18392" s="557">
        <v>27.58</v>
      </c>
      <c r="F18392" s="557">
        <v>27.74</v>
      </c>
      <c r="G18392" s="557">
        <v>0.55000000000000004</v>
      </c>
      <c r="H18392" s="558">
        <v>469.76</v>
      </c>
      <c r="I18392" s="558">
        <v>317.14</v>
      </c>
      <c r="J18392" s="558">
        <v>146.29</v>
      </c>
      <c r="K18392" s="558">
        <v>6.33</v>
      </c>
      <c r="L18392" s="43">
        <v>8.4080902094147127</v>
      </c>
      <c r="M18392" s="43">
        <v>11.498912255257434</v>
      </c>
      <c r="N18392" s="43">
        <v>5.2736121124729634</v>
      </c>
      <c r="O18392" s="43">
        <v>11.503164556962025</v>
      </c>
      <c r="P18392" s="559"/>
      <c r="Q18392" s="559"/>
      <c r="R18392" s="559">
        <v>15</v>
      </c>
    </row>
    <row r="18393" spans="1:18" ht="84">
      <c r="A18393" s="555">
        <v>823</v>
      </c>
      <c r="B18393" s="552" t="s">
        <v>33235</v>
      </c>
      <c r="C18393" s="556" t="s">
        <v>33236</v>
      </c>
      <c r="D18393" s="557">
        <v>66.78</v>
      </c>
      <c r="E18393" s="557">
        <v>33.32</v>
      </c>
      <c r="F18393" s="557">
        <v>32.79</v>
      </c>
      <c r="G18393" s="557">
        <v>0.67</v>
      </c>
      <c r="H18393" s="558">
        <v>563.80999999999995</v>
      </c>
      <c r="I18393" s="558">
        <v>383.21</v>
      </c>
      <c r="J18393" s="558">
        <v>172.89</v>
      </c>
      <c r="K18393" s="558">
        <v>7.71</v>
      </c>
      <c r="L18393" s="43">
        <v>8.4427972446840354</v>
      </c>
      <c r="M18393" s="43">
        <v>11.500900360144056</v>
      </c>
      <c r="N18393" s="43">
        <v>5.2726440988106127</v>
      </c>
      <c r="O18393" s="43">
        <v>11.503164556962025</v>
      </c>
      <c r="P18393" s="559"/>
      <c r="Q18393" s="559"/>
      <c r="R18393" s="559">
        <v>15</v>
      </c>
    </row>
    <row r="18394" spans="1:18" ht="84">
      <c r="A18394" s="555">
        <v>824</v>
      </c>
      <c r="B18394" s="552" t="s">
        <v>33237</v>
      </c>
      <c r="C18394" s="556" t="s">
        <v>33238</v>
      </c>
      <c r="D18394" s="557">
        <v>35.229999999999997</v>
      </c>
      <c r="E18394" s="557">
        <v>17.239999999999998</v>
      </c>
      <c r="F18394" s="557">
        <v>17.649999999999999</v>
      </c>
      <c r="G18394" s="557">
        <v>0.34</v>
      </c>
      <c r="H18394" s="558">
        <v>295.22000000000003</v>
      </c>
      <c r="I18394" s="558">
        <v>198.21</v>
      </c>
      <c r="J18394" s="558">
        <v>93.1</v>
      </c>
      <c r="K18394" s="558">
        <v>3.91</v>
      </c>
      <c r="L18394" s="43">
        <v>8.3797899517456731</v>
      </c>
      <c r="M18394" s="43">
        <v>11.497099767981441</v>
      </c>
      <c r="N18394" s="43">
        <v>5.2747875354107654</v>
      </c>
      <c r="O18394" s="43">
        <v>11.503164556962025</v>
      </c>
      <c r="P18394" s="559"/>
      <c r="Q18394" s="559"/>
      <c r="R18394" s="559">
        <v>15</v>
      </c>
    </row>
    <row r="18395" spans="1:18" ht="84">
      <c r="A18395" s="555">
        <v>825</v>
      </c>
      <c r="B18395" s="552" t="s">
        <v>33239</v>
      </c>
      <c r="C18395" s="556" t="s">
        <v>33240</v>
      </c>
      <c r="D18395" s="557">
        <v>51.01</v>
      </c>
      <c r="E18395" s="557">
        <v>25.28</v>
      </c>
      <c r="F18395" s="557">
        <v>25.22</v>
      </c>
      <c r="G18395" s="557">
        <v>0.51</v>
      </c>
      <c r="H18395" s="558">
        <v>429.57</v>
      </c>
      <c r="I18395" s="558">
        <v>290.70999999999998</v>
      </c>
      <c r="J18395" s="558">
        <v>132.99</v>
      </c>
      <c r="K18395" s="558">
        <v>5.87</v>
      </c>
      <c r="L18395" s="43">
        <v>8.4212899431484018</v>
      </c>
      <c r="M18395" s="43">
        <v>11.499604430379746</v>
      </c>
      <c r="N18395" s="43">
        <v>5.2731958762886606</v>
      </c>
      <c r="O18395" s="43">
        <v>11.503164556962025</v>
      </c>
      <c r="P18395" s="559"/>
      <c r="Q18395" s="559"/>
      <c r="R18395" s="559">
        <v>15</v>
      </c>
    </row>
    <row r="18396" spans="1:18" ht="84">
      <c r="A18396" s="555">
        <v>826</v>
      </c>
      <c r="B18396" s="552" t="s">
        <v>33241</v>
      </c>
      <c r="C18396" s="556" t="s">
        <v>33242</v>
      </c>
      <c r="D18396" s="557">
        <v>64.760000000000005</v>
      </c>
      <c r="E18396" s="557">
        <v>32.17</v>
      </c>
      <c r="F18396" s="557">
        <v>31.95</v>
      </c>
      <c r="G18396" s="557">
        <v>0.64</v>
      </c>
      <c r="H18396" s="558">
        <v>545.80999999999995</v>
      </c>
      <c r="I18396" s="558">
        <v>369.99</v>
      </c>
      <c r="J18396" s="558">
        <v>168.46</v>
      </c>
      <c r="K18396" s="558">
        <v>7.36</v>
      </c>
      <c r="L18396" s="43">
        <v>8.4281964175416917</v>
      </c>
      <c r="M18396" s="43">
        <v>11.501087970158533</v>
      </c>
      <c r="N18396" s="43">
        <v>5.2726134585289515</v>
      </c>
      <c r="O18396" s="43">
        <v>11.503164556962025</v>
      </c>
      <c r="P18396" s="559"/>
      <c r="Q18396" s="559"/>
      <c r="R18396" s="559">
        <v>15</v>
      </c>
    </row>
    <row r="18397" spans="1:18" ht="84">
      <c r="A18397" s="555">
        <v>827</v>
      </c>
      <c r="B18397" s="552" t="s">
        <v>33243</v>
      </c>
      <c r="C18397" s="556" t="s">
        <v>33244</v>
      </c>
      <c r="D18397" s="557">
        <v>80.53</v>
      </c>
      <c r="E18397" s="557">
        <v>40.22</v>
      </c>
      <c r="F18397" s="557">
        <v>39.51</v>
      </c>
      <c r="G18397" s="557">
        <v>0.8</v>
      </c>
      <c r="H18397" s="558">
        <v>680.05</v>
      </c>
      <c r="I18397" s="558">
        <v>462.49</v>
      </c>
      <c r="J18397" s="558">
        <v>208.36</v>
      </c>
      <c r="K18397" s="558">
        <v>9.1999999999999993</v>
      </c>
      <c r="L18397" s="43">
        <v>8.4446790016143041</v>
      </c>
      <c r="M18397" s="43">
        <v>11.499005469915465</v>
      </c>
      <c r="N18397" s="43">
        <v>5.2736016198430784</v>
      </c>
      <c r="O18397" s="43">
        <v>11.503164556962025</v>
      </c>
      <c r="P18397" s="559"/>
      <c r="Q18397" s="559"/>
      <c r="R18397" s="559">
        <v>15</v>
      </c>
    </row>
    <row r="18398" spans="1:18" ht="84">
      <c r="A18398" s="555">
        <v>828</v>
      </c>
      <c r="B18398" s="552" t="s">
        <v>33245</v>
      </c>
      <c r="C18398" s="556" t="s">
        <v>33246</v>
      </c>
      <c r="D18398" s="557">
        <v>41.27</v>
      </c>
      <c r="E18398" s="557">
        <v>20.68</v>
      </c>
      <c r="F18398" s="557">
        <v>20.18</v>
      </c>
      <c r="G18398" s="557">
        <v>0.41</v>
      </c>
      <c r="H18398" s="558">
        <v>348.96</v>
      </c>
      <c r="I18398" s="558">
        <v>237.85</v>
      </c>
      <c r="J18398" s="558">
        <v>106.39</v>
      </c>
      <c r="K18398" s="558">
        <v>4.72</v>
      </c>
      <c r="L18398" s="43">
        <v>8.4555367094741936</v>
      </c>
      <c r="M18398" s="43">
        <v>11.501450676982591</v>
      </c>
      <c r="N18398" s="43">
        <v>5.2720515361744305</v>
      </c>
      <c r="O18398" s="43">
        <v>11.503164556962025</v>
      </c>
      <c r="P18398" s="559"/>
      <c r="Q18398" s="559"/>
      <c r="R18398" s="559">
        <v>15</v>
      </c>
    </row>
    <row r="18399" spans="1:18" ht="84">
      <c r="A18399" s="555">
        <v>829</v>
      </c>
      <c r="B18399" s="552" t="s">
        <v>33247</v>
      </c>
      <c r="C18399" s="556" t="s">
        <v>33248</v>
      </c>
      <c r="D18399" s="557">
        <v>55.87</v>
      </c>
      <c r="E18399" s="557">
        <v>27.58</v>
      </c>
      <c r="F18399" s="557">
        <v>27.74</v>
      </c>
      <c r="G18399" s="557">
        <v>0.55000000000000004</v>
      </c>
      <c r="H18399" s="558">
        <v>469.76</v>
      </c>
      <c r="I18399" s="558">
        <v>317.14</v>
      </c>
      <c r="J18399" s="558">
        <v>146.29</v>
      </c>
      <c r="K18399" s="558">
        <v>6.33</v>
      </c>
      <c r="L18399" s="43">
        <v>8.4080902094147127</v>
      </c>
      <c r="M18399" s="43">
        <v>11.498912255257434</v>
      </c>
      <c r="N18399" s="43">
        <v>5.2736121124729634</v>
      </c>
      <c r="O18399" s="43">
        <v>11.503164556962025</v>
      </c>
      <c r="P18399" s="559"/>
      <c r="Q18399" s="559"/>
      <c r="R18399" s="559">
        <v>15</v>
      </c>
    </row>
    <row r="18400" spans="1:18" ht="84">
      <c r="A18400" s="555">
        <v>830</v>
      </c>
      <c r="B18400" s="552" t="s">
        <v>33249</v>
      </c>
      <c r="C18400" s="556" t="s">
        <v>33250</v>
      </c>
      <c r="D18400" s="557">
        <v>71.64</v>
      </c>
      <c r="E18400" s="557">
        <v>35.619999999999997</v>
      </c>
      <c r="F18400" s="557">
        <v>35.31</v>
      </c>
      <c r="G18400" s="557">
        <v>0.71</v>
      </c>
      <c r="H18400" s="558">
        <v>603.99</v>
      </c>
      <c r="I18400" s="558">
        <v>409.63</v>
      </c>
      <c r="J18400" s="558">
        <v>186.19</v>
      </c>
      <c r="K18400" s="558">
        <v>8.17</v>
      </c>
      <c r="L18400" s="43">
        <v>8.4309045226130657</v>
      </c>
      <c r="M18400" s="43">
        <v>11.5</v>
      </c>
      <c r="N18400" s="43">
        <v>5.2730104786179552</v>
      </c>
      <c r="O18400" s="43">
        <v>11.503164556962025</v>
      </c>
      <c r="P18400" s="559"/>
      <c r="Q18400" s="559"/>
      <c r="R18400" s="559">
        <v>15</v>
      </c>
    </row>
    <row r="18401" spans="1:18" ht="84">
      <c r="A18401" s="555">
        <v>831</v>
      </c>
      <c r="B18401" s="552" t="s">
        <v>33251</v>
      </c>
      <c r="C18401" s="556" t="s">
        <v>33252</v>
      </c>
      <c r="D18401" s="557">
        <v>87.41</v>
      </c>
      <c r="E18401" s="557">
        <v>43.66</v>
      </c>
      <c r="F18401" s="557">
        <v>42.88</v>
      </c>
      <c r="G18401" s="557">
        <v>0.87</v>
      </c>
      <c r="H18401" s="558">
        <v>738.23</v>
      </c>
      <c r="I18401" s="558">
        <v>502.13</v>
      </c>
      <c r="J18401" s="558">
        <v>226.09</v>
      </c>
      <c r="K18401" s="558">
        <v>10.01</v>
      </c>
      <c r="L18401" s="43">
        <v>8.4456011897952177</v>
      </c>
      <c r="M18401" s="43">
        <v>11.500916170407697</v>
      </c>
      <c r="N18401" s="43">
        <v>5.2726212686567164</v>
      </c>
      <c r="O18401" s="43">
        <v>11.503164556962025</v>
      </c>
      <c r="P18401" s="559"/>
      <c r="Q18401" s="559"/>
      <c r="R18401" s="559">
        <v>15</v>
      </c>
    </row>
    <row r="18402" spans="1:18" ht="84">
      <c r="A18402" s="555">
        <v>832</v>
      </c>
      <c r="B18402" s="552" t="s">
        <v>33253</v>
      </c>
      <c r="C18402" s="556" t="s">
        <v>33254</v>
      </c>
      <c r="D18402" s="557">
        <v>46.14</v>
      </c>
      <c r="E18402" s="557">
        <v>22.98</v>
      </c>
      <c r="F18402" s="557">
        <v>22.7</v>
      </c>
      <c r="G18402" s="557">
        <v>0.46</v>
      </c>
      <c r="H18402" s="558">
        <v>389.26</v>
      </c>
      <c r="I18402" s="558">
        <v>264.27999999999997</v>
      </c>
      <c r="J18402" s="558">
        <v>119.69</v>
      </c>
      <c r="K18402" s="558">
        <v>5.29</v>
      </c>
      <c r="L18402" s="43">
        <v>8.4364976159514526</v>
      </c>
      <c r="M18402" s="43">
        <v>11.500435161009571</v>
      </c>
      <c r="N18402" s="43">
        <v>5.2726872246696033</v>
      </c>
      <c r="O18402" s="43">
        <v>11.503164556962025</v>
      </c>
      <c r="P18402" s="559"/>
      <c r="Q18402" s="559"/>
      <c r="R18402" s="559">
        <v>15</v>
      </c>
    </row>
    <row r="18403" spans="1:18" ht="84">
      <c r="A18403" s="555">
        <v>833</v>
      </c>
      <c r="B18403" s="552" t="s">
        <v>33255</v>
      </c>
      <c r="C18403" s="556" t="s">
        <v>33256</v>
      </c>
      <c r="D18403" s="557">
        <v>64.760000000000005</v>
      </c>
      <c r="E18403" s="557">
        <v>32.17</v>
      </c>
      <c r="F18403" s="557">
        <v>31.95</v>
      </c>
      <c r="G18403" s="557">
        <v>0.64</v>
      </c>
      <c r="H18403" s="558">
        <v>545.80999999999995</v>
      </c>
      <c r="I18403" s="558">
        <v>369.99</v>
      </c>
      <c r="J18403" s="558">
        <v>168.46</v>
      </c>
      <c r="K18403" s="558">
        <v>7.36</v>
      </c>
      <c r="L18403" s="43">
        <v>8.4281964175416917</v>
      </c>
      <c r="M18403" s="43">
        <v>11.501087970158533</v>
      </c>
      <c r="N18403" s="43">
        <v>5.2726134585289515</v>
      </c>
      <c r="O18403" s="43">
        <v>11.503164556962025</v>
      </c>
      <c r="P18403" s="559"/>
      <c r="Q18403" s="559"/>
      <c r="R18403" s="559">
        <v>15</v>
      </c>
    </row>
    <row r="18404" spans="1:18" ht="84">
      <c r="A18404" s="555">
        <v>834</v>
      </c>
      <c r="B18404" s="552" t="s">
        <v>33257</v>
      </c>
      <c r="C18404" s="556" t="s">
        <v>33258</v>
      </c>
      <c r="D18404" s="557">
        <v>81.37</v>
      </c>
      <c r="E18404" s="557">
        <v>40.22</v>
      </c>
      <c r="F18404" s="557">
        <v>40.35</v>
      </c>
      <c r="G18404" s="557">
        <v>0.8</v>
      </c>
      <c r="H18404" s="558">
        <v>684.48</v>
      </c>
      <c r="I18404" s="558">
        <v>462.49</v>
      </c>
      <c r="J18404" s="558">
        <v>212.79</v>
      </c>
      <c r="K18404" s="558">
        <v>9.1999999999999993</v>
      </c>
      <c r="L18404" s="43">
        <v>8.411945434435296</v>
      </c>
      <c r="M18404" s="43">
        <v>11.499005469915465</v>
      </c>
      <c r="N18404" s="43">
        <v>5.2736059479553896</v>
      </c>
      <c r="O18404" s="43">
        <v>11.503164556962025</v>
      </c>
      <c r="P18404" s="559"/>
      <c r="Q18404" s="559"/>
      <c r="R18404" s="559">
        <v>15</v>
      </c>
    </row>
    <row r="18405" spans="1:18" ht="84">
      <c r="A18405" s="555">
        <v>835</v>
      </c>
      <c r="B18405" s="552" t="s">
        <v>33259</v>
      </c>
      <c r="C18405" s="556" t="s">
        <v>33260</v>
      </c>
      <c r="D18405" s="557">
        <v>100</v>
      </c>
      <c r="E18405" s="557">
        <v>49.41</v>
      </c>
      <c r="F18405" s="557">
        <v>49.6</v>
      </c>
      <c r="G18405" s="557">
        <v>0.99</v>
      </c>
      <c r="H18405" s="558">
        <v>841.14</v>
      </c>
      <c r="I18405" s="558">
        <v>568.20000000000005</v>
      </c>
      <c r="J18405" s="558">
        <v>261.55</v>
      </c>
      <c r="K18405" s="558">
        <v>11.39</v>
      </c>
      <c r="L18405" s="43">
        <v>8.4114000000000004</v>
      </c>
      <c r="M18405" s="43">
        <v>11.499696417729206</v>
      </c>
      <c r="N18405" s="43">
        <v>5.273185483870968</v>
      </c>
      <c r="O18405" s="43">
        <v>11.503164556962025</v>
      </c>
      <c r="P18405" s="559"/>
      <c r="Q18405" s="559"/>
      <c r="R18405" s="559">
        <v>15</v>
      </c>
    </row>
    <row r="18406" spans="1:18" ht="84">
      <c r="A18406" s="555">
        <v>836</v>
      </c>
      <c r="B18406" s="552" t="s">
        <v>33261</v>
      </c>
      <c r="C18406" s="556" t="s">
        <v>33262</v>
      </c>
      <c r="D18406" s="557">
        <v>55.03</v>
      </c>
      <c r="E18406" s="557">
        <v>27.58</v>
      </c>
      <c r="F18406" s="557">
        <v>26.9</v>
      </c>
      <c r="G18406" s="557">
        <v>0.55000000000000004</v>
      </c>
      <c r="H18406" s="558">
        <v>465.33</v>
      </c>
      <c r="I18406" s="558">
        <v>317.14</v>
      </c>
      <c r="J18406" s="558">
        <v>141.86000000000001</v>
      </c>
      <c r="K18406" s="558">
        <v>6.33</v>
      </c>
      <c r="L18406" s="43">
        <v>8.4559331273850624</v>
      </c>
      <c r="M18406" s="43">
        <v>11.498912255257434</v>
      </c>
      <c r="N18406" s="43">
        <v>5.2736059479553914</v>
      </c>
      <c r="O18406" s="43">
        <v>11.503164556962025</v>
      </c>
      <c r="P18406" s="559"/>
      <c r="Q18406" s="559"/>
      <c r="R18406" s="559">
        <v>15</v>
      </c>
    </row>
    <row r="18407" spans="1:18" ht="84">
      <c r="A18407" s="555">
        <v>837</v>
      </c>
      <c r="B18407" s="552" t="s">
        <v>33263</v>
      </c>
      <c r="C18407" s="556" t="s">
        <v>33264</v>
      </c>
      <c r="D18407" s="557">
        <v>74.5</v>
      </c>
      <c r="E18407" s="557">
        <v>36.770000000000003</v>
      </c>
      <c r="F18407" s="557">
        <v>36.99</v>
      </c>
      <c r="G18407" s="557">
        <v>0.74</v>
      </c>
      <c r="H18407" s="558">
        <v>626.41999999999996</v>
      </c>
      <c r="I18407" s="558">
        <v>422.85</v>
      </c>
      <c r="J18407" s="558">
        <v>195.06</v>
      </c>
      <c r="K18407" s="558">
        <v>8.51</v>
      </c>
      <c r="L18407" s="43">
        <v>8.4083221476510062</v>
      </c>
      <c r="M18407" s="43">
        <v>11.49986401958118</v>
      </c>
      <c r="N18407" s="43">
        <v>5.2733171127331708</v>
      </c>
      <c r="O18407" s="43">
        <v>11.503164556962025</v>
      </c>
      <c r="P18407" s="559"/>
      <c r="Q18407" s="559"/>
      <c r="R18407" s="559">
        <v>15</v>
      </c>
    </row>
    <row r="18408" spans="1:18" ht="84">
      <c r="A18408" s="555">
        <v>838</v>
      </c>
      <c r="B18408" s="552" t="s">
        <v>33265</v>
      </c>
      <c r="C18408" s="556" t="s">
        <v>33266</v>
      </c>
      <c r="D18408" s="557">
        <v>93.12</v>
      </c>
      <c r="E18408" s="557">
        <v>45.96</v>
      </c>
      <c r="F18408" s="557">
        <v>46.24</v>
      </c>
      <c r="G18408" s="557">
        <v>0.92</v>
      </c>
      <c r="H18408" s="558">
        <v>782.96</v>
      </c>
      <c r="I18408" s="558">
        <v>528.55999999999995</v>
      </c>
      <c r="J18408" s="558">
        <v>243.82</v>
      </c>
      <c r="K18408" s="558">
        <v>10.58</v>
      </c>
      <c r="L18408" s="43">
        <v>8.4080756013745699</v>
      </c>
      <c r="M18408" s="43">
        <v>11.500435161009571</v>
      </c>
      <c r="N18408" s="43">
        <v>5.2729238754325252</v>
      </c>
      <c r="O18408" s="43">
        <v>11.503164556962025</v>
      </c>
      <c r="P18408" s="559"/>
      <c r="Q18408" s="559"/>
      <c r="R18408" s="559">
        <v>15</v>
      </c>
    </row>
    <row r="18409" spans="1:18" ht="84">
      <c r="A18409" s="555">
        <v>839</v>
      </c>
      <c r="B18409" s="552" t="s">
        <v>33267</v>
      </c>
      <c r="C18409" s="556" t="s">
        <v>33268</v>
      </c>
      <c r="D18409" s="557">
        <v>115.77</v>
      </c>
      <c r="E18409" s="557">
        <v>57.45</v>
      </c>
      <c r="F18409" s="557">
        <v>57.17</v>
      </c>
      <c r="G18409" s="557">
        <v>1.1499999999999999</v>
      </c>
      <c r="H18409" s="558">
        <v>975.38</v>
      </c>
      <c r="I18409" s="558">
        <v>660.7</v>
      </c>
      <c r="J18409" s="558">
        <v>301.45</v>
      </c>
      <c r="K18409" s="558">
        <v>13.23</v>
      </c>
      <c r="L18409" s="43">
        <v>8.4251533212403906</v>
      </c>
      <c r="M18409" s="43">
        <v>11.500435161009573</v>
      </c>
      <c r="N18409" s="43">
        <v>5.2728703865663809</v>
      </c>
      <c r="O18409" s="43">
        <v>11.503164556962025</v>
      </c>
      <c r="P18409" s="559"/>
      <c r="Q18409" s="559"/>
      <c r="R18409" s="559">
        <v>15</v>
      </c>
    </row>
    <row r="18410" spans="1:18" ht="84">
      <c r="A18410" s="555">
        <v>840</v>
      </c>
      <c r="B18410" s="552" t="s">
        <v>33269</v>
      </c>
      <c r="C18410" s="556" t="s">
        <v>33270</v>
      </c>
      <c r="D18410" s="557">
        <v>64.760000000000005</v>
      </c>
      <c r="E18410" s="557">
        <v>32.17</v>
      </c>
      <c r="F18410" s="557">
        <v>31.95</v>
      </c>
      <c r="G18410" s="557">
        <v>0.64</v>
      </c>
      <c r="H18410" s="558">
        <v>545.80999999999995</v>
      </c>
      <c r="I18410" s="558">
        <v>369.99</v>
      </c>
      <c r="J18410" s="558">
        <v>168.46</v>
      </c>
      <c r="K18410" s="558">
        <v>7.36</v>
      </c>
      <c r="L18410" s="43">
        <v>8.4281964175416917</v>
      </c>
      <c r="M18410" s="43">
        <v>11.501087970158533</v>
      </c>
      <c r="N18410" s="43">
        <v>5.2726134585289515</v>
      </c>
      <c r="O18410" s="43">
        <v>11.503164556962025</v>
      </c>
      <c r="P18410" s="559"/>
      <c r="Q18410" s="559"/>
      <c r="R18410" s="559">
        <v>15</v>
      </c>
    </row>
    <row r="18411" spans="1:18" ht="84">
      <c r="A18411" s="555">
        <v>841</v>
      </c>
      <c r="B18411" s="552" t="s">
        <v>33271</v>
      </c>
      <c r="C18411" s="556" t="s">
        <v>33272</v>
      </c>
      <c r="D18411" s="557">
        <v>85.4</v>
      </c>
      <c r="E18411" s="557">
        <v>42.51</v>
      </c>
      <c r="F18411" s="557">
        <v>42.04</v>
      </c>
      <c r="G18411" s="557">
        <v>0.85</v>
      </c>
      <c r="H18411" s="558">
        <v>720.36</v>
      </c>
      <c r="I18411" s="558">
        <v>488.92</v>
      </c>
      <c r="J18411" s="558">
        <v>221.66</v>
      </c>
      <c r="K18411" s="558">
        <v>9.7799999999999994</v>
      </c>
      <c r="L18411" s="43">
        <v>8.4351288056206091</v>
      </c>
      <c r="M18411" s="43">
        <v>11.501293813220419</v>
      </c>
      <c r="N18411" s="43">
        <v>5.2725975261655567</v>
      </c>
      <c r="O18411" s="43">
        <v>11.503164556962025</v>
      </c>
      <c r="P18411" s="559"/>
      <c r="Q18411" s="559"/>
      <c r="R18411" s="559">
        <v>15</v>
      </c>
    </row>
    <row r="18412" spans="1:18" ht="84">
      <c r="A18412" s="555">
        <v>842</v>
      </c>
      <c r="B18412" s="552" t="s">
        <v>33273</v>
      </c>
      <c r="C18412" s="556" t="s">
        <v>33274</v>
      </c>
      <c r="D18412" s="557">
        <v>106.87</v>
      </c>
      <c r="E18412" s="557">
        <v>52.85</v>
      </c>
      <c r="F18412" s="557">
        <v>52.96</v>
      </c>
      <c r="G18412" s="557">
        <v>1.06</v>
      </c>
      <c r="H18412" s="558">
        <v>899.32</v>
      </c>
      <c r="I18412" s="558">
        <v>607.84</v>
      </c>
      <c r="J18412" s="558">
        <v>279.29000000000002</v>
      </c>
      <c r="K18412" s="558">
        <v>12.19</v>
      </c>
      <c r="L18412" s="43">
        <v>8.4150837466080279</v>
      </c>
      <c r="M18412" s="43">
        <v>11.501229895931884</v>
      </c>
      <c r="N18412" s="43">
        <v>5.2736027190332333</v>
      </c>
      <c r="O18412" s="43">
        <v>11.503164556962025</v>
      </c>
      <c r="P18412" s="559"/>
      <c r="Q18412" s="559"/>
      <c r="R18412" s="559">
        <v>15</v>
      </c>
    </row>
    <row r="18413" spans="1:18" ht="84">
      <c r="A18413" s="555">
        <v>843</v>
      </c>
      <c r="B18413" s="552" t="s">
        <v>33275</v>
      </c>
      <c r="C18413" s="556" t="s">
        <v>33276</v>
      </c>
      <c r="D18413" s="557">
        <v>131.53</v>
      </c>
      <c r="E18413" s="557">
        <v>65.489999999999995</v>
      </c>
      <c r="F18413" s="557">
        <v>64.73</v>
      </c>
      <c r="G18413" s="557">
        <v>1.31</v>
      </c>
      <c r="H18413" s="558">
        <v>1109.6199999999999</v>
      </c>
      <c r="I18413" s="558">
        <v>753.2</v>
      </c>
      <c r="J18413" s="558">
        <v>341.35</v>
      </c>
      <c r="K18413" s="558">
        <v>15.07</v>
      </c>
      <c r="L18413" s="43">
        <v>8.436250285106059</v>
      </c>
      <c r="M18413" s="43">
        <v>11.500992517941672</v>
      </c>
      <c r="N18413" s="43">
        <v>5.273443534682527</v>
      </c>
      <c r="O18413" s="43">
        <v>11.503164556962025</v>
      </c>
      <c r="P18413" s="559"/>
      <c r="Q18413" s="559"/>
      <c r="R18413" s="559">
        <v>15</v>
      </c>
    </row>
    <row r="18414" spans="1:18" ht="84">
      <c r="A18414" s="555">
        <v>844</v>
      </c>
      <c r="B18414" s="552" t="s">
        <v>33277</v>
      </c>
      <c r="C18414" s="556" t="s">
        <v>33278</v>
      </c>
      <c r="D18414" s="557">
        <v>69.63</v>
      </c>
      <c r="E18414" s="557">
        <v>34.47</v>
      </c>
      <c r="F18414" s="557">
        <v>34.47</v>
      </c>
      <c r="G18414" s="557">
        <v>0.69</v>
      </c>
      <c r="H18414" s="558">
        <v>586.12</v>
      </c>
      <c r="I18414" s="558">
        <v>396.42</v>
      </c>
      <c r="J18414" s="558">
        <v>181.76</v>
      </c>
      <c r="K18414" s="558">
        <v>7.94</v>
      </c>
      <c r="L18414" s="43">
        <v>8.4176360764038503</v>
      </c>
      <c r="M18414" s="43">
        <v>11.500435161009575</v>
      </c>
      <c r="N18414" s="43">
        <v>5.272991006672469</v>
      </c>
      <c r="O18414" s="43">
        <v>11.503164556962025</v>
      </c>
      <c r="P18414" s="559"/>
      <c r="Q18414" s="559"/>
      <c r="R18414" s="559">
        <v>15</v>
      </c>
    </row>
    <row r="18415" spans="1:18" ht="84">
      <c r="A18415" s="555">
        <v>845</v>
      </c>
      <c r="B18415" s="552" t="s">
        <v>33279</v>
      </c>
      <c r="C18415" s="556" t="s">
        <v>33280</v>
      </c>
      <c r="D18415" s="557">
        <v>85.4</v>
      </c>
      <c r="E18415" s="557">
        <v>42.51</v>
      </c>
      <c r="F18415" s="557">
        <v>42.04</v>
      </c>
      <c r="G18415" s="557">
        <v>0.85</v>
      </c>
      <c r="H18415" s="558">
        <v>720.36</v>
      </c>
      <c r="I18415" s="558">
        <v>488.92</v>
      </c>
      <c r="J18415" s="558">
        <v>221.66</v>
      </c>
      <c r="K18415" s="558">
        <v>9.7799999999999994</v>
      </c>
      <c r="L18415" s="43">
        <v>8.4351288056206091</v>
      </c>
      <c r="M18415" s="43">
        <v>11.501293813220419</v>
      </c>
      <c r="N18415" s="43">
        <v>5.2725975261655567</v>
      </c>
      <c r="O18415" s="43">
        <v>11.503164556962025</v>
      </c>
      <c r="P18415" s="559"/>
      <c r="Q18415" s="559"/>
      <c r="R18415" s="559">
        <v>15</v>
      </c>
    </row>
    <row r="18416" spans="1:18" ht="84">
      <c r="A18416" s="555">
        <v>846</v>
      </c>
      <c r="B18416" s="552" t="s">
        <v>33281</v>
      </c>
      <c r="C18416" s="556" t="s">
        <v>33282</v>
      </c>
      <c r="D18416" s="557">
        <v>95.13</v>
      </c>
      <c r="E18416" s="557">
        <v>47.11</v>
      </c>
      <c r="F18416" s="557">
        <v>47.08</v>
      </c>
      <c r="G18416" s="557">
        <v>0.94</v>
      </c>
      <c r="H18416" s="558">
        <v>800.83</v>
      </c>
      <c r="I18416" s="558">
        <v>541.77</v>
      </c>
      <c r="J18416" s="558">
        <v>248.25</v>
      </c>
      <c r="K18416" s="558">
        <v>10.81</v>
      </c>
      <c r="L18416" s="43">
        <v>8.4182697361505312</v>
      </c>
      <c r="M18416" s="43">
        <v>11.500106134578646</v>
      </c>
      <c r="N18416" s="43">
        <v>5.2729396771452848</v>
      </c>
      <c r="O18416" s="43">
        <v>11.503164556962025</v>
      </c>
      <c r="P18416" s="559"/>
      <c r="Q18416" s="559"/>
      <c r="R18416" s="559">
        <v>15</v>
      </c>
    </row>
    <row r="18417" spans="1:18" ht="84">
      <c r="A18417" s="555">
        <v>847</v>
      </c>
      <c r="B18417" s="552" t="s">
        <v>33283</v>
      </c>
      <c r="C18417" s="556" t="s">
        <v>33284</v>
      </c>
      <c r="D18417" s="557">
        <v>117.78</v>
      </c>
      <c r="E18417" s="557">
        <v>58.6</v>
      </c>
      <c r="F18417" s="557">
        <v>58.01</v>
      </c>
      <c r="G18417" s="557">
        <v>1.17</v>
      </c>
      <c r="H18417" s="558">
        <v>993.25</v>
      </c>
      <c r="I18417" s="558">
        <v>673.91</v>
      </c>
      <c r="J18417" s="558">
        <v>305.88</v>
      </c>
      <c r="K18417" s="558">
        <v>13.46</v>
      </c>
      <c r="L18417" s="43">
        <v>8.4330956019697734</v>
      </c>
      <c r="M18417" s="43">
        <v>11.500170648464163</v>
      </c>
      <c r="N18417" s="43">
        <v>5.272883985519738</v>
      </c>
      <c r="O18417" s="43">
        <v>11.503164556962025</v>
      </c>
      <c r="P18417" s="559"/>
      <c r="Q18417" s="559"/>
      <c r="R18417" s="559">
        <v>15</v>
      </c>
    </row>
    <row r="18418" spans="1:18" ht="12.75" customHeight="1">
      <c r="A18418" s="628" t="s">
        <v>33285</v>
      </c>
      <c r="B18418" s="629"/>
      <c r="C18418" s="629"/>
      <c r="D18418" s="629"/>
      <c r="E18418" s="629"/>
      <c r="F18418" s="629"/>
      <c r="G18418" s="629"/>
      <c r="H18418" s="629"/>
      <c r="I18418" s="629"/>
      <c r="J18418" s="629"/>
      <c r="K18418" s="629"/>
      <c r="L18418" s="629"/>
      <c r="M18418" s="629"/>
      <c r="N18418" s="629"/>
      <c r="O18418" s="629"/>
      <c r="P18418" s="629"/>
      <c r="Q18418" s="629"/>
      <c r="R18418" s="629"/>
    </row>
    <row r="18419" spans="1:18" ht="84">
      <c r="A18419" s="555">
        <v>848</v>
      </c>
      <c r="B18419" s="552" t="s">
        <v>33286</v>
      </c>
      <c r="C18419" s="556" t="s">
        <v>33287</v>
      </c>
      <c r="D18419" s="557">
        <v>3.68</v>
      </c>
      <c r="E18419" s="557">
        <v>1.84</v>
      </c>
      <c r="F18419" s="557">
        <v>1.8</v>
      </c>
      <c r="G18419" s="557">
        <v>0.04</v>
      </c>
      <c r="H18419" s="558">
        <v>31.1</v>
      </c>
      <c r="I18419" s="558">
        <v>21.14</v>
      </c>
      <c r="J18419" s="558">
        <v>9.5</v>
      </c>
      <c r="K18419" s="558">
        <v>0.46</v>
      </c>
      <c r="L18419" s="43">
        <v>8.4510869565217384</v>
      </c>
      <c r="M18419" s="43">
        <v>11.5</v>
      </c>
      <c r="N18419" s="43">
        <v>5.2777777777777777</v>
      </c>
      <c r="O18419" s="43">
        <v>11.5</v>
      </c>
      <c r="P18419" s="559"/>
      <c r="Q18419" s="559"/>
      <c r="R18419" s="559">
        <v>16</v>
      </c>
    </row>
    <row r="18420" spans="1:18" ht="84">
      <c r="A18420" s="555">
        <v>849</v>
      </c>
      <c r="B18420" s="552" t="s">
        <v>33288</v>
      </c>
      <c r="C18420" s="556" t="s">
        <v>33289</v>
      </c>
      <c r="D18420" s="557">
        <v>4.1500000000000004</v>
      </c>
      <c r="E18420" s="557">
        <v>2.0699999999999998</v>
      </c>
      <c r="F18420" s="557">
        <v>2.04</v>
      </c>
      <c r="G18420" s="557">
        <v>0.04</v>
      </c>
      <c r="H18420" s="558">
        <v>35.020000000000003</v>
      </c>
      <c r="I18420" s="558">
        <v>23.79</v>
      </c>
      <c r="J18420" s="558">
        <v>10.77</v>
      </c>
      <c r="K18420" s="558">
        <v>0.46</v>
      </c>
      <c r="L18420" s="43">
        <v>8.4385542168674696</v>
      </c>
      <c r="M18420" s="43">
        <v>11.5</v>
      </c>
      <c r="N18420" s="43">
        <v>5.2794117647058822</v>
      </c>
      <c r="O18420" s="43">
        <v>11.5</v>
      </c>
      <c r="P18420" s="559"/>
      <c r="Q18420" s="559"/>
      <c r="R18420" s="559">
        <v>16</v>
      </c>
    </row>
    <row r="18421" spans="1:18" ht="84">
      <c r="A18421" s="555">
        <v>850</v>
      </c>
      <c r="B18421" s="552" t="s">
        <v>33290</v>
      </c>
      <c r="C18421" s="556" t="s">
        <v>33291</v>
      </c>
      <c r="D18421" s="557">
        <v>6.28</v>
      </c>
      <c r="E18421" s="557">
        <v>3.1</v>
      </c>
      <c r="F18421" s="557">
        <v>3.12</v>
      </c>
      <c r="G18421" s="557">
        <v>0.06</v>
      </c>
      <c r="H18421" s="558">
        <v>52.84</v>
      </c>
      <c r="I18421" s="558">
        <v>35.68</v>
      </c>
      <c r="J18421" s="558">
        <v>16.47</v>
      </c>
      <c r="K18421" s="558">
        <v>0.69</v>
      </c>
      <c r="L18421" s="43">
        <v>8.4140127388535042</v>
      </c>
      <c r="M18421" s="43">
        <v>11.5</v>
      </c>
      <c r="N18421" s="43">
        <v>5.2788461538461533</v>
      </c>
      <c r="O18421" s="43">
        <v>11.5</v>
      </c>
      <c r="P18421" s="559"/>
      <c r="Q18421" s="559"/>
      <c r="R18421" s="559">
        <v>16</v>
      </c>
    </row>
    <row r="18422" spans="1:18" ht="84">
      <c r="A18422" s="555">
        <v>851</v>
      </c>
      <c r="B18422" s="552" t="s">
        <v>33292</v>
      </c>
      <c r="C18422" s="556" t="s">
        <v>33293</v>
      </c>
      <c r="D18422" s="557">
        <v>7.59</v>
      </c>
      <c r="E18422" s="557">
        <v>3.79</v>
      </c>
      <c r="F18422" s="557">
        <v>3.72</v>
      </c>
      <c r="G18422" s="557">
        <v>0.08</v>
      </c>
      <c r="H18422" s="558">
        <v>64.16</v>
      </c>
      <c r="I18422" s="558">
        <v>43.61</v>
      </c>
      <c r="J18422" s="558">
        <v>19.63</v>
      </c>
      <c r="K18422" s="558">
        <v>0.92</v>
      </c>
      <c r="L18422" s="43">
        <v>8.4532279314888008</v>
      </c>
      <c r="M18422" s="43">
        <v>11.5021951219512</v>
      </c>
      <c r="N18422" s="43">
        <v>5.2768817204301071</v>
      </c>
      <c r="O18422" s="43">
        <v>11.5</v>
      </c>
      <c r="P18422" s="559"/>
      <c r="Q18422" s="559"/>
      <c r="R18422" s="559">
        <v>16</v>
      </c>
    </row>
    <row r="18423" spans="1:18" ht="84">
      <c r="A18423" s="555">
        <v>852</v>
      </c>
      <c r="B18423" s="552" t="s">
        <v>33294</v>
      </c>
      <c r="C18423" s="556" t="s">
        <v>33295</v>
      </c>
      <c r="D18423" s="557">
        <v>8.3000000000000007</v>
      </c>
      <c r="E18423" s="557">
        <v>4.1399999999999997</v>
      </c>
      <c r="F18423" s="557">
        <v>4.08</v>
      </c>
      <c r="G18423" s="557">
        <v>0.08</v>
      </c>
      <c r="H18423" s="558">
        <v>70.02</v>
      </c>
      <c r="I18423" s="558">
        <v>47.57</v>
      </c>
      <c r="J18423" s="558">
        <v>21.53</v>
      </c>
      <c r="K18423" s="558">
        <v>0.92</v>
      </c>
      <c r="L18423" s="43">
        <v>8.436144578313252</v>
      </c>
      <c r="M18423" s="43">
        <v>11.5</v>
      </c>
      <c r="N18423" s="43">
        <v>5.2769607843137258</v>
      </c>
      <c r="O18423" s="43">
        <v>11.5</v>
      </c>
      <c r="P18423" s="559"/>
      <c r="Q18423" s="559"/>
      <c r="R18423" s="559">
        <v>16</v>
      </c>
    </row>
    <row r="18424" spans="1:18" ht="84">
      <c r="A18424" s="555">
        <v>853</v>
      </c>
      <c r="B18424" s="552" t="s">
        <v>33296</v>
      </c>
      <c r="C18424" s="556" t="s">
        <v>33297</v>
      </c>
      <c r="D18424" s="557">
        <v>9.9600000000000009</v>
      </c>
      <c r="E18424" s="557">
        <v>4.9400000000000004</v>
      </c>
      <c r="F18424" s="557">
        <v>4.92</v>
      </c>
      <c r="G18424" s="557">
        <v>0.1</v>
      </c>
      <c r="H18424" s="558">
        <v>83.94</v>
      </c>
      <c r="I18424" s="558">
        <v>56.82</v>
      </c>
      <c r="J18424" s="558">
        <v>25.97</v>
      </c>
      <c r="K18424" s="558">
        <v>1.1499999999999999</v>
      </c>
      <c r="L18424" s="43">
        <v>8.4277108433734931</v>
      </c>
      <c r="M18424" s="43">
        <v>11.502024291497975</v>
      </c>
      <c r="N18424" s="43">
        <v>5.2784552845528454</v>
      </c>
      <c r="O18424" s="43">
        <v>11.499999999999998</v>
      </c>
      <c r="P18424" s="559"/>
      <c r="Q18424" s="559"/>
      <c r="R18424" s="559">
        <v>16</v>
      </c>
    </row>
    <row r="18425" spans="1:18" ht="84">
      <c r="A18425" s="555">
        <v>854</v>
      </c>
      <c r="B18425" s="552" t="s">
        <v>33298</v>
      </c>
      <c r="C18425" s="556" t="s">
        <v>33299</v>
      </c>
      <c r="D18425" s="557">
        <v>10.91</v>
      </c>
      <c r="E18425" s="557">
        <v>5.4</v>
      </c>
      <c r="F18425" s="557">
        <v>5.4</v>
      </c>
      <c r="G18425" s="557">
        <v>0.11</v>
      </c>
      <c r="H18425" s="558">
        <v>91.88</v>
      </c>
      <c r="I18425" s="558">
        <v>62.11</v>
      </c>
      <c r="J18425" s="558">
        <v>28.5</v>
      </c>
      <c r="K18425" s="558">
        <v>1.27</v>
      </c>
      <c r="L18425" s="43">
        <v>8.4216315307057741</v>
      </c>
      <c r="M18425" s="43">
        <v>11.501851851851852</v>
      </c>
      <c r="N18425" s="43">
        <v>5.2777777777777777</v>
      </c>
      <c r="O18425" s="43">
        <v>11.503164556962025</v>
      </c>
      <c r="P18425" s="559"/>
      <c r="Q18425" s="559"/>
      <c r="R18425" s="559">
        <v>16</v>
      </c>
    </row>
    <row r="18426" spans="1:18" ht="84">
      <c r="A18426" s="555">
        <v>855</v>
      </c>
      <c r="B18426" s="552" t="s">
        <v>33300</v>
      </c>
      <c r="C18426" s="556" t="s">
        <v>33301</v>
      </c>
      <c r="D18426" s="557">
        <v>13.17</v>
      </c>
      <c r="E18426" s="557">
        <v>6.55</v>
      </c>
      <c r="F18426" s="557">
        <v>6.49</v>
      </c>
      <c r="G18426" s="557">
        <v>0.13</v>
      </c>
      <c r="H18426" s="558">
        <v>111.02</v>
      </c>
      <c r="I18426" s="558">
        <v>75.319999999999993</v>
      </c>
      <c r="J18426" s="558">
        <v>34.200000000000003</v>
      </c>
      <c r="K18426" s="558">
        <v>1.5</v>
      </c>
      <c r="L18426" s="43">
        <v>8.429764616552772</v>
      </c>
      <c r="M18426" s="43">
        <v>11.499236641221373</v>
      </c>
      <c r="N18426" s="43">
        <v>5.26964560862866</v>
      </c>
      <c r="O18426" s="43">
        <v>11.503164556962025</v>
      </c>
      <c r="P18426" s="559"/>
      <c r="Q18426" s="559"/>
      <c r="R18426" s="559">
        <v>16</v>
      </c>
    </row>
    <row r="18427" spans="1:18" ht="84">
      <c r="A18427" s="555">
        <v>856</v>
      </c>
      <c r="B18427" s="552" t="s">
        <v>33302</v>
      </c>
      <c r="C18427" s="556" t="s">
        <v>33303</v>
      </c>
      <c r="D18427" s="557">
        <v>13.88</v>
      </c>
      <c r="E18427" s="557">
        <v>6.89</v>
      </c>
      <c r="F18427" s="557">
        <v>6.85</v>
      </c>
      <c r="G18427" s="557">
        <v>0.14000000000000001</v>
      </c>
      <c r="H18427" s="558">
        <v>116.99</v>
      </c>
      <c r="I18427" s="558">
        <v>79.28</v>
      </c>
      <c r="J18427" s="558">
        <v>36.1</v>
      </c>
      <c r="K18427" s="558">
        <v>1.61</v>
      </c>
      <c r="L18427" s="43">
        <v>8.4286743515850144</v>
      </c>
      <c r="M18427" s="43">
        <v>11.5021951219512</v>
      </c>
      <c r="N18427" s="43">
        <v>5.2700729927007304</v>
      </c>
      <c r="O18427" s="43">
        <v>11.5</v>
      </c>
      <c r="P18427" s="559"/>
      <c r="Q18427" s="559"/>
      <c r="R18427" s="559">
        <v>16</v>
      </c>
    </row>
    <row r="18428" spans="1:18" ht="84">
      <c r="A18428" s="555">
        <v>857</v>
      </c>
      <c r="B18428" s="552" t="s">
        <v>33304</v>
      </c>
      <c r="C18428" s="556" t="s">
        <v>33305</v>
      </c>
      <c r="D18428" s="557">
        <v>16.25</v>
      </c>
      <c r="E18428" s="557">
        <v>8.0399999999999991</v>
      </c>
      <c r="F18428" s="557">
        <v>8.0500000000000007</v>
      </c>
      <c r="G18428" s="557">
        <v>0.16</v>
      </c>
      <c r="H18428" s="558">
        <v>136.77000000000001</v>
      </c>
      <c r="I18428" s="558">
        <v>92.5</v>
      </c>
      <c r="J18428" s="558">
        <v>42.43</v>
      </c>
      <c r="K18428" s="558">
        <v>1.84</v>
      </c>
      <c r="L18428" s="43">
        <v>8.4166153846153851</v>
      </c>
      <c r="M18428" s="43">
        <v>11.504975124378111</v>
      </c>
      <c r="N18428" s="43">
        <v>5.2708074534161486</v>
      </c>
      <c r="O18428" s="43">
        <v>11.5</v>
      </c>
      <c r="P18428" s="559"/>
      <c r="Q18428" s="559"/>
      <c r="R18428" s="559">
        <v>16</v>
      </c>
    </row>
    <row r="18429" spans="1:18" ht="84">
      <c r="A18429" s="555">
        <v>858</v>
      </c>
      <c r="B18429" s="552" t="s">
        <v>33306</v>
      </c>
      <c r="C18429" s="556" t="s">
        <v>33307</v>
      </c>
      <c r="D18429" s="557">
        <v>22.66</v>
      </c>
      <c r="E18429" s="557">
        <v>11.26</v>
      </c>
      <c r="F18429" s="557">
        <v>11.17</v>
      </c>
      <c r="G18429" s="557">
        <v>0.23</v>
      </c>
      <c r="H18429" s="558">
        <v>191.05</v>
      </c>
      <c r="I18429" s="558">
        <v>129.5</v>
      </c>
      <c r="J18429" s="558">
        <v>58.9</v>
      </c>
      <c r="K18429" s="558">
        <v>2.65</v>
      </c>
      <c r="L18429" s="43">
        <v>8.4311562224183589</v>
      </c>
      <c r="M18429" s="43">
        <v>11.50088809946714</v>
      </c>
      <c r="N18429" s="43">
        <v>5.2730528200537155</v>
      </c>
      <c r="O18429" s="43">
        <v>11.521739130434781</v>
      </c>
      <c r="P18429" s="559"/>
      <c r="Q18429" s="559"/>
      <c r="R18429" s="559">
        <v>16</v>
      </c>
    </row>
    <row r="18430" spans="1:18" ht="84">
      <c r="A18430" s="555">
        <v>859</v>
      </c>
      <c r="B18430" s="552" t="s">
        <v>33308</v>
      </c>
      <c r="C18430" s="556" t="s">
        <v>33309</v>
      </c>
      <c r="D18430" s="557">
        <v>17.8</v>
      </c>
      <c r="E18430" s="557">
        <v>8.85</v>
      </c>
      <c r="F18430" s="557">
        <v>8.77</v>
      </c>
      <c r="G18430" s="557">
        <v>0.18</v>
      </c>
      <c r="H18430" s="558">
        <v>150.05000000000001</v>
      </c>
      <c r="I18430" s="558">
        <v>101.75</v>
      </c>
      <c r="J18430" s="558">
        <v>46.23</v>
      </c>
      <c r="K18430" s="558">
        <v>2.0699999999999998</v>
      </c>
      <c r="L18430" s="43">
        <v>8.4297752808988768</v>
      </c>
      <c r="M18430" s="43">
        <v>11.497175141242938</v>
      </c>
      <c r="N18430" s="43">
        <v>5.2713797035347776</v>
      </c>
      <c r="O18430" s="43">
        <v>11.5</v>
      </c>
      <c r="P18430" s="559"/>
      <c r="Q18430" s="559"/>
      <c r="R18430" s="559">
        <v>16</v>
      </c>
    </row>
    <row r="18431" spans="1:18" ht="84">
      <c r="A18431" s="555">
        <v>860</v>
      </c>
      <c r="B18431" s="552" t="s">
        <v>33310</v>
      </c>
      <c r="C18431" s="556" t="s">
        <v>33311</v>
      </c>
      <c r="D18431" s="557">
        <v>18.77</v>
      </c>
      <c r="E18431" s="557">
        <v>8.27</v>
      </c>
      <c r="F18431" s="557">
        <v>10.33</v>
      </c>
      <c r="G18431" s="557">
        <v>0.17</v>
      </c>
      <c r="H18431" s="558">
        <v>151.56</v>
      </c>
      <c r="I18431" s="558">
        <v>95.14</v>
      </c>
      <c r="J18431" s="558">
        <v>54.46</v>
      </c>
      <c r="K18431" s="558">
        <v>1.96</v>
      </c>
      <c r="L18431" s="43">
        <v>8.074587107085776</v>
      </c>
      <c r="M18431" s="43">
        <v>11.504232164449819</v>
      </c>
      <c r="N18431" s="43">
        <v>5.2720232333010646</v>
      </c>
      <c r="O18431" s="43">
        <v>11.503164556962025</v>
      </c>
      <c r="P18431" s="559"/>
      <c r="Q18431" s="559"/>
      <c r="R18431" s="559">
        <v>16</v>
      </c>
    </row>
    <row r="18432" spans="1:18" ht="84">
      <c r="A18432" s="555">
        <v>861</v>
      </c>
      <c r="B18432" s="552" t="s">
        <v>33312</v>
      </c>
      <c r="C18432" s="556" t="s">
        <v>33313</v>
      </c>
      <c r="D18432" s="557">
        <v>29.65</v>
      </c>
      <c r="E18432" s="557">
        <v>14.94</v>
      </c>
      <c r="F18432" s="557">
        <v>14.41</v>
      </c>
      <c r="G18432" s="557">
        <v>0.3</v>
      </c>
      <c r="H18432" s="558">
        <v>251.23</v>
      </c>
      <c r="I18432" s="558">
        <v>171.78</v>
      </c>
      <c r="J18432" s="558">
        <v>76</v>
      </c>
      <c r="K18432" s="558">
        <v>3.45</v>
      </c>
      <c r="L18432" s="43">
        <v>8.4731871838111292</v>
      </c>
      <c r="M18432" s="43">
        <v>11.497991967871487</v>
      </c>
      <c r="N18432" s="43">
        <v>5.2741151977793201</v>
      </c>
      <c r="O18432" s="43">
        <v>11.500000000000002</v>
      </c>
      <c r="P18432" s="559"/>
      <c r="Q18432" s="559"/>
      <c r="R18432" s="559">
        <v>16</v>
      </c>
    </row>
    <row r="18433" spans="1:18" ht="84">
      <c r="A18433" s="555">
        <v>862</v>
      </c>
      <c r="B18433" s="552" t="s">
        <v>33314</v>
      </c>
      <c r="C18433" s="556" t="s">
        <v>33315</v>
      </c>
      <c r="D18433" s="557">
        <v>19.93</v>
      </c>
      <c r="E18433" s="557">
        <v>9.8800000000000008</v>
      </c>
      <c r="F18433" s="557">
        <v>9.85</v>
      </c>
      <c r="G18433" s="557">
        <v>0.2</v>
      </c>
      <c r="H18433" s="558">
        <v>167.87</v>
      </c>
      <c r="I18433" s="558">
        <v>113.64</v>
      </c>
      <c r="J18433" s="558">
        <v>51.93</v>
      </c>
      <c r="K18433" s="558">
        <v>2.2999999999999998</v>
      </c>
      <c r="L18433" s="43">
        <v>8.4229804315102861</v>
      </c>
      <c r="M18433" s="43">
        <v>11.502024291497975</v>
      </c>
      <c r="N18433" s="43">
        <v>5.2720812182741117</v>
      </c>
      <c r="O18433" s="43">
        <v>11.499999999999998</v>
      </c>
      <c r="P18433" s="559"/>
      <c r="Q18433" s="559"/>
      <c r="R18433" s="559">
        <v>16</v>
      </c>
    </row>
    <row r="18434" spans="1:18" ht="84">
      <c r="A18434" s="555">
        <v>863</v>
      </c>
      <c r="B18434" s="552" t="s">
        <v>33316</v>
      </c>
      <c r="C18434" s="556" t="s">
        <v>33317</v>
      </c>
      <c r="D18434" s="557">
        <v>24.9</v>
      </c>
      <c r="E18434" s="557">
        <v>12.64</v>
      </c>
      <c r="F18434" s="557">
        <v>12.01</v>
      </c>
      <c r="G18434" s="557">
        <v>0.25</v>
      </c>
      <c r="H18434" s="558">
        <v>211.56</v>
      </c>
      <c r="I18434" s="558">
        <v>145.35</v>
      </c>
      <c r="J18434" s="558">
        <v>63.33</v>
      </c>
      <c r="K18434" s="558">
        <v>2.88</v>
      </c>
      <c r="L18434" s="43">
        <v>8.4963855421686745</v>
      </c>
      <c r="M18434" s="43">
        <v>11.499208860759493</v>
      </c>
      <c r="N18434" s="43">
        <v>5.2731057452123231</v>
      </c>
      <c r="O18434" s="43">
        <v>11.52</v>
      </c>
      <c r="P18434" s="559"/>
      <c r="Q18434" s="559"/>
      <c r="R18434" s="559">
        <v>16</v>
      </c>
    </row>
    <row r="18435" spans="1:18" ht="84">
      <c r="A18435" s="555">
        <v>864</v>
      </c>
      <c r="B18435" s="552" t="s">
        <v>33318</v>
      </c>
      <c r="C18435" s="556" t="s">
        <v>33319</v>
      </c>
      <c r="D18435" s="557">
        <v>34.39</v>
      </c>
      <c r="E18435" s="557">
        <v>17.239999999999998</v>
      </c>
      <c r="F18435" s="557">
        <v>16.809999999999999</v>
      </c>
      <c r="G18435" s="557">
        <v>0.34</v>
      </c>
      <c r="H18435" s="558">
        <v>290.77999999999997</v>
      </c>
      <c r="I18435" s="558">
        <v>198.21</v>
      </c>
      <c r="J18435" s="558">
        <v>88.66</v>
      </c>
      <c r="K18435" s="558">
        <v>3.91</v>
      </c>
      <c r="L18435" s="43">
        <v>8.4553649316661819</v>
      </c>
      <c r="M18435" s="43">
        <v>11.497099767981441</v>
      </c>
      <c r="N18435" s="43">
        <v>5.2742415229030337</v>
      </c>
      <c r="O18435" s="43">
        <v>11.5</v>
      </c>
      <c r="P18435" s="559"/>
      <c r="Q18435" s="559"/>
      <c r="R18435" s="559">
        <v>16</v>
      </c>
    </row>
    <row r="18436" spans="1:18" ht="84">
      <c r="A18436" s="555">
        <v>865</v>
      </c>
      <c r="B18436" s="552" t="s">
        <v>33320</v>
      </c>
      <c r="C18436" s="556" t="s">
        <v>33321</v>
      </c>
      <c r="D18436" s="557">
        <v>29.65</v>
      </c>
      <c r="E18436" s="557">
        <v>14.94</v>
      </c>
      <c r="F18436" s="557">
        <v>14.41</v>
      </c>
      <c r="G18436" s="557">
        <v>0.3</v>
      </c>
      <c r="H18436" s="558">
        <v>251.23</v>
      </c>
      <c r="I18436" s="558">
        <v>171.78</v>
      </c>
      <c r="J18436" s="558">
        <v>76</v>
      </c>
      <c r="K18436" s="558">
        <v>3.45</v>
      </c>
      <c r="L18436" s="43">
        <v>8.4731871838111292</v>
      </c>
      <c r="M18436" s="43">
        <v>11.497991967871487</v>
      </c>
      <c r="N18436" s="43">
        <v>5.2741151977793201</v>
      </c>
      <c r="O18436" s="43">
        <v>11.500000000000002</v>
      </c>
      <c r="P18436" s="559"/>
      <c r="Q18436" s="559"/>
      <c r="R18436" s="559">
        <v>16</v>
      </c>
    </row>
    <row r="18437" spans="1:18" ht="84">
      <c r="A18437" s="555">
        <v>866</v>
      </c>
      <c r="B18437" s="552" t="s">
        <v>33322</v>
      </c>
      <c r="C18437" s="556" t="s">
        <v>33323</v>
      </c>
      <c r="D18437" s="557">
        <v>36.770000000000003</v>
      </c>
      <c r="E18437" s="557">
        <v>18.38</v>
      </c>
      <c r="F18437" s="557">
        <v>18.02</v>
      </c>
      <c r="G18437" s="557">
        <v>0.37</v>
      </c>
      <c r="H18437" s="558">
        <v>310.68</v>
      </c>
      <c r="I18437" s="558">
        <v>211.42</v>
      </c>
      <c r="J18437" s="558">
        <v>95</v>
      </c>
      <c r="K18437" s="558">
        <v>4.26</v>
      </c>
      <c r="L18437" s="43">
        <v>8.4492793037802549</v>
      </c>
      <c r="M18437" s="43">
        <v>11.502720348204571</v>
      </c>
      <c r="N18437" s="43">
        <v>5.2719200887902335</v>
      </c>
      <c r="O18437" s="43">
        <v>11.503164556962025</v>
      </c>
      <c r="P18437" s="559"/>
      <c r="Q18437" s="559"/>
      <c r="R18437" s="559">
        <v>16</v>
      </c>
    </row>
    <row r="18438" spans="1:18" ht="84">
      <c r="A18438" s="555">
        <v>867</v>
      </c>
      <c r="B18438" s="552" t="s">
        <v>33324</v>
      </c>
      <c r="C18438" s="556" t="s">
        <v>33325</v>
      </c>
      <c r="D18438" s="557">
        <v>48.63</v>
      </c>
      <c r="E18438" s="557">
        <v>24.13</v>
      </c>
      <c r="F18438" s="557">
        <v>24.02</v>
      </c>
      <c r="G18438" s="557">
        <v>0.48</v>
      </c>
      <c r="H18438" s="558">
        <v>409.67</v>
      </c>
      <c r="I18438" s="558">
        <v>277.49</v>
      </c>
      <c r="J18438" s="558">
        <v>126.66</v>
      </c>
      <c r="K18438" s="558">
        <v>5.52</v>
      </c>
      <c r="L18438" s="43">
        <v>8.4242237302076912</v>
      </c>
      <c r="M18438" s="43">
        <v>11.499792789059263</v>
      </c>
      <c r="N18438" s="43">
        <v>5.2731057452123231</v>
      </c>
      <c r="O18438" s="43">
        <v>11.5</v>
      </c>
      <c r="P18438" s="559"/>
      <c r="Q18438" s="559"/>
      <c r="R18438" s="559">
        <v>16</v>
      </c>
    </row>
    <row r="18439" spans="1:18" ht="84">
      <c r="A18439" s="555">
        <v>868</v>
      </c>
      <c r="B18439" s="552" t="s">
        <v>33326</v>
      </c>
      <c r="C18439" s="556" t="s">
        <v>33327</v>
      </c>
      <c r="D18439" s="557">
        <v>32.020000000000003</v>
      </c>
      <c r="E18439" s="557">
        <v>16.09</v>
      </c>
      <c r="F18439" s="557">
        <v>15.61</v>
      </c>
      <c r="G18439" s="557">
        <v>0.32</v>
      </c>
      <c r="H18439" s="558">
        <v>271.01</v>
      </c>
      <c r="I18439" s="558">
        <v>185</v>
      </c>
      <c r="J18439" s="558">
        <v>82.33</v>
      </c>
      <c r="K18439" s="558">
        <v>3.68</v>
      </c>
      <c r="L18439" s="43">
        <v>8.4637726420986876</v>
      </c>
      <c r="M18439" s="43">
        <v>11.497824735860783</v>
      </c>
      <c r="N18439" s="43">
        <v>5.2741832158872519</v>
      </c>
      <c r="O18439" s="43">
        <v>11.5</v>
      </c>
      <c r="P18439" s="559"/>
      <c r="Q18439" s="559"/>
      <c r="R18439" s="559">
        <v>16</v>
      </c>
    </row>
    <row r="18440" spans="1:18" ht="84">
      <c r="A18440" s="555">
        <v>869</v>
      </c>
      <c r="B18440" s="552" t="s">
        <v>33328</v>
      </c>
      <c r="C18440" s="556" t="s">
        <v>33329</v>
      </c>
      <c r="D18440" s="557">
        <v>36.770000000000003</v>
      </c>
      <c r="E18440" s="557">
        <v>18.38</v>
      </c>
      <c r="F18440" s="557">
        <v>18.02</v>
      </c>
      <c r="G18440" s="557">
        <v>0.37</v>
      </c>
      <c r="H18440" s="558">
        <v>310.68</v>
      </c>
      <c r="I18440" s="558">
        <v>211.42</v>
      </c>
      <c r="J18440" s="558">
        <v>95</v>
      </c>
      <c r="K18440" s="558">
        <v>4.26</v>
      </c>
      <c r="L18440" s="43">
        <v>8.4492793037802549</v>
      </c>
      <c r="M18440" s="43">
        <v>11.502720348204571</v>
      </c>
      <c r="N18440" s="43">
        <v>5.2719200887902335</v>
      </c>
      <c r="O18440" s="43">
        <v>11.503164556962025</v>
      </c>
      <c r="P18440" s="559"/>
      <c r="Q18440" s="559"/>
      <c r="R18440" s="559">
        <v>16</v>
      </c>
    </row>
    <row r="18441" spans="1:18" ht="84">
      <c r="A18441" s="555">
        <v>870</v>
      </c>
      <c r="B18441" s="552" t="s">
        <v>33330</v>
      </c>
      <c r="C18441" s="556" t="s">
        <v>33331</v>
      </c>
      <c r="D18441" s="557">
        <v>51.01</v>
      </c>
      <c r="E18441" s="557">
        <v>25.28</v>
      </c>
      <c r="F18441" s="557">
        <v>25.22</v>
      </c>
      <c r="G18441" s="557">
        <v>0.51</v>
      </c>
      <c r="H18441" s="558">
        <v>429.57</v>
      </c>
      <c r="I18441" s="558">
        <v>290.70999999999998</v>
      </c>
      <c r="J18441" s="558">
        <v>132.99</v>
      </c>
      <c r="K18441" s="558">
        <v>5.87</v>
      </c>
      <c r="L18441" s="43">
        <v>8.4212899431484018</v>
      </c>
      <c r="M18441" s="43">
        <v>11.499604430379746</v>
      </c>
      <c r="N18441" s="43">
        <v>5.2731958762886606</v>
      </c>
      <c r="O18441" s="43">
        <v>11.503164556962025</v>
      </c>
      <c r="P18441" s="559"/>
      <c r="Q18441" s="559"/>
      <c r="R18441" s="559">
        <v>16</v>
      </c>
    </row>
    <row r="18442" spans="1:18" ht="84">
      <c r="A18442" s="555">
        <v>871</v>
      </c>
      <c r="B18442" s="552" t="s">
        <v>33332</v>
      </c>
      <c r="C18442" s="556" t="s">
        <v>33333</v>
      </c>
      <c r="D18442" s="557">
        <v>65.239999999999995</v>
      </c>
      <c r="E18442" s="557">
        <v>32.17</v>
      </c>
      <c r="F18442" s="557">
        <v>32.43</v>
      </c>
      <c r="G18442" s="557">
        <v>0.64</v>
      </c>
      <c r="H18442" s="558">
        <v>548.34</v>
      </c>
      <c r="I18442" s="558">
        <v>369.99</v>
      </c>
      <c r="J18442" s="558">
        <v>170.99</v>
      </c>
      <c r="K18442" s="558">
        <v>7.36</v>
      </c>
      <c r="L18442" s="43">
        <v>8.404966278356838</v>
      </c>
      <c r="M18442" s="43">
        <v>11.501087970158533</v>
      </c>
      <c r="N18442" s="43">
        <v>5.2725871106999698</v>
      </c>
      <c r="O18442" s="43">
        <v>11.5</v>
      </c>
      <c r="P18442" s="559"/>
      <c r="Q18442" s="559"/>
      <c r="R18442" s="559">
        <v>16</v>
      </c>
    </row>
    <row r="18443" spans="1:18" ht="84">
      <c r="A18443" s="555">
        <v>872</v>
      </c>
      <c r="B18443" s="552" t="s">
        <v>33334</v>
      </c>
      <c r="C18443" s="556" t="s">
        <v>33335</v>
      </c>
      <c r="D18443" s="557">
        <v>78.28</v>
      </c>
      <c r="E18443" s="557">
        <v>39.07</v>
      </c>
      <c r="F18443" s="557">
        <v>38.43</v>
      </c>
      <c r="G18443" s="557">
        <v>0.78</v>
      </c>
      <c r="H18443" s="558">
        <v>660.91</v>
      </c>
      <c r="I18443" s="558">
        <v>449.28</v>
      </c>
      <c r="J18443" s="558">
        <v>202.66</v>
      </c>
      <c r="K18443" s="558">
        <v>8.9700000000000006</v>
      </c>
      <c r="L18443" s="43">
        <v>8.4428972917731215</v>
      </c>
      <c r="M18443" s="43">
        <v>11.499360122856411</v>
      </c>
      <c r="N18443" s="43">
        <v>5.2734842570908143</v>
      </c>
      <c r="O18443" s="43">
        <v>11.5</v>
      </c>
      <c r="P18443" s="559"/>
      <c r="Q18443" s="559"/>
      <c r="R18443" s="559">
        <v>16</v>
      </c>
    </row>
    <row r="18444" spans="1:18" ht="84">
      <c r="A18444" s="555">
        <v>873</v>
      </c>
      <c r="B18444" s="552" t="s">
        <v>33336</v>
      </c>
      <c r="C18444" s="556" t="s">
        <v>33337</v>
      </c>
      <c r="D18444" s="557">
        <v>36.770000000000003</v>
      </c>
      <c r="E18444" s="557">
        <v>18.38</v>
      </c>
      <c r="F18444" s="557">
        <v>18.02</v>
      </c>
      <c r="G18444" s="557">
        <v>0.37</v>
      </c>
      <c r="H18444" s="558">
        <v>310.68</v>
      </c>
      <c r="I18444" s="558">
        <v>211.42</v>
      </c>
      <c r="J18444" s="558">
        <v>95</v>
      </c>
      <c r="K18444" s="558">
        <v>4.26</v>
      </c>
      <c r="L18444" s="43">
        <v>8.4492793037802549</v>
      </c>
      <c r="M18444" s="43">
        <v>11.502720348204571</v>
      </c>
      <c r="N18444" s="43">
        <v>5.2719200887902335</v>
      </c>
      <c r="O18444" s="43">
        <v>11.513513513513512</v>
      </c>
      <c r="P18444" s="559"/>
      <c r="Q18444" s="559"/>
      <c r="R18444" s="559">
        <v>16</v>
      </c>
    </row>
    <row r="18445" spans="1:18" ht="84">
      <c r="A18445" s="555">
        <v>874</v>
      </c>
      <c r="B18445" s="552" t="s">
        <v>33338</v>
      </c>
      <c r="C18445" s="556" t="s">
        <v>33339</v>
      </c>
      <c r="D18445" s="557">
        <v>43.89</v>
      </c>
      <c r="E18445" s="557">
        <v>21.83</v>
      </c>
      <c r="F18445" s="557">
        <v>21.62</v>
      </c>
      <c r="G18445" s="557">
        <v>0.44</v>
      </c>
      <c r="H18445" s="558">
        <v>370.12</v>
      </c>
      <c r="I18445" s="558">
        <v>251.07</v>
      </c>
      <c r="J18445" s="558">
        <v>113.99</v>
      </c>
      <c r="K18445" s="558">
        <v>5.0599999999999996</v>
      </c>
      <c r="L18445" s="43">
        <v>8.432900432900432</v>
      </c>
      <c r="M18445" s="43">
        <v>11.50114521300962</v>
      </c>
      <c r="N18445" s="43">
        <v>5.2724329324699344</v>
      </c>
      <c r="O18445" s="43">
        <v>11.499999999999998</v>
      </c>
      <c r="P18445" s="559"/>
      <c r="Q18445" s="559"/>
      <c r="R18445" s="559">
        <v>16</v>
      </c>
    </row>
    <row r="18446" spans="1:18" ht="84">
      <c r="A18446" s="555">
        <v>875</v>
      </c>
      <c r="B18446" s="552" t="s">
        <v>33340</v>
      </c>
      <c r="C18446" s="556" t="s">
        <v>33341</v>
      </c>
      <c r="D18446" s="557">
        <v>58.12</v>
      </c>
      <c r="E18446" s="557">
        <v>28.73</v>
      </c>
      <c r="F18446" s="557">
        <v>28.82</v>
      </c>
      <c r="G18446" s="557">
        <v>0.56999999999999995</v>
      </c>
      <c r="H18446" s="558">
        <v>488.9</v>
      </c>
      <c r="I18446" s="558">
        <v>330.35</v>
      </c>
      <c r="J18446" s="558">
        <v>151.99</v>
      </c>
      <c r="K18446" s="558">
        <v>6.56</v>
      </c>
      <c r="L18446" s="43">
        <v>8.4119064005505848</v>
      </c>
      <c r="M18446" s="43">
        <v>11.498433693003829</v>
      </c>
      <c r="N18446" s="43">
        <v>5.2737682165163084</v>
      </c>
      <c r="O18446" s="43">
        <v>11.503164556962025</v>
      </c>
      <c r="P18446" s="559"/>
      <c r="Q18446" s="559"/>
      <c r="R18446" s="559">
        <v>16</v>
      </c>
    </row>
    <row r="18447" spans="1:18" ht="84">
      <c r="A18447" s="555">
        <v>876</v>
      </c>
      <c r="B18447" s="552" t="s">
        <v>33342</v>
      </c>
      <c r="C18447" s="556" t="s">
        <v>33343</v>
      </c>
      <c r="D18447" s="557">
        <v>75.91</v>
      </c>
      <c r="E18447" s="557">
        <v>37.92</v>
      </c>
      <c r="F18447" s="557">
        <v>37.229999999999997</v>
      </c>
      <c r="G18447" s="557">
        <v>0.76</v>
      </c>
      <c r="H18447" s="558">
        <v>641.12</v>
      </c>
      <c r="I18447" s="558">
        <v>436.06</v>
      </c>
      <c r="J18447" s="558">
        <v>196.32</v>
      </c>
      <c r="K18447" s="558">
        <v>8.74</v>
      </c>
      <c r="L18447" s="43">
        <v>8.4457910683704398</v>
      </c>
      <c r="M18447" s="43">
        <v>11.499472573839663</v>
      </c>
      <c r="N18447" s="43">
        <v>5.2731668009669628</v>
      </c>
      <c r="O18447" s="43">
        <v>11.5</v>
      </c>
      <c r="P18447" s="559"/>
      <c r="Q18447" s="559"/>
      <c r="R18447" s="559">
        <v>16</v>
      </c>
    </row>
    <row r="18448" spans="1:18" ht="84">
      <c r="A18448" s="555">
        <v>877</v>
      </c>
      <c r="B18448" s="552" t="s">
        <v>33344</v>
      </c>
      <c r="C18448" s="556" t="s">
        <v>33345</v>
      </c>
      <c r="D18448" s="557">
        <v>92.52</v>
      </c>
      <c r="E18448" s="557">
        <v>45.96</v>
      </c>
      <c r="F18448" s="557">
        <v>45.64</v>
      </c>
      <c r="G18448" s="557">
        <v>0.92</v>
      </c>
      <c r="H18448" s="558">
        <v>779.79</v>
      </c>
      <c r="I18448" s="558">
        <v>528.55999999999995</v>
      </c>
      <c r="J18448" s="558">
        <v>240.65</v>
      </c>
      <c r="K18448" s="558">
        <v>10.58</v>
      </c>
      <c r="L18448" s="43">
        <v>8.4283398184176388</v>
      </c>
      <c r="M18448" s="43">
        <v>11.500435161009571</v>
      </c>
      <c r="N18448" s="43">
        <v>5.2727870289219982</v>
      </c>
      <c r="O18448" s="43">
        <v>11.5</v>
      </c>
      <c r="P18448" s="559"/>
      <c r="Q18448" s="559"/>
      <c r="R18448" s="559">
        <v>16</v>
      </c>
    </row>
    <row r="18449" spans="1:18" ht="84">
      <c r="A18449" s="555">
        <v>878</v>
      </c>
      <c r="B18449" s="552" t="s">
        <v>33346</v>
      </c>
      <c r="C18449" s="556" t="s">
        <v>33347</v>
      </c>
      <c r="D18449" s="557">
        <v>36.770000000000003</v>
      </c>
      <c r="E18449" s="557">
        <v>18.38</v>
      </c>
      <c r="F18449" s="557">
        <v>18.02</v>
      </c>
      <c r="G18449" s="557">
        <v>0.37</v>
      </c>
      <c r="H18449" s="558">
        <v>310.68</v>
      </c>
      <c r="I18449" s="558">
        <v>211.42</v>
      </c>
      <c r="J18449" s="558">
        <v>95</v>
      </c>
      <c r="K18449" s="558">
        <v>4.26</v>
      </c>
      <c r="L18449" s="43">
        <v>8.4492793037802549</v>
      </c>
      <c r="M18449" s="43">
        <v>11.502720348204571</v>
      </c>
      <c r="N18449" s="43">
        <v>5.2719200887902335</v>
      </c>
      <c r="O18449" s="43">
        <v>11.503164556962025</v>
      </c>
      <c r="P18449" s="559"/>
      <c r="Q18449" s="559"/>
      <c r="R18449" s="559">
        <v>16</v>
      </c>
    </row>
    <row r="18450" spans="1:18" ht="84">
      <c r="A18450" s="555">
        <v>879</v>
      </c>
      <c r="B18450" s="552" t="s">
        <v>33348</v>
      </c>
      <c r="C18450" s="556" t="s">
        <v>33349</v>
      </c>
      <c r="D18450" s="557">
        <v>43.89</v>
      </c>
      <c r="E18450" s="557">
        <v>21.83</v>
      </c>
      <c r="F18450" s="557">
        <v>21.62</v>
      </c>
      <c r="G18450" s="557">
        <v>0.44</v>
      </c>
      <c r="H18450" s="558">
        <v>370.12</v>
      </c>
      <c r="I18450" s="558">
        <v>251.07</v>
      </c>
      <c r="J18450" s="558">
        <v>113.99</v>
      </c>
      <c r="K18450" s="558">
        <v>5.0599999999999996</v>
      </c>
      <c r="L18450" s="43">
        <v>8.432900432900432</v>
      </c>
      <c r="M18450" s="43">
        <v>11.50114521300962</v>
      </c>
      <c r="N18450" s="43">
        <v>5.2724329324699344</v>
      </c>
      <c r="O18450" s="43">
        <v>11.499999999999998</v>
      </c>
      <c r="P18450" s="559"/>
      <c r="Q18450" s="559"/>
      <c r="R18450" s="559">
        <v>16</v>
      </c>
    </row>
    <row r="18451" spans="1:18" ht="84">
      <c r="A18451" s="555">
        <v>880</v>
      </c>
      <c r="B18451" s="552" t="s">
        <v>33350</v>
      </c>
      <c r="C18451" s="556" t="s">
        <v>33351</v>
      </c>
      <c r="D18451" s="557">
        <v>62.87</v>
      </c>
      <c r="E18451" s="557">
        <v>31.02</v>
      </c>
      <c r="F18451" s="557">
        <v>31.23</v>
      </c>
      <c r="G18451" s="557">
        <v>0.62</v>
      </c>
      <c r="H18451" s="558">
        <v>528.57000000000005</v>
      </c>
      <c r="I18451" s="558">
        <v>356.78</v>
      </c>
      <c r="J18451" s="558">
        <v>164.66</v>
      </c>
      <c r="K18451" s="558">
        <v>7.13</v>
      </c>
      <c r="L18451" s="43">
        <v>8.4073484968983632</v>
      </c>
      <c r="M18451" s="43">
        <v>11.50161186331399</v>
      </c>
      <c r="N18451" s="43">
        <v>5.2724943964137045</v>
      </c>
      <c r="O18451" s="43">
        <v>11.5</v>
      </c>
      <c r="P18451" s="559"/>
      <c r="Q18451" s="559"/>
      <c r="R18451" s="559">
        <v>16</v>
      </c>
    </row>
    <row r="18452" spans="1:18" ht="84">
      <c r="A18452" s="555">
        <v>881</v>
      </c>
      <c r="B18452" s="552" t="s">
        <v>33352</v>
      </c>
      <c r="C18452" s="556" t="s">
        <v>33353</v>
      </c>
      <c r="D18452" s="557">
        <v>80.650000000000006</v>
      </c>
      <c r="E18452" s="557">
        <v>40.22</v>
      </c>
      <c r="F18452" s="557">
        <v>39.630000000000003</v>
      </c>
      <c r="G18452" s="557">
        <v>0.8</v>
      </c>
      <c r="H18452" s="558">
        <v>680.68</v>
      </c>
      <c r="I18452" s="558">
        <v>462.49</v>
      </c>
      <c r="J18452" s="558">
        <v>208.99</v>
      </c>
      <c r="K18452" s="558">
        <v>9.1999999999999993</v>
      </c>
      <c r="L18452" s="43">
        <v>8.4399256044637312</v>
      </c>
      <c r="M18452" s="43">
        <v>11.499005469915465</v>
      </c>
      <c r="N18452" s="43">
        <v>5.2735301539237946</v>
      </c>
      <c r="O18452" s="43">
        <v>11.499999999999998</v>
      </c>
      <c r="P18452" s="559"/>
      <c r="Q18452" s="559"/>
      <c r="R18452" s="559">
        <v>16</v>
      </c>
    </row>
    <row r="18453" spans="1:18" ht="84">
      <c r="A18453" s="555">
        <v>882</v>
      </c>
      <c r="B18453" s="552" t="s">
        <v>33354</v>
      </c>
      <c r="C18453" s="556" t="s">
        <v>33355</v>
      </c>
      <c r="D18453" s="557">
        <v>94.89</v>
      </c>
      <c r="E18453" s="557">
        <v>47.11</v>
      </c>
      <c r="F18453" s="557">
        <v>46.84</v>
      </c>
      <c r="G18453" s="557">
        <v>0.94</v>
      </c>
      <c r="H18453" s="558">
        <v>799.57</v>
      </c>
      <c r="I18453" s="558">
        <v>541.77</v>
      </c>
      <c r="J18453" s="558">
        <v>246.99</v>
      </c>
      <c r="K18453" s="558">
        <v>10.81</v>
      </c>
      <c r="L18453" s="43">
        <v>8.4262830646011171</v>
      </c>
      <c r="M18453" s="43">
        <v>11.500106134578646</v>
      </c>
      <c r="N18453" s="43">
        <v>5.2730572160546538</v>
      </c>
      <c r="O18453" s="43">
        <v>11.500000000000002</v>
      </c>
      <c r="P18453" s="559"/>
      <c r="Q18453" s="559"/>
      <c r="R18453" s="559">
        <v>16</v>
      </c>
    </row>
    <row r="18454" spans="1:18" ht="84">
      <c r="A18454" s="555">
        <v>883</v>
      </c>
      <c r="B18454" s="552" t="s">
        <v>33356</v>
      </c>
      <c r="C18454" s="556" t="s">
        <v>33357</v>
      </c>
      <c r="D18454" s="557">
        <v>51.01</v>
      </c>
      <c r="E18454" s="557">
        <v>25.28</v>
      </c>
      <c r="F18454" s="557">
        <v>25.22</v>
      </c>
      <c r="G18454" s="557">
        <v>0.51</v>
      </c>
      <c r="H18454" s="558">
        <v>429.57</v>
      </c>
      <c r="I18454" s="558">
        <v>290.70999999999998</v>
      </c>
      <c r="J18454" s="558">
        <v>132.99</v>
      </c>
      <c r="K18454" s="558">
        <v>5.87</v>
      </c>
      <c r="L18454" s="43">
        <v>8.4212899431484018</v>
      </c>
      <c r="M18454" s="43">
        <v>11.499604430379746</v>
      </c>
      <c r="N18454" s="43">
        <v>5.2731958762886606</v>
      </c>
      <c r="O18454" s="43">
        <v>11.509803921568627</v>
      </c>
      <c r="P18454" s="559"/>
      <c r="Q18454" s="559"/>
      <c r="R18454" s="559">
        <v>16</v>
      </c>
    </row>
    <row r="18455" spans="1:18" ht="84">
      <c r="A18455" s="555">
        <v>884</v>
      </c>
      <c r="B18455" s="552" t="s">
        <v>33358</v>
      </c>
      <c r="C18455" s="556" t="s">
        <v>33359</v>
      </c>
      <c r="D18455" s="557">
        <v>73.540000000000006</v>
      </c>
      <c r="E18455" s="557">
        <v>36.770000000000003</v>
      </c>
      <c r="F18455" s="557">
        <v>36.03</v>
      </c>
      <c r="G18455" s="557">
        <v>0.74</v>
      </c>
      <c r="H18455" s="558">
        <v>621.35</v>
      </c>
      <c r="I18455" s="558">
        <v>422.85</v>
      </c>
      <c r="J18455" s="558">
        <v>189.99</v>
      </c>
      <c r="K18455" s="558">
        <v>8.51</v>
      </c>
      <c r="L18455" s="43">
        <v>8.4491433233614348</v>
      </c>
      <c r="M18455" s="43">
        <v>11.49986401958118</v>
      </c>
      <c r="N18455" s="43">
        <v>5.2731057452123231</v>
      </c>
      <c r="O18455" s="43">
        <v>11.5</v>
      </c>
      <c r="P18455" s="559"/>
      <c r="Q18455" s="559"/>
      <c r="R18455" s="559">
        <v>16</v>
      </c>
    </row>
    <row r="18456" spans="1:18" ht="84">
      <c r="A18456" s="555">
        <v>885</v>
      </c>
      <c r="B18456" s="552" t="s">
        <v>33360</v>
      </c>
      <c r="C18456" s="556" t="s">
        <v>33361</v>
      </c>
      <c r="D18456" s="557">
        <v>92.52</v>
      </c>
      <c r="E18456" s="557">
        <v>45.96</v>
      </c>
      <c r="F18456" s="557">
        <v>45.64</v>
      </c>
      <c r="G18456" s="557">
        <v>0.92</v>
      </c>
      <c r="H18456" s="558">
        <v>779.79</v>
      </c>
      <c r="I18456" s="558">
        <v>528.55999999999995</v>
      </c>
      <c r="J18456" s="558">
        <v>240.65</v>
      </c>
      <c r="K18456" s="558">
        <v>10.58</v>
      </c>
      <c r="L18456" s="43">
        <v>8.4283398184176388</v>
      </c>
      <c r="M18456" s="43">
        <v>11.500435161009571</v>
      </c>
      <c r="N18456" s="43">
        <v>5.2727870289219982</v>
      </c>
      <c r="O18456" s="43">
        <v>11.5</v>
      </c>
      <c r="P18456" s="559"/>
      <c r="Q18456" s="559"/>
      <c r="R18456" s="559">
        <v>16</v>
      </c>
    </row>
    <row r="18457" spans="1:18" ht="84">
      <c r="A18457" s="555">
        <v>886</v>
      </c>
      <c r="B18457" s="552" t="s">
        <v>33362</v>
      </c>
      <c r="C18457" s="556" t="s">
        <v>33363</v>
      </c>
      <c r="D18457" s="557">
        <v>115.05</v>
      </c>
      <c r="E18457" s="557">
        <v>57.45</v>
      </c>
      <c r="F18457" s="557">
        <v>56.45</v>
      </c>
      <c r="G18457" s="557">
        <v>1.1499999999999999</v>
      </c>
      <c r="H18457" s="558">
        <v>971.58</v>
      </c>
      <c r="I18457" s="558">
        <v>660.7</v>
      </c>
      <c r="J18457" s="558">
        <v>297.64999999999998</v>
      </c>
      <c r="K18457" s="558">
        <v>13.23</v>
      </c>
      <c r="L18457" s="43">
        <v>8.4448500651890495</v>
      </c>
      <c r="M18457" s="43">
        <v>11.500435161009573</v>
      </c>
      <c r="N18457" s="43">
        <v>5.272807794508414</v>
      </c>
      <c r="O18457" s="43">
        <v>11.504347826086958</v>
      </c>
      <c r="P18457" s="559"/>
      <c r="Q18457" s="559"/>
      <c r="R18457" s="559">
        <v>16</v>
      </c>
    </row>
    <row r="18458" spans="1:18" ht="84">
      <c r="A18458" s="555">
        <v>887</v>
      </c>
      <c r="B18458" s="552" t="s">
        <v>33364</v>
      </c>
      <c r="C18458" s="556" t="s">
        <v>33365</v>
      </c>
      <c r="D18458" s="557">
        <v>58.12</v>
      </c>
      <c r="E18458" s="557">
        <v>28.73</v>
      </c>
      <c r="F18458" s="557">
        <v>28.82</v>
      </c>
      <c r="G18458" s="557">
        <v>0.56999999999999995</v>
      </c>
      <c r="H18458" s="558">
        <v>488.9</v>
      </c>
      <c r="I18458" s="558">
        <v>330.35</v>
      </c>
      <c r="J18458" s="558">
        <v>151.99</v>
      </c>
      <c r="K18458" s="558">
        <v>6.56</v>
      </c>
      <c r="L18458" s="43">
        <v>8.4119064005505848</v>
      </c>
      <c r="M18458" s="43">
        <v>11.498433693003829</v>
      </c>
      <c r="N18458" s="43">
        <v>5.2737682165163084</v>
      </c>
      <c r="O18458" s="43">
        <v>11.503164556962025</v>
      </c>
      <c r="P18458" s="559"/>
      <c r="Q18458" s="559"/>
      <c r="R18458" s="559">
        <v>16</v>
      </c>
    </row>
    <row r="18459" spans="1:18" ht="84">
      <c r="A18459" s="555">
        <v>888</v>
      </c>
      <c r="B18459" s="552" t="s">
        <v>33366</v>
      </c>
      <c r="C18459" s="556" t="s">
        <v>33367</v>
      </c>
      <c r="D18459" s="557">
        <v>80.650000000000006</v>
      </c>
      <c r="E18459" s="557">
        <v>40.22</v>
      </c>
      <c r="F18459" s="557">
        <v>39.630000000000003</v>
      </c>
      <c r="G18459" s="557">
        <v>0.8</v>
      </c>
      <c r="H18459" s="558">
        <v>680.68</v>
      </c>
      <c r="I18459" s="558">
        <v>462.49</v>
      </c>
      <c r="J18459" s="558">
        <v>208.99</v>
      </c>
      <c r="K18459" s="558">
        <v>9.1999999999999993</v>
      </c>
      <c r="L18459" s="43">
        <v>8.4399256044637312</v>
      </c>
      <c r="M18459" s="43">
        <v>11.499005469915465</v>
      </c>
      <c r="N18459" s="43">
        <v>5.2735301539237946</v>
      </c>
      <c r="O18459" s="43">
        <v>11.499999999999998</v>
      </c>
      <c r="P18459" s="559"/>
      <c r="Q18459" s="559"/>
      <c r="R18459" s="559">
        <v>16</v>
      </c>
    </row>
    <row r="18460" spans="1:18" ht="84">
      <c r="A18460" s="555">
        <v>889</v>
      </c>
      <c r="B18460" s="552" t="s">
        <v>33368</v>
      </c>
      <c r="C18460" s="556" t="s">
        <v>33369</v>
      </c>
      <c r="D18460" s="557">
        <v>102.01</v>
      </c>
      <c r="E18460" s="557">
        <v>50.56</v>
      </c>
      <c r="F18460" s="557">
        <v>50.44</v>
      </c>
      <c r="G18460" s="557">
        <v>1.01</v>
      </c>
      <c r="H18460" s="558">
        <v>859.03</v>
      </c>
      <c r="I18460" s="558">
        <v>581.41999999999996</v>
      </c>
      <c r="J18460" s="558">
        <v>265.99</v>
      </c>
      <c r="K18460" s="558">
        <v>11.62</v>
      </c>
      <c r="L18460" s="43">
        <v>8.4210371532202721</v>
      </c>
      <c r="M18460" s="43">
        <v>11.499604430379746</v>
      </c>
      <c r="N18460" s="43">
        <v>5.2733941316415551</v>
      </c>
      <c r="O18460" s="43">
        <v>11.504950495049505</v>
      </c>
      <c r="P18460" s="559"/>
      <c r="Q18460" s="559"/>
      <c r="R18460" s="559">
        <v>16</v>
      </c>
    </row>
    <row r="18461" spans="1:18" ht="84">
      <c r="A18461" s="555">
        <v>890</v>
      </c>
      <c r="B18461" s="552" t="s">
        <v>33370</v>
      </c>
      <c r="C18461" s="556" t="s">
        <v>33371</v>
      </c>
      <c r="D18461" s="557">
        <v>124.54</v>
      </c>
      <c r="E18461" s="557">
        <v>62.05</v>
      </c>
      <c r="F18461" s="557">
        <v>61.25</v>
      </c>
      <c r="G18461" s="557">
        <v>1.24</v>
      </c>
      <c r="H18461" s="558">
        <v>1050.8</v>
      </c>
      <c r="I18461" s="558">
        <v>713.56</v>
      </c>
      <c r="J18461" s="558">
        <v>322.98</v>
      </c>
      <c r="K18461" s="558">
        <v>14.26</v>
      </c>
      <c r="L18461" s="43">
        <v>8.4374498153203774</v>
      </c>
      <c r="M18461" s="43">
        <v>11.499758259468171</v>
      </c>
      <c r="N18461" s="43">
        <v>5.2731428571428571</v>
      </c>
      <c r="O18461" s="43">
        <v>11.5</v>
      </c>
      <c r="P18461" s="559"/>
      <c r="Q18461" s="559"/>
      <c r="R18461" s="559">
        <v>16</v>
      </c>
    </row>
    <row r="18462" spans="1:18" ht="84">
      <c r="A18462" s="555">
        <v>891</v>
      </c>
      <c r="B18462" s="552" t="s">
        <v>33372</v>
      </c>
      <c r="C18462" s="556" t="s">
        <v>33373</v>
      </c>
      <c r="D18462" s="557">
        <v>65.239999999999995</v>
      </c>
      <c r="E18462" s="557">
        <v>32.17</v>
      </c>
      <c r="F18462" s="557">
        <v>32.43</v>
      </c>
      <c r="G18462" s="557">
        <v>0.64</v>
      </c>
      <c r="H18462" s="558">
        <v>548.34</v>
      </c>
      <c r="I18462" s="558">
        <v>369.99</v>
      </c>
      <c r="J18462" s="558">
        <v>170.99</v>
      </c>
      <c r="K18462" s="558">
        <v>7.36</v>
      </c>
      <c r="L18462" s="43">
        <v>8.404966278356838</v>
      </c>
      <c r="M18462" s="43">
        <v>11.501087970158533</v>
      </c>
      <c r="N18462" s="43">
        <v>5.2725871106999698</v>
      </c>
      <c r="O18462" s="43">
        <v>11.5</v>
      </c>
      <c r="P18462" s="559"/>
      <c r="Q18462" s="559"/>
      <c r="R18462" s="559">
        <v>16</v>
      </c>
    </row>
    <row r="18463" spans="1:18" ht="84">
      <c r="A18463" s="555">
        <v>892</v>
      </c>
      <c r="B18463" s="552" t="s">
        <v>33374</v>
      </c>
      <c r="C18463" s="556" t="s">
        <v>33375</v>
      </c>
      <c r="D18463" s="557">
        <v>92.52</v>
      </c>
      <c r="E18463" s="557">
        <v>45.96</v>
      </c>
      <c r="F18463" s="557">
        <v>45.64</v>
      </c>
      <c r="G18463" s="557">
        <v>0.92</v>
      </c>
      <c r="H18463" s="558">
        <v>779.79</v>
      </c>
      <c r="I18463" s="558">
        <v>528.55999999999995</v>
      </c>
      <c r="J18463" s="558">
        <v>240.65</v>
      </c>
      <c r="K18463" s="558">
        <v>10.58</v>
      </c>
      <c r="L18463" s="43">
        <v>8.4283398184176388</v>
      </c>
      <c r="M18463" s="43">
        <v>11.500435161009571</v>
      </c>
      <c r="N18463" s="43">
        <v>5.2727870289219982</v>
      </c>
      <c r="O18463" s="43">
        <v>11.5</v>
      </c>
      <c r="P18463" s="559"/>
      <c r="Q18463" s="559"/>
      <c r="R18463" s="559">
        <v>16</v>
      </c>
    </row>
    <row r="18464" spans="1:18" ht="84">
      <c r="A18464" s="555">
        <v>893</v>
      </c>
      <c r="B18464" s="552" t="s">
        <v>33376</v>
      </c>
      <c r="C18464" s="556" t="s">
        <v>33377</v>
      </c>
      <c r="D18464" s="557">
        <v>116.25</v>
      </c>
      <c r="E18464" s="557">
        <v>57.45</v>
      </c>
      <c r="F18464" s="557">
        <v>57.65</v>
      </c>
      <c r="G18464" s="557">
        <v>1.1499999999999999</v>
      </c>
      <c r="H18464" s="558">
        <v>977.91</v>
      </c>
      <c r="I18464" s="558">
        <v>660.7</v>
      </c>
      <c r="J18464" s="558">
        <v>303.98</v>
      </c>
      <c r="K18464" s="558">
        <v>13.23</v>
      </c>
      <c r="L18464" s="43">
        <v>8.4121290322580649</v>
      </c>
      <c r="M18464" s="43">
        <v>11.500435161009573</v>
      </c>
      <c r="N18464" s="43">
        <v>5.2728534258456206</v>
      </c>
      <c r="O18464" s="43">
        <v>11.504347826086958</v>
      </c>
      <c r="P18464" s="559"/>
      <c r="Q18464" s="559"/>
      <c r="R18464" s="559">
        <v>16</v>
      </c>
    </row>
    <row r="18465" spans="1:18" ht="84">
      <c r="A18465" s="555">
        <v>894</v>
      </c>
      <c r="B18465" s="552" t="s">
        <v>33378</v>
      </c>
      <c r="C18465" s="556" t="s">
        <v>33379</v>
      </c>
      <c r="D18465" s="557">
        <v>143.52000000000001</v>
      </c>
      <c r="E18465" s="557">
        <v>71.239999999999995</v>
      </c>
      <c r="F18465" s="557">
        <v>70.86</v>
      </c>
      <c r="G18465" s="557">
        <v>1.42</v>
      </c>
      <c r="H18465" s="558">
        <v>1209.25</v>
      </c>
      <c r="I18465" s="558">
        <v>819.27</v>
      </c>
      <c r="J18465" s="558">
        <v>373.65</v>
      </c>
      <c r="K18465" s="558">
        <v>16.329999999999998</v>
      </c>
      <c r="L18465" s="43">
        <v>8.4256549609810474</v>
      </c>
      <c r="M18465" s="43">
        <v>11.500140370578327</v>
      </c>
      <c r="N18465" s="43">
        <v>5.2730736663844198</v>
      </c>
      <c r="O18465" s="43">
        <v>11.5</v>
      </c>
      <c r="P18465" s="559"/>
      <c r="Q18465" s="559"/>
      <c r="R18465" s="559">
        <v>16</v>
      </c>
    </row>
    <row r="18466" spans="1:18" ht="84">
      <c r="A18466" s="555">
        <v>895</v>
      </c>
      <c r="B18466" s="552" t="s">
        <v>33380</v>
      </c>
      <c r="C18466" s="556" t="s">
        <v>33381</v>
      </c>
      <c r="D18466" s="557">
        <v>78.28</v>
      </c>
      <c r="E18466" s="557">
        <v>39.07</v>
      </c>
      <c r="F18466" s="557">
        <v>38.43</v>
      </c>
      <c r="G18466" s="557">
        <v>0.78</v>
      </c>
      <c r="H18466" s="558">
        <v>660.91</v>
      </c>
      <c r="I18466" s="558">
        <v>449.28</v>
      </c>
      <c r="J18466" s="558">
        <v>202.66</v>
      </c>
      <c r="K18466" s="558">
        <v>8.9700000000000006</v>
      </c>
      <c r="L18466" s="43">
        <v>8.4428972917731215</v>
      </c>
      <c r="M18466" s="43">
        <v>11.499360122856411</v>
      </c>
      <c r="N18466" s="43">
        <v>5.2734842570908143</v>
      </c>
      <c r="O18466" s="43">
        <v>11.5</v>
      </c>
      <c r="P18466" s="559"/>
      <c r="Q18466" s="559"/>
      <c r="R18466" s="559">
        <v>16</v>
      </c>
    </row>
    <row r="18467" spans="1:18" ht="84">
      <c r="A18467" s="555">
        <v>896</v>
      </c>
      <c r="B18467" s="552" t="s">
        <v>33382</v>
      </c>
      <c r="C18467" s="556" t="s">
        <v>33383</v>
      </c>
      <c r="D18467" s="557">
        <v>106.75</v>
      </c>
      <c r="E18467" s="557">
        <v>52.85</v>
      </c>
      <c r="F18467" s="557">
        <v>52.84</v>
      </c>
      <c r="G18467" s="557">
        <v>1.06</v>
      </c>
      <c r="H18467" s="558">
        <v>898.68</v>
      </c>
      <c r="I18467" s="558">
        <v>607.84</v>
      </c>
      <c r="J18467" s="558">
        <v>278.64999999999998</v>
      </c>
      <c r="K18467" s="558">
        <v>12.19</v>
      </c>
      <c r="L18467" s="43">
        <v>8.4185480093676812</v>
      </c>
      <c r="M18467" s="43">
        <v>11.501229895931884</v>
      </c>
      <c r="N18467" s="43">
        <v>5.2734670704012103</v>
      </c>
      <c r="O18467" s="43">
        <v>11.499999999999998</v>
      </c>
      <c r="P18467" s="559"/>
      <c r="Q18467" s="559"/>
      <c r="R18467" s="559">
        <v>16</v>
      </c>
    </row>
    <row r="18468" spans="1:18" ht="84">
      <c r="A18468" s="555">
        <v>897</v>
      </c>
      <c r="B18468" s="552" t="s">
        <v>33384</v>
      </c>
      <c r="C18468" s="556" t="s">
        <v>33385</v>
      </c>
      <c r="D18468" s="557">
        <v>134.03</v>
      </c>
      <c r="E18468" s="557">
        <v>66.64</v>
      </c>
      <c r="F18468" s="557">
        <v>66.06</v>
      </c>
      <c r="G18468" s="557">
        <v>1.33</v>
      </c>
      <c r="H18468" s="558">
        <v>1130.03</v>
      </c>
      <c r="I18468" s="558">
        <v>766.41</v>
      </c>
      <c r="J18468" s="558">
        <v>348.32</v>
      </c>
      <c r="K18468" s="558">
        <v>15.3</v>
      </c>
      <c r="L18468" s="43">
        <v>8.4311721256435117</v>
      </c>
      <c r="M18468" s="43">
        <v>11.500750300120048</v>
      </c>
      <c r="N18468" s="43">
        <v>5.272782319103845</v>
      </c>
      <c r="O18468" s="43">
        <v>11.503759398496241</v>
      </c>
      <c r="P18468" s="559"/>
      <c r="Q18468" s="559"/>
      <c r="R18468" s="559">
        <v>16</v>
      </c>
    </row>
    <row r="18469" spans="1:18" ht="84">
      <c r="A18469" s="555">
        <v>898</v>
      </c>
      <c r="B18469" s="552" t="s">
        <v>33386</v>
      </c>
      <c r="C18469" s="556" t="s">
        <v>33387</v>
      </c>
      <c r="D18469" s="557">
        <v>164.88</v>
      </c>
      <c r="E18469" s="557">
        <v>81.58</v>
      </c>
      <c r="F18469" s="557">
        <v>81.67</v>
      </c>
      <c r="G18469" s="557">
        <v>1.63</v>
      </c>
      <c r="H18469" s="558">
        <v>1387.58</v>
      </c>
      <c r="I18469" s="558">
        <v>938.19</v>
      </c>
      <c r="J18469" s="558">
        <v>430.64</v>
      </c>
      <c r="K18469" s="558">
        <v>18.75</v>
      </c>
      <c r="L18469" s="43">
        <v>8.4156962639495383</v>
      </c>
      <c r="M18469" s="43">
        <v>11.500245158126992</v>
      </c>
      <c r="N18469" s="43">
        <v>5.2729276356067096</v>
      </c>
      <c r="O18469" s="43">
        <v>11.503067484662578</v>
      </c>
      <c r="P18469" s="559"/>
      <c r="Q18469" s="559"/>
      <c r="R18469" s="559">
        <v>16</v>
      </c>
    </row>
    <row r="18470" spans="1:18" ht="84">
      <c r="A18470" s="555">
        <v>899</v>
      </c>
      <c r="B18470" s="552" t="s">
        <v>33388</v>
      </c>
      <c r="C18470" s="556" t="s">
        <v>33389</v>
      </c>
      <c r="D18470" s="557">
        <v>92.52</v>
      </c>
      <c r="E18470" s="557">
        <v>45.96</v>
      </c>
      <c r="F18470" s="557">
        <v>45.64</v>
      </c>
      <c r="G18470" s="557">
        <v>0.92</v>
      </c>
      <c r="H18470" s="558">
        <v>779.79</v>
      </c>
      <c r="I18470" s="558">
        <v>528.55999999999995</v>
      </c>
      <c r="J18470" s="558">
        <v>240.65</v>
      </c>
      <c r="K18470" s="558">
        <v>10.58</v>
      </c>
      <c r="L18470" s="43">
        <v>8.4283398184176388</v>
      </c>
      <c r="M18470" s="43">
        <v>11.500435161009571</v>
      </c>
      <c r="N18470" s="43">
        <v>5.2727870289219982</v>
      </c>
      <c r="O18470" s="43">
        <v>11.5</v>
      </c>
      <c r="P18470" s="559"/>
      <c r="Q18470" s="559"/>
      <c r="R18470" s="559">
        <v>16</v>
      </c>
    </row>
    <row r="18471" spans="1:18" ht="84">
      <c r="A18471" s="555">
        <v>900</v>
      </c>
      <c r="B18471" s="552" t="s">
        <v>33390</v>
      </c>
      <c r="C18471" s="556" t="s">
        <v>33391</v>
      </c>
      <c r="D18471" s="557">
        <v>122.17</v>
      </c>
      <c r="E18471" s="557">
        <v>60.9</v>
      </c>
      <c r="F18471" s="557">
        <v>60.05</v>
      </c>
      <c r="G18471" s="557">
        <v>1.22</v>
      </c>
      <c r="H18471" s="558">
        <v>1031.02</v>
      </c>
      <c r="I18471" s="558">
        <v>700.34</v>
      </c>
      <c r="J18471" s="558">
        <v>316.64999999999998</v>
      </c>
      <c r="K18471" s="558">
        <v>14.03</v>
      </c>
      <c r="L18471" s="43">
        <v>8.439224032086436</v>
      </c>
      <c r="M18471" s="43">
        <v>11.499835796387522</v>
      </c>
      <c r="N18471" s="43">
        <v>5.2731057452123231</v>
      </c>
      <c r="O18471" s="43">
        <v>11.5</v>
      </c>
      <c r="P18471" s="559"/>
      <c r="Q18471" s="559"/>
      <c r="R18471" s="559">
        <v>16</v>
      </c>
    </row>
    <row r="18472" spans="1:18" ht="84">
      <c r="A18472" s="555">
        <v>901</v>
      </c>
      <c r="B18472" s="552" t="s">
        <v>33392</v>
      </c>
      <c r="C18472" s="556" t="s">
        <v>33393</v>
      </c>
      <c r="D18472" s="557">
        <v>153.01</v>
      </c>
      <c r="E18472" s="557">
        <v>75.83</v>
      </c>
      <c r="F18472" s="557">
        <v>75.66</v>
      </c>
      <c r="G18472" s="557">
        <v>1.52</v>
      </c>
      <c r="H18472" s="558">
        <v>1288.58</v>
      </c>
      <c r="I18472" s="558">
        <v>872.12</v>
      </c>
      <c r="J18472" s="558">
        <v>398.98</v>
      </c>
      <c r="K18472" s="558">
        <v>17.48</v>
      </c>
      <c r="L18472" s="43">
        <v>8.4215410757466831</v>
      </c>
      <c r="M18472" s="43">
        <v>11.500989054463933</v>
      </c>
      <c r="N18472" s="43">
        <v>5.2733280465239236</v>
      </c>
      <c r="O18472" s="43">
        <v>11.5</v>
      </c>
      <c r="P18472" s="559"/>
      <c r="Q18472" s="559"/>
      <c r="R18472" s="559">
        <v>16</v>
      </c>
    </row>
    <row r="18473" spans="1:18" ht="84">
      <c r="A18473" s="555">
        <v>902</v>
      </c>
      <c r="B18473" s="552" t="s">
        <v>33394</v>
      </c>
      <c r="C18473" s="556" t="s">
        <v>33395</v>
      </c>
      <c r="D18473" s="557">
        <v>187.41</v>
      </c>
      <c r="E18473" s="557">
        <v>93.07</v>
      </c>
      <c r="F18473" s="557">
        <v>92.48</v>
      </c>
      <c r="G18473" s="557">
        <v>1.86</v>
      </c>
      <c r="H18473" s="558">
        <v>1579.36</v>
      </c>
      <c r="I18473" s="558">
        <v>1070.33</v>
      </c>
      <c r="J18473" s="558">
        <v>487.64</v>
      </c>
      <c r="K18473" s="558">
        <v>21.39</v>
      </c>
      <c r="L18473" s="43">
        <v>8.4272984365828929</v>
      </c>
      <c r="M18473" s="43">
        <v>11.500268615020952</v>
      </c>
      <c r="N18473" s="43">
        <v>5.2729238754325252</v>
      </c>
      <c r="O18473" s="43">
        <v>11.5</v>
      </c>
      <c r="P18473" s="559"/>
      <c r="Q18473" s="559"/>
      <c r="R18473" s="559">
        <v>16</v>
      </c>
    </row>
    <row r="18474" spans="1:18" ht="84">
      <c r="A18474" s="555">
        <v>903</v>
      </c>
      <c r="B18474" s="552" t="s">
        <v>33396</v>
      </c>
      <c r="C18474" s="556" t="s">
        <v>33397</v>
      </c>
      <c r="D18474" s="557">
        <v>99.64</v>
      </c>
      <c r="E18474" s="557">
        <v>49.41</v>
      </c>
      <c r="F18474" s="557">
        <v>49.24</v>
      </c>
      <c r="G18474" s="557">
        <v>0.99</v>
      </c>
      <c r="H18474" s="558">
        <v>839.24</v>
      </c>
      <c r="I18474" s="558">
        <v>568.20000000000005</v>
      </c>
      <c r="J18474" s="558">
        <v>259.64999999999998</v>
      </c>
      <c r="K18474" s="558">
        <v>11.39</v>
      </c>
      <c r="L18474" s="43">
        <v>8.4227217984745089</v>
      </c>
      <c r="M18474" s="43">
        <v>11.499696417729206</v>
      </c>
      <c r="N18474" s="43">
        <v>5.2731519090170584</v>
      </c>
      <c r="O18474" s="43">
        <v>11.503164556962025</v>
      </c>
      <c r="P18474" s="559"/>
      <c r="Q18474" s="559"/>
      <c r="R18474" s="559">
        <v>16</v>
      </c>
    </row>
    <row r="18475" spans="1:18" ht="84">
      <c r="A18475" s="555">
        <v>904</v>
      </c>
      <c r="B18475" s="552" t="s">
        <v>33398</v>
      </c>
      <c r="C18475" s="556" t="s">
        <v>33399</v>
      </c>
      <c r="D18475" s="557">
        <v>122.17</v>
      </c>
      <c r="E18475" s="557">
        <v>60.9</v>
      </c>
      <c r="F18475" s="557">
        <v>60.05</v>
      </c>
      <c r="G18475" s="557">
        <v>1.22</v>
      </c>
      <c r="H18475" s="558">
        <v>1031.02</v>
      </c>
      <c r="I18475" s="558">
        <v>700.34</v>
      </c>
      <c r="J18475" s="558">
        <v>316.64999999999998</v>
      </c>
      <c r="K18475" s="558">
        <v>14.03</v>
      </c>
      <c r="L18475" s="43">
        <v>8.439224032086436</v>
      </c>
      <c r="M18475" s="43">
        <v>11.499835796387522</v>
      </c>
      <c r="N18475" s="43">
        <v>5.2731057452123231</v>
      </c>
      <c r="O18475" s="43">
        <v>11.5</v>
      </c>
      <c r="P18475" s="559"/>
      <c r="Q18475" s="559"/>
      <c r="R18475" s="559">
        <v>16</v>
      </c>
    </row>
    <row r="18476" spans="1:18" ht="84">
      <c r="A18476" s="555">
        <v>905</v>
      </c>
      <c r="B18476" s="552" t="s">
        <v>33400</v>
      </c>
      <c r="C18476" s="556" t="s">
        <v>33401</v>
      </c>
      <c r="D18476" s="557">
        <v>137.58000000000001</v>
      </c>
      <c r="E18476" s="557">
        <v>68.94</v>
      </c>
      <c r="F18476" s="557">
        <v>67.260000000000005</v>
      </c>
      <c r="G18476" s="557">
        <v>1.38</v>
      </c>
      <c r="H18476" s="558">
        <v>1163.3599999999999</v>
      </c>
      <c r="I18476" s="558">
        <v>792.84</v>
      </c>
      <c r="J18476" s="558">
        <v>354.65</v>
      </c>
      <c r="K18476" s="558">
        <v>15.87</v>
      </c>
      <c r="L18476" s="43">
        <v>8.4558802151475483</v>
      </c>
      <c r="M18476" s="43">
        <v>11.500435161009575</v>
      </c>
      <c r="N18476" s="43">
        <v>5.2728218852215276</v>
      </c>
      <c r="O18476" s="43">
        <v>11.5</v>
      </c>
      <c r="P18476" s="559"/>
      <c r="Q18476" s="559"/>
      <c r="R18476" s="559">
        <v>16</v>
      </c>
    </row>
    <row r="18477" spans="1:18" ht="84">
      <c r="A18477" s="555">
        <v>906</v>
      </c>
      <c r="B18477" s="552" t="s">
        <v>33402</v>
      </c>
      <c r="C18477" s="556" t="s">
        <v>33403</v>
      </c>
      <c r="D18477" s="557">
        <v>168.43</v>
      </c>
      <c r="E18477" s="557">
        <v>83.88</v>
      </c>
      <c r="F18477" s="557">
        <v>82.87</v>
      </c>
      <c r="G18477" s="557">
        <v>1.68</v>
      </c>
      <c r="H18477" s="558">
        <v>1420.92</v>
      </c>
      <c r="I18477" s="558">
        <v>964.62</v>
      </c>
      <c r="J18477" s="558">
        <v>436.98</v>
      </c>
      <c r="K18477" s="558">
        <v>19.32</v>
      </c>
      <c r="L18477" s="43">
        <v>8.4362643234578165</v>
      </c>
      <c r="M18477" s="43">
        <v>11.5</v>
      </c>
      <c r="N18477" s="43">
        <v>5.2730783154338123</v>
      </c>
      <c r="O18477" s="43">
        <v>11.5</v>
      </c>
      <c r="P18477" s="559"/>
      <c r="Q18477" s="559"/>
      <c r="R18477" s="559">
        <v>16</v>
      </c>
    </row>
    <row r="18478" spans="1:18" ht="12.75" customHeight="1">
      <c r="A18478" s="628" t="s">
        <v>33404</v>
      </c>
      <c r="B18478" s="629"/>
      <c r="C18478" s="629"/>
      <c r="D18478" s="629"/>
      <c r="E18478" s="629"/>
      <c r="F18478" s="629"/>
      <c r="G18478" s="629"/>
      <c r="H18478" s="629"/>
      <c r="I18478" s="629"/>
      <c r="J18478" s="629"/>
      <c r="K18478" s="629"/>
      <c r="L18478" s="629"/>
      <c r="M18478" s="629"/>
      <c r="N18478" s="629"/>
      <c r="O18478" s="629"/>
      <c r="P18478" s="629"/>
      <c r="Q18478" s="629"/>
      <c r="R18478" s="629"/>
    </row>
    <row r="18479" spans="1:18" ht="84">
      <c r="A18479" s="555">
        <v>907</v>
      </c>
      <c r="B18479" s="552" t="s">
        <v>33405</v>
      </c>
      <c r="C18479" s="556" t="s">
        <v>33406</v>
      </c>
      <c r="D18479" s="557">
        <v>6.28</v>
      </c>
      <c r="E18479" s="557">
        <v>3.1</v>
      </c>
      <c r="F18479" s="557">
        <v>3.12</v>
      </c>
      <c r="G18479" s="557">
        <v>0.06</v>
      </c>
      <c r="H18479" s="558">
        <v>52.84</v>
      </c>
      <c r="I18479" s="558">
        <v>35.68</v>
      </c>
      <c r="J18479" s="558">
        <v>16.47</v>
      </c>
      <c r="K18479" s="558">
        <v>0.69</v>
      </c>
      <c r="L18479" s="43">
        <v>8.4140127388535042</v>
      </c>
      <c r="M18479" s="43">
        <v>11.5021951219512</v>
      </c>
      <c r="N18479" s="43">
        <v>5.2788461538461533</v>
      </c>
      <c r="O18479" s="43">
        <v>11.5</v>
      </c>
      <c r="P18479" s="559"/>
      <c r="Q18479" s="559"/>
      <c r="R18479" s="559">
        <v>17</v>
      </c>
    </row>
    <row r="18480" spans="1:18" ht="84">
      <c r="A18480" s="555">
        <v>908</v>
      </c>
      <c r="B18480" s="552" t="s">
        <v>33407</v>
      </c>
      <c r="C18480" s="556" t="s">
        <v>33408</v>
      </c>
      <c r="D18480" s="557">
        <v>7.11</v>
      </c>
      <c r="E18480" s="557">
        <v>3.56</v>
      </c>
      <c r="F18480" s="557">
        <v>3.48</v>
      </c>
      <c r="G18480" s="557">
        <v>7.0000000000000007E-2</v>
      </c>
      <c r="H18480" s="558">
        <v>60.14</v>
      </c>
      <c r="I18480" s="558">
        <v>40.96</v>
      </c>
      <c r="J18480" s="558">
        <v>18.37</v>
      </c>
      <c r="K18480" s="558">
        <v>0.81</v>
      </c>
      <c r="L18480" s="43">
        <v>8.4585091420534457</v>
      </c>
      <c r="M18480" s="43">
        <v>11.5021951219512</v>
      </c>
      <c r="N18480" s="43">
        <v>5.2787356321839081</v>
      </c>
      <c r="O18480" s="43">
        <v>11.5021951219512</v>
      </c>
      <c r="P18480" s="559"/>
      <c r="Q18480" s="559"/>
      <c r="R18480" s="559">
        <v>17</v>
      </c>
    </row>
    <row r="18481" spans="1:18" ht="84">
      <c r="A18481" s="555">
        <v>909</v>
      </c>
      <c r="B18481" s="552" t="s">
        <v>33409</v>
      </c>
      <c r="C18481" s="556" t="s">
        <v>33410</v>
      </c>
      <c r="D18481" s="557">
        <v>10.68</v>
      </c>
      <c r="E18481" s="557">
        <v>5.29</v>
      </c>
      <c r="F18481" s="557">
        <v>5.28</v>
      </c>
      <c r="G18481" s="557">
        <v>0.11</v>
      </c>
      <c r="H18481" s="558">
        <v>89.92</v>
      </c>
      <c r="I18481" s="558">
        <v>60.78</v>
      </c>
      <c r="J18481" s="558">
        <v>27.87</v>
      </c>
      <c r="K18481" s="558">
        <v>1.27</v>
      </c>
      <c r="L18481" s="43">
        <v>8.4194756554307126</v>
      </c>
      <c r="M18481" s="43">
        <v>11.5</v>
      </c>
      <c r="N18481" s="43">
        <v>5.2784090909090908</v>
      </c>
      <c r="O18481" s="43">
        <v>11.5</v>
      </c>
      <c r="P18481" s="559"/>
      <c r="Q18481" s="559"/>
      <c r="R18481" s="559">
        <v>17</v>
      </c>
    </row>
    <row r="18482" spans="1:18" ht="84">
      <c r="A18482" s="555">
        <v>910</v>
      </c>
      <c r="B18482" s="552" t="s">
        <v>33411</v>
      </c>
      <c r="C18482" s="556" t="s">
        <v>33412</v>
      </c>
      <c r="D18482" s="557">
        <v>12.93</v>
      </c>
      <c r="E18482" s="557">
        <v>6.43</v>
      </c>
      <c r="F18482" s="557">
        <v>6.37</v>
      </c>
      <c r="G18482" s="557">
        <v>0.13</v>
      </c>
      <c r="H18482" s="558">
        <v>109.06</v>
      </c>
      <c r="I18482" s="558">
        <v>74</v>
      </c>
      <c r="J18482" s="558">
        <v>33.56</v>
      </c>
      <c r="K18482" s="558">
        <v>1.5</v>
      </c>
      <c r="L18482" s="43">
        <v>8.4346481051817488</v>
      </c>
      <c r="M18482" s="43">
        <v>11.5021951219512</v>
      </c>
      <c r="N18482" s="43">
        <v>5.2684458398744116</v>
      </c>
      <c r="O18482" s="43">
        <v>11.5021951219512</v>
      </c>
      <c r="P18482" s="559"/>
      <c r="Q18482" s="559"/>
      <c r="R18482" s="559">
        <v>17</v>
      </c>
    </row>
    <row r="18483" spans="1:18" ht="84">
      <c r="A18483" s="555">
        <v>911</v>
      </c>
      <c r="B18483" s="552" t="s">
        <v>33413</v>
      </c>
      <c r="C18483" s="556" t="s">
        <v>33414</v>
      </c>
      <c r="D18483" s="557">
        <v>14.12</v>
      </c>
      <c r="E18483" s="557">
        <v>7.01</v>
      </c>
      <c r="F18483" s="557">
        <v>6.97</v>
      </c>
      <c r="G18483" s="557">
        <v>0.14000000000000001</v>
      </c>
      <c r="H18483" s="558">
        <v>118.95</v>
      </c>
      <c r="I18483" s="558">
        <v>80.61</v>
      </c>
      <c r="J18483" s="558">
        <v>36.729999999999997</v>
      </c>
      <c r="K18483" s="558">
        <v>1.61</v>
      </c>
      <c r="L18483" s="43">
        <v>8.4242209631728056</v>
      </c>
      <c r="M18483" s="43">
        <v>11.499286733238231</v>
      </c>
      <c r="N18483" s="43">
        <v>5.2697274031563843</v>
      </c>
      <c r="O18483" s="43">
        <v>11.5</v>
      </c>
      <c r="P18483" s="559"/>
      <c r="Q18483" s="559"/>
      <c r="R18483" s="559">
        <v>17</v>
      </c>
    </row>
    <row r="18484" spans="1:18" ht="84">
      <c r="A18484" s="555">
        <v>912</v>
      </c>
      <c r="B18484" s="552" t="s">
        <v>33415</v>
      </c>
      <c r="C18484" s="556" t="s">
        <v>33416</v>
      </c>
      <c r="D18484" s="557">
        <v>17.079999999999998</v>
      </c>
      <c r="E18484" s="557">
        <v>8.5</v>
      </c>
      <c r="F18484" s="557">
        <v>8.41</v>
      </c>
      <c r="G18484" s="557">
        <v>0.17</v>
      </c>
      <c r="H18484" s="558">
        <v>144.07</v>
      </c>
      <c r="I18484" s="558">
        <v>97.78</v>
      </c>
      <c r="J18484" s="558">
        <v>44.33</v>
      </c>
      <c r="K18484" s="558">
        <v>1.96</v>
      </c>
      <c r="L18484" s="43">
        <v>8.4350117096018735</v>
      </c>
      <c r="M18484" s="43">
        <v>11.503529411764706</v>
      </c>
      <c r="N18484" s="43">
        <v>5.2711058263971458</v>
      </c>
      <c r="O18484" s="43">
        <v>11.503164556962025</v>
      </c>
      <c r="P18484" s="559"/>
      <c r="Q18484" s="559"/>
      <c r="R18484" s="559">
        <v>17</v>
      </c>
    </row>
    <row r="18485" spans="1:18" ht="84">
      <c r="A18485" s="555">
        <v>913</v>
      </c>
      <c r="B18485" s="552" t="s">
        <v>33417</v>
      </c>
      <c r="C18485" s="556" t="s">
        <v>33418</v>
      </c>
      <c r="D18485" s="557">
        <v>18.75</v>
      </c>
      <c r="E18485" s="557">
        <v>9.31</v>
      </c>
      <c r="F18485" s="557">
        <v>9.25</v>
      </c>
      <c r="G18485" s="557">
        <v>0.19</v>
      </c>
      <c r="H18485" s="558">
        <v>157.97999999999999</v>
      </c>
      <c r="I18485" s="558">
        <v>107.03</v>
      </c>
      <c r="J18485" s="558">
        <v>48.76</v>
      </c>
      <c r="K18485" s="558">
        <v>2.19</v>
      </c>
      <c r="L18485" s="43">
        <v>8.4255999999999993</v>
      </c>
      <c r="M18485" s="43">
        <v>11.496240601503759</v>
      </c>
      <c r="N18485" s="43">
        <v>5.2713513513513508</v>
      </c>
      <c r="O18485" s="43">
        <v>11.503164556962025</v>
      </c>
      <c r="P18485" s="559"/>
      <c r="Q18485" s="559"/>
      <c r="R18485" s="559">
        <v>17</v>
      </c>
    </row>
    <row r="18486" spans="1:18" ht="84">
      <c r="A18486" s="555">
        <v>914</v>
      </c>
      <c r="B18486" s="552" t="s">
        <v>33419</v>
      </c>
      <c r="C18486" s="556" t="s">
        <v>33420</v>
      </c>
      <c r="D18486" s="557">
        <v>22.42</v>
      </c>
      <c r="E18486" s="557">
        <v>11.15</v>
      </c>
      <c r="F18486" s="557">
        <v>11.05</v>
      </c>
      <c r="G18486" s="557">
        <v>0.22</v>
      </c>
      <c r="H18486" s="558">
        <v>188.97</v>
      </c>
      <c r="I18486" s="558">
        <v>128.18</v>
      </c>
      <c r="J18486" s="558">
        <v>58.26</v>
      </c>
      <c r="K18486" s="558">
        <v>2.5299999999999998</v>
      </c>
      <c r="L18486" s="43">
        <v>8.4286351471900076</v>
      </c>
      <c r="M18486" s="43">
        <v>11.495964125560539</v>
      </c>
      <c r="N18486" s="43">
        <v>5.2723981900452488</v>
      </c>
      <c r="O18486" s="43">
        <v>11.499999999999998</v>
      </c>
      <c r="P18486" s="559"/>
      <c r="Q18486" s="559"/>
      <c r="R18486" s="559">
        <v>17</v>
      </c>
    </row>
    <row r="18487" spans="1:18" ht="84">
      <c r="A18487" s="555">
        <v>915</v>
      </c>
      <c r="B18487" s="552" t="s">
        <v>33421</v>
      </c>
      <c r="C18487" s="556" t="s">
        <v>33422</v>
      </c>
      <c r="D18487" s="557">
        <v>23.37</v>
      </c>
      <c r="E18487" s="557">
        <v>11.49</v>
      </c>
      <c r="F18487" s="557">
        <v>11.65</v>
      </c>
      <c r="G18487" s="557">
        <v>0.23</v>
      </c>
      <c r="H18487" s="558">
        <v>196.22</v>
      </c>
      <c r="I18487" s="558">
        <v>132.13999999999999</v>
      </c>
      <c r="J18487" s="558">
        <v>61.43</v>
      </c>
      <c r="K18487" s="558">
        <v>2.65</v>
      </c>
      <c r="L18487" s="43">
        <v>8.3962344886606761</v>
      </c>
      <c r="M18487" s="43">
        <v>11.500435161009571</v>
      </c>
      <c r="N18487" s="43">
        <v>5.272961373390558</v>
      </c>
      <c r="O18487" s="43">
        <v>11.503164556962025</v>
      </c>
      <c r="P18487" s="559"/>
      <c r="Q18487" s="559"/>
      <c r="R18487" s="559">
        <v>17</v>
      </c>
    </row>
    <row r="18488" spans="1:18" ht="84">
      <c r="A18488" s="555">
        <v>916</v>
      </c>
      <c r="B18488" s="552" t="s">
        <v>33423</v>
      </c>
      <c r="C18488" s="556" t="s">
        <v>33424</v>
      </c>
      <c r="D18488" s="557">
        <v>27.76</v>
      </c>
      <c r="E18488" s="557">
        <v>13.79</v>
      </c>
      <c r="F18488" s="557">
        <v>13.69</v>
      </c>
      <c r="G18488" s="557">
        <v>0.28000000000000003</v>
      </c>
      <c r="H18488" s="558">
        <v>233.99</v>
      </c>
      <c r="I18488" s="558">
        <v>158.57</v>
      </c>
      <c r="J18488" s="558">
        <v>72.2</v>
      </c>
      <c r="K18488" s="558">
        <v>3.22</v>
      </c>
      <c r="L18488" s="43">
        <v>8.4290345821325641</v>
      </c>
      <c r="M18488" s="43">
        <v>11.498912255257434</v>
      </c>
      <c r="N18488" s="43">
        <v>5.2739225712198685</v>
      </c>
      <c r="O18488" s="43">
        <v>11.5</v>
      </c>
      <c r="P18488" s="559"/>
      <c r="Q18488" s="559"/>
      <c r="R18488" s="559">
        <v>17</v>
      </c>
    </row>
    <row r="18489" spans="1:18" ht="84">
      <c r="A18489" s="555">
        <v>917</v>
      </c>
      <c r="B18489" s="552" t="s">
        <v>33425</v>
      </c>
      <c r="C18489" s="556" t="s">
        <v>33426</v>
      </c>
      <c r="D18489" s="557">
        <v>38.9</v>
      </c>
      <c r="E18489" s="557">
        <v>19.53</v>
      </c>
      <c r="F18489" s="557">
        <v>18.98</v>
      </c>
      <c r="G18489" s="557">
        <v>0.39</v>
      </c>
      <c r="H18489" s="558">
        <v>329.19</v>
      </c>
      <c r="I18489" s="558">
        <v>224.64</v>
      </c>
      <c r="J18489" s="558">
        <v>100.06</v>
      </c>
      <c r="K18489" s="558">
        <v>4.49</v>
      </c>
      <c r="L18489" s="43">
        <v>8.462467866323907</v>
      </c>
      <c r="M18489" s="43">
        <v>11.502304147465436</v>
      </c>
      <c r="N18489" s="43">
        <v>5.2718651211801895</v>
      </c>
      <c r="O18489" s="43">
        <v>11.503164556962025</v>
      </c>
      <c r="P18489" s="559"/>
      <c r="Q18489" s="559"/>
      <c r="R18489" s="559">
        <v>17</v>
      </c>
    </row>
    <row r="18490" spans="1:18" ht="84">
      <c r="A18490" s="555">
        <v>918</v>
      </c>
      <c r="B18490" s="552" t="s">
        <v>33427</v>
      </c>
      <c r="C18490" s="556" t="s">
        <v>33428</v>
      </c>
      <c r="D18490" s="557">
        <v>30.13</v>
      </c>
      <c r="E18490" s="557">
        <v>14.94</v>
      </c>
      <c r="F18490" s="557">
        <v>14.89</v>
      </c>
      <c r="G18490" s="557">
        <v>0.3</v>
      </c>
      <c r="H18490" s="558">
        <v>253.76</v>
      </c>
      <c r="I18490" s="558">
        <v>171.78</v>
      </c>
      <c r="J18490" s="558">
        <v>78.53</v>
      </c>
      <c r="K18490" s="558">
        <v>3.45</v>
      </c>
      <c r="L18490" s="43">
        <v>8.4221705940922664</v>
      </c>
      <c r="M18490" s="43">
        <v>11.497991967871487</v>
      </c>
      <c r="N18490" s="43">
        <v>5.2740094022834114</v>
      </c>
      <c r="O18490" s="43">
        <v>11.500000000000002</v>
      </c>
      <c r="P18490" s="559"/>
      <c r="Q18490" s="559"/>
      <c r="R18490" s="559">
        <v>17</v>
      </c>
    </row>
    <row r="18491" spans="1:18" ht="84">
      <c r="A18491" s="555">
        <v>919</v>
      </c>
      <c r="B18491" s="552" t="s">
        <v>33429</v>
      </c>
      <c r="C18491" s="556" t="s">
        <v>33430</v>
      </c>
      <c r="D18491" s="557">
        <v>35.11</v>
      </c>
      <c r="E18491" s="557">
        <v>17.239999999999998</v>
      </c>
      <c r="F18491" s="557">
        <v>17.53</v>
      </c>
      <c r="G18491" s="557">
        <v>0.34</v>
      </c>
      <c r="H18491" s="558">
        <v>294.58</v>
      </c>
      <c r="I18491" s="558">
        <v>198.21</v>
      </c>
      <c r="J18491" s="558">
        <v>92.46</v>
      </c>
      <c r="K18491" s="558">
        <v>3.91</v>
      </c>
      <c r="L18491" s="43">
        <v>8.3902022215892913</v>
      </c>
      <c r="M18491" s="43">
        <v>11.497099767981441</v>
      </c>
      <c r="N18491" s="43">
        <v>5.2743867655447794</v>
      </c>
      <c r="O18491" s="43">
        <v>11.5</v>
      </c>
      <c r="P18491" s="559"/>
      <c r="Q18491" s="559"/>
      <c r="R18491" s="559">
        <v>17</v>
      </c>
    </row>
    <row r="18492" spans="1:18" ht="84">
      <c r="A18492" s="555">
        <v>920</v>
      </c>
      <c r="B18492" s="552" t="s">
        <v>33431</v>
      </c>
      <c r="C18492" s="556" t="s">
        <v>33432</v>
      </c>
      <c r="D18492" s="557">
        <v>49.11</v>
      </c>
      <c r="E18492" s="557">
        <v>24.13</v>
      </c>
      <c r="F18492" s="557">
        <v>24.5</v>
      </c>
      <c r="G18492" s="557">
        <v>0.48</v>
      </c>
      <c r="H18492" s="558">
        <v>412.2</v>
      </c>
      <c r="I18492" s="558">
        <v>277.49</v>
      </c>
      <c r="J18492" s="558">
        <v>129.19</v>
      </c>
      <c r="K18492" s="558">
        <v>5.52</v>
      </c>
      <c r="L18492" s="43">
        <v>8.3934025656689055</v>
      </c>
      <c r="M18492" s="43">
        <v>11.499792789059263</v>
      </c>
      <c r="N18492" s="43">
        <v>5.2730612244897959</v>
      </c>
      <c r="O18492" s="43">
        <v>11.5</v>
      </c>
      <c r="P18492" s="559"/>
      <c r="Q18492" s="559"/>
      <c r="R18492" s="559">
        <v>17</v>
      </c>
    </row>
    <row r="18493" spans="1:18" ht="84">
      <c r="A18493" s="555">
        <v>921</v>
      </c>
      <c r="B18493" s="552" t="s">
        <v>33433</v>
      </c>
      <c r="C18493" s="556" t="s">
        <v>33434</v>
      </c>
      <c r="D18493" s="557">
        <v>34.270000000000003</v>
      </c>
      <c r="E18493" s="557">
        <v>17.239999999999998</v>
      </c>
      <c r="F18493" s="557">
        <v>16.690000000000001</v>
      </c>
      <c r="G18493" s="557">
        <v>0.34</v>
      </c>
      <c r="H18493" s="558">
        <v>290.14999999999998</v>
      </c>
      <c r="I18493" s="558">
        <v>198.21</v>
      </c>
      <c r="J18493" s="558">
        <v>88.03</v>
      </c>
      <c r="K18493" s="558">
        <v>3.91</v>
      </c>
      <c r="L18493" s="43">
        <v>8.4665888532243923</v>
      </c>
      <c r="M18493" s="43">
        <v>11.497099767981441</v>
      </c>
      <c r="N18493" s="43">
        <v>5.2744158178550027</v>
      </c>
      <c r="O18493" s="43">
        <v>11.5</v>
      </c>
      <c r="P18493" s="559"/>
      <c r="Q18493" s="559"/>
      <c r="R18493" s="559">
        <v>17</v>
      </c>
    </row>
    <row r="18494" spans="1:18" ht="84">
      <c r="A18494" s="555">
        <v>922</v>
      </c>
      <c r="B18494" s="552" t="s">
        <v>33435</v>
      </c>
      <c r="C18494" s="556" t="s">
        <v>33436</v>
      </c>
      <c r="D18494" s="557">
        <v>41.51</v>
      </c>
      <c r="E18494" s="557">
        <v>20.68</v>
      </c>
      <c r="F18494" s="557">
        <v>20.420000000000002</v>
      </c>
      <c r="G18494" s="557">
        <v>0.41</v>
      </c>
      <c r="H18494" s="558">
        <v>350.23</v>
      </c>
      <c r="I18494" s="558">
        <v>237.85</v>
      </c>
      <c r="J18494" s="558">
        <v>107.66</v>
      </c>
      <c r="K18494" s="558">
        <v>4.72</v>
      </c>
      <c r="L18494" s="43">
        <v>8.4372440375813067</v>
      </c>
      <c r="M18494" s="43">
        <v>11.501450676982591</v>
      </c>
      <c r="N18494" s="43">
        <v>5.2722820763956895</v>
      </c>
      <c r="O18494" s="43">
        <v>11.503164556962025</v>
      </c>
      <c r="P18494" s="559"/>
      <c r="Q18494" s="559"/>
      <c r="R18494" s="559">
        <v>17</v>
      </c>
    </row>
    <row r="18495" spans="1:18" ht="84">
      <c r="A18495" s="555">
        <v>923</v>
      </c>
      <c r="B18495" s="552" t="s">
        <v>33437</v>
      </c>
      <c r="C18495" s="556" t="s">
        <v>33438</v>
      </c>
      <c r="D18495" s="557">
        <v>57.88</v>
      </c>
      <c r="E18495" s="557">
        <v>28.73</v>
      </c>
      <c r="F18495" s="557">
        <v>28.58</v>
      </c>
      <c r="G18495" s="557">
        <v>0.56999999999999995</v>
      </c>
      <c r="H18495" s="558">
        <v>487.64</v>
      </c>
      <c r="I18495" s="558">
        <v>330.35</v>
      </c>
      <c r="J18495" s="558">
        <v>150.72999999999999</v>
      </c>
      <c r="K18495" s="558">
        <v>6.56</v>
      </c>
      <c r="L18495" s="43">
        <v>8.425017277125086</v>
      </c>
      <c r="M18495" s="43">
        <v>11.498433693003829</v>
      </c>
      <c r="N18495" s="43">
        <v>5.273967809657103</v>
      </c>
      <c r="O18495" s="43">
        <v>11.503164556962025</v>
      </c>
      <c r="P18495" s="559"/>
      <c r="Q18495" s="559"/>
      <c r="R18495" s="559">
        <v>17</v>
      </c>
    </row>
    <row r="18496" spans="1:18" ht="84">
      <c r="A18496" s="555">
        <v>924</v>
      </c>
      <c r="B18496" s="552" t="s">
        <v>33439</v>
      </c>
      <c r="C18496" s="556" t="s">
        <v>33440</v>
      </c>
      <c r="D18496" s="557">
        <v>49.11</v>
      </c>
      <c r="E18496" s="557">
        <v>24.13</v>
      </c>
      <c r="F18496" s="557">
        <v>24.5</v>
      </c>
      <c r="G18496" s="557">
        <v>0.48</v>
      </c>
      <c r="H18496" s="558">
        <v>412.2</v>
      </c>
      <c r="I18496" s="558">
        <v>277.49</v>
      </c>
      <c r="J18496" s="558">
        <v>129.19</v>
      </c>
      <c r="K18496" s="558">
        <v>5.52</v>
      </c>
      <c r="L18496" s="43">
        <v>8.3934025656689055</v>
      </c>
      <c r="M18496" s="43">
        <v>11.499792789059263</v>
      </c>
      <c r="N18496" s="43">
        <v>5.2730612244897959</v>
      </c>
      <c r="O18496" s="43">
        <v>11.5</v>
      </c>
      <c r="P18496" s="559"/>
      <c r="Q18496" s="559"/>
      <c r="R18496" s="559">
        <v>17</v>
      </c>
    </row>
    <row r="18497" spans="1:18" ht="84">
      <c r="A18497" s="555">
        <v>925</v>
      </c>
      <c r="B18497" s="552" t="s">
        <v>33441</v>
      </c>
      <c r="C18497" s="556" t="s">
        <v>33442</v>
      </c>
      <c r="D18497" s="557">
        <v>62.27</v>
      </c>
      <c r="E18497" s="557">
        <v>31.02</v>
      </c>
      <c r="F18497" s="557">
        <v>30.63</v>
      </c>
      <c r="G18497" s="557">
        <v>0.62</v>
      </c>
      <c r="H18497" s="558">
        <v>525.4</v>
      </c>
      <c r="I18497" s="558">
        <v>356.78</v>
      </c>
      <c r="J18497" s="558">
        <v>161.49</v>
      </c>
      <c r="K18497" s="558">
        <v>7.13</v>
      </c>
      <c r="L18497" s="43">
        <v>8.4374498153203774</v>
      </c>
      <c r="M18497" s="43">
        <v>11.50161186331399</v>
      </c>
      <c r="N18497" s="43">
        <v>5.2722820763956912</v>
      </c>
      <c r="O18497" s="43">
        <v>11.5</v>
      </c>
      <c r="P18497" s="559"/>
      <c r="Q18497" s="559"/>
      <c r="R18497" s="559">
        <v>17</v>
      </c>
    </row>
    <row r="18498" spans="1:18" ht="84">
      <c r="A18498" s="555">
        <v>926</v>
      </c>
      <c r="B18498" s="552" t="s">
        <v>33443</v>
      </c>
      <c r="C18498" s="556" t="s">
        <v>33444</v>
      </c>
      <c r="D18498" s="557">
        <v>83.02</v>
      </c>
      <c r="E18498" s="557">
        <v>41.36</v>
      </c>
      <c r="F18498" s="557">
        <v>40.83</v>
      </c>
      <c r="G18498" s="557">
        <v>0.83</v>
      </c>
      <c r="H18498" s="558">
        <v>700.57</v>
      </c>
      <c r="I18498" s="558">
        <v>475.7</v>
      </c>
      <c r="J18498" s="558">
        <v>215.32</v>
      </c>
      <c r="K18498" s="558">
        <v>9.5500000000000007</v>
      </c>
      <c r="L18498" s="43">
        <v>8.4385690195133716</v>
      </c>
      <c r="M18498" s="43">
        <v>11.501450676982591</v>
      </c>
      <c r="N18498" s="43">
        <v>5.2735733529267694</v>
      </c>
      <c r="O18498" s="43">
        <v>11.503164556962025</v>
      </c>
      <c r="P18498" s="559"/>
      <c r="Q18498" s="559"/>
      <c r="R18498" s="559">
        <v>17</v>
      </c>
    </row>
    <row r="18499" spans="1:18" ht="84">
      <c r="A18499" s="555">
        <v>927</v>
      </c>
      <c r="B18499" s="552" t="s">
        <v>33445</v>
      </c>
      <c r="C18499" s="556" t="s">
        <v>33446</v>
      </c>
      <c r="D18499" s="557">
        <v>53.5</v>
      </c>
      <c r="E18499" s="557">
        <v>26.43</v>
      </c>
      <c r="F18499" s="557">
        <v>26.54</v>
      </c>
      <c r="G18499" s="557">
        <v>0.53</v>
      </c>
      <c r="H18499" s="558">
        <v>449.98</v>
      </c>
      <c r="I18499" s="558">
        <v>303.92</v>
      </c>
      <c r="J18499" s="558">
        <v>139.96</v>
      </c>
      <c r="K18499" s="558">
        <v>6.1</v>
      </c>
      <c r="L18499" s="43">
        <v>8.4108411214953271</v>
      </c>
      <c r="M18499" s="43">
        <v>11.499054105183504</v>
      </c>
      <c r="N18499" s="43">
        <v>5.273549359457423</v>
      </c>
      <c r="O18499" s="43">
        <v>11.503164556962025</v>
      </c>
      <c r="P18499" s="559"/>
      <c r="Q18499" s="559"/>
      <c r="R18499" s="559">
        <v>17</v>
      </c>
    </row>
    <row r="18500" spans="1:18" ht="84">
      <c r="A18500" s="555">
        <v>928</v>
      </c>
      <c r="B18500" s="552" t="s">
        <v>33447</v>
      </c>
      <c r="C18500" s="556" t="s">
        <v>33448</v>
      </c>
      <c r="D18500" s="557">
        <v>62.27</v>
      </c>
      <c r="E18500" s="557">
        <v>31.02</v>
      </c>
      <c r="F18500" s="557">
        <v>30.63</v>
      </c>
      <c r="G18500" s="557">
        <v>0.62</v>
      </c>
      <c r="H18500" s="558">
        <v>525.4</v>
      </c>
      <c r="I18500" s="558">
        <v>356.78</v>
      </c>
      <c r="J18500" s="558">
        <v>161.49</v>
      </c>
      <c r="K18500" s="558">
        <v>7.13</v>
      </c>
      <c r="L18500" s="43">
        <v>8.4374498153203774</v>
      </c>
      <c r="M18500" s="43">
        <v>11.50161186331399</v>
      </c>
      <c r="N18500" s="43">
        <v>5.2722820763956912</v>
      </c>
      <c r="O18500" s="43">
        <v>11.5</v>
      </c>
      <c r="P18500" s="559"/>
      <c r="Q18500" s="559"/>
      <c r="R18500" s="559">
        <v>17</v>
      </c>
    </row>
    <row r="18501" spans="1:18" ht="84">
      <c r="A18501" s="555">
        <v>929</v>
      </c>
      <c r="B18501" s="552" t="s">
        <v>33449</v>
      </c>
      <c r="C18501" s="556" t="s">
        <v>33450</v>
      </c>
      <c r="D18501" s="557">
        <v>87.41</v>
      </c>
      <c r="E18501" s="557">
        <v>43.66</v>
      </c>
      <c r="F18501" s="557">
        <v>42.88</v>
      </c>
      <c r="G18501" s="557">
        <v>0.87</v>
      </c>
      <c r="H18501" s="558">
        <v>738.23</v>
      </c>
      <c r="I18501" s="558">
        <v>502.13</v>
      </c>
      <c r="J18501" s="558">
        <v>226.09</v>
      </c>
      <c r="K18501" s="558">
        <v>10.01</v>
      </c>
      <c r="L18501" s="43">
        <v>8.4456011897952177</v>
      </c>
      <c r="M18501" s="43">
        <v>11.500916170407697</v>
      </c>
      <c r="N18501" s="43">
        <v>5.2726212686567164</v>
      </c>
      <c r="O18501" s="43">
        <v>11.503164556962025</v>
      </c>
      <c r="P18501" s="559"/>
      <c r="Q18501" s="559"/>
      <c r="R18501" s="559">
        <v>17</v>
      </c>
    </row>
    <row r="18502" spans="1:18" ht="84">
      <c r="A18502" s="555">
        <v>930</v>
      </c>
      <c r="B18502" s="552" t="s">
        <v>33451</v>
      </c>
      <c r="C18502" s="556" t="s">
        <v>33452</v>
      </c>
      <c r="D18502" s="557">
        <v>111.38</v>
      </c>
      <c r="E18502" s="557">
        <v>55.15</v>
      </c>
      <c r="F18502" s="557">
        <v>55.13</v>
      </c>
      <c r="G18502" s="557">
        <v>1.1000000000000001</v>
      </c>
      <c r="H18502" s="558">
        <v>937.6</v>
      </c>
      <c r="I18502" s="558">
        <v>634.27</v>
      </c>
      <c r="J18502" s="558">
        <v>290.68</v>
      </c>
      <c r="K18502" s="558">
        <v>12.65</v>
      </c>
      <c r="L18502" s="43">
        <v>8.4180283713413537</v>
      </c>
      <c r="M18502" s="43">
        <v>11.50081595648232</v>
      </c>
      <c r="N18502" s="43">
        <v>5.2726283330310171</v>
      </c>
      <c r="O18502" s="43">
        <v>11.5</v>
      </c>
      <c r="P18502" s="559"/>
      <c r="Q18502" s="559"/>
      <c r="R18502" s="559">
        <v>17</v>
      </c>
    </row>
    <row r="18503" spans="1:18" ht="84">
      <c r="A18503" s="555">
        <v>931</v>
      </c>
      <c r="B18503" s="552" t="s">
        <v>33453</v>
      </c>
      <c r="C18503" s="556" t="s">
        <v>33454</v>
      </c>
      <c r="D18503" s="557">
        <v>132.13</v>
      </c>
      <c r="E18503" s="557">
        <v>65.489999999999995</v>
      </c>
      <c r="F18503" s="557">
        <v>65.33</v>
      </c>
      <c r="G18503" s="557">
        <v>1.31</v>
      </c>
      <c r="H18503" s="558">
        <v>1112.79</v>
      </c>
      <c r="I18503" s="558">
        <v>753.2</v>
      </c>
      <c r="J18503" s="558">
        <v>344.52</v>
      </c>
      <c r="K18503" s="558">
        <v>15.07</v>
      </c>
      <c r="L18503" s="43">
        <v>8.4219329448270646</v>
      </c>
      <c r="M18503" s="43">
        <v>11.500992517941672</v>
      </c>
      <c r="N18503" s="43">
        <v>5.2735343639981629</v>
      </c>
      <c r="O18503" s="43">
        <v>11.503816793893129</v>
      </c>
      <c r="P18503" s="559"/>
      <c r="Q18503" s="559"/>
      <c r="R18503" s="559">
        <v>17</v>
      </c>
    </row>
    <row r="18504" spans="1:18" ht="84">
      <c r="A18504" s="555">
        <v>932</v>
      </c>
      <c r="B18504" s="552" t="s">
        <v>33455</v>
      </c>
      <c r="C18504" s="556" t="s">
        <v>33456</v>
      </c>
      <c r="D18504" s="557">
        <v>62.27</v>
      </c>
      <c r="E18504" s="557">
        <v>31.02</v>
      </c>
      <c r="F18504" s="557">
        <v>30.63</v>
      </c>
      <c r="G18504" s="557">
        <v>0.62</v>
      </c>
      <c r="H18504" s="558">
        <v>525.4</v>
      </c>
      <c r="I18504" s="558">
        <v>356.78</v>
      </c>
      <c r="J18504" s="558">
        <v>161.49</v>
      </c>
      <c r="K18504" s="558">
        <v>7.13</v>
      </c>
      <c r="L18504" s="43">
        <v>8.4374498153203774</v>
      </c>
      <c r="M18504" s="43">
        <v>11.50161186331399</v>
      </c>
      <c r="N18504" s="43">
        <v>5.2722820763956912</v>
      </c>
      <c r="O18504" s="43">
        <v>11.5</v>
      </c>
      <c r="P18504" s="559"/>
      <c r="Q18504" s="559"/>
      <c r="R18504" s="559">
        <v>17</v>
      </c>
    </row>
    <row r="18505" spans="1:18" ht="84">
      <c r="A18505" s="555">
        <v>933</v>
      </c>
      <c r="B18505" s="552" t="s">
        <v>33457</v>
      </c>
      <c r="C18505" s="556" t="s">
        <v>33458</v>
      </c>
      <c r="D18505" s="557">
        <v>74.260000000000005</v>
      </c>
      <c r="E18505" s="557">
        <v>36.770000000000003</v>
      </c>
      <c r="F18505" s="557">
        <v>36.75</v>
      </c>
      <c r="G18505" s="557">
        <v>0.74</v>
      </c>
      <c r="H18505" s="558">
        <v>625.15</v>
      </c>
      <c r="I18505" s="558">
        <v>422.85</v>
      </c>
      <c r="J18505" s="558">
        <v>193.79</v>
      </c>
      <c r="K18505" s="558">
        <v>8.51</v>
      </c>
      <c r="L18505" s="43">
        <v>8.4183948289792614</v>
      </c>
      <c r="M18505" s="43">
        <v>11.49986401958118</v>
      </c>
      <c r="N18505" s="43">
        <v>5.2731972789115646</v>
      </c>
      <c r="O18505" s="43">
        <v>11.5</v>
      </c>
      <c r="P18505" s="559"/>
      <c r="Q18505" s="559"/>
      <c r="R18505" s="559">
        <v>17</v>
      </c>
    </row>
    <row r="18506" spans="1:18" ht="84">
      <c r="A18506" s="555">
        <v>934</v>
      </c>
      <c r="B18506" s="552" t="s">
        <v>33459</v>
      </c>
      <c r="C18506" s="556" t="s">
        <v>33460</v>
      </c>
      <c r="D18506" s="557">
        <v>99.4</v>
      </c>
      <c r="E18506" s="557">
        <v>49.41</v>
      </c>
      <c r="F18506" s="557">
        <v>49</v>
      </c>
      <c r="G18506" s="557">
        <v>0.99</v>
      </c>
      <c r="H18506" s="558">
        <v>837.98</v>
      </c>
      <c r="I18506" s="558">
        <v>568.20000000000005</v>
      </c>
      <c r="J18506" s="558">
        <v>258.39</v>
      </c>
      <c r="K18506" s="558">
        <v>11.39</v>
      </c>
      <c r="L18506" s="43">
        <v>8.430382293762575</v>
      </c>
      <c r="M18506" s="43">
        <v>11.499696417729206</v>
      </c>
      <c r="N18506" s="43">
        <v>5.2732653061224486</v>
      </c>
      <c r="O18506" s="43">
        <v>11.503164556962025</v>
      </c>
      <c r="P18506" s="559"/>
      <c r="Q18506" s="559"/>
      <c r="R18506" s="559">
        <v>17</v>
      </c>
    </row>
    <row r="18507" spans="1:18" ht="84">
      <c r="A18507" s="555">
        <v>935</v>
      </c>
      <c r="B18507" s="552" t="s">
        <v>33461</v>
      </c>
      <c r="C18507" s="556" t="s">
        <v>33462</v>
      </c>
      <c r="D18507" s="557">
        <v>127.75</v>
      </c>
      <c r="E18507" s="557">
        <v>63.2</v>
      </c>
      <c r="F18507" s="557">
        <v>63.29</v>
      </c>
      <c r="G18507" s="557">
        <v>1.26</v>
      </c>
      <c r="H18507" s="558">
        <v>1075.01</v>
      </c>
      <c r="I18507" s="558">
        <v>726.77</v>
      </c>
      <c r="J18507" s="558">
        <v>333.75</v>
      </c>
      <c r="K18507" s="558">
        <v>14.49</v>
      </c>
      <c r="L18507" s="43">
        <v>8.4149510763209392</v>
      </c>
      <c r="M18507" s="43">
        <v>11.499525316455696</v>
      </c>
      <c r="N18507" s="43">
        <v>5.2733449202085643</v>
      </c>
      <c r="O18507" s="43">
        <v>11.5</v>
      </c>
      <c r="P18507" s="559"/>
      <c r="Q18507" s="559"/>
      <c r="R18507" s="559">
        <v>17</v>
      </c>
    </row>
    <row r="18508" spans="1:18" ht="84">
      <c r="A18508" s="555">
        <v>936</v>
      </c>
      <c r="B18508" s="552" t="s">
        <v>33463</v>
      </c>
      <c r="C18508" s="556" t="s">
        <v>33464</v>
      </c>
      <c r="D18508" s="557">
        <v>157.27000000000001</v>
      </c>
      <c r="E18508" s="557">
        <v>78.13</v>
      </c>
      <c r="F18508" s="557">
        <v>77.58</v>
      </c>
      <c r="G18508" s="557">
        <v>1.56</v>
      </c>
      <c r="H18508" s="558">
        <v>1325.6</v>
      </c>
      <c r="I18508" s="558">
        <v>898.55</v>
      </c>
      <c r="J18508" s="558">
        <v>409.11</v>
      </c>
      <c r="K18508" s="558">
        <v>17.940000000000001</v>
      </c>
      <c r="L18508" s="43">
        <v>8.428816684682392</v>
      </c>
      <c r="M18508" s="43">
        <v>11.500703954946884</v>
      </c>
      <c r="N18508" s="43">
        <v>5.2733952049497299</v>
      </c>
      <c r="O18508" s="43">
        <v>11.5</v>
      </c>
      <c r="P18508" s="559"/>
      <c r="Q18508" s="559"/>
      <c r="R18508" s="559">
        <v>17</v>
      </c>
    </row>
    <row r="18509" spans="1:18" ht="84">
      <c r="A18509" s="555">
        <v>937</v>
      </c>
      <c r="B18509" s="552" t="s">
        <v>33465</v>
      </c>
      <c r="C18509" s="556" t="s">
        <v>33466</v>
      </c>
      <c r="D18509" s="557">
        <v>62.27</v>
      </c>
      <c r="E18509" s="557">
        <v>31.02</v>
      </c>
      <c r="F18509" s="557">
        <v>30.63</v>
      </c>
      <c r="G18509" s="557">
        <v>0.62</v>
      </c>
      <c r="H18509" s="558">
        <v>525.4</v>
      </c>
      <c r="I18509" s="558">
        <v>356.78</v>
      </c>
      <c r="J18509" s="558">
        <v>161.49</v>
      </c>
      <c r="K18509" s="558">
        <v>7.13</v>
      </c>
      <c r="L18509" s="43">
        <v>8.4374498153203774</v>
      </c>
      <c r="M18509" s="43">
        <v>11.50161186331399</v>
      </c>
      <c r="N18509" s="43">
        <v>5.2722820763956912</v>
      </c>
      <c r="O18509" s="43">
        <v>11.5</v>
      </c>
      <c r="P18509" s="559"/>
      <c r="Q18509" s="559"/>
      <c r="R18509" s="559">
        <v>17</v>
      </c>
    </row>
    <row r="18510" spans="1:18" ht="84">
      <c r="A18510" s="555">
        <v>938</v>
      </c>
      <c r="B18510" s="552" t="s">
        <v>33467</v>
      </c>
      <c r="C18510" s="556" t="s">
        <v>33468</v>
      </c>
      <c r="D18510" s="557">
        <v>74.260000000000005</v>
      </c>
      <c r="E18510" s="557">
        <v>36.770000000000003</v>
      </c>
      <c r="F18510" s="557">
        <v>36.75</v>
      </c>
      <c r="G18510" s="557">
        <v>0.74</v>
      </c>
      <c r="H18510" s="558">
        <v>625.15</v>
      </c>
      <c r="I18510" s="558">
        <v>422.85</v>
      </c>
      <c r="J18510" s="558">
        <v>193.79</v>
      </c>
      <c r="K18510" s="558">
        <v>8.51</v>
      </c>
      <c r="L18510" s="43">
        <v>8.4183948289792614</v>
      </c>
      <c r="M18510" s="43">
        <v>11.49986401958118</v>
      </c>
      <c r="N18510" s="43">
        <v>5.2731972789115646</v>
      </c>
      <c r="O18510" s="43">
        <v>11.5</v>
      </c>
      <c r="P18510" s="559"/>
      <c r="Q18510" s="559"/>
      <c r="R18510" s="559">
        <v>17</v>
      </c>
    </row>
    <row r="18511" spans="1:18" ht="84">
      <c r="A18511" s="555">
        <v>939</v>
      </c>
      <c r="B18511" s="552" t="s">
        <v>33469</v>
      </c>
      <c r="C18511" s="556" t="s">
        <v>33470</v>
      </c>
      <c r="D18511" s="557">
        <v>106.99</v>
      </c>
      <c r="E18511" s="557">
        <v>52.85</v>
      </c>
      <c r="F18511" s="557">
        <v>53.08</v>
      </c>
      <c r="G18511" s="557">
        <v>1.06</v>
      </c>
      <c r="H18511" s="558">
        <v>899.95</v>
      </c>
      <c r="I18511" s="558">
        <v>607.84</v>
      </c>
      <c r="J18511" s="558">
        <v>279.92</v>
      </c>
      <c r="K18511" s="558">
        <v>12.19</v>
      </c>
      <c r="L18511" s="43">
        <v>8.4115337882045065</v>
      </c>
      <c r="M18511" s="43">
        <v>11.501229895931884</v>
      </c>
      <c r="N18511" s="43">
        <v>5.273549359457423</v>
      </c>
      <c r="O18511" s="43">
        <v>11.499999999999998</v>
      </c>
      <c r="P18511" s="559"/>
      <c r="Q18511" s="559"/>
      <c r="R18511" s="559">
        <v>17</v>
      </c>
    </row>
    <row r="18512" spans="1:18" ht="84">
      <c r="A18512" s="555">
        <v>940</v>
      </c>
      <c r="B18512" s="552" t="s">
        <v>33471</v>
      </c>
      <c r="C18512" s="556" t="s">
        <v>33472</v>
      </c>
      <c r="D18512" s="557">
        <v>136.53</v>
      </c>
      <c r="E18512" s="557">
        <v>67.790000000000006</v>
      </c>
      <c r="F18512" s="557">
        <v>67.38</v>
      </c>
      <c r="G18512" s="557">
        <v>1.36</v>
      </c>
      <c r="H18512" s="558">
        <v>1150.55</v>
      </c>
      <c r="I18512" s="558">
        <v>779.63</v>
      </c>
      <c r="J18512" s="558">
        <v>355.28</v>
      </c>
      <c r="K18512" s="558">
        <v>15.64</v>
      </c>
      <c r="L18512" s="43">
        <v>8.4270856222075725</v>
      </c>
      <c r="M18512" s="43">
        <v>11.500663814721934</v>
      </c>
      <c r="N18512" s="43">
        <v>5.2727812407242505</v>
      </c>
      <c r="O18512" s="43">
        <v>11.5</v>
      </c>
      <c r="P18512" s="559"/>
      <c r="Q18512" s="559"/>
      <c r="R18512" s="559">
        <v>17</v>
      </c>
    </row>
    <row r="18513" spans="1:18" ht="84">
      <c r="A18513" s="555">
        <v>941</v>
      </c>
      <c r="B18513" s="552" t="s">
        <v>33473</v>
      </c>
      <c r="C18513" s="556" t="s">
        <v>33474</v>
      </c>
      <c r="D18513" s="557">
        <v>161.66999999999999</v>
      </c>
      <c r="E18513" s="557">
        <v>80.430000000000007</v>
      </c>
      <c r="F18513" s="557">
        <v>79.63</v>
      </c>
      <c r="G18513" s="557">
        <v>1.61</v>
      </c>
      <c r="H18513" s="558">
        <v>1363.38</v>
      </c>
      <c r="I18513" s="558">
        <v>924.98</v>
      </c>
      <c r="J18513" s="558">
        <v>419.88</v>
      </c>
      <c r="K18513" s="558">
        <v>18.52</v>
      </c>
      <c r="L18513" s="43">
        <v>8.4331044720727419</v>
      </c>
      <c r="M18513" s="43">
        <v>11.500435161009573</v>
      </c>
      <c r="N18513" s="43">
        <v>5.2728871028506843</v>
      </c>
      <c r="O18513" s="43">
        <v>11.503105590062111</v>
      </c>
      <c r="P18513" s="559"/>
      <c r="Q18513" s="559"/>
      <c r="R18513" s="559">
        <v>17</v>
      </c>
    </row>
    <row r="18514" spans="1:18" ht="84">
      <c r="A18514" s="555">
        <v>942</v>
      </c>
      <c r="B18514" s="552" t="s">
        <v>33475</v>
      </c>
      <c r="C18514" s="556" t="s">
        <v>33476</v>
      </c>
      <c r="D18514" s="557">
        <v>87.41</v>
      </c>
      <c r="E18514" s="557">
        <v>43.66</v>
      </c>
      <c r="F18514" s="557">
        <v>42.88</v>
      </c>
      <c r="G18514" s="557">
        <v>0.87</v>
      </c>
      <c r="H18514" s="558">
        <v>738.23</v>
      </c>
      <c r="I18514" s="558">
        <v>502.13</v>
      </c>
      <c r="J18514" s="558">
        <v>226.09</v>
      </c>
      <c r="K18514" s="558">
        <v>10.01</v>
      </c>
      <c r="L18514" s="43">
        <v>8.4456011897952177</v>
      </c>
      <c r="M18514" s="43">
        <v>11.500916170407697</v>
      </c>
      <c r="N18514" s="43">
        <v>5.2726212686567164</v>
      </c>
      <c r="O18514" s="43">
        <v>11.503164556962025</v>
      </c>
      <c r="P18514" s="559"/>
      <c r="Q18514" s="559"/>
      <c r="R18514" s="559">
        <v>17</v>
      </c>
    </row>
    <row r="18515" spans="1:18" ht="84">
      <c r="A18515" s="555">
        <v>943</v>
      </c>
      <c r="B18515" s="552" t="s">
        <v>33477</v>
      </c>
      <c r="C18515" s="556" t="s">
        <v>33478</v>
      </c>
      <c r="D18515" s="557">
        <v>124.54</v>
      </c>
      <c r="E18515" s="557">
        <v>62.05</v>
      </c>
      <c r="F18515" s="557">
        <v>61.25</v>
      </c>
      <c r="G18515" s="557">
        <v>1.24</v>
      </c>
      <c r="H18515" s="558">
        <v>1050.8</v>
      </c>
      <c r="I18515" s="558">
        <v>713.56</v>
      </c>
      <c r="J18515" s="558">
        <v>322.98</v>
      </c>
      <c r="K18515" s="558">
        <v>14.26</v>
      </c>
      <c r="L18515" s="43">
        <v>8.4374498153203774</v>
      </c>
      <c r="M18515" s="43">
        <v>11.499758259468171</v>
      </c>
      <c r="N18515" s="43">
        <v>5.2731428571428571</v>
      </c>
      <c r="O18515" s="43">
        <v>11.5</v>
      </c>
      <c r="P18515" s="559"/>
      <c r="Q18515" s="559"/>
      <c r="R18515" s="559">
        <v>17</v>
      </c>
    </row>
    <row r="18516" spans="1:18" ht="84">
      <c r="A18516" s="555">
        <v>944</v>
      </c>
      <c r="B18516" s="552" t="s">
        <v>33479</v>
      </c>
      <c r="C18516" s="556" t="s">
        <v>33480</v>
      </c>
      <c r="D18516" s="557">
        <v>157.27000000000001</v>
      </c>
      <c r="E18516" s="557">
        <v>78.13</v>
      </c>
      <c r="F18516" s="557">
        <v>77.58</v>
      </c>
      <c r="G18516" s="557">
        <v>1.56</v>
      </c>
      <c r="H18516" s="558">
        <v>1325.6</v>
      </c>
      <c r="I18516" s="558">
        <v>898.55</v>
      </c>
      <c r="J18516" s="558">
        <v>409.11</v>
      </c>
      <c r="K18516" s="558">
        <v>17.940000000000001</v>
      </c>
      <c r="L18516" s="43">
        <v>8.428816684682392</v>
      </c>
      <c r="M18516" s="43">
        <v>11.500703954946884</v>
      </c>
      <c r="N18516" s="43">
        <v>5.2733952049497299</v>
      </c>
      <c r="O18516" s="43">
        <v>11.5</v>
      </c>
      <c r="P18516" s="559"/>
      <c r="Q18516" s="559"/>
      <c r="R18516" s="559">
        <v>17</v>
      </c>
    </row>
    <row r="18517" spans="1:18" ht="84">
      <c r="A18517" s="555">
        <v>945</v>
      </c>
      <c r="B18517" s="552" t="s">
        <v>33481</v>
      </c>
      <c r="C18517" s="556" t="s">
        <v>33482</v>
      </c>
      <c r="D18517" s="557">
        <v>194.41</v>
      </c>
      <c r="E18517" s="557">
        <v>96.52</v>
      </c>
      <c r="F18517" s="557">
        <v>95.96</v>
      </c>
      <c r="G18517" s="557">
        <v>1.93</v>
      </c>
      <c r="H18517" s="558">
        <v>1638.19</v>
      </c>
      <c r="I18517" s="558">
        <v>1109.98</v>
      </c>
      <c r="J18517" s="558">
        <v>506.01</v>
      </c>
      <c r="K18517" s="558">
        <v>22.2</v>
      </c>
      <c r="L18517" s="43">
        <v>8.4264698317987765</v>
      </c>
      <c r="M18517" s="43">
        <v>11.5</v>
      </c>
      <c r="N18517" s="43">
        <v>5.2731346394330973</v>
      </c>
      <c r="O18517" s="43">
        <v>11.50259067357513</v>
      </c>
      <c r="P18517" s="559"/>
      <c r="Q18517" s="559"/>
      <c r="R18517" s="559">
        <v>17</v>
      </c>
    </row>
    <row r="18518" spans="1:18" ht="84">
      <c r="A18518" s="555">
        <v>946</v>
      </c>
      <c r="B18518" s="552" t="s">
        <v>33483</v>
      </c>
      <c r="C18518" s="556" t="s">
        <v>33484</v>
      </c>
      <c r="D18518" s="557">
        <v>99.4</v>
      </c>
      <c r="E18518" s="557">
        <v>49.41</v>
      </c>
      <c r="F18518" s="557">
        <v>49</v>
      </c>
      <c r="G18518" s="557">
        <v>0.99</v>
      </c>
      <c r="H18518" s="558">
        <v>837.98</v>
      </c>
      <c r="I18518" s="558">
        <v>568.20000000000005</v>
      </c>
      <c r="J18518" s="558">
        <v>258.39</v>
      </c>
      <c r="K18518" s="558">
        <v>11.39</v>
      </c>
      <c r="L18518" s="43">
        <v>8.430382293762575</v>
      </c>
      <c r="M18518" s="43">
        <v>11.499696417729206</v>
      </c>
      <c r="N18518" s="43">
        <v>5.2732653061224486</v>
      </c>
      <c r="O18518" s="43">
        <v>11.503164556962025</v>
      </c>
      <c r="P18518" s="559"/>
      <c r="Q18518" s="559"/>
      <c r="R18518" s="559">
        <v>17</v>
      </c>
    </row>
    <row r="18519" spans="1:18" ht="84">
      <c r="A18519" s="555">
        <v>947</v>
      </c>
      <c r="B18519" s="552" t="s">
        <v>33485</v>
      </c>
      <c r="C18519" s="556" t="s">
        <v>33486</v>
      </c>
      <c r="D18519" s="557">
        <v>136.53</v>
      </c>
      <c r="E18519" s="557">
        <v>67.790000000000006</v>
      </c>
      <c r="F18519" s="557">
        <v>67.38</v>
      </c>
      <c r="G18519" s="557">
        <v>1.36</v>
      </c>
      <c r="H18519" s="558">
        <v>1150.55</v>
      </c>
      <c r="I18519" s="558">
        <v>779.63</v>
      </c>
      <c r="J18519" s="558">
        <v>355.28</v>
      </c>
      <c r="K18519" s="558">
        <v>15.64</v>
      </c>
      <c r="L18519" s="43">
        <v>8.4270856222075725</v>
      </c>
      <c r="M18519" s="43">
        <v>11.500663814721934</v>
      </c>
      <c r="N18519" s="43">
        <v>5.2727812407242505</v>
      </c>
      <c r="O18519" s="43">
        <v>11.5</v>
      </c>
      <c r="P18519" s="559"/>
      <c r="Q18519" s="559"/>
      <c r="R18519" s="559">
        <v>17</v>
      </c>
    </row>
    <row r="18520" spans="1:18" ht="84">
      <c r="A18520" s="555">
        <v>948</v>
      </c>
      <c r="B18520" s="552" t="s">
        <v>33487</v>
      </c>
      <c r="C18520" s="556" t="s">
        <v>33488</v>
      </c>
      <c r="D18520" s="557">
        <v>173.65</v>
      </c>
      <c r="E18520" s="557">
        <v>86.18</v>
      </c>
      <c r="F18520" s="557">
        <v>85.75</v>
      </c>
      <c r="G18520" s="557">
        <v>1.72</v>
      </c>
      <c r="H18520" s="558">
        <v>1463.01</v>
      </c>
      <c r="I18520" s="558">
        <v>991.05</v>
      </c>
      <c r="J18520" s="558">
        <v>452.18</v>
      </c>
      <c r="K18520" s="558">
        <v>19.78</v>
      </c>
      <c r="L18520" s="43">
        <v>8.4250503887129273</v>
      </c>
      <c r="M18520" s="43">
        <v>11.499767927593407</v>
      </c>
      <c r="N18520" s="43">
        <v>5.2732361516034985</v>
      </c>
      <c r="O18520" s="43">
        <v>11.5</v>
      </c>
      <c r="P18520" s="559"/>
      <c r="Q18520" s="559"/>
      <c r="R18520" s="559">
        <v>17</v>
      </c>
    </row>
    <row r="18521" spans="1:18" ht="84">
      <c r="A18521" s="555">
        <v>949</v>
      </c>
      <c r="B18521" s="552" t="s">
        <v>33489</v>
      </c>
      <c r="C18521" s="556" t="s">
        <v>33490</v>
      </c>
      <c r="D18521" s="557">
        <v>210.78</v>
      </c>
      <c r="E18521" s="557">
        <v>104.56</v>
      </c>
      <c r="F18521" s="557">
        <v>104.13</v>
      </c>
      <c r="G18521" s="557">
        <v>2.09</v>
      </c>
      <c r="H18521" s="558">
        <v>1775.58</v>
      </c>
      <c r="I18521" s="558">
        <v>1202.47</v>
      </c>
      <c r="J18521" s="558">
        <v>549.07000000000005</v>
      </c>
      <c r="K18521" s="558">
        <v>24.04</v>
      </c>
      <c r="L18521" s="43">
        <v>8.4238542556219755</v>
      </c>
      <c r="M18521" s="43">
        <v>11.500286916602908</v>
      </c>
      <c r="N18521" s="43">
        <v>5.2729280706808801</v>
      </c>
      <c r="O18521" s="43">
        <v>11.502392344497608</v>
      </c>
      <c r="P18521" s="559"/>
      <c r="Q18521" s="559"/>
      <c r="R18521" s="559">
        <v>17</v>
      </c>
    </row>
    <row r="18522" spans="1:18" ht="84">
      <c r="A18522" s="555">
        <v>950</v>
      </c>
      <c r="B18522" s="552" t="s">
        <v>33491</v>
      </c>
      <c r="C18522" s="556" t="s">
        <v>33492</v>
      </c>
      <c r="D18522" s="557">
        <v>111.38</v>
      </c>
      <c r="E18522" s="557">
        <v>55.15</v>
      </c>
      <c r="F18522" s="557">
        <v>55.13</v>
      </c>
      <c r="G18522" s="557">
        <v>1.1000000000000001</v>
      </c>
      <c r="H18522" s="558">
        <v>937.6</v>
      </c>
      <c r="I18522" s="558">
        <v>634.27</v>
      </c>
      <c r="J18522" s="558">
        <v>290.68</v>
      </c>
      <c r="K18522" s="558">
        <v>12.65</v>
      </c>
      <c r="L18522" s="43">
        <v>8.4180283713413537</v>
      </c>
      <c r="M18522" s="43">
        <v>11.50081595648232</v>
      </c>
      <c r="N18522" s="43">
        <v>5.2726283330310171</v>
      </c>
      <c r="O18522" s="43">
        <v>11.5</v>
      </c>
      <c r="P18522" s="559"/>
      <c r="Q18522" s="559"/>
      <c r="R18522" s="559">
        <v>17</v>
      </c>
    </row>
    <row r="18523" spans="1:18" ht="84">
      <c r="A18523" s="555">
        <v>951</v>
      </c>
      <c r="B18523" s="552" t="s">
        <v>33493</v>
      </c>
      <c r="C18523" s="556" t="s">
        <v>33494</v>
      </c>
      <c r="D18523" s="557">
        <v>157.27000000000001</v>
      </c>
      <c r="E18523" s="557">
        <v>78.13</v>
      </c>
      <c r="F18523" s="557">
        <v>77.58</v>
      </c>
      <c r="G18523" s="557">
        <v>1.56</v>
      </c>
      <c r="H18523" s="558">
        <v>1325.6</v>
      </c>
      <c r="I18523" s="558">
        <v>898.55</v>
      </c>
      <c r="J18523" s="558">
        <v>409.11</v>
      </c>
      <c r="K18523" s="558">
        <v>17.940000000000001</v>
      </c>
      <c r="L18523" s="43">
        <v>8.428816684682392</v>
      </c>
      <c r="M18523" s="43">
        <v>11.500703954946884</v>
      </c>
      <c r="N18523" s="43">
        <v>5.2733952049497299</v>
      </c>
      <c r="O18523" s="43">
        <v>11.5</v>
      </c>
      <c r="P18523" s="559"/>
      <c r="Q18523" s="559"/>
      <c r="R18523" s="559">
        <v>17</v>
      </c>
    </row>
    <row r="18524" spans="1:18" ht="84">
      <c r="A18524" s="555">
        <v>952</v>
      </c>
      <c r="B18524" s="552" t="s">
        <v>33495</v>
      </c>
      <c r="C18524" s="556" t="s">
        <v>33496</v>
      </c>
      <c r="D18524" s="557">
        <v>198.79</v>
      </c>
      <c r="E18524" s="557">
        <v>98.81</v>
      </c>
      <c r="F18524" s="557">
        <v>98</v>
      </c>
      <c r="G18524" s="557">
        <v>1.98</v>
      </c>
      <c r="H18524" s="558">
        <v>1675.94</v>
      </c>
      <c r="I18524" s="558">
        <v>1136.4000000000001</v>
      </c>
      <c r="J18524" s="558">
        <v>516.77</v>
      </c>
      <c r="K18524" s="558">
        <v>22.77</v>
      </c>
      <c r="L18524" s="43">
        <v>8.4307057699079433</v>
      </c>
      <c r="M18524" s="43">
        <v>11.500860236818136</v>
      </c>
      <c r="N18524" s="43">
        <v>5.2731632653061222</v>
      </c>
      <c r="O18524" s="43">
        <v>11.5</v>
      </c>
      <c r="P18524" s="559"/>
      <c r="Q18524" s="559"/>
      <c r="R18524" s="559">
        <v>17</v>
      </c>
    </row>
    <row r="18525" spans="1:18" ht="84">
      <c r="A18525" s="555">
        <v>953</v>
      </c>
      <c r="B18525" s="552" t="s">
        <v>33497</v>
      </c>
      <c r="C18525" s="556" t="s">
        <v>33498</v>
      </c>
      <c r="D18525" s="557">
        <v>243.16</v>
      </c>
      <c r="E18525" s="557">
        <v>120.65</v>
      </c>
      <c r="F18525" s="557">
        <v>120.1</v>
      </c>
      <c r="G18525" s="557">
        <v>2.41</v>
      </c>
      <c r="H18525" s="558">
        <v>2048.4899999999998</v>
      </c>
      <c r="I18525" s="558">
        <v>1387.47</v>
      </c>
      <c r="J18525" s="558">
        <v>633.29999999999995</v>
      </c>
      <c r="K18525" s="558">
        <v>27.72</v>
      </c>
      <c r="L18525" s="43">
        <v>8.4244530350386562</v>
      </c>
      <c r="M18525" s="43">
        <v>11.499958557811851</v>
      </c>
      <c r="N18525" s="43">
        <v>5.2731057452123231</v>
      </c>
      <c r="O18525" s="43">
        <v>11.502074688796679</v>
      </c>
      <c r="P18525" s="559"/>
      <c r="Q18525" s="559"/>
      <c r="R18525" s="559">
        <v>17</v>
      </c>
    </row>
    <row r="18526" spans="1:18" ht="84">
      <c r="A18526" s="555">
        <v>954</v>
      </c>
      <c r="B18526" s="552" t="s">
        <v>33499</v>
      </c>
      <c r="C18526" s="556" t="s">
        <v>33500</v>
      </c>
      <c r="D18526" s="557">
        <v>132.13</v>
      </c>
      <c r="E18526" s="557">
        <v>65.489999999999995</v>
      </c>
      <c r="F18526" s="557">
        <v>65.33</v>
      </c>
      <c r="G18526" s="557">
        <v>1.31</v>
      </c>
      <c r="H18526" s="558">
        <v>1112.79</v>
      </c>
      <c r="I18526" s="558">
        <v>753.2</v>
      </c>
      <c r="J18526" s="558">
        <v>344.52</v>
      </c>
      <c r="K18526" s="558">
        <v>15.07</v>
      </c>
      <c r="L18526" s="43">
        <v>8.4219329448270646</v>
      </c>
      <c r="M18526" s="43">
        <v>11.500992517941672</v>
      </c>
      <c r="N18526" s="43">
        <v>5.2735343639981629</v>
      </c>
      <c r="O18526" s="43">
        <v>11.503816793893129</v>
      </c>
      <c r="P18526" s="559"/>
      <c r="Q18526" s="559"/>
      <c r="R18526" s="559">
        <v>17</v>
      </c>
    </row>
    <row r="18527" spans="1:18" ht="84">
      <c r="A18527" s="555">
        <v>955</v>
      </c>
      <c r="B18527" s="552" t="s">
        <v>33501</v>
      </c>
      <c r="C18527" s="556" t="s">
        <v>33502</v>
      </c>
      <c r="D18527" s="557">
        <v>182.42</v>
      </c>
      <c r="E18527" s="557">
        <v>90.77</v>
      </c>
      <c r="F18527" s="557">
        <v>89.83</v>
      </c>
      <c r="G18527" s="557">
        <v>1.82</v>
      </c>
      <c r="H18527" s="558">
        <v>1538.55</v>
      </c>
      <c r="I18527" s="558">
        <v>1043.9100000000001</v>
      </c>
      <c r="J18527" s="558">
        <v>473.71</v>
      </c>
      <c r="K18527" s="558">
        <v>20.93</v>
      </c>
      <c r="L18527" s="43">
        <v>8.4341081021817779</v>
      </c>
      <c r="M18527" s="43">
        <v>11.500605927068417</v>
      </c>
      <c r="N18527" s="43">
        <v>5.273405321162195</v>
      </c>
      <c r="O18527" s="43">
        <v>11.5</v>
      </c>
      <c r="P18527" s="559"/>
      <c r="Q18527" s="559"/>
      <c r="R18527" s="559">
        <v>17</v>
      </c>
    </row>
    <row r="18528" spans="1:18" ht="84">
      <c r="A18528" s="555">
        <v>956</v>
      </c>
      <c r="B18528" s="552" t="s">
        <v>33503</v>
      </c>
      <c r="C18528" s="556" t="s">
        <v>33504</v>
      </c>
      <c r="D18528" s="557">
        <v>227.14</v>
      </c>
      <c r="E18528" s="557">
        <v>112.6</v>
      </c>
      <c r="F18528" s="557">
        <v>112.29</v>
      </c>
      <c r="G18528" s="557">
        <v>2.25</v>
      </c>
      <c r="H18528" s="558">
        <v>1912.99</v>
      </c>
      <c r="I18528" s="558">
        <v>1294.97</v>
      </c>
      <c r="J18528" s="558">
        <v>592.14</v>
      </c>
      <c r="K18528" s="558">
        <v>25.88</v>
      </c>
      <c r="L18528" s="43">
        <v>8.4220744915030377</v>
      </c>
      <c r="M18528" s="43">
        <v>11.500621669627</v>
      </c>
      <c r="N18528" s="43">
        <v>5.2733101790008012</v>
      </c>
      <c r="O18528" s="43">
        <v>11.502222222222223</v>
      </c>
      <c r="P18528" s="559"/>
      <c r="Q18528" s="559"/>
      <c r="R18528" s="559">
        <v>17</v>
      </c>
    </row>
    <row r="18529" spans="1:18" ht="84">
      <c r="A18529" s="555">
        <v>957</v>
      </c>
      <c r="B18529" s="552" t="s">
        <v>33505</v>
      </c>
      <c r="C18529" s="556" t="s">
        <v>33506</v>
      </c>
      <c r="D18529" s="557">
        <v>281.13</v>
      </c>
      <c r="E18529" s="557">
        <v>139.03</v>
      </c>
      <c r="F18529" s="557">
        <v>139.32</v>
      </c>
      <c r="G18529" s="557">
        <v>2.78</v>
      </c>
      <c r="H18529" s="558">
        <v>2365.4899999999998</v>
      </c>
      <c r="I18529" s="558">
        <v>1598.89</v>
      </c>
      <c r="J18529" s="558">
        <v>734.63</v>
      </c>
      <c r="K18529" s="558">
        <v>31.97</v>
      </c>
      <c r="L18529" s="43">
        <v>8.4142211788140706</v>
      </c>
      <c r="M18529" s="43">
        <v>11.500323671150111</v>
      </c>
      <c r="N18529" s="43">
        <v>5.272968705139248</v>
      </c>
      <c r="O18529" s="43">
        <v>11.5</v>
      </c>
      <c r="P18529" s="559"/>
      <c r="Q18529" s="559"/>
      <c r="R18529" s="559">
        <v>17</v>
      </c>
    </row>
    <row r="18530" spans="1:18" ht="84">
      <c r="A18530" s="555">
        <v>958</v>
      </c>
      <c r="B18530" s="552" t="s">
        <v>33507</v>
      </c>
      <c r="C18530" s="556" t="s">
        <v>33508</v>
      </c>
      <c r="D18530" s="557">
        <v>157.27000000000001</v>
      </c>
      <c r="E18530" s="557">
        <v>78.13</v>
      </c>
      <c r="F18530" s="557">
        <v>77.58</v>
      </c>
      <c r="G18530" s="557">
        <v>1.56</v>
      </c>
      <c r="H18530" s="558">
        <v>1325.6</v>
      </c>
      <c r="I18530" s="558">
        <v>898.55</v>
      </c>
      <c r="J18530" s="558">
        <v>409.11</v>
      </c>
      <c r="K18530" s="558">
        <v>17.940000000000001</v>
      </c>
      <c r="L18530" s="43">
        <v>8.428816684682392</v>
      </c>
      <c r="M18530" s="43">
        <v>11.500703954946884</v>
      </c>
      <c r="N18530" s="43">
        <v>5.2733952049497299</v>
      </c>
      <c r="O18530" s="43">
        <v>11.5</v>
      </c>
      <c r="P18530" s="559"/>
      <c r="Q18530" s="559"/>
      <c r="R18530" s="559">
        <v>17</v>
      </c>
    </row>
    <row r="18531" spans="1:18" ht="84">
      <c r="A18531" s="555">
        <v>959</v>
      </c>
      <c r="B18531" s="552" t="s">
        <v>33509</v>
      </c>
      <c r="C18531" s="556" t="s">
        <v>33510</v>
      </c>
      <c r="D18531" s="557">
        <v>207.57</v>
      </c>
      <c r="E18531" s="557">
        <v>103.41</v>
      </c>
      <c r="F18531" s="557">
        <v>102.09</v>
      </c>
      <c r="G18531" s="557">
        <v>2.0699999999999998</v>
      </c>
      <c r="H18531" s="558">
        <v>1751.38</v>
      </c>
      <c r="I18531" s="558">
        <v>1189.26</v>
      </c>
      <c r="J18531" s="558">
        <v>538.30999999999995</v>
      </c>
      <c r="K18531" s="558">
        <v>23.81</v>
      </c>
      <c r="L18531" s="43">
        <v>8.4375391434214979</v>
      </c>
      <c r="M18531" s="43">
        <v>11.500435161009573</v>
      </c>
      <c r="N18531" s="43">
        <v>5.2728964639043978</v>
      </c>
      <c r="O18531" s="43">
        <v>11.502415458937199</v>
      </c>
      <c r="P18531" s="559"/>
      <c r="Q18531" s="559"/>
      <c r="R18531" s="559">
        <v>17</v>
      </c>
    </row>
    <row r="18532" spans="1:18" ht="84">
      <c r="A18532" s="555">
        <v>960</v>
      </c>
      <c r="B18532" s="552" t="s">
        <v>33511</v>
      </c>
      <c r="C18532" s="556" t="s">
        <v>33512</v>
      </c>
      <c r="D18532" s="557">
        <v>260.95</v>
      </c>
      <c r="E18532" s="557">
        <v>129.84</v>
      </c>
      <c r="F18532" s="557">
        <v>128.51</v>
      </c>
      <c r="G18532" s="557">
        <v>2.6</v>
      </c>
      <c r="H18532" s="558">
        <v>2200.71</v>
      </c>
      <c r="I18532" s="558">
        <v>1493.18</v>
      </c>
      <c r="J18532" s="558">
        <v>677.63</v>
      </c>
      <c r="K18532" s="558">
        <v>29.9</v>
      </c>
      <c r="L18532" s="43">
        <v>8.4334546848055183</v>
      </c>
      <c r="M18532" s="43">
        <v>11.500154035736291</v>
      </c>
      <c r="N18532" s="43">
        <v>5.2729748657692008</v>
      </c>
      <c r="O18532" s="43">
        <v>11.499999999999998</v>
      </c>
      <c r="P18532" s="559"/>
      <c r="Q18532" s="559"/>
      <c r="R18532" s="559">
        <v>17</v>
      </c>
    </row>
    <row r="18533" spans="1:18" ht="84">
      <c r="A18533" s="555">
        <v>961</v>
      </c>
      <c r="B18533" s="552" t="s">
        <v>33513</v>
      </c>
      <c r="C18533" s="556" t="s">
        <v>33514</v>
      </c>
      <c r="D18533" s="557">
        <v>317.89</v>
      </c>
      <c r="E18533" s="557">
        <v>157.41</v>
      </c>
      <c r="F18533" s="557">
        <v>157.33000000000001</v>
      </c>
      <c r="G18533" s="557">
        <v>3.15</v>
      </c>
      <c r="H18533" s="558">
        <v>2676.17</v>
      </c>
      <c r="I18533" s="558">
        <v>1810.32</v>
      </c>
      <c r="J18533" s="558">
        <v>829.62</v>
      </c>
      <c r="K18533" s="558">
        <v>36.229999999999997</v>
      </c>
      <c r="L18533" s="43">
        <v>8.4185410047500717</v>
      </c>
      <c r="M18533" s="43">
        <v>11.50066704783686</v>
      </c>
      <c r="N18533" s="43">
        <v>5.2731201932244325</v>
      </c>
      <c r="O18533" s="43">
        <v>11.501587301587302</v>
      </c>
      <c r="P18533" s="559"/>
      <c r="Q18533" s="559"/>
      <c r="R18533" s="559">
        <v>17</v>
      </c>
    </row>
    <row r="18534" spans="1:18" ht="84">
      <c r="A18534" s="555">
        <v>962</v>
      </c>
      <c r="B18534" s="552" t="s">
        <v>33515</v>
      </c>
      <c r="C18534" s="556" t="s">
        <v>33516</v>
      </c>
      <c r="D18534" s="557">
        <v>169.27</v>
      </c>
      <c r="E18534" s="557">
        <v>83.88</v>
      </c>
      <c r="F18534" s="557">
        <v>83.71</v>
      </c>
      <c r="G18534" s="557">
        <v>1.68</v>
      </c>
      <c r="H18534" s="558">
        <v>1425.35</v>
      </c>
      <c r="I18534" s="558">
        <v>964.62</v>
      </c>
      <c r="J18534" s="558">
        <v>441.41</v>
      </c>
      <c r="K18534" s="558">
        <v>19.32</v>
      </c>
      <c r="L18534" s="43">
        <v>8.4205706858864531</v>
      </c>
      <c r="M18534" s="43">
        <v>11.5</v>
      </c>
      <c r="N18534" s="43">
        <v>5.2730856528491223</v>
      </c>
      <c r="O18534" s="43">
        <v>11.5</v>
      </c>
      <c r="P18534" s="559"/>
      <c r="Q18534" s="559"/>
      <c r="R18534" s="559">
        <v>17</v>
      </c>
    </row>
    <row r="18535" spans="1:18" ht="84">
      <c r="A18535" s="555">
        <v>963</v>
      </c>
      <c r="B18535" s="552" t="s">
        <v>33517</v>
      </c>
      <c r="C18535" s="556" t="s">
        <v>33518</v>
      </c>
      <c r="D18535" s="557">
        <v>206.4</v>
      </c>
      <c r="E18535" s="557">
        <v>102.26</v>
      </c>
      <c r="F18535" s="557">
        <v>102.09</v>
      </c>
      <c r="G18535" s="557">
        <v>2.0499999999999998</v>
      </c>
      <c r="H18535" s="558">
        <v>1737.94</v>
      </c>
      <c r="I18535" s="558">
        <v>1176.05</v>
      </c>
      <c r="J18535" s="558">
        <v>538.30999999999995</v>
      </c>
      <c r="K18535" s="558">
        <v>23.58</v>
      </c>
      <c r="L18535" s="43">
        <v>8.4202519379844958</v>
      </c>
      <c r="M18535" s="43">
        <v>11.500586739683159</v>
      </c>
      <c r="N18535" s="43">
        <v>5.2728964639043978</v>
      </c>
      <c r="O18535" s="43">
        <v>11.502439024390243</v>
      </c>
      <c r="P18535" s="559"/>
      <c r="Q18535" s="559"/>
      <c r="R18535" s="559">
        <v>17</v>
      </c>
    </row>
    <row r="18536" spans="1:18" ht="84">
      <c r="A18536" s="555">
        <v>964</v>
      </c>
      <c r="B18536" s="552" t="s">
        <v>33519</v>
      </c>
      <c r="C18536" s="556" t="s">
        <v>33520</v>
      </c>
      <c r="D18536" s="557">
        <v>231.54</v>
      </c>
      <c r="E18536" s="557">
        <v>114.9</v>
      </c>
      <c r="F18536" s="557">
        <v>114.34</v>
      </c>
      <c r="G18536" s="557">
        <v>2.2999999999999998</v>
      </c>
      <c r="H18536" s="558">
        <v>1950.75</v>
      </c>
      <c r="I18536" s="558">
        <v>1321.4</v>
      </c>
      <c r="J18536" s="558">
        <v>602.9</v>
      </c>
      <c r="K18536" s="558">
        <v>26.45</v>
      </c>
      <c r="L18536" s="43">
        <v>8.4251101321585899</v>
      </c>
      <c r="M18536" s="43">
        <v>11.500435161009573</v>
      </c>
      <c r="N18536" s="43">
        <v>5.2728703865663809</v>
      </c>
      <c r="O18536" s="43">
        <v>11.5</v>
      </c>
      <c r="P18536" s="559"/>
      <c r="Q18536" s="559"/>
      <c r="R18536" s="559">
        <v>17</v>
      </c>
    </row>
    <row r="18537" spans="1:18" ht="84">
      <c r="A18537" s="555">
        <v>965</v>
      </c>
      <c r="B18537" s="552" t="s">
        <v>33521</v>
      </c>
      <c r="C18537" s="556" t="s">
        <v>33522</v>
      </c>
      <c r="D18537" s="557">
        <v>284.68</v>
      </c>
      <c r="E18537" s="557">
        <v>141.33000000000001</v>
      </c>
      <c r="F18537" s="557">
        <v>140.52000000000001</v>
      </c>
      <c r="G18537" s="557">
        <v>2.83</v>
      </c>
      <c r="H18537" s="558">
        <v>2398.83</v>
      </c>
      <c r="I18537" s="558">
        <v>1625.32</v>
      </c>
      <c r="J18537" s="558">
        <v>740.96</v>
      </c>
      <c r="K18537" s="558">
        <v>32.549999999999997</v>
      </c>
      <c r="L18537" s="43">
        <v>8.4264085991288464</v>
      </c>
      <c r="M18537" s="43">
        <v>11.500176890964408</v>
      </c>
      <c r="N18537" s="43">
        <v>5.272986051807572</v>
      </c>
      <c r="O18537" s="43">
        <v>11.501766784452295</v>
      </c>
      <c r="P18537" s="559"/>
      <c r="Q18537" s="559"/>
      <c r="R18537" s="559">
        <v>17</v>
      </c>
    </row>
    <row r="18538" spans="1:18" ht="12.75" customHeight="1">
      <c r="A18538" s="628" t="s">
        <v>33523</v>
      </c>
      <c r="B18538" s="629"/>
      <c r="C18538" s="629"/>
      <c r="D18538" s="629"/>
      <c r="E18538" s="629"/>
      <c r="F18538" s="629"/>
      <c r="G18538" s="629"/>
      <c r="H18538" s="629"/>
      <c r="I18538" s="629"/>
      <c r="J18538" s="629"/>
      <c r="K18538" s="629"/>
      <c r="L18538" s="629"/>
      <c r="M18538" s="629"/>
      <c r="N18538" s="629"/>
      <c r="O18538" s="629"/>
      <c r="P18538" s="629"/>
      <c r="Q18538" s="629"/>
      <c r="R18538" s="629"/>
    </row>
    <row r="18539" spans="1:18" ht="84">
      <c r="A18539" s="555">
        <v>966</v>
      </c>
      <c r="B18539" s="552" t="s">
        <v>33524</v>
      </c>
      <c r="C18539" s="556" t="s">
        <v>33525</v>
      </c>
      <c r="D18539" s="557">
        <v>5.33</v>
      </c>
      <c r="E18539" s="557">
        <v>2.64</v>
      </c>
      <c r="F18539" s="557">
        <v>2.64</v>
      </c>
      <c r="G18539" s="557">
        <v>0.05</v>
      </c>
      <c r="H18539" s="558">
        <v>44.9</v>
      </c>
      <c r="I18539" s="558">
        <v>30.39</v>
      </c>
      <c r="J18539" s="558">
        <v>13.93</v>
      </c>
      <c r="K18539" s="558">
        <v>0.57999999999999996</v>
      </c>
      <c r="L18539" s="43">
        <v>8.424015009380863</v>
      </c>
      <c r="M18539" s="43">
        <v>11.5013636363636</v>
      </c>
      <c r="N18539" s="43">
        <v>5.2765151515151514</v>
      </c>
      <c r="O18539" s="43">
        <v>11.503164556962025</v>
      </c>
      <c r="P18539" s="559"/>
      <c r="Q18539" s="559"/>
      <c r="R18539" s="559">
        <v>18</v>
      </c>
    </row>
    <row r="18540" spans="1:18" ht="84">
      <c r="A18540" s="555">
        <v>967</v>
      </c>
      <c r="B18540" s="552" t="s">
        <v>33526</v>
      </c>
      <c r="C18540" s="556" t="s">
        <v>33527</v>
      </c>
      <c r="D18540" s="557">
        <v>5.81</v>
      </c>
      <c r="E18540" s="557">
        <v>2.87</v>
      </c>
      <c r="F18540" s="557">
        <v>2.88</v>
      </c>
      <c r="G18540" s="557">
        <v>0.06</v>
      </c>
      <c r="H18540" s="558">
        <v>48.93</v>
      </c>
      <c r="I18540" s="558">
        <v>33.04</v>
      </c>
      <c r="J18540" s="558">
        <v>15.2</v>
      </c>
      <c r="K18540" s="558">
        <v>0.69</v>
      </c>
      <c r="L18540" s="43">
        <v>8.4216867469879517</v>
      </c>
      <c r="M18540" s="43">
        <v>11.5021951219512</v>
      </c>
      <c r="N18540" s="43">
        <v>5.2777777777777777</v>
      </c>
      <c r="O18540" s="43">
        <v>11.503164556962025</v>
      </c>
      <c r="P18540" s="559"/>
      <c r="Q18540" s="559"/>
      <c r="R18540" s="559">
        <v>18</v>
      </c>
    </row>
    <row r="18541" spans="1:18" ht="84">
      <c r="A18541" s="555">
        <v>968</v>
      </c>
      <c r="B18541" s="552" t="s">
        <v>33528</v>
      </c>
      <c r="C18541" s="556" t="s">
        <v>33529</v>
      </c>
      <c r="D18541" s="557">
        <v>8.5399999999999991</v>
      </c>
      <c r="E18541" s="557">
        <v>4.25</v>
      </c>
      <c r="F18541" s="557">
        <v>4.2</v>
      </c>
      <c r="G18541" s="557">
        <v>0.09</v>
      </c>
      <c r="H18541" s="558">
        <v>72.099999999999994</v>
      </c>
      <c r="I18541" s="558">
        <v>48.89</v>
      </c>
      <c r="J18541" s="558">
        <v>22.17</v>
      </c>
      <c r="K18541" s="558">
        <v>1.04</v>
      </c>
      <c r="L18541" s="43">
        <v>8.442622950819672</v>
      </c>
      <c r="M18541" s="43">
        <v>11.503529411764706</v>
      </c>
      <c r="N18541" s="43">
        <v>5.2785714285714285</v>
      </c>
      <c r="O18541" s="43">
        <v>11.503164556962025</v>
      </c>
      <c r="P18541" s="559"/>
      <c r="Q18541" s="559"/>
      <c r="R18541" s="559">
        <v>18</v>
      </c>
    </row>
    <row r="18542" spans="1:18" ht="84">
      <c r="A18542" s="555">
        <v>969</v>
      </c>
      <c r="B18542" s="552" t="s">
        <v>33530</v>
      </c>
      <c r="C18542" s="556" t="s">
        <v>33531</v>
      </c>
      <c r="D18542" s="557">
        <v>9.9600000000000009</v>
      </c>
      <c r="E18542" s="557">
        <v>4.9400000000000004</v>
      </c>
      <c r="F18542" s="557">
        <v>4.92</v>
      </c>
      <c r="G18542" s="557">
        <v>0.1</v>
      </c>
      <c r="H18542" s="558">
        <v>83.94</v>
      </c>
      <c r="I18542" s="558">
        <v>56.82</v>
      </c>
      <c r="J18542" s="558">
        <v>25.97</v>
      </c>
      <c r="K18542" s="558">
        <v>1.1499999999999999</v>
      </c>
      <c r="L18542" s="43">
        <v>8.4277108433734931</v>
      </c>
      <c r="M18542" s="43">
        <v>11.502024291497975</v>
      </c>
      <c r="N18542" s="43">
        <v>5.2784552845528454</v>
      </c>
      <c r="O18542" s="43">
        <v>11.503164556962025</v>
      </c>
      <c r="P18542" s="559"/>
      <c r="Q18542" s="559"/>
      <c r="R18542" s="559">
        <v>18</v>
      </c>
    </row>
    <row r="18543" spans="1:18" ht="84">
      <c r="A18543" s="555">
        <v>970</v>
      </c>
      <c r="B18543" s="552" t="s">
        <v>33532</v>
      </c>
      <c r="C18543" s="556" t="s">
        <v>33533</v>
      </c>
      <c r="D18543" s="557">
        <v>11.86</v>
      </c>
      <c r="E18543" s="557">
        <v>5.86</v>
      </c>
      <c r="F18543" s="557">
        <v>5.88</v>
      </c>
      <c r="G18543" s="557">
        <v>0.12</v>
      </c>
      <c r="H18543" s="558">
        <v>99.8</v>
      </c>
      <c r="I18543" s="558">
        <v>67.39</v>
      </c>
      <c r="J18543" s="558">
        <v>31.03</v>
      </c>
      <c r="K18543" s="558">
        <v>1.38</v>
      </c>
      <c r="L18543" s="43">
        <v>8.4148397976391234</v>
      </c>
      <c r="M18543" s="43">
        <v>11.5</v>
      </c>
      <c r="N18543" s="43">
        <v>5.2772108843537415</v>
      </c>
      <c r="O18543" s="43">
        <v>11.503164556962025</v>
      </c>
      <c r="P18543" s="559"/>
      <c r="Q18543" s="559"/>
      <c r="R18543" s="559">
        <v>18</v>
      </c>
    </row>
    <row r="18544" spans="1:18" ht="84">
      <c r="A18544" s="555">
        <v>971</v>
      </c>
      <c r="B18544" s="552" t="s">
        <v>33534</v>
      </c>
      <c r="C18544" s="556" t="s">
        <v>33535</v>
      </c>
      <c r="D18544" s="557">
        <v>14.12</v>
      </c>
      <c r="E18544" s="557">
        <v>7.01</v>
      </c>
      <c r="F18544" s="557">
        <v>6.97</v>
      </c>
      <c r="G18544" s="557">
        <v>0.14000000000000001</v>
      </c>
      <c r="H18544" s="558">
        <v>118.95</v>
      </c>
      <c r="I18544" s="558">
        <v>80.61</v>
      </c>
      <c r="J18544" s="558">
        <v>36.729999999999997</v>
      </c>
      <c r="K18544" s="558">
        <v>1.61</v>
      </c>
      <c r="L18544" s="43">
        <v>8.4242209631728056</v>
      </c>
      <c r="M18544" s="43">
        <v>11.499286733238231</v>
      </c>
      <c r="N18544" s="43">
        <v>5.2697274031563843</v>
      </c>
      <c r="O18544" s="43">
        <v>11.503164556962025</v>
      </c>
      <c r="P18544" s="559"/>
      <c r="Q18544" s="559"/>
      <c r="R18544" s="559">
        <v>18</v>
      </c>
    </row>
    <row r="18545" spans="1:18" ht="84">
      <c r="A18545" s="555">
        <v>972</v>
      </c>
      <c r="B18545" s="552" t="s">
        <v>33536</v>
      </c>
      <c r="C18545" s="556" t="s">
        <v>33537</v>
      </c>
      <c r="D18545" s="557">
        <v>15.78</v>
      </c>
      <c r="E18545" s="557">
        <v>7.81</v>
      </c>
      <c r="F18545" s="557">
        <v>7.81</v>
      </c>
      <c r="G18545" s="557">
        <v>0.16</v>
      </c>
      <c r="H18545" s="558">
        <v>132.86000000000001</v>
      </c>
      <c r="I18545" s="558">
        <v>89.86</v>
      </c>
      <c r="J18545" s="558">
        <v>41.16</v>
      </c>
      <c r="K18545" s="558">
        <v>1.84</v>
      </c>
      <c r="L18545" s="43">
        <v>8.4195183776932847</v>
      </c>
      <c r="M18545" s="43">
        <v>11.5021951219512</v>
      </c>
      <c r="N18545" s="43">
        <v>5.2701664532650447</v>
      </c>
      <c r="O18545" s="43">
        <v>11.503164556962025</v>
      </c>
      <c r="P18545" s="559"/>
      <c r="Q18545" s="559"/>
      <c r="R18545" s="559">
        <v>18</v>
      </c>
    </row>
    <row r="18546" spans="1:18" ht="84">
      <c r="A18546" s="555">
        <v>973</v>
      </c>
      <c r="B18546" s="552" t="s">
        <v>33538</v>
      </c>
      <c r="C18546" s="556" t="s">
        <v>33539</v>
      </c>
      <c r="D18546" s="557">
        <v>18.5</v>
      </c>
      <c r="E18546" s="557">
        <v>9.19</v>
      </c>
      <c r="F18546" s="557">
        <v>9.1300000000000008</v>
      </c>
      <c r="G18546" s="557">
        <v>0.18</v>
      </c>
      <c r="H18546" s="558">
        <v>155.91</v>
      </c>
      <c r="I18546" s="558">
        <v>105.71</v>
      </c>
      <c r="J18546" s="558">
        <v>48.13</v>
      </c>
      <c r="K18546" s="558">
        <v>2.0699999999999998</v>
      </c>
      <c r="L18546" s="43">
        <v>8.4275675675675679</v>
      </c>
      <c r="M18546" s="43">
        <v>11.502720348204571</v>
      </c>
      <c r="N18546" s="43">
        <v>5.2716319824753555</v>
      </c>
      <c r="O18546" s="43">
        <v>11.503164556962025</v>
      </c>
      <c r="P18546" s="559"/>
      <c r="Q18546" s="559"/>
      <c r="R18546" s="559">
        <v>18</v>
      </c>
    </row>
    <row r="18547" spans="1:18" ht="84">
      <c r="A18547" s="555">
        <v>974</v>
      </c>
      <c r="B18547" s="552" t="s">
        <v>33540</v>
      </c>
      <c r="C18547" s="556" t="s">
        <v>33541</v>
      </c>
      <c r="D18547" s="557">
        <v>19.22</v>
      </c>
      <c r="E18547" s="557">
        <v>9.5399999999999991</v>
      </c>
      <c r="F18547" s="557">
        <v>9.49</v>
      </c>
      <c r="G18547" s="557">
        <v>0.19</v>
      </c>
      <c r="H18547" s="558">
        <v>161.9</v>
      </c>
      <c r="I18547" s="558">
        <v>109.68</v>
      </c>
      <c r="J18547" s="558">
        <v>50.03</v>
      </c>
      <c r="K18547" s="558">
        <v>2.19</v>
      </c>
      <c r="L18547" s="43">
        <v>8.4235171696149855</v>
      </c>
      <c r="M18547" s="43">
        <v>11.496855345911952</v>
      </c>
      <c r="N18547" s="43">
        <v>5.2718651211801895</v>
      </c>
      <c r="O18547" s="43">
        <v>11.503164556962025</v>
      </c>
      <c r="P18547" s="559"/>
      <c r="Q18547" s="559"/>
      <c r="R18547" s="559">
        <v>18</v>
      </c>
    </row>
    <row r="18548" spans="1:18" ht="84">
      <c r="A18548" s="555">
        <v>975</v>
      </c>
      <c r="B18548" s="552" t="s">
        <v>33542</v>
      </c>
      <c r="C18548" s="556" t="s">
        <v>33543</v>
      </c>
      <c r="D18548" s="557">
        <v>23.25</v>
      </c>
      <c r="E18548" s="557">
        <v>11.49</v>
      </c>
      <c r="F18548" s="557">
        <v>11.53</v>
      </c>
      <c r="G18548" s="557">
        <v>0.23</v>
      </c>
      <c r="H18548" s="558">
        <v>195.59</v>
      </c>
      <c r="I18548" s="558">
        <v>132.13999999999999</v>
      </c>
      <c r="J18548" s="558">
        <v>60.8</v>
      </c>
      <c r="K18548" s="558">
        <v>2.65</v>
      </c>
      <c r="L18548" s="43">
        <v>8.4124731182795696</v>
      </c>
      <c r="M18548" s="43">
        <v>11.500435161009571</v>
      </c>
      <c r="N18548" s="43">
        <v>5.2732003469210751</v>
      </c>
      <c r="O18548" s="43">
        <v>11.503164556962025</v>
      </c>
      <c r="P18548" s="559"/>
      <c r="Q18548" s="559"/>
      <c r="R18548" s="559">
        <v>18</v>
      </c>
    </row>
    <row r="18549" spans="1:18" ht="84">
      <c r="A18549" s="555">
        <v>976</v>
      </c>
      <c r="B18549" s="552" t="s">
        <v>33544</v>
      </c>
      <c r="C18549" s="556" t="s">
        <v>33545</v>
      </c>
      <c r="D18549" s="557">
        <v>30.61</v>
      </c>
      <c r="E18549" s="557">
        <v>14.94</v>
      </c>
      <c r="F18549" s="557">
        <v>15.37</v>
      </c>
      <c r="G18549" s="557">
        <v>0.3</v>
      </c>
      <c r="H18549" s="558">
        <v>256.29000000000002</v>
      </c>
      <c r="I18549" s="558">
        <v>171.78</v>
      </c>
      <c r="J18549" s="558">
        <v>81.06</v>
      </c>
      <c r="K18549" s="558">
        <v>3.45</v>
      </c>
      <c r="L18549" s="43">
        <v>8.3727540019601445</v>
      </c>
      <c r="M18549" s="43">
        <v>11.497991967871487</v>
      </c>
      <c r="N18549" s="43">
        <v>5.2739102147039691</v>
      </c>
      <c r="O18549" s="43">
        <v>11.503164556962025</v>
      </c>
      <c r="P18549" s="559"/>
      <c r="Q18549" s="559"/>
      <c r="R18549" s="559">
        <v>18</v>
      </c>
    </row>
    <row r="18550" spans="1:18" ht="84">
      <c r="A18550" s="555">
        <v>977</v>
      </c>
      <c r="B18550" s="552" t="s">
        <v>33546</v>
      </c>
      <c r="C18550" s="556" t="s">
        <v>33547</v>
      </c>
      <c r="D18550" s="557">
        <v>25.38</v>
      </c>
      <c r="E18550" s="557">
        <v>12.64</v>
      </c>
      <c r="F18550" s="557">
        <v>12.49</v>
      </c>
      <c r="G18550" s="557">
        <v>0.25</v>
      </c>
      <c r="H18550" s="558">
        <v>214.09</v>
      </c>
      <c r="I18550" s="558">
        <v>145.35</v>
      </c>
      <c r="J18550" s="558">
        <v>65.86</v>
      </c>
      <c r="K18550" s="558">
        <v>2.88</v>
      </c>
      <c r="L18550" s="43">
        <v>8.4353821907013398</v>
      </c>
      <c r="M18550" s="43">
        <v>11.499208860759493</v>
      </c>
      <c r="N18550" s="43">
        <v>5.2730184147317853</v>
      </c>
      <c r="O18550" s="43">
        <v>11.503164556962025</v>
      </c>
      <c r="P18550" s="559"/>
      <c r="Q18550" s="559"/>
      <c r="R18550" s="559">
        <v>18</v>
      </c>
    </row>
    <row r="18551" spans="1:18" ht="84">
      <c r="A18551" s="555">
        <v>978</v>
      </c>
      <c r="B18551" s="552" t="s">
        <v>33548</v>
      </c>
      <c r="C18551" s="556" t="s">
        <v>33549</v>
      </c>
      <c r="D18551" s="557">
        <v>29.65</v>
      </c>
      <c r="E18551" s="557">
        <v>14.94</v>
      </c>
      <c r="F18551" s="557">
        <v>14.41</v>
      </c>
      <c r="G18551" s="557">
        <v>0.3</v>
      </c>
      <c r="H18551" s="558">
        <v>251.23</v>
      </c>
      <c r="I18551" s="558">
        <v>171.78</v>
      </c>
      <c r="J18551" s="558">
        <v>76</v>
      </c>
      <c r="K18551" s="558">
        <v>3.45</v>
      </c>
      <c r="L18551" s="43">
        <v>8.4731871838111292</v>
      </c>
      <c r="M18551" s="43">
        <v>11.497991967871487</v>
      </c>
      <c r="N18551" s="43">
        <v>5.2741151977793201</v>
      </c>
      <c r="O18551" s="43">
        <v>11.503164556962025</v>
      </c>
      <c r="P18551" s="559"/>
      <c r="Q18551" s="559"/>
      <c r="R18551" s="559">
        <v>18</v>
      </c>
    </row>
    <row r="18552" spans="1:18" ht="84">
      <c r="A18552" s="555">
        <v>979</v>
      </c>
      <c r="B18552" s="552" t="s">
        <v>33550</v>
      </c>
      <c r="C18552" s="556" t="s">
        <v>33551</v>
      </c>
      <c r="D18552" s="557">
        <v>39.14</v>
      </c>
      <c r="E18552" s="557">
        <v>19.53</v>
      </c>
      <c r="F18552" s="557">
        <v>19.22</v>
      </c>
      <c r="G18552" s="557">
        <v>0.39</v>
      </c>
      <c r="H18552" s="558">
        <v>330.46</v>
      </c>
      <c r="I18552" s="558">
        <v>224.64</v>
      </c>
      <c r="J18552" s="558">
        <v>101.33</v>
      </c>
      <c r="K18552" s="558">
        <v>4.49</v>
      </c>
      <c r="L18552" s="43">
        <v>8.4430250383239649</v>
      </c>
      <c r="M18552" s="43">
        <v>11.502304147465436</v>
      </c>
      <c r="N18552" s="43">
        <v>5.2721123829344432</v>
      </c>
      <c r="O18552" s="43">
        <v>11.503164556962025</v>
      </c>
      <c r="P18552" s="559"/>
      <c r="Q18552" s="559"/>
      <c r="R18552" s="559">
        <v>18</v>
      </c>
    </row>
    <row r="18553" spans="1:18" ht="84">
      <c r="A18553" s="555">
        <v>980</v>
      </c>
      <c r="B18553" s="552" t="s">
        <v>33552</v>
      </c>
      <c r="C18553" s="556" t="s">
        <v>33553</v>
      </c>
      <c r="D18553" s="557">
        <v>29.65</v>
      </c>
      <c r="E18553" s="557">
        <v>14.94</v>
      </c>
      <c r="F18553" s="557">
        <v>14.41</v>
      </c>
      <c r="G18553" s="557">
        <v>0.3</v>
      </c>
      <c r="H18553" s="558">
        <v>251.23</v>
      </c>
      <c r="I18553" s="558">
        <v>171.78</v>
      </c>
      <c r="J18553" s="558">
        <v>76</v>
      </c>
      <c r="K18553" s="558">
        <v>3.45</v>
      </c>
      <c r="L18553" s="43">
        <v>8.4731871838111292</v>
      </c>
      <c r="M18553" s="43">
        <v>11.497991967871487</v>
      </c>
      <c r="N18553" s="43">
        <v>5.2741151977793201</v>
      </c>
      <c r="O18553" s="43">
        <v>11.503164556962025</v>
      </c>
      <c r="P18553" s="559"/>
      <c r="Q18553" s="559"/>
      <c r="R18553" s="559">
        <v>18</v>
      </c>
    </row>
    <row r="18554" spans="1:18" ht="84">
      <c r="A18554" s="555">
        <v>981</v>
      </c>
      <c r="B18554" s="552" t="s">
        <v>33554</v>
      </c>
      <c r="C18554" s="556" t="s">
        <v>33555</v>
      </c>
      <c r="D18554" s="557">
        <v>34.869999999999997</v>
      </c>
      <c r="E18554" s="557">
        <v>17.239999999999998</v>
      </c>
      <c r="F18554" s="557">
        <v>17.29</v>
      </c>
      <c r="G18554" s="557">
        <v>0.34</v>
      </c>
      <c r="H18554" s="558">
        <v>293.32</v>
      </c>
      <c r="I18554" s="558">
        <v>198.21</v>
      </c>
      <c r="J18554" s="558">
        <v>91.2</v>
      </c>
      <c r="K18554" s="558">
        <v>3.91</v>
      </c>
      <c r="L18554" s="43">
        <v>8.4118153140235155</v>
      </c>
      <c r="M18554" s="43">
        <v>11.497099767981441</v>
      </c>
      <c r="N18554" s="43">
        <v>5.2747252747252755</v>
      </c>
      <c r="O18554" s="43">
        <v>11.503164556962025</v>
      </c>
      <c r="P18554" s="559"/>
      <c r="Q18554" s="559"/>
      <c r="R18554" s="559">
        <v>18</v>
      </c>
    </row>
    <row r="18555" spans="1:18" ht="84">
      <c r="A18555" s="555">
        <v>982</v>
      </c>
      <c r="B18555" s="552" t="s">
        <v>33556</v>
      </c>
      <c r="C18555" s="556" t="s">
        <v>33557</v>
      </c>
      <c r="D18555" s="557">
        <v>46.5</v>
      </c>
      <c r="E18555" s="557">
        <v>22.98</v>
      </c>
      <c r="F18555" s="557">
        <v>23.06</v>
      </c>
      <c r="G18555" s="557">
        <v>0.46</v>
      </c>
      <c r="H18555" s="558">
        <v>391.16</v>
      </c>
      <c r="I18555" s="558">
        <v>264.27999999999997</v>
      </c>
      <c r="J18555" s="558">
        <v>121.59</v>
      </c>
      <c r="K18555" s="558">
        <v>5.29</v>
      </c>
      <c r="L18555" s="43">
        <v>8.4120430107526882</v>
      </c>
      <c r="M18555" s="43">
        <v>11.500435161009571</v>
      </c>
      <c r="N18555" s="43">
        <v>5.2727666955767569</v>
      </c>
      <c r="O18555" s="43">
        <v>11.503164556962025</v>
      </c>
      <c r="P18555" s="559"/>
      <c r="Q18555" s="559"/>
      <c r="R18555" s="559">
        <v>18</v>
      </c>
    </row>
    <row r="18556" spans="1:18" ht="84">
      <c r="A18556" s="555">
        <v>983</v>
      </c>
      <c r="B18556" s="552" t="s">
        <v>33558</v>
      </c>
      <c r="C18556" s="556" t="s">
        <v>33559</v>
      </c>
      <c r="D18556" s="557">
        <v>41.27</v>
      </c>
      <c r="E18556" s="557">
        <v>20.68</v>
      </c>
      <c r="F18556" s="557">
        <v>20.18</v>
      </c>
      <c r="G18556" s="557">
        <v>0.41</v>
      </c>
      <c r="H18556" s="558">
        <v>348.96</v>
      </c>
      <c r="I18556" s="558">
        <v>237.85</v>
      </c>
      <c r="J18556" s="558">
        <v>106.39</v>
      </c>
      <c r="K18556" s="558">
        <v>4.72</v>
      </c>
      <c r="L18556" s="43">
        <v>8.4555367094741936</v>
      </c>
      <c r="M18556" s="43">
        <v>11.501450676982591</v>
      </c>
      <c r="N18556" s="43">
        <v>5.2720515361744305</v>
      </c>
      <c r="O18556" s="43">
        <v>11.503164556962025</v>
      </c>
      <c r="P18556" s="559"/>
      <c r="Q18556" s="559"/>
      <c r="R18556" s="559">
        <v>18</v>
      </c>
    </row>
    <row r="18557" spans="1:18" ht="84">
      <c r="A18557" s="555">
        <v>984</v>
      </c>
      <c r="B18557" s="552" t="s">
        <v>33560</v>
      </c>
      <c r="C18557" s="556" t="s">
        <v>33561</v>
      </c>
      <c r="D18557" s="557">
        <v>50.77</v>
      </c>
      <c r="E18557" s="557">
        <v>25.28</v>
      </c>
      <c r="F18557" s="557">
        <v>24.98</v>
      </c>
      <c r="G18557" s="557">
        <v>0.51</v>
      </c>
      <c r="H18557" s="558">
        <v>428.31</v>
      </c>
      <c r="I18557" s="558">
        <v>290.70999999999998</v>
      </c>
      <c r="J18557" s="558">
        <v>131.72999999999999</v>
      </c>
      <c r="K18557" s="558">
        <v>5.87</v>
      </c>
      <c r="L18557" s="43">
        <v>8.4362812684656294</v>
      </c>
      <c r="M18557" s="43">
        <v>11.499604430379746</v>
      </c>
      <c r="N18557" s="43">
        <v>5.27341873498799</v>
      </c>
      <c r="O18557" s="43">
        <v>11.503164556962025</v>
      </c>
      <c r="P18557" s="559"/>
      <c r="Q18557" s="559"/>
      <c r="R18557" s="559">
        <v>18</v>
      </c>
    </row>
    <row r="18558" spans="1:18" ht="84">
      <c r="A18558" s="555">
        <v>985</v>
      </c>
      <c r="B18558" s="552" t="s">
        <v>33562</v>
      </c>
      <c r="C18558" s="556" t="s">
        <v>33563</v>
      </c>
      <c r="D18558" s="557">
        <v>66.66</v>
      </c>
      <c r="E18558" s="557">
        <v>33.32</v>
      </c>
      <c r="F18558" s="557">
        <v>32.67</v>
      </c>
      <c r="G18558" s="557">
        <v>0.67</v>
      </c>
      <c r="H18558" s="558">
        <v>563.17999999999995</v>
      </c>
      <c r="I18558" s="558">
        <v>383.21</v>
      </c>
      <c r="J18558" s="558">
        <v>172.26</v>
      </c>
      <c r="K18558" s="558">
        <v>7.71</v>
      </c>
      <c r="L18558" s="43">
        <v>8.4485448544854478</v>
      </c>
      <c r="M18558" s="43">
        <v>11.500900360144056</v>
      </c>
      <c r="N18558" s="43">
        <v>5.2727272727272725</v>
      </c>
      <c r="O18558" s="43">
        <v>11.503164556962025</v>
      </c>
      <c r="P18558" s="559"/>
      <c r="Q18558" s="559"/>
      <c r="R18558" s="559">
        <v>18</v>
      </c>
    </row>
    <row r="18559" spans="1:18" ht="84">
      <c r="A18559" s="555">
        <v>986</v>
      </c>
      <c r="B18559" s="552" t="s">
        <v>33564</v>
      </c>
      <c r="C18559" s="556" t="s">
        <v>33565</v>
      </c>
      <c r="D18559" s="557">
        <v>43.41</v>
      </c>
      <c r="E18559" s="557">
        <v>21.83</v>
      </c>
      <c r="F18559" s="557">
        <v>21.14</v>
      </c>
      <c r="G18559" s="557">
        <v>0.44</v>
      </c>
      <c r="H18559" s="558">
        <v>367.59</v>
      </c>
      <c r="I18559" s="558">
        <v>251.07</v>
      </c>
      <c r="J18559" s="558">
        <v>111.46</v>
      </c>
      <c r="K18559" s="558">
        <v>5.0599999999999996</v>
      </c>
      <c r="L18559" s="43">
        <v>8.4678645473393228</v>
      </c>
      <c r="M18559" s="43">
        <v>11.50114521300962</v>
      </c>
      <c r="N18559" s="43">
        <v>5.2724692526017023</v>
      </c>
      <c r="O18559" s="43">
        <v>11.503164556962025</v>
      </c>
      <c r="P18559" s="559"/>
      <c r="Q18559" s="559"/>
      <c r="R18559" s="559">
        <v>18</v>
      </c>
    </row>
    <row r="18560" spans="1:18" ht="84">
      <c r="A18560" s="555">
        <v>987</v>
      </c>
      <c r="B18560" s="552" t="s">
        <v>33566</v>
      </c>
      <c r="C18560" s="556" t="s">
        <v>33567</v>
      </c>
      <c r="D18560" s="557">
        <v>50.77</v>
      </c>
      <c r="E18560" s="557">
        <v>25.28</v>
      </c>
      <c r="F18560" s="557">
        <v>24.98</v>
      </c>
      <c r="G18560" s="557">
        <v>0.51</v>
      </c>
      <c r="H18560" s="558">
        <v>428.31</v>
      </c>
      <c r="I18560" s="558">
        <v>290.70999999999998</v>
      </c>
      <c r="J18560" s="558">
        <v>131.72999999999999</v>
      </c>
      <c r="K18560" s="558">
        <v>5.87</v>
      </c>
      <c r="L18560" s="43">
        <v>8.4362812684656294</v>
      </c>
      <c r="M18560" s="43">
        <v>11.499604430379746</v>
      </c>
      <c r="N18560" s="43">
        <v>5.27341873498799</v>
      </c>
      <c r="O18560" s="43">
        <v>11.503164556962025</v>
      </c>
      <c r="P18560" s="559"/>
      <c r="Q18560" s="559"/>
      <c r="R18560" s="559">
        <v>18</v>
      </c>
    </row>
    <row r="18561" spans="1:18" ht="84">
      <c r="A18561" s="555">
        <v>988</v>
      </c>
      <c r="B18561" s="552" t="s">
        <v>33568</v>
      </c>
      <c r="C18561" s="556" t="s">
        <v>33569</v>
      </c>
      <c r="D18561" s="557">
        <v>67.62</v>
      </c>
      <c r="E18561" s="557">
        <v>33.32</v>
      </c>
      <c r="F18561" s="557">
        <v>33.630000000000003</v>
      </c>
      <c r="G18561" s="557">
        <v>0.67</v>
      </c>
      <c r="H18561" s="558">
        <v>568.24</v>
      </c>
      <c r="I18561" s="558">
        <v>383.21</v>
      </c>
      <c r="J18561" s="558">
        <v>177.32</v>
      </c>
      <c r="K18561" s="558">
        <v>7.71</v>
      </c>
      <c r="L18561" s="43">
        <v>8.403430937592427</v>
      </c>
      <c r="M18561" s="43">
        <v>11.500900360144056</v>
      </c>
      <c r="N18561" s="43">
        <v>5.2726732084448402</v>
      </c>
      <c r="O18561" s="43">
        <v>11.503164556962025</v>
      </c>
      <c r="P18561" s="559"/>
      <c r="Q18561" s="559"/>
      <c r="R18561" s="559">
        <v>18</v>
      </c>
    </row>
    <row r="18562" spans="1:18" ht="84">
      <c r="A18562" s="555">
        <v>989</v>
      </c>
      <c r="B18562" s="552" t="s">
        <v>33570</v>
      </c>
      <c r="C18562" s="556" t="s">
        <v>33571</v>
      </c>
      <c r="D18562" s="557">
        <v>89.91</v>
      </c>
      <c r="E18562" s="557">
        <v>44.81</v>
      </c>
      <c r="F18562" s="557">
        <v>44.2</v>
      </c>
      <c r="G18562" s="557">
        <v>0.9</v>
      </c>
      <c r="H18562" s="558">
        <v>758.75</v>
      </c>
      <c r="I18562" s="558">
        <v>515.35</v>
      </c>
      <c r="J18562" s="558">
        <v>233.05</v>
      </c>
      <c r="K18562" s="558">
        <v>10.35</v>
      </c>
      <c r="L18562" s="43">
        <v>8.4389945501056616</v>
      </c>
      <c r="M18562" s="43">
        <v>11.500781075652757</v>
      </c>
      <c r="N18562" s="43">
        <v>5.2726244343891402</v>
      </c>
      <c r="O18562" s="43">
        <v>11.503164556962025</v>
      </c>
      <c r="P18562" s="559"/>
      <c r="Q18562" s="559"/>
      <c r="R18562" s="559">
        <v>18</v>
      </c>
    </row>
    <row r="18563" spans="1:18" ht="84">
      <c r="A18563" s="555">
        <v>990</v>
      </c>
      <c r="B18563" s="552" t="s">
        <v>33572</v>
      </c>
      <c r="C18563" s="556" t="s">
        <v>33573</v>
      </c>
      <c r="D18563" s="557">
        <v>106.75</v>
      </c>
      <c r="E18563" s="557">
        <v>52.85</v>
      </c>
      <c r="F18563" s="557">
        <v>52.84</v>
      </c>
      <c r="G18563" s="557">
        <v>1.06</v>
      </c>
      <c r="H18563" s="558">
        <v>898.68</v>
      </c>
      <c r="I18563" s="558">
        <v>607.84</v>
      </c>
      <c r="J18563" s="558">
        <v>278.64999999999998</v>
      </c>
      <c r="K18563" s="558">
        <v>12.19</v>
      </c>
      <c r="L18563" s="43">
        <v>8.4185480093676812</v>
      </c>
      <c r="M18563" s="43">
        <v>11.501229895931884</v>
      </c>
      <c r="N18563" s="43">
        <v>5.2734670704012103</v>
      </c>
      <c r="O18563" s="43">
        <v>11.503164556962025</v>
      </c>
      <c r="P18563" s="559"/>
      <c r="Q18563" s="559"/>
      <c r="R18563" s="559">
        <v>18</v>
      </c>
    </row>
    <row r="18564" spans="1:18" ht="84">
      <c r="A18564" s="555">
        <v>991</v>
      </c>
      <c r="B18564" s="552" t="s">
        <v>33574</v>
      </c>
      <c r="C18564" s="556" t="s">
        <v>33575</v>
      </c>
      <c r="D18564" s="557">
        <v>50.77</v>
      </c>
      <c r="E18564" s="557">
        <v>25.28</v>
      </c>
      <c r="F18564" s="557">
        <v>24.98</v>
      </c>
      <c r="G18564" s="557">
        <v>0.51</v>
      </c>
      <c r="H18564" s="558">
        <v>428.31</v>
      </c>
      <c r="I18564" s="558">
        <v>290.70999999999998</v>
      </c>
      <c r="J18564" s="558">
        <v>131.72999999999999</v>
      </c>
      <c r="K18564" s="558">
        <v>5.87</v>
      </c>
      <c r="L18564" s="43">
        <v>8.4362812684656294</v>
      </c>
      <c r="M18564" s="43">
        <v>11.499604430379746</v>
      </c>
      <c r="N18564" s="43">
        <v>5.27341873498799</v>
      </c>
      <c r="O18564" s="43">
        <v>11.503164556962025</v>
      </c>
      <c r="P18564" s="559"/>
      <c r="Q18564" s="559"/>
      <c r="R18564" s="559">
        <v>18</v>
      </c>
    </row>
    <row r="18565" spans="1:18" ht="84">
      <c r="A18565" s="555">
        <v>992</v>
      </c>
      <c r="B18565" s="552" t="s">
        <v>33576</v>
      </c>
      <c r="C18565" s="556" t="s">
        <v>33577</v>
      </c>
      <c r="D18565" s="557">
        <v>62.39</v>
      </c>
      <c r="E18565" s="557">
        <v>31.02</v>
      </c>
      <c r="F18565" s="557">
        <v>30.75</v>
      </c>
      <c r="G18565" s="557">
        <v>0.62</v>
      </c>
      <c r="H18565" s="558">
        <v>526.03</v>
      </c>
      <c r="I18565" s="558">
        <v>356.78</v>
      </c>
      <c r="J18565" s="558">
        <v>162.12</v>
      </c>
      <c r="K18565" s="558">
        <v>7.13</v>
      </c>
      <c r="L18565" s="43">
        <v>8.431319121654111</v>
      </c>
      <c r="M18565" s="43">
        <v>11.50161186331399</v>
      </c>
      <c r="N18565" s="43">
        <v>5.2721951219512198</v>
      </c>
      <c r="O18565" s="43">
        <v>11.503164556962025</v>
      </c>
      <c r="P18565" s="559"/>
      <c r="Q18565" s="559"/>
      <c r="R18565" s="559">
        <v>18</v>
      </c>
    </row>
    <row r="18566" spans="1:18" ht="84">
      <c r="A18566" s="555">
        <v>993</v>
      </c>
      <c r="B18566" s="552" t="s">
        <v>33578</v>
      </c>
      <c r="C18566" s="556" t="s">
        <v>33579</v>
      </c>
      <c r="D18566" s="557">
        <v>79.239999999999995</v>
      </c>
      <c r="E18566" s="557">
        <v>39.07</v>
      </c>
      <c r="F18566" s="557">
        <v>39.39</v>
      </c>
      <c r="G18566" s="557">
        <v>0.78</v>
      </c>
      <c r="H18566" s="558">
        <v>665.97</v>
      </c>
      <c r="I18566" s="558">
        <v>449.28</v>
      </c>
      <c r="J18566" s="558">
        <v>207.72</v>
      </c>
      <c r="K18566" s="558">
        <v>8.9700000000000006</v>
      </c>
      <c r="L18566" s="43">
        <v>8.4044674406865223</v>
      </c>
      <c r="M18566" s="43">
        <v>11.499360122856411</v>
      </c>
      <c r="N18566" s="43">
        <v>5.2734196496572734</v>
      </c>
      <c r="O18566" s="43">
        <v>11.503164556962025</v>
      </c>
      <c r="P18566" s="559"/>
      <c r="Q18566" s="559"/>
      <c r="R18566" s="559">
        <v>18</v>
      </c>
    </row>
    <row r="18567" spans="1:18" ht="84">
      <c r="A18567" s="555">
        <v>994</v>
      </c>
      <c r="B18567" s="552" t="s">
        <v>33580</v>
      </c>
      <c r="C18567" s="556" t="s">
        <v>33581</v>
      </c>
      <c r="D18567" s="557">
        <v>104.62</v>
      </c>
      <c r="E18567" s="557">
        <v>51.71</v>
      </c>
      <c r="F18567" s="557">
        <v>51.88</v>
      </c>
      <c r="G18567" s="557">
        <v>1.03</v>
      </c>
      <c r="H18567" s="558">
        <v>880.07</v>
      </c>
      <c r="I18567" s="558">
        <v>594.63</v>
      </c>
      <c r="J18567" s="558">
        <v>273.58999999999997</v>
      </c>
      <c r="K18567" s="558">
        <v>11.85</v>
      </c>
      <c r="L18567" s="43">
        <v>8.4120627031160389</v>
      </c>
      <c r="M18567" s="43">
        <v>11.499323148327209</v>
      </c>
      <c r="N18567" s="43">
        <v>5.2735158057054736</v>
      </c>
      <c r="O18567" s="43">
        <v>11.503164556962025</v>
      </c>
      <c r="P18567" s="559"/>
      <c r="Q18567" s="559"/>
      <c r="R18567" s="559">
        <v>18</v>
      </c>
    </row>
    <row r="18568" spans="1:18" ht="84">
      <c r="A18568" s="555">
        <v>995</v>
      </c>
      <c r="B18568" s="552" t="s">
        <v>33582</v>
      </c>
      <c r="C18568" s="556" t="s">
        <v>33583</v>
      </c>
      <c r="D18568" s="557">
        <v>127.87</v>
      </c>
      <c r="E18568" s="557">
        <v>63.2</v>
      </c>
      <c r="F18568" s="557">
        <v>63.41</v>
      </c>
      <c r="G18568" s="557">
        <v>1.26</v>
      </c>
      <c r="H18568" s="558">
        <v>1075.6400000000001</v>
      </c>
      <c r="I18568" s="558">
        <v>726.77</v>
      </c>
      <c r="J18568" s="558">
        <v>334.38</v>
      </c>
      <c r="K18568" s="558">
        <v>14.49</v>
      </c>
      <c r="L18568" s="43">
        <v>8.4119809181199656</v>
      </c>
      <c r="M18568" s="43">
        <v>11.499525316455696</v>
      </c>
      <c r="N18568" s="43">
        <v>5.2733007412080113</v>
      </c>
      <c r="O18568" s="43">
        <v>11.503164556962025</v>
      </c>
      <c r="P18568" s="559"/>
      <c r="Q18568" s="559"/>
      <c r="R18568" s="559">
        <v>18</v>
      </c>
    </row>
    <row r="18569" spans="1:18" ht="84">
      <c r="A18569" s="555">
        <v>996</v>
      </c>
      <c r="B18569" s="552" t="s">
        <v>33584</v>
      </c>
      <c r="C18569" s="556" t="s">
        <v>33585</v>
      </c>
      <c r="D18569" s="557">
        <v>52.9</v>
      </c>
      <c r="E18569" s="557">
        <v>26.43</v>
      </c>
      <c r="F18569" s="557">
        <v>25.94</v>
      </c>
      <c r="G18569" s="557">
        <v>0.53</v>
      </c>
      <c r="H18569" s="558">
        <v>446.81</v>
      </c>
      <c r="I18569" s="558">
        <v>303.92</v>
      </c>
      <c r="J18569" s="558">
        <v>136.79</v>
      </c>
      <c r="K18569" s="558">
        <v>6.1</v>
      </c>
      <c r="L18569" s="43">
        <v>8.4463137996219277</v>
      </c>
      <c r="M18569" s="43">
        <v>11.499054105183504</v>
      </c>
      <c r="N18569" s="43">
        <v>5.2733230531996913</v>
      </c>
      <c r="O18569" s="43">
        <v>11.503164556962025</v>
      </c>
      <c r="P18569" s="559"/>
      <c r="Q18569" s="559"/>
      <c r="R18569" s="559">
        <v>18</v>
      </c>
    </row>
    <row r="18570" spans="1:18" ht="84">
      <c r="A18570" s="555">
        <v>997</v>
      </c>
      <c r="B18570" s="552" t="s">
        <v>33586</v>
      </c>
      <c r="C18570" s="556" t="s">
        <v>33587</v>
      </c>
      <c r="D18570" s="557">
        <v>64.52</v>
      </c>
      <c r="E18570" s="557">
        <v>32.17</v>
      </c>
      <c r="F18570" s="557">
        <v>31.71</v>
      </c>
      <c r="G18570" s="557">
        <v>0.64</v>
      </c>
      <c r="H18570" s="558">
        <v>544.54</v>
      </c>
      <c r="I18570" s="558">
        <v>369.99</v>
      </c>
      <c r="J18570" s="558">
        <v>167.19</v>
      </c>
      <c r="K18570" s="558">
        <v>7.36</v>
      </c>
      <c r="L18570" s="43">
        <v>8.4398636081835097</v>
      </c>
      <c r="M18570" s="43">
        <v>11.501087970158533</v>
      </c>
      <c r="N18570" s="43">
        <v>5.2724692526017023</v>
      </c>
      <c r="O18570" s="43">
        <v>11.503164556962025</v>
      </c>
      <c r="P18570" s="559"/>
      <c r="Q18570" s="559"/>
      <c r="R18570" s="559">
        <v>18</v>
      </c>
    </row>
    <row r="18571" spans="1:18" ht="84">
      <c r="A18571" s="555">
        <v>998</v>
      </c>
      <c r="B18571" s="552" t="s">
        <v>33588</v>
      </c>
      <c r="C18571" s="556" t="s">
        <v>33589</v>
      </c>
      <c r="D18571" s="557">
        <v>87.77</v>
      </c>
      <c r="E18571" s="557">
        <v>43.66</v>
      </c>
      <c r="F18571" s="557">
        <v>43.24</v>
      </c>
      <c r="G18571" s="557">
        <v>0.87</v>
      </c>
      <c r="H18571" s="558">
        <v>740.13</v>
      </c>
      <c r="I18571" s="558">
        <v>502.13</v>
      </c>
      <c r="J18571" s="558">
        <v>227.99</v>
      </c>
      <c r="K18571" s="558">
        <v>10.01</v>
      </c>
      <c r="L18571" s="43">
        <v>8.4326079526033961</v>
      </c>
      <c r="M18571" s="43">
        <v>11.500916170407697</v>
      </c>
      <c r="N18571" s="43">
        <v>5.2726641998149857</v>
      </c>
      <c r="O18571" s="43">
        <v>11.503164556962025</v>
      </c>
      <c r="P18571" s="559"/>
      <c r="Q18571" s="559"/>
      <c r="R18571" s="559">
        <v>18</v>
      </c>
    </row>
    <row r="18572" spans="1:18" ht="84">
      <c r="A18572" s="555">
        <v>999</v>
      </c>
      <c r="B18572" s="552" t="s">
        <v>33590</v>
      </c>
      <c r="C18572" s="556" t="s">
        <v>33591</v>
      </c>
      <c r="D18572" s="557">
        <v>113.16</v>
      </c>
      <c r="E18572" s="557">
        <v>56.3</v>
      </c>
      <c r="F18572" s="557">
        <v>55.73</v>
      </c>
      <c r="G18572" s="557">
        <v>1.1299999999999999</v>
      </c>
      <c r="H18572" s="558">
        <v>954.34</v>
      </c>
      <c r="I18572" s="558">
        <v>647.49</v>
      </c>
      <c r="J18572" s="558">
        <v>293.85000000000002</v>
      </c>
      <c r="K18572" s="558">
        <v>13</v>
      </c>
      <c r="L18572" s="43">
        <v>8.4335454224107469</v>
      </c>
      <c r="M18572" s="43">
        <v>11.500710479573714</v>
      </c>
      <c r="N18572" s="43">
        <v>5.2727435851426527</v>
      </c>
      <c r="O18572" s="43">
        <v>11.503164556962025</v>
      </c>
      <c r="P18572" s="559"/>
      <c r="Q18572" s="559"/>
      <c r="R18572" s="559">
        <v>18</v>
      </c>
    </row>
    <row r="18573" spans="1:18" ht="84">
      <c r="A18573" s="555">
        <v>1000</v>
      </c>
      <c r="B18573" s="552" t="s">
        <v>33592</v>
      </c>
      <c r="C18573" s="556" t="s">
        <v>33593</v>
      </c>
      <c r="D18573" s="557">
        <v>134.27000000000001</v>
      </c>
      <c r="E18573" s="557">
        <v>66.64</v>
      </c>
      <c r="F18573" s="557">
        <v>66.3</v>
      </c>
      <c r="G18573" s="557">
        <v>1.33</v>
      </c>
      <c r="H18573" s="558">
        <v>1131.29</v>
      </c>
      <c r="I18573" s="558">
        <v>766.41</v>
      </c>
      <c r="J18573" s="558">
        <v>349.58</v>
      </c>
      <c r="K18573" s="558">
        <v>15.3</v>
      </c>
      <c r="L18573" s="43">
        <v>8.4254859611231101</v>
      </c>
      <c r="M18573" s="43">
        <v>11.500750300120048</v>
      </c>
      <c r="N18573" s="43">
        <v>5.2726998491704373</v>
      </c>
      <c r="O18573" s="43">
        <v>11.503164556962025</v>
      </c>
      <c r="P18573" s="559"/>
      <c r="Q18573" s="559"/>
      <c r="R18573" s="559">
        <v>18</v>
      </c>
    </row>
    <row r="18574" spans="1:18" ht="84">
      <c r="A18574" s="555">
        <v>1001</v>
      </c>
      <c r="B18574" s="552" t="s">
        <v>33594</v>
      </c>
      <c r="C18574" s="556" t="s">
        <v>33595</v>
      </c>
      <c r="D18574" s="557">
        <v>74.02</v>
      </c>
      <c r="E18574" s="557">
        <v>36.770000000000003</v>
      </c>
      <c r="F18574" s="557">
        <v>36.51</v>
      </c>
      <c r="G18574" s="557">
        <v>0.74</v>
      </c>
      <c r="H18574" s="558">
        <v>623.88</v>
      </c>
      <c r="I18574" s="558">
        <v>422.85</v>
      </c>
      <c r="J18574" s="558">
        <v>192.52</v>
      </c>
      <c r="K18574" s="558">
        <v>8.51</v>
      </c>
      <c r="L18574" s="43">
        <v>8.4285328289651442</v>
      </c>
      <c r="M18574" s="43">
        <v>11.49986401958118</v>
      </c>
      <c r="N18574" s="43">
        <v>5.273075869624761</v>
      </c>
      <c r="O18574" s="43">
        <v>11.503164556962025</v>
      </c>
      <c r="P18574" s="559"/>
      <c r="Q18574" s="559"/>
      <c r="R18574" s="559">
        <v>18</v>
      </c>
    </row>
    <row r="18575" spans="1:18" ht="84">
      <c r="A18575" s="555">
        <v>1002</v>
      </c>
      <c r="B18575" s="552" t="s">
        <v>33596</v>
      </c>
      <c r="C18575" s="556" t="s">
        <v>33597</v>
      </c>
      <c r="D18575" s="557">
        <v>101.53</v>
      </c>
      <c r="E18575" s="557">
        <v>50.56</v>
      </c>
      <c r="F18575" s="557">
        <v>49.96</v>
      </c>
      <c r="G18575" s="557">
        <v>1.01</v>
      </c>
      <c r="H18575" s="558">
        <v>856.49</v>
      </c>
      <c r="I18575" s="558">
        <v>581.41999999999996</v>
      </c>
      <c r="J18575" s="558">
        <v>263.45</v>
      </c>
      <c r="K18575" s="558">
        <v>11.62</v>
      </c>
      <c r="L18575" s="43">
        <v>8.4358317738599435</v>
      </c>
      <c r="M18575" s="43">
        <v>11.499604430379746</v>
      </c>
      <c r="N18575" s="43">
        <v>5.2732185748598877</v>
      </c>
      <c r="O18575" s="43">
        <v>11.503164556962025</v>
      </c>
      <c r="P18575" s="559"/>
      <c r="Q18575" s="559"/>
      <c r="R18575" s="559">
        <v>18</v>
      </c>
    </row>
    <row r="18576" spans="1:18" ht="84">
      <c r="A18576" s="555">
        <v>1003</v>
      </c>
      <c r="B18576" s="552" t="s">
        <v>33598</v>
      </c>
      <c r="C18576" s="556" t="s">
        <v>33599</v>
      </c>
      <c r="D18576" s="557">
        <v>130</v>
      </c>
      <c r="E18576" s="557">
        <v>64.34</v>
      </c>
      <c r="F18576" s="557">
        <v>64.37</v>
      </c>
      <c r="G18576" s="557">
        <v>1.29</v>
      </c>
      <c r="H18576" s="558">
        <v>1094.27</v>
      </c>
      <c r="I18576" s="558">
        <v>739.98</v>
      </c>
      <c r="J18576" s="558">
        <v>339.45</v>
      </c>
      <c r="K18576" s="558">
        <v>14.84</v>
      </c>
      <c r="L18576" s="43">
        <v>8.4174615384615379</v>
      </c>
      <c r="M18576" s="43">
        <v>11.501087970158533</v>
      </c>
      <c r="N18576" s="43">
        <v>5.2734192947025003</v>
      </c>
      <c r="O18576" s="43">
        <v>11.503164556962025</v>
      </c>
      <c r="P18576" s="559"/>
      <c r="Q18576" s="559"/>
      <c r="R18576" s="559">
        <v>18</v>
      </c>
    </row>
    <row r="18577" spans="1:18" ht="84">
      <c r="A18577" s="555">
        <v>1004</v>
      </c>
      <c r="B18577" s="552" t="s">
        <v>33600</v>
      </c>
      <c r="C18577" s="556" t="s">
        <v>33601</v>
      </c>
      <c r="D18577" s="557">
        <v>159.66</v>
      </c>
      <c r="E18577" s="557">
        <v>79.28</v>
      </c>
      <c r="F18577" s="557">
        <v>78.790000000000006</v>
      </c>
      <c r="G18577" s="557">
        <v>1.59</v>
      </c>
      <c r="H18577" s="558">
        <v>1345.5</v>
      </c>
      <c r="I18577" s="558">
        <v>911.77</v>
      </c>
      <c r="J18577" s="558">
        <v>415.44</v>
      </c>
      <c r="K18577" s="558">
        <v>18.29</v>
      </c>
      <c r="L18577" s="43">
        <v>8.4272829763246904</v>
      </c>
      <c r="M18577" s="43">
        <v>11.500630676084763</v>
      </c>
      <c r="N18577" s="43">
        <v>5.2727503490290646</v>
      </c>
      <c r="O18577" s="43">
        <v>11.503164556962025</v>
      </c>
      <c r="P18577" s="559"/>
      <c r="Q18577" s="559"/>
      <c r="R18577" s="559">
        <v>18</v>
      </c>
    </row>
    <row r="18578" spans="1:18" ht="84">
      <c r="A18578" s="555">
        <v>1005</v>
      </c>
      <c r="B18578" s="552" t="s">
        <v>33602</v>
      </c>
      <c r="C18578" s="556" t="s">
        <v>33603</v>
      </c>
      <c r="D18578" s="557">
        <v>83.5</v>
      </c>
      <c r="E18578" s="557">
        <v>41.36</v>
      </c>
      <c r="F18578" s="557">
        <v>41.31</v>
      </c>
      <c r="G18578" s="557">
        <v>0.83</v>
      </c>
      <c r="H18578" s="558">
        <v>703.11</v>
      </c>
      <c r="I18578" s="558">
        <v>475.7</v>
      </c>
      <c r="J18578" s="558">
        <v>217.86</v>
      </c>
      <c r="K18578" s="558">
        <v>9.5500000000000007</v>
      </c>
      <c r="L18578" s="43">
        <v>8.4204790419161686</v>
      </c>
      <c r="M18578" s="43">
        <v>11.501450676982591</v>
      </c>
      <c r="N18578" s="43">
        <v>5.2737835875090777</v>
      </c>
      <c r="O18578" s="43">
        <v>11.503164556962025</v>
      </c>
      <c r="P18578" s="559"/>
      <c r="Q18578" s="559"/>
      <c r="R18578" s="559">
        <v>18</v>
      </c>
    </row>
    <row r="18579" spans="1:18" ht="84">
      <c r="A18579" s="555">
        <v>1006</v>
      </c>
      <c r="B18579" s="552" t="s">
        <v>33604</v>
      </c>
      <c r="C18579" s="556" t="s">
        <v>33605</v>
      </c>
      <c r="D18579" s="557">
        <v>113.16</v>
      </c>
      <c r="E18579" s="557">
        <v>56.3</v>
      </c>
      <c r="F18579" s="557">
        <v>55.73</v>
      </c>
      <c r="G18579" s="557">
        <v>1.1299999999999999</v>
      </c>
      <c r="H18579" s="558">
        <v>954.34</v>
      </c>
      <c r="I18579" s="558">
        <v>647.49</v>
      </c>
      <c r="J18579" s="558">
        <v>293.85000000000002</v>
      </c>
      <c r="K18579" s="558">
        <v>13</v>
      </c>
      <c r="L18579" s="43">
        <v>8.4335454224107469</v>
      </c>
      <c r="M18579" s="43">
        <v>11.500710479573714</v>
      </c>
      <c r="N18579" s="43">
        <v>5.2727435851426527</v>
      </c>
      <c r="O18579" s="43">
        <v>11.503164556962025</v>
      </c>
      <c r="P18579" s="559"/>
      <c r="Q18579" s="559"/>
      <c r="R18579" s="559">
        <v>18</v>
      </c>
    </row>
    <row r="18580" spans="1:18" ht="84">
      <c r="A18580" s="555">
        <v>1007</v>
      </c>
      <c r="B18580" s="552" t="s">
        <v>33606</v>
      </c>
      <c r="C18580" s="556" t="s">
        <v>33607</v>
      </c>
      <c r="D18580" s="557">
        <v>145.9</v>
      </c>
      <c r="E18580" s="557">
        <v>72.39</v>
      </c>
      <c r="F18580" s="557">
        <v>72.06</v>
      </c>
      <c r="G18580" s="557">
        <v>1.45</v>
      </c>
      <c r="H18580" s="558">
        <v>1229.1400000000001</v>
      </c>
      <c r="I18580" s="558">
        <v>832.48</v>
      </c>
      <c r="J18580" s="558">
        <v>379.98</v>
      </c>
      <c r="K18580" s="558">
        <v>16.68</v>
      </c>
      <c r="L18580" s="43">
        <v>8.4245373543522959</v>
      </c>
      <c r="M18580" s="43">
        <v>11.499930929686421</v>
      </c>
      <c r="N18580" s="43">
        <v>5.2731057452123231</v>
      </c>
      <c r="O18580" s="43">
        <v>11.503164556962025</v>
      </c>
      <c r="P18580" s="559"/>
      <c r="Q18580" s="559"/>
      <c r="R18580" s="559">
        <v>18</v>
      </c>
    </row>
    <row r="18581" spans="1:18" ht="84">
      <c r="A18581" s="555">
        <v>1008</v>
      </c>
      <c r="B18581" s="552" t="s">
        <v>33608</v>
      </c>
      <c r="C18581" s="556" t="s">
        <v>33609</v>
      </c>
      <c r="D18581" s="557">
        <v>175.54</v>
      </c>
      <c r="E18581" s="557">
        <v>87.32</v>
      </c>
      <c r="F18581" s="557">
        <v>86.47</v>
      </c>
      <c r="G18581" s="557">
        <v>1.75</v>
      </c>
      <c r="H18581" s="558">
        <v>1480.37</v>
      </c>
      <c r="I18581" s="558">
        <v>1004.26</v>
      </c>
      <c r="J18581" s="558">
        <v>455.98</v>
      </c>
      <c r="K18581" s="558">
        <v>20.13</v>
      </c>
      <c r="L18581" s="43">
        <v>8.4332345904067445</v>
      </c>
      <c r="M18581" s="43">
        <v>11.500916170407697</v>
      </c>
      <c r="N18581" s="43">
        <v>5.2732739678501215</v>
      </c>
      <c r="O18581" s="43">
        <v>11.503164556962025</v>
      </c>
      <c r="P18581" s="559"/>
      <c r="Q18581" s="559"/>
      <c r="R18581" s="559">
        <v>18</v>
      </c>
    </row>
    <row r="18582" spans="1:18" ht="84">
      <c r="A18582" s="555">
        <v>1009</v>
      </c>
      <c r="B18582" s="552" t="s">
        <v>33610</v>
      </c>
      <c r="C18582" s="556" t="s">
        <v>33611</v>
      </c>
      <c r="D18582" s="557">
        <v>95.13</v>
      </c>
      <c r="E18582" s="557">
        <v>47.11</v>
      </c>
      <c r="F18582" s="557">
        <v>47.08</v>
      </c>
      <c r="G18582" s="557">
        <v>0.94</v>
      </c>
      <c r="H18582" s="558">
        <v>800.83</v>
      </c>
      <c r="I18582" s="558">
        <v>541.77</v>
      </c>
      <c r="J18582" s="558">
        <v>248.25</v>
      </c>
      <c r="K18582" s="558">
        <v>10.81</v>
      </c>
      <c r="L18582" s="43">
        <v>8.4182697361505312</v>
      </c>
      <c r="M18582" s="43">
        <v>11.500106134578646</v>
      </c>
      <c r="N18582" s="43">
        <v>5.2729396771452848</v>
      </c>
      <c r="O18582" s="43">
        <v>11.503164556962025</v>
      </c>
      <c r="P18582" s="559"/>
      <c r="Q18582" s="559"/>
      <c r="R18582" s="559">
        <v>18</v>
      </c>
    </row>
    <row r="18583" spans="1:18" ht="84">
      <c r="A18583" s="555">
        <v>1010</v>
      </c>
      <c r="B18583" s="552" t="s">
        <v>33612</v>
      </c>
      <c r="C18583" s="556" t="s">
        <v>33613</v>
      </c>
      <c r="D18583" s="557">
        <v>127.87</v>
      </c>
      <c r="E18583" s="557">
        <v>63.2</v>
      </c>
      <c r="F18583" s="557">
        <v>63.41</v>
      </c>
      <c r="G18583" s="557">
        <v>1.26</v>
      </c>
      <c r="H18583" s="558">
        <v>1075.6400000000001</v>
      </c>
      <c r="I18583" s="558">
        <v>726.77</v>
      </c>
      <c r="J18583" s="558">
        <v>334.38</v>
      </c>
      <c r="K18583" s="558">
        <v>14.49</v>
      </c>
      <c r="L18583" s="43">
        <v>8.4119809181199656</v>
      </c>
      <c r="M18583" s="43">
        <v>11.499525316455696</v>
      </c>
      <c r="N18583" s="43">
        <v>5.2733007412080113</v>
      </c>
      <c r="O18583" s="43">
        <v>11.503164556962025</v>
      </c>
      <c r="P18583" s="559"/>
      <c r="Q18583" s="559"/>
      <c r="R18583" s="559">
        <v>18</v>
      </c>
    </row>
    <row r="18584" spans="1:18" ht="84">
      <c r="A18584" s="555">
        <v>1011</v>
      </c>
      <c r="B18584" s="552" t="s">
        <v>33614</v>
      </c>
      <c r="C18584" s="556" t="s">
        <v>33615</v>
      </c>
      <c r="D18584" s="557">
        <v>164.88</v>
      </c>
      <c r="E18584" s="557">
        <v>81.58</v>
      </c>
      <c r="F18584" s="557">
        <v>81.67</v>
      </c>
      <c r="G18584" s="557">
        <v>1.63</v>
      </c>
      <c r="H18584" s="558">
        <v>1387.58</v>
      </c>
      <c r="I18584" s="558">
        <v>938.19</v>
      </c>
      <c r="J18584" s="558">
        <v>430.64</v>
      </c>
      <c r="K18584" s="558">
        <v>18.75</v>
      </c>
      <c r="L18584" s="43">
        <v>8.4156962639495383</v>
      </c>
      <c r="M18584" s="43">
        <v>11.500245158126992</v>
      </c>
      <c r="N18584" s="43">
        <v>5.2729276356067096</v>
      </c>
      <c r="O18584" s="43">
        <v>11.503164556962025</v>
      </c>
      <c r="P18584" s="559"/>
      <c r="Q18584" s="559"/>
      <c r="R18584" s="559">
        <v>18</v>
      </c>
    </row>
    <row r="18585" spans="1:18" ht="84">
      <c r="A18585" s="555">
        <v>1012</v>
      </c>
      <c r="B18585" s="552" t="s">
        <v>33616</v>
      </c>
      <c r="C18585" s="556" t="s">
        <v>33617</v>
      </c>
      <c r="D18585" s="557">
        <v>204.01</v>
      </c>
      <c r="E18585" s="557">
        <v>101.11</v>
      </c>
      <c r="F18585" s="557">
        <v>100.88</v>
      </c>
      <c r="G18585" s="557">
        <v>2.02</v>
      </c>
      <c r="H18585" s="558">
        <v>1718.03</v>
      </c>
      <c r="I18585" s="558">
        <v>1162.83</v>
      </c>
      <c r="J18585" s="558">
        <v>531.97</v>
      </c>
      <c r="K18585" s="558">
        <v>23.23</v>
      </c>
      <c r="L18585" s="43">
        <v>8.4213028773099357</v>
      </c>
      <c r="M18585" s="43">
        <v>11.500642864207299</v>
      </c>
      <c r="N18585" s="43">
        <v>5.2732950039651074</v>
      </c>
      <c r="O18585" s="43">
        <v>11.503164556962025</v>
      </c>
      <c r="P18585" s="559"/>
      <c r="Q18585" s="559"/>
      <c r="R18585" s="559">
        <v>18</v>
      </c>
    </row>
    <row r="18586" spans="1:18" ht="84">
      <c r="A18586" s="555">
        <v>1013</v>
      </c>
      <c r="B18586" s="552" t="s">
        <v>33618</v>
      </c>
      <c r="C18586" s="556" t="s">
        <v>33619</v>
      </c>
      <c r="D18586" s="557">
        <v>111.02</v>
      </c>
      <c r="E18586" s="557">
        <v>55.15</v>
      </c>
      <c r="F18586" s="557">
        <v>54.77</v>
      </c>
      <c r="G18586" s="557">
        <v>1.1000000000000001</v>
      </c>
      <c r="H18586" s="558">
        <v>935.7</v>
      </c>
      <c r="I18586" s="558">
        <v>634.27</v>
      </c>
      <c r="J18586" s="558">
        <v>288.77999999999997</v>
      </c>
      <c r="K18586" s="558">
        <v>12.65</v>
      </c>
      <c r="L18586" s="43">
        <v>8.4282111331291674</v>
      </c>
      <c r="M18586" s="43">
        <v>11.50081595648232</v>
      </c>
      <c r="N18586" s="43">
        <v>5.2725944860324985</v>
      </c>
      <c r="O18586" s="43">
        <v>11.503164556962025</v>
      </c>
      <c r="P18586" s="559"/>
      <c r="Q18586" s="559"/>
      <c r="R18586" s="559">
        <v>18</v>
      </c>
    </row>
    <row r="18587" spans="1:18" ht="84">
      <c r="A18587" s="555">
        <v>1014</v>
      </c>
      <c r="B18587" s="552" t="s">
        <v>33620</v>
      </c>
      <c r="C18587" s="556" t="s">
        <v>33621</v>
      </c>
      <c r="D18587" s="557">
        <v>150.16</v>
      </c>
      <c r="E18587" s="557">
        <v>74.69</v>
      </c>
      <c r="F18587" s="557">
        <v>73.98</v>
      </c>
      <c r="G18587" s="557">
        <v>1.49</v>
      </c>
      <c r="H18587" s="558">
        <v>1266.1600000000001</v>
      </c>
      <c r="I18587" s="558">
        <v>858.91</v>
      </c>
      <c r="J18587" s="558">
        <v>390.11</v>
      </c>
      <c r="K18587" s="558">
        <v>17.14</v>
      </c>
      <c r="L18587" s="43">
        <v>8.4320724560468836</v>
      </c>
      <c r="M18587" s="43">
        <v>11.499665283170438</v>
      </c>
      <c r="N18587" s="43">
        <v>5.273181941065153</v>
      </c>
      <c r="O18587" s="43">
        <v>11.503164556962025</v>
      </c>
      <c r="P18587" s="559"/>
      <c r="Q18587" s="559"/>
      <c r="R18587" s="559">
        <v>18</v>
      </c>
    </row>
    <row r="18588" spans="1:18" ht="84">
      <c r="A18588" s="555">
        <v>1015</v>
      </c>
      <c r="B18588" s="552" t="s">
        <v>33622</v>
      </c>
      <c r="C18588" s="556" t="s">
        <v>33623</v>
      </c>
      <c r="D18588" s="557">
        <v>192.4</v>
      </c>
      <c r="E18588" s="557">
        <v>95.37</v>
      </c>
      <c r="F18588" s="557">
        <v>95.12</v>
      </c>
      <c r="G18588" s="557">
        <v>1.91</v>
      </c>
      <c r="H18588" s="558">
        <v>1620.3</v>
      </c>
      <c r="I18588" s="558">
        <v>1096.76</v>
      </c>
      <c r="J18588" s="558">
        <v>501.57</v>
      </c>
      <c r="K18588" s="558">
        <v>21.97</v>
      </c>
      <c r="L18588" s="43">
        <v>8.4215176715176714</v>
      </c>
      <c r="M18588" s="43">
        <v>11.500052427388066</v>
      </c>
      <c r="N18588" s="43">
        <v>5.2730235492010094</v>
      </c>
      <c r="O18588" s="43">
        <v>11.503164556962025</v>
      </c>
      <c r="P18588" s="559"/>
      <c r="Q18588" s="559"/>
      <c r="R18588" s="559">
        <v>18</v>
      </c>
    </row>
    <row r="18589" spans="1:18" ht="84">
      <c r="A18589" s="555">
        <v>1016</v>
      </c>
      <c r="B18589" s="552" t="s">
        <v>33624</v>
      </c>
      <c r="C18589" s="556" t="s">
        <v>33625</v>
      </c>
      <c r="D18589" s="557">
        <v>233.67</v>
      </c>
      <c r="E18589" s="557">
        <v>116.05</v>
      </c>
      <c r="F18589" s="557">
        <v>115.3</v>
      </c>
      <c r="G18589" s="557">
        <v>2.3199999999999998</v>
      </c>
      <c r="H18589" s="558">
        <v>1969.26</v>
      </c>
      <c r="I18589" s="558">
        <v>1334.61</v>
      </c>
      <c r="J18589" s="558">
        <v>607.97</v>
      </c>
      <c r="K18589" s="558">
        <v>26.68</v>
      </c>
      <c r="L18589" s="43">
        <v>8.4275259982025936</v>
      </c>
      <c r="M18589" s="43">
        <v>11.500301594140456</v>
      </c>
      <c r="N18589" s="43">
        <v>5.2729401561144842</v>
      </c>
      <c r="O18589" s="43">
        <v>11.503164556962025</v>
      </c>
      <c r="P18589" s="559"/>
      <c r="Q18589" s="559"/>
      <c r="R18589" s="559">
        <v>18</v>
      </c>
    </row>
    <row r="18590" spans="1:18" ht="84">
      <c r="A18590" s="555">
        <v>1017</v>
      </c>
      <c r="B18590" s="552" t="s">
        <v>33626</v>
      </c>
      <c r="C18590" s="556" t="s">
        <v>33627</v>
      </c>
      <c r="D18590" s="557">
        <v>130</v>
      </c>
      <c r="E18590" s="557">
        <v>64.34</v>
      </c>
      <c r="F18590" s="557">
        <v>64.37</v>
      </c>
      <c r="G18590" s="557">
        <v>1.29</v>
      </c>
      <c r="H18590" s="558">
        <v>1094.27</v>
      </c>
      <c r="I18590" s="558">
        <v>739.98</v>
      </c>
      <c r="J18590" s="558">
        <v>339.45</v>
      </c>
      <c r="K18590" s="558">
        <v>14.84</v>
      </c>
      <c r="L18590" s="43">
        <v>8.4174615384615379</v>
      </c>
      <c r="M18590" s="43">
        <v>11.501087970158533</v>
      </c>
      <c r="N18590" s="43">
        <v>5.2734192947025003</v>
      </c>
      <c r="O18590" s="43">
        <v>11.503164556962025</v>
      </c>
      <c r="P18590" s="559"/>
      <c r="Q18590" s="559"/>
      <c r="R18590" s="559">
        <v>18</v>
      </c>
    </row>
    <row r="18591" spans="1:18" ht="84">
      <c r="A18591" s="555">
        <v>1018</v>
      </c>
      <c r="B18591" s="552" t="s">
        <v>33628</v>
      </c>
      <c r="C18591" s="556" t="s">
        <v>33629</v>
      </c>
      <c r="D18591" s="557">
        <v>169.15</v>
      </c>
      <c r="E18591" s="557">
        <v>83.88</v>
      </c>
      <c r="F18591" s="557">
        <v>83.59</v>
      </c>
      <c r="G18591" s="557">
        <v>1.68</v>
      </c>
      <c r="H18591" s="558">
        <v>1424.72</v>
      </c>
      <c r="I18591" s="558">
        <v>964.62</v>
      </c>
      <c r="J18591" s="558">
        <v>440.78</v>
      </c>
      <c r="K18591" s="558">
        <v>19.32</v>
      </c>
      <c r="L18591" s="43">
        <v>8.4228199822642615</v>
      </c>
      <c r="M18591" s="43">
        <v>11.5</v>
      </c>
      <c r="N18591" s="43">
        <v>5.2731187941141275</v>
      </c>
      <c r="O18591" s="43">
        <v>11.503164556962025</v>
      </c>
      <c r="P18591" s="559"/>
      <c r="Q18591" s="559"/>
      <c r="R18591" s="559">
        <v>18</v>
      </c>
    </row>
    <row r="18592" spans="1:18" ht="84">
      <c r="A18592" s="555">
        <v>1019</v>
      </c>
      <c r="B18592" s="552" t="s">
        <v>33630</v>
      </c>
      <c r="C18592" s="556" t="s">
        <v>33631</v>
      </c>
      <c r="D18592" s="557">
        <v>213.51</v>
      </c>
      <c r="E18592" s="557">
        <v>105.71</v>
      </c>
      <c r="F18592" s="557">
        <v>105.69</v>
      </c>
      <c r="G18592" s="557">
        <v>2.11</v>
      </c>
      <c r="H18592" s="558">
        <v>1797.26</v>
      </c>
      <c r="I18592" s="558">
        <v>1215.69</v>
      </c>
      <c r="J18592" s="558">
        <v>557.29999999999995</v>
      </c>
      <c r="K18592" s="558">
        <v>24.27</v>
      </c>
      <c r="L18592" s="43">
        <v>8.4176853543159567</v>
      </c>
      <c r="M18592" s="43">
        <v>11.500236496074166</v>
      </c>
      <c r="N18592" s="43">
        <v>5.2729681142965275</v>
      </c>
      <c r="O18592" s="43">
        <v>11.503164556962025</v>
      </c>
      <c r="P18592" s="559"/>
      <c r="Q18592" s="559"/>
      <c r="R18592" s="559">
        <v>18</v>
      </c>
    </row>
    <row r="18593" spans="1:18" ht="84">
      <c r="A18593" s="555">
        <v>1020</v>
      </c>
      <c r="B18593" s="552" t="s">
        <v>33632</v>
      </c>
      <c r="C18593" s="556" t="s">
        <v>33633</v>
      </c>
      <c r="D18593" s="557">
        <v>262.14999999999998</v>
      </c>
      <c r="E18593" s="557">
        <v>129.84</v>
      </c>
      <c r="F18593" s="557">
        <v>129.71</v>
      </c>
      <c r="G18593" s="557">
        <v>2.6</v>
      </c>
      <c r="H18593" s="558">
        <v>2207.04</v>
      </c>
      <c r="I18593" s="558">
        <v>1493.18</v>
      </c>
      <c r="J18593" s="558">
        <v>683.96</v>
      </c>
      <c r="K18593" s="558">
        <v>29.9</v>
      </c>
      <c r="L18593" s="43">
        <v>8.4189967575815388</v>
      </c>
      <c r="M18593" s="43">
        <v>11.500154035736291</v>
      </c>
      <c r="N18593" s="43">
        <v>5.2729936011101692</v>
      </c>
      <c r="O18593" s="43">
        <v>11.503164556962025</v>
      </c>
      <c r="P18593" s="559"/>
      <c r="Q18593" s="559"/>
      <c r="R18593" s="559">
        <v>18</v>
      </c>
    </row>
    <row r="18594" spans="1:18" ht="84">
      <c r="A18594" s="555">
        <v>1021</v>
      </c>
      <c r="B18594" s="552" t="s">
        <v>33634</v>
      </c>
      <c r="C18594" s="556" t="s">
        <v>33635</v>
      </c>
      <c r="D18594" s="557">
        <v>143.76</v>
      </c>
      <c r="E18594" s="557">
        <v>71.239999999999995</v>
      </c>
      <c r="F18594" s="557">
        <v>71.099999999999994</v>
      </c>
      <c r="G18594" s="557">
        <v>1.42</v>
      </c>
      <c r="H18594" s="558">
        <v>1210.51</v>
      </c>
      <c r="I18594" s="558">
        <v>819.27</v>
      </c>
      <c r="J18594" s="558">
        <v>374.91</v>
      </c>
      <c r="K18594" s="558">
        <v>16.329999999999998</v>
      </c>
      <c r="L18594" s="43">
        <v>8.4203533667223152</v>
      </c>
      <c r="M18594" s="43">
        <v>11.500140370578327</v>
      </c>
      <c r="N18594" s="43">
        <v>5.2729957805907182</v>
      </c>
      <c r="O18594" s="43">
        <v>11.503164556962025</v>
      </c>
      <c r="P18594" s="559"/>
      <c r="Q18594" s="559"/>
      <c r="R18594" s="559">
        <v>18</v>
      </c>
    </row>
    <row r="18595" spans="1:18" ht="84">
      <c r="A18595" s="555">
        <v>1022</v>
      </c>
      <c r="B18595" s="552" t="s">
        <v>33636</v>
      </c>
      <c r="C18595" s="556" t="s">
        <v>33637</v>
      </c>
      <c r="D18595" s="557">
        <v>173.41</v>
      </c>
      <c r="E18595" s="557">
        <v>86.18</v>
      </c>
      <c r="F18595" s="557">
        <v>85.51</v>
      </c>
      <c r="G18595" s="557">
        <v>1.72</v>
      </c>
      <c r="H18595" s="558">
        <v>1461.74</v>
      </c>
      <c r="I18595" s="558">
        <v>991.05</v>
      </c>
      <c r="J18595" s="558">
        <v>450.91</v>
      </c>
      <c r="K18595" s="558">
        <v>19.78</v>
      </c>
      <c r="L18595" s="43">
        <v>8.4293870019030042</v>
      </c>
      <c r="M18595" s="43">
        <v>11.499767927593407</v>
      </c>
      <c r="N18595" s="43">
        <v>5.2731844228745173</v>
      </c>
      <c r="O18595" s="43">
        <v>11.503164556962025</v>
      </c>
      <c r="P18595" s="559"/>
      <c r="Q18595" s="559"/>
      <c r="R18595" s="559">
        <v>18</v>
      </c>
    </row>
    <row r="18596" spans="1:18" ht="84">
      <c r="A18596" s="555">
        <v>1023</v>
      </c>
      <c r="B18596" s="552" t="s">
        <v>33638</v>
      </c>
      <c r="C18596" s="556" t="s">
        <v>33639</v>
      </c>
      <c r="D18596" s="557">
        <v>194.53</v>
      </c>
      <c r="E18596" s="557">
        <v>96.52</v>
      </c>
      <c r="F18596" s="557">
        <v>96.08</v>
      </c>
      <c r="G18596" s="557">
        <v>1.93</v>
      </c>
      <c r="H18596" s="558">
        <v>1638.82</v>
      </c>
      <c r="I18596" s="558">
        <v>1109.98</v>
      </c>
      <c r="J18596" s="558">
        <v>506.64</v>
      </c>
      <c r="K18596" s="558">
        <v>22.2</v>
      </c>
      <c r="L18596" s="43">
        <v>8.4245103582994911</v>
      </c>
      <c r="M18596" s="43">
        <v>11.5</v>
      </c>
      <c r="N18596" s="43">
        <v>5.2731057452123231</v>
      </c>
      <c r="O18596" s="43">
        <v>11.503164556962025</v>
      </c>
      <c r="P18596" s="559"/>
      <c r="Q18596" s="559"/>
      <c r="R18596" s="559">
        <v>18</v>
      </c>
    </row>
    <row r="18597" spans="1:18" ht="84">
      <c r="A18597" s="555">
        <v>1024</v>
      </c>
      <c r="B18597" s="552" t="s">
        <v>33640</v>
      </c>
      <c r="C18597" s="556" t="s">
        <v>33641</v>
      </c>
      <c r="D18597" s="557">
        <v>243.16</v>
      </c>
      <c r="E18597" s="557">
        <v>120.65</v>
      </c>
      <c r="F18597" s="557">
        <v>120.1</v>
      </c>
      <c r="G18597" s="557">
        <v>2.41</v>
      </c>
      <c r="H18597" s="558">
        <v>2048.4899999999998</v>
      </c>
      <c r="I18597" s="558">
        <v>1387.47</v>
      </c>
      <c r="J18597" s="558">
        <v>633.29999999999995</v>
      </c>
      <c r="K18597" s="558">
        <v>27.72</v>
      </c>
      <c r="L18597" s="43">
        <v>8.4244530350386562</v>
      </c>
      <c r="M18597" s="43">
        <v>11.499958557811851</v>
      </c>
      <c r="N18597" s="43">
        <v>5.2731057452123231</v>
      </c>
      <c r="O18597" s="43">
        <v>11.503164556962025</v>
      </c>
      <c r="P18597" s="559"/>
      <c r="Q18597" s="559"/>
      <c r="R18597" s="559">
        <v>18</v>
      </c>
    </row>
    <row r="18598" spans="1:18" ht="12.75" customHeight="1">
      <c r="A18598" s="628" t="s">
        <v>33642</v>
      </c>
      <c r="B18598" s="629"/>
      <c r="C18598" s="629"/>
      <c r="D18598" s="629"/>
      <c r="E18598" s="629"/>
      <c r="F18598" s="629"/>
      <c r="G18598" s="629"/>
      <c r="H18598" s="629"/>
      <c r="I18598" s="629"/>
      <c r="J18598" s="629"/>
      <c r="K18598" s="629"/>
      <c r="L18598" s="629"/>
      <c r="M18598" s="629"/>
      <c r="N18598" s="629"/>
      <c r="O18598" s="629"/>
      <c r="P18598" s="629"/>
      <c r="Q18598" s="629"/>
      <c r="R18598" s="629"/>
    </row>
    <row r="18599" spans="1:18" ht="84">
      <c r="A18599" s="555">
        <v>1025</v>
      </c>
      <c r="B18599" s="552" t="s">
        <v>33643</v>
      </c>
      <c r="C18599" s="556" t="s">
        <v>33644</v>
      </c>
      <c r="D18599" s="557">
        <v>6.52</v>
      </c>
      <c r="E18599" s="557">
        <v>3.22</v>
      </c>
      <c r="F18599" s="557">
        <v>3.24</v>
      </c>
      <c r="G18599" s="557">
        <v>0.06</v>
      </c>
      <c r="H18599" s="558">
        <v>54.79</v>
      </c>
      <c r="I18599" s="558">
        <v>37</v>
      </c>
      <c r="J18599" s="558">
        <v>17.100000000000001</v>
      </c>
      <c r="K18599" s="558">
        <v>0.69</v>
      </c>
      <c r="L18599" s="43">
        <v>8.4033742331288348</v>
      </c>
      <c r="M18599" s="43">
        <v>11.5</v>
      </c>
      <c r="N18599" s="43">
        <v>5.2777777777777777</v>
      </c>
      <c r="O18599" s="43">
        <v>11.503164556962025</v>
      </c>
      <c r="P18599" s="559"/>
      <c r="Q18599" s="559"/>
      <c r="R18599" s="559">
        <v>19</v>
      </c>
    </row>
    <row r="18600" spans="1:18" ht="84">
      <c r="A18600" s="555">
        <v>1026</v>
      </c>
      <c r="B18600" s="552" t="s">
        <v>33645</v>
      </c>
      <c r="C18600" s="556" t="s">
        <v>33646</v>
      </c>
      <c r="D18600" s="557">
        <v>7.35</v>
      </c>
      <c r="E18600" s="557">
        <v>3.68</v>
      </c>
      <c r="F18600" s="557">
        <v>3.6</v>
      </c>
      <c r="G18600" s="557">
        <v>7.0000000000000007E-2</v>
      </c>
      <c r="H18600" s="558">
        <v>62.09</v>
      </c>
      <c r="I18600" s="558">
        <v>42.28</v>
      </c>
      <c r="J18600" s="558">
        <v>19</v>
      </c>
      <c r="K18600" s="558">
        <v>0.81</v>
      </c>
      <c r="L18600" s="43">
        <v>8.4476190476190478</v>
      </c>
      <c r="M18600" s="43">
        <v>11.5</v>
      </c>
      <c r="N18600" s="43">
        <v>5.2777777777777777</v>
      </c>
      <c r="O18600" s="43">
        <v>11.503164556962025</v>
      </c>
      <c r="P18600" s="559"/>
      <c r="Q18600" s="559"/>
      <c r="R18600" s="559">
        <v>19</v>
      </c>
    </row>
    <row r="18601" spans="1:18" ht="84">
      <c r="A18601" s="555">
        <v>1027</v>
      </c>
      <c r="B18601" s="552" t="s">
        <v>33647</v>
      </c>
      <c r="C18601" s="556" t="s">
        <v>33648</v>
      </c>
      <c r="D18601" s="557">
        <v>10.68</v>
      </c>
      <c r="E18601" s="557">
        <v>5.29</v>
      </c>
      <c r="F18601" s="557">
        <v>5.28</v>
      </c>
      <c r="G18601" s="557">
        <v>0.11</v>
      </c>
      <c r="H18601" s="558">
        <v>89.92</v>
      </c>
      <c r="I18601" s="558">
        <v>60.78</v>
      </c>
      <c r="J18601" s="558">
        <v>27.87</v>
      </c>
      <c r="K18601" s="558">
        <v>1.27</v>
      </c>
      <c r="L18601" s="43">
        <v>8.4194756554307126</v>
      </c>
      <c r="M18601" s="43">
        <v>11.5</v>
      </c>
      <c r="N18601" s="43">
        <v>5.2784090909090908</v>
      </c>
      <c r="O18601" s="43">
        <v>11.503164556962025</v>
      </c>
      <c r="P18601" s="559"/>
      <c r="Q18601" s="559"/>
      <c r="R18601" s="559">
        <v>19</v>
      </c>
    </row>
    <row r="18602" spans="1:18" ht="84">
      <c r="A18602" s="555">
        <v>1028</v>
      </c>
      <c r="B18602" s="552" t="s">
        <v>33649</v>
      </c>
      <c r="C18602" s="556" t="s">
        <v>33650</v>
      </c>
      <c r="D18602" s="557">
        <v>12.45</v>
      </c>
      <c r="E18602" s="557">
        <v>6.2</v>
      </c>
      <c r="F18602" s="557">
        <v>6.13</v>
      </c>
      <c r="G18602" s="557">
        <v>0.12</v>
      </c>
      <c r="H18602" s="558">
        <v>105.04</v>
      </c>
      <c r="I18602" s="558">
        <v>71.36</v>
      </c>
      <c r="J18602" s="558">
        <v>32.299999999999997</v>
      </c>
      <c r="K18602" s="558">
        <v>1.38</v>
      </c>
      <c r="L18602" s="43">
        <v>8.4369477911646591</v>
      </c>
      <c r="M18602" s="43">
        <v>11.5021951219512</v>
      </c>
      <c r="N18602" s="43">
        <v>5.2691680261011413</v>
      </c>
      <c r="O18602" s="43">
        <v>11.503164556962025</v>
      </c>
      <c r="P18602" s="559"/>
      <c r="Q18602" s="559"/>
      <c r="R18602" s="559">
        <v>19</v>
      </c>
    </row>
    <row r="18603" spans="1:18" ht="84">
      <c r="A18603" s="555">
        <v>1029</v>
      </c>
      <c r="B18603" s="552" t="s">
        <v>33651</v>
      </c>
      <c r="C18603" s="556" t="s">
        <v>33652</v>
      </c>
      <c r="D18603" s="557">
        <v>14.83</v>
      </c>
      <c r="E18603" s="557">
        <v>7.35</v>
      </c>
      <c r="F18603" s="557">
        <v>7.33</v>
      </c>
      <c r="G18603" s="557">
        <v>0.15</v>
      </c>
      <c r="H18603" s="558">
        <v>124.93</v>
      </c>
      <c r="I18603" s="558">
        <v>84.57</v>
      </c>
      <c r="J18603" s="558">
        <v>38.630000000000003</v>
      </c>
      <c r="K18603" s="558">
        <v>1.73</v>
      </c>
      <c r="L18603" s="43">
        <v>8.424140256237358</v>
      </c>
      <c r="M18603" s="43">
        <v>11.5021951219512</v>
      </c>
      <c r="N18603" s="43">
        <v>5.2701227830832202</v>
      </c>
      <c r="O18603" s="43">
        <v>11.503164556962025</v>
      </c>
      <c r="P18603" s="559"/>
      <c r="Q18603" s="559"/>
      <c r="R18603" s="559">
        <v>19</v>
      </c>
    </row>
    <row r="18604" spans="1:18" ht="84">
      <c r="A18604" s="555">
        <v>1030</v>
      </c>
      <c r="B18604" s="552" t="s">
        <v>33653</v>
      </c>
      <c r="C18604" s="556" t="s">
        <v>33654</v>
      </c>
      <c r="D18604" s="557">
        <v>17.55</v>
      </c>
      <c r="E18604" s="557">
        <v>8.73</v>
      </c>
      <c r="F18604" s="557">
        <v>8.65</v>
      </c>
      <c r="G18604" s="557">
        <v>0.17</v>
      </c>
      <c r="H18604" s="558">
        <v>147.99</v>
      </c>
      <c r="I18604" s="558">
        <v>100.43</v>
      </c>
      <c r="J18604" s="558">
        <v>45.6</v>
      </c>
      <c r="K18604" s="558">
        <v>1.96</v>
      </c>
      <c r="L18604" s="43">
        <v>8.4324786324786327</v>
      </c>
      <c r="M18604" s="43">
        <v>11.504009163802978</v>
      </c>
      <c r="N18604" s="43">
        <v>5.2716763005780347</v>
      </c>
      <c r="O18604" s="43">
        <v>11.503164556962025</v>
      </c>
      <c r="P18604" s="559"/>
      <c r="Q18604" s="559"/>
      <c r="R18604" s="559">
        <v>19</v>
      </c>
    </row>
    <row r="18605" spans="1:18" ht="84">
      <c r="A18605" s="555">
        <v>1031</v>
      </c>
      <c r="B18605" s="552" t="s">
        <v>33655</v>
      </c>
      <c r="C18605" s="556" t="s">
        <v>33656</v>
      </c>
      <c r="D18605" s="557">
        <v>19.7</v>
      </c>
      <c r="E18605" s="557">
        <v>9.77</v>
      </c>
      <c r="F18605" s="557">
        <v>9.73</v>
      </c>
      <c r="G18605" s="557">
        <v>0.2</v>
      </c>
      <c r="H18605" s="558">
        <v>165.92</v>
      </c>
      <c r="I18605" s="558">
        <v>112.32</v>
      </c>
      <c r="J18605" s="558">
        <v>51.3</v>
      </c>
      <c r="K18605" s="558">
        <v>2.2999999999999998</v>
      </c>
      <c r="L18605" s="43">
        <v>8.4223350253807112</v>
      </c>
      <c r="M18605" s="43">
        <v>11.496417604912999</v>
      </c>
      <c r="N18605" s="43">
        <v>5.2723535457348403</v>
      </c>
      <c r="O18605" s="43">
        <v>11.503164556962025</v>
      </c>
      <c r="P18605" s="559"/>
      <c r="Q18605" s="559"/>
      <c r="R18605" s="559">
        <v>19</v>
      </c>
    </row>
    <row r="18606" spans="1:18" ht="84">
      <c r="A18606" s="555">
        <v>1032</v>
      </c>
      <c r="B18606" s="552" t="s">
        <v>33657</v>
      </c>
      <c r="C18606" s="556" t="s">
        <v>33658</v>
      </c>
      <c r="D18606" s="557">
        <v>23.13</v>
      </c>
      <c r="E18606" s="557">
        <v>11.49</v>
      </c>
      <c r="F18606" s="557">
        <v>11.41</v>
      </c>
      <c r="G18606" s="557">
        <v>0.23</v>
      </c>
      <c r="H18606" s="558">
        <v>194.95</v>
      </c>
      <c r="I18606" s="558">
        <v>132.13999999999999</v>
      </c>
      <c r="J18606" s="558">
        <v>60.16</v>
      </c>
      <c r="K18606" s="558">
        <v>2.65</v>
      </c>
      <c r="L18606" s="43">
        <v>8.4284479031560746</v>
      </c>
      <c r="M18606" s="43">
        <v>11.500435161009571</v>
      </c>
      <c r="N18606" s="43">
        <v>5.2725679228746714</v>
      </c>
      <c r="O18606" s="43">
        <v>11.503164556962025</v>
      </c>
      <c r="P18606" s="559"/>
      <c r="Q18606" s="559"/>
      <c r="R18606" s="559">
        <v>19</v>
      </c>
    </row>
    <row r="18607" spans="1:18" ht="84">
      <c r="A18607" s="555">
        <v>1033</v>
      </c>
      <c r="B18607" s="552" t="s">
        <v>33659</v>
      </c>
      <c r="C18607" s="556" t="s">
        <v>33660</v>
      </c>
      <c r="D18607" s="557">
        <v>24.78</v>
      </c>
      <c r="E18607" s="557">
        <v>12.64</v>
      </c>
      <c r="F18607" s="557">
        <v>11.89</v>
      </c>
      <c r="G18607" s="557">
        <v>0.25</v>
      </c>
      <c r="H18607" s="558">
        <v>210.93</v>
      </c>
      <c r="I18607" s="558">
        <v>145.35</v>
      </c>
      <c r="J18607" s="558">
        <v>62.7</v>
      </c>
      <c r="K18607" s="558">
        <v>2.88</v>
      </c>
      <c r="L18607" s="43">
        <v>8.5121065375302667</v>
      </c>
      <c r="M18607" s="43">
        <v>11.499208860759493</v>
      </c>
      <c r="N18607" s="43">
        <v>5.2733389402859547</v>
      </c>
      <c r="O18607" s="43">
        <v>11.503164556962025</v>
      </c>
      <c r="P18607" s="559"/>
      <c r="Q18607" s="559"/>
      <c r="R18607" s="559">
        <v>19</v>
      </c>
    </row>
    <row r="18608" spans="1:18" ht="84">
      <c r="A18608" s="555">
        <v>1034</v>
      </c>
      <c r="B18608" s="552" t="s">
        <v>33661</v>
      </c>
      <c r="C18608" s="556" t="s">
        <v>33662</v>
      </c>
      <c r="D18608" s="557">
        <v>29.65</v>
      </c>
      <c r="E18608" s="557">
        <v>14.94</v>
      </c>
      <c r="F18608" s="557">
        <v>14.41</v>
      </c>
      <c r="G18608" s="557">
        <v>0.3</v>
      </c>
      <c r="H18608" s="558">
        <v>251.23</v>
      </c>
      <c r="I18608" s="558">
        <v>171.78</v>
      </c>
      <c r="J18608" s="558">
        <v>76</v>
      </c>
      <c r="K18608" s="558">
        <v>3.45</v>
      </c>
      <c r="L18608" s="43">
        <v>8.4731871838111292</v>
      </c>
      <c r="M18608" s="43">
        <v>11.497991967871487</v>
      </c>
      <c r="N18608" s="43">
        <v>5.2741151977793201</v>
      </c>
      <c r="O18608" s="43">
        <v>11.503164556962025</v>
      </c>
      <c r="P18608" s="559"/>
      <c r="Q18608" s="559"/>
      <c r="R18608" s="559">
        <v>19</v>
      </c>
    </row>
    <row r="18609" spans="1:18" ht="84">
      <c r="A18609" s="555">
        <v>1035</v>
      </c>
      <c r="B18609" s="552" t="s">
        <v>33663</v>
      </c>
      <c r="C18609" s="556" t="s">
        <v>33664</v>
      </c>
      <c r="D18609" s="557">
        <v>39.14</v>
      </c>
      <c r="E18609" s="557">
        <v>19.53</v>
      </c>
      <c r="F18609" s="557">
        <v>19.22</v>
      </c>
      <c r="G18609" s="557">
        <v>0.39</v>
      </c>
      <c r="H18609" s="558">
        <v>330.46</v>
      </c>
      <c r="I18609" s="558">
        <v>224.64</v>
      </c>
      <c r="J18609" s="558">
        <v>101.33</v>
      </c>
      <c r="K18609" s="558">
        <v>4.49</v>
      </c>
      <c r="L18609" s="43">
        <v>8.4430250383239649</v>
      </c>
      <c r="M18609" s="43">
        <v>11.502304147465436</v>
      </c>
      <c r="N18609" s="43">
        <v>5.2721123829344432</v>
      </c>
      <c r="O18609" s="43">
        <v>11.503164556962025</v>
      </c>
      <c r="P18609" s="559"/>
      <c r="Q18609" s="559"/>
      <c r="R18609" s="559">
        <v>19</v>
      </c>
    </row>
    <row r="18610" spans="1:18" ht="84">
      <c r="A18610" s="555">
        <v>1036</v>
      </c>
      <c r="B18610" s="552" t="s">
        <v>33665</v>
      </c>
      <c r="C18610" s="556" t="s">
        <v>33666</v>
      </c>
      <c r="D18610" s="557">
        <v>32.020000000000003</v>
      </c>
      <c r="E18610" s="557">
        <v>16.09</v>
      </c>
      <c r="F18610" s="557">
        <v>15.61</v>
      </c>
      <c r="G18610" s="557">
        <v>0.32</v>
      </c>
      <c r="H18610" s="558">
        <v>271.01</v>
      </c>
      <c r="I18610" s="558">
        <v>185</v>
      </c>
      <c r="J18610" s="558">
        <v>82.33</v>
      </c>
      <c r="K18610" s="558">
        <v>3.68</v>
      </c>
      <c r="L18610" s="43">
        <v>8.4637726420986876</v>
      </c>
      <c r="M18610" s="43">
        <v>11.497824735860783</v>
      </c>
      <c r="N18610" s="43">
        <v>5.2741832158872519</v>
      </c>
      <c r="O18610" s="43">
        <v>11.503164556962025</v>
      </c>
      <c r="P18610" s="559"/>
      <c r="Q18610" s="559"/>
      <c r="R18610" s="559">
        <v>19</v>
      </c>
    </row>
    <row r="18611" spans="1:18" ht="84">
      <c r="A18611" s="555">
        <v>1037</v>
      </c>
      <c r="B18611" s="552" t="s">
        <v>33667</v>
      </c>
      <c r="C18611" s="556" t="s">
        <v>33668</v>
      </c>
      <c r="D18611" s="557">
        <v>36.770000000000003</v>
      </c>
      <c r="E18611" s="557">
        <v>18.38</v>
      </c>
      <c r="F18611" s="557">
        <v>18.02</v>
      </c>
      <c r="G18611" s="557">
        <v>0.37</v>
      </c>
      <c r="H18611" s="558">
        <v>310.68</v>
      </c>
      <c r="I18611" s="558">
        <v>211.42</v>
      </c>
      <c r="J18611" s="558">
        <v>95</v>
      </c>
      <c r="K18611" s="558">
        <v>4.26</v>
      </c>
      <c r="L18611" s="43">
        <v>8.4492793037802549</v>
      </c>
      <c r="M18611" s="43">
        <v>11.502720348204571</v>
      </c>
      <c r="N18611" s="43">
        <v>5.2719200887902335</v>
      </c>
      <c r="O18611" s="43">
        <v>11.503164556962025</v>
      </c>
      <c r="P18611" s="559"/>
      <c r="Q18611" s="559"/>
      <c r="R18611" s="559">
        <v>19</v>
      </c>
    </row>
    <row r="18612" spans="1:18" ht="84">
      <c r="A18612" s="555">
        <v>1038</v>
      </c>
      <c r="B18612" s="552" t="s">
        <v>33669</v>
      </c>
      <c r="C18612" s="556" t="s">
        <v>33670</v>
      </c>
      <c r="D18612" s="557">
        <v>48.63</v>
      </c>
      <c r="E18612" s="557">
        <v>24.13</v>
      </c>
      <c r="F18612" s="557">
        <v>24.02</v>
      </c>
      <c r="G18612" s="557">
        <v>0.48</v>
      </c>
      <c r="H18612" s="558">
        <v>409.67</v>
      </c>
      <c r="I18612" s="558">
        <v>277.49</v>
      </c>
      <c r="J18612" s="558">
        <v>126.66</v>
      </c>
      <c r="K18612" s="558">
        <v>5.52</v>
      </c>
      <c r="L18612" s="43">
        <v>8.4242237302076912</v>
      </c>
      <c r="M18612" s="43">
        <v>11.499792789059263</v>
      </c>
      <c r="N18612" s="43">
        <v>5.2731057452123231</v>
      </c>
      <c r="O18612" s="43">
        <v>11.503164556962025</v>
      </c>
      <c r="P18612" s="559"/>
      <c r="Q18612" s="559"/>
      <c r="R18612" s="559">
        <v>19</v>
      </c>
    </row>
    <row r="18613" spans="1:18" ht="84">
      <c r="A18613" s="555">
        <v>1039</v>
      </c>
      <c r="B18613" s="552" t="s">
        <v>33671</v>
      </c>
      <c r="C18613" s="556" t="s">
        <v>33672</v>
      </c>
      <c r="D18613" s="557">
        <v>36.770000000000003</v>
      </c>
      <c r="E18613" s="557">
        <v>18.38</v>
      </c>
      <c r="F18613" s="557">
        <v>18.02</v>
      </c>
      <c r="G18613" s="557">
        <v>0.37</v>
      </c>
      <c r="H18613" s="558">
        <v>310.68</v>
      </c>
      <c r="I18613" s="558">
        <v>211.42</v>
      </c>
      <c r="J18613" s="558">
        <v>95</v>
      </c>
      <c r="K18613" s="558">
        <v>4.26</v>
      </c>
      <c r="L18613" s="43">
        <v>8.4492793037802549</v>
      </c>
      <c r="M18613" s="43">
        <v>11.502720348204571</v>
      </c>
      <c r="N18613" s="43">
        <v>5.2719200887902335</v>
      </c>
      <c r="O18613" s="43">
        <v>11.503164556962025</v>
      </c>
      <c r="P18613" s="559"/>
      <c r="Q18613" s="559"/>
      <c r="R18613" s="559">
        <v>19</v>
      </c>
    </row>
    <row r="18614" spans="1:18" ht="84">
      <c r="A18614" s="555">
        <v>1040</v>
      </c>
      <c r="B18614" s="552" t="s">
        <v>33673</v>
      </c>
      <c r="C18614" s="556" t="s">
        <v>33674</v>
      </c>
      <c r="D18614" s="557">
        <v>43.89</v>
      </c>
      <c r="E18614" s="557">
        <v>21.83</v>
      </c>
      <c r="F18614" s="557">
        <v>21.62</v>
      </c>
      <c r="G18614" s="557">
        <v>0.44</v>
      </c>
      <c r="H18614" s="558">
        <v>370.12</v>
      </c>
      <c r="I18614" s="558">
        <v>251.07</v>
      </c>
      <c r="J18614" s="558">
        <v>113.99</v>
      </c>
      <c r="K18614" s="558">
        <v>5.0599999999999996</v>
      </c>
      <c r="L18614" s="43">
        <v>8.432900432900432</v>
      </c>
      <c r="M18614" s="43">
        <v>11.50114521300962</v>
      </c>
      <c r="N18614" s="43">
        <v>5.2724329324699344</v>
      </c>
      <c r="O18614" s="43">
        <v>11.503164556962025</v>
      </c>
      <c r="P18614" s="559"/>
      <c r="Q18614" s="559"/>
      <c r="R18614" s="559">
        <v>19</v>
      </c>
    </row>
    <row r="18615" spans="1:18" ht="84">
      <c r="A18615" s="555">
        <v>1041</v>
      </c>
      <c r="B18615" s="552" t="s">
        <v>33675</v>
      </c>
      <c r="C18615" s="556" t="s">
        <v>33676</v>
      </c>
      <c r="D18615" s="557">
        <v>58.12</v>
      </c>
      <c r="E18615" s="557">
        <v>28.73</v>
      </c>
      <c r="F18615" s="557">
        <v>28.82</v>
      </c>
      <c r="G18615" s="557">
        <v>0.56999999999999995</v>
      </c>
      <c r="H18615" s="558">
        <v>488.9</v>
      </c>
      <c r="I18615" s="558">
        <v>330.35</v>
      </c>
      <c r="J18615" s="558">
        <v>151.99</v>
      </c>
      <c r="K18615" s="558">
        <v>6.56</v>
      </c>
      <c r="L18615" s="43">
        <v>8.4119064005505848</v>
      </c>
      <c r="M18615" s="43">
        <v>11.498433693003829</v>
      </c>
      <c r="N18615" s="43">
        <v>5.2737682165163084</v>
      </c>
      <c r="O18615" s="43">
        <v>11.503164556962025</v>
      </c>
      <c r="P18615" s="559"/>
      <c r="Q18615" s="559"/>
      <c r="R18615" s="559">
        <v>19</v>
      </c>
    </row>
    <row r="18616" spans="1:18" ht="84">
      <c r="A18616" s="555">
        <v>1042</v>
      </c>
      <c r="B18616" s="552" t="s">
        <v>33677</v>
      </c>
      <c r="C18616" s="556" t="s">
        <v>33678</v>
      </c>
      <c r="D18616" s="557">
        <v>51.01</v>
      </c>
      <c r="E18616" s="557">
        <v>25.28</v>
      </c>
      <c r="F18616" s="557">
        <v>25.22</v>
      </c>
      <c r="G18616" s="557">
        <v>0.51</v>
      </c>
      <c r="H18616" s="558">
        <v>429.57</v>
      </c>
      <c r="I18616" s="558">
        <v>290.70999999999998</v>
      </c>
      <c r="J18616" s="558">
        <v>132.99</v>
      </c>
      <c r="K18616" s="558">
        <v>5.87</v>
      </c>
      <c r="L18616" s="43">
        <v>8.4212899431484018</v>
      </c>
      <c r="M18616" s="43">
        <v>11.499604430379746</v>
      </c>
      <c r="N18616" s="43">
        <v>5.2731958762886606</v>
      </c>
      <c r="O18616" s="43">
        <v>11.503164556962025</v>
      </c>
      <c r="P18616" s="559"/>
      <c r="Q18616" s="559"/>
      <c r="R18616" s="559">
        <v>19</v>
      </c>
    </row>
    <row r="18617" spans="1:18" ht="84">
      <c r="A18617" s="555">
        <v>1043</v>
      </c>
      <c r="B18617" s="552" t="s">
        <v>33679</v>
      </c>
      <c r="C18617" s="556" t="s">
        <v>33680</v>
      </c>
      <c r="D18617" s="557">
        <v>62.87</v>
      </c>
      <c r="E18617" s="557">
        <v>31.02</v>
      </c>
      <c r="F18617" s="557">
        <v>31.23</v>
      </c>
      <c r="G18617" s="557">
        <v>0.62</v>
      </c>
      <c r="H18617" s="558">
        <v>528.57000000000005</v>
      </c>
      <c r="I18617" s="558">
        <v>356.78</v>
      </c>
      <c r="J18617" s="558">
        <v>164.66</v>
      </c>
      <c r="K18617" s="558">
        <v>7.13</v>
      </c>
      <c r="L18617" s="43">
        <v>8.4073484968983632</v>
      </c>
      <c r="M18617" s="43">
        <v>11.50161186331399</v>
      </c>
      <c r="N18617" s="43">
        <v>5.2724943964137045</v>
      </c>
      <c r="O18617" s="43">
        <v>11.503164556962025</v>
      </c>
      <c r="P18617" s="559"/>
      <c r="Q18617" s="559"/>
      <c r="R18617" s="559">
        <v>19</v>
      </c>
    </row>
    <row r="18618" spans="1:18" ht="84">
      <c r="A18618" s="555">
        <v>1044</v>
      </c>
      <c r="B18618" s="552" t="s">
        <v>33681</v>
      </c>
      <c r="C18618" s="556" t="s">
        <v>33682</v>
      </c>
      <c r="D18618" s="557">
        <v>83.02</v>
      </c>
      <c r="E18618" s="557">
        <v>41.36</v>
      </c>
      <c r="F18618" s="557">
        <v>40.83</v>
      </c>
      <c r="G18618" s="557">
        <v>0.83</v>
      </c>
      <c r="H18618" s="558">
        <v>700.57</v>
      </c>
      <c r="I18618" s="558">
        <v>475.7</v>
      </c>
      <c r="J18618" s="558">
        <v>215.32</v>
      </c>
      <c r="K18618" s="558">
        <v>9.5500000000000007</v>
      </c>
      <c r="L18618" s="43">
        <v>8.4385690195133716</v>
      </c>
      <c r="M18618" s="43">
        <v>11.501450676982591</v>
      </c>
      <c r="N18618" s="43">
        <v>5.2735733529267694</v>
      </c>
      <c r="O18618" s="43">
        <v>11.503164556962025</v>
      </c>
      <c r="P18618" s="559"/>
      <c r="Q18618" s="559"/>
      <c r="R18618" s="559">
        <v>19</v>
      </c>
    </row>
    <row r="18619" spans="1:18" ht="84">
      <c r="A18619" s="555">
        <v>1045</v>
      </c>
      <c r="B18619" s="552" t="s">
        <v>33683</v>
      </c>
      <c r="C18619" s="556" t="s">
        <v>33684</v>
      </c>
      <c r="D18619" s="557">
        <v>53.38</v>
      </c>
      <c r="E18619" s="557">
        <v>26.43</v>
      </c>
      <c r="F18619" s="557">
        <v>26.42</v>
      </c>
      <c r="G18619" s="557">
        <v>0.53</v>
      </c>
      <c r="H18619" s="558">
        <v>449.35</v>
      </c>
      <c r="I18619" s="558">
        <v>303.92</v>
      </c>
      <c r="J18619" s="558">
        <v>139.33000000000001</v>
      </c>
      <c r="K18619" s="558">
        <v>6.1</v>
      </c>
      <c r="L18619" s="43">
        <v>8.4179467965530161</v>
      </c>
      <c r="M18619" s="43">
        <v>11.499054105183504</v>
      </c>
      <c r="N18619" s="43">
        <v>5.2736563209689633</v>
      </c>
      <c r="O18619" s="43">
        <v>11.503164556962025</v>
      </c>
      <c r="P18619" s="559"/>
      <c r="Q18619" s="559"/>
      <c r="R18619" s="559">
        <v>19</v>
      </c>
    </row>
    <row r="18620" spans="1:18" ht="84">
      <c r="A18620" s="555">
        <v>1046</v>
      </c>
      <c r="B18620" s="552" t="s">
        <v>33685</v>
      </c>
      <c r="C18620" s="556" t="s">
        <v>33686</v>
      </c>
      <c r="D18620" s="557">
        <v>62.87</v>
      </c>
      <c r="E18620" s="557">
        <v>31.02</v>
      </c>
      <c r="F18620" s="557">
        <v>31.23</v>
      </c>
      <c r="G18620" s="557">
        <v>0.62</v>
      </c>
      <c r="H18620" s="558">
        <v>528.57000000000005</v>
      </c>
      <c r="I18620" s="558">
        <v>356.78</v>
      </c>
      <c r="J18620" s="558">
        <v>164.66</v>
      </c>
      <c r="K18620" s="558">
        <v>7.13</v>
      </c>
      <c r="L18620" s="43">
        <v>8.4073484968983632</v>
      </c>
      <c r="M18620" s="43">
        <v>11.50161186331399</v>
      </c>
      <c r="N18620" s="43">
        <v>5.2724943964137045</v>
      </c>
      <c r="O18620" s="43">
        <v>11.503164556962025</v>
      </c>
      <c r="P18620" s="559"/>
      <c r="Q18620" s="559"/>
      <c r="R18620" s="559">
        <v>19</v>
      </c>
    </row>
    <row r="18621" spans="1:18" ht="84">
      <c r="A18621" s="555">
        <v>1047</v>
      </c>
      <c r="B18621" s="552" t="s">
        <v>33687</v>
      </c>
      <c r="C18621" s="556" t="s">
        <v>33688</v>
      </c>
      <c r="D18621" s="557">
        <v>85.4</v>
      </c>
      <c r="E18621" s="557">
        <v>42.51</v>
      </c>
      <c r="F18621" s="557">
        <v>42.04</v>
      </c>
      <c r="G18621" s="557">
        <v>0.85</v>
      </c>
      <c r="H18621" s="558">
        <v>720.36</v>
      </c>
      <c r="I18621" s="558">
        <v>488.92</v>
      </c>
      <c r="J18621" s="558">
        <v>221.66</v>
      </c>
      <c r="K18621" s="558">
        <v>9.7799999999999994</v>
      </c>
      <c r="L18621" s="43">
        <v>8.4351288056206091</v>
      </c>
      <c r="M18621" s="43">
        <v>11.501293813220419</v>
      </c>
      <c r="N18621" s="43">
        <v>5.2725975261655567</v>
      </c>
      <c r="O18621" s="43">
        <v>11.503164556962025</v>
      </c>
      <c r="P18621" s="559"/>
      <c r="Q18621" s="559"/>
      <c r="R18621" s="559">
        <v>19</v>
      </c>
    </row>
    <row r="18622" spans="1:18" ht="84">
      <c r="A18622" s="555">
        <v>1048</v>
      </c>
      <c r="B18622" s="552" t="s">
        <v>33689</v>
      </c>
      <c r="C18622" s="556" t="s">
        <v>33690</v>
      </c>
      <c r="D18622" s="557">
        <v>111.5</v>
      </c>
      <c r="E18622" s="557">
        <v>55.15</v>
      </c>
      <c r="F18622" s="557">
        <v>55.25</v>
      </c>
      <c r="G18622" s="557">
        <v>1.1000000000000001</v>
      </c>
      <c r="H18622" s="558">
        <v>938.24</v>
      </c>
      <c r="I18622" s="558">
        <v>634.27</v>
      </c>
      <c r="J18622" s="558">
        <v>291.32</v>
      </c>
      <c r="K18622" s="558">
        <v>12.65</v>
      </c>
      <c r="L18622" s="43">
        <v>8.4147085201793725</v>
      </c>
      <c r="M18622" s="43">
        <v>11.50081595648232</v>
      </c>
      <c r="N18622" s="43">
        <v>5.2727601809954754</v>
      </c>
      <c r="O18622" s="43">
        <v>11.503164556962025</v>
      </c>
      <c r="P18622" s="559"/>
      <c r="Q18622" s="559"/>
      <c r="R18622" s="559">
        <v>19</v>
      </c>
    </row>
    <row r="18623" spans="1:18" ht="84">
      <c r="A18623" s="555">
        <v>1049</v>
      </c>
      <c r="B18623" s="552" t="s">
        <v>33691</v>
      </c>
      <c r="C18623" s="556" t="s">
        <v>33692</v>
      </c>
      <c r="D18623" s="557">
        <v>134.03</v>
      </c>
      <c r="E18623" s="557">
        <v>66.64</v>
      </c>
      <c r="F18623" s="557">
        <v>66.06</v>
      </c>
      <c r="G18623" s="557">
        <v>1.33</v>
      </c>
      <c r="H18623" s="558">
        <v>1130.03</v>
      </c>
      <c r="I18623" s="558">
        <v>766.41</v>
      </c>
      <c r="J18623" s="558">
        <v>348.32</v>
      </c>
      <c r="K18623" s="558">
        <v>15.3</v>
      </c>
      <c r="L18623" s="43">
        <v>8.4311721256435117</v>
      </c>
      <c r="M18623" s="43">
        <v>11.500750300120048</v>
      </c>
      <c r="N18623" s="43">
        <v>5.272782319103845</v>
      </c>
      <c r="O18623" s="43">
        <v>11.503164556962025</v>
      </c>
      <c r="P18623" s="559"/>
      <c r="Q18623" s="559"/>
      <c r="R18623" s="559">
        <v>19</v>
      </c>
    </row>
    <row r="18624" spans="1:18" ht="84">
      <c r="A18624" s="555">
        <v>1050</v>
      </c>
      <c r="B18624" s="552" t="s">
        <v>33693</v>
      </c>
      <c r="C18624" s="556" t="s">
        <v>33694</v>
      </c>
      <c r="D18624" s="557">
        <v>62.87</v>
      </c>
      <c r="E18624" s="557">
        <v>31.02</v>
      </c>
      <c r="F18624" s="557">
        <v>31.23</v>
      </c>
      <c r="G18624" s="557">
        <v>0.62</v>
      </c>
      <c r="H18624" s="558">
        <v>528.57000000000005</v>
      </c>
      <c r="I18624" s="558">
        <v>356.78</v>
      </c>
      <c r="J18624" s="558">
        <v>164.66</v>
      </c>
      <c r="K18624" s="558">
        <v>7.13</v>
      </c>
      <c r="L18624" s="43">
        <v>8.4073484968983632</v>
      </c>
      <c r="M18624" s="43">
        <v>11.50161186331399</v>
      </c>
      <c r="N18624" s="43">
        <v>5.2724943964137045</v>
      </c>
      <c r="O18624" s="43">
        <v>11.503164556962025</v>
      </c>
      <c r="P18624" s="559"/>
      <c r="Q18624" s="559"/>
      <c r="R18624" s="559">
        <v>19</v>
      </c>
    </row>
    <row r="18625" spans="1:18" ht="84">
      <c r="A18625" s="555">
        <v>1051</v>
      </c>
      <c r="B18625" s="552" t="s">
        <v>33695</v>
      </c>
      <c r="C18625" s="556" t="s">
        <v>33696</v>
      </c>
      <c r="D18625" s="557">
        <v>78.28</v>
      </c>
      <c r="E18625" s="557">
        <v>39.07</v>
      </c>
      <c r="F18625" s="557">
        <v>38.43</v>
      </c>
      <c r="G18625" s="557">
        <v>0.78</v>
      </c>
      <c r="H18625" s="558">
        <v>660.91</v>
      </c>
      <c r="I18625" s="558">
        <v>449.28</v>
      </c>
      <c r="J18625" s="558">
        <v>202.66</v>
      </c>
      <c r="K18625" s="558">
        <v>8.9700000000000006</v>
      </c>
      <c r="L18625" s="43">
        <v>8.4428972917731215</v>
      </c>
      <c r="M18625" s="43">
        <v>11.499360122856411</v>
      </c>
      <c r="N18625" s="43">
        <v>5.2734842570908143</v>
      </c>
      <c r="O18625" s="43">
        <v>11.503164556962025</v>
      </c>
      <c r="P18625" s="559"/>
      <c r="Q18625" s="559"/>
      <c r="R18625" s="559">
        <v>19</v>
      </c>
    </row>
    <row r="18626" spans="1:18" ht="84">
      <c r="A18626" s="555">
        <v>1052</v>
      </c>
      <c r="B18626" s="552" t="s">
        <v>33697</v>
      </c>
      <c r="C18626" s="556" t="s">
        <v>33698</v>
      </c>
      <c r="D18626" s="557">
        <v>99.64</v>
      </c>
      <c r="E18626" s="557">
        <v>49.41</v>
      </c>
      <c r="F18626" s="557">
        <v>49.24</v>
      </c>
      <c r="G18626" s="557">
        <v>0.99</v>
      </c>
      <c r="H18626" s="558">
        <v>839.24</v>
      </c>
      <c r="I18626" s="558">
        <v>568.20000000000005</v>
      </c>
      <c r="J18626" s="558">
        <v>259.64999999999998</v>
      </c>
      <c r="K18626" s="558">
        <v>11.39</v>
      </c>
      <c r="L18626" s="43">
        <v>8.4227217984745089</v>
      </c>
      <c r="M18626" s="43">
        <v>11.499696417729206</v>
      </c>
      <c r="N18626" s="43">
        <v>5.2731519090170584</v>
      </c>
      <c r="O18626" s="43">
        <v>11.503164556962025</v>
      </c>
      <c r="P18626" s="559"/>
      <c r="Q18626" s="559"/>
      <c r="R18626" s="559">
        <v>19</v>
      </c>
    </row>
    <row r="18627" spans="1:18" ht="84">
      <c r="A18627" s="555">
        <v>1053</v>
      </c>
      <c r="B18627" s="552" t="s">
        <v>33699</v>
      </c>
      <c r="C18627" s="556" t="s">
        <v>33700</v>
      </c>
      <c r="D18627" s="557">
        <v>131.65</v>
      </c>
      <c r="E18627" s="557">
        <v>65.489999999999995</v>
      </c>
      <c r="F18627" s="557">
        <v>64.849999999999994</v>
      </c>
      <c r="G18627" s="557">
        <v>1.31</v>
      </c>
      <c r="H18627" s="558">
        <v>1110.25</v>
      </c>
      <c r="I18627" s="558">
        <v>753.2</v>
      </c>
      <c r="J18627" s="558">
        <v>341.98</v>
      </c>
      <c r="K18627" s="558">
        <v>15.07</v>
      </c>
      <c r="L18627" s="43">
        <v>8.4333459931636909</v>
      </c>
      <c r="M18627" s="43">
        <v>11.500992517941672</v>
      </c>
      <c r="N18627" s="43">
        <v>5.2734001542020055</v>
      </c>
      <c r="O18627" s="43">
        <v>11.503164556962025</v>
      </c>
      <c r="P18627" s="559"/>
      <c r="Q18627" s="559"/>
      <c r="R18627" s="559">
        <v>19</v>
      </c>
    </row>
    <row r="18628" spans="1:18" ht="84">
      <c r="A18628" s="555">
        <v>1054</v>
      </c>
      <c r="B18628" s="552" t="s">
        <v>33701</v>
      </c>
      <c r="C18628" s="556" t="s">
        <v>33702</v>
      </c>
      <c r="D18628" s="557">
        <v>161.31</v>
      </c>
      <c r="E18628" s="557">
        <v>80.430000000000007</v>
      </c>
      <c r="F18628" s="557">
        <v>79.27</v>
      </c>
      <c r="G18628" s="557">
        <v>1.61</v>
      </c>
      <c r="H18628" s="558">
        <v>1361.48</v>
      </c>
      <c r="I18628" s="558">
        <v>924.98</v>
      </c>
      <c r="J18628" s="558">
        <v>417.98</v>
      </c>
      <c r="K18628" s="558">
        <v>18.52</v>
      </c>
      <c r="L18628" s="43">
        <v>8.4401463021511383</v>
      </c>
      <c r="M18628" s="43">
        <v>11.500435161009573</v>
      </c>
      <c r="N18628" s="43">
        <v>5.2728648921407855</v>
      </c>
      <c r="O18628" s="43">
        <v>11.503164556962025</v>
      </c>
      <c r="P18628" s="559"/>
      <c r="Q18628" s="559"/>
      <c r="R18628" s="559">
        <v>19</v>
      </c>
    </row>
    <row r="18629" spans="1:18" ht="84">
      <c r="A18629" s="555">
        <v>1055</v>
      </c>
      <c r="B18629" s="552" t="s">
        <v>33703</v>
      </c>
      <c r="C18629" s="556" t="s">
        <v>33704</v>
      </c>
      <c r="D18629" s="557">
        <v>65.239999999999995</v>
      </c>
      <c r="E18629" s="557">
        <v>32.17</v>
      </c>
      <c r="F18629" s="557">
        <v>32.43</v>
      </c>
      <c r="G18629" s="557">
        <v>0.64</v>
      </c>
      <c r="H18629" s="558">
        <v>548.34</v>
      </c>
      <c r="I18629" s="558">
        <v>369.99</v>
      </c>
      <c r="J18629" s="558">
        <v>170.99</v>
      </c>
      <c r="K18629" s="558">
        <v>7.36</v>
      </c>
      <c r="L18629" s="43">
        <v>8.404966278356838</v>
      </c>
      <c r="M18629" s="43">
        <v>11.501087970158533</v>
      </c>
      <c r="N18629" s="43">
        <v>5.2725871106999698</v>
      </c>
      <c r="O18629" s="43">
        <v>11.503164556962025</v>
      </c>
      <c r="P18629" s="559"/>
      <c r="Q18629" s="559"/>
      <c r="R18629" s="559">
        <v>19</v>
      </c>
    </row>
    <row r="18630" spans="1:18" ht="84">
      <c r="A18630" s="555">
        <v>1056</v>
      </c>
      <c r="B18630" s="552" t="s">
        <v>33705</v>
      </c>
      <c r="C18630" s="556" t="s">
        <v>33706</v>
      </c>
      <c r="D18630" s="557">
        <v>80.650000000000006</v>
      </c>
      <c r="E18630" s="557">
        <v>40.22</v>
      </c>
      <c r="F18630" s="557">
        <v>39.630000000000003</v>
      </c>
      <c r="G18630" s="557">
        <v>0.8</v>
      </c>
      <c r="H18630" s="558">
        <v>680.68</v>
      </c>
      <c r="I18630" s="558">
        <v>462.49</v>
      </c>
      <c r="J18630" s="558">
        <v>208.99</v>
      </c>
      <c r="K18630" s="558">
        <v>9.1999999999999993</v>
      </c>
      <c r="L18630" s="43">
        <v>8.4399256044637312</v>
      </c>
      <c r="M18630" s="43">
        <v>11.499005469915465</v>
      </c>
      <c r="N18630" s="43">
        <v>5.2735301539237946</v>
      </c>
      <c r="O18630" s="43">
        <v>11.503164556962025</v>
      </c>
      <c r="P18630" s="559"/>
      <c r="Q18630" s="559"/>
      <c r="R18630" s="559">
        <v>19</v>
      </c>
    </row>
    <row r="18631" spans="1:18" ht="84">
      <c r="A18631" s="555">
        <v>1057</v>
      </c>
      <c r="B18631" s="552" t="s">
        <v>33707</v>
      </c>
      <c r="C18631" s="556" t="s">
        <v>33708</v>
      </c>
      <c r="D18631" s="557">
        <v>109.13</v>
      </c>
      <c r="E18631" s="557">
        <v>54</v>
      </c>
      <c r="F18631" s="557">
        <v>54.05</v>
      </c>
      <c r="G18631" s="557">
        <v>1.08</v>
      </c>
      <c r="H18631" s="558">
        <v>918.47</v>
      </c>
      <c r="I18631" s="558">
        <v>621.05999999999995</v>
      </c>
      <c r="J18631" s="558">
        <v>284.99</v>
      </c>
      <c r="K18631" s="558">
        <v>12.42</v>
      </c>
      <c r="L18631" s="43">
        <v>8.4162924951892251</v>
      </c>
      <c r="M18631" s="43">
        <v>11.50111111111111</v>
      </c>
      <c r="N18631" s="43">
        <v>5.272710453283997</v>
      </c>
      <c r="O18631" s="43">
        <v>11.503164556962025</v>
      </c>
      <c r="P18631" s="559"/>
      <c r="Q18631" s="559"/>
      <c r="R18631" s="559">
        <v>19</v>
      </c>
    </row>
    <row r="18632" spans="1:18" ht="84">
      <c r="A18632" s="555">
        <v>1058</v>
      </c>
      <c r="B18632" s="552" t="s">
        <v>33709</v>
      </c>
      <c r="C18632" s="556" t="s">
        <v>33710</v>
      </c>
      <c r="D18632" s="557">
        <v>141.15</v>
      </c>
      <c r="E18632" s="557">
        <v>70.09</v>
      </c>
      <c r="F18632" s="557">
        <v>69.66</v>
      </c>
      <c r="G18632" s="557">
        <v>1.4</v>
      </c>
      <c r="H18632" s="558">
        <v>1189.46</v>
      </c>
      <c r="I18632" s="558">
        <v>806.05</v>
      </c>
      <c r="J18632" s="558">
        <v>367.31</v>
      </c>
      <c r="K18632" s="558">
        <v>16.100000000000001</v>
      </c>
      <c r="L18632" s="43">
        <v>8.4269217144881328</v>
      </c>
      <c r="M18632" s="43">
        <v>11.500214010557853</v>
      </c>
      <c r="N18632" s="43">
        <v>5.2728969279356876</v>
      </c>
      <c r="O18632" s="43">
        <v>11.503164556962025</v>
      </c>
      <c r="P18632" s="559"/>
      <c r="Q18632" s="559"/>
      <c r="R18632" s="559">
        <v>19</v>
      </c>
    </row>
    <row r="18633" spans="1:18" ht="84">
      <c r="A18633" s="555">
        <v>1059</v>
      </c>
      <c r="B18633" s="552" t="s">
        <v>33711</v>
      </c>
      <c r="C18633" s="556" t="s">
        <v>33712</v>
      </c>
      <c r="D18633" s="557">
        <v>168.43</v>
      </c>
      <c r="E18633" s="557">
        <v>83.88</v>
      </c>
      <c r="F18633" s="557">
        <v>82.87</v>
      </c>
      <c r="G18633" s="557">
        <v>1.68</v>
      </c>
      <c r="H18633" s="558">
        <v>1420.92</v>
      </c>
      <c r="I18633" s="558">
        <v>964.62</v>
      </c>
      <c r="J18633" s="558">
        <v>436.98</v>
      </c>
      <c r="K18633" s="558">
        <v>19.32</v>
      </c>
      <c r="L18633" s="43">
        <v>8.4362643234578165</v>
      </c>
      <c r="M18633" s="43">
        <v>11.5</v>
      </c>
      <c r="N18633" s="43">
        <v>5.2730783154338123</v>
      </c>
      <c r="O18633" s="43">
        <v>11.503164556962025</v>
      </c>
      <c r="P18633" s="559"/>
      <c r="Q18633" s="559"/>
      <c r="R18633" s="559">
        <v>19</v>
      </c>
    </row>
    <row r="18634" spans="1:18" ht="84">
      <c r="A18634" s="555">
        <v>1060</v>
      </c>
      <c r="B18634" s="552" t="s">
        <v>33713</v>
      </c>
      <c r="C18634" s="556" t="s">
        <v>33714</v>
      </c>
      <c r="D18634" s="557">
        <v>92.52</v>
      </c>
      <c r="E18634" s="557">
        <v>45.96</v>
      </c>
      <c r="F18634" s="557">
        <v>45.64</v>
      </c>
      <c r="G18634" s="557">
        <v>0.92</v>
      </c>
      <c r="H18634" s="558">
        <v>779.79</v>
      </c>
      <c r="I18634" s="558">
        <v>528.55999999999995</v>
      </c>
      <c r="J18634" s="558">
        <v>240.65</v>
      </c>
      <c r="K18634" s="558">
        <v>10.58</v>
      </c>
      <c r="L18634" s="43">
        <v>8.4283398184176388</v>
      </c>
      <c r="M18634" s="43">
        <v>11.500435161009571</v>
      </c>
      <c r="N18634" s="43">
        <v>5.2727870289219982</v>
      </c>
      <c r="O18634" s="43">
        <v>11.503164556962025</v>
      </c>
      <c r="P18634" s="559"/>
      <c r="Q18634" s="559"/>
      <c r="R18634" s="559">
        <v>19</v>
      </c>
    </row>
    <row r="18635" spans="1:18" ht="84">
      <c r="A18635" s="555">
        <v>1061</v>
      </c>
      <c r="B18635" s="552" t="s">
        <v>33715</v>
      </c>
      <c r="C18635" s="556" t="s">
        <v>33716</v>
      </c>
      <c r="D18635" s="557">
        <v>126.91</v>
      </c>
      <c r="E18635" s="557">
        <v>63.2</v>
      </c>
      <c r="F18635" s="557">
        <v>62.45</v>
      </c>
      <c r="G18635" s="557">
        <v>1.26</v>
      </c>
      <c r="H18635" s="558">
        <v>1070.58</v>
      </c>
      <c r="I18635" s="558">
        <v>726.77</v>
      </c>
      <c r="J18635" s="558">
        <v>329.32</v>
      </c>
      <c r="K18635" s="558">
        <v>14.49</v>
      </c>
      <c r="L18635" s="43">
        <v>8.4357418643132931</v>
      </c>
      <c r="M18635" s="43">
        <v>11.499525316455696</v>
      </c>
      <c r="N18635" s="43">
        <v>5.2733386709367487</v>
      </c>
      <c r="O18635" s="43">
        <v>11.503164556962025</v>
      </c>
      <c r="P18635" s="559"/>
      <c r="Q18635" s="559"/>
      <c r="R18635" s="559">
        <v>19</v>
      </c>
    </row>
    <row r="18636" spans="1:18" ht="84">
      <c r="A18636" s="555">
        <v>1062</v>
      </c>
      <c r="B18636" s="552" t="s">
        <v>33717</v>
      </c>
      <c r="C18636" s="556" t="s">
        <v>33718</v>
      </c>
      <c r="D18636" s="557">
        <v>162.51</v>
      </c>
      <c r="E18636" s="557">
        <v>80.430000000000007</v>
      </c>
      <c r="F18636" s="557">
        <v>80.47</v>
      </c>
      <c r="G18636" s="557">
        <v>1.61</v>
      </c>
      <c r="H18636" s="558">
        <v>1367.81</v>
      </c>
      <c r="I18636" s="558">
        <v>924.98</v>
      </c>
      <c r="J18636" s="558">
        <v>424.31</v>
      </c>
      <c r="K18636" s="558">
        <v>18.52</v>
      </c>
      <c r="L18636" s="43">
        <v>8.4167743523475487</v>
      </c>
      <c r="M18636" s="43">
        <v>11.500435161009573</v>
      </c>
      <c r="N18636" s="43">
        <v>5.2728967317012554</v>
      </c>
      <c r="O18636" s="43">
        <v>11.503164556962025</v>
      </c>
      <c r="P18636" s="559"/>
      <c r="Q18636" s="559"/>
      <c r="R18636" s="559">
        <v>19</v>
      </c>
    </row>
    <row r="18637" spans="1:18" ht="84">
      <c r="A18637" s="555">
        <v>1063</v>
      </c>
      <c r="B18637" s="552" t="s">
        <v>33719</v>
      </c>
      <c r="C18637" s="556" t="s">
        <v>33720</v>
      </c>
      <c r="D18637" s="557">
        <v>199.27</v>
      </c>
      <c r="E18637" s="557">
        <v>98.81</v>
      </c>
      <c r="F18637" s="557">
        <v>98.48</v>
      </c>
      <c r="G18637" s="557">
        <v>1.98</v>
      </c>
      <c r="H18637" s="558">
        <v>1678.48</v>
      </c>
      <c r="I18637" s="558">
        <v>1136.4000000000001</v>
      </c>
      <c r="J18637" s="558">
        <v>519.30999999999995</v>
      </c>
      <c r="K18637" s="558">
        <v>22.77</v>
      </c>
      <c r="L18637" s="43">
        <v>8.4231444773422997</v>
      </c>
      <c r="M18637" s="43">
        <v>11.500860236818136</v>
      </c>
      <c r="N18637" s="43">
        <v>5.2732534524776593</v>
      </c>
      <c r="O18637" s="43">
        <v>11.503164556962025</v>
      </c>
      <c r="P18637" s="559"/>
      <c r="Q18637" s="559"/>
      <c r="R18637" s="559">
        <v>19</v>
      </c>
    </row>
    <row r="18638" spans="1:18" ht="84">
      <c r="A18638" s="555">
        <v>1064</v>
      </c>
      <c r="B18638" s="552" t="s">
        <v>33721</v>
      </c>
      <c r="C18638" s="556" t="s">
        <v>33722</v>
      </c>
      <c r="D18638" s="557">
        <v>104.38</v>
      </c>
      <c r="E18638" s="557">
        <v>51.71</v>
      </c>
      <c r="F18638" s="557">
        <v>51.64</v>
      </c>
      <c r="G18638" s="557">
        <v>1.03</v>
      </c>
      <c r="H18638" s="558">
        <v>878.8</v>
      </c>
      <c r="I18638" s="558">
        <v>594.63</v>
      </c>
      <c r="J18638" s="558">
        <v>272.32</v>
      </c>
      <c r="K18638" s="558">
        <v>11.85</v>
      </c>
      <c r="L18638" s="43">
        <v>8.4192374018011105</v>
      </c>
      <c r="M18638" s="43">
        <v>11.499323148327209</v>
      </c>
      <c r="N18638" s="43">
        <v>5.2734314484895428</v>
      </c>
      <c r="O18638" s="43">
        <v>11.503164556962025</v>
      </c>
      <c r="P18638" s="559"/>
      <c r="Q18638" s="559"/>
      <c r="R18638" s="559">
        <v>19</v>
      </c>
    </row>
    <row r="18639" spans="1:18" ht="84">
      <c r="A18639" s="555">
        <v>1065</v>
      </c>
      <c r="B18639" s="552" t="s">
        <v>33723</v>
      </c>
      <c r="C18639" s="556" t="s">
        <v>33724</v>
      </c>
      <c r="D18639" s="557">
        <v>141.15</v>
      </c>
      <c r="E18639" s="557">
        <v>70.09</v>
      </c>
      <c r="F18639" s="557">
        <v>69.66</v>
      </c>
      <c r="G18639" s="557">
        <v>1.4</v>
      </c>
      <c r="H18639" s="558">
        <v>1189.46</v>
      </c>
      <c r="I18639" s="558">
        <v>806.05</v>
      </c>
      <c r="J18639" s="558">
        <v>367.31</v>
      </c>
      <c r="K18639" s="558">
        <v>16.100000000000001</v>
      </c>
      <c r="L18639" s="43">
        <v>8.4269217144881328</v>
      </c>
      <c r="M18639" s="43">
        <v>11.500214010557853</v>
      </c>
      <c r="N18639" s="43">
        <v>5.2728969279356876</v>
      </c>
      <c r="O18639" s="43">
        <v>11.503164556962025</v>
      </c>
      <c r="P18639" s="559"/>
      <c r="Q18639" s="559"/>
      <c r="R18639" s="559">
        <v>19</v>
      </c>
    </row>
    <row r="18640" spans="1:18" ht="84">
      <c r="A18640" s="555">
        <v>1066</v>
      </c>
      <c r="B18640" s="552" t="s">
        <v>33725</v>
      </c>
      <c r="C18640" s="556" t="s">
        <v>33726</v>
      </c>
      <c r="D18640" s="557">
        <v>183.84</v>
      </c>
      <c r="E18640" s="557">
        <v>91.92</v>
      </c>
      <c r="F18640" s="557">
        <v>90.08</v>
      </c>
      <c r="G18640" s="557">
        <v>1.84</v>
      </c>
      <c r="H18640" s="558">
        <v>1553.26</v>
      </c>
      <c r="I18640" s="558">
        <v>1057.1199999999999</v>
      </c>
      <c r="J18640" s="558">
        <v>474.98</v>
      </c>
      <c r="K18640" s="558">
        <v>21.16</v>
      </c>
      <c r="L18640" s="43">
        <v>8.4489773716275014</v>
      </c>
      <c r="M18640" s="43">
        <v>11.500435161009571</v>
      </c>
      <c r="N18640" s="43">
        <v>5.2728685612788633</v>
      </c>
      <c r="O18640" s="43">
        <v>11.503164556962025</v>
      </c>
      <c r="P18640" s="559"/>
      <c r="Q18640" s="559"/>
      <c r="R18640" s="559">
        <v>19</v>
      </c>
    </row>
    <row r="18641" spans="1:18" ht="84">
      <c r="A18641" s="555">
        <v>1067</v>
      </c>
      <c r="B18641" s="552" t="s">
        <v>33727</v>
      </c>
      <c r="C18641" s="556" t="s">
        <v>33728</v>
      </c>
      <c r="D18641" s="557">
        <v>219.43</v>
      </c>
      <c r="E18641" s="557">
        <v>109.16</v>
      </c>
      <c r="F18641" s="557">
        <v>108.09</v>
      </c>
      <c r="G18641" s="557">
        <v>2.1800000000000002</v>
      </c>
      <c r="H18641" s="558">
        <v>1850.37</v>
      </c>
      <c r="I18641" s="558">
        <v>1255.33</v>
      </c>
      <c r="J18641" s="558">
        <v>569.97</v>
      </c>
      <c r="K18641" s="558">
        <v>25.07</v>
      </c>
      <c r="L18641" s="43">
        <v>8.4326208813744703</v>
      </c>
      <c r="M18641" s="43">
        <v>11.499908391352143</v>
      </c>
      <c r="N18641" s="43">
        <v>5.2731057452123231</v>
      </c>
      <c r="O18641" s="43">
        <v>11.503164556962025</v>
      </c>
      <c r="P18641" s="559"/>
      <c r="Q18641" s="559"/>
      <c r="R18641" s="559">
        <v>19</v>
      </c>
    </row>
    <row r="18642" spans="1:18" ht="84">
      <c r="A18642" s="555">
        <v>1068</v>
      </c>
      <c r="B18642" s="552" t="s">
        <v>33729</v>
      </c>
      <c r="C18642" s="556" t="s">
        <v>33730</v>
      </c>
      <c r="D18642" s="557">
        <v>119.79</v>
      </c>
      <c r="E18642" s="557">
        <v>59.75</v>
      </c>
      <c r="F18642" s="557">
        <v>58.85</v>
      </c>
      <c r="G18642" s="557">
        <v>1.19</v>
      </c>
      <c r="H18642" s="558">
        <v>1011.14</v>
      </c>
      <c r="I18642" s="558">
        <v>687.13</v>
      </c>
      <c r="J18642" s="558">
        <v>310.32</v>
      </c>
      <c r="K18642" s="558">
        <v>13.69</v>
      </c>
      <c r="L18642" s="43">
        <v>8.4409383087069028</v>
      </c>
      <c r="M18642" s="43">
        <v>11.500083682008368</v>
      </c>
      <c r="N18642" s="43">
        <v>5.2730671197960914</v>
      </c>
      <c r="O18642" s="43">
        <v>11.503164556962025</v>
      </c>
      <c r="P18642" s="559"/>
      <c r="Q18642" s="559"/>
      <c r="R18642" s="559">
        <v>19</v>
      </c>
    </row>
    <row r="18643" spans="1:18" ht="84">
      <c r="A18643" s="555">
        <v>1069</v>
      </c>
      <c r="B18643" s="552" t="s">
        <v>33731</v>
      </c>
      <c r="C18643" s="556" t="s">
        <v>33732</v>
      </c>
      <c r="D18643" s="557">
        <v>161.31</v>
      </c>
      <c r="E18643" s="557">
        <v>80.430000000000007</v>
      </c>
      <c r="F18643" s="557">
        <v>79.27</v>
      </c>
      <c r="G18643" s="557">
        <v>1.61</v>
      </c>
      <c r="H18643" s="558">
        <v>1361.48</v>
      </c>
      <c r="I18643" s="558">
        <v>924.98</v>
      </c>
      <c r="J18643" s="558">
        <v>417.98</v>
      </c>
      <c r="K18643" s="558">
        <v>18.52</v>
      </c>
      <c r="L18643" s="43">
        <v>8.4401463021511383</v>
      </c>
      <c r="M18643" s="43">
        <v>11.500435161009573</v>
      </c>
      <c r="N18643" s="43">
        <v>5.2728648921407855</v>
      </c>
      <c r="O18643" s="43">
        <v>11.503164556962025</v>
      </c>
      <c r="P18643" s="559"/>
      <c r="Q18643" s="559"/>
      <c r="R18643" s="559">
        <v>19</v>
      </c>
    </row>
    <row r="18644" spans="1:18" ht="84">
      <c r="A18644" s="555">
        <v>1070</v>
      </c>
      <c r="B18644" s="552" t="s">
        <v>33733</v>
      </c>
      <c r="C18644" s="556" t="s">
        <v>33734</v>
      </c>
      <c r="D18644" s="557">
        <v>207.57</v>
      </c>
      <c r="E18644" s="557">
        <v>103.41</v>
      </c>
      <c r="F18644" s="557">
        <v>102.09</v>
      </c>
      <c r="G18644" s="557">
        <v>2.0699999999999998</v>
      </c>
      <c r="H18644" s="558">
        <v>1751.38</v>
      </c>
      <c r="I18644" s="558">
        <v>1189.26</v>
      </c>
      <c r="J18644" s="558">
        <v>538.30999999999995</v>
      </c>
      <c r="K18644" s="558">
        <v>23.81</v>
      </c>
      <c r="L18644" s="43">
        <v>8.4375391434214979</v>
      </c>
      <c r="M18644" s="43">
        <v>11.500435161009573</v>
      </c>
      <c r="N18644" s="43">
        <v>5.2728964639043978</v>
      </c>
      <c r="O18644" s="43">
        <v>11.503164556962025</v>
      </c>
      <c r="P18644" s="559"/>
      <c r="Q18644" s="559"/>
      <c r="R18644" s="559">
        <v>19</v>
      </c>
    </row>
    <row r="18645" spans="1:18" ht="84">
      <c r="A18645" s="555">
        <v>1071</v>
      </c>
      <c r="B18645" s="552" t="s">
        <v>33735</v>
      </c>
      <c r="C18645" s="556" t="s">
        <v>33736</v>
      </c>
      <c r="D18645" s="557">
        <v>255.03</v>
      </c>
      <c r="E18645" s="557">
        <v>126.39</v>
      </c>
      <c r="F18645" s="557">
        <v>126.11</v>
      </c>
      <c r="G18645" s="557">
        <v>2.5299999999999998</v>
      </c>
      <c r="H18645" s="558">
        <v>2147.61</v>
      </c>
      <c r="I18645" s="558">
        <v>1453.54</v>
      </c>
      <c r="J18645" s="558">
        <v>664.97</v>
      </c>
      <c r="K18645" s="558">
        <v>29.1</v>
      </c>
      <c r="L18645" s="43">
        <v>8.4210092930243512</v>
      </c>
      <c r="M18645" s="43">
        <v>11.500435161009573</v>
      </c>
      <c r="N18645" s="43">
        <v>5.2729363254301802</v>
      </c>
      <c r="O18645" s="43">
        <v>11.503164556962025</v>
      </c>
      <c r="P18645" s="559"/>
      <c r="Q18645" s="559"/>
      <c r="R18645" s="559">
        <v>19</v>
      </c>
    </row>
    <row r="18646" spans="1:18" ht="84">
      <c r="A18646" s="555">
        <v>1072</v>
      </c>
      <c r="B18646" s="552" t="s">
        <v>33737</v>
      </c>
      <c r="C18646" s="556" t="s">
        <v>33738</v>
      </c>
      <c r="D18646" s="557">
        <v>138.78</v>
      </c>
      <c r="E18646" s="557">
        <v>68.94</v>
      </c>
      <c r="F18646" s="557">
        <v>68.459999999999994</v>
      </c>
      <c r="G18646" s="557">
        <v>1.38</v>
      </c>
      <c r="H18646" s="558">
        <v>1169.69</v>
      </c>
      <c r="I18646" s="558">
        <v>792.84</v>
      </c>
      <c r="J18646" s="558">
        <v>360.98</v>
      </c>
      <c r="K18646" s="558">
        <v>15.87</v>
      </c>
      <c r="L18646" s="43">
        <v>8.4283758466637853</v>
      </c>
      <c r="M18646" s="43">
        <v>11.500435161009575</v>
      </c>
      <c r="N18646" s="43">
        <v>5.2728600642711081</v>
      </c>
      <c r="O18646" s="43">
        <v>11.503164556962025</v>
      </c>
      <c r="P18646" s="559"/>
      <c r="Q18646" s="559"/>
      <c r="R18646" s="559">
        <v>19</v>
      </c>
    </row>
    <row r="18647" spans="1:18" ht="84">
      <c r="A18647" s="555">
        <v>1073</v>
      </c>
      <c r="B18647" s="552" t="s">
        <v>33739</v>
      </c>
      <c r="C18647" s="556" t="s">
        <v>33740</v>
      </c>
      <c r="D18647" s="557">
        <v>187.41</v>
      </c>
      <c r="E18647" s="557">
        <v>93.07</v>
      </c>
      <c r="F18647" s="557">
        <v>92.48</v>
      </c>
      <c r="G18647" s="557">
        <v>1.86</v>
      </c>
      <c r="H18647" s="558">
        <v>1579.36</v>
      </c>
      <c r="I18647" s="558">
        <v>1070.33</v>
      </c>
      <c r="J18647" s="558">
        <v>487.64</v>
      </c>
      <c r="K18647" s="558">
        <v>21.39</v>
      </c>
      <c r="L18647" s="43">
        <v>8.4272984365828929</v>
      </c>
      <c r="M18647" s="43">
        <v>11.500268615020952</v>
      </c>
      <c r="N18647" s="43">
        <v>5.2729238754325252</v>
      </c>
      <c r="O18647" s="43">
        <v>11.503164556962025</v>
      </c>
      <c r="P18647" s="559"/>
      <c r="Q18647" s="559"/>
      <c r="R18647" s="559">
        <v>19</v>
      </c>
    </row>
    <row r="18648" spans="1:18" ht="84">
      <c r="A18648" s="555">
        <v>1074</v>
      </c>
      <c r="B18648" s="552" t="s">
        <v>33741</v>
      </c>
      <c r="C18648" s="556" t="s">
        <v>33742</v>
      </c>
      <c r="D18648" s="557">
        <v>240.79</v>
      </c>
      <c r="E18648" s="557">
        <v>119.5</v>
      </c>
      <c r="F18648" s="557">
        <v>118.9</v>
      </c>
      <c r="G18648" s="557">
        <v>2.39</v>
      </c>
      <c r="H18648" s="558">
        <v>2028.72</v>
      </c>
      <c r="I18648" s="558">
        <v>1374.26</v>
      </c>
      <c r="J18648" s="558">
        <v>626.97</v>
      </c>
      <c r="K18648" s="558">
        <v>27.49</v>
      </c>
      <c r="L18648" s="43">
        <v>8.4252668300178577</v>
      </c>
      <c r="M18648" s="43">
        <v>11.500083682008368</v>
      </c>
      <c r="N18648" s="43">
        <v>5.2730866274179986</v>
      </c>
      <c r="O18648" s="43">
        <v>11.503164556962025</v>
      </c>
      <c r="P18648" s="559"/>
      <c r="Q18648" s="559"/>
      <c r="R18648" s="559">
        <v>19</v>
      </c>
    </row>
    <row r="18649" spans="1:18" ht="84">
      <c r="A18649" s="555">
        <v>1075</v>
      </c>
      <c r="B18649" s="552" t="s">
        <v>33743</v>
      </c>
      <c r="C18649" s="556" t="s">
        <v>33744</v>
      </c>
      <c r="D18649" s="557">
        <v>291.79000000000002</v>
      </c>
      <c r="E18649" s="557">
        <v>144.77000000000001</v>
      </c>
      <c r="F18649" s="557">
        <v>144.12</v>
      </c>
      <c r="G18649" s="557">
        <v>2.9</v>
      </c>
      <c r="H18649" s="558">
        <v>2458.27</v>
      </c>
      <c r="I18649" s="558">
        <v>1664.96</v>
      </c>
      <c r="J18649" s="558">
        <v>759.96</v>
      </c>
      <c r="K18649" s="558">
        <v>33.35</v>
      </c>
      <c r="L18649" s="43">
        <v>8.4247918023235879</v>
      </c>
      <c r="M18649" s="43">
        <v>11.500725288388479</v>
      </c>
      <c r="N18649" s="43">
        <v>5.2731057452123231</v>
      </c>
      <c r="O18649" s="43">
        <v>11.503164556962025</v>
      </c>
      <c r="P18649" s="559"/>
      <c r="Q18649" s="559"/>
      <c r="R18649" s="559">
        <v>19</v>
      </c>
    </row>
    <row r="18650" spans="1:18" ht="84">
      <c r="A18650" s="555">
        <v>1076</v>
      </c>
      <c r="B18650" s="552" t="s">
        <v>33745</v>
      </c>
      <c r="C18650" s="556" t="s">
        <v>33746</v>
      </c>
      <c r="D18650" s="557">
        <v>162.51</v>
      </c>
      <c r="E18650" s="557">
        <v>80.430000000000007</v>
      </c>
      <c r="F18650" s="557">
        <v>80.47</v>
      </c>
      <c r="G18650" s="557">
        <v>1.61</v>
      </c>
      <c r="H18650" s="558">
        <v>1367.81</v>
      </c>
      <c r="I18650" s="558">
        <v>924.98</v>
      </c>
      <c r="J18650" s="558">
        <v>424.31</v>
      </c>
      <c r="K18650" s="558">
        <v>18.52</v>
      </c>
      <c r="L18650" s="43">
        <v>8.4167743523475487</v>
      </c>
      <c r="M18650" s="43">
        <v>11.500435161009573</v>
      </c>
      <c r="N18650" s="43">
        <v>5.2728967317012554</v>
      </c>
      <c r="O18650" s="43">
        <v>11.503164556962025</v>
      </c>
      <c r="P18650" s="559"/>
      <c r="Q18650" s="559"/>
      <c r="R18650" s="559">
        <v>19</v>
      </c>
    </row>
    <row r="18651" spans="1:18" ht="84">
      <c r="A18651" s="555">
        <v>1077</v>
      </c>
      <c r="B18651" s="552" t="s">
        <v>33747</v>
      </c>
      <c r="C18651" s="556" t="s">
        <v>33748</v>
      </c>
      <c r="D18651" s="557">
        <v>209.97</v>
      </c>
      <c r="E18651" s="557">
        <v>103.41</v>
      </c>
      <c r="F18651" s="557">
        <v>104.49</v>
      </c>
      <c r="G18651" s="557">
        <v>2.0699999999999998</v>
      </c>
      <c r="H18651" s="558">
        <v>1764.04</v>
      </c>
      <c r="I18651" s="558">
        <v>1189.26</v>
      </c>
      <c r="J18651" s="558">
        <v>550.97</v>
      </c>
      <c r="K18651" s="558">
        <v>23.81</v>
      </c>
      <c r="L18651" s="43">
        <v>8.4013906748583125</v>
      </c>
      <c r="M18651" s="43">
        <v>11.500435161009573</v>
      </c>
      <c r="N18651" s="43">
        <v>5.2729447794047282</v>
      </c>
      <c r="O18651" s="43">
        <v>11.503164556962025</v>
      </c>
      <c r="P18651" s="559"/>
      <c r="Q18651" s="559"/>
      <c r="R18651" s="559">
        <v>19</v>
      </c>
    </row>
    <row r="18652" spans="1:18" ht="84">
      <c r="A18652" s="555">
        <v>1078</v>
      </c>
      <c r="B18652" s="552" t="s">
        <v>33749</v>
      </c>
      <c r="C18652" s="556" t="s">
        <v>33750</v>
      </c>
      <c r="D18652" s="557">
        <v>268.06</v>
      </c>
      <c r="E18652" s="557">
        <v>133.28</v>
      </c>
      <c r="F18652" s="557">
        <v>132.11000000000001</v>
      </c>
      <c r="G18652" s="557">
        <v>2.67</v>
      </c>
      <c r="H18652" s="558">
        <v>2260.16</v>
      </c>
      <c r="I18652" s="558">
        <v>1532.82</v>
      </c>
      <c r="J18652" s="558">
        <v>696.63</v>
      </c>
      <c r="K18652" s="558">
        <v>30.71</v>
      </c>
      <c r="L18652" s="43">
        <v>8.4315451764530316</v>
      </c>
      <c r="M18652" s="43">
        <v>11.500750300120048</v>
      </c>
      <c r="N18652" s="43">
        <v>5.2731057452123222</v>
      </c>
      <c r="O18652" s="43">
        <v>11.503164556962025</v>
      </c>
      <c r="P18652" s="559"/>
      <c r="Q18652" s="559"/>
      <c r="R18652" s="559">
        <v>19</v>
      </c>
    </row>
    <row r="18653" spans="1:18" ht="84">
      <c r="A18653" s="555">
        <v>1079</v>
      </c>
      <c r="B18653" s="552" t="s">
        <v>33751</v>
      </c>
      <c r="C18653" s="556" t="s">
        <v>33752</v>
      </c>
      <c r="D18653" s="557">
        <v>328.56</v>
      </c>
      <c r="E18653" s="557">
        <v>163.16</v>
      </c>
      <c r="F18653" s="557">
        <v>162.13999999999999</v>
      </c>
      <c r="G18653" s="557">
        <v>3.26</v>
      </c>
      <c r="H18653" s="558">
        <v>2768.84</v>
      </c>
      <c r="I18653" s="558">
        <v>1876.39</v>
      </c>
      <c r="J18653" s="558">
        <v>854.96</v>
      </c>
      <c r="K18653" s="558">
        <v>37.49</v>
      </c>
      <c r="L18653" s="43">
        <v>8.4271974677380079</v>
      </c>
      <c r="M18653" s="43">
        <v>11.50030644765874</v>
      </c>
      <c r="N18653" s="43">
        <v>5.272973973109659</v>
      </c>
      <c r="O18653" s="43">
        <v>11.503164556962025</v>
      </c>
      <c r="P18653" s="559"/>
      <c r="Q18653" s="559"/>
      <c r="R18653" s="559">
        <v>19</v>
      </c>
    </row>
    <row r="18654" spans="1:18" ht="84">
      <c r="A18654" s="555">
        <v>1080</v>
      </c>
      <c r="B18654" s="552" t="s">
        <v>33753</v>
      </c>
      <c r="C18654" s="556" t="s">
        <v>33754</v>
      </c>
      <c r="D18654" s="557">
        <v>180.28</v>
      </c>
      <c r="E18654" s="557">
        <v>89.62</v>
      </c>
      <c r="F18654" s="557">
        <v>88.87</v>
      </c>
      <c r="G18654" s="557">
        <v>1.79</v>
      </c>
      <c r="H18654" s="558">
        <v>1519.92</v>
      </c>
      <c r="I18654" s="558">
        <v>1030.69</v>
      </c>
      <c r="J18654" s="558">
        <v>468.64</v>
      </c>
      <c r="K18654" s="558">
        <v>20.59</v>
      </c>
      <c r="L18654" s="43">
        <v>8.4308852895495896</v>
      </c>
      <c r="M18654" s="43">
        <v>11.500669493416648</v>
      </c>
      <c r="N18654" s="43">
        <v>5.2733205806233823</v>
      </c>
      <c r="O18654" s="43">
        <v>11.503164556962025</v>
      </c>
      <c r="P18654" s="559"/>
      <c r="Q18654" s="559"/>
      <c r="R18654" s="559">
        <v>19</v>
      </c>
    </row>
    <row r="18655" spans="1:18" ht="84">
      <c r="A18655" s="555">
        <v>1081</v>
      </c>
      <c r="B18655" s="552" t="s">
        <v>33755</v>
      </c>
      <c r="C18655" s="556" t="s">
        <v>33756</v>
      </c>
      <c r="D18655" s="557">
        <v>217.06</v>
      </c>
      <c r="E18655" s="557">
        <v>108.01</v>
      </c>
      <c r="F18655" s="557">
        <v>106.89</v>
      </c>
      <c r="G18655" s="557">
        <v>2.16</v>
      </c>
      <c r="H18655" s="558">
        <v>1830.6</v>
      </c>
      <c r="I18655" s="558">
        <v>1242.1199999999999</v>
      </c>
      <c r="J18655" s="558">
        <v>563.64</v>
      </c>
      <c r="K18655" s="558">
        <v>24.84</v>
      </c>
      <c r="L18655" s="43">
        <v>8.4336128259467422</v>
      </c>
      <c r="M18655" s="43">
        <v>11.500046292009998</v>
      </c>
      <c r="N18655" s="43">
        <v>5.2730844793713159</v>
      </c>
      <c r="O18655" s="43">
        <v>11.503164556962025</v>
      </c>
      <c r="P18655" s="559"/>
      <c r="Q18655" s="559"/>
      <c r="R18655" s="559">
        <v>19</v>
      </c>
    </row>
    <row r="18656" spans="1:18" ht="84">
      <c r="A18656" s="555">
        <v>1082</v>
      </c>
      <c r="B18656" s="552" t="s">
        <v>33757</v>
      </c>
      <c r="C18656" s="556" t="s">
        <v>33758</v>
      </c>
      <c r="D18656" s="557">
        <v>243.16</v>
      </c>
      <c r="E18656" s="557">
        <v>120.65</v>
      </c>
      <c r="F18656" s="557">
        <v>120.1</v>
      </c>
      <c r="G18656" s="557">
        <v>2.41</v>
      </c>
      <c r="H18656" s="558">
        <v>2048.4899999999998</v>
      </c>
      <c r="I18656" s="558">
        <v>1387.47</v>
      </c>
      <c r="J18656" s="558">
        <v>633.29999999999995</v>
      </c>
      <c r="K18656" s="558">
        <v>27.72</v>
      </c>
      <c r="L18656" s="43">
        <v>8.4244530350386562</v>
      </c>
      <c r="M18656" s="43">
        <v>11.499958557811851</v>
      </c>
      <c r="N18656" s="43">
        <v>5.2731057452123231</v>
      </c>
      <c r="O18656" s="43">
        <v>11.503164556962025</v>
      </c>
      <c r="P18656" s="559"/>
      <c r="Q18656" s="559"/>
      <c r="R18656" s="559">
        <v>19</v>
      </c>
    </row>
    <row r="18657" spans="1:18" ht="84">
      <c r="A18657" s="555">
        <v>1083</v>
      </c>
      <c r="B18657" s="552" t="s">
        <v>33759</v>
      </c>
      <c r="C18657" s="556" t="s">
        <v>33760</v>
      </c>
      <c r="D18657" s="557">
        <v>303.66000000000003</v>
      </c>
      <c r="E18657" s="557">
        <v>150.52000000000001</v>
      </c>
      <c r="F18657" s="557">
        <v>150.13</v>
      </c>
      <c r="G18657" s="557">
        <v>3.01</v>
      </c>
      <c r="H18657" s="558">
        <v>2557.2800000000002</v>
      </c>
      <c r="I18657" s="558">
        <v>1731.03</v>
      </c>
      <c r="J18657" s="558">
        <v>791.63</v>
      </c>
      <c r="K18657" s="558">
        <v>34.619999999999997</v>
      </c>
      <c r="L18657" s="43">
        <v>8.4215240729763554</v>
      </c>
      <c r="M18657" s="43">
        <v>11.500332181769863</v>
      </c>
      <c r="N18657" s="43">
        <v>5.2729634316925331</v>
      </c>
      <c r="O18657" s="43">
        <v>11.503164556962025</v>
      </c>
      <c r="P18657" s="559"/>
      <c r="Q18657" s="559"/>
      <c r="R18657" s="559">
        <v>19</v>
      </c>
    </row>
    <row r="18658" spans="1:18" ht="12.75" customHeight="1">
      <c r="A18658" s="628" t="s">
        <v>33761</v>
      </c>
      <c r="B18658" s="629"/>
      <c r="C18658" s="629"/>
      <c r="D18658" s="629"/>
      <c r="E18658" s="629"/>
      <c r="F18658" s="629"/>
      <c r="G18658" s="629"/>
      <c r="H18658" s="629"/>
      <c r="I18658" s="629"/>
      <c r="J18658" s="629"/>
      <c r="K18658" s="629"/>
      <c r="L18658" s="629"/>
      <c r="M18658" s="629"/>
      <c r="N18658" s="629"/>
      <c r="O18658" s="629"/>
      <c r="P18658" s="629"/>
      <c r="Q18658" s="629"/>
      <c r="R18658" s="629"/>
    </row>
    <row r="18659" spans="1:18" ht="84">
      <c r="A18659" s="555">
        <v>1084</v>
      </c>
      <c r="B18659" s="552" t="s">
        <v>33762</v>
      </c>
      <c r="C18659" s="556" t="s">
        <v>33763</v>
      </c>
      <c r="D18659" s="557">
        <v>9.9600000000000009</v>
      </c>
      <c r="E18659" s="557">
        <v>4.9400000000000004</v>
      </c>
      <c r="F18659" s="557">
        <v>4.92</v>
      </c>
      <c r="G18659" s="557">
        <v>0.1</v>
      </c>
      <c r="H18659" s="558">
        <v>83.94</v>
      </c>
      <c r="I18659" s="558">
        <v>56.82</v>
      </c>
      <c r="J18659" s="558">
        <v>25.97</v>
      </c>
      <c r="K18659" s="558">
        <v>1.1499999999999999</v>
      </c>
      <c r="L18659" s="43">
        <v>8.4277108433734931</v>
      </c>
      <c r="M18659" s="43">
        <v>11.502024291497975</v>
      </c>
      <c r="N18659" s="43">
        <v>5.2784552845528454</v>
      </c>
      <c r="O18659" s="43">
        <v>11.503164556962025</v>
      </c>
      <c r="P18659" s="559"/>
      <c r="Q18659" s="559"/>
      <c r="R18659" s="559">
        <v>20</v>
      </c>
    </row>
    <row r="18660" spans="1:18" ht="84">
      <c r="A18660" s="555">
        <v>1085</v>
      </c>
      <c r="B18660" s="552" t="s">
        <v>33764</v>
      </c>
      <c r="C18660" s="556" t="s">
        <v>33765</v>
      </c>
      <c r="D18660" s="557">
        <v>10.91</v>
      </c>
      <c r="E18660" s="557">
        <v>5.4</v>
      </c>
      <c r="F18660" s="557">
        <v>5.4</v>
      </c>
      <c r="G18660" s="557">
        <v>0.11</v>
      </c>
      <c r="H18660" s="558">
        <v>91.88</v>
      </c>
      <c r="I18660" s="558">
        <v>62.11</v>
      </c>
      <c r="J18660" s="558">
        <v>28.5</v>
      </c>
      <c r="K18660" s="558">
        <v>1.27</v>
      </c>
      <c r="L18660" s="43">
        <v>8.4216315307057741</v>
      </c>
      <c r="M18660" s="43">
        <v>11.501851851851852</v>
      </c>
      <c r="N18660" s="43">
        <v>5.2777777777777777</v>
      </c>
      <c r="O18660" s="43">
        <v>11.503164556962025</v>
      </c>
      <c r="P18660" s="559"/>
      <c r="Q18660" s="559"/>
      <c r="R18660" s="559">
        <v>20</v>
      </c>
    </row>
    <row r="18661" spans="1:18" ht="84">
      <c r="A18661" s="555">
        <v>1086</v>
      </c>
      <c r="B18661" s="552" t="s">
        <v>33766</v>
      </c>
      <c r="C18661" s="556" t="s">
        <v>33767</v>
      </c>
      <c r="D18661" s="557">
        <v>16.13</v>
      </c>
      <c r="E18661" s="557">
        <v>8.0399999999999991</v>
      </c>
      <c r="F18661" s="557">
        <v>7.93</v>
      </c>
      <c r="G18661" s="557">
        <v>0.16</v>
      </c>
      <c r="H18661" s="558">
        <v>136.13999999999999</v>
      </c>
      <c r="I18661" s="558">
        <v>92.5</v>
      </c>
      <c r="J18661" s="558">
        <v>41.8</v>
      </c>
      <c r="K18661" s="558">
        <v>1.84</v>
      </c>
      <c r="L18661" s="43">
        <v>8.4401735895846244</v>
      </c>
      <c r="M18661" s="43">
        <v>11.504975124378111</v>
      </c>
      <c r="N18661" s="43">
        <v>5.2711223203026476</v>
      </c>
      <c r="O18661" s="43">
        <v>11.503164556962025</v>
      </c>
      <c r="P18661" s="559"/>
      <c r="Q18661" s="559"/>
      <c r="R18661" s="559">
        <v>20</v>
      </c>
    </row>
    <row r="18662" spans="1:18" ht="84">
      <c r="A18662" s="555">
        <v>1087</v>
      </c>
      <c r="B18662" s="552" t="s">
        <v>33768</v>
      </c>
      <c r="C18662" s="556" t="s">
        <v>33769</v>
      </c>
      <c r="D18662" s="557">
        <v>18.75</v>
      </c>
      <c r="E18662" s="557">
        <v>9.31</v>
      </c>
      <c r="F18662" s="557">
        <v>9.25</v>
      </c>
      <c r="G18662" s="557">
        <v>0.19</v>
      </c>
      <c r="H18662" s="558">
        <v>157.97999999999999</v>
      </c>
      <c r="I18662" s="558">
        <v>107.03</v>
      </c>
      <c r="J18662" s="558">
        <v>48.76</v>
      </c>
      <c r="K18662" s="558">
        <v>2.19</v>
      </c>
      <c r="L18662" s="43">
        <v>8.4255999999999993</v>
      </c>
      <c r="M18662" s="43">
        <v>11.496240601503759</v>
      </c>
      <c r="N18662" s="43">
        <v>5.2713513513513508</v>
      </c>
      <c r="O18662" s="43">
        <v>11.503164556962025</v>
      </c>
      <c r="P18662" s="559"/>
      <c r="Q18662" s="559"/>
      <c r="R18662" s="559">
        <v>20</v>
      </c>
    </row>
    <row r="18663" spans="1:18" ht="84">
      <c r="A18663" s="555">
        <v>1088</v>
      </c>
      <c r="B18663" s="552" t="s">
        <v>33770</v>
      </c>
      <c r="C18663" s="556" t="s">
        <v>33771</v>
      </c>
      <c r="D18663" s="557">
        <v>22.42</v>
      </c>
      <c r="E18663" s="557">
        <v>11.15</v>
      </c>
      <c r="F18663" s="557">
        <v>11.05</v>
      </c>
      <c r="G18663" s="557">
        <v>0.22</v>
      </c>
      <c r="H18663" s="558">
        <v>188.97</v>
      </c>
      <c r="I18663" s="558">
        <v>128.18</v>
      </c>
      <c r="J18663" s="558">
        <v>58.26</v>
      </c>
      <c r="K18663" s="558">
        <v>2.5299999999999998</v>
      </c>
      <c r="L18663" s="43">
        <v>8.4286351471900076</v>
      </c>
      <c r="M18663" s="43">
        <v>11.495964125560539</v>
      </c>
      <c r="N18663" s="43">
        <v>5.2723981900452488</v>
      </c>
      <c r="O18663" s="43">
        <v>11.503164556962025</v>
      </c>
      <c r="P18663" s="559"/>
      <c r="Q18663" s="559"/>
      <c r="R18663" s="559">
        <v>20</v>
      </c>
    </row>
    <row r="18664" spans="1:18" ht="84">
      <c r="A18664" s="555">
        <v>1089</v>
      </c>
      <c r="B18664" s="552" t="s">
        <v>33772</v>
      </c>
      <c r="C18664" s="556" t="s">
        <v>33773</v>
      </c>
      <c r="D18664" s="557">
        <v>25.86</v>
      </c>
      <c r="E18664" s="557">
        <v>12.64</v>
      </c>
      <c r="F18664" s="557">
        <v>12.97</v>
      </c>
      <c r="G18664" s="557">
        <v>0.25</v>
      </c>
      <c r="H18664" s="558">
        <v>216.63</v>
      </c>
      <c r="I18664" s="558">
        <v>145.35</v>
      </c>
      <c r="J18664" s="558">
        <v>68.400000000000006</v>
      </c>
      <c r="K18664" s="558">
        <v>2.88</v>
      </c>
      <c r="L18664" s="43">
        <v>8.3770301624129928</v>
      </c>
      <c r="M18664" s="43">
        <v>11.499208860759493</v>
      </c>
      <c r="N18664" s="43">
        <v>5.2737085582112568</v>
      </c>
      <c r="O18664" s="43">
        <v>11.503164556962025</v>
      </c>
      <c r="P18664" s="559"/>
      <c r="Q18664" s="559"/>
      <c r="R18664" s="559">
        <v>20</v>
      </c>
    </row>
    <row r="18665" spans="1:18" ht="84">
      <c r="A18665" s="555">
        <v>1090</v>
      </c>
      <c r="B18665" s="552" t="s">
        <v>33774</v>
      </c>
      <c r="C18665" s="556" t="s">
        <v>33775</v>
      </c>
      <c r="D18665" s="557">
        <v>29.89</v>
      </c>
      <c r="E18665" s="557">
        <v>14.94</v>
      </c>
      <c r="F18665" s="557">
        <v>14.65</v>
      </c>
      <c r="G18665" s="557">
        <v>0.3</v>
      </c>
      <c r="H18665" s="558">
        <v>252.49</v>
      </c>
      <c r="I18665" s="558">
        <v>171.78</v>
      </c>
      <c r="J18665" s="558">
        <v>77.260000000000005</v>
      </c>
      <c r="K18665" s="558">
        <v>3.45</v>
      </c>
      <c r="L18665" s="43">
        <v>8.4473067915690869</v>
      </c>
      <c r="M18665" s="43">
        <v>11.497991967871487</v>
      </c>
      <c r="N18665" s="43">
        <v>5.2737201365187714</v>
      </c>
      <c r="O18665" s="43">
        <v>11.503164556962025</v>
      </c>
      <c r="P18665" s="559"/>
      <c r="Q18665" s="559"/>
      <c r="R18665" s="559">
        <v>20</v>
      </c>
    </row>
    <row r="18666" spans="1:18" ht="84">
      <c r="A18666" s="555">
        <v>1091</v>
      </c>
      <c r="B18666" s="552" t="s">
        <v>33776</v>
      </c>
      <c r="C18666" s="556" t="s">
        <v>33777</v>
      </c>
      <c r="D18666" s="557">
        <v>34.75</v>
      </c>
      <c r="E18666" s="557">
        <v>17.239999999999998</v>
      </c>
      <c r="F18666" s="557">
        <v>17.170000000000002</v>
      </c>
      <c r="G18666" s="557">
        <v>0.34</v>
      </c>
      <c r="H18666" s="558">
        <v>292.68</v>
      </c>
      <c r="I18666" s="558">
        <v>198.21</v>
      </c>
      <c r="J18666" s="558">
        <v>90.56</v>
      </c>
      <c r="K18666" s="558">
        <v>3.91</v>
      </c>
      <c r="L18666" s="43">
        <v>8.4224460431654684</v>
      </c>
      <c r="M18666" s="43">
        <v>11.497099767981441</v>
      </c>
      <c r="N18666" s="43">
        <v>5.2743156668608036</v>
      </c>
      <c r="O18666" s="43">
        <v>11.503164556962025</v>
      </c>
      <c r="P18666" s="559"/>
      <c r="Q18666" s="559"/>
      <c r="R18666" s="559">
        <v>20</v>
      </c>
    </row>
    <row r="18667" spans="1:18" ht="84">
      <c r="A18667" s="555">
        <v>1092</v>
      </c>
      <c r="B18667" s="552" t="s">
        <v>33778</v>
      </c>
      <c r="C18667" s="556" t="s">
        <v>33779</v>
      </c>
      <c r="D18667" s="557">
        <v>36.64</v>
      </c>
      <c r="E18667" s="557">
        <v>18.38</v>
      </c>
      <c r="F18667" s="557">
        <v>17.89</v>
      </c>
      <c r="G18667" s="557">
        <v>0.37</v>
      </c>
      <c r="H18667" s="558">
        <v>310.04000000000002</v>
      </c>
      <c r="I18667" s="558">
        <v>211.42</v>
      </c>
      <c r="J18667" s="558">
        <v>94.36</v>
      </c>
      <c r="K18667" s="558">
        <v>4.26</v>
      </c>
      <c r="L18667" s="43">
        <v>8.4617903930131</v>
      </c>
      <c r="M18667" s="43">
        <v>11.502720348204571</v>
      </c>
      <c r="N18667" s="43">
        <v>5.2744550027948574</v>
      </c>
      <c r="O18667" s="43">
        <v>11.503164556962025</v>
      </c>
      <c r="P18667" s="559"/>
      <c r="Q18667" s="559"/>
      <c r="R18667" s="559">
        <v>20</v>
      </c>
    </row>
    <row r="18668" spans="1:18" ht="84">
      <c r="A18668" s="555">
        <v>1093</v>
      </c>
      <c r="B18668" s="552" t="s">
        <v>33780</v>
      </c>
      <c r="C18668" s="556" t="s">
        <v>33781</v>
      </c>
      <c r="D18668" s="557">
        <v>43.89</v>
      </c>
      <c r="E18668" s="557">
        <v>21.83</v>
      </c>
      <c r="F18668" s="557">
        <v>21.62</v>
      </c>
      <c r="G18668" s="557">
        <v>0.44</v>
      </c>
      <c r="H18668" s="558">
        <v>370.12</v>
      </c>
      <c r="I18668" s="558">
        <v>251.07</v>
      </c>
      <c r="J18668" s="558">
        <v>113.99</v>
      </c>
      <c r="K18668" s="558">
        <v>5.0599999999999996</v>
      </c>
      <c r="L18668" s="43">
        <v>8.432900432900432</v>
      </c>
      <c r="M18668" s="43">
        <v>11.50114521300962</v>
      </c>
      <c r="N18668" s="43">
        <v>5.2724329324699344</v>
      </c>
      <c r="O18668" s="43">
        <v>11.503164556962025</v>
      </c>
      <c r="P18668" s="559"/>
      <c r="Q18668" s="559"/>
      <c r="R18668" s="559">
        <v>20</v>
      </c>
    </row>
    <row r="18669" spans="1:18" ht="84">
      <c r="A18669" s="555">
        <v>1094</v>
      </c>
      <c r="B18669" s="552" t="s">
        <v>33782</v>
      </c>
      <c r="C18669" s="556" t="s">
        <v>33783</v>
      </c>
      <c r="D18669" s="557">
        <v>58.12</v>
      </c>
      <c r="E18669" s="557">
        <v>28.73</v>
      </c>
      <c r="F18669" s="557">
        <v>28.82</v>
      </c>
      <c r="G18669" s="557">
        <v>0.56999999999999995</v>
      </c>
      <c r="H18669" s="558">
        <v>488.9</v>
      </c>
      <c r="I18669" s="558">
        <v>330.35</v>
      </c>
      <c r="J18669" s="558">
        <v>151.99</v>
      </c>
      <c r="K18669" s="558">
        <v>6.56</v>
      </c>
      <c r="L18669" s="43">
        <v>8.4119064005505848</v>
      </c>
      <c r="M18669" s="43">
        <v>11.498433693003829</v>
      </c>
      <c r="N18669" s="43">
        <v>5.2737682165163084</v>
      </c>
      <c r="O18669" s="43">
        <v>11.503164556962025</v>
      </c>
      <c r="P18669" s="559"/>
      <c r="Q18669" s="559"/>
      <c r="R18669" s="559">
        <v>20</v>
      </c>
    </row>
    <row r="18670" spans="1:18" ht="84">
      <c r="A18670" s="555">
        <v>1095</v>
      </c>
      <c r="B18670" s="552" t="s">
        <v>33784</v>
      </c>
      <c r="C18670" s="556" t="s">
        <v>33785</v>
      </c>
      <c r="D18670" s="557">
        <v>48.03</v>
      </c>
      <c r="E18670" s="557">
        <v>24.13</v>
      </c>
      <c r="F18670" s="557">
        <v>23.42</v>
      </c>
      <c r="G18670" s="557">
        <v>0.48</v>
      </c>
      <c r="H18670" s="558">
        <v>406.5</v>
      </c>
      <c r="I18670" s="558">
        <v>277.49</v>
      </c>
      <c r="J18670" s="558">
        <v>123.49</v>
      </c>
      <c r="K18670" s="558">
        <v>5.52</v>
      </c>
      <c r="L18670" s="43">
        <v>8.4634603372891934</v>
      </c>
      <c r="M18670" s="43">
        <v>11.499792789059263</v>
      </c>
      <c r="N18670" s="43">
        <v>5.2728437233134064</v>
      </c>
      <c r="O18670" s="43">
        <v>11.503164556962025</v>
      </c>
      <c r="P18670" s="559"/>
      <c r="Q18670" s="559"/>
      <c r="R18670" s="559">
        <v>20</v>
      </c>
    </row>
    <row r="18671" spans="1:18" ht="84">
      <c r="A18671" s="555">
        <v>1096</v>
      </c>
      <c r="B18671" s="552" t="s">
        <v>33786</v>
      </c>
      <c r="C18671" s="556" t="s">
        <v>33787</v>
      </c>
      <c r="D18671" s="557">
        <v>55.15</v>
      </c>
      <c r="E18671" s="557">
        <v>27.58</v>
      </c>
      <c r="F18671" s="557">
        <v>27.02</v>
      </c>
      <c r="G18671" s="557">
        <v>0.55000000000000004</v>
      </c>
      <c r="H18671" s="558">
        <v>465.96</v>
      </c>
      <c r="I18671" s="558">
        <v>317.14</v>
      </c>
      <c r="J18671" s="558">
        <v>142.49</v>
      </c>
      <c r="K18671" s="558">
        <v>6.33</v>
      </c>
      <c r="L18671" s="43">
        <v>8.448957388939256</v>
      </c>
      <c r="M18671" s="43">
        <v>11.498912255257434</v>
      </c>
      <c r="N18671" s="43">
        <v>5.2735011102886755</v>
      </c>
      <c r="O18671" s="43">
        <v>11.503164556962025</v>
      </c>
      <c r="P18671" s="559"/>
      <c r="Q18671" s="559"/>
      <c r="R18671" s="559">
        <v>20</v>
      </c>
    </row>
    <row r="18672" spans="1:18" ht="84">
      <c r="A18672" s="555">
        <v>1097</v>
      </c>
      <c r="B18672" s="552" t="s">
        <v>33788</v>
      </c>
      <c r="C18672" s="556" t="s">
        <v>33789</v>
      </c>
      <c r="D18672" s="557">
        <v>73.540000000000006</v>
      </c>
      <c r="E18672" s="557">
        <v>36.770000000000003</v>
      </c>
      <c r="F18672" s="557">
        <v>36.03</v>
      </c>
      <c r="G18672" s="557">
        <v>0.74</v>
      </c>
      <c r="H18672" s="558">
        <v>621.35</v>
      </c>
      <c r="I18672" s="558">
        <v>422.85</v>
      </c>
      <c r="J18672" s="558">
        <v>189.99</v>
      </c>
      <c r="K18672" s="558">
        <v>8.51</v>
      </c>
      <c r="L18672" s="43">
        <v>8.4491433233614348</v>
      </c>
      <c r="M18672" s="43">
        <v>11.49986401958118</v>
      </c>
      <c r="N18672" s="43">
        <v>5.2731057452123231</v>
      </c>
      <c r="O18672" s="43">
        <v>11.503164556962025</v>
      </c>
      <c r="P18672" s="559"/>
      <c r="Q18672" s="559"/>
      <c r="R18672" s="559">
        <v>20</v>
      </c>
    </row>
    <row r="18673" spans="1:18" ht="84">
      <c r="A18673" s="555">
        <v>1098</v>
      </c>
      <c r="B18673" s="552" t="s">
        <v>33790</v>
      </c>
      <c r="C18673" s="556" t="s">
        <v>33791</v>
      </c>
      <c r="D18673" s="557">
        <v>55.15</v>
      </c>
      <c r="E18673" s="557">
        <v>27.58</v>
      </c>
      <c r="F18673" s="557">
        <v>27.02</v>
      </c>
      <c r="G18673" s="557">
        <v>0.55000000000000004</v>
      </c>
      <c r="H18673" s="558">
        <v>465.96</v>
      </c>
      <c r="I18673" s="558">
        <v>317.14</v>
      </c>
      <c r="J18673" s="558">
        <v>142.49</v>
      </c>
      <c r="K18673" s="558">
        <v>6.33</v>
      </c>
      <c r="L18673" s="43">
        <v>8.448957388939256</v>
      </c>
      <c r="M18673" s="43">
        <v>11.498912255257434</v>
      </c>
      <c r="N18673" s="43">
        <v>5.2735011102886755</v>
      </c>
      <c r="O18673" s="43">
        <v>11.503164556962025</v>
      </c>
      <c r="P18673" s="559"/>
      <c r="Q18673" s="559"/>
      <c r="R18673" s="559">
        <v>20</v>
      </c>
    </row>
    <row r="18674" spans="1:18" ht="84">
      <c r="A18674" s="555">
        <v>1099</v>
      </c>
      <c r="B18674" s="552" t="s">
        <v>33792</v>
      </c>
      <c r="C18674" s="556" t="s">
        <v>33793</v>
      </c>
      <c r="D18674" s="557">
        <v>65.239999999999995</v>
      </c>
      <c r="E18674" s="557">
        <v>32.17</v>
      </c>
      <c r="F18674" s="557">
        <v>32.43</v>
      </c>
      <c r="G18674" s="557">
        <v>0.64</v>
      </c>
      <c r="H18674" s="558">
        <v>548.34</v>
      </c>
      <c r="I18674" s="558">
        <v>369.99</v>
      </c>
      <c r="J18674" s="558">
        <v>170.99</v>
      </c>
      <c r="K18674" s="558">
        <v>7.36</v>
      </c>
      <c r="L18674" s="43">
        <v>8.404966278356838</v>
      </c>
      <c r="M18674" s="43">
        <v>11.501087970158533</v>
      </c>
      <c r="N18674" s="43">
        <v>5.2725871106999698</v>
      </c>
      <c r="O18674" s="43">
        <v>11.503164556962025</v>
      </c>
      <c r="P18674" s="559"/>
      <c r="Q18674" s="559"/>
      <c r="R18674" s="559">
        <v>20</v>
      </c>
    </row>
    <row r="18675" spans="1:18" ht="84">
      <c r="A18675" s="555">
        <v>1100</v>
      </c>
      <c r="B18675" s="552" t="s">
        <v>33794</v>
      </c>
      <c r="C18675" s="556" t="s">
        <v>33795</v>
      </c>
      <c r="D18675" s="557">
        <v>87.77</v>
      </c>
      <c r="E18675" s="557">
        <v>43.66</v>
      </c>
      <c r="F18675" s="557">
        <v>43.24</v>
      </c>
      <c r="G18675" s="557">
        <v>0.87</v>
      </c>
      <c r="H18675" s="558">
        <v>740.13</v>
      </c>
      <c r="I18675" s="558">
        <v>502.13</v>
      </c>
      <c r="J18675" s="558">
        <v>227.99</v>
      </c>
      <c r="K18675" s="558">
        <v>10.01</v>
      </c>
      <c r="L18675" s="43">
        <v>8.4326079526033961</v>
      </c>
      <c r="M18675" s="43">
        <v>11.500916170407697</v>
      </c>
      <c r="N18675" s="43">
        <v>5.2726641998149857</v>
      </c>
      <c r="O18675" s="43">
        <v>11.503164556962025</v>
      </c>
      <c r="P18675" s="559"/>
      <c r="Q18675" s="559"/>
      <c r="R18675" s="559">
        <v>20</v>
      </c>
    </row>
    <row r="18676" spans="1:18" ht="84">
      <c r="A18676" s="555">
        <v>1101</v>
      </c>
      <c r="B18676" s="552" t="s">
        <v>33796</v>
      </c>
      <c r="C18676" s="556" t="s">
        <v>33797</v>
      </c>
      <c r="D18676" s="557">
        <v>76.510000000000005</v>
      </c>
      <c r="E18676" s="557">
        <v>37.92</v>
      </c>
      <c r="F18676" s="557">
        <v>37.83</v>
      </c>
      <c r="G18676" s="557">
        <v>0.76</v>
      </c>
      <c r="H18676" s="558">
        <v>644.29</v>
      </c>
      <c r="I18676" s="558">
        <v>436.06</v>
      </c>
      <c r="J18676" s="558">
        <v>199.49</v>
      </c>
      <c r="K18676" s="558">
        <v>8.74</v>
      </c>
      <c r="L18676" s="43">
        <v>8.420990720167298</v>
      </c>
      <c r="M18676" s="43">
        <v>11.499472573839663</v>
      </c>
      <c r="N18676" s="43">
        <v>5.2733280465239236</v>
      </c>
      <c r="O18676" s="43">
        <v>11.503164556962025</v>
      </c>
      <c r="P18676" s="559"/>
      <c r="Q18676" s="559"/>
      <c r="R18676" s="559">
        <v>20</v>
      </c>
    </row>
    <row r="18677" spans="1:18" ht="84">
      <c r="A18677" s="555">
        <v>1102</v>
      </c>
      <c r="B18677" s="552" t="s">
        <v>33798</v>
      </c>
      <c r="C18677" s="556" t="s">
        <v>33799</v>
      </c>
      <c r="D18677" s="557">
        <v>94.89</v>
      </c>
      <c r="E18677" s="557">
        <v>47.11</v>
      </c>
      <c r="F18677" s="557">
        <v>46.84</v>
      </c>
      <c r="G18677" s="557">
        <v>0.94</v>
      </c>
      <c r="H18677" s="558">
        <v>799.57</v>
      </c>
      <c r="I18677" s="558">
        <v>541.77</v>
      </c>
      <c r="J18677" s="558">
        <v>246.99</v>
      </c>
      <c r="K18677" s="558">
        <v>10.81</v>
      </c>
      <c r="L18677" s="43">
        <v>8.4262830646011171</v>
      </c>
      <c r="M18677" s="43">
        <v>11.500106134578646</v>
      </c>
      <c r="N18677" s="43">
        <v>5.2730572160546538</v>
      </c>
      <c r="O18677" s="43">
        <v>11.503164556962025</v>
      </c>
      <c r="P18677" s="559"/>
      <c r="Q18677" s="559"/>
      <c r="R18677" s="559">
        <v>20</v>
      </c>
    </row>
    <row r="18678" spans="1:18" ht="84">
      <c r="A18678" s="555">
        <v>1103</v>
      </c>
      <c r="B18678" s="552" t="s">
        <v>33800</v>
      </c>
      <c r="C18678" s="556" t="s">
        <v>33801</v>
      </c>
      <c r="D18678" s="557">
        <v>124.54</v>
      </c>
      <c r="E18678" s="557">
        <v>62.05</v>
      </c>
      <c r="F18678" s="557">
        <v>61.25</v>
      </c>
      <c r="G18678" s="557">
        <v>1.24</v>
      </c>
      <c r="H18678" s="558">
        <v>1050.8</v>
      </c>
      <c r="I18678" s="558">
        <v>713.56</v>
      </c>
      <c r="J18678" s="558">
        <v>322.98</v>
      </c>
      <c r="K18678" s="558">
        <v>14.26</v>
      </c>
      <c r="L18678" s="43">
        <v>8.4374498153203774</v>
      </c>
      <c r="M18678" s="43">
        <v>11.499758259468171</v>
      </c>
      <c r="N18678" s="43">
        <v>5.2731428571428571</v>
      </c>
      <c r="O18678" s="43">
        <v>11.503164556962025</v>
      </c>
      <c r="P18678" s="559"/>
      <c r="Q18678" s="559"/>
      <c r="R18678" s="559">
        <v>20</v>
      </c>
    </row>
    <row r="18679" spans="1:18" ht="84">
      <c r="A18679" s="555">
        <v>1104</v>
      </c>
      <c r="B18679" s="552" t="s">
        <v>33802</v>
      </c>
      <c r="C18679" s="556" t="s">
        <v>33803</v>
      </c>
      <c r="D18679" s="557">
        <v>80.650000000000006</v>
      </c>
      <c r="E18679" s="557">
        <v>40.22</v>
      </c>
      <c r="F18679" s="557">
        <v>39.630000000000003</v>
      </c>
      <c r="G18679" s="557">
        <v>0.8</v>
      </c>
      <c r="H18679" s="558">
        <v>680.68</v>
      </c>
      <c r="I18679" s="558">
        <v>462.49</v>
      </c>
      <c r="J18679" s="558">
        <v>208.99</v>
      </c>
      <c r="K18679" s="558">
        <v>9.1999999999999993</v>
      </c>
      <c r="L18679" s="43">
        <v>8.4399256044637312</v>
      </c>
      <c r="M18679" s="43">
        <v>11.499005469915465</v>
      </c>
      <c r="N18679" s="43">
        <v>5.2735301539237946</v>
      </c>
      <c r="O18679" s="43">
        <v>11.503164556962025</v>
      </c>
      <c r="P18679" s="559"/>
      <c r="Q18679" s="559"/>
      <c r="R18679" s="559">
        <v>20</v>
      </c>
    </row>
    <row r="18680" spans="1:18" ht="84">
      <c r="A18680" s="555">
        <v>1105</v>
      </c>
      <c r="B18680" s="552" t="s">
        <v>33804</v>
      </c>
      <c r="C18680" s="556" t="s">
        <v>33805</v>
      </c>
      <c r="D18680" s="557">
        <v>94.89</v>
      </c>
      <c r="E18680" s="557">
        <v>47.11</v>
      </c>
      <c r="F18680" s="557">
        <v>46.84</v>
      </c>
      <c r="G18680" s="557">
        <v>0.94</v>
      </c>
      <c r="H18680" s="558">
        <v>799.57</v>
      </c>
      <c r="I18680" s="558">
        <v>541.77</v>
      </c>
      <c r="J18680" s="558">
        <v>246.99</v>
      </c>
      <c r="K18680" s="558">
        <v>10.81</v>
      </c>
      <c r="L18680" s="43">
        <v>8.4262830646011171</v>
      </c>
      <c r="M18680" s="43">
        <v>11.500106134578646</v>
      </c>
      <c r="N18680" s="43">
        <v>5.2730572160546538</v>
      </c>
      <c r="O18680" s="43">
        <v>11.503164556962025</v>
      </c>
      <c r="P18680" s="559"/>
      <c r="Q18680" s="559"/>
      <c r="R18680" s="559">
        <v>20</v>
      </c>
    </row>
    <row r="18681" spans="1:18" ht="84">
      <c r="A18681" s="555">
        <v>1106</v>
      </c>
      <c r="B18681" s="552" t="s">
        <v>33806</v>
      </c>
      <c r="C18681" s="556" t="s">
        <v>33807</v>
      </c>
      <c r="D18681" s="557">
        <v>127.51</v>
      </c>
      <c r="E18681" s="557">
        <v>63.2</v>
      </c>
      <c r="F18681" s="557">
        <v>63.05</v>
      </c>
      <c r="G18681" s="557">
        <v>1.26</v>
      </c>
      <c r="H18681" s="558">
        <v>1073.74</v>
      </c>
      <c r="I18681" s="558">
        <v>726.77</v>
      </c>
      <c r="J18681" s="558">
        <v>332.48</v>
      </c>
      <c r="K18681" s="558">
        <v>14.49</v>
      </c>
      <c r="L18681" s="43">
        <v>8.4208297388440112</v>
      </c>
      <c r="M18681" s="43">
        <v>11.499525316455696</v>
      </c>
      <c r="N18681" s="43">
        <v>5.2732751784298184</v>
      </c>
      <c r="O18681" s="43">
        <v>11.503164556962025</v>
      </c>
      <c r="P18681" s="559"/>
      <c r="Q18681" s="559"/>
      <c r="R18681" s="559">
        <v>20</v>
      </c>
    </row>
    <row r="18682" spans="1:18" ht="84">
      <c r="A18682" s="555">
        <v>1107</v>
      </c>
      <c r="B18682" s="552" t="s">
        <v>33808</v>
      </c>
      <c r="C18682" s="556" t="s">
        <v>33809</v>
      </c>
      <c r="D18682" s="557">
        <v>168.43</v>
      </c>
      <c r="E18682" s="557">
        <v>83.88</v>
      </c>
      <c r="F18682" s="557">
        <v>82.87</v>
      </c>
      <c r="G18682" s="557">
        <v>1.68</v>
      </c>
      <c r="H18682" s="558">
        <v>1420.92</v>
      </c>
      <c r="I18682" s="558">
        <v>964.62</v>
      </c>
      <c r="J18682" s="558">
        <v>436.98</v>
      </c>
      <c r="K18682" s="558">
        <v>19.32</v>
      </c>
      <c r="L18682" s="43">
        <v>8.4362643234578165</v>
      </c>
      <c r="M18682" s="43">
        <v>11.5</v>
      </c>
      <c r="N18682" s="43">
        <v>5.2730783154338123</v>
      </c>
      <c r="O18682" s="43">
        <v>11.503164556962025</v>
      </c>
      <c r="P18682" s="559"/>
      <c r="Q18682" s="559"/>
      <c r="R18682" s="559">
        <v>20</v>
      </c>
    </row>
    <row r="18683" spans="1:18" ht="84">
      <c r="A18683" s="555">
        <v>1108</v>
      </c>
      <c r="B18683" s="552" t="s">
        <v>33810</v>
      </c>
      <c r="C18683" s="556" t="s">
        <v>33811</v>
      </c>
      <c r="D18683" s="557">
        <v>201.04</v>
      </c>
      <c r="E18683" s="557">
        <v>99.96</v>
      </c>
      <c r="F18683" s="557">
        <v>99.08</v>
      </c>
      <c r="G18683" s="557">
        <v>2</v>
      </c>
      <c r="H18683" s="558">
        <v>1695.09</v>
      </c>
      <c r="I18683" s="558">
        <v>1149.6199999999999</v>
      </c>
      <c r="J18683" s="558">
        <v>522.47</v>
      </c>
      <c r="K18683" s="558">
        <v>23</v>
      </c>
      <c r="L18683" s="43">
        <v>8.4316056506167918</v>
      </c>
      <c r="M18683" s="43">
        <v>11.50080032012805</v>
      </c>
      <c r="N18683" s="43">
        <v>5.2732135647961247</v>
      </c>
      <c r="O18683" s="43">
        <v>11.503164556962025</v>
      </c>
      <c r="P18683" s="559"/>
      <c r="Q18683" s="559"/>
      <c r="R18683" s="559">
        <v>20</v>
      </c>
    </row>
    <row r="18684" spans="1:18" ht="84">
      <c r="A18684" s="555">
        <v>1109</v>
      </c>
      <c r="B18684" s="552" t="s">
        <v>33812</v>
      </c>
      <c r="C18684" s="556" t="s">
        <v>33813</v>
      </c>
      <c r="D18684" s="557">
        <v>94.89</v>
      </c>
      <c r="E18684" s="557">
        <v>47.11</v>
      </c>
      <c r="F18684" s="557">
        <v>46.84</v>
      </c>
      <c r="G18684" s="557">
        <v>0.94</v>
      </c>
      <c r="H18684" s="558">
        <v>799.57</v>
      </c>
      <c r="I18684" s="558">
        <v>541.77</v>
      </c>
      <c r="J18684" s="558">
        <v>246.99</v>
      </c>
      <c r="K18684" s="558">
        <v>10.81</v>
      </c>
      <c r="L18684" s="43">
        <v>8.4262830646011171</v>
      </c>
      <c r="M18684" s="43">
        <v>11.500106134578646</v>
      </c>
      <c r="N18684" s="43">
        <v>5.2730572160546538</v>
      </c>
      <c r="O18684" s="43">
        <v>11.503164556962025</v>
      </c>
      <c r="P18684" s="559"/>
      <c r="Q18684" s="559"/>
      <c r="R18684" s="559">
        <v>20</v>
      </c>
    </row>
    <row r="18685" spans="1:18" ht="84">
      <c r="A18685" s="555">
        <v>1110</v>
      </c>
      <c r="B18685" s="552" t="s">
        <v>33814</v>
      </c>
      <c r="C18685" s="556" t="s">
        <v>33815</v>
      </c>
      <c r="D18685" s="557">
        <v>116.25</v>
      </c>
      <c r="E18685" s="557">
        <v>57.45</v>
      </c>
      <c r="F18685" s="557">
        <v>57.65</v>
      </c>
      <c r="G18685" s="557">
        <v>1.1499999999999999</v>
      </c>
      <c r="H18685" s="558">
        <v>977.91</v>
      </c>
      <c r="I18685" s="558">
        <v>660.7</v>
      </c>
      <c r="J18685" s="558">
        <v>303.98</v>
      </c>
      <c r="K18685" s="558">
        <v>13.23</v>
      </c>
      <c r="L18685" s="43">
        <v>8.4121290322580649</v>
      </c>
      <c r="M18685" s="43">
        <v>11.500435161009573</v>
      </c>
      <c r="N18685" s="43">
        <v>5.2728534258456206</v>
      </c>
      <c r="O18685" s="43">
        <v>11.503164556962025</v>
      </c>
      <c r="P18685" s="559"/>
      <c r="Q18685" s="559"/>
      <c r="R18685" s="559">
        <v>20</v>
      </c>
    </row>
    <row r="18686" spans="1:18" ht="84">
      <c r="A18686" s="555">
        <v>1111</v>
      </c>
      <c r="B18686" s="552" t="s">
        <v>33816</v>
      </c>
      <c r="C18686" s="556" t="s">
        <v>33817</v>
      </c>
      <c r="D18686" s="557">
        <v>150.04</v>
      </c>
      <c r="E18686" s="557">
        <v>74.69</v>
      </c>
      <c r="F18686" s="557">
        <v>73.86</v>
      </c>
      <c r="G18686" s="557">
        <v>1.49</v>
      </c>
      <c r="H18686" s="558">
        <v>1265.53</v>
      </c>
      <c r="I18686" s="558">
        <v>858.91</v>
      </c>
      <c r="J18686" s="558">
        <v>389.48</v>
      </c>
      <c r="K18686" s="558">
        <v>17.14</v>
      </c>
      <c r="L18686" s="43">
        <v>8.4346174353505727</v>
      </c>
      <c r="M18686" s="43">
        <v>11.499665283170438</v>
      </c>
      <c r="N18686" s="43">
        <v>5.2732196046574602</v>
      </c>
      <c r="O18686" s="43">
        <v>11.503164556962025</v>
      </c>
      <c r="P18686" s="559"/>
      <c r="Q18686" s="559"/>
      <c r="R18686" s="559">
        <v>20</v>
      </c>
    </row>
    <row r="18687" spans="1:18" ht="84">
      <c r="A18687" s="555">
        <v>1112</v>
      </c>
      <c r="B18687" s="552" t="s">
        <v>33818</v>
      </c>
      <c r="C18687" s="556" t="s">
        <v>33819</v>
      </c>
      <c r="D18687" s="557">
        <v>196.9</v>
      </c>
      <c r="E18687" s="557">
        <v>97.67</v>
      </c>
      <c r="F18687" s="557">
        <v>97.28</v>
      </c>
      <c r="G18687" s="557">
        <v>1.95</v>
      </c>
      <c r="H18687" s="558">
        <v>1658.59</v>
      </c>
      <c r="I18687" s="558">
        <v>1123.19</v>
      </c>
      <c r="J18687" s="558">
        <v>512.97</v>
      </c>
      <c r="K18687" s="558">
        <v>22.43</v>
      </c>
      <c r="L18687" s="43">
        <v>8.4235144743524621</v>
      </c>
      <c r="M18687" s="43">
        <v>11.499846421623836</v>
      </c>
      <c r="N18687" s="43">
        <v>5.2731291118421053</v>
      </c>
      <c r="O18687" s="43">
        <v>11.503164556962025</v>
      </c>
      <c r="P18687" s="559"/>
      <c r="Q18687" s="559"/>
      <c r="R18687" s="559">
        <v>20</v>
      </c>
    </row>
    <row r="18688" spans="1:18" ht="84">
      <c r="A18688" s="555">
        <v>1113</v>
      </c>
      <c r="B18688" s="552" t="s">
        <v>33820</v>
      </c>
      <c r="C18688" s="556" t="s">
        <v>33821</v>
      </c>
      <c r="D18688" s="557">
        <v>240.79</v>
      </c>
      <c r="E18688" s="557">
        <v>119.5</v>
      </c>
      <c r="F18688" s="557">
        <v>118.9</v>
      </c>
      <c r="G18688" s="557">
        <v>2.39</v>
      </c>
      <c r="H18688" s="558">
        <v>2028.72</v>
      </c>
      <c r="I18688" s="558">
        <v>1374.26</v>
      </c>
      <c r="J18688" s="558">
        <v>626.97</v>
      </c>
      <c r="K18688" s="558">
        <v>27.49</v>
      </c>
      <c r="L18688" s="43">
        <v>8.4252668300178577</v>
      </c>
      <c r="M18688" s="43">
        <v>11.500083682008368</v>
      </c>
      <c r="N18688" s="43">
        <v>5.2730866274179986</v>
      </c>
      <c r="O18688" s="43">
        <v>11.503164556962025</v>
      </c>
      <c r="P18688" s="559"/>
      <c r="Q18688" s="559"/>
      <c r="R18688" s="559">
        <v>20</v>
      </c>
    </row>
    <row r="18689" spans="1:18" ht="84">
      <c r="A18689" s="555">
        <v>1114</v>
      </c>
      <c r="B18689" s="552" t="s">
        <v>33822</v>
      </c>
      <c r="C18689" s="556" t="s">
        <v>33823</v>
      </c>
      <c r="D18689" s="557">
        <v>99.04</v>
      </c>
      <c r="E18689" s="557">
        <v>49.41</v>
      </c>
      <c r="F18689" s="557">
        <v>48.64</v>
      </c>
      <c r="G18689" s="557">
        <v>0.99</v>
      </c>
      <c r="H18689" s="558">
        <v>836.08</v>
      </c>
      <c r="I18689" s="558">
        <v>568.20000000000005</v>
      </c>
      <c r="J18689" s="558">
        <v>256.49</v>
      </c>
      <c r="K18689" s="558">
        <v>11.39</v>
      </c>
      <c r="L18689" s="43">
        <v>8.4418416801292402</v>
      </c>
      <c r="M18689" s="43">
        <v>11.499696417729206</v>
      </c>
      <c r="N18689" s="43">
        <v>5.2732319078947372</v>
      </c>
      <c r="O18689" s="43">
        <v>11.503164556962025</v>
      </c>
      <c r="P18689" s="559"/>
      <c r="Q18689" s="559"/>
      <c r="R18689" s="559">
        <v>20</v>
      </c>
    </row>
    <row r="18690" spans="1:18" ht="84">
      <c r="A18690" s="555">
        <v>1115</v>
      </c>
      <c r="B18690" s="552" t="s">
        <v>33824</v>
      </c>
      <c r="C18690" s="556" t="s">
        <v>33825</v>
      </c>
      <c r="D18690" s="557">
        <v>120.39</v>
      </c>
      <c r="E18690" s="557">
        <v>59.75</v>
      </c>
      <c r="F18690" s="557">
        <v>59.45</v>
      </c>
      <c r="G18690" s="557">
        <v>1.19</v>
      </c>
      <c r="H18690" s="558">
        <v>1014.3</v>
      </c>
      <c r="I18690" s="558">
        <v>687.13</v>
      </c>
      <c r="J18690" s="558">
        <v>313.48</v>
      </c>
      <c r="K18690" s="558">
        <v>13.69</v>
      </c>
      <c r="L18690" s="43">
        <v>8.4251183653127324</v>
      </c>
      <c r="M18690" s="43">
        <v>11.500083682008368</v>
      </c>
      <c r="N18690" s="43">
        <v>5.2730025231286799</v>
      </c>
      <c r="O18690" s="43">
        <v>11.503164556962025</v>
      </c>
      <c r="P18690" s="559"/>
      <c r="Q18690" s="559"/>
      <c r="R18690" s="559">
        <v>20</v>
      </c>
    </row>
    <row r="18691" spans="1:18" ht="84">
      <c r="A18691" s="555">
        <v>1116</v>
      </c>
      <c r="B18691" s="552" t="s">
        <v>33826</v>
      </c>
      <c r="C18691" s="556" t="s">
        <v>33827</v>
      </c>
      <c r="D18691" s="557">
        <v>164.28</v>
      </c>
      <c r="E18691" s="557">
        <v>81.58</v>
      </c>
      <c r="F18691" s="557">
        <v>81.069999999999993</v>
      </c>
      <c r="G18691" s="557">
        <v>1.63</v>
      </c>
      <c r="H18691" s="558">
        <v>1384.42</v>
      </c>
      <c r="I18691" s="558">
        <v>938.19</v>
      </c>
      <c r="J18691" s="558">
        <v>427.48</v>
      </c>
      <c r="K18691" s="558">
        <v>18.75</v>
      </c>
      <c r="L18691" s="43">
        <v>8.4271974677380079</v>
      </c>
      <c r="M18691" s="43">
        <v>11.500245158126992</v>
      </c>
      <c r="N18691" s="43">
        <v>5.272973973109659</v>
      </c>
      <c r="O18691" s="43">
        <v>11.503164556962025</v>
      </c>
      <c r="P18691" s="559"/>
      <c r="Q18691" s="559"/>
      <c r="R18691" s="559">
        <v>20</v>
      </c>
    </row>
    <row r="18692" spans="1:18" ht="84">
      <c r="A18692" s="555">
        <v>1117</v>
      </c>
      <c r="B18692" s="552" t="s">
        <v>33828</v>
      </c>
      <c r="C18692" s="556" t="s">
        <v>33829</v>
      </c>
      <c r="D18692" s="557">
        <v>211.14</v>
      </c>
      <c r="E18692" s="557">
        <v>104.56</v>
      </c>
      <c r="F18692" s="557">
        <v>104.49</v>
      </c>
      <c r="G18692" s="557">
        <v>2.09</v>
      </c>
      <c r="H18692" s="558">
        <v>1777.48</v>
      </c>
      <c r="I18692" s="558">
        <v>1202.47</v>
      </c>
      <c r="J18692" s="558">
        <v>550.97</v>
      </c>
      <c r="K18692" s="558">
        <v>24.04</v>
      </c>
      <c r="L18692" s="43">
        <v>8.4184901013545517</v>
      </c>
      <c r="M18692" s="43">
        <v>11.500286916602908</v>
      </c>
      <c r="N18692" s="43">
        <v>5.2729447794047282</v>
      </c>
      <c r="O18692" s="43">
        <v>11.503164556962025</v>
      </c>
      <c r="P18692" s="559"/>
      <c r="Q18692" s="559"/>
      <c r="R18692" s="559">
        <v>20</v>
      </c>
    </row>
    <row r="18693" spans="1:18" ht="84">
      <c r="A18693" s="555">
        <v>1118</v>
      </c>
      <c r="B18693" s="552" t="s">
        <v>33830</v>
      </c>
      <c r="C18693" s="556" t="s">
        <v>33831</v>
      </c>
      <c r="D18693" s="557">
        <v>253.82</v>
      </c>
      <c r="E18693" s="557">
        <v>126.39</v>
      </c>
      <c r="F18693" s="557">
        <v>124.9</v>
      </c>
      <c r="G18693" s="557">
        <v>2.5299999999999998</v>
      </c>
      <c r="H18693" s="558">
        <v>2141.27</v>
      </c>
      <c r="I18693" s="558">
        <v>1453.54</v>
      </c>
      <c r="J18693" s="558">
        <v>658.63</v>
      </c>
      <c r="K18693" s="558">
        <v>29.1</v>
      </c>
      <c r="L18693" s="43">
        <v>8.4361752422976917</v>
      </c>
      <c r="M18693" s="43">
        <v>11.500435161009573</v>
      </c>
      <c r="N18693" s="43">
        <v>5.2732586068855083</v>
      </c>
      <c r="O18693" s="43">
        <v>11.503164556962025</v>
      </c>
      <c r="P18693" s="559"/>
      <c r="Q18693" s="559"/>
      <c r="R18693" s="559">
        <v>20</v>
      </c>
    </row>
    <row r="18694" spans="1:18" ht="84">
      <c r="A18694" s="555">
        <v>1119</v>
      </c>
      <c r="B18694" s="552" t="s">
        <v>33832</v>
      </c>
      <c r="C18694" s="556" t="s">
        <v>33833</v>
      </c>
      <c r="D18694" s="557">
        <v>138.78</v>
      </c>
      <c r="E18694" s="557">
        <v>68.94</v>
      </c>
      <c r="F18694" s="557">
        <v>68.459999999999994</v>
      </c>
      <c r="G18694" s="557">
        <v>1.38</v>
      </c>
      <c r="H18694" s="558">
        <v>1169.69</v>
      </c>
      <c r="I18694" s="558">
        <v>792.84</v>
      </c>
      <c r="J18694" s="558">
        <v>360.98</v>
      </c>
      <c r="K18694" s="558">
        <v>15.87</v>
      </c>
      <c r="L18694" s="43">
        <v>8.4283758466637853</v>
      </c>
      <c r="M18694" s="43">
        <v>11.500435161009575</v>
      </c>
      <c r="N18694" s="43">
        <v>5.2728600642711081</v>
      </c>
      <c r="O18694" s="43">
        <v>11.503164556962025</v>
      </c>
      <c r="P18694" s="559"/>
      <c r="Q18694" s="559"/>
      <c r="R18694" s="559">
        <v>20</v>
      </c>
    </row>
    <row r="18695" spans="1:18" ht="84">
      <c r="A18695" s="555">
        <v>1120</v>
      </c>
      <c r="B18695" s="552" t="s">
        <v>33834</v>
      </c>
      <c r="C18695" s="556" t="s">
        <v>33835</v>
      </c>
      <c r="D18695" s="557">
        <v>189.78</v>
      </c>
      <c r="E18695" s="557">
        <v>94.22</v>
      </c>
      <c r="F18695" s="557">
        <v>93.68</v>
      </c>
      <c r="G18695" s="557">
        <v>1.88</v>
      </c>
      <c r="H18695" s="558">
        <v>1599.14</v>
      </c>
      <c r="I18695" s="558">
        <v>1083.55</v>
      </c>
      <c r="J18695" s="558">
        <v>493.97</v>
      </c>
      <c r="K18695" s="558">
        <v>21.62</v>
      </c>
      <c r="L18695" s="43">
        <v>8.4262830646011171</v>
      </c>
      <c r="M18695" s="43">
        <v>11.500212269157291</v>
      </c>
      <c r="N18695" s="43">
        <v>5.272950469684031</v>
      </c>
      <c r="O18695" s="43">
        <v>11.503164556962025</v>
      </c>
      <c r="P18695" s="559"/>
      <c r="Q18695" s="559"/>
      <c r="R18695" s="559">
        <v>20</v>
      </c>
    </row>
    <row r="18696" spans="1:18" ht="84">
      <c r="A18696" s="555">
        <v>1121</v>
      </c>
      <c r="B18696" s="552" t="s">
        <v>33836</v>
      </c>
      <c r="C18696" s="556" t="s">
        <v>33837</v>
      </c>
      <c r="D18696" s="557">
        <v>245.53</v>
      </c>
      <c r="E18696" s="557">
        <v>121.79</v>
      </c>
      <c r="F18696" s="557">
        <v>121.3</v>
      </c>
      <c r="G18696" s="557">
        <v>2.44</v>
      </c>
      <c r="H18696" s="558">
        <v>2068.37</v>
      </c>
      <c r="I18696" s="558">
        <v>1400.68</v>
      </c>
      <c r="J18696" s="558">
        <v>639.63</v>
      </c>
      <c r="K18696" s="558">
        <v>28.06</v>
      </c>
      <c r="L18696" s="43">
        <v>8.4241029609416351</v>
      </c>
      <c r="M18696" s="43">
        <v>11.500780031201248</v>
      </c>
      <c r="N18696" s="43">
        <v>5.273124484748557</v>
      </c>
      <c r="O18696" s="43">
        <v>11.503164556962025</v>
      </c>
      <c r="P18696" s="559"/>
      <c r="Q18696" s="559"/>
      <c r="R18696" s="559">
        <v>20</v>
      </c>
    </row>
    <row r="18697" spans="1:18" ht="84">
      <c r="A18697" s="555">
        <v>1122</v>
      </c>
      <c r="B18697" s="552" t="s">
        <v>33838</v>
      </c>
      <c r="C18697" s="556" t="s">
        <v>33839</v>
      </c>
      <c r="D18697" s="557">
        <v>300.08</v>
      </c>
      <c r="E18697" s="557">
        <v>149.37</v>
      </c>
      <c r="F18697" s="557">
        <v>147.72</v>
      </c>
      <c r="G18697" s="557">
        <v>2.99</v>
      </c>
      <c r="H18697" s="558">
        <v>2531.17</v>
      </c>
      <c r="I18697" s="558">
        <v>1717.82</v>
      </c>
      <c r="J18697" s="558">
        <v>778.96</v>
      </c>
      <c r="K18697" s="558">
        <v>34.39</v>
      </c>
      <c r="L18697" s="43">
        <v>8.4349840042655302</v>
      </c>
      <c r="M18697" s="43">
        <v>11.500435161009573</v>
      </c>
      <c r="N18697" s="43">
        <v>5.2732196046574602</v>
      </c>
      <c r="O18697" s="43">
        <v>11.503164556962025</v>
      </c>
      <c r="P18697" s="559"/>
      <c r="Q18697" s="559"/>
      <c r="R18697" s="559">
        <v>20</v>
      </c>
    </row>
    <row r="18698" spans="1:18" ht="84">
      <c r="A18698" s="555">
        <v>1123</v>
      </c>
      <c r="B18698" s="552" t="s">
        <v>33840</v>
      </c>
      <c r="C18698" s="556" t="s">
        <v>33841</v>
      </c>
      <c r="D18698" s="557">
        <v>157.15</v>
      </c>
      <c r="E18698" s="557">
        <v>78.13</v>
      </c>
      <c r="F18698" s="557">
        <v>77.459999999999994</v>
      </c>
      <c r="G18698" s="557">
        <v>1.56</v>
      </c>
      <c r="H18698" s="558">
        <v>1324.97</v>
      </c>
      <c r="I18698" s="558">
        <v>898.55</v>
      </c>
      <c r="J18698" s="558">
        <v>408.48</v>
      </c>
      <c r="K18698" s="558">
        <v>17.940000000000001</v>
      </c>
      <c r="L18698" s="43">
        <v>8.4312440343620736</v>
      </c>
      <c r="M18698" s="43">
        <v>11.500703954946884</v>
      </c>
      <c r="N18698" s="43">
        <v>5.2734314484895437</v>
      </c>
      <c r="O18698" s="43">
        <v>11.503164556962025</v>
      </c>
      <c r="P18698" s="559"/>
      <c r="Q18698" s="559"/>
      <c r="R18698" s="559">
        <v>20</v>
      </c>
    </row>
    <row r="18699" spans="1:18" ht="84">
      <c r="A18699" s="555">
        <v>1124</v>
      </c>
      <c r="B18699" s="552" t="s">
        <v>33842</v>
      </c>
      <c r="C18699" s="556" t="s">
        <v>33843</v>
      </c>
      <c r="D18699" s="557">
        <v>211.14</v>
      </c>
      <c r="E18699" s="557">
        <v>104.56</v>
      </c>
      <c r="F18699" s="557">
        <v>104.49</v>
      </c>
      <c r="G18699" s="557">
        <v>2.09</v>
      </c>
      <c r="H18699" s="558">
        <v>1777.48</v>
      </c>
      <c r="I18699" s="558">
        <v>1202.47</v>
      </c>
      <c r="J18699" s="558">
        <v>550.97</v>
      </c>
      <c r="K18699" s="558">
        <v>24.04</v>
      </c>
      <c r="L18699" s="43">
        <v>8.4184901013545517</v>
      </c>
      <c r="M18699" s="43">
        <v>11.500286916602908</v>
      </c>
      <c r="N18699" s="43">
        <v>5.2729447794047282</v>
      </c>
      <c r="O18699" s="43">
        <v>11.503164556962025</v>
      </c>
      <c r="P18699" s="559"/>
      <c r="Q18699" s="559"/>
      <c r="R18699" s="559">
        <v>20</v>
      </c>
    </row>
    <row r="18700" spans="1:18" ht="84">
      <c r="A18700" s="555">
        <v>1125</v>
      </c>
      <c r="B18700" s="552" t="s">
        <v>33844</v>
      </c>
      <c r="C18700" s="556" t="s">
        <v>33845</v>
      </c>
      <c r="D18700" s="557">
        <v>276.35000000000002</v>
      </c>
      <c r="E18700" s="557">
        <v>137.88</v>
      </c>
      <c r="F18700" s="557">
        <v>135.71</v>
      </c>
      <c r="G18700" s="557">
        <v>2.76</v>
      </c>
      <c r="H18700" s="558">
        <v>2333.0500000000002</v>
      </c>
      <c r="I18700" s="558">
        <v>1585.68</v>
      </c>
      <c r="J18700" s="558">
        <v>715.63</v>
      </c>
      <c r="K18700" s="558">
        <v>31.74</v>
      </c>
      <c r="L18700" s="43">
        <v>8.4423738013388814</v>
      </c>
      <c r="M18700" s="43">
        <v>11.500435161009575</v>
      </c>
      <c r="N18700" s="43">
        <v>5.2732296809372921</v>
      </c>
      <c r="O18700" s="43">
        <v>11.503164556962025</v>
      </c>
      <c r="P18700" s="559"/>
      <c r="Q18700" s="559"/>
      <c r="R18700" s="559">
        <v>20</v>
      </c>
    </row>
    <row r="18701" spans="1:18" ht="84">
      <c r="A18701" s="555">
        <v>1126</v>
      </c>
      <c r="B18701" s="552" t="s">
        <v>33846</v>
      </c>
      <c r="C18701" s="556" t="s">
        <v>33847</v>
      </c>
      <c r="D18701" s="557">
        <v>328.56</v>
      </c>
      <c r="E18701" s="557">
        <v>163.16</v>
      </c>
      <c r="F18701" s="557">
        <v>162.13999999999999</v>
      </c>
      <c r="G18701" s="557">
        <v>3.26</v>
      </c>
      <c r="H18701" s="558">
        <v>2768.84</v>
      </c>
      <c r="I18701" s="558">
        <v>1876.39</v>
      </c>
      <c r="J18701" s="558">
        <v>854.96</v>
      </c>
      <c r="K18701" s="558">
        <v>37.49</v>
      </c>
      <c r="L18701" s="43">
        <v>8.4271974677380079</v>
      </c>
      <c r="M18701" s="43">
        <v>11.50030644765874</v>
      </c>
      <c r="N18701" s="43">
        <v>5.272973973109659</v>
      </c>
      <c r="O18701" s="43">
        <v>11.503164556962025</v>
      </c>
      <c r="P18701" s="559"/>
      <c r="Q18701" s="559"/>
      <c r="R18701" s="559">
        <v>20</v>
      </c>
    </row>
    <row r="18702" spans="1:18" ht="84">
      <c r="A18702" s="555">
        <v>1127</v>
      </c>
      <c r="B18702" s="552" t="s">
        <v>33848</v>
      </c>
      <c r="C18702" s="556" t="s">
        <v>33849</v>
      </c>
      <c r="D18702" s="557">
        <v>178.51</v>
      </c>
      <c r="E18702" s="557">
        <v>88.47</v>
      </c>
      <c r="F18702" s="557">
        <v>88.27</v>
      </c>
      <c r="G18702" s="557">
        <v>1.77</v>
      </c>
      <c r="H18702" s="558">
        <v>1503.32</v>
      </c>
      <c r="I18702" s="558">
        <v>1017.48</v>
      </c>
      <c r="J18702" s="558">
        <v>465.48</v>
      </c>
      <c r="K18702" s="558">
        <v>20.36</v>
      </c>
      <c r="L18702" s="43">
        <v>8.4214889922133214</v>
      </c>
      <c r="M18702" s="43">
        <v>11.500847744998305</v>
      </c>
      <c r="N18702" s="43">
        <v>5.2733658094482845</v>
      </c>
      <c r="O18702" s="43">
        <v>11.503164556962025</v>
      </c>
      <c r="P18702" s="559"/>
      <c r="Q18702" s="559"/>
      <c r="R18702" s="559">
        <v>20</v>
      </c>
    </row>
    <row r="18703" spans="1:18" ht="84">
      <c r="A18703" s="555">
        <v>1128</v>
      </c>
      <c r="B18703" s="552" t="s">
        <v>33850</v>
      </c>
      <c r="C18703" s="556" t="s">
        <v>33851</v>
      </c>
      <c r="D18703" s="557">
        <v>240.79</v>
      </c>
      <c r="E18703" s="557">
        <v>119.5</v>
      </c>
      <c r="F18703" s="557">
        <v>118.9</v>
      </c>
      <c r="G18703" s="557">
        <v>2.39</v>
      </c>
      <c r="H18703" s="558">
        <v>2028.72</v>
      </c>
      <c r="I18703" s="558">
        <v>1374.26</v>
      </c>
      <c r="J18703" s="558">
        <v>626.97</v>
      </c>
      <c r="K18703" s="558">
        <v>27.49</v>
      </c>
      <c r="L18703" s="43">
        <v>8.4252668300178577</v>
      </c>
      <c r="M18703" s="43">
        <v>11.500083682008368</v>
      </c>
      <c r="N18703" s="43">
        <v>5.2730866274179986</v>
      </c>
      <c r="O18703" s="43">
        <v>11.503164556962025</v>
      </c>
      <c r="P18703" s="559"/>
      <c r="Q18703" s="559"/>
      <c r="R18703" s="559">
        <v>20</v>
      </c>
    </row>
    <row r="18704" spans="1:18" ht="84">
      <c r="A18704" s="555">
        <v>1129</v>
      </c>
      <c r="B18704" s="552" t="s">
        <v>33852</v>
      </c>
      <c r="C18704" s="556" t="s">
        <v>33853</v>
      </c>
      <c r="D18704" s="557">
        <v>310.77999999999997</v>
      </c>
      <c r="E18704" s="557">
        <v>153.97</v>
      </c>
      <c r="F18704" s="557">
        <v>153.72999999999999</v>
      </c>
      <c r="G18704" s="557">
        <v>3.08</v>
      </c>
      <c r="H18704" s="558">
        <v>2616.7199999999998</v>
      </c>
      <c r="I18704" s="558">
        <v>1770.68</v>
      </c>
      <c r="J18704" s="558">
        <v>810.62</v>
      </c>
      <c r="K18704" s="558">
        <v>35.42</v>
      </c>
      <c r="L18704" s="43">
        <v>8.4198468369907982</v>
      </c>
      <c r="M18704" s="43">
        <v>11.50016236929272</v>
      </c>
      <c r="N18704" s="43">
        <v>5.2730111233981658</v>
      </c>
      <c r="O18704" s="43">
        <v>11.503164556962025</v>
      </c>
      <c r="P18704" s="559"/>
      <c r="Q18704" s="559"/>
      <c r="R18704" s="559">
        <v>20</v>
      </c>
    </row>
    <row r="18705" spans="1:18" ht="84">
      <c r="A18705" s="555">
        <v>1130</v>
      </c>
      <c r="B18705" s="552" t="s">
        <v>33854</v>
      </c>
      <c r="C18705" s="556" t="s">
        <v>33855</v>
      </c>
      <c r="D18705" s="557">
        <v>383.14</v>
      </c>
      <c r="E18705" s="557">
        <v>189.59</v>
      </c>
      <c r="F18705" s="557">
        <v>189.76</v>
      </c>
      <c r="G18705" s="557">
        <v>3.79</v>
      </c>
      <c r="H18705" s="558">
        <v>3224.51</v>
      </c>
      <c r="I18705" s="558">
        <v>2180.31</v>
      </c>
      <c r="J18705" s="558">
        <v>1000.61</v>
      </c>
      <c r="K18705" s="558">
        <v>43.59</v>
      </c>
      <c r="L18705" s="43">
        <v>8.4160098136451431</v>
      </c>
      <c r="M18705" s="43">
        <v>11.500131863494909</v>
      </c>
      <c r="N18705" s="43">
        <v>5.2730290893760543</v>
      </c>
      <c r="O18705" s="43">
        <v>11.503164556962025</v>
      </c>
      <c r="P18705" s="559"/>
      <c r="Q18705" s="559"/>
      <c r="R18705" s="559">
        <v>20</v>
      </c>
    </row>
    <row r="18706" spans="1:18" ht="84">
      <c r="A18706" s="555">
        <v>1131</v>
      </c>
      <c r="B18706" s="552" t="s">
        <v>33856</v>
      </c>
      <c r="C18706" s="556" t="s">
        <v>33857</v>
      </c>
      <c r="D18706" s="557">
        <v>208.17</v>
      </c>
      <c r="E18706" s="557">
        <v>103.41</v>
      </c>
      <c r="F18706" s="557">
        <v>102.69</v>
      </c>
      <c r="G18706" s="557">
        <v>2.0699999999999998</v>
      </c>
      <c r="H18706" s="558">
        <v>1754.54</v>
      </c>
      <c r="I18706" s="558">
        <v>1189.26</v>
      </c>
      <c r="J18706" s="558">
        <v>541.47</v>
      </c>
      <c r="K18706" s="558">
        <v>23.81</v>
      </c>
      <c r="L18706" s="43">
        <v>8.4283998654945478</v>
      </c>
      <c r="M18706" s="43">
        <v>11.500435161009573</v>
      </c>
      <c r="N18706" s="43">
        <v>5.2728600642711072</v>
      </c>
      <c r="O18706" s="43">
        <v>11.503164556962025</v>
      </c>
      <c r="P18706" s="559"/>
      <c r="Q18706" s="559"/>
      <c r="R18706" s="559">
        <v>20</v>
      </c>
    </row>
    <row r="18707" spans="1:18" ht="84">
      <c r="A18707" s="555">
        <v>1132</v>
      </c>
      <c r="B18707" s="552" t="s">
        <v>33858</v>
      </c>
      <c r="C18707" s="556" t="s">
        <v>33859</v>
      </c>
      <c r="D18707" s="557">
        <v>281.13</v>
      </c>
      <c r="E18707" s="557">
        <v>139.03</v>
      </c>
      <c r="F18707" s="557">
        <v>139.32</v>
      </c>
      <c r="G18707" s="557">
        <v>2.78</v>
      </c>
      <c r="H18707" s="558">
        <v>2365.4899999999998</v>
      </c>
      <c r="I18707" s="558">
        <v>1598.89</v>
      </c>
      <c r="J18707" s="558">
        <v>734.63</v>
      </c>
      <c r="K18707" s="558">
        <v>31.97</v>
      </c>
      <c r="L18707" s="43">
        <v>8.4142211788140706</v>
      </c>
      <c r="M18707" s="43">
        <v>11.500323671150111</v>
      </c>
      <c r="N18707" s="43">
        <v>5.272968705139248</v>
      </c>
      <c r="O18707" s="43">
        <v>11.503164556962025</v>
      </c>
      <c r="P18707" s="559"/>
      <c r="Q18707" s="559"/>
      <c r="R18707" s="559">
        <v>20</v>
      </c>
    </row>
    <row r="18708" spans="1:18" ht="84">
      <c r="A18708" s="555">
        <v>1133</v>
      </c>
      <c r="B18708" s="552" t="s">
        <v>33860</v>
      </c>
      <c r="C18708" s="556" t="s">
        <v>33861</v>
      </c>
      <c r="D18708" s="557">
        <v>361.77</v>
      </c>
      <c r="E18708" s="557">
        <v>179.24</v>
      </c>
      <c r="F18708" s="557">
        <v>178.95</v>
      </c>
      <c r="G18708" s="557">
        <v>3.58</v>
      </c>
      <c r="H18708" s="558">
        <v>3046.17</v>
      </c>
      <c r="I18708" s="558">
        <v>2061.38</v>
      </c>
      <c r="J18708" s="558">
        <v>943.62</v>
      </c>
      <c r="K18708" s="558">
        <v>41.17</v>
      </c>
      <c r="L18708" s="43">
        <v>8.4201840948669044</v>
      </c>
      <c r="M18708" s="43">
        <v>11.500669493416648</v>
      </c>
      <c r="N18708" s="43">
        <v>5.2730930427493714</v>
      </c>
      <c r="O18708" s="43">
        <v>11.503164556962025</v>
      </c>
      <c r="P18708" s="559"/>
      <c r="Q18708" s="559"/>
      <c r="R18708" s="559">
        <v>20</v>
      </c>
    </row>
    <row r="18709" spans="1:18" ht="84">
      <c r="A18709" s="555">
        <v>1134</v>
      </c>
      <c r="B18709" s="552" t="s">
        <v>33862</v>
      </c>
      <c r="C18709" s="556" t="s">
        <v>33863</v>
      </c>
      <c r="D18709" s="557">
        <v>438.86</v>
      </c>
      <c r="E18709" s="557">
        <v>218.31</v>
      </c>
      <c r="F18709" s="557">
        <v>216.18</v>
      </c>
      <c r="G18709" s="557">
        <v>4.37</v>
      </c>
      <c r="H18709" s="558">
        <v>3700.86</v>
      </c>
      <c r="I18709" s="558">
        <v>2510.66</v>
      </c>
      <c r="J18709" s="558">
        <v>1139.94</v>
      </c>
      <c r="K18709" s="558">
        <v>50.26</v>
      </c>
      <c r="L18709" s="43">
        <v>8.4328943170942896</v>
      </c>
      <c r="M18709" s="43">
        <v>11.500435161009573</v>
      </c>
      <c r="N18709" s="43">
        <v>5.2731057452123231</v>
      </c>
      <c r="O18709" s="43">
        <v>11.503164556962025</v>
      </c>
      <c r="P18709" s="559"/>
      <c r="Q18709" s="559"/>
      <c r="R18709" s="559">
        <v>20</v>
      </c>
    </row>
    <row r="18710" spans="1:18" ht="84">
      <c r="A18710" s="555">
        <v>1135</v>
      </c>
      <c r="B18710" s="552" t="s">
        <v>33864</v>
      </c>
      <c r="C18710" s="556" t="s">
        <v>33865</v>
      </c>
      <c r="D18710" s="557">
        <v>245.53</v>
      </c>
      <c r="E18710" s="557">
        <v>121.79</v>
      </c>
      <c r="F18710" s="557">
        <v>121.3</v>
      </c>
      <c r="G18710" s="557">
        <v>2.44</v>
      </c>
      <c r="H18710" s="558">
        <v>2068.37</v>
      </c>
      <c r="I18710" s="558">
        <v>1400.68</v>
      </c>
      <c r="J18710" s="558">
        <v>639.63</v>
      </c>
      <c r="K18710" s="558">
        <v>28.06</v>
      </c>
      <c r="L18710" s="43">
        <v>8.4241029609416351</v>
      </c>
      <c r="M18710" s="43">
        <v>11.500780031201248</v>
      </c>
      <c r="N18710" s="43">
        <v>5.273124484748557</v>
      </c>
      <c r="O18710" s="43">
        <v>11.503164556962025</v>
      </c>
      <c r="P18710" s="559"/>
      <c r="Q18710" s="559"/>
      <c r="R18710" s="559">
        <v>20</v>
      </c>
    </row>
    <row r="18711" spans="1:18" ht="84">
      <c r="A18711" s="555">
        <v>1136</v>
      </c>
      <c r="B18711" s="552" t="s">
        <v>33866</v>
      </c>
      <c r="C18711" s="556" t="s">
        <v>33867</v>
      </c>
      <c r="D18711" s="557">
        <v>317.89</v>
      </c>
      <c r="E18711" s="557">
        <v>157.41</v>
      </c>
      <c r="F18711" s="557">
        <v>157.33000000000001</v>
      </c>
      <c r="G18711" s="557">
        <v>3.15</v>
      </c>
      <c r="H18711" s="558">
        <v>2676.17</v>
      </c>
      <c r="I18711" s="558">
        <v>1810.32</v>
      </c>
      <c r="J18711" s="558">
        <v>829.62</v>
      </c>
      <c r="K18711" s="558">
        <v>36.229999999999997</v>
      </c>
      <c r="L18711" s="43">
        <v>8.4185410047500717</v>
      </c>
      <c r="M18711" s="43">
        <v>11.50066704783686</v>
      </c>
      <c r="N18711" s="43">
        <v>5.2731201932244325</v>
      </c>
      <c r="O18711" s="43">
        <v>11.503164556962025</v>
      </c>
      <c r="P18711" s="559"/>
      <c r="Q18711" s="559"/>
      <c r="R18711" s="559">
        <v>20</v>
      </c>
    </row>
    <row r="18712" spans="1:18" ht="84">
      <c r="A18712" s="555">
        <v>1137</v>
      </c>
      <c r="B18712" s="552" t="s">
        <v>33868</v>
      </c>
      <c r="C18712" s="556" t="s">
        <v>33869</v>
      </c>
      <c r="D18712" s="557">
        <v>400.93</v>
      </c>
      <c r="E18712" s="557">
        <v>198.78</v>
      </c>
      <c r="F18712" s="557">
        <v>198.17</v>
      </c>
      <c r="G18712" s="557">
        <v>3.98</v>
      </c>
      <c r="H18712" s="558">
        <v>3376.74</v>
      </c>
      <c r="I18712" s="558">
        <v>2286.02</v>
      </c>
      <c r="J18712" s="558">
        <v>1044.95</v>
      </c>
      <c r="K18712" s="558">
        <v>45.77</v>
      </c>
      <c r="L18712" s="43">
        <v>8.4222682263736797</v>
      </c>
      <c r="M18712" s="43">
        <v>11.500251534359593</v>
      </c>
      <c r="N18712" s="43">
        <v>5.2729979310692849</v>
      </c>
      <c r="O18712" s="43">
        <v>11.503164556962025</v>
      </c>
      <c r="P18712" s="559"/>
      <c r="Q18712" s="559"/>
      <c r="R18712" s="559">
        <v>20</v>
      </c>
    </row>
    <row r="18713" spans="1:18" ht="84">
      <c r="A18713" s="555">
        <v>1138</v>
      </c>
      <c r="B18713" s="552" t="s">
        <v>33870</v>
      </c>
      <c r="C18713" s="556" t="s">
        <v>33871</v>
      </c>
      <c r="D18713" s="557">
        <v>493.43</v>
      </c>
      <c r="E18713" s="557">
        <v>244.74</v>
      </c>
      <c r="F18713" s="557">
        <v>243.8</v>
      </c>
      <c r="G18713" s="557">
        <v>4.8899999999999997</v>
      </c>
      <c r="H18713" s="558">
        <v>4156.42</v>
      </c>
      <c r="I18713" s="558">
        <v>2814.58</v>
      </c>
      <c r="J18713" s="558">
        <v>1285.5999999999999</v>
      </c>
      <c r="K18713" s="558">
        <v>56.24</v>
      </c>
      <c r="L18713" s="43">
        <v>8.4235251200778229</v>
      </c>
      <c r="M18713" s="43">
        <v>11.500286017814823</v>
      </c>
      <c r="N18713" s="43">
        <v>5.2731747333880223</v>
      </c>
      <c r="O18713" s="43">
        <v>11.503164556962025</v>
      </c>
      <c r="P18713" s="559"/>
      <c r="Q18713" s="559"/>
      <c r="R18713" s="559">
        <v>20</v>
      </c>
    </row>
    <row r="18714" spans="1:18" ht="84">
      <c r="A18714" s="555">
        <v>1139</v>
      </c>
      <c r="B18714" s="552" t="s">
        <v>33872</v>
      </c>
      <c r="C18714" s="556" t="s">
        <v>33873</v>
      </c>
      <c r="D18714" s="557">
        <v>270.43</v>
      </c>
      <c r="E18714" s="557">
        <v>134.43</v>
      </c>
      <c r="F18714" s="557">
        <v>133.31</v>
      </c>
      <c r="G18714" s="557">
        <v>2.69</v>
      </c>
      <c r="H18714" s="558">
        <v>2279.94</v>
      </c>
      <c r="I18714" s="558">
        <v>1546.04</v>
      </c>
      <c r="J18714" s="558">
        <v>702.96</v>
      </c>
      <c r="K18714" s="558">
        <v>30.94</v>
      </c>
      <c r="L18714" s="43">
        <v>8.4307953999186473</v>
      </c>
      <c r="M18714" s="43">
        <v>11.500706687495351</v>
      </c>
      <c r="N18714" s="43">
        <v>5.2731227964893854</v>
      </c>
      <c r="O18714" s="43">
        <v>11.503164556962025</v>
      </c>
      <c r="P18714" s="559"/>
      <c r="Q18714" s="559"/>
      <c r="R18714" s="559">
        <v>20</v>
      </c>
    </row>
    <row r="18715" spans="1:18" ht="84">
      <c r="A18715" s="555">
        <v>1140</v>
      </c>
      <c r="B18715" s="552" t="s">
        <v>33874</v>
      </c>
      <c r="C18715" s="556" t="s">
        <v>33875</v>
      </c>
      <c r="D18715" s="557">
        <v>325.01</v>
      </c>
      <c r="E18715" s="557">
        <v>160.86000000000001</v>
      </c>
      <c r="F18715" s="557">
        <v>160.93</v>
      </c>
      <c r="G18715" s="557">
        <v>3.22</v>
      </c>
      <c r="H18715" s="558">
        <v>2735.61</v>
      </c>
      <c r="I18715" s="558">
        <v>1849.96</v>
      </c>
      <c r="J18715" s="558">
        <v>848.62</v>
      </c>
      <c r="K18715" s="558">
        <v>37.03</v>
      </c>
      <c r="L18715" s="43">
        <v>8.4170025537675777</v>
      </c>
      <c r="M18715" s="43">
        <v>11.500435161009573</v>
      </c>
      <c r="N18715" s="43">
        <v>5.2732243832722299</v>
      </c>
      <c r="O18715" s="43">
        <v>11.503164556962025</v>
      </c>
      <c r="P18715" s="559"/>
      <c r="Q18715" s="559"/>
      <c r="R18715" s="559">
        <v>20</v>
      </c>
    </row>
    <row r="18716" spans="1:18" ht="84">
      <c r="A18716" s="555">
        <v>1141</v>
      </c>
      <c r="B18716" s="552" t="s">
        <v>33876</v>
      </c>
      <c r="C18716" s="556" t="s">
        <v>33877</v>
      </c>
      <c r="D18716" s="557">
        <v>365.32</v>
      </c>
      <c r="E18716" s="557">
        <v>181.54</v>
      </c>
      <c r="F18716" s="557">
        <v>180.15</v>
      </c>
      <c r="G18716" s="557">
        <v>3.63</v>
      </c>
      <c r="H18716" s="558">
        <v>3079.51</v>
      </c>
      <c r="I18716" s="558">
        <v>2087.81</v>
      </c>
      <c r="J18716" s="558">
        <v>949.95</v>
      </c>
      <c r="K18716" s="558">
        <v>41.75</v>
      </c>
      <c r="L18716" s="43">
        <v>8.4296233439176618</v>
      </c>
      <c r="M18716" s="43">
        <v>11.500550842789469</v>
      </c>
      <c r="N18716" s="43">
        <v>5.2731057452123231</v>
      </c>
      <c r="O18716" s="43">
        <v>11.503164556962025</v>
      </c>
      <c r="P18716" s="559"/>
      <c r="Q18716" s="559"/>
      <c r="R18716" s="559">
        <v>20</v>
      </c>
    </row>
    <row r="18717" spans="1:18" ht="84">
      <c r="A18717" s="555">
        <v>1142</v>
      </c>
      <c r="B18717" s="552" t="s">
        <v>33878</v>
      </c>
      <c r="C18717" s="556" t="s">
        <v>33879</v>
      </c>
      <c r="D18717" s="557">
        <v>456.67</v>
      </c>
      <c r="E18717" s="557">
        <v>226.35</v>
      </c>
      <c r="F18717" s="557">
        <v>225.79</v>
      </c>
      <c r="G18717" s="557">
        <v>4.53</v>
      </c>
      <c r="H18717" s="558">
        <v>3845.86</v>
      </c>
      <c r="I18717" s="558">
        <v>2603.16</v>
      </c>
      <c r="J18717" s="558">
        <v>1190.5999999999999</v>
      </c>
      <c r="K18717" s="558">
        <v>52.1</v>
      </c>
      <c r="L18717" s="43">
        <v>8.4215297698556952</v>
      </c>
      <c r="M18717" s="43">
        <v>11.500596421471172</v>
      </c>
      <c r="N18717" s="43">
        <v>5.2730413215820011</v>
      </c>
      <c r="O18717" s="43">
        <v>11.503164556962025</v>
      </c>
      <c r="P18717" s="559"/>
      <c r="Q18717" s="559"/>
      <c r="R18717" s="559">
        <v>20</v>
      </c>
    </row>
    <row r="18718" spans="1:18" ht="12.75" customHeight="1">
      <c r="A18718" s="628" t="s">
        <v>33880</v>
      </c>
      <c r="B18718" s="629"/>
      <c r="C18718" s="629"/>
      <c r="D18718" s="629"/>
      <c r="E18718" s="629"/>
      <c r="F18718" s="629"/>
      <c r="G18718" s="629"/>
      <c r="H18718" s="629"/>
      <c r="I18718" s="629"/>
      <c r="J18718" s="629"/>
      <c r="K18718" s="629"/>
      <c r="L18718" s="629"/>
      <c r="M18718" s="629"/>
      <c r="N18718" s="629"/>
      <c r="O18718" s="629"/>
      <c r="P18718" s="629"/>
      <c r="Q18718" s="629"/>
      <c r="R18718" s="629"/>
    </row>
    <row r="18719" spans="1:18" ht="84">
      <c r="A18719" s="555">
        <v>1143</v>
      </c>
      <c r="B18719" s="552" t="s">
        <v>33881</v>
      </c>
      <c r="C18719" s="556" t="s">
        <v>33882</v>
      </c>
      <c r="D18719" s="557">
        <v>1.46</v>
      </c>
      <c r="E18719" s="557">
        <v>1.43</v>
      </c>
      <c r="F18719" s="557"/>
      <c r="G18719" s="557">
        <v>0.03</v>
      </c>
      <c r="H18719" s="558">
        <v>16.760000000000002</v>
      </c>
      <c r="I18719" s="558">
        <v>16.41</v>
      </c>
      <c r="J18719" s="558"/>
      <c r="K18719" s="558">
        <v>0.35</v>
      </c>
      <c r="L18719" s="43">
        <v>11.503164556962025</v>
      </c>
      <c r="M18719" s="43">
        <v>11.5</v>
      </c>
      <c r="N18719" s="43" t="s">
        <v>1690</v>
      </c>
      <c r="O18719" s="43">
        <v>11.503164556962025</v>
      </c>
      <c r="P18719" s="559"/>
      <c r="Q18719" s="559"/>
      <c r="R18719" s="559">
        <v>21</v>
      </c>
    </row>
    <row r="18720" spans="1:18" ht="84">
      <c r="A18720" s="555">
        <v>1144</v>
      </c>
      <c r="B18720" s="552" t="s">
        <v>33883</v>
      </c>
      <c r="C18720" s="556" t="s">
        <v>33884</v>
      </c>
      <c r="D18720" s="557">
        <v>1.66</v>
      </c>
      <c r="E18720" s="557">
        <v>1.63</v>
      </c>
      <c r="F18720" s="557"/>
      <c r="G18720" s="557">
        <v>0.03</v>
      </c>
      <c r="H18720" s="558">
        <v>19.100000000000001</v>
      </c>
      <c r="I18720" s="558">
        <v>18.75</v>
      </c>
      <c r="J18720" s="558"/>
      <c r="K18720" s="558">
        <v>0.35</v>
      </c>
      <c r="L18720" s="43">
        <v>11.503164556962025</v>
      </c>
      <c r="M18720" s="43">
        <v>11.503067484662578</v>
      </c>
      <c r="N18720" s="43" t="s">
        <v>1690</v>
      </c>
      <c r="O18720" s="43">
        <v>11.503164556962025</v>
      </c>
      <c r="P18720" s="559"/>
      <c r="Q18720" s="559"/>
      <c r="R18720" s="559">
        <v>21</v>
      </c>
    </row>
    <row r="18721" spans="1:18" ht="84">
      <c r="A18721" s="555">
        <v>1145</v>
      </c>
      <c r="B18721" s="552" t="s">
        <v>33885</v>
      </c>
      <c r="C18721" s="556" t="s">
        <v>33886</v>
      </c>
      <c r="D18721" s="557">
        <v>2.5</v>
      </c>
      <c r="E18721" s="557">
        <v>2.4500000000000002</v>
      </c>
      <c r="F18721" s="557"/>
      <c r="G18721" s="557">
        <v>0.05</v>
      </c>
      <c r="H18721" s="558">
        <v>28.71</v>
      </c>
      <c r="I18721" s="558">
        <v>28.13</v>
      </c>
      <c r="J18721" s="558"/>
      <c r="K18721" s="558">
        <v>0.57999999999999996</v>
      </c>
      <c r="L18721" s="43">
        <v>11.503164556962025</v>
      </c>
      <c r="M18721" s="43">
        <v>11.5</v>
      </c>
      <c r="N18721" s="43" t="s">
        <v>1690</v>
      </c>
      <c r="O18721" s="43">
        <v>11.503164556962025</v>
      </c>
      <c r="P18721" s="559"/>
      <c r="Q18721" s="559"/>
      <c r="R18721" s="559">
        <v>21</v>
      </c>
    </row>
    <row r="18722" spans="1:18" ht="84">
      <c r="A18722" s="555">
        <v>1146</v>
      </c>
      <c r="B18722" s="552" t="s">
        <v>33887</v>
      </c>
      <c r="C18722" s="556" t="s">
        <v>33888</v>
      </c>
      <c r="D18722" s="557">
        <v>3.02</v>
      </c>
      <c r="E18722" s="557">
        <v>2.96</v>
      </c>
      <c r="F18722" s="557"/>
      <c r="G18722" s="557">
        <v>0.06</v>
      </c>
      <c r="H18722" s="558">
        <v>34.68</v>
      </c>
      <c r="I18722" s="558">
        <v>33.99</v>
      </c>
      <c r="J18722" s="558"/>
      <c r="K18722" s="558">
        <v>0.69</v>
      </c>
      <c r="L18722" s="43">
        <v>11.503164556962025</v>
      </c>
      <c r="M18722" s="43">
        <v>11.5</v>
      </c>
      <c r="N18722" s="43" t="s">
        <v>1690</v>
      </c>
      <c r="O18722" s="43">
        <v>11.503164556962025</v>
      </c>
      <c r="P18722" s="559"/>
      <c r="Q18722" s="559"/>
      <c r="R18722" s="559">
        <v>21</v>
      </c>
    </row>
    <row r="18723" spans="1:18" ht="84">
      <c r="A18723" s="555">
        <v>1147</v>
      </c>
      <c r="B18723" s="552" t="s">
        <v>33889</v>
      </c>
      <c r="C18723" s="556" t="s">
        <v>33890</v>
      </c>
      <c r="D18723" s="557">
        <v>2.81</v>
      </c>
      <c r="E18723" s="557">
        <v>2.75</v>
      </c>
      <c r="F18723" s="557"/>
      <c r="G18723" s="557">
        <v>0.06</v>
      </c>
      <c r="H18723" s="558">
        <v>32.33</v>
      </c>
      <c r="I18723" s="558">
        <v>31.64</v>
      </c>
      <c r="J18723" s="558"/>
      <c r="K18723" s="558">
        <v>0.69</v>
      </c>
      <c r="L18723" s="43">
        <v>11.503164556962025</v>
      </c>
      <c r="M18723" s="43">
        <v>11.5021951219512</v>
      </c>
      <c r="N18723" s="43" t="s">
        <v>1690</v>
      </c>
      <c r="O18723" s="43">
        <v>11.503164556962025</v>
      </c>
      <c r="P18723" s="559"/>
      <c r="Q18723" s="559"/>
      <c r="R18723" s="559">
        <v>21</v>
      </c>
    </row>
    <row r="18724" spans="1:18" ht="84">
      <c r="A18724" s="555">
        <v>1148</v>
      </c>
      <c r="B18724" s="552" t="s">
        <v>33891</v>
      </c>
      <c r="C18724" s="556" t="s">
        <v>33892</v>
      </c>
      <c r="D18724" s="557">
        <v>3.33</v>
      </c>
      <c r="E18724" s="557">
        <v>3.26</v>
      </c>
      <c r="F18724" s="557"/>
      <c r="G18724" s="557">
        <v>7.0000000000000007E-2</v>
      </c>
      <c r="H18724" s="558">
        <v>38.31</v>
      </c>
      <c r="I18724" s="558">
        <v>37.5</v>
      </c>
      <c r="J18724" s="558"/>
      <c r="K18724" s="558">
        <v>0.81</v>
      </c>
      <c r="L18724" s="43">
        <v>11.503164556962025</v>
      </c>
      <c r="M18724" s="43">
        <v>11.503067484662578</v>
      </c>
      <c r="N18724" s="43" t="s">
        <v>1690</v>
      </c>
      <c r="O18724" s="43">
        <v>11.503164556962025</v>
      </c>
      <c r="P18724" s="559"/>
      <c r="Q18724" s="559"/>
      <c r="R18724" s="559">
        <v>21</v>
      </c>
    </row>
    <row r="18725" spans="1:18" ht="84">
      <c r="A18725" s="555">
        <v>1149</v>
      </c>
      <c r="B18725" s="552" t="s">
        <v>33893</v>
      </c>
      <c r="C18725" s="556" t="s">
        <v>33894</v>
      </c>
      <c r="D18725" s="557">
        <v>3.95</v>
      </c>
      <c r="E18725" s="557">
        <v>3.87</v>
      </c>
      <c r="F18725" s="557"/>
      <c r="G18725" s="557">
        <v>0.08</v>
      </c>
      <c r="H18725" s="558">
        <v>45.45</v>
      </c>
      <c r="I18725" s="558">
        <v>44.53</v>
      </c>
      <c r="J18725" s="558"/>
      <c r="K18725" s="558">
        <v>0.92</v>
      </c>
      <c r="L18725" s="43">
        <v>11.503164556962025</v>
      </c>
      <c r="M18725" s="43">
        <v>11.5021951219512</v>
      </c>
      <c r="N18725" s="43" t="s">
        <v>1690</v>
      </c>
      <c r="O18725" s="43">
        <v>11.503164556962025</v>
      </c>
      <c r="P18725" s="559"/>
      <c r="Q18725" s="559"/>
      <c r="R18725" s="559">
        <v>21</v>
      </c>
    </row>
    <row r="18726" spans="1:18" ht="84">
      <c r="A18726" s="555">
        <v>1150</v>
      </c>
      <c r="B18726" s="552" t="s">
        <v>33895</v>
      </c>
      <c r="C18726" s="556" t="s">
        <v>33896</v>
      </c>
      <c r="D18726" s="557">
        <v>3.74</v>
      </c>
      <c r="E18726" s="557">
        <v>3.67</v>
      </c>
      <c r="F18726" s="557"/>
      <c r="G18726" s="557">
        <v>7.0000000000000007E-2</v>
      </c>
      <c r="H18726" s="558">
        <v>43</v>
      </c>
      <c r="I18726" s="558">
        <v>42.19</v>
      </c>
      <c r="J18726" s="558"/>
      <c r="K18726" s="558">
        <v>0.81</v>
      </c>
      <c r="L18726" s="43">
        <v>11.503164556962025</v>
      </c>
      <c r="M18726" s="43">
        <v>11.49591280653951</v>
      </c>
      <c r="N18726" s="43" t="s">
        <v>1690</v>
      </c>
      <c r="O18726" s="43">
        <v>11.503164556962025</v>
      </c>
      <c r="P18726" s="559"/>
      <c r="Q18726" s="559"/>
      <c r="R18726" s="559">
        <v>21</v>
      </c>
    </row>
    <row r="18727" spans="1:18" ht="84">
      <c r="A18727" s="555">
        <v>1151</v>
      </c>
      <c r="B18727" s="552" t="s">
        <v>33897</v>
      </c>
      <c r="C18727" s="556" t="s">
        <v>33898</v>
      </c>
      <c r="D18727" s="557">
        <v>4.47</v>
      </c>
      <c r="E18727" s="557">
        <v>4.38</v>
      </c>
      <c r="F18727" s="557"/>
      <c r="G18727" s="557">
        <v>0.09</v>
      </c>
      <c r="H18727" s="558">
        <v>51.43</v>
      </c>
      <c r="I18727" s="558">
        <v>50.39</v>
      </c>
      <c r="J18727" s="558"/>
      <c r="K18727" s="558">
        <v>1.04</v>
      </c>
      <c r="L18727" s="43">
        <v>11.503164556962025</v>
      </c>
      <c r="M18727" s="43">
        <v>11.504566210045663</v>
      </c>
      <c r="N18727" s="43" t="s">
        <v>1690</v>
      </c>
      <c r="O18727" s="43">
        <v>11.503164556962025</v>
      </c>
      <c r="P18727" s="559"/>
      <c r="Q18727" s="559"/>
      <c r="R18727" s="559">
        <v>21</v>
      </c>
    </row>
    <row r="18728" spans="1:18" ht="84">
      <c r="A18728" s="555">
        <v>1152</v>
      </c>
      <c r="B18728" s="552" t="s">
        <v>33899</v>
      </c>
      <c r="C18728" s="556" t="s">
        <v>33900</v>
      </c>
      <c r="D18728" s="557">
        <v>5.2</v>
      </c>
      <c r="E18728" s="557">
        <v>5.0999999999999996</v>
      </c>
      <c r="F18728" s="557"/>
      <c r="G18728" s="557">
        <v>0.1</v>
      </c>
      <c r="H18728" s="558">
        <v>59.75</v>
      </c>
      <c r="I18728" s="558">
        <v>58.6</v>
      </c>
      <c r="J18728" s="558"/>
      <c r="K18728" s="558">
        <v>1.1499999999999999</v>
      </c>
      <c r="L18728" s="43">
        <v>11.503164556962025</v>
      </c>
      <c r="M18728" s="43">
        <v>11.5</v>
      </c>
      <c r="N18728" s="43" t="s">
        <v>1690</v>
      </c>
      <c r="O18728" s="43">
        <v>11.503164556962025</v>
      </c>
      <c r="P18728" s="559"/>
      <c r="Q18728" s="559"/>
      <c r="R18728" s="559">
        <v>21</v>
      </c>
    </row>
    <row r="18729" spans="1:18" ht="84">
      <c r="A18729" s="555">
        <v>1153</v>
      </c>
      <c r="B18729" s="552" t="s">
        <v>33901</v>
      </c>
      <c r="C18729" s="556" t="s">
        <v>33902</v>
      </c>
      <c r="D18729" s="557">
        <v>4.99</v>
      </c>
      <c r="E18729" s="557">
        <v>4.8899999999999997</v>
      </c>
      <c r="F18729" s="557"/>
      <c r="G18729" s="557">
        <v>0.1</v>
      </c>
      <c r="H18729" s="558">
        <v>57.4</v>
      </c>
      <c r="I18729" s="558">
        <v>56.25</v>
      </c>
      <c r="J18729" s="558"/>
      <c r="K18729" s="558">
        <v>1.1499999999999999</v>
      </c>
      <c r="L18729" s="43">
        <v>11.503164556962025</v>
      </c>
      <c r="M18729" s="43">
        <v>11.503067484662578</v>
      </c>
      <c r="N18729" s="43" t="s">
        <v>1690</v>
      </c>
      <c r="O18729" s="43">
        <v>11.503164556962025</v>
      </c>
      <c r="P18729" s="559"/>
      <c r="Q18729" s="559"/>
      <c r="R18729" s="559">
        <v>21</v>
      </c>
    </row>
    <row r="18730" spans="1:18" ht="84">
      <c r="A18730" s="555">
        <v>1154</v>
      </c>
      <c r="B18730" s="552" t="s">
        <v>33903</v>
      </c>
      <c r="C18730" s="556" t="s">
        <v>33904</v>
      </c>
      <c r="D18730" s="557">
        <v>5.93</v>
      </c>
      <c r="E18730" s="557">
        <v>5.81</v>
      </c>
      <c r="F18730" s="557"/>
      <c r="G18730" s="557">
        <v>0.12</v>
      </c>
      <c r="H18730" s="558">
        <v>68.180000000000007</v>
      </c>
      <c r="I18730" s="558">
        <v>66.8</v>
      </c>
      <c r="J18730" s="558"/>
      <c r="K18730" s="558">
        <v>1.38</v>
      </c>
      <c r="L18730" s="43">
        <v>11.503164556962025</v>
      </c>
      <c r="M18730" s="43">
        <v>11.497418244406196</v>
      </c>
      <c r="N18730" s="43" t="s">
        <v>1690</v>
      </c>
      <c r="O18730" s="43">
        <v>11.503164556962025</v>
      </c>
      <c r="P18730" s="559"/>
      <c r="Q18730" s="559"/>
      <c r="R18730" s="559">
        <v>21</v>
      </c>
    </row>
    <row r="18731" spans="1:18" ht="84">
      <c r="A18731" s="555">
        <v>1155</v>
      </c>
      <c r="B18731" s="552" t="s">
        <v>33905</v>
      </c>
      <c r="C18731" s="556" t="s">
        <v>33906</v>
      </c>
      <c r="D18731" s="557">
        <v>7.69</v>
      </c>
      <c r="E18731" s="557">
        <v>7.54</v>
      </c>
      <c r="F18731" s="557"/>
      <c r="G18731" s="557">
        <v>0.15</v>
      </c>
      <c r="H18731" s="558">
        <v>88.45</v>
      </c>
      <c r="I18731" s="558">
        <v>86.72</v>
      </c>
      <c r="J18731" s="558"/>
      <c r="K18731" s="558">
        <v>1.73</v>
      </c>
      <c r="L18731" s="43">
        <v>11.503164556962025</v>
      </c>
      <c r="M18731" s="43">
        <v>11.50132625994695</v>
      </c>
      <c r="N18731" s="43" t="s">
        <v>1690</v>
      </c>
      <c r="O18731" s="43">
        <v>11.503164556962025</v>
      </c>
      <c r="P18731" s="559"/>
      <c r="Q18731" s="559"/>
      <c r="R18731" s="559">
        <v>21</v>
      </c>
    </row>
    <row r="18732" spans="1:18" ht="84">
      <c r="A18732" s="555">
        <v>1156</v>
      </c>
      <c r="B18732" s="552" t="s">
        <v>33907</v>
      </c>
      <c r="C18732" s="556" t="s">
        <v>33908</v>
      </c>
      <c r="D18732" s="557">
        <v>2.08</v>
      </c>
      <c r="E18732" s="557">
        <v>2.04</v>
      </c>
      <c r="F18732" s="557"/>
      <c r="G18732" s="557">
        <v>0.04</v>
      </c>
      <c r="H18732" s="558">
        <v>23.9</v>
      </c>
      <c r="I18732" s="558">
        <v>23.44</v>
      </c>
      <c r="J18732" s="558"/>
      <c r="K18732" s="558">
        <v>0.46</v>
      </c>
      <c r="L18732" s="43">
        <v>11.503164556962025</v>
      </c>
      <c r="M18732" s="43">
        <v>11.5</v>
      </c>
      <c r="N18732" s="43" t="s">
        <v>1690</v>
      </c>
      <c r="O18732" s="43">
        <v>11.503164556962025</v>
      </c>
      <c r="P18732" s="559"/>
      <c r="Q18732" s="559"/>
      <c r="R18732" s="559">
        <v>21</v>
      </c>
    </row>
    <row r="18733" spans="1:18" ht="84">
      <c r="A18733" s="555">
        <v>1157</v>
      </c>
      <c r="B18733" s="552" t="s">
        <v>33909</v>
      </c>
      <c r="C18733" s="556" t="s">
        <v>33910</v>
      </c>
      <c r="D18733" s="557">
        <v>2.39</v>
      </c>
      <c r="E18733" s="557">
        <v>2.34</v>
      </c>
      <c r="F18733" s="557"/>
      <c r="G18733" s="557">
        <v>0.05</v>
      </c>
      <c r="H18733" s="558">
        <v>27.53</v>
      </c>
      <c r="I18733" s="558">
        <v>26.95</v>
      </c>
      <c r="J18733" s="558"/>
      <c r="K18733" s="558">
        <v>0.57999999999999996</v>
      </c>
      <c r="L18733" s="43">
        <v>11.503164556962025</v>
      </c>
      <c r="M18733" s="43">
        <v>11.5</v>
      </c>
      <c r="N18733" s="43" t="s">
        <v>1690</v>
      </c>
      <c r="O18733" s="43">
        <v>11.503164556962025</v>
      </c>
      <c r="P18733" s="559"/>
      <c r="Q18733" s="559"/>
      <c r="R18733" s="559">
        <v>21</v>
      </c>
    </row>
    <row r="18734" spans="1:18" ht="84">
      <c r="A18734" s="555">
        <v>1158</v>
      </c>
      <c r="B18734" s="552" t="s">
        <v>33911</v>
      </c>
      <c r="C18734" s="556" t="s">
        <v>33912</v>
      </c>
      <c r="D18734" s="557">
        <v>3.64</v>
      </c>
      <c r="E18734" s="557">
        <v>3.57</v>
      </c>
      <c r="F18734" s="557"/>
      <c r="G18734" s="557">
        <v>7.0000000000000007E-2</v>
      </c>
      <c r="H18734" s="558">
        <v>41.83</v>
      </c>
      <c r="I18734" s="558">
        <v>41.02</v>
      </c>
      <c r="J18734" s="558"/>
      <c r="K18734" s="558">
        <v>0.81</v>
      </c>
      <c r="L18734" s="43">
        <v>11.503164556962025</v>
      </c>
      <c r="M18734" s="43">
        <v>11.5</v>
      </c>
      <c r="N18734" s="43" t="s">
        <v>1690</v>
      </c>
      <c r="O18734" s="43">
        <v>11.503164556962025</v>
      </c>
      <c r="P18734" s="559"/>
      <c r="Q18734" s="559"/>
      <c r="R18734" s="559">
        <v>21</v>
      </c>
    </row>
    <row r="18735" spans="1:18" ht="84">
      <c r="A18735" s="555">
        <v>1159</v>
      </c>
      <c r="B18735" s="552" t="s">
        <v>33913</v>
      </c>
      <c r="C18735" s="556" t="s">
        <v>33914</v>
      </c>
      <c r="D18735" s="557">
        <v>4.26</v>
      </c>
      <c r="E18735" s="557">
        <v>4.18</v>
      </c>
      <c r="F18735" s="557"/>
      <c r="G18735" s="557">
        <v>0.08</v>
      </c>
      <c r="H18735" s="558">
        <v>48.97</v>
      </c>
      <c r="I18735" s="558">
        <v>48.05</v>
      </c>
      <c r="J18735" s="558"/>
      <c r="K18735" s="558">
        <v>0.92</v>
      </c>
      <c r="L18735" s="43">
        <v>11.503164556962025</v>
      </c>
      <c r="M18735" s="43">
        <v>11.495215311004785</v>
      </c>
      <c r="N18735" s="43" t="s">
        <v>1690</v>
      </c>
      <c r="O18735" s="43">
        <v>11.503164556962025</v>
      </c>
      <c r="P18735" s="559"/>
      <c r="Q18735" s="559"/>
      <c r="R18735" s="559">
        <v>21</v>
      </c>
    </row>
    <row r="18736" spans="1:18" ht="84">
      <c r="A18736" s="555">
        <v>1160</v>
      </c>
      <c r="B18736" s="552" t="s">
        <v>33915</v>
      </c>
      <c r="C18736" s="556" t="s">
        <v>33916</v>
      </c>
      <c r="D18736" s="557">
        <v>4.05</v>
      </c>
      <c r="E18736" s="557">
        <v>3.97</v>
      </c>
      <c r="F18736" s="557"/>
      <c r="G18736" s="557">
        <v>0.08</v>
      </c>
      <c r="H18736" s="558">
        <v>46.62</v>
      </c>
      <c r="I18736" s="558">
        <v>45.7</v>
      </c>
      <c r="J18736" s="558"/>
      <c r="K18736" s="558">
        <v>0.92</v>
      </c>
      <c r="L18736" s="43">
        <v>11.503164556962025</v>
      </c>
      <c r="M18736" s="43">
        <v>11.501335012594501</v>
      </c>
      <c r="N18736" s="43" t="s">
        <v>1690</v>
      </c>
      <c r="O18736" s="43">
        <v>11.503164556962025</v>
      </c>
      <c r="P18736" s="559"/>
      <c r="Q18736" s="559"/>
      <c r="R18736" s="559">
        <v>21</v>
      </c>
    </row>
    <row r="18737" spans="1:18" ht="84">
      <c r="A18737" s="555">
        <v>1161</v>
      </c>
      <c r="B18737" s="552" t="s">
        <v>33917</v>
      </c>
      <c r="C18737" s="556" t="s">
        <v>33918</v>
      </c>
      <c r="D18737" s="557">
        <v>4.78</v>
      </c>
      <c r="E18737" s="557">
        <v>4.6900000000000004</v>
      </c>
      <c r="F18737" s="557"/>
      <c r="G18737" s="557">
        <v>0.09</v>
      </c>
      <c r="H18737" s="558">
        <v>54.95</v>
      </c>
      <c r="I18737" s="558">
        <v>53.91</v>
      </c>
      <c r="J18737" s="558"/>
      <c r="K18737" s="558">
        <v>1.04</v>
      </c>
      <c r="L18737" s="43">
        <v>11.503164556962025</v>
      </c>
      <c r="M18737" s="43">
        <v>11.5</v>
      </c>
      <c r="N18737" s="43" t="s">
        <v>1690</v>
      </c>
      <c r="O18737" s="43">
        <v>11.503164556962025</v>
      </c>
      <c r="P18737" s="559"/>
      <c r="Q18737" s="559"/>
      <c r="R18737" s="559">
        <v>21</v>
      </c>
    </row>
    <row r="18738" spans="1:18" ht="84">
      <c r="A18738" s="555">
        <v>1162</v>
      </c>
      <c r="B18738" s="552" t="s">
        <v>33919</v>
      </c>
      <c r="C18738" s="556" t="s">
        <v>33920</v>
      </c>
      <c r="D18738" s="557">
        <v>5.61</v>
      </c>
      <c r="E18738" s="557">
        <v>5.5</v>
      </c>
      <c r="F18738" s="557"/>
      <c r="G18738" s="557">
        <v>0.11</v>
      </c>
      <c r="H18738" s="558">
        <v>64.55</v>
      </c>
      <c r="I18738" s="558">
        <v>63.28</v>
      </c>
      <c r="J18738" s="558"/>
      <c r="K18738" s="558">
        <v>1.27</v>
      </c>
      <c r="L18738" s="43">
        <v>11.503164556962025</v>
      </c>
      <c r="M18738" s="43">
        <v>11.5021951219512</v>
      </c>
      <c r="N18738" s="43" t="s">
        <v>1690</v>
      </c>
      <c r="O18738" s="43">
        <v>11.503164556962025</v>
      </c>
      <c r="P18738" s="559"/>
      <c r="Q18738" s="559"/>
      <c r="R18738" s="559">
        <v>21</v>
      </c>
    </row>
    <row r="18739" spans="1:18" ht="84">
      <c r="A18739" s="555">
        <v>1163</v>
      </c>
      <c r="B18739" s="552" t="s">
        <v>33921</v>
      </c>
      <c r="C18739" s="556" t="s">
        <v>33922</v>
      </c>
      <c r="D18739" s="557">
        <v>5.3</v>
      </c>
      <c r="E18739" s="557">
        <v>5.2</v>
      </c>
      <c r="F18739" s="557"/>
      <c r="G18739" s="557">
        <v>0.1</v>
      </c>
      <c r="H18739" s="558">
        <v>60.92</v>
      </c>
      <c r="I18739" s="558">
        <v>59.77</v>
      </c>
      <c r="J18739" s="558"/>
      <c r="K18739" s="558">
        <v>1.1499999999999999</v>
      </c>
      <c r="L18739" s="43">
        <v>11.503164556962025</v>
      </c>
      <c r="M18739" s="43">
        <v>11.5</v>
      </c>
      <c r="N18739" s="43" t="s">
        <v>1690</v>
      </c>
      <c r="O18739" s="43">
        <v>11.503164556962025</v>
      </c>
      <c r="P18739" s="559"/>
      <c r="Q18739" s="559"/>
      <c r="R18739" s="559">
        <v>21</v>
      </c>
    </row>
    <row r="18740" spans="1:18" ht="84">
      <c r="A18740" s="555">
        <v>1164</v>
      </c>
      <c r="B18740" s="552" t="s">
        <v>33923</v>
      </c>
      <c r="C18740" s="556" t="s">
        <v>33924</v>
      </c>
      <c r="D18740" s="557">
        <v>6.34</v>
      </c>
      <c r="E18740" s="557">
        <v>6.22</v>
      </c>
      <c r="F18740" s="557"/>
      <c r="G18740" s="557">
        <v>0.12</v>
      </c>
      <c r="H18740" s="558">
        <v>72.87</v>
      </c>
      <c r="I18740" s="558">
        <v>71.489999999999995</v>
      </c>
      <c r="J18740" s="558"/>
      <c r="K18740" s="558">
        <v>1.38</v>
      </c>
      <c r="L18740" s="43">
        <v>11.503164556962025</v>
      </c>
      <c r="M18740" s="43">
        <v>11.5</v>
      </c>
      <c r="N18740" s="43" t="s">
        <v>1690</v>
      </c>
      <c r="O18740" s="43">
        <v>11.503164556962025</v>
      </c>
      <c r="P18740" s="559"/>
      <c r="Q18740" s="559"/>
      <c r="R18740" s="559">
        <v>21</v>
      </c>
    </row>
    <row r="18741" spans="1:18" ht="84">
      <c r="A18741" s="555">
        <v>1165</v>
      </c>
      <c r="B18741" s="552" t="s">
        <v>33925</v>
      </c>
      <c r="C18741" s="556" t="s">
        <v>33926</v>
      </c>
      <c r="D18741" s="557">
        <v>7.37</v>
      </c>
      <c r="E18741" s="557">
        <v>7.23</v>
      </c>
      <c r="F18741" s="557"/>
      <c r="G18741" s="557">
        <v>0.14000000000000001</v>
      </c>
      <c r="H18741" s="558">
        <v>84.81</v>
      </c>
      <c r="I18741" s="558">
        <v>83.2</v>
      </c>
      <c r="J18741" s="558"/>
      <c r="K18741" s="558">
        <v>1.61</v>
      </c>
      <c r="L18741" s="43">
        <v>11.503164556962025</v>
      </c>
      <c r="M18741" s="43">
        <v>11.5021951219512</v>
      </c>
      <c r="N18741" s="43" t="s">
        <v>1690</v>
      </c>
      <c r="O18741" s="43">
        <v>11.503164556962025</v>
      </c>
      <c r="P18741" s="559"/>
      <c r="Q18741" s="559"/>
      <c r="R18741" s="559">
        <v>21</v>
      </c>
    </row>
    <row r="18742" spans="1:18" ht="84">
      <c r="A18742" s="555">
        <v>1166</v>
      </c>
      <c r="B18742" s="552" t="s">
        <v>33927</v>
      </c>
      <c r="C18742" s="556" t="s">
        <v>33928</v>
      </c>
      <c r="D18742" s="557">
        <v>7.07</v>
      </c>
      <c r="E18742" s="557">
        <v>6.93</v>
      </c>
      <c r="F18742" s="557"/>
      <c r="G18742" s="557">
        <v>0.14000000000000001</v>
      </c>
      <c r="H18742" s="558">
        <v>81.3</v>
      </c>
      <c r="I18742" s="558">
        <v>79.69</v>
      </c>
      <c r="J18742" s="558"/>
      <c r="K18742" s="558">
        <v>1.61</v>
      </c>
      <c r="L18742" s="43">
        <v>11.503164556962025</v>
      </c>
      <c r="M18742" s="43">
        <v>11.4992784992785</v>
      </c>
      <c r="N18742" s="43" t="s">
        <v>1690</v>
      </c>
      <c r="O18742" s="43">
        <v>11.503164556962025</v>
      </c>
      <c r="P18742" s="559"/>
      <c r="Q18742" s="559"/>
      <c r="R18742" s="559">
        <v>21</v>
      </c>
    </row>
    <row r="18743" spans="1:18" ht="84">
      <c r="A18743" s="555">
        <v>1167</v>
      </c>
      <c r="B18743" s="552" t="s">
        <v>33929</v>
      </c>
      <c r="C18743" s="556" t="s">
        <v>33930</v>
      </c>
      <c r="D18743" s="557">
        <v>8.42</v>
      </c>
      <c r="E18743" s="557">
        <v>8.25</v>
      </c>
      <c r="F18743" s="557"/>
      <c r="G18743" s="557">
        <v>0.17</v>
      </c>
      <c r="H18743" s="558">
        <v>96.88</v>
      </c>
      <c r="I18743" s="558">
        <v>94.92</v>
      </c>
      <c r="J18743" s="558"/>
      <c r="K18743" s="558">
        <v>1.96</v>
      </c>
      <c r="L18743" s="43">
        <v>11.503164556962025</v>
      </c>
      <c r="M18743" s="43">
        <v>11.5021951219512</v>
      </c>
      <c r="N18743" s="43" t="s">
        <v>1690</v>
      </c>
      <c r="O18743" s="43">
        <v>11.503164556962025</v>
      </c>
      <c r="P18743" s="559"/>
      <c r="Q18743" s="559"/>
      <c r="R18743" s="559">
        <v>21</v>
      </c>
    </row>
    <row r="18744" spans="1:18" ht="84">
      <c r="A18744" s="555">
        <v>1168</v>
      </c>
      <c r="B18744" s="552" t="s">
        <v>33931</v>
      </c>
      <c r="C18744" s="556" t="s">
        <v>33932</v>
      </c>
      <c r="D18744" s="557">
        <v>11.43</v>
      </c>
      <c r="E18744" s="557">
        <v>11.21</v>
      </c>
      <c r="F18744" s="557"/>
      <c r="G18744" s="557">
        <v>0.22</v>
      </c>
      <c r="H18744" s="558">
        <v>131.44</v>
      </c>
      <c r="I18744" s="558">
        <v>128.91</v>
      </c>
      <c r="J18744" s="558"/>
      <c r="K18744" s="558">
        <v>2.5299999999999998</v>
      </c>
      <c r="L18744" s="43">
        <v>11.503164556962025</v>
      </c>
      <c r="M18744" s="43">
        <v>11.499553969669936</v>
      </c>
      <c r="N18744" s="43" t="s">
        <v>1690</v>
      </c>
      <c r="O18744" s="43">
        <v>11.503164556962025</v>
      </c>
      <c r="P18744" s="559"/>
      <c r="Q18744" s="559"/>
      <c r="R18744" s="559">
        <v>21</v>
      </c>
    </row>
    <row r="18745" spans="1:18" ht="84">
      <c r="A18745" s="555">
        <v>1169</v>
      </c>
      <c r="B18745" s="552" t="s">
        <v>33933</v>
      </c>
      <c r="C18745" s="556" t="s">
        <v>33934</v>
      </c>
      <c r="D18745" s="557">
        <v>3.53</v>
      </c>
      <c r="E18745" s="557">
        <v>3.46</v>
      </c>
      <c r="F18745" s="557"/>
      <c r="G18745" s="557">
        <v>7.0000000000000007E-2</v>
      </c>
      <c r="H18745" s="558">
        <v>40.65</v>
      </c>
      <c r="I18745" s="558">
        <v>39.840000000000003</v>
      </c>
      <c r="J18745" s="558"/>
      <c r="K18745" s="558">
        <v>0.81</v>
      </c>
      <c r="L18745" s="43">
        <v>11.503164556962025</v>
      </c>
      <c r="M18745" s="43">
        <v>11.504450867052</v>
      </c>
      <c r="N18745" s="43" t="s">
        <v>1690</v>
      </c>
      <c r="O18745" s="43">
        <v>11.503164556962025</v>
      </c>
      <c r="P18745" s="559"/>
      <c r="Q18745" s="559"/>
      <c r="R18745" s="559">
        <v>21</v>
      </c>
    </row>
    <row r="18746" spans="1:18" ht="84">
      <c r="A18746" s="555">
        <v>1170</v>
      </c>
      <c r="B18746" s="552" t="s">
        <v>33935</v>
      </c>
      <c r="C18746" s="556" t="s">
        <v>33936</v>
      </c>
      <c r="D18746" s="557">
        <v>4.05</v>
      </c>
      <c r="E18746" s="557">
        <v>3.97</v>
      </c>
      <c r="F18746" s="557"/>
      <c r="G18746" s="557">
        <v>0.08</v>
      </c>
      <c r="H18746" s="558">
        <v>46.62</v>
      </c>
      <c r="I18746" s="558">
        <v>45.7</v>
      </c>
      <c r="J18746" s="558"/>
      <c r="K18746" s="558">
        <v>0.92</v>
      </c>
      <c r="L18746" s="43">
        <v>11.503164556962025</v>
      </c>
      <c r="M18746" s="43">
        <v>11.501335012594501</v>
      </c>
      <c r="N18746" s="43" t="s">
        <v>1690</v>
      </c>
      <c r="O18746" s="43">
        <v>11.503164556962025</v>
      </c>
      <c r="P18746" s="559"/>
      <c r="Q18746" s="559"/>
      <c r="R18746" s="559">
        <v>21</v>
      </c>
    </row>
    <row r="18747" spans="1:18" ht="84">
      <c r="A18747" s="555">
        <v>1171</v>
      </c>
      <c r="B18747" s="552" t="s">
        <v>33937</v>
      </c>
      <c r="C18747" s="556" t="s">
        <v>33938</v>
      </c>
      <c r="D18747" s="557">
        <v>6.23</v>
      </c>
      <c r="E18747" s="557">
        <v>6.11</v>
      </c>
      <c r="F18747" s="557"/>
      <c r="G18747" s="557">
        <v>0.12</v>
      </c>
      <c r="H18747" s="558">
        <v>71.69</v>
      </c>
      <c r="I18747" s="558">
        <v>70.31</v>
      </c>
      <c r="J18747" s="558"/>
      <c r="K18747" s="558">
        <v>1.38</v>
      </c>
      <c r="L18747" s="43">
        <v>11.503164556962025</v>
      </c>
      <c r="M18747" s="43">
        <v>11.5</v>
      </c>
      <c r="N18747" s="43" t="s">
        <v>1690</v>
      </c>
      <c r="O18747" s="43">
        <v>11.503164556962025</v>
      </c>
      <c r="P18747" s="559"/>
      <c r="Q18747" s="559"/>
      <c r="R18747" s="559">
        <v>21</v>
      </c>
    </row>
    <row r="18748" spans="1:18" ht="84">
      <c r="A18748" s="555">
        <v>1172</v>
      </c>
      <c r="B18748" s="552" t="s">
        <v>33939</v>
      </c>
      <c r="C18748" s="556" t="s">
        <v>33940</v>
      </c>
      <c r="D18748" s="557">
        <v>7.27</v>
      </c>
      <c r="E18748" s="557">
        <v>7.13</v>
      </c>
      <c r="F18748" s="557"/>
      <c r="G18748" s="557">
        <v>0.14000000000000001</v>
      </c>
      <c r="H18748" s="558">
        <v>83.64</v>
      </c>
      <c r="I18748" s="558">
        <v>82.03</v>
      </c>
      <c r="J18748" s="558"/>
      <c r="K18748" s="558">
        <v>1.61</v>
      </c>
      <c r="L18748" s="43">
        <v>11.503164556962025</v>
      </c>
      <c r="M18748" s="43">
        <v>11.504908835904629</v>
      </c>
      <c r="N18748" s="43" t="s">
        <v>1690</v>
      </c>
      <c r="O18748" s="43">
        <v>11.503164556962025</v>
      </c>
      <c r="P18748" s="559"/>
      <c r="Q18748" s="559"/>
      <c r="R18748" s="559">
        <v>21</v>
      </c>
    </row>
    <row r="18749" spans="1:18" ht="84">
      <c r="A18749" s="555">
        <v>1173</v>
      </c>
      <c r="B18749" s="552" t="s">
        <v>33941</v>
      </c>
      <c r="C18749" s="556" t="s">
        <v>33942</v>
      </c>
      <c r="D18749" s="557">
        <v>6.86</v>
      </c>
      <c r="E18749" s="557">
        <v>6.73</v>
      </c>
      <c r="F18749" s="557"/>
      <c r="G18749" s="557">
        <v>0.13</v>
      </c>
      <c r="H18749" s="558">
        <v>78.849999999999994</v>
      </c>
      <c r="I18749" s="558">
        <v>77.349999999999994</v>
      </c>
      <c r="J18749" s="558"/>
      <c r="K18749" s="558">
        <v>1.5</v>
      </c>
      <c r="L18749" s="43">
        <v>11.503164556962025</v>
      </c>
      <c r="M18749" s="43">
        <v>11.5</v>
      </c>
      <c r="N18749" s="43" t="s">
        <v>1690</v>
      </c>
      <c r="O18749" s="43">
        <v>11.503164556962025</v>
      </c>
      <c r="P18749" s="559"/>
      <c r="Q18749" s="559"/>
      <c r="R18749" s="559">
        <v>21</v>
      </c>
    </row>
    <row r="18750" spans="1:18" ht="84">
      <c r="A18750" s="555">
        <v>1174</v>
      </c>
      <c r="B18750" s="552" t="s">
        <v>33943</v>
      </c>
      <c r="C18750" s="556" t="s">
        <v>33944</v>
      </c>
      <c r="D18750" s="557">
        <v>8.31</v>
      </c>
      <c r="E18750" s="557">
        <v>8.15</v>
      </c>
      <c r="F18750" s="557"/>
      <c r="G18750" s="557">
        <v>0.16</v>
      </c>
      <c r="H18750" s="558">
        <v>95.59</v>
      </c>
      <c r="I18750" s="558">
        <v>93.75</v>
      </c>
      <c r="J18750" s="558"/>
      <c r="K18750" s="558">
        <v>1.84</v>
      </c>
      <c r="L18750" s="43">
        <v>11.503164556962025</v>
      </c>
      <c r="M18750" s="43">
        <v>11.503067484662576</v>
      </c>
      <c r="N18750" s="43" t="s">
        <v>1690</v>
      </c>
      <c r="O18750" s="43">
        <v>11.503164556962025</v>
      </c>
      <c r="P18750" s="559"/>
      <c r="Q18750" s="559"/>
      <c r="R18750" s="559">
        <v>21</v>
      </c>
    </row>
    <row r="18751" spans="1:18" ht="84">
      <c r="A18751" s="555">
        <v>1175</v>
      </c>
      <c r="B18751" s="552" t="s">
        <v>33945</v>
      </c>
      <c r="C18751" s="556" t="s">
        <v>33946</v>
      </c>
      <c r="D18751" s="557">
        <v>9.4600000000000009</v>
      </c>
      <c r="E18751" s="557">
        <v>9.27</v>
      </c>
      <c r="F18751" s="557"/>
      <c r="G18751" s="557">
        <v>0.19</v>
      </c>
      <c r="H18751" s="558">
        <v>108.83</v>
      </c>
      <c r="I18751" s="558">
        <v>106.64</v>
      </c>
      <c r="J18751" s="558"/>
      <c r="K18751" s="558">
        <v>2.19</v>
      </c>
      <c r="L18751" s="43">
        <v>11.503164556962025</v>
      </c>
      <c r="M18751" s="43">
        <v>11.503775620280475</v>
      </c>
      <c r="N18751" s="43" t="s">
        <v>1690</v>
      </c>
      <c r="O18751" s="43">
        <v>11.503164556962025</v>
      </c>
      <c r="P18751" s="559"/>
      <c r="Q18751" s="559"/>
      <c r="R18751" s="559">
        <v>21</v>
      </c>
    </row>
    <row r="18752" spans="1:18" ht="84">
      <c r="A18752" s="555">
        <v>1176</v>
      </c>
      <c r="B18752" s="552" t="s">
        <v>33947</v>
      </c>
      <c r="C18752" s="556" t="s">
        <v>33948</v>
      </c>
      <c r="D18752" s="557">
        <v>9.15</v>
      </c>
      <c r="E18752" s="557">
        <v>8.9700000000000006</v>
      </c>
      <c r="F18752" s="557"/>
      <c r="G18752" s="557">
        <v>0.18</v>
      </c>
      <c r="H18752" s="558">
        <v>105.2</v>
      </c>
      <c r="I18752" s="558">
        <v>103.13</v>
      </c>
      <c r="J18752" s="558"/>
      <c r="K18752" s="558">
        <v>2.0699999999999998</v>
      </c>
      <c r="L18752" s="43">
        <v>11.503164556962025</v>
      </c>
      <c r="M18752" s="43">
        <v>11.49721293199554</v>
      </c>
      <c r="N18752" s="43" t="s">
        <v>1690</v>
      </c>
      <c r="O18752" s="43">
        <v>11.503164556962025</v>
      </c>
      <c r="P18752" s="559"/>
      <c r="Q18752" s="559"/>
      <c r="R18752" s="559">
        <v>21</v>
      </c>
    </row>
    <row r="18753" spans="1:18" ht="84">
      <c r="A18753" s="555">
        <v>1177</v>
      </c>
      <c r="B18753" s="552" t="s">
        <v>33949</v>
      </c>
      <c r="C18753" s="556" t="s">
        <v>33950</v>
      </c>
      <c r="D18753" s="557">
        <v>11.43</v>
      </c>
      <c r="E18753" s="557">
        <v>11.21</v>
      </c>
      <c r="F18753" s="557"/>
      <c r="G18753" s="557">
        <v>0.22</v>
      </c>
      <c r="H18753" s="558">
        <v>131.44</v>
      </c>
      <c r="I18753" s="558">
        <v>128.91</v>
      </c>
      <c r="J18753" s="558"/>
      <c r="K18753" s="558">
        <v>2.5299999999999998</v>
      </c>
      <c r="L18753" s="43">
        <v>11.503164556962025</v>
      </c>
      <c r="M18753" s="43">
        <v>11.499553969669936</v>
      </c>
      <c r="N18753" s="43" t="s">
        <v>1690</v>
      </c>
      <c r="O18753" s="43">
        <v>11.503164556962025</v>
      </c>
      <c r="P18753" s="559"/>
      <c r="Q18753" s="559"/>
      <c r="R18753" s="559">
        <v>21</v>
      </c>
    </row>
    <row r="18754" spans="1:18" ht="84">
      <c r="A18754" s="555">
        <v>1178</v>
      </c>
      <c r="B18754" s="552" t="s">
        <v>33951</v>
      </c>
      <c r="C18754" s="556" t="s">
        <v>33952</v>
      </c>
      <c r="D18754" s="557">
        <v>13.51</v>
      </c>
      <c r="E18754" s="557">
        <v>13.25</v>
      </c>
      <c r="F18754" s="557"/>
      <c r="G18754" s="557">
        <v>0.26</v>
      </c>
      <c r="H18754" s="558">
        <v>155.34</v>
      </c>
      <c r="I18754" s="558">
        <v>152.35</v>
      </c>
      <c r="J18754" s="558"/>
      <c r="K18754" s="558">
        <v>2.99</v>
      </c>
      <c r="L18754" s="43">
        <v>11.503164556962025</v>
      </c>
      <c r="M18754" s="43">
        <v>11.498113207547169</v>
      </c>
      <c r="N18754" s="43" t="s">
        <v>1690</v>
      </c>
      <c r="O18754" s="43">
        <v>11.503164556962025</v>
      </c>
      <c r="P18754" s="559"/>
      <c r="Q18754" s="559"/>
      <c r="R18754" s="559">
        <v>21</v>
      </c>
    </row>
    <row r="18755" spans="1:18" ht="84">
      <c r="A18755" s="555">
        <v>1179</v>
      </c>
      <c r="B18755" s="552" t="s">
        <v>33953</v>
      </c>
      <c r="C18755" s="556" t="s">
        <v>33954</v>
      </c>
      <c r="D18755" s="557">
        <v>12.47</v>
      </c>
      <c r="E18755" s="557">
        <v>12.23</v>
      </c>
      <c r="F18755" s="557"/>
      <c r="G18755" s="557">
        <v>0.24</v>
      </c>
      <c r="H18755" s="558">
        <v>143.38999999999999</v>
      </c>
      <c r="I18755" s="558">
        <v>140.63</v>
      </c>
      <c r="J18755" s="558"/>
      <c r="K18755" s="558">
        <v>2.76</v>
      </c>
      <c r="L18755" s="43">
        <v>11.503164556962025</v>
      </c>
      <c r="M18755" s="43">
        <v>11.498773507767783</v>
      </c>
      <c r="N18755" s="43" t="s">
        <v>1690</v>
      </c>
      <c r="O18755" s="43">
        <v>11.503164556962025</v>
      </c>
      <c r="P18755" s="559"/>
      <c r="Q18755" s="559"/>
      <c r="R18755" s="559">
        <v>21</v>
      </c>
    </row>
    <row r="18756" spans="1:18" ht="84">
      <c r="A18756" s="555">
        <v>1180</v>
      </c>
      <c r="B18756" s="552" t="s">
        <v>33955</v>
      </c>
      <c r="C18756" s="556" t="s">
        <v>33956</v>
      </c>
      <c r="D18756" s="557">
        <v>14.56</v>
      </c>
      <c r="E18756" s="557">
        <v>14.27</v>
      </c>
      <c r="F18756" s="557"/>
      <c r="G18756" s="557">
        <v>0.28999999999999998</v>
      </c>
      <c r="H18756" s="558">
        <v>167.41</v>
      </c>
      <c r="I18756" s="558">
        <v>164.07</v>
      </c>
      <c r="J18756" s="558"/>
      <c r="K18756" s="558">
        <v>3.34</v>
      </c>
      <c r="L18756" s="43">
        <v>11.503164556962025</v>
      </c>
      <c r="M18756" s="43">
        <v>11.497547302032235</v>
      </c>
      <c r="N18756" s="43" t="s">
        <v>1690</v>
      </c>
      <c r="O18756" s="43">
        <v>11.503164556962025</v>
      </c>
      <c r="P18756" s="559"/>
      <c r="Q18756" s="559"/>
      <c r="R18756" s="559">
        <v>21</v>
      </c>
    </row>
    <row r="18757" spans="1:18" ht="84">
      <c r="A18757" s="555">
        <v>1181</v>
      </c>
      <c r="B18757" s="552" t="s">
        <v>33957</v>
      </c>
      <c r="C18757" s="556" t="s">
        <v>33958</v>
      </c>
      <c r="D18757" s="557">
        <v>18.71</v>
      </c>
      <c r="E18757" s="557">
        <v>18.34</v>
      </c>
      <c r="F18757" s="557"/>
      <c r="G18757" s="557">
        <v>0.37</v>
      </c>
      <c r="H18757" s="558">
        <v>215.2</v>
      </c>
      <c r="I18757" s="558">
        <v>210.94</v>
      </c>
      <c r="J18757" s="558"/>
      <c r="K18757" s="558">
        <v>4.26</v>
      </c>
      <c r="L18757" s="43">
        <v>11.503164556962025</v>
      </c>
      <c r="M18757" s="43">
        <v>11.501635768811342</v>
      </c>
      <c r="N18757" s="43" t="s">
        <v>1690</v>
      </c>
      <c r="O18757" s="43">
        <v>11.503164556962025</v>
      </c>
      <c r="P18757" s="559"/>
      <c r="Q18757" s="559"/>
      <c r="R18757" s="559">
        <v>21</v>
      </c>
    </row>
    <row r="18758" spans="1:18" ht="12.75" customHeight="1">
      <c r="A18758" s="628" t="s">
        <v>33959</v>
      </c>
      <c r="B18758" s="629"/>
      <c r="C18758" s="629"/>
      <c r="D18758" s="629"/>
      <c r="E18758" s="629"/>
      <c r="F18758" s="629"/>
      <c r="G18758" s="629"/>
      <c r="H18758" s="629"/>
      <c r="I18758" s="629"/>
      <c r="J18758" s="629"/>
      <c r="K18758" s="629"/>
      <c r="L18758" s="629"/>
      <c r="M18758" s="629"/>
      <c r="N18758" s="629"/>
      <c r="O18758" s="629"/>
      <c r="P18758" s="629"/>
      <c r="Q18758" s="629"/>
      <c r="R18758" s="629"/>
    </row>
    <row r="18759" spans="1:18" ht="84">
      <c r="A18759" s="555">
        <v>1182</v>
      </c>
      <c r="B18759" s="552" t="s">
        <v>33960</v>
      </c>
      <c r="C18759" s="556" t="s">
        <v>33961</v>
      </c>
      <c r="D18759" s="557">
        <v>2.91</v>
      </c>
      <c r="E18759" s="557">
        <v>2.85</v>
      </c>
      <c r="F18759" s="557"/>
      <c r="G18759" s="557">
        <v>0.06</v>
      </c>
      <c r="H18759" s="558">
        <v>33.5</v>
      </c>
      <c r="I18759" s="558">
        <v>32.81</v>
      </c>
      <c r="J18759" s="558"/>
      <c r="K18759" s="558">
        <v>0.69</v>
      </c>
      <c r="L18759" s="43">
        <v>11.503164556962025</v>
      </c>
      <c r="M18759" s="43">
        <v>11.502280701754399</v>
      </c>
      <c r="N18759" s="43" t="s">
        <v>1690</v>
      </c>
      <c r="O18759" s="43">
        <v>11.503164556962025</v>
      </c>
      <c r="P18759" s="559"/>
      <c r="Q18759" s="559"/>
      <c r="R18759" s="559">
        <v>22</v>
      </c>
    </row>
    <row r="18760" spans="1:18" ht="84">
      <c r="A18760" s="555">
        <v>1183</v>
      </c>
      <c r="B18760" s="552" t="s">
        <v>33962</v>
      </c>
      <c r="C18760" s="556" t="s">
        <v>33963</v>
      </c>
      <c r="D18760" s="557">
        <v>3.33</v>
      </c>
      <c r="E18760" s="557">
        <v>3.26</v>
      </c>
      <c r="F18760" s="557"/>
      <c r="G18760" s="557">
        <v>7.0000000000000007E-2</v>
      </c>
      <c r="H18760" s="558">
        <v>38.31</v>
      </c>
      <c r="I18760" s="558">
        <v>37.5</v>
      </c>
      <c r="J18760" s="558"/>
      <c r="K18760" s="558">
        <v>0.81</v>
      </c>
      <c r="L18760" s="43">
        <v>11.504504504504505</v>
      </c>
      <c r="M18760" s="43">
        <v>11.503067484662578</v>
      </c>
      <c r="N18760" s="43" t="s">
        <v>1690</v>
      </c>
      <c r="O18760" s="43">
        <v>11.503164556962025</v>
      </c>
      <c r="P18760" s="559"/>
      <c r="Q18760" s="559"/>
      <c r="R18760" s="559">
        <v>22</v>
      </c>
    </row>
    <row r="18761" spans="1:18" ht="84">
      <c r="A18761" s="555">
        <v>1184</v>
      </c>
      <c r="B18761" s="552" t="s">
        <v>33964</v>
      </c>
      <c r="C18761" s="556" t="s">
        <v>33965</v>
      </c>
      <c r="D18761" s="557">
        <v>4.99</v>
      </c>
      <c r="E18761" s="557">
        <v>4.8899999999999997</v>
      </c>
      <c r="F18761" s="557"/>
      <c r="G18761" s="557">
        <v>0.1</v>
      </c>
      <c r="H18761" s="558">
        <v>57.4</v>
      </c>
      <c r="I18761" s="558">
        <v>56.25</v>
      </c>
      <c r="J18761" s="558"/>
      <c r="K18761" s="558">
        <v>1.1499999999999999</v>
      </c>
      <c r="L18761" s="43">
        <v>11.503006012024047</v>
      </c>
      <c r="M18761" s="43">
        <v>11.503067484662578</v>
      </c>
      <c r="N18761" s="43" t="s">
        <v>1690</v>
      </c>
      <c r="O18761" s="43">
        <v>11.503164556962025</v>
      </c>
      <c r="P18761" s="559"/>
      <c r="Q18761" s="559"/>
      <c r="R18761" s="559">
        <v>22</v>
      </c>
    </row>
    <row r="18762" spans="1:18" ht="84">
      <c r="A18762" s="555">
        <v>1185</v>
      </c>
      <c r="B18762" s="552" t="s">
        <v>33966</v>
      </c>
      <c r="C18762" s="556" t="s">
        <v>33967</v>
      </c>
      <c r="D18762" s="557">
        <v>5.71</v>
      </c>
      <c r="E18762" s="557">
        <v>5.6</v>
      </c>
      <c r="F18762" s="557"/>
      <c r="G18762" s="557">
        <v>0.11</v>
      </c>
      <c r="H18762" s="558">
        <v>65.72</v>
      </c>
      <c r="I18762" s="558">
        <v>64.45</v>
      </c>
      <c r="J18762" s="558"/>
      <c r="K18762" s="558">
        <v>1.27</v>
      </c>
      <c r="L18762" s="43">
        <v>11.5021951219512</v>
      </c>
      <c r="M18762" s="43">
        <v>11.5021951219512</v>
      </c>
      <c r="N18762" s="43" t="s">
        <v>1690</v>
      </c>
      <c r="O18762" s="43">
        <v>11.503164556962025</v>
      </c>
      <c r="P18762" s="559"/>
      <c r="Q18762" s="559"/>
      <c r="R18762" s="559">
        <v>22</v>
      </c>
    </row>
    <row r="18763" spans="1:18" ht="84">
      <c r="A18763" s="555">
        <v>1186</v>
      </c>
      <c r="B18763" s="552" t="s">
        <v>33968</v>
      </c>
      <c r="C18763" s="556" t="s">
        <v>33969</v>
      </c>
      <c r="D18763" s="557">
        <v>5.51</v>
      </c>
      <c r="E18763" s="557">
        <v>5.4</v>
      </c>
      <c r="F18763" s="557"/>
      <c r="G18763" s="557">
        <v>0.11</v>
      </c>
      <c r="H18763" s="558">
        <v>63.38</v>
      </c>
      <c r="I18763" s="558">
        <v>62.11</v>
      </c>
      <c r="J18763" s="558"/>
      <c r="K18763" s="558">
        <v>1.27</v>
      </c>
      <c r="L18763" s="43">
        <v>11.502722323049003</v>
      </c>
      <c r="M18763" s="43">
        <v>11.501851851851852</v>
      </c>
      <c r="N18763" s="43" t="s">
        <v>1690</v>
      </c>
      <c r="O18763" s="43">
        <v>11.503164556962025</v>
      </c>
      <c r="P18763" s="559"/>
      <c r="Q18763" s="559"/>
      <c r="R18763" s="559">
        <v>22</v>
      </c>
    </row>
    <row r="18764" spans="1:18" ht="84">
      <c r="A18764" s="555">
        <v>1187</v>
      </c>
      <c r="B18764" s="552" t="s">
        <v>33970</v>
      </c>
      <c r="C18764" s="556" t="s">
        <v>33971</v>
      </c>
      <c r="D18764" s="557">
        <v>6.45</v>
      </c>
      <c r="E18764" s="557">
        <v>6.32</v>
      </c>
      <c r="F18764" s="557"/>
      <c r="G18764" s="557">
        <v>0.13</v>
      </c>
      <c r="H18764" s="558">
        <v>74.16</v>
      </c>
      <c r="I18764" s="558">
        <v>72.66</v>
      </c>
      <c r="J18764" s="558"/>
      <c r="K18764" s="558">
        <v>1.5</v>
      </c>
      <c r="L18764" s="43">
        <v>11.49767441860465</v>
      </c>
      <c r="M18764" s="43">
        <v>11.496835443037973</v>
      </c>
      <c r="N18764" s="43" t="s">
        <v>1690</v>
      </c>
      <c r="O18764" s="43">
        <v>11.503164556962025</v>
      </c>
      <c r="P18764" s="559"/>
      <c r="Q18764" s="559"/>
      <c r="R18764" s="559">
        <v>22</v>
      </c>
    </row>
    <row r="18765" spans="1:18" ht="84">
      <c r="A18765" s="555">
        <v>1188</v>
      </c>
      <c r="B18765" s="552" t="s">
        <v>33972</v>
      </c>
      <c r="C18765" s="556" t="s">
        <v>33973</v>
      </c>
      <c r="D18765" s="557">
        <v>7.49</v>
      </c>
      <c r="E18765" s="557">
        <v>7.34</v>
      </c>
      <c r="F18765" s="557"/>
      <c r="G18765" s="557">
        <v>0.15</v>
      </c>
      <c r="H18765" s="558">
        <v>86.11</v>
      </c>
      <c r="I18765" s="558">
        <v>84.38</v>
      </c>
      <c r="J18765" s="558"/>
      <c r="K18765" s="558">
        <v>1.73</v>
      </c>
      <c r="L18765" s="43">
        <v>11.496662216288383</v>
      </c>
      <c r="M18765" s="43">
        <v>11.49591280653951</v>
      </c>
      <c r="N18765" s="43" t="s">
        <v>1690</v>
      </c>
      <c r="O18765" s="43">
        <v>11.503164556962025</v>
      </c>
      <c r="P18765" s="559"/>
      <c r="Q18765" s="559"/>
      <c r="R18765" s="559">
        <v>22</v>
      </c>
    </row>
    <row r="18766" spans="1:18" ht="84">
      <c r="A18766" s="555">
        <v>1189</v>
      </c>
      <c r="B18766" s="552" t="s">
        <v>33974</v>
      </c>
      <c r="C18766" s="556" t="s">
        <v>33975</v>
      </c>
      <c r="D18766" s="557">
        <v>7.37</v>
      </c>
      <c r="E18766" s="557">
        <v>7.23</v>
      </c>
      <c r="F18766" s="557"/>
      <c r="G18766" s="557">
        <v>0.14000000000000001</v>
      </c>
      <c r="H18766" s="558">
        <v>84.81</v>
      </c>
      <c r="I18766" s="558">
        <v>83.2</v>
      </c>
      <c r="J18766" s="558"/>
      <c r="K18766" s="558">
        <v>1.61</v>
      </c>
      <c r="L18766" s="43">
        <v>11.5021951219512</v>
      </c>
      <c r="M18766" s="43">
        <v>11.5021951219512</v>
      </c>
      <c r="N18766" s="43" t="s">
        <v>1690</v>
      </c>
      <c r="O18766" s="43">
        <v>11.503164556962025</v>
      </c>
      <c r="P18766" s="559"/>
      <c r="Q18766" s="559"/>
      <c r="R18766" s="559">
        <v>22</v>
      </c>
    </row>
    <row r="18767" spans="1:18" ht="84">
      <c r="A18767" s="555">
        <v>1190</v>
      </c>
      <c r="B18767" s="552" t="s">
        <v>33976</v>
      </c>
      <c r="C18767" s="556" t="s">
        <v>33977</v>
      </c>
      <c r="D18767" s="557">
        <v>8.5299999999999994</v>
      </c>
      <c r="E18767" s="557">
        <v>8.36</v>
      </c>
      <c r="F18767" s="557"/>
      <c r="G18767" s="557">
        <v>0.17</v>
      </c>
      <c r="H18767" s="558">
        <v>98.06</v>
      </c>
      <c r="I18767" s="558">
        <v>96.1</v>
      </c>
      <c r="J18767" s="558"/>
      <c r="K18767" s="558">
        <v>1.96</v>
      </c>
      <c r="L18767" s="43">
        <v>11.495896834701057</v>
      </c>
      <c r="M18767" s="43">
        <v>11.495215311004785</v>
      </c>
      <c r="N18767" s="43" t="s">
        <v>1690</v>
      </c>
      <c r="O18767" s="43">
        <v>11.503164556962025</v>
      </c>
      <c r="P18767" s="559"/>
      <c r="Q18767" s="559"/>
      <c r="R18767" s="559">
        <v>22</v>
      </c>
    </row>
    <row r="18768" spans="1:18" ht="84">
      <c r="A18768" s="555">
        <v>1191</v>
      </c>
      <c r="B18768" s="552" t="s">
        <v>33978</v>
      </c>
      <c r="C18768" s="556" t="s">
        <v>33979</v>
      </c>
      <c r="D18768" s="557">
        <v>9.67</v>
      </c>
      <c r="E18768" s="557">
        <v>9.48</v>
      </c>
      <c r="F18768" s="557"/>
      <c r="G18768" s="557">
        <v>0.19</v>
      </c>
      <c r="H18768" s="558">
        <v>111.18</v>
      </c>
      <c r="I18768" s="558">
        <v>108.99</v>
      </c>
      <c r="J18768" s="558"/>
      <c r="K18768" s="558">
        <v>2.19</v>
      </c>
      <c r="L18768" s="43">
        <v>11.49741468459152</v>
      </c>
      <c r="M18768" s="43">
        <v>11.496835443037973</v>
      </c>
      <c r="N18768" s="43" t="s">
        <v>1690</v>
      </c>
      <c r="O18768" s="43">
        <v>11.503164556962025</v>
      </c>
      <c r="P18768" s="559"/>
      <c r="Q18768" s="559"/>
      <c r="R18768" s="559">
        <v>22</v>
      </c>
    </row>
    <row r="18769" spans="1:18" ht="84">
      <c r="A18769" s="555">
        <v>1192</v>
      </c>
      <c r="B18769" s="552" t="s">
        <v>33980</v>
      </c>
      <c r="C18769" s="556" t="s">
        <v>33981</v>
      </c>
      <c r="D18769" s="557">
        <v>9.56</v>
      </c>
      <c r="E18769" s="557">
        <v>9.3699999999999992</v>
      </c>
      <c r="F18769" s="557"/>
      <c r="G18769" s="557">
        <v>0.19</v>
      </c>
      <c r="H18769" s="558">
        <v>110</v>
      </c>
      <c r="I18769" s="558">
        <v>107.81</v>
      </c>
      <c r="J18769" s="558"/>
      <c r="K18769" s="558">
        <v>2.19</v>
      </c>
      <c r="L18769" s="43">
        <v>11.5021951219512</v>
      </c>
      <c r="M18769" s="43">
        <v>11.5021951219512</v>
      </c>
      <c r="N18769" s="43" t="s">
        <v>1690</v>
      </c>
      <c r="O18769" s="43">
        <v>11.503164556962025</v>
      </c>
      <c r="P18769" s="559"/>
      <c r="Q18769" s="559"/>
      <c r="R18769" s="559">
        <v>22</v>
      </c>
    </row>
    <row r="18770" spans="1:18" ht="84">
      <c r="A18770" s="555">
        <v>1193</v>
      </c>
      <c r="B18770" s="552" t="s">
        <v>33982</v>
      </c>
      <c r="C18770" s="556" t="s">
        <v>33983</v>
      </c>
      <c r="D18770" s="557">
        <v>11.43</v>
      </c>
      <c r="E18770" s="557">
        <v>11.21</v>
      </c>
      <c r="F18770" s="557"/>
      <c r="G18770" s="557">
        <v>0.22</v>
      </c>
      <c r="H18770" s="558">
        <v>131.44</v>
      </c>
      <c r="I18770" s="558">
        <v>128.91</v>
      </c>
      <c r="J18770" s="558"/>
      <c r="K18770" s="558">
        <v>2.5299999999999998</v>
      </c>
      <c r="L18770" s="43">
        <v>11.499562554680665</v>
      </c>
      <c r="M18770" s="43">
        <v>11.499553969669936</v>
      </c>
      <c r="N18770" s="43" t="s">
        <v>1690</v>
      </c>
      <c r="O18770" s="43">
        <v>11.503164556962025</v>
      </c>
      <c r="P18770" s="559"/>
      <c r="Q18770" s="559"/>
      <c r="R18770" s="559">
        <v>22</v>
      </c>
    </row>
    <row r="18771" spans="1:18" ht="84">
      <c r="A18771" s="555">
        <v>1194</v>
      </c>
      <c r="B18771" s="552" t="s">
        <v>33984</v>
      </c>
      <c r="C18771" s="556" t="s">
        <v>33985</v>
      </c>
      <c r="D18771" s="557">
        <v>14.56</v>
      </c>
      <c r="E18771" s="557">
        <v>14.27</v>
      </c>
      <c r="F18771" s="557"/>
      <c r="G18771" s="557">
        <v>0.28999999999999998</v>
      </c>
      <c r="H18771" s="558">
        <v>167.41</v>
      </c>
      <c r="I18771" s="558">
        <v>164.07</v>
      </c>
      <c r="J18771" s="558"/>
      <c r="K18771" s="558">
        <v>3.34</v>
      </c>
      <c r="L18771" s="43">
        <v>11.49793956043956</v>
      </c>
      <c r="M18771" s="43">
        <v>11.497547302032235</v>
      </c>
      <c r="N18771" s="43" t="s">
        <v>1690</v>
      </c>
      <c r="O18771" s="43">
        <v>11.503164556962025</v>
      </c>
      <c r="P18771" s="559"/>
      <c r="Q18771" s="559"/>
      <c r="R18771" s="559">
        <v>22</v>
      </c>
    </row>
    <row r="18772" spans="1:18" ht="84">
      <c r="A18772" s="555">
        <v>1195</v>
      </c>
      <c r="B18772" s="552" t="s">
        <v>33986</v>
      </c>
      <c r="C18772" s="556" t="s">
        <v>33987</v>
      </c>
      <c r="D18772" s="557">
        <v>3.64</v>
      </c>
      <c r="E18772" s="557">
        <v>3.57</v>
      </c>
      <c r="F18772" s="557"/>
      <c r="G18772" s="557">
        <v>7.0000000000000007E-2</v>
      </c>
      <c r="H18772" s="558">
        <v>41.83</v>
      </c>
      <c r="I18772" s="558">
        <v>41.02</v>
      </c>
      <c r="J18772" s="558"/>
      <c r="K18772" s="558">
        <v>0.81</v>
      </c>
      <c r="L18772" s="43">
        <v>11.491758241758241</v>
      </c>
      <c r="M18772" s="43">
        <v>11.5</v>
      </c>
      <c r="N18772" s="43" t="s">
        <v>1690</v>
      </c>
      <c r="O18772" s="43">
        <v>11.503164556962025</v>
      </c>
      <c r="P18772" s="559"/>
      <c r="Q18772" s="559"/>
      <c r="R18772" s="559">
        <v>22</v>
      </c>
    </row>
    <row r="18773" spans="1:18" ht="84">
      <c r="A18773" s="555">
        <v>1196</v>
      </c>
      <c r="B18773" s="552" t="s">
        <v>33988</v>
      </c>
      <c r="C18773" s="556" t="s">
        <v>33989</v>
      </c>
      <c r="D18773" s="557">
        <v>4.16</v>
      </c>
      <c r="E18773" s="557">
        <v>4.08</v>
      </c>
      <c r="F18773" s="557"/>
      <c r="G18773" s="557">
        <v>0.08</v>
      </c>
      <c r="H18773" s="558">
        <v>47.8</v>
      </c>
      <c r="I18773" s="558">
        <v>46.88</v>
      </c>
      <c r="J18773" s="558"/>
      <c r="K18773" s="558">
        <v>0.92</v>
      </c>
      <c r="L18773" s="43">
        <v>11.490384615384615</v>
      </c>
      <c r="M18773" s="43">
        <v>11.5</v>
      </c>
      <c r="N18773" s="43" t="s">
        <v>1690</v>
      </c>
      <c r="O18773" s="43">
        <v>11.503164556962025</v>
      </c>
      <c r="P18773" s="559"/>
      <c r="Q18773" s="559"/>
      <c r="R18773" s="559">
        <v>22</v>
      </c>
    </row>
    <row r="18774" spans="1:18" ht="84">
      <c r="A18774" s="555">
        <v>1197</v>
      </c>
      <c r="B18774" s="552" t="s">
        <v>33990</v>
      </c>
      <c r="C18774" s="556" t="s">
        <v>33991</v>
      </c>
      <c r="D18774" s="557">
        <v>6.23</v>
      </c>
      <c r="E18774" s="557">
        <v>6.11</v>
      </c>
      <c r="F18774" s="557"/>
      <c r="G18774" s="557">
        <v>0.12</v>
      </c>
      <c r="H18774" s="558">
        <v>71.69</v>
      </c>
      <c r="I18774" s="558">
        <v>70.31</v>
      </c>
      <c r="J18774" s="558"/>
      <c r="K18774" s="558">
        <v>1.38</v>
      </c>
      <c r="L18774" s="43">
        <v>11.5021951219512</v>
      </c>
      <c r="M18774" s="43">
        <v>11.5021951219512</v>
      </c>
      <c r="N18774" s="43" t="s">
        <v>1690</v>
      </c>
      <c r="O18774" s="43">
        <v>11.503164556962025</v>
      </c>
      <c r="P18774" s="559"/>
      <c r="Q18774" s="559"/>
      <c r="R18774" s="559">
        <v>22</v>
      </c>
    </row>
    <row r="18775" spans="1:18" ht="84">
      <c r="A18775" s="555">
        <v>1198</v>
      </c>
      <c r="B18775" s="552" t="s">
        <v>33992</v>
      </c>
      <c r="C18775" s="556" t="s">
        <v>33993</v>
      </c>
      <c r="D18775" s="557">
        <v>7.27</v>
      </c>
      <c r="E18775" s="557">
        <v>7.13</v>
      </c>
      <c r="F18775" s="557"/>
      <c r="G18775" s="557">
        <v>0.14000000000000001</v>
      </c>
      <c r="H18775" s="558">
        <v>83.64</v>
      </c>
      <c r="I18775" s="558">
        <v>82.03</v>
      </c>
      <c r="J18775" s="558"/>
      <c r="K18775" s="558">
        <v>1.61</v>
      </c>
      <c r="L18775" s="43">
        <v>11.504814305364512</v>
      </c>
      <c r="M18775" s="43">
        <v>11.504908835904629</v>
      </c>
      <c r="N18775" s="43" t="s">
        <v>1690</v>
      </c>
      <c r="O18775" s="43">
        <v>11.503164556962025</v>
      </c>
      <c r="P18775" s="559"/>
      <c r="Q18775" s="559"/>
      <c r="R18775" s="559">
        <v>22</v>
      </c>
    </row>
    <row r="18776" spans="1:18" ht="84">
      <c r="A18776" s="555">
        <v>1199</v>
      </c>
      <c r="B18776" s="552" t="s">
        <v>33994</v>
      </c>
      <c r="C18776" s="556" t="s">
        <v>33995</v>
      </c>
      <c r="D18776" s="557">
        <v>6.86</v>
      </c>
      <c r="E18776" s="557">
        <v>6.73</v>
      </c>
      <c r="F18776" s="557"/>
      <c r="G18776" s="557">
        <v>0.13</v>
      </c>
      <c r="H18776" s="558">
        <v>78.849999999999994</v>
      </c>
      <c r="I18776" s="558">
        <v>77.349999999999994</v>
      </c>
      <c r="J18776" s="558"/>
      <c r="K18776" s="558">
        <v>1.5</v>
      </c>
      <c r="L18776" s="43">
        <v>11.494169096209911</v>
      </c>
      <c r="M18776" s="43">
        <v>11.5</v>
      </c>
      <c r="N18776" s="43" t="s">
        <v>1690</v>
      </c>
      <c r="O18776" s="43">
        <v>11.503164556962025</v>
      </c>
      <c r="P18776" s="559"/>
      <c r="Q18776" s="559"/>
      <c r="R18776" s="559">
        <v>22</v>
      </c>
    </row>
    <row r="18777" spans="1:18" ht="84">
      <c r="A18777" s="555">
        <v>1200</v>
      </c>
      <c r="B18777" s="552" t="s">
        <v>33996</v>
      </c>
      <c r="C18777" s="556" t="s">
        <v>33997</v>
      </c>
      <c r="D18777" s="557">
        <v>8.31</v>
      </c>
      <c r="E18777" s="557">
        <v>8.15</v>
      </c>
      <c r="F18777" s="557"/>
      <c r="G18777" s="557">
        <v>0.16</v>
      </c>
      <c r="H18777" s="558">
        <v>95.59</v>
      </c>
      <c r="I18777" s="558">
        <v>93.75</v>
      </c>
      <c r="J18777" s="558"/>
      <c r="K18777" s="558">
        <v>1.84</v>
      </c>
      <c r="L18777" s="43">
        <v>11.50300842358604</v>
      </c>
      <c r="M18777" s="43">
        <v>11.503067484662576</v>
      </c>
      <c r="N18777" s="43" t="s">
        <v>1690</v>
      </c>
      <c r="O18777" s="43">
        <v>11.503164556962025</v>
      </c>
      <c r="P18777" s="559"/>
      <c r="Q18777" s="559"/>
      <c r="R18777" s="559">
        <v>22</v>
      </c>
    </row>
    <row r="18778" spans="1:18" ht="84">
      <c r="A18778" s="555">
        <v>1201</v>
      </c>
      <c r="B18778" s="552" t="s">
        <v>33998</v>
      </c>
      <c r="C18778" s="556" t="s">
        <v>33999</v>
      </c>
      <c r="D18778" s="557">
        <v>9.35</v>
      </c>
      <c r="E18778" s="557">
        <v>9.17</v>
      </c>
      <c r="F18778" s="557"/>
      <c r="G18778" s="557">
        <v>0.18</v>
      </c>
      <c r="H18778" s="558">
        <v>107.54</v>
      </c>
      <c r="I18778" s="558">
        <v>105.47</v>
      </c>
      <c r="J18778" s="558"/>
      <c r="K18778" s="558">
        <v>2.0699999999999998</v>
      </c>
      <c r="L18778" s="43">
        <v>11.501604278074867</v>
      </c>
      <c r="M18778" s="43">
        <v>11.501635768811342</v>
      </c>
      <c r="N18778" s="43" t="s">
        <v>1690</v>
      </c>
      <c r="O18778" s="43">
        <v>11.503164556962025</v>
      </c>
      <c r="P18778" s="559"/>
      <c r="Q18778" s="559"/>
      <c r="R18778" s="559">
        <v>22</v>
      </c>
    </row>
    <row r="18779" spans="1:18" ht="84">
      <c r="A18779" s="555">
        <v>1202</v>
      </c>
      <c r="B18779" s="552" t="s">
        <v>34000</v>
      </c>
      <c r="C18779" s="556" t="s">
        <v>34001</v>
      </c>
      <c r="D18779" s="557">
        <v>9.15</v>
      </c>
      <c r="E18779" s="557">
        <v>8.9700000000000006</v>
      </c>
      <c r="F18779" s="557"/>
      <c r="G18779" s="557">
        <v>0.18</v>
      </c>
      <c r="H18779" s="558">
        <v>105.2</v>
      </c>
      <c r="I18779" s="558">
        <v>103.13</v>
      </c>
      <c r="J18779" s="558"/>
      <c r="K18779" s="558">
        <v>2.0699999999999998</v>
      </c>
      <c r="L18779" s="43">
        <v>11.497267759562842</v>
      </c>
      <c r="M18779" s="43">
        <v>11.49721293199554</v>
      </c>
      <c r="N18779" s="43" t="s">
        <v>1690</v>
      </c>
      <c r="O18779" s="43">
        <v>11.503164556962025</v>
      </c>
      <c r="P18779" s="559"/>
      <c r="Q18779" s="559"/>
      <c r="R18779" s="559">
        <v>22</v>
      </c>
    </row>
    <row r="18780" spans="1:18" ht="84">
      <c r="A18780" s="555">
        <v>1203</v>
      </c>
      <c r="B18780" s="552" t="s">
        <v>34002</v>
      </c>
      <c r="C18780" s="556" t="s">
        <v>34003</v>
      </c>
      <c r="D18780" s="557">
        <v>10.39</v>
      </c>
      <c r="E18780" s="557">
        <v>10.19</v>
      </c>
      <c r="F18780" s="557"/>
      <c r="G18780" s="557">
        <v>0.2</v>
      </c>
      <c r="H18780" s="558">
        <v>119.49</v>
      </c>
      <c r="I18780" s="558">
        <v>117.19</v>
      </c>
      <c r="J18780" s="558"/>
      <c r="K18780" s="558">
        <v>2.2999999999999998</v>
      </c>
      <c r="L18780" s="43">
        <v>11.500481231953801</v>
      </c>
      <c r="M18780" s="43">
        <v>11.500490677134446</v>
      </c>
      <c r="N18780" s="43" t="s">
        <v>1690</v>
      </c>
      <c r="O18780" s="43">
        <v>11.503164556962025</v>
      </c>
      <c r="P18780" s="559"/>
      <c r="Q18780" s="559"/>
      <c r="R18780" s="559">
        <v>22</v>
      </c>
    </row>
    <row r="18781" spans="1:18" ht="84">
      <c r="A18781" s="555">
        <v>1204</v>
      </c>
      <c r="B18781" s="552" t="s">
        <v>34004</v>
      </c>
      <c r="C18781" s="556" t="s">
        <v>34005</v>
      </c>
      <c r="D18781" s="557">
        <v>13.51</v>
      </c>
      <c r="E18781" s="557">
        <v>13.25</v>
      </c>
      <c r="F18781" s="557"/>
      <c r="G18781" s="557">
        <v>0.26</v>
      </c>
      <c r="H18781" s="558">
        <v>155.34</v>
      </c>
      <c r="I18781" s="558">
        <v>152.35</v>
      </c>
      <c r="J18781" s="558"/>
      <c r="K18781" s="558">
        <v>2.99</v>
      </c>
      <c r="L18781" s="43">
        <v>11.498149518874907</v>
      </c>
      <c r="M18781" s="43">
        <v>11.498113207547169</v>
      </c>
      <c r="N18781" s="43" t="s">
        <v>1690</v>
      </c>
      <c r="O18781" s="43">
        <v>11.503164556962025</v>
      </c>
      <c r="P18781" s="559"/>
      <c r="Q18781" s="559"/>
      <c r="R18781" s="559">
        <v>22</v>
      </c>
    </row>
    <row r="18782" spans="1:18" ht="84">
      <c r="A18782" s="555">
        <v>1205</v>
      </c>
      <c r="B18782" s="552" t="s">
        <v>34006</v>
      </c>
      <c r="C18782" s="556" t="s">
        <v>34007</v>
      </c>
      <c r="D18782" s="557">
        <v>12.47</v>
      </c>
      <c r="E18782" s="557">
        <v>12.23</v>
      </c>
      <c r="F18782" s="557"/>
      <c r="G18782" s="557">
        <v>0.24</v>
      </c>
      <c r="H18782" s="558">
        <v>143.38999999999999</v>
      </c>
      <c r="I18782" s="558">
        <v>140.63</v>
      </c>
      <c r="J18782" s="558"/>
      <c r="K18782" s="558">
        <v>2.76</v>
      </c>
      <c r="L18782" s="43">
        <v>11.498797113071369</v>
      </c>
      <c r="M18782" s="43">
        <v>11.498773507767783</v>
      </c>
      <c r="N18782" s="43" t="s">
        <v>1690</v>
      </c>
      <c r="O18782" s="43">
        <v>11.503164556962025</v>
      </c>
      <c r="P18782" s="559"/>
      <c r="Q18782" s="559"/>
      <c r="R18782" s="559">
        <v>22</v>
      </c>
    </row>
    <row r="18783" spans="1:18" ht="84">
      <c r="A18783" s="555">
        <v>1206</v>
      </c>
      <c r="B18783" s="552" t="s">
        <v>34008</v>
      </c>
      <c r="C18783" s="556" t="s">
        <v>34009</v>
      </c>
      <c r="D18783" s="557">
        <v>14.56</v>
      </c>
      <c r="E18783" s="557">
        <v>14.27</v>
      </c>
      <c r="F18783" s="557"/>
      <c r="G18783" s="557">
        <v>0.28999999999999998</v>
      </c>
      <c r="H18783" s="558">
        <v>167.41</v>
      </c>
      <c r="I18783" s="558">
        <v>164.07</v>
      </c>
      <c r="J18783" s="558"/>
      <c r="K18783" s="558">
        <v>3.34</v>
      </c>
      <c r="L18783" s="43">
        <v>11.49793956043956</v>
      </c>
      <c r="M18783" s="43">
        <v>11.497547302032235</v>
      </c>
      <c r="N18783" s="43" t="s">
        <v>1690</v>
      </c>
      <c r="O18783" s="43">
        <v>11.503164556962025</v>
      </c>
      <c r="P18783" s="559"/>
      <c r="Q18783" s="559"/>
      <c r="R18783" s="559">
        <v>22</v>
      </c>
    </row>
    <row r="18784" spans="1:18" ht="84">
      <c r="A18784" s="555">
        <v>1207</v>
      </c>
      <c r="B18784" s="552" t="s">
        <v>34010</v>
      </c>
      <c r="C18784" s="556" t="s">
        <v>34011</v>
      </c>
      <c r="D18784" s="557">
        <v>17.670000000000002</v>
      </c>
      <c r="E18784" s="557">
        <v>17.32</v>
      </c>
      <c r="F18784" s="557"/>
      <c r="G18784" s="557">
        <v>0.35</v>
      </c>
      <c r="H18784" s="558">
        <v>203.25</v>
      </c>
      <c r="I18784" s="558">
        <v>199.22</v>
      </c>
      <c r="J18784" s="558"/>
      <c r="K18784" s="558">
        <v>4.03</v>
      </c>
      <c r="L18784" s="43">
        <v>11.502546689303903</v>
      </c>
      <c r="M18784" s="43">
        <v>11.502309468822171</v>
      </c>
      <c r="N18784" s="43" t="s">
        <v>1690</v>
      </c>
      <c r="O18784" s="43">
        <v>11.503164556962025</v>
      </c>
      <c r="P18784" s="559"/>
      <c r="Q18784" s="559"/>
      <c r="R18784" s="559">
        <v>22</v>
      </c>
    </row>
    <row r="18785" spans="1:18" ht="84">
      <c r="A18785" s="555">
        <v>1208</v>
      </c>
      <c r="B18785" s="552" t="s">
        <v>34012</v>
      </c>
      <c r="C18785" s="556" t="s">
        <v>34013</v>
      </c>
      <c r="D18785" s="557">
        <v>5.41</v>
      </c>
      <c r="E18785" s="557">
        <v>5.3</v>
      </c>
      <c r="F18785" s="557"/>
      <c r="G18785" s="557">
        <v>0.11</v>
      </c>
      <c r="H18785" s="558">
        <v>62.21</v>
      </c>
      <c r="I18785" s="558">
        <v>60.94</v>
      </c>
      <c r="J18785" s="558"/>
      <c r="K18785" s="558">
        <v>1.27</v>
      </c>
      <c r="L18785" s="43">
        <v>11.499075785582255</v>
      </c>
      <c r="M18785" s="43">
        <v>11.498113207547171</v>
      </c>
      <c r="N18785" s="43" t="s">
        <v>1690</v>
      </c>
      <c r="O18785" s="43">
        <v>11.503164556962025</v>
      </c>
      <c r="P18785" s="559"/>
      <c r="Q18785" s="559"/>
      <c r="R18785" s="559">
        <v>22</v>
      </c>
    </row>
    <row r="18786" spans="1:18" ht="84">
      <c r="A18786" s="555">
        <v>1209</v>
      </c>
      <c r="B18786" s="552" t="s">
        <v>34014</v>
      </c>
      <c r="C18786" s="556" t="s">
        <v>34015</v>
      </c>
      <c r="D18786" s="557">
        <v>6.23</v>
      </c>
      <c r="E18786" s="557">
        <v>6.11</v>
      </c>
      <c r="F18786" s="557"/>
      <c r="G18786" s="557">
        <v>0.12</v>
      </c>
      <c r="H18786" s="558">
        <v>71.69</v>
      </c>
      <c r="I18786" s="558">
        <v>70.31</v>
      </c>
      <c r="J18786" s="558"/>
      <c r="K18786" s="558">
        <v>1.38</v>
      </c>
      <c r="L18786" s="43">
        <v>11.5021951219512</v>
      </c>
      <c r="M18786" s="43">
        <v>11.5021951219512</v>
      </c>
      <c r="N18786" s="43" t="s">
        <v>1690</v>
      </c>
      <c r="O18786" s="43">
        <v>11.503164556962025</v>
      </c>
      <c r="P18786" s="559"/>
      <c r="Q18786" s="559"/>
      <c r="R18786" s="559">
        <v>22</v>
      </c>
    </row>
    <row r="18787" spans="1:18" ht="84">
      <c r="A18787" s="555">
        <v>1210</v>
      </c>
      <c r="B18787" s="552" t="s">
        <v>34016</v>
      </c>
      <c r="C18787" s="556" t="s">
        <v>34017</v>
      </c>
      <c r="D18787" s="557">
        <v>9.35</v>
      </c>
      <c r="E18787" s="557">
        <v>9.17</v>
      </c>
      <c r="F18787" s="557"/>
      <c r="G18787" s="557">
        <v>0.18</v>
      </c>
      <c r="H18787" s="558">
        <v>107.54</v>
      </c>
      <c r="I18787" s="558">
        <v>105.47</v>
      </c>
      <c r="J18787" s="558"/>
      <c r="K18787" s="558">
        <v>2.0699999999999998</v>
      </c>
      <c r="L18787" s="43">
        <v>11.501604278074867</v>
      </c>
      <c r="M18787" s="43">
        <v>11.501635768811342</v>
      </c>
      <c r="N18787" s="43" t="s">
        <v>1690</v>
      </c>
      <c r="O18787" s="43">
        <v>11.503164556962025</v>
      </c>
      <c r="P18787" s="559"/>
      <c r="Q18787" s="559"/>
      <c r="R18787" s="559">
        <v>22</v>
      </c>
    </row>
    <row r="18788" spans="1:18" ht="84">
      <c r="A18788" s="555">
        <v>1211</v>
      </c>
      <c r="B18788" s="552" t="s">
        <v>34018</v>
      </c>
      <c r="C18788" s="556" t="s">
        <v>34019</v>
      </c>
      <c r="D18788" s="557">
        <v>11.43</v>
      </c>
      <c r="E18788" s="557">
        <v>11.21</v>
      </c>
      <c r="F18788" s="557"/>
      <c r="G18788" s="557">
        <v>0.22</v>
      </c>
      <c r="H18788" s="558">
        <v>131.44</v>
      </c>
      <c r="I18788" s="558">
        <v>128.91</v>
      </c>
      <c r="J18788" s="558"/>
      <c r="K18788" s="558">
        <v>2.5299999999999998</v>
      </c>
      <c r="L18788" s="43">
        <v>11.499562554680665</v>
      </c>
      <c r="M18788" s="43">
        <v>11.499553969669936</v>
      </c>
      <c r="N18788" s="43" t="s">
        <v>1690</v>
      </c>
      <c r="O18788" s="43">
        <v>11.503164556962025</v>
      </c>
      <c r="P18788" s="559"/>
      <c r="Q18788" s="559"/>
      <c r="R18788" s="559">
        <v>22</v>
      </c>
    </row>
    <row r="18789" spans="1:18" ht="84">
      <c r="A18789" s="555">
        <v>1212</v>
      </c>
      <c r="B18789" s="552" t="s">
        <v>34020</v>
      </c>
      <c r="C18789" s="556" t="s">
        <v>34021</v>
      </c>
      <c r="D18789" s="557">
        <v>10.39</v>
      </c>
      <c r="E18789" s="557">
        <v>10.19</v>
      </c>
      <c r="F18789" s="557"/>
      <c r="G18789" s="557">
        <v>0.2</v>
      </c>
      <c r="H18789" s="558">
        <v>119.49</v>
      </c>
      <c r="I18789" s="558">
        <v>117.19</v>
      </c>
      <c r="J18789" s="558"/>
      <c r="K18789" s="558">
        <v>2.2999999999999998</v>
      </c>
      <c r="L18789" s="43">
        <v>11.500481231953801</v>
      </c>
      <c r="M18789" s="43">
        <v>11.500490677134446</v>
      </c>
      <c r="N18789" s="43" t="s">
        <v>1690</v>
      </c>
      <c r="O18789" s="43">
        <v>11.503164556962025</v>
      </c>
      <c r="P18789" s="559"/>
      <c r="Q18789" s="559"/>
      <c r="R18789" s="559">
        <v>22</v>
      </c>
    </row>
    <row r="18790" spans="1:18" ht="84">
      <c r="A18790" s="555">
        <v>1213</v>
      </c>
      <c r="B18790" s="552" t="s">
        <v>34022</v>
      </c>
      <c r="C18790" s="556" t="s">
        <v>34023</v>
      </c>
      <c r="D18790" s="557">
        <v>12.47</v>
      </c>
      <c r="E18790" s="557">
        <v>12.23</v>
      </c>
      <c r="F18790" s="557"/>
      <c r="G18790" s="557">
        <v>0.24</v>
      </c>
      <c r="H18790" s="558">
        <v>143.38999999999999</v>
      </c>
      <c r="I18790" s="558">
        <v>140.63</v>
      </c>
      <c r="J18790" s="558"/>
      <c r="K18790" s="558">
        <v>2.76</v>
      </c>
      <c r="L18790" s="43">
        <v>11.498797113071369</v>
      </c>
      <c r="M18790" s="43">
        <v>11.498773507767783</v>
      </c>
      <c r="N18790" s="43" t="s">
        <v>1690</v>
      </c>
      <c r="O18790" s="43">
        <v>11.503164556962025</v>
      </c>
      <c r="P18790" s="559"/>
      <c r="Q18790" s="559"/>
      <c r="R18790" s="559">
        <v>22</v>
      </c>
    </row>
    <row r="18791" spans="1:18" ht="84">
      <c r="A18791" s="555">
        <v>1214</v>
      </c>
      <c r="B18791" s="552" t="s">
        <v>34024</v>
      </c>
      <c r="C18791" s="556" t="s">
        <v>34025</v>
      </c>
      <c r="D18791" s="557">
        <v>14.56</v>
      </c>
      <c r="E18791" s="557">
        <v>14.27</v>
      </c>
      <c r="F18791" s="557"/>
      <c r="G18791" s="557">
        <v>0.28999999999999998</v>
      </c>
      <c r="H18791" s="558">
        <v>167.41</v>
      </c>
      <c r="I18791" s="558">
        <v>164.07</v>
      </c>
      <c r="J18791" s="558"/>
      <c r="K18791" s="558">
        <v>3.34</v>
      </c>
      <c r="L18791" s="43">
        <v>11.49793956043956</v>
      </c>
      <c r="M18791" s="43">
        <v>11.497547302032235</v>
      </c>
      <c r="N18791" s="43" t="s">
        <v>1690</v>
      </c>
      <c r="O18791" s="43">
        <v>11.503164556962025</v>
      </c>
      <c r="P18791" s="559"/>
      <c r="Q18791" s="559"/>
      <c r="R18791" s="559">
        <v>22</v>
      </c>
    </row>
    <row r="18792" spans="1:18" ht="84">
      <c r="A18792" s="555">
        <v>1215</v>
      </c>
      <c r="B18792" s="552" t="s">
        <v>34026</v>
      </c>
      <c r="C18792" s="556" t="s">
        <v>34027</v>
      </c>
      <c r="D18792" s="557">
        <v>13.51</v>
      </c>
      <c r="E18792" s="557">
        <v>13.25</v>
      </c>
      <c r="F18792" s="557"/>
      <c r="G18792" s="557">
        <v>0.26</v>
      </c>
      <c r="H18792" s="558">
        <v>155.34</v>
      </c>
      <c r="I18792" s="558">
        <v>152.35</v>
      </c>
      <c r="J18792" s="558"/>
      <c r="K18792" s="558">
        <v>2.99</v>
      </c>
      <c r="L18792" s="43">
        <v>11.498149518874907</v>
      </c>
      <c r="M18792" s="43">
        <v>11.498113207547169</v>
      </c>
      <c r="N18792" s="43" t="s">
        <v>1690</v>
      </c>
      <c r="O18792" s="43">
        <v>11.503164556962025</v>
      </c>
      <c r="P18792" s="559"/>
      <c r="Q18792" s="559"/>
      <c r="R18792" s="559">
        <v>22</v>
      </c>
    </row>
    <row r="18793" spans="1:18" ht="84">
      <c r="A18793" s="555">
        <v>1216</v>
      </c>
      <c r="B18793" s="552" t="s">
        <v>34028</v>
      </c>
      <c r="C18793" s="556" t="s">
        <v>34029</v>
      </c>
      <c r="D18793" s="557">
        <v>16.63</v>
      </c>
      <c r="E18793" s="557">
        <v>16.3</v>
      </c>
      <c r="F18793" s="557"/>
      <c r="G18793" s="557">
        <v>0.33</v>
      </c>
      <c r="H18793" s="558">
        <v>191.3</v>
      </c>
      <c r="I18793" s="558">
        <v>187.5</v>
      </c>
      <c r="J18793" s="558"/>
      <c r="K18793" s="558">
        <v>3.8</v>
      </c>
      <c r="L18793" s="43">
        <v>11.503307276007217</v>
      </c>
      <c r="M18793" s="43">
        <v>11.503067484662576</v>
      </c>
      <c r="N18793" s="43" t="s">
        <v>1690</v>
      </c>
      <c r="O18793" s="43">
        <v>11.503164556962025</v>
      </c>
      <c r="P18793" s="559"/>
      <c r="Q18793" s="559"/>
      <c r="R18793" s="559">
        <v>22</v>
      </c>
    </row>
    <row r="18794" spans="1:18" ht="84">
      <c r="A18794" s="555">
        <v>1217</v>
      </c>
      <c r="B18794" s="552" t="s">
        <v>34030</v>
      </c>
      <c r="C18794" s="556" t="s">
        <v>34031</v>
      </c>
      <c r="D18794" s="557">
        <v>18.71</v>
      </c>
      <c r="E18794" s="557">
        <v>18.34</v>
      </c>
      <c r="F18794" s="557"/>
      <c r="G18794" s="557">
        <v>0.37</v>
      </c>
      <c r="H18794" s="558">
        <v>215.2</v>
      </c>
      <c r="I18794" s="558">
        <v>210.94</v>
      </c>
      <c r="J18794" s="558"/>
      <c r="K18794" s="558">
        <v>4.26</v>
      </c>
      <c r="L18794" s="43">
        <v>11.501870657402458</v>
      </c>
      <c r="M18794" s="43">
        <v>11.501635768811342</v>
      </c>
      <c r="N18794" s="43" t="s">
        <v>1690</v>
      </c>
      <c r="O18794" s="43">
        <v>11.503164556962025</v>
      </c>
      <c r="P18794" s="559"/>
      <c r="Q18794" s="559"/>
      <c r="R18794" s="559">
        <v>22</v>
      </c>
    </row>
    <row r="18795" spans="1:18" ht="84">
      <c r="A18795" s="555">
        <v>1218</v>
      </c>
      <c r="B18795" s="552" t="s">
        <v>34032</v>
      </c>
      <c r="C18795" s="556" t="s">
        <v>34033</v>
      </c>
      <c r="D18795" s="557">
        <v>17.670000000000002</v>
      </c>
      <c r="E18795" s="557">
        <v>17.32</v>
      </c>
      <c r="F18795" s="557"/>
      <c r="G18795" s="557">
        <v>0.35</v>
      </c>
      <c r="H18795" s="558">
        <v>203.25</v>
      </c>
      <c r="I18795" s="558">
        <v>199.22</v>
      </c>
      <c r="J18795" s="558"/>
      <c r="K18795" s="558">
        <v>4.03</v>
      </c>
      <c r="L18795" s="43">
        <v>11.502546689303903</v>
      </c>
      <c r="M18795" s="43">
        <v>11.502309468822171</v>
      </c>
      <c r="N18795" s="43" t="s">
        <v>1690</v>
      </c>
      <c r="O18795" s="43">
        <v>11.503164556962025</v>
      </c>
      <c r="P18795" s="559"/>
      <c r="Q18795" s="559"/>
      <c r="R18795" s="559">
        <v>22</v>
      </c>
    </row>
    <row r="18796" spans="1:18" ht="84">
      <c r="A18796" s="555">
        <v>1219</v>
      </c>
      <c r="B18796" s="552" t="s">
        <v>34034</v>
      </c>
      <c r="C18796" s="556" t="s">
        <v>34035</v>
      </c>
      <c r="D18796" s="557">
        <v>21.83</v>
      </c>
      <c r="E18796" s="557">
        <v>21.4</v>
      </c>
      <c r="F18796" s="557"/>
      <c r="G18796" s="557">
        <v>0.43</v>
      </c>
      <c r="H18796" s="558">
        <v>251.05</v>
      </c>
      <c r="I18796" s="558">
        <v>246.1</v>
      </c>
      <c r="J18796" s="558"/>
      <c r="K18796" s="558">
        <v>4.95</v>
      </c>
      <c r="L18796" s="43">
        <v>11.500229042601925</v>
      </c>
      <c r="M18796" s="43">
        <v>11.5</v>
      </c>
      <c r="N18796" s="43" t="s">
        <v>1690</v>
      </c>
      <c r="O18796" s="43">
        <v>11.503164556962025</v>
      </c>
      <c r="P18796" s="559"/>
      <c r="Q18796" s="559"/>
      <c r="R18796" s="559">
        <v>22</v>
      </c>
    </row>
    <row r="18797" spans="1:18" ht="84">
      <c r="A18797" s="555">
        <v>1220</v>
      </c>
      <c r="B18797" s="552" t="s">
        <v>34036</v>
      </c>
      <c r="C18797" s="556" t="s">
        <v>34037</v>
      </c>
      <c r="D18797" s="557">
        <v>25.99</v>
      </c>
      <c r="E18797" s="557">
        <v>25.48</v>
      </c>
      <c r="F18797" s="557"/>
      <c r="G18797" s="557">
        <v>0.51</v>
      </c>
      <c r="H18797" s="558">
        <v>298.85000000000002</v>
      </c>
      <c r="I18797" s="558">
        <v>292.98</v>
      </c>
      <c r="J18797" s="558"/>
      <c r="K18797" s="558">
        <v>5.87</v>
      </c>
      <c r="L18797" s="43">
        <v>11.498653328203156</v>
      </c>
      <c r="M18797" s="43">
        <v>11.498430141287285</v>
      </c>
      <c r="N18797" s="43" t="s">
        <v>1690</v>
      </c>
      <c r="O18797" s="43">
        <v>11.503164556962025</v>
      </c>
      <c r="P18797" s="559"/>
      <c r="Q18797" s="559"/>
      <c r="R18797" s="559">
        <v>22</v>
      </c>
    </row>
    <row r="18798" spans="1:18" ht="12.75" customHeight="1">
      <c r="A18798" s="628" t="s">
        <v>34038</v>
      </c>
      <c r="B18798" s="629"/>
      <c r="C18798" s="629"/>
      <c r="D18798" s="629"/>
      <c r="E18798" s="629"/>
      <c r="F18798" s="629"/>
      <c r="G18798" s="629"/>
      <c r="H18798" s="629"/>
      <c r="I18798" s="629"/>
      <c r="J18798" s="629"/>
      <c r="K18798" s="629"/>
      <c r="L18798" s="629"/>
      <c r="M18798" s="629"/>
      <c r="N18798" s="629"/>
      <c r="O18798" s="629"/>
      <c r="P18798" s="629"/>
      <c r="Q18798" s="629"/>
      <c r="R18798" s="629"/>
    </row>
    <row r="18799" spans="1:18" ht="84">
      <c r="A18799" s="555">
        <v>1221</v>
      </c>
      <c r="B18799" s="552" t="s">
        <v>34039</v>
      </c>
      <c r="C18799" s="556" t="s">
        <v>34040</v>
      </c>
      <c r="D18799" s="557">
        <v>1.78</v>
      </c>
      <c r="E18799" s="557">
        <v>0.92</v>
      </c>
      <c r="F18799" s="557">
        <v>0.84</v>
      </c>
      <c r="G18799" s="557">
        <v>0.02</v>
      </c>
      <c r="H18799" s="558">
        <v>15.23</v>
      </c>
      <c r="I18799" s="558">
        <v>10.57</v>
      </c>
      <c r="J18799" s="558">
        <v>4.43</v>
      </c>
      <c r="K18799" s="558">
        <v>0.23</v>
      </c>
      <c r="L18799" s="43">
        <v>8.5561797752808992</v>
      </c>
      <c r="M18799" s="43">
        <v>11.5</v>
      </c>
      <c r="N18799" s="43">
        <v>5.2738095238095237</v>
      </c>
      <c r="O18799" s="43">
        <v>11.503164556962025</v>
      </c>
      <c r="P18799" s="559"/>
      <c r="Q18799" s="559"/>
      <c r="R18799" s="559">
        <v>23</v>
      </c>
    </row>
    <row r="18800" spans="1:18" ht="84">
      <c r="A18800" s="555">
        <v>1222</v>
      </c>
      <c r="B18800" s="552" t="s">
        <v>34041</v>
      </c>
      <c r="C18800" s="556" t="s">
        <v>34042</v>
      </c>
      <c r="D18800" s="557">
        <v>2.4900000000000002</v>
      </c>
      <c r="E18800" s="557">
        <v>1.26</v>
      </c>
      <c r="F18800" s="557">
        <v>1.2</v>
      </c>
      <c r="G18800" s="557">
        <v>0.03</v>
      </c>
      <c r="H18800" s="558">
        <v>21.22</v>
      </c>
      <c r="I18800" s="558">
        <v>14.54</v>
      </c>
      <c r="J18800" s="558">
        <v>6.33</v>
      </c>
      <c r="K18800" s="558">
        <v>0.35</v>
      </c>
      <c r="L18800" s="43">
        <v>8.522088353413654</v>
      </c>
      <c r="M18800" s="43">
        <v>11.5</v>
      </c>
      <c r="N18800" s="43">
        <v>5.2750000000000004</v>
      </c>
      <c r="O18800" s="43">
        <v>11.503164556962025</v>
      </c>
      <c r="P18800" s="559"/>
      <c r="Q18800" s="559"/>
      <c r="R18800" s="559">
        <v>23</v>
      </c>
    </row>
    <row r="18801" spans="1:18" ht="84">
      <c r="A18801" s="555">
        <v>1223</v>
      </c>
      <c r="B18801" s="552" t="s">
        <v>34043</v>
      </c>
      <c r="C18801" s="556" t="s">
        <v>34044</v>
      </c>
      <c r="D18801" s="557">
        <v>3.2</v>
      </c>
      <c r="E18801" s="557">
        <v>1.61</v>
      </c>
      <c r="F18801" s="557">
        <v>1.56</v>
      </c>
      <c r="G18801" s="557">
        <v>0.03</v>
      </c>
      <c r="H18801" s="558">
        <v>27.08</v>
      </c>
      <c r="I18801" s="558">
        <v>18.5</v>
      </c>
      <c r="J18801" s="558">
        <v>8.23</v>
      </c>
      <c r="K18801" s="558">
        <v>0.35</v>
      </c>
      <c r="L18801" s="43">
        <v>8.4624999999999986</v>
      </c>
      <c r="M18801" s="43">
        <v>11.5</v>
      </c>
      <c r="N18801" s="43">
        <v>5.2756410256410255</v>
      </c>
      <c r="O18801" s="43">
        <v>11.503164556962025</v>
      </c>
      <c r="P18801" s="559"/>
      <c r="Q18801" s="559"/>
      <c r="R18801" s="559">
        <v>23</v>
      </c>
    </row>
    <row r="18802" spans="1:18" ht="84">
      <c r="A18802" s="555">
        <v>1224</v>
      </c>
      <c r="B18802" s="552" t="s">
        <v>34045</v>
      </c>
      <c r="C18802" s="556" t="s">
        <v>34046</v>
      </c>
      <c r="D18802" s="557">
        <v>3.91</v>
      </c>
      <c r="E18802" s="557">
        <v>1.95</v>
      </c>
      <c r="F18802" s="557">
        <v>1.92</v>
      </c>
      <c r="G18802" s="557">
        <v>0.04</v>
      </c>
      <c r="H18802" s="558">
        <v>33.049999999999997</v>
      </c>
      <c r="I18802" s="558">
        <v>22.46</v>
      </c>
      <c r="J18802" s="558">
        <v>10.130000000000001</v>
      </c>
      <c r="K18802" s="558">
        <v>0.46</v>
      </c>
      <c r="L18802" s="43">
        <v>8.4526854219948842</v>
      </c>
      <c r="M18802" s="43">
        <v>11.5</v>
      </c>
      <c r="N18802" s="43">
        <v>5.276041666666667</v>
      </c>
      <c r="O18802" s="43">
        <v>11.503164556962025</v>
      </c>
      <c r="P18802" s="559"/>
      <c r="Q18802" s="559"/>
      <c r="R18802" s="559">
        <v>23</v>
      </c>
    </row>
    <row r="18803" spans="1:18" ht="84">
      <c r="A18803" s="555">
        <v>1225</v>
      </c>
      <c r="B18803" s="552" t="s">
        <v>34047</v>
      </c>
      <c r="C18803" s="556" t="s">
        <v>34048</v>
      </c>
      <c r="D18803" s="557">
        <v>4.63</v>
      </c>
      <c r="E18803" s="557">
        <v>2.2999999999999998</v>
      </c>
      <c r="F18803" s="557">
        <v>2.2799999999999998</v>
      </c>
      <c r="G18803" s="557">
        <v>0.05</v>
      </c>
      <c r="H18803" s="558">
        <v>39.04</v>
      </c>
      <c r="I18803" s="558">
        <v>26.43</v>
      </c>
      <c r="J18803" s="558">
        <v>12.03</v>
      </c>
      <c r="K18803" s="558">
        <v>0.57999999999999996</v>
      </c>
      <c r="L18803" s="43">
        <v>8.4319654427645787</v>
      </c>
      <c r="M18803" s="43">
        <v>11.5</v>
      </c>
      <c r="N18803" s="43">
        <v>5.2763157894736841</v>
      </c>
      <c r="O18803" s="43">
        <v>11.503164556962025</v>
      </c>
      <c r="P18803" s="559"/>
      <c r="Q18803" s="559"/>
      <c r="R18803" s="559">
        <v>23</v>
      </c>
    </row>
    <row r="18804" spans="1:18" ht="84">
      <c r="A18804" s="555">
        <v>1226</v>
      </c>
      <c r="B18804" s="552" t="s">
        <v>34049</v>
      </c>
      <c r="C18804" s="556" t="s">
        <v>34050</v>
      </c>
      <c r="D18804" s="557">
        <v>2.4900000000000002</v>
      </c>
      <c r="E18804" s="557">
        <v>1.26</v>
      </c>
      <c r="F18804" s="557">
        <v>1.2</v>
      </c>
      <c r="G18804" s="557">
        <v>0.03</v>
      </c>
      <c r="H18804" s="558">
        <v>21.22</v>
      </c>
      <c r="I18804" s="558">
        <v>14.54</v>
      </c>
      <c r="J18804" s="558">
        <v>6.33</v>
      </c>
      <c r="K18804" s="558">
        <v>0.35</v>
      </c>
      <c r="L18804" s="43">
        <v>8.522088353413654</v>
      </c>
      <c r="M18804" s="43">
        <v>11.5</v>
      </c>
      <c r="N18804" s="43">
        <v>5.2750000000000004</v>
      </c>
      <c r="O18804" s="43">
        <v>11.503164556962025</v>
      </c>
      <c r="P18804" s="559"/>
      <c r="Q18804" s="559"/>
      <c r="R18804" s="559">
        <v>23</v>
      </c>
    </row>
    <row r="18805" spans="1:18" ht="84">
      <c r="A18805" s="555">
        <v>1227</v>
      </c>
      <c r="B18805" s="552" t="s">
        <v>34051</v>
      </c>
      <c r="C18805" s="556" t="s">
        <v>34052</v>
      </c>
      <c r="D18805" s="557">
        <v>3.68</v>
      </c>
      <c r="E18805" s="557">
        <v>1.84</v>
      </c>
      <c r="F18805" s="557">
        <v>1.8</v>
      </c>
      <c r="G18805" s="557">
        <v>0.04</v>
      </c>
      <c r="H18805" s="558">
        <v>31.1</v>
      </c>
      <c r="I18805" s="558">
        <v>21.14</v>
      </c>
      <c r="J18805" s="558">
        <v>9.5</v>
      </c>
      <c r="K18805" s="558">
        <v>0.46</v>
      </c>
      <c r="L18805" s="43">
        <v>8.4510869565217384</v>
      </c>
      <c r="M18805" s="43">
        <v>11.5</v>
      </c>
      <c r="N18805" s="43">
        <v>5.2777777777777777</v>
      </c>
      <c r="O18805" s="43">
        <v>11.503164556962025</v>
      </c>
      <c r="P18805" s="559"/>
      <c r="Q18805" s="559"/>
      <c r="R18805" s="559">
        <v>23</v>
      </c>
    </row>
    <row r="18806" spans="1:18" ht="84">
      <c r="A18806" s="555">
        <v>1228</v>
      </c>
      <c r="B18806" s="552" t="s">
        <v>34053</v>
      </c>
      <c r="C18806" s="556" t="s">
        <v>34054</v>
      </c>
      <c r="D18806" s="557">
        <v>4.8600000000000003</v>
      </c>
      <c r="E18806" s="557">
        <v>2.41</v>
      </c>
      <c r="F18806" s="557">
        <v>2.4</v>
      </c>
      <c r="G18806" s="557">
        <v>0.05</v>
      </c>
      <c r="H18806" s="558">
        <v>41</v>
      </c>
      <c r="I18806" s="558">
        <v>27.75</v>
      </c>
      <c r="J18806" s="558">
        <v>12.67</v>
      </c>
      <c r="K18806" s="558">
        <v>0.57999999999999996</v>
      </c>
      <c r="L18806" s="43">
        <v>8.4362139917695469</v>
      </c>
      <c r="M18806" s="43">
        <v>11.504522821576799</v>
      </c>
      <c r="N18806" s="43">
        <v>5.2791666666666668</v>
      </c>
      <c r="O18806" s="43">
        <v>11.503164556962025</v>
      </c>
      <c r="P18806" s="559"/>
      <c r="Q18806" s="559"/>
      <c r="R18806" s="559">
        <v>23</v>
      </c>
    </row>
    <row r="18807" spans="1:18" ht="84">
      <c r="A18807" s="555">
        <v>1229</v>
      </c>
      <c r="B18807" s="552" t="s">
        <v>34055</v>
      </c>
      <c r="C18807" s="556" t="s">
        <v>34056</v>
      </c>
      <c r="D18807" s="557">
        <v>5.81</v>
      </c>
      <c r="E18807" s="557">
        <v>2.87</v>
      </c>
      <c r="F18807" s="557">
        <v>2.88</v>
      </c>
      <c r="G18807" s="557">
        <v>0.06</v>
      </c>
      <c r="H18807" s="558">
        <v>48.93</v>
      </c>
      <c r="I18807" s="558">
        <v>33.04</v>
      </c>
      <c r="J18807" s="558">
        <v>15.2</v>
      </c>
      <c r="K18807" s="558">
        <v>0.69</v>
      </c>
      <c r="L18807" s="43">
        <v>8.4216867469879517</v>
      </c>
      <c r="M18807" s="43">
        <v>11.5021951219512</v>
      </c>
      <c r="N18807" s="43">
        <v>5.2777777777777777</v>
      </c>
      <c r="O18807" s="43">
        <v>11.503164556962025</v>
      </c>
      <c r="P18807" s="559"/>
      <c r="Q18807" s="559"/>
      <c r="R18807" s="559">
        <v>23</v>
      </c>
    </row>
    <row r="18808" spans="1:18" ht="84">
      <c r="A18808" s="555">
        <v>1230</v>
      </c>
      <c r="B18808" s="552" t="s">
        <v>34057</v>
      </c>
      <c r="C18808" s="556" t="s">
        <v>34058</v>
      </c>
      <c r="D18808" s="557">
        <v>7</v>
      </c>
      <c r="E18808" s="557">
        <v>3.45</v>
      </c>
      <c r="F18808" s="557">
        <v>3.48</v>
      </c>
      <c r="G18808" s="557">
        <v>7.0000000000000007E-2</v>
      </c>
      <c r="H18808" s="558">
        <v>58.82</v>
      </c>
      <c r="I18808" s="558">
        <v>39.64</v>
      </c>
      <c r="J18808" s="558">
        <v>18.37</v>
      </c>
      <c r="K18808" s="558">
        <v>0.81</v>
      </c>
      <c r="L18808" s="43">
        <v>8.4028571428571421</v>
      </c>
      <c r="M18808" s="43">
        <v>11.5</v>
      </c>
      <c r="N18808" s="43">
        <v>5.2787356321839081</v>
      </c>
      <c r="O18808" s="43">
        <v>11.503164556962025</v>
      </c>
      <c r="P18808" s="559"/>
      <c r="Q18808" s="559"/>
      <c r="R18808" s="559">
        <v>23</v>
      </c>
    </row>
    <row r="18809" spans="1:18" ht="84">
      <c r="A18809" s="555">
        <v>1231</v>
      </c>
      <c r="B18809" s="552" t="s">
        <v>34059</v>
      </c>
      <c r="C18809" s="556" t="s">
        <v>34060</v>
      </c>
      <c r="D18809" s="557">
        <v>2.96</v>
      </c>
      <c r="E18809" s="557">
        <v>1.49</v>
      </c>
      <c r="F18809" s="557">
        <v>1.44</v>
      </c>
      <c r="G18809" s="557">
        <v>0.03</v>
      </c>
      <c r="H18809" s="558">
        <v>25.13</v>
      </c>
      <c r="I18809" s="558">
        <v>17.18</v>
      </c>
      <c r="J18809" s="558">
        <v>7.6</v>
      </c>
      <c r="K18809" s="558">
        <v>0.35</v>
      </c>
      <c r="L18809" s="43">
        <v>8.4898648648648649</v>
      </c>
      <c r="M18809" s="43">
        <v>11.5</v>
      </c>
      <c r="N18809" s="43">
        <v>5.2777777777777777</v>
      </c>
      <c r="O18809" s="43">
        <v>11.503164556962025</v>
      </c>
      <c r="P18809" s="559"/>
      <c r="Q18809" s="559"/>
      <c r="R18809" s="559">
        <v>23</v>
      </c>
    </row>
    <row r="18810" spans="1:18" ht="84">
      <c r="A18810" s="555">
        <v>1232</v>
      </c>
      <c r="B18810" s="552" t="s">
        <v>34061</v>
      </c>
      <c r="C18810" s="556" t="s">
        <v>34062</v>
      </c>
      <c r="D18810" s="557">
        <v>4.1500000000000004</v>
      </c>
      <c r="E18810" s="557">
        <v>2.0699999999999998</v>
      </c>
      <c r="F18810" s="557">
        <v>2.04</v>
      </c>
      <c r="G18810" s="557">
        <v>0.04</v>
      </c>
      <c r="H18810" s="558">
        <v>35.020000000000003</v>
      </c>
      <c r="I18810" s="558">
        <v>23.79</v>
      </c>
      <c r="J18810" s="558">
        <v>10.77</v>
      </c>
      <c r="K18810" s="558">
        <v>0.46</v>
      </c>
      <c r="L18810" s="43">
        <v>8.4385542168674696</v>
      </c>
      <c r="M18810" s="43">
        <v>11.5</v>
      </c>
      <c r="N18810" s="43">
        <v>5.2794117647058822</v>
      </c>
      <c r="O18810" s="43">
        <v>11.503164556962025</v>
      </c>
      <c r="P18810" s="559"/>
      <c r="Q18810" s="559"/>
      <c r="R18810" s="559">
        <v>23</v>
      </c>
    </row>
    <row r="18811" spans="1:18" ht="84">
      <c r="A18811" s="555">
        <v>1233</v>
      </c>
      <c r="B18811" s="552" t="s">
        <v>34063</v>
      </c>
      <c r="C18811" s="556" t="s">
        <v>34064</v>
      </c>
      <c r="D18811" s="557">
        <v>5.33</v>
      </c>
      <c r="E18811" s="557">
        <v>2.64</v>
      </c>
      <c r="F18811" s="557">
        <v>2.64</v>
      </c>
      <c r="G18811" s="557">
        <v>0.05</v>
      </c>
      <c r="H18811" s="558">
        <v>44.9</v>
      </c>
      <c r="I18811" s="558">
        <v>30.39</v>
      </c>
      <c r="J18811" s="558">
        <v>13.93</v>
      </c>
      <c r="K18811" s="558">
        <v>0.57999999999999996</v>
      </c>
      <c r="L18811" s="43">
        <v>8.424015009380863</v>
      </c>
      <c r="M18811" s="43">
        <v>11.5013636363636</v>
      </c>
      <c r="N18811" s="43">
        <v>5.2765151515151514</v>
      </c>
      <c r="O18811" s="43">
        <v>11.503164556962025</v>
      </c>
      <c r="P18811" s="559"/>
      <c r="Q18811" s="559"/>
      <c r="R18811" s="559">
        <v>23</v>
      </c>
    </row>
    <row r="18812" spans="1:18" ht="84">
      <c r="A18812" s="555">
        <v>1234</v>
      </c>
      <c r="B18812" s="552" t="s">
        <v>34065</v>
      </c>
      <c r="C18812" s="556" t="s">
        <v>34066</v>
      </c>
      <c r="D18812" s="557">
        <v>6.52</v>
      </c>
      <c r="E18812" s="557">
        <v>3.22</v>
      </c>
      <c r="F18812" s="557">
        <v>3.24</v>
      </c>
      <c r="G18812" s="557">
        <v>0.06</v>
      </c>
      <c r="H18812" s="558">
        <v>54.79</v>
      </c>
      <c r="I18812" s="558">
        <v>37</v>
      </c>
      <c r="J18812" s="558">
        <v>17.100000000000001</v>
      </c>
      <c r="K18812" s="558">
        <v>0.69</v>
      </c>
      <c r="L18812" s="43">
        <v>8.4033742331288348</v>
      </c>
      <c r="M18812" s="43">
        <v>11.5</v>
      </c>
      <c r="N18812" s="43">
        <v>5.2777777777777777</v>
      </c>
      <c r="O18812" s="43">
        <v>11.503164556962025</v>
      </c>
      <c r="P18812" s="559"/>
      <c r="Q18812" s="559"/>
      <c r="R18812" s="559">
        <v>23</v>
      </c>
    </row>
    <row r="18813" spans="1:18" ht="84">
      <c r="A18813" s="555">
        <v>1235</v>
      </c>
      <c r="B18813" s="552" t="s">
        <v>34067</v>
      </c>
      <c r="C18813" s="556" t="s">
        <v>34068</v>
      </c>
      <c r="D18813" s="557">
        <v>7.83</v>
      </c>
      <c r="E18813" s="557">
        <v>3.91</v>
      </c>
      <c r="F18813" s="557">
        <v>3.84</v>
      </c>
      <c r="G18813" s="557">
        <v>0.08</v>
      </c>
      <c r="H18813" s="558">
        <v>66.12</v>
      </c>
      <c r="I18813" s="558">
        <v>44.93</v>
      </c>
      <c r="J18813" s="558">
        <v>20.27</v>
      </c>
      <c r="K18813" s="558">
        <v>0.92</v>
      </c>
      <c r="L18813" s="43">
        <v>8.4444444444444446</v>
      </c>
      <c r="M18813" s="43">
        <v>11.5</v>
      </c>
      <c r="N18813" s="43">
        <v>5.278645833333333</v>
      </c>
      <c r="O18813" s="43">
        <v>11.503164556962025</v>
      </c>
      <c r="P18813" s="559"/>
      <c r="Q18813" s="559"/>
      <c r="R18813" s="559">
        <v>23</v>
      </c>
    </row>
    <row r="18814" spans="1:18" ht="84">
      <c r="A18814" s="555">
        <v>1236</v>
      </c>
      <c r="B18814" s="552" t="s">
        <v>34069</v>
      </c>
      <c r="C18814" s="556" t="s">
        <v>34070</v>
      </c>
      <c r="D18814" s="557">
        <v>158.9</v>
      </c>
      <c r="E18814" s="557">
        <v>80.430000000000007</v>
      </c>
      <c r="F18814" s="557">
        <v>76.86</v>
      </c>
      <c r="G18814" s="557">
        <v>1.61</v>
      </c>
      <c r="H18814" s="558">
        <v>1348.81</v>
      </c>
      <c r="I18814" s="558">
        <v>924.98</v>
      </c>
      <c r="J18814" s="558">
        <v>405.31</v>
      </c>
      <c r="K18814" s="558">
        <v>18.52</v>
      </c>
      <c r="L18814" s="43">
        <v>8.4884203901825046</v>
      </c>
      <c r="M18814" s="43">
        <v>11.500435161009573</v>
      </c>
      <c r="N18814" s="43">
        <v>5.273354150403331</v>
      </c>
      <c r="O18814" s="43">
        <v>11.503164556962025</v>
      </c>
      <c r="P18814" s="559"/>
      <c r="Q18814" s="559"/>
      <c r="R18814" s="559">
        <v>23</v>
      </c>
    </row>
    <row r="18815" spans="1:18" ht="84">
      <c r="A18815" s="555">
        <v>1237</v>
      </c>
      <c r="B18815" s="552" t="s">
        <v>34071</v>
      </c>
      <c r="C18815" s="556" t="s">
        <v>34072</v>
      </c>
      <c r="D18815" s="557">
        <v>233.67</v>
      </c>
      <c r="E18815" s="557">
        <v>116.05</v>
      </c>
      <c r="F18815" s="557">
        <v>115.3</v>
      </c>
      <c r="G18815" s="557">
        <v>2.3199999999999998</v>
      </c>
      <c r="H18815" s="558">
        <v>1969.26</v>
      </c>
      <c r="I18815" s="558">
        <v>1334.61</v>
      </c>
      <c r="J18815" s="558">
        <v>607.97</v>
      </c>
      <c r="K18815" s="558">
        <v>26.68</v>
      </c>
      <c r="L18815" s="43">
        <v>8.4275259982025936</v>
      </c>
      <c r="M18815" s="43">
        <v>11.500301594140456</v>
      </c>
      <c r="N18815" s="43">
        <v>5.2729401561144842</v>
      </c>
      <c r="O18815" s="43">
        <v>11.503164556962025</v>
      </c>
      <c r="P18815" s="559"/>
      <c r="Q18815" s="559"/>
      <c r="R18815" s="559">
        <v>23</v>
      </c>
    </row>
    <row r="18816" spans="1:18" ht="84">
      <c r="A18816" s="555">
        <v>1238</v>
      </c>
      <c r="B18816" s="552" t="s">
        <v>34073</v>
      </c>
      <c r="C18816" s="556" t="s">
        <v>34074</v>
      </c>
      <c r="D18816" s="557">
        <v>272.75</v>
      </c>
      <c r="E18816" s="557">
        <v>137.88</v>
      </c>
      <c r="F18816" s="557">
        <v>132.11000000000001</v>
      </c>
      <c r="G18816" s="557">
        <v>2.76</v>
      </c>
      <c r="H18816" s="558">
        <v>2314.0500000000002</v>
      </c>
      <c r="I18816" s="558">
        <v>1585.68</v>
      </c>
      <c r="J18816" s="558">
        <v>696.63</v>
      </c>
      <c r="K18816" s="558">
        <v>31.74</v>
      </c>
      <c r="L18816" s="43">
        <v>8.4841429880843275</v>
      </c>
      <c r="M18816" s="43">
        <v>11.500435161009575</v>
      </c>
      <c r="N18816" s="43">
        <v>5.2731057452123222</v>
      </c>
      <c r="O18816" s="43">
        <v>11.503164556962025</v>
      </c>
      <c r="P18816" s="559"/>
      <c r="Q18816" s="559"/>
      <c r="R18816" s="559">
        <v>23</v>
      </c>
    </row>
    <row r="18817" spans="1:18" ht="12.75" customHeight="1">
      <c r="A18817" s="628" t="s">
        <v>34075</v>
      </c>
      <c r="B18817" s="629"/>
      <c r="C18817" s="629"/>
      <c r="D18817" s="629"/>
      <c r="E18817" s="629"/>
      <c r="F18817" s="629"/>
      <c r="G18817" s="629"/>
      <c r="H18817" s="629"/>
      <c r="I18817" s="629"/>
      <c r="J18817" s="629"/>
      <c r="K18817" s="629"/>
      <c r="L18817" s="629"/>
      <c r="M18817" s="629"/>
      <c r="N18817" s="629"/>
      <c r="O18817" s="629"/>
      <c r="P18817" s="629"/>
      <c r="Q18817" s="629"/>
      <c r="R18817" s="629"/>
    </row>
    <row r="18818" spans="1:18" ht="84">
      <c r="A18818" s="555">
        <v>1239</v>
      </c>
      <c r="B18818" s="552" t="s">
        <v>34076</v>
      </c>
      <c r="C18818" s="556" t="s">
        <v>34077</v>
      </c>
      <c r="D18818" s="557">
        <v>2.4900000000000002</v>
      </c>
      <c r="E18818" s="557">
        <v>1.26</v>
      </c>
      <c r="F18818" s="557">
        <v>1.2</v>
      </c>
      <c r="G18818" s="557">
        <v>0.03</v>
      </c>
      <c r="H18818" s="558">
        <v>21.22</v>
      </c>
      <c r="I18818" s="558">
        <v>14.54</v>
      </c>
      <c r="J18818" s="558">
        <v>6.33</v>
      </c>
      <c r="K18818" s="558">
        <v>0.35</v>
      </c>
      <c r="L18818" s="43">
        <v>8.522088353413654</v>
      </c>
      <c r="M18818" s="43">
        <v>11.5</v>
      </c>
      <c r="N18818" s="43">
        <v>5.2750000000000004</v>
      </c>
      <c r="O18818" s="43">
        <v>11.503164556962025</v>
      </c>
      <c r="P18818" s="559"/>
      <c r="Q18818" s="559"/>
      <c r="R18818" s="559">
        <v>24</v>
      </c>
    </row>
    <row r="18819" spans="1:18" ht="84">
      <c r="A18819" s="555">
        <v>1240</v>
      </c>
      <c r="B18819" s="552" t="s">
        <v>34078</v>
      </c>
      <c r="C18819" s="556" t="s">
        <v>34079</v>
      </c>
      <c r="D18819" s="557">
        <v>3.43</v>
      </c>
      <c r="E18819" s="557">
        <v>1.72</v>
      </c>
      <c r="F18819" s="557">
        <v>1.68</v>
      </c>
      <c r="G18819" s="557">
        <v>0.03</v>
      </c>
      <c r="H18819" s="558">
        <v>29.04</v>
      </c>
      <c r="I18819" s="558">
        <v>19.82</v>
      </c>
      <c r="J18819" s="558">
        <v>8.8699999999999992</v>
      </c>
      <c r="K18819" s="558">
        <v>0.35</v>
      </c>
      <c r="L18819" s="43">
        <v>8.4664723032069968</v>
      </c>
      <c r="M18819" s="43">
        <v>11.5</v>
      </c>
      <c r="N18819" s="43">
        <v>5.2797619047619042</v>
      </c>
      <c r="O18819" s="43">
        <v>11.503164556962025</v>
      </c>
      <c r="P18819" s="559"/>
      <c r="Q18819" s="559"/>
      <c r="R18819" s="559">
        <v>24</v>
      </c>
    </row>
    <row r="18820" spans="1:18" ht="84">
      <c r="A18820" s="555">
        <v>1241</v>
      </c>
      <c r="B18820" s="552" t="s">
        <v>34080</v>
      </c>
      <c r="C18820" s="556" t="s">
        <v>34081</v>
      </c>
      <c r="D18820" s="557">
        <v>4.63</v>
      </c>
      <c r="E18820" s="557">
        <v>2.2999999999999998</v>
      </c>
      <c r="F18820" s="557">
        <v>2.2799999999999998</v>
      </c>
      <c r="G18820" s="557">
        <v>0.05</v>
      </c>
      <c r="H18820" s="558">
        <v>39.04</v>
      </c>
      <c r="I18820" s="558">
        <v>26.43</v>
      </c>
      <c r="J18820" s="558">
        <v>12.03</v>
      </c>
      <c r="K18820" s="558">
        <v>0.57999999999999996</v>
      </c>
      <c r="L18820" s="43">
        <v>8.4319654427645787</v>
      </c>
      <c r="M18820" s="43">
        <v>11.5</v>
      </c>
      <c r="N18820" s="43">
        <v>5.2763157894736841</v>
      </c>
      <c r="O18820" s="43">
        <v>11.5</v>
      </c>
      <c r="P18820" s="559"/>
      <c r="Q18820" s="559"/>
      <c r="R18820" s="559">
        <v>24</v>
      </c>
    </row>
    <row r="18821" spans="1:18" ht="84">
      <c r="A18821" s="555">
        <v>1242</v>
      </c>
      <c r="B18821" s="552" t="s">
        <v>34082</v>
      </c>
      <c r="C18821" s="556" t="s">
        <v>34083</v>
      </c>
      <c r="D18821" s="557">
        <v>5.81</v>
      </c>
      <c r="E18821" s="557">
        <v>2.87</v>
      </c>
      <c r="F18821" s="557">
        <v>2.88</v>
      </c>
      <c r="G18821" s="557">
        <v>0.06</v>
      </c>
      <c r="H18821" s="558">
        <v>48.93</v>
      </c>
      <c r="I18821" s="558">
        <v>33.04</v>
      </c>
      <c r="J18821" s="558">
        <v>15.2</v>
      </c>
      <c r="K18821" s="558">
        <v>0.69</v>
      </c>
      <c r="L18821" s="43">
        <v>8.4216867469879517</v>
      </c>
      <c r="M18821" s="43">
        <v>11.5021951219512</v>
      </c>
      <c r="N18821" s="43">
        <v>5.2777777777777777</v>
      </c>
      <c r="O18821" s="43">
        <v>11.5</v>
      </c>
      <c r="P18821" s="559"/>
      <c r="Q18821" s="559"/>
      <c r="R18821" s="559">
        <v>24</v>
      </c>
    </row>
    <row r="18822" spans="1:18" ht="84">
      <c r="A18822" s="555">
        <v>1243</v>
      </c>
      <c r="B18822" s="552" t="s">
        <v>34084</v>
      </c>
      <c r="C18822" s="556" t="s">
        <v>34085</v>
      </c>
      <c r="D18822" s="557">
        <v>7</v>
      </c>
      <c r="E18822" s="557">
        <v>3.45</v>
      </c>
      <c r="F18822" s="557">
        <v>3.48</v>
      </c>
      <c r="G18822" s="557">
        <v>7.0000000000000007E-2</v>
      </c>
      <c r="H18822" s="558">
        <v>58.82</v>
      </c>
      <c r="I18822" s="558">
        <v>39.64</v>
      </c>
      <c r="J18822" s="558">
        <v>18.37</v>
      </c>
      <c r="K18822" s="558">
        <v>0.81</v>
      </c>
      <c r="L18822" s="43">
        <v>8.4028571428571421</v>
      </c>
      <c r="M18822" s="43">
        <v>11.5</v>
      </c>
      <c r="N18822" s="43">
        <v>5.2787356321839081</v>
      </c>
      <c r="O18822" s="43">
        <v>11.5</v>
      </c>
      <c r="P18822" s="559"/>
      <c r="Q18822" s="559"/>
      <c r="R18822" s="559">
        <v>24</v>
      </c>
    </row>
    <row r="18823" spans="1:18" ht="84">
      <c r="A18823" s="555">
        <v>1244</v>
      </c>
      <c r="B18823" s="552" t="s">
        <v>34086</v>
      </c>
      <c r="C18823" s="556" t="s">
        <v>34087</v>
      </c>
      <c r="D18823" s="557">
        <v>3.68</v>
      </c>
      <c r="E18823" s="557">
        <v>1.84</v>
      </c>
      <c r="F18823" s="557">
        <v>1.8</v>
      </c>
      <c r="G18823" s="557">
        <v>0.04</v>
      </c>
      <c r="H18823" s="558">
        <v>31.1</v>
      </c>
      <c r="I18823" s="558">
        <v>21.14</v>
      </c>
      <c r="J18823" s="558">
        <v>9.5</v>
      </c>
      <c r="K18823" s="558">
        <v>0.46</v>
      </c>
      <c r="L18823" s="43">
        <v>8.4510869565217384</v>
      </c>
      <c r="M18823" s="43">
        <v>11.5</v>
      </c>
      <c r="N18823" s="43">
        <v>5.2777777777777777</v>
      </c>
      <c r="O18823" s="43">
        <v>11.5</v>
      </c>
      <c r="P18823" s="559"/>
      <c r="Q18823" s="559"/>
      <c r="R18823" s="559">
        <v>24</v>
      </c>
    </row>
    <row r="18824" spans="1:18" ht="84">
      <c r="A18824" s="555">
        <v>1245</v>
      </c>
      <c r="B18824" s="552" t="s">
        <v>34088</v>
      </c>
      <c r="C18824" s="556" t="s">
        <v>34089</v>
      </c>
      <c r="D18824" s="557">
        <v>5.0999999999999996</v>
      </c>
      <c r="E18824" s="557">
        <v>2.5299999999999998</v>
      </c>
      <c r="F18824" s="557">
        <v>2.52</v>
      </c>
      <c r="G18824" s="557">
        <v>0.05</v>
      </c>
      <c r="H18824" s="558">
        <v>42.95</v>
      </c>
      <c r="I18824" s="558">
        <v>29.07</v>
      </c>
      <c r="J18824" s="558">
        <v>13.3</v>
      </c>
      <c r="K18824" s="558">
        <v>0.57999999999999996</v>
      </c>
      <c r="L18824" s="43">
        <v>8.4215686274509807</v>
      </c>
      <c r="M18824" s="43">
        <v>11.5</v>
      </c>
      <c r="N18824" s="43">
        <v>5.2777777777777777</v>
      </c>
      <c r="O18824" s="43">
        <v>11.5</v>
      </c>
      <c r="P18824" s="559"/>
      <c r="Q18824" s="559"/>
      <c r="R18824" s="559">
        <v>24</v>
      </c>
    </row>
    <row r="18825" spans="1:18" ht="84">
      <c r="A18825" s="555">
        <v>1246</v>
      </c>
      <c r="B18825" s="552" t="s">
        <v>34090</v>
      </c>
      <c r="C18825" s="556" t="s">
        <v>34091</v>
      </c>
      <c r="D18825" s="557">
        <v>7.11</v>
      </c>
      <c r="E18825" s="557">
        <v>3.56</v>
      </c>
      <c r="F18825" s="557">
        <v>3.48</v>
      </c>
      <c r="G18825" s="557">
        <v>7.0000000000000007E-2</v>
      </c>
      <c r="H18825" s="558">
        <v>60.14</v>
      </c>
      <c r="I18825" s="558">
        <v>40.96</v>
      </c>
      <c r="J18825" s="558">
        <v>18.37</v>
      </c>
      <c r="K18825" s="558">
        <v>0.81</v>
      </c>
      <c r="L18825" s="43">
        <v>8.4585091420534457</v>
      </c>
      <c r="M18825" s="43">
        <v>11.5021951219512</v>
      </c>
      <c r="N18825" s="43">
        <v>5.2787356321839081</v>
      </c>
      <c r="O18825" s="43">
        <v>11.5021951219512</v>
      </c>
      <c r="P18825" s="559"/>
      <c r="Q18825" s="559"/>
      <c r="R18825" s="559">
        <v>24</v>
      </c>
    </row>
    <row r="18826" spans="1:18" ht="84">
      <c r="A18826" s="555">
        <v>1247</v>
      </c>
      <c r="B18826" s="552" t="s">
        <v>34092</v>
      </c>
      <c r="C18826" s="556" t="s">
        <v>34093</v>
      </c>
      <c r="D18826" s="557">
        <v>8.7799999999999994</v>
      </c>
      <c r="E18826" s="557">
        <v>4.37</v>
      </c>
      <c r="F18826" s="557">
        <v>4.32</v>
      </c>
      <c r="G18826" s="557">
        <v>0.09</v>
      </c>
      <c r="H18826" s="558">
        <v>74.05</v>
      </c>
      <c r="I18826" s="558">
        <v>50.21</v>
      </c>
      <c r="J18826" s="558">
        <v>22.8</v>
      </c>
      <c r="K18826" s="558">
        <v>1.04</v>
      </c>
      <c r="L18826" s="43">
        <v>8.4339407744874713</v>
      </c>
      <c r="M18826" s="43">
        <v>11.5</v>
      </c>
      <c r="N18826" s="43">
        <v>5.2777777777777777</v>
      </c>
      <c r="O18826" s="43">
        <v>11.5</v>
      </c>
      <c r="P18826" s="559"/>
      <c r="Q18826" s="559"/>
      <c r="R18826" s="559">
        <v>24</v>
      </c>
    </row>
    <row r="18827" spans="1:18" ht="84">
      <c r="A18827" s="555">
        <v>1248</v>
      </c>
      <c r="B18827" s="552" t="s">
        <v>34094</v>
      </c>
      <c r="C18827" s="556" t="s">
        <v>34095</v>
      </c>
      <c r="D18827" s="557">
        <v>10.68</v>
      </c>
      <c r="E18827" s="557">
        <v>5.29</v>
      </c>
      <c r="F18827" s="557">
        <v>5.28</v>
      </c>
      <c r="G18827" s="557">
        <v>0.11</v>
      </c>
      <c r="H18827" s="558">
        <v>89.92</v>
      </c>
      <c r="I18827" s="558">
        <v>60.78</v>
      </c>
      <c r="J18827" s="558">
        <v>27.87</v>
      </c>
      <c r="K18827" s="558">
        <v>1.27</v>
      </c>
      <c r="L18827" s="43">
        <v>8.4194756554307126</v>
      </c>
      <c r="M18827" s="43">
        <v>11.5</v>
      </c>
      <c r="N18827" s="43">
        <v>5.2784090909090908</v>
      </c>
      <c r="O18827" s="43">
        <v>11.5</v>
      </c>
      <c r="P18827" s="559"/>
      <c r="Q18827" s="559"/>
      <c r="R18827" s="559">
        <v>24</v>
      </c>
    </row>
    <row r="18828" spans="1:18" ht="84">
      <c r="A18828" s="555">
        <v>1249</v>
      </c>
      <c r="B18828" s="552" t="s">
        <v>34096</v>
      </c>
      <c r="C18828" s="556" t="s">
        <v>34097</v>
      </c>
      <c r="D18828" s="557">
        <v>4.1500000000000004</v>
      </c>
      <c r="E18828" s="557">
        <v>2.0699999999999998</v>
      </c>
      <c r="F18828" s="557">
        <v>2.04</v>
      </c>
      <c r="G18828" s="557">
        <v>0.04</v>
      </c>
      <c r="H18828" s="558">
        <v>35.020000000000003</v>
      </c>
      <c r="I18828" s="558">
        <v>23.79</v>
      </c>
      <c r="J18828" s="558">
        <v>10.77</v>
      </c>
      <c r="K18828" s="558">
        <v>0.46</v>
      </c>
      <c r="L18828" s="43">
        <v>8.4385542168674696</v>
      </c>
      <c r="M18828" s="43">
        <v>11.5</v>
      </c>
      <c r="N18828" s="43">
        <v>5.2794117647058822</v>
      </c>
      <c r="O18828" s="43">
        <v>11.5</v>
      </c>
      <c r="P18828" s="559"/>
      <c r="Q18828" s="559"/>
      <c r="R18828" s="559">
        <v>24</v>
      </c>
    </row>
    <row r="18829" spans="1:18" ht="84">
      <c r="A18829" s="555">
        <v>1250</v>
      </c>
      <c r="B18829" s="552" t="s">
        <v>34098</v>
      </c>
      <c r="C18829" s="556" t="s">
        <v>34099</v>
      </c>
      <c r="D18829" s="557">
        <v>5.81</v>
      </c>
      <c r="E18829" s="557">
        <v>2.87</v>
      </c>
      <c r="F18829" s="557">
        <v>2.88</v>
      </c>
      <c r="G18829" s="557">
        <v>0.06</v>
      </c>
      <c r="H18829" s="558">
        <v>48.93</v>
      </c>
      <c r="I18829" s="558">
        <v>33.04</v>
      </c>
      <c r="J18829" s="558">
        <v>15.2</v>
      </c>
      <c r="K18829" s="558">
        <v>0.69</v>
      </c>
      <c r="L18829" s="43">
        <v>8.4216867469879517</v>
      </c>
      <c r="M18829" s="43">
        <v>11.5021951219512</v>
      </c>
      <c r="N18829" s="43">
        <v>5.2777777777777777</v>
      </c>
      <c r="O18829" s="43">
        <v>11.5</v>
      </c>
      <c r="P18829" s="559"/>
      <c r="Q18829" s="559"/>
      <c r="R18829" s="559">
        <v>24</v>
      </c>
    </row>
    <row r="18830" spans="1:18" ht="84">
      <c r="A18830" s="555">
        <v>1251</v>
      </c>
      <c r="B18830" s="552" t="s">
        <v>34100</v>
      </c>
      <c r="C18830" s="556" t="s">
        <v>34101</v>
      </c>
      <c r="D18830" s="557">
        <v>7.83</v>
      </c>
      <c r="E18830" s="557">
        <v>3.91</v>
      </c>
      <c r="F18830" s="557">
        <v>3.84</v>
      </c>
      <c r="G18830" s="557">
        <v>0.08</v>
      </c>
      <c r="H18830" s="558">
        <v>66.12</v>
      </c>
      <c r="I18830" s="558">
        <v>44.93</v>
      </c>
      <c r="J18830" s="558">
        <v>20.27</v>
      </c>
      <c r="K18830" s="558">
        <v>0.92</v>
      </c>
      <c r="L18830" s="43">
        <v>8.4444444444444446</v>
      </c>
      <c r="M18830" s="43">
        <v>11.5</v>
      </c>
      <c r="N18830" s="43">
        <v>5.278645833333333</v>
      </c>
      <c r="O18830" s="43">
        <v>11.5</v>
      </c>
      <c r="P18830" s="559"/>
      <c r="Q18830" s="559"/>
      <c r="R18830" s="559">
        <v>24</v>
      </c>
    </row>
    <row r="18831" spans="1:18" ht="84">
      <c r="A18831" s="555">
        <v>1252</v>
      </c>
      <c r="B18831" s="552" t="s">
        <v>34102</v>
      </c>
      <c r="C18831" s="556" t="s">
        <v>34103</v>
      </c>
      <c r="D18831" s="557">
        <v>9.9600000000000009</v>
      </c>
      <c r="E18831" s="557">
        <v>4.9400000000000004</v>
      </c>
      <c r="F18831" s="557">
        <v>4.92</v>
      </c>
      <c r="G18831" s="557">
        <v>0.1</v>
      </c>
      <c r="H18831" s="558">
        <v>83.94</v>
      </c>
      <c r="I18831" s="558">
        <v>56.82</v>
      </c>
      <c r="J18831" s="558">
        <v>25.97</v>
      </c>
      <c r="K18831" s="558">
        <v>1.1499999999999999</v>
      </c>
      <c r="L18831" s="43">
        <v>8.4277108433734931</v>
      </c>
      <c r="M18831" s="43">
        <v>11.502024291497975</v>
      </c>
      <c r="N18831" s="43">
        <v>5.2784552845528454</v>
      </c>
      <c r="O18831" s="43">
        <v>11.499999999999998</v>
      </c>
      <c r="P18831" s="559"/>
      <c r="Q18831" s="559"/>
      <c r="R18831" s="559">
        <v>24</v>
      </c>
    </row>
    <row r="18832" spans="1:18" ht="84">
      <c r="A18832" s="555">
        <v>1253</v>
      </c>
      <c r="B18832" s="552" t="s">
        <v>34104</v>
      </c>
      <c r="C18832" s="556" t="s">
        <v>34105</v>
      </c>
      <c r="D18832" s="557">
        <v>11.62</v>
      </c>
      <c r="E18832" s="557">
        <v>5.75</v>
      </c>
      <c r="F18832" s="557">
        <v>5.76</v>
      </c>
      <c r="G18832" s="557">
        <v>0.11</v>
      </c>
      <c r="H18832" s="558">
        <v>97.74</v>
      </c>
      <c r="I18832" s="558">
        <v>66.069999999999993</v>
      </c>
      <c r="J18832" s="558">
        <v>30.4</v>
      </c>
      <c r="K18832" s="558">
        <v>1.27</v>
      </c>
      <c r="L18832" s="43">
        <v>8.411359724612737</v>
      </c>
      <c r="M18832" s="43">
        <v>11.5</v>
      </c>
      <c r="N18832" s="43">
        <v>5.2777777777777777</v>
      </c>
      <c r="O18832" s="43">
        <v>11.5</v>
      </c>
      <c r="P18832" s="559"/>
      <c r="Q18832" s="559"/>
      <c r="R18832" s="559">
        <v>24</v>
      </c>
    </row>
    <row r="18833" spans="1:18" ht="84">
      <c r="A18833" s="555">
        <v>1254</v>
      </c>
      <c r="B18833" s="552" t="s">
        <v>34106</v>
      </c>
      <c r="C18833" s="556" t="s">
        <v>34107</v>
      </c>
      <c r="D18833" s="557">
        <v>232.5</v>
      </c>
      <c r="E18833" s="557">
        <v>114.9</v>
      </c>
      <c r="F18833" s="557">
        <v>115.3</v>
      </c>
      <c r="G18833" s="557">
        <v>2.2999999999999998</v>
      </c>
      <c r="H18833" s="558">
        <v>1955.82</v>
      </c>
      <c r="I18833" s="558">
        <v>1321.4</v>
      </c>
      <c r="J18833" s="558">
        <v>607.97</v>
      </c>
      <c r="K18833" s="558">
        <v>26.45</v>
      </c>
      <c r="L18833" s="43">
        <v>8.4121290322580649</v>
      </c>
      <c r="M18833" s="43">
        <v>11.500435161009573</v>
      </c>
      <c r="N18833" s="43">
        <v>5.2729401561144842</v>
      </c>
      <c r="O18833" s="43">
        <v>11.5</v>
      </c>
      <c r="P18833" s="559"/>
      <c r="Q18833" s="559"/>
      <c r="R18833" s="559">
        <v>24</v>
      </c>
    </row>
    <row r="18834" spans="1:18" ht="84">
      <c r="A18834" s="555">
        <v>1255</v>
      </c>
      <c r="B18834" s="552" t="s">
        <v>34108</v>
      </c>
      <c r="C18834" s="556" t="s">
        <v>34109</v>
      </c>
      <c r="D18834" s="557">
        <v>349.95</v>
      </c>
      <c r="E18834" s="557">
        <v>172.35</v>
      </c>
      <c r="F18834" s="557">
        <v>174.15</v>
      </c>
      <c r="G18834" s="557">
        <v>3.45</v>
      </c>
      <c r="H18834" s="558">
        <v>2940.07</v>
      </c>
      <c r="I18834" s="558">
        <v>1982.1</v>
      </c>
      <c r="J18834" s="558">
        <v>918.29</v>
      </c>
      <c r="K18834" s="558">
        <v>39.68</v>
      </c>
      <c r="L18834" s="43">
        <v>8.4014002000285757</v>
      </c>
      <c r="M18834" s="43">
        <v>11.500435161009573</v>
      </c>
      <c r="N18834" s="43">
        <v>5.2729830605799597</v>
      </c>
      <c r="O18834" s="43">
        <v>11.501449275362319</v>
      </c>
      <c r="P18834" s="559"/>
      <c r="Q18834" s="559"/>
      <c r="R18834" s="559">
        <v>24</v>
      </c>
    </row>
    <row r="18835" spans="1:18" ht="84">
      <c r="A18835" s="555">
        <v>1256</v>
      </c>
      <c r="B18835" s="552" t="s">
        <v>34110</v>
      </c>
      <c r="C18835" s="556" t="s">
        <v>34111</v>
      </c>
      <c r="D18835" s="557">
        <v>397.41</v>
      </c>
      <c r="E18835" s="557">
        <v>195.33</v>
      </c>
      <c r="F18835" s="557">
        <v>198.17</v>
      </c>
      <c r="G18835" s="557">
        <v>3.91</v>
      </c>
      <c r="H18835" s="558">
        <v>3336.3</v>
      </c>
      <c r="I18835" s="558">
        <v>2246.38</v>
      </c>
      <c r="J18835" s="558">
        <v>1044.95</v>
      </c>
      <c r="K18835" s="558">
        <v>44.97</v>
      </c>
      <c r="L18835" s="43">
        <v>8.3951083264135278</v>
      </c>
      <c r="M18835" s="43">
        <v>11.500435161009573</v>
      </c>
      <c r="N18835" s="43">
        <v>5.2729979310692849</v>
      </c>
      <c r="O18835" s="43">
        <v>11.501278772378516</v>
      </c>
      <c r="P18835" s="559"/>
      <c r="Q18835" s="559"/>
      <c r="R18835" s="559">
        <v>24</v>
      </c>
    </row>
    <row r="18836" spans="1:18" ht="12.75" customHeight="1">
      <c r="A18836" s="628" t="s">
        <v>34112</v>
      </c>
      <c r="B18836" s="629"/>
      <c r="C18836" s="629"/>
      <c r="D18836" s="629"/>
      <c r="E18836" s="629"/>
      <c r="F18836" s="629"/>
      <c r="G18836" s="629"/>
      <c r="H18836" s="629"/>
      <c r="I18836" s="629"/>
      <c r="J18836" s="629"/>
      <c r="K18836" s="629"/>
      <c r="L18836" s="629"/>
      <c r="M18836" s="629"/>
      <c r="N18836" s="629"/>
      <c r="O18836" s="629"/>
      <c r="P18836" s="629"/>
      <c r="Q18836" s="629"/>
      <c r="R18836" s="629"/>
    </row>
    <row r="18837" spans="1:18" ht="84">
      <c r="A18837" s="555">
        <v>1257</v>
      </c>
      <c r="B18837" s="552" t="s">
        <v>34113</v>
      </c>
      <c r="C18837" s="556" t="s">
        <v>34114</v>
      </c>
      <c r="D18837" s="557">
        <v>3.91</v>
      </c>
      <c r="E18837" s="557">
        <v>1.95</v>
      </c>
      <c r="F18837" s="557">
        <v>1.92</v>
      </c>
      <c r="G18837" s="557">
        <v>0.04</v>
      </c>
      <c r="H18837" s="558">
        <v>33.049999999999997</v>
      </c>
      <c r="I18837" s="558">
        <v>22.46</v>
      </c>
      <c r="J18837" s="558">
        <v>10.130000000000001</v>
      </c>
      <c r="K18837" s="558">
        <v>0.46</v>
      </c>
      <c r="L18837" s="43">
        <v>8.4526854219948842</v>
      </c>
      <c r="M18837" s="43">
        <v>11.5</v>
      </c>
      <c r="N18837" s="43">
        <v>5.276041666666667</v>
      </c>
      <c r="O18837" s="43">
        <v>11.5</v>
      </c>
      <c r="P18837" s="559"/>
      <c r="Q18837" s="559"/>
      <c r="R18837" s="559">
        <v>25</v>
      </c>
    </row>
    <row r="18838" spans="1:18" ht="84">
      <c r="A18838" s="555">
        <v>1258</v>
      </c>
      <c r="B18838" s="552" t="s">
        <v>34115</v>
      </c>
      <c r="C18838" s="556" t="s">
        <v>34116</v>
      </c>
      <c r="D18838" s="557">
        <v>5.81</v>
      </c>
      <c r="E18838" s="557">
        <v>2.87</v>
      </c>
      <c r="F18838" s="557">
        <v>2.88</v>
      </c>
      <c r="G18838" s="557">
        <v>0.06</v>
      </c>
      <c r="H18838" s="558">
        <v>48.93</v>
      </c>
      <c r="I18838" s="558">
        <v>33.04</v>
      </c>
      <c r="J18838" s="558">
        <v>15.2</v>
      </c>
      <c r="K18838" s="558">
        <v>0.69</v>
      </c>
      <c r="L18838" s="43">
        <v>8.4216867469879517</v>
      </c>
      <c r="M18838" s="43">
        <v>11.5021951219512</v>
      </c>
      <c r="N18838" s="43">
        <v>5.2777777777777777</v>
      </c>
      <c r="O18838" s="43">
        <v>11.5</v>
      </c>
      <c r="P18838" s="559"/>
      <c r="Q18838" s="559"/>
      <c r="R18838" s="559">
        <v>25</v>
      </c>
    </row>
    <row r="18839" spans="1:18" ht="84">
      <c r="A18839" s="555">
        <v>1259</v>
      </c>
      <c r="B18839" s="552" t="s">
        <v>34117</v>
      </c>
      <c r="C18839" s="556" t="s">
        <v>34118</v>
      </c>
      <c r="D18839" s="557">
        <v>7.83</v>
      </c>
      <c r="E18839" s="557">
        <v>3.91</v>
      </c>
      <c r="F18839" s="557">
        <v>3.84</v>
      </c>
      <c r="G18839" s="557">
        <v>0.08</v>
      </c>
      <c r="H18839" s="558">
        <v>66.12</v>
      </c>
      <c r="I18839" s="558">
        <v>44.93</v>
      </c>
      <c r="J18839" s="558">
        <v>20.27</v>
      </c>
      <c r="K18839" s="558">
        <v>0.92</v>
      </c>
      <c r="L18839" s="43">
        <v>8.4444444444444446</v>
      </c>
      <c r="M18839" s="43">
        <v>11.5</v>
      </c>
      <c r="N18839" s="43">
        <v>5.278645833333333</v>
      </c>
      <c r="O18839" s="43">
        <v>11.5</v>
      </c>
      <c r="P18839" s="559"/>
      <c r="Q18839" s="559"/>
      <c r="R18839" s="559">
        <v>25</v>
      </c>
    </row>
    <row r="18840" spans="1:18" ht="84">
      <c r="A18840" s="555">
        <v>1260</v>
      </c>
      <c r="B18840" s="552" t="s">
        <v>34119</v>
      </c>
      <c r="C18840" s="556" t="s">
        <v>34120</v>
      </c>
      <c r="D18840" s="557">
        <v>9.73</v>
      </c>
      <c r="E18840" s="557">
        <v>4.83</v>
      </c>
      <c r="F18840" s="557">
        <v>4.8</v>
      </c>
      <c r="G18840" s="557">
        <v>0.1</v>
      </c>
      <c r="H18840" s="558">
        <v>81.98</v>
      </c>
      <c r="I18840" s="558">
        <v>55.5</v>
      </c>
      <c r="J18840" s="558">
        <v>25.33</v>
      </c>
      <c r="K18840" s="558">
        <v>1.1499999999999999</v>
      </c>
      <c r="L18840" s="43">
        <v>8.425488180883864</v>
      </c>
      <c r="M18840" s="43">
        <v>11.5</v>
      </c>
      <c r="N18840" s="43">
        <v>5.2770833333333336</v>
      </c>
      <c r="O18840" s="43">
        <v>11.499999999999998</v>
      </c>
      <c r="P18840" s="559"/>
      <c r="Q18840" s="559"/>
      <c r="R18840" s="559">
        <v>25</v>
      </c>
    </row>
    <row r="18841" spans="1:18" ht="84">
      <c r="A18841" s="555">
        <v>1261</v>
      </c>
      <c r="B18841" s="552" t="s">
        <v>34121</v>
      </c>
      <c r="C18841" s="556" t="s">
        <v>34122</v>
      </c>
      <c r="D18841" s="557">
        <v>11.62</v>
      </c>
      <c r="E18841" s="557">
        <v>5.75</v>
      </c>
      <c r="F18841" s="557">
        <v>5.76</v>
      </c>
      <c r="G18841" s="557">
        <v>0.11</v>
      </c>
      <c r="H18841" s="558">
        <v>97.74</v>
      </c>
      <c r="I18841" s="558">
        <v>66.069999999999993</v>
      </c>
      <c r="J18841" s="558">
        <v>30.4</v>
      </c>
      <c r="K18841" s="558">
        <v>1.27</v>
      </c>
      <c r="L18841" s="43">
        <v>8.411359724612737</v>
      </c>
      <c r="M18841" s="43">
        <v>11.5</v>
      </c>
      <c r="N18841" s="43">
        <v>5.2777777777777777</v>
      </c>
      <c r="O18841" s="43">
        <v>11.5</v>
      </c>
      <c r="P18841" s="559"/>
      <c r="Q18841" s="559"/>
      <c r="R18841" s="559">
        <v>25</v>
      </c>
    </row>
    <row r="18842" spans="1:18" ht="84">
      <c r="A18842" s="555">
        <v>1262</v>
      </c>
      <c r="B18842" s="552" t="s">
        <v>34123</v>
      </c>
      <c r="C18842" s="556" t="s">
        <v>34124</v>
      </c>
      <c r="D18842" s="557">
        <v>5.81</v>
      </c>
      <c r="E18842" s="557">
        <v>2.87</v>
      </c>
      <c r="F18842" s="557">
        <v>2.88</v>
      </c>
      <c r="G18842" s="557">
        <v>0.06</v>
      </c>
      <c r="H18842" s="558">
        <v>48.93</v>
      </c>
      <c r="I18842" s="558">
        <v>33.04</v>
      </c>
      <c r="J18842" s="558">
        <v>15.2</v>
      </c>
      <c r="K18842" s="558">
        <v>0.69</v>
      </c>
      <c r="L18842" s="43">
        <v>8.4216867469879517</v>
      </c>
      <c r="M18842" s="43">
        <v>11.5021951219512</v>
      </c>
      <c r="N18842" s="43">
        <v>5.2777777777777777</v>
      </c>
      <c r="O18842" s="43">
        <v>11.5</v>
      </c>
      <c r="P18842" s="559"/>
      <c r="Q18842" s="559"/>
      <c r="R18842" s="559">
        <v>25</v>
      </c>
    </row>
    <row r="18843" spans="1:18" ht="84">
      <c r="A18843" s="555">
        <v>1263</v>
      </c>
      <c r="B18843" s="552" t="s">
        <v>34125</v>
      </c>
      <c r="C18843" s="556" t="s">
        <v>34126</v>
      </c>
      <c r="D18843" s="557">
        <v>8.7799999999999994</v>
      </c>
      <c r="E18843" s="557">
        <v>4.37</v>
      </c>
      <c r="F18843" s="557">
        <v>4.32</v>
      </c>
      <c r="G18843" s="557">
        <v>0.09</v>
      </c>
      <c r="H18843" s="558">
        <v>74.05</v>
      </c>
      <c r="I18843" s="558">
        <v>50.21</v>
      </c>
      <c r="J18843" s="558">
        <v>22.8</v>
      </c>
      <c r="K18843" s="558">
        <v>1.04</v>
      </c>
      <c r="L18843" s="43">
        <v>8.4339407744874713</v>
      </c>
      <c r="M18843" s="43">
        <v>11.5</v>
      </c>
      <c r="N18843" s="43">
        <v>5.2777777777777777</v>
      </c>
      <c r="O18843" s="43">
        <v>11.5</v>
      </c>
      <c r="P18843" s="559"/>
      <c r="Q18843" s="559"/>
      <c r="R18843" s="559">
        <v>25</v>
      </c>
    </row>
    <row r="18844" spans="1:18" ht="84">
      <c r="A18844" s="555">
        <v>1264</v>
      </c>
      <c r="B18844" s="552" t="s">
        <v>34127</v>
      </c>
      <c r="C18844" s="556" t="s">
        <v>34128</v>
      </c>
      <c r="D18844" s="557">
        <v>11.62</v>
      </c>
      <c r="E18844" s="557">
        <v>5.75</v>
      </c>
      <c r="F18844" s="557">
        <v>5.76</v>
      </c>
      <c r="G18844" s="557">
        <v>0.11</v>
      </c>
      <c r="H18844" s="558">
        <v>97.74</v>
      </c>
      <c r="I18844" s="558">
        <v>66.069999999999993</v>
      </c>
      <c r="J18844" s="558">
        <v>30.4</v>
      </c>
      <c r="K18844" s="558">
        <v>1.27</v>
      </c>
      <c r="L18844" s="43">
        <v>8.411359724612737</v>
      </c>
      <c r="M18844" s="43">
        <v>11.5</v>
      </c>
      <c r="N18844" s="43">
        <v>5.2777777777777777</v>
      </c>
      <c r="O18844" s="43">
        <v>11.5</v>
      </c>
      <c r="P18844" s="559"/>
      <c r="Q18844" s="559"/>
      <c r="R18844" s="559">
        <v>25</v>
      </c>
    </row>
    <row r="18845" spans="1:18" ht="84">
      <c r="A18845" s="555">
        <v>1265</v>
      </c>
      <c r="B18845" s="552" t="s">
        <v>34129</v>
      </c>
      <c r="C18845" s="556" t="s">
        <v>34130</v>
      </c>
      <c r="D18845" s="557">
        <v>14.59</v>
      </c>
      <c r="E18845" s="557">
        <v>7.24</v>
      </c>
      <c r="F18845" s="557">
        <v>7.21</v>
      </c>
      <c r="G18845" s="557">
        <v>0.14000000000000001</v>
      </c>
      <c r="H18845" s="558">
        <v>122.86</v>
      </c>
      <c r="I18845" s="558">
        <v>83.25</v>
      </c>
      <c r="J18845" s="558">
        <v>38</v>
      </c>
      <c r="K18845" s="558">
        <v>1.61</v>
      </c>
      <c r="L18845" s="43">
        <v>8.4208361891706645</v>
      </c>
      <c r="M18845" s="43">
        <v>11.498618784530386</v>
      </c>
      <c r="N18845" s="43">
        <v>5.270457697642164</v>
      </c>
      <c r="O18845" s="43">
        <v>11.5</v>
      </c>
      <c r="P18845" s="559"/>
      <c r="Q18845" s="559"/>
      <c r="R18845" s="559">
        <v>25</v>
      </c>
    </row>
    <row r="18846" spans="1:18" ht="84">
      <c r="A18846" s="555">
        <v>1266</v>
      </c>
      <c r="B18846" s="552" t="s">
        <v>34131</v>
      </c>
      <c r="C18846" s="556" t="s">
        <v>34132</v>
      </c>
      <c r="D18846" s="557">
        <v>17.55</v>
      </c>
      <c r="E18846" s="557">
        <v>8.73</v>
      </c>
      <c r="F18846" s="557">
        <v>8.65</v>
      </c>
      <c r="G18846" s="557">
        <v>0.17</v>
      </c>
      <c r="H18846" s="558">
        <v>147.99</v>
      </c>
      <c r="I18846" s="558">
        <v>100.43</v>
      </c>
      <c r="J18846" s="558">
        <v>45.6</v>
      </c>
      <c r="K18846" s="558">
        <v>1.96</v>
      </c>
      <c r="L18846" s="43">
        <v>8.4324786324786327</v>
      </c>
      <c r="M18846" s="43">
        <v>11.504009163802978</v>
      </c>
      <c r="N18846" s="43">
        <v>5.2716763005780347</v>
      </c>
      <c r="O18846" s="43">
        <v>11.52941176470588</v>
      </c>
      <c r="P18846" s="559"/>
      <c r="Q18846" s="559"/>
      <c r="R18846" s="559">
        <v>25</v>
      </c>
    </row>
    <row r="18847" spans="1:18" ht="84">
      <c r="A18847" s="555">
        <v>1267</v>
      </c>
      <c r="B18847" s="552" t="s">
        <v>34133</v>
      </c>
      <c r="C18847" s="556" t="s">
        <v>34134</v>
      </c>
      <c r="D18847" s="557">
        <v>6.52</v>
      </c>
      <c r="E18847" s="557">
        <v>3.22</v>
      </c>
      <c r="F18847" s="557">
        <v>3.24</v>
      </c>
      <c r="G18847" s="557">
        <v>0.06</v>
      </c>
      <c r="H18847" s="558">
        <v>54.79</v>
      </c>
      <c r="I18847" s="558">
        <v>37</v>
      </c>
      <c r="J18847" s="558">
        <v>17.100000000000001</v>
      </c>
      <c r="K18847" s="558">
        <v>0.69</v>
      </c>
      <c r="L18847" s="43">
        <v>8.4033742331288348</v>
      </c>
      <c r="M18847" s="43">
        <v>11.5</v>
      </c>
      <c r="N18847" s="43">
        <v>5.2777777777777777</v>
      </c>
      <c r="O18847" s="43">
        <v>11.5</v>
      </c>
      <c r="P18847" s="559"/>
      <c r="Q18847" s="559"/>
      <c r="R18847" s="559">
        <v>25</v>
      </c>
    </row>
    <row r="18848" spans="1:18" ht="84">
      <c r="A18848" s="555">
        <v>1268</v>
      </c>
      <c r="B18848" s="552" t="s">
        <v>34135</v>
      </c>
      <c r="C18848" s="556" t="s">
        <v>34136</v>
      </c>
      <c r="D18848" s="557">
        <v>9.9600000000000009</v>
      </c>
      <c r="E18848" s="557">
        <v>4.9400000000000004</v>
      </c>
      <c r="F18848" s="557">
        <v>4.92</v>
      </c>
      <c r="G18848" s="557">
        <v>0.1</v>
      </c>
      <c r="H18848" s="558">
        <v>83.94</v>
      </c>
      <c r="I18848" s="558">
        <v>56.82</v>
      </c>
      <c r="J18848" s="558">
        <v>25.97</v>
      </c>
      <c r="K18848" s="558">
        <v>1.1499999999999999</v>
      </c>
      <c r="L18848" s="43">
        <v>8.4277108433734931</v>
      </c>
      <c r="M18848" s="43">
        <v>11.502024291497975</v>
      </c>
      <c r="N18848" s="43">
        <v>5.2784552845528454</v>
      </c>
      <c r="O18848" s="43">
        <v>11.499999999999998</v>
      </c>
      <c r="P18848" s="559"/>
      <c r="Q18848" s="559"/>
      <c r="R18848" s="559">
        <v>25</v>
      </c>
    </row>
    <row r="18849" spans="1:18" ht="84">
      <c r="A18849" s="555">
        <v>1269</v>
      </c>
      <c r="B18849" s="552" t="s">
        <v>34137</v>
      </c>
      <c r="C18849" s="556" t="s">
        <v>34138</v>
      </c>
      <c r="D18849" s="557">
        <v>13.17</v>
      </c>
      <c r="E18849" s="557">
        <v>6.55</v>
      </c>
      <c r="F18849" s="557">
        <v>6.49</v>
      </c>
      <c r="G18849" s="557">
        <v>0.13</v>
      </c>
      <c r="H18849" s="558">
        <v>111.02</v>
      </c>
      <c r="I18849" s="558">
        <v>75.319999999999993</v>
      </c>
      <c r="J18849" s="558">
        <v>34.200000000000003</v>
      </c>
      <c r="K18849" s="558">
        <v>1.5</v>
      </c>
      <c r="L18849" s="43">
        <v>8.429764616552772</v>
      </c>
      <c r="M18849" s="43">
        <v>11.499236641221373</v>
      </c>
      <c r="N18849" s="43">
        <v>5.26964560862866</v>
      </c>
      <c r="O18849" s="43">
        <v>11.503164556962025</v>
      </c>
      <c r="P18849" s="559"/>
      <c r="Q18849" s="559"/>
      <c r="R18849" s="559">
        <v>25</v>
      </c>
    </row>
    <row r="18850" spans="1:18" ht="84">
      <c r="A18850" s="555">
        <v>1270</v>
      </c>
      <c r="B18850" s="552" t="s">
        <v>34139</v>
      </c>
      <c r="C18850" s="556" t="s">
        <v>34140</v>
      </c>
      <c r="D18850" s="557">
        <v>16.489999999999998</v>
      </c>
      <c r="E18850" s="557">
        <v>8.16</v>
      </c>
      <c r="F18850" s="557">
        <v>8.17</v>
      </c>
      <c r="G18850" s="557">
        <v>0.16</v>
      </c>
      <c r="H18850" s="558">
        <v>138.72</v>
      </c>
      <c r="I18850" s="558">
        <v>93.82</v>
      </c>
      <c r="J18850" s="558">
        <v>43.06</v>
      </c>
      <c r="K18850" s="558">
        <v>1.84</v>
      </c>
      <c r="L18850" s="43">
        <v>8.4123711340206189</v>
      </c>
      <c r="M18850" s="43">
        <v>11.497549019607842</v>
      </c>
      <c r="N18850" s="43">
        <v>5.2705018359853124</v>
      </c>
      <c r="O18850" s="43">
        <v>11.5</v>
      </c>
      <c r="P18850" s="559"/>
      <c r="Q18850" s="559"/>
      <c r="R18850" s="559">
        <v>25</v>
      </c>
    </row>
    <row r="18851" spans="1:18" ht="84">
      <c r="A18851" s="555">
        <v>1271</v>
      </c>
      <c r="B18851" s="552" t="s">
        <v>34141</v>
      </c>
      <c r="C18851" s="556" t="s">
        <v>34142</v>
      </c>
      <c r="D18851" s="557">
        <v>19.93</v>
      </c>
      <c r="E18851" s="557">
        <v>9.8800000000000008</v>
      </c>
      <c r="F18851" s="557">
        <v>9.85</v>
      </c>
      <c r="G18851" s="557">
        <v>0.2</v>
      </c>
      <c r="H18851" s="558">
        <v>167.87</v>
      </c>
      <c r="I18851" s="558">
        <v>113.64</v>
      </c>
      <c r="J18851" s="558">
        <v>51.93</v>
      </c>
      <c r="K18851" s="558">
        <v>2.2999999999999998</v>
      </c>
      <c r="L18851" s="43">
        <v>8.4229804315102861</v>
      </c>
      <c r="M18851" s="43">
        <v>11.502024291497975</v>
      </c>
      <c r="N18851" s="43">
        <v>5.2720812182741117</v>
      </c>
      <c r="O18851" s="43">
        <v>11.499999999999998</v>
      </c>
      <c r="P18851" s="559"/>
      <c r="Q18851" s="559"/>
      <c r="R18851" s="559">
        <v>25</v>
      </c>
    </row>
    <row r="18852" spans="1:18" ht="84">
      <c r="A18852" s="555">
        <v>1272</v>
      </c>
      <c r="B18852" s="552" t="s">
        <v>34143</v>
      </c>
      <c r="C18852" s="556" t="s">
        <v>34144</v>
      </c>
      <c r="D18852" s="557">
        <v>391.4</v>
      </c>
      <c r="E18852" s="557">
        <v>195.33</v>
      </c>
      <c r="F18852" s="557">
        <v>192.16</v>
      </c>
      <c r="G18852" s="557">
        <v>3.91</v>
      </c>
      <c r="H18852" s="558">
        <v>3304.63</v>
      </c>
      <c r="I18852" s="558">
        <v>2246.38</v>
      </c>
      <c r="J18852" s="558">
        <v>1013.28</v>
      </c>
      <c r="K18852" s="558">
        <v>44.97</v>
      </c>
      <c r="L18852" s="43">
        <v>8.4431016862544723</v>
      </c>
      <c r="M18852" s="43">
        <v>11.500435161009573</v>
      </c>
      <c r="N18852" s="43">
        <v>5.2731057452123231</v>
      </c>
      <c r="O18852" s="43">
        <v>11.501278772378516</v>
      </c>
      <c r="P18852" s="559"/>
      <c r="Q18852" s="559"/>
      <c r="R18852" s="559">
        <v>25</v>
      </c>
    </row>
    <row r="18853" spans="1:18" ht="84">
      <c r="A18853" s="555">
        <v>1273</v>
      </c>
      <c r="B18853" s="552" t="s">
        <v>34145</v>
      </c>
      <c r="C18853" s="556" t="s">
        <v>34146</v>
      </c>
      <c r="D18853" s="557">
        <v>581.24</v>
      </c>
      <c r="E18853" s="557">
        <v>287.25</v>
      </c>
      <c r="F18853" s="557">
        <v>288.24</v>
      </c>
      <c r="G18853" s="557">
        <v>5.75</v>
      </c>
      <c r="H18853" s="558">
        <v>4889.55</v>
      </c>
      <c r="I18853" s="558">
        <v>3303.5</v>
      </c>
      <c r="J18853" s="558">
        <v>1519.92</v>
      </c>
      <c r="K18853" s="558">
        <v>66.13</v>
      </c>
      <c r="L18853" s="43">
        <v>8.4122737595485511</v>
      </c>
      <c r="M18853" s="43">
        <v>11.500435161009573</v>
      </c>
      <c r="N18853" s="43">
        <v>5.2731057452123231</v>
      </c>
      <c r="O18853" s="43">
        <v>11.500869565217391</v>
      </c>
      <c r="P18853" s="559"/>
      <c r="Q18853" s="559"/>
      <c r="R18853" s="559">
        <v>25</v>
      </c>
    </row>
    <row r="18854" spans="1:18" ht="84">
      <c r="A18854" s="555">
        <v>1274</v>
      </c>
      <c r="B18854" s="552" t="s">
        <v>34147</v>
      </c>
      <c r="C18854" s="556" t="s">
        <v>34148</v>
      </c>
      <c r="D18854" s="557">
        <v>676.15</v>
      </c>
      <c r="E18854" s="557">
        <v>333.21</v>
      </c>
      <c r="F18854" s="557">
        <v>336.28</v>
      </c>
      <c r="G18854" s="557">
        <v>6.66</v>
      </c>
      <c r="H18854" s="558">
        <v>5681.89</v>
      </c>
      <c r="I18854" s="558">
        <v>3832.06</v>
      </c>
      <c r="J18854" s="558">
        <v>1773.24</v>
      </c>
      <c r="K18854" s="558">
        <v>76.59</v>
      </c>
      <c r="L18854" s="43">
        <v>8.4032980847445096</v>
      </c>
      <c r="M18854" s="43">
        <v>11.500435161009575</v>
      </c>
      <c r="N18854" s="43">
        <v>5.2731057452123231</v>
      </c>
      <c r="O18854" s="43">
        <v>11.5</v>
      </c>
      <c r="P18854" s="559"/>
      <c r="Q18854" s="559"/>
      <c r="R18854" s="559">
        <v>25</v>
      </c>
    </row>
    <row r="18855" spans="1:18" ht="12.75" customHeight="1">
      <c r="A18855" s="628" t="s">
        <v>34149</v>
      </c>
      <c r="B18855" s="629"/>
      <c r="C18855" s="629"/>
      <c r="D18855" s="629"/>
      <c r="E18855" s="629"/>
      <c r="F18855" s="629"/>
      <c r="G18855" s="629"/>
      <c r="H18855" s="629"/>
      <c r="I18855" s="629"/>
      <c r="J18855" s="629"/>
      <c r="K18855" s="629"/>
      <c r="L18855" s="629"/>
      <c r="M18855" s="629"/>
      <c r="N18855" s="629"/>
      <c r="O18855" s="629"/>
      <c r="P18855" s="629"/>
      <c r="Q18855" s="629"/>
      <c r="R18855" s="629"/>
    </row>
    <row r="18856" spans="1:18" ht="48">
      <c r="A18856" s="555">
        <v>1275</v>
      </c>
      <c r="B18856" s="552" t="s">
        <v>34150</v>
      </c>
      <c r="C18856" s="556" t="s">
        <v>34151</v>
      </c>
      <c r="D18856" s="557">
        <v>8.5399999999999991</v>
      </c>
      <c r="E18856" s="557">
        <v>4.25</v>
      </c>
      <c r="F18856" s="557">
        <v>4.2</v>
      </c>
      <c r="G18856" s="557">
        <v>0.09</v>
      </c>
      <c r="H18856" s="558">
        <v>72.099999999999994</v>
      </c>
      <c r="I18856" s="558">
        <v>48.89</v>
      </c>
      <c r="J18856" s="558">
        <v>22.17</v>
      </c>
      <c r="K18856" s="558">
        <v>1.04</v>
      </c>
      <c r="L18856" s="43">
        <v>8.442622950819672</v>
      </c>
      <c r="M18856" s="43">
        <v>11.503529411764706</v>
      </c>
      <c r="N18856" s="43">
        <v>5.2785714285714285</v>
      </c>
      <c r="O18856" s="43">
        <v>11.503164556962025</v>
      </c>
      <c r="P18856" s="559"/>
      <c r="Q18856" s="559"/>
      <c r="R18856" s="559">
        <v>26</v>
      </c>
    </row>
    <row r="18857" spans="1:18" ht="48">
      <c r="A18857" s="555">
        <v>1276</v>
      </c>
      <c r="B18857" s="552" t="s">
        <v>34152</v>
      </c>
      <c r="C18857" s="556" t="s">
        <v>34153</v>
      </c>
      <c r="D18857" s="557">
        <v>12.7</v>
      </c>
      <c r="E18857" s="557">
        <v>6.32</v>
      </c>
      <c r="F18857" s="557">
        <v>6.25</v>
      </c>
      <c r="G18857" s="557">
        <v>0.13</v>
      </c>
      <c r="H18857" s="558">
        <v>107.11</v>
      </c>
      <c r="I18857" s="558">
        <v>72.680000000000007</v>
      </c>
      <c r="J18857" s="558">
        <v>32.93</v>
      </c>
      <c r="K18857" s="558">
        <v>1.5</v>
      </c>
      <c r="L18857" s="43">
        <v>8.4338582677165359</v>
      </c>
      <c r="M18857" s="43">
        <v>11.5</v>
      </c>
      <c r="N18857" s="43">
        <v>5.2687999999999997</v>
      </c>
      <c r="O18857" s="43">
        <v>11.503164556962025</v>
      </c>
      <c r="P18857" s="559"/>
      <c r="Q18857" s="559"/>
      <c r="R18857" s="559">
        <v>26</v>
      </c>
    </row>
    <row r="18858" spans="1:18" ht="48">
      <c r="A18858" s="555">
        <v>1277</v>
      </c>
      <c r="B18858" s="552" t="s">
        <v>34154</v>
      </c>
      <c r="C18858" s="556" t="s">
        <v>34155</v>
      </c>
      <c r="D18858" s="557">
        <v>17.079999999999998</v>
      </c>
      <c r="E18858" s="557">
        <v>8.5</v>
      </c>
      <c r="F18858" s="557">
        <v>8.41</v>
      </c>
      <c r="G18858" s="557">
        <v>0.17</v>
      </c>
      <c r="H18858" s="558">
        <v>144.07</v>
      </c>
      <c r="I18858" s="558">
        <v>97.78</v>
      </c>
      <c r="J18858" s="558">
        <v>44.33</v>
      </c>
      <c r="K18858" s="558">
        <v>1.96</v>
      </c>
      <c r="L18858" s="43">
        <v>8.4350117096018735</v>
      </c>
      <c r="M18858" s="43">
        <v>11.503529411764706</v>
      </c>
      <c r="N18858" s="43">
        <v>5.2711058263971458</v>
      </c>
      <c r="O18858" s="43">
        <v>11.503164556962025</v>
      </c>
      <c r="P18858" s="559"/>
      <c r="Q18858" s="559"/>
      <c r="R18858" s="559">
        <v>26</v>
      </c>
    </row>
    <row r="18859" spans="1:18" ht="48">
      <c r="A18859" s="555">
        <v>1278</v>
      </c>
      <c r="B18859" s="552" t="s">
        <v>34156</v>
      </c>
      <c r="C18859" s="556" t="s">
        <v>34157</v>
      </c>
      <c r="D18859" s="557">
        <v>21.12</v>
      </c>
      <c r="E18859" s="557">
        <v>10.46</v>
      </c>
      <c r="F18859" s="557">
        <v>10.45</v>
      </c>
      <c r="G18859" s="557">
        <v>0.21</v>
      </c>
      <c r="H18859" s="558">
        <v>177.77</v>
      </c>
      <c r="I18859" s="558">
        <v>120.25</v>
      </c>
      <c r="J18859" s="558">
        <v>55.1</v>
      </c>
      <c r="K18859" s="558">
        <v>2.42</v>
      </c>
      <c r="L18859" s="43">
        <v>8.4171401515151523</v>
      </c>
      <c r="M18859" s="43">
        <v>11.496175908221796</v>
      </c>
      <c r="N18859" s="43">
        <v>5.2727272727272734</v>
      </c>
      <c r="O18859" s="43">
        <v>11.503164556962025</v>
      </c>
      <c r="P18859" s="559"/>
      <c r="Q18859" s="559"/>
      <c r="R18859" s="559">
        <v>26</v>
      </c>
    </row>
    <row r="18860" spans="1:18" ht="48">
      <c r="A18860" s="555">
        <v>1279</v>
      </c>
      <c r="B18860" s="552" t="s">
        <v>34158</v>
      </c>
      <c r="C18860" s="556" t="s">
        <v>34159</v>
      </c>
      <c r="D18860" s="557">
        <v>27.28</v>
      </c>
      <c r="E18860" s="557">
        <v>13.79</v>
      </c>
      <c r="F18860" s="557">
        <v>13.21</v>
      </c>
      <c r="G18860" s="557">
        <v>0.28000000000000003</v>
      </c>
      <c r="H18860" s="558">
        <v>231.45</v>
      </c>
      <c r="I18860" s="558">
        <v>158.57</v>
      </c>
      <c r="J18860" s="558">
        <v>69.66</v>
      </c>
      <c r="K18860" s="558">
        <v>3.22</v>
      </c>
      <c r="L18860" s="43">
        <v>8.4842375366568898</v>
      </c>
      <c r="M18860" s="43">
        <v>11.498912255257434</v>
      </c>
      <c r="N18860" s="43">
        <v>5.2732778198334591</v>
      </c>
      <c r="O18860" s="43">
        <v>11.503164556962025</v>
      </c>
      <c r="P18860" s="559"/>
      <c r="Q18860" s="559"/>
      <c r="R18860" s="559">
        <v>26</v>
      </c>
    </row>
    <row r="18861" spans="1:18" ht="60">
      <c r="A18861" s="555">
        <v>1280</v>
      </c>
      <c r="B18861" s="552" t="s">
        <v>34160</v>
      </c>
      <c r="C18861" s="556" t="s">
        <v>34161</v>
      </c>
      <c r="D18861" s="557">
        <v>12.7</v>
      </c>
      <c r="E18861" s="557">
        <v>6.32</v>
      </c>
      <c r="F18861" s="557">
        <v>6.25</v>
      </c>
      <c r="G18861" s="557">
        <v>0.13</v>
      </c>
      <c r="H18861" s="558">
        <v>107.11</v>
      </c>
      <c r="I18861" s="558">
        <v>72.680000000000007</v>
      </c>
      <c r="J18861" s="558">
        <v>32.93</v>
      </c>
      <c r="K18861" s="558">
        <v>1.5</v>
      </c>
      <c r="L18861" s="43">
        <v>8.4338582677165359</v>
      </c>
      <c r="M18861" s="43">
        <v>11.5</v>
      </c>
      <c r="N18861" s="43">
        <v>5.2687999999999997</v>
      </c>
      <c r="O18861" s="43">
        <v>11.503164556962025</v>
      </c>
      <c r="P18861" s="559"/>
      <c r="Q18861" s="559"/>
      <c r="R18861" s="559">
        <v>26</v>
      </c>
    </row>
    <row r="18862" spans="1:18" ht="60">
      <c r="A18862" s="555">
        <v>1281</v>
      </c>
      <c r="B18862" s="552" t="s">
        <v>34162</v>
      </c>
      <c r="C18862" s="556" t="s">
        <v>34163</v>
      </c>
      <c r="D18862" s="557">
        <v>18.98</v>
      </c>
      <c r="E18862" s="557">
        <v>9.42</v>
      </c>
      <c r="F18862" s="557">
        <v>9.3699999999999992</v>
      </c>
      <c r="G18862" s="557">
        <v>0.19</v>
      </c>
      <c r="H18862" s="558">
        <v>159.94</v>
      </c>
      <c r="I18862" s="558">
        <v>108.35</v>
      </c>
      <c r="J18862" s="558">
        <v>49.4</v>
      </c>
      <c r="K18862" s="558">
        <v>2.19</v>
      </c>
      <c r="L18862" s="43">
        <v>8.4267650158061116</v>
      </c>
      <c r="M18862" s="43">
        <v>11.502123142250531</v>
      </c>
      <c r="N18862" s="43">
        <v>5.2721451440768412</v>
      </c>
      <c r="O18862" s="43">
        <v>11.503164556962025</v>
      </c>
      <c r="P18862" s="559"/>
      <c r="Q18862" s="559"/>
      <c r="R18862" s="559">
        <v>26</v>
      </c>
    </row>
    <row r="18863" spans="1:18" ht="60">
      <c r="A18863" s="555">
        <v>1282</v>
      </c>
      <c r="B18863" s="552" t="s">
        <v>34164</v>
      </c>
      <c r="C18863" s="556" t="s">
        <v>34165</v>
      </c>
      <c r="D18863" s="557">
        <v>27.28</v>
      </c>
      <c r="E18863" s="557">
        <v>13.79</v>
      </c>
      <c r="F18863" s="557">
        <v>13.21</v>
      </c>
      <c r="G18863" s="557">
        <v>0.28000000000000003</v>
      </c>
      <c r="H18863" s="558">
        <v>231.45</v>
      </c>
      <c r="I18863" s="558">
        <v>158.57</v>
      </c>
      <c r="J18863" s="558">
        <v>69.66</v>
      </c>
      <c r="K18863" s="558">
        <v>3.22</v>
      </c>
      <c r="L18863" s="43">
        <v>8.4842375366568898</v>
      </c>
      <c r="M18863" s="43">
        <v>11.498912255257434</v>
      </c>
      <c r="N18863" s="43">
        <v>5.2732778198334591</v>
      </c>
      <c r="O18863" s="43">
        <v>11.503164556962025</v>
      </c>
      <c r="P18863" s="559"/>
      <c r="Q18863" s="559"/>
      <c r="R18863" s="559">
        <v>26</v>
      </c>
    </row>
    <row r="18864" spans="1:18" ht="60">
      <c r="A18864" s="555">
        <v>1283</v>
      </c>
      <c r="B18864" s="552" t="s">
        <v>34166</v>
      </c>
      <c r="C18864" s="556" t="s">
        <v>34167</v>
      </c>
      <c r="D18864" s="557">
        <v>32.020000000000003</v>
      </c>
      <c r="E18864" s="557">
        <v>16.09</v>
      </c>
      <c r="F18864" s="557">
        <v>15.61</v>
      </c>
      <c r="G18864" s="557">
        <v>0.32</v>
      </c>
      <c r="H18864" s="558">
        <v>271.01</v>
      </c>
      <c r="I18864" s="558">
        <v>185</v>
      </c>
      <c r="J18864" s="558">
        <v>82.33</v>
      </c>
      <c r="K18864" s="558">
        <v>3.68</v>
      </c>
      <c r="L18864" s="43">
        <v>8.4637726420986876</v>
      </c>
      <c r="M18864" s="43">
        <v>11.497824735860783</v>
      </c>
      <c r="N18864" s="43">
        <v>5.2741832158872519</v>
      </c>
      <c r="O18864" s="43">
        <v>11.503164556962025</v>
      </c>
      <c r="P18864" s="559"/>
      <c r="Q18864" s="559"/>
      <c r="R18864" s="559">
        <v>26</v>
      </c>
    </row>
    <row r="18865" spans="1:18" ht="60">
      <c r="A18865" s="555">
        <v>1284</v>
      </c>
      <c r="B18865" s="552" t="s">
        <v>34168</v>
      </c>
      <c r="C18865" s="556" t="s">
        <v>34169</v>
      </c>
      <c r="D18865" s="557">
        <v>39.14</v>
      </c>
      <c r="E18865" s="557">
        <v>19.53</v>
      </c>
      <c r="F18865" s="557">
        <v>19.22</v>
      </c>
      <c r="G18865" s="557">
        <v>0.39</v>
      </c>
      <c r="H18865" s="558">
        <v>330.46</v>
      </c>
      <c r="I18865" s="558">
        <v>224.64</v>
      </c>
      <c r="J18865" s="558">
        <v>101.33</v>
      </c>
      <c r="K18865" s="558">
        <v>4.49</v>
      </c>
      <c r="L18865" s="43">
        <v>8.4430250383239649</v>
      </c>
      <c r="M18865" s="43">
        <v>11.502304147465436</v>
      </c>
      <c r="N18865" s="43">
        <v>5.2721123829344432</v>
      </c>
      <c r="O18865" s="43">
        <v>11.503164556962025</v>
      </c>
      <c r="P18865" s="559"/>
      <c r="Q18865" s="559"/>
      <c r="R18865" s="559">
        <v>26</v>
      </c>
    </row>
    <row r="18866" spans="1:18" ht="48">
      <c r="A18866" s="555">
        <v>1285</v>
      </c>
      <c r="B18866" s="552" t="s">
        <v>34170</v>
      </c>
      <c r="C18866" s="556" t="s">
        <v>34171</v>
      </c>
      <c r="D18866" s="557">
        <v>14.35</v>
      </c>
      <c r="E18866" s="557">
        <v>7.12</v>
      </c>
      <c r="F18866" s="557">
        <v>7.09</v>
      </c>
      <c r="G18866" s="557">
        <v>0.14000000000000001</v>
      </c>
      <c r="H18866" s="558">
        <v>120.9</v>
      </c>
      <c r="I18866" s="558">
        <v>81.93</v>
      </c>
      <c r="J18866" s="558">
        <v>37.36</v>
      </c>
      <c r="K18866" s="558">
        <v>1.61</v>
      </c>
      <c r="L18866" s="43">
        <v>8.4250871080139387</v>
      </c>
      <c r="M18866" s="43">
        <v>11.5021951219512</v>
      </c>
      <c r="N18866" s="43">
        <v>5.2693935119887163</v>
      </c>
      <c r="O18866" s="43">
        <v>11.503164556962025</v>
      </c>
      <c r="P18866" s="559"/>
      <c r="Q18866" s="559"/>
      <c r="R18866" s="559">
        <v>26</v>
      </c>
    </row>
    <row r="18867" spans="1:18" ht="48">
      <c r="A18867" s="555">
        <v>1286</v>
      </c>
      <c r="B18867" s="552" t="s">
        <v>34172</v>
      </c>
      <c r="C18867" s="556" t="s">
        <v>34173</v>
      </c>
      <c r="D18867" s="557">
        <v>21.35</v>
      </c>
      <c r="E18867" s="557">
        <v>10.57</v>
      </c>
      <c r="F18867" s="557">
        <v>10.57</v>
      </c>
      <c r="G18867" s="557">
        <v>0.21</v>
      </c>
      <c r="H18867" s="558">
        <v>179.72</v>
      </c>
      <c r="I18867" s="558">
        <v>121.57</v>
      </c>
      <c r="J18867" s="558">
        <v>55.73</v>
      </c>
      <c r="K18867" s="558">
        <v>2.42</v>
      </c>
      <c r="L18867" s="43">
        <v>8.417798594847774</v>
      </c>
      <c r="M18867" s="43">
        <v>11.501419110690632</v>
      </c>
      <c r="N18867" s="43">
        <v>5.2724692526017023</v>
      </c>
      <c r="O18867" s="43">
        <v>11.503164556962025</v>
      </c>
      <c r="P18867" s="559"/>
      <c r="Q18867" s="559"/>
      <c r="R18867" s="559">
        <v>26</v>
      </c>
    </row>
    <row r="18868" spans="1:18" ht="48">
      <c r="A18868" s="555">
        <v>1287</v>
      </c>
      <c r="B18868" s="552" t="s">
        <v>34174</v>
      </c>
      <c r="C18868" s="556" t="s">
        <v>34175</v>
      </c>
      <c r="D18868" s="557">
        <v>29.65</v>
      </c>
      <c r="E18868" s="557">
        <v>14.94</v>
      </c>
      <c r="F18868" s="557">
        <v>14.41</v>
      </c>
      <c r="G18868" s="557">
        <v>0.3</v>
      </c>
      <c r="H18868" s="558">
        <v>251.23</v>
      </c>
      <c r="I18868" s="558">
        <v>171.78</v>
      </c>
      <c r="J18868" s="558">
        <v>76</v>
      </c>
      <c r="K18868" s="558">
        <v>3.45</v>
      </c>
      <c r="L18868" s="43">
        <v>8.4731871838111292</v>
      </c>
      <c r="M18868" s="43">
        <v>11.497991967871487</v>
      </c>
      <c r="N18868" s="43">
        <v>5.2741151977793201</v>
      </c>
      <c r="O18868" s="43">
        <v>11.503164556962025</v>
      </c>
      <c r="P18868" s="559"/>
      <c r="Q18868" s="559"/>
      <c r="R18868" s="559">
        <v>26</v>
      </c>
    </row>
    <row r="18869" spans="1:18" ht="48">
      <c r="A18869" s="555">
        <v>1288</v>
      </c>
      <c r="B18869" s="552" t="s">
        <v>34176</v>
      </c>
      <c r="C18869" s="556" t="s">
        <v>34177</v>
      </c>
      <c r="D18869" s="557">
        <v>36.770000000000003</v>
      </c>
      <c r="E18869" s="557">
        <v>18.38</v>
      </c>
      <c r="F18869" s="557">
        <v>18.02</v>
      </c>
      <c r="G18869" s="557">
        <v>0.37</v>
      </c>
      <c r="H18869" s="558">
        <v>310.68</v>
      </c>
      <c r="I18869" s="558">
        <v>211.42</v>
      </c>
      <c r="J18869" s="558">
        <v>95</v>
      </c>
      <c r="K18869" s="558">
        <v>4.26</v>
      </c>
      <c r="L18869" s="43">
        <v>8.4492793037802549</v>
      </c>
      <c r="M18869" s="43">
        <v>11.502720348204571</v>
      </c>
      <c r="N18869" s="43">
        <v>5.2719200887902335</v>
      </c>
      <c r="O18869" s="43">
        <v>11.503164556962025</v>
      </c>
      <c r="P18869" s="559"/>
      <c r="Q18869" s="559"/>
      <c r="R18869" s="559">
        <v>26</v>
      </c>
    </row>
    <row r="18870" spans="1:18" ht="48">
      <c r="A18870" s="555">
        <v>1289</v>
      </c>
      <c r="B18870" s="552" t="s">
        <v>34178</v>
      </c>
      <c r="C18870" s="556" t="s">
        <v>34179</v>
      </c>
      <c r="D18870" s="557">
        <v>43.89</v>
      </c>
      <c r="E18870" s="557">
        <v>21.83</v>
      </c>
      <c r="F18870" s="557">
        <v>21.62</v>
      </c>
      <c r="G18870" s="557">
        <v>0.44</v>
      </c>
      <c r="H18870" s="558">
        <v>370.12</v>
      </c>
      <c r="I18870" s="558">
        <v>251.07</v>
      </c>
      <c r="J18870" s="558">
        <v>113.99</v>
      </c>
      <c r="K18870" s="558">
        <v>5.0599999999999996</v>
      </c>
      <c r="L18870" s="43">
        <v>8.432900432900432</v>
      </c>
      <c r="M18870" s="43">
        <v>11.50114521300962</v>
      </c>
      <c r="N18870" s="43">
        <v>5.2724329324699344</v>
      </c>
      <c r="O18870" s="43">
        <v>11.503164556962025</v>
      </c>
      <c r="P18870" s="559"/>
      <c r="Q18870" s="559"/>
      <c r="R18870" s="559">
        <v>26</v>
      </c>
    </row>
    <row r="18871" spans="1:18" ht="12.75" customHeight="1">
      <c r="A18871" s="628" t="s">
        <v>34180</v>
      </c>
      <c r="B18871" s="629"/>
      <c r="C18871" s="629"/>
      <c r="D18871" s="629"/>
      <c r="E18871" s="629"/>
      <c r="F18871" s="629"/>
      <c r="G18871" s="629"/>
      <c r="H18871" s="629"/>
      <c r="I18871" s="629"/>
      <c r="J18871" s="629"/>
      <c r="K18871" s="629"/>
      <c r="L18871" s="629"/>
      <c r="M18871" s="629"/>
      <c r="N18871" s="629"/>
      <c r="O18871" s="629"/>
      <c r="P18871" s="629"/>
      <c r="Q18871" s="629"/>
      <c r="R18871" s="629"/>
    </row>
    <row r="18872" spans="1:18" ht="96">
      <c r="A18872" s="555">
        <v>1290</v>
      </c>
      <c r="B18872" s="552" t="s">
        <v>34181</v>
      </c>
      <c r="C18872" s="556" t="s">
        <v>34182</v>
      </c>
      <c r="D18872" s="557">
        <v>2.73</v>
      </c>
      <c r="E18872" s="557">
        <v>1.38</v>
      </c>
      <c r="F18872" s="557">
        <v>1.32</v>
      </c>
      <c r="G18872" s="557">
        <v>0.03</v>
      </c>
      <c r="H18872" s="558">
        <v>23.18</v>
      </c>
      <c r="I18872" s="558">
        <v>15.86</v>
      </c>
      <c r="J18872" s="558">
        <v>6.97</v>
      </c>
      <c r="K18872" s="558">
        <v>0.35</v>
      </c>
      <c r="L18872" s="43">
        <v>8.4908424908424909</v>
      </c>
      <c r="M18872" s="43">
        <v>11.498253783469149</v>
      </c>
      <c r="N18872" s="43">
        <v>5.2803030303030303</v>
      </c>
      <c r="O18872" s="43">
        <v>11.503164556962025</v>
      </c>
      <c r="P18872" s="559"/>
      <c r="Q18872" s="559"/>
      <c r="R18872" s="559">
        <v>27</v>
      </c>
    </row>
    <row r="18873" spans="1:18" ht="96">
      <c r="A18873" s="555">
        <v>1291</v>
      </c>
      <c r="B18873" s="552" t="s">
        <v>34183</v>
      </c>
      <c r="C18873" s="556" t="s">
        <v>34184</v>
      </c>
      <c r="D18873" s="557">
        <v>4.1500000000000004</v>
      </c>
      <c r="E18873" s="557">
        <v>2.0699999999999998</v>
      </c>
      <c r="F18873" s="557">
        <v>2.04</v>
      </c>
      <c r="G18873" s="557">
        <v>0.04</v>
      </c>
      <c r="H18873" s="558">
        <v>35.020000000000003</v>
      </c>
      <c r="I18873" s="558">
        <v>23.79</v>
      </c>
      <c r="J18873" s="558">
        <v>10.77</v>
      </c>
      <c r="K18873" s="558">
        <v>0.46</v>
      </c>
      <c r="L18873" s="43">
        <v>8.4385542168674696</v>
      </c>
      <c r="M18873" s="43">
        <v>11.498253783469149</v>
      </c>
      <c r="N18873" s="43">
        <v>5.2794117647058822</v>
      </c>
      <c r="O18873" s="43">
        <v>11.503164556962025</v>
      </c>
      <c r="P18873" s="559"/>
      <c r="Q18873" s="559"/>
      <c r="R18873" s="559">
        <v>27</v>
      </c>
    </row>
    <row r="18874" spans="1:18" ht="96">
      <c r="A18874" s="555">
        <v>1292</v>
      </c>
      <c r="B18874" s="552" t="s">
        <v>34185</v>
      </c>
      <c r="C18874" s="556" t="s">
        <v>34186</v>
      </c>
      <c r="D18874" s="557">
        <v>5.33</v>
      </c>
      <c r="E18874" s="557">
        <v>2.64</v>
      </c>
      <c r="F18874" s="557">
        <v>2.64</v>
      </c>
      <c r="G18874" s="557">
        <v>0.05</v>
      </c>
      <c r="H18874" s="558">
        <v>44.9</v>
      </c>
      <c r="I18874" s="558">
        <v>30.39</v>
      </c>
      <c r="J18874" s="558">
        <v>13.93</v>
      </c>
      <c r="K18874" s="558">
        <v>0.57999999999999996</v>
      </c>
      <c r="L18874" s="43">
        <v>8.424015009380863</v>
      </c>
      <c r="M18874" s="43">
        <v>11.498253783469149</v>
      </c>
      <c r="N18874" s="43">
        <v>5.2765151515151514</v>
      </c>
      <c r="O18874" s="43">
        <v>11.503164556962025</v>
      </c>
      <c r="P18874" s="559"/>
      <c r="Q18874" s="559"/>
      <c r="R18874" s="559">
        <v>27</v>
      </c>
    </row>
    <row r="18875" spans="1:18" ht="96">
      <c r="A18875" s="555">
        <v>1293</v>
      </c>
      <c r="B18875" s="552" t="s">
        <v>34187</v>
      </c>
      <c r="C18875" s="556" t="s">
        <v>34188</v>
      </c>
      <c r="D18875" s="557">
        <v>6.88</v>
      </c>
      <c r="E18875" s="557">
        <v>3.45</v>
      </c>
      <c r="F18875" s="557">
        <v>3.36</v>
      </c>
      <c r="G18875" s="557">
        <v>7.0000000000000007E-2</v>
      </c>
      <c r="H18875" s="558">
        <v>58.18</v>
      </c>
      <c r="I18875" s="558">
        <v>39.64</v>
      </c>
      <c r="J18875" s="558">
        <v>17.73</v>
      </c>
      <c r="K18875" s="558">
        <v>0.81</v>
      </c>
      <c r="L18875" s="43">
        <v>8.4563953488372086</v>
      </c>
      <c r="M18875" s="43">
        <v>11.498253783469149</v>
      </c>
      <c r="N18875" s="43">
        <v>5.2767857142857144</v>
      </c>
      <c r="O18875" s="43">
        <v>11.503164556962025</v>
      </c>
      <c r="P18875" s="559"/>
      <c r="Q18875" s="559"/>
      <c r="R18875" s="559">
        <v>27</v>
      </c>
    </row>
    <row r="18876" spans="1:18" ht="96">
      <c r="A18876" s="555">
        <v>1294</v>
      </c>
      <c r="B18876" s="552" t="s">
        <v>34189</v>
      </c>
      <c r="C18876" s="556" t="s">
        <v>34190</v>
      </c>
      <c r="D18876" s="557">
        <v>8.06</v>
      </c>
      <c r="E18876" s="557">
        <v>4.0199999999999996</v>
      </c>
      <c r="F18876" s="557">
        <v>3.96</v>
      </c>
      <c r="G18876" s="557">
        <v>0.08</v>
      </c>
      <c r="H18876" s="558">
        <v>68.069999999999993</v>
      </c>
      <c r="I18876" s="558">
        <v>46.25</v>
      </c>
      <c r="J18876" s="558">
        <v>20.9</v>
      </c>
      <c r="K18876" s="558">
        <v>0.92</v>
      </c>
      <c r="L18876" s="43">
        <v>8.4454094292803958</v>
      </c>
      <c r="M18876" s="43">
        <v>11.504975124378111</v>
      </c>
      <c r="N18876" s="43">
        <v>5.2777777777777777</v>
      </c>
      <c r="O18876" s="43">
        <v>11.503164556962025</v>
      </c>
      <c r="P18876" s="559"/>
      <c r="Q18876" s="559"/>
      <c r="R18876" s="559">
        <v>27</v>
      </c>
    </row>
    <row r="18877" spans="1:18" ht="96">
      <c r="A18877" s="555">
        <v>1295</v>
      </c>
      <c r="B18877" s="552" t="s">
        <v>34191</v>
      </c>
      <c r="C18877" s="556" t="s">
        <v>34192</v>
      </c>
      <c r="D18877" s="557">
        <v>4.1500000000000004</v>
      </c>
      <c r="E18877" s="557">
        <v>2.0699999999999998</v>
      </c>
      <c r="F18877" s="557">
        <v>2.04</v>
      </c>
      <c r="G18877" s="557">
        <v>0.04</v>
      </c>
      <c r="H18877" s="558">
        <v>35.020000000000003</v>
      </c>
      <c r="I18877" s="558">
        <v>23.79</v>
      </c>
      <c r="J18877" s="558">
        <v>10.77</v>
      </c>
      <c r="K18877" s="558">
        <v>0.46</v>
      </c>
      <c r="L18877" s="43">
        <v>8.4385542168674696</v>
      </c>
      <c r="M18877" s="43">
        <v>11.5</v>
      </c>
      <c r="N18877" s="43">
        <v>5.2794117647058822</v>
      </c>
      <c r="O18877" s="43">
        <v>11.503164556962025</v>
      </c>
      <c r="P18877" s="559"/>
      <c r="Q18877" s="559"/>
      <c r="R18877" s="559">
        <v>27</v>
      </c>
    </row>
    <row r="18878" spans="1:18" ht="96">
      <c r="A18878" s="555">
        <v>1296</v>
      </c>
      <c r="B18878" s="552" t="s">
        <v>34193</v>
      </c>
      <c r="C18878" s="556" t="s">
        <v>34194</v>
      </c>
      <c r="D18878" s="557">
        <v>6.28</v>
      </c>
      <c r="E18878" s="557">
        <v>3.1</v>
      </c>
      <c r="F18878" s="557">
        <v>3.12</v>
      </c>
      <c r="G18878" s="557">
        <v>0.06</v>
      </c>
      <c r="H18878" s="558">
        <v>52.84</v>
      </c>
      <c r="I18878" s="558">
        <v>35.68</v>
      </c>
      <c r="J18878" s="558">
        <v>16.47</v>
      </c>
      <c r="K18878" s="558">
        <v>0.69</v>
      </c>
      <c r="L18878" s="43">
        <v>8.4140127388535042</v>
      </c>
      <c r="M18878" s="43">
        <v>11.5021951219512</v>
      </c>
      <c r="N18878" s="43">
        <v>5.2788461538461533</v>
      </c>
      <c r="O18878" s="43">
        <v>11.503164556962025</v>
      </c>
      <c r="P18878" s="559"/>
      <c r="Q18878" s="559"/>
      <c r="R18878" s="559">
        <v>27</v>
      </c>
    </row>
    <row r="18879" spans="1:18" ht="96">
      <c r="A18879" s="555">
        <v>1297</v>
      </c>
      <c r="B18879" s="552" t="s">
        <v>34195</v>
      </c>
      <c r="C18879" s="556" t="s">
        <v>34196</v>
      </c>
      <c r="D18879" s="557">
        <v>8.06</v>
      </c>
      <c r="E18879" s="557">
        <v>4.0199999999999996</v>
      </c>
      <c r="F18879" s="557">
        <v>3.96</v>
      </c>
      <c r="G18879" s="557">
        <v>0.08</v>
      </c>
      <c r="H18879" s="558">
        <v>68.069999999999993</v>
      </c>
      <c r="I18879" s="558">
        <v>46.25</v>
      </c>
      <c r="J18879" s="558">
        <v>20.9</v>
      </c>
      <c r="K18879" s="558">
        <v>0.92</v>
      </c>
      <c r="L18879" s="43">
        <v>8.4454094292803958</v>
      </c>
      <c r="M18879" s="43">
        <v>11.504975124378111</v>
      </c>
      <c r="N18879" s="43">
        <v>5.2777777777777777</v>
      </c>
      <c r="O18879" s="43">
        <v>11.503164556962025</v>
      </c>
      <c r="P18879" s="559"/>
      <c r="Q18879" s="559"/>
      <c r="R18879" s="559">
        <v>27</v>
      </c>
    </row>
    <row r="18880" spans="1:18" ht="96">
      <c r="A18880" s="555">
        <v>1298</v>
      </c>
      <c r="B18880" s="552" t="s">
        <v>34197</v>
      </c>
      <c r="C18880" s="556" t="s">
        <v>34198</v>
      </c>
      <c r="D18880" s="557">
        <v>10.199999999999999</v>
      </c>
      <c r="E18880" s="557">
        <v>5.0599999999999996</v>
      </c>
      <c r="F18880" s="557">
        <v>5.04</v>
      </c>
      <c r="G18880" s="557">
        <v>0.1</v>
      </c>
      <c r="H18880" s="558">
        <v>85.89</v>
      </c>
      <c r="I18880" s="558">
        <v>58.14</v>
      </c>
      <c r="J18880" s="558">
        <v>26.6</v>
      </c>
      <c r="K18880" s="558">
        <v>1.1499999999999999</v>
      </c>
      <c r="L18880" s="43">
        <v>8.4205882352941188</v>
      </c>
      <c r="M18880" s="43">
        <v>11.5</v>
      </c>
      <c r="N18880" s="43">
        <v>5.2777777777777777</v>
      </c>
      <c r="O18880" s="43">
        <v>11.503164556962025</v>
      </c>
      <c r="P18880" s="559"/>
      <c r="Q18880" s="559"/>
      <c r="R18880" s="559">
        <v>27</v>
      </c>
    </row>
    <row r="18881" spans="1:18" ht="96">
      <c r="A18881" s="555">
        <v>1299</v>
      </c>
      <c r="B18881" s="552" t="s">
        <v>34199</v>
      </c>
      <c r="C18881" s="556" t="s">
        <v>34200</v>
      </c>
      <c r="D18881" s="557">
        <v>12.22</v>
      </c>
      <c r="E18881" s="557">
        <v>6.09</v>
      </c>
      <c r="F18881" s="557">
        <v>6.01</v>
      </c>
      <c r="G18881" s="557">
        <v>0.12</v>
      </c>
      <c r="H18881" s="558">
        <v>103.08</v>
      </c>
      <c r="I18881" s="558">
        <v>70.03</v>
      </c>
      <c r="J18881" s="558">
        <v>31.67</v>
      </c>
      <c r="K18881" s="558">
        <v>1.38</v>
      </c>
      <c r="L18881" s="43">
        <v>8.4353518821603917</v>
      </c>
      <c r="M18881" s="43">
        <v>11.499178981937604</v>
      </c>
      <c r="N18881" s="43">
        <v>5.2695507487520805</v>
      </c>
      <c r="O18881" s="43">
        <v>11.503164556962025</v>
      </c>
      <c r="P18881" s="559"/>
      <c r="Q18881" s="559"/>
      <c r="R18881" s="559">
        <v>27</v>
      </c>
    </row>
    <row r="18882" spans="1:18" ht="96">
      <c r="A18882" s="555">
        <v>1300</v>
      </c>
      <c r="B18882" s="552" t="s">
        <v>34201</v>
      </c>
      <c r="C18882" s="556" t="s">
        <v>34202</v>
      </c>
      <c r="D18882" s="557">
        <v>4.63</v>
      </c>
      <c r="E18882" s="557">
        <v>2.2999999999999998</v>
      </c>
      <c r="F18882" s="557">
        <v>2.2799999999999998</v>
      </c>
      <c r="G18882" s="557">
        <v>0.05</v>
      </c>
      <c r="H18882" s="558">
        <v>39.04</v>
      </c>
      <c r="I18882" s="558">
        <v>26.43</v>
      </c>
      <c r="J18882" s="558">
        <v>12.03</v>
      </c>
      <c r="K18882" s="558">
        <v>0.57999999999999996</v>
      </c>
      <c r="L18882" s="43">
        <v>8.4319654427645787</v>
      </c>
      <c r="M18882" s="43">
        <v>11.5</v>
      </c>
      <c r="N18882" s="43">
        <v>5.2763157894736841</v>
      </c>
      <c r="O18882" s="43">
        <v>11.503164556962025</v>
      </c>
      <c r="P18882" s="559"/>
      <c r="Q18882" s="559"/>
      <c r="R18882" s="559">
        <v>27</v>
      </c>
    </row>
    <row r="18883" spans="1:18" ht="96">
      <c r="A18883" s="555">
        <v>1301</v>
      </c>
      <c r="B18883" s="552" t="s">
        <v>34203</v>
      </c>
      <c r="C18883" s="556" t="s">
        <v>34204</v>
      </c>
      <c r="D18883" s="557">
        <v>7</v>
      </c>
      <c r="E18883" s="557">
        <v>3.45</v>
      </c>
      <c r="F18883" s="557">
        <v>3.48</v>
      </c>
      <c r="G18883" s="557">
        <v>7.0000000000000007E-2</v>
      </c>
      <c r="H18883" s="558">
        <v>58.82</v>
      </c>
      <c r="I18883" s="558">
        <v>39.64</v>
      </c>
      <c r="J18883" s="558">
        <v>18.37</v>
      </c>
      <c r="K18883" s="558">
        <v>0.81</v>
      </c>
      <c r="L18883" s="43">
        <v>8.4028571428571421</v>
      </c>
      <c r="M18883" s="43">
        <v>11.5</v>
      </c>
      <c r="N18883" s="43">
        <v>5.2787356321839081</v>
      </c>
      <c r="O18883" s="43">
        <v>11.503164556962025</v>
      </c>
      <c r="P18883" s="559"/>
      <c r="Q18883" s="559"/>
      <c r="R18883" s="559">
        <v>27</v>
      </c>
    </row>
    <row r="18884" spans="1:18" ht="96">
      <c r="A18884" s="555">
        <v>1302</v>
      </c>
      <c r="B18884" s="552" t="s">
        <v>34205</v>
      </c>
      <c r="C18884" s="556" t="s">
        <v>34206</v>
      </c>
      <c r="D18884" s="557">
        <v>9.1300000000000008</v>
      </c>
      <c r="E18884" s="557">
        <v>4.5999999999999996</v>
      </c>
      <c r="F18884" s="557">
        <v>4.4400000000000004</v>
      </c>
      <c r="G18884" s="557">
        <v>0.09</v>
      </c>
      <c r="H18884" s="558">
        <v>77.33</v>
      </c>
      <c r="I18884" s="558">
        <v>52.86</v>
      </c>
      <c r="J18884" s="558">
        <v>23.43</v>
      </c>
      <c r="K18884" s="558">
        <v>1.04</v>
      </c>
      <c r="L18884" s="43">
        <v>8.4698795180722879</v>
      </c>
      <c r="M18884" s="43">
        <v>11.498253783469149</v>
      </c>
      <c r="N18884" s="43">
        <v>5.2770270270270263</v>
      </c>
      <c r="O18884" s="43">
        <v>11.503164556962025</v>
      </c>
      <c r="P18884" s="559"/>
      <c r="Q18884" s="559"/>
      <c r="R18884" s="559">
        <v>27</v>
      </c>
    </row>
    <row r="18885" spans="1:18" ht="96">
      <c r="A18885" s="555">
        <v>1303</v>
      </c>
      <c r="B18885" s="552" t="s">
        <v>34207</v>
      </c>
      <c r="C18885" s="556" t="s">
        <v>34208</v>
      </c>
      <c r="D18885" s="557">
        <v>11.62</v>
      </c>
      <c r="E18885" s="557">
        <v>5.75</v>
      </c>
      <c r="F18885" s="557">
        <v>5.76</v>
      </c>
      <c r="G18885" s="557">
        <v>0.11</v>
      </c>
      <c r="H18885" s="558">
        <v>97.74</v>
      </c>
      <c r="I18885" s="558">
        <v>66.069999999999993</v>
      </c>
      <c r="J18885" s="558">
        <v>30.4</v>
      </c>
      <c r="K18885" s="558">
        <v>1.27</v>
      </c>
      <c r="L18885" s="43">
        <v>8.411359724612737</v>
      </c>
      <c r="M18885" s="43">
        <v>11.498253783469149</v>
      </c>
      <c r="N18885" s="43">
        <v>5.2777777777777777</v>
      </c>
      <c r="O18885" s="43">
        <v>11.503164556962025</v>
      </c>
      <c r="P18885" s="559"/>
      <c r="Q18885" s="559"/>
      <c r="R18885" s="559">
        <v>27</v>
      </c>
    </row>
    <row r="18886" spans="1:18" ht="96">
      <c r="A18886" s="555">
        <v>1304</v>
      </c>
      <c r="B18886" s="552" t="s">
        <v>34209</v>
      </c>
      <c r="C18886" s="556" t="s">
        <v>34210</v>
      </c>
      <c r="D18886" s="557">
        <v>13.76</v>
      </c>
      <c r="E18886" s="557">
        <v>6.89</v>
      </c>
      <c r="F18886" s="557">
        <v>6.73</v>
      </c>
      <c r="G18886" s="557">
        <v>0.14000000000000001</v>
      </c>
      <c r="H18886" s="558">
        <v>116.35</v>
      </c>
      <c r="I18886" s="558">
        <v>79.28</v>
      </c>
      <c r="J18886" s="558">
        <v>35.46</v>
      </c>
      <c r="K18886" s="558">
        <v>1.61</v>
      </c>
      <c r="L18886" s="43">
        <v>8.4556686046511622</v>
      </c>
      <c r="M18886" s="43">
        <v>11.498253783469149</v>
      </c>
      <c r="N18886" s="43">
        <v>5.2689450222882614</v>
      </c>
      <c r="O18886" s="43">
        <v>11.503164556962025</v>
      </c>
      <c r="P18886" s="559"/>
      <c r="Q18886" s="559"/>
      <c r="R18886" s="559">
        <v>27</v>
      </c>
    </row>
    <row r="18887" spans="1:18" ht="96">
      <c r="A18887" s="555">
        <v>1305</v>
      </c>
      <c r="B18887" s="552" t="s">
        <v>34211</v>
      </c>
      <c r="C18887" s="556" t="s">
        <v>34212</v>
      </c>
      <c r="D18887" s="557">
        <v>272.75</v>
      </c>
      <c r="E18887" s="557">
        <v>137.88</v>
      </c>
      <c r="F18887" s="557">
        <v>132.11000000000001</v>
      </c>
      <c r="G18887" s="557">
        <v>2.76</v>
      </c>
      <c r="H18887" s="558">
        <v>2314.0500000000002</v>
      </c>
      <c r="I18887" s="558">
        <v>1585.68</v>
      </c>
      <c r="J18887" s="558">
        <v>696.63</v>
      </c>
      <c r="K18887" s="558">
        <v>31.74</v>
      </c>
      <c r="L18887" s="43">
        <v>8.4841429880843275</v>
      </c>
      <c r="M18887" s="43">
        <v>11.500435161009575</v>
      </c>
      <c r="N18887" s="43">
        <v>5.2731057452123222</v>
      </c>
      <c r="O18887" s="43">
        <v>11.503164556962025</v>
      </c>
      <c r="P18887" s="559"/>
      <c r="Q18887" s="559"/>
      <c r="R18887" s="559">
        <v>27</v>
      </c>
    </row>
    <row r="18888" spans="1:18" ht="96">
      <c r="A18888" s="555">
        <v>1306</v>
      </c>
      <c r="B18888" s="552" t="s">
        <v>34213</v>
      </c>
      <c r="C18888" s="556" t="s">
        <v>34214</v>
      </c>
      <c r="D18888" s="557">
        <v>391.4</v>
      </c>
      <c r="E18888" s="557">
        <v>195.33</v>
      </c>
      <c r="F18888" s="557">
        <v>192.16</v>
      </c>
      <c r="G18888" s="557">
        <v>3.91</v>
      </c>
      <c r="H18888" s="558">
        <v>3304.63</v>
      </c>
      <c r="I18888" s="558">
        <v>2246.38</v>
      </c>
      <c r="J18888" s="558">
        <v>1013.28</v>
      </c>
      <c r="K18888" s="558">
        <v>44.97</v>
      </c>
      <c r="L18888" s="43">
        <v>8.4431016862544723</v>
      </c>
      <c r="M18888" s="43">
        <v>11.500435161009573</v>
      </c>
      <c r="N18888" s="43">
        <v>5.2731057452123231</v>
      </c>
      <c r="O18888" s="43">
        <v>11.503164556962025</v>
      </c>
      <c r="P18888" s="559"/>
      <c r="Q18888" s="559"/>
      <c r="R18888" s="559">
        <v>27</v>
      </c>
    </row>
    <row r="18889" spans="1:18" ht="96">
      <c r="A18889" s="555">
        <v>1307</v>
      </c>
      <c r="B18889" s="552" t="s">
        <v>34215</v>
      </c>
      <c r="C18889" s="556" t="s">
        <v>34216</v>
      </c>
      <c r="D18889" s="557">
        <v>462.59</v>
      </c>
      <c r="E18889" s="557">
        <v>229.8</v>
      </c>
      <c r="F18889" s="557">
        <v>228.19</v>
      </c>
      <c r="G18889" s="557">
        <v>4.5999999999999996</v>
      </c>
      <c r="H18889" s="558">
        <v>3898.97</v>
      </c>
      <c r="I18889" s="558">
        <v>2642.8</v>
      </c>
      <c r="J18889" s="558">
        <v>1203.27</v>
      </c>
      <c r="K18889" s="558">
        <v>52.9</v>
      </c>
      <c r="L18889" s="43">
        <v>8.4285652521671466</v>
      </c>
      <c r="M18889" s="43">
        <v>11.500435161009573</v>
      </c>
      <c r="N18889" s="43">
        <v>5.2731057452123231</v>
      </c>
      <c r="O18889" s="43">
        <v>11.503164556962025</v>
      </c>
      <c r="P18889" s="559"/>
      <c r="Q18889" s="559"/>
      <c r="R18889" s="559">
        <v>27</v>
      </c>
    </row>
    <row r="18890" spans="1:18" ht="12.75" customHeight="1">
      <c r="A18890" s="628" t="s">
        <v>34217</v>
      </c>
      <c r="B18890" s="629"/>
      <c r="C18890" s="629"/>
      <c r="D18890" s="629"/>
      <c r="E18890" s="629"/>
      <c r="F18890" s="629"/>
      <c r="G18890" s="629"/>
      <c r="H18890" s="629"/>
      <c r="I18890" s="629"/>
      <c r="J18890" s="629"/>
      <c r="K18890" s="629"/>
      <c r="L18890" s="629"/>
      <c r="M18890" s="629"/>
      <c r="N18890" s="629"/>
      <c r="O18890" s="629"/>
      <c r="P18890" s="629"/>
      <c r="Q18890" s="629"/>
      <c r="R18890" s="629"/>
    </row>
    <row r="18891" spans="1:18" ht="96">
      <c r="A18891" s="555">
        <v>1308</v>
      </c>
      <c r="B18891" s="552" t="s">
        <v>34218</v>
      </c>
      <c r="C18891" s="556" t="s">
        <v>34219</v>
      </c>
      <c r="D18891" s="557">
        <v>4.1500000000000004</v>
      </c>
      <c r="E18891" s="557">
        <v>2.0699999999999998</v>
      </c>
      <c r="F18891" s="557">
        <v>2.04</v>
      </c>
      <c r="G18891" s="557">
        <v>0.04</v>
      </c>
      <c r="H18891" s="558">
        <v>35.020000000000003</v>
      </c>
      <c r="I18891" s="558">
        <v>23.79</v>
      </c>
      <c r="J18891" s="558">
        <v>10.77</v>
      </c>
      <c r="K18891" s="558">
        <v>0.46</v>
      </c>
      <c r="L18891" s="43">
        <v>8.4385542168674696</v>
      </c>
      <c r="M18891" s="43">
        <v>11.498253783469149</v>
      </c>
      <c r="N18891" s="43">
        <v>5.2794117647058822</v>
      </c>
      <c r="O18891" s="43">
        <v>11.503164556962025</v>
      </c>
      <c r="P18891" s="559"/>
      <c r="Q18891" s="559"/>
      <c r="R18891" s="559">
        <v>28</v>
      </c>
    </row>
    <row r="18892" spans="1:18" ht="96">
      <c r="A18892" s="555">
        <v>1309</v>
      </c>
      <c r="B18892" s="552" t="s">
        <v>34220</v>
      </c>
      <c r="C18892" s="556" t="s">
        <v>34221</v>
      </c>
      <c r="D18892" s="557">
        <v>5.81</v>
      </c>
      <c r="E18892" s="557">
        <v>2.87</v>
      </c>
      <c r="F18892" s="557">
        <v>2.88</v>
      </c>
      <c r="G18892" s="557">
        <v>0.06</v>
      </c>
      <c r="H18892" s="558">
        <v>48.93</v>
      </c>
      <c r="I18892" s="558">
        <v>33.04</v>
      </c>
      <c r="J18892" s="558">
        <v>15.2</v>
      </c>
      <c r="K18892" s="558">
        <v>0.69</v>
      </c>
      <c r="L18892" s="43">
        <v>8.4216867469879517</v>
      </c>
      <c r="M18892" s="43">
        <v>11.498253783469149</v>
      </c>
      <c r="N18892" s="43">
        <v>5.2777777777777777</v>
      </c>
      <c r="O18892" s="43">
        <v>11.503164556962025</v>
      </c>
      <c r="P18892" s="559"/>
      <c r="Q18892" s="559"/>
      <c r="R18892" s="559">
        <v>28</v>
      </c>
    </row>
    <row r="18893" spans="1:18" ht="96">
      <c r="A18893" s="555">
        <v>1310</v>
      </c>
      <c r="B18893" s="552" t="s">
        <v>34222</v>
      </c>
      <c r="C18893" s="556" t="s">
        <v>34223</v>
      </c>
      <c r="D18893" s="557">
        <v>8.06</v>
      </c>
      <c r="E18893" s="557">
        <v>4.0199999999999996</v>
      </c>
      <c r="F18893" s="557">
        <v>3.96</v>
      </c>
      <c r="G18893" s="557">
        <v>0.08</v>
      </c>
      <c r="H18893" s="558">
        <v>68.069999999999993</v>
      </c>
      <c r="I18893" s="558">
        <v>46.25</v>
      </c>
      <c r="J18893" s="558">
        <v>20.9</v>
      </c>
      <c r="K18893" s="558">
        <v>0.92</v>
      </c>
      <c r="L18893" s="43">
        <v>8.4454094292803958</v>
      </c>
      <c r="M18893" s="43">
        <v>11.504975124378111</v>
      </c>
      <c r="N18893" s="43">
        <v>5.2777777777777777</v>
      </c>
      <c r="O18893" s="43">
        <v>11.503164556962025</v>
      </c>
      <c r="P18893" s="559"/>
      <c r="Q18893" s="559"/>
      <c r="R18893" s="559">
        <v>28</v>
      </c>
    </row>
    <row r="18894" spans="1:18" ht="96">
      <c r="A18894" s="555">
        <v>1311</v>
      </c>
      <c r="B18894" s="552" t="s">
        <v>34224</v>
      </c>
      <c r="C18894" s="556" t="s">
        <v>34225</v>
      </c>
      <c r="D18894" s="557">
        <v>9.9600000000000009</v>
      </c>
      <c r="E18894" s="557">
        <v>4.9400000000000004</v>
      </c>
      <c r="F18894" s="557">
        <v>4.92</v>
      </c>
      <c r="G18894" s="557">
        <v>0.1</v>
      </c>
      <c r="H18894" s="558">
        <v>83.94</v>
      </c>
      <c r="I18894" s="558">
        <v>56.82</v>
      </c>
      <c r="J18894" s="558">
        <v>25.97</v>
      </c>
      <c r="K18894" s="558">
        <v>1.1499999999999999</v>
      </c>
      <c r="L18894" s="43">
        <v>8.4277108433734931</v>
      </c>
      <c r="M18894" s="43">
        <v>11.502024291497975</v>
      </c>
      <c r="N18894" s="43">
        <v>5.2784552845528454</v>
      </c>
      <c r="O18894" s="43">
        <v>11.503164556962025</v>
      </c>
      <c r="P18894" s="559"/>
      <c r="Q18894" s="559"/>
      <c r="R18894" s="559">
        <v>28</v>
      </c>
    </row>
    <row r="18895" spans="1:18" ht="96">
      <c r="A18895" s="555">
        <v>1312</v>
      </c>
      <c r="B18895" s="552" t="s">
        <v>34226</v>
      </c>
      <c r="C18895" s="556" t="s">
        <v>34227</v>
      </c>
      <c r="D18895" s="557">
        <v>12.22</v>
      </c>
      <c r="E18895" s="557">
        <v>6.09</v>
      </c>
      <c r="F18895" s="557">
        <v>6.01</v>
      </c>
      <c r="G18895" s="557">
        <v>0.12</v>
      </c>
      <c r="H18895" s="558">
        <v>103.08</v>
      </c>
      <c r="I18895" s="558">
        <v>70.03</v>
      </c>
      <c r="J18895" s="558">
        <v>31.67</v>
      </c>
      <c r="K18895" s="558">
        <v>1.38</v>
      </c>
      <c r="L18895" s="43">
        <v>8.4353518821603917</v>
      </c>
      <c r="M18895" s="43">
        <v>11.499178981937604</v>
      </c>
      <c r="N18895" s="43">
        <v>5.2695507487520805</v>
      </c>
      <c r="O18895" s="43">
        <v>11.503164556962025</v>
      </c>
      <c r="P18895" s="559"/>
      <c r="Q18895" s="559"/>
      <c r="R18895" s="559">
        <v>28</v>
      </c>
    </row>
    <row r="18896" spans="1:18" ht="96">
      <c r="A18896" s="555">
        <v>1313</v>
      </c>
      <c r="B18896" s="552" t="s">
        <v>34228</v>
      </c>
      <c r="C18896" s="556" t="s">
        <v>34229</v>
      </c>
      <c r="D18896" s="557">
        <v>6.28</v>
      </c>
      <c r="E18896" s="557">
        <v>3.1</v>
      </c>
      <c r="F18896" s="557">
        <v>3.12</v>
      </c>
      <c r="G18896" s="557">
        <v>0.06</v>
      </c>
      <c r="H18896" s="558">
        <v>52.84</v>
      </c>
      <c r="I18896" s="558">
        <v>35.68</v>
      </c>
      <c r="J18896" s="558">
        <v>16.47</v>
      </c>
      <c r="K18896" s="558">
        <v>0.69</v>
      </c>
      <c r="L18896" s="43">
        <v>8.4140127388535042</v>
      </c>
      <c r="M18896" s="43">
        <v>11.498253783469149</v>
      </c>
      <c r="N18896" s="43">
        <v>5.2788461538461533</v>
      </c>
      <c r="O18896" s="43">
        <v>11.503164556962025</v>
      </c>
      <c r="P18896" s="559"/>
      <c r="Q18896" s="559"/>
      <c r="R18896" s="559">
        <v>28</v>
      </c>
    </row>
    <row r="18897" spans="1:18" ht="96">
      <c r="A18897" s="555">
        <v>1314</v>
      </c>
      <c r="B18897" s="552" t="s">
        <v>34230</v>
      </c>
      <c r="C18897" s="556" t="s">
        <v>34231</v>
      </c>
      <c r="D18897" s="557">
        <v>7.83</v>
      </c>
      <c r="E18897" s="557">
        <v>3.91</v>
      </c>
      <c r="F18897" s="557">
        <v>3.84</v>
      </c>
      <c r="G18897" s="557">
        <v>0.08</v>
      </c>
      <c r="H18897" s="558">
        <v>66.12</v>
      </c>
      <c r="I18897" s="558">
        <v>44.93</v>
      </c>
      <c r="J18897" s="558">
        <v>20.27</v>
      </c>
      <c r="K18897" s="558">
        <v>0.92</v>
      </c>
      <c r="L18897" s="43">
        <v>8.4444444444444446</v>
      </c>
      <c r="M18897" s="43">
        <v>11.498253783469149</v>
      </c>
      <c r="N18897" s="43">
        <v>5.278645833333333</v>
      </c>
      <c r="O18897" s="43">
        <v>11.503164556962025</v>
      </c>
      <c r="P18897" s="559"/>
      <c r="Q18897" s="559"/>
      <c r="R18897" s="559">
        <v>28</v>
      </c>
    </row>
    <row r="18898" spans="1:18" ht="96">
      <c r="A18898" s="555">
        <v>1315</v>
      </c>
      <c r="B18898" s="552" t="s">
        <v>34232</v>
      </c>
      <c r="C18898" s="556" t="s">
        <v>34233</v>
      </c>
      <c r="D18898" s="557">
        <v>12.22</v>
      </c>
      <c r="E18898" s="557">
        <v>6.09</v>
      </c>
      <c r="F18898" s="557">
        <v>6.01</v>
      </c>
      <c r="G18898" s="557">
        <v>0.12</v>
      </c>
      <c r="H18898" s="558">
        <v>103.08</v>
      </c>
      <c r="I18898" s="558">
        <v>70.03</v>
      </c>
      <c r="J18898" s="558">
        <v>31.67</v>
      </c>
      <c r="K18898" s="558">
        <v>1.38</v>
      </c>
      <c r="L18898" s="43">
        <v>8.4353518821603917</v>
      </c>
      <c r="M18898" s="43">
        <v>11.499178981937604</v>
      </c>
      <c r="N18898" s="43">
        <v>5.2695507487520805</v>
      </c>
      <c r="O18898" s="43">
        <v>11.503164556962025</v>
      </c>
      <c r="P18898" s="559"/>
      <c r="Q18898" s="559"/>
      <c r="R18898" s="559">
        <v>28</v>
      </c>
    </row>
    <row r="18899" spans="1:18" ht="96">
      <c r="A18899" s="555">
        <v>1316</v>
      </c>
      <c r="B18899" s="552" t="s">
        <v>34234</v>
      </c>
      <c r="C18899" s="556" t="s">
        <v>34235</v>
      </c>
      <c r="D18899" s="557">
        <v>15.07</v>
      </c>
      <c r="E18899" s="557">
        <v>7.47</v>
      </c>
      <c r="F18899" s="557">
        <v>7.45</v>
      </c>
      <c r="G18899" s="557">
        <v>0.15</v>
      </c>
      <c r="H18899" s="558">
        <v>126.88</v>
      </c>
      <c r="I18899" s="558">
        <v>85.89</v>
      </c>
      <c r="J18899" s="558">
        <v>39.26</v>
      </c>
      <c r="K18899" s="558">
        <v>1.73</v>
      </c>
      <c r="L18899" s="43">
        <v>8.4193762441937618</v>
      </c>
      <c r="M18899" s="43">
        <v>11.497991967871487</v>
      </c>
      <c r="N18899" s="43">
        <v>5.2697986577181206</v>
      </c>
      <c r="O18899" s="43">
        <v>11.503164556962025</v>
      </c>
      <c r="P18899" s="559"/>
      <c r="Q18899" s="559"/>
      <c r="R18899" s="559">
        <v>28</v>
      </c>
    </row>
    <row r="18900" spans="1:18" ht="96">
      <c r="A18900" s="555">
        <v>1317</v>
      </c>
      <c r="B18900" s="552" t="s">
        <v>34236</v>
      </c>
      <c r="C18900" s="556" t="s">
        <v>34237</v>
      </c>
      <c r="D18900" s="557">
        <v>18.38</v>
      </c>
      <c r="E18900" s="557">
        <v>9.19</v>
      </c>
      <c r="F18900" s="557">
        <v>9.01</v>
      </c>
      <c r="G18900" s="557">
        <v>0.18</v>
      </c>
      <c r="H18900" s="558">
        <v>155.28</v>
      </c>
      <c r="I18900" s="558">
        <v>105.71</v>
      </c>
      <c r="J18900" s="558">
        <v>47.5</v>
      </c>
      <c r="K18900" s="558">
        <v>2.0699999999999998</v>
      </c>
      <c r="L18900" s="43">
        <v>8.4483133841131668</v>
      </c>
      <c r="M18900" s="43">
        <v>11.502720348204571</v>
      </c>
      <c r="N18900" s="43">
        <v>5.2719200887902335</v>
      </c>
      <c r="O18900" s="43">
        <v>11.503164556962025</v>
      </c>
      <c r="P18900" s="559"/>
      <c r="Q18900" s="559"/>
      <c r="R18900" s="559">
        <v>28</v>
      </c>
    </row>
    <row r="18901" spans="1:18" ht="96">
      <c r="A18901" s="555">
        <v>1318</v>
      </c>
      <c r="B18901" s="552" t="s">
        <v>34238</v>
      </c>
      <c r="C18901" s="556" t="s">
        <v>34239</v>
      </c>
      <c r="D18901" s="557">
        <v>7</v>
      </c>
      <c r="E18901" s="557">
        <v>3.45</v>
      </c>
      <c r="F18901" s="557">
        <v>3.48</v>
      </c>
      <c r="G18901" s="557">
        <v>7.0000000000000007E-2</v>
      </c>
      <c r="H18901" s="558">
        <v>58.82</v>
      </c>
      <c r="I18901" s="558">
        <v>39.64</v>
      </c>
      <c r="J18901" s="558">
        <v>18.37</v>
      </c>
      <c r="K18901" s="558">
        <v>0.81</v>
      </c>
      <c r="L18901" s="43">
        <v>8.4028571428571421</v>
      </c>
      <c r="M18901" s="43">
        <v>11.5</v>
      </c>
      <c r="N18901" s="43">
        <v>5.2787356321839081</v>
      </c>
      <c r="O18901" s="43">
        <v>11.503164556962025</v>
      </c>
      <c r="P18901" s="559"/>
      <c r="Q18901" s="559"/>
      <c r="R18901" s="559">
        <v>28</v>
      </c>
    </row>
    <row r="18902" spans="1:18" ht="96">
      <c r="A18902" s="555">
        <v>1319</v>
      </c>
      <c r="B18902" s="552" t="s">
        <v>34240</v>
      </c>
      <c r="C18902" s="556" t="s">
        <v>34241</v>
      </c>
      <c r="D18902" s="557">
        <v>9.9600000000000009</v>
      </c>
      <c r="E18902" s="557">
        <v>4.9400000000000004</v>
      </c>
      <c r="F18902" s="557">
        <v>4.92</v>
      </c>
      <c r="G18902" s="557">
        <v>0.1</v>
      </c>
      <c r="H18902" s="558">
        <v>83.94</v>
      </c>
      <c r="I18902" s="558">
        <v>56.82</v>
      </c>
      <c r="J18902" s="558">
        <v>25.97</v>
      </c>
      <c r="K18902" s="558">
        <v>1.1499999999999999</v>
      </c>
      <c r="L18902" s="43">
        <v>8.4277108433734931</v>
      </c>
      <c r="M18902" s="43">
        <v>11.502024291497975</v>
      </c>
      <c r="N18902" s="43">
        <v>5.2784552845528454</v>
      </c>
      <c r="O18902" s="43">
        <v>11.503164556962025</v>
      </c>
      <c r="P18902" s="559"/>
      <c r="Q18902" s="559"/>
      <c r="R18902" s="559">
        <v>28</v>
      </c>
    </row>
    <row r="18903" spans="1:18" ht="96">
      <c r="A18903" s="555">
        <v>1320</v>
      </c>
      <c r="B18903" s="552" t="s">
        <v>34242</v>
      </c>
      <c r="C18903" s="556" t="s">
        <v>34243</v>
      </c>
      <c r="D18903" s="557">
        <v>13.76</v>
      </c>
      <c r="E18903" s="557">
        <v>6.89</v>
      </c>
      <c r="F18903" s="557">
        <v>6.73</v>
      </c>
      <c r="G18903" s="557">
        <v>0.14000000000000001</v>
      </c>
      <c r="H18903" s="558">
        <v>116.35</v>
      </c>
      <c r="I18903" s="558">
        <v>79.28</v>
      </c>
      <c r="J18903" s="558">
        <v>35.46</v>
      </c>
      <c r="K18903" s="558">
        <v>1.61</v>
      </c>
      <c r="L18903" s="43">
        <v>8.4556686046511622</v>
      </c>
      <c r="M18903" s="43">
        <v>11.5021951219512</v>
      </c>
      <c r="N18903" s="43">
        <v>5.2689450222882614</v>
      </c>
      <c r="O18903" s="43">
        <v>11.503164556962025</v>
      </c>
      <c r="P18903" s="559"/>
      <c r="Q18903" s="559"/>
      <c r="R18903" s="559">
        <v>28</v>
      </c>
    </row>
    <row r="18904" spans="1:18" ht="96">
      <c r="A18904" s="555">
        <v>1321</v>
      </c>
      <c r="B18904" s="552" t="s">
        <v>34244</v>
      </c>
      <c r="C18904" s="556" t="s">
        <v>34245</v>
      </c>
      <c r="D18904" s="557">
        <v>17.079999999999998</v>
      </c>
      <c r="E18904" s="557">
        <v>8.5</v>
      </c>
      <c r="F18904" s="557">
        <v>8.41</v>
      </c>
      <c r="G18904" s="557">
        <v>0.17</v>
      </c>
      <c r="H18904" s="558">
        <v>144.07</v>
      </c>
      <c r="I18904" s="558">
        <v>97.78</v>
      </c>
      <c r="J18904" s="558">
        <v>44.33</v>
      </c>
      <c r="K18904" s="558">
        <v>1.96</v>
      </c>
      <c r="L18904" s="43">
        <v>8.4350117096018735</v>
      </c>
      <c r="M18904" s="43">
        <v>11.503529411764706</v>
      </c>
      <c r="N18904" s="43">
        <v>5.2711058263971458</v>
      </c>
      <c r="O18904" s="43">
        <v>11.503164556962025</v>
      </c>
      <c r="P18904" s="559"/>
      <c r="Q18904" s="559"/>
      <c r="R18904" s="559">
        <v>28</v>
      </c>
    </row>
    <row r="18905" spans="1:18" ht="96">
      <c r="A18905" s="555">
        <v>1322</v>
      </c>
      <c r="B18905" s="552" t="s">
        <v>34246</v>
      </c>
      <c r="C18905" s="556" t="s">
        <v>34247</v>
      </c>
      <c r="D18905" s="557">
        <v>20.76</v>
      </c>
      <c r="E18905" s="557">
        <v>10.34</v>
      </c>
      <c r="F18905" s="557">
        <v>10.210000000000001</v>
      </c>
      <c r="G18905" s="557">
        <v>0.21</v>
      </c>
      <c r="H18905" s="558">
        <v>175.18</v>
      </c>
      <c r="I18905" s="558">
        <v>118.93</v>
      </c>
      <c r="J18905" s="558">
        <v>53.83</v>
      </c>
      <c r="K18905" s="558">
        <v>2.42</v>
      </c>
      <c r="L18905" s="43">
        <v>8.4383429672447008</v>
      </c>
      <c r="M18905" s="43">
        <v>11.50193423597679</v>
      </c>
      <c r="N18905" s="43">
        <v>5.2722820763956895</v>
      </c>
      <c r="O18905" s="43">
        <v>11.503164556962025</v>
      </c>
      <c r="P18905" s="559"/>
      <c r="Q18905" s="559"/>
      <c r="R18905" s="559">
        <v>28</v>
      </c>
    </row>
    <row r="18906" spans="1:18" ht="96">
      <c r="A18906" s="555">
        <v>1323</v>
      </c>
      <c r="B18906" s="552" t="s">
        <v>34248</v>
      </c>
      <c r="C18906" s="556" t="s">
        <v>34249</v>
      </c>
      <c r="D18906" s="557">
        <v>397.41</v>
      </c>
      <c r="E18906" s="557">
        <v>195.33</v>
      </c>
      <c r="F18906" s="557">
        <v>198.17</v>
      </c>
      <c r="G18906" s="557">
        <v>3.91</v>
      </c>
      <c r="H18906" s="558">
        <v>3336.3</v>
      </c>
      <c r="I18906" s="558">
        <v>2246.38</v>
      </c>
      <c r="J18906" s="558">
        <v>1044.95</v>
      </c>
      <c r="K18906" s="558">
        <v>44.97</v>
      </c>
      <c r="L18906" s="43">
        <v>8.3951083264135278</v>
      </c>
      <c r="M18906" s="43">
        <v>11.500435161009573</v>
      </c>
      <c r="N18906" s="43">
        <v>5.2729979310692849</v>
      </c>
      <c r="O18906" s="43">
        <v>11.503164556962025</v>
      </c>
      <c r="P18906" s="559"/>
      <c r="Q18906" s="559"/>
      <c r="R18906" s="559">
        <v>28</v>
      </c>
    </row>
    <row r="18907" spans="1:18" ht="96">
      <c r="A18907" s="555">
        <v>1324</v>
      </c>
      <c r="B18907" s="552" t="s">
        <v>34250</v>
      </c>
      <c r="C18907" s="556" t="s">
        <v>34251</v>
      </c>
      <c r="D18907" s="557">
        <v>581.24</v>
      </c>
      <c r="E18907" s="557">
        <v>287.25</v>
      </c>
      <c r="F18907" s="557">
        <v>288.24</v>
      </c>
      <c r="G18907" s="557">
        <v>5.75</v>
      </c>
      <c r="H18907" s="558">
        <v>4889.55</v>
      </c>
      <c r="I18907" s="558">
        <v>3303.5</v>
      </c>
      <c r="J18907" s="558">
        <v>1519.92</v>
      </c>
      <c r="K18907" s="558">
        <v>66.13</v>
      </c>
      <c r="L18907" s="43">
        <v>8.4122737595485511</v>
      </c>
      <c r="M18907" s="43">
        <v>11.500435161009573</v>
      </c>
      <c r="N18907" s="43">
        <v>5.2731057452123231</v>
      </c>
      <c r="O18907" s="43">
        <v>11.503164556962025</v>
      </c>
      <c r="P18907" s="559"/>
      <c r="Q18907" s="559"/>
      <c r="R18907" s="559">
        <v>28</v>
      </c>
    </row>
    <row r="18908" spans="1:18" ht="96">
      <c r="A18908" s="555">
        <v>1325</v>
      </c>
      <c r="B18908" s="552" t="s">
        <v>34252</v>
      </c>
      <c r="C18908" s="556" t="s">
        <v>34253</v>
      </c>
      <c r="D18908" s="557">
        <v>676.15</v>
      </c>
      <c r="E18908" s="557">
        <v>333.21</v>
      </c>
      <c r="F18908" s="557">
        <v>336.28</v>
      </c>
      <c r="G18908" s="557">
        <v>6.66</v>
      </c>
      <c r="H18908" s="558">
        <v>5681.89</v>
      </c>
      <c r="I18908" s="558">
        <v>3832.06</v>
      </c>
      <c r="J18908" s="558">
        <v>1773.24</v>
      </c>
      <c r="K18908" s="558">
        <v>76.59</v>
      </c>
      <c r="L18908" s="43">
        <v>8.4032980847445096</v>
      </c>
      <c r="M18908" s="43">
        <v>11.500435161009575</v>
      </c>
      <c r="N18908" s="43">
        <v>5.2731057452123231</v>
      </c>
      <c r="O18908" s="43">
        <v>11.503164556962025</v>
      </c>
      <c r="P18908" s="559"/>
      <c r="Q18908" s="559"/>
      <c r="R18908" s="559">
        <v>28</v>
      </c>
    </row>
    <row r="18909" spans="1:18" ht="12.75" customHeight="1">
      <c r="A18909" s="628" t="s">
        <v>34254</v>
      </c>
      <c r="B18909" s="629"/>
      <c r="C18909" s="629"/>
      <c r="D18909" s="629"/>
      <c r="E18909" s="629"/>
      <c r="F18909" s="629"/>
      <c r="G18909" s="629"/>
      <c r="H18909" s="629"/>
      <c r="I18909" s="629"/>
      <c r="J18909" s="629"/>
      <c r="K18909" s="629"/>
      <c r="L18909" s="629"/>
      <c r="M18909" s="629"/>
      <c r="N18909" s="629"/>
      <c r="O18909" s="629"/>
      <c r="P18909" s="629"/>
      <c r="Q18909" s="629"/>
      <c r="R18909" s="629"/>
    </row>
    <row r="18910" spans="1:18" ht="96">
      <c r="A18910" s="555">
        <v>1326</v>
      </c>
      <c r="B18910" s="552" t="s">
        <v>34255</v>
      </c>
      <c r="C18910" s="556" t="s">
        <v>34256</v>
      </c>
      <c r="D18910" s="557">
        <v>6.52</v>
      </c>
      <c r="E18910" s="557">
        <v>3.22</v>
      </c>
      <c r="F18910" s="557">
        <v>3.24</v>
      </c>
      <c r="G18910" s="557">
        <v>0.06</v>
      </c>
      <c r="H18910" s="558">
        <v>54.79</v>
      </c>
      <c r="I18910" s="558">
        <v>37</v>
      </c>
      <c r="J18910" s="558">
        <v>17.100000000000001</v>
      </c>
      <c r="K18910" s="558">
        <v>0.69</v>
      </c>
      <c r="L18910" s="43">
        <v>8.4033742331288348</v>
      </c>
      <c r="M18910" s="43">
        <v>11.498253783469149</v>
      </c>
      <c r="N18910" s="43">
        <v>5.2777777777777777</v>
      </c>
      <c r="O18910" s="43">
        <v>11.503164556962025</v>
      </c>
      <c r="P18910" s="559"/>
      <c r="Q18910" s="559"/>
      <c r="R18910" s="559">
        <v>29</v>
      </c>
    </row>
    <row r="18911" spans="1:18" ht="96">
      <c r="A18911" s="555">
        <v>1327</v>
      </c>
      <c r="B18911" s="552" t="s">
        <v>34257</v>
      </c>
      <c r="C18911" s="556" t="s">
        <v>34258</v>
      </c>
      <c r="D18911" s="557">
        <v>9.9600000000000009</v>
      </c>
      <c r="E18911" s="557">
        <v>4.9400000000000004</v>
      </c>
      <c r="F18911" s="557">
        <v>4.92</v>
      </c>
      <c r="G18911" s="557">
        <v>0.1</v>
      </c>
      <c r="H18911" s="558">
        <v>83.94</v>
      </c>
      <c r="I18911" s="558">
        <v>56.82</v>
      </c>
      <c r="J18911" s="558">
        <v>25.97</v>
      </c>
      <c r="K18911" s="558">
        <v>1.1499999999999999</v>
      </c>
      <c r="L18911" s="43">
        <v>8.4277108433734931</v>
      </c>
      <c r="M18911" s="43">
        <v>11.502024291497975</v>
      </c>
      <c r="N18911" s="43">
        <v>5.2784552845528454</v>
      </c>
      <c r="O18911" s="43">
        <v>11.503164556962025</v>
      </c>
      <c r="P18911" s="559"/>
      <c r="Q18911" s="559"/>
      <c r="R18911" s="559">
        <v>29</v>
      </c>
    </row>
    <row r="18912" spans="1:18" ht="96">
      <c r="A18912" s="555">
        <v>1328</v>
      </c>
      <c r="B18912" s="552" t="s">
        <v>34259</v>
      </c>
      <c r="C18912" s="556" t="s">
        <v>34260</v>
      </c>
      <c r="D18912" s="557">
        <v>13.17</v>
      </c>
      <c r="E18912" s="557">
        <v>6.55</v>
      </c>
      <c r="F18912" s="557">
        <v>6.49</v>
      </c>
      <c r="G18912" s="557">
        <v>0.13</v>
      </c>
      <c r="H18912" s="558">
        <v>111.02</v>
      </c>
      <c r="I18912" s="558">
        <v>75.319999999999993</v>
      </c>
      <c r="J18912" s="558">
        <v>34.200000000000003</v>
      </c>
      <c r="K18912" s="558">
        <v>1.5</v>
      </c>
      <c r="L18912" s="43">
        <v>8.429764616552772</v>
      </c>
      <c r="M18912" s="43">
        <v>11.499236641221373</v>
      </c>
      <c r="N18912" s="43">
        <v>5.26964560862866</v>
      </c>
      <c r="O18912" s="43">
        <v>11.503164556962025</v>
      </c>
      <c r="P18912" s="559"/>
      <c r="Q18912" s="559"/>
      <c r="R18912" s="559">
        <v>29</v>
      </c>
    </row>
    <row r="18913" spans="1:18" ht="96">
      <c r="A18913" s="555">
        <v>1329</v>
      </c>
      <c r="B18913" s="552" t="s">
        <v>34261</v>
      </c>
      <c r="C18913" s="556" t="s">
        <v>34262</v>
      </c>
      <c r="D18913" s="557">
        <v>16.489999999999998</v>
      </c>
      <c r="E18913" s="557">
        <v>8.16</v>
      </c>
      <c r="F18913" s="557">
        <v>8.17</v>
      </c>
      <c r="G18913" s="557">
        <v>0.16</v>
      </c>
      <c r="H18913" s="558">
        <v>138.72</v>
      </c>
      <c r="I18913" s="558">
        <v>93.82</v>
      </c>
      <c r="J18913" s="558">
        <v>43.06</v>
      </c>
      <c r="K18913" s="558">
        <v>1.84</v>
      </c>
      <c r="L18913" s="43">
        <v>8.4123711340206189</v>
      </c>
      <c r="M18913" s="43">
        <v>11.497549019607842</v>
      </c>
      <c r="N18913" s="43">
        <v>5.2705018359853124</v>
      </c>
      <c r="O18913" s="43">
        <v>11.503164556962025</v>
      </c>
      <c r="P18913" s="559"/>
      <c r="Q18913" s="559"/>
      <c r="R18913" s="559">
        <v>29</v>
      </c>
    </row>
    <row r="18914" spans="1:18" ht="96">
      <c r="A18914" s="555">
        <v>1330</v>
      </c>
      <c r="B18914" s="552" t="s">
        <v>34263</v>
      </c>
      <c r="C18914" s="556" t="s">
        <v>34264</v>
      </c>
      <c r="D18914" s="557">
        <v>19.7</v>
      </c>
      <c r="E18914" s="557">
        <v>9.77</v>
      </c>
      <c r="F18914" s="557">
        <v>9.73</v>
      </c>
      <c r="G18914" s="557">
        <v>0.2</v>
      </c>
      <c r="H18914" s="558">
        <v>165.92</v>
      </c>
      <c r="I18914" s="558">
        <v>112.32</v>
      </c>
      <c r="J18914" s="558">
        <v>51.3</v>
      </c>
      <c r="K18914" s="558">
        <v>2.2999999999999998</v>
      </c>
      <c r="L18914" s="43">
        <v>8.4223350253807112</v>
      </c>
      <c r="M18914" s="43">
        <v>11.496417604912999</v>
      </c>
      <c r="N18914" s="43">
        <v>5.2723535457348403</v>
      </c>
      <c r="O18914" s="43">
        <v>11.503164556962025</v>
      </c>
      <c r="P18914" s="559"/>
      <c r="Q18914" s="559"/>
      <c r="R18914" s="559">
        <v>29</v>
      </c>
    </row>
    <row r="18915" spans="1:18" ht="96">
      <c r="A18915" s="555">
        <v>1331</v>
      </c>
      <c r="B18915" s="552" t="s">
        <v>34265</v>
      </c>
      <c r="C18915" s="556" t="s">
        <v>34266</v>
      </c>
      <c r="D18915" s="557">
        <v>9.9600000000000009</v>
      </c>
      <c r="E18915" s="557">
        <v>4.9400000000000004</v>
      </c>
      <c r="F18915" s="557">
        <v>4.92</v>
      </c>
      <c r="G18915" s="557">
        <v>0.1</v>
      </c>
      <c r="H18915" s="558">
        <v>83.94</v>
      </c>
      <c r="I18915" s="558">
        <v>56.82</v>
      </c>
      <c r="J18915" s="558">
        <v>25.97</v>
      </c>
      <c r="K18915" s="558">
        <v>1.1499999999999999</v>
      </c>
      <c r="L18915" s="43">
        <v>8.4277108433734931</v>
      </c>
      <c r="M18915" s="43">
        <v>11.502024291497975</v>
      </c>
      <c r="N18915" s="43">
        <v>5.2784552845528454</v>
      </c>
      <c r="O18915" s="43">
        <v>11.503164556962025</v>
      </c>
      <c r="P18915" s="559"/>
      <c r="Q18915" s="559"/>
      <c r="R18915" s="559">
        <v>29</v>
      </c>
    </row>
    <row r="18916" spans="1:18" ht="96">
      <c r="A18916" s="555">
        <v>1332</v>
      </c>
      <c r="B18916" s="552" t="s">
        <v>34267</v>
      </c>
      <c r="C18916" s="556" t="s">
        <v>34268</v>
      </c>
      <c r="D18916" s="557">
        <v>15.07</v>
      </c>
      <c r="E18916" s="557">
        <v>7.47</v>
      </c>
      <c r="F18916" s="557">
        <v>7.45</v>
      </c>
      <c r="G18916" s="557">
        <v>0.15</v>
      </c>
      <c r="H18916" s="558">
        <v>126.88</v>
      </c>
      <c r="I18916" s="558">
        <v>85.89</v>
      </c>
      <c r="J18916" s="558">
        <v>39.26</v>
      </c>
      <c r="K18916" s="558">
        <v>1.73</v>
      </c>
      <c r="L18916" s="43">
        <v>8.4193762441937618</v>
      </c>
      <c r="M18916" s="43">
        <v>11.497991967871487</v>
      </c>
      <c r="N18916" s="43">
        <v>5.2697986577181206</v>
      </c>
      <c r="O18916" s="43">
        <v>11.503164556962025</v>
      </c>
      <c r="P18916" s="559"/>
      <c r="Q18916" s="559"/>
      <c r="R18916" s="559">
        <v>29</v>
      </c>
    </row>
    <row r="18917" spans="1:18" ht="96">
      <c r="A18917" s="555">
        <v>1333</v>
      </c>
      <c r="B18917" s="552" t="s">
        <v>34269</v>
      </c>
      <c r="C18917" s="556" t="s">
        <v>34270</v>
      </c>
      <c r="D18917" s="557">
        <v>19.7</v>
      </c>
      <c r="E18917" s="557">
        <v>9.77</v>
      </c>
      <c r="F18917" s="557">
        <v>9.73</v>
      </c>
      <c r="G18917" s="557">
        <v>0.2</v>
      </c>
      <c r="H18917" s="558">
        <v>165.92</v>
      </c>
      <c r="I18917" s="558">
        <v>112.32</v>
      </c>
      <c r="J18917" s="558">
        <v>51.3</v>
      </c>
      <c r="K18917" s="558">
        <v>2.2999999999999998</v>
      </c>
      <c r="L18917" s="43">
        <v>8.4223350253807112</v>
      </c>
      <c r="M18917" s="43">
        <v>11.496417604912999</v>
      </c>
      <c r="N18917" s="43">
        <v>5.2723535457348403</v>
      </c>
      <c r="O18917" s="43">
        <v>11.503164556962025</v>
      </c>
      <c r="P18917" s="559"/>
      <c r="Q18917" s="559"/>
      <c r="R18917" s="559">
        <v>29</v>
      </c>
    </row>
    <row r="18918" spans="1:18" ht="96">
      <c r="A18918" s="555">
        <v>1334</v>
      </c>
      <c r="B18918" s="552" t="s">
        <v>34271</v>
      </c>
      <c r="C18918" s="556" t="s">
        <v>34272</v>
      </c>
      <c r="D18918" s="557">
        <v>24.9</v>
      </c>
      <c r="E18918" s="557">
        <v>12.64</v>
      </c>
      <c r="F18918" s="557">
        <v>12.01</v>
      </c>
      <c r="G18918" s="557">
        <v>0.25</v>
      </c>
      <c r="H18918" s="558">
        <v>211.56</v>
      </c>
      <c r="I18918" s="558">
        <v>145.35</v>
      </c>
      <c r="J18918" s="558">
        <v>63.33</v>
      </c>
      <c r="K18918" s="558">
        <v>2.88</v>
      </c>
      <c r="L18918" s="43">
        <v>8.4963855421686745</v>
      </c>
      <c r="M18918" s="43">
        <v>11.499208860759493</v>
      </c>
      <c r="N18918" s="43">
        <v>5.2731057452123231</v>
      </c>
      <c r="O18918" s="43">
        <v>11.503164556962025</v>
      </c>
      <c r="P18918" s="559"/>
      <c r="Q18918" s="559"/>
      <c r="R18918" s="559">
        <v>29</v>
      </c>
    </row>
    <row r="18919" spans="1:18" ht="96">
      <c r="A18919" s="555">
        <v>1335</v>
      </c>
      <c r="B18919" s="552" t="s">
        <v>34273</v>
      </c>
      <c r="C18919" s="556" t="s">
        <v>34274</v>
      </c>
      <c r="D18919" s="557">
        <v>29.65</v>
      </c>
      <c r="E18919" s="557">
        <v>14.94</v>
      </c>
      <c r="F18919" s="557">
        <v>14.41</v>
      </c>
      <c r="G18919" s="557">
        <v>0.3</v>
      </c>
      <c r="H18919" s="558">
        <v>251.23</v>
      </c>
      <c r="I18919" s="558">
        <v>171.78</v>
      </c>
      <c r="J18919" s="558">
        <v>76</v>
      </c>
      <c r="K18919" s="558">
        <v>3.45</v>
      </c>
      <c r="L18919" s="43">
        <v>8.4731871838111292</v>
      </c>
      <c r="M18919" s="43">
        <v>11.497991967871487</v>
      </c>
      <c r="N18919" s="43">
        <v>5.2741151977793201</v>
      </c>
      <c r="O18919" s="43">
        <v>11.503164556962025</v>
      </c>
      <c r="P18919" s="559"/>
      <c r="Q18919" s="559"/>
      <c r="R18919" s="559">
        <v>29</v>
      </c>
    </row>
    <row r="18920" spans="1:18" ht="96">
      <c r="A18920" s="555">
        <v>1336</v>
      </c>
      <c r="B18920" s="552" t="s">
        <v>34275</v>
      </c>
      <c r="C18920" s="556" t="s">
        <v>34276</v>
      </c>
      <c r="D18920" s="557">
        <v>11.15</v>
      </c>
      <c r="E18920" s="557">
        <v>5.52</v>
      </c>
      <c r="F18920" s="557">
        <v>5.52</v>
      </c>
      <c r="G18920" s="557">
        <v>0.11</v>
      </c>
      <c r="H18920" s="558">
        <v>93.83</v>
      </c>
      <c r="I18920" s="558">
        <v>63.43</v>
      </c>
      <c r="J18920" s="558">
        <v>29.13</v>
      </c>
      <c r="K18920" s="558">
        <v>1.27</v>
      </c>
      <c r="L18920" s="43">
        <v>8.4152466367713004</v>
      </c>
      <c r="M18920" s="43">
        <v>11.5</v>
      </c>
      <c r="N18920" s="43">
        <v>5.2771739130434785</v>
      </c>
      <c r="O18920" s="43">
        <v>11.503164556962025</v>
      </c>
      <c r="P18920" s="559"/>
      <c r="Q18920" s="559"/>
      <c r="R18920" s="559">
        <v>29</v>
      </c>
    </row>
    <row r="18921" spans="1:18" ht="96">
      <c r="A18921" s="555">
        <v>1337</v>
      </c>
      <c r="B18921" s="552" t="s">
        <v>34277</v>
      </c>
      <c r="C18921" s="556" t="s">
        <v>34278</v>
      </c>
      <c r="D18921" s="557">
        <v>17.079999999999998</v>
      </c>
      <c r="E18921" s="557">
        <v>8.5</v>
      </c>
      <c r="F18921" s="557">
        <v>8.41</v>
      </c>
      <c r="G18921" s="557">
        <v>0.17</v>
      </c>
      <c r="H18921" s="558">
        <v>144.07</v>
      </c>
      <c r="I18921" s="558">
        <v>97.78</v>
      </c>
      <c r="J18921" s="558">
        <v>44.33</v>
      </c>
      <c r="K18921" s="558">
        <v>1.96</v>
      </c>
      <c r="L18921" s="43">
        <v>8.4350117096018735</v>
      </c>
      <c r="M18921" s="43">
        <v>11.503529411764706</v>
      </c>
      <c r="N18921" s="43">
        <v>5.2711058263971458</v>
      </c>
      <c r="O18921" s="43">
        <v>11.503164556962025</v>
      </c>
      <c r="P18921" s="559"/>
      <c r="Q18921" s="559"/>
      <c r="R18921" s="559">
        <v>29</v>
      </c>
    </row>
    <row r="18922" spans="1:18" ht="96">
      <c r="A18922" s="555">
        <v>1338</v>
      </c>
      <c r="B18922" s="552" t="s">
        <v>34279</v>
      </c>
      <c r="C18922" s="556" t="s">
        <v>34280</v>
      </c>
      <c r="D18922" s="557">
        <v>22.77</v>
      </c>
      <c r="E18922" s="557">
        <v>11.49</v>
      </c>
      <c r="F18922" s="557">
        <v>11.05</v>
      </c>
      <c r="G18922" s="557">
        <v>0.23</v>
      </c>
      <c r="H18922" s="558">
        <v>193.05</v>
      </c>
      <c r="I18922" s="558">
        <v>132.13999999999999</v>
      </c>
      <c r="J18922" s="558">
        <v>58.26</v>
      </c>
      <c r="K18922" s="558">
        <v>2.65</v>
      </c>
      <c r="L18922" s="43">
        <v>8.4782608695652186</v>
      </c>
      <c r="M18922" s="43">
        <v>11.500435161009571</v>
      </c>
      <c r="N18922" s="43">
        <v>5.2723981900452488</v>
      </c>
      <c r="O18922" s="43">
        <v>11.503164556962025</v>
      </c>
      <c r="P18922" s="559"/>
      <c r="Q18922" s="559"/>
      <c r="R18922" s="559">
        <v>29</v>
      </c>
    </row>
    <row r="18923" spans="1:18" ht="96">
      <c r="A18923" s="555">
        <v>1339</v>
      </c>
      <c r="B18923" s="552" t="s">
        <v>34281</v>
      </c>
      <c r="C18923" s="556" t="s">
        <v>34282</v>
      </c>
      <c r="D18923" s="557">
        <v>29.65</v>
      </c>
      <c r="E18923" s="557">
        <v>14.94</v>
      </c>
      <c r="F18923" s="557">
        <v>14.41</v>
      </c>
      <c r="G18923" s="557">
        <v>0.3</v>
      </c>
      <c r="H18923" s="558">
        <v>251.23</v>
      </c>
      <c r="I18923" s="558">
        <v>171.78</v>
      </c>
      <c r="J18923" s="558">
        <v>76</v>
      </c>
      <c r="K18923" s="558">
        <v>3.45</v>
      </c>
      <c r="L18923" s="43">
        <v>8.4731871838111292</v>
      </c>
      <c r="M18923" s="43">
        <v>11.497991967871487</v>
      </c>
      <c r="N18923" s="43">
        <v>5.2741151977793201</v>
      </c>
      <c r="O18923" s="43">
        <v>11.503164556962025</v>
      </c>
      <c r="P18923" s="559"/>
      <c r="Q18923" s="559"/>
      <c r="R18923" s="559">
        <v>29</v>
      </c>
    </row>
    <row r="18924" spans="1:18" ht="96">
      <c r="A18924" s="555">
        <v>1340</v>
      </c>
      <c r="B18924" s="552" t="s">
        <v>34283</v>
      </c>
      <c r="C18924" s="556" t="s">
        <v>34284</v>
      </c>
      <c r="D18924" s="557">
        <v>34.39</v>
      </c>
      <c r="E18924" s="557">
        <v>17.239999999999998</v>
      </c>
      <c r="F18924" s="557">
        <v>16.809999999999999</v>
      </c>
      <c r="G18924" s="557">
        <v>0.34</v>
      </c>
      <c r="H18924" s="558">
        <v>290.77999999999997</v>
      </c>
      <c r="I18924" s="558">
        <v>198.21</v>
      </c>
      <c r="J18924" s="558">
        <v>88.66</v>
      </c>
      <c r="K18924" s="558">
        <v>3.91</v>
      </c>
      <c r="L18924" s="43">
        <v>8.4553649316661819</v>
      </c>
      <c r="M18924" s="43">
        <v>11.497099767981441</v>
      </c>
      <c r="N18924" s="43">
        <v>5.2742415229030337</v>
      </c>
      <c r="O18924" s="43">
        <v>11.503164556962025</v>
      </c>
      <c r="P18924" s="559"/>
      <c r="Q18924" s="559"/>
      <c r="R18924" s="559">
        <v>29</v>
      </c>
    </row>
    <row r="18925" spans="1:18" ht="96">
      <c r="A18925" s="555">
        <v>1341</v>
      </c>
      <c r="B18925" s="552" t="s">
        <v>34285</v>
      </c>
      <c r="C18925" s="556" t="s">
        <v>34286</v>
      </c>
      <c r="D18925" s="557">
        <v>652.41999999999996</v>
      </c>
      <c r="E18925" s="557">
        <v>321.72000000000003</v>
      </c>
      <c r="F18925" s="557">
        <v>324.27</v>
      </c>
      <c r="G18925" s="557">
        <v>6.43</v>
      </c>
      <c r="H18925" s="558">
        <v>5483.78</v>
      </c>
      <c r="I18925" s="558">
        <v>3699.92</v>
      </c>
      <c r="J18925" s="558">
        <v>1709.91</v>
      </c>
      <c r="K18925" s="558">
        <v>73.95</v>
      </c>
      <c r="L18925" s="43">
        <v>8.4052910701695236</v>
      </c>
      <c r="M18925" s="43">
        <v>11.500435161009573</v>
      </c>
      <c r="N18925" s="43">
        <v>5.273105745212324</v>
      </c>
      <c r="O18925" s="43">
        <v>11.503164556962025</v>
      </c>
      <c r="P18925" s="559"/>
      <c r="Q18925" s="559"/>
      <c r="R18925" s="559">
        <v>29</v>
      </c>
    </row>
    <row r="18926" spans="1:18" ht="96">
      <c r="A18926" s="555">
        <v>1342</v>
      </c>
      <c r="B18926" s="552" t="s">
        <v>34287</v>
      </c>
      <c r="C18926" s="556" t="s">
        <v>34288</v>
      </c>
      <c r="D18926" s="557">
        <v>972.63</v>
      </c>
      <c r="E18926" s="557">
        <v>482.58</v>
      </c>
      <c r="F18926" s="557">
        <v>480.4</v>
      </c>
      <c r="G18926" s="557">
        <v>9.65</v>
      </c>
      <c r="H18926" s="558">
        <v>8194.06</v>
      </c>
      <c r="I18926" s="558">
        <v>5549.88</v>
      </c>
      <c r="J18926" s="558">
        <v>2533.1999999999998</v>
      </c>
      <c r="K18926" s="558">
        <v>110.98</v>
      </c>
      <c r="L18926" s="43">
        <v>8.4246424642464248</v>
      </c>
      <c r="M18926" s="43">
        <v>11.500435161009575</v>
      </c>
      <c r="N18926" s="43">
        <v>5.2731057452123231</v>
      </c>
      <c r="O18926" s="43">
        <v>11.503164556962025</v>
      </c>
      <c r="P18926" s="559"/>
      <c r="Q18926" s="559"/>
      <c r="R18926" s="559">
        <v>29</v>
      </c>
    </row>
    <row r="18927" spans="1:18" ht="96">
      <c r="A18927" s="555">
        <v>1343</v>
      </c>
      <c r="B18927" s="552" t="s">
        <v>34289</v>
      </c>
      <c r="C18927" s="556" t="s">
        <v>34290</v>
      </c>
      <c r="D18927" s="557">
        <v>1115.01</v>
      </c>
      <c r="E18927" s="557">
        <v>551.52</v>
      </c>
      <c r="F18927" s="557">
        <v>552.46</v>
      </c>
      <c r="G18927" s="557">
        <v>11.03</v>
      </c>
      <c r="H18927" s="558">
        <v>9382.75</v>
      </c>
      <c r="I18927" s="558">
        <v>6342.72</v>
      </c>
      <c r="J18927" s="558">
        <v>2913.18</v>
      </c>
      <c r="K18927" s="558">
        <v>126.85</v>
      </c>
      <c r="L18927" s="43">
        <v>8.414946951148421</v>
      </c>
      <c r="M18927" s="43">
        <v>11.500435161009575</v>
      </c>
      <c r="N18927" s="43">
        <v>5.2731057452123222</v>
      </c>
      <c r="O18927" s="43">
        <v>11.503164556962025</v>
      </c>
      <c r="P18927" s="559"/>
      <c r="Q18927" s="559"/>
      <c r="R18927" s="559">
        <v>29</v>
      </c>
    </row>
    <row r="18928" spans="1:18" ht="12.75" customHeight="1">
      <c r="A18928" s="628" t="s">
        <v>34291</v>
      </c>
      <c r="B18928" s="629"/>
      <c r="C18928" s="629"/>
      <c r="D18928" s="629"/>
      <c r="E18928" s="629"/>
      <c r="F18928" s="629"/>
      <c r="G18928" s="629"/>
      <c r="H18928" s="629"/>
      <c r="I18928" s="629"/>
      <c r="J18928" s="629"/>
      <c r="K18928" s="629"/>
      <c r="L18928" s="629"/>
      <c r="M18928" s="629"/>
      <c r="N18928" s="629"/>
      <c r="O18928" s="629"/>
      <c r="P18928" s="629"/>
      <c r="Q18928" s="629"/>
      <c r="R18928" s="629"/>
    </row>
    <row r="18929" spans="1:18" ht="60">
      <c r="A18929" s="555">
        <v>1344</v>
      </c>
      <c r="B18929" s="552" t="s">
        <v>34292</v>
      </c>
      <c r="C18929" s="556" t="s">
        <v>34293</v>
      </c>
      <c r="D18929" s="557">
        <v>13.76</v>
      </c>
      <c r="E18929" s="557">
        <v>6.89</v>
      </c>
      <c r="F18929" s="557">
        <v>6.73</v>
      </c>
      <c r="G18929" s="557">
        <v>0.14000000000000001</v>
      </c>
      <c r="H18929" s="558">
        <v>116.35</v>
      </c>
      <c r="I18929" s="558">
        <v>79.28</v>
      </c>
      <c r="J18929" s="558">
        <v>35.46</v>
      </c>
      <c r="K18929" s="558">
        <v>1.61</v>
      </c>
      <c r="L18929" s="43">
        <v>8.4556686046511622</v>
      </c>
      <c r="M18929" s="43">
        <v>11.498253783469149</v>
      </c>
      <c r="N18929" s="43">
        <v>5.2689450222882614</v>
      </c>
      <c r="O18929" s="43">
        <v>11.503164556962025</v>
      </c>
      <c r="P18929" s="559"/>
      <c r="Q18929" s="559"/>
      <c r="R18929" s="559">
        <v>30</v>
      </c>
    </row>
    <row r="18930" spans="1:18" ht="60">
      <c r="A18930" s="555">
        <v>1345</v>
      </c>
      <c r="B18930" s="552" t="s">
        <v>34294</v>
      </c>
      <c r="C18930" s="556" t="s">
        <v>34295</v>
      </c>
      <c r="D18930" s="557">
        <v>20.52</v>
      </c>
      <c r="E18930" s="557">
        <v>10.34</v>
      </c>
      <c r="F18930" s="557">
        <v>9.9700000000000006</v>
      </c>
      <c r="G18930" s="557">
        <v>0.21</v>
      </c>
      <c r="H18930" s="558">
        <v>173.91</v>
      </c>
      <c r="I18930" s="558">
        <v>118.93</v>
      </c>
      <c r="J18930" s="558">
        <v>52.56</v>
      </c>
      <c r="K18930" s="558">
        <v>2.42</v>
      </c>
      <c r="L18930" s="43">
        <v>8.4751461988304087</v>
      </c>
      <c r="M18930" s="43">
        <v>11.50193423597679</v>
      </c>
      <c r="N18930" s="43">
        <v>5.2718154463390166</v>
      </c>
      <c r="O18930" s="43">
        <v>11.503164556962025</v>
      </c>
      <c r="P18930" s="559"/>
      <c r="Q18930" s="559"/>
      <c r="R18930" s="559">
        <v>30</v>
      </c>
    </row>
    <row r="18931" spans="1:18" ht="60">
      <c r="A18931" s="555">
        <v>1346</v>
      </c>
      <c r="B18931" s="552" t="s">
        <v>34296</v>
      </c>
      <c r="C18931" s="556" t="s">
        <v>34297</v>
      </c>
      <c r="D18931" s="557">
        <v>27.28</v>
      </c>
      <c r="E18931" s="557">
        <v>13.79</v>
      </c>
      <c r="F18931" s="557">
        <v>13.21</v>
      </c>
      <c r="G18931" s="557">
        <v>0.28000000000000003</v>
      </c>
      <c r="H18931" s="558">
        <v>231.45</v>
      </c>
      <c r="I18931" s="558">
        <v>158.57</v>
      </c>
      <c r="J18931" s="558">
        <v>69.66</v>
      </c>
      <c r="K18931" s="558">
        <v>3.22</v>
      </c>
      <c r="L18931" s="43">
        <v>8.4842375366568898</v>
      </c>
      <c r="M18931" s="43">
        <v>11.498912255257434</v>
      </c>
      <c r="N18931" s="43">
        <v>5.2732778198334591</v>
      </c>
      <c r="O18931" s="43">
        <v>11.503164556962025</v>
      </c>
      <c r="P18931" s="559"/>
      <c r="Q18931" s="559"/>
      <c r="R18931" s="559">
        <v>30</v>
      </c>
    </row>
    <row r="18932" spans="1:18" ht="60">
      <c r="A18932" s="555">
        <v>1347</v>
      </c>
      <c r="B18932" s="552" t="s">
        <v>34298</v>
      </c>
      <c r="C18932" s="556" t="s">
        <v>34299</v>
      </c>
      <c r="D18932" s="557">
        <v>34.39</v>
      </c>
      <c r="E18932" s="557">
        <v>17.239999999999998</v>
      </c>
      <c r="F18932" s="557">
        <v>16.809999999999999</v>
      </c>
      <c r="G18932" s="557">
        <v>0.34</v>
      </c>
      <c r="H18932" s="558">
        <v>290.77999999999997</v>
      </c>
      <c r="I18932" s="558">
        <v>198.21</v>
      </c>
      <c r="J18932" s="558">
        <v>88.66</v>
      </c>
      <c r="K18932" s="558">
        <v>3.91</v>
      </c>
      <c r="L18932" s="43">
        <v>8.4553649316661819</v>
      </c>
      <c r="M18932" s="43">
        <v>11.497099767981441</v>
      </c>
      <c r="N18932" s="43">
        <v>5.2742415229030337</v>
      </c>
      <c r="O18932" s="43">
        <v>11.503164556962025</v>
      </c>
      <c r="P18932" s="559"/>
      <c r="Q18932" s="559"/>
      <c r="R18932" s="559">
        <v>30</v>
      </c>
    </row>
    <row r="18933" spans="1:18" ht="60">
      <c r="A18933" s="555">
        <v>1348</v>
      </c>
      <c r="B18933" s="552" t="s">
        <v>34300</v>
      </c>
      <c r="C18933" s="556" t="s">
        <v>34301</v>
      </c>
      <c r="D18933" s="557">
        <v>41.51</v>
      </c>
      <c r="E18933" s="557">
        <v>20.68</v>
      </c>
      <c r="F18933" s="557">
        <v>20.420000000000002</v>
      </c>
      <c r="G18933" s="557">
        <v>0.41</v>
      </c>
      <c r="H18933" s="558">
        <v>350.23</v>
      </c>
      <c r="I18933" s="558">
        <v>237.85</v>
      </c>
      <c r="J18933" s="558">
        <v>107.66</v>
      </c>
      <c r="K18933" s="558">
        <v>4.72</v>
      </c>
      <c r="L18933" s="43">
        <v>8.4372440375813067</v>
      </c>
      <c r="M18933" s="43">
        <v>11.501450676982591</v>
      </c>
      <c r="N18933" s="43">
        <v>5.2722820763956895</v>
      </c>
      <c r="O18933" s="43">
        <v>11.503164556962025</v>
      </c>
      <c r="P18933" s="559"/>
      <c r="Q18933" s="559"/>
      <c r="R18933" s="559">
        <v>30</v>
      </c>
    </row>
    <row r="18934" spans="1:18" ht="60">
      <c r="A18934" s="555">
        <v>1349</v>
      </c>
      <c r="B18934" s="552" t="s">
        <v>34302</v>
      </c>
      <c r="C18934" s="556" t="s">
        <v>34303</v>
      </c>
      <c r="D18934" s="557">
        <v>20.52</v>
      </c>
      <c r="E18934" s="557">
        <v>10.34</v>
      </c>
      <c r="F18934" s="557">
        <v>9.9700000000000006</v>
      </c>
      <c r="G18934" s="557">
        <v>0.21</v>
      </c>
      <c r="H18934" s="558">
        <v>173.91</v>
      </c>
      <c r="I18934" s="558">
        <v>118.93</v>
      </c>
      <c r="J18934" s="558">
        <v>52.56</v>
      </c>
      <c r="K18934" s="558">
        <v>2.42</v>
      </c>
      <c r="L18934" s="43">
        <v>8.4751461988304087</v>
      </c>
      <c r="M18934" s="43">
        <v>11.50193423597679</v>
      </c>
      <c r="N18934" s="43">
        <v>5.2718154463390166</v>
      </c>
      <c r="O18934" s="43">
        <v>11.503164556962025</v>
      </c>
      <c r="P18934" s="559"/>
      <c r="Q18934" s="559"/>
      <c r="R18934" s="559">
        <v>30</v>
      </c>
    </row>
    <row r="18935" spans="1:18" ht="60">
      <c r="A18935" s="555">
        <v>1350</v>
      </c>
      <c r="B18935" s="552" t="s">
        <v>34304</v>
      </c>
      <c r="C18935" s="556" t="s">
        <v>34305</v>
      </c>
      <c r="D18935" s="557">
        <v>32.020000000000003</v>
      </c>
      <c r="E18935" s="557">
        <v>16.09</v>
      </c>
      <c r="F18935" s="557">
        <v>15.61</v>
      </c>
      <c r="G18935" s="557">
        <v>0.32</v>
      </c>
      <c r="H18935" s="558">
        <v>271.01</v>
      </c>
      <c r="I18935" s="558">
        <v>185</v>
      </c>
      <c r="J18935" s="558">
        <v>82.33</v>
      </c>
      <c r="K18935" s="558">
        <v>3.68</v>
      </c>
      <c r="L18935" s="43">
        <v>8.4637726420986876</v>
      </c>
      <c r="M18935" s="43">
        <v>11.497824735860783</v>
      </c>
      <c r="N18935" s="43">
        <v>5.2741832158872519</v>
      </c>
      <c r="O18935" s="43">
        <v>11.503164556962025</v>
      </c>
      <c r="P18935" s="559"/>
      <c r="Q18935" s="559"/>
      <c r="R18935" s="559">
        <v>30</v>
      </c>
    </row>
    <row r="18936" spans="1:18" ht="60">
      <c r="A18936" s="555">
        <v>1351</v>
      </c>
      <c r="B18936" s="552" t="s">
        <v>34306</v>
      </c>
      <c r="C18936" s="556" t="s">
        <v>34307</v>
      </c>
      <c r="D18936" s="557">
        <v>41.51</v>
      </c>
      <c r="E18936" s="557">
        <v>20.68</v>
      </c>
      <c r="F18936" s="557">
        <v>20.420000000000002</v>
      </c>
      <c r="G18936" s="557">
        <v>0.41</v>
      </c>
      <c r="H18936" s="558">
        <v>350.23</v>
      </c>
      <c r="I18936" s="558">
        <v>237.85</v>
      </c>
      <c r="J18936" s="558">
        <v>107.66</v>
      </c>
      <c r="K18936" s="558">
        <v>4.72</v>
      </c>
      <c r="L18936" s="43">
        <v>8.4372440375813067</v>
      </c>
      <c r="M18936" s="43">
        <v>11.501450676982591</v>
      </c>
      <c r="N18936" s="43">
        <v>5.2722820763956895</v>
      </c>
      <c r="O18936" s="43">
        <v>11.503164556962025</v>
      </c>
      <c r="P18936" s="559"/>
      <c r="Q18936" s="559"/>
      <c r="R18936" s="559">
        <v>30</v>
      </c>
    </row>
    <row r="18937" spans="1:18" ht="60">
      <c r="A18937" s="555">
        <v>1352</v>
      </c>
      <c r="B18937" s="552" t="s">
        <v>34308</v>
      </c>
      <c r="C18937" s="556" t="s">
        <v>34309</v>
      </c>
      <c r="D18937" s="557">
        <v>51.01</v>
      </c>
      <c r="E18937" s="557">
        <v>25.28</v>
      </c>
      <c r="F18937" s="557">
        <v>25.22</v>
      </c>
      <c r="G18937" s="557">
        <v>0.51</v>
      </c>
      <c r="H18937" s="558">
        <v>429.57</v>
      </c>
      <c r="I18937" s="558">
        <v>290.70999999999998</v>
      </c>
      <c r="J18937" s="558">
        <v>132.99</v>
      </c>
      <c r="K18937" s="558">
        <v>5.87</v>
      </c>
      <c r="L18937" s="43">
        <v>8.4212899431484018</v>
      </c>
      <c r="M18937" s="43">
        <v>11.499604430379746</v>
      </c>
      <c r="N18937" s="43">
        <v>5.2731958762886606</v>
      </c>
      <c r="O18937" s="43">
        <v>11.503164556962025</v>
      </c>
      <c r="P18937" s="559"/>
      <c r="Q18937" s="559"/>
      <c r="R18937" s="559">
        <v>30</v>
      </c>
    </row>
    <row r="18938" spans="1:18" ht="60">
      <c r="A18938" s="555">
        <v>1353</v>
      </c>
      <c r="B18938" s="552" t="s">
        <v>34310</v>
      </c>
      <c r="C18938" s="556" t="s">
        <v>34311</v>
      </c>
      <c r="D18938" s="557">
        <v>60.5</v>
      </c>
      <c r="E18938" s="557">
        <v>29.87</v>
      </c>
      <c r="F18938" s="557">
        <v>30.03</v>
      </c>
      <c r="G18938" s="557">
        <v>0.6</v>
      </c>
      <c r="H18938" s="558">
        <v>508.79</v>
      </c>
      <c r="I18938" s="558">
        <v>343.56</v>
      </c>
      <c r="J18938" s="558">
        <v>158.33000000000001</v>
      </c>
      <c r="K18938" s="558">
        <v>6.9</v>
      </c>
      <c r="L18938" s="43">
        <v>8.4097520661157024</v>
      </c>
      <c r="M18938" s="43">
        <v>11.501841312353532</v>
      </c>
      <c r="N18938" s="43">
        <v>5.2723942723942727</v>
      </c>
      <c r="O18938" s="43">
        <v>11.503164556962025</v>
      </c>
      <c r="P18938" s="559"/>
      <c r="Q18938" s="559"/>
      <c r="R18938" s="559">
        <v>30</v>
      </c>
    </row>
    <row r="18939" spans="1:18" ht="60">
      <c r="A18939" s="555">
        <v>1354</v>
      </c>
      <c r="B18939" s="552" t="s">
        <v>34312</v>
      </c>
      <c r="C18939" s="556" t="s">
        <v>34313</v>
      </c>
      <c r="D18939" s="557">
        <v>23.01</v>
      </c>
      <c r="E18939" s="557">
        <v>11.49</v>
      </c>
      <c r="F18939" s="557">
        <v>11.29</v>
      </c>
      <c r="G18939" s="557">
        <v>0.23</v>
      </c>
      <c r="H18939" s="558">
        <v>194.32</v>
      </c>
      <c r="I18939" s="558">
        <v>132.13999999999999</v>
      </c>
      <c r="J18939" s="558">
        <v>59.53</v>
      </c>
      <c r="K18939" s="558">
        <v>2.65</v>
      </c>
      <c r="L18939" s="43">
        <v>8.4450239026510197</v>
      </c>
      <c r="M18939" s="43">
        <v>11.500435161009571</v>
      </c>
      <c r="N18939" s="43">
        <v>5.2728077945084149</v>
      </c>
      <c r="O18939" s="43">
        <v>11.503164556962025</v>
      </c>
      <c r="P18939" s="559"/>
      <c r="Q18939" s="559"/>
      <c r="R18939" s="559">
        <v>30</v>
      </c>
    </row>
    <row r="18940" spans="1:18" ht="60">
      <c r="A18940" s="555">
        <v>1355</v>
      </c>
      <c r="B18940" s="552" t="s">
        <v>34314</v>
      </c>
      <c r="C18940" s="556" t="s">
        <v>34315</v>
      </c>
      <c r="D18940" s="557">
        <v>34.39</v>
      </c>
      <c r="E18940" s="557">
        <v>17.239999999999998</v>
      </c>
      <c r="F18940" s="557">
        <v>16.809999999999999</v>
      </c>
      <c r="G18940" s="557">
        <v>0.34</v>
      </c>
      <c r="H18940" s="558">
        <v>290.77999999999997</v>
      </c>
      <c r="I18940" s="558">
        <v>198.21</v>
      </c>
      <c r="J18940" s="558">
        <v>88.66</v>
      </c>
      <c r="K18940" s="558">
        <v>3.91</v>
      </c>
      <c r="L18940" s="43">
        <v>8.4553649316661819</v>
      </c>
      <c r="M18940" s="43">
        <v>11.497099767981441</v>
      </c>
      <c r="N18940" s="43">
        <v>5.2742415229030337</v>
      </c>
      <c r="O18940" s="43">
        <v>11.503164556962025</v>
      </c>
      <c r="P18940" s="559"/>
      <c r="Q18940" s="559"/>
      <c r="R18940" s="559">
        <v>30</v>
      </c>
    </row>
    <row r="18941" spans="1:18" ht="60">
      <c r="A18941" s="555">
        <v>1356</v>
      </c>
      <c r="B18941" s="552" t="s">
        <v>34316</v>
      </c>
      <c r="C18941" s="556" t="s">
        <v>34317</v>
      </c>
      <c r="D18941" s="557">
        <v>46.26</v>
      </c>
      <c r="E18941" s="557">
        <v>22.98</v>
      </c>
      <c r="F18941" s="557">
        <v>22.82</v>
      </c>
      <c r="G18941" s="557">
        <v>0.46</v>
      </c>
      <c r="H18941" s="558">
        <v>389.9</v>
      </c>
      <c r="I18941" s="558">
        <v>264.27999999999997</v>
      </c>
      <c r="J18941" s="558">
        <v>120.33</v>
      </c>
      <c r="K18941" s="558">
        <v>5.29</v>
      </c>
      <c r="L18941" s="43">
        <v>8.4284479031560746</v>
      </c>
      <c r="M18941" s="43">
        <v>11.500435161009571</v>
      </c>
      <c r="N18941" s="43">
        <v>5.2730061349693251</v>
      </c>
      <c r="O18941" s="43">
        <v>11.503164556962025</v>
      </c>
      <c r="P18941" s="559"/>
      <c r="Q18941" s="559"/>
      <c r="R18941" s="559">
        <v>30</v>
      </c>
    </row>
    <row r="18942" spans="1:18" ht="60">
      <c r="A18942" s="555">
        <v>1357</v>
      </c>
      <c r="B18942" s="552" t="s">
        <v>34318</v>
      </c>
      <c r="C18942" s="556" t="s">
        <v>34319</v>
      </c>
      <c r="D18942" s="557">
        <v>58.12</v>
      </c>
      <c r="E18942" s="557">
        <v>28.73</v>
      </c>
      <c r="F18942" s="557">
        <v>28.82</v>
      </c>
      <c r="G18942" s="557">
        <v>0.56999999999999995</v>
      </c>
      <c r="H18942" s="558">
        <v>488.9</v>
      </c>
      <c r="I18942" s="558">
        <v>330.35</v>
      </c>
      <c r="J18942" s="558">
        <v>151.99</v>
      </c>
      <c r="K18942" s="558">
        <v>6.56</v>
      </c>
      <c r="L18942" s="43">
        <v>8.4119064005505848</v>
      </c>
      <c r="M18942" s="43">
        <v>11.498433693003829</v>
      </c>
      <c r="N18942" s="43">
        <v>5.2737682165163084</v>
      </c>
      <c r="O18942" s="43">
        <v>11.503164556962025</v>
      </c>
      <c r="P18942" s="559"/>
      <c r="Q18942" s="559"/>
      <c r="R18942" s="559">
        <v>30</v>
      </c>
    </row>
    <row r="18943" spans="1:18" ht="60">
      <c r="A18943" s="555">
        <v>1358</v>
      </c>
      <c r="B18943" s="552" t="s">
        <v>34320</v>
      </c>
      <c r="C18943" s="556" t="s">
        <v>34321</v>
      </c>
      <c r="D18943" s="557">
        <v>71.16</v>
      </c>
      <c r="E18943" s="557">
        <v>35.619999999999997</v>
      </c>
      <c r="F18943" s="557">
        <v>34.83</v>
      </c>
      <c r="G18943" s="557">
        <v>0.71</v>
      </c>
      <c r="H18943" s="558">
        <v>601.46</v>
      </c>
      <c r="I18943" s="558">
        <v>409.63</v>
      </c>
      <c r="J18943" s="558">
        <v>183.66</v>
      </c>
      <c r="K18943" s="558">
        <v>8.17</v>
      </c>
      <c r="L18943" s="43">
        <v>8.4522203485103997</v>
      </c>
      <c r="M18943" s="43">
        <v>11.5</v>
      </c>
      <c r="N18943" s="43">
        <v>5.2730404823428083</v>
      </c>
      <c r="O18943" s="43">
        <v>11.503164556962025</v>
      </c>
      <c r="P18943" s="559"/>
      <c r="Q18943" s="559"/>
      <c r="R18943" s="559">
        <v>30</v>
      </c>
    </row>
    <row r="18944" spans="1:18" ht="12.75" customHeight="1">
      <c r="A18944" s="628" t="s">
        <v>34322</v>
      </c>
      <c r="B18944" s="629"/>
      <c r="C18944" s="629"/>
      <c r="D18944" s="629"/>
      <c r="E18944" s="629"/>
      <c r="F18944" s="629"/>
      <c r="G18944" s="629"/>
      <c r="H18944" s="629"/>
      <c r="I18944" s="629"/>
      <c r="J18944" s="629"/>
      <c r="K18944" s="629"/>
      <c r="L18944" s="629"/>
      <c r="M18944" s="629"/>
      <c r="N18944" s="629"/>
      <c r="O18944" s="629"/>
      <c r="P18944" s="629"/>
      <c r="Q18944" s="629"/>
      <c r="R18944" s="629"/>
    </row>
    <row r="18945" spans="1:18" ht="24">
      <c r="A18945" s="555">
        <v>1359</v>
      </c>
      <c r="B18945" s="552" t="s">
        <v>34323</v>
      </c>
      <c r="C18945" s="556" t="s">
        <v>34324</v>
      </c>
      <c r="D18945" s="557">
        <v>272.75</v>
      </c>
      <c r="E18945" s="557">
        <v>137.88</v>
      </c>
      <c r="F18945" s="557">
        <v>132.11000000000001</v>
      </c>
      <c r="G18945" s="557">
        <v>2.76</v>
      </c>
      <c r="H18945" s="558">
        <v>2314.0500000000002</v>
      </c>
      <c r="I18945" s="558">
        <v>1585.68</v>
      </c>
      <c r="J18945" s="558">
        <v>696.63</v>
      </c>
      <c r="K18945" s="558">
        <v>31.74</v>
      </c>
      <c r="L18945" s="43">
        <v>8.4841429880843275</v>
      </c>
      <c r="M18945" s="43">
        <v>11.500435161009575</v>
      </c>
      <c r="N18945" s="43">
        <v>5.2731057452123222</v>
      </c>
      <c r="O18945" s="43">
        <v>11.5</v>
      </c>
      <c r="P18945" s="559"/>
      <c r="Q18945" s="559"/>
      <c r="R18945" s="559">
        <v>31</v>
      </c>
    </row>
    <row r="18946" spans="1:18" ht="36">
      <c r="A18946" s="555">
        <v>1360</v>
      </c>
      <c r="B18946" s="552" t="s">
        <v>34325</v>
      </c>
      <c r="C18946" s="556" t="s">
        <v>34326</v>
      </c>
      <c r="D18946" s="557">
        <v>373.68</v>
      </c>
      <c r="E18946" s="557">
        <v>183.84</v>
      </c>
      <c r="F18946" s="557">
        <v>186.16</v>
      </c>
      <c r="G18946" s="557">
        <v>3.68</v>
      </c>
      <c r="H18946" s="558">
        <v>3138.18</v>
      </c>
      <c r="I18946" s="558">
        <v>2114.2399999999998</v>
      </c>
      <c r="J18946" s="558">
        <v>981.62</v>
      </c>
      <c r="K18946" s="558">
        <v>42.32</v>
      </c>
      <c r="L18946" s="43">
        <v>8.3980411046885024</v>
      </c>
      <c r="M18946" s="43">
        <v>11.500435161009571</v>
      </c>
      <c r="N18946" s="43">
        <v>5.2729909755049418</v>
      </c>
      <c r="O18946" s="43">
        <v>11.5</v>
      </c>
      <c r="P18946" s="559"/>
      <c r="Q18946" s="559"/>
      <c r="R18946" s="559">
        <v>31</v>
      </c>
    </row>
    <row r="18947" spans="1:18" ht="36">
      <c r="A18947" s="555">
        <v>1361</v>
      </c>
      <c r="B18947" s="552" t="s">
        <v>34327</v>
      </c>
      <c r="C18947" s="556" t="s">
        <v>34328</v>
      </c>
      <c r="D18947" s="557">
        <v>676.15</v>
      </c>
      <c r="E18947" s="557">
        <v>333.21</v>
      </c>
      <c r="F18947" s="557">
        <v>336.28</v>
      </c>
      <c r="G18947" s="557">
        <v>6.66</v>
      </c>
      <c r="H18947" s="558">
        <v>5681.89</v>
      </c>
      <c r="I18947" s="558">
        <v>3832.06</v>
      </c>
      <c r="J18947" s="558">
        <v>1773.24</v>
      </c>
      <c r="K18947" s="558">
        <v>76.59</v>
      </c>
      <c r="L18947" s="43">
        <v>8.4032980847445096</v>
      </c>
      <c r="M18947" s="43">
        <v>11.500435161009575</v>
      </c>
      <c r="N18947" s="43">
        <v>5.2731057452123231</v>
      </c>
      <c r="O18947" s="43">
        <v>11.5</v>
      </c>
      <c r="P18947" s="559"/>
      <c r="Q18947" s="559"/>
      <c r="R18947" s="559">
        <v>31</v>
      </c>
    </row>
    <row r="18948" spans="1:18" ht="12.75" customHeight="1">
      <c r="A18948" s="628" t="s">
        <v>34329</v>
      </c>
      <c r="B18948" s="629"/>
      <c r="C18948" s="629"/>
      <c r="D18948" s="629"/>
      <c r="E18948" s="629"/>
      <c r="F18948" s="629"/>
      <c r="G18948" s="629"/>
      <c r="H18948" s="629"/>
      <c r="I18948" s="629"/>
      <c r="J18948" s="629"/>
      <c r="K18948" s="629"/>
      <c r="L18948" s="629"/>
      <c r="M18948" s="629"/>
      <c r="N18948" s="629"/>
      <c r="O18948" s="629"/>
      <c r="P18948" s="629"/>
      <c r="Q18948" s="629"/>
      <c r="R18948" s="629"/>
    </row>
    <row r="18949" spans="1:18" ht="24">
      <c r="A18949" s="560">
        <v>1362</v>
      </c>
      <c r="B18949" s="561" t="s">
        <v>34330</v>
      </c>
      <c r="C18949" s="562" t="s">
        <v>34331</v>
      </c>
      <c r="D18949" s="563">
        <v>1411.49</v>
      </c>
      <c r="E18949" s="563">
        <v>700.89</v>
      </c>
      <c r="F18949" s="563">
        <v>696.58</v>
      </c>
      <c r="G18949" s="563">
        <v>14.02</v>
      </c>
      <c r="H18949" s="564">
        <v>11894.91</v>
      </c>
      <c r="I18949" s="564">
        <v>8060.54</v>
      </c>
      <c r="J18949" s="564">
        <v>3673.14</v>
      </c>
      <c r="K18949" s="564">
        <v>161.22999999999999</v>
      </c>
      <c r="L18949" s="611">
        <v>8.4272010428695907</v>
      </c>
      <c r="M18949" s="611">
        <v>11.500435161009573</v>
      </c>
      <c r="N18949" s="611">
        <v>5.2731057452123222</v>
      </c>
      <c r="O18949" s="611">
        <v>11.5</v>
      </c>
      <c r="P18949" s="565"/>
      <c r="Q18949" s="565"/>
      <c r="R18949" s="565">
        <v>32</v>
      </c>
    </row>
    <row r="18950" spans="1:18" ht="12.75" customHeight="1">
      <c r="A18950" s="630" t="s">
        <v>34332</v>
      </c>
      <c r="B18950" s="631"/>
      <c r="C18950" s="631"/>
      <c r="D18950" s="631"/>
      <c r="E18950" s="631"/>
      <c r="F18950" s="631"/>
      <c r="G18950" s="631"/>
      <c r="H18950" s="631"/>
      <c r="I18950" s="631"/>
      <c r="J18950" s="631"/>
      <c r="K18950" s="631"/>
      <c r="L18950" s="631"/>
      <c r="M18950" s="631"/>
      <c r="N18950" s="631"/>
      <c r="O18950" s="631"/>
      <c r="P18950" s="631"/>
      <c r="Q18950" s="631"/>
      <c r="R18950" s="631"/>
    </row>
    <row r="18951" spans="1:18" ht="12.75" customHeight="1">
      <c r="A18951" s="628" t="s">
        <v>34333</v>
      </c>
      <c r="B18951" s="629"/>
      <c r="C18951" s="629"/>
      <c r="D18951" s="629"/>
      <c r="E18951" s="629"/>
      <c r="F18951" s="629"/>
      <c r="G18951" s="629"/>
      <c r="H18951" s="629"/>
      <c r="I18951" s="629"/>
      <c r="J18951" s="629"/>
      <c r="K18951" s="629"/>
      <c r="L18951" s="629"/>
      <c r="M18951" s="629"/>
      <c r="N18951" s="629"/>
      <c r="O18951" s="629"/>
      <c r="P18951" s="629"/>
      <c r="Q18951" s="629"/>
      <c r="R18951" s="629"/>
    </row>
    <row r="18952" spans="1:18" ht="24">
      <c r="A18952" s="555">
        <v>1363</v>
      </c>
      <c r="B18952" s="552" t="s">
        <v>34334</v>
      </c>
      <c r="C18952" s="556" t="s">
        <v>34335</v>
      </c>
      <c r="D18952" s="557">
        <v>1.08</v>
      </c>
      <c r="E18952" s="557">
        <v>1.06</v>
      </c>
      <c r="F18952" s="557"/>
      <c r="G18952" s="557">
        <v>0.02</v>
      </c>
      <c r="H18952" s="558">
        <v>12.42</v>
      </c>
      <c r="I18952" s="558">
        <v>12.19</v>
      </c>
      <c r="J18952" s="558"/>
      <c r="K18952" s="558">
        <v>0.23</v>
      </c>
      <c r="L18952" s="43">
        <v>11.503164556962025</v>
      </c>
      <c r="M18952" s="43">
        <v>11.499999999999998</v>
      </c>
      <c r="N18952" s="43" t="s">
        <v>1690</v>
      </c>
      <c r="O18952" s="43">
        <v>11.503164556962025</v>
      </c>
      <c r="P18952" s="559"/>
      <c r="Q18952" s="559"/>
      <c r="R18952" s="559">
        <v>1</v>
      </c>
    </row>
    <row r="18953" spans="1:18" ht="24">
      <c r="A18953" s="555">
        <v>1364</v>
      </c>
      <c r="B18953" s="552" t="s">
        <v>34336</v>
      </c>
      <c r="C18953" s="556" t="s">
        <v>34337</v>
      </c>
      <c r="D18953" s="557">
        <v>1.36</v>
      </c>
      <c r="E18953" s="557">
        <v>1.33</v>
      </c>
      <c r="F18953" s="557"/>
      <c r="G18953" s="557">
        <v>0.03</v>
      </c>
      <c r="H18953" s="558">
        <v>15.59</v>
      </c>
      <c r="I18953" s="558">
        <v>15.24</v>
      </c>
      <c r="J18953" s="558"/>
      <c r="K18953" s="558">
        <v>0.35</v>
      </c>
      <c r="L18953" s="43">
        <v>11.503164556962025</v>
      </c>
      <c r="M18953" s="43">
        <v>11.498253783469149</v>
      </c>
      <c r="N18953" s="43" t="s">
        <v>1690</v>
      </c>
      <c r="O18953" s="43">
        <v>11.503164556962025</v>
      </c>
      <c r="P18953" s="559"/>
      <c r="Q18953" s="559"/>
      <c r="R18953" s="559">
        <v>1</v>
      </c>
    </row>
    <row r="18954" spans="1:18" ht="24">
      <c r="A18954" s="555">
        <v>1365</v>
      </c>
      <c r="B18954" s="552" t="s">
        <v>34338</v>
      </c>
      <c r="C18954" s="556" t="s">
        <v>34339</v>
      </c>
      <c r="D18954" s="557">
        <v>1.62</v>
      </c>
      <c r="E18954" s="557">
        <v>1.59</v>
      </c>
      <c r="F18954" s="557"/>
      <c r="G18954" s="557">
        <v>0.03</v>
      </c>
      <c r="H18954" s="558">
        <v>18.64</v>
      </c>
      <c r="I18954" s="558">
        <v>18.29</v>
      </c>
      <c r="J18954" s="558"/>
      <c r="K18954" s="558">
        <v>0.35</v>
      </c>
      <c r="L18954" s="43">
        <v>11.503164556962025</v>
      </c>
      <c r="M18954" s="43">
        <v>11.503144654088048</v>
      </c>
      <c r="N18954" s="43" t="s">
        <v>1690</v>
      </c>
      <c r="O18954" s="43">
        <v>11.503164556962025</v>
      </c>
      <c r="P18954" s="559"/>
      <c r="Q18954" s="559"/>
      <c r="R18954" s="559">
        <v>1</v>
      </c>
    </row>
    <row r="18955" spans="1:18" ht="24">
      <c r="A18955" s="555">
        <v>1366</v>
      </c>
      <c r="B18955" s="552" t="s">
        <v>34340</v>
      </c>
      <c r="C18955" s="556" t="s">
        <v>34341</v>
      </c>
      <c r="D18955" s="557">
        <v>2.16</v>
      </c>
      <c r="E18955" s="557">
        <v>2.12</v>
      </c>
      <c r="F18955" s="557"/>
      <c r="G18955" s="557">
        <v>0.04</v>
      </c>
      <c r="H18955" s="558">
        <v>24.84</v>
      </c>
      <c r="I18955" s="558">
        <v>24.38</v>
      </c>
      <c r="J18955" s="558"/>
      <c r="K18955" s="558">
        <v>0.46</v>
      </c>
      <c r="L18955" s="43">
        <v>11.503164556962025</v>
      </c>
      <c r="M18955" s="43">
        <v>11.499999999999998</v>
      </c>
      <c r="N18955" s="43" t="s">
        <v>1690</v>
      </c>
      <c r="O18955" s="43">
        <v>11.503164556962025</v>
      </c>
      <c r="P18955" s="559"/>
      <c r="Q18955" s="559"/>
      <c r="R18955" s="559">
        <v>1</v>
      </c>
    </row>
    <row r="18956" spans="1:18" ht="24">
      <c r="A18956" s="555">
        <v>1367</v>
      </c>
      <c r="B18956" s="552" t="s">
        <v>34342</v>
      </c>
      <c r="C18956" s="556" t="s">
        <v>34343</v>
      </c>
      <c r="D18956" s="557">
        <v>2.7</v>
      </c>
      <c r="E18956" s="557">
        <v>2.65</v>
      </c>
      <c r="F18956" s="557"/>
      <c r="G18956" s="557">
        <v>0.05</v>
      </c>
      <c r="H18956" s="558">
        <v>31.06</v>
      </c>
      <c r="I18956" s="558">
        <v>30.48</v>
      </c>
      <c r="J18956" s="558"/>
      <c r="K18956" s="558">
        <v>0.57999999999999996</v>
      </c>
      <c r="L18956" s="43">
        <v>11.503164556962025</v>
      </c>
      <c r="M18956" s="43">
        <v>11.501886792452831</v>
      </c>
      <c r="N18956" s="43" t="s">
        <v>1690</v>
      </c>
      <c r="O18956" s="43">
        <v>11.503164556962025</v>
      </c>
      <c r="P18956" s="559"/>
      <c r="Q18956" s="559"/>
      <c r="R18956" s="559">
        <v>1</v>
      </c>
    </row>
    <row r="18957" spans="1:18" ht="24">
      <c r="A18957" s="555">
        <v>1368</v>
      </c>
      <c r="B18957" s="552" t="s">
        <v>34344</v>
      </c>
      <c r="C18957" s="556" t="s">
        <v>34345</v>
      </c>
      <c r="D18957" s="557">
        <v>3.38</v>
      </c>
      <c r="E18957" s="557">
        <v>3.31</v>
      </c>
      <c r="F18957" s="557"/>
      <c r="G18957" s="557">
        <v>7.0000000000000007E-2</v>
      </c>
      <c r="H18957" s="558">
        <v>38.909999999999997</v>
      </c>
      <c r="I18957" s="558">
        <v>38.1</v>
      </c>
      <c r="J18957" s="558"/>
      <c r="K18957" s="558">
        <v>0.81</v>
      </c>
      <c r="L18957" s="43">
        <v>11.503164556962025</v>
      </c>
      <c r="M18957" s="43">
        <v>11.498253783469149</v>
      </c>
      <c r="N18957" s="43" t="s">
        <v>1690</v>
      </c>
      <c r="O18957" s="43">
        <v>11.503164556962025</v>
      </c>
      <c r="P18957" s="559"/>
      <c r="Q18957" s="559"/>
      <c r="R18957" s="559">
        <v>1</v>
      </c>
    </row>
    <row r="18958" spans="1:18" ht="24">
      <c r="A18958" s="555">
        <v>1369</v>
      </c>
      <c r="B18958" s="552" t="s">
        <v>34346</v>
      </c>
      <c r="C18958" s="556" t="s">
        <v>34347</v>
      </c>
      <c r="D18958" s="557">
        <v>3.78</v>
      </c>
      <c r="E18958" s="557">
        <v>3.71</v>
      </c>
      <c r="F18958" s="557"/>
      <c r="G18958" s="557">
        <v>7.0000000000000007E-2</v>
      </c>
      <c r="H18958" s="558">
        <v>43.48</v>
      </c>
      <c r="I18958" s="558">
        <v>42.67</v>
      </c>
      <c r="J18958" s="558"/>
      <c r="K18958" s="558">
        <v>0.81</v>
      </c>
      <c r="L18958" s="43">
        <v>11.503164556962025</v>
      </c>
      <c r="M18958" s="43">
        <v>11.50134770889488</v>
      </c>
      <c r="N18958" s="43" t="s">
        <v>1690</v>
      </c>
      <c r="O18958" s="43">
        <v>11.503164556962025</v>
      </c>
      <c r="P18958" s="559"/>
      <c r="Q18958" s="559"/>
      <c r="R18958" s="559">
        <v>1</v>
      </c>
    </row>
    <row r="18959" spans="1:18" ht="24">
      <c r="A18959" s="555">
        <v>1370</v>
      </c>
      <c r="B18959" s="552" t="s">
        <v>34348</v>
      </c>
      <c r="C18959" s="556" t="s">
        <v>34349</v>
      </c>
      <c r="D18959" s="557">
        <v>4.32</v>
      </c>
      <c r="E18959" s="557">
        <v>4.24</v>
      </c>
      <c r="F18959" s="557"/>
      <c r="G18959" s="557">
        <v>0.08</v>
      </c>
      <c r="H18959" s="558">
        <v>49.68</v>
      </c>
      <c r="I18959" s="558">
        <v>48.76</v>
      </c>
      <c r="J18959" s="558"/>
      <c r="K18959" s="558">
        <v>0.92</v>
      </c>
      <c r="L18959" s="43">
        <v>11.503164556962025</v>
      </c>
      <c r="M18959" s="43">
        <v>11.499999999999998</v>
      </c>
      <c r="N18959" s="43" t="s">
        <v>1690</v>
      </c>
      <c r="O18959" s="43">
        <v>11.503164556962025</v>
      </c>
      <c r="P18959" s="559"/>
      <c r="Q18959" s="559"/>
      <c r="R18959" s="559">
        <v>1</v>
      </c>
    </row>
    <row r="18960" spans="1:18" ht="24">
      <c r="A18960" s="555">
        <v>1371</v>
      </c>
      <c r="B18960" s="552" t="s">
        <v>34350</v>
      </c>
      <c r="C18960" s="556" t="s">
        <v>34351</v>
      </c>
      <c r="D18960" s="557">
        <v>5</v>
      </c>
      <c r="E18960" s="557">
        <v>4.9000000000000004</v>
      </c>
      <c r="F18960" s="557"/>
      <c r="G18960" s="557">
        <v>0.1</v>
      </c>
      <c r="H18960" s="558">
        <v>57.53</v>
      </c>
      <c r="I18960" s="558">
        <v>56.38</v>
      </c>
      <c r="J18960" s="558"/>
      <c r="K18960" s="558">
        <v>1.1499999999999999</v>
      </c>
      <c r="L18960" s="43">
        <v>11.503164556962025</v>
      </c>
      <c r="M18960" s="43">
        <v>11.498253783469149</v>
      </c>
      <c r="N18960" s="43" t="s">
        <v>1690</v>
      </c>
      <c r="O18960" s="43">
        <v>11.503164556962025</v>
      </c>
      <c r="P18960" s="559"/>
      <c r="Q18960" s="559"/>
      <c r="R18960" s="559">
        <v>1</v>
      </c>
    </row>
    <row r="18961" spans="1:18" ht="24">
      <c r="A18961" s="555">
        <v>1372</v>
      </c>
      <c r="B18961" s="552" t="s">
        <v>34352</v>
      </c>
      <c r="C18961" s="556" t="s">
        <v>34353</v>
      </c>
      <c r="D18961" s="557">
        <v>5.68</v>
      </c>
      <c r="E18961" s="557">
        <v>5.57</v>
      </c>
      <c r="F18961" s="557"/>
      <c r="G18961" s="557">
        <v>0.11</v>
      </c>
      <c r="H18961" s="558">
        <v>65.27</v>
      </c>
      <c r="I18961" s="558">
        <v>64</v>
      </c>
      <c r="J18961" s="558"/>
      <c r="K18961" s="558">
        <v>1.27</v>
      </c>
      <c r="L18961" s="43">
        <v>11.503164556962025</v>
      </c>
      <c r="M18961" s="43">
        <v>11.498253783469149</v>
      </c>
      <c r="N18961" s="43" t="s">
        <v>1690</v>
      </c>
      <c r="O18961" s="43">
        <v>11.503164556962025</v>
      </c>
      <c r="P18961" s="559"/>
      <c r="Q18961" s="559"/>
      <c r="R18961" s="559">
        <v>1</v>
      </c>
    </row>
    <row r="18962" spans="1:18" ht="24">
      <c r="A18962" s="555">
        <v>1373</v>
      </c>
      <c r="B18962" s="552" t="s">
        <v>34354</v>
      </c>
      <c r="C18962" s="556" t="s">
        <v>34355</v>
      </c>
      <c r="D18962" s="557">
        <v>6.35</v>
      </c>
      <c r="E18962" s="557">
        <v>6.23</v>
      </c>
      <c r="F18962" s="557"/>
      <c r="G18962" s="557">
        <v>0.12</v>
      </c>
      <c r="H18962" s="558">
        <v>73</v>
      </c>
      <c r="I18962" s="558">
        <v>71.62</v>
      </c>
      <c r="J18962" s="558"/>
      <c r="K18962" s="558">
        <v>1.38</v>
      </c>
      <c r="L18962" s="43">
        <v>11.503164556962025</v>
      </c>
      <c r="M18962" s="43">
        <v>11.495987158908507</v>
      </c>
      <c r="N18962" s="43" t="s">
        <v>1690</v>
      </c>
      <c r="O18962" s="43">
        <v>11.503164556962025</v>
      </c>
      <c r="P18962" s="559"/>
      <c r="Q18962" s="559"/>
      <c r="R18962" s="559">
        <v>1</v>
      </c>
    </row>
    <row r="18963" spans="1:18" ht="24">
      <c r="A18963" s="555">
        <v>1374</v>
      </c>
      <c r="B18963" s="552" t="s">
        <v>34356</v>
      </c>
      <c r="C18963" s="556" t="s">
        <v>34357</v>
      </c>
      <c r="D18963" s="557">
        <v>7.16</v>
      </c>
      <c r="E18963" s="557">
        <v>7.02</v>
      </c>
      <c r="F18963" s="557"/>
      <c r="G18963" s="557">
        <v>0.14000000000000001</v>
      </c>
      <c r="H18963" s="558">
        <v>82.37</v>
      </c>
      <c r="I18963" s="558">
        <v>80.760000000000005</v>
      </c>
      <c r="J18963" s="558"/>
      <c r="K18963" s="558">
        <v>1.61</v>
      </c>
      <c r="L18963" s="43">
        <v>11.503164556962025</v>
      </c>
      <c r="M18963" s="43">
        <v>11.504273504273506</v>
      </c>
      <c r="N18963" s="43" t="s">
        <v>1690</v>
      </c>
      <c r="O18963" s="43">
        <v>11.503164556962025</v>
      </c>
      <c r="P18963" s="559"/>
      <c r="Q18963" s="559"/>
      <c r="R18963" s="559">
        <v>1</v>
      </c>
    </row>
    <row r="18964" spans="1:18" ht="24">
      <c r="A18964" s="555">
        <v>1375</v>
      </c>
      <c r="B18964" s="552" t="s">
        <v>34358</v>
      </c>
      <c r="C18964" s="556" t="s">
        <v>34359</v>
      </c>
      <c r="D18964" s="557">
        <v>7.84</v>
      </c>
      <c r="E18964" s="557">
        <v>7.69</v>
      </c>
      <c r="F18964" s="557"/>
      <c r="G18964" s="557">
        <v>0.15</v>
      </c>
      <c r="H18964" s="558">
        <v>90.11</v>
      </c>
      <c r="I18964" s="558">
        <v>88.38</v>
      </c>
      <c r="J18964" s="558"/>
      <c r="K18964" s="558">
        <v>1.73</v>
      </c>
      <c r="L18964" s="43">
        <v>11.503164556962025</v>
      </c>
      <c r="M18964" s="43">
        <v>11.498253783469149</v>
      </c>
      <c r="N18964" s="43" t="s">
        <v>1690</v>
      </c>
      <c r="O18964" s="43">
        <v>11.503164556962025</v>
      </c>
      <c r="P18964" s="559"/>
      <c r="Q18964" s="559"/>
      <c r="R18964" s="559">
        <v>1</v>
      </c>
    </row>
    <row r="18965" spans="1:18" ht="24">
      <c r="A18965" s="555">
        <v>1376</v>
      </c>
      <c r="B18965" s="552" t="s">
        <v>34360</v>
      </c>
      <c r="C18965" s="556" t="s">
        <v>34361</v>
      </c>
      <c r="D18965" s="557">
        <v>9.4700000000000006</v>
      </c>
      <c r="E18965" s="557">
        <v>9.2799999999999994</v>
      </c>
      <c r="F18965" s="557"/>
      <c r="G18965" s="557">
        <v>0.19</v>
      </c>
      <c r="H18965" s="558">
        <v>108.86</v>
      </c>
      <c r="I18965" s="558">
        <v>106.67</v>
      </c>
      <c r="J18965" s="558"/>
      <c r="K18965" s="558">
        <v>2.19</v>
      </c>
      <c r="L18965" s="43">
        <v>11.503164556962025</v>
      </c>
      <c r="M18965" s="43">
        <v>11.498253783469149</v>
      </c>
      <c r="N18965" s="43" t="s">
        <v>1690</v>
      </c>
      <c r="O18965" s="43">
        <v>11.503164556962025</v>
      </c>
      <c r="P18965" s="559"/>
      <c r="Q18965" s="559"/>
      <c r="R18965" s="559">
        <v>1</v>
      </c>
    </row>
    <row r="18966" spans="1:18" ht="24">
      <c r="A18966" s="555">
        <v>1377</v>
      </c>
      <c r="B18966" s="552" t="s">
        <v>34362</v>
      </c>
      <c r="C18966" s="556" t="s">
        <v>34363</v>
      </c>
      <c r="D18966" s="557">
        <v>10.81</v>
      </c>
      <c r="E18966" s="557">
        <v>10.6</v>
      </c>
      <c r="F18966" s="557"/>
      <c r="G18966" s="557">
        <v>0.21</v>
      </c>
      <c r="H18966" s="558">
        <v>124.32</v>
      </c>
      <c r="I18966" s="558">
        <v>121.9</v>
      </c>
      <c r="J18966" s="558"/>
      <c r="K18966" s="558">
        <v>2.42</v>
      </c>
      <c r="L18966" s="43">
        <v>11.503164556962025</v>
      </c>
      <c r="M18966" s="43">
        <v>11.500000000000002</v>
      </c>
      <c r="N18966" s="43" t="s">
        <v>1690</v>
      </c>
      <c r="O18966" s="43">
        <v>11.503164556962025</v>
      </c>
      <c r="P18966" s="559"/>
      <c r="Q18966" s="559"/>
      <c r="R18966" s="559">
        <v>1</v>
      </c>
    </row>
    <row r="18967" spans="1:18" ht="24">
      <c r="A18967" s="555">
        <v>1378</v>
      </c>
      <c r="B18967" s="552" t="s">
        <v>34364</v>
      </c>
      <c r="C18967" s="556" t="s">
        <v>34365</v>
      </c>
      <c r="D18967" s="557">
        <v>12.17</v>
      </c>
      <c r="E18967" s="557">
        <v>11.93</v>
      </c>
      <c r="F18967" s="557"/>
      <c r="G18967" s="557">
        <v>0.24</v>
      </c>
      <c r="H18967" s="558">
        <v>139.9</v>
      </c>
      <c r="I18967" s="558">
        <v>137.13999999999999</v>
      </c>
      <c r="J18967" s="558"/>
      <c r="K18967" s="558">
        <v>2.76</v>
      </c>
      <c r="L18967" s="43">
        <v>11.503164556962025</v>
      </c>
      <c r="M18967" s="43">
        <v>11.495389773679799</v>
      </c>
      <c r="N18967" s="43" t="s">
        <v>1690</v>
      </c>
      <c r="O18967" s="43">
        <v>11.503164556962025</v>
      </c>
      <c r="P18967" s="559"/>
      <c r="Q18967" s="559"/>
      <c r="R18967" s="559">
        <v>1</v>
      </c>
    </row>
    <row r="18968" spans="1:18" ht="24">
      <c r="A18968" s="555">
        <v>1379</v>
      </c>
      <c r="B18968" s="552" t="s">
        <v>34366</v>
      </c>
      <c r="C18968" s="556" t="s">
        <v>34367</v>
      </c>
      <c r="D18968" s="557">
        <v>12.84</v>
      </c>
      <c r="E18968" s="557">
        <v>12.59</v>
      </c>
      <c r="F18968" s="557"/>
      <c r="G18968" s="557">
        <v>0.25</v>
      </c>
      <c r="H18968" s="558">
        <v>147.63999999999999</v>
      </c>
      <c r="I18968" s="558">
        <v>144.76</v>
      </c>
      <c r="J18968" s="558"/>
      <c r="K18968" s="558">
        <v>2.88</v>
      </c>
      <c r="L18968" s="43">
        <v>11.503164556962025</v>
      </c>
      <c r="M18968" s="43">
        <v>11.498014297061159</v>
      </c>
      <c r="N18968" s="43" t="s">
        <v>1690</v>
      </c>
      <c r="O18968" s="43">
        <v>11.503164556962025</v>
      </c>
      <c r="P18968" s="559"/>
      <c r="Q18968" s="559"/>
      <c r="R18968" s="559">
        <v>1</v>
      </c>
    </row>
    <row r="18969" spans="1:18" ht="24">
      <c r="A18969" s="555">
        <v>1380</v>
      </c>
      <c r="B18969" s="552" t="s">
        <v>34368</v>
      </c>
      <c r="C18969" s="556" t="s">
        <v>34369</v>
      </c>
      <c r="D18969" s="557">
        <v>14.87</v>
      </c>
      <c r="E18969" s="557">
        <v>14.58</v>
      </c>
      <c r="F18969" s="557"/>
      <c r="G18969" s="557">
        <v>0.28999999999999998</v>
      </c>
      <c r="H18969" s="558">
        <v>170.96</v>
      </c>
      <c r="I18969" s="558">
        <v>167.62</v>
      </c>
      <c r="J18969" s="558"/>
      <c r="K18969" s="558">
        <v>3.34</v>
      </c>
      <c r="L18969" s="43">
        <v>11.503164556962025</v>
      </c>
      <c r="M18969" s="43">
        <v>11.496570644718792</v>
      </c>
      <c r="N18969" s="43" t="s">
        <v>1690</v>
      </c>
      <c r="O18969" s="43">
        <v>11.503164556962025</v>
      </c>
      <c r="P18969" s="559"/>
      <c r="Q18969" s="559"/>
      <c r="R18969" s="559">
        <v>1</v>
      </c>
    </row>
    <row r="18970" spans="1:18" ht="24">
      <c r="A18970" s="555">
        <v>1381</v>
      </c>
      <c r="B18970" s="552" t="s">
        <v>34370</v>
      </c>
      <c r="C18970" s="556" t="s">
        <v>34371</v>
      </c>
      <c r="D18970" s="557">
        <v>16.22</v>
      </c>
      <c r="E18970" s="557">
        <v>15.9</v>
      </c>
      <c r="F18970" s="557"/>
      <c r="G18970" s="557">
        <v>0.32</v>
      </c>
      <c r="H18970" s="558">
        <v>186.54</v>
      </c>
      <c r="I18970" s="558">
        <v>182.86</v>
      </c>
      <c r="J18970" s="558"/>
      <c r="K18970" s="558">
        <v>3.68</v>
      </c>
      <c r="L18970" s="43">
        <v>11.503164556962025</v>
      </c>
      <c r="M18970" s="43">
        <v>11.50062893081761</v>
      </c>
      <c r="N18970" s="43" t="s">
        <v>1690</v>
      </c>
      <c r="O18970" s="43">
        <v>11.503164556962025</v>
      </c>
      <c r="P18970" s="559"/>
      <c r="Q18970" s="559"/>
      <c r="R18970" s="559">
        <v>1</v>
      </c>
    </row>
    <row r="18971" spans="1:18" ht="24">
      <c r="A18971" s="555">
        <v>1382</v>
      </c>
      <c r="B18971" s="552" t="s">
        <v>34372</v>
      </c>
      <c r="C18971" s="556" t="s">
        <v>34373</v>
      </c>
      <c r="D18971" s="557">
        <v>17.57</v>
      </c>
      <c r="E18971" s="557">
        <v>17.23</v>
      </c>
      <c r="F18971" s="557"/>
      <c r="G18971" s="557">
        <v>0.34</v>
      </c>
      <c r="H18971" s="558">
        <v>202</v>
      </c>
      <c r="I18971" s="558">
        <v>198.09</v>
      </c>
      <c r="J18971" s="558"/>
      <c r="K18971" s="558">
        <v>3.91</v>
      </c>
      <c r="L18971" s="43">
        <v>11.503164556962025</v>
      </c>
      <c r="M18971" s="43">
        <v>11.496807893209517</v>
      </c>
      <c r="N18971" s="43" t="s">
        <v>1690</v>
      </c>
      <c r="O18971" s="43">
        <v>11.503164556962025</v>
      </c>
      <c r="P18971" s="559"/>
      <c r="Q18971" s="559"/>
      <c r="R18971" s="559">
        <v>1</v>
      </c>
    </row>
    <row r="18972" spans="1:18" ht="36">
      <c r="A18972" s="555">
        <v>1383</v>
      </c>
      <c r="B18972" s="552" t="s">
        <v>34374</v>
      </c>
      <c r="C18972" s="556" t="s">
        <v>34375</v>
      </c>
      <c r="D18972" s="557">
        <v>2.0299999999999998</v>
      </c>
      <c r="E18972" s="557">
        <v>1.99</v>
      </c>
      <c r="F18972" s="557"/>
      <c r="G18972" s="557">
        <v>0.04</v>
      </c>
      <c r="H18972" s="558">
        <v>23.32</v>
      </c>
      <c r="I18972" s="558">
        <v>22.86</v>
      </c>
      <c r="J18972" s="558"/>
      <c r="K18972" s="558">
        <v>0.46</v>
      </c>
      <c r="L18972" s="43">
        <v>11.503164556962025</v>
      </c>
      <c r="M18972" s="43">
        <v>11.498253783469149</v>
      </c>
      <c r="N18972" s="43" t="s">
        <v>1690</v>
      </c>
      <c r="O18972" s="43">
        <v>11.503164556962025</v>
      </c>
      <c r="P18972" s="559"/>
      <c r="Q18972" s="559"/>
      <c r="R18972" s="559">
        <v>1</v>
      </c>
    </row>
    <row r="18973" spans="1:18" ht="36">
      <c r="A18973" s="555">
        <v>1384</v>
      </c>
      <c r="B18973" s="552" t="s">
        <v>34376</v>
      </c>
      <c r="C18973" s="556" t="s">
        <v>34377</v>
      </c>
      <c r="D18973" s="557">
        <v>3.24</v>
      </c>
      <c r="E18973" s="557">
        <v>3.18</v>
      </c>
      <c r="F18973" s="557"/>
      <c r="G18973" s="557">
        <v>0.06</v>
      </c>
      <c r="H18973" s="558">
        <v>37.26</v>
      </c>
      <c r="I18973" s="558">
        <v>36.57</v>
      </c>
      <c r="J18973" s="558"/>
      <c r="K18973" s="558">
        <v>0.69</v>
      </c>
      <c r="L18973" s="43">
        <v>11.503164556962025</v>
      </c>
      <c r="M18973" s="43">
        <v>11.5</v>
      </c>
      <c r="N18973" s="43" t="s">
        <v>1690</v>
      </c>
      <c r="O18973" s="43">
        <v>11.503164556962025</v>
      </c>
      <c r="P18973" s="559"/>
      <c r="Q18973" s="559"/>
      <c r="R18973" s="559">
        <v>1</v>
      </c>
    </row>
    <row r="18974" spans="1:18" ht="36">
      <c r="A18974" s="555">
        <v>1385</v>
      </c>
      <c r="B18974" s="552" t="s">
        <v>34378</v>
      </c>
      <c r="C18974" s="556" t="s">
        <v>34379</v>
      </c>
      <c r="D18974" s="557">
        <v>1.36</v>
      </c>
      <c r="E18974" s="557">
        <v>1.33</v>
      </c>
      <c r="F18974" s="557"/>
      <c r="G18974" s="557">
        <v>0.03</v>
      </c>
      <c r="H18974" s="558">
        <v>15.59</v>
      </c>
      <c r="I18974" s="558">
        <v>15.24</v>
      </c>
      <c r="J18974" s="558"/>
      <c r="K18974" s="558">
        <v>0.35</v>
      </c>
      <c r="L18974" s="43">
        <v>11.503164556962025</v>
      </c>
      <c r="M18974" s="43">
        <v>11.498253783469149</v>
      </c>
      <c r="N18974" s="43" t="s">
        <v>1690</v>
      </c>
      <c r="O18974" s="43">
        <v>11.503164556962025</v>
      </c>
      <c r="P18974" s="559"/>
      <c r="Q18974" s="559"/>
      <c r="R18974" s="559">
        <v>1</v>
      </c>
    </row>
    <row r="18975" spans="1:18" ht="12.75" customHeight="1">
      <c r="A18975" s="628" t="s">
        <v>34380</v>
      </c>
      <c r="B18975" s="629"/>
      <c r="C18975" s="629"/>
      <c r="D18975" s="629"/>
      <c r="E18975" s="629"/>
      <c r="F18975" s="629"/>
      <c r="G18975" s="629"/>
      <c r="H18975" s="629"/>
      <c r="I18975" s="629"/>
      <c r="J18975" s="629"/>
      <c r="K18975" s="629"/>
      <c r="L18975" s="629"/>
      <c r="M18975" s="629"/>
      <c r="N18975" s="629"/>
      <c r="O18975" s="629"/>
      <c r="P18975" s="629"/>
      <c r="Q18975" s="629"/>
      <c r="R18975" s="629"/>
    </row>
    <row r="18976" spans="1:18" ht="24">
      <c r="A18976" s="555">
        <v>1386</v>
      </c>
      <c r="B18976" s="552" t="s">
        <v>34381</v>
      </c>
      <c r="C18976" s="556" t="s">
        <v>34382</v>
      </c>
      <c r="D18976" s="557">
        <v>29.54</v>
      </c>
      <c r="E18976" s="557">
        <v>23.7</v>
      </c>
      <c r="F18976" s="557">
        <v>5.37</v>
      </c>
      <c r="G18976" s="557">
        <v>0.47</v>
      </c>
      <c r="H18976" s="558">
        <v>304.94</v>
      </c>
      <c r="I18976" s="558">
        <v>272.56</v>
      </c>
      <c r="J18976" s="558">
        <v>26.97</v>
      </c>
      <c r="K18976" s="558">
        <v>5.41</v>
      </c>
      <c r="L18976" s="43">
        <v>10.322951929587001</v>
      </c>
      <c r="M18976" s="43">
        <v>11.50042194092827</v>
      </c>
      <c r="N18976" s="43">
        <v>5.0223463687150831</v>
      </c>
      <c r="O18976" s="43">
        <v>11.503164556962025</v>
      </c>
      <c r="P18976" s="559"/>
      <c r="Q18976" s="559"/>
      <c r="R18976" s="559">
        <v>2</v>
      </c>
    </row>
    <row r="18977" spans="1:18" ht="24">
      <c r="A18977" s="555">
        <v>1387</v>
      </c>
      <c r="B18977" s="552" t="s">
        <v>34383</v>
      </c>
      <c r="C18977" s="556" t="s">
        <v>34384</v>
      </c>
      <c r="D18977" s="557">
        <v>32.520000000000003</v>
      </c>
      <c r="E18977" s="557">
        <v>26.07</v>
      </c>
      <c r="F18977" s="557">
        <v>5.93</v>
      </c>
      <c r="G18977" s="557">
        <v>0.52</v>
      </c>
      <c r="H18977" s="558">
        <v>335.61</v>
      </c>
      <c r="I18977" s="558">
        <v>299.82</v>
      </c>
      <c r="J18977" s="558">
        <v>29.81</v>
      </c>
      <c r="K18977" s="558">
        <v>5.98</v>
      </c>
      <c r="L18977" s="43">
        <v>10.32011070110701</v>
      </c>
      <c r="M18977" s="43">
        <v>11.500575373993096</v>
      </c>
      <c r="N18977" s="43">
        <v>5.0269814502529515</v>
      </c>
      <c r="O18977" s="43">
        <v>11.5</v>
      </c>
      <c r="P18977" s="559"/>
      <c r="Q18977" s="559"/>
      <c r="R18977" s="559">
        <v>2</v>
      </c>
    </row>
    <row r="18978" spans="1:18" ht="24">
      <c r="A18978" s="555">
        <v>1388</v>
      </c>
      <c r="B18978" s="552" t="s">
        <v>34385</v>
      </c>
      <c r="C18978" s="556" t="s">
        <v>34386</v>
      </c>
      <c r="D18978" s="557">
        <v>41.47</v>
      </c>
      <c r="E18978" s="557">
        <v>33.18</v>
      </c>
      <c r="F18978" s="557">
        <v>7.63</v>
      </c>
      <c r="G18978" s="557">
        <v>0.66</v>
      </c>
      <c r="H18978" s="558">
        <v>427.5</v>
      </c>
      <c r="I18978" s="558">
        <v>381.58</v>
      </c>
      <c r="J18978" s="558">
        <v>38.33</v>
      </c>
      <c r="K18978" s="558">
        <v>7.59</v>
      </c>
      <c r="L18978" s="43">
        <v>10.308656860380999</v>
      </c>
      <c r="M18978" s="43">
        <v>11.500301386377336</v>
      </c>
      <c r="N18978" s="43">
        <v>5.0235910878112708</v>
      </c>
      <c r="O18978" s="43">
        <v>11.5</v>
      </c>
      <c r="P18978" s="559"/>
      <c r="Q18978" s="559"/>
      <c r="R18978" s="559">
        <v>2</v>
      </c>
    </row>
    <row r="18979" spans="1:18" ht="24">
      <c r="A18979" s="555">
        <v>1389</v>
      </c>
      <c r="B18979" s="552" t="s">
        <v>34387</v>
      </c>
      <c r="C18979" s="556" t="s">
        <v>34388</v>
      </c>
      <c r="D18979" s="557">
        <v>47.16</v>
      </c>
      <c r="E18979" s="557">
        <v>37.92</v>
      </c>
      <c r="F18979" s="557">
        <v>8.48</v>
      </c>
      <c r="G18979" s="557">
        <v>0.76</v>
      </c>
      <c r="H18979" s="558">
        <v>487.43</v>
      </c>
      <c r="I18979" s="558">
        <v>436.1</v>
      </c>
      <c r="J18979" s="558">
        <v>42.59</v>
      </c>
      <c r="K18979" s="558">
        <v>8.74</v>
      </c>
      <c r="L18979" s="43">
        <v>10.335665818490247</v>
      </c>
      <c r="M18979" s="43">
        <v>11.500527426160337</v>
      </c>
      <c r="N18979" s="43">
        <v>5.022405660377359</v>
      </c>
      <c r="O18979" s="43">
        <v>11.5</v>
      </c>
      <c r="P18979" s="559"/>
      <c r="Q18979" s="559"/>
      <c r="R18979" s="559">
        <v>2</v>
      </c>
    </row>
    <row r="18980" spans="1:18" ht="24">
      <c r="A18980" s="555">
        <v>1390</v>
      </c>
      <c r="B18980" s="552" t="s">
        <v>34389</v>
      </c>
      <c r="C18980" s="556" t="s">
        <v>34390</v>
      </c>
      <c r="D18980" s="557">
        <v>62.07</v>
      </c>
      <c r="E18980" s="557">
        <v>49.77</v>
      </c>
      <c r="F18980" s="557">
        <v>11.3</v>
      </c>
      <c r="G18980" s="557">
        <v>1</v>
      </c>
      <c r="H18980" s="558">
        <v>640.66</v>
      </c>
      <c r="I18980" s="558">
        <v>572.38</v>
      </c>
      <c r="J18980" s="558">
        <v>56.78</v>
      </c>
      <c r="K18980" s="558">
        <v>11.5</v>
      </c>
      <c r="L18980" s="43">
        <v>10.321572418237473</v>
      </c>
      <c r="M18980" s="43">
        <v>11.500502310628892</v>
      </c>
      <c r="N18980" s="43">
        <v>5.0247787610619463</v>
      </c>
      <c r="O18980" s="43">
        <v>11.5</v>
      </c>
      <c r="P18980" s="559"/>
      <c r="Q18980" s="559"/>
      <c r="R18980" s="559">
        <v>2</v>
      </c>
    </row>
    <row r="18981" spans="1:18" ht="24">
      <c r="A18981" s="555">
        <v>1391</v>
      </c>
      <c r="B18981" s="552" t="s">
        <v>34391</v>
      </c>
      <c r="C18981" s="556" t="s">
        <v>34392</v>
      </c>
      <c r="D18981" s="557">
        <v>78.2</v>
      </c>
      <c r="E18981" s="557">
        <v>62.81</v>
      </c>
      <c r="F18981" s="557">
        <v>14.13</v>
      </c>
      <c r="G18981" s="557">
        <v>1.26</v>
      </c>
      <c r="H18981" s="558">
        <v>807.75</v>
      </c>
      <c r="I18981" s="558">
        <v>722.28</v>
      </c>
      <c r="J18981" s="558">
        <v>70.98</v>
      </c>
      <c r="K18981" s="558">
        <v>14.49</v>
      </c>
      <c r="L18981" s="43">
        <v>10.32928388746803</v>
      </c>
      <c r="M18981" s="43">
        <v>11.4994427638911</v>
      </c>
      <c r="N18981" s="43">
        <v>5.0233545647558389</v>
      </c>
      <c r="O18981" s="43">
        <v>11.5</v>
      </c>
      <c r="P18981" s="559"/>
      <c r="Q18981" s="559"/>
      <c r="R18981" s="559">
        <v>2</v>
      </c>
    </row>
    <row r="18982" spans="1:18" ht="24">
      <c r="A18982" s="555">
        <v>1392</v>
      </c>
      <c r="B18982" s="552" t="s">
        <v>34393</v>
      </c>
      <c r="C18982" s="556" t="s">
        <v>34394</v>
      </c>
      <c r="D18982" s="557">
        <v>93.1</v>
      </c>
      <c r="E18982" s="557">
        <v>74.66</v>
      </c>
      <c r="F18982" s="557">
        <v>16.95</v>
      </c>
      <c r="G18982" s="557">
        <v>1.49</v>
      </c>
      <c r="H18982" s="558">
        <v>960.87</v>
      </c>
      <c r="I18982" s="558">
        <v>858.56</v>
      </c>
      <c r="J18982" s="558">
        <v>85.17</v>
      </c>
      <c r="K18982" s="558">
        <v>17.14</v>
      </c>
      <c r="L18982" s="43">
        <v>10.320837808807735</v>
      </c>
      <c r="M18982" s="43">
        <v>11.499598178408787</v>
      </c>
      <c r="N18982" s="43">
        <v>5.0247787610619472</v>
      </c>
      <c r="O18982" s="43">
        <v>11.503355704697986</v>
      </c>
      <c r="P18982" s="559"/>
      <c r="Q18982" s="559"/>
      <c r="R18982" s="559">
        <v>2</v>
      </c>
    </row>
    <row r="18983" spans="1:18" ht="24">
      <c r="A18983" s="555">
        <v>1393</v>
      </c>
      <c r="B18983" s="552" t="s">
        <v>34395</v>
      </c>
      <c r="C18983" s="556" t="s">
        <v>34396</v>
      </c>
      <c r="D18983" s="557">
        <v>103.82</v>
      </c>
      <c r="E18983" s="557">
        <v>82.95</v>
      </c>
      <c r="F18983" s="557">
        <v>19.21</v>
      </c>
      <c r="G18983" s="557">
        <v>1.66</v>
      </c>
      <c r="H18983" s="558">
        <v>1069.58</v>
      </c>
      <c r="I18983" s="558">
        <v>953.96</v>
      </c>
      <c r="J18983" s="558">
        <v>96.53</v>
      </c>
      <c r="K18983" s="558">
        <v>19.09</v>
      </c>
      <c r="L18983" s="43">
        <v>10.302253900982469</v>
      </c>
      <c r="M18983" s="43">
        <v>11.50042194092827</v>
      </c>
      <c r="N18983" s="43">
        <v>5.0249869859448202</v>
      </c>
      <c r="O18983" s="43">
        <v>11.5</v>
      </c>
      <c r="P18983" s="559"/>
      <c r="Q18983" s="559"/>
      <c r="R18983" s="559">
        <v>2</v>
      </c>
    </row>
    <row r="18984" spans="1:18" ht="12.75" customHeight="1">
      <c r="A18984" s="628" t="s">
        <v>34397</v>
      </c>
      <c r="B18984" s="629"/>
      <c r="C18984" s="629"/>
      <c r="D18984" s="629"/>
      <c r="E18984" s="629"/>
      <c r="F18984" s="629"/>
      <c r="G18984" s="629"/>
      <c r="H18984" s="629"/>
      <c r="I18984" s="629"/>
      <c r="J18984" s="629"/>
      <c r="K18984" s="629"/>
      <c r="L18984" s="629"/>
      <c r="M18984" s="629"/>
      <c r="N18984" s="629"/>
      <c r="O18984" s="629"/>
      <c r="P18984" s="629"/>
      <c r="Q18984" s="629"/>
      <c r="R18984" s="629"/>
    </row>
    <row r="18985" spans="1:18" ht="24">
      <c r="A18985" s="555">
        <v>1394</v>
      </c>
      <c r="B18985" s="552" t="s">
        <v>34398</v>
      </c>
      <c r="C18985" s="556" t="s">
        <v>34399</v>
      </c>
      <c r="D18985" s="557">
        <v>424.8</v>
      </c>
      <c r="E18985" s="557">
        <v>270.69</v>
      </c>
      <c r="F18985" s="557">
        <v>148.69999999999999</v>
      </c>
      <c r="G18985" s="557">
        <v>5.41</v>
      </c>
      <c r="H18985" s="558">
        <v>3925.16</v>
      </c>
      <c r="I18985" s="558">
        <v>3113.04</v>
      </c>
      <c r="J18985" s="558">
        <v>749.9</v>
      </c>
      <c r="K18985" s="558">
        <v>62.22</v>
      </c>
      <c r="L18985" s="43">
        <v>9.2400188323917138</v>
      </c>
      <c r="M18985" s="43">
        <v>11.500387897595035</v>
      </c>
      <c r="N18985" s="43">
        <v>5.0430396772024215</v>
      </c>
      <c r="O18985" s="43">
        <v>11.500924214417745</v>
      </c>
      <c r="P18985" s="559"/>
      <c r="Q18985" s="559"/>
      <c r="R18985" s="559">
        <v>3</v>
      </c>
    </row>
    <row r="18986" spans="1:18" ht="24">
      <c r="A18986" s="555">
        <v>1395</v>
      </c>
      <c r="B18986" s="552" t="s">
        <v>34400</v>
      </c>
      <c r="C18986" s="556" t="s">
        <v>34401</v>
      </c>
      <c r="D18986" s="557">
        <v>507.14</v>
      </c>
      <c r="E18986" s="557">
        <v>322.25</v>
      </c>
      <c r="F18986" s="557">
        <v>178.44</v>
      </c>
      <c r="G18986" s="557">
        <v>6.45</v>
      </c>
      <c r="H18986" s="558">
        <v>4680.0600000000004</v>
      </c>
      <c r="I18986" s="558">
        <v>3706</v>
      </c>
      <c r="J18986" s="558">
        <v>899.88</v>
      </c>
      <c r="K18986" s="558">
        <v>74.180000000000007</v>
      </c>
      <c r="L18986" s="43">
        <v>9.2283393145876893</v>
      </c>
      <c r="M18986" s="43">
        <v>11.500387897595035</v>
      </c>
      <c r="N18986" s="43">
        <v>5.0430396772024206</v>
      </c>
      <c r="O18986" s="43">
        <v>11.50077519379845</v>
      </c>
      <c r="P18986" s="559"/>
      <c r="Q18986" s="559"/>
      <c r="R18986" s="559">
        <v>3</v>
      </c>
    </row>
    <row r="18987" spans="1:18" ht="12.75" customHeight="1">
      <c r="A18987" s="628" t="s">
        <v>34402</v>
      </c>
      <c r="B18987" s="629"/>
      <c r="C18987" s="629"/>
      <c r="D18987" s="629"/>
      <c r="E18987" s="629"/>
      <c r="F18987" s="629"/>
      <c r="G18987" s="629"/>
      <c r="H18987" s="629"/>
      <c r="I18987" s="629"/>
      <c r="J18987" s="629"/>
      <c r="K18987" s="629"/>
      <c r="L18987" s="629"/>
      <c r="M18987" s="629"/>
      <c r="N18987" s="629"/>
      <c r="O18987" s="629"/>
      <c r="P18987" s="629"/>
      <c r="Q18987" s="629"/>
      <c r="R18987" s="629"/>
    </row>
    <row r="18988" spans="1:18" ht="24">
      <c r="A18988" s="555">
        <v>1396</v>
      </c>
      <c r="B18988" s="552" t="s">
        <v>34403</v>
      </c>
      <c r="C18988" s="556" t="s">
        <v>34404</v>
      </c>
      <c r="D18988" s="557">
        <v>3.05</v>
      </c>
      <c r="E18988" s="557">
        <v>2.61</v>
      </c>
      <c r="F18988" s="557"/>
      <c r="G18988" s="557">
        <v>0.44</v>
      </c>
      <c r="H18988" s="558">
        <v>32.42</v>
      </c>
      <c r="I18988" s="558">
        <v>29.98</v>
      </c>
      <c r="J18988" s="558"/>
      <c r="K18988" s="558">
        <v>2.44</v>
      </c>
      <c r="L18988" s="43">
        <v>10.629508196721313</v>
      </c>
      <c r="M18988" s="43">
        <v>11.498253783469149</v>
      </c>
      <c r="N18988" s="43" t="s">
        <v>1690</v>
      </c>
      <c r="O18988" s="43">
        <v>5.545454545454545</v>
      </c>
      <c r="P18988" s="559"/>
      <c r="Q18988" s="559"/>
      <c r="R18988" s="559">
        <v>4</v>
      </c>
    </row>
    <row r="18989" spans="1:18" ht="24">
      <c r="A18989" s="555">
        <v>1397</v>
      </c>
      <c r="B18989" s="552" t="s">
        <v>34405</v>
      </c>
      <c r="C18989" s="556" t="s">
        <v>34406</v>
      </c>
      <c r="D18989" s="557">
        <v>4.34</v>
      </c>
      <c r="E18989" s="557">
        <v>3.56</v>
      </c>
      <c r="F18989" s="557"/>
      <c r="G18989" s="557">
        <v>0.78</v>
      </c>
      <c r="H18989" s="558">
        <v>45.06</v>
      </c>
      <c r="I18989" s="558">
        <v>40.880000000000003</v>
      </c>
      <c r="J18989" s="558"/>
      <c r="K18989" s="558">
        <v>4.18</v>
      </c>
      <c r="L18989" s="43">
        <v>10.382488479262674</v>
      </c>
      <c r="M18989" s="43">
        <v>11.498253783469149</v>
      </c>
      <c r="N18989" s="43" t="s">
        <v>1690</v>
      </c>
      <c r="O18989" s="43">
        <v>5.3589743589743586</v>
      </c>
      <c r="P18989" s="559"/>
      <c r="Q18989" s="559"/>
      <c r="R18989" s="559">
        <v>4</v>
      </c>
    </row>
    <row r="18990" spans="1:18" ht="24">
      <c r="A18990" s="555">
        <v>1398</v>
      </c>
      <c r="B18990" s="552" t="s">
        <v>34407</v>
      </c>
      <c r="C18990" s="556" t="s">
        <v>34408</v>
      </c>
      <c r="D18990" s="557">
        <v>5.61</v>
      </c>
      <c r="E18990" s="557">
        <v>4.38</v>
      </c>
      <c r="F18990" s="557"/>
      <c r="G18990" s="557">
        <v>1.23</v>
      </c>
      <c r="H18990" s="558">
        <v>56.84</v>
      </c>
      <c r="I18990" s="558">
        <v>50.42</v>
      </c>
      <c r="J18990" s="558"/>
      <c r="K18990" s="558">
        <v>6.42</v>
      </c>
      <c r="L18990" s="43">
        <v>10.131907308377897</v>
      </c>
      <c r="M18990" s="43">
        <v>11.498253783469149</v>
      </c>
      <c r="N18990" s="43" t="s">
        <v>1690</v>
      </c>
      <c r="O18990" s="43">
        <v>5.2195121951219514</v>
      </c>
      <c r="P18990" s="559"/>
      <c r="Q18990" s="559"/>
      <c r="R18990" s="559">
        <v>4</v>
      </c>
    </row>
    <row r="18991" spans="1:18" ht="24">
      <c r="A18991" s="555">
        <v>1399</v>
      </c>
      <c r="B18991" s="552" t="s">
        <v>34409</v>
      </c>
      <c r="C18991" s="556" t="s">
        <v>34410</v>
      </c>
      <c r="D18991" s="557">
        <v>6.84</v>
      </c>
      <c r="E18991" s="557">
        <v>4.9800000000000004</v>
      </c>
      <c r="F18991" s="557"/>
      <c r="G18991" s="557">
        <v>1.86</v>
      </c>
      <c r="H18991" s="558">
        <v>66.739999999999995</v>
      </c>
      <c r="I18991" s="558">
        <v>57.24</v>
      </c>
      <c r="J18991" s="558"/>
      <c r="K18991" s="558">
        <v>9.5</v>
      </c>
      <c r="L18991" s="43">
        <v>9.757309941520468</v>
      </c>
      <c r="M18991" s="43">
        <v>11.498253783469149</v>
      </c>
      <c r="N18991" s="43" t="s">
        <v>1690</v>
      </c>
      <c r="O18991" s="43">
        <v>5.10752688172043</v>
      </c>
      <c r="P18991" s="559"/>
      <c r="Q18991" s="559"/>
      <c r="R18991" s="559">
        <v>4</v>
      </c>
    </row>
    <row r="18992" spans="1:18" ht="24">
      <c r="A18992" s="555">
        <v>1400</v>
      </c>
      <c r="B18992" s="552" t="s">
        <v>34411</v>
      </c>
      <c r="C18992" s="556" t="s">
        <v>34412</v>
      </c>
      <c r="D18992" s="557">
        <v>8.51</v>
      </c>
      <c r="E18992" s="557">
        <v>6.28</v>
      </c>
      <c r="F18992" s="557"/>
      <c r="G18992" s="557">
        <v>2.23</v>
      </c>
      <c r="H18992" s="558">
        <v>83.72</v>
      </c>
      <c r="I18992" s="558">
        <v>72.23</v>
      </c>
      <c r="J18992" s="558"/>
      <c r="K18992" s="558">
        <v>11.49</v>
      </c>
      <c r="L18992" s="43">
        <v>9.8378378378378386</v>
      </c>
      <c r="M18992" s="43">
        <v>11.501592356687897</v>
      </c>
      <c r="N18992" s="43" t="s">
        <v>1690</v>
      </c>
      <c r="O18992" s="43">
        <v>5.1524663677130045</v>
      </c>
      <c r="P18992" s="559"/>
      <c r="Q18992" s="559"/>
      <c r="R18992" s="559">
        <v>4</v>
      </c>
    </row>
    <row r="18993" spans="1:18" ht="24">
      <c r="A18993" s="555">
        <v>1401</v>
      </c>
      <c r="B18993" s="552" t="s">
        <v>34413</v>
      </c>
      <c r="C18993" s="556" t="s">
        <v>34414</v>
      </c>
      <c r="D18993" s="557">
        <v>10.09</v>
      </c>
      <c r="E18993" s="557">
        <v>7.47</v>
      </c>
      <c r="F18993" s="557"/>
      <c r="G18993" s="557">
        <v>2.62</v>
      </c>
      <c r="H18993" s="558">
        <v>99.31</v>
      </c>
      <c r="I18993" s="558">
        <v>85.86</v>
      </c>
      <c r="J18993" s="558"/>
      <c r="K18993" s="558">
        <v>13.45</v>
      </c>
      <c r="L18993" s="43">
        <v>9.8424182358771066</v>
      </c>
      <c r="M18993" s="43">
        <v>11.498253783469149</v>
      </c>
      <c r="N18993" s="43" t="s">
        <v>1690</v>
      </c>
      <c r="O18993" s="43">
        <v>5.1335877862595414</v>
      </c>
      <c r="P18993" s="559"/>
      <c r="Q18993" s="559"/>
      <c r="R18993" s="559">
        <v>4</v>
      </c>
    </row>
    <row r="18994" spans="1:18" ht="24">
      <c r="A18994" s="555">
        <v>1402</v>
      </c>
      <c r="B18994" s="552" t="s">
        <v>34415</v>
      </c>
      <c r="C18994" s="556" t="s">
        <v>34416</v>
      </c>
      <c r="D18994" s="557">
        <v>12.55</v>
      </c>
      <c r="E18994" s="557">
        <v>8.77</v>
      </c>
      <c r="F18994" s="557"/>
      <c r="G18994" s="557">
        <v>3.78</v>
      </c>
      <c r="H18994" s="558">
        <v>119.98</v>
      </c>
      <c r="I18994" s="558">
        <v>100.85</v>
      </c>
      <c r="J18994" s="558"/>
      <c r="K18994" s="558">
        <v>19.13</v>
      </c>
      <c r="L18994" s="43">
        <v>9.5601593625498005</v>
      </c>
      <c r="M18994" s="43">
        <v>11.499429874572407</v>
      </c>
      <c r="N18994" s="43" t="s">
        <v>1690</v>
      </c>
      <c r="O18994" s="43">
        <v>5.0608465608465609</v>
      </c>
      <c r="P18994" s="559"/>
      <c r="Q18994" s="559"/>
      <c r="R18994" s="559">
        <v>4</v>
      </c>
    </row>
    <row r="18995" spans="1:18" ht="24">
      <c r="A18995" s="555">
        <v>1403</v>
      </c>
      <c r="B18995" s="552" t="s">
        <v>34417</v>
      </c>
      <c r="C18995" s="556" t="s">
        <v>34418</v>
      </c>
      <c r="D18995" s="557">
        <v>15.46</v>
      </c>
      <c r="E18995" s="557">
        <v>10.67</v>
      </c>
      <c r="F18995" s="557"/>
      <c r="G18995" s="557">
        <v>4.79</v>
      </c>
      <c r="H18995" s="558">
        <v>146.78</v>
      </c>
      <c r="I18995" s="558">
        <v>122.65</v>
      </c>
      <c r="J18995" s="558"/>
      <c r="K18995" s="558">
        <v>24.13</v>
      </c>
      <c r="L18995" s="43">
        <v>9.4941785252263902</v>
      </c>
      <c r="M18995" s="43">
        <v>11.498253783469149</v>
      </c>
      <c r="N18995" s="43" t="s">
        <v>1690</v>
      </c>
      <c r="O18995" s="43">
        <v>5.0375782881002085</v>
      </c>
      <c r="P18995" s="559"/>
      <c r="Q18995" s="559"/>
      <c r="R18995" s="559">
        <v>4</v>
      </c>
    </row>
    <row r="18996" spans="1:18" ht="24">
      <c r="A18996" s="555">
        <v>1404</v>
      </c>
      <c r="B18996" s="552" t="s">
        <v>34419</v>
      </c>
      <c r="C18996" s="556" t="s">
        <v>34420</v>
      </c>
      <c r="D18996" s="557">
        <v>18.86</v>
      </c>
      <c r="E18996" s="557">
        <v>13.04</v>
      </c>
      <c r="F18996" s="557"/>
      <c r="G18996" s="557">
        <v>5.82</v>
      </c>
      <c r="H18996" s="558">
        <v>179.27</v>
      </c>
      <c r="I18996" s="558">
        <v>149.91</v>
      </c>
      <c r="J18996" s="558"/>
      <c r="K18996" s="558">
        <v>29.36</v>
      </c>
      <c r="L18996" s="43">
        <v>9.5053022269353136</v>
      </c>
      <c r="M18996" s="43">
        <v>11.49616564417178</v>
      </c>
      <c r="N18996" s="43" t="s">
        <v>1690</v>
      </c>
      <c r="O18996" s="43">
        <v>5.0446735395189002</v>
      </c>
      <c r="P18996" s="559"/>
      <c r="Q18996" s="559"/>
      <c r="R18996" s="559">
        <v>4</v>
      </c>
    </row>
    <row r="18997" spans="1:18" ht="24">
      <c r="A18997" s="555">
        <v>1405</v>
      </c>
      <c r="B18997" s="552" t="s">
        <v>34421</v>
      </c>
      <c r="C18997" s="556" t="s">
        <v>34422</v>
      </c>
      <c r="D18997" s="557">
        <v>21.72</v>
      </c>
      <c r="E18997" s="557">
        <v>15.41</v>
      </c>
      <c r="F18997" s="557"/>
      <c r="G18997" s="557">
        <v>6.31</v>
      </c>
      <c r="H18997" s="558">
        <v>209.16</v>
      </c>
      <c r="I18997" s="558">
        <v>177.16</v>
      </c>
      <c r="J18997" s="558"/>
      <c r="K18997" s="558">
        <v>32</v>
      </c>
      <c r="L18997" s="43">
        <v>9.6298342541436472</v>
      </c>
      <c r="M18997" s="43">
        <v>11.496430889033094</v>
      </c>
      <c r="N18997" s="43" t="s">
        <v>1690</v>
      </c>
      <c r="O18997" s="43">
        <v>5.0713153724247233</v>
      </c>
      <c r="P18997" s="559"/>
      <c r="Q18997" s="559"/>
      <c r="R18997" s="559">
        <v>4</v>
      </c>
    </row>
    <row r="18998" spans="1:18" ht="24">
      <c r="A18998" s="555">
        <v>1406</v>
      </c>
      <c r="B18998" s="552" t="s">
        <v>34423</v>
      </c>
      <c r="C18998" s="556" t="s">
        <v>34424</v>
      </c>
      <c r="D18998" s="557">
        <v>25.1</v>
      </c>
      <c r="E18998" s="557">
        <v>17.78</v>
      </c>
      <c r="F18998" s="557"/>
      <c r="G18998" s="557">
        <v>7.32</v>
      </c>
      <c r="H18998" s="558">
        <v>241.61</v>
      </c>
      <c r="I18998" s="558">
        <v>204.42</v>
      </c>
      <c r="J18998" s="558"/>
      <c r="K18998" s="558">
        <v>37.19</v>
      </c>
      <c r="L18998" s="43">
        <v>9.6258964143426287</v>
      </c>
      <c r="M18998" s="43">
        <v>11.497187851518559</v>
      </c>
      <c r="N18998" s="43" t="s">
        <v>1690</v>
      </c>
      <c r="O18998" s="43">
        <v>5.080601092896174</v>
      </c>
      <c r="P18998" s="559"/>
      <c r="Q18998" s="559"/>
      <c r="R18998" s="559">
        <v>4</v>
      </c>
    </row>
    <row r="18999" spans="1:18" ht="24">
      <c r="A18999" s="555">
        <v>1407</v>
      </c>
      <c r="B18999" s="552" t="s">
        <v>34425</v>
      </c>
      <c r="C18999" s="556" t="s">
        <v>34426</v>
      </c>
      <c r="D18999" s="557">
        <v>30.76</v>
      </c>
      <c r="E18999" s="557">
        <v>21.33</v>
      </c>
      <c r="F18999" s="557"/>
      <c r="G18999" s="557">
        <v>9.43</v>
      </c>
      <c r="H18999" s="558">
        <v>292.94</v>
      </c>
      <c r="I18999" s="558">
        <v>245.3</v>
      </c>
      <c r="J18999" s="558"/>
      <c r="K18999" s="558">
        <v>47.64</v>
      </c>
      <c r="L18999" s="43">
        <v>9.5234070221066318</v>
      </c>
      <c r="M18999" s="43">
        <v>11.500234411626819</v>
      </c>
      <c r="N18999" s="43" t="s">
        <v>1690</v>
      </c>
      <c r="O18999" s="43">
        <v>5.0519618239660655</v>
      </c>
      <c r="P18999" s="559"/>
      <c r="Q18999" s="559"/>
      <c r="R18999" s="559">
        <v>4</v>
      </c>
    </row>
    <row r="19000" spans="1:18" ht="24">
      <c r="A19000" s="555">
        <v>1408</v>
      </c>
      <c r="B19000" s="552" t="s">
        <v>34427</v>
      </c>
      <c r="C19000" s="556" t="s">
        <v>34428</v>
      </c>
      <c r="D19000" s="557">
        <v>34.590000000000003</v>
      </c>
      <c r="E19000" s="557">
        <v>23.7</v>
      </c>
      <c r="F19000" s="557"/>
      <c r="G19000" s="557">
        <v>10.89</v>
      </c>
      <c r="H19000" s="558">
        <v>327.41000000000003</v>
      </c>
      <c r="I19000" s="558">
        <v>272.56</v>
      </c>
      <c r="J19000" s="558"/>
      <c r="K19000" s="558">
        <v>54.85</v>
      </c>
      <c r="L19000" s="43">
        <v>9.4654524429025724</v>
      </c>
      <c r="M19000" s="43">
        <v>11.50042194092827</v>
      </c>
      <c r="N19000" s="43" t="s">
        <v>1690</v>
      </c>
      <c r="O19000" s="43">
        <v>5.036730945821855</v>
      </c>
      <c r="P19000" s="559"/>
      <c r="Q19000" s="559"/>
      <c r="R19000" s="559">
        <v>4</v>
      </c>
    </row>
    <row r="19001" spans="1:18" ht="24">
      <c r="A19001" s="555">
        <v>1409</v>
      </c>
      <c r="B19001" s="552" t="s">
        <v>34429</v>
      </c>
      <c r="C19001" s="556" t="s">
        <v>34430</v>
      </c>
      <c r="D19001" s="557">
        <v>39.549999999999997</v>
      </c>
      <c r="E19001" s="557">
        <v>27.26</v>
      </c>
      <c r="F19001" s="557"/>
      <c r="G19001" s="557">
        <v>12.29</v>
      </c>
      <c r="H19001" s="558">
        <v>375.48</v>
      </c>
      <c r="I19001" s="558">
        <v>313.44</v>
      </c>
      <c r="J19001" s="558"/>
      <c r="K19001" s="558">
        <v>62.04</v>
      </c>
      <c r="L19001" s="43">
        <v>9.4938053097345136</v>
      </c>
      <c r="M19001" s="43">
        <v>11.498165810711665</v>
      </c>
      <c r="N19001" s="43" t="s">
        <v>1690</v>
      </c>
      <c r="O19001" s="43">
        <v>5.0480065093572009</v>
      </c>
      <c r="P19001" s="559"/>
      <c r="Q19001" s="559"/>
      <c r="R19001" s="559">
        <v>4</v>
      </c>
    </row>
    <row r="19002" spans="1:18" ht="24">
      <c r="A19002" s="555">
        <v>1410</v>
      </c>
      <c r="B19002" s="552" t="s">
        <v>34431</v>
      </c>
      <c r="C19002" s="556" t="s">
        <v>34432</v>
      </c>
      <c r="D19002" s="557">
        <v>45.96</v>
      </c>
      <c r="E19002" s="557">
        <v>32</v>
      </c>
      <c r="F19002" s="557"/>
      <c r="G19002" s="557">
        <v>13.96</v>
      </c>
      <c r="H19002" s="558">
        <v>438.49</v>
      </c>
      <c r="I19002" s="558">
        <v>367.96</v>
      </c>
      <c r="J19002" s="558"/>
      <c r="K19002" s="558">
        <v>70.53</v>
      </c>
      <c r="L19002" s="43">
        <v>9.5406875543951255</v>
      </c>
      <c r="M19002" s="43">
        <v>11.498749999999999</v>
      </c>
      <c r="N19002" s="43" t="s">
        <v>1690</v>
      </c>
      <c r="O19002" s="43">
        <v>5.0522922636103154</v>
      </c>
      <c r="P19002" s="559"/>
      <c r="Q19002" s="559"/>
      <c r="R19002" s="559">
        <v>4</v>
      </c>
    </row>
    <row r="19003" spans="1:18" ht="24">
      <c r="A19003" s="555">
        <v>1411</v>
      </c>
      <c r="B19003" s="552" t="s">
        <v>34433</v>
      </c>
      <c r="C19003" s="556" t="s">
        <v>34434</v>
      </c>
      <c r="D19003" s="557">
        <v>54.65</v>
      </c>
      <c r="E19003" s="557">
        <v>37.92</v>
      </c>
      <c r="F19003" s="557"/>
      <c r="G19003" s="557">
        <v>16.73</v>
      </c>
      <c r="H19003" s="558">
        <v>520.64</v>
      </c>
      <c r="I19003" s="558">
        <v>436.1</v>
      </c>
      <c r="J19003" s="558"/>
      <c r="K19003" s="558">
        <v>84.54</v>
      </c>
      <c r="L19003" s="43">
        <v>9.5268069533394328</v>
      </c>
      <c r="M19003" s="43">
        <v>11.500527426160337</v>
      </c>
      <c r="N19003" s="43" t="s">
        <v>1690</v>
      </c>
      <c r="O19003" s="43">
        <v>5.0531978481769277</v>
      </c>
      <c r="P19003" s="559"/>
      <c r="Q19003" s="559"/>
      <c r="R19003" s="559">
        <v>4</v>
      </c>
    </row>
    <row r="19004" spans="1:18" ht="24">
      <c r="A19004" s="555">
        <v>1412</v>
      </c>
      <c r="B19004" s="552" t="s">
        <v>34435</v>
      </c>
      <c r="C19004" s="556" t="s">
        <v>34436</v>
      </c>
      <c r="D19004" s="557">
        <v>62.04</v>
      </c>
      <c r="E19004" s="557">
        <v>43.85</v>
      </c>
      <c r="F19004" s="557"/>
      <c r="G19004" s="557">
        <v>18.190000000000001</v>
      </c>
      <c r="H19004" s="558">
        <v>596.5</v>
      </c>
      <c r="I19004" s="558">
        <v>504.24</v>
      </c>
      <c r="J19004" s="558"/>
      <c r="K19004" s="558">
        <v>92.26</v>
      </c>
      <c r="L19004" s="43">
        <v>9.6147646679561571</v>
      </c>
      <c r="M19004" s="43">
        <v>11.499201824401368</v>
      </c>
      <c r="N19004" s="43" t="s">
        <v>1690</v>
      </c>
      <c r="O19004" s="43">
        <v>5.0720175920835624</v>
      </c>
      <c r="P19004" s="559"/>
      <c r="Q19004" s="559"/>
      <c r="R19004" s="559">
        <v>4</v>
      </c>
    </row>
    <row r="19005" spans="1:18" ht="24">
      <c r="A19005" s="555">
        <v>1413</v>
      </c>
      <c r="B19005" s="552" t="s">
        <v>34437</v>
      </c>
      <c r="C19005" s="556" t="s">
        <v>34438</v>
      </c>
      <c r="D19005" s="557">
        <v>68.44</v>
      </c>
      <c r="E19005" s="557">
        <v>48.59</v>
      </c>
      <c r="F19005" s="557"/>
      <c r="G19005" s="557">
        <v>19.850000000000001</v>
      </c>
      <c r="H19005" s="558">
        <v>659.45</v>
      </c>
      <c r="I19005" s="558">
        <v>558.75</v>
      </c>
      <c r="J19005" s="558"/>
      <c r="K19005" s="558">
        <v>100.7</v>
      </c>
      <c r="L19005" s="43">
        <v>9.6354471069549987</v>
      </c>
      <c r="M19005" s="43">
        <v>11.499279687178431</v>
      </c>
      <c r="N19005" s="43" t="s">
        <v>1690</v>
      </c>
      <c r="O19005" s="43">
        <v>5.0730478589420649</v>
      </c>
      <c r="P19005" s="559"/>
      <c r="Q19005" s="559"/>
      <c r="R19005" s="559">
        <v>4</v>
      </c>
    </row>
    <row r="19006" spans="1:18" ht="24">
      <c r="A19006" s="555">
        <v>1414</v>
      </c>
      <c r="B19006" s="552" t="s">
        <v>34439</v>
      </c>
      <c r="C19006" s="556" t="s">
        <v>34440</v>
      </c>
      <c r="D19006" s="557">
        <v>78.2</v>
      </c>
      <c r="E19006" s="557">
        <v>54.51</v>
      </c>
      <c r="F19006" s="557"/>
      <c r="G19006" s="557">
        <v>23.69</v>
      </c>
      <c r="H19006" s="558">
        <v>746.73</v>
      </c>
      <c r="I19006" s="558">
        <v>626.89</v>
      </c>
      <c r="J19006" s="558"/>
      <c r="K19006" s="558">
        <v>119.84</v>
      </c>
      <c r="L19006" s="43">
        <v>9.5489769820971873</v>
      </c>
      <c r="M19006" s="43">
        <v>11.500458631443772</v>
      </c>
      <c r="N19006" s="43" t="s">
        <v>1690</v>
      </c>
      <c r="O19006" s="43">
        <v>5.0586745462220346</v>
      </c>
      <c r="P19006" s="559"/>
      <c r="Q19006" s="559"/>
      <c r="R19006" s="559">
        <v>4</v>
      </c>
    </row>
    <row r="19007" spans="1:18" ht="36">
      <c r="A19007" s="555">
        <v>1415</v>
      </c>
      <c r="B19007" s="552" t="s">
        <v>34441</v>
      </c>
      <c r="C19007" s="556" t="s">
        <v>34442</v>
      </c>
      <c r="D19007" s="557">
        <v>108.65</v>
      </c>
      <c r="E19007" s="557">
        <v>100.73</v>
      </c>
      <c r="F19007" s="557"/>
      <c r="G19007" s="557">
        <v>7.92</v>
      </c>
      <c r="H19007" s="558">
        <v>1209.55</v>
      </c>
      <c r="I19007" s="558">
        <v>1158.3800000000001</v>
      </c>
      <c r="J19007" s="558"/>
      <c r="K19007" s="558">
        <v>51.17</v>
      </c>
      <c r="L19007" s="43">
        <v>11.13253566497929</v>
      </c>
      <c r="M19007" s="43">
        <v>11.49985108706443</v>
      </c>
      <c r="N19007" s="43" t="s">
        <v>1690</v>
      </c>
      <c r="O19007" s="43">
        <v>6.4608585858585865</v>
      </c>
      <c r="P19007" s="559"/>
      <c r="Q19007" s="559"/>
      <c r="R19007" s="559">
        <v>4</v>
      </c>
    </row>
    <row r="19008" spans="1:18" ht="36">
      <c r="A19008" s="555">
        <v>1416</v>
      </c>
      <c r="B19008" s="552" t="s">
        <v>34443</v>
      </c>
      <c r="C19008" s="556" t="s">
        <v>34444</v>
      </c>
      <c r="D19008" s="557">
        <v>183.59</v>
      </c>
      <c r="E19008" s="557">
        <v>174.2</v>
      </c>
      <c r="F19008" s="557"/>
      <c r="G19008" s="557">
        <v>9.39</v>
      </c>
      <c r="H19008" s="558">
        <v>2071.39</v>
      </c>
      <c r="I19008" s="558">
        <v>2003.32</v>
      </c>
      <c r="J19008" s="558"/>
      <c r="K19008" s="558">
        <v>68.069999999999993</v>
      </c>
      <c r="L19008" s="43">
        <v>11.282695135900648</v>
      </c>
      <c r="M19008" s="43">
        <v>11.500114810562572</v>
      </c>
      <c r="N19008" s="43" t="s">
        <v>1690</v>
      </c>
      <c r="O19008" s="43">
        <v>7.2492012779552706</v>
      </c>
      <c r="P19008" s="559"/>
      <c r="Q19008" s="559"/>
      <c r="R19008" s="559">
        <v>4</v>
      </c>
    </row>
    <row r="19009" spans="1:18" ht="24">
      <c r="A19009" s="555">
        <v>1417</v>
      </c>
      <c r="B19009" s="552" t="s">
        <v>34445</v>
      </c>
      <c r="C19009" s="556" t="s">
        <v>34446</v>
      </c>
      <c r="D19009" s="557">
        <v>19.21</v>
      </c>
      <c r="E19009" s="557">
        <v>13.04</v>
      </c>
      <c r="F19009" s="557"/>
      <c r="G19009" s="557">
        <v>6.17</v>
      </c>
      <c r="H19009" s="558">
        <v>180.95</v>
      </c>
      <c r="I19009" s="558">
        <v>149.91</v>
      </c>
      <c r="J19009" s="558"/>
      <c r="K19009" s="558">
        <v>31.04</v>
      </c>
      <c r="L19009" s="43">
        <v>9.4195731389901081</v>
      </c>
      <c r="M19009" s="43">
        <v>11.49616564417178</v>
      </c>
      <c r="N19009" s="43" t="s">
        <v>1690</v>
      </c>
      <c r="O19009" s="43">
        <v>5.0307941653160455</v>
      </c>
      <c r="P19009" s="559"/>
      <c r="Q19009" s="559"/>
      <c r="R19009" s="559">
        <v>4</v>
      </c>
    </row>
    <row r="19010" spans="1:18" ht="24">
      <c r="A19010" s="555">
        <v>1418</v>
      </c>
      <c r="B19010" s="552" t="s">
        <v>34447</v>
      </c>
      <c r="C19010" s="556" t="s">
        <v>34448</v>
      </c>
      <c r="D19010" s="557">
        <v>30.08</v>
      </c>
      <c r="E19010" s="557">
        <v>23.7</v>
      </c>
      <c r="F19010" s="557"/>
      <c r="G19010" s="557">
        <v>6.38</v>
      </c>
      <c r="H19010" s="558">
        <v>306.02</v>
      </c>
      <c r="I19010" s="558">
        <v>272.56</v>
      </c>
      <c r="J19010" s="558"/>
      <c r="K19010" s="558">
        <v>33.46</v>
      </c>
      <c r="L19010" s="43">
        <v>10.173537234042554</v>
      </c>
      <c r="M19010" s="43">
        <v>11.50042194092827</v>
      </c>
      <c r="N19010" s="43" t="s">
        <v>1690</v>
      </c>
      <c r="O19010" s="43">
        <v>5.2445141065830727</v>
      </c>
      <c r="P19010" s="559"/>
      <c r="Q19010" s="559"/>
      <c r="R19010" s="559">
        <v>4</v>
      </c>
    </row>
    <row r="19011" spans="1:18" ht="12.75" customHeight="1">
      <c r="A19011" s="628" t="s">
        <v>34449</v>
      </c>
      <c r="B19011" s="629"/>
      <c r="C19011" s="629"/>
      <c r="D19011" s="629"/>
      <c r="E19011" s="629"/>
      <c r="F19011" s="629"/>
      <c r="G19011" s="629"/>
      <c r="H19011" s="629"/>
      <c r="I19011" s="629"/>
      <c r="J19011" s="629"/>
      <c r="K19011" s="629"/>
      <c r="L19011" s="629"/>
      <c r="M19011" s="629"/>
      <c r="N19011" s="629"/>
      <c r="O19011" s="629"/>
      <c r="P19011" s="629"/>
      <c r="Q19011" s="629"/>
      <c r="R19011" s="629"/>
    </row>
    <row r="19012" spans="1:18" ht="24">
      <c r="A19012" s="555">
        <v>1419</v>
      </c>
      <c r="B19012" s="552" t="s">
        <v>34450</v>
      </c>
      <c r="C19012" s="556" t="s">
        <v>34451</v>
      </c>
      <c r="D19012" s="557">
        <v>44.82</v>
      </c>
      <c r="E19012" s="557">
        <v>23.7</v>
      </c>
      <c r="F19012" s="557">
        <v>14</v>
      </c>
      <c r="G19012" s="557">
        <v>7.12</v>
      </c>
      <c r="H19012" s="558">
        <v>474.17</v>
      </c>
      <c r="I19012" s="558">
        <v>272.56</v>
      </c>
      <c r="J19012" s="558">
        <v>70.5</v>
      </c>
      <c r="K19012" s="558">
        <v>131.11000000000001</v>
      </c>
      <c r="L19012" s="43">
        <v>10.579428826416779</v>
      </c>
      <c r="M19012" s="43">
        <v>11.50042194092827</v>
      </c>
      <c r="N19012" s="43">
        <v>5.0357142857142856</v>
      </c>
      <c r="O19012" s="43">
        <v>18.414325842696631</v>
      </c>
      <c r="P19012" s="559"/>
      <c r="Q19012" s="559"/>
      <c r="R19012" s="559">
        <v>5</v>
      </c>
    </row>
    <row r="19013" spans="1:18" ht="12.75" customHeight="1">
      <c r="A19013" s="628" t="s">
        <v>34452</v>
      </c>
      <c r="B19013" s="629"/>
      <c r="C19013" s="629"/>
      <c r="D19013" s="629"/>
      <c r="E19013" s="629"/>
      <c r="F19013" s="629"/>
      <c r="G19013" s="629"/>
      <c r="H19013" s="629"/>
      <c r="I19013" s="629"/>
      <c r="J19013" s="629"/>
      <c r="K19013" s="629"/>
      <c r="L19013" s="629"/>
      <c r="M19013" s="629"/>
      <c r="N19013" s="629"/>
      <c r="O19013" s="629"/>
      <c r="P19013" s="629"/>
      <c r="Q19013" s="629"/>
      <c r="R19013" s="629"/>
    </row>
    <row r="19014" spans="1:18" ht="60">
      <c r="A19014" s="555">
        <v>1420</v>
      </c>
      <c r="B19014" s="552" t="s">
        <v>34453</v>
      </c>
      <c r="C19014" s="556" t="s">
        <v>34454</v>
      </c>
      <c r="D19014" s="557">
        <v>6.72</v>
      </c>
      <c r="E19014" s="557">
        <v>3.87</v>
      </c>
      <c r="F19014" s="557">
        <v>1.31</v>
      </c>
      <c r="G19014" s="557">
        <v>1.54</v>
      </c>
      <c r="H19014" s="558">
        <v>59.34</v>
      </c>
      <c r="I19014" s="558">
        <v>44.47</v>
      </c>
      <c r="J19014" s="558">
        <v>6.61</v>
      </c>
      <c r="K19014" s="558">
        <v>8.26</v>
      </c>
      <c r="L19014" s="43">
        <v>8.8303571428571441</v>
      </c>
      <c r="M19014" s="43">
        <v>11.498253783469149</v>
      </c>
      <c r="N19014" s="43">
        <v>5.0458015267175576</v>
      </c>
      <c r="O19014" s="43">
        <v>5.3636363636363633</v>
      </c>
      <c r="P19014" s="559"/>
      <c r="Q19014" s="559"/>
      <c r="R19014" s="559">
        <v>6</v>
      </c>
    </row>
    <row r="19015" spans="1:18" ht="60">
      <c r="A19015" s="555">
        <v>1421</v>
      </c>
      <c r="B19015" s="552" t="s">
        <v>34455</v>
      </c>
      <c r="C19015" s="556" t="s">
        <v>34456</v>
      </c>
      <c r="D19015" s="557">
        <v>9</v>
      </c>
      <c r="E19015" s="557">
        <v>5.41</v>
      </c>
      <c r="F19015" s="557">
        <v>1.75</v>
      </c>
      <c r="G19015" s="557">
        <v>1.84</v>
      </c>
      <c r="H19015" s="558">
        <v>81.63</v>
      </c>
      <c r="I19015" s="558">
        <v>62.26</v>
      </c>
      <c r="J19015" s="558">
        <v>8.81</v>
      </c>
      <c r="K19015" s="558">
        <v>10.56</v>
      </c>
      <c r="L19015" s="43">
        <v>9.07</v>
      </c>
      <c r="M19015" s="43">
        <v>11.498253783469149</v>
      </c>
      <c r="N19015" s="43">
        <v>5.0342857142857147</v>
      </c>
      <c r="O19015" s="43">
        <v>5.7391304347826084</v>
      </c>
      <c r="P19015" s="559"/>
      <c r="Q19015" s="559"/>
      <c r="R19015" s="559">
        <v>6</v>
      </c>
    </row>
    <row r="19016" spans="1:18" ht="60">
      <c r="A19016" s="555">
        <v>1422</v>
      </c>
      <c r="B19016" s="552" t="s">
        <v>34457</v>
      </c>
      <c r="C19016" s="556" t="s">
        <v>34458</v>
      </c>
      <c r="D19016" s="557">
        <v>10.41</v>
      </c>
      <c r="E19016" s="557">
        <v>6.45</v>
      </c>
      <c r="F19016" s="557">
        <v>2.1</v>
      </c>
      <c r="G19016" s="557">
        <v>1.86</v>
      </c>
      <c r="H19016" s="558">
        <v>95.48</v>
      </c>
      <c r="I19016" s="558">
        <v>74.12</v>
      </c>
      <c r="J19016" s="558">
        <v>10.57</v>
      </c>
      <c r="K19016" s="558">
        <v>10.79</v>
      </c>
      <c r="L19016" s="43">
        <v>9.1719500480307392</v>
      </c>
      <c r="M19016" s="43">
        <v>11.498253783469149</v>
      </c>
      <c r="N19016" s="43">
        <v>5.0333333333333332</v>
      </c>
      <c r="O19016" s="43">
        <v>5.8010752688172031</v>
      </c>
      <c r="P19016" s="559"/>
      <c r="Q19016" s="559"/>
      <c r="R19016" s="559">
        <v>6</v>
      </c>
    </row>
    <row r="19017" spans="1:18" ht="60">
      <c r="A19017" s="555">
        <v>1423</v>
      </c>
      <c r="B19017" s="552" t="s">
        <v>34459</v>
      </c>
      <c r="C19017" s="556" t="s">
        <v>34460</v>
      </c>
      <c r="D19017" s="557">
        <v>10.64</v>
      </c>
      <c r="E19017" s="557">
        <v>6.45</v>
      </c>
      <c r="F19017" s="557">
        <v>2.1</v>
      </c>
      <c r="G19017" s="557">
        <v>2.09</v>
      </c>
      <c r="H19017" s="558">
        <v>97.22</v>
      </c>
      <c r="I19017" s="558">
        <v>74.12</v>
      </c>
      <c r="J19017" s="558">
        <v>10.57</v>
      </c>
      <c r="K19017" s="558">
        <v>12.53</v>
      </c>
      <c r="L19017" s="43">
        <v>9.1372180451127818</v>
      </c>
      <c r="M19017" s="43">
        <v>11.498253783469149</v>
      </c>
      <c r="N19017" s="43">
        <v>5.0333333333333332</v>
      </c>
      <c r="O19017" s="43">
        <v>5.9952153110047846</v>
      </c>
      <c r="P19017" s="559"/>
      <c r="Q19017" s="559"/>
      <c r="R19017" s="559">
        <v>6</v>
      </c>
    </row>
    <row r="19018" spans="1:18" ht="60">
      <c r="A19018" s="555">
        <v>1424</v>
      </c>
      <c r="B19018" s="552" t="s">
        <v>34461</v>
      </c>
      <c r="C19018" s="556" t="s">
        <v>34462</v>
      </c>
      <c r="D19018" s="557">
        <v>12.87</v>
      </c>
      <c r="E19018" s="557">
        <v>8.1199999999999992</v>
      </c>
      <c r="F19018" s="557">
        <v>2.63</v>
      </c>
      <c r="G19018" s="557">
        <v>2.12</v>
      </c>
      <c r="H19018" s="558">
        <v>119.48</v>
      </c>
      <c r="I19018" s="558">
        <v>93.39</v>
      </c>
      <c r="J19018" s="558">
        <v>13.22</v>
      </c>
      <c r="K19018" s="558">
        <v>12.87</v>
      </c>
      <c r="L19018" s="43">
        <v>9.2836052836052847</v>
      </c>
      <c r="M19018" s="43">
        <v>11.498253783469149</v>
      </c>
      <c r="N19018" s="43">
        <v>5.0266159695817496</v>
      </c>
      <c r="O19018" s="43">
        <v>6.0707547169811313</v>
      </c>
      <c r="P19018" s="559"/>
      <c r="Q19018" s="559"/>
      <c r="R19018" s="559">
        <v>6</v>
      </c>
    </row>
    <row r="19019" spans="1:18" ht="60">
      <c r="A19019" s="555">
        <v>1425</v>
      </c>
      <c r="B19019" s="552" t="s">
        <v>34463</v>
      </c>
      <c r="C19019" s="556" t="s">
        <v>34464</v>
      </c>
      <c r="D19019" s="557">
        <v>14.75</v>
      </c>
      <c r="E19019" s="557">
        <v>9.5399999999999991</v>
      </c>
      <c r="F19019" s="557">
        <v>3.06</v>
      </c>
      <c r="G19019" s="557">
        <v>2.15</v>
      </c>
      <c r="H19019" s="558">
        <v>138.34</v>
      </c>
      <c r="I19019" s="558">
        <v>109.7</v>
      </c>
      <c r="J19019" s="558">
        <v>15.42</v>
      </c>
      <c r="K19019" s="558">
        <v>13.22</v>
      </c>
      <c r="L19019" s="43">
        <v>9.3789830508474576</v>
      </c>
      <c r="M19019" s="43">
        <v>11.498951781970652</v>
      </c>
      <c r="N19019" s="43">
        <v>5.0392156862745097</v>
      </c>
      <c r="O19019" s="43">
        <v>6.148837209302326</v>
      </c>
      <c r="P19019" s="559"/>
      <c r="Q19019" s="559"/>
      <c r="R19019" s="559">
        <v>6</v>
      </c>
    </row>
    <row r="19020" spans="1:18" ht="60">
      <c r="A19020" s="555">
        <v>1426</v>
      </c>
      <c r="B19020" s="552" t="s">
        <v>34465</v>
      </c>
      <c r="C19020" s="556" t="s">
        <v>34466</v>
      </c>
      <c r="D19020" s="557">
        <v>14.32</v>
      </c>
      <c r="E19020" s="557">
        <v>9.02</v>
      </c>
      <c r="F19020" s="557">
        <v>2.98</v>
      </c>
      <c r="G19020" s="557">
        <v>2.3199999999999998</v>
      </c>
      <c r="H19020" s="558">
        <v>133.04</v>
      </c>
      <c r="I19020" s="558">
        <v>103.77</v>
      </c>
      <c r="J19020" s="558">
        <v>14.98</v>
      </c>
      <c r="K19020" s="558">
        <v>14.29</v>
      </c>
      <c r="L19020" s="43">
        <v>9.2905027932960884</v>
      </c>
      <c r="M19020" s="43">
        <v>11.504434589800443</v>
      </c>
      <c r="N19020" s="43">
        <v>5.026845637583893</v>
      </c>
      <c r="O19020" s="43">
        <v>6.1594827586206895</v>
      </c>
      <c r="P19020" s="559"/>
      <c r="Q19020" s="559"/>
      <c r="R19020" s="559">
        <v>6</v>
      </c>
    </row>
    <row r="19021" spans="1:18" ht="60">
      <c r="A19021" s="555">
        <v>1427</v>
      </c>
      <c r="B19021" s="552" t="s">
        <v>34467</v>
      </c>
      <c r="C19021" s="556" t="s">
        <v>34468</v>
      </c>
      <c r="D19021" s="557">
        <v>15.51</v>
      </c>
      <c r="E19021" s="557">
        <v>9.93</v>
      </c>
      <c r="F19021" s="557">
        <v>3.24</v>
      </c>
      <c r="G19021" s="557">
        <v>2.34</v>
      </c>
      <c r="H19021" s="558">
        <v>144.96</v>
      </c>
      <c r="I19021" s="558">
        <v>114.14</v>
      </c>
      <c r="J19021" s="558">
        <v>16.3</v>
      </c>
      <c r="K19021" s="558">
        <v>14.52</v>
      </c>
      <c r="L19021" s="43">
        <v>9.3462282398452619</v>
      </c>
      <c r="M19021" s="43">
        <v>11.498253783469149</v>
      </c>
      <c r="N19021" s="43">
        <v>5.0308641975308639</v>
      </c>
      <c r="O19021" s="43">
        <v>6.2051282051282053</v>
      </c>
      <c r="P19021" s="559"/>
      <c r="Q19021" s="559"/>
      <c r="R19021" s="559">
        <v>6</v>
      </c>
    </row>
    <row r="19022" spans="1:18" ht="60">
      <c r="A19022" s="555">
        <v>1428</v>
      </c>
      <c r="B19022" s="552" t="s">
        <v>34469</v>
      </c>
      <c r="C19022" s="556" t="s">
        <v>34470</v>
      </c>
      <c r="D19022" s="557">
        <v>16.329999999999998</v>
      </c>
      <c r="E19022" s="557">
        <v>10.57</v>
      </c>
      <c r="F19022" s="557">
        <v>3.41</v>
      </c>
      <c r="G19022" s="557">
        <v>2.35</v>
      </c>
      <c r="H19022" s="558">
        <v>153.38</v>
      </c>
      <c r="I19022" s="558">
        <v>121.56</v>
      </c>
      <c r="J19022" s="558">
        <v>17.18</v>
      </c>
      <c r="K19022" s="558">
        <v>14.64</v>
      </c>
      <c r="L19022" s="43">
        <v>9.3925290875688923</v>
      </c>
      <c r="M19022" s="43">
        <v>11.500473036896878</v>
      </c>
      <c r="N19022" s="43">
        <v>5.0381231671554252</v>
      </c>
      <c r="O19022" s="43">
        <v>6.2297872340425533</v>
      </c>
      <c r="P19022" s="559"/>
      <c r="Q19022" s="559"/>
      <c r="R19022" s="559">
        <v>6</v>
      </c>
    </row>
    <row r="19023" spans="1:18" ht="60">
      <c r="A19023" s="555">
        <v>1429</v>
      </c>
      <c r="B19023" s="552" t="s">
        <v>34471</v>
      </c>
      <c r="C19023" s="556" t="s">
        <v>34472</v>
      </c>
      <c r="D19023" s="557">
        <v>17.36</v>
      </c>
      <c r="E19023" s="557">
        <v>10.83</v>
      </c>
      <c r="F19023" s="557">
        <v>3.5</v>
      </c>
      <c r="G19023" s="557">
        <v>3.03</v>
      </c>
      <c r="H19023" s="558">
        <v>161.69999999999999</v>
      </c>
      <c r="I19023" s="558">
        <v>124.52</v>
      </c>
      <c r="J19023" s="558">
        <v>17.62</v>
      </c>
      <c r="K19023" s="558">
        <v>19.559999999999999</v>
      </c>
      <c r="L19023" s="43">
        <v>9.314516129032258</v>
      </c>
      <c r="M19023" s="43">
        <v>11.497691597414589</v>
      </c>
      <c r="N19023" s="43">
        <v>5.0342857142857147</v>
      </c>
      <c r="O19023" s="43">
        <v>6.4554455445544559</v>
      </c>
      <c r="P19023" s="559"/>
      <c r="Q19023" s="559"/>
      <c r="R19023" s="559">
        <v>6</v>
      </c>
    </row>
    <row r="19024" spans="1:18" ht="60">
      <c r="A19024" s="555">
        <v>1430</v>
      </c>
      <c r="B19024" s="552" t="s">
        <v>34473</v>
      </c>
      <c r="C19024" s="556" t="s">
        <v>34474</v>
      </c>
      <c r="D19024" s="557">
        <v>21.65</v>
      </c>
      <c r="E19024" s="557">
        <v>14.18</v>
      </c>
      <c r="F19024" s="557">
        <v>4.38</v>
      </c>
      <c r="G19024" s="557">
        <v>3.09</v>
      </c>
      <c r="H19024" s="558">
        <v>205.34</v>
      </c>
      <c r="I19024" s="558">
        <v>163.06</v>
      </c>
      <c r="J19024" s="558">
        <v>22.03</v>
      </c>
      <c r="K19024" s="558">
        <v>20.25</v>
      </c>
      <c r="L19024" s="43">
        <v>9.4845265588914565</v>
      </c>
      <c r="M19024" s="43">
        <v>11.499294781382229</v>
      </c>
      <c r="N19024" s="43">
        <v>5.0296803652968043</v>
      </c>
      <c r="O19024" s="43">
        <v>6.5533980582524274</v>
      </c>
      <c r="P19024" s="559"/>
      <c r="Q19024" s="559"/>
      <c r="R19024" s="559">
        <v>6</v>
      </c>
    </row>
    <row r="19025" spans="1:18" ht="60">
      <c r="A19025" s="555">
        <v>1431</v>
      </c>
      <c r="B19025" s="552" t="s">
        <v>34475</v>
      </c>
      <c r="C19025" s="556" t="s">
        <v>34476</v>
      </c>
      <c r="D19025" s="557">
        <v>32.159999999999997</v>
      </c>
      <c r="E19025" s="557">
        <v>21.91</v>
      </c>
      <c r="F19025" s="557">
        <v>7</v>
      </c>
      <c r="G19025" s="557">
        <v>3.25</v>
      </c>
      <c r="H19025" s="558">
        <v>309.35000000000002</v>
      </c>
      <c r="I19025" s="558">
        <v>252.01</v>
      </c>
      <c r="J19025" s="558">
        <v>35.25</v>
      </c>
      <c r="K19025" s="558">
        <v>22.09</v>
      </c>
      <c r="L19025" s="43">
        <v>9.6190920398009965</v>
      </c>
      <c r="M19025" s="43">
        <v>11.502053856686445</v>
      </c>
      <c r="N19025" s="43">
        <v>5.0357142857142856</v>
      </c>
      <c r="O19025" s="43">
        <v>6.7969230769230773</v>
      </c>
      <c r="P19025" s="559"/>
      <c r="Q19025" s="559"/>
      <c r="R19025" s="559">
        <v>6</v>
      </c>
    </row>
    <row r="19026" spans="1:18" ht="60">
      <c r="A19026" s="555">
        <v>1432</v>
      </c>
      <c r="B19026" s="552" t="s">
        <v>34477</v>
      </c>
      <c r="C19026" s="556" t="s">
        <v>34478</v>
      </c>
      <c r="D19026" s="557">
        <v>33.909999999999997</v>
      </c>
      <c r="E19026" s="557">
        <v>23.2</v>
      </c>
      <c r="F19026" s="557">
        <v>7.44</v>
      </c>
      <c r="G19026" s="557">
        <v>3.27</v>
      </c>
      <c r="H19026" s="558">
        <v>326.60000000000002</v>
      </c>
      <c r="I19026" s="558">
        <v>266.83</v>
      </c>
      <c r="J19026" s="558">
        <v>37.450000000000003</v>
      </c>
      <c r="K19026" s="558">
        <v>22.32</v>
      </c>
      <c r="L19026" s="43">
        <v>9.6313771748746699</v>
      </c>
      <c r="M19026" s="43">
        <v>11.501293103448276</v>
      </c>
      <c r="N19026" s="43">
        <v>5.0336021505376349</v>
      </c>
      <c r="O19026" s="43">
        <v>6.8256880733944953</v>
      </c>
      <c r="P19026" s="559"/>
      <c r="Q19026" s="559"/>
      <c r="R19026" s="559">
        <v>6</v>
      </c>
    </row>
    <row r="19027" spans="1:18" ht="60">
      <c r="A19027" s="555">
        <v>1433</v>
      </c>
      <c r="B19027" s="552" t="s">
        <v>34479</v>
      </c>
      <c r="C19027" s="556" t="s">
        <v>34480</v>
      </c>
      <c r="D19027" s="557">
        <v>26.08</v>
      </c>
      <c r="E19027" s="557">
        <v>16.760000000000002</v>
      </c>
      <c r="F19027" s="557">
        <v>5.25</v>
      </c>
      <c r="G19027" s="557">
        <v>4.07</v>
      </c>
      <c r="H19027" s="558">
        <v>246.43</v>
      </c>
      <c r="I19027" s="558">
        <v>192.71</v>
      </c>
      <c r="J19027" s="558">
        <v>26.44</v>
      </c>
      <c r="K19027" s="558">
        <v>27.28</v>
      </c>
      <c r="L19027" s="43">
        <v>9.4490030674846643</v>
      </c>
      <c r="M19027" s="43">
        <v>11.498210023866347</v>
      </c>
      <c r="N19027" s="43">
        <v>5.0361904761904768</v>
      </c>
      <c r="O19027" s="43">
        <v>6.7027027027027026</v>
      </c>
      <c r="P19027" s="559"/>
      <c r="Q19027" s="559"/>
      <c r="R19027" s="559">
        <v>6</v>
      </c>
    </row>
    <row r="19028" spans="1:18" ht="60">
      <c r="A19028" s="555">
        <v>1434</v>
      </c>
      <c r="B19028" s="552" t="s">
        <v>34481</v>
      </c>
      <c r="C19028" s="556" t="s">
        <v>34482</v>
      </c>
      <c r="D19028" s="557">
        <v>31.32</v>
      </c>
      <c r="E19028" s="557">
        <v>20.62</v>
      </c>
      <c r="F19028" s="557">
        <v>6.56</v>
      </c>
      <c r="G19028" s="557">
        <v>4.1399999999999997</v>
      </c>
      <c r="H19028" s="558">
        <v>298.32</v>
      </c>
      <c r="I19028" s="558">
        <v>237.18</v>
      </c>
      <c r="J19028" s="558">
        <v>33.049999999999997</v>
      </c>
      <c r="K19028" s="558">
        <v>28.09</v>
      </c>
      <c r="L19028" s="43">
        <v>9.5249042145593865</v>
      </c>
      <c r="M19028" s="43">
        <v>11.502424830261882</v>
      </c>
      <c r="N19028" s="43">
        <v>5.038109756097561</v>
      </c>
      <c r="O19028" s="43">
        <v>6.7850241545893724</v>
      </c>
      <c r="P19028" s="559"/>
      <c r="Q19028" s="559"/>
      <c r="R19028" s="559">
        <v>6</v>
      </c>
    </row>
    <row r="19029" spans="1:18" ht="60">
      <c r="A19029" s="555">
        <v>1435</v>
      </c>
      <c r="B19029" s="552" t="s">
        <v>34483</v>
      </c>
      <c r="C19029" s="556" t="s">
        <v>34484</v>
      </c>
      <c r="D19029" s="557">
        <v>37.909999999999997</v>
      </c>
      <c r="E19029" s="557">
        <v>25.78</v>
      </c>
      <c r="F19029" s="557">
        <v>7.88</v>
      </c>
      <c r="G19029" s="557">
        <v>4.25</v>
      </c>
      <c r="H19029" s="558">
        <v>365.48</v>
      </c>
      <c r="I19029" s="558">
        <v>296.48</v>
      </c>
      <c r="J19029" s="558">
        <v>39.65</v>
      </c>
      <c r="K19029" s="558">
        <v>29.35</v>
      </c>
      <c r="L19029" s="43">
        <v>9.6407280400949631</v>
      </c>
      <c r="M19029" s="43">
        <v>11.500387897595035</v>
      </c>
      <c r="N19029" s="43">
        <v>5.031725888324873</v>
      </c>
      <c r="O19029" s="43">
        <v>6.9058823529411768</v>
      </c>
      <c r="P19029" s="559"/>
      <c r="Q19029" s="559"/>
      <c r="R19029" s="559">
        <v>6</v>
      </c>
    </row>
    <row r="19030" spans="1:18" ht="60">
      <c r="A19030" s="555">
        <v>1436</v>
      </c>
      <c r="B19030" s="552" t="s">
        <v>34485</v>
      </c>
      <c r="C19030" s="556" t="s">
        <v>34486</v>
      </c>
      <c r="D19030" s="557">
        <v>40.090000000000003</v>
      </c>
      <c r="E19030" s="557">
        <v>27.07</v>
      </c>
      <c r="F19030" s="557">
        <v>8.75</v>
      </c>
      <c r="G19030" s="557">
        <v>4.2699999999999996</v>
      </c>
      <c r="H19030" s="558">
        <v>384.94</v>
      </c>
      <c r="I19030" s="558">
        <v>311.3</v>
      </c>
      <c r="J19030" s="558">
        <v>44.06</v>
      </c>
      <c r="K19030" s="558">
        <v>29.58</v>
      </c>
      <c r="L19030" s="43">
        <v>9.6018957345971554</v>
      </c>
      <c r="M19030" s="43">
        <v>11.499815293683044</v>
      </c>
      <c r="N19030" s="43">
        <v>5.0354285714285716</v>
      </c>
      <c r="O19030" s="43">
        <v>6.9274004683840751</v>
      </c>
      <c r="P19030" s="559"/>
      <c r="Q19030" s="559"/>
      <c r="R19030" s="559">
        <v>6</v>
      </c>
    </row>
    <row r="19031" spans="1:18" ht="60">
      <c r="A19031" s="555">
        <v>1437</v>
      </c>
      <c r="B19031" s="552" t="s">
        <v>34487</v>
      </c>
      <c r="C19031" s="556" t="s">
        <v>34488</v>
      </c>
      <c r="D19031" s="557">
        <v>65.94</v>
      </c>
      <c r="E19031" s="557">
        <v>46.4</v>
      </c>
      <c r="F19031" s="557">
        <v>14.88</v>
      </c>
      <c r="G19031" s="557">
        <v>4.66</v>
      </c>
      <c r="H19031" s="558">
        <v>642.63</v>
      </c>
      <c r="I19031" s="558">
        <v>533.66</v>
      </c>
      <c r="J19031" s="558">
        <v>74.900000000000006</v>
      </c>
      <c r="K19031" s="558">
        <v>34.07</v>
      </c>
      <c r="L19031" s="43">
        <v>9.7456778889899915</v>
      </c>
      <c r="M19031" s="43">
        <v>11.501293103448276</v>
      </c>
      <c r="N19031" s="43">
        <v>5.0336021505376349</v>
      </c>
      <c r="O19031" s="43">
        <v>7.3111587982832615</v>
      </c>
      <c r="P19031" s="559"/>
      <c r="Q19031" s="559"/>
      <c r="R19031" s="559">
        <v>6</v>
      </c>
    </row>
    <row r="19032" spans="1:18" ht="60">
      <c r="A19032" s="555">
        <v>1438</v>
      </c>
      <c r="B19032" s="552" t="s">
        <v>34489</v>
      </c>
      <c r="C19032" s="556" t="s">
        <v>34490</v>
      </c>
      <c r="D19032" s="557">
        <v>90.03</v>
      </c>
      <c r="E19032" s="557">
        <v>64.45</v>
      </c>
      <c r="F19032" s="557">
        <v>20.56</v>
      </c>
      <c r="G19032" s="557">
        <v>5.0199999999999996</v>
      </c>
      <c r="H19032" s="558">
        <v>882.95</v>
      </c>
      <c r="I19032" s="558">
        <v>741.2</v>
      </c>
      <c r="J19032" s="558">
        <v>103.54</v>
      </c>
      <c r="K19032" s="558">
        <v>38.21</v>
      </c>
      <c r="L19032" s="43">
        <v>9.8072864600688661</v>
      </c>
      <c r="M19032" s="43">
        <v>11.500387897595035</v>
      </c>
      <c r="N19032" s="43">
        <v>5.0359922178988334</v>
      </c>
      <c r="O19032" s="43">
        <v>7.6115537848605586</v>
      </c>
      <c r="P19032" s="559"/>
      <c r="Q19032" s="559"/>
      <c r="R19032" s="559">
        <v>6</v>
      </c>
    </row>
    <row r="19033" spans="1:18" ht="60">
      <c r="A19033" s="555">
        <v>1439</v>
      </c>
      <c r="B19033" s="552" t="s">
        <v>34491</v>
      </c>
      <c r="C19033" s="556" t="s">
        <v>34492</v>
      </c>
      <c r="D19033" s="557">
        <v>33.79</v>
      </c>
      <c r="E19033" s="557">
        <v>21.91</v>
      </c>
      <c r="F19033" s="557">
        <v>7</v>
      </c>
      <c r="G19033" s="557">
        <v>4.88</v>
      </c>
      <c r="H19033" s="558">
        <v>321.02</v>
      </c>
      <c r="I19033" s="558">
        <v>252.01</v>
      </c>
      <c r="J19033" s="558">
        <v>35.25</v>
      </c>
      <c r="K19033" s="558">
        <v>33.76</v>
      </c>
      <c r="L19033" s="43">
        <v>9.5004439183190286</v>
      </c>
      <c r="M19033" s="43">
        <v>11.502053856686445</v>
      </c>
      <c r="N19033" s="43">
        <v>5.0357142857142856</v>
      </c>
      <c r="O19033" s="43">
        <v>6.918032786885246</v>
      </c>
      <c r="P19033" s="559"/>
      <c r="Q19033" s="559"/>
      <c r="R19033" s="559">
        <v>6</v>
      </c>
    </row>
    <row r="19034" spans="1:18" ht="60">
      <c r="A19034" s="555">
        <v>1440</v>
      </c>
      <c r="B19034" s="552" t="s">
        <v>34493</v>
      </c>
      <c r="C19034" s="556" t="s">
        <v>34494</v>
      </c>
      <c r="D19034" s="557">
        <v>40.799999999999997</v>
      </c>
      <c r="E19034" s="557">
        <v>27.07</v>
      </c>
      <c r="F19034" s="557">
        <v>8.75</v>
      </c>
      <c r="G19034" s="557">
        <v>4.9800000000000004</v>
      </c>
      <c r="H19034" s="558">
        <v>390.27</v>
      </c>
      <c r="I19034" s="558">
        <v>311.3</v>
      </c>
      <c r="J19034" s="558">
        <v>44.06</v>
      </c>
      <c r="K19034" s="558">
        <v>34.909999999999997</v>
      </c>
      <c r="L19034" s="43">
        <v>9.5654411764705891</v>
      </c>
      <c r="M19034" s="43">
        <v>11.499815293683044</v>
      </c>
      <c r="N19034" s="43">
        <v>5.0354285714285716</v>
      </c>
      <c r="O19034" s="43">
        <v>7.0100401606425686</v>
      </c>
      <c r="P19034" s="559"/>
      <c r="Q19034" s="559"/>
      <c r="R19034" s="559">
        <v>6</v>
      </c>
    </row>
    <row r="19035" spans="1:18" ht="60">
      <c r="A19035" s="555">
        <v>1441</v>
      </c>
      <c r="B19035" s="552" t="s">
        <v>34495</v>
      </c>
      <c r="C19035" s="556" t="s">
        <v>34496</v>
      </c>
      <c r="D19035" s="557">
        <v>46.06</v>
      </c>
      <c r="E19035" s="557">
        <v>30.94</v>
      </c>
      <c r="F19035" s="557">
        <v>10.06</v>
      </c>
      <c r="G19035" s="557">
        <v>5.0599999999999996</v>
      </c>
      <c r="H19035" s="558">
        <v>442.28</v>
      </c>
      <c r="I19035" s="558">
        <v>355.78</v>
      </c>
      <c r="J19035" s="558">
        <v>50.67</v>
      </c>
      <c r="K19035" s="558">
        <v>35.83</v>
      </c>
      <c r="L19035" s="43">
        <v>9.6022579244463735</v>
      </c>
      <c r="M19035" s="43">
        <v>11.499030381383321</v>
      </c>
      <c r="N19035" s="43">
        <v>5.036779324055666</v>
      </c>
      <c r="O19035" s="43">
        <v>7.0810276679841904</v>
      </c>
      <c r="P19035" s="559"/>
      <c r="Q19035" s="559"/>
      <c r="R19035" s="559">
        <v>6</v>
      </c>
    </row>
    <row r="19036" spans="1:18" ht="60">
      <c r="A19036" s="555">
        <v>1442</v>
      </c>
      <c r="B19036" s="552" t="s">
        <v>34497</v>
      </c>
      <c r="C19036" s="556" t="s">
        <v>34498</v>
      </c>
      <c r="D19036" s="557">
        <v>53.06</v>
      </c>
      <c r="E19036" s="557">
        <v>36.090000000000003</v>
      </c>
      <c r="F19036" s="557">
        <v>11.81</v>
      </c>
      <c r="G19036" s="557">
        <v>5.16</v>
      </c>
      <c r="H19036" s="558">
        <v>511.53</v>
      </c>
      <c r="I19036" s="558">
        <v>415.07</v>
      </c>
      <c r="J19036" s="558">
        <v>59.48</v>
      </c>
      <c r="K19036" s="558">
        <v>36.979999999999997</v>
      </c>
      <c r="L19036" s="43">
        <v>9.6405955522050508</v>
      </c>
      <c r="M19036" s="43">
        <v>11.500969797727901</v>
      </c>
      <c r="N19036" s="43">
        <v>5.0364098221845888</v>
      </c>
      <c r="O19036" s="43">
        <v>7.1666666666666661</v>
      </c>
      <c r="P19036" s="559"/>
      <c r="Q19036" s="559"/>
      <c r="R19036" s="559">
        <v>6</v>
      </c>
    </row>
    <row r="19037" spans="1:18" ht="60">
      <c r="A19037" s="555">
        <v>1443</v>
      </c>
      <c r="B19037" s="552" t="s">
        <v>34499</v>
      </c>
      <c r="C19037" s="556" t="s">
        <v>34500</v>
      </c>
      <c r="D19037" s="557">
        <v>80.67</v>
      </c>
      <c r="E19037" s="557">
        <v>56.72</v>
      </c>
      <c r="F19037" s="557">
        <v>18.38</v>
      </c>
      <c r="G19037" s="557">
        <v>5.57</v>
      </c>
      <c r="H19037" s="558">
        <v>786.49</v>
      </c>
      <c r="I19037" s="558">
        <v>652.26</v>
      </c>
      <c r="J19037" s="558">
        <v>92.53</v>
      </c>
      <c r="K19037" s="558">
        <v>41.7</v>
      </c>
      <c r="L19037" s="43">
        <v>9.7494731622660211</v>
      </c>
      <c r="M19037" s="43">
        <v>11.499647390691115</v>
      </c>
      <c r="N19037" s="43">
        <v>5.0342763873775844</v>
      </c>
      <c r="O19037" s="43">
        <v>7.4865350089766611</v>
      </c>
      <c r="P19037" s="559"/>
      <c r="Q19037" s="559"/>
      <c r="R19037" s="559">
        <v>6</v>
      </c>
    </row>
    <row r="19038" spans="1:18" ht="60">
      <c r="A19038" s="555">
        <v>1444</v>
      </c>
      <c r="B19038" s="552" t="s">
        <v>34501</v>
      </c>
      <c r="C19038" s="556" t="s">
        <v>34502</v>
      </c>
      <c r="D19038" s="557">
        <v>113.52</v>
      </c>
      <c r="E19038" s="557">
        <v>81.209999999999994</v>
      </c>
      <c r="F19038" s="557">
        <v>26.25</v>
      </c>
      <c r="G19038" s="557">
        <v>6.06</v>
      </c>
      <c r="H19038" s="558">
        <v>1113.42</v>
      </c>
      <c r="I19038" s="558">
        <v>933.91</v>
      </c>
      <c r="J19038" s="558">
        <v>132.18</v>
      </c>
      <c r="K19038" s="558">
        <v>47.33</v>
      </c>
      <c r="L19038" s="43">
        <v>9.8081395348837219</v>
      </c>
      <c r="M19038" s="43">
        <v>11.499938431227681</v>
      </c>
      <c r="N19038" s="43">
        <v>5.0354285714285716</v>
      </c>
      <c r="O19038" s="43">
        <v>7.8102310231023102</v>
      </c>
      <c r="P19038" s="559"/>
      <c r="Q19038" s="559"/>
      <c r="R19038" s="559">
        <v>6</v>
      </c>
    </row>
    <row r="19039" spans="1:18" ht="60">
      <c r="A19039" s="555">
        <v>1445</v>
      </c>
      <c r="B19039" s="552" t="s">
        <v>34503</v>
      </c>
      <c r="C19039" s="556" t="s">
        <v>34504</v>
      </c>
      <c r="D19039" s="557">
        <v>41.53</v>
      </c>
      <c r="E19039" s="557">
        <v>27.07</v>
      </c>
      <c r="F19039" s="557">
        <v>8.75</v>
      </c>
      <c r="G19039" s="557">
        <v>5.71</v>
      </c>
      <c r="H19039" s="558">
        <v>395.38</v>
      </c>
      <c r="I19039" s="558">
        <v>311.3</v>
      </c>
      <c r="J19039" s="558">
        <v>44.06</v>
      </c>
      <c r="K19039" s="558">
        <v>40.020000000000003</v>
      </c>
      <c r="L19039" s="43">
        <v>9.5203467372983379</v>
      </c>
      <c r="M19039" s="43">
        <v>11.499815293683044</v>
      </c>
      <c r="N19039" s="43">
        <v>5.0354285714285716</v>
      </c>
      <c r="O19039" s="43">
        <v>7.0087565674255696</v>
      </c>
      <c r="P19039" s="559"/>
      <c r="Q19039" s="559"/>
      <c r="R19039" s="559">
        <v>6</v>
      </c>
    </row>
    <row r="19040" spans="1:18" ht="60">
      <c r="A19040" s="555">
        <v>1446</v>
      </c>
      <c r="B19040" s="552" t="s">
        <v>34505</v>
      </c>
      <c r="C19040" s="556" t="s">
        <v>34506</v>
      </c>
      <c r="D19040" s="557">
        <v>50.29</v>
      </c>
      <c r="E19040" s="557">
        <v>33.51</v>
      </c>
      <c r="F19040" s="557">
        <v>10.94</v>
      </c>
      <c r="G19040" s="557">
        <v>5.84</v>
      </c>
      <c r="H19040" s="558">
        <v>482.02</v>
      </c>
      <c r="I19040" s="558">
        <v>385.42</v>
      </c>
      <c r="J19040" s="558">
        <v>55.08</v>
      </c>
      <c r="K19040" s="558">
        <v>41.52</v>
      </c>
      <c r="L19040" s="43">
        <v>9.5848081129449199</v>
      </c>
      <c r="M19040" s="43">
        <v>11.501641301104149</v>
      </c>
      <c r="N19040" s="43">
        <v>5.0347349177330898</v>
      </c>
      <c r="O19040" s="43">
        <v>7.1095890410958908</v>
      </c>
      <c r="P19040" s="559"/>
      <c r="Q19040" s="559"/>
      <c r="R19040" s="559">
        <v>6</v>
      </c>
    </row>
    <row r="19041" spans="1:18" ht="60">
      <c r="A19041" s="555">
        <v>1447</v>
      </c>
      <c r="B19041" s="552" t="s">
        <v>34507</v>
      </c>
      <c r="C19041" s="556" t="s">
        <v>34508</v>
      </c>
      <c r="D19041" s="557">
        <v>58.62</v>
      </c>
      <c r="E19041" s="557">
        <v>39.96</v>
      </c>
      <c r="F19041" s="557">
        <v>12.69</v>
      </c>
      <c r="G19041" s="557">
        <v>5.97</v>
      </c>
      <c r="H19041" s="558">
        <v>566.44000000000005</v>
      </c>
      <c r="I19041" s="558">
        <v>459.54</v>
      </c>
      <c r="J19041" s="558">
        <v>63.89</v>
      </c>
      <c r="K19041" s="558">
        <v>43.01</v>
      </c>
      <c r="L19041" s="43">
        <v>9.6629136813374288</v>
      </c>
      <c r="M19041" s="43">
        <v>11.5</v>
      </c>
      <c r="N19041" s="43">
        <v>5.0346729708431841</v>
      </c>
      <c r="O19041" s="43">
        <v>7.2043551088777216</v>
      </c>
      <c r="P19041" s="559"/>
      <c r="Q19041" s="559"/>
      <c r="R19041" s="559">
        <v>6</v>
      </c>
    </row>
    <row r="19042" spans="1:18" ht="60">
      <c r="A19042" s="555">
        <v>1448</v>
      </c>
      <c r="B19042" s="552" t="s">
        <v>34509</v>
      </c>
      <c r="C19042" s="556" t="s">
        <v>34510</v>
      </c>
      <c r="D19042" s="557">
        <v>63.88</v>
      </c>
      <c r="E19042" s="557">
        <v>43.83</v>
      </c>
      <c r="F19042" s="557">
        <v>14</v>
      </c>
      <c r="G19042" s="557">
        <v>6.05</v>
      </c>
      <c r="H19042" s="558">
        <v>618.45000000000005</v>
      </c>
      <c r="I19042" s="558">
        <v>504.02</v>
      </c>
      <c r="J19042" s="558">
        <v>70.5</v>
      </c>
      <c r="K19042" s="558">
        <v>43.93</v>
      </c>
      <c r="L19042" s="43">
        <v>9.6814339386349406</v>
      </c>
      <c r="M19042" s="43">
        <v>11.499429614419347</v>
      </c>
      <c r="N19042" s="43">
        <v>5.0357142857142856</v>
      </c>
      <c r="O19042" s="43">
        <v>7.2611570247933885</v>
      </c>
      <c r="P19042" s="559"/>
      <c r="Q19042" s="559"/>
      <c r="R19042" s="559">
        <v>6</v>
      </c>
    </row>
    <row r="19043" spans="1:18" ht="60">
      <c r="A19043" s="555">
        <v>1449</v>
      </c>
      <c r="B19043" s="552" t="s">
        <v>34511</v>
      </c>
      <c r="C19043" s="556" t="s">
        <v>34512</v>
      </c>
      <c r="D19043" s="557">
        <v>101.98</v>
      </c>
      <c r="E19043" s="557">
        <v>72.180000000000007</v>
      </c>
      <c r="F19043" s="557">
        <v>23.19</v>
      </c>
      <c r="G19043" s="557">
        <v>6.61</v>
      </c>
      <c r="H19043" s="558">
        <v>997.27</v>
      </c>
      <c r="I19043" s="558">
        <v>830.14</v>
      </c>
      <c r="J19043" s="558">
        <v>116.76</v>
      </c>
      <c r="K19043" s="558">
        <v>50.37</v>
      </c>
      <c r="L19043" s="43">
        <v>9.7790743282996662</v>
      </c>
      <c r="M19043" s="43">
        <v>11.500969797727901</v>
      </c>
      <c r="N19043" s="43">
        <v>5.0349288486416555</v>
      </c>
      <c r="O19043" s="43">
        <v>7.6202723146747342</v>
      </c>
      <c r="P19043" s="559"/>
      <c r="Q19043" s="559"/>
      <c r="R19043" s="559">
        <v>6</v>
      </c>
    </row>
    <row r="19044" spans="1:18" ht="60">
      <c r="A19044" s="555">
        <v>1450</v>
      </c>
      <c r="B19044" s="552" t="s">
        <v>34513</v>
      </c>
      <c r="C19044" s="556" t="s">
        <v>34514</v>
      </c>
      <c r="D19044" s="557">
        <v>134.84</v>
      </c>
      <c r="E19044" s="557">
        <v>96.68</v>
      </c>
      <c r="F19044" s="557">
        <v>31.06</v>
      </c>
      <c r="G19044" s="557">
        <v>7.1</v>
      </c>
      <c r="H19044" s="558">
        <v>1324.22</v>
      </c>
      <c r="I19044" s="558">
        <v>1111.8</v>
      </c>
      <c r="J19044" s="558">
        <v>156.41</v>
      </c>
      <c r="K19044" s="558">
        <v>56.01</v>
      </c>
      <c r="L19044" s="43">
        <v>9.8206763571640465</v>
      </c>
      <c r="M19044" s="43">
        <v>11.499793131981795</v>
      </c>
      <c r="N19044" s="43">
        <v>5.0357372826786868</v>
      </c>
      <c r="O19044" s="43">
        <v>7.8887323943661976</v>
      </c>
      <c r="P19044" s="559"/>
      <c r="Q19044" s="559"/>
      <c r="R19044" s="559">
        <v>6</v>
      </c>
    </row>
    <row r="19045" spans="1:18" ht="60">
      <c r="A19045" s="555">
        <v>1451</v>
      </c>
      <c r="B19045" s="552" t="s">
        <v>34515</v>
      </c>
      <c r="C19045" s="556" t="s">
        <v>34516</v>
      </c>
      <c r="D19045" s="557">
        <v>49.28</v>
      </c>
      <c r="E19045" s="557">
        <v>32.229999999999997</v>
      </c>
      <c r="F19045" s="557">
        <v>10.5</v>
      </c>
      <c r="G19045" s="557">
        <v>6.55</v>
      </c>
      <c r="H19045" s="558">
        <v>469.75</v>
      </c>
      <c r="I19045" s="558">
        <v>370.6</v>
      </c>
      <c r="J19045" s="558">
        <v>52.87</v>
      </c>
      <c r="K19045" s="558">
        <v>46.28</v>
      </c>
      <c r="L19045" s="43">
        <v>9.5322646103896105</v>
      </c>
      <c r="M19045" s="43">
        <v>11.498603785293207</v>
      </c>
      <c r="N19045" s="43">
        <v>5.0352380952380953</v>
      </c>
      <c r="O19045" s="43">
        <v>7.0656488549618324</v>
      </c>
      <c r="P19045" s="559"/>
      <c r="Q19045" s="559"/>
      <c r="R19045" s="559">
        <v>6</v>
      </c>
    </row>
    <row r="19046" spans="1:18" ht="60">
      <c r="A19046" s="555">
        <v>1452</v>
      </c>
      <c r="B19046" s="552" t="s">
        <v>34517</v>
      </c>
      <c r="C19046" s="556" t="s">
        <v>34518</v>
      </c>
      <c r="D19046" s="557">
        <v>61.11</v>
      </c>
      <c r="E19046" s="557">
        <v>41.25</v>
      </c>
      <c r="F19046" s="557">
        <v>13.13</v>
      </c>
      <c r="G19046" s="557">
        <v>6.73</v>
      </c>
      <c r="H19046" s="558">
        <v>588.80999999999995</v>
      </c>
      <c r="I19046" s="558">
        <v>474.37</v>
      </c>
      <c r="J19046" s="558">
        <v>66.09</v>
      </c>
      <c r="K19046" s="558">
        <v>48.35</v>
      </c>
      <c r="L19046" s="43">
        <v>9.6352479135984286</v>
      </c>
      <c r="M19046" s="43">
        <v>11.499878787878789</v>
      </c>
      <c r="N19046" s="43">
        <v>5.0335110434120338</v>
      </c>
      <c r="O19046" s="43">
        <v>7.1842496285289741</v>
      </c>
      <c r="P19046" s="559"/>
      <c r="Q19046" s="559"/>
      <c r="R19046" s="559">
        <v>6</v>
      </c>
    </row>
    <row r="19047" spans="1:18" ht="60">
      <c r="A19047" s="555">
        <v>1453</v>
      </c>
      <c r="B19047" s="552" t="s">
        <v>34519</v>
      </c>
      <c r="C19047" s="556" t="s">
        <v>34520</v>
      </c>
      <c r="D19047" s="557">
        <v>66.37</v>
      </c>
      <c r="E19047" s="557">
        <v>45.12</v>
      </c>
      <c r="F19047" s="557">
        <v>14.44</v>
      </c>
      <c r="G19047" s="557">
        <v>6.81</v>
      </c>
      <c r="H19047" s="558">
        <v>640.80999999999995</v>
      </c>
      <c r="I19047" s="558">
        <v>518.84</v>
      </c>
      <c r="J19047" s="558">
        <v>72.7</v>
      </c>
      <c r="K19047" s="558">
        <v>49.27</v>
      </c>
      <c r="L19047" s="43">
        <v>9.6551152629199919</v>
      </c>
      <c r="M19047" s="43">
        <v>11.499113475177307</v>
      </c>
      <c r="N19047" s="43">
        <v>5.0346260387811634</v>
      </c>
      <c r="O19047" s="43">
        <v>7.2349486049926588</v>
      </c>
      <c r="P19047" s="559"/>
      <c r="Q19047" s="559"/>
      <c r="R19047" s="559">
        <v>6</v>
      </c>
    </row>
    <row r="19048" spans="1:18" ht="60">
      <c r="A19048" s="555">
        <v>1454</v>
      </c>
      <c r="B19048" s="552" t="s">
        <v>34521</v>
      </c>
      <c r="C19048" s="556" t="s">
        <v>34522</v>
      </c>
      <c r="D19048" s="557">
        <v>75.13</v>
      </c>
      <c r="E19048" s="557">
        <v>51.56</v>
      </c>
      <c r="F19048" s="557">
        <v>16.63</v>
      </c>
      <c r="G19048" s="557">
        <v>6.94</v>
      </c>
      <c r="H19048" s="558">
        <v>727.44</v>
      </c>
      <c r="I19048" s="558">
        <v>592.96</v>
      </c>
      <c r="J19048" s="558">
        <v>83.71</v>
      </c>
      <c r="K19048" s="558">
        <v>50.77</v>
      </c>
      <c r="L19048" s="43">
        <v>9.6824171436177302</v>
      </c>
      <c r="M19048" s="43">
        <v>11.500387897595035</v>
      </c>
      <c r="N19048" s="43">
        <v>5.0336740829825617</v>
      </c>
      <c r="O19048" s="43">
        <v>7.315561959654179</v>
      </c>
      <c r="P19048" s="559"/>
      <c r="Q19048" s="559"/>
      <c r="R19048" s="559">
        <v>6</v>
      </c>
    </row>
    <row r="19049" spans="1:18" ht="60">
      <c r="A19049" s="555">
        <v>1455</v>
      </c>
      <c r="B19049" s="552" t="s">
        <v>34523</v>
      </c>
      <c r="C19049" s="556" t="s">
        <v>34524</v>
      </c>
      <c r="D19049" s="557">
        <v>118.51</v>
      </c>
      <c r="E19049" s="557">
        <v>83.79</v>
      </c>
      <c r="F19049" s="557">
        <v>27.13</v>
      </c>
      <c r="G19049" s="557">
        <v>7.59</v>
      </c>
      <c r="H19049" s="558">
        <v>1158.3900000000001</v>
      </c>
      <c r="I19049" s="558">
        <v>963.56</v>
      </c>
      <c r="J19049" s="558">
        <v>136.59</v>
      </c>
      <c r="K19049" s="558">
        <v>58.24</v>
      </c>
      <c r="L19049" s="43">
        <v>9.7746181756813773</v>
      </c>
      <c r="M19049" s="43">
        <v>11.49970163503998</v>
      </c>
      <c r="N19049" s="43">
        <v>5.0346479911537045</v>
      </c>
      <c r="O19049" s="43">
        <v>7.6732542819499345</v>
      </c>
      <c r="P19049" s="559"/>
      <c r="Q19049" s="559"/>
      <c r="R19049" s="559">
        <v>6</v>
      </c>
    </row>
    <row r="19050" spans="1:18" ht="60">
      <c r="A19050" s="555">
        <v>1456</v>
      </c>
      <c r="B19050" s="552" t="s">
        <v>34525</v>
      </c>
      <c r="C19050" s="556" t="s">
        <v>34526</v>
      </c>
      <c r="D19050" s="557">
        <v>154.86000000000001</v>
      </c>
      <c r="E19050" s="557">
        <v>110.85</v>
      </c>
      <c r="F19050" s="557">
        <v>35.880000000000003</v>
      </c>
      <c r="G19050" s="557">
        <v>8.1300000000000008</v>
      </c>
      <c r="H19050" s="558">
        <v>1519.96</v>
      </c>
      <c r="I19050" s="558">
        <v>1274.8599999999999</v>
      </c>
      <c r="J19050" s="558">
        <v>180.65</v>
      </c>
      <c r="K19050" s="558">
        <v>64.45</v>
      </c>
      <c r="L19050" s="43">
        <v>9.8150587627534538</v>
      </c>
      <c r="M19050" s="43">
        <v>11.500766801984664</v>
      </c>
      <c r="N19050" s="43">
        <v>5.0348383500557414</v>
      </c>
      <c r="O19050" s="43">
        <v>7.9274292742927424</v>
      </c>
      <c r="P19050" s="559"/>
      <c r="Q19050" s="559"/>
      <c r="R19050" s="559">
        <v>6</v>
      </c>
    </row>
    <row r="19051" spans="1:18" ht="60">
      <c r="A19051" s="555">
        <v>1457</v>
      </c>
      <c r="B19051" s="552" t="s">
        <v>34527</v>
      </c>
      <c r="C19051" s="556" t="s">
        <v>34528</v>
      </c>
      <c r="D19051" s="557">
        <v>60.8</v>
      </c>
      <c r="E19051" s="557">
        <v>39.96</v>
      </c>
      <c r="F19051" s="557">
        <v>12.69</v>
      </c>
      <c r="G19051" s="557">
        <v>8.15</v>
      </c>
      <c r="H19051" s="558">
        <v>581.99</v>
      </c>
      <c r="I19051" s="558">
        <v>459.54</v>
      </c>
      <c r="J19051" s="558">
        <v>63.89</v>
      </c>
      <c r="K19051" s="558">
        <v>58.56</v>
      </c>
      <c r="L19051" s="43">
        <v>9.572203947368422</v>
      </c>
      <c r="M19051" s="43">
        <v>11.5</v>
      </c>
      <c r="N19051" s="43">
        <v>5.0346729708431841</v>
      </c>
      <c r="O19051" s="43">
        <v>7.1852760736196322</v>
      </c>
      <c r="P19051" s="559"/>
      <c r="Q19051" s="559"/>
      <c r="R19051" s="559">
        <v>6</v>
      </c>
    </row>
    <row r="19052" spans="1:18" ht="60">
      <c r="A19052" s="555">
        <v>1458</v>
      </c>
      <c r="B19052" s="552" t="s">
        <v>34529</v>
      </c>
      <c r="C19052" s="556" t="s">
        <v>34530</v>
      </c>
      <c r="D19052" s="557">
        <v>73.06</v>
      </c>
      <c r="E19052" s="557">
        <v>48.98</v>
      </c>
      <c r="F19052" s="557">
        <v>15.75</v>
      </c>
      <c r="G19052" s="557">
        <v>8.33</v>
      </c>
      <c r="H19052" s="558">
        <v>703.25</v>
      </c>
      <c r="I19052" s="558">
        <v>563.30999999999995</v>
      </c>
      <c r="J19052" s="558">
        <v>79.31</v>
      </c>
      <c r="K19052" s="558">
        <v>60.63</v>
      </c>
      <c r="L19052" s="43">
        <v>9.6256501505611816</v>
      </c>
      <c r="M19052" s="43">
        <v>11.500816659861167</v>
      </c>
      <c r="N19052" s="43">
        <v>5.0355555555555558</v>
      </c>
      <c r="O19052" s="43">
        <v>7.2785114045618249</v>
      </c>
      <c r="P19052" s="559"/>
      <c r="Q19052" s="559"/>
      <c r="R19052" s="559">
        <v>6</v>
      </c>
    </row>
    <row r="19053" spans="1:18" ht="60">
      <c r="A19053" s="555">
        <v>1459</v>
      </c>
      <c r="B19053" s="552" t="s">
        <v>34531</v>
      </c>
      <c r="C19053" s="556" t="s">
        <v>34532</v>
      </c>
      <c r="D19053" s="557">
        <v>78.319999999999993</v>
      </c>
      <c r="E19053" s="557">
        <v>52.85</v>
      </c>
      <c r="F19053" s="557">
        <v>17.059999999999999</v>
      </c>
      <c r="G19053" s="557">
        <v>8.41</v>
      </c>
      <c r="H19053" s="558">
        <v>755.25</v>
      </c>
      <c r="I19053" s="558">
        <v>607.78</v>
      </c>
      <c r="J19053" s="558">
        <v>85.92</v>
      </c>
      <c r="K19053" s="558">
        <v>61.55</v>
      </c>
      <c r="L19053" s="43">
        <v>9.6431307456588371</v>
      </c>
      <c r="M19053" s="43">
        <v>11.500094607379374</v>
      </c>
      <c r="N19053" s="43">
        <v>5.0363423212192266</v>
      </c>
      <c r="O19053" s="43">
        <v>7.3186682520808555</v>
      </c>
      <c r="P19053" s="559"/>
      <c r="Q19053" s="559"/>
      <c r="R19053" s="559">
        <v>6</v>
      </c>
    </row>
    <row r="19054" spans="1:18" ht="60">
      <c r="A19054" s="555">
        <v>1460</v>
      </c>
      <c r="B19054" s="552" t="s">
        <v>34533</v>
      </c>
      <c r="C19054" s="556" t="s">
        <v>34534</v>
      </c>
      <c r="D19054" s="557">
        <v>93.22</v>
      </c>
      <c r="E19054" s="557">
        <v>64.45</v>
      </c>
      <c r="F19054" s="557">
        <v>20.13</v>
      </c>
      <c r="G19054" s="557">
        <v>8.64</v>
      </c>
      <c r="H19054" s="558">
        <v>906.74</v>
      </c>
      <c r="I19054" s="558">
        <v>741.2</v>
      </c>
      <c r="J19054" s="558">
        <v>101.34</v>
      </c>
      <c r="K19054" s="558">
        <v>64.2</v>
      </c>
      <c r="L19054" s="43">
        <v>9.7268826432096116</v>
      </c>
      <c r="M19054" s="43">
        <v>11.500387897595035</v>
      </c>
      <c r="N19054" s="43">
        <v>5.0342771982116252</v>
      </c>
      <c r="O19054" s="43">
        <v>7.4305555555555554</v>
      </c>
      <c r="P19054" s="559"/>
      <c r="Q19054" s="559"/>
      <c r="R19054" s="559">
        <v>6</v>
      </c>
    </row>
    <row r="19055" spans="1:18" ht="60">
      <c r="A19055" s="555">
        <v>1461</v>
      </c>
      <c r="B19055" s="552" t="s">
        <v>34535</v>
      </c>
      <c r="C19055" s="556" t="s">
        <v>34536</v>
      </c>
      <c r="D19055" s="557">
        <v>145.34</v>
      </c>
      <c r="E19055" s="557">
        <v>103.12</v>
      </c>
      <c r="F19055" s="557">
        <v>32.81</v>
      </c>
      <c r="G19055" s="557">
        <v>9.41</v>
      </c>
      <c r="H19055" s="558">
        <v>1424.2</v>
      </c>
      <c r="I19055" s="558">
        <v>1185.92</v>
      </c>
      <c r="J19055" s="558">
        <v>165.23</v>
      </c>
      <c r="K19055" s="558">
        <v>73.05</v>
      </c>
      <c r="L19055" s="43">
        <v>9.799091784780515</v>
      </c>
      <c r="M19055" s="43">
        <v>11.500387897595035</v>
      </c>
      <c r="N19055" s="43">
        <v>5.0359646449253272</v>
      </c>
      <c r="O19055" s="43">
        <v>7.7630180658873531</v>
      </c>
      <c r="P19055" s="559"/>
      <c r="Q19055" s="559"/>
      <c r="R19055" s="559">
        <v>6</v>
      </c>
    </row>
    <row r="19056" spans="1:18" ht="60">
      <c r="A19056" s="555">
        <v>1462</v>
      </c>
      <c r="B19056" s="552" t="s">
        <v>34537</v>
      </c>
      <c r="C19056" s="556" t="s">
        <v>34538</v>
      </c>
      <c r="D19056" s="557">
        <v>189.16</v>
      </c>
      <c r="E19056" s="557">
        <v>135.35</v>
      </c>
      <c r="F19056" s="557">
        <v>43.75</v>
      </c>
      <c r="G19056" s="557">
        <v>10.06</v>
      </c>
      <c r="H19056" s="558">
        <v>1857.35</v>
      </c>
      <c r="I19056" s="558">
        <v>1556.52</v>
      </c>
      <c r="J19056" s="558">
        <v>220.3</v>
      </c>
      <c r="K19056" s="558">
        <v>80.53</v>
      </c>
      <c r="L19056" s="43">
        <v>9.818936350179742</v>
      </c>
      <c r="M19056" s="43">
        <v>11.49996305873661</v>
      </c>
      <c r="N19056" s="43">
        <v>5.0354285714285716</v>
      </c>
      <c r="O19056" s="43">
        <v>8.0049701789264418</v>
      </c>
      <c r="P19056" s="559"/>
      <c r="Q19056" s="559"/>
      <c r="R19056" s="559">
        <v>6</v>
      </c>
    </row>
    <row r="19057" spans="1:18" ht="60">
      <c r="A19057" s="555">
        <v>1463</v>
      </c>
      <c r="B19057" s="552" t="s">
        <v>34539</v>
      </c>
      <c r="C19057" s="556" t="s">
        <v>34540</v>
      </c>
      <c r="D19057" s="557">
        <v>87</v>
      </c>
      <c r="E19057" s="557">
        <v>58.01</v>
      </c>
      <c r="F19057" s="557">
        <v>18.809999999999999</v>
      </c>
      <c r="G19057" s="557">
        <v>10.18</v>
      </c>
      <c r="H19057" s="558">
        <v>836.73</v>
      </c>
      <c r="I19057" s="558">
        <v>667.08</v>
      </c>
      <c r="J19057" s="558">
        <v>94.73</v>
      </c>
      <c r="K19057" s="558">
        <v>74.92</v>
      </c>
      <c r="L19057" s="43">
        <v>9.6175862068965525</v>
      </c>
      <c r="M19057" s="43">
        <v>11.49939665574901</v>
      </c>
      <c r="N19057" s="43">
        <v>5.0361509835194047</v>
      </c>
      <c r="O19057" s="43">
        <v>7.3595284872298627</v>
      </c>
      <c r="P19057" s="559"/>
      <c r="Q19057" s="559"/>
      <c r="R19057" s="559">
        <v>6</v>
      </c>
    </row>
    <row r="19058" spans="1:18" ht="60">
      <c r="A19058" s="555">
        <v>1464</v>
      </c>
      <c r="B19058" s="552" t="s">
        <v>34541</v>
      </c>
      <c r="C19058" s="556" t="s">
        <v>34542</v>
      </c>
      <c r="D19058" s="557">
        <v>95.32</v>
      </c>
      <c r="E19058" s="557">
        <v>64.45</v>
      </c>
      <c r="F19058" s="557">
        <v>20.56</v>
      </c>
      <c r="G19058" s="557">
        <v>10.31</v>
      </c>
      <c r="H19058" s="558">
        <v>921.16</v>
      </c>
      <c r="I19058" s="558">
        <v>741.2</v>
      </c>
      <c r="J19058" s="558">
        <v>103.54</v>
      </c>
      <c r="K19058" s="558">
        <v>76.42</v>
      </c>
      <c r="L19058" s="43">
        <v>9.6638690725975671</v>
      </c>
      <c r="M19058" s="43">
        <v>11.500387897595035</v>
      </c>
      <c r="N19058" s="43">
        <v>5.0359922178988334</v>
      </c>
      <c r="O19058" s="43">
        <v>7.4122211445198838</v>
      </c>
      <c r="P19058" s="559"/>
      <c r="Q19058" s="559"/>
      <c r="R19058" s="559">
        <v>6</v>
      </c>
    </row>
    <row r="19059" spans="1:18" ht="60">
      <c r="A19059" s="555">
        <v>1465</v>
      </c>
      <c r="B19059" s="552" t="s">
        <v>34543</v>
      </c>
      <c r="C19059" s="556" t="s">
        <v>34544</v>
      </c>
      <c r="D19059" s="557">
        <v>111.97</v>
      </c>
      <c r="E19059" s="557">
        <v>77.34</v>
      </c>
      <c r="F19059" s="557">
        <v>24.06</v>
      </c>
      <c r="G19059" s="557">
        <v>10.57</v>
      </c>
      <c r="H19059" s="558">
        <v>1090.02</v>
      </c>
      <c r="I19059" s="558">
        <v>889.44</v>
      </c>
      <c r="J19059" s="558">
        <v>121.17</v>
      </c>
      <c r="K19059" s="558">
        <v>79.41</v>
      </c>
      <c r="L19059" s="43">
        <v>9.7349289988389742</v>
      </c>
      <c r="M19059" s="43">
        <v>11.500387897595035</v>
      </c>
      <c r="N19059" s="43">
        <v>5.0361596009975065</v>
      </c>
      <c r="O19059" s="43">
        <v>7.5127719962157045</v>
      </c>
      <c r="P19059" s="559"/>
      <c r="Q19059" s="559"/>
      <c r="R19059" s="559">
        <v>6</v>
      </c>
    </row>
    <row r="19060" spans="1:18" ht="60">
      <c r="A19060" s="555">
        <v>1466</v>
      </c>
      <c r="B19060" s="552" t="s">
        <v>34545</v>
      </c>
      <c r="C19060" s="556" t="s">
        <v>34546</v>
      </c>
      <c r="D19060" s="557">
        <v>171.55</v>
      </c>
      <c r="E19060" s="557">
        <v>121.17</v>
      </c>
      <c r="F19060" s="557">
        <v>38.94</v>
      </c>
      <c r="G19060" s="557">
        <v>11.44</v>
      </c>
      <c r="H19060" s="558">
        <v>1678.94</v>
      </c>
      <c r="I19060" s="558">
        <v>1393.46</v>
      </c>
      <c r="J19060" s="558">
        <v>196.07</v>
      </c>
      <c r="K19060" s="558">
        <v>89.41</v>
      </c>
      <c r="L19060" s="43">
        <v>9.786884290294374</v>
      </c>
      <c r="M19060" s="43">
        <v>11.500041264339359</v>
      </c>
      <c r="N19060" s="43">
        <v>5.0351823317925017</v>
      </c>
      <c r="O19060" s="43">
        <v>7.8155594405594409</v>
      </c>
      <c r="P19060" s="559"/>
      <c r="Q19060" s="559"/>
      <c r="R19060" s="559">
        <v>6</v>
      </c>
    </row>
    <row r="19061" spans="1:18" ht="60">
      <c r="A19061" s="555">
        <v>1467</v>
      </c>
      <c r="B19061" s="552" t="s">
        <v>34547</v>
      </c>
      <c r="C19061" s="556" t="s">
        <v>34548</v>
      </c>
      <c r="D19061" s="557">
        <v>227.18</v>
      </c>
      <c r="E19061" s="557">
        <v>162.41</v>
      </c>
      <c r="F19061" s="557">
        <v>52.5</v>
      </c>
      <c r="G19061" s="557">
        <v>12.27</v>
      </c>
      <c r="H19061" s="558">
        <v>2231.14</v>
      </c>
      <c r="I19061" s="558">
        <v>1867.82</v>
      </c>
      <c r="J19061" s="558">
        <v>264.36</v>
      </c>
      <c r="K19061" s="558">
        <v>98.96</v>
      </c>
      <c r="L19061" s="43">
        <v>9.8210229773747688</v>
      </c>
      <c r="M19061" s="43">
        <v>11.50064651191429</v>
      </c>
      <c r="N19061" s="43">
        <v>5.0354285714285716</v>
      </c>
      <c r="O19061" s="43">
        <v>8.0651996740016294</v>
      </c>
      <c r="P19061" s="559"/>
      <c r="Q19061" s="559"/>
      <c r="R19061" s="559">
        <v>6</v>
      </c>
    </row>
    <row r="19062" spans="1:18" ht="60">
      <c r="A19062" s="555">
        <v>1468</v>
      </c>
      <c r="B19062" s="552" t="s">
        <v>34549</v>
      </c>
      <c r="C19062" s="556" t="s">
        <v>34550</v>
      </c>
      <c r="D19062" s="557">
        <v>110.19</v>
      </c>
      <c r="E19062" s="557">
        <v>73.47</v>
      </c>
      <c r="F19062" s="557">
        <v>23.63</v>
      </c>
      <c r="G19062" s="557">
        <v>13.09</v>
      </c>
      <c r="H19062" s="558">
        <v>1060.98</v>
      </c>
      <c r="I19062" s="558">
        <v>844.97</v>
      </c>
      <c r="J19062" s="558">
        <v>118.96</v>
      </c>
      <c r="K19062" s="558">
        <v>97.05</v>
      </c>
      <c r="L19062" s="43">
        <v>9.6286414375170164</v>
      </c>
      <c r="M19062" s="43">
        <v>11.500884714849599</v>
      </c>
      <c r="N19062" s="43">
        <v>5.0342784595852725</v>
      </c>
      <c r="O19062" s="43">
        <v>7.41405653170359</v>
      </c>
      <c r="P19062" s="559"/>
      <c r="Q19062" s="559"/>
      <c r="R19062" s="559">
        <v>6</v>
      </c>
    </row>
    <row r="19063" spans="1:18" ht="60">
      <c r="A19063" s="555">
        <v>1469</v>
      </c>
      <c r="B19063" s="552" t="s">
        <v>34551</v>
      </c>
      <c r="C19063" s="556" t="s">
        <v>34552</v>
      </c>
      <c r="D19063" s="557">
        <v>118.95</v>
      </c>
      <c r="E19063" s="557">
        <v>79.92</v>
      </c>
      <c r="F19063" s="557">
        <v>25.81</v>
      </c>
      <c r="G19063" s="557">
        <v>13.22</v>
      </c>
      <c r="H19063" s="558">
        <v>1147.6099999999999</v>
      </c>
      <c r="I19063" s="558">
        <v>919.09</v>
      </c>
      <c r="J19063" s="558">
        <v>129.97999999999999</v>
      </c>
      <c r="K19063" s="558">
        <v>98.54</v>
      </c>
      <c r="L19063" s="43">
        <v>9.6478352248844033</v>
      </c>
      <c r="M19063" s="43">
        <v>11.500125125125125</v>
      </c>
      <c r="N19063" s="43">
        <v>5.0360325455249901</v>
      </c>
      <c r="O19063" s="43">
        <v>7.453857791225416</v>
      </c>
      <c r="P19063" s="559"/>
      <c r="Q19063" s="559"/>
      <c r="R19063" s="559">
        <v>6</v>
      </c>
    </row>
    <row r="19064" spans="1:18" ht="60">
      <c r="A19064" s="555">
        <v>1470</v>
      </c>
      <c r="B19064" s="552" t="s">
        <v>34553</v>
      </c>
      <c r="C19064" s="556" t="s">
        <v>34554</v>
      </c>
      <c r="D19064" s="557">
        <v>137.79</v>
      </c>
      <c r="E19064" s="557">
        <v>94.1</v>
      </c>
      <c r="F19064" s="557">
        <v>30.19</v>
      </c>
      <c r="G19064" s="557">
        <v>13.5</v>
      </c>
      <c r="H19064" s="558">
        <v>1335.92</v>
      </c>
      <c r="I19064" s="558">
        <v>1082.1500000000001</v>
      </c>
      <c r="J19064" s="558">
        <v>152.01</v>
      </c>
      <c r="K19064" s="558">
        <v>101.76</v>
      </c>
      <c r="L19064" s="43">
        <v>9.6953334784817482</v>
      </c>
      <c r="M19064" s="43">
        <v>11.500000000000002</v>
      </c>
      <c r="N19064" s="43">
        <v>5.0351109638953293</v>
      </c>
      <c r="O19064" s="43">
        <v>7.5377777777777784</v>
      </c>
      <c r="P19064" s="559"/>
      <c r="Q19064" s="559"/>
      <c r="R19064" s="559">
        <v>6</v>
      </c>
    </row>
    <row r="19065" spans="1:18" ht="60">
      <c r="A19065" s="555">
        <v>1471</v>
      </c>
      <c r="B19065" s="552" t="s">
        <v>34555</v>
      </c>
      <c r="C19065" s="556" t="s">
        <v>34556</v>
      </c>
      <c r="D19065" s="557">
        <v>130.31</v>
      </c>
      <c r="E19065" s="557">
        <v>86.36</v>
      </c>
      <c r="F19065" s="557">
        <v>28</v>
      </c>
      <c r="G19065" s="557">
        <v>15.95</v>
      </c>
      <c r="H19065" s="558">
        <v>1252.78</v>
      </c>
      <c r="I19065" s="558">
        <v>993.21</v>
      </c>
      <c r="J19065" s="558">
        <v>140.99</v>
      </c>
      <c r="K19065" s="558">
        <v>118.58</v>
      </c>
      <c r="L19065" s="43">
        <v>9.6138439106745448</v>
      </c>
      <c r="M19065" s="43">
        <v>11.50081056044465</v>
      </c>
      <c r="N19065" s="43">
        <v>5.0353571428571433</v>
      </c>
      <c r="O19065" s="43">
        <v>7.4344827586206899</v>
      </c>
      <c r="P19065" s="559"/>
      <c r="Q19065" s="559"/>
      <c r="R19065" s="559">
        <v>6</v>
      </c>
    </row>
    <row r="19066" spans="1:18" ht="60">
      <c r="A19066" s="555">
        <v>1472</v>
      </c>
      <c r="B19066" s="552" t="s">
        <v>34557</v>
      </c>
      <c r="C19066" s="556" t="s">
        <v>34558</v>
      </c>
      <c r="D19066" s="557">
        <v>143.88999999999999</v>
      </c>
      <c r="E19066" s="557">
        <v>96.68</v>
      </c>
      <c r="F19066" s="557">
        <v>31.06</v>
      </c>
      <c r="G19066" s="557">
        <v>16.149999999999999</v>
      </c>
      <c r="H19066" s="558">
        <v>1389.09</v>
      </c>
      <c r="I19066" s="558">
        <v>1111.8</v>
      </c>
      <c r="J19066" s="558">
        <v>156.41</v>
      </c>
      <c r="K19066" s="558">
        <v>120.88</v>
      </c>
      <c r="L19066" s="43">
        <v>9.6538327889359934</v>
      </c>
      <c r="M19066" s="43">
        <v>11.499793131981795</v>
      </c>
      <c r="N19066" s="43">
        <v>5.0357372826786868</v>
      </c>
      <c r="O19066" s="43">
        <v>7.4848297213622299</v>
      </c>
      <c r="P19066" s="559"/>
      <c r="Q19066" s="559"/>
      <c r="R19066" s="559">
        <v>6</v>
      </c>
    </row>
    <row r="19067" spans="1:18" ht="60">
      <c r="A19067" s="555">
        <v>1473</v>
      </c>
      <c r="B19067" s="552" t="s">
        <v>34559</v>
      </c>
      <c r="C19067" s="556" t="s">
        <v>34560</v>
      </c>
      <c r="D19067" s="557">
        <v>153.63999999999999</v>
      </c>
      <c r="E19067" s="557">
        <v>103.12</v>
      </c>
      <c r="F19067" s="557">
        <v>31.94</v>
      </c>
      <c r="G19067" s="557">
        <v>18.579999999999998</v>
      </c>
      <c r="H19067" s="558">
        <v>1484.57</v>
      </c>
      <c r="I19067" s="558">
        <v>1185.92</v>
      </c>
      <c r="J19067" s="558">
        <v>160.82</v>
      </c>
      <c r="K19067" s="558">
        <v>137.83000000000001</v>
      </c>
      <c r="L19067" s="43">
        <v>9.6626529549596469</v>
      </c>
      <c r="M19067" s="43">
        <v>11.500387897595035</v>
      </c>
      <c r="N19067" s="43">
        <v>5.0350657482780212</v>
      </c>
      <c r="O19067" s="43">
        <v>7.4181916038751359</v>
      </c>
      <c r="P19067" s="559"/>
      <c r="Q19067" s="559"/>
      <c r="R19067" s="559">
        <v>6</v>
      </c>
    </row>
    <row r="19068" spans="1:18" ht="60">
      <c r="A19068" s="555">
        <v>1474</v>
      </c>
      <c r="B19068" s="552" t="s">
        <v>34561</v>
      </c>
      <c r="C19068" s="556" t="s">
        <v>34562</v>
      </c>
      <c r="D19068" s="557">
        <v>171.6</v>
      </c>
      <c r="E19068" s="557">
        <v>116.01</v>
      </c>
      <c r="F19068" s="557">
        <v>36.75</v>
      </c>
      <c r="G19068" s="557">
        <v>18.84</v>
      </c>
      <c r="H19068" s="558">
        <v>1660.03</v>
      </c>
      <c r="I19068" s="558">
        <v>1334.16</v>
      </c>
      <c r="J19068" s="558">
        <v>185.05</v>
      </c>
      <c r="K19068" s="558">
        <v>140.82</v>
      </c>
      <c r="L19068" s="43">
        <v>9.6738344988344984</v>
      </c>
      <c r="M19068" s="43">
        <v>11.500387897595035</v>
      </c>
      <c r="N19068" s="43">
        <v>5.0353741496598641</v>
      </c>
      <c r="O19068" s="43">
        <v>7.4745222929936306</v>
      </c>
      <c r="P19068" s="559"/>
      <c r="Q19068" s="559"/>
      <c r="R19068" s="559">
        <v>6</v>
      </c>
    </row>
    <row r="19069" spans="1:18" ht="60">
      <c r="A19069" s="555">
        <v>1475</v>
      </c>
      <c r="B19069" s="552" t="s">
        <v>34563</v>
      </c>
      <c r="C19069" s="556" t="s">
        <v>34564</v>
      </c>
      <c r="D19069" s="557">
        <v>177.52</v>
      </c>
      <c r="E19069" s="557">
        <v>118.59</v>
      </c>
      <c r="F19069" s="557">
        <v>38.06</v>
      </c>
      <c r="G19069" s="557">
        <v>20.87</v>
      </c>
      <c r="H19069" s="558">
        <v>1712.19</v>
      </c>
      <c r="I19069" s="558">
        <v>1363.81</v>
      </c>
      <c r="J19069" s="558">
        <v>191.66</v>
      </c>
      <c r="K19069" s="558">
        <v>156.72</v>
      </c>
      <c r="L19069" s="43">
        <v>9.6450540784137004</v>
      </c>
      <c r="M19069" s="43">
        <v>11.500210810355004</v>
      </c>
      <c r="N19069" s="43">
        <v>5.0357330530740931</v>
      </c>
      <c r="O19069" s="43">
        <v>7.5093435553425962</v>
      </c>
      <c r="P19069" s="559"/>
      <c r="Q19069" s="559"/>
      <c r="R19069" s="559">
        <v>6</v>
      </c>
    </row>
    <row r="19070" spans="1:18" ht="60">
      <c r="A19070" s="555">
        <v>1476</v>
      </c>
      <c r="B19070" s="552" t="s">
        <v>34565</v>
      </c>
      <c r="C19070" s="556" t="s">
        <v>34566</v>
      </c>
      <c r="D19070" s="557">
        <v>195.05</v>
      </c>
      <c r="E19070" s="557">
        <v>131.47999999999999</v>
      </c>
      <c r="F19070" s="557">
        <v>42.44</v>
      </c>
      <c r="G19070" s="557">
        <v>21.13</v>
      </c>
      <c r="H19070" s="558">
        <v>1885.45</v>
      </c>
      <c r="I19070" s="558">
        <v>1512.05</v>
      </c>
      <c r="J19070" s="558">
        <v>213.69</v>
      </c>
      <c r="K19070" s="558">
        <v>159.71</v>
      </c>
      <c r="L19070" s="43">
        <v>9.6664957703153043</v>
      </c>
      <c r="M19070" s="43">
        <v>11.500228171585032</v>
      </c>
      <c r="N19070" s="43">
        <v>5.0351083883129126</v>
      </c>
      <c r="O19070" s="43">
        <v>7.5584477046852827</v>
      </c>
      <c r="P19070" s="559"/>
      <c r="Q19070" s="559"/>
      <c r="R19070" s="559">
        <v>6</v>
      </c>
    </row>
    <row r="19071" spans="1:18" ht="12.75" customHeight="1">
      <c r="A19071" s="628" t="s">
        <v>34567</v>
      </c>
      <c r="B19071" s="629"/>
      <c r="C19071" s="629"/>
      <c r="D19071" s="629"/>
      <c r="E19071" s="629"/>
      <c r="F19071" s="629"/>
      <c r="G19071" s="629"/>
      <c r="H19071" s="629"/>
      <c r="I19071" s="629"/>
      <c r="J19071" s="629"/>
      <c r="K19071" s="629"/>
      <c r="L19071" s="629"/>
      <c r="M19071" s="629"/>
      <c r="N19071" s="629"/>
      <c r="O19071" s="629"/>
      <c r="P19071" s="629"/>
      <c r="Q19071" s="629"/>
      <c r="R19071" s="629"/>
    </row>
    <row r="19072" spans="1:18" ht="60">
      <c r="A19072" s="555">
        <v>1477</v>
      </c>
      <c r="B19072" s="552" t="s">
        <v>34568</v>
      </c>
      <c r="C19072" s="556" t="s">
        <v>34569</v>
      </c>
      <c r="D19072" s="557">
        <v>28</v>
      </c>
      <c r="E19072" s="557">
        <v>18.05</v>
      </c>
      <c r="F19072" s="557">
        <v>5.69</v>
      </c>
      <c r="G19072" s="557">
        <v>4.26</v>
      </c>
      <c r="H19072" s="558">
        <v>265.14</v>
      </c>
      <c r="I19072" s="558">
        <v>207.54</v>
      </c>
      <c r="J19072" s="558">
        <v>28.64</v>
      </c>
      <c r="K19072" s="558">
        <v>28.96</v>
      </c>
      <c r="L19072" s="43">
        <v>9.4692857142857143</v>
      </c>
      <c r="M19072" s="43">
        <v>11.498060941828253</v>
      </c>
      <c r="N19072" s="43">
        <v>5.0333919156414764</v>
      </c>
      <c r="O19072" s="43">
        <v>6.7981220657276999</v>
      </c>
      <c r="P19072" s="559"/>
      <c r="Q19072" s="559"/>
      <c r="R19072" s="559">
        <v>7</v>
      </c>
    </row>
    <row r="19073" spans="1:18" ht="60">
      <c r="A19073" s="555">
        <v>1478</v>
      </c>
      <c r="B19073" s="552" t="s">
        <v>34570</v>
      </c>
      <c r="C19073" s="556" t="s">
        <v>34571</v>
      </c>
      <c r="D19073" s="557">
        <v>31.49</v>
      </c>
      <c r="E19073" s="557">
        <v>20.62</v>
      </c>
      <c r="F19073" s="557">
        <v>6.56</v>
      </c>
      <c r="G19073" s="557">
        <v>4.3099999999999996</v>
      </c>
      <c r="H19073" s="558">
        <v>299.77</v>
      </c>
      <c r="I19073" s="558">
        <v>237.18</v>
      </c>
      <c r="J19073" s="558">
        <v>33.049999999999997</v>
      </c>
      <c r="K19073" s="558">
        <v>29.54</v>
      </c>
      <c r="L19073" s="43">
        <v>9.519530009526834</v>
      </c>
      <c r="M19073" s="43">
        <v>11.502424830261882</v>
      </c>
      <c r="N19073" s="43">
        <v>5.038109756097561</v>
      </c>
      <c r="O19073" s="43">
        <v>6.8538283062645018</v>
      </c>
      <c r="P19073" s="559"/>
      <c r="Q19073" s="559"/>
      <c r="R19073" s="559">
        <v>7</v>
      </c>
    </row>
    <row r="19074" spans="1:18" ht="60">
      <c r="A19074" s="555">
        <v>1479</v>
      </c>
      <c r="B19074" s="552" t="s">
        <v>34572</v>
      </c>
      <c r="C19074" s="556" t="s">
        <v>34573</v>
      </c>
      <c r="D19074" s="557">
        <v>36.76</v>
      </c>
      <c r="E19074" s="557">
        <v>24.49</v>
      </c>
      <c r="F19074" s="557">
        <v>7.88</v>
      </c>
      <c r="G19074" s="557">
        <v>4.3899999999999997</v>
      </c>
      <c r="H19074" s="558">
        <v>351.77</v>
      </c>
      <c r="I19074" s="558">
        <v>281.66000000000003</v>
      </c>
      <c r="J19074" s="558">
        <v>39.65</v>
      </c>
      <c r="K19074" s="558">
        <v>30.46</v>
      </c>
      <c r="L19074" s="43">
        <v>9.5693688792165403</v>
      </c>
      <c r="M19074" s="43">
        <v>11.501020824826462</v>
      </c>
      <c r="N19074" s="43">
        <v>5.031725888324873</v>
      </c>
      <c r="O19074" s="43">
        <v>6.9384965831435084</v>
      </c>
      <c r="P19074" s="559"/>
      <c r="Q19074" s="559"/>
      <c r="R19074" s="559">
        <v>7</v>
      </c>
    </row>
    <row r="19075" spans="1:18" ht="60">
      <c r="A19075" s="555">
        <v>1480</v>
      </c>
      <c r="B19075" s="552" t="s">
        <v>34574</v>
      </c>
      <c r="C19075" s="556" t="s">
        <v>34575</v>
      </c>
      <c r="D19075" s="557">
        <v>42.02</v>
      </c>
      <c r="E19075" s="557">
        <v>28.36</v>
      </c>
      <c r="F19075" s="557">
        <v>9.19</v>
      </c>
      <c r="G19075" s="557">
        <v>4.47</v>
      </c>
      <c r="H19075" s="558">
        <v>403.77</v>
      </c>
      <c r="I19075" s="558">
        <v>326.13</v>
      </c>
      <c r="J19075" s="558">
        <v>46.26</v>
      </c>
      <c r="K19075" s="558">
        <v>31.38</v>
      </c>
      <c r="L19075" s="43">
        <v>9.6089957163255573</v>
      </c>
      <c r="M19075" s="43">
        <v>11.499647390691115</v>
      </c>
      <c r="N19075" s="43">
        <v>5.0337323177366704</v>
      </c>
      <c r="O19075" s="43">
        <v>7.0201342281879198</v>
      </c>
      <c r="P19075" s="559"/>
      <c r="Q19075" s="559"/>
      <c r="R19075" s="559">
        <v>7</v>
      </c>
    </row>
    <row r="19076" spans="1:18" ht="12.75" customHeight="1">
      <c r="A19076" s="628" t="s">
        <v>34576</v>
      </c>
      <c r="B19076" s="629"/>
      <c r="C19076" s="629"/>
      <c r="D19076" s="629"/>
      <c r="E19076" s="629"/>
      <c r="F19076" s="629"/>
      <c r="G19076" s="629"/>
      <c r="H19076" s="629"/>
      <c r="I19076" s="629"/>
      <c r="J19076" s="629"/>
      <c r="K19076" s="629"/>
      <c r="L19076" s="629"/>
      <c r="M19076" s="629"/>
      <c r="N19076" s="629"/>
      <c r="O19076" s="629"/>
      <c r="P19076" s="629"/>
      <c r="Q19076" s="629"/>
      <c r="R19076" s="629"/>
    </row>
    <row r="19077" spans="1:18" ht="84">
      <c r="A19077" s="555">
        <v>1481</v>
      </c>
      <c r="B19077" s="552" t="s">
        <v>34577</v>
      </c>
      <c r="C19077" s="556" t="s">
        <v>34578</v>
      </c>
      <c r="D19077" s="557">
        <v>24.49</v>
      </c>
      <c r="E19077" s="557">
        <v>15.47</v>
      </c>
      <c r="F19077" s="557">
        <v>4.8099999999999996</v>
      </c>
      <c r="G19077" s="557">
        <v>4.21</v>
      </c>
      <c r="H19077" s="558">
        <v>230.51</v>
      </c>
      <c r="I19077" s="558">
        <v>177.89</v>
      </c>
      <c r="J19077" s="558">
        <v>24.23</v>
      </c>
      <c r="K19077" s="558">
        <v>28.39</v>
      </c>
      <c r="L19077" s="43">
        <v>9.4124132298897507</v>
      </c>
      <c r="M19077" s="43">
        <v>11.499030381383321</v>
      </c>
      <c r="N19077" s="43">
        <v>5.0374220374220382</v>
      </c>
      <c r="O19077" s="43">
        <v>6.7434679334916865</v>
      </c>
      <c r="P19077" s="559"/>
      <c r="Q19077" s="559"/>
      <c r="R19077" s="559">
        <v>8</v>
      </c>
    </row>
    <row r="19078" spans="1:18" ht="84">
      <c r="A19078" s="555">
        <v>1482</v>
      </c>
      <c r="B19078" s="552" t="s">
        <v>34579</v>
      </c>
      <c r="C19078" s="556" t="s">
        <v>34580</v>
      </c>
      <c r="D19078" s="557">
        <v>26.25</v>
      </c>
      <c r="E19078" s="557">
        <v>16.760000000000002</v>
      </c>
      <c r="F19078" s="557">
        <v>5.25</v>
      </c>
      <c r="G19078" s="557">
        <v>4.24</v>
      </c>
      <c r="H19078" s="558">
        <v>247.88</v>
      </c>
      <c r="I19078" s="558">
        <v>192.71</v>
      </c>
      <c r="J19078" s="558">
        <v>26.44</v>
      </c>
      <c r="K19078" s="558">
        <v>28.73</v>
      </c>
      <c r="L19078" s="43">
        <v>9.4430476190476185</v>
      </c>
      <c r="M19078" s="43">
        <v>11.498210023866347</v>
      </c>
      <c r="N19078" s="43">
        <v>5.0361904761904768</v>
      </c>
      <c r="O19078" s="43">
        <v>6.7759433962264151</v>
      </c>
      <c r="P19078" s="559"/>
      <c r="Q19078" s="559"/>
      <c r="R19078" s="559">
        <v>8</v>
      </c>
    </row>
    <row r="19079" spans="1:18" ht="84">
      <c r="A19079" s="555">
        <v>1483</v>
      </c>
      <c r="B19079" s="552" t="s">
        <v>34581</v>
      </c>
      <c r="C19079" s="556" t="s">
        <v>34582</v>
      </c>
      <c r="D19079" s="557">
        <v>29.76</v>
      </c>
      <c r="E19079" s="557">
        <v>19.34</v>
      </c>
      <c r="F19079" s="557">
        <v>6.13</v>
      </c>
      <c r="G19079" s="557">
        <v>4.29</v>
      </c>
      <c r="H19079" s="558">
        <v>282.51</v>
      </c>
      <c r="I19079" s="558">
        <v>222.36</v>
      </c>
      <c r="J19079" s="558">
        <v>30.84</v>
      </c>
      <c r="K19079" s="558">
        <v>29.31</v>
      </c>
      <c r="L19079" s="43">
        <v>9.4929435483870961</v>
      </c>
      <c r="M19079" s="43">
        <v>11.49741468459152</v>
      </c>
      <c r="N19079" s="43">
        <v>5.0309951060358893</v>
      </c>
      <c r="O19079" s="43">
        <v>6.8321678321678316</v>
      </c>
      <c r="P19079" s="559"/>
      <c r="Q19079" s="559"/>
      <c r="R19079" s="559">
        <v>8</v>
      </c>
    </row>
    <row r="19080" spans="1:18" ht="84">
      <c r="A19080" s="555">
        <v>1484</v>
      </c>
      <c r="B19080" s="552" t="s">
        <v>34583</v>
      </c>
      <c r="C19080" s="556" t="s">
        <v>34584</v>
      </c>
      <c r="D19080" s="557">
        <v>33.25</v>
      </c>
      <c r="E19080" s="557">
        <v>21.91</v>
      </c>
      <c r="F19080" s="557">
        <v>7</v>
      </c>
      <c r="G19080" s="557">
        <v>4.34</v>
      </c>
      <c r="H19080" s="558">
        <v>317.14</v>
      </c>
      <c r="I19080" s="558">
        <v>252.01</v>
      </c>
      <c r="J19080" s="558">
        <v>35.25</v>
      </c>
      <c r="K19080" s="558">
        <v>29.88</v>
      </c>
      <c r="L19080" s="43">
        <v>9.5380451127819548</v>
      </c>
      <c r="M19080" s="43">
        <v>11.502053856686445</v>
      </c>
      <c r="N19080" s="43">
        <v>5.0357142857142856</v>
      </c>
      <c r="O19080" s="43">
        <v>6.8847926267281103</v>
      </c>
      <c r="P19080" s="559"/>
      <c r="Q19080" s="559"/>
      <c r="R19080" s="559">
        <v>8</v>
      </c>
    </row>
    <row r="19081" spans="1:18" ht="72">
      <c r="A19081" s="555">
        <v>1485</v>
      </c>
      <c r="B19081" s="552" t="s">
        <v>34585</v>
      </c>
      <c r="C19081" s="556" t="s">
        <v>34586</v>
      </c>
      <c r="D19081" s="557">
        <v>43.77</v>
      </c>
      <c r="E19081" s="557">
        <v>29.65</v>
      </c>
      <c r="F19081" s="557">
        <v>9.6300000000000008</v>
      </c>
      <c r="G19081" s="557">
        <v>4.49</v>
      </c>
      <c r="H19081" s="558">
        <v>421.03</v>
      </c>
      <c r="I19081" s="558">
        <v>340.95</v>
      </c>
      <c r="J19081" s="558">
        <v>48.47</v>
      </c>
      <c r="K19081" s="558">
        <v>31.61</v>
      </c>
      <c r="L19081" s="43">
        <v>9.6191455334704123</v>
      </c>
      <c r="M19081" s="43">
        <v>11.499156829679595</v>
      </c>
      <c r="N19081" s="43">
        <v>5.0332294911734161</v>
      </c>
      <c r="O19081" s="43">
        <v>7.0400890868596875</v>
      </c>
      <c r="P19081" s="559"/>
      <c r="Q19081" s="559"/>
      <c r="R19081" s="559">
        <v>8</v>
      </c>
    </row>
    <row r="19082" spans="1:18" ht="72">
      <c r="A19082" s="555">
        <v>1486</v>
      </c>
      <c r="B19082" s="552" t="s">
        <v>34587</v>
      </c>
      <c r="C19082" s="556" t="s">
        <v>34588</v>
      </c>
      <c r="D19082" s="557">
        <v>47.27</v>
      </c>
      <c r="E19082" s="557">
        <v>32.229999999999997</v>
      </c>
      <c r="F19082" s="557">
        <v>10.5</v>
      </c>
      <c r="G19082" s="557">
        <v>4.54</v>
      </c>
      <c r="H19082" s="558">
        <v>455.65</v>
      </c>
      <c r="I19082" s="558">
        <v>370.6</v>
      </c>
      <c r="J19082" s="558">
        <v>52.87</v>
      </c>
      <c r="K19082" s="558">
        <v>32.18</v>
      </c>
      <c r="L19082" s="43">
        <v>9.6393061138142571</v>
      </c>
      <c r="M19082" s="43">
        <v>11.498603785293207</v>
      </c>
      <c r="N19082" s="43">
        <v>5.0352380952380953</v>
      </c>
      <c r="O19082" s="43">
        <v>7.0881057268722465</v>
      </c>
      <c r="P19082" s="559"/>
      <c r="Q19082" s="559"/>
      <c r="R19082" s="559">
        <v>8</v>
      </c>
    </row>
    <row r="19083" spans="1:18" ht="72">
      <c r="A19083" s="555">
        <v>1487</v>
      </c>
      <c r="B19083" s="552" t="s">
        <v>34589</v>
      </c>
      <c r="C19083" s="556" t="s">
        <v>34590</v>
      </c>
      <c r="D19083" s="557">
        <v>59.1</v>
      </c>
      <c r="E19083" s="557">
        <v>41.25</v>
      </c>
      <c r="F19083" s="557">
        <v>13.13</v>
      </c>
      <c r="G19083" s="557">
        <v>4.72</v>
      </c>
      <c r="H19083" s="558">
        <v>574.71</v>
      </c>
      <c r="I19083" s="558">
        <v>474.37</v>
      </c>
      <c r="J19083" s="558">
        <v>66.09</v>
      </c>
      <c r="K19083" s="558">
        <v>34.25</v>
      </c>
      <c r="L19083" s="43">
        <v>9.7243654822335035</v>
      </c>
      <c r="M19083" s="43">
        <v>11.499878787878789</v>
      </c>
      <c r="N19083" s="43">
        <v>5.0335110434120338</v>
      </c>
      <c r="O19083" s="43">
        <v>7.2563559322033901</v>
      </c>
      <c r="P19083" s="559"/>
      <c r="Q19083" s="559"/>
      <c r="R19083" s="559">
        <v>8</v>
      </c>
    </row>
    <row r="19084" spans="1:18" ht="72">
      <c r="A19084" s="555">
        <v>1488</v>
      </c>
      <c r="B19084" s="552" t="s">
        <v>34591</v>
      </c>
      <c r="C19084" s="556" t="s">
        <v>34592</v>
      </c>
      <c r="D19084" s="557">
        <v>64.36</v>
      </c>
      <c r="E19084" s="557">
        <v>45.12</v>
      </c>
      <c r="F19084" s="557">
        <v>14.44</v>
      </c>
      <c r="G19084" s="557">
        <v>4.8</v>
      </c>
      <c r="H19084" s="558">
        <v>626.71</v>
      </c>
      <c r="I19084" s="558">
        <v>518.84</v>
      </c>
      <c r="J19084" s="558">
        <v>72.7</v>
      </c>
      <c r="K19084" s="558">
        <v>35.17</v>
      </c>
      <c r="L19084" s="43">
        <v>9.7375699192044749</v>
      </c>
      <c r="M19084" s="43">
        <v>11.499113475177307</v>
      </c>
      <c r="N19084" s="43">
        <v>5.0346260387811634</v>
      </c>
      <c r="O19084" s="43">
        <v>7.3270833333333343</v>
      </c>
      <c r="P19084" s="559"/>
      <c r="Q19084" s="559"/>
      <c r="R19084" s="559">
        <v>8</v>
      </c>
    </row>
    <row r="19085" spans="1:18" ht="12.75" customHeight="1">
      <c r="A19085" s="628" t="s">
        <v>34593</v>
      </c>
      <c r="B19085" s="629"/>
      <c r="C19085" s="629"/>
      <c r="D19085" s="629"/>
      <c r="E19085" s="629"/>
      <c r="F19085" s="629"/>
      <c r="G19085" s="629"/>
      <c r="H19085" s="629"/>
      <c r="I19085" s="629"/>
      <c r="J19085" s="629"/>
      <c r="K19085" s="629"/>
      <c r="L19085" s="629"/>
      <c r="M19085" s="629"/>
      <c r="N19085" s="629"/>
      <c r="O19085" s="629"/>
      <c r="P19085" s="629"/>
      <c r="Q19085" s="629"/>
      <c r="R19085" s="629"/>
    </row>
    <row r="19086" spans="1:18" ht="60">
      <c r="A19086" s="555">
        <v>1489</v>
      </c>
      <c r="B19086" s="552" t="s">
        <v>34594</v>
      </c>
      <c r="C19086" s="556" t="s">
        <v>34595</v>
      </c>
      <c r="D19086" s="557">
        <v>35.89</v>
      </c>
      <c r="E19086" s="557">
        <v>18.05</v>
      </c>
      <c r="F19086" s="557">
        <v>5.69</v>
      </c>
      <c r="G19086" s="557">
        <v>12.15</v>
      </c>
      <c r="H19086" s="558">
        <v>277.51</v>
      </c>
      <c r="I19086" s="558">
        <v>207.54</v>
      </c>
      <c r="J19086" s="558">
        <v>28.64</v>
      </c>
      <c r="K19086" s="558">
        <v>41.33</v>
      </c>
      <c r="L19086" s="43">
        <v>7.7322373920312062</v>
      </c>
      <c r="M19086" s="43">
        <v>11.498060941828253</v>
      </c>
      <c r="N19086" s="43">
        <v>5.0333919156414764</v>
      </c>
      <c r="O19086" s="43">
        <v>3.401646090534979</v>
      </c>
      <c r="P19086" s="559"/>
      <c r="Q19086" s="559"/>
      <c r="R19086" s="559">
        <v>9</v>
      </c>
    </row>
    <row r="19087" spans="1:18" ht="60">
      <c r="A19087" s="555">
        <v>1490</v>
      </c>
      <c r="B19087" s="552" t="s">
        <v>34596</v>
      </c>
      <c r="C19087" s="556" t="s">
        <v>34597</v>
      </c>
      <c r="D19087" s="557">
        <v>43.47</v>
      </c>
      <c r="E19087" s="557">
        <v>19.34</v>
      </c>
      <c r="F19087" s="557">
        <v>6.13</v>
      </c>
      <c r="G19087" s="557">
        <v>18</v>
      </c>
      <c r="H19087" s="558">
        <v>312.22000000000003</v>
      </c>
      <c r="I19087" s="558">
        <v>222.36</v>
      </c>
      <c r="J19087" s="558">
        <v>30.84</v>
      </c>
      <c r="K19087" s="558">
        <v>59.02</v>
      </c>
      <c r="L19087" s="43">
        <v>7.1824246606855313</v>
      </c>
      <c r="M19087" s="43">
        <v>11.49741468459152</v>
      </c>
      <c r="N19087" s="43">
        <v>5.0309951060358893</v>
      </c>
      <c r="O19087" s="43">
        <v>3.278888888888889</v>
      </c>
      <c r="P19087" s="559"/>
      <c r="Q19087" s="559"/>
      <c r="R19087" s="559">
        <v>9</v>
      </c>
    </row>
    <row r="19088" spans="1:18" ht="60">
      <c r="A19088" s="555">
        <v>1491</v>
      </c>
      <c r="B19088" s="552" t="s">
        <v>34598</v>
      </c>
      <c r="C19088" s="556" t="s">
        <v>34599</v>
      </c>
      <c r="D19088" s="557">
        <v>53.97</v>
      </c>
      <c r="E19088" s="557">
        <v>27.07</v>
      </c>
      <c r="F19088" s="557">
        <v>8.75</v>
      </c>
      <c r="G19088" s="557">
        <v>18.149999999999999</v>
      </c>
      <c r="H19088" s="558">
        <v>416.1</v>
      </c>
      <c r="I19088" s="558">
        <v>311.3</v>
      </c>
      <c r="J19088" s="558">
        <v>44.06</v>
      </c>
      <c r="K19088" s="558">
        <v>60.74</v>
      </c>
      <c r="L19088" s="43">
        <v>7.7098387993329629</v>
      </c>
      <c r="M19088" s="43">
        <v>11.499815293683044</v>
      </c>
      <c r="N19088" s="43">
        <v>5.0354285714285716</v>
      </c>
      <c r="O19088" s="43">
        <v>3.3465564738292013</v>
      </c>
      <c r="P19088" s="559"/>
      <c r="Q19088" s="559"/>
      <c r="R19088" s="559">
        <v>9</v>
      </c>
    </row>
    <row r="19089" spans="1:18" ht="60">
      <c r="A19089" s="555">
        <v>1492</v>
      </c>
      <c r="B19089" s="552" t="s">
        <v>34600</v>
      </c>
      <c r="C19089" s="556" t="s">
        <v>34601</v>
      </c>
      <c r="D19089" s="557">
        <v>69.3</v>
      </c>
      <c r="E19089" s="557">
        <v>38.67</v>
      </c>
      <c r="F19089" s="557">
        <v>12.25</v>
      </c>
      <c r="G19089" s="557">
        <v>18.38</v>
      </c>
      <c r="H19089" s="558">
        <v>569.79</v>
      </c>
      <c r="I19089" s="558">
        <v>444.72</v>
      </c>
      <c r="J19089" s="558">
        <v>61.68</v>
      </c>
      <c r="K19089" s="558">
        <v>63.39</v>
      </c>
      <c r="L19089" s="43">
        <v>8.2220779220779221</v>
      </c>
      <c r="M19089" s="43">
        <v>11.500387897595035</v>
      </c>
      <c r="N19089" s="43">
        <v>5.0351020408163265</v>
      </c>
      <c r="O19089" s="43">
        <v>3.4488574537540808</v>
      </c>
      <c r="P19089" s="559"/>
      <c r="Q19089" s="559"/>
      <c r="R19089" s="559">
        <v>9</v>
      </c>
    </row>
    <row r="19090" spans="1:18" ht="60">
      <c r="A19090" s="555">
        <v>1493</v>
      </c>
      <c r="B19090" s="552" t="s">
        <v>34602</v>
      </c>
      <c r="C19090" s="556" t="s">
        <v>34603</v>
      </c>
      <c r="D19090" s="557">
        <v>52.56</v>
      </c>
      <c r="E19090" s="557">
        <v>21.91</v>
      </c>
      <c r="F19090" s="557">
        <v>7</v>
      </c>
      <c r="G19090" s="557">
        <v>23.65</v>
      </c>
      <c r="H19090" s="558">
        <v>363.18</v>
      </c>
      <c r="I19090" s="558">
        <v>252.01</v>
      </c>
      <c r="J19090" s="558">
        <v>35.25</v>
      </c>
      <c r="K19090" s="558">
        <v>75.92</v>
      </c>
      <c r="L19090" s="43">
        <v>6.9098173515981731</v>
      </c>
      <c r="M19090" s="43">
        <v>11.502053856686445</v>
      </c>
      <c r="N19090" s="43">
        <v>5.0357142857142856</v>
      </c>
      <c r="O19090" s="43">
        <v>3.2101479915433409</v>
      </c>
      <c r="P19090" s="559"/>
      <c r="Q19090" s="559"/>
      <c r="R19090" s="559">
        <v>9</v>
      </c>
    </row>
    <row r="19091" spans="1:18" ht="60">
      <c r="A19091" s="555">
        <v>1494</v>
      </c>
      <c r="B19091" s="552" t="s">
        <v>34604</v>
      </c>
      <c r="C19091" s="556" t="s">
        <v>34605</v>
      </c>
      <c r="D19091" s="557">
        <v>66.58</v>
      </c>
      <c r="E19091" s="557">
        <v>32.229999999999997</v>
      </c>
      <c r="F19091" s="557">
        <v>10.5</v>
      </c>
      <c r="G19091" s="557">
        <v>23.85</v>
      </c>
      <c r="H19091" s="558">
        <v>501.69</v>
      </c>
      <c r="I19091" s="558">
        <v>370.6</v>
      </c>
      <c r="J19091" s="558">
        <v>52.87</v>
      </c>
      <c r="K19091" s="558">
        <v>78.22</v>
      </c>
      <c r="L19091" s="43">
        <v>7.5351456893962157</v>
      </c>
      <c r="M19091" s="43">
        <v>11.498603785293207</v>
      </c>
      <c r="N19091" s="43">
        <v>5.0352380952380953</v>
      </c>
      <c r="O19091" s="43">
        <v>3.2796645702306075</v>
      </c>
      <c r="P19091" s="559"/>
      <c r="Q19091" s="559"/>
      <c r="R19091" s="559">
        <v>9</v>
      </c>
    </row>
    <row r="19092" spans="1:18" ht="60">
      <c r="A19092" s="555">
        <v>1495</v>
      </c>
      <c r="B19092" s="552" t="s">
        <v>34606</v>
      </c>
      <c r="C19092" s="556" t="s">
        <v>34607</v>
      </c>
      <c r="D19092" s="557">
        <v>88.92</v>
      </c>
      <c r="E19092" s="557">
        <v>48.98</v>
      </c>
      <c r="F19092" s="557">
        <v>15.75</v>
      </c>
      <c r="G19092" s="557">
        <v>24.19</v>
      </c>
      <c r="H19092" s="558">
        <v>724.75</v>
      </c>
      <c r="I19092" s="558">
        <v>563.30999999999995</v>
      </c>
      <c r="J19092" s="558">
        <v>79.31</v>
      </c>
      <c r="K19092" s="558">
        <v>82.13</v>
      </c>
      <c r="L19092" s="43">
        <v>8.1505847953216382</v>
      </c>
      <c r="M19092" s="43">
        <v>11.500816659861167</v>
      </c>
      <c r="N19092" s="43">
        <v>5.0355555555555558</v>
      </c>
      <c r="O19092" s="43">
        <v>3.3952046300124015</v>
      </c>
      <c r="P19092" s="559"/>
      <c r="Q19092" s="559"/>
      <c r="R19092" s="559">
        <v>9</v>
      </c>
    </row>
    <row r="19093" spans="1:18" ht="60">
      <c r="A19093" s="555">
        <v>1496</v>
      </c>
      <c r="B19093" s="552" t="s">
        <v>34608</v>
      </c>
      <c r="C19093" s="556" t="s">
        <v>34609</v>
      </c>
      <c r="D19093" s="557">
        <v>62.2</v>
      </c>
      <c r="E19093" s="557">
        <v>25.78</v>
      </c>
      <c r="F19093" s="557">
        <v>7.88</v>
      </c>
      <c r="G19093" s="557">
        <v>28.54</v>
      </c>
      <c r="H19093" s="558">
        <v>427.24</v>
      </c>
      <c r="I19093" s="558">
        <v>296.48</v>
      </c>
      <c r="J19093" s="558">
        <v>39.65</v>
      </c>
      <c r="K19093" s="558">
        <v>91.11</v>
      </c>
      <c r="L19093" s="43">
        <v>6.8688102893890672</v>
      </c>
      <c r="M19093" s="43">
        <v>11.500387897595035</v>
      </c>
      <c r="N19093" s="43">
        <v>5.031725888324873</v>
      </c>
      <c r="O19093" s="43">
        <v>3.1923615977575333</v>
      </c>
      <c r="P19093" s="559"/>
      <c r="Q19093" s="559"/>
      <c r="R19093" s="559">
        <v>9</v>
      </c>
    </row>
    <row r="19094" spans="1:18" ht="60">
      <c r="A19094" s="555">
        <v>1497</v>
      </c>
      <c r="B19094" s="552" t="s">
        <v>34610</v>
      </c>
      <c r="C19094" s="556" t="s">
        <v>34611</v>
      </c>
      <c r="D19094" s="557">
        <v>79.709999999999994</v>
      </c>
      <c r="E19094" s="557">
        <v>38.67</v>
      </c>
      <c r="F19094" s="557">
        <v>12.25</v>
      </c>
      <c r="G19094" s="557">
        <v>28.79</v>
      </c>
      <c r="H19094" s="558">
        <v>600.39</v>
      </c>
      <c r="I19094" s="558">
        <v>444.72</v>
      </c>
      <c r="J19094" s="558">
        <v>61.68</v>
      </c>
      <c r="K19094" s="558">
        <v>93.99</v>
      </c>
      <c r="L19094" s="43">
        <v>7.5321791494166357</v>
      </c>
      <c r="M19094" s="43">
        <v>11.500387897595035</v>
      </c>
      <c r="N19094" s="43">
        <v>5.0351020408163265</v>
      </c>
      <c r="O19094" s="43">
        <v>3.2646752344564085</v>
      </c>
      <c r="P19094" s="559"/>
      <c r="Q19094" s="559"/>
      <c r="R19094" s="559">
        <v>9</v>
      </c>
    </row>
    <row r="19095" spans="1:18" ht="60">
      <c r="A19095" s="555">
        <v>1498</v>
      </c>
      <c r="B19095" s="552" t="s">
        <v>34612</v>
      </c>
      <c r="C19095" s="556" t="s">
        <v>34613</v>
      </c>
      <c r="D19095" s="557">
        <v>106</v>
      </c>
      <c r="E19095" s="557">
        <v>58.01</v>
      </c>
      <c r="F19095" s="557">
        <v>18.809999999999999</v>
      </c>
      <c r="G19095" s="557">
        <v>29.18</v>
      </c>
      <c r="H19095" s="558">
        <v>860.28</v>
      </c>
      <c r="I19095" s="558">
        <v>667.08</v>
      </c>
      <c r="J19095" s="558">
        <v>94.73</v>
      </c>
      <c r="K19095" s="558">
        <v>98.47</v>
      </c>
      <c r="L19095" s="43">
        <v>8.1158490566037731</v>
      </c>
      <c r="M19095" s="43">
        <v>11.49939665574901</v>
      </c>
      <c r="N19095" s="43">
        <v>5.0361509835194047</v>
      </c>
      <c r="O19095" s="43">
        <v>3.3745716244002741</v>
      </c>
      <c r="P19095" s="559"/>
      <c r="Q19095" s="559"/>
      <c r="R19095" s="559">
        <v>9</v>
      </c>
    </row>
    <row r="19096" spans="1:18" ht="60">
      <c r="A19096" s="555">
        <v>1499</v>
      </c>
      <c r="B19096" s="552" t="s">
        <v>34614</v>
      </c>
      <c r="C19096" s="556" t="s">
        <v>34615</v>
      </c>
      <c r="D19096" s="557">
        <v>74.459999999999994</v>
      </c>
      <c r="E19096" s="557">
        <v>30.94</v>
      </c>
      <c r="F19096" s="557">
        <v>10.06</v>
      </c>
      <c r="G19096" s="557">
        <v>33.46</v>
      </c>
      <c r="H19096" s="558">
        <v>512.98</v>
      </c>
      <c r="I19096" s="558">
        <v>355.78</v>
      </c>
      <c r="J19096" s="558">
        <v>50.67</v>
      </c>
      <c r="K19096" s="558">
        <v>106.53</v>
      </c>
      <c r="L19096" s="43">
        <v>6.8893365565404254</v>
      </c>
      <c r="M19096" s="43">
        <v>11.499030381383321</v>
      </c>
      <c r="N19096" s="43">
        <v>5.036779324055666</v>
      </c>
      <c r="O19096" s="43">
        <v>3.1838015540944409</v>
      </c>
      <c r="P19096" s="559"/>
      <c r="Q19096" s="559"/>
      <c r="R19096" s="559">
        <v>9</v>
      </c>
    </row>
    <row r="19097" spans="1:18" ht="60">
      <c r="A19097" s="555">
        <v>1500</v>
      </c>
      <c r="B19097" s="552" t="s">
        <v>34616</v>
      </c>
      <c r="C19097" s="556" t="s">
        <v>34617</v>
      </c>
      <c r="D19097" s="557">
        <v>101.62</v>
      </c>
      <c r="E19097" s="557">
        <v>51.56</v>
      </c>
      <c r="F19097" s="557">
        <v>16.190000000000001</v>
      </c>
      <c r="G19097" s="557">
        <v>33.869999999999997</v>
      </c>
      <c r="H19097" s="558">
        <v>785.72</v>
      </c>
      <c r="I19097" s="558">
        <v>592.96</v>
      </c>
      <c r="J19097" s="558">
        <v>81.510000000000005</v>
      </c>
      <c r="K19097" s="558">
        <v>111.25</v>
      </c>
      <c r="L19097" s="43">
        <v>7.7319425309978351</v>
      </c>
      <c r="M19097" s="43">
        <v>11.500387897595035</v>
      </c>
      <c r="N19097" s="43">
        <v>5.0345892526250768</v>
      </c>
      <c r="O19097" s="43">
        <v>3.2846176557425455</v>
      </c>
      <c r="P19097" s="559"/>
      <c r="Q19097" s="559"/>
      <c r="R19097" s="559">
        <v>9</v>
      </c>
    </row>
    <row r="19098" spans="1:18" ht="60">
      <c r="A19098" s="555">
        <v>1501</v>
      </c>
      <c r="B19098" s="552" t="s">
        <v>34618</v>
      </c>
      <c r="C19098" s="556" t="s">
        <v>34619</v>
      </c>
      <c r="D19098" s="557">
        <v>122.65</v>
      </c>
      <c r="E19098" s="557">
        <v>67.03</v>
      </c>
      <c r="F19098" s="557">
        <v>21.44</v>
      </c>
      <c r="G19098" s="557">
        <v>34.18</v>
      </c>
      <c r="H19098" s="558">
        <v>993.61</v>
      </c>
      <c r="I19098" s="558">
        <v>770.85</v>
      </c>
      <c r="J19098" s="558">
        <v>107.95</v>
      </c>
      <c r="K19098" s="558">
        <v>114.81</v>
      </c>
      <c r="L19098" s="43">
        <v>8.1011822258459034</v>
      </c>
      <c r="M19098" s="43">
        <v>11.500074593465612</v>
      </c>
      <c r="N19098" s="43">
        <v>5.0349813432835822</v>
      </c>
      <c r="O19098" s="43">
        <v>3.3589818607372735</v>
      </c>
      <c r="P19098" s="559"/>
      <c r="Q19098" s="559"/>
      <c r="R19098" s="559">
        <v>9</v>
      </c>
    </row>
    <row r="19099" spans="1:18" ht="60">
      <c r="A19099" s="555">
        <v>1502</v>
      </c>
      <c r="B19099" s="552" t="s">
        <v>34620</v>
      </c>
      <c r="C19099" s="556" t="s">
        <v>34621</v>
      </c>
      <c r="D19099" s="557">
        <v>94.95</v>
      </c>
      <c r="E19099" s="557">
        <v>38.67</v>
      </c>
      <c r="F19099" s="557">
        <v>12.25</v>
      </c>
      <c r="G19099" s="557">
        <v>44.03</v>
      </c>
      <c r="H19099" s="558">
        <v>645.26</v>
      </c>
      <c r="I19099" s="558">
        <v>444.72</v>
      </c>
      <c r="J19099" s="558">
        <v>61.68</v>
      </c>
      <c r="K19099" s="558">
        <v>138.86000000000001</v>
      </c>
      <c r="L19099" s="43">
        <v>6.7957872564507635</v>
      </c>
      <c r="M19099" s="43">
        <v>11.500387897595035</v>
      </c>
      <c r="N19099" s="43">
        <v>5.0351020408163265</v>
      </c>
      <c r="O19099" s="43">
        <v>3.1537588008176245</v>
      </c>
      <c r="P19099" s="559"/>
      <c r="Q19099" s="559"/>
      <c r="R19099" s="559">
        <v>9</v>
      </c>
    </row>
    <row r="19100" spans="1:18" ht="60">
      <c r="A19100" s="555">
        <v>1503</v>
      </c>
      <c r="B19100" s="552" t="s">
        <v>34622</v>
      </c>
      <c r="C19100" s="556" t="s">
        <v>34623</v>
      </c>
      <c r="D19100" s="557">
        <v>124.74</v>
      </c>
      <c r="E19100" s="557">
        <v>60.58</v>
      </c>
      <c r="F19100" s="557">
        <v>19.690000000000001</v>
      </c>
      <c r="G19100" s="557">
        <v>44.47</v>
      </c>
      <c r="H19100" s="558">
        <v>939.79</v>
      </c>
      <c r="I19100" s="558">
        <v>696.73</v>
      </c>
      <c r="J19100" s="558">
        <v>99.14</v>
      </c>
      <c r="K19100" s="558">
        <v>143.91999999999999</v>
      </c>
      <c r="L19100" s="43">
        <v>7.533990700657367</v>
      </c>
      <c r="M19100" s="43">
        <v>11.500990425883131</v>
      </c>
      <c r="N19100" s="43">
        <v>5.0350431691213808</v>
      </c>
      <c r="O19100" s="43">
        <v>3.2363391050146162</v>
      </c>
      <c r="P19100" s="559"/>
      <c r="Q19100" s="559"/>
      <c r="R19100" s="559">
        <v>9</v>
      </c>
    </row>
    <row r="19101" spans="1:18" ht="60">
      <c r="A19101" s="555">
        <v>1504</v>
      </c>
      <c r="B19101" s="552" t="s">
        <v>34624</v>
      </c>
      <c r="C19101" s="556" t="s">
        <v>34625</v>
      </c>
      <c r="D19101" s="557">
        <v>152.34</v>
      </c>
      <c r="E19101" s="557">
        <v>81.209999999999994</v>
      </c>
      <c r="F19101" s="557">
        <v>26.25</v>
      </c>
      <c r="G19101" s="557">
        <v>44.88</v>
      </c>
      <c r="H19101" s="558">
        <v>1214.72</v>
      </c>
      <c r="I19101" s="558">
        <v>933.91</v>
      </c>
      <c r="J19101" s="558">
        <v>132.18</v>
      </c>
      <c r="K19101" s="558">
        <v>148.63</v>
      </c>
      <c r="L19101" s="43">
        <v>7.9737429434160427</v>
      </c>
      <c r="M19101" s="43">
        <v>11.499938431227681</v>
      </c>
      <c r="N19101" s="43">
        <v>5.0354285714285716</v>
      </c>
      <c r="O19101" s="43">
        <v>3.3117201426024954</v>
      </c>
      <c r="P19101" s="559"/>
      <c r="Q19101" s="559"/>
      <c r="R19101" s="559">
        <v>9</v>
      </c>
    </row>
    <row r="19102" spans="1:18" ht="60">
      <c r="A19102" s="555">
        <v>1505</v>
      </c>
      <c r="B19102" s="552" t="s">
        <v>34626</v>
      </c>
      <c r="C19102" s="556" t="s">
        <v>34627</v>
      </c>
      <c r="D19102" s="557">
        <v>116</v>
      </c>
      <c r="E19102" s="557">
        <v>45.12</v>
      </c>
      <c r="F19102" s="557">
        <v>14.44</v>
      </c>
      <c r="G19102" s="557">
        <v>56.44</v>
      </c>
      <c r="H19102" s="558">
        <v>767.94</v>
      </c>
      <c r="I19102" s="558">
        <v>518.84</v>
      </c>
      <c r="J19102" s="558">
        <v>72.7</v>
      </c>
      <c r="K19102" s="558">
        <v>176.4</v>
      </c>
      <c r="L19102" s="43">
        <v>6.6201724137931039</v>
      </c>
      <c r="M19102" s="43">
        <v>11.499113475177307</v>
      </c>
      <c r="N19102" s="43">
        <v>5.0346260387811634</v>
      </c>
      <c r="O19102" s="43">
        <v>3.1254429482636432</v>
      </c>
      <c r="P19102" s="559"/>
      <c r="Q19102" s="559"/>
      <c r="R19102" s="559">
        <v>9</v>
      </c>
    </row>
    <row r="19103" spans="1:18" ht="60">
      <c r="A19103" s="555">
        <v>1506</v>
      </c>
      <c r="B19103" s="552" t="s">
        <v>34628</v>
      </c>
      <c r="C19103" s="556" t="s">
        <v>34629</v>
      </c>
      <c r="D19103" s="557">
        <v>152.35</v>
      </c>
      <c r="E19103" s="557">
        <v>72.180000000000007</v>
      </c>
      <c r="F19103" s="557">
        <v>23.19</v>
      </c>
      <c r="G19103" s="557">
        <v>56.98</v>
      </c>
      <c r="H19103" s="558">
        <v>1129.51</v>
      </c>
      <c r="I19103" s="558">
        <v>830.14</v>
      </c>
      <c r="J19103" s="558">
        <v>116.76</v>
      </c>
      <c r="K19103" s="558">
        <v>182.61</v>
      </c>
      <c r="L19103" s="43">
        <v>7.4139153265507058</v>
      </c>
      <c r="M19103" s="43">
        <v>11.500969797727901</v>
      </c>
      <c r="N19103" s="43">
        <v>5.0349288486416555</v>
      </c>
      <c r="O19103" s="43">
        <v>3.2048087048087051</v>
      </c>
      <c r="P19103" s="559"/>
      <c r="Q19103" s="559"/>
      <c r="R19103" s="559">
        <v>9</v>
      </c>
    </row>
    <row r="19104" spans="1:18" ht="60">
      <c r="A19104" s="555">
        <v>1507</v>
      </c>
      <c r="B19104" s="552" t="s">
        <v>34630</v>
      </c>
      <c r="C19104" s="556" t="s">
        <v>34631</v>
      </c>
      <c r="D19104" s="557">
        <v>192.22</v>
      </c>
      <c r="E19104" s="557">
        <v>103.12</v>
      </c>
      <c r="F19104" s="557">
        <v>31.5</v>
      </c>
      <c r="G19104" s="557">
        <v>57.6</v>
      </c>
      <c r="H19104" s="558">
        <v>1534.28</v>
      </c>
      <c r="I19104" s="558">
        <v>1185.92</v>
      </c>
      <c r="J19104" s="558">
        <v>158.62</v>
      </c>
      <c r="K19104" s="558">
        <v>189.74</v>
      </c>
      <c r="L19104" s="43">
        <v>7.9818957444594734</v>
      </c>
      <c r="M19104" s="43">
        <v>11.500387897595035</v>
      </c>
      <c r="N19104" s="43">
        <v>5.0355555555555558</v>
      </c>
      <c r="O19104" s="43">
        <v>3.2940972222222222</v>
      </c>
      <c r="P19104" s="559"/>
      <c r="Q19104" s="559"/>
      <c r="R19104" s="559">
        <v>9</v>
      </c>
    </row>
    <row r="19105" spans="1:18" ht="60">
      <c r="A19105" s="555">
        <v>1508</v>
      </c>
      <c r="B19105" s="552" t="s">
        <v>34632</v>
      </c>
      <c r="C19105" s="556" t="s">
        <v>34633</v>
      </c>
      <c r="D19105" s="557">
        <v>148.12</v>
      </c>
      <c r="E19105" s="557">
        <v>55.43</v>
      </c>
      <c r="F19105" s="557">
        <v>17.940000000000001</v>
      </c>
      <c r="G19105" s="557">
        <v>74.75</v>
      </c>
      <c r="H19105" s="558">
        <v>959.94</v>
      </c>
      <c r="I19105" s="558">
        <v>637.42999999999995</v>
      </c>
      <c r="J19105" s="558">
        <v>90.32</v>
      </c>
      <c r="K19105" s="558">
        <v>232.19</v>
      </c>
      <c r="L19105" s="43">
        <v>6.4808263570078317</v>
      </c>
      <c r="M19105" s="43">
        <v>11.499729388417823</v>
      </c>
      <c r="N19105" s="43">
        <v>5.034559643255295</v>
      </c>
      <c r="O19105" s="43">
        <v>3.106220735785953</v>
      </c>
      <c r="P19105" s="559"/>
      <c r="Q19105" s="559"/>
      <c r="R19105" s="559">
        <v>9</v>
      </c>
    </row>
    <row r="19106" spans="1:18" ht="12.75" customHeight="1">
      <c r="A19106" s="628" t="s">
        <v>34634</v>
      </c>
      <c r="B19106" s="629"/>
      <c r="C19106" s="629"/>
      <c r="D19106" s="629"/>
      <c r="E19106" s="629"/>
      <c r="F19106" s="629"/>
      <c r="G19106" s="629"/>
      <c r="H19106" s="629"/>
      <c r="I19106" s="629"/>
      <c r="J19106" s="629"/>
      <c r="K19106" s="629"/>
      <c r="L19106" s="629"/>
      <c r="M19106" s="629"/>
      <c r="N19106" s="629"/>
      <c r="O19106" s="629"/>
      <c r="P19106" s="629"/>
      <c r="Q19106" s="629"/>
      <c r="R19106" s="629"/>
    </row>
    <row r="19107" spans="1:18" ht="60">
      <c r="A19107" s="555">
        <v>1509</v>
      </c>
      <c r="B19107" s="552" t="s">
        <v>34635</v>
      </c>
      <c r="C19107" s="556" t="s">
        <v>34636</v>
      </c>
      <c r="D19107" s="557">
        <v>5.14</v>
      </c>
      <c r="E19107" s="557">
        <v>3.56</v>
      </c>
      <c r="F19107" s="557">
        <v>1.23</v>
      </c>
      <c r="G19107" s="557">
        <v>0.35</v>
      </c>
      <c r="H19107" s="558">
        <v>49.21</v>
      </c>
      <c r="I19107" s="558">
        <v>40.880000000000003</v>
      </c>
      <c r="J19107" s="558">
        <v>6.17</v>
      </c>
      <c r="K19107" s="558">
        <v>2.16</v>
      </c>
      <c r="L19107" s="43">
        <v>9.5739299610894957</v>
      </c>
      <c r="M19107" s="43">
        <v>11.498253783469149</v>
      </c>
      <c r="N19107" s="43">
        <v>5.0162601626016263</v>
      </c>
      <c r="O19107" s="43">
        <v>6.1714285714285726</v>
      </c>
      <c r="P19107" s="559"/>
      <c r="Q19107" s="559"/>
      <c r="R19107" s="559">
        <v>10</v>
      </c>
    </row>
    <row r="19108" spans="1:18" ht="60">
      <c r="A19108" s="555">
        <v>1510</v>
      </c>
      <c r="B19108" s="552" t="s">
        <v>34637</v>
      </c>
      <c r="C19108" s="556" t="s">
        <v>34638</v>
      </c>
      <c r="D19108" s="557">
        <v>5.77</v>
      </c>
      <c r="E19108" s="557">
        <v>3.91</v>
      </c>
      <c r="F19108" s="557">
        <v>1.4</v>
      </c>
      <c r="G19108" s="557">
        <v>0.46</v>
      </c>
      <c r="H19108" s="558">
        <v>54.6</v>
      </c>
      <c r="I19108" s="558">
        <v>44.97</v>
      </c>
      <c r="J19108" s="558">
        <v>7.05</v>
      </c>
      <c r="K19108" s="558">
        <v>2.58</v>
      </c>
      <c r="L19108" s="43">
        <v>9.4627383015597921</v>
      </c>
      <c r="M19108" s="43">
        <v>11.501278772378516</v>
      </c>
      <c r="N19108" s="43">
        <v>5.0357142857142856</v>
      </c>
      <c r="O19108" s="43">
        <v>5.6086956521739131</v>
      </c>
      <c r="P19108" s="559"/>
      <c r="Q19108" s="559"/>
      <c r="R19108" s="559">
        <v>10</v>
      </c>
    </row>
    <row r="19109" spans="1:18" ht="60">
      <c r="A19109" s="555">
        <v>1511</v>
      </c>
      <c r="B19109" s="552" t="s">
        <v>34639</v>
      </c>
      <c r="C19109" s="556" t="s">
        <v>34640</v>
      </c>
      <c r="D19109" s="557">
        <v>6.64</v>
      </c>
      <c r="E19109" s="557">
        <v>4.38</v>
      </c>
      <c r="F19109" s="557">
        <v>1.58</v>
      </c>
      <c r="G19109" s="557">
        <v>0.68</v>
      </c>
      <c r="H19109" s="558">
        <v>62.16</v>
      </c>
      <c r="I19109" s="558">
        <v>50.42</v>
      </c>
      <c r="J19109" s="558">
        <v>7.93</v>
      </c>
      <c r="K19109" s="558">
        <v>3.81</v>
      </c>
      <c r="L19109" s="43">
        <v>9.3614457831325293</v>
      </c>
      <c r="M19109" s="43">
        <v>11.498253783469149</v>
      </c>
      <c r="N19109" s="43">
        <v>5.0189873417721511</v>
      </c>
      <c r="O19109" s="43">
        <v>5.6029411764705879</v>
      </c>
      <c r="P19109" s="559"/>
      <c r="Q19109" s="559"/>
      <c r="R19109" s="559">
        <v>10</v>
      </c>
    </row>
    <row r="19110" spans="1:18" ht="60">
      <c r="A19110" s="555">
        <v>1512</v>
      </c>
      <c r="B19110" s="552" t="s">
        <v>34641</v>
      </c>
      <c r="C19110" s="556" t="s">
        <v>34642</v>
      </c>
      <c r="D19110" s="557">
        <v>7.79</v>
      </c>
      <c r="E19110" s="557">
        <v>4.9800000000000004</v>
      </c>
      <c r="F19110" s="557">
        <v>1.75</v>
      </c>
      <c r="G19110" s="557">
        <v>1.06</v>
      </c>
      <c r="H19110" s="558">
        <v>71.59</v>
      </c>
      <c r="I19110" s="558">
        <v>57.24</v>
      </c>
      <c r="J19110" s="558">
        <v>8.81</v>
      </c>
      <c r="K19110" s="558">
        <v>5.54</v>
      </c>
      <c r="L19110" s="43">
        <v>9.1899871630295262</v>
      </c>
      <c r="M19110" s="43">
        <v>11.498253783469149</v>
      </c>
      <c r="N19110" s="43">
        <v>5.0342857142857147</v>
      </c>
      <c r="O19110" s="43">
        <v>5.2264150943396226</v>
      </c>
      <c r="P19110" s="559"/>
      <c r="Q19110" s="559"/>
      <c r="R19110" s="559">
        <v>10</v>
      </c>
    </row>
    <row r="19111" spans="1:18" ht="48">
      <c r="A19111" s="555">
        <v>1513</v>
      </c>
      <c r="B19111" s="552" t="s">
        <v>34643</v>
      </c>
      <c r="C19111" s="556" t="s">
        <v>34644</v>
      </c>
      <c r="D19111" s="557">
        <v>19.73</v>
      </c>
      <c r="E19111" s="557">
        <v>14.22</v>
      </c>
      <c r="F19111" s="557">
        <v>4.8099999999999996</v>
      </c>
      <c r="G19111" s="557">
        <v>0.7</v>
      </c>
      <c r="H19111" s="558">
        <v>192.81</v>
      </c>
      <c r="I19111" s="558">
        <v>163.54</v>
      </c>
      <c r="J19111" s="558">
        <v>24.23</v>
      </c>
      <c r="K19111" s="558">
        <v>5.04</v>
      </c>
      <c r="L19111" s="43">
        <v>9.7724277749619866</v>
      </c>
      <c r="M19111" s="43">
        <v>11.500703234880449</v>
      </c>
      <c r="N19111" s="43">
        <v>5.0374220374220382</v>
      </c>
      <c r="O19111" s="43">
        <v>7.2</v>
      </c>
      <c r="P19111" s="559"/>
      <c r="Q19111" s="559"/>
      <c r="R19111" s="559">
        <v>10</v>
      </c>
    </row>
    <row r="19112" spans="1:18" ht="12.75" customHeight="1">
      <c r="A19112" s="628" t="s">
        <v>34645</v>
      </c>
      <c r="B19112" s="629"/>
      <c r="C19112" s="629"/>
      <c r="D19112" s="629"/>
      <c r="E19112" s="629"/>
      <c r="F19112" s="629"/>
      <c r="G19112" s="629"/>
      <c r="H19112" s="629"/>
      <c r="I19112" s="629"/>
      <c r="J19112" s="629"/>
      <c r="K19112" s="629"/>
      <c r="L19112" s="629"/>
      <c r="M19112" s="629"/>
      <c r="N19112" s="629"/>
      <c r="O19112" s="629"/>
      <c r="P19112" s="629"/>
      <c r="Q19112" s="629"/>
      <c r="R19112" s="629"/>
    </row>
    <row r="19113" spans="1:18" ht="24">
      <c r="A19113" s="555">
        <v>1514</v>
      </c>
      <c r="B19113" s="552" t="s">
        <v>34646</v>
      </c>
      <c r="C19113" s="556" t="s">
        <v>34647</v>
      </c>
      <c r="D19113" s="557">
        <v>7.12</v>
      </c>
      <c r="E19113" s="557">
        <v>4.74</v>
      </c>
      <c r="F19113" s="557">
        <v>0.93</v>
      </c>
      <c r="G19113" s="557">
        <v>1.45</v>
      </c>
      <c r="H19113" s="558">
        <v>64.83</v>
      </c>
      <c r="I19113" s="558">
        <v>54.51</v>
      </c>
      <c r="J19113" s="558">
        <v>4.6900000000000004</v>
      </c>
      <c r="K19113" s="558">
        <v>5.63</v>
      </c>
      <c r="L19113" s="43">
        <v>9.1053370786516847</v>
      </c>
      <c r="M19113" s="43">
        <v>11.499999999999998</v>
      </c>
      <c r="N19113" s="43">
        <v>5.043010752688172</v>
      </c>
      <c r="O19113" s="43">
        <v>3.8827586206896552</v>
      </c>
      <c r="P19113" s="559"/>
      <c r="Q19113" s="559"/>
      <c r="R19113" s="559">
        <v>11</v>
      </c>
    </row>
    <row r="19114" spans="1:18" ht="12.75" customHeight="1">
      <c r="A19114" s="628" t="s">
        <v>34648</v>
      </c>
      <c r="B19114" s="629"/>
      <c r="C19114" s="629"/>
      <c r="D19114" s="629"/>
      <c r="E19114" s="629"/>
      <c r="F19114" s="629"/>
      <c r="G19114" s="629"/>
      <c r="H19114" s="629"/>
      <c r="I19114" s="629"/>
      <c r="J19114" s="629"/>
      <c r="K19114" s="629"/>
      <c r="L19114" s="629"/>
      <c r="M19114" s="629"/>
      <c r="N19114" s="629"/>
      <c r="O19114" s="629"/>
      <c r="P19114" s="629"/>
      <c r="Q19114" s="629"/>
      <c r="R19114" s="629"/>
    </row>
    <row r="19115" spans="1:18" ht="36">
      <c r="A19115" s="555">
        <v>1515</v>
      </c>
      <c r="B19115" s="552" t="s">
        <v>34649</v>
      </c>
      <c r="C19115" s="556" t="s">
        <v>34650</v>
      </c>
      <c r="D19115" s="557">
        <v>27</v>
      </c>
      <c r="E19115" s="557">
        <v>15.44</v>
      </c>
      <c r="F19115" s="557">
        <v>1.9</v>
      </c>
      <c r="G19115" s="557">
        <v>9.66</v>
      </c>
      <c r="H19115" s="558">
        <v>221.48</v>
      </c>
      <c r="I19115" s="558">
        <v>177.56</v>
      </c>
      <c r="J19115" s="558">
        <v>9.68</v>
      </c>
      <c r="K19115" s="558">
        <v>34.24</v>
      </c>
      <c r="L19115" s="43">
        <v>8.2029629629629621</v>
      </c>
      <c r="M19115" s="43">
        <v>11.5</v>
      </c>
      <c r="N19115" s="43">
        <v>5.094736842105263</v>
      </c>
      <c r="O19115" s="43">
        <v>3.5445134575569361</v>
      </c>
      <c r="P19115" s="559"/>
      <c r="Q19115" s="559"/>
      <c r="R19115" s="559">
        <v>12</v>
      </c>
    </row>
    <row r="19116" spans="1:18" ht="36">
      <c r="A19116" s="555">
        <v>1516</v>
      </c>
      <c r="B19116" s="552" t="s">
        <v>34651</v>
      </c>
      <c r="C19116" s="556" t="s">
        <v>34652</v>
      </c>
      <c r="D19116" s="557">
        <v>33.729999999999997</v>
      </c>
      <c r="E19116" s="557">
        <v>18.53</v>
      </c>
      <c r="F19116" s="557">
        <v>2.37</v>
      </c>
      <c r="G19116" s="557">
        <v>12.83</v>
      </c>
      <c r="H19116" s="558">
        <v>270.26</v>
      </c>
      <c r="I19116" s="558">
        <v>213.07</v>
      </c>
      <c r="J19116" s="558">
        <v>12.03</v>
      </c>
      <c r="K19116" s="558">
        <v>45.16</v>
      </c>
      <c r="L19116" s="43">
        <v>8.0124518233026976</v>
      </c>
      <c r="M19116" s="43">
        <v>11.49865083648138</v>
      </c>
      <c r="N19116" s="43">
        <v>5.0759493670886071</v>
      </c>
      <c r="O19116" s="43">
        <v>3.51987529228371</v>
      </c>
      <c r="P19116" s="559"/>
      <c r="Q19116" s="559"/>
      <c r="R19116" s="559">
        <v>12</v>
      </c>
    </row>
    <row r="19117" spans="1:18" ht="36">
      <c r="A19117" s="555">
        <v>1517</v>
      </c>
      <c r="B19117" s="552" t="s">
        <v>34653</v>
      </c>
      <c r="C19117" s="556" t="s">
        <v>34654</v>
      </c>
      <c r="D19117" s="557">
        <v>30.61</v>
      </c>
      <c r="E19117" s="557">
        <v>16.98</v>
      </c>
      <c r="F19117" s="557">
        <v>2.08</v>
      </c>
      <c r="G19117" s="557">
        <v>11.55</v>
      </c>
      <c r="H19117" s="558">
        <v>246.58</v>
      </c>
      <c r="I19117" s="558">
        <v>195.32</v>
      </c>
      <c r="J19117" s="558">
        <v>10.56</v>
      </c>
      <c r="K19117" s="558">
        <v>40.700000000000003</v>
      </c>
      <c r="L19117" s="43">
        <v>8.0555374060764464</v>
      </c>
      <c r="M19117" s="43">
        <v>11.502944640753828</v>
      </c>
      <c r="N19117" s="43">
        <v>5.0769230769230766</v>
      </c>
      <c r="O19117" s="43">
        <v>3.5238095238095237</v>
      </c>
      <c r="P19117" s="559"/>
      <c r="Q19117" s="559"/>
      <c r="R19117" s="559">
        <v>12</v>
      </c>
    </row>
    <row r="19118" spans="1:18" ht="36">
      <c r="A19118" s="555">
        <v>1518</v>
      </c>
      <c r="B19118" s="552" t="s">
        <v>34655</v>
      </c>
      <c r="C19118" s="556" t="s">
        <v>34656</v>
      </c>
      <c r="D19118" s="557">
        <v>36.33</v>
      </c>
      <c r="E19118" s="557">
        <v>18.53</v>
      </c>
      <c r="F19118" s="557">
        <v>2.48</v>
      </c>
      <c r="G19118" s="557">
        <v>15.32</v>
      </c>
      <c r="H19118" s="558">
        <v>279.01</v>
      </c>
      <c r="I19118" s="558">
        <v>213.07</v>
      </c>
      <c r="J19118" s="558">
        <v>12.62</v>
      </c>
      <c r="K19118" s="558">
        <v>53.32</v>
      </c>
      <c r="L19118" s="43">
        <v>7.6798788879713733</v>
      </c>
      <c r="M19118" s="43">
        <v>11.49865083648138</v>
      </c>
      <c r="N19118" s="43">
        <v>5.088709677419355</v>
      </c>
      <c r="O19118" s="43">
        <v>3.4804177545691903</v>
      </c>
      <c r="P19118" s="559"/>
      <c r="Q19118" s="559"/>
      <c r="R19118" s="559">
        <v>12</v>
      </c>
    </row>
    <row r="19119" spans="1:18" ht="36">
      <c r="A19119" s="555">
        <v>1519</v>
      </c>
      <c r="B19119" s="552" t="s">
        <v>34657</v>
      </c>
      <c r="C19119" s="556" t="s">
        <v>34658</v>
      </c>
      <c r="D19119" s="557">
        <v>43.6</v>
      </c>
      <c r="E19119" s="557">
        <v>24.7</v>
      </c>
      <c r="F19119" s="557">
        <v>3.46</v>
      </c>
      <c r="G19119" s="557">
        <v>15.44</v>
      </c>
      <c r="H19119" s="558">
        <v>356.4</v>
      </c>
      <c r="I19119" s="558">
        <v>284.10000000000002</v>
      </c>
      <c r="J19119" s="558">
        <v>17.600000000000001</v>
      </c>
      <c r="K19119" s="558">
        <v>54.7</v>
      </c>
      <c r="L19119" s="43">
        <v>8.1743119266055047</v>
      </c>
      <c r="M19119" s="43">
        <v>11.502024291497976</v>
      </c>
      <c r="N19119" s="43">
        <v>5.0867052023121389</v>
      </c>
      <c r="O19119" s="43">
        <v>3.5427461139896375</v>
      </c>
      <c r="P19119" s="559"/>
      <c r="Q19119" s="559"/>
      <c r="R19119" s="559">
        <v>12</v>
      </c>
    </row>
    <row r="19120" spans="1:18" ht="36">
      <c r="A19120" s="555">
        <v>1520</v>
      </c>
      <c r="B19120" s="552" t="s">
        <v>34659</v>
      </c>
      <c r="C19120" s="556" t="s">
        <v>34660</v>
      </c>
      <c r="D19120" s="557">
        <v>51.19</v>
      </c>
      <c r="E19120" s="557">
        <v>27.79</v>
      </c>
      <c r="F19120" s="557">
        <v>4.1500000000000004</v>
      </c>
      <c r="G19120" s="557">
        <v>19.25</v>
      </c>
      <c r="H19120" s="558">
        <v>408.51</v>
      </c>
      <c r="I19120" s="558">
        <v>319.61</v>
      </c>
      <c r="J19120" s="558">
        <v>21.12</v>
      </c>
      <c r="K19120" s="558">
        <v>67.78</v>
      </c>
      <c r="L19120" s="43">
        <v>7.9802695839031061</v>
      </c>
      <c r="M19120" s="43">
        <v>11.500899604174164</v>
      </c>
      <c r="N19120" s="43">
        <v>5.089156626506024</v>
      </c>
      <c r="O19120" s="43">
        <v>3.5210389610389612</v>
      </c>
      <c r="P19120" s="559"/>
      <c r="Q19120" s="559"/>
      <c r="R19120" s="559">
        <v>12</v>
      </c>
    </row>
    <row r="19121" spans="1:18" ht="36">
      <c r="A19121" s="555">
        <v>1521</v>
      </c>
      <c r="B19121" s="552" t="s">
        <v>34661</v>
      </c>
      <c r="C19121" s="556" t="s">
        <v>34662</v>
      </c>
      <c r="D19121" s="557">
        <v>41.87</v>
      </c>
      <c r="E19121" s="557">
        <v>20.07</v>
      </c>
      <c r="F19121" s="557">
        <v>2.71</v>
      </c>
      <c r="G19121" s="557">
        <v>19.09</v>
      </c>
      <c r="H19121" s="558">
        <v>310.56</v>
      </c>
      <c r="I19121" s="558">
        <v>230.83</v>
      </c>
      <c r="J19121" s="558">
        <v>13.79</v>
      </c>
      <c r="K19121" s="558">
        <v>65.94</v>
      </c>
      <c r="L19121" s="43">
        <v>7.4172438500119426</v>
      </c>
      <c r="M19121" s="43">
        <v>11.501245640259093</v>
      </c>
      <c r="N19121" s="43">
        <v>5.0885608856088558</v>
      </c>
      <c r="O19121" s="43">
        <v>3.4541644840230488</v>
      </c>
      <c r="P19121" s="559"/>
      <c r="Q19121" s="559"/>
      <c r="R19121" s="559">
        <v>12</v>
      </c>
    </row>
    <row r="19122" spans="1:18" ht="36">
      <c r="A19122" s="555">
        <v>1522</v>
      </c>
      <c r="B19122" s="552" t="s">
        <v>34663</v>
      </c>
      <c r="C19122" s="556" t="s">
        <v>34664</v>
      </c>
      <c r="D19122" s="557">
        <v>49.27</v>
      </c>
      <c r="E19122" s="557">
        <v>26.25</v>
      </c>
      <c r="F19122" s="557">
        <v>3.81</v>
      </c>
      <c r="G19122" s="557">
        <v>19.21</v>
      </c>
      <c r="H19122" s="558">
        <v>388.53</v>
      </c>
      <c r="I19122" s="558">
        <v>301.85000000000002</v>
      </c>
      <c r="J19122" s="558">
        <v>19.36</v>
      </c>
      <c r="K19122" s="558">
        <v>67.319999999999993</v>
      </c>
      <c r="L19122" s="43">
        <v>7.8857316825654546</v>
      </c>
      <c r="M19122" s="43">
        <v>11.499047619047619</v>
      </c>
      <c r="N19122" s="43">
        <v>5.0813648293963256</v>
      </c>
      <c r="O19122" s="43">
        <v>3.5044247787610616</v>
      </c>
      <c r="P19122" s="559"/>
      <c r="Q19122" s="559"/>
      <c r="R19122" s="559">
        <v>12</v>
      </c>
    </row>
    <row r="19123" spans="1:18" ht="36">
      <c r="A19123" s="555">
        <v>1523</v>
      </c>
      <c r="B19123" s="552" t="s">
        <v>34665</v>
      </c>
      <c r="C19123" s="556" t="s">
        <v>34666</v>
      </c>
      <c r="D19123" s="557">
        <v>59.37</v>
      </c>
      <c r="E19123" s="557">
        <v>30.88</v>
      </c>
      <c r="F19123" s="557">
        <v>4.5</v>
      </c>
      <c r="G19123" s="557">
        <v>23.99</v>
      </c>
      <c r="H19123" s="558">
        <v>461.83</v>
      </c>
      <c r="I19123" s="558">
        <v>355.12</v>
      </c>
      <c r="J19123" s="558">
        <v>22.89</v>
      </c>
      <c r="K19123" s="558">
        <v>83.82</v>
      </c>
      <c r="L19123" s="43">
        <v>7.7788445342765709</v>
      </c>
      <c r="M19123" s="43">
        <v>11.5</v>
      </c>
      <c r="N19123" s="43">
        <v>5.0866666666666669</v>
      </c>
      <c r="O19123" s="43">
        <v>3.4939558149228844</v>
      </c>
      <c r="P19123" s="559"/>
      <c r="Q19123" s="559"/>
      <c r="R19123" s="559">
        <v>12</v>
      </c>
    </row>
    <row r="19124" spans="1:18" ht="36">
      <c r="A19124" s="555">
        <v>1524</v>
      </c>
      <c r="B19124" s="552" t="s">
        <v>34667</v>
      </c>
      <c r="C19124" s="556" t="s">
        <v>34668</v>
      </c>
      <c r="D19124" s="557">
        <v>55.07</v>
      </c>
      <c r="E19124" s="557">
        <v>21.62</v>
      </c>
      <c r="F19124" s="557">
        <v>3.12</v>
      </c>
      <c r="G19124" s="557">
        <v>30.33</v>
      </c>
      <c r="H19124" s="558">
        <v>367.48</v>
      </c>
      <c r="I19124" s="558">
        <v>248.58</v>
      </c>
      <c r="J19124" s="558">
        <v>15.84</v>
      </c>
      <c r="K19124" s="558">
        <v>103.06</v>
      </c>
      <c r="L19124" s="43">
        <v>6.6729616851280191</v>
      </c>
      <c r="M19124" s="43">
        <v>11.497687326549491</v>
      </c>
      <c r="N19124" s="43">
        <v>5.0769230769230766</v>
      </c>
      <c r="O19124" s="43">
        <v>3.3979558193208046</v>
      </c>
      <c r="P19124" s="559"/>
      <c r="Q19124" s="559"/>
      <c r="R19124" s="559">
        <v>12</v>
      </c>
    </row>
    <row r="19125" spans="1:18" ht="36">
      <c r="A19125" s="555">
        <v>1525</v>
      </c>
      <c r="B19125" s="552" t="s">
        <v>34669</v>
      </c>
      <c r="C19125" s="556" t="s">
        <v>34670</v>
      </c>
      <c r="D19125" s="557">
        <v>62.4</v>
      </c>
      <c r="E19125" s="557">
        <v>27.79</v>
      </c>
      <c r="F19125" s="557">
        <v>4.1500000000000004</v>
      </c>
      <c r="G19125" s="557">
        <v>30.46</v>
      </c>
      <c r="H19125" s="558">
        <v>445.29</v>
      </c>
      <c r="I19125" s="558">
        <v>319.61</v>
      </c>
      <c r="J19125" s="558">
        <v>21.12</v>
      </c>
      <c r="K19125" s="558">
        <v>104.56</v>
      </c>
      <c r="L19125" s="43">
        <v>7.136057692307693</v>
      </c>
      <c r="M19125" s="43">
        <v>11.500899604174164</v>
      </c>
      <c r="N19125" s="43">
        <v>5.089156626506024</v>
      </c>
      <c r="O19125" s="43">
        <v>3.4326986211424821</v>
      </c>
      <c r="P19125" s="559"/>
      <c r="Q19125" s="559"/>
      <c r="R19125" s="559">
        <v>12</v>
      </c>
    </row>
    <row r="19126" spans="1:18" ht="36">
      <c r="A19126" s="555">
        <v>1526</v>
      </c>
      <c r="B19126" s="552" t="s">
        <v>34671</v>
      </c>
      <c r="C19126" s="556" t="s">
        <v>34672</v>
      </c>
      <c r="D19126" s="557">
        <v>75.3</v>
      </c>
      <c r="E19126" s="557">
        <v>32.42</v>
      </c>
      <c r="F19126" s="557">
        <v>4.8499999999999996</v>
      </c>
      <c r="G19126" s="557">
        <v>38.03</v>
      </c>
      <c r="H19126" s="558">
        <v>527.71</v>
      </c>
      <c r="I19126" s="558">
        <v>372.88</v>
      </c>
      <c r="J19126" s="558">
        <v>24.65</v>
      </c>
      <c r="K19126" s="558">
        <v>130.18</v>
      </c>
      <c r="L19126" s="43">
        <v>7.0081009296148746</v>
      </c>
      <c r="M19126" s="43">
        <v>11.501542257865514</v>
      </c>
      <c r="N19126" s="43">
        <v>5.0824742268041234</v>
      </c>
      <c r="O19126" s="43">
        <v>3.4230870365500921</v>
      </c>
      <c r="P19126" s="559"/>
      <c r="Q19126" s="559"/>
      <c r="R19126" s="559">
        <v>12</v>
      </c>
    </row>
    <row r="19127" spans="1:18" ht="36">
      <c r="A19127" s="555">
        <v>1527</v>
      </c>
      <c r="B19127" s="552" t="s">
        <v>34673</v>
      </c>
      <c r="C19127" s="556" t="s">
        <v>34674</v>
      </c>
      <c r="D19127" s="557">
        <v>78.5</v>
      </c>
      <c r="E19127" s="557">
        <v>24.7</v>
      </c>
      <c r="F19127" s="557">
        <v>3.46</v>
      </c>
      <c r="G19127" s="557">
        <v>50.34</v>
      </c>
      <c r="H19127" s="558">
        <v>470.93</v>
      </c>
      <c r="I19127" s="558">
        <v>284.10000000000002</v>
      </c>
      <c r="J19127" s="558">
        <v>17.600000000000001</v>
      </c>
      <c r="K19127" s="558">
        <v>169.23</v>
      </c>
      <c r="L19127" s="43">
        <v>5.9991082802547773</v>
      </c>
      <c r="M19127" s="43">
        <v>11.502024291497976</v>
      </c>
      <c r="N19127" s="43">
        <v>5.0867052023121389</v>
      </c>
      <c r="O19127" s="43">
        <v>3.3617401668653155</v>
      </c>
      <c r="P19127" s="559"/>
      <c r="Q19127" s="559"/>
      <c r="R19127" s="559">
        <v>12</v>
      </c>
    </row>
    <row r="19128" spans="1:18" ht="36">
      <c r="A19128" s="555">
        <v>1528</v>
      </c>
      <c r="B19128" s="552" t="s">
        <v>34675</v>
      </c>
      <c r="C19128" s="556" t="s">
        <v>34676</v>
      </c>
      <c r="D19128" s="557">
        <v>85.85</v>
      </c>
      <c r="E19128" s="557">
        <v>30.88</v>
      </c>
      <c r="F19128" s="557">
        <v>4.5</v>
      </c>
      <c r="G19128" s="557">
        <v>50.47</v>
      </c>
      <c r="H19128" s="558">
        <v>548.73</v>
      </c>
      <c r="I19128" s="558">
        <v>355.12</v>
      </c>
      <c r="J19128" s="558">
        <v>22.89</v>
      </c>
      <c r="K19128" s="558">
        <v>170.72</v>
      </c>
      <c r="L19128" s="43">
        <v>6.3917297612114155</v>
      </c>
      <c r="M19128" s="43">
        <v>11.5</v>
      </c>
      <c r="N19128" s="43">
        <v>5.0866666666666669</v>
      </c>
      <c r="O19128" s="43">
        <v>3.3826035268476322</v>
      </c>
      <c r="P19128" s="559"/>
      <c r="Q19128" s="559"/>
      <c r="R19128" s="559">
        <v>12</v>
      </c>
    </row>
    <row r="19129" spans="1:18" ht="36">
      <c r="A19129" s="555">
        <v>1529</v>
      </c>
      <c r="B19129" s="552" t="s">
        <v>34677</v>
      </c>
      <c r="C19129" s="556" t="s">
        <v>34678</v>
      </c>
      <c r="D19129" s="557">
        <v>107.57</v>
      </c>
      <c r="E19129" s="557">
        <v>38.6</v>
      </c>
      <c r="F19129" s="557">
        <v>5.89</v>
      </c>
      <c r="G19129" s="557">
        <v>63.08</v>
      </c>
      <c r="H19129" s="558">
        <v>687.19</v>
      </c>
      <c r="I19129" s="558">
        <v>443.9</v>
      </c>
      <c r="J19129" s="558">
        <v>29.93</v>
      </c>
      <c r="K19129" s="558">
        <v>213.36</v>
      </c>
      <c r="L19129" s="43">
        <v>6.3883052895788799</v>
      </c>
      <c r="M19129" s="43">
        <v>11.499999999999998</v>
      </c>
      <c r="N19129" s="43">
        <v>5.0814940577249574</v>
      </c>
      <c r="O19129" s="43">
        <v>3.3823715916296768</v>
      </c>
      <c r="P19129" s="559"/>
      <c r="Q19129" s="559"/>
      <c r="R19129" s="559">
        <v>12</v>
      </c>
    </row>
    <row r="19130" spans="1:18" ht="36">
      <c r="A19130" s="555">
        <v>1530</v>
      </c>
      <c r="B19130" s="552" t="s">
        <v>34679</v>
      </c>
      <c r="C19130" s="556" t="s">
        <v>34680</v>
      </c>
      <c r="D19130" s="557">
        <v>80.430000000000007</v>
      </c>
      <c r="E19130" s="557">
        <v>26.25</v>
      </c>
      <c r="F19130" s="557">
        <v>3.81</v>
      </c>
      <c r="G19130" s="557">
        <v>50.37</v>
      </c>
      <c r="H19130" s="558">
        <v>490.78</v>
      </c>
      <c r="I19130" s="558">
        <v>301.85000000000002</v>
      </c>
      <c r="J19130" s="558">
        <v>19.36</v>
      </c>
      <c r="K19130" s="558">
        <v>169.57</v>
      </c>
      <c r="L19130" s="43">
        <v>6.1019520079572294</v>
      </c>
      <c r="M19130" s="43">
        <v>11.499047619047619</v>
      </c>
      <c r="N19130" s="43">
        <v>5.0813648293963256</v>
      </c>
      <c r="O19130" s="43">
        <v>3.3664879888822714</v>
      </c>
      <c r="P19130" s="559"/>
      <c r="Q19130" s="559"/>
      <c r="R19130" s="559">
        <v>12</v>
      </c>
    </row>
    <row r="19131" spans="1:18" ht="36">
      <c r="A19131" s="555">
        <v>1531</v>
      </c>
      <c r="B19131" s="552" t="s">
        <v>34681</v>
      </c>
      <c r="C19131" s="556" t="s">
        <v>34682</v>
      </c>
      <c r="D19131" s="557">
        <v>87.77</v>
      </c>
      <c r="E19131" s="557">
        <v>32.42</v>
      </c>
      <c r="F19131" s="557">
        <v>4.8499999999999996</v>
      </c>
      <c r="G19131" s="557">
        <v>50.5</v>
      </c>
      <c r="H19131" s="558">
        <v>568.6</v>
      </c>
      <c r="I19131" s="558">
        <v>372.88</v>
      </c>
      <c r="J19131" s="558">
        <v>24.65</v>
      </c>
      <c r="K19131" s="558">
        <v>171.07</v>
      </c>
      <c r="L19131" s="43">
        <v>6.4782955451748894</v>
      </c>
      <c r="M19131" s="43">
        <v>11.501542257865514</v>
      </c>
      <c r="N19131" s="43">
        <v>5.0824742268041234</v>
      </c>
      <c r="O19131" s="43">
        <v>3.3875247524752474</v>
      </c>
      <c r="P19131" s="559"/>
      <c r="Q19131" s="559"/>
      <c r="R19131" s="559">
        <v>12</v>
      </c>
    </row>
    <row r="19132" spans="1:18" ht="36">
      <c r="A19132" s="555">
        <v>1532</v>
      </c>
      <c r="B19132" s="552" t="s">
        <v>34683</v>
      </c>
      <c r="C19132" s="556" t="s">
        <v>34684</v>
      </c>
      <c r="D19132" s="557">
        <v>109.48</v>
      </c>
      <c r="E19132" s="557">
        <v>40.14</v>
      </c>
      <c r="F19132" s="557">
        <v>6.23</v>
      </c>
      <c r="G19132" s="557">
        <v>63.11</v>
      </c>
      <c r="H19132" s="558">
        <v>707.05</v>
      </c>
      <c r="I19132" s="558">
        <v>461.66</v>
      </c>
      <c r="J19132" s="558">
        <v>31.69</v>
      </c>
      <c r="K19132" s="558">
        <v>213.7</v>
      </c>
      <c r="L19132" s="43">
        <v>6.4582572159298497</v>
      </c>
      <c r="M19132" s="43">
        <v>11.501245640259093</v>
      </c>
      <c r="N19132" s="43">
        <v>5.086677367576244</v>
      </c>
      <c r="O19132" s="43">
        <v>3.3861511646331799</v>
      </c>
      <c r="P19132" s="559"/>
      <c r="Q19132" s="559"/>
      <c r="R19132" s="559">
        <v>12</v>
      </c>
    </row>
    <row r="19133" spans="1:18" ht="36">
      <c r="A19133" s="555">
        <v>1533</v>
      </c>
      <c r="B19133" s="552" t="s">
        <v>34685</v>
      </c>
      <c r="C19133" s="556" t="s">
        <v>34686</v>
      </c>
      <c r="D19133" s="557">
        <v>62.4</v>
      </c>
      <c r="E19133" s="557">
        <v>27.79</v>
      </c>
      <c r="F19133" s="557">
        <v>4.1500000000000004</v>
      </c>
      <c r="G19133" s="557">
        <v>30.46</v>
      </c>
      <c r="H19133" s="558">
        <v>445.29</v>
      </c>
      <c r="I19133" s="558">
        <v>319.61</v>
      </c>
      <c r="J19133" s="558">
        <v>21.12</v>
      </c>
      <c r="K19133" s="558">
        <v>104.56</v>
      </c>
      <c r="L19133" s="43">
        <v>7.136057692307693</v>
      </c>
      <c r="M19133" s="43">
        <v>11.500899604174164</v>
      </c>
      <c r="N19133" s="43">
        <v>5.089156626506024</v>
      </c>
      <c r="O19133" s="43">
        <v>3.4326986211424821</v>
      </c>
      <c r="P19133" s="559"/>
      <c r="Q19133" s="559"/>
      <c r="R19133" s="559">
        <v>12</v>
      </c>
    </row>
    <row r="19134" spans="1:18" ht="36">
      <c r="A19134" s="555">
        <v>1534</v>
      </c>
      <c r="B19134" s="552" t="s">
        <v>34687</v>
      </c>
      <c r="C19134" s="556" t="s">
        <v>34688</v>
      </c>
      <c r="D19134" s="557">
        <v>75.16</v>
      </c>
      <c r="E19134" s="557">
        <v>38.6</v>
      </c>
      <c r="F19134" s="557">
        <v>5.89</v>
      </c>
      <c r="G19134" s="557">
        <v>30.67</v>
      </c>
      <c r="H19134" s="558">
        <v>580.80999999999995</v>
      </c>
      <c r="I19134" s="558">
        <v>443.9</v>
      </c>
      <c r="J19134" s="558">
        <v>29.93</v>
      </c>
      <c r="K19134" s="558">
        <v>106.98</v>
      </c>
      <c r="L19134" s="43">
        <v>7.7276476849387965</v>
      </c>
      <c r="M19134" s="43">
        <v>11.499999999999998</v>
      </c>
      <c r="N19134" s="43">
        <v>5.0814940577249574</v>
      </c>
      <c r="O19134" s="43">
        <v>3.4880991196609066</v>
      </c>
      <c r="P19134" s="559"/>
      <c r="Q19134" s="559"/>
      <c r="R19134" s="559">
        <v>12</v>
      </c>
    </row>
    <row r="19135" spans="1:18" ht="36">
      <c r="A19135" s="555">
        <v>1535</v>
      </c>
      <c r="B19135" s="552" t="s">
        <v>34689</v>
      </c>
      <c r="C19135" s="556" t="s">
        <v>34690</v>
      </c>
      <c r="D19135" s="557">
        <v>88.39</v>
      </c>
      <c r="E19135" s="557">
        <v>43.23</v>
      </c>
      <c r="F19135" s="557">
        <v>6.92</v>
      </c>
      <c r="G19135" s="557">
        <v>38.24</v>
      </c>
      <c r="H19135" s="558">
        <v>664.97</v>
      </c>
      <c r="I19135" s="558">
        <v>497.17</v>
      </c>
      <c r="J19135" s="558">
        <v>35.21</v>
      </c>
      <c r="K19135" s="558">
        <v>132.59</v>
      </c>
      <c r="L19135" s="43">
        <v>7.5231361013689337</v>
      </c>
      <c r="M19135" s="43">
        <v>11.500578302105021</v>
      </c>
      <c r="N19135" s="43">
        <v>5.0881502890173413</v>
      </c>
      <c r="O19135" s="43">
        <v>3.4673117154811717</v>
      </c>
      <c r="P19135" s="559"/>
      <c r="Q19135" s="559"/>
      <c r="R19135" s="559">
        <v>12</v>
      </c>
    </row>
    <row r="19136" spans="1:18" ht="36">
      <c r="A19136" s="555">
        <v>1536</v>
      </c>
      <c r="B19136" s="552" t="s">
        <v>34691</v>
      </c>
      <c r="C19136" s="556" t="s">
        <v>34692</v>
      </c>
      <c r="D19136" s="557">
        <v>73.38</v>
      </c>
      <c r="E19136" s="557">
        <v>30.88</v>
      </c>
      <c r="F19136" s="557">
        <v>4.5</v>
      </c>
      <c r="G19136" s="557">
        <v>38</v>
      </c>
      <c r="H19136" s="558">
        <v>507.84</v>
      </c>
      <c r="I19136" s="558">
        <v>355.12</v>
      </c>
      <c r="J19136" s="558">
        <v>22.89</v>
      </c>
      <c r="K19136" s="558">
        <v>129.83000000000001</v>
      </c>
      <c r="L19136" s="43">
        <v>6.9206868356500406</v>
      </c>
      <c r="M19136" s="43">
        <v>11.5</v>
      </c>
      <c r="N19136" s="43">
        <v>5.0866666666666669</v>
      </c>
      <c r="O19136" s="43">
        <v>3.4165789473684214</v>
      </c>
      <c r="P19136" s="559"/>
      <c r="Q19136" s="559"/>
      <c r="R19136" s="559">
        <v>12</v>
      </c>
    </row>
    <row r="19137" spans="1:18" ht="36">
      <c r="A19137" s="555">
        <v>1537</v>
      </c>
      <c r="B19137" s="552" t="s">
        <v>34693</v>
      </c>
      <c r="C19137" s="556" t="s">
        <v>34694</v>
      </c>
      <c r="D19137" s="557">
        <v>84.55</v>
      </c>
      <c r="E19137" s="557">
        <v>40.14</v>
      </c>
      <c r="F19137" s="557">
        <v>6.23</v>
      </c>
      <c r="G19137" s="557">
        <v>38.18</v>
      </c>
      <c r="H19137" s="558">
        <v>625.25</v>
      </c>
      <c r="I19137" s="558">
        <v>461.66</v>
      </c>
      <c r="J19137" s="558">
        <v>31.69</v>
      </c>
      <c r="K19137" s="558">
        <v>131.9</v>
      </c>
      <c r="L19137" s="43">
        <v>7.3950325251330575</v>
      </c>
      <c r="M19137" s="43">
        <v>11.501245640259093</v>
      </c>
      <c r="N19137" s="43">
        <v>5.086677367576244</v>
      </c>
      <c r="O19137" s="43">
        <v>3.4546883184913568</v>
      </c>
      <c r="P19137" s="559"/>
      <c r="Q19137" s="559"/>
      <c r="R19137" s="559">
        <v>12</v>
      </c>
    </row>
    <row r="19138" spans="1:18" ht="36">
      <c r="A19138" s="555">
        <v>1538</v>
      </c>
      <c r="B19138" s="552" t="s">
        <v>34695</v>
      </c>
      <c r="C19138" s="556" t="s">
        <v>34696</v>
      </c>
      <c r="D19138" s="557">
        <v>103.17</v>
      </c>
      <c r="E19138" s="557">
        <v>47.86</v>
      </c>
      <c r="F19138" s="557">
        <v>7.62</v>
      </c>
      <c r="G19138" s="557">
        <v>47.69</v>
      </c>
      <c r="H19138" s="558">
        <v>753.58</v>
      </c>
      <c r="I19138" s="558">
        <v>550.44000000000005</v>
      </c>
      <c r="J19138" s="558">
        <v>38.729999999999997</v>
      </c>
      <c r="K19138" s="558">
        <v>164.41</v>
      </c>
      <c r="L19138" s="43">
        <v>7.3042551129204227</v>
      </c>
      <c r="M19138" s="43">
        <v>11.501044713748435</v>
      </c>
      <c r="N19138" s="43">
        <v>5.0826771653543306</v>
      </c>
      <c r="O19138" s="43">
        <v>3.4474732648353954</v>
      </c>
      <c r="P19138" s="559"/>
      <c r="Q19138" s="559"/>
      <c r="R19138" s="559">
        <v>12</v>
      </c>
    </row>
    <row r="19139" spans="1:18" ht="12.75" customHeight="1">
      <c r="A19139" s="628" t="s">
        <v>34697</v>
      </c>
      <c r="B19139" s="629"/>
      <c r="C19139" s="629"/>
      <c r="D19139" s="629"/>
      <c r="E19139" s="629"/>
      <c r="F19139" s="629"/>
      <c r="G19139" s="629"/>
      <c r="H19139" s="629"/>
      <c r="I19139" s="629"/>
      <c r="J19139" s="629"/>
      <c r="K19139" s="629"/>
      <c r="L19139" s="629"/>
      <c r="M19139" s="629"/>
      <c r="N19139" s="629"/>
      <c r="O19139" s="629"/>
      <c r="P19139" s="629"/>
      <c r="Q19139" s="629"/>
      <c r="R19139" s="629"/>
    </row>
    <row r="19140" spans="1:18" ht="24">
      <c r="A19140" s="555">
        <v>1539</v>
      </c>
      <c r="B19140" s="552" t="s">
        <v>34698</v>
      </c>
      <c r="C19140" s="556" t="s">
        <v>34699</v>
      </c>
      <c r="D19140" s="557">
        <v>54.88</v>
      </c>
      <c r="E19140" s="557">
        <v>15.44</v>
      </c>
      <c r="F19140" s="557">
        <v>1.73</v>
      </c>
      <c r="G19140" s="557">
        <v>37.71</v>
      </c>
      <c r="H19140" s="558">
        <v>312.67</v>
      </c>
      <c r="I19140" s="558">
        <v>177.56</v>
      </c>
      <c r="J19140" s="558">
        <v>8.8000000000000007</v>
      </c>
      <c r="K19140" s="558">
        <v>126.31</v>
      </c>
      <c r="L19140" s="43">
        <v>5.6973396501457723</v>
      </c>
      <c r="M19140" s="43">
        <v>11.5</v>
      </c>
      <c r="N19140" s="43">
        <v>5.0867052023121389</v>
      </c>
      <c r="O19140" s="43">
        <v>3.3495094139485548</v>
      </c>
      <c r="P19140" s="559"/>
      <c r="Q19140" s="559"/>
      <c r="R19140" s="559">
        <v>13</v>
      </c>
    </row>
    <row r="19141" spans="1:18" ht="24">
      <c r="A19141" s="555">
        <v>1540</v>
      </c>
      <c r="B19141" s="552" t="s">
        <v>34700</v>
      </c>
      <c r="C19141" s="556" t="s">
        <v>34701</v>
      </c>
      <c r="D19141" s="557">
        <v>69.38</v>
      </c>
      <c r="E19141" s="557">
        <v>16.98</v>
      </c>
      <c r="F19141" s="557">
        <v>2.25</v>
      </c>
      <c r="G19141" s="557">
        <v>50.15</v>
      </c>
      <c r="H19141" s="558">
        <v>374.16</v>
      </c>
      <c r="I19141" s="558">
        <v>195.32</v>
      </c>
      <c r="J19141" s="558">
        <v>11.44</v>
      </c>
      <c r="K19141" s="558">
        <v>167.4</v>
      </c>
      <c r="L19141" s="43">
        <v>5.3929086191986171</v>
      </c>
      <c r="M19141" s="43">
        <v>11.502944640753828</v>
      </c>
      <c r="N19141" s="43">
        <v>5.0844444444444443</v>
      </c>
      <c r="O19141" s="43">
        <v>3.3379860418743772</v>
      </c>
      <c r="P19141" s="559"/>
      <c r="Q19141" s="559"/>
      <c r="R19141" s="559">
        <v>13</v>
      </c>
    </row>
    <row r="19142" spans="1:18" ht="24">
      <c r="A19142" s="555">
        <v>1541</v>
      </c>
      <c r="B19142" s="552" t="s">
        <v>34702</v>
      </c>
      <c r="C19142" s="556" t="s">
        <v>34703</v>
      </c>
      <c r="D19142" s="557">
        <v>73.05</v>
      </c>
      <c r="E19142" s="557">
        <v>20.07</v>
      </c>
      <c r="F19142" s="557">
        <v>2.77</v>
      </c>
      <c r="G19142" s="557">
        <v>50.21</v>
      </c>
      <c r="H19142" s="558">
        <v>413</v>
      </c>
      <c r="I19142" s="558">
        <v>230.83</v>
      </c>
      <c r="J19142" s="558">
        <v>14.08</v>
      </c>
      <c r="K19142" s="558">
        <v>168.09</v>
      </c>
      <c r="L19142" s="43">
        <v>5.6536618754277894</v>
      </c>
      <c r="M19142" s="43">
        <v>11.501245640259093</v>
      </c>
      <c r="N19142" s="43">
        <v>5.0830324909747295</v>
      </c>
      <c r="O19142" s="43">
        <v>3.3477394941246765</v>
      </c>
      <c r="P19142" s="559"/>
      <c r="Q19142" s="559"/>
      <c r="R19142" s="559">
        <v>13</v>
      </c>
    </row>
    <row r="19143" spans="1:18" ht="24">
      <c r="A19143" s="555">
        <v>1542</v>
      </c>
      <c r="B19143" s="552" t="s">
        <v>34704</v>
      </c>
      <c r="C19143" s="556" t="s">
        <v>34705</v>
      </c>
      <c r="D19143" s="557">
        <v>89.1</v>
      </c>
      <c r="E19143" s="557">
        <v>23.16</v>
      </c>
      <c r="F19143" s="557">
        <v>3.17</v>
      </c>
      <c r="G19143" s="557">
        <v>62.77</v>
      </c>
      <c r="H19143" s="558">
        <v>492.27</v>
      </c>
      <c r="I19143" s="558">
        <v>266.33999999999997</v>
      </c>
      <c r="J19143" s="558">
        <v>16.14</v>
      </c>
      <c r="K19143" s="558">
        <v>209.79</v>
      </c>
      <c r="L19143" s="43">
        <v>5.5249158249158254</v>
      </c>
      <c r="M19143" s="43">
        <v>11.499999999999998</v>
      </c>
      <c r="N19143" s="43">
        <v>5.0914826498422716</v>
      </c>
      <c r="O19143" s="43">
        <v>3.3422016887047952</v>
      </c>
      <c r="P19143" s="559"/>
      <c r="Q19143" s="559"/>
      <c r="R19143" s="559">
        <v>13</v>
      </c>
    </row>
    <row r="19144" spans="1:18" ht="24">
      <c r="A19144" s="555">
        <v>1543</v>
      </c>
      <c r="B19144" s="552" t="s">
        <v>34706</v>
      </c>
      <c r="C19144" s="556" t="s">
        <v>34707</v>
      </c>
      <c r="D19144" s="557">
        <v>98.15</v>
      </c>
      <c r="E19144" s="557">
        <v>30.88</v>
      </c>
      <c r="F19144" s="557">
        <v>4.34</v>
      </c>
      <c r="G19144" s="557">
        <v>62.93</v>
      </c>
      <c r="H19144" s="558">
        <v>588.95000000000005</v>
      </c>
      <c r="I19144" s="558">
        <v>355.12</v>
      </c>
      <c r="J19144" s="558">
        <v>22.2</v>
      </c>
      <c r="K19144" s="558">
        <v>211.63</v>
      </c>
      <c r="L19144" s="43">
        <v>6.0005094243504837</v>
      </c>
      <c r="M19144" s="43">
        <v>11.5</v>
      </c>
      <c r="N19144" s="43">
        <v>5.1152073732718897</v>
      </c>
      <c r="O19144" s="43">
        <v>3.3629429524868901</v>
      </c>
      <c r="P19144" s="559"/>
      <c r="Q19144" s="559"/>
      <c r="R19144" s="559">
        <v>13</v>
      </c>
    </row>
    <row r="19145" spans="1:18" ht="24">
      <c r="A19145" s="555">
        <v>1544</v>
      </c>
      <c r="B19145" s="552" t="s">
        <v>34708</v>
      </c>
      <c r="C19145" s="556" t="s">
        <v>34709</v>
      </c>
      <c r="D19145" s="557">
        <v>104.32</v>
      </c>
      <c r="E19145" s="557">
        <v>35.51</v>
      </c>
      <c r="F19145" s="557">
        <v>5.79</v>
      </c>
      <c r="G19145" s="557">
        <v>63.02</v>
      </c>
      <c r="H19145" s="558">
        <v>650.66</v>
      </c>
      <c r="I19145" s="558">
        <v>408.39</v>
      </c>
      <c r="J19145" s="558">
        <v>29.6</v>
      </c>
      <c r="K19145" s="558">
        <v>212.67</v>
      </c>
      <c r="L19145" s="43">
        <v>6.2371549079754605</v>
      </c>
      <c r="M19145" s="43">
        <v>11.500704027034638</v>
      </c>
      <c r="N19145" s="43">
        <v>5.1122625215889466</v>
      </c>
      <c r="O19145" s="43">
        <v>3.3746429704855596</v>
      </c>
      <c r="P19145" s="559"/>
      <c r="Q19145" s="559"/>
      <c r="R19145" s="559">
        <v>13</v>
      </c>
    </row>
    <row r="19146" spans="1:18" ht="12.75" customHeight="1">
      <c r="A19146" s="628" t="s">
        <v>34710</v>
      </c>
      <c r="B19146" s="629"/>
      <c r="C19146" s="629"/>
      <c r="D19146" s="629"/>
      <c r="E19146" s="629"/>
      <c r="F19146" s="629"/>
      <c r="G19146" s="629"/>
      <c r="H19146" s="629"/>
      <c r="I19146" s="629"/>
      <c r="J19146" s="629"/>
      <c r="K19146" s="629"/>
      <c r="L19146" s="629"/>
      <c r="M19146" s="629"/>
      <c r="N19146" s="629"/>
      <c r="O19146" s="629"/>
      <c r="P19146" s="629"/>
      <c r="Q19146" s="629"/>
      <c r="R19146" s="629"/>
    </row>
    <row r="19147" spans="1:18" ht="24">
      <c r="A19147" s="555">
        <v>1545</v>
      </c>
      <c r="B19147" s="552" t="s">
        <v>34711</v>
      </c>
      <c r="C19147" s="556" t="s">
        <v>34712</v>
      </c>
      <c r="D19147" s="557">
        <v>53.08</v>
      </c>
      <c r="E19147" s="557">
        <v>13.9</v>
      </c>
      <c r="F19147" s="557">
        <v>1.5</v>
      </c>
      <c r="G19147" s="557">
        <v>37.68</v>
      </c>
      <c r="H19147" s="558">
        <v>293.39</v>
      </c>
      <c r="I19147" s="558">
        <v>159.80000000000001</v>
      </c>
      <c r="J19147" s="558">
        <v>7.63</v>
      </c>
      <c r="K19147" s="558">
        <v>125.96</v>
      </c>
      <c r="L19147" s="43">
        <v>5.5273172569706102</v>
      </c>
      <c r="M19147" s="43">
        <v>11.496402877697843</v>
      </c>
      <c r="N19147" s="43">
        <v>5.0866666666666669</v>
      </c>
      <c r="O19147" s="43">
        <v>3.3428874734607219</v>
      </c>
      <c r="P19147" s="559"/>
      <c r="Q19147" s="559"/>
      <c r="R19147" s="559">
        <v>14</v>
      </c>
    </row>
    <row r="19148" spans="1:18" ht="24">
      <c r="A19148" s="555">
        <v>1546</v>
      </c>
      <c r="B19148" s="552" t="s">
        <v>34713</v>
      </c>
      <c r="C19148" s="556" t="s">
        <v>34714</v>
      </c>
      <c r="D19148" s="557">
        <v>69.150000000000006</v>
      </c>
      <c r="E19148" s="557">
        <v>16.98</v>
      </c>
      <c r="F19148" s="557">
        <v>2.02</v>
      </c>
      <c r="G19148" s="557">
        <v>50.15</v>
      </c>
      <c r="H19148" s="558">
        <v>372.99</v>
      </c>
      <c r="I19148" s="558">
        <v>195.32</v>
      </c>
      <c r="J19148" s="558">
        <v>10.27</v>
      </c>
      <c r="K19148" s="558">
        <v>167.4</v>
      </c>
      <c r="L19148" s="43">
        <v>5.393926247288503</v>
      </c>
      <c r="M19148" s="43">
        <v>11.502944640753828</v>
      </c>
      <c r="N19148" s="43">
        <v>5.0841584158415838</v>
      </c>
      <c r="O19148" s="43">
        <v>3.3379860418743772</v>
      </c>
      <c r="P19148" s="559"/>
      <c r="Q19148" s="559"/>
      <c r="R19148" s="559">
        <v>14</v>
      </c>
    </row>
    <row r="19149" spans="1:18" ht="24">
      <c r="A19149" s="555">
        <v>1547</v>
      </c>
      <c r="B19149" s="552" t="s">
        <v>34715</v>
      </c>
      <c r="C19149" s="556" t="s">
        <v>34716</v>
      </c>
      <c r="D19149" s="557">
        <v>71.13</v>
      </c>
      <c r="E19149" s="557">
        <v>18.53</v>
      </c>
      <c r="F19149" s="557">
        <v>2.42</v>
      </c>
      <c r="G19149" s="557">
        <v>50.18</v>
      </c>
      <c r="H19149" s="558">
        <v>393.14</v>
      </c>
      <c r="I19149" s="558">
        <v>213.07</v>
      </c>
      <c r="J19149" s="558">
        <v>12.32</v>
      </c>
      <c r="K19149" s="558">
        <v>167.75</v>
      </c>
      <c r="L19149" s="43">
        <v>5.527063123857725</v>
      </c>
      <c r="M19149" s="43">
        <v>11.49865083648138</v>
      </c>
      <c r="N19149" s="43">
        <v>5.0909090909090908</v>
      </c>
      <c r="O19149" s="43">
        <v>3.3429653248306099</v>
      </c>
      <c r="P19149" s="559"/>
      <c r="Q19149" s="559"/>
      <c r="R19149" s="559">
        <v>14</v>
      </c>
    </row>
    <row r="19150" spans="1:18" ht="24">
      <c r="A19150" s="555">
        <v>1548</v>
      </c>
      <c r="B19150" s="552" t="s">
        <v>34717</v>
      </c>
      <c r="C19150" s="556" t="s">
        <v>34718</v>
      </c>
      <c r="D19150" s="557">
        <v>85.61</v>
      </c>
      <c r="E19150" s="557">
        <v>20.07</v>
      </c>
      <c r="F19150" s="557">
        <v>2.83</v>
      </c>
      <c r="G19150" s="557">
        <v>62.71</v>
      </c>
      <c r="H19150" s="558">
        <v>454.31</v>
      </c>
      <c r="I19150" s="558">
        <v>230.83</v>
      </c>
      <c r="J19150" s="558">
        <v>14.38</v>
      </c>
      <c r="K19150" s="558">
        <v>209.1</v>
      </c>
      <c r="L19150" s="43">
        <v>5.3067398668379866</v>
      </c>
      <c r="M19150" s="43">
        <v>11.501245640259093</v>
      </c>
      <c r="N19150" s="43">
        <v>5.0812720848056543</v>
      </c>
      <c r="O19150" s="43">
        <v>3.3343964280019134</v>
      </c>
      <c r="P19150" s="559"/>
      <c r="Q19150" s="559"/>
      <c r="R19150" s="559">
        <v>14</v>
      </c>
    </row>
    <row r="19151" spans="1:18" ht="24">
      <c r="A19151" s="555">
        <v>1549</v>
      </c>
      <c r="B19151" s="552" t="s">
        <v>34719</v>
      </c>
      <c r="C19151" s="556" t="s">
        <v>34720</v>
      </c>
      <c r="D19151" s="557">
        <v>93.06</v>
      </c>
      <c r="E19151" s="557">
        <v>26.25</v>
      </c>
      <c r="F19151" s="557">
        <v>3.98</v>
      </c>
      <c r="G19151" s="557">
        <v>62.83</v>
      </c>
      <c r="H19151" s="558">
        <v>532.67999999999995</v>
      </c>
      <c r="I19151" s="558">
        <v>301.85000000000002</v>
      </c>
      <c r="J19151" s="558">
        <v>20.350000000000001</v>
      </c>
      <c r="K19151" s="558">
        <v>210.48</v>
      </c>
      <c r="L19151" s="43">
        <v>5.7240490006447446</v>
      </c>
      <c r="M19151" s="43">
        <v>11.499047619047619</v>
      </c>
      <c r="N19151" s="43">
        <v>5.1130653266331665</v>
      </c>
      <c r="O19151" s="43">
        <v>3.3499920420181439</v>
      </c>
      <c r="P19151" s="559"/>
      <c r="Q19151" s="559"/>
      <c r="R19151" s="559">
        <v>14</v>
      </c>
    </row>
    <row r="19152" spans="1:18" ht="24">
      <c r="A19152" s="555">
        <v>1550</v>
      </c>
      <c r="B19152" s="552" t="s">
        <v>34721</v>
      </c>
      <c r="C19152" s="556" t="s">
        <v>34722</v>
      </c>
      <c r="D19152" s="557">
        <v>100.45</v>
      </c>
      <c r="E19152" s="557">
        <v>32.42</v>
      </c>
      <c r="F19152" s="557">
        <v>5.07</v>
      </c>
      <c r="G19152" s="557">
        <v>62.96</v>
      </c>
      <c r="H19152" s="558">
        <v>610.76</v>
      </c>
      <c r="I19152" s="558">
        <v>372.88</v>
      </c>
      <c r="J19152" s="558">
        <v>25.9</v>
      </c>
      <c r="K19152" s="558">
        <v>211.98</v>
      </c>
      <c r="L19152" s="43">
        <v>6.0802389248382278</v>
      </c>
      <c r="M19152" s="43">
        <v>11.501542257865514</v>
      </c>
      <c r="N19152" s="43">
        <v>5.1084812623274152</v>
      </c>
      <c r="O19152" s="43">
        <v>3.3668996188055909</v>
      </c>
      <c r="P19152" s="559"/>
      <c r="Q19152" s="559"/>
      <c r="R19152" s="559">
        <v>14</v>
      </c>
    </row>
    <row r="19153" spans="1:18" ht="12.75" customHeight="1">
      <c r="A19153" s="628" t="s">
        <v>34723</v>
      </c>
      <c r="B19153" s="629"/>
      <c r="C19153" s="629"/>
      <c r="D19153" s="629"/>
      <c r="E19153" s="629"/>
      <c r="F19153" s="629"/>
      <c r="G19153" s="629"/>
      <c r="H19153" s="629"/>
      <c r="I19153" s="629"/>
      <c r="J19153" s="629"/>
      <c r="K19153" s="629"/>
      <c r="L19153" s="629"/>
      <c r="M19153" s="629"/>
      <c r="N19153" s="629"/>
      <c r="O19153" s="629"/>
      <c r="P19153" s="629"/>
      <c r="Q19153" s="629"/>
      <c r="R19153" s="629"/>
    </row>
    <row r="19154" spans="1:18" ht="36">
      <c r="A19154" s="555">
        <v>1551</v>
      </c>
      <c r="B19154" s="552" t="s">
        <v>34724</v>
      </c>
      <c r="C19154" s="556" t="s">
        <v>34725</v>
      </c>
      <c r="D19154" s="557">
        <v>33.020000000000003</v>
      </c>
      <c r="E19154" s="557">
        <v>12.35</v>
      </c>
      <c r="F19154" s="557">
        <v>17.3</v>
      </c>
      <c r="G19154" s="557">
        <v>3.37</v>
      </c>
      <c r="H19154" s="558">
        <v>241.99</v>
      </c>
      <c r="I19154" s="558">
        <v>142.05000000000001</v>
      </c>
      <c r="J19154" s="558">
        <v>86.84</v>
      </c>
      <c r="K19154" s="558">
        <v>13.1</v>
      </c>
      <c r="L19154" s="43">
        <v>7.3285887341005447</v>
      </c>
      <c r="M19154" s="43">
        <v>11.502024291497976</v>
      </c>
      <c r="N19154" s="43">
        <v>5.019653179190751</v>
      </c>
      <c r="O19154" s="43">
        <v>3.8872403560830859</v>
      </c>
      <c r="P19154" s="559"/>
      <c r="Q19154" s="559"/>
      <c r="R19154" s="559">
        <v>15</v>
      </c>
    </row>
    <row r="19155" spans="1:18" ht="36">
      <c r="A19155" s="555">
        <v>1552</v>
      </c>
      <c r="B19155" s="552" t="s">
        <v>34726</v>
      </c>
      <c r="C19155" s="556" t="s">
        <v>34727</v>
      </c>
      <c r="D19155" s="557">
        <v>42.99</v>
      </c>
      <c r="E19155" s="557">
        <v>13.9</v>
      </c>
      <c r="F19155" s="557">
        <v>19.46</v>
      </c>
      <c r="G19155" s="557">
        <v>9.6300000000000008</v>
      </c>
      <c r="H19155" s="558">
        <v>291.39</v>
      </c>
      <c r="I19155" s="558">
        <v>159.80000000000001</v>
      </c>
      <c r="J19155" s="558">
        <v>97.7</v>
      </c>
      <c r="K19155" s="558">
        <v>33.89</v>
      </c>
      <c r="L19155" s="43">
        <v>6.7780879274249823</v>
      </c>
      <c r="M19155" s="43">
        <v>11.496402877697843</v>
      </c>
      <c r="N19155" s="43">
        <v>5.0205549845837618</v>
      </c>
      <c r="O19155" s="43">
        <v>3.5192107995846311</v>
      </c>
      <c r="P19155" s="559"/>
      <c r="Q19155" s="559"/>
      <c r="R19155" s="559">
        <v>15</v>
      </c>
    </row>
    <row r="19156" spans="1:18" ht="36">
      <c r="A19156" s="555">
        <v>1553</v>
      </c>
      <c r="B19156" s="552" t="s">
        <v>34728</v>
      </c>
      <c r="C19156" s="556" t="s">
        <v>34729</v>
      </c>
      <c r="D19156" s="557">
        <v>52.72</v>
      </c>
      <c r="E19156" s="557">
        <v>15.44</v>
      </c>
      <c r="F19156" s="557">
        <v>24.51</v>
      </c>
      <c r="G19156" s="557">
        <v>12.77</v>
      </c>
      <c r="H19156" s="558">
        <v>345.06</v>
      </c>
      <c r="I19156" s="558">
        <v>177.56</v>
      </c>
      <c r="J19156" s="558">
        <v>123.03</v>
      </c>
      <c r="K19156" s="558">
        <v>44.47</v>
      </c>
      <c r="L19156" s="43">
        <v>6.545144157814871</v>
      </c>
      <c r="M19156" s="43">
        <v>11.5</v>
      </c>
      <c r="N19156" s="43">
        <v>5.0195838433292534</v>
      </c>
      <c r="O19156" s="43">
        <v>3.4823805794831637</v>
      </c>
      <c r="P19156" s="559"/>
      <c r="Q19156" s="559"/>
      <c r="R19156" s="559">
        <v>15</v>
      </c>
    </row>
    <row r="19157" spans="1:18" ht="36">
      <c r="A19157" s="555">
        <v>1554</v>
      </c>
      <c r="B19157" s="552" t="s">
        <v>34730</v>
      </c>
      <c r="C19157" s="556" t="s">
        <v>34731</v>
      </c>
      <c r="D19157" s="557">
        <v>47.79</v>
      </c>
      <c r="E19157" s="557">
        <v>14.67</v>
      </c>
      <c r="F19157" s="557">
        <v>21.62</v>
      </c>
      <c r="G19157" s="557">
        <v>11.5</v>
      </c>
      <c r="H19157" s="558">
        <v>317.36</v>
      </c>
      <c r="I19157" s="558">
        <v>168.68</v>
      </c>
      <c r="J19157" s="558">
        <v>108.55</v>
      </c>
      <c r="K19157" s="558">
        <v>40.130000000000003</v>
      </c>
      <c r="L19157" s="43">
        <v>6.6407198158610594</v>
      </c>
      <c r="M19157" s="43">
        <v>11.498295841854125</v>
      </c>
      <c r="N19157" s="43">
        <v>5.0208140610545788</v>
      </c>
      <c r="O19157" s="43">
        <v>3.4895652173913048</v>
      </c>
      <c r="P19157" s="559"/>
      <c r="Q19157" s="559"/>
      <c r="R19157" s="559">
        <v>15</v>
      </c>
    </row>
    <row r="19158" spans="1:18" ht="36">
      <c r="A19158" s="555">
        <v>1555</v>
      </c>
      <c r="B19158" s="552" t="s">
        <v>34732</v>
      </c>
      <c r="C19158" s="556" t="s">
        <v>34733</v>
      </c>
      <c r="D19158" s="557">
        <v>58.22</v>
      </c>
      <c r="E19158" s="557">
        <v>16.98</v>
      </c>
      <c r="F19158" s="557">
        <v>25.95</v>
      </c>
      <c r="G19158" s="557">
        <v>15.29</v>
      </c>
      <c r="H19158" s="558">
        <v>378.55</v>
      </c>
      <c r="I19158" s="558">
        <v>195.32</v>
      </c>
      <c r="J19158" s="558">
        <v>130.26</v>
      </c>
      <c r="K19158" s="558">
        <v>52.97</v>
      </c>
      <c r="L19158" s="43">
        <v>6.5020611473720376</v>
      </c>
      <c r="M19158" s="43">
        <v>11.502944640753828</v>
      </c>
      <c r="N19158" s="43">
        <v>5.019653179190751</v>
      </c>
      <c r="O19158" s="43">
        <v>3.4643557880967952</v>
      </c>
      <c r="P19158" s="559"/>
      <c r="Q19158" s="559"/>
      <c r="R19158" s="559">
        <v>15</v>
      </c>
    </row>
    <row r="19159" spans="1:18" ht="36">
      <c r="A19159" s="555">
        <v>1556</v>
      </c>
      <c r="B19159" s="552" t="s">
        <v>34734</v>
      </c>
      <c r="C19159" s="556" t="s">
        <v>34735</v>
      </c>
      <c r="D19159" s="557">
        <v>74.48</v>
      </c>
      <c r="E19159" s="557">
        <v>21.62</v>
      </c>
      <c r="F19159" s="557">
        <v>37.479999999999997</v>
      </c>
      <c r="G19159" s="557">
        <v>15.38</v>
      </c>
      <c r="H19159" s="558">
        <v>490.75</v>
      </c>
      <c r="I19159" s="558">
        <v>248.58</v>
      </c>
      <c r="J19159" s="558">
        <v>188.16</v>
      </c>
      <c r="K19159" s="558">
        <v>54.01</v>
      </c>
      <c r="L19159" s="43">
        <v>6.5890171858216968</v>
      </c>
      <c r="M19159" s="43">
        <v>11.497687326549491</v>
      </c>
      <c r="N19159" s="43">
        <v>5.0202774813233724</v>
      </c>
      <c r="O19159" s="43">
        <v>3.5117035110533159</v>
      </c>
      <c r="P19159" s="559"/>
      <c r="Q19159" s="559"/>
      <c r="R19159" s="559">
        <v>15</v>
      </c>
    </row>
    <row r="19160" spans="1:18" ht="36">
      <c r="A19160" s="555">
        <v>1557</v>
      </c>
      <c r="B19160" s="552" t="s">
        <v>34736</v>
      </c>
      <c r="C19160" s="556" t="s">
        <v>34737</v>
      </c>
      <c r="D19160" s="557">
        <v>87.13</v>
      </c>
      <c r="E19160" s="557">
        <v>24.7</v>
      </c>
      <c r="F19160" s="557">
        <v>43.25</v>
      </c>
      <c r="G19160" s="557">
        <v>19.18</v>
      </c>
      <c r="H19160" s="558">
        <v>568.17999999999995</v>
      </c>
      <c r="I19160" s="558">
        <v>284.10000000000002</v>
      </c>
      <c r="J19160" s="558">
        <v>217.1</v>
      </c>
      <c r="K19160" s="558">
        <v>66.98</v>
      </c>
      <c r="L19160" s="43">
        <v>6.5210604843337538</v>
      </c>
      <c r="M19160" s="43">
        <v>11.502024291497976</v>
      </c>
      <c r="N19160" s="43">
        <v>5.019653179190751</v>
      </c>
      <c r="O19160" s="43">
        <v>3.4921793534932224</v>
      </c>
      <c r="P19160" s="559"/>
      <c r="Q19160" s="559"/>
      <c r="R19160" s="559">
        <v>15</v>
      </c>
    </row>
    <row r="19161" spans="1:18" ht="36">
      <c r="A19161" s="555">
        <v>1558</v>
      </c>
      <c r="B19161" s="552" t="s">
        <v>34738</v>
      </c>
      <c r="C19161" s="556" t="s">
        <v>34739</v>
      </c>
      <c r="D19161" s="557">
        <v>112.31</v>
      </c>
      <c r="E19161" s="557">
        <v>32.42</v>
      </c>
      <c r="F19161" s="557">
        <v>60.55</v>
      </c>
      <c r="G19161" s="557">
        <v>19.34</v>
      </c>
      <c r="H19161" s="558">
        <v>745.65</v>
      </c>
      <c r="I19161" s="558">
        <v>372.88</v>
      </c>
      <c r="J19161" s="558">
        <v>303.95</v>
      </c>
      <c r="K19161" s="558">
        <v>68.819999999999993</v>
      </c>
      <c r="L19161" s="43">
        <v>6.6392128928857623</v>
      </c>
      <c r="M19161" s="43">
        <v>11.501542257865514</v>
      </c>
      <c r="N19161" s="43">
        <v>5.01981833195706</v>
      </c>
      <c r="O19161" s="43">
        <v>3.5584281282316441</v>
      </c>
      <c r="P19161" s="559"/>
      <c r="Q19161" s="559"/>
      <c r="R19161" s="559">
        <v>15</v>
      </c>
    </row>
    <row r="19162" spans="1:18" ht="36">
      <c r="A19162" s="555">
        <v>1559</v>
      </c>
      <c r="B19162" s="552" t="s">
        <v>34740</v>
      </c>
      <c r="C19162" s="556" t="s">
        <v>34741</v>
      </c>
      <c r="D19162" s="557">
        <v>64.12</v>
      </c>
      <c r="E19162" s="557">
        <v>16.98</v>
      </c>
      <c r="F19162" s="557">
        <v>28.11</v>
      </c>
      <c r="G19162" s="557">
        <v>19.03</v>
      </c>
      <c r="H19162" s="558">
        <v>401.69</v>
      </c>
      <c r="I19162" s="558">
        <v>195.32</v>
      </c>
      <c r="J19162" s="558">
        <v>141.12</v>
      </c>
      <c r="K19162" s="558">
        <v>65.25</v>
      </c>
      <c r="L19162" s="43">
        <v>6.2646600124766056</v>
      </c>
      <c r="M19162" s="43">
        <v>11.502944640753828</v>
      </c>
      <c r="N19162" s="43">
        <v>5.0202774813233724</v>
      </c>
      <c r="O19162" s="43">
        <v>3.4287966368891221</v>
      </c>
      <c r="P19162" s="559"/>
      <c r="Q19162" s="559"/>
      <c r="R19162" s="559">
        <v>15</v>
      </c>
    </row>
    <row r="19163" spans="1:18" ht="36">
      <c r="A19163" s="555">
        <v>1560</v>
      </c>
      <c r="B19163" s="552" t="s">
        <v>34742</v>
      </c>
      <c r="C19163" s="556" t="s">
        <v>34743</v>
      </c>
      <c r="D19163" s="557">
        <v>79.66</v>
      </c>
      <c r="E19163" s="557">
        <v>21.62</v>
      </c>
      <c r="F19163" s="557">
        <v>38.92</v>
      </c>
      <c r="G19163" s="557">
        <v>19.12</v>
      </c>
      <c r="H19163" s="558">
        <v>510.26</v>
      </c>
      <c r="I19163" s="558">
        <v>248.58</v>
      </c>
      <c r="J19163" s="558">
        <v>195.39</v>
      </c>
      <c r="K19163" s="558">
        <v>66.290000000000006</v>
      </c>
      <c r="L19163" s="43">
        <v>6.4054732613607834</v>
      </c>
      <c r="M19163" s="43">
        <v>11.497687326549491</v>
      </c>
      <c r="N19163" s="43">
        <v>5.020298047276464</v>
      </c>
      <c r="O19163" s="43">
        <v>3.4670502092050213</v>
      </c>
      <c r="P19163" s="559"/>
      <c r="Q19163" s="559"/>
      <c r="R19163" s="559">
        <v>15</v>
      </c>
    </row>
    <row r="19164" spans="1:18" ht="36">
      <c r="A19164" s="555">
        <v>1561</v>
      </c>
      <c r="B19164" s="552" t="s">
        <v>34744</v>
      </c>
      <c r="C19164" s="556" t="s">
        <v>34745</v>
      </c>
      <c r="D19164" s="557">
        <v>97.71</v>
      </c>
      <c r="E19164" s="557">
        <v>26.25</v>
      </c>
      <c r="F19164" s="557">
        <v>47.57</v>
      </c>
      <c r="G19164" s="557">
        <v>23.89</v>
      </c>
      <c r="H19164" s="558">
        <v>623.33000000000004</v>
      </c>
      <c r="I19164" s="558">
        <v>301.85000000000002</v>
      </c>
      <c r="J19164" s="558">
        <v>238.81</v>
      </c>
      <c r="K19164" s="558">
        <v>82.67</v>
      </c>
      <c r="L19164" s="43">
        <v>6.3793879848531381</v>
      </c>
      <c r="M19164" s="43">
        <v>11.499047619047619</v>
      </c>
      <c r="N19164" s="43">
        <v>5.0201807862097958</v>
      </c>
      <c r="O19164" s="43">
        <v>3.4604437002930095</v>
      </c>
      <c r="P19164" s="559"/>
      <c r="Q19164" s="559"/>
      <c r="R19164" s="559">
        <v>15</v>
      </c>
    </row>
    <row r="19165" spans="1:18" ht="36">
      <c r="A19165" s="555">
        <v>1562</v>
      </c>
      <c r="B19165" s="552" t="s">
        <v>34746</v>
      </c>
      <c r="C19165" s="556" t="s">
        <v>34747</v>
      </c>
      <c r="D19165" s="557">
        <v>122.89</v>
      </c>
      <c r="E19165" s="557">
        <v>33.97</v>
      </c>
      <c r="F19165" s="557">
        <v>64.87</v>
      </c>
      <c r="G19165" s="557">
        <v>24.05</v>
      </c>
      <c r="H19165" s="558">
        <v>800.8</v>
      </c>
      <c r="I19165" s="558">
        <v>390.63</v>
      </c>
      <c r="J19165" s="558">
        <v>325.66000000000003</v>
      </c>
      <c r="K19165" s="558">
        <v>84.51</v>
      </c>
      <c r="L19165" s="43">
        <v>6.5163967776059888</v>
      </c>
      <c r="M19165" s="43">
        <v>11.49926405652046</v>
      </c>
      <c r="N19165" s="43">
        <v>5.0201942346230926</v>
      </c>
      <c r="O19165" s="43">
        <v>3.5139293139293142</v>
      </c>
      <c r="P19165" s="559"/>
      <c r="Q19165" s="559"/>
      <c r="R19165" s="559">
        <v>15</v>
      </c>
    </row>
    <row r="19166" spans="1:18" ht="36">
      <c r="A19166" s="555">
        <v>1563</v>
      </c>
      <c r="B19166" s="552" t="s">
        <v>34748</v>
      </c>
      <c r="C19166" s="556" t="s">
        <v>34749</v>
      </c>
      <c r="D19166" s="557">
        <v>142.16</v>
      </c>
      <c r="E19166" s="557">
        <v>40.14</v>
      </c>
      <c r="F19166" s="557">
        <v>77.849999999999994</v>
      </c>
      <c r="G19166" s="557">
        <v>24.17</v>
      </c>
      <c r="H19166" s="558">
        <v>938.34</v>
      </c>
      <c r="I19166" s="558">
        <v>461.66</v>
      </c>
      <c r="J19166" s="558">
        <v>390.79</v>
      </c>
      <c r="K19166" s="558">
        <v>85.89</v>
      </c>
      <c r="L19166" s="43">
        <v>6.6005908835115363</v>
      </c>
      <c r="M19166" s="43">
        <v>11.501245640259093</v>
      </c>
      <c r="N19166" s="43">
        <v>5.019781631342326</v>
      </c>
      <c r="O19166" s="43">
        <v>3.5535788167149356</v>
      </c>
      <c r="P19166" s="559"/>
      <c r="Q19166" s="559"/>
      <c r="R19166" s="559">
        <v>15</v>
      </c>
    </row>
    <row r="19167" spans="1:18" ht="36">
      <c r="A19167" s="555">
        <v>1564</v>
      </c>
      <c r="B19167" s="552" t="s">
        <v>34750</v>
      </c>
      <c r="C19167" s="556" t="s">
        <v>34751</v>
      </c>
      <c r="D19167" s="557">
        <v>82.81</v>
      </c>
      <c r="E19167" s="557">
        <v>20.07</v>
      </c>
      <c r="F19167" s="557">
        <v>32.44</v>
      </c>
      <c r="G19167" s="557">
        <v>30.3</v>
      </c>
      <c r="H19167" s="558">
        <v>496.38</v>
      </c>
      <c r="I19167" s="558">
        <v>230.83</v>
      </c>
      <c r="J19167" s="558">
        <v>162.83000000000001</v>
      </c>
      <c r="K19167" s="558">
        <v>102.72</v>
      </c>
      <c r="L19167" s="43">
        <v>5.9942035985992028</v>
      </c>
      <c r="M19167" s="43">
        <v>11.501245640259093</v>
      </c>
      <c r="N19167" s="43">
        <v>5.0194204685573371</v>
      </c>
      <c r="O19167" s="43">
        <v>3.39009900990099</v>
      </c>
      <c r="P19167" s="559"/>
      <c r="Q19167" s="559"/>
      <c r="R19167" s="559">
        <v>15</v>
      </c>
    </row>
    <row r="19168" spans="1:18" ht="36">
      <c r="A19168" s="555">
        <v>1565</v>
      </c>
      <c r="B19168" s="552" t="s">
        <v>34752</v>
      </c>
      <c r="C19168" s="556" t="s">
        <v>34753</v>
      </c>
      <c r="D19168" s="557">
        <v>98.34</v>
      </c>
      <c r="E19168" s="557">
        <v>24.7</v>
      </c>
      <c r="F19168" s="557">
        <v>43.25</v>
      </c>
      <c r="G19168" s="557">
        <v>30.39</v>
      </c>
      <c r="H19168" s="558">
        <v>604.96</v>
      </c>
      <c r="I19168" s="558">
        <v>284.10000000000002</v>
      </c>
      <c r="J19168" s="558">
        <v>217.1</v>
      </c>
      <c r="K19168" s="558">
        <v>103.76</v>
      </c>
      <c r="L19168" s="43">
        <v>6.1517185275574535</v>
      </c>
      <c r="M19168" s="43">
        <v>11.502024291497976</v>
      </c>
      <c r="N19168" s="43">
        <v>5.019653179190751</v>
      </c>
      <c r="O19168" s="43">
        <v>3.41428101349128</v>
      </c>
      <c r="P19168" s="559"/>
      <c r="Q19168" s="559"/>
      <c r="R19168" s="559">
        <v>15</v>
      </c>
    </row>
    <row r="19169" spans="1:18" ht="36">
      <c r="A19169" s="555">
        <v>1566</v>
      </c>
      <c r="B19169" s="552" t="s">
        <v>34754</v>
      </c>
      <c r="C19169" s="556" t="s">
        <v>34755</v>
      </c>
      <c r="D19169" s="557">
        <v>117.63</v>
      </c>
      <c r="E19169" s="557">
        <v>27.79</v>
      </c>
      <c r="F19169" s="557">
        <v>51.9</v>
      </c>
      <c r="G19169" s="557">
        <v>37.94</v>
      </c>
      <c r="H19169" s="558">
        <v>709.27</v>
      </c>
      <c r="I19169" s="558">
        <v>319.61</v>
      </c>
      <c r="J19169" s="558">
        <v>260.52</v>
      </c>
      <c r="K19169" s="558">
        <v>129.13999999999999</v>
      </c>
      <c r="L19169" s="43">
        <v>6.0296693020487968</v>
      </c>
      <c r="M19169" s="43">
        <v>11.500899604174164</v>
      </c>
      <c r="N19169" s="43">
        <v>5.019653179190751</v>
      </c>
      <c r="O19169" s="43">
        <v>3.4037954665260939</v>
      </c>
      <c r="P19169" s="559"/>
      <c r="Q19169" s="559"/>
      <c r="R19169" s="559">
        <v>15</v>
      </c>
    </row>
    <row r="19170" spans="1:18" ht="36">
      <c r="A19170" s="555">
        <v>1567</v>
      </c>
      <c r="B19170" s="552" t="s">
        <v>34756</v>
      </c>
      <c r="C19170" s="556" t="s">
        <v>34757</v>
      </c>
      <c r="D19170" s="557">
        <v>150.27000000000001</v>
      </c>
      <c r="E19170" s="557">
        <v>38.6</v>
      </c>
      <c r="F19170" s="557">
        <v>73.52</v>
      </c>
      <c r="G19170" s="557">
        <v>38.15</v>
      </c>
      <c r="H19170" s="558">
        <v>944.54</v>
      </c>
      <c r="I19170" s="558">
        <v>443.9</v>
      </c>
      <c r="J19170" s="558">
        <v>369.08</v>
      </c>
      <c r="K19170" s="558">
        <v>131.56</v>
      </c>
      <c r="L19170" s="43">
        <v>6.2856192187396012</v>
      </c>
      <c r="M19170" s="43">
        <v>11.499999999999998</v>
      </c>
      <c r="N19170" s="43">
        <v>5.0201305767138198</v>
      </c>
      <c r="O19170" s="43">
        <v>3.448492791612058</v>
      </c>
      <c r="P19170" s="559"/>
      <c r="Q19170" s="559"/>
      <c r="R19170" s="559">
        <v>15</v>
      </c>
    </row>
    <row r="19171" spans="1:18" ht="36">
      <c r="A19171" s="555">
        <v>1568</v>
      </c>
      <c r="B19171" s="552" t="s">
        <v>34758</v>
      </c>
      <c r="C19171" s="556" t="s">
        <v>34759</v>
      </c>
      <c r="D19171" s="557">
        <v>167.97</v>
      </c>
      <c r="E19171" s="557">
        <v>43.23</v>
      </c>
      <c r="F19171" s="557">
        <v>86.5</v>
      </c>
      <c r="G19171" s="557">
        <v>38.24</v>
      </c>
      <c r="H19171" s="558">
        <v>1063.97</v>
      </c>
      <c r="I19171" s="558">
        <v>497.17</v>
      </c>
      <c r="J19171" s="558">
        <v>434.21</v>
      </c>
      <c r="K19171" s="558">
        <v>132.59</v>
      </c>
      <c r="L19171" s="43">
        <v>6.3342858843841165</v>
      </c>
      <c r="M19171" s="43">
        <v>11.500578302105021</v>
      </c>
      <c r="N19171" s="43">
        <v>5.0197687861271678</v>
      </c>
      <c r="O19171" s="43">
        <v>3.4673117154811717</v>
      </c>
      <c r="P19171" s="559"/>
      <c r="Q19171" s="559"/>
      <c r="R19171" s="559">
        <v>15</v>
      </c>
    </row>
    <row r="19172" spans="1:18" ht="36">
      <c r="A19172" s="555">
        <v>1569</v>
      </c>
      <c r="B19172" s="552" t="s">
        <v>34760</v>
      </c>
      <c r="C19172" s="556" t="s">
        <v>34761</v>
      </c>
      <c r="D19172" s="557">
        <v>109.38</v>
      </c>
      <c r="E19172" s="557">
        <v>21.62</v>
      </c>
      <c r="F19172" s="557">
        <v>37.479999999999997</v>
      </c>
      <c r="G19172" s="557">
        <v>50.28</v>
      </c>
      <c r="H19172" s="558">
        <v>605.28</v>
      </c>
      <c r="I19172" s="558">
        <v>248.58</v>
      </c>
      <c r="J19172" s="558">
        <v>188.16</v>
      </c>
      <c r="K19172" s="558">
        <v>168.54</v>
      </c>
      <c r="L19172" s="43">
        <v>5.5337356006582556</v>
      </c>
      <c r="M19172" s="43">
        <v>11.497687326549491</v>
      </c>
      <c r="N19172" s="43">
        <v>5.0202774813233724</v>
      </c>
      <c r="O19172" s="43">
        <v>3.3520286396181382</v>
      </c>
      <c r="P19172" s="559"/>
      <c r="Q19172" s="559"/>
      <c r="R19172" s="559">
        <v>15</v>
      </c>
    </row>
    <row r="19173" spans="1:18" ht="36">
      <c r="A19173" s="555">
        <v>1570</v>
      </c>
      <c r="B19173" s="552" t="s">
        <v>34762</v>
      </c>
      <c r="C19173" s="556" t="s">
        <v>34763</v>
      </c>
      <c r="D19173" s="557">
        <v>124.19</v>
      </c>
      <c r="E19173" s="557">
        <v>26.25</v>
      </c>
      <c r="F19173" s="557">
        <v>47.57</v>
      </c>
      <c r="G19173" s="557">
        <v>50.37</v>
      </c>
      <c r="H19173" s="558">
        <v>710.23</v>
      </c>
      <c r="I19173" s="558">
        <v>301.85000000000002</v>
      </c>
      <c r="J19173" s="558">
        <v>238.81</v>
      </c>
      <c r="K19173" s="558">
        <v>169.57</v>
      </c>
      <c r="L19173" s="43">
        <v>5.7188984620339802</v>
      </c>
      <c r="M19173" s="43">
        <v>11.499047619047619</v>
      </c>
      <c r="N19173" s="43">
        <v>5.0201807862097958</v>
      </c>
      <c r="O19173" s="43">
        <v>3.3664879888822714</v>
      </c>
      <c r="P19173" s="559"/>
      <c r="Q19173" s="559"/>
      <c r="R19173" s="559">
        <v>15</v>
      </c>
    </row>
    <row r="19174" spans="1:18" ht="36">
      <c r="A19174" s="555">
        <v>1571</v>
      </c>
      <c r="B19174" s="552" t="s">
        <v>34764</v>
      </c>
      <c r="C19174" s="556" t="s">
        <v>34765</v>
      </c>
      <c r="D19174" s="557">
        <v>155.93</v>
      </c>
      <c r="E19174" s="557">
        <v>32.42</v>
      </c>
      <c r="F19174" s="557">
        <v>60.55</v>
      </c>
      <c r="G19174" s="557">
        <v>62.96</v>
      </c>
      <c r="H19174" s="558">
        <v>888.81</v>
      </c>
      <c r="I19174" s="558">
        <v>372.88</v>
      </c>
      <c r="J19174" s="558">
        <v>303.95</v>
      </c>
      <c r="K19174" s="558">
        <v>211.98</v>
      </c>
      <c r="L19174" s="43">
        <v>5.700057718206887</v>
      </c>
      <c r="M19174" s="43">
        <v>11.501542257865514</v>
      </c>
      <c r="N19174" s="43">
        <v>5.01981833195706</v>
      </c>
      <c r="O19174" s="43">
        <v>3.3668996188055909</v>
      </c>
      <c r="P19174" s="559"/>
      <c r="Q19174" s="559"/>
      <c r="R19174" s="559">
        <v>15</v>
      </c>
    </row>
    <row r="19175" spans="1:18" ht="36">
      <c r="A19175" s="555">
        <v>1572</v>
      </c>
      <c r="B19175" s="552" t="s">
        <v>34766</v>
      </c>
      <c r="C19175" s="556" t="s">
        <v>34767</v>
      </c>
      <c r="D19175" s="557">
        <v>175.2</v>
      </c>
      <c r="E19175" s="557">
        <v>38.6</v>
      </c>
      <c r="F19175" s="557">
        <v>73.52</v>
      </c>
      <c r="G19175" s="557">
        <v>63.08</v>
      </c>
      <c r="H19175" s="558">
        <v>1026.3399999999999</v>
      </c>
      <c r="I19175" s="558">
        <v>443.9</v>
      </c>
      <c r="J19175" s="558">
        <v>369.08</v>
      </c>
      <c r="K19175" s="558">
        <v>213.36</v>
      </c>
      <c r="L19175" s="43">
        <v>5.8581050228310501</v>
      </c>
      <c r="M19175" s="43">
        <v>11.499999999999998</v>
      </c>
      <c r="N19175" s="43">
        <v>5.0201305767138198</v>
      </c>
      <c r="O19175" s="43">
        <v>3.3823715916296768</v>
      </c>
      <c r="P19175" s="559"/>
      <c r="Q19175" s="559"/>
      <c r="R19175" s="559">
        <v>15</v>
      </c>
    </row>
    <row r="19176" spans="1:18" ht="36">
      <c r="A19176" s="555">
        <v>1573</v>
      </c>
      <c r="B19176" s="552" t="s">
        <v>34768</v>
      </c>
      <c r="C19176" s="556" t="s">
        <v>34769</v>
      </c>
      <c r="D19176" s="557">
        <v>200.38</v>
      </c>
      <c r="E19176" s="557">
        <v>46.32</v>
      </c>
      <c r="F19176" s="557">
        <v>90.82</v>
      </c>
      <c r="G19176" s="557">
        <v>63.24</v>
      </c>
      <c r="H19176" s="558">
        <v>1203.8</v>
      </c>
      <c r="I19176" s="558">
        <v>532.67999999999995</v>
      </c>
      <c r="J19176" s="558">
        <v>455.92</v>
      </c>
      <c r="K19176" s="558">
        <v>215.2</v>
      </c>
      <c r="L19176" s="43">
        <v>6.0075855873839705</v>
      </c>
      <c r="M19176" s="43">
        <v>11.499999999999998</v>
      </c>
      <c r="N19176" s="43">
        <v>5.02003963884607</v>
      </c>
      <c r="O19176" s="43">
        <v>3.402909550917141</v>
      </c>
      <c r="P19176" s="559"/>
      <c r="Q19176" s="559"/>
      <c r="R19176" s="559">
        <v>15</v>
      </c>
    </row>
    <row r="19177" spans="1:18" ht="36">
      <c r="A19177" s="555">
        <v>1574</v>
      </c>
      <c r="B19177" s="552" t="s">
        <v>34770</v>
      </c>
      <c r="C19177" s="556" t="s">
        <v>34771</v>
      </c>
      <c r="D19177" s="557">
        <v>114.56</v>
      </c>
      <c r="E19177" s="557">
        <v>23.16</v>
      </c>
      <c r="F19177" s="557">
        <v>41.09</v>
      </c>
      <c r="G19177" s="557">
        <v>50.31</v>
      </c>
      <c r="H19177" s="558">
        <v>641.47</v>
      </c>
      <c r="I19177" s="558">
        <v>266.33999999999997</v>
      </c>
      <c r="J19177" s="558">
        <v>206.25</v>
      </c>
      <c r="K19177" s="558">
        <v>168.88</v>
      </c>
      <c r="L19177" s="43">
        <v>5.5994238826815641</v>
      </c>
      <c r="M19177" s="43">
        <v>11.499999999999998</v>
      </c>
      <c r="N19177" s="43">
        <v>5.0194694572888778</v>
      </c>
      <c r="O19177" s="43">
        <v>3.3567879149274495</v>
      </c>
      <c r="P19177" s="559"/>
      <c r="Q19177" s="559"/>
      <c r="R19177" s="559">
        <v>15</v>
      </c>
    </row>
    <row r="19178" spans="1:18" ht="36">
      <c r="A19178" s="555">
        <v>1575</v>
      </c>
      <c r="B19178" s="552" t="s">
        <v>34772</v>
      </c>
      <c r="C19178" s="556" t="s">
        <v>34773</v>
      </c>
      <c r="D19178" s="557">
        <v>130.1</v>
      </c>
      <c r="E19178" s="557">
        <v>27.79</v>
      </c>
      <c r="F19178" s="557">
        <v>51.9</v>
      </c>
      <c r="G19178" s="557">
        <v>50.41</v>
      </c>
      <c r="H19178" s="558">
        <v>750.16</v>
      </c>
      <c r="I19178" s="558">
        <v>319.61</v>
      </c>
      <c r="J19178" s="558">
        <v>260.52</v>
      </c>
      <c r="K19178" s="558">
        <v>170.03</v>
      </c>
      <c r="L19178" s="43">
        <v>5.7660261337432743</v>
      </c>
      <c r="M19178" s="43">
        <v>11.500899604174164</v>
      </c>
      <c r="N19178" s="43">
        <v>5.019653179190751</v>
      </c>
      <c r="O19178" s="43">
        <v>3.3729418766117836</v>
      </c>
      <c r="P19178" s="559"/>
      <c r="Q19178" s="559"/>
      <c r="R19178" s="559">
        <v>15</v>
      </c>
    </row>
    <row r="19179" spans="1:18" ht="36">
      <c r="A19179" s="555">
        <v>1576</v>
      </c>
      <c r="B19179" s="552" t="s">
        <v>34774</v>
      </c>
      <c r="C19179" s="556" t="s">
        <v>34775</v>
      </c>
      <c r="D19179" s="557">
        <v>161.83000000000001</v>
      </c>
      <c r="E19179" s="557">
        <v>33.97</v>
      </c>
      <c r="F19179" s="557">
        <v>64.87</v>
      </c>
      <c r="G19179" s="557">
        <v>62.99</v>
      </c>
      <c r="H19179" s="558">
        <v>928.61</v>
      </c>
      <c r="I19179" s="558">
        <v>390.63</v>
      </c>
      <c r="J19179" s="558">
        <v>325.66000000000003</v>
      </c>
      <c r="K19179" s="558">
        <v>212.32</v>
      </c>
      <c r="L19179" s="43">
        <v>5.7381820428845085</v>
      </c>
      <c r="M19179" s="43">
        <v>11.49926405652046</v>
      </c>
      <c r="N19179" s="43">
        <v>5.0201942346230926</v>
      </c>
      <c r="O19179" s="43">
        <v>3.3706937609144307</v>
      </c>
      <c r="P19179" s="559"/>
      <c r="Q19179" s="559"/>
      <c r="R19179" s="559">
        <v>15</v>
      </c>
    </row>
    <row r="19180" spans="1:18" ht="36">
      <c r="A19180" s="555">
        <v>1577</v>
      </c>
      <c r="B19180" s="552" t="s">
        <v>34776</v>
      </c>
      <c r="C19180" s="556" t="s">
        <v>34777</v>
      </c>
      <c r="D19180" s="557">
        <v>187</v>
      </c>
      <c r="E19180" s="557">
        <v>41.69</v>
      </c>
      <c r="F19180" s="557">
        <v>82.17</v>
      </c>
      <c r="G19180" s="557">
        <v>63.14</v>
      </c>
      <c r="H19180" s="558">
        <v>1105.96</v>
      </c>
      <c r="I19180" s="558">
        <v>479.41</v>
      </c>
      <c r="J19180" s="558">
        <v>412.5</v>
      </c>
      <c r="K19180" s="558">
        <v>214.05</v>
      </c>
      <c r="L19180" s="43">
        <v>5.9142245989304811</v>
      </c>
      <c r="M19180" s="43">
        <v>11.499400335811947</v>
      </c>
      <c r="N19180" s="43">
        <v>5.0200803212851408</v>
      </c>
      <c r="O19180" s="43">
        <v>3.3900855242318659</v>
      </c>
      <c r="P19180" s="559"/>
      <c r="Q19180" s="559"/>
      <c r="R19180" s="559">
        <v>15</v>
      </c>
    </row>
    <row r="19181" spans="1:18" ht="36">
      <c r="A19181" s="555">
        <v>1578</v>
      </c>
      <c r="B19181" s="552" t="s">
        <v>34778</v>
      </c>
      <c r="C19181" s="556" t="s">
        <v>34779</v>
      </c>
      <c r="D19181" s="557">
        <v>212.18</v>
      </c>
      <c r="E19181" s="557">
        <v>49.41</v>
      </c>
      <c r="F19181" s="557">
        <v>99.47</v>
      </c>
      <c r="G19181" s="557">
        <v>63.3</v>
      </c>
      <c r="H19181" s="558">
        <v>1283.42</v>
      </c>
      <c r="I19181" s="558">
        <v>568.19000000000005</v>
      </c>
      <c r="J19181" s="558">
        <v>499.34</v>
      </c>
      <c r="K19181" s="558">
        <v>215.89</v>
      </c>
      <c r="L19181" s="43">
        <v>6.0487322085022148</v>
      </c>
      <c r="M19181" s="43">
        <v>11.499494029548677</v>
      </c>
      <c r="N19181" s="43">
        <v>5.0200060319694382</v>
      </c>
      <c r="O19181" s="43">
        <v>3.4105845181674566</v>
      </c>
      <c r="P19181" s="559"/>
      <c r="Q19181" s="559"/>
      <c r="R19181" s="559">
        <v>15</v>
      </c>
    </row>
    <row r="19182" spans="1:18" ht="36">
      <c r="A19182" s="555">
        <v>1579</v>
      </c>
      <c r="B19182" s="552" t="s">
        <v>34780</v>
      </c>
      <c r="C19182" s="556" t="s">
        <v>34781</v>
      </c>
      <c r="D19182" s="557">
        <v>104.24</v>
      </c>
      <c r="E19182" s="557">
        <v>26.25</v>
      </c>
      <c r="F19182" s="557">
        <v>47.57</v>
      </c>
      <c r="G19182" s="557">
        <v>30.42</v>
      </c>
      <c r="H19182" s="558">
        <v>644.76</v>
      </c>
      <c r="I19182" s="558">
        <v>301.85000000000002</v>
      </c>
      <c r="J19182" s="558">
        <v>238.81</v>
      </c>
      <c r="K19182" s="558">
        <v>104.1</v>
      </c>
      <c r="L19182" s="43">
        <v>6.1853415195702226</v>
      </c>
      <c r="M19182" s="43">
        <v>11.499047619047619</v>
      </c>
      <c r="N19182" s="43">
        <v>5.0201807862097958</v>
      </c>
      <c r="O19182" s="43">
        <v>3.422090729783037</v>
      </c>
      <c r="P19182" s="559"/>
      <c r="Q19182" s="559"/>
      <c r="R19182" s="559">
        <v>15</v>
      </c>
    </row>
    <row r="19183" spans="1:18" ht="36">
      <c r="A19183" s="555">
        <v>1580</v>
      </c>
      <c r="B19183" s="552" t="s">
        <v>34782</v>
      </c>
      <c r="C19183" s="556" t="s">
        <v>34783</v>
      </c>
      <c r="D19183" s="557">
        <v>123.52</v>
      </c>
      <c r="E19183" s="557">
        <v>32.42</v>
      </c>
      <c r="F19183" s="557">
        <v>60.55</v>
      </c>
      <c r="G19183" s="557">
        <v>30.55</v>
      </c>
      <c r="H19183" s="558">
        <v>782.43</v>
      </c>
      <c r="I19183" s="558">
        <v>372.88</v>
      </c>
      <c r="J19183" s="558">
        <v>303.95</v>
      </c>
      <c r="K19183" s="558">
        <v>105.6</v>
      </c>
      <c r="L19183" s="43">
        <v>6.3344397668393784</v>
      </c>
      <c r="M19183" s="43">
        <v>11.501542257865514</v>
      </c>
      <c r="N19183" s="43">
        <v>5.01981833195706</v>
      </c>
      <c r="O19183" s="43">
        <v>3.4566284779050735</v>
      </c>
      <c r="P19183" s="559"/>
      <c r="Q19183" s="559"/>
      <c r="R19183" s="559">
        <v>15</v>
      </c>
    </row>
    <row r="19184" spans="1:18" ht="36">
      <c r="A19184" s="555">
        <v>1581</v>
      </c>
      <c r="B19184" s="552" t="s">
        <v>34784</v>
      </c>
      <c r="C19184" s="556" t="s">
        <v>34785</v>
      </c>
      <c r="D19184" s="557">
        <v>150.27000000000001</v>
      </c>
      <c r="E19184" s="557">
        <v>38.6</v>
      </c>
      <c r="F19184" s="557">
        <v>73.52</v>
      </c>
      <c r="G19184" s="557">
        <v>38.15</v>
      </c>
      <c r="H19184" s="558">
        <v>944.54</v>
      </c>
      <c r="I19184" s="558">
        <v>443.9</v>
      </c>
      <c r="J19184" s="558">
        <v>369.08</v>
      </c>
      <c r="K19184" s="558">
        <v>131.56</v>
      </c>
      <c r="L19184" s="43">
        <v>6.2856192187396012</v>
      </c>
      <c r="M19184" s="43">
        <v>11.499999999999998</v>
      </c>
      <c r="N19184" s="43">
        <v>5.0201305767138198</v>
      </c>
      <c r="O19184" s="43">
        <v>3.448492791612058</v>
      </c>
      <c r="P19184" s="559"/>
      <c r="Q19184" s="559"/>
      <c r="R19184" s="559">
        <v>15</v>
      </c>
    </row>
    <row r="19185" spans="1:18" ht="36">
      <c r="A19185" s="555">
        <v>1582</v>
      </c>
      <c r="B19185" s="552" t="s">
        <v>34786</v>
      </c>
      <c r="C19185" s="556" t="s">
        <v>34787</v>
      </c>
      <c r="D19185" s="557">
        <v>175.45</v>
      </c>
      <c r="E19185" s="557">
        <v>46.32</v>
      </c>
      <c r="F19185" s="557">
        <v>90.82</v>
      </c>
      <c r="G19185" s="557">
        <v>38.31</v>
      </c>
      <c r="H19185" s="558">
        <v>1122</v>
      </c>
      <c r="I19185" s="558">
        <v>532.67999999999995</v>
      </c>
      <c r="J19185" s="558">
        <v>455.92</v>
      </c>
      <c r="K19185" s="558">
        <v>133.4</v>
      </c>
      <c r="L19185" s="43">
        <v>6.3949843260188093</v>
      </c>
      <c r="M19185" s="43">
        <v>11.499999999999998</v>
      </c>
      <c r="N19185" s="43">
        <v>5.02003963884607</v>
      </c>
      <c r="O19185" s="43">
        <v>3.4821195510310625</v>
      </c>
      <c r="P19185" s="559"/>
      <c r="Q19185" s="559"/>
      <c r="R19185" s="559">
        <v>15</v>
      </c>
    </row>
    <row r="19186" spans="1:18" ht="36">
      <c r="A19186" s="555">
        <v>1583</v>
      </c>
      <c r="B19186" s="552" t="s">
        <v>34788</v>
      </c>
      <c r="C19186" s="556" t="s">
        <v>34789</v>
      </c>
      <c r="D19186" s="557">
        <v>125.1</v>
      </c>
      <c r="E19186" s="557">
        <v>30.88</v>
      </c>
      <c r="F19186" s="557">
        <v>56.22</v>
      </c>
      <c r="G19186" s="557">
        <v>38</v>
      </c>
      <c r="H19186" s="558">
        <v>767.19</v>
      </c>
      <c r="I19186" s="558">
        <v>355.12</v>
      </c>
      <c r="J19186" s="558">
        <v>282.24</v>
      </c>
      <c r="K19186" s="558">
        <v>129.83000000000001</v>
      </c>
      <c r="L19186" s="43">
        <v>6.1326139088729024</v>
      </c>
      <c r="M19186" s="43">
        <v>11.5</v>
      </c>
      <c r="N19186" s="43">
        <v>5.0202774813233724</v>
      </c>
      <c r="O19186" s="43">
        <v>3.4165789473684214</v>
      </c>
      <c r="P19186" s="559"/>
      <c r="Q19186" s="559"/>
      <c r="R19186" s="559">
        <v>15</v>
      </c>
    </row>
    <row r="19187" spans="1:18" ht="36">
      <c r="A19187" s="555">
        <v>1584</v>
      </c>
      <c r="B19187" s="552" t="s">
        <v>34790</v>
      </c>
      <c r="C19187" s="556" t="s">
        <v>34791</v>
      </c>
      <c r="D19187" s="557">
        <v>156.16999999999999</v>
      </c>
      <c r="E19187" s="557">
        <v>40.14</v>
      </c>
      <c r="F19187" s="557">
        <v>77.849999999999994</v>
      </c>
      <c r="G19187" s="557">
        <v>38.18</v>
      </c>
      <c r="H19187" s="558">
        <v>984.35</v>
      </c>
      <c r="I19187" s="558">
        <v>461.66</v>
      </c>
      <c r="J19187" s="558">
        <v>390.79</v>
      </c>
      <c r="K19187" s="558">
        <v>131.9</v>
      </c>
      <c r="L19187" s="43">
        <v>6.3030671703912411</v>
      </c>
      <c r="M19187" s="43">
        <v>11.501245640259093</v>
      </c>
      <c r="N19187" s="43">
        <v>5.019781631342326</v>
      </c>
      <c r="O19187" s="43">
        <v>3.4546883184913568</v>
      </c>
      <c r="P19187" s="559"/>
      <c r="Q19187" s="559"/>
      <c r="R19187" s="559">
        <v>15</v>
      </c>
    </row>
    <row r="19188" spans="1:18" ht="36">
      <c r="A19188" s="555">
        <v>1585</v>
      </c>
      <c r="B19188" s="552" t="s">
        <v>34792</v>
      </c>
      <c r="C19188" s="556" t="s">
        <v>34793</v>
      </c>
      <c r="D19188" s="557">
        <v>181.35</v>
      </c>
      <c r="E19188" s="557">
        <v>47.86</v>
      </c>
      <c r="F19188" s="557">
        <v>95.15</v>
      </c>
      <c r="G19188" s="557">
        <v>38.340000000000003</v>
      </c>
      <c r="H19188" s="558">
        <v>1161.81</v>
      </c>
      <c r="I19188" s="558">
        <v>550.44000000000005</v>
      </c>
      <c r="J19188" s="558">
        <v>477.63</v>
      </c>
      <c r="K19188" s="558">
        <v>133.74</v>
      </c>
      <c r="L19188" s="43">
        <v>6.4064516129032256</v>
      </c>
      <c r="M19188" s="43">
        <v>11.501044713748435</v>
      </c>
      <c r="N19188" s="43">
        <v>5.0197582764056747</v>
      </c>
      <c r="O19188" s="43">
        <v>3.488262910798122</v>
      </c>
      <c r="P19188" s="559"/>
      <c r="Q19188" s="559"/>
      <c r="R19188" s="559">
        <v>15</v>
      </c>
    </row>
    <row r="19189" spans="1:18" ht="36">
      <c r="A19189" s="555">
        <v>1586</v>
      </c>
      <c r="B19189" s="552" t="s">
        <v>34794</v>
      </c>
      <c r="C19189" s="556" t="s">
        <v>34795</v>
      </c>
      <c r="D19189" s="557">
        <v>218.31</v>
      </c>
      <c r="E19189" s="557">
        <v>58.67</v>
      </c>
      <c r="F19189" s="557">
        <v>121.09</v>
      </c>
      <c r="G19189" s="557">
        <v>38.549999999999997</v>
      </c>
      <c r="H19189" s="558">
        <v>1418.78</v>
      </c>
      <c r="I19189" s="558">
        <v>674.73</v>
      </c>
      <c r="J19189" s="558">
        <v>607.89</v>
      </c>
      <c r="K19189" s="558">
        <v>136.16</v>
      </c>
      <c r="L19189" s="43">
        <v>6.4989235490815807</v>
      </c>
      <c r="M19189" s="43">
        <v>11.500426112152718</v>
      </c>
      <c r="N19189" s="43">
        <v>5.0201503014286892</v>
      </c>
      <c r="O19189" s="43">
        <v>3.5320363164721145</v>
      </c>
      <c r="P19189" s="559"/>
      <c r="Q19189" s="559"/>
      <c r="R19189" s="559">
        <v>15</v>
      </c>
    </row>
    <row r="19190" spans="1:18" ht="12.75" customHeight="1">
      <c r="A19190" s="628" t="s">
        <v>34796</v>
      </c>
      <c r="B19190" s="629"/>
      <c r="C19190" s="629"/>
      <c r="D19190" s="629"/>
      <c r="E19190" s="629"/>
      <c r="F19190" s="629"/>
      <c r="G19190" s="629"/>
      <c r="H19190" s="629"/>
      <c r="I19190" s="629"/>
      <c r="J19190" s="629"/>
      <c r="K19190" s="629"/>
      <c r="L19190" s="629"/>
      <c r="M19190" s="629"/>
      <c r="N19190" s="629"/>
      <c r="O19190" s="629"/>
      <c r="P19190" s="629"/>
      <c r="Q19190" s="629"/>
      <c r="R19190" s="629"/>
    </row>
    <row r="19191" spans="1:18" ht="24">
      <c r="A19191" s="555">
        <v>1587</v>
      </c>
      <c r="B19191" s="552" t="s">
        <v>34797</v>
      </c>
      <c r="C19191" s="556" t="s">
        <v>34798</v>
      </c>
      <c r="D19191" s="557">
        <v>61.4</v>
      </c>
      <c r="E19191" s="557">
        <v>10.81</v>
      </c>
      <c r="F19191" s="557">
        <v>12.97</v>
      </c>
      <c r="G19191" s="557">
        <v>37.619999999999997</v>
      </c>
      <c r="H19191" s="558">
        <v>314.69</v>
      </c>
      <c r="I19191" s="558">
        <v>124.29</v>
      </c>
      <c r="J19191" s="558">
        <v>65.13</v>
      </c>
      <c r="K19191" s="558">
        <v>125.27</v>
      </c>
      <c r="L19191" s="43">
        <v>5.1252442996742671</v>
      </c>
      <c r="M19191" s="43">
        <v>11.497687326549491</v>
      </c>
      <c r="N19191" s="43">
        <v>5.0215882806476477</v>
      </c>
      <c r="O19191" s="43">
        <v>3.3298777246145668</v>
      </c>
      <c r="P19191" s="559"/>
      <c r="Q19191" s="559"/>
      <c r="R19191" s="559">
        <v>16</v>
      </c>
    </row>
    <row r="19192" spans="1:18" ht="24">
      <c r="A19192" s="555">
        <v>1588</v>
      </c>
      <c r="B19192" s="552" t="s">
        <v>34799</v>
      </c>
      <c r="C19192" s="556" t="s">
        <v>34800</v>
      </c>
      <c r="D19192" s="557">
        <v>68.02</v>
      </c>
      <c r="E19192" s="557">
        <v>12.35</v>
      </c>
      <c r="F19192" s="557">
        <v>18.02</v>
      </c>
      <c r="G19192" s="557">
        <v>37.65</v>
      </c>
      <c r="H19192" s="558">
        <v>358.13</v>
      </c>
      <c r="I19192" s="558">
        <v>142.05000000000001</v>
      </c>
      <c r="J19192" s="558">
        <v>90.46</v>
      </c>
      <c r="K19192" s="558">
        <v>125.62</v>
      </c>
      <c r="L19192" s="43">
        <v>5.265069097324317</v>
      </c>
      <c r="M19192" s="43">
        <v>11.502024291497976</v>
      </c>
      <c r="N19192" s="43">
        <v>5.0199778024417308</v>
      </c>
      <c r="O19192" s="43">
        <v>3.3365205843293495</v>
      </c>
      <c r="P19192" s="559"/>
      <c r="Q19192" s="559"/>
      <c r="R19192" s="559">
        <v>16</v>
      </c>
    </row>
    <row r="19193" spans="1:18" ht="24">
      <c r="A19193" s="555">
        <v>1589</v>
      </c>
      <c r="B19193" s="552" t="s">
        <v>34801</v>
      </c>
      <c r="C19193" s="556" t="s">
        <v>34802</v>
      </c>
      <c r="D19193" s="557">
        <v>88.63</v>
      </c>
      <c r="E19193" s="557">
        <v>15.44</v>
      </c>
      <c r="F19193" s="557">
        <v>23.07</v>
      </c>
      <c r="G19193" s="557">
        <v>50.12</v>
      </c>
      <c r="H19193" s="558">
        <v>460.41</v>
      </c>
      <c r="I19193" s="558">
        <v>177.56</v>
      </c>
      <c r="J19193" s="558">
        <v>115.79</v>
      </c>
      <c r="K19193" s="558">
        <v>167.06</v>
      </c>
      <c r="L19193" s="43">
        <v>5.1947421866185266</v>
      </c>
      <c r="M19193" s="43">
        <v>11.5</v>
      </c>
      <c r="N19193" s="43">
        <v>5.019072388383182</v>
      </c>
      <c r="O19193" s="43">
        <v>3.3332003192338391</v>
      </c>
      <c r="P19193" s="559"/>
      <c r="Q19193" s="559"/>
      <c r="R19193" s="559">
        <v>16</v>
      </c>
    </row>
    <row r="19194" spans="1:18" ht="24">
      <c r="A19194" s="555">
        <v>1590</v>
      </c>
      <c r="B19194" s="552" t="s">
        <v>34803</v>
      </c>
      <c r="C19194" s="556" t="s">
        <v>34804</v>
      </c>
      <c r="D19194" s="557">
        <v>97.54</v>
      </c>
      <c r="E19194" s="557">
        <v>18.53</v>
      </c>
      <c r="F19194" s="557">
        <v>28.83</v>
      </c>
      <c r="G19194" s="557">
        <v>50.18</v>
      </c>
      <c r="H19194" s="558">
        <v>525.55999999999995</v>
      </c>
      <c r="I19194" s="558">
        <v>213.07</v>
      </c>
      <c r="J19194" s="558">
        <v>144.74</v>
      </c>
      <c r="K19194" s="558">
        <v>167.75</v>
      </c>
      <c r="L19194" s="43">
        <v>5.3881484519171616</v>
      </c>
      <c r="M19194" s="43">
        <v>11.49865083648138</v>
      </c>
      <c r="N19194" s="43">
        <v>5.0204647936177595</v>
      </c>
      <c r="O19194" s="43">
        <v>3.3429653248306099</v>
      </c>
      <c r="P19194" s="559"/>
      <c r="Q19194" s="559"/>
      <c r="R19194" s="559">
        <v>16</v>
      </c>
    </row>
    <row r="19195" spans="1:18" ht="24">
      <c r="A19195" s="555">
        <v>1591</v>
      </c>
      <c r="B19195" s="552" t="s">
        <v>34805</v>
      </c>
      <c r="C19195" s="556" t="s">
        <v>34806</v>
      </c>
      <c r="D19195" s="557">
        <v>115.94</v>
      </c>
      <c r="E19195" s="557">
        <v>20.07</v>
      </c>
      <c r="F19195" s="557">
        <v>33.159999999999997</v>
      </c>
      <c r="G19195" s="557">
        <v>62.71</v>
      </c>
      <c r="H19195" s="558">
        <v>606.38</v>
      </c>
      <c r="I19195" s="558">
        <v>230.83</v>
      </c>
      <c r="J19195" s="558">
        <v>166.45</v>
      </c>
      <c r="K19195" s="558">
        <v>209.1</v>
      </c>
      <c r="L19195" s="43">
        <v>5.2301190270829743</v>
      </c>
      <c r="M19195" s="43">
        <v>11.501245640259093</v>
      </c>
      <c r="N19195" s="43">
        <v>5.0196019300361883</v>
      </c>
      <c r="O19195" s="43">
        <v>3.3343964280019134</v>
      </c>
      <c r="P19195" s="559"/>
      <c r="Q19195" s="559"/>
      <c r="R19195" s="559">
        <v>16</v>
      </c>
    </row>
    <row r="19196" spans="1:18" ht="24">
      <c r="A19196" s="555">
        <v>1592</v>
      </c>
      <c r="B19196" s="552" t="s">
        <v>34807</v>
      </c>
      <c r="C19196" s="556" t="s">
        <v>34808</v>
      </c>
      <c r="D19196" s="557">
        <v>130.75</v>
      </c>
      <c r="E19196" s="557">
        <v>24.7</v>
      </c>
      <c r="F19196" s="557">
        <v>43.25</v>
      </c>
      <c r="G19196" s="557">
        <v>62.8</v>
      </c>
      <c r="H19196" s="558">
        <v>711.34</v>
      </c>
      <c r="I19196" s="558">
        <v>284.10000000000002</v>
      </c>
      <c r="J19196" s="558">
        <v>217.1</v>
      </c>
      <c r="K19196" s="558">
        <v>210.14</v>
      </c>
      <c r="L19196" s="43">
        <v>5.4404588910133844</v>
      </c>
      <c r="M19196" s="43">
        <v>11.502024291497976</v>
      </c>
      <c r="N19196" s="43">
        <v>5.019653179190751</v>
      </c>
      <c r="O19196" s="43">
        <v>3.3461783439490445</v>
      </c>
      <c r="P19196" s="559"/>
      <c r="Q19196" s="559"/>
      <c r="R19196" s="559">
        <v>16</v>
      </c>
    </row>
    <row r="19197" spans="1:18" ht="24">
      <c r="A19197" s="555">
        <v>1593</v>
      </c>
      <c r="B19197" s="552" t="s">
        <v>34809</v>
      </c>
      <c r="C19197" s="556" t="s">
        <v>34810</v>
      </c>
      <c r="D19197" s="557">
        <v>150.03</v>
      </c>
      <c r="E19197" s="557">
        <v>30.88</v>
      </c>
      <c r="F19197" s="557">
        <v>56.22</v>
      </c>
      <c r="G19197" s="557">
        <v>62.93</v>
      </c>
      <c r="H19197" s="558">
        <v>848.99</v>
      </c>
      <c r="I19197" s="558">
        <v>355.12</v>
      </c>
      <c r="J19197" s="558">
        <v>282.24</v>
      </c>
      <c r="K19197" s="558">
        <v>211.63</v>
      </c>
      <c r="L19197" s="43">
        <v>5.6588015730187298</v>
      </c>
      <c r="M19197" s="43">
        <v>11.5</v>
      </c>
      <c r="N19197" s="43">
        <v>5.0202774813233724</v>
      </c>
      <c r="O19197" s="43">
        <v>3.3629429524868901</v>
      </c>
      <c r="P19197" s="559"/>
      <c r="Q19197" s="559"/>
      <c r="R19197" s="559">
        <v>16</v>
      </c>
    </row>
    <row r="19198" spans="1:18" ht="24">
      <c r="A19198" s="555">
        <v>1594</v>
      </c>
      <c r="B19198" s="552" t="s">
        <v>34811</v>
      </c>
      <c r="C19198" s="556" t="s">
        <v>34812</v>
      </c>
      <c r="D19198" s="557">
        <v>161.83000000000001</v>
      </c>
      <c r="E19198" s="557">
        <v>33.97</v>
      </c>
      <c r="F19198" s="557">
        <v>64.87</v>
      </c>
      <c r="G19198" s="557">
        <v>62.99</v>
      </c>
      <c r="H19198" s="558">
        <v>928.61</v>
      </c>
      <c r="I19198" s="558">
        <v>390.63</v>
      </c>
      <c r="J19198" s="558">
        <v>325.66000000000003</v>
      </c>
      <c r="K19198" s="558">
        <v>212.32</v>
      </c>
      <c r="L19198" s="43">
        <v>5.7381820428845085</v>
      </c>
      <c r="M19198" s="43">
        <v>11.49926405652046</v>
      </c>
      <c r="N19198" s="43">
        <v>5.0201942346230926</v>
      </c>
      <c r="O19198" s="43">
        <v>3.3706937609144307</v>
      </c>
      <c r="P19198" s="559"/>
      <c r="Q19198" s="559"/>
      <c r="R19198" s="559">
        <v>16</v>
      </c>
    </row>
    <row r="19199" spans="1:18" ht="24">
      <c r="A19199" s="555">
        <v>1595</v>
      </c>
      <c r="B19199" s="552" t="s">
        <v>34813</v>
      </c>
      <c r="C19199" s="556" t="s">
        <v>34814</v>
      </c>
      <c r="D19199" s="557">
        <v>193.59</v>
      </c>
      <c r="E19199" s="557">
        <v>40.14</v>
      </c>
      <c r="F19199" s="557">
        <v>77.849999999999994</v>
      </c>
      <c r="G19199" s="557">
        <v>75.599999999999994</v>
      </c>
      <c r="H19199" s="558">
        <v>1107.1199999999999</v>
      </c>
      <c r="I19199" s="558">
        <v>461.66</v>
      </c>
      <c r="J19199" s="558">
        <v>390.79</v>
      </c>
      <c r="K19199" s="558">
        <v>254.67</v>
      </c>
      <c r="L19199" s="43">
        <v>5.71889043855571</v>
      </c>
      <c r="M19199" s="43">
        <v>11.501245640259093</v>
      </c>
      <c r="N19199" s="43">
        <v>5.019781631342326</v>
      </c>
      <c r="O19199" s="43">
        <v>3.3686507936507937</v>
      </c>
      <c r="P19199" s="559"/>
      <c r="Q19199" s="559"/>
      <c r="R19199" s="559">
        <v>16</v>
      </c>
    </row>
    <row r="19200" spans="1:18" ht="24">
      <c r="A19200" s="555">
        <v>1596</v>
      </c>
      <c r="B19200" s="552" t="s">
        <v>34815</v>
      </c>
      <c r="C19200" s="556" t="s">
        <v>34816</v>
      </c>
      <c r="D19200" s="557">
        <v>205.39</v>
      </c>
      <c r="E19200" s="557">
        <v>43.23</v>
      </c>
      <c r="F19200" s="557">
        <v>86.5</v>
      </c>
      <c r="G19200" s="557">
        <v>75.66</v>
      </c>
      <c r="H19200" s="558">
        <v>1186.74</v>
      </c>
      <c r="I19200" s="558">
        <v>497.17</v>
      </c>
      <c r="J19200" s="558">
        <v>434.21</v>
      </c>
      <c r="K19200" s="558">
        <v>255.36</v>
      </c>
      <c r="L19200" s="43">
        <v>5.7779833487511567</v>
      </c>
      <c r="M19200" s="43">
        <v>11.500578302105021</v>
      </c>
      <c r="N19200" s="43">
        <v>5.0197687861271678</v>
      </c>
      <c r="O19200" s="43">
        <v>3.3750991276764477</v>
      </c>
      <c r="P19200" s="559"/>
      <c r="Q19200" s="559"/>
      <c r="R19200" s="559">
        <v>16</v>
      </c>
    </row>
    <row r="19201" spans="1:18" ht="24">
      <c r="A19201" s="555">
        <v>1597</v>
      </c>
      <c r="B19201" s="552" t="s">
        <v>34817</v>
      </c>
      <c r="C19201" s="556" t="s">
        <v>34818</v>
      </c>
      <c r="D19201" s="557">
        <v>224.67</v>
      </c>
      <c r="E19201" s="557">
        <v>49.41</v>
      </c>
      <c r="F19201" s="557">
        <v>99.47</v>
      </c>
      <c r="G19201" s="557">
        <v>75.790000000000006</v>
      </c>
      <c r="H19201" s="558">
        <v>1324.39</v>
      </c>
      <c r="I19201" s="558">
        <v>568.19000000000005</v>
      </c>
      <c r="J19201" s="558">
        <v>499.34</v>
      </c>
      <c r="K19201" s="558">
        <v>256.86</v>
      </c>
      <c r="L19201" s="43">
        <v>5.8948235189388889</v>
      </c>
      <c r="M19201" s="43">
        <v>11.499494029548677</v>
      </c>
      <c r="N19201" s="43">
        <v>5.0200060319694382</v>
      </c>
      <c r="O19201" s="43">
        <v>3.3891014645731627</v>
      </c>
      <c r="P19201" s="559"/>
      <c r="Q19201" s="559"/>
      <c r="R19201" s="559">
        <v>16</v>
      </c>
    </row>
    <row r="19202" spans="1:18" ht="24">
      <c r="A19202" s="555">
        <v>1598</v>
      </c>
      <c r="B19202" s="552" t="s">
        <v>34819</v>
      </c>
      <c r="C19202" s="556" t="s">
        <v>34820</v>
      </c>
      <c r="D19202" s="557">
        <v>249.84</v>
      </c>
      <c r="E19202" s="557">
        <v>57.13</v>
      </c>
      <c r="F19202" s="557">
        <v>116.77</v>
      </c>
      <c r="G19202" s="557">
        <v>75.94</v>
      </c>
      <c r="H19202" s="558">
        <v>1501.73</v>
      </c>
      <c r="I19202" s="558">
        <v>656.97</v>
      </c>
      <c r="J19202" s="558">
        <v>586.17999999999995</v>
      </c>
      <c r="K19202" s="558">
        <v>258.58</v>
      </c>
      <c r="L19202" s="43">
        <v>6.0107668908101184</v>
      </c>
      <c r="M19202" s="43">
        <v>11.499562401540347</v>
      </c>
      <c r="N19202" s="43">
        <v>5.0199537552453535</v>
      </c>
      <c r="O19202" s="43">
        <v>3.4050566236502502</v>
      </c>
      <c r="P19202" s="559"/>
      <c r="Q19202" s="559"/>
      <c r="R19202" s="559">
        <v>16</v>
      </c>
    </row>
    <row r="19203" spans="1:18" ht="12.75" customHeight="1">
      <c r="A19203" s="628" t="s">
        <v>34821</v>
      </c>
      <c r="B19203" s="629"/>
      <c r="C19203" s="629"/>
      <c r="D19203" s="629"/>
      <c r="E19203" s="629"/>
      <c r="F19203" s="629"/>
      <c r="G19203" s="629"/>
      <c r="H19203" s="629"/>
      <c r="I19203" s="629"/>
      <c r="J19203" s="629"/>
      <c r="K19203" s="629"/>
      <c r="L19203" s="629"/>
      <c r="M19203" s="629"/>
      <c r="N19203" s="629"/>
      <c r="O19203" s="629"/>
      <c r="P19203" s="629"/>
      <c r="Q19203" s="629"/>
      <c r="R19203" s="629"/>
    </row>
    <row r="19204" spans="1:18" ht="36">
      <c r="A19204" s="555">
        <v>1599</v>
      </c>
      <c r="B19204" s="552" t="s">
        <v>34822</v>
      </c>
      <c r="C19204" s="556" t="s">
        <v>34823</v>
      </c>
      <c r="D19204" s="557">
        <v>364.59</v>
      </c>
      <c r="E19204" s="557">
        <v>41.69</v>
      </c>
      <c r="F19204" s="557">
        <v>82.17</v>
      </c>
      <c r="G19204" s="557">
        <v>240.73</v>
      </c>
      <c r="H19204" s="558">
        <v>1688.77</v>
      </c>
      <c r="I19204" s="558">
        <v>479.41</v>
      </c>
      <c r="J19204" s="558">
        <v>412.5</v>
      </c>
      <c r="K19204" s="558">
        <v>796.86</v>
      </c>
      <c r="L19204" s="43">
        <v>4.6319701582599633</v>
      </c>
      <c r="M19204" s="43">
        <v>11.499400335811947</v>
      </c>
      <c r="N19204" s="43">
        <v>5.0200803212851408</v>
      </c>
      <c r="O19204" s="43">
        <v>3.3101815311760063</v>
      </c>
      <c r="P19204" s="559"/>
      <c r="Q19204" s="559"/>
      <c r="R19204" s="559">
        <v>17</v>
      </c>
    </row>
    <row r="19205" spans="1:18" ht="36">
      <c r="A19205" s="555">
        <v>1600</v>
      </c>
      <c r="B19205" s="552" t="s">
        <v>34824</v>
      </c>
      <c r="C19205" s="556" t="s">
        <v>34825</v>
      </c>
      <c r="D19205" s="557">
        <v>443.01</v>
      </c>
      <c r="E19205" s="557">
        <v>47.86</v>
      </c>
      <c r="F19205" s="557">
        <v>95.15</v>
      </c>
      <c r="G19205" s="557">
        <v>300</v>
      </c>
      <c r="H19205" s="558">
        <v>2020.54</v>
      </c>
      <c r="I19205" s="558">
        <v>550.44000000000005</v>
      </c>
      <c r="J19205" s="558">
        <v>477.63</v>
      </c>
      <c r="K19205" s="558">
        <v>992.47</v>
      </c>
      <c r="L19205" s="43">
        <v>4.5609354190650322</v>
      </c>
      <c r="M19205" s="43">
        <v>11.501044713748435</v>
      </c>
      <c r="N19205" s="43">
        <v>5.0197582764056747</v>
      </c>
      <c r="O19205" s="43">
        <v>3.3082333333333334</v>
      </c>
      <c r="P19205" s="559"/>
      <c r="Q19205" s="559"/>
      <c r="R19205" s="559">
        <v>17</v>
      </c>
    </row>
    <row r="19206" spans="1:18" ht="36">
      <c r="A19206" s="555">
        <v>1601</v>
      </c>
      <c r="B19206" s="552" t="s">
        <v>34826</v>
      </c>
      <c r="C19206" s="556" t="s">
        <v>34827</v>
      </c>
      <c r="D19206" s="557">
        <v>454.81</v>
      </c>
      <c r="E19206" s="557">
        <v>50.95</v>
      </c>
      <c r="F19206" s="557">
        <v>103.8</v>
      </c>
      <c r="G19206" s="557">
        <v>300.06</v>
      </c>
      <c r="H19206" s="558">
        <v>2100.16</v>
      </c>
      <c r="I19206" s="558">
        <v>585.95000000000005</v>
      </c>
      <c r="J19206" s="558">
        <v>521.04999999999995</v>
      </c>
      <c r="K19206" s="558">
        <v>993.16</v>
      </c>
      <c r="L19206" s="43">
        <v>4.6176645192497965</v>
      </c>
      <c r="M19206" s="43">
        <v>11.500490677134446</v>
      </c>
      <c r="N19206" s="43">
        <v>5.0197495183044314</v>
      </c>
      <c r="O19206" s="43">
        <v>3.3098713590615207</v>
      </c>
      <c r="P19206" s="559"/>
      <c r="Q19206" s="559"/>
      <c r="R19206" s="559">
        <v>17</v>
      </c>
    </row>
    <row r="19207" spans="1:18" ht="36">
      <c r="A19207" s="555">
        <v>1602</v>
      </c>
      <c r="B19207" s="552" t="s">
        <v>34828</v>
      </c>
      <c r="C19207" s="556" t="s">
        <v>34829</v>
      </c>
      <c r="D19207" s="557">
        <v>474.08</v>
      </c>
      <c r="E19207" s="557">
        <v>57.13</v>
      </c>
      <c r="F19207" s="557">
        <v>116.77</v>
      </c>
      <c r="G19207" s="557">
        <v>300.18</v>
      </c>
      <c r="H19207" s="558">
        <v>2237.69</v>
      </c>
      <c r="I19207" s="558">
        <v>656.97</v>
      </c>
      <c r="J19207" s="558">
        <v>586.17999999999995</v>
      </c>
      <c r="K19207" s="558">
        <v>994.54</v>
      </c>
      <c r="L19207" s="43">
        <v>4.720068342895714</v>
      </c>
      <c r="M19207" s="43">
        <v>11.499562401540347</v>
      </c>
      <c r="N19207" s="43">
        <v>5.0199537552453535</v>
      </c>
      <c r="O19207" s="43">
        <v>3.3131454460656937</v>
      </c>
      <c r="P19207" s="559"/>
      <c r="Q19207" s="559"/>
      <c r="R19207" s="559">
        <v>17</v>
      </c>
    </row>
    <row r="19208" spans="1:18" ht="36">
      <c r="A19208" s="555">
        <v>1603</v>
      </c>
      <c r="B19208" s="552" t="s">
        <v>34830</v>
      </c>
      <c r="C19208" s="556" t="s">
        <v>34831</v>
      </c>
      <c r="D19208" s="557">
        <v>552.58000000000004</v>
      </c>
      <c r="E19208" s="557">
        <v>63.3</v>
      </c>
      <c r="F19208" s="557">
        <v>129.74</v>
      </c>
      <c r="G19208" s="557">
        <v>359.54</v>
      </c>
      <c r="H19208" s="558">
        <v>2569.71</v>
      </c>
      <c r="I19208" s="558">
        <v>728</v>
      </c>
      <c r="J19208" s="558">
        <v>651.30999999999995</v>
      </c>
      <c r="K19208" s="558">
        <v>1190.4000000000001</v>
      </c>
      <c r="L19208" s="43">
        <v>4.6503854645481191</v>
      </c>
      <c r="M19208" s="43">
        <v>11.500789889415483</v>
      </c>
      <c r="N19208" s="43">
        <v>5.0201171573917058</v>
      </c>
      <c r="O19208" s="43">
        <v>3.3108972576069422</v>
      </c>
      <c r="P19208" s="559"/>
      <c r="Q19208" s="559"/>
      <c r="R19208" s="559">
        <v>17</v>
      </c>
    </row>
    <row r="19209" spans="1:18" ht="36">
      <c r="A19209" s="555">
        <v>1604</v>
      </c>
      <c r="B19209" s="552" t="s">
        <v>34832</v>
      </c>
      <c r="C19209" s="556" t="s">
        <v>34833</v>
      </c>
      <c r="D19209" s="557">
        <v>571.86</v>
      </c>
      <c r="E19209" s="557">
        <v>69.48</v>
      </c>
      <c r="F19209" s="557">
        <v>142.72</v>
      </c>
      <c r="G19209" s="557">
        <v>359.66</v>
      </c>
      <c r="H19209" s="558">
        <v>2707.24</v>
      </c>
      <c r="I19209" s="558">
        <v>799.02</v>
      </c>
      <c r="J19209" s="558">
        <v>716.44</v>
      </c>
      <c r="K19209" s="558">
        <v>1191.78</v>
      </c>
      <c r="L19209" s="43">
        <v>4.7340957577029341</v>
      </c>
      <c r="M19209" s="43">
        <v>11.499999999999998</v>
      </c>
      <c r="N19209" s="43">
        <v>5.0198991031390134</v>
      </c>
      <c r="O19209" s="43">
        <v>3.3136295390090638</v>
      </c>
      <c r="P19209" s="559"/>
      <c r="Q19209" s="559"/>
      <c r="R19209" s="559">
        <v>17</v>
      </c>
    </row>
    <row r="19210" spans="1:18" ht="36">
      <c r="A19210" s="555">
        <v>1605</v>
      </c>
      <c r="B19210" s="552" t="s">
        <v>34834</v>
      </c>
      <c r="C19210" s="556" t="s">
        <v>34835</v>
      </c>
      <c r="D19210" s="557">
        <v>593.73</v>
      </c>
      <c r="E19210" s="557">
        <v>77.2</v>
      </c>
      <c r="F19210" s="557">
        <v>155.69</v>
      </c>
      <c r="G19210" s="557">
        <v>360.84</v>
      </c>
      <c r="H19210" s="558">
        <v>2865.73</v>
      </c>
      <c r="I19210" s="558">
        <v>887.8</v>
      </c>
      <c r="J19210" s="558">
        <v>781.57</v>
      </c>
      <c r="K19210" s="558">
        <v>1196.3599999999999</v>
      </c>
      <c r="L19210" s="43">
        <v>4.8266552136493015</v>
      </c>
      <c r="M19210" s="43">
        <v>11.499999999999998</v>
      </c>
      <c r="N19210" s="43">
        <v>5.0200398227246454</v>
      </c>
      <c r="O19210" s="43">
        <v>3.3154860880168497</v>
      </c>
      <c r="P19210" s="559"/>
      <c r="Q19210" s="559"/>
      <c r="R19210" s="559">
        <v>17</v>
      </c>
    </row>
    <row r="19211" spans="1:18" ht="36">
      <c r="A19211" s="555">
        <v>1606</v>
      </c>
      <c r="B19211" s="552" t="s">
        <v>34836</v>
      </c>
      <c r="C19211" s="556" t="s">
        <v>34837</v>
      </c>
      <c r="D19211" s="557">
        <v>617.78</v>
      </c>
      <c r="E19211" s="557">
        <v>55.58</v>
      </c>
      <c r="F19211" s="557">
        <v>112.44</v>
      </c>
      <c r="G19211" s="557">
        <v>449.76</v>
      </c>
      <c r="H19211" s="558">
        <v>2688.85</v>
      </c>
      <c r="I19211" s="558">
        <v>639.22</v>
      </c>
      <c r="J19211" s="558">
        <v>564.47</v>
      </c>
      <c r="K19211" s="558">
        <v>1485.16</v>
      </c>
      <c r="L19211" s="43">
        <v>4.3524393797144612</v>
      </c>
      <c r="M19211" s="43">
        <v>11.500899604174164</v>
      </c>
      <c r="N19211" s="43">
        <v>5.0201885450017789</v>
      </c>
      <c r="O19211" s="43">
        <v>3.3021166844539311</v>
      </c>
      <c r="P19211" s="559"/>
      <c r="Q19211" s="559"/>
      <c r="R19211" s="559">
        <v>17</v>
      </c>
    </row>
    <row r="19212" spans="1:18" ht="36">
      <c r="A19212" s="555">
        <v>1607</v>
      </c>
      <c r="B19212" s="552" t="s">
        <v>34838</v>
      </c>
      <c r="C19212" s="556" t="s">
        <v>34839</v>
      </c>
      <c r="D19212" s="557">
        <v>749.19</v>
      </c>
      <c r="E19212" s="557">
        <v>61.76</v>
      </c>
      <c r="F19212" s="557">
        <v>125.42</v>
      </c>
      <c r="G19212" s="557">
        <v>562.01</v>
      </c>
      <c r="H19212" s="558">
        <v>3194.49</v>
      </c>
      <c r="I19212" s="558">
        <v>710.24</v>
      </c>
      <c r="J19212" s="558">
        <v>629.6</v>
      </c>
      <c r="K19212" s="558">
        <v>1854.65</v>
      </c>
      <c r="L19212" s="43">
        <v>4.2639250390421646</v>
      </c>
      <c r="M19212" s="43">
        <v>11.5</v>
      </c>
      <c r="N19212" s="43">
        <v>5.0199330250358791</v>
      </c>
      <c r="O19212" s="43">
        <v>3.3000302485720896</v>
      </c>
      <c r="P19212" s="559"/>
      <c r="Q19212" s="559"/>
      <c r="R19212" s="559">
        <v>17</v>
      </c>
    </row>
    <row r="19213" spans="1:18" ht="36">
      <c r="A19213" s="555">
        <v>1608</v>
      </c>
      <c r="B19213" s="552" t="s">
        <v>34840</v>
      </c>
      <c r="C19213" s="556" t="s">
        <v>34841</v>
      </c>
      <c r="D19213" s="557">
        <v>768.46</v>
      </c>
      <c r="E19213" s="557">
        <v>67.94</v>
      </c>
      <c r="F19213" s="557">
        <v>138.38999999999999</v>
      </c>
      <c r="G19213" s="557">
        <v>562.13</v>
      </c>
      <c r="H19213" s="558">
        <v>3332.02</v>
      </c>
      <c r="I19213" s="558">
        <v>781.26</v>
      </c>
      <c r="J19213" s="558">
        <v>694.73</v>
      </c>
      <c r="K19213" s="558">
        <v>1856.03</v>
      </c>
      <c r="L19213" s="43">
        <v>4.3359706425838684</v>
      </c>
      <c r="M19213" s="43">
        <v>11.49926405652046</v>
      </c>
      <c r="N19213" s="43">
        <v>5.0200881566587183</v>
      </c>
      <c r="O19213" s="43">
        <v>3.3017807268781243</v>
      </c>
      <c r="P19213" s="559"/>
      <c r="Q19213" s="559"/>
      <c r="R19213" s="559">
        <v>17</v>
      </c>
    </row>
    <row r="19214" spans="1:18" ht="36">
      <c r="A19214" s="555">
        <v>1609</v>
      </c>
      <c r="B19214" s="552" t="s">
        <v>34842</v>
      </c>
      <c r="C19214" s="556" t="s">
        <v>34843</v>
      </c>
      <c r="D19214" s="557">
        <v>795.2</v>
      </c>
      <c r="E19214" s="557">
        <v>77.2</v>
      </c>
      <c r="F19214" s="557">
        <v>155.69</v>
      </c>
      <c r="G19214" s="557">
        <v>562.30999999999995</v>
      </c>
      <c r="H19214" s="558">
        <v>3527.47</v>
      </c>
      <c r="I19214" s="558">
        <v>887.8</v>
      </c>
      <c r="J19214" s="558">
        <v>781.57</v>
      </c>
      <c r="K19214" s="558">
        <v>1858.1</v>
      </c>
      <c r="L19214" s="43">
        <v>4.4359532193158948</v>
      </c>
      <c r="M19214" s="43">
        <v>11.499999999999998</v>
      </c>
      <c r="N19214" s="43">
        <v>5.0200398227246454</v>
      </c>
      <c r="O19214" s="43">
        <v>3.3044050434813537</v>
      </c>
      <c r="P19214" s="559"/>
      <c r="Q19214" s="559"/>
      <c r="R19214" s="559">
        <v>17</v>
      </c>
    </row>
    <row r="19215" spans="1:18" ht="36">
      <c r="A19215" s="555">
        <v>1610</v>
      </c>
      <c r="B19215" s="552" t="s">
        <v>34844</v>
      </c>
      <c r="C19215" s="556" t="s">
        <v>34845</v>
      </c>
      <c r="D19215" s="557">
        <v>818.81</v>
      </c>
      <c r="E19215" s="557">
        <v>83.38</v>
      </c>
      <c r="F19215" s="557">
        <v>172.99</v>
      </c>
      <c r="G19215" s="557">
        <v>562.44000000000005</v>
      </c>
      <c r="H19215" s="558">
        <v>3686.84</v>
      </c>
      <c r="I19215" s="558">
        <v>958.82</v>
      </c>
      <c r="J19215" s="558">
        <v>868.42</v>
      </c>
      <c r="K19215" s="558">
        <v>1859.6</v>
      </c>
      <c r="L19215" s="43">
        <v>4.502680719580856</v>
      </c>
      <c r="M19215" s="43">
        <v>11.499400335811947</v>
      </c>
      <c r="N19215" s="43">
        <v>5.0200589629458348</v>
      </c>
      <c r="O19215" s="43">
        <v>3.3063082284332546</v>
      </c>
      <c r="P19215" s="559"/>
      <c r="Q19215" s="559"/>
      <c r="R19215" s="559">
        <v>17</v>
      </c>
    </row>
    <row r="19216" spans="1:18" ht="36">
      <c r="A19216" s="555">
        <v>1611</v>
      </c>
      <c r="B19216" s="552" t="s">
        <v>34846</v>
      </c>
      <c r="C19216" s="556" t="s">
        <v>34847</v>
      </c>
      <c r="D19216" s="557">
        <v>863.56</v>
      </c>
      <c r="E19216" s="557">
        <v>95.73</v>
      </c>
      <c r="F19216" s="557">
        <v>203.27</v>
      </c>
      <c r="G19216" s="557">
        <v>564.55999999999995</v>
      </c>
      <c r="H19216" s="558">
        <v>3990.06</v>
      </c>
      <c r="I19216" s="558">
        <v>1100.8699999999999</v>
      </c>
      <c r="J19216" s="558">
        <v>1020.39</v>
      </c>
      <c r="K19216" s="558">
        <v>1868.8</v>
      </c>
      <c r="L19216" s="43">
        <v>4.6204780212145078</v>
      </c>
      <c r="M19216" s="43">
        <v>11.499738848845711</v>
      </c>
      <c r="N19216" s="43">
        <v>5.019875043046194</v>
      </c>
      <c r="O19216" s="43">
        <v>3.31018846535355</v>
      </c>
      <c r="P19216" s="559"/>
      <c r="Q19216" s="559"/>
      <c r="R19216" s="559">
        <v>17</v>
      </c>
    </row>
    <row r="19217" spans="1:18" ht="36">
      <c r="A19217" s="555">
        <v>1612</v>
      </c>
      <c r="B19217" s="552" t="s">
        <v>34848</v>
      </c>
      <c r="C19217" s="556" t="s">
        <v>34849</v>
      </c>
      <c r="D19217" s="557">
        <v>897.78</v>
      </c>
      <c r="E19217" s="557">
        <v>108.08</v>
      </c>
      <c r="F19217" s="557">
        <v>224.89</v>
      </c>
      <c r="G19217" s="557">
        <v>564.80999999999995</v>
      </c>
      <c r="H19217" s="558">
        <v>4243.53</v>
      </c>
      <c r="I19217" s="558">
        <v>1242.92</v>
      </c>
      <c r="J19217" s="558">
        <v>1128.94</v>
      </c>
      <c r="K19217" s="558">
        <v>1871.67</v>
      </c>
      <c r="L19217" s="43">
        <v>4.7266925081868605</v>
      </c>
      <c r="M19217" s="43">
        <v>11.5</v>
      </c>
      <c r="N19217" s="43">
        <v>5.0199653163768962</v>
      </c>
      <c r="O19217" s="43">
        <v>3.3138046422690821</v>
      </c>
      <c r="P19217" s="559"/>
      <c r="Q19217" s="559"/>
      <c r="R19217" s="559">
        <v>17</v>
      </c>
    </row>
    <row r="19218" spans="1:18" ht="12.75" customHeight="1">
      <c r="A19218" s="628" t="s">
        <v>34850</v>
      </c>
      <c r="B19218" s="629"/>
      <c r="C19218" s="629"/>
      <c r="D19218" s="629"/>
      <c r="E19218" s="629"/>
      <c r="F19218" s="629"/>
      <c r="G19218" s="629"/>
      <c r="H19218" s="629"/>
      <c r="I19218" s="629"/>
      <c r="J19218" s="629"/>
      <c r="K19218" s="629"/>
      <c r="L19218" s="629"/>
      <c r="M19218" s="629"/>
      <c r="N19218" s="629"/>
      <c r="O19218" s="629"/>
      <c r="P19218" s="629"/>
      <c r="Q19218" s="629"/>
      <c r="R19218" s="629"/>
    </row>
    <row r="19219" spans="1:18" ht="24">
      <c r="A19219" s="555">
        <v>1613</v>
      </c>
      <c r="B19219" s="552" t="s">
        <v>34851</v>
      </c>
      <c r="C19219" s="556" t="s">
        <v>34852</v>
      </c>
      <c r="D19219" s="557">
        <v>65.959999999999994</v>
      </c>
      <c r="E19219" s="557">
        <v>12.35</v>
      </c>
      <c r="F19219" s="557">
        <v>15.86</v>
      </c>
      <c r="G19219" s="557">
        <v>37.75</v>
      </c>
      <c r="H19219" s="558">
        <v>347.78</v>
      </c>
      <c r="I19219" s="558">
        <v>142.05000000000001</v>
      </c>
      <c r="J19219" s="558">
        <v>79.599999999999994</v>
      </c>
      <c r="K19219" s="558">
        <v>126.13</v>
      </c>
      <c r="L19219" s="43">
        <v>5.2725894481503941</v>
      </c>
      <c r="M19219" s="43">
        <v>11.502024291497976</v>
      </c>
      <c r="N19219" s="43">
        <v>5.0189155107187888</v>
      </c>
      <c r="O19219" s="43">
        <v>3.3411920529801322</v>
      </c>
      <c r="P19219" s="559"/>
      <c r="Q19219" s="559"/>
      <c r="R19219" s="559">
        <v>18</v>
      </c>
    </row>
    <row r="19220" spans="1:18" ht="24">
      <c r="A19220" s="555">
        <v>1614</v>
      </c>
      <c r="B19220" s="552" t="s">
        <v>34853</v>
      </c>
      <c r="C19220" s="556" t="s">
        <v>34854</v>
      </c>
      <c r="D19220" s="557">
        <v>84.89</v>
      </c>
      <c r="E19220" s="557">
        <v>13.9</v>
      </c>
      <c r="F19220" s="557">
        <v>20.9</v>
      </c>
      <c r="G19220" s="557">
        <v>50.09</v>
      </c>
      <c r="H19220" s="558">
        <v>431.44</v>
      </c>
      <c r="I19220" s="558">
        <v>159.80000000000001</v>
      </c>
      <c r="J19220" s="558">
        <v>104.93</v>
      </c>
      <c r="K19220" s="558">
        <v>166.71</v>
      </c>
      <c r="L19220" s="43">
        <v>5.0823418541642127</v>
      </c>
      <c r="M19220" s="43">
        <v>11.496402877697843</v>
      </c>
      <c r="N19220" s="43">
        <v>5.0205741626794262</v>
      </c>
      <c r="O19220" s="43">
        <v>3.3282092233978839</v>
      </c>
      <c r="P19220" s="559"/>
      <c r="Q19220" s="559"/>
      <c r="R19220" s="559">
        <v>18</v>
      </c>
    </row>
    <row r="19221" spans="1:18" ht="24">
      <c r="A19221" s="555">
        <v>1615</v>
      </c>
      <c r="B19221" s="552" t="s">
        <v>34855</v>
      </c>
      <c r="C19221" s="556" t="s">
        <v>34856</v>
      </c>
      <c r="D19221" s="557">
        <v>92.36</v>
      </c>
      <c r="E19221" s="557">
        <v>16.98</v>
      </c>
      <c r="F19221" s="557">
        <v>25.23</v>
      </c>
      <c r="G19221" s="557">
        <v>50.15</v>
      </c>
      <c r="H19221" s="558">
        <v>489.36</v>
      </c>
      <c r="I19221" s="558">
        <v>195.32</v>
      </c>
      <c r="J19221" s="558">
        <v>126.64</v>
      </c>
      <c r="K19221" s="558">
        <v>167.4</v>
      </c>
      <c r="L19221" s="43">
        <v>5.2983975747076659</v>
      </c>
      <c r="M19221" s="43">
        <v>11.502944640753828</v>
      </c>
      <c r="N19221" s="43">
        <v>5.0194213238208478</v>
      </c>
      <c r="O19221" s="43">
        <v>3.3379860418743772</v>
      </c>
      <c r="P19221" s="559"/>
      <c r="Q19221" s="559"/>
      <c r="R19221" s="559">
        <v>18</v>
      </c>
    </row>
    <row r="19222" spans="1:18" ht="24">
      <c r="A19222" s="555">
        <v>1616</v>
      </c>
      <c r="B19222" s="552" t="s">
        <v>34857</v>
      </c>
      <c r="C19222" s="556" t="s">
        <v>34858</v>
      </c>
      <c r="D19222" s="557">
        <v>110.76</v>
      </c>
      <c r="E19222" s="557">
        <v>18.53</v>
      </c>
      <c r="F19222" s="557">
        <v>29.55</v>
      </c>
      <c r="G19222" s="557">
        <v>62.68</v>
      </c>
      <c r="H19222" s="558">
        <v>570.17999999999995</v>
      </c>
      <c r="I19222" s="558">
        <v>213.07</v>
      </c>
      <c r="J19222" s="558">
        <v>148.35</v>
      </c>
      <c r="K19222" s="558">
        <v>208.76</v>
      </c>
      <c r="L19222" s="43">
        <v>5.1478873239436611</v>
      </c>
      <c r="M19222" s="43">
        <v>11.49865083648138</v>
      </c>
      <c r="N19222" s="43">
        <v>5.0203045685279184</v>
      </c>
      <c r="O19222" s="43">
        <v>3.3305679642629227</v>
      </c>
      <c r="P19222" s="559"/>
      <c r="Q19222" s="559"/>
      <c r="R19222" s="559">
        <v>18</v>
      </c>
    </row>
    <row r="19223" spans="1:18" ht="24">
      <c r="A19223" s="555">
        <v>1617</v>
      </c>
      <c r="B19223" s="552" t="s">
        <v>34859</v>
      </c>
      <c r="C19223" s="556" t="s">
        <v>34860</v>
      </c>
      <c r="D19223" s="557">
        <v>124.85</v>
      </c>
      <c r="E19223" s="557">
        <v>23.16</v>
      </c>
      <c r="F19223" s="557">
        <v>38.92</v>
      </c>
      <c r="G19223" s="557">
        <v>62.77</v>
      </c>
      <c r="H19223" s="558">
        <v>671.52</v>
      </c>
      <c r="I19223" s="558">
        <v>266.33999999999997</v>
      </c>
      <c r="J19223" s="558">
        <v>195.39</v>
      </c>
      <c r="K19223" s="558">
        <v>209.79</v>
      </c>
      <c r="L19223" s="43">
        <v>5.3786143372046453</v>
      </c>
      <c r="M19223" s="43">
        <v>11.499999999999998</v>
      </c>
      <c r="N19223" s="43">
        <v>5.020298047276464</v>
      </c>
      <c r="O19223" s="43">
        <v>3.3422016887047952</v>
      </c>
      <c r="P19223" s="559"/>
      <c r="Q19223" s="559"/>
      <c r="R19223" s="559">
        <v>18</v>
      </c>
    </row>
    <row r="19224" spans="1:18" ht="24">
      <c r="A19224" s="555">
        <v>1618</v>
      </c>
      <c r="B19224" s="552" t="s">
        <v>34861</v>
      </c>
      <c r="C19224" s="556" t="s">
        <v>34862</v>
      </c>
      <c r="D19224" s="557">
        <v>142.56</v>
      </c>
      <c r="E19224" s="557">
        <v>27.79</v>
      </c>
      <c r="F19224" s="557">
        <v>51.9</v>
      </c>
      <c r="G19224" s="557">
        <v>62.87</v>
      </c>
      <c r="H19224" s="558">
        <v>791.07</v>
      </c>
      <c r="I19224" s="558">
        <v>319.61</v>
      </c>
      <c r="J19224" s="558">
        <v>260.52</v>
      </c>
      <c r="K19224" s="558">
        <v>210.94</v>
      </c>
      <c r="L19224" s="43">
        <v>5.549031986531987</v>
      </c>
      <c r="M19224" s="43">
        <v>11.500899604174164</v>
      </c>
      <c r="N19224" s="43">
        <v>5.019653179190751</v>
      </c>
      <c r="O19224" s="43">
        <v>3.3551773500874824</v>
      </c>
      <c r="P19224" s="559"/>
      <c r="Q19224" s="559"/>
      <c r="R19224" s="559">
        <v>18</v>
      </c>
    </row>
    <row r="19225" spans="1:18" ht="24">
      <c r="A19225" s="555">
        <v>1619</v>
      </c>
      <c r="B19225" s="552" t="s">
        <v>34863</v>
      </c>
      <c r="C19225" s="556" t="s">
        <v>34864</v>
      </c>
      <c r="D19225" s="557">
        <v>155.93</v>
      </c>
      <c r="E19225" s="557">
        <v>32.42</v>
      </c>
      <c r="F19225" s="557">
        <v>60.55</v>
      </c>
      <c r="G19225" s="557">
        <v>62.96</v>
      </c>
      <c r="H19225" s="558">
        <v>888.81</v>
      </c>
      <c r="I19225" s="558">
        <v>372.88</v>
      </c>
      <c r="J19225" s="558">
        <v>303.95</v>
      </c>
      <c r="K19225" s="558">
        <v>211.98</v>
      </c>
      <c r="L19225" s="43">
        <v>5.700057718206887</v>
      </c>
      <c r="M19225" s="43">
        <v>11.501542257865514</v>
      </c>
      <c r="N19225" s="43">
        <v>5.01981833195706</v>
      </c>
      <c r="O19225" s="43">
        <v>3.3668996188055909</v>
      </c>
      <c r="P19225" s="559"/>
      <c r="Q19225" s="559"/>
      <c r="R19225" s="559">
        <v>18</v>
      </c>
    </row>
    <row r="19226" spans="1:18" ht="24">
      <c r="A19226" s="555">
        <v>1620</v>
      </c>
      <c r="B19226" s="552" t="s">
        <v>34865</v>
      </c>
      <c r="C19226" s="556" t="s">
        <v>34866</v>
      </c>
      <c r="D19226" s="557">
        <v>178.78</v>
      </c>
      <c r="E19226" s="557">
        <v>35.51</v>
      </c>
      <c r="F19226" s="557">
        <v>67.760000000000005</v>
      </c>
      <c r="G19226" s="557">
        <v>75.510000000000005</v>
      </c>
      <c r="H19226" s="558">
        <v>1002.16</v>
      </c>
      <c r="I19226" s="558">
        <v>408.39</v>
      </c>
      <c r="J19226" s="558">
        <v>340.13</v>
      </c>
      <c r="K19226" s="558">
        <v>253.64</v>
      </c>
      <c r="L19226" s="43">
        <v>5.6055487190960953</v>
      </c>
      <c r="M19226" s="43">
        <v>11.500704027034638</v>
      </c>
      <c r="N19226" s="43">
        <v>5.0196280991735529</v>
      </c>
      <c r="O19226" s="43">
        <v>3.359025294662958</v>
      </c>
      <c r="P19226" s="559"/>
      <c r="Q19226" s="559"/>
      <c r="R19226" s="559">
        <v>18</v>
      </c>
    </row>
    <row r="19227" spans="1:18" ht="24">
      <c r="A19227" s="555">
        <v>1621</v>
      </c>
      <c r="B19227" s="552" t="s">
        <v>34867</v>
      </c>
      <c r="C19227" s="556" t="s">
        <v>34868</v>
      </c>
      <c r="D19227" s="557">
        <v>193.59</v>
      </c>
      <c r="E19227" s="557">
        <v>40.14</v>
      </c>
      <c r="F19227" s="557">
        <v>77.849999999999994</v>
      </c>
      <c r="G19227" s="557">
        <v>75.599999999999994</v>
      </c>
      <c r="H19227" s="558">
        <v>1107.1199999999999</v>
      </c>
      <c r="I19227" s="558">
        <v>461.66</v>
      </c>
      <c r="J19227" s="558">
        <v>390.79</v>
      </c>
      <c r="K19227" s="558">
        <v>254.67</v>
      </c>
      <c r="L19227" s="43">
        <v>5.71889043855571</v>
      </c>
      <c r="M19227" s="43">
        <v>11.501245640259093</v>
      </c>
      <c r="N19227" s="43">
        <v>5.019781631342326</v>
      </c>
      <c r="O19227" s="43">
        <v>3.3686507936507937</v>
      </c>
      <c r="P19227" s="559"/>
      <c r="Q19227" s="559"/>
      <c r="R19227" s="559">
        <v>18</v>
      </c>
    </row>
    <row r="19228" spans="1:18" ht="12.75" customHeight="1">
      <c r="A19228" s="628" t="s">
        <v>34869</v>
      </c>
      <c r="B19228" s="629"/>
      <c r="C19228" s="629"/>
      <c r="D19228" s="629"/>
      <c r="E19228" s="629"/>
      <c r="F19228" s="629"/>
      <c r="G19228" s="629"/>
      <c r="H19228" s="629"/>
      <c r="I19228" s="629"/>
      <c r="J19228" s="629"/>
      <c r="K19228" s="629"/>
      <c r="L19228" s="629"/>
      <c r="M19228" s="629"/>
      <c r="N19228" s="629"/>
      <c r="O19228" s="629"/>
      <c r="P19228" s="629"/>
      <c r="Q19228" s="629"/>
      <c r="R19228" s="629"/>
    </row>
    <row r="19229" spans="1:18" ht="24">
      <c r="A19229" s="555">
        <v>1622</v>
      </c>
      <c r="B19229" s="552" t="s">
        <v>34870</v>
      </c>
      <c r="C19229" s="556" t="s">
        <v>34871</v>
      </c>
      <c r="D19229" s="557">
        <v>117.38</v>
      </c>
      <c r="E19229" s="557">
        <v>20.07</v>
      </c>
      <c r="F19229" s="557">
        <v>34.6</v>
      </c>
      <c r="G19229" s="557">
        <v>62.71</v>
      </c>
      <c r="H19229" s="558">
        <v>613.61</v>
      </c>
      <c r="I19229" s="558">
        <v>230.83</v>
      </c>
      <c r="J19229" s="558">
        <v>173.68</v>
      </c>
      <c r="K19229" s="558">
        <v>209.1</v>
      </c>
      <c r="L19229" s="43">
        <v>5.2275515420003407</v>
      </c>
      <c r="M19229" s="43">
        <v>11.501245640259093</v>
      </c>
      <c r="N19229" s="43">
        <v>5.019653179190751</v>
      </c>
      <c r="O19229" s="43">
        <v>3.3343964280019134</v>
      </c>
      <c r="P19229" s="559"/>
      <c r="Q19229" s="559"/>
      <c r="R19229" s="559">
        <v>19</v>
      </c>
    </row>
    <row r="19230" spans="1:18" ht="24">
      <c r="A19230" s="555">
        <v>1623</v>
      </c>
      <c r="B19230" s="552" t="s">
        <v>34872</v>
      </c>
      <c r="C19230" s="556" t="s">
        <v>34873</v>
      </c>
      <c r="D19230" s="557">
        <v>127.02</v>
      </c>
      <c r="E19230" s="557">
        <v>23.16</v>
      </c>
      <c r="F19230" s="557">
        <v>41.09</v>
      </c>
      <c r="G19230" s="557">
        <v>62.77</v>
      </c>
      <c r="H19230" s="558">
        <v>682.38</v>
      </c>
      <c r="I19230" s="558">
        <v>266.33999999999997</v>
      </c>
      <c r="J19230" s="558">
        <v>206.25</v>
      </c>
      <c r="K19230" s="558">
        <v>209.79</v>
      </c>
      <c r="L19230" s="43">
        <v>5.3722248464808695</v>
      </c>
      <c r="M19230" s="43">
        <v>11.499999999999998</v>
      </c>
      <c r="N19230" s="43">
        <v>5.0194694572888778</v>
      </c>
      <c r="O19230" s="43">
        <v>3.3422016887047952</v>
      </c>
      <c r="P19230" s="559"/>
      <c r="Q19230" s="559"/>
      <c r="R19230" s="559">
        <v>19</v>
      </c>
    </row>
    <row r="19231" spans="1:18" ht="24">
      <c r="A19231" s="555">
        <v>1624</v>
      </c>
      <c r="B19231" s="552" t="s">
        <v>34874</v>
      </c>
      <c r="C19231" s="556" t="s">
        <v>34875</v>
      </c>
      <c r="D19231" s="557">
        <v>141.38</v>
      </c>
      <c r="E19231" s="557">
        <v>30.88</v>
      </c>
      <c r="F19231" s="557">
        <v>47.57</v>
      </c>
      <c r="G19231" s="557">
        <v>62.93</v>
      </c>
      <c r="H19231" s="558">
        <v>805.56</v>
      </c>
      <c r="I19231" s="558">
        <v>355.12</v>
      </c>
      <c r="J19231" s="558">
        <v>238.81</v>
      </c>
      <c r="K19231" s="558">
        <v>211.63</v>
      </c>
      <c r="L19231" s="43">
        <v>5.6978356203140468</v>
      </c>
      <c r="M19231" s="43">
        <v>11.5</v>
      </c>
      <c r="N19231" s="43">
        <v>5.0201807862097958</v>
      </c>
      <c r="O19231" s="43">
        <v>3.3629429524868901</v>
      </c>
      <c r="P19231" s="559"/>
      <c r="Q19231" s="559"/>
      <c r="R19231" s="559">
        <v>19</v>
      </c>
    </row>
    <row r="19232" spans="1:18" ht="12.75" customHeight="1">
      <c r="A19232" s="628" t="s">
        <v>34876</v>
      </c>
      <c r="B19232" s="629"/>
      <c r="C19232" s="629"/>
      <c r="D19232" s="629"/>
      <c r="E19232" s="629"/>
      <c r="F19232" s="629"/>
      <c r="G19232" s="629"/>
      <c r="H19232" s="629"/>
      <c r="I19232" s="629"/>
      <c r="J19232" s="629"/>
      <c r="K19232" s="629"/>
      <c r="L19232" s="629"/>
      <c r="M19232" s="629"/>
      <c r="N19232" s="629"/>
      <c r="O19232" s="629"/>
      <c r="P19232" s="629"/>
      <c r="Q19232" s="629"/>
      <c r="R19232" s="629"/>
    </row>
    <row r="19233" spans="1:18" ht="24">
      <c r="A19233" s="555">
        <v>1625</v>
      </c>
      <c r="B19233" s="552" t="s">
        <v>34877</v>
      </c>
      <c r="C19233" s="556" t="s">
        <v>34878</v>
      </c>
      <c r="D19233" s="557">
        <v>1.41</v>
      </c>
      <c r="E19233" s="557">
        <v>1.07</v>
      </c>
      <c r="F19233" s="557"/>
      <c r="G19233" s="557">
        <v>0.34</v>
      </c>
      <c r="H19233" s="558">
        <v>17.97</v>
      </c>
      <c r="I19233" s="558">
        <v>12.32</v>
      </c>
      <c r="J19233" s="558"/>
      <c r="K19233" s="558">
        <v>5.65</v>
      </c>
      <c r="L19233" s="43">
        <v>12.74468085106383</v>
      </c>
      <c r="M19233" s="43">
        <v>11.498253783469149</v>
      </c>
      <c r="N19233" s="43" t="s">
        <v>1690</v>
      </c>
      <c r="O19233" s="43">
        <v>16.617647058823529</v>
      </c>
      <c r="P19233" s="559"/>
      <c r="Q19233" s="559"/>
      <c r="R19233" s="559">
        <v>20</v>
      </c>
    </row>
    <row r="19234" spans="1:18" ht="36">
      <c r="A19234" s="555">
        <v>1626</v>
      </c>
      <c r="B19234" s="552" t="s">
        <v>34879</v>
      </c>
      <c r="C19234" s="556" t="s">
        <v>34880</v>
      </c>
      <c r="D19234" s="557">
        <v>1.74</v>
      </c>
      <c r="E19234" s="557">
        <v>1.39</v>
      </c>
      <c r="F19234" s="557"/>
      <c r="G19234" s="557">
        <v>0.35</v>
      </c>
      <c r="H19234" s="558">
        <v>21.78</v>
      </c>
      <c r="I19234" s="558">
        <v>16.010000000000002</v>
      </c>
      <c r="J19234" s="558"/>
      <c r="K19234" s="558">
        <v>5.77</v>
      </c>
      <c r="L19234" s="43">
        <v>12.517241379310345</v>
      </c>
      <c r="M19234" s="43">
        <v>11.498253783469149</v>
      </c>
      <c r="N19234" s="43" t="s">
        <v>1690</v>
      </c>
      <c r="O19234" s="43">
        <v>16.485714285714284</v>
      </c>
      <c r="P19234" s="559"/>
      <c r="Q19234" s="559"/>
      <c r="R19234" s="559">
        <v>20</v>
      </c>
    </row>
    <row r="19235" spans="1:18" ht="36">
      <c r="A19235" s="555">
        <v>1627</v>
      </c>
      <c r="B19235" s="552" t="s">
        <v>34881</v>
      </c>
      <c r="C19235" s="556" t="s">
        <v>34882</v>
      </c>
      <c r="D19235" s="557">
        <v>1.96</v>
      </c>
      <c r="E19235" s="557">
        <v>1.61</v>
      </c>
      <c r="F19235" s="557"/>
      <c r="G19235" s="557">
        <v>0.35</v>
      </c>
      <c r="H19235" s="558">
        <v>24.25</v>
      </c>
      <c r="I19235" s="558">
        <v>18.48</v>
      </c>
      <c r="J19235" s="558"/>
      <c r="K19235" s="558">
        <v>5.77</v>
      </c>
      <c r="L19235" s="43">
        <v>12.372448979591837</v>
      </c>
      <c r="M19235" s="43">
        <v>11.498253783469149</v>
      </c>
      <c r="N19235" s="43" t="s">
        <v>1690</v>
      </c>
      <c r="O19235" s="43">
        <v>16.485714285714284</v>
      </c>
      <c r="P19235" s="559"/>
      <c r="Q19235" s="559"/>
      <c r="R19235" s="559">
        <v>20</v>
      </c>
    </row>
    <row r="19236" spans="1:18" ht="36">
      <c r="A19236" s="555">
        <v>1628</v>
      </c>
      <c r="B19236" s="552" t="s">
        <v>34883</v>
      </c>
      <c r="C19236" s="556" t="s">
        <v>34884</v>
      </c>
      <c r="D19236" s="557">
        <v>2.61</v>
      </c>
      <c r="E19236" s="557">
        <v>2.25</v>
      </c>
      <c r="F19236" s="557"/>
      <c r="G19236" s="557">
        <v>0.36</v>
      </c>
      <c r="H19236" s="558">
        <v>31.75</v>
      </c>
      <c r="I19236" s="558">
        <v>25.87</v>
      </c>
      <c r="J19236" s="558"/>
      <c r="K19236" s="558">
        <v>5.88</v>
      </c>
      <c r="L19236" s="43">
        <v>12.164750957854407</v>
      </c>
      <c r="M19236" s="43">
        <v>11.498253783469149</v>
      </c>
      <c r="N19236" s="43" t="s">
        <v>1690</v>
      </c>
      <c r="O19236" s="43">
        <v>16.333333333333332</v>
      </c>
      <c r="P19236" s="559"/>
      <c r="Q19236" s="559"/>
      <c r="R19236" s="559">
        <v>20</v>
      </c>
    </row>
    <row r="19237" spans="1:18" ht="12.75" customHeight="1">
      <c r="A19237" s="628" t="s">
        <v>34885</v>
      </c>
      <c r="B19237" s="629"/>
      <c r="C19237" s="629"/>
      <c r="D19237" s="629"/>
      <c r="E19237" s="629"/>
      <c r="F19237" s="629"/>
      <c r="G19237" s="629"/>
      <c r="H19237" s="629"/>
      <c r="I19237" s="629"/>
      <c r="J19237" s="629"/>
      <c r="K19237" s="629"/>
      <c r="L19237" s="629"/>
      <c r="M19237" s="629"/>
      <c r="N19237" s="629"/>
      <c r="O19237" s="629"/>
      <c r="P19237" s="629"/>
      <c r="Q19237" s="629"/>
      <c r="R19237" s="629"/>
    </row>
    <row r="19238" spans="1:18" ht="24">
      <c r="A19238" s="555">
        <v>1629</v>
      </c>
      <c r="B19238" s="552" t="s">
        <v>34886</v>
      </c>
      <c r="C19238" s="556" t="s">
        <v>34887</v>
      </c>
      <c r="D19238" s="557">
        <v>27.26</v>
      </c>
      <c r="E19238" s="557">
        <v>1.75</v>
      </c>
      <c r="F19238" s="557">
        <v>0.47</v>
      </c>
      <c r="G19238" s="557">
        <v>25.04</v>
      </c>
      <c r="H19238" s="558">
        <v>165.07</v>
      </c>
      <c r="I19238" s="558">
        <v>20.13</v>
      </c>
      <c r="J19238" s="558">
        <v>2.65</v>
      </c>
      <c r="K19238" s="558">
        <v>142.29</v>
      </c>
      <c r="L19238" s="43">
        <v>6.0553925165077027</v>
      </c>
      <c r="M19238" s="43">
        <v>11.502857142857142</v>
      </c>
      <c r="N19238" s="43">
        <v>5.6382978723404253</v>
      </c>
      <c r="O19238" s="43">
        <v>5.6825079872204469</v>
      </c>
      <c r="P19238" s="559"/>
      <c r="Q19238" s="559"/>
      <c r="R19238" s="559">
        <v>21</v>
      </c>
    </row>
    <row r="19239" spans="1:18" ht="36">
      <c r="A19239" s="555">
        <v>1630</v>
      </c>
      <c r="B19239" s="552" t="s">
        <v>34888</v>
      </c>
      <c r="C19239" s="556" t="s">
        <v>34889</v>
      </c>
      <c r="D19239" s="557">
        <v>27.98</v>
      </c>
      <c r="E19239" s="557">
        <v>2.33</v>
      </c>
      <c r="F19239" s="557">
        <v>0.6</v>
      </c>
      <c r="G19239" s="557">
        <v>25.05</v>
      </c>
      <c r="H19239" s="558">
        <v>172.66</v>
      </c>
      <c r="I19239" s="558">
        <v>26.84</v>
      </c>
      <c r="J19239" s="558">
        <v>3.41</v>
      </c>
      <c r="K19239" s="558">
        <v>142.41</v>
      </c>
      <c r="L19239" s="43">
        <v>6.1708363116511791</v>
      </c>
      <c r="M19239" s="43">
        <v>11.498253783469149</v>
      </c>
      <c r="N19239" s="43">
        <v>5.6833333333333336</v>
      </c>
      <c r="O19239" s="43">
        <v>5.6850299401197599</v>
      </c>
      <c r="P19239" s="559"/>
      <c r="Q19239" s="559"/>
      <c r="R19239" s="559">
        <v>21</v>
      </c>
    </row>
    <row r="19240" spans="1:18" ht="24">
      <c r="A19240" s="555">
        <v>1631</v>
      </c>
      <c r="B19240" s="552" t="s">
        <v>34890</v>
      </c>
      <c r="C19240" s="556" t="s">
        <v>34891</v>
      </c>
      <c r="D19240" s="557">
        <v>29.51</v>
      </c>
      <c r="E19240" s="557">
        <v>3.5</v>
      </c>
      <c r="F19240" s="557">
        <v>0.94</v>
      </c>
      <c r="G19240" s="557">
        <v>25.07</v>
      </c>
      <c r="H19240" s="558">
        <v>188.2</v>
      </c>
      <c r="I19240" s="558">
        <v>40.26</v>
      </c>
      <c r="J19240" s="558">
        <v>5.3</v>
      </c>
      <c r="K19240" s="558">
        <v>142.63999999999999</v>
      </c>
      <c r="L19240" s="43">
        <v>6.3774991528295484</v>
      </c>
      <c r="M19240" s="43">
        <v>11.502857142857142</v>
      </c>
      <c r="N19240" s="43">
        <v>5.6382978723404253</v>
      </c>
      <c r="O19240" s="43">
        <v>5.6896689270043872</v>
      </c>
      <c r="P19240" s="559"/>
      <c r="Q19240" s="559"/>
      <c r="R19240" s="559">
        <v>21</v>
      </c>
    </row>
    <row r="19241" spans="1:18" ht="12.75" customHeight="1">
      <c r="A19241" s="628" t="s">
        <v>34892</v>
      </c>
      <c r="B19241" s="629"/>
      <c r="C19241" s="629"/>
      <c r="D19241" s="629"/>
      <c r="E19241" s="629"/>
      <c r="F19241" s="629"/>
      <c r="G19241" s="629"/>
      <c r="H19241" s="629"/>
      <c r="I19241" s="629"/>
      <c r="J19241" s="629"/>
      <c r="K19241" s="629"/>
      <c r="L19241" s="629"/>
      <c r="M19241" s="629"/>
      <c r="N19241" s="629"/>
      <c r="O19241" s="629"/>
      <c r="P19241" s="629"/>
      <c r="Q19241" s="629"/>
      <c r="R19241" s="629"/>
    </row>
    <row r="19242" spans="1:18" ht="24">
      <c r="A19242" s="555">
        <v>1632</v>
      </c>
      <c r="B19242" s="552" t="s">
        <v>34893</v>
      </c>
      <c r="C19242" s="556" t="s">
        <v>34894</v>
      </c>
      <c r="D19242" s="557">
        <v>50.87</v>
      </c>
      <c r="E19242" s="557">
        <v>23.34</v>
      </c>
      <c r="F19242" s="557">
        <v>17.760000000000002</v>
      </c>
      <c r="G19242" s="557">
        <v>9.77</v>
      </c>
      <c r="H19242" s="558">
        <v>480.52</v>
      </c>
      <c r="I19242" s="558">
        <v>268.42</v>
      </c>
      <c r="J19242" s="558">
        <v>122.12</v>
      </c>
      <c r="K19242" s="558">
        <v>89.98</v>
      </c>
      <c r="L19242" s="43">
        <v>9.4460389227442505</v>
      </c>
      <c r="M19242" s="43">
        <v>11.500428449014567</v>
      </c>
      <c r="N19242" s="43">
        <v>6.8761261261261257</v>
      </c>
      <c r="O19242" s="43">
        <v>9.2098259979529171</v>
      </c>
      <c r="P19242" s="559"/>
      <c r="Q19242" s="559"/>
      <c r="R19242" s="559">
        <v>22</v>
      </c>
    </row>
    <row r="19243" spans="1:18" ht="24">
      <c r="A19243" s="555">
        <v>1633</v>
      </c>
      <c r="B19243" s="552" t="s">
        <v>34895</v>
      </c>
      <c r="C19243" s="556" t="s">
        <v>34896</v>
      </c>
      <c r="D19243" s="557">
        <v>71.459999999999994</v>
      </c>
      <c r="E19243" s="557">
        <v>25.67</v>
      </c>
      <c r="F19243" s="557">
        <v>20.72</v>
      </c>
      <c r="G19243" s="557">
        <v>25.07</v>
      </c>
      <c r="H19243" s="558">
        <v>668.1</v>
      </c>
      <c r="I19243" s="558">
        <v>295.26</v>
      </c>
      <c r="J19243" s="558">
        <v>142.47</v>
      </c>
      <c r="K19243" s="558">
        <v>230.37</v>
      </c>
      <c r="L19243" s="43">
        <v>9.3492863140218319</v>
      </c>
      <c r="M19243" s="43">
        <v>11.502142578885858</v>
      </c>
      <c r="N19243" s="43">
        <v>6.8759652509652511</v>
      </c>
      <c r="O19243" s="43">
        <v>9.1890706023135227</v>
      </c>
      <c r="P19243" s="559"/>
      <c r="Q19243" s="559"/>
      <c r="R19243" s="559">
        <v>22</v>
      </c>
    </row>
    <row r="19244" spans="1:18" ht="12.75" customHeight="1">
      <c r="A19244" s="628" t="s">
        <v>34897</v>
      </c>
      <c r="B19244" s="629"/>
      <c r="C19244" s="629"/>
      <c r="D19244" s="629"/>
      <c r="E19244" s="629"/>
      <c r="F19244" s="629"/>
      <c r="G19244" s="629"/>
      <c r="H19244" s="629"/>
      <c r="I19244" s="629"/>
      <c r="J19244" s="629"/>
      <c r="K19244" s="629"/>
      <c r="L19244" s="629"/>
      <c r="M19244" s="629"/>
      <c r="N19244" s="629"/>
      <c r="O19244" s="629"/>
      <c r="P19244" s="629"/>
      <c r="Q19244" s="629"/>
      <c r="R19244" s="629"/>
    </row>
    <row r="19245" spans="1:18" ht="24">
      <c r="A19245" s="560">
        <v>1634</v>
      </c>
      <c r="B19245" s="561" t="s">
        <v>34898</v>
      </c>
      <c r="C19245" s="562" t="s">
        <v>34899</v>
      </c>
      <c r="D19245" s="563">
        <v>9.4700000000000006</v>
      </c>
      <c r="E19245" s="563">
        <v>9.2799999999999994</v>
      </c>
      <c r="F19245" s="563"/>
      <c r="G19245" s="563">
        <v>0.19</v>
      </c>
      <c r="H19245" s="564">
        <v>108.86</v>
      </c>
      <c r="I19245" s="564">
        <v>106.67</v>
      </c>
      <c r="J19245" s="564"/>
      <c r="K19245" s="564">
        <v>2.19</v>
      </c>
      <c r="L19245" s="611">
        <v>11.495248152059133</v>
      </c>
      <c r="M19245" s="43">
        <v>11.498253783469149</v>
      </c>
      <c r="N19245" s="611" t="s">
        <v>1690</v>
      </c>
      <c r="O19245" s="43">
        <v>11.503164556962025</v>
      </c>
      <c r="P19245" s="565"/>
      <c r="Q19245" s="565"/>
      <c r="R19245" s="565">
        <v>23</v>
      </c>
    </row>
    <row r="19246" spans="1:18" ht="12.75" customHeight="1">
      <c r="A19246" s="630" t="s">
        <v>34900</v>
      </c>
      <c r="B19246" s="631"/>
      <c r="C19246" s="631"/>
      <c r="D19246" s="631"/>
      <c r="E19246" s="631"/>
      <c r="F19246" s="631"/>
      <c r="G19246" s="631"/>
      <c r="H19246" s="631"/>
      <c r="I19246" s="631"/>
      <c r="J19246" s="631"/>
      <c r="K19246" s="631"/>
      <c r="L19246" s="631"/>
      <c r="M19246" s="631"/>
      <c r="N19246" s="631"/>
      <c r="O19246" s="631"/>
      <c r="P19246" s="631"/>
      <c r="Q19246" s="631"/>
      <c r="R19246" s="631"/>
    </row>
    <row r="19247" spans="1:18" ht="12.75" customHeight="1">
      <c r="A19247" s="628" t="s">
        <v>34901</v>
      </c>
      <c r="B19247" s="629"/>
      <c r="C19247" s="629"/>
      <c r="D19247" s="629"/>
      <c r="E19247" s="629"/>
      <c r="F19247" s="629"/>
      <c r="G19247" s="629"/>
      <c r="H19247" s="629"/>
      <c r="I19247" s="629"/>
      <c r="J19247" s="629"/>
      <c r="K19247" s="629"/>
      <c r="L19247" s="629"/>
      <c r="M19247" s="629"/>
      <c r="N19247" s="629"/>
      <c r="O19247" s="629"/>
      <c r="P19247" s="629"/>
      <c r="Q19247" s="629"/>
      <c r="R19247" s="629"/>
    </row>
    <row r="19248" spans="1:18" ht="24">
      <c r="A19248" s="555">
        <v>1635</v>
      </c>
      <c r="B19248" s="552" t="s">
        <v>34902</v>
      </c>
      <c r="C19248" s="556" t="s">
        <v>34903</v>
      </c>
      <c r="D19248" s="557">
        <v>22.72</v>
      </c>
      <c r="E19248" s="557">
        <v>17.32</v>
      </c>
      <c r="F19248" s="557">
        <v>5.05</v>
      </c>
      <c r="G19248" s="557">
        <v>0.35</v>
      </c>
      <c r="H19248" s="558">
        <v>246.61</v>
      </c>
      <c r="I19248" s="558">
        <v>199.16</v>
      </c>
      <c r="J19248" s="558">
        <v>43.42</v>
      </c>
      <c r="K19248" s="558">
        <v>4.03</v>
      </c>
      <c r="L19248" s="43">
        <v>10.854313380281692</v>
      </c>
      <c r="M19248" s="43">
        <v>11.498845265588914</v>
      </c>
      <c r="N19248" s="43">
        <v>8.5980198019801986</v>
      </c>
      <c r="O19248" s="43">
        <v>11.503164556962025</v>
      </c>
      <c r="P19248" s="559"/>
      <c r="Q19248" s="559"/>
      <c r="R19248" s="559">
        <v>1</v>
      </c>
    </row>
    <row r="19249" spans="1:18" ht="24">
      <c r="A19249" s="555">
        <v>1636</v>
      </c>
      <c r="B19249" s="552" t="s">
        <v>34904</v>
      </c>
      <c r="C19249" s="556" t="s">
        <v>34905</v>
      </c>
      <c r="D19249" s="557">
        <v>29.29</v>
      </c>
      <c r="E19249" s="557">
        <v>22.27</v>
      </c>
      <c r="F19249" s="557">
        <v>6.57</v>
      </c>
      <c r="G19249" s="557">
        <v>0.45</v>
      </c>
      <c r="H19249" s="558">
        <v>317.69</v>
      </c>
      <c r="I19249" s="558">
        <v>256.07</v>
      </c>
      <c r="J19249" s="558">
        <v>56.44</v>
      </c>
      <c r="K19249" s="558">
        <v>5.18</v>
      </c>
      <c r="L19249" s="43">
        <v>10.846363946739501</v>
      </c>
      <c r="M19249" s="43">
        <v>11.498428378985182</v>
      </c>
      <c r="N19249" s="43">
        <v>8.5905631659056301</v>
      </c>
      <c r="O19249" s="43">
        <v>11.503164556962025</v>
      </c>
      <c r="P19249" s="559"/>
      <c r="Q19249" s="559"/>
      <c r="R19249" s="559">
        <v>1</v>
      </c>
    </row>
    <row r="19250" spans="1:18" ht="24">
      <c r="A19250" s="555">
        <v>1637</v>
      </c>
      <c r="B19250" s="552" t="s">
        <v>34906</v>
      </c>
      <c r="C19250" s="556" t="s">
        <v>34907</v>
      </c>
      <c r="D19250" s="557">
        <v>34.08</v>
      </c>
      <c r="E19250" s="557">
        <v>25.98</v>
      </c>
      <c r="F19250" s="557">
        <v>7.58</v>
      </c>
      <c r="G19250" s="557">
        <v>0.52</v>
      </c>
      <c r="H19250" s="558">
        <v>369.86</v>
      </c>
      <c r="I19250" s="558">
        <v>298.75</v>
      </c>
      <c r="J19250" s="558">
        <v>65.13</v>
      </c>
      <c r="K19250" s="558">
        <v>5.98</v>
      </c>
      <c r="L19250" s="43">
        <v>10.852699530516432</v>
      </c>
      <c r="M19250" s="43">
        <v>11.499230177059276</v>
      </c>
      <c r="N19250" s="43">
        <v>8.5923482849604209</v>
      </c>
      <c r="O19250" s="43">
        <v>11.503164556962025</v>
      </c>
      <c r="P19250" s="559"/>
      <c r="Q19250" s="559"/>
      <c r="R19250" s="559">
        <v>1</v>
      </c>
    </row>
    <row r="19251" spans="1:18" ht="24">
      <c r="A19251" s="555">
        <v>1638</v>
      </c>
      <c r="B19251" s="552" t="s">
        <v>34908</v>
      </c>
      <c r="C19251" s="556" t="s">
        <v>34909</v>
      </c>
      <c r="D19251" s="557">
        <v>43.93</v>
      </c>
      <c r="E19251" s="557">
        <v>33.4</v>
      </c>
      <c r="F19251" s="557">
        <v>9.86</v>
      </c>
      <c r="G19251" s="557">
        <v>0.67</v>
      </c>
      <c r="H19251" s="558">
        <v>476.48</v>
      </c>
      <c r="I19251" s="558">
        <v>384.1</v>
      </c>
      <c r="J19251" s="558">
        <v>84.67</v>
      </c>
      <c r="K19251" s="558">
        <v>7.71</v>
      </c>
      <c r="L19251" s="43">
        <v>10.846346460277715</v>
      </c>
      <c r="M19251" s="43">
        <v>11.500000000000002</v>
      </c>
      <c r="N19251" s="43">
        <v>8.5872210953346855</v>
      </c>
      <c r="O19251" s="43">
        <v>11.503164556962025</v>
      </c>
      <c r="P19251" s="559"/>
      <c r="Q19251" s="559"/>
      <c r="R19251" s="559">
        <v>1</v>
      </c>
    </row>
    <row r="19252" spans="1:18" ht="24">
      <c r="A19252" s="555">
        <v>1639</v>
      </c>
      <c r="B19252" s="552" t="s">
        <v>34910</v>
      </c>
      <c r="C19252" s="556" t="s">
        <v>34911</v>
      </c>
      <c r="D19252" s="557">
        <v>30.79</v>
      </c>
      <c r="E19252" s="557">
        <v>23.5</v>
      </c>
      <c r="F19252" s="557">
        <v>6.82</v>
      </c>
      <c r="G19252" s="557">
        <v>0.47</v>
      </c>
      <c r="H19252" s="558">
        <v>334.31</v>
      </c>
      <c r="I19252" s="558">
        <v>270.29000000000002</v>
      </c>
      <c r="J19252" s="558">
        <v>58.61</v>
      </c>
      <c r="K19252" s="558">
        <v>5.41</v>
      </c>
      <c r="L19252" s="43">
        <v>10.857746021435531</v>
      </c>
      <c r="M19252" s="43">
        <v>11.501702127659575</v>
      </c>
      <c r="N19252" s="43">
        <v>8.5938416422287389</v>
      </c>
      <c r="O19252" s="43">
        <v>11.503164556962025</v>
      </c>
      <c r="P19252" s="559"/>
      <c r="Q19252" s="559"/>
      <c r="R19252" s="559">
        <v>1</v>
      </c>
    </row>
    <row r="19253" spans="1:18" ht="24">
      <c r="A19253" s="555">
        <v>1640</v>
      </c>
      <c r="B19253" s="552" t="s">
        <v>34912</v>
      </c>
      <c r="C19253" s="556" t="s">
        <v>34913</v>
      </c>
      <c r="D19253" s="557">
        <v>34.08</v>
      </c>
      <c r="E19253" s="557">
        <v>25.98</v>
      </c>
      <c r="F19253" s="557">
        <v>7.58</v>
      </c>
      <c r="G19253" s="557">
        <v>0.52</v>
      </c>
      <c r="H19253" s="558">
        <v>369.86</v>
      </c>
      <c r="I19253" s="558">
        <v>298.75</v>
      </c>
      <c r="J19253" s="558">
        <v>65.13</v>
      </c>
      <c r="K19253" s="558">
        <v>5.98</v>
      </c>
      <c r="L19253" s="43">
        <v>10.852699530516432</v>
      </c>
      <c r="M19253" s="43">
        <v>11.499230177059276</v>
      </c>
      <c r="N19253" s="43">
        <v>8.5923482849604209</v>
      </c>
      <c r="O19253" s="43">
        <v>11.503164556962025</v>
      </c>
      <c r="P19253" s="559"/>
      <c r="Q19253" s="559"/>
      <c r="R19253" s="559">
        <v>1</v>
      </c>
    </row>
    <row r="19254" spans="1:18" ht="24">
      <c r="A19254" s="555">
        <v>1641</v>
      </c>
      <c r="B19254" s="552" t="s">
        <v>34914</v>
      </c>
      <c r="C19254" s="556" t="s">
        <v>34915</v>
      </c>
      <c r="D19254" s="557">
        <v>39.119999999999997</v>
      </c>
      <c r="E19254" s="557">
        <v>29.69</v>
      </c>
      <c r="F19254" s="557">
        <v>8.84</v>
      </c>
      <c r="G19254" s="557">
        <v>0.59</v>
      </c>
      <c r="H19254" s="558">
        <v>424.19</v>
      </c>
      <c r="I19254" s="558">
        <v>341.42</v>
      </c>
      <c r="J19254" s="558">
        <v>75.98</v>
      </c>
      <c r="K19254" s="558">
        <v>6.79</v>
      </c>
      <c r="L19254" s="43">
        <v>10.843302658486708</v>
      </c>
      <c r="M19254" s="43">
        <v>11.499494779387</v>
      </c>
      <c r="N19254" s="43">
        <v>8.5950226244343906</v>
      </c>
      <c r="O19254" s="43">
        <v>11.503164556962025</v>
      </c>
      <c r="P19254" s="559"/>
      <c r="Q19254" s="559"/>
      <c r="R19254" s="559">
        <v>1</v>
      </c>
    </row>
    <row r="19255" spans="1:18" ht="24">
      <c r="A19255" s="555">
        <v>1642</v>
      </c>
      <c r="B19255" s="552" t="s">
        <v>34916</v>
      </c>
      <c r="C19255" s="556" t="s">
        <v>34917</v>
      </c>
      <c r="D19255" s="557">
        <v>14.64</v>
      </c>
      <c r="E19255" s="557">
        <v>11.13</v>
      </c>
      <c r="F19255" s="557">
        <v>3.29</v>
      </c>
      <c r="G19255" s="557">
        <v>0.22</v>
      </c>
      <c r="H19255" s="558">
        <v>158.78</v>
      </c>
      <c r="I19255" s="558">
        <v>128.03</v>
      </c>
      <c r="J19255" s="558">
        <v>28.22</v>
      </c>
      <c r="K19255" s="558">
        <v>2.5299999999999998</v>
      </c>
      <c r="L19255" s="43">
        <v>10.845628415300546</v>
      </c>
      <c r="M19255" s="43">
        <v>11.50314465408805</v>
      </c>
      <c r="N19255" s="43">
        <v>8.5775075987841944</v>
      </c>
      <c r="O19255" s="43">
        <v>11.503164556962025</v>
      </c>
      <c r="P19255" s="559"/>
      <c r="Q19255" s="559"/>
      <c r="R19255" s="559">
        <v>1</v>
      </c>
    </row>
    <row r="19256" spans="1:18" ht="24">
      <c r="A19256" s="555">
        <v>1643</v>
      </c>
      <c r="B19256" s="552" t="s">
        <v>34918</v>
      </c>
      <c r="C19256" s="556" t="s">
        <v>34919</v>
      </c>
      <c r="D19256" s="557">
        <v>20.95</v>
      </c>
      <c r="E19256" s="557">
        <v>16.079999999999998</v>
      </c>
      <c r="F19256" s="557">
        <v>4.55</v>
      </c>
      <c r="G19256" s="557">
        <v>0.32</v>
      </c>
      <c r="H19256" s="558">
        <v>227.7</v>
      </c>
      <c r="I19256" s="558">
        <v>184.94</v>
      </c>
      <c r="J19256" s="558">
        <v>39.08</v>
      </c>
      <c r="K19256" s="558">
        <v>3.68</v>
      </c>
      <c r="L19256" s="43">
        <v>10.868735083532219</v>
      </c>
      <c r="M19256" s="43">
        <v>11.501243781094528</v>
      </c>
      <c r="N19256" s="43">
        <v>8.5890109890109887</v>
      </c>
      <c r="O19256" s="43">
        <v>11.503164556962025</v>
      </c>
      <c r="P19256" s="559"/>
      <c r="Q19256" s="559"/>
      <c r="R19256" s="559">
        <v>1</v>
      </c>
    </row>
    <row r="19257" spans="1:18" ht="24">
      <c r="A19257" s="555">
        <v>1644</v>
      </c>
      <c r="B19257" s="552" t="s">
        <v>34920</v>
      </c>
      <c r="C19257" s="556" t="s">
        <v>34921</v>
      </c>
      <c r="D19257" s="557">
        <v>24.24</v>
      </c>
      <c r="E19257" s="557">
        <v>18.559999999999999</v>
      </c>
      <c r="F19257" s="557">
        <v>5.31</v>
      </c>
      <c r="G19257" s="557">
        <v>0.37</v>
      </c>
      <c r="H19257" s="558">
        <v>263.24</v>
      </c>
      <c r="I19257" s="558">
        <v>213.39</v>
      </c>
      <c r="J19257" s="558">
        <v>45.59</v>
      </c>
      <c r="K19257" s="558">
        <v>4.26</v>
      </c>
      <c r="L19257" s="43">
        <v>10.859735973597362</v>
      </c>
      <c r="M19257" s="43">
        <v>11.497306034482758</v>
      </c>
      <c r="N19257" s="43">
        <v>8.5856873822975537</v>
      </c>
      <c r="O19257" s="43">
        <v>11.503164556962025</v>
      </c>
      <c r="P19257" s="559"/>
      <c r="Q19257" s="559"/>
      <c r="R19257" s="559">
        <v>1</v>
      </c>
    </row>
    <row r="19258" spans="1:18" ht="24">
      <c r="A19258" s="555">
        <v>1645</v>
      </c>
      <c r="B19258" s="552" t="s">
        <v>34922</v>
      </c>
      <c r="C19258" s="556" t="s">
        <v>34923</v>
      </c>
      <c r="D19258" s="557">
        <v>32.049999999999997</v>
      </c>
      <c r="E19258" s="557">
        <v>24.74</v>
      </c>
      <c r="F19258" s="557">
        <v>6.82</v>
      </c>
      <c r="G19258" s="557">
        <v>0.49</v>
      </c>
      <c r="H19258" s="558">
        <v>348.77</v>
      </c>
      <c r="I19258" s="558">
        <v>284.52</v>
      </c>
      <c r="J19258" s="558">
        <v>58.61</v>
      </c>
      <c r="K19258" s="558">
        <v>5.64</v>
      </c>
      <c r="L19258" s="43">
        <v>10.882059282371296</v>
      </c>
      <c r="M19258" s="43">
        <v>11.500404203718674</v>
      </c>
      <c r="N19258" s="43">
        <v>8.5938416422287389</v>
      </c>
      <c r="O19258" s="43">
        <v>11.503164556962025</v>
      </c>
      <c r="P19258" s="559"/>
      <c r="Q19258" s="559"/>
      <c r="R19258" s="559">
        <v>1</v>
      </c>
    </row>
    <row r="19259" spans="1:18" ht="24">
      <c r="A19259" s="555">
        <v>1646</v>
      </c>
      <c r="B19259" s="552" t="s">
        <v>34924</v>
      </c>
      <c r="C19259" s="556" t="s">
        <v>34925</v>
      </c>
      <c r="D19259" s="557">
        <v>19.440000000000001</v>
      </c>
      <c r="E19259" s="557">
        <v>14.84</v>
      </c>
      <c r="F19259" s="557">
        <v>4.3</v>
      </c>
      <c r="G19259" s="557">
        <v>0.3</v>
      </c>
      <c r="H19259" s="558">
        <v>211.07</v>
      </c>
      <c r="I19259" s="558">
        <v>170.71</v>
      </c>
      <c r="J19259" s="558">
        <v>36.909999999999997</v>
      </c>
      <c r="K19259" s="558">
        <v>3.45</v>
      </c>
      <c r="L19259" s="43">
        <v>10.857510288065843</v>
      </c>
      <c r="M19259" s="43">
        <v>11.503369272237197</v>
      </c>
      <c r="N19259" s="43">
        <v>8.5837209302325572</v>
      </c>
      <c r="O19259" s="43">
        <v>11.503164556962025</v>
      </c>
      <c r="P19259" s="559"/>
      <c r="Q19259" s="559"/>
      <c r="R19259" s="559">
        <v>1</v>
      </c>
    </row>
    <row r="19260" spans="1:18" ht="24">
      <c r="A19260" s="555">
        <v>1647</v>
      </c>
      <c r="B19260" s="552" t="s">
        <v>34926</v>
      </c>
      <c r="C19260" s="556" t="s">
        <v>34927</v>
      </c>
      <c r="D19260" s="557">
        <v>22.72</v>
      </c>
      <c r="E19260" s="557">
        <v>17.32</v>
      </c>
      <c r="F19260" s="557">
        <v>5.05</v>
      </c>
      <c r="G19260" s="557">
        <v>0.35</v>
      </c>
      <c r="H19260" s="558">
        <v>246.61</v>
      </c>
      <c r="I19260" s="558">
        <v>199.16</v>
      </c>
      <c r="J19260" s="558">
        <v>43.42</v>
      </c>
      <c r="K19260" s="558">
        <v>4.03</v>
      </c>
      <c r="L19260" s="43">
        <v>10.854313380281692</v>
      </c>
      <c r="M19260" s="43">
        <v>11.498845265588914</v>
      </c>
      <c r="N19260" s="43">
        <v>8.5980198019801986</v>
      </c>
      <c r="O19260" s="43">
        <v>11.503164556962025</v>
      </c>
      <c r="P19260" s="559"/>
      <c r="Q19260" s="559"/>
      <c r="R19260" s="559">
        <v>1</v>
      </c>
    </row>
    <row r="19261" spans="1:18" ht="24">
      <c r="A19261" s="555">
        <v>1648</v>
      </c>
      <c r="B19261" s="552" t="s">
        <v>34928</v>
      </c>
      <c r="C19261" s="556" t="s">
        <v>34929</v>
      </c>
      <c r="D19261" s="557">
        <v>26</v>
      </c>
      <c r="E19261" s="557">
        <v>19.79</v>
      </c>
      <c r="F19261" s="557">
        <v>5.81</v>
      </c>
      <c r="G19261" s="557">
        <v>0.4</v>
      </c>
      <c r="H19261" s="558">
        <v>282.14999999999998</v>
      </c>
      <c r="I19261" s="558">
        <v>227.62</v>
      </c>
      <c r="J19261" s="558">
        <v>49.93</v>
      </c>
      <c r="K19261" s="558">
        <v>4.5999999999999996</v>
      </c>
      <c r="L19261" s="43">
        <v>10.851923076923075</v>
      </c>
      <c r="M19261" s="43">
        <v>11.501768569984842</v>
      </c>
      <c r="N19261" s="43">
        <v>8.5938037865748722</v>
      </c>
      <c r="O19261" s="43">
        <v>11.503164556962025</v>
      </c>
      <c r="P19261" s="559"/>
      <c r="Q19261" s="559"/>
      <c r="R19261" s="559">
        <v>1</v>
      </c>
    </row>
    <row r="19262" spans="1:18" ht="24">
      <c r="A19262" s="555">
        <v>1649</v>
      </c>
      <c r="B19262" s="552" t="s">
        <v>34930</v>
      </c>
      <c r="C19262" s="556" t="s">
        <v>34931</v>
      </c>
      <c r="D19262" s="557">
        <v>9.59</v>
      </c>
      <c r="E19262" s="557">
        <v>8.66</v>
      </c>
      <c r="F19262" s="557">
        <v>0.76</v>
      </c>
      <c r="G19262" s="557">
        <v>0.17</v>
      </c>
      <c r="H19262" s="558">
        <v>108.05</v>
      </c>
      <c r="I19262" s="558">
        <v>99.58</v>
      </c>
      <c r="J19262" s="558">
        <v>6.51</v>
      </c>
      <c r="K19262" s="558">
        <v>1.96</v>
      </c>
      <c r="L19262" s="43">
        <v>11.266944734098018</v>
      </c>
      <c r="M19262" s="43">
        <v>11.498845265588914</v>
      </c>
      <c r="N19262" s="43">
        <v>8.5657894736842106</v>
      </c>
      <c r="O19262" s="43">
        <v>11.503164556962025</v>
      </c>
      <c r="P19262" s="559"/>
      <c r="Q19262" s="559"/>
      <c r="R19262" s="559">
        <v>1</v>
      </c>
    </row>
    <row r="19263" spans="1:18" ht="24">
      <c r="A19263" s="555">
        <v>1650</v>
      </c>
      <c r="B19263" s="552" t="s">
        <v>34932</v>
      </c>
      <c r="C19263" s="556" t="s">
        <v>34933</v>
      </c>
      <c r="D19263" s="557">
        <v>12.36</v>
      </c>
      <c r="E19263" s="557">
        <v>11.13</v>
      </c>
      <c r="F19263" s="557">
        <v>1.01</v>
      </c>
      <c r="G19263" s="557">
        <v>0.22</v>
      </c>
      <c r="H19263" s="558">
        <v>139.24</v>
      </c>
      <c r="I19263" s="558">
        <v>128.03</v>
      </c>
      <c r="J19263" s="558">
        <v>8.68</v>
      </c>
      <c r="K19263" s="558">
        <v>2.5299999999999998</v>
      </c>
      <c r="L19263" s="43">
        <v>11.265372168284792</v>
      </c>
      <c r="M19263" s="43">
        <v>11.50314465408805</v>
      </c>
      <c r="N19263" s="43">
        <v>8.5940594059405946</v>
      </c>
      <c r="O19263" s="43">
        <v>11.503164556962025</v>
      </c>
      <c r="P19263" s="559"/>
      <c r="Q19263" s="559"/>
      <c r="R19263" s="559">
        <v>1</v>
      </c>
    </row>
    <row r="19264" spans="1:18" ht="36">
      <c r="A19264" s="555">
        <v>1651</v>
      </c>
      <c r="B19264" s="552" t="s">
        <v>34934</v>
      </c>
      <c r="C19264" s="556" t="s">
        <v>34935</v>
      </c>
      <c r="D19264" s="557">
        <v>18.36</v>
      </c>
      <c r="E19264" s="557">
        <v>13.05</v>
      </c>
      <c r="F19264" s="557">
        <v>5.05</v>
      </c>
      <c r="G19264" s="557">
        <v>0.26</v>
      </c>
      <c r="H19264" s="558">
        <v>196.46</v>
      </c>
      <c r="I19264" s="558">
        <v>150.05000000000001</v>
      </c>
      <c r="J19264" s="558">
        <v>43.42</v>
      </c>
      <c r="K19264" s="558">
        <v>2.99</v>
      </c>
      <c r="L19264" s="43">
        <v>10.700435729847495</v>
      </c>
      <c r="M19264" s="43">
        <v>11.498084291187739</v>
      </c>
      <c r="N19264" s="43">
        <v>8.5980198019801986</v>
      </c>
      <c r="O19264" s="43">
        <v>11.503164556962025</v>
      </c>
      <c r="P19264" s="559"/>
      <c r="Q19264" s="559"/>
      <c r="R19264" s="559">
        <v>1</v>
      </c>
    </row>
    <row r="19265" spans="1:18" ht="36">
      <c r="A19265" s="555">
        <v>1652</v>
      </c>
      <c r="B19265" s="552" t="s">
        <v>34936</v>
      </c>
      <c r="C19265" s="556" t="s">
        <v>34937</v>
      </c>
      <c r="D19265" s="557">
        <v>23.85</v>
      </c>
      <c r="E19265" s="557">
        <v>16.940000000000001</v>
      </c>
      <c r="F19265" s="557">
        <v>6.57</v>
      </c>
      <c r="G19265" s="557">
        <v>0.34</v>
      </c>
      <c r="H19265" s="558">
        <v>255.15</v>
      </c>
      <c r="I19265" s="558">
        <v>194.8</v>
      </c>
      <c r="J19265" s="558">
        <v>56.44</v>
      </c>
      <c r="K19265" s="558">
        <v>3.91</v>
      </c>
      <c r="L19265" s="43">
        <v>10.69811320754717</v>
      </c>
      <c r="M19265" s="43">
        <v>11.499409681227863</v>
      </c>
      <c r="N19265" s="43">
        <v>8.5905631659056301</v>
      </c>
      <c r="O19265" s="43">
        <v>11.503164556962025</v>
      </c>
      <c r="P19265" s="559"/>
      <c r="Q19265" s="559"/>
      <c r="R19265" s="559">
        <v>1</v>
      </c>
    </row>
    <row r="19266" spans="1:18" ht="24">
      <c r="A19266" s="555">
        <v>1653</v>
      </c>
      <c r="B19266" s="552" t="s">
        <v>34938</v>
      </c>
      <c r="C19266" s="556" t="s">
        <v>34939</v>
      </c>
      <c r="D19266" s="557">
        <v>12.88</v>
      </c>
      <c r="E19266" s="557">
        <v>9.9</v>
      </c>
      <c r="F19266" s="557">
        <v>2.78</v>
      </c>
      <c r="G19266" s="557">
        <v>0.2</v>
      </c>
      <c r="H19266" s="558">
        <v>139.99</v>
      </c>
      <c r="I19266" s="558">
        <v>113.81</v>
      </c>
      <c r="J19266" s="558">
        <v>23.88</v>
      </c>
      <c r="K19266" s="558">
        <v>2.2999999999999998</v>
      </c>
      <c r="L19266" s="43">
        <v>10.868788819875776</v>
      </c>
      <c r="M19266" s="43">
        <v>11.495959595959595</v>
      </c>
      <c r="N19266" s="43">
        <v>8.5899280575539567</v>
      </c>
      <c r="O19266" s="43">
        <v>11.503164556962025</v>
      </c>
      <c r="P19266" s="559"/>
      <c r="Q19266" s="559"/>
      <c r="R19266" s="559">
        <v>1</v>
      </c>
    </row>
    <row r="19267" spans="1:18" ht="24">
      <c r="A19267" s="555">
        <v>1654</v>
      </c>
      <c r="B19267" s="552" t="s">
        <v>34940</v>
      </c>
      <c r="C19267" s="556" t="s">
        <v>34941</v>
      </c>
      <c r="D19267" s="557">
        <v>14.64</v>
      </c>
      <c r="E19267" s="557">
        <v>11.13</v>
      </c>
      <c r="F19267" s="557">
        <v>3.29</v>
      </c>
      <c r="G19267" s="557">
        <v>0.22</v>
      </c>
      <c r="H19267" s="558">
        <v>158.78</v>
      </c>
      <c r="I19267" s="558">
        <v>128.03</v>
      </c>
      <c r="J19267" s="558">
        <v>28.22</v>
      </c>
      <c r="K19267" s="558">
        <v>2.5299999999999998</v>
      </c>
      <c r="L19267" s="43">
        <v>10.845628415300546</v>
      </c>
      <c r="M19267" s="43">
        <v>11.50314465408805</v>
      </c>
      <c r="N19267" s="43">
        <v>8.5775075987841944</v>
      </c>
      <c r="O19267" s="43">
        <v>11.503164556962025</v>
      </c>
      <c r="P19267" s="559"/>
      <c r="Q19267" s="559"/>
      <c r="R19267" s="559">
        <v>1</v>
      </c>
    </row>
    <row r="19268" spans="1:18" ht="12.75" customHeight="1">
      <c r="A19268" s="628" t="s">
        <v>34942</v>
      </c>
      <c r="B19268" s="629"/>
      <c r="C19268" s="629"/>
      <c r="D19268" s="629"/>
      <c r="E19268" s="629"/>
      <c r="F19268" s="629"/>
      <c r="G19268" s="629"/>
      <c r="H19268" s="629"/>
      <c r="I19268" s="629"/>
      <c r="J19268" s="629"/>
      <c r="K19268" s="629"/>
      <c r="L19268" s="629"/>
      <c r="M19268" s="629"/>
      <c r="N19268" s="629"/>
      <c r="O19268" s="629"/>
      <c r="P19268" s="629"/>
      <c r="Q19268" s="629"/>
      <c r="R19268" s="629"/>
    </row>
    <row r="19269" spans="1:18" ht="36">
      <c r="A19269" s="555">
        <v>1655</v>
      </c>
      <c r="B19269" s="552" t="s">
        <v>34943</v>
      </c>
      <c r="C19269" s="556" t="s">
        <v>34944</v>
      </c>
      <c r="D19269" s="557">
        <v>203.82</v>
      </c>
      <c r="E19269" s="557">
        <v>19.79</v>
      </c>
      <c r="F19269" s="557">
        <v>1.84</v>
      </c>
      <c r="G19269" s="557">
        <v>182.19</v>
      </c>
      <c r="H19269" s="558">
        <v>1044.96</v>
      </c>
      <c r="I19269" s="558">
        <v>227.62</v>
      </c>
      <c r="J19269" s="558">
        <v>9.91</v>
      </c>
      <c r="K19269" s="558">
        <v>807.43</v>
      </c>
      <c r="L19269" s="43">
        <v>5.1268766558728291</v>
      </c>
      <c r="M19269" s="43">
        <v>11.501768569984842</v>
      </c>
      <c r="N19269" s="43">
        <v>5.3858695652173916</v>
      </c>
      <c r="O19269" s="43">
        <v>4.4318019649816121</v>
      </c>
      <c r="P19269" s="559"/>
      <c r="Q19269" s="559"/>
      <c r="R19269" s="559">
        <v>2</v>
      </c>
    </row>
    <row r="19270" spans="1:18" ht="36">
      <c r="A19270" s="555">
        <v>1656</v>
      </c>
      <c r="B19270" s="552" t="s">
        <v>34945</v>
      </c>
      <c r="C19270" s="556" t="s">
        <v>34946</v>
      </c>
      <c r="D19270" s="557">
        <v>215.19</v>
      </c>
      <c r="E19270" s="557">
        <v>29.69</v>
      </c>
      <c r="F19270" s="557">
        <v>2.82</v>
      </c>
      <c r="G19270" s="557">
        <v>182.68</v>
      </c>
      <c r="H19270" s="558">
        <v>1168.02</v>
      </c>
      <c r="I19270" s="558">
        <v>341.42</v>
      </c>
      <c r="J19270" s="558">
        <v>15.19</v>
      </c>
      <c r="K19270" s="558">
        <v>811.41</v>
      </c>
      <c r="L19270" s="43">
        <v>5.4278544542032625</v>
      </c>
      <c r="M19270" s="43">
        <v>11.499494779387</v>
      </c>
      <c r="N19270" s="43">
        <v>5.3865248226950353</v>
      </c>
      <c r="O19270" s="43">
        <v>4.4417013356689292</v>
      </c>
      <c r="P19270" s="559"/>
      <c r="Q19270" s="559"/>
      <c r="R19270" s="559">
        <v>2</v>
      </c>
    </row>
    <row r="19271" spans="1:18" ht="36">
      <c r="A19271" s="555">
        <v>1657</v>
      </c>
      <c r="B19271" s="552" t="s">
        <v>34947</v>
      </c>
      <c r="C19271" s="556" t="s">
        <v>34948</v>
      </c>
      <c r="D19271" s="557">
        <v>237.22</v>
      </c>
      <c r="E19271" s="557">
        <v>49.48</v>
      </c>
      <c r="F19271" s="557">
        <v>4.66</v>
      </c>
      <c r="G19271" s="557">
        <v>183.08</v>
      </c>
      <c r="H19271" s="558">
        <v>1410.15</v>
      </c>
      <c r="I19271" s="558">
        <v>569.04</v>
      </c>
      <c r="J19271" s="558">
        <v>25.1</v>
      </c>
      <c r="K19271" s="558">
        <v>816.01</v>
      </c>
      <c r="L19271" s="43">
        <v>5.9444819155214574</v>
      </c>
      <c r="M19271" s="43">
        <v>11.500404203718674</v>
      </c>
      <c r="N19271" s="43">
        <v>5.3862660944206011</v>
      </c>
      <c r="O19271" s="43">
        <v>4.4571225693685816</v>
      </c>
      <c r="P19271" s="559"/>
      <c r="Q19271" s="559"/>
      <c r="R19271" s="559">
        <v>2</v>
      </c>
    </row>
    <row r="19272" spans="1:18" ht="36">
      <c r="A19272" s="555">
        <v>1658</v>
      </c>
      <c r="B19272" s="552" t="s">
        <v>34949</v>
      </c>
      <c r="C19272" s="556" t="s">
        <v>34950</v>
      </c>
      <c r="D19272" s="557">
        <v>247.02</v>
      </c>
      <c r="E19272" s="557">
        <v>58.14</v>
      </c>
      <c r="F19272" s="557">
        <v>5.51</v>
      </c>
      <c r="G19272" s="557">
        <v>183.37</v>
      </c>
      <c r="H19272" s="558">
        <v>1517.02</v>
      </c>
      <c r="I19272" s="558">
        <v>668.62</v>
      </c>
      <c r="J19272" s="558">
        <v>29.72</v>
      </c>
      <c r="K19272" s="558">
        <v>818.68</v>
      </c>
      <c r="L19272" s="43">
        <v>6.1412841065500769</v>
      </c>
      <c r="M19272" s="43">
        <v>11.500171998624012</v>
      </c>
      <c r="N19272" s="43">
        <v>5.3938294010889294</v>
      </c>
      <c r="O19272" s="43">
        <v>4.4646343458581006</v>
      </c>
      <c r="P19272" s="559"/>
      <c r="Q19272" s="559"/>
      <c r="R19272" s="559">
        <v>2</v>
      </c>
    </row>
    <row r="19273" spans="1:18" ht="36">
      <c r="A19273" s="555">
        <v>1659</v>
      </c>
      <c r="B19273" s="552" t="s">
        <v>34951</v>
      </c>
      <c r="C19273" s="556" t="s">
        <v>34952</v>
      </c>
      <c r="D19273" s="557">
        <v>260.88</v>
      </c>
      <c r="E19273" s="557">
        <v>70.510000000000005</v>
      </c>
      <c r="F19273" s="557">
        <v>6.62</v>
      </c>
      <c r="G19273" s="557">
        <v>183.75</v>
      </c>
      <c r="H19273" s="558">
        <v>1668.82</v>
      </c>
      <c r="I19273" s="558">
        <v>810.88</v>
      </c>
      <c r="J19273" s="558">
        <v>35.67</v>
      </c>
      <c r="K19273" s="558">
        <v>822.27</v>
      </c>
      <c r="L19273" s="43">
        <v>6.3968874578350201</v>
      </c>
      <c r="M19273" s="43">
        <v>11.500212735782158</v>
      </c>
      <c r="N19273" s="43">
        <v>5.3882175226586106</v>
      </c>
      <c r="O19273" s="43">
        <v>4.4749387755102044</v>
      </c>
      <c r="P19273" s="559"/>
      <c r="Q19273" s="559"/>
      <c r="R19273" s="559">
        <v>2</v>
      </c>
    </row>
    <row r="19274" spans="1:18" ht="36">
      <c r="A19274" s="555">
        <v>1660</v>
      </c>
      <c r="B19274" s="552" t="s">
        <v>34953</v>
      </c>
      <c r="C19274" s="556" t="s">
        <v>34954</v>
      </c>
      <c r="D19274" s="557">
        <v>209.22</v>
      </c>
      <c r="E19274" s="557">
        <v>24.74</v>
      </c>
      <c r="F19274" s="557">
        <v>2.33</v>
      </c>
      <c r="G19274" s="557">
        <v>182.15</v>
      </c>
      <c r="H19274" s="558">
        <v>1104.83</v>
      </c>
      <c r="I19274" s="558">
        <v>284.52</v>
      </c>
      <c r="J19274" s="558">
        <v>12.55</v>
      </c>
      <c r="K19274" s="558">
        <v>807.76</v>
      </c>
      <c r="L19274" s="43">
        <v>5.2807093012140331</v>
      </c>
      <c r="M19274" s="43">
        <v>11.500404203718674</v>
      </c>
      <c r="N19274" s="43">
        <v>5.3862660944206011</v>
      </c>
      <c r="O19274" s="43">
        <v>4.4345868789459235</v>
      </c>
      <c r="P19274" s="559"/>
      <c r="Q19274" s="559"/>
      <c r="R19274" s="559">
        <v>2</v>
      </c>
    </row>
    <row r="19275" spans="1:18" ht="36">
      <c r="A19275" s="555">
        <v>1661</v>
      </c>
      <c r="B19275" s="552" t="s">
        <v>34955</v>
      </c>
      <c r="C19275" s="556" t="s">
        <v>34956</v>
      </c>
      <c r="D19275" s="557">
        <v>224.46</v>
      </c>
      <c r="E19275" s="557">
        <v>38.35</v>
      </c>
      <c r="F19275" s="557">
        <v>3.55</v>
      </c>
      <c r="G19275" s="557">
        <v>182.56</v>
      </c>
      <c r="H19275" s="558">
        <v>1271.8499999999999</v>
      </c>
      <c r="I19275" s="558">
        <v>441.01</v>
      </c>
      <c r="J19275" s="558">
        <v>19.149999999999999</v>
      </c>
      <c r="K19275" s="558">
        <v>811.69</v>
      </c>
      <c r="L19275" s="43">
        <v>5.666265704357123</v>
      </c>
      <c r="M19275" s="43">
        <v>11.49960886571056</v>
      </c>
      <c r="N19275" s="43">
        <v>5.3943661971830981</v>
      </c>
      <c r="O19275" s="43">
        <v>4.446154688869413</v>
      </c>
      <c r="P19275" s="559"/>
      <c r="Q19275" s="559"/>
      <c r="R19275" s="559">
        <v>2</v>
      </c>
    </row>
    <row r="19276" spans="1:18" ht="36">
      <c r="A19276" s="555">
        <v>1662</v>
      </c>
      <c r="B19276" s="552" t="s">
        <v>34957</v>
      </c>
      <c r="C19276" s="556" t="s">
        <v>34958</v>
      </c>
      <c r="D19276" s="557">
        <v>250.76</v>
      </c>
      <c r="E19276" s="557">
        <v>61.85</v>
      </c>
      <c r="F19276" s="557">
        <v>5.88</v>
      </c>
      <c r="G19276" s="557">
        <v>183.03</v>
      </c>
      <c r="H19276" s="558">
        <v>1560.09</v>
      </c>
      <c r="I19276" s="558">
        <v>711.3</v>
      </c>
      <c r="J19276" s="558">
        <v>31.7</v>
      </c>
      <c r="K19276" s="558">
        <v>817.09</v>
      </c>
      <c r="L19276" s="43">
        <v>6.2214468017227631</v>
      </c>
      <c r="M19276" s="43">
        <v>11.500404203718674</v>
      </c>
      <c r="N19276" s="43">
        <v>5.3911564625850339</v>
      </c>
      <c r="O19276" s="43">
        <v>4.4642408348358193</v>
      </c>
      <c r="P19276" s="559"/>
      <c r="Q19276" s="559"/>
      <c r="R19276" s="559">
        <v>2</v>
      </c>
    </row>
    <row r="19277" spans="1:18" ht="36">
      <c r="A19277" s="555">
        <v>1663</v>
      </c>
      <c r="B19277" s="552" t="s">
        <v>34959</v>
      </c>
      <c r="C19277" s="556" t="s">
        <v>34960</v>
      </c>
      <c r="D19277" s="557">
        <v>264.47000000000003</v>
      </c>
      <c r="E19277" s="557">
        <v>74.22</v>
      </c>
      <c r="F19277" s="557">
        <v>6.86</v>
      </c>
      <c r="G19277" s="557">
        <v>183.39</v>
      </c>
      <c r="H19277" s="558">
        <v>1711.12</v>
      </c>
      <c r="I19277" s="558">
        <v>853.56</v>
      </c>
      <c r="J19277" s="558">
        <v>36.99</v>
      </c>
      <c r="K19277" s="558">
        <v>820.57</v>
      </c>
      <c r="L19277" s="43">
        <v>6.4699965969675191</v>
      </c>
      <c r="M19277" s="43">
        <v>11.500404203718674</v>
      </c>
      <c r="N19277" s="43">
        <v>5.3921282798833818</v>
      </c>
      <c r="O19277" s="43">
        <v>4.4744533507824862</v>
      </c>
      <c r="P19277" s="559"/>
      <c r="Q19277" s="559"/>
      <c r="R19277" s="559">
        <v>2</v>
      </c>
    </row>
    <row r="19278" spans="1:18" ht="36">
      <c r="A19278" s="555">
        <v>1664</v>
      </c>
      <c r="B19278" s="552" t="s">
        <v>34961</v>
      </c>
      <c r="C19278" s="556" t="s">
        <v>34962</v>
      </c>
      <c r="D19278" s="557">
        <v>279.95</v>
      </c>
      <c r="E19278" s="557">
        <v>87.83</v>
      </c>
      <c r="F19278" s="557">
        <v>8.33</v>
      </c>
      <c r="G19278" s="557">
        <v>183.79</v>
      </c>
      <c r="H19278" s="558">
        <v>1879.46</v>
      </c>
      <c r="I19278" s="558">
        <v>1010.05</v>
      </c>
      <c r="J19278" s="558">
        <v>44.91</v>
      </c>
      <c r="K19278" s="558">
        <v>824.5</v>
      </c>
      <c r="L19278" s="43">
        <v>6.7135559921414538</v>
      </c>
      <c r="M19278" s="43">
        <v>11.500056928156665</v>
      </c>
      <c r="N19278" s="43">
        <v>5.3913565426170464</v>
      </c>
      <c r="O19278" s="43">
        <v>4.4860982643234131</v>
      </c>
      <c r="P19278" s="559"/>
      <c r="Q19278" s="559"/>
      <c r="R19278" s="559">
        <v>2</v>
      </c>
    </row>
    <row r="19279" spans="1:18" ht="24">
      <c r="A19279" s="555">
        <v>1665</v>
      </c>
      <c r="B19279" s="552" t="s">
        <v>34963</v>
      </c>
      <c r="C19279" s="556" t="s">
        <v>34964</v>
      </c>
      <c r="D19279" s="557">
        <v>90.48</v>
      </c>
      <c r="E19279" s="557">
        <v>5.32</v>
      </c>
      <c r="F19279" s="557">
        <v>0.51</v>
      </c>
      <c r="G19279" s="557">
        <v>84.65</v>
      </c>
      <c r="H19279" s="558">
        <v>404.35</v>
      </c>
      <c r="I19279" s="558">
        <v>61.17</v>
      </c>
      <c r="J19279" s="558">
        <v>2.77</v>
      </c>
      <c r="K19279" s="558">
        <v>340.41</v>
      </c>
      <c r="L19279" s="43">
        <v>4.4689434129089305</v>
      </c>
      <c r="M19279" s="43">
        <v>11.498120300751879</v>
      </c>
      <c r="N19279" s="43">
        <v>5.4313725490196081</v>
      </c>
      <c r="O19279" s="43">
        <v>4.0213821618428822</v>
      </c>
      <c r="P19279" s="559"/>
      <c r="Q19279" s="559"/>
      <c r="R19279" s="559">
        <v>2</v>
      </c>
    </row>
    <row r="19280" spans="1:18" ht="24">
      <c r="A19280" s="555">
        <v>1666</v>
      </c>
      <c r="B19280" s="552" t="s">
        <v>34965</v>
      </c>
      <c r="C19280" s="556" t="s">
        <v>34966</v>
      </c>
      <c r="D19280" s="557">
        <v>93.36</v>
      </c>
      <c r="E19280" s="557">
        <v>7.79</v>
      </c>
      <c r="F19280" s="557">
        <v>0.74</v>
      </c>
      <c r="G19280" s="557">
        <v>84.83</v>
      </c>
      <c r="H19280" s="558">
        <v>435.27</v>
      </c>
      <c r="I19280" s="558">
        <v>89.62</v>
      </c>
      <c r="J19280" s="558">
        <v>3.96</v>
      </c>
      <c r="K19280" s="558">
        <v>341.69</v>
      </c>
      <c r="L19280" s="43">
        <v>4.6622750642673516</v>
      </c>
      <c r="M19280" s="43">
        <v>11.504492939666239</v>
      </c>
      <c r="N19280" s="43">
        <v>5.3513513513513518</v>
      </c>
      <c r="O19280" s="43">
        <v>4.0279382293999761</v>
      </c>
      <c r="P19280" s="559"/>
      <c r="Q19280" s="559"/>
      <c r="R19280" s="559">
        <v>2</v>
      </c>
    </row>
    <row r="19281" spans="1:18" ht="24">
      <c r="A19281" s="555">
        <v>1667</v>
      </c>
      <c r="B19281" s="552" t="s">
        <v>34967</v>
      </c>
      <c r="C19281" s="556" t="s">
        <v>34968</v>
      </c>
      <c r="D19281" s="557">
        <v>103.93</v>
      </c>
      <c r="E19281" s="557">
        <v>17.32</v>
      </c>
      <c r="F19281" s="557">
        <v>1.59</v>
      </c>
      <c r="G19281" s="557">
        <v>85.02</v>
      </c>
      <c r="H19281" s="558">
        <v>551.63</v>
      </c>
      <c r="I19281" s="558">
        <v>199.16</v>
      </c>
      <c r="J19281" s="558">
        <v>8.59</v>
      </c>
      <c r="K19281" s="558">
        <v>343.88</v>
      </c>
      <c r="L19281" s="43">
        <v>5.3077071105551807</v>
      </c>
      <c r="M19281" s="43">
        <v>11.498845265588914</v>
      </c>
      <c r="N19281" s="43">
        <v>5.4025157232704402</v>
      </c>
      <c r="O19281" s="43">
        <v>4.044695365796283</v>
      </c>
      <c r="P19281" s="559"/>
      <c r="Q19281" s="559"/>
      <c r="R19281" s="559">
        <v>2</v>
      </c>
    </row>
    <row r="19282" spans="1:18" ht="24">
      <c r="A19282" s="555">
        <v>1668</v>
      </c>
      <c r="B19282" s="552" t="s">
        <v>34969</v>
      </c>
      <c r="C19282" s="556" t="s">
        <v>34970</v>
      </c>
      <c r="D19282" s="557">
        <v>109.59</v>
      </c>
      <c r="E19282" s="557">
        <v>22.27</v>
      </c>
      <c r="F19282" s="557">
        <v>2.08</v>
      </c>
      <c r="G19282" s="557">
        <v>85.24</v>
      </c>
      <c r="H19282" s="558">
        <v>613.04999999999995</v>
      </c>
      <c r="I19282" s="558">
        <v>256.07</v>
      </c>
      <c r="J19282" s="558">
        <v>11.23</v>
      </c>
      <c r="K19282" s="558">
        <v>345.75</v>
      </c>
      <c r="L19282" s="43">
        <v>5.5940323022173546</v>
      </c>
      <c r="M19282" s="43">
        <v>11.498428378985182</v>
      </c>
      <c r="N19282" s="43">
        <v>5.3990384615384617</v>
      </c>
      <c r="O19282" s="43">
        <v>4.0561942749882682</v>
      </c>
      <c r="P19282" s="559"/>
      <c r="Q19282" s="559"/>
      <c r="R19282" s="559">
        <v>2</v>
      </c>
    </row>
    <row r="19283" spans="1:18" ht="24">
      <c r="A19283" s="555">
        <v>1669</v>
      </c>
      <c r="B19283" s="552" t="s">
        <v>34971</v>
      </c>
      <c r="C19283" s="556" t="s">
        <v>34972</v>
      </c>
      <c r="D19283" s="557">
        <v>116.63</v>
      </c>
      <c r="E19283" s="557">
        <v>28.45</v>
      </c>
      <c r="F19283" s="557">
        <v>2.7</v>
      </c>
      <c r="G19283" s="557">
        <v>85.48</v>
      </c>
      <c r="H19283" s="558">
        <v>689.57</v>
      </c>
      <c r="I19283" s="558">
        <v>327.2</v>
      </c>
      <c r="J19283" s="558">
        <v>14.53</v>
      </c>
      <c r="K19283" s="558">
        <v>347.84</v>
      </c>
      <c r="L19283" s="43">
        <v>5.9124582011489331</v>
      </c>
      <c r="M19283" s="43">
        <v>11.500878734622145</v>
      </c>
      <c r="N19283" s="43">
        <v>5.3814814814814813</v>
      </c>
      <c r="O19283" s="43">
        <v>4.0692559663079075</v>
      </c>
      <c r="P19283" s="559"/>
      <c r="Q19283" s="559"/>
      <c r="R19283" s="559">
        <v>2</v>
      </c>
    </row>
    <row r="19284" spans="1:18" ht="24">
      <c r="A19284" s="555">
        <v>1670</v>
      </c>
      <c r="B19284" s="552" t="s">
        <v>34973</v>
      </c>
      <c r="C19284" s="556" t="s">
        <v>34974</v>
      </c>
      <c r="D19284" s="557">
        <v>92.3</v>
      </c>
      <c r="E19284" s="557">
        <v>6.68</v>
      </c>
      <c r="F19284" s="557">
        <v>0.64</v>
      </c>
      <c r="G19284" s="557">
        <v>84.98</v>
      </c>
      <c r="H19284" s="558">
        <v>422.68</v>
      </c>
      <c r="I19284" s="558">
        <v>76.819999999999993</v>
      </c>
      <c r="J19284" s="558">
        <v>3.43</v>
      </c>
      <c r="K19284" s="558">
        <v>342.43</v>
      </c>
      <c r="L19284" s="43">
        <v>4.579414951245937</v>
      </c>
      <c r="M19284" s="43">
        <v>11.5</v>
      </c>
      <c r="N19284" s="43">
        <v>5.359375</v>
      </c>
      <c r="O19284" s="43">
        <v>4.0295363614968229</v>
      </c>
      <c r="P19284" s="559"/>
      <c r="Q19284" s="559"/>
      <c r="R19284" s="559">
        <v>2</v>
      </c>
    </row>
    <row r="19285" spans="1:18" ht="24">
      <c r="A19285" s="555">
        <v>1671</v>
      </c>
      <c r="B19285" s="552" t="s">
        <v>34975</v>
      </c>
      <c r="C19285" s="556" t="s">
        <v>34976</v>
      </c>
      <c r="D19285" s="557">
        <v>96</v>
      </c>
      <c r="E19285" s="557">
        <v>9.9</v>
      </c>
      <c r="F19285" s="557">
        <v>0.93</v>
      </c>
      <c r="G19285" s="557">
        <v>85.17</v>
      </c>
      <c r="H19285" s="558">
        <v>462.77</v>
      </c>
      <c r="I19285" s="558">
        <v>113.81</v>
      </c>
      <c r="J19285" s="558">
        <v>5.0199999999999996</v>
      </c>
      <c r="K19285" s="558">
        <v>343.94</v>
      </c>
      <c r="L19285" s="43">
        <v>4.8205208333333331</v>
      </c>
      <c r="M19285" s="43">
        <v>11.495959595959595</v>
      </c>
      <c r="N19285" s="43">
        <v>5.397849462365591</v>
      </c>
      <c r="O19285" s="43">
        <v>4.0382763883996713</v>
      </c>
      <c r="P19285" s="559"/>
      <c r="Q19285" s="559"/>
      <c r="R19285" s="559">
        <v>2</v>
      </c>
    </row>
    <row r="19286" spans="1:18" ht="24">
      <c r="A19286" s="555">
        <v>1672</v>
      </c>
      <c r="B19286" s="552" t="s">
        <v>34977</v>
      </c>
      <c r="C19286" s="556" t="s">
        <v>34978</v>
      </c>
      <c r="D19286" s="557">
        <v>108.38</v>
      </c>
      <c r="E19286" s="557">
        <v>21.03</v>
      </c>
      <c r="F19286" s="557">
        <v>1.96</v>
      </c>
      <c r="G19286" s="557">
        <v>85.39</v>
      </c>
      <c r="H19286" s="558">
        <v>598.88</v>
      </c>
      <c r="I19286" s="558">
        <v>241.84</v>
      </c>
      <c r="J19286" s="558">
        <v>10.57</v>
      </c>
      <c r="K19286" s="558">
        <v>346.47</v>
      </c>
      <c r="L19286" s="43">
        <v>5.5257427569662303</v>
      </c>
      <c r="M19286" s="43">
        <v>11.499762244412743</v>
      </c>
      <c r="N19286" s="43">
        <v>5.3928571428571432</v>
      </c>
      <c r="O19286" s="43">
        <v>4.0575008783229887</v>
      </c>
      <c r="P19286" s="559"/>
      <c r="Q19286" s="559"/>
      <c r="R19286" s="559">
        <v>2</v>
      </c>
    </row>
    <row r="19287" spans="1:18" ht="24">
      <c r="A19287" s="555">
        <v>1673</v>
      </c>
      <c r="B19287" s="552" t="s">
        <v>34979</v>
      </c>
      <c r="C19287" s="556" t="s">
        <v>34980</v>
      </c>
      <c r="D19287" s="557">
        <v>115.41</v>
      </c>
      <c r="E19287" s="557">
        <v>27.21</v>
      </c>
      <c r="F19287" s="557">
        <v>2.57</v>
      </c>
      <c r="G19287" s="557">
        <v>85.63</v>
      </c>
      <c r="H19287" s="558">
        <v>675.41</v>
      </c>
      <c r="I19287" s="558">
        <v>312.97000000000003</v>
      </c>
      <c r="J19287" s="558">
        <v>13.87</v>
      </c>
      <c r="K19287" s="558">
        <v>348.57</v>
      </c>
      <c r="L19287" s="43">
        <v>5.8522658348496659</v>
      </c>
      <c r="M19287" s="43">
        <v>11.50202131569276</v>
      </c>
      <c r="N19287" s="43">
        <v>5.3968871595330743</v>
      </c>
      <c r="O19287" s="43">
        <v>4.0706528085951188</v>
      </c>
      <c r="P19287" s="559"/>
      <c r="Q19287" s="559"/>
      <c r="R19287" s="559">
        <v>2</v>
      </c>
    </row>
    <row r="19288" spans="1:18" ht="24">
      <c r="A19288" s="555">
        <v>1674</v>
      </c>
      <c r="B19288" s="552" t="s">
        <v>34981</v>
      </c>
      <c r="C19288" s="556" t="s">
        <v>34982</v>
      </c>
      <c r="D19288" s="557">
        <v>126.5</v>
      </c>
      <c r="E19288" s="557">
        <v>37.11</v>
      </c>
      <c r="F19288" s="557">
        <v>3.43</v>
      </c>
      <c r="G19288" s="557">
        <v>85.96</v>
      </c>
      <c r="H19288" s="558">
        <v>796.85</v>
      </c>
      <c r="I19288" s="558">
        <v>426.78</v>
      </c>
      <c r="J19288" s="558">
        <v>18.489999999999998</v>
      </c>
      <c r="K19288" s="558">
        <v>351.58</v>
      </c>
      <c r="L19288" s="43">
        <v>6.2992094861660082</v>
      </c>
      <c r="M19288" s="43">
        <v>11.500404203718674</v>
      </c>
      <c r="N19288" s="43">
        <v>5.390670553935859</v>
      </c>
      <c r="O19288" s="43">
        <v>4.0900418799441605</v>
      </c>
      <c r="P19288" s="559"/>
      <c r="Q19288" s="559"/>
      <c r="R19288" s="559">
        <v>2</v>
      </c>
    </row>
    <row r="19289" spans="1:18" ht="24">
      <c r="A19289" s="555">
        <v>1675</v>
      </c>
      <c r="B19289" s="552" t="s">
        <v>34983</v>
      </c>
      <c r="C19289" s="556" t="s">
        <v>34984</v>
      </c>
      <c r="D19289" s="557">
        <v>102.41</v>
      </c>
      <c r="E19289" s="557">
        <v>16.079999999999998</v>
      </c>
      <c r="F19289" s="557">
        <v>1.47</v>
      </c>
      <c r="G19289" s="557">
        <v>84.86</v>
      </c>
      <c r="H19289" s="558">
        <v>535.69000000000005</v>
      </c>
      <c r="I19289" s="558">
        <v>184.94</v>
      </c>
      <c r="J19289" s="558">
        <v>7.93</v>
      </c>
      <c r="K19289" s="558">
        <v>342.82</v>
      </c>
      <c r="L19289" s="43">
        <v>5.230836832340592</v>
      </c>
      <c r="M19289" s="43">
        <v>11.501243781094528</v>
      </c>
      <c r="N19289" s="43">
        <v>5.3945578231292517</v>
      </c>
      <c r="O19289" s="43">
        <v>4.039830308743813</v>
      </c>
      <c r="P19289" s="559"/>
      <c r="Q19289" s="559"/>
      <c r="R19289" s="559">
        <v>2</v>
      </c>
    </row>
    <row r="19290" spans="1:18" ht="24">
      <c r="A19290" s="555">
        <v>1676</v>
      </c>
      <c r="B19290" s="552" t="s">
        <v>34985</v>
      </c>
      <c r="C19290" s="556" t="s">
        <v>34986</v>
      </c>
      <c r="D19290" s="557">
        <v>112.11</v>
      </c>
      <c r="E19290" s="557">
        <v>24.74</v>
      </c>
      <c r="F19290" s="557">
        <v>2.21</v>
      </c>
      <c r="G19290" s="557">
        <v>85.16</v>
      </c>
      <c r="H19290" s="558">
        <v>641.9</v>
      </c>
      <c r="I19290" s="558">
        <v>284.52</v>
      </c>
      <c r="J19290" s="558">
        <v>11.89</v>
      </c>
      <c r="K19290" s="558">
        <v>345.49</v>
      </c>
      <c r="L19290" s="43">
        <v>5.7256266167157257</v>
      </c>
      <c r="M19290" s="43">
        <v>11.500404203718674</v>
      </c>
      <c r="N19290" s="43">
        <v>5.380090497737557</v>
      </c>
      <c r="O19290" s="43">
        <v>4.0569516204790981</v>
      </c>
      <c r="P19290" s="559"/>
      <c r="Q19290" s="559"/>
      <c r="R19290" s="559">
        <v>2</v>
      </c>
    </row>
    <row r="19291" spans="1:18" ht="24">
      <c r="A19291" s="555">
        <v>1677</v>
      </c>
      <c r="B19291" s="552" t="s">
        <v>34987</v>
      </c>
      <c r="C19291" s="556" t="s">
        <v>34988</v>
      </c>
      <c r="D19291" s="557">
        <v>123.31</v>
      </c>
      <c r="E19291" s="557">
        <v>34.64</v>
      </c>
      <c r="F19291" s="557">
        <v>3.31</v>
      </c>
      <c r="G19291" s="557">
        <v>85.36</v>
      </c>
      <c r="H19291" s="558">
        <v>763.95</v>
      </c>
      <c r="I19291" s="558">
        <v>398.33</v>
      </c>
      <c r="J19291" s="558">
        <v>17.829999999999998</v>
      </c>
      <c r="K19291" s="558">
        <v>347.79</v>
      </c>
      <c r="L19291" s="43">
        <v>6.1953612845673511</v>
      </c>
      <c r="M19291" s="43">
        <v>11.499133949191686</v>
      </c>
      <c r="N19291" s="43">
        <v>5.3867069486404828</v>
      </c>
      <c r="O19291" s="43">
        <v>4.0743908153701973</v>
      </c>
      <c r="P19291" s="559"/>
      <c r="Q19291" s="559"/>
      <c r="R19291" s="559">
        <v>2</v>
      </c>
    </row>
    <row r="19292" spans="1:18" ht="24">
      <c r="A19292" s="555">
        <v>1678</v>
      </c>
      <c r="B19292" s="552" t="s">
        <v>34989</v>
      </c>
      <c r="C19292" s="556" t="s">
        <v>34990</v>
      </c>
      <c r="D19292" s="557">
        <v>134.38</v>
      </c>
      <c r="E19292" s="557">
        <v>44.53</v>
      </c>
      <c r="F19292" s="557">
        <v>4.17</v>
      </c>
      <c r="G19292" s="557">
        <v>85.68</v>
      </c>
      <c r="H19292" s="558">
        <v>885.41</v>
      </c>
      <c r="I19292" s="558">
        <v>512.14</v>
      </c>
      <c r="J19292" s="558">
        <v>22.46</v>
      </c>
      <c r="K19292" s="558">
        <v>350.81</v>
      </c>
      <c r="L19292" s="43">
        <v>6.5888525078136624</v>
      </c>
      <c r="M19292" s="43">
        <v>11.501010554682235</v>
      </c>
      <c r="N19292" s="43">
        <v>5.3860911270983216</v>
      </c>
      <c r="O19292" s="43">
        <v>4.0944211017740431</v>
      </c>
      <c r="P19292" s="559"/>
      <c r="Q19292" s="559"/>
      <c r="R19292" s="559">
        <v>2</v>
      </c>
    </row>
    <row r="19293" spans="1:18" ht="24">
      <c r="A19293" s="555">
        <v>1679</v>
      </c>
      <c r="B19293" s="552" t="s">
        <v>34991</v>
      </c>
      <c r="C19293" s="556" t="s">
        <v>34992</v>
      </c>
      <c r="D19293" s="557">
        <v>145.58000000000001</v>
      </c>
      <c r="E19293" s="557">
        <v>54.43</v>
      </c>
      <c r="F19293" s="557">
        <v>5.15</v>
      </c>
      <c r="G19293" s="557">
        <v>86</v>
      </c>
      <c r="H19293" s="558">
        <v>1007.5</v>
      </c>
      <c r="I19293" s="558">
        <v>625.94000000000005</v>
      </c>
      <c r="J19293" s="558">
        <v>27.74</v>
      </c>
      <c r="K19293" s="558">
        <v>353.82</v>
      </c>
      <c r="L19293" s="43">
        <v>6.9205934881164985</v>
      </c>
      <c r="M19293" s="43">
        <v>11.499908138893993</v>
      </c>
      <c r="N19293" s="43">
        <v>5.386407766990291</v>
      </c>
      <c r="O19293" s="43">
        <v>4.1141860465116276</v>
      </c>
      <c r="P19293" s="559"/>
      <c r="Q19293" s="559"/>
      <c r="R19293" s="559">
        <v>2</v>
      </c>
    </row>
    <row r="19294" spans="1:18" ht="24">
      <c r="A19294" s="555">
        <v>1680</v>
      </c>
      <c r="B19294" s="552" t="s">
        <v>34993</v>
      </c>
      <c r="C19294" s="556" t="s">
        <v>34994</v>
      </c>
      <c r="D19294" s="557">
        <v>106.88</v>
      </c>
      <c r="E19294" s="557">
        <v>19.79</v>
      </c>
      <c r="F19294" s="557">
        <v>1.84</v>
      </c>
      <c r="G19294" s="557">
        <v>85.25</v>
      </c>
      <c r="H19294" s="558">
        <v>583.05999999999995</v>
      </c>
      <c r="I19294" s="558">
        <v>227.62</v>
      </c>
      <c r="J19294" s="558">
        <v>9.91</v>
      </c>
      <c r="K19294" s="558">
        <v>345.53</v>
      </c>
      <c r="L19294" s="43">
        <v>5.4552769461077846</v>
      </c>
      <c r="M19294" s="43">
        <v>11.501768569984842</v>
      </c>
      <c r="N19294" s="43">
        <v>5.3858695652173916</v>
      </c>
      <c r="O19294" s="43">
        <v>4.0531378299120231</v>
      </c>
      <c r="P19294" s="559"/>
      <c r="Q19294" s="559"/>
      <c r="R19294" s="559">
        <v>2</v>
      </c>
    </row>
    <row r="19295" spans="1:18" ht="24">
      <c r="A19295" s="555">
        <v>1681</v>
      </c>
      <c r="B19295" s="552" t="s">
        <v>34995</v>
      </c>
      <c r="C19295" s="556" t="s">
        <v>34996</v>
      </c>
      <c r="D19295" s="557">
        <v>113.92</v>
      </c>
      <c r="E19295" s="557">
        <v>25.98</v>
      </c>
      <c r="F19295" s="557">
        <v>2.4500000000000002</v>
      </c>
      <c r="G19295" s="557">
        <v>85.49</v>
      </c>
      <c r="H19295" s="558">
        <v>659.58</v>
      </c>
      <c r="I19295" s="558">
        <v>298.75</v>
      </c>
      <c r="J19295" s="558">
        <v>13.21</v>
      </c>
      <c r="K19295" s="558">
        <v>347.62</v>
      </c>
      <c r="L19295" s="43">
        <v>5.789852528089888</v>
      </c>
      <c r="M19295" s="43">
        <v>11.499230177059276</v>
      </c>
      <c r="N19295" s="43">
        <v>5.3918367346938778</v>
      </c>
      <c r="O19295" s="43">
        <v>4.0662065738682891</v>
      </c>
      <c r="P19295" s="559"/>
      <c r="Q19295" s="559"/>
      <c r="R19295" s="559">
        <v>2</v>
      </c>
    </row>
    <row r="19296" spans="1:18" ht="24">
      <c r="A19296" s="555">
        <v>1682</v>
      </c>
      <c r="B19296" s="552" t="s">
        <v>34997</v>
      </c>
      <c r="C19296" s="556" t="s">
        <v>34998</v>
      </c>
      <c r="D19296" s="557">
        <v>134.56</v>
      </c>
      <c r="E19296" s="557">
        <v>44.53</v>
      </c>
      <c r="F19296" s="557">
        <v>4.17</v>
      </c>
      <c r="G19296" s="557">
        <v>85.86</v>
      </c>
      <c r="H19296" s="558">
        <v>886.48</v>
      </c>
      <c r="I19296" s="558">
        <v>512.14</v>
      </c>
      <c r="J19296" s="558">
        <v>22.46</v>
      </c>
      <c r="K19296" s="558">
        <v>351.88</v>
      </c>
      <c r="L19296" s="43">
        <v>6.5879904875148636</v>
      </c>
      <c r="M19296" s="43">
        <v>11.501010554682235</v>
      </c>
      <c r="N19296" s="43">
        <v>5.3860911270983216</v>
      </c>
      <c r="O19296" s="43">
        <v>4.0982995574190539</v>
      </c>
      <c r="P19296" s="559"/>
      <c r="Q19296" s="559"/>
      <c r="R19296" s="559">
        <v>2</v>
      </c>
    </row>
    <row r="19297" spans="1:18" ht="24">
      <c r="A19297" s="555">
        <v>1683</v>
      </c>
      <c r="B19297" s="552" t="s">
        <v>34999</v>
      </c>
      <c r="C19297" s="556" t="s">
        <v>35000</v>
      </c>
      <c r="D19297" s="557">
        <v>147.13999999999999</v>
      </c>
      <c r="E19297" s="557">
        <v>55.67</v>
      </c>
      <c r="F19297" s="557">
        <v>5.27</v>
      </c>
      <c r="G19297" s="557">
        <v>86.2</v>
      </c>
      <c r="H19297" s="558">
        <v>1023.7</v>
      </c>
      <c r="I19297" s="558">
        <v>640.16999999999996</v>
      </c>
      <c r="J19297" s="558">
        <v>28.4</v>
      </c>
      <c r="K19297" s="558">
        <v>355.13</v>
      </c>
      <c r="L19297" s="43">
        <v>6.9573195596030999</v>
      </c>
      <c r="M19297" s="43">
        <v>11.499371295132027</v>
      </c>
      <c r="N19297" s="43">
        <v>5.3889943074003801</v>
      </c>
      <c r="O19297" s="43">
        <v>4.1198375870069608</v>
      </c>
      <c r="P19297" s="559"/>
      <c r="Q19297" s="559"/>
      <c r="R19297" s="559">
        <v>2</v>
      </c>
    </row>
    <row r="19298" spans="1:18" ht="24">
      <c r="A19298" s="555">
        <v>1684</v>
      </c>
      <c r="B19298" s="552" t="s">
        <v>35001</v>
      </c>
      <c r="C19298" s="556" t="s">
        <v>35002</v>
      </c>
      <c r="D19298" s="557">
        <v>162.37</v>
      </c>
      <c r="E19298" s="557">
        <v>69.27</v>
      </c>
      <c r="F19298" s="557">
        <v>6.49</v>
      </c>
      <c r="G19298" s="557">
        <v>86.61</v>
      </c>
      <c r="H19298" s="558">
        <v>1190.73</v>
      </c>
      <c r="I19298" s="558">
        <v>796.66</v>
      </c>
      <c r="J19298" s="558">
        <v>35.01</v>
      </c>
      <c r="K19298" s="558">
        <v>359.06</v>
      </c>
      <c r="L19298" s="43">
        <v>7.3334359795528732</v>
      </c>
      <c r="M19298" s="43">
        <v>11.50079399451422</v>
      </c>
      <c r="N19298" s="43">
        <v>5.3944530046224957</v>
      </c>
      <c r="O19298" s="43">
        <v>4.145710656968018</v>
      </c>
      <c r="P19298" s="559"/>
      <c r="Q19298" s="559"/>
      <c r="R19298" s="559">
        <v>2</v>
      </c>
    </row>
    <row r="19299" spans="1:18" ht="12.75" customHeight="1">
      <c r="A19299" s="628" t="s">
        <v>35003</v>
      </c>
      <c r="B19299" s="629"/>
      <c r="C19299" s="629"/>
      <c r="D19299" s="629"/>
      <c r="E19299" s="629"/>
      <c r="F19299" s="629"/>
      <c r="G19299" s="629"/>
      <c r="H19299" s="629"/>
      <c r="I19299" s="629"/>
      <c r="J19299" s="629"/>
      <c r="K19299" s="629"/>
      <c r="L19299" s="629"/>
      <c r="M19299" s="629"/>
      <c r="N19299" s="629"/>
      <c r="O19299" s="629"/>
      <c r="P19299" s="629"/>
      <c r="Q19299" s="629"/>
      <c r="R19299" s="629"/>
    </row>
    <row r="19300" spans="1:18" ht="24">
      <c r="A19300" s="555">
        <v>1685</v>
      </c>
      <c r="B19300" s="552" t="s">
        <v>35004</v>
      </c>
      <c r="C19300" s="556" t="s">
        <v>35005</v>
      </c>
      <c r="D19300" s="557">
        <v>384.7</v>
      </c>
      <c r="E19300" s="557">
        <v>377.16</v>
      </c>
      <c r="F19300" s="557"/>
      <c r="G19300" s="557">
        <v>7.54</v>
      </c>
      <c r="H19300" s="558">
        <v>4424.1899999999996</v>
      </c>
      <c r="I19300" s="558">
        <v>4337.4799999999996</v>
      </c>
      <c r="J19300" s="558"/>
      <c r="K19300" s="558">
        <v>86.71</v>
      </c>
      <c r="L19300" s="43">
        <v>11.500363919937612</v>
      </c>
      <c r="M19300" s="43">
        <v>11.500371195248698</v>
      </c>
      <c r="N19300" s="43" t="s">
        <v>1690</v>
      </c>
      <c r="O19300" s="43">
        <v>11.5</v>
      </c>
      <c r="P19300" s="559"/>
      <c r="Q19300" s="559"/>
      <c r="R19300" s="559">
        <v>3</v>
      </c>
    </row>
    <row r="19301" spans="1:18" ht="24">
      <c r="A19301" s="560">
        <v>1686</v>
      </c>
      <c r="B19301" s="561" t="s">
        <v>35006</v>
      </c>
      <c r="C19301" s="562" t="s">
        <v>35007</v>
      </c>
      <c r="D19301" s="563">
        <v>404.65</v>
      </c>
      <c r="E19301" s="563">
        <v>396.72</v>
      </c>
      <c r="F19301" s="563"/>
      <c r="G19301" s="563">
        <v>7.93</v>
      </c>
      <c r="H19301" s="564">
        <v>4653.4799999999996</v>
      </c>
      <c r="I19301" s="564">
        <v>4562.28</v>
      </c>
      <c r="J19301" s="564"/>
      <c r="K19301" s="564">
        <v>91.2</v>
      </c>
      <c r="L19301" s="611">
        <v>11.500012356357345</v>
      </c>
      <c r="M19301" s="611">
        <v>11.499999999999998</v>
      </c>
      <c r="N19301" s="611" t="s">
        <v>1690</v>
      </c>
      <c r="O19301" s="611">
        <v>11.500630517023961</v>
      </c>
      <c r="P19301" s="565"/>
      <c r="Q19301" s="565"/>
      <c r="R19301" s="565">
        <v>3</v>
      </c>
    </row>
    <row r="19302" spans="1:18" ht="12.75" customHeight="1">
      <c r="A19302" s="630" t="s">
        <v>35008</v>
      </c>
      <c r="B19302" s="631"/>
      <c r="C19302" s="631"/>
      <c r="D19302" s="631"/>
      <c r="E19302" s="631"/>
      <c r="F19302" s="631"/>
      <c r="G19302" s="631"/>
      <c r="H19302" s="631"/>
      <c r="I19302" s="631"/>
      <c r="J19302" s="631"/>
      <c r="K19302" s="631"/>
      <c r="L19302" s="631"/>
      <c r="M19302" s="631"/>
      <c r="N19302" s="631"/>
      <c r="O19302" s="631"/>
      <c r="P19302" s="631"/>
      <c r="Q19302" s="631"/>
      <c r="R19302" s="631"/>
    </row>
    <row r="19303" spans="1:18" ht="12.75" customHeight="1">
      <c r="A19303" s="628" t="s">
        <v>35009</v>
      </c>
      <c r="B19303" s="629"/>
      <c r="C19303" s="629"/>
      <c r="D19303" s="629"/>
      <c r="E19303" s="629"/>
      <c r="F19303" s="629"/>
      <c r="G19303" s="629"/>
      <c r="H19303" s="629"/>
      <c r="I19303" s="629"/>
      <c r="J19303" s="629"/>
      <c r="K19303" s="629"/>
      <c r="L19303" s="629"/>
      <c r="M19303" s="629"/>
      <c r="N19303" s="629"/>
      <c r="O19303" s="629"/>
      <c r="P19303" s="629"/>
      <c r="Q19303" s="629"/>
      <c r="R19303" s="629"/>
    </row>
    <row r="19304" spans="1:18" ht="24">
      <c r="A19304" s="555">
        <v>1687</v>
      </c>
      <c r="B19304" s="552" t="s">
        <v>35010</v>
      </c>
      <c r="C19304" s="556" t="s">
        <v>35011</v>
      </c>
      <c r="D19304" s="557">
        <v>25.8</v>
      </c>
      <c r="E19304" s="557">
        <v>12.64</v>
      </c>
      <c r="F19304" s="557">
        <v>12.91</v>
      </c>
      <c r="G19304" s="557">
        <v>0.25</v>
      </c>
      <c r="H19304" s="558">
        <v>263.33999999999997</v>
      </c>
      <c r="I19304" s="558">
        <v>145.35</v>
      </c>
      <c r="J19304" s="558">
        <v>115.11</v>
      </c>
      <c r="K19304" s="558">
        <v>2.88</v>
      </c>
      <c r="L19304" s="43">
        <v>10.206976744186045</v>
      </c>
      <c r="M19304" s="43">
        <v>11.499208860759493</v>
      </c>
      <c r="N19304" s="43">
        <v>8.9163439194422924</v>
      </c>
      <c r="O19304" s="43">
        <v>11.503164556962025</v>
      </c>
      <c r="P19304" s="559"/>
      <c r="Q19304" s="559"/>
      <c r="R19304" s="559">
        <v>1</v>
      </c>
    </row>
    <row r="19305" spans="1:18" ht="24">
      <c r="A19305" s="555">
        <v>1688</v>
      </c>
      <c r="B19305" s="552" t="s">
        <v>35012</v>
      </c>
      <c r="C19305" s="556" t="s">
        <v>35013</v>
      </c>
      <c r="D19305" s="557">
        <v>38.229999999999997</v>
      </c>
      <c r="E19305" s="557">
        <v>17.239999999999998</v>
      </c>
      <c r="F19305" s="557">
        <v>20.65</v>
      </c>
      <c r="G19305" s="557">
        <v>0.34</v>
      </c>
      <c r="H19305" s="558">
        <v>386.26</v>
      </c>
      <c r="I19305" s="558">
        <v>198.21</v>
      </c>
      <c r="J19305" s="558">
        <v>184.14</v>
      </c>
      <c r="K19305" s="558">
        <v>3.91</v>
      </c>
      <c r="L19305" s="43">
        <v>10.103583573110123</v>
      </c>
      <c r="M19305" s="43">
        <v>11.497099767981441</v>
      </c>
      <c r="N19305" s="43">
        <v>8.9171912832929774</v>
      </c>
      <c r="O19305" s="43">
        <v>11.503164556962025</v>
      </c>
      <c r="P19305" s="559"/>
      <c r="Q19305" s="559"/>
      <c r="R19305" s="559">
        <v>1</v>
      </c>
    </row>
    <row r="19306" spans="1:18" ht="24">
      <c r="A19306" s="555">
        <v>1689</v>
      </c>
      <c r="B19306" s="552" t="s">
        <v>35014</v>
      </c>
      <c r="C19306" s="556" t="s">
        <v>35015</v>
      </c>
      <c r="D19306" s="557">
        <v>44.32</v>
      </c>
      <c r="E19306" s="557">
        <v>19.53</v>
      </c>
      <c r="F19306" s="557">
        <v>24.4</v>
      </c>
      <c r="G19306" s="557">
        <v>0.39</v>
      </c>
      <c r="H19306" s="558">
        <v>446.76</v>
      </c>
      <c r="I19306" s="558">
        <v>224.64</v>
      </c>
      <c r="J19306" s="558">
        <v>217.63</v>
      </c>
      <c r="K19306" s="558">
        <v>4.49</v>
      </c>
      <c r="L19306" s="43">
        <v>10.080324909747292</v>
      </c>
      <c r="M19306" s="43">
        <v>11.502304147465436</v>
      </c>
      <c r="N19306" s="43">
        <v>8.9192622950819676</v>
      </c>
      <c r="O19306" s="43">
        <v>11.503164556962025</v>
      </c>
      <c r="P19306" s="559"/>
      <c r="Q19306" s="559"/>
      <c r="R19306" s="559">
        <v>1</v>
      </c>
    </row>
    <row r="19307" spans="1:18" ht="24">
      <c r="A19307" s="555">
        <v>1690</v>
      </c>
      <c r="B19307" s="552" t="s">
        <v>35016</v>
      </c>
      <c r="C19307" s="556" t="s">
        <v>35017</v>
      </c>
      <c r="D19307" s="557">
        <v>53.48</v>
      </c>
      <c r="E19307" s="557">
        <v>22.98</v>
      </c>
      <c r="F19307" s="557">
        <v>30.04</v>
      </c>
      <c r="G19307" s="557">
        <v>0.46</v>
      </c>
      <c r="H19307" s="558">
        <v>537.41999999999996</v>
      </c>
      <c r="I19307" s="558">
        <v>264.27999999999997</v>
      </c>
      <c r="J19307" s="558">
        <v>267.85000000000002</v>
      </c>
      <c r="K19307" s="558">
        <v>5.29</v>
      </c>
      <c r="L19307" s="43">
        <v>10.048990276738968</v>
      </c>
      <c r="M19307" s="43">
        <v>11.500435161009571</v>
      </c>
      <c r="N19307" s="43">
        <v>8.9164447403462059</v>
      </c>
      <c r="O19307" s="43">
        <v>11.503164556962025</v>
      </c>
      <c r="P19307" s="559"/>
      <c r="Q19307" s="559"/>
      <c r="R19307" s="559">
        <v>1</v>
      </c>
    </row>
    <row r="19308" spans="1:18" ht="24">
      <c r="A19308" s="555">
        <v>1691</v>
      </c>
      <c r="B19308" s="552" t="s">
        <v>35018</v>
      </c>
      <c r="C19308" s="556" t="s">
        <v>35019</v>
      </c>
      <c r="D19308" s="557">
        <v>60.75</v>
      </c>
      <c r="E19308" s="557">
        <v>26.43</v>
      </c>
      <c r="F19308" s="557">
        <v>33.79</v>
      </c>
      <c r="G19308" s="557">
        <v>0.53</v>
      </c>
      <c r="H19308" s="558">
        <v>611.35</v>
      </c>
      <c r="I19308" s="558">
        <v>303.92</v>
      </c>
      <c r="J19308" s="558">
        <v>301.33</v>
      </c>
      <c r="K19308" s="558">
        <v>6.1</v>
      </c>
      <c r="L19308" s="43">
        <v>10.063374485596707</v>
      </c>
      <c r="M19308" s="43">
        <v>11.499054105183504</v>
      </c>
      <c r="N19308" s="43">
        <v>8.917727138206569</v>
      </c>
      <c r="O19308" s="43">
        <v>11.503164556962025</v>
      </c>
      <c r="P19308" s="559"/>
      <c r="Q19308" s="559"/>
      <c r="R19308" s="559">
        <v>1</v>
      </c>
    </row>
    <row r="19309" spans="1:18" ht="24">
      <c r="A19309" s="555">
        <v>1692</v>
      </c>
      <c r="B19309" s="552" t="s">
        <v>35020</v>
      </c>
      <c r="C19309" s="556" t="s">
        <v>35021</v>
      </c>
      <c r="D19309" s="557">
        <v>69.89</v>
      </c>
      <c r="E19309" s="557">
        <v>29.87</v>
      </c>
      <c r="F19309" s="557">
        <v>39.42</v>
      </c>
      <c r="G19309" s="557">
        <v>0.6</v>
      </c>
      <c r="H19309" s="558">
        <v>702.01</v>
      </c>
      <c r="I19309" s="558">
        <v>343.56</v>
      </c>
      <c r="J19309" s="558">
        <v>351.55</v>
      </c>
      <c r="K19309" s="558">
        <v>6.9</v>
      </c>
      <c r="L19309" s="43">
        <v>10.044498497639147</v>
      </c>
      <c r="M19309" s="43">
        <v>11.501841312353532</v>
      </c>
      <c r="N19309" s="43">
        <v>8.9180618975139527</v>
      </c>
      <c r="O19309" s="43">
        <v>11.503164556962025</v>
      </c>
      <c r="P19309" s="559"/>
      <c r="Q19309" s="559"/>
      <c r="R19309" s="559">
        <v>1</v>
      </c>
    </row>
    <row r="19310" spans="1:18" ht="24">
      <c r="A19310" s="555">
        <v>1693</v>
      </c>
      <c r="B19310" s="552" t="s">
        <v>35022</v>
      </c>
      <c r="C19310" s="556" t="s">
        <v>35023</v>
      </c>
      <c r="D19310" s="557">
        <v>80.22</v>
      </c>
      <c r="E19310" s="557">
        <v>34.47</v>
      </c>
      <c r="F19310" s="557">
        <v>45.06</v>
      </c>
      <c r="G19310" s="557">
        <v>0.69</v>
      </c>
      <c r="H19310" s="558">
        <v>806.14</v>
      </c>
      <c r="I19310" s="558">
        <v>396.42</v>
      </c>
      <c r="J19310" s="558">
        <v>401.78</v>
      </c>
      <c r="K19310" s="558">
        <v>7.94</v>
      </c>
      <c r="L19310" s="43">
        <v>10.049114933931687</v>
      </c>
      <c r="M19310" s="43">
        <v>11.500435161009575</v>
      </c>
      <c r="N19310" s="43">
        <v>8.9165557035064342</v>
      </c>
      <c r="O19310" s="43">
        <v>11.503164556962025</v>
      </c>
      <c r="P19310" s="559"/>
      <c r="Q19310" s="559"/>
      <c r="R19310" s="559">
        <v>1</v>
      </c>
    </row>
    <row r="19311" spans="1:18" ht="24">
      <c r="A19311" s="555">
        <v>1694</v>
      </c>
      <c r="B19311" s="552" t="s">
        <v>35024</v>
      </c>
      <c r="C19311" s="556" t="s">
        <v>35025</v>
      </c>
      <c r="D19311" s="557">
        <v>91.24</v>
      </c>
      <c r="E19311" s="557">
        <v>37.92</v>
      </c>
      <c r="F19311" s="557">
        <v>52.56</v>
      </c>
      <c r="G19311" s="557">
        <v>0.76</v>
      </c>
      <c r="H19311" s="558">
        <v>913.54</v>
      </c>
      <c r="I19311" s="558">
        <v>436.06</v>
      </c>
      <c r="J19311" s="558">
        <v>468.74</v>
      </c>
      <c r="K19311" s="558">
        <v>8.74</v>
      </c>
      <c r="L19311" s="43">
        <v>10.012494519947392</v>
      </c>
      <c r="M19311" s="43">
        <v>11.499472573839663</v>
      </c>
      <c r="N19311" s="43">
        <v>8.9181887366818877</v>
      </c>
      <c r="O19311" s="43">
        <v>11.503164556962025</v>
      </c>
      <c r="P19311" s="559"/>
      <c r="Q19311" s="559"/>
      <c r="R19311" s="559">
        <v>1</v>
      </c>
    </row>
    <row r="19312" spans="1:18" ht="24">
      <c r="A19312" s="555">
        <v>1695</v>
      </c>
      <c r="B19312" s="552" t="s">
        <v>35026</v>
      </c>
      <c r="C19312" s="556" t="s">
        <v>35027</v>
      </c>
      <c r="D19312" s="557">
        <v>103.43</v>
      </c>
      <c r="E19312" s="557">
        <v>42.51</v>
      </c>
      <c r="F19312" s="557">
        <v>60.07</v>
      </c>
      <c r="G19312" s="557">
        <v>0.85</v>
      </c>
      <c r="H19312" s="558">
        <v>1034.4000000000001</v>
      </c>
      <c r="I19312" s="558">
        <v>488.92</v>
      </c>
      <c r="J19312" s="558">
        <v>535.70000000000005</v>
      </c>
      <c r="K19312" s="558">
        <v>9.7799999999999994</v>
      </c>
      <c r="L19312" s="43">
        <v>10.000966837474621</v>
      </c>
      <c r="M19312" s="43">
        <v>11.501293813220419</v>
      </c>
      <c r="N19312" s="43">
        <v>8.9179290827368085</v>
      </c>
      <c r="O19312" s="43">
        <v>11.503164556962025</v>
      </c>
      <c r="P19312" s="559"/>
      <c r="Q19312" s="559"/>
      <c r="R19312" s="559">
        <v>1</v>
      </c>
    </row>
    <row r="19313" spans="1:18" ht="24">
      <c r="A19313" s="555">
        <v>1696</v>
      </c>
      <c r="B19313" s="552" t="s">
        <v>35028</v>
      </c>
      <c r="C19313" s="556" t="s">
        <v>35029</v>
      </c>
      <c r="D19313" s="557">
        <v>116.81</v>
      </c>
      <c r="E19313" s="557">
        <v>48.26</v>
      </c>
      <c r="F19313" s="557">
        <v>67.58</v>
      </c>
      <c r="G19313" s="557">
        <v>0.97</v>
      </c>
      <c r="H19313" s="558">
        <v>1168.81</v>
      </c>
      <c r="I19313" s="558">
        <v>554.99</v>
      </c>
      <c r="J19313" s="558">
        <v>602.66</v>
      </c>
      <c r="K19313" s="558">
        <v>11.16</v>
      </c>
      <c r="L19313" s="43">
        <v>10.006078246725451</v>
      </c>
      <c r="M19313" s="43">
        <v>11.5</v>
      </c>
      <c r="N19313" s="43">
        <v>8.917727138206569</v>
      </c>
      <c r="O19313" s="43">
        <v>11.503164556962025</v>
      </c>
      <c r="P19313" s="559"/>
      <c r="Q19313" s="559"/>
      <c r="R19313" s="559">
        <v>1</v>
      </c>
    </row>
    <row r="19314" spans="1:18" ht="24">
      <c r="A19314" s="555">
        <v>1697</v>
      </c>
      <c r="B19314" s="552" t="s">
        <v>35030</v>
      </c>
      <c r="C19314" s="556" t="s">
        <v>35031</v>
      </c>
      <c r="D19314" s="557">
        <v>141.19999999999999</v>
      </c>
      <c r="E19314" s="557">
        <v>57.45</v>
      </c>
      <c r="F19314" s="557">
        <v>82.6</v>
      </c>
      <c r="G19314" s="557">
        <v>1.1499999999999999</v>
      </c>
      <c r="H19314" s="558">
        <v>1410.52</v>
      </c>
      <c r="I19314" s="558">
        <v>660.7</v>
      </c>
      <c r="J19314" s="558">
        <v>736.59</v>
      </c>
      <c r="K19314" s="558">
        <v>13.23</v>
      </c>
      <c r="L19314" s="43">
        <v>9.9895184135977342</v>
      </c>
      <c r="M19314" s="43">
        <v>11.500435161009573</v>
      </c>
      <c r="N19314" s="43">
        <v>8.9175544794188877</v>
      </c>
      <c r="O19314" s="43">
        <v>11.503164556962025</v>
      </c>
      <c r="P19314" s="559"/>
      <c r="Q19314" s="559"/>
      <c r="R19314" s="559">
        <v>1</v>
      </c>
    </row>
    <row r="19315" spans="1:18" ht="24">
      <c r="A19315" s="555">
        <v>1698</v>
      </c>
      <c r="B19315" s="552" t="s">
        <v>35032</v>
      </c>
      <c r="C19315" s="556" t="s">
        <v>35033</v>
      </c>
      <c r="D19315" s="557">
        <v>14.37</v>
      </c>
      <c r="E19315" s="557">
        <v>8.0399999999999991</v>
      </c>
      <c r="F19315" s="557">
        <v>6.17</v>
      </c>
      <c r="G19315" s="557">
        <v>0.16</v>
      </c>
      <c r="H19315" s="558">
        <v>149.13</v>
      </c>
      <c r="I19315" s="558">
        <v>92.5</v>
      </c>
      <c r="J19315" s="558">
        <v>54.79</v>
      </c>
      <c r="K19315" s="558">
        <v>1.84</v>
      </c>
      <c r="L19315" s="43">
        <v>10.377870563674321</v>
      </c>
      <c r="M19315" s="43">
        <v>11.504975124378111</v>
      </c>
      <c r="N19315" s="43">
        <v>8.880064829821718</v>
      </c>
      <c r="O19315" s="43">
        <v>11.503164556962025</v>
      </c>
      <c r="P19315" s="559"/>
      <c r="Q19315" s="559"/>
      <c r="R19315" s="559">
        <v>1</v>
      </c>
    </row>
    <row r="19316" spans="1:18" ht="24">
      <c r="A19316" s="555">
        <v>1699</v>
      </c>
      <c r="B19316" s="552" t="s">
        <v>35034</v>
      </c>
      <c r="C19316" s="556" t="s">
        <v>35035</v>
      </c>
      <c r="D19316" s="557">
        <v>19.079999999999998</v>
      </c>
      <c r="E19316" s="557">
        <v>10.34</v>
      </c>
      <c r="F19316" s="557">
        <v>8.5299999999999994</v>
      </c>
      <c r="G19316" s="557">
        <v>0.21</v>
      </c>
      <c r="H19316" s="558">
        <v>197.12</v>
      </c>
      <c r="I19316" s="558">
        <v>118.93</v>
      </c>
      <c r="J19316" s="558">
        <v>75.77</v>
      </c>
      <c r="K19316" s="558">
        <v>2.42</v>
      </c>
      <c r="L19316" s="43">
        <v>10.331236897274634</v>
      </c>
      <c r="M19316" s="43">
        <v>11.50193423597679</v>
      </c>
      <c r="N19316" s="43">
        <v>8.8827667057444319</v>
      </c>
      <c r="O19316" s="43">
        <v>11.503164556962025</v>
      </c>
      <c r="P19316" s="559"/>
      <c r="Q19316" s="559"/>
      <c r="R19316" s="559">
        <v>1</v>
      </c>
    </row>
    <row r="19317" spans="1:18" ht="24">
      <c r="A19317" s="555">
        <v>1700</v>
      </c>
      <c r="B19317" s="552" t="s">
        <v>35036</v>
      </c>
      <c r="C19317" s="556" t="s">
        <v>35037</v>
      </c>
      <c r="D19317" s="557">
        <v>22.14</v>
      </c>
      <c r="E19317" s="557">
        <v>11.49</v>
      </c>
      <c r="F19317" s="557">
        <v>10.42</v>
      </c>
      <c r="G19317" s="557">
        <v>0.23</v>
      </c>
      <c r="H19317" s="558">
        <v>227.37</v>
      </c>
      <c r="I19317" s="558">
        <v>132.13999999999999</v>
      </c>
      <c r="J19317" s="558">
        <v>92.58</v>
      </c>
      <c r="K19317" s="558">
        <v>2.65</v>
      </c>
      <c r="L19317" s="43">
        <v>10.269647696476964</v>
      </c>
      <c r="M19317" s="43">
        <v>11.500435161009571</v>
      </c>
      <c r="N19317" s="43">
        <v>8.8848368522072931</v>
      </c>
      <c r="O19317" s="43">
        <v>11.503164556962025</v>
      </c>
      <c r="P19317" s="559"/>
      <c r="Q19317" s="559"/>
      <c r="R19317" s="559">
        <v>1</v>
      </c>
    </row>
    <row r="19318" spans="1:18" ht="24">
      <c r="A19318" s="555">
        <v>1701</v>
      </c>
      <c r="B19318" s="552" t="s">
        <v>35038</v>
      </c>
      <c r="C19318" s="556" t="s">
        <v>35039</v>
      </c>
      <c r="D19318" s="557">
        <v>24.73</v>
      </c>
      <c r="E19318" s="557">
        <v>12.64</v>
      </c>
      <c r="F19318" s="557">
        <v>11.84</v>
      </c>
      <c r="G19318" s="557">
        <v>0.25</v>
      </c>
      <c r="H19318" s="558">
        <v>253.48</v>
      </c>
      <c r="I19318" s="558">
        <v>145.35</v>
      </c>
      <c r="J19318" s="558">
        <v>105.25</v>
      </c>
      <c r="K19318" s="558">
        <v>2.88</v>
      </c>
      <c r="L19318" s="43">
        <v>10.249898908208653</v>
      </c>
      <c r="M19318" s="43">
        <v>11.499208860759493</v>
      </c>
      <c r="N19318" s="43">
        <v>8.8893581081081088</v>
      </c>
      <c r="O19318" s="43">
        <v>11.503164556962025</v>
      </c>
      <c r="P19318" s="559"/>
      <c r="Q19318" s="559"/>
      <c r="R19318" s="559">
        <v>1</v>
      </c>
    </row>
    <row r="19319" spans="1:18" ht="24">
      <c r="A19319" s="555">
        <v>1702</v>
      </c>
      <c r="B19319" s="552" t="s">
        <v>35040</v>
      </c>
      <c r="C19319" s="556" t="s">
        <v>35041</v>
      </c>
      <c r="D19319" s="557">
        <v>27.57</v>
      </c>
      <c r="E19319" s="557">
        <v>13.79</v>
      </c>
      <c r="F19319" s="557">
        <v>13.5</v>
      </c>
      <c r="G19319" s="557">
        <v>0.28000000000000003</v>
      </c>
      <c r="H19319" s="558">
        <v>281.77</v>
      </c>
      <c r="I19319" s="558">
        <v>158.57</v>
      </c>
      <c r="J19319" s="558">
        <v>119.98</v>
      </c>
      <c r="K19319" s="558">
        <v>3.22</v>
      </c>
      <c r="L19319" s="43">
        <v>10.220166848023213</v>
      </c>
      <c r="M19319" s="43">
        <v>11.498912255257434</v>
      </c>
      <c r="N19319" s="43">
        <v>8.887407407407407</v>
      </c>
      <c r="O19319" s="43">
        <v>11.503164556962025</v>
      </c>
      <c r="P19319" s="559"/>
      <c r="Q19319" s="559"/>
      <c r="R19319" s="559">
        <v>1</v>
      </c>
    </row>
    <row r="19320" spans="1:18" ht="24">
      <c r="A19320" s="555">
        <v>1703</v>
      </c>
      <c r="B19320" s="552" t="s">
        <v>35042</v>
      </c>
      <c r="C19320" s="556" t="s">
        <v>35043</v>
      </c>
      <c r="D19320" s="557">
        <v>35.83</v>
      </c>
      <c r="E19320" s="557">
        <v>17.239999999999998</v>
      </c>
      <c r="F19320" s="557">
        <v>18.25</v>
      </c>
      <c r="G19320" s="557">
        <v>0.34</v>
      </c>
      <c r="H19320" s="558">
        <v>364.24</v>
      </c>
      <c r="I19320" s="558">
        <v>198.21</v>
      </c>
      <c r="J19320" s="558">
        <v>162.12</v>
      </c>
      <c r="K19320" s="558">
        <v>3.91</v>
      </c>
      <c r="L19320" s="43">
        <v>10.165782863522189</v>
      </c>
      <c r="M19320" s="43">
        <v>11.497099767981441</v>
      </c>
      <c r="N19320" s="43">
        <v>8.8832876712328765</v>
      </c>
      <c r="O19320" s="43">
        <v>11.503164556962025</v>
      </c>
      <c r="P19320" s="559"/>
      <c r="Q19320" s="559"/>
      <c r="R19320" s="559">
        <v>1</v>
      </c>
    </row>
    <row r="19321" spans="1:18" ht="24">
      <c r="A19321" s="555">
        <v>1704</v>
      </c>
      <c r="B19321" s="552" t="s">
        <v>35044</v>
      </c>
      <c r="C19321" s="556" t="s">
        <v>35045</v>
      </c>
      <c r="D19321" s="557">
        <v>41.49</v>
      </c>
      <c r="E19321" s="557">
        <v>19.53</v>
      </c>
      <c r="F19321" s="557">
        <v>21.57</v>
      </c>
      <c r="G19321" s="557">
        <v>0.39</v>
      </c>
      <c r="H19321" s="558">
        <v>420.73</v>
      </c>
      <c r="I19321" s="558">
        <v>224.64</v>
      </c>
      <c r="J19321" s="558">
        <v>191.6</v>
      </c>
      <c r="K19321" s="558">
        <v>4.49</v>
      </c>
      <c r="L19321" s="43">
        <v>10.140515786936611</v>
      </c>
      <c r="M19321" s="43">
        <v>11.502304147465436</v>
      </c>
      <c r="N19321" s="43">
        <v>8.8827074640704673</v>
      </c>
      <c r="O19321" s="43">
        <v>11.503164556962025</v>
      </c>
      <c r="P19321" s="559"/>
      <c r="Q19321" s="559"/>
      <c r="R19321" s="559">
        <v>1</v>
      </c>
    </row>
    <row r="19322" spans="1:18" ht="24">
      <c r="A19322" s="555">
        <v>1705</v>
      </c>
      <c r="B19322" s="552" t="s">
        <v>35046</v>
      </c>
      <c r="C19322" s="556" t="s">
        <v>35047</v>
      </c>
      <c r="D19322" s="557">
        <v>49.98</v>
      </c>
      <c r="E19322" s="557">
        <v>22.98</v>
      </c>
      <c r="F19322" s="557">
        <v>26.54</v>
      </c>
      <c r="G19322" s="557">
        <v>0.46</v>
      </c>
      <c r="H19322" s="558">
        <v>505.39</v>
      </c>
      <c r="I19322" s="558">
        <v>264.27999999999997</v>
      </c>
      <c r="J19322" s="558">
        <v>235.82</v>
      </c>
      <c r="K19322" s="558">
        <v>5.29</v>
      </c>
      <c r="L19322" s="43">
        <v>10.111844737895158</v>
      </c>
      <c r="M19322" s="43">
        <v>11.500435161009571</v>
      </c>
      <c r="N19322" s="43">
        <v>8.8854559155990955</v>
      </c>
      <c r="O19322" s="43">
        <v>11.503164556962025</v>
      </c>
      <c r="P19322" s="559"/>
      <c r="Q19322" s="559"/>
      <c r="R19322" s="559">
        <v>1</v>
      </c>
    </row>
    <row r="19323" spans="1:18" ht="24">
      <c r="A19323" s="555">
        <v>1706</v>
      </c>
      <c r="B19323" s="552" t="s">
        <v>35048</v>
      </c>
      <c r="C19323" s="556" t="s">
        <v>35049</v>
      </c>
      <c r="D19323" s="557">
        <v>56.82</v>
      </c>
      <c r="E19323" s="557">
        <v>26.43</v>
      </c>
      <c r="F19323" s="557">
        <v>29.86</v>
      </c>
      <c r="G19323" s="557">
        <v>0.53</v>
      </c>
      <c r="H19323" s="558">
        <v>575.30999999999995</v>
      </c>
      <c r="I19323" s="558">
        <v>303.92</v>
      </c>
      <c r="J19323" s="558">
        <v>265.29000000000002</v>
      </c>
      <c r="K19323" s="558">
        <v>6.1</v>
      </c>
      <c r="L19323" s="43">
        <v>10.125131995776135</v>
      </c>
      <c r="M19323" s="43">
        <v>11.499054105183504</v>
      </c>
      <c r="N19323" s="43">
        <v>8.8844608171466852</v>
      </c>
      <c r="O19323" s="43">
        <v>11.503164556962025</v>
      </c>
      <c r="P19323" s="559"/>
      <c r="Q19323" s="559"/>
      <c r="R19323" s="559">
        <v>1</v>
      </c>
    </row>
    <row r="19324" spans="1:18" ht="24">
      <c r="A19324" s="555">
        <v>1707</v>
      </c>
      <c r="B19324" s="552" t="s">
        <v>35050</v>
      </c>
      <c r="C19324" s="556" t="s">
        <v>35051</v>
      </c>
      <c r="D19324" s="557">
        <v>65.31</v>
      </c>
      <c r="E19324" s="557">
        <v>29.87</v>
      </c>
      <c r="F19324" s="557">
        <v>34.840000000000003</v>
      </c>
      <c r="G19324" s="557">
        <v>0.6</v>
      </c>
      <c r="H19324" s="558">
        <v>659.97</v>
      </c>
      <c r="I19324" s="558">
        <v>343.56</v>
      </c>
      <c r="J19324" s="558">
        <v>309.51</v>
      </c>
      <c r="K19324" s="558">
        <v>6.9</v>
      </c>
      <c r="L19324" s="43">
        <v>10.105190629306385</v>
      </c>
      <c r="M19324" s="43">
        <v>11.501841312353532</v>
      </c>
      <c r="N19324" s="43">
        <v>8.8837543053960957</v>
      </c>
      <c r="O19324" s="43">
        <v>11.503164556962025</v>
      </c>
      <c r="P19324" s="559"/>
      <c r="Q19324" s="559"/>
      <c r="R19324" s="559">
        <v>1</v>
      </c>
    </row>
    <row r="19325" spans="1:18" ht="24">
      <c r="A19325" s="555">
        <v>1708</v>
      </c>
      <c r="B19325" s="552" t="s">
        <v>35052</v>
      </c>
      <c r="C19325" s="556" t="s">
        <v>35053</v>
      </c>
      <c r="D19325" s="557">
        <v>82.3</v>
      </c>
      <c r="E19325" s="557">
        <v>36.770000000000003</v>
      </c>
      <c r="F19325" s="557">
        <v>44.79</v>
      </c>
      <c r="G19325" s="557">
        <v>0.74</v>
      </c>
      <c r="H19325" s="558">
        <v>829.29</v>
      </c>
      <c r="I19325" s="558">
        <v>422.85</v>
      </c>
      <c r="J19325" s="558">
        <v>397.93</v>
      </c>
      <c r="K19325" s="558">
        <v>8.51</v>
      </c>
      <c r="L19325" s="43">
        <v>10.076427703523693</v>
      </c>
      <c r="M19325" s="43">
        <v>11.49986401958118</v>
      </c>
      <c r="N19325" s="43">
        <v>8.8843491850859575</v>
      </c>
      <c r="O19325" s="43">
        <v>11.503164556962025</v>
      </c>
      <c r="P19325" s="559"/>
      <c r="Q19325" s="559"/>
      <c r="R19325" s="559">
        <v>1</v>
      </c>
    </row>
    <row r="19326" spans="1:18" ht="36">
      <c r="A19326" s="555">
        <v>1709</v>
      </c>
      <c r="B19326" s="552" t="s">
        <v>35054</v>
      </c>
      <c r="C19326" s="556" t="s">
        <v>35055</v>
      </c>
      <c r="D19326" s="557">
        <v>14.19</v>
      </c>
      <c r="E19326" s="557">
        <v>11.49</v>
      </c>
      <c r="F19326" s="557">
        <v>2.4700000000000002</v>
      </c>
      <c r="G19326" s="557">
        <v>0.23</v>
      </c>
      <c r="H19326" s="558">
        <v>156.34</v>
      </c>
      <c r="I19326" s="558">
        <v>132.13999999999999</v>
      </c>
      <c r="J19326" s="558">
        <v>21.55</v>
      </c>
      <c r="K19326" s="558">
        <v>2.65</v>
      </c>
      <c r="L19326" s="43">
        <v>11.017618040873856</v>
      </c>
      <c r="M19326" s="43">
        <v>11.500435161009571</v>
      </c>
      <c r="N19326" s="43">
        <v>8.7246963562753024</v>
      </c>
      <c r="O19326" s="43">
        <v>11.503164556962025</v>
      </c>
      <c r="P19326" s="559"/>
      <c r="Q19326" s="559"/>
      <c r="R19326" s="559">
        <v>1</v>
      </c>
    </row>
    <row r="19327" spans="1:18" ht="36">
      <c r="A19327" s="555">
        <v>1710</v>
      </c>
      <c r="B19327" s="552" t="s">
        <v>35056</v>
      </c>
      <c r="C19327" s="556" t="s">
        <v>35057</v>
      </c>
      <c r="D19327" s="557">
        <v>45.24</v>
      </c>
      <c r="E19327" s="557">
        <v>31.8</v>
      </c>
      <c r="F19327" s="557">
        <v>12.8</v>
      </c>
      <c r="G19327" s="557">
        <v>0.64</v>
      </c>
      <c r="H19327" s="558">
        <v>473.46</v>
      </c>
      <c r="I19327" s="558">
        <v>365.71</v>
      </c>
      <c r="J19327" s="558">
        <v>100.39</v>
      </c>
      <c r="K19327" s="558">
        <v>7.36</v>
      </c>
      <c r="L19327" s="43">
        <v>10.46551724137931</v>
      </c>
      <c r="M19327" s="43">
        <v>11.500314465408804</v>
      </c>
      <c r="N19327" s="43">
        <v>7.8429687499999998</v>
      </c>
      <c r="O19327" s="43">
        <v>11.503164556962025</v>
      </c>
      <c r="P19327" s="559"/>
      <c r="Q19327" s="559"/>
      <c r="R19327" s="559">
        <v>1</v>
      </c>
    </row>
    <row r="19328" spans="1:18" ht="36">
      <c r="A19328" s="555">
        <v>1711</v>
      </c>
      <c r="B19328" s="552" t="s">
        <v>35058</v>
      </c>
      <c r="C19328" s="556" t="s">
        <v>35059</v>
      </c>
      <c r="D19328" s="557">
        <v>49.56</v>
      </c>
      <c r="E19328" s="557">
        <v>26.5</v>
      </c>
      <c r="F19328" s="557">
        <v>22.53</v>
      </c>
      <c r="G19328" s="557">
        <v>0.53</v>
      </c>
      <c r="H19328" s="558">
        <v>511.74</v>
      </c>
      <c r="I19328" s="558">
        <v>304.76</v>
      </c>
      <c r="J19328" s="558">
        <v>200.88</v>
      </c>
      <c r="K19328" s="558">
        <v>6.1</v>
      </c>
      <c r="L19328" s="43">
        <v>10.325665859564165</v>
      </c>
      <c r="M19328" s="43">
        <v>11.500377358490566</v>
      </c>
      <c r="N19328" s="43">
        <v>8.9161118508655122</v>
      </c>
      <c r="O19328" s="43">
        <v>11.503164556962025</v>
      </c>
      <c r="P19328" s="559"/>
      <c r="Q19328" s="559"/>
      <c r="R19328" s="559">
        <v>1</v>
      </c>
    </row>
    <row r="19329" spans="1:18" ht="12.75" customHeight="1">
      <c r="A19329" s="628" t="s">
        <v>35060</v>
      </c>
      <c r="B19329" s="629"/>
      <c r="C19329" s="629"/>
      <c r="D19329" s="629"/>
      <c r="E19329" s="629"/>
      <c r="F19329" s="629"/>
      <c r="G19329" s="629"/>
      <c r="H19329" s="629"/>
      <c r="I19329" s="629"/>
      <c r="J19329" s="629"/>
      <c r="K19329" s="629"/>
      <c r="L19329" s="629"/>
      <c r="M19329" s="629"/>
      <c r="N19329" s="629"/>
      <c r="O19329" s="629"/>
      <c r="P19329" s="629"/>
      <c r="Q19329" s="629"/>
      <c r="R19329" s="629"/>
    </row>
    <row r="19330" spans="1:18" ht="24">
      <c r="A19330" s="555">
        <v>1712</v>
      </c>
      <c r="B19330" s="552" t="s">
        <v>35061</v>
      </c>
      <c r="C19330" s="556" t="s">
        <v>35062</v>
      </c>
      <c r="D19330" s="557">
        <v>7.65</v>
      </c>
      <c r="E19330" s="557">
        <v>6.66</v>
      </c>
      <c r="F19330" s="557">
        <v>0.86</v>
      </c>
      <c r="G19330" s="557">
        <v>0.13</v>
      </c>
      <c r="H19330" s="558">
        <v>84.43</v>
      </c>
      <c r="I19330" s="558">
        <v>76.64</v>
      </c>
      <c r="J19330" s="558">
        <v>6.29</v>
      </c>
      <c r="K19330" s="558">
        <v>1.5</v>
      </c>
      <c r="L19330" s="43">
        <v>11.036601307189542</v>
      </c>
      <c r="M19330" s="43">
        <v>11.498253783469149</v>
      </c>
      <c r="N19330" s="43">
        <v>7.3139534883720936</v>
      </c>
      <c r="O19330" s="43">
        <v>11.503164556962025</v>
      </c>
      <c r="P19330" s="559"/>
      <c r="Q19330" s="559"/>
      <c r="R19330" s="559">
        <v>2</v>
      </c>
    </row>
    <row r="19331" spans="1:18" ht="24">
      <c r="A19331" s="555">
        <v>1713</v>
      </c>
      <c r="B19331" s="552" t="s">
        <v>35063</v>
      </c>
      <c r="C19331" s="556" t="s">
        <v>35064</v>
      </c>
      <c r="D19331" s="557">
        <v>8.85</v>
      </c>
      <c r="E19331" s="557">
        <v>7.47</v>
      </c>
      <c r="F19331" s="557">
        <v>1.23</v>
      </c>
      <c r="G19331" s="557">
        <v>0.15</v>
      </c>
      <c r="H19331" s="558">
        <v>96.72</v>
      </c>
      <c r="I19331" s="558">
        <v>85.89</v>
      </c>
      <c r="J19331" s="558">
        <v>9.1</v>
      </c>
      <c r="K19331" s="558">
        <v>1.73</v>
      </c>
      <c r="L19331" s="43">
        <v>10.928813559322034</v>
      </c>
      <c r="M19331" s="43">
        <v>11.497991967871487</v>
      </c>
      <c r="N19331" s="43">
        <v>7.3983739837398375</v>
      </c>
      <c r="O19331" s="43">
        <v>11.503164556962025</v>
      </c>
      <c r="P19331" s="559"/>
      <c r="Q19331" s="559"/>
      <c r="R19331" s="559">
        <v>2</v>
      </c>
    </row>
    <row r="19332" spans="1:18" ht="24">
      <c r="A19332" s="555">
        <v>1714</v>
      </c>
      <c r="B19332" s="552" t="s">
        <v>35065</v>
      </c>
      <c r="C19332" s="556" t="s">
        <v>35066</v>
      </c>
      <c r="D19332" s="557">
        <v>10.67</v>
      </c>
      <c r="E19332" s="557">
        <v>8.85</v>
      </c>
      <c r="F19332" s="557">
        <v>1.64</v>
      </c>
      <c r="G19332" s="557">
        <v>0.18</v>
      </c>
      <c r="H19332" s="558">
        <v>115.98</v>
      </c>
      <c r="I19332" s="558">
        <v>101.75</v>
      </c>
      <c r="J19332" s="558">
        <v>12.16</v>
      </c>
      <c r="K19332" s="558">
        <v>2.0699999999999998</v>
      </c>
      <c r="L19332" s="43">
        <v>10.869728209934395</v>
      </c>
      <c r="M19332" s="43">
        <v>11.497175141242938</v>
      </c>
      <c r="N19332" s="43">
        <v>7.4146341463414638</v>
      </c>
      <c r="O19332" s="43">
        <v>11.503164556962025</v>
      </c>
      <c r="P19332" s="559"/>
      <c r="Q19332" s="559"/>
      <c r="R19332" s="559">
        <v>2</v>
      </c>
    </row>
    <row r="19333" spans="1:18" ht="24">
      <c r="A19333" s="555">
        <v>1715</v>
      </c>
      <c r="B19333" s="552" t="s">
        <v>35067</v>
      </c>
      <c r="C19333" s="556" t="s">
        <v>35068</v>
      </c>
      <c r="D19333" s="557">
        <v>12.26</v>
      </c>
      <c r="E19333" s="557">
        <v>10</v>
      </c>
      <c r="F19333" s="557">
        <v>2.06</v>
      </c>
      <c r="G19333" s="557">
        <v>0.2</v>
      </c>
      <c r="H19333" s="558">
        <v>132.5</v>
      </c>
      <c r="I19333" s="558">
        <v>114.96</v>
      </c>
      <c r="J19333" s="558">
        <v>15.24</v>
      </c>
      <c r="K19333" s="558">
        <v>2.2999999999999998</v>
      </c>
      <c r="L19333" s="43">
        <v>10.807504078303426</v>
      </c>
      <c r="M19333" s="43">
        <v>11.495999999999999</v>
      </c>
      <c r="N19333" s="43">
        <v>7.3980582524271847</v>
      </c>
      <c r="O19333" s="43">
        <v>11.503164556962025</v>
      </c>
      <c r="P19333" s="559"/>
      <c r="Q19333" s="559"/>
      <c r="R19333" s="559">
        <v>2</v>
      </c>
    </row>
    <row r="19334" spans="1:18" ht="24">
      <c r="A19334" s="555">
        <v>1716</v>
      </c>
      <c r="B19334" s="552" t="s">
        <v>35069</v>
      </c>
      <c r="C19334" s="556" t="s">
        <v>35070</v>
      </c>
      <c r="D19334" s="557">
        <v>13.33</v>
      </c>
      <c r="E19334" s="557">
        <v>10.69</v>
      </c>
      <c r="F19334" s="557">
        <v>2.4300000000000002</v>
      </c>
      <c r="G19334" s="557">
        <v>0.21</v>
      </c>
      <c r="H19334" s="558">
        <v>143.36000000000001</v>
      </c>
      <c r="I19334" s="558">
        <v>122.89</v>
      </c>
      <c r="J19334" s="558">
        <v>18.05</v>
      </c>
      <c r="K19334" s="558">
        <v>2.42</v>
      </c>
      <c r="L19334" s="43">
        <v>10.754688672168044</v>
      </c>
      <c r="M19334" s="43">
        <v>11.49579045837231</v>
      </c>
      <c r="N19334" s="43">
        <v>7.42798353909465</v>
      </c>
      <c r="O19334" s="43">
        <v>11.503164556962025</v>
      </c>
      <c r="P19334" s="559"/>
      <c r="Q19334" s="559"/>
      <c r="R19334" s="559">
        <v>2</v>
      </c>
    </row>
    <row r="19335" spans="1:18" ht="24">
      <c r="A19335" s="555">
        <v>1717</v>
      </c>
      <c r="B19335" s="552" t="s">
        <v>35071</v>
      </c>
      <c r="C19335" s="556" t="s">
        <v>35072</v>
      </c>
      <c r="D19335" s="557">
        <v>14.62</v>
      </c>
      <c r="E19335" s="557">
        <v>11.83</v>
      </c>
      <c r="F19335" s="557">
        <v>2.5499999999999998</v>
      </c>
      <c r="G19335" s="557">
        <v>0.24</v>
      </c>
      <c r="H19335" s="558">
        <v>157.57</v>
      </c>
      <c r="I19335" s="558">
        <v>136.1</v>
      </c>
      <c r="J19335" s="558">
        <v>18.71</v>
      </c>
      <c r="K19335" s="558">
        <v>2.76</v>
      </c>
      <c r="L19335" s="43">
        <v>10.777701778385772</v>
      </c>
      <c r="M19335" s="43">
        <v>11.504649196956889</v>
      </c>
      <c r="N19335" s="43">
        <v>7.3372549019607849</v>
      </c>
      <c r="O19335" s="43">
        <v>11.503164556962025</v>
      </c>
      <c r="P19335" s="559"/>
      <c r="Q19335" s="559"/>
      <c r="R19335" s="559">
        <v>2</v>
      </c>
    </row>
    <row r="19336" spans="1:18" ht="24">
      <c r="A19336" s="555">
        <v>1718</v>
      </c>
      <c r="B19336" s="552" t="s">
        <v>35073</v>
      </c>
      <c r="C19336" s="556" t="s">
        <v>35074</v>
      </c>
      <c r="D19336" s="557">
        <v>16.100000000000001</v>
      </c>
      <c r="E19336" s="557">
        <v>12.87</v>
      </c>
      <c r="F19336" s="557">
        <v>2.97</v>
      </c>
      <c r="G19336" s="557">
        <v>0.26</v>
      </c>
      <c r="H19336" s="558">
        <v>172.78</v>
      </c>
      <c r="I19336" s="558">
        <v>148</v>
      </c>
      <c r="J19336" s="558">
        <v>21.79</v>
      </c>
      <c r="K19336" s="558">
        <v>2.99</v>
      </c>
      <c r="L19336" s="43">
        <v>10.731677018633539</v>
      </c>
      <c r="M19336" s="43">
        <v>11.4996114996115</v>
      </c>
      <c r="N19336" s="43">
        <v>7.3367003367003356</v>
      </c>
      <c r="O19336" s="43">
        <v>11.503164556962025</v>
      </c>
      <c r="P19336" s="559"/>
      <c r="Q19336" s="559"/>
      <c r="R19336" s="559">
        <v>2</v>
      </c>
    </row>
    <row r="19337" spans="1:18" ht="24">
      <c r="A19337" s="555">
        <v>1719</v>
      </c>
      <c r="B19337" s="552" t="s">
        <v>35075</v>
      </c>
      <c r="C19337" s="556" t="s">
        <v>35076</v>
      </c>
      <c r="D19337" s="557">
        <v>17.8</v>
      </c>
      <c r="E19337" s="557">
        <v>14.13</v>
      </c>
      <c r="F19337" s="557">
        <v>3.39</v>
      </c>
      <c r="G19337" s="557">
        <v>0.28000000000000003</v>
      </c>
      <c r="H19337" s="558">
        <v>190.62</v>
      </c>
      <c r="I19337" s="558">
        <v>162.53</v>
      </c>
      <c r="J19337" s="558">
        <v>24.87</v>
      </c>
      <c r="K19337" s="558">
        <v>3.22</v>
      </c>
      <c r="L19337" s="43">
        <v>10.708988764044944</v>
      </c>
      <c r="M19337" s="43">
        <v>11.502476999292286</v>
      </c>
      <c r="N19337" s="43">
        <v>7.336283185840708</v>
      </c>
      <c r="O19337" s="43">
        <v>11.503164556962025</v>
      </c>
      <c r="P19337" s="559"/>
      <c r="Q19337" s="559"/>
      <c r="R19337" s="559">
        <v>2</v>
      </c>
    </row>
    <row r="19338" spans="1:18" ht="24">
      <c r="A19338" s="555">
        <v>1720</v>
      </c>
      <c r="B19338" s="552" t="s">
        <v>35077</v>
      </c>
      <c r="C19338" s="556" t="s">
        <v>35078</v>
      </c>
      <c r="D19338" s="557">
        <v>19.920000000000002</v>
      </c>
      <c r="E19338" s="557">
        <v>15.51</v>
      </c>
      <c r="F19338" s="557">
        <v>4.0999999999999996</v>
      </c>
      <c r="G19338" s="557">
        <v>0.31</v>
      </c>
      <c r="H19338" s="558">
        <v>212.32</v>
      </c>
      <c r="I19338" s="558">
        <v>178.39</v>
      </c>
      <c r="J19338" s="558">
        <v>30.36</v>
      </c>
      <c r="K19338" s="558">
        <v>3.57</v>
      </c>
      <c r="L19338" s="43">
        <v>10.65863453815261</v>
      </c>
      <c r="M19338" s="43">
        <v>11.50161186331399</v>
      </c>
      <c r="N19338" s="43">
        <v>7.4048780487804882</v>
      </c>
      <c r="O19338" s="43">
        <v>11.503164556962025</v>
      </c>
      <c r="P19338" s="559"/>
      <c r="Q19338" s="559"/>
      <c r="R19338" s="559">
        <v>2</v>
      </c>
    </row>
    <row r="19339" spans="1:18" ht="24">
      <c r="A19339" s="555">
        <v>1721</v>
      </c>
      <c r="B19339" s="552" t="s">
        <v>35079</v>
      </c>
      <c r="C19339" s="556" t="s">
        <v>35080</v>
      </c>
      <c r="D19339" s="557">
        <v>22.02</v>
      </c>
      <c r="E19339" s="557">
        <v>17.350000000000001</v>
      </c>
      <c r="F19339" s="557">
        <v>4.32</v>
      </c>
      <c r="G19339" s="557">
        <v>0.35</v>
      </c>
      <c r="H19339" s="558">
        <v>235.11</v>
      </c>
      <c r="I19339" s="558">
        <v>199.53</v>
      </c>
      <c r="J19339" s="558">
        <v>31.55</v>
      </c>
      <c r="K19339" s="558">
        <v>4.03</v>
      </c>
      <c r="L19339" s="43">
        <v>10.677111716621255</v>
      </c>
      <c r="M19339" s="43">
        <v>11.500288184438039</v>
      </c>
      <c r="N19339" s="43">
        <v>7.3032407407407405</v>
      </c>
      <c r="O19339" s="43">
        <v>11.503164556962025</v>
      </c>
      <c r="P19339" s="559"/>
      <c r="Q19339" s="559"/>
      <c r="R19339" s="559">
        <v>2</v>
      </c>
    </row>
    <row r="19340" spans="1:18" ht="24">
      <c r="A19340" s="555">
        <v>1722</v>
      </c>
      <c r="B19340" s="552" t="s">
        <v>35081</v>
      </c>
      <c r="C19340" s="556" t="s">
        <v>35082</v>
      </c>
      <c r="D19340" s="557">
        <v>26.21</v>
      </c>
      <c r="E19340" s="557">
        <v>21.03</v>
      </c>
      <c r="F19340" s="557">
        <v>4.76</v>
      </c>
      <c r="G19340" s="557">
        <v>0.42</v>
      </c>
      <c r="H19340" s="558">
        <v>280.58</v>
      </c>
      <c r="I19340" s="558">
        <v>241.82</v>
      </c>
      <c r="J19340" s="558">
        <v>33.93</v>
      </c>
      <c r="K19340" s="558">
        <v>4.83</v>
      </c>
      <c r="L19340" s="43">
        <v>10.705074399084317</v>
      </c>
      <c r="M19340" s="43">
        <v>11.498811222063718</v>
      </c>
      <c r="N19340" s="43">
        <v>7.1281512605042021</v>
      </c>
      <c r="O19340" s="43">
        <v>11.503164556962025</v>
      </c>
      <c r="P19340" s="559"/>
      <c r="Q19340" s="559"/>
      <c r="R19340" s="559">
        <v>2</v>
      </c>
    </row>
    <row r="19341" spans="1:18" ht="12.75" customHeight="1">
      <c r="A19341" s="628" t="s">
        <v>35083</v>
      </c>
      <c r="B19341" s="629"/>
      <c r="C19341" s="629"/>
      <c r="D19341" s="629"/>
      <c r="E19341" s="629"/>
      <c r="F19341" s="629"/>
      <c r="G19341" s="629"/>
      <c r="H19341" s="629"/>
      <c r="I19341" s="629"/>
      <c r="J19341" s="629"/>
      <c r="K19341" s="629"/>
      <c r="L19341" s="629"/>
      <c r="M19341" s="629"/>
      <c r="N19341" s="629"/>
      <c r="O19341" s="629"/>
      <c r="P19341" s="629"/>
      <c r="Q19341" s="629"/>
      <c r="R19341" s="629"/>
    </row>
    <row r="19342" spans="1:18" ht="36">
      <c r="A19342" s="560">
        <v>1723</v>
      </c>
      <c r="B19342" s="561" t="s">
        <v>35084</v>
      </c>
      <c r="C19342" s="562" t="s">
        <v>35085</v>
      </c>
      <c r="D19342" s="563">
        <v>18.59</v>
      </c>
      <c r="E19342" s="563">
        <v>17.23</v>
      </c>
      <c r="F19342" s="563">
        <v>1.02</v>
      </c>
      <c r="G19342" s="563">
        <v>0.34</v>
      </c>
      <c r="H19342" s="564">
        <v>207.56</v>
      </c>
      <c r="I19342" s="564">
        <v>198.09</v>
      </c>
      <c r="J19342" s="564">
        <v>5.56</v>
      </c>
      <c r="K19342" s="564">
        <v>3.91</v>
      </c>
      <c r="L19342" s="611">
        <v>11.165142549757935</v>
      </c>
      <c r="M19342" s="611">
        <v>11.496807893209517</v>
      </c>
      <c r="N19342" s="611">
        <v>5.450980392156862</v>
      </c>
      <c r="O19342" s="611">
        <v>11.5</v>
      </c>
      <c r="P19342" s="565"/>
      <c r="Q19342" s="565"/>
      <c r="R19342" s="565">
        <v>3</v>
      </c>
    </row>
    <row r="19343" spans="1:18" ht="12.75" customHeight="1">
      <c r="A19343" s="630" t="s">
        <v>35086</v>
      </c>
      <c r="B19343" s="631"/>
      <c r="C19343" s="631"/>
      <c r="D19343" s="631"/>
      <c r="E19343" s="631"/>
      <c r="F19343" s="631"/>
      <c r="G19343" s="631"/>
      <c r="H19343" s="631"/>
      <c r="I19343" s="631"/>
      <c r="J19343" s="631"/>
      <c r="K19343" s="631"/>
      <c r="L19343" s="631"/>
      <c r="M19343" s="631"/>
      <c r="N19343" s="631"/>
      <c r="O19343" s="631"/>
      <c r="P19343" s="631"/>
      <c r="Q19343" s="631"/>
      <c r="R19343" s="631"/>
    </row>
    <row r="19344" spans="1:18" ht="12.75" customHeight="1">
      <c r="A19344" s="628" t="s">
        <v>35087</v>
      </c>
      <c r="B19344" s="629"/>
      <c r="C19344" s="629"/>
      <c r="D19344" s="629"/>
      <c r="E19344" s="629"/>
      <c r="F19344" s="629"/>
      <c r="G19344" s="629"/>
      <c r="H19344" s="629"/>
      <c r="I19344" s="629"/>
      <c r="J19344" s="629"/>
      <c r="K19344" s="629"/>
      <c r="L19344" s="629"/>
      <c r="M19344" s="629"/>
      <c r="N19344" s="629"/>
      <c r="O19344" s="629"/>
      <c r="P19344" s="629"/>
      <c r="Q19344" s="629"/>
      <c r="R19344" s="629"/>
    </row>
    <row r="19345" spans="1:18" ht="24">
      <c r="A19345" s="555">
        <v>1724</v>
      </c>
      <c r="B19345" s="552" t="s">
        <v>35088</v>
      </c>
      <c r="C19345" s="556" t="s">
        <v>35089</v>
      </c>
      <c r="D19345" s="557">
        <v>20.28</v>
      </c>
      <c r="E19345" s="557">
        <v>19.88</v>
      </c>
      <c r="F19345" s="557"/>
      <c r="G19345" s="557">
        <v>0.4</v>
      </c>
      <c r="H19345" s="558">
        <v>233.17</v>
      </c>
      <c r="I19345" s="558">
        <v>228.57</v>
      </c>
      <c r="J19345" s="558"/>
      <c r="K19345" s="558">
        <v>4.5999999999999996</v>
      </c>
      <c r="L19345" s="43">
        <v>11.497534516765285</v>
      </c>
      <c r="M19345" s="43">
        <v>11.497484909456741</v>
      </c>
      <c r="N19345" s="43" t="s">
        <v>1690</v>
      </c>
      <c r="O19345" s="43">
        <v>11.499999999999998</v>
      </c>
      <c r="P19345" s="559"/>
      <c r="Q19345" s="559"/>
      <c r="R19345" s="559">
        <v>1</v>
      </c>
    </row>
    <row r="19346" spans="1:18" ht="24">
      <c r="A19346" s="555">
        <v>1725</v>
      </c>
      <c r="B19346" s="552" t="s">
        <v>35090</v>
      </c>
      <c r="C19346" s="556" t="s">
        <v>35091</v>
      </c>
      <c r="D19346" s="557">
        <v>33.79</v>
      </c>
      <c r="E19346" s="557">
        <v>33.130000000000003</v>
      </c>
      <c r="F19346" s="557"/>
      <c r="G19346" s="557">
        <v>0.66</v>
      </c>
      <c r="H19346" s="558">
        <v>388.54</v>
      </c>
      <c r="I19346" s="558">
        <v>380.95</v>
      </c>
      <c r="J19346" s="558"/>
      <c r="K19346" s="558">
        <v>7.59</v>
      </c>
      <c r="L19346" s="43">
        <v>11.498668245042913</v>
      </c>
      <c r="M19346" s="43">
        <v>11.498641714458193</v>
      </c>
      <c r="N19346" s="43" t="s">
        <v>1690</v>
      </c>
      <c r="O19346" s="43">
        <v>11.5</v>
      </c>
      <c r="P19346" s="559"/>
      <c r="Q19346" s="559"/>
      <c r="R19346" s="559">
        <v>1</v>
      </c>
    </row>
    <row r="19347" spans="1:18" ht="24">
      <c r="A19347" s="555">
        <v>1726</v>
      </c>
      <c r="B19347" s="552" t="s">
        <v>35092</v>
      </c>
      <c r="C19347" s="556" t="s">
        <v>35093</v>
      </c>
      <c r="D19347" s="557">
        <v>20.28</v>
      </c>
      <c r="E19347" s="557">
        <v>19.88</v>
      </c>
      <c r="F19347" s="557"/>
      <c r="G19347" s="557">
        <v>0.4</v>
      </c>
      <c r="H19347" s="558">
        <v>233.17</v>
      </c>
      <c r="I19347" s="558">
        <v>228.57</v>
      </c>
      <c r="J19347" s="558"/>
      <c r="K19347" s="558">
        <v>4.5999999999999996</v>
      </c>
      <c r="L19347" s="43">
        <v>11.497534516765285</v>
      </c>
      <c r="M19347" s="43">
        <v>11.497484909456741</v>
      </c>
      <c r="N19347" s="43" t="s">
        <v>1690</v>
      </c>
      <c r="O19347" s="43">
        <v>11.499999999999998</v>
      </c>
      <c r="P19347" s="559"/>
      <c r="Q19347" s="559"/>
      <c r="R19347" s="559">
        <v>1</v>
      </c>
    </row>
    <row r="19348" spans="1:18" ht="24">
      <c r="A19348" s="555">
        <v>1727</v>
      </c>
      <c r="B19348" s="552" t="s">
        <v>35094</v>
      </c>
      <c r="C19348" s="556" t="s">
        <v>35095</v>
      </c>
      <c r="D19348" s="557">
        <v>29.73</v>
      </c>
      <c r="E19348" s="557">
        <v>29.15</v>
      </c>
      <c r="F19348" s="557"/>
      <c r="G19348" s="557">
        <v>0.57999999999999996</v>
      </c>
      <c r="H19348" s="558">
        <v>341.91</v>
      </c>
      <c r="I19348" s="558">
        <v>335.24</v>
      </c>
      <c r="J19348" s="558"/>
      <c r="K19348" s="558">
        <v>6.67</v>
      </c>
      <c r="L19348" s="43">
        <v>11.50050454086781</v>
      </c>
      <c r="M19348" s="43">
        <v>11.500514579759864</v>
      </c>
      <c r="N19348" s="43" t="s">
        <v>1690</v>
      </c>
      <c r="O19348" s="43">
        <v>11.5</v>
      </c>
      <c r="P19348" s="559"/>
      <c r="Q19348" s="559"/>
      <c r="R19348" s="559">
        <v>1</v>
      </c>
    </row>
    <row r="19349" spans="1:18" ht="24">
      <c r="A19349" s="555">
        <v>1728</v>
      </c>
      <c r="B19349" s="552" t="s">
        <v>35096</v>
      </c>
      <c r="C19349" s="556" t="s">
        <v>35097</v>
      </c>
      <c r="D19349" s="557">
        <v>12.43</v>
      </c>
      <c r="E19349" s="557">
        <v>12.19</v>
      </c>
      <c r="F19349" s="557"/>
      <c r="G19349" s="557">
        <v>0.24</v>
      </c>
      <c r="H19349" s="558">
        <v>142.94999999999999</v>
      </c>
      <c r="I19349" s="558">
        <v>140.19</v>
      </c>
      <c r="J19349" s="558"/>
      <c r="K19349" s="558">
        <v>2.76</v>
      </c>
      <c r="L19349" s="43">
        <v>11.500402252614641</v>
      </c>
      <c r="M19349" s="43">
        <v>11.500410172272355</v>
      </c>
      <c r="N19349" s="43" t="s">
        <v>1690</v>
      </c>
      <c r="O19349" s="43">
        <v>11.5</v>
      </c>
      <c r="P19349" s="559"/>
      <c r="Q19349" s="559"/>
      <c r="R19349" s="559">
        <v>1</v>
      </c>
    </row>
    <row r="19350" spans="1:18" ht="12.75" customHeight="1">
      <c r="A19350" s="628" t="s">
        <v>35098</v>
      </c>
      <c r="B19350" s="629"/>
      <c r="C19350" s="629"/>
      <c r="D19350" s="629"/>
      <c r="E19350" s="629"/>
      <c r="F19350" s="629"/>
      <c r="G19350" s="629"/>
      <c r="H19350" s="629"/>
      <c r="I19350" s="629"/>
      <c r="J19350" s="629"/>
      <c r="K19350" s="629"/>
      <c r="L19350" s="629"/>
      <c r="M19350" s="629"/>
      <c r="N19350" s="629"/>
      <c r="O19350" s="629"/>
      <c r="P19350" s="629"/>
      <c r="Q19350" s="629"/>
      <c r="R19350" s="629"/>
    </row>
    <row r="19351" spans="1:18" ht="24">
      <c r="A19351" s="555">
        <v>1729</v>
      </c>
      <c r="B19351" s="552" t="s">
        <v>35099</v>
      </c>
      <c r="C19351" s="556" t="s">
        <v>35100</v>
      </c>
      <c r="D19351" s="557">
        <v>1.29</v>
      </c>
      <c r="E19351" s="557">
        <v>1.26</v>
      </c>
      <c r="F19351" s="557"/>
      <c r="G19351" s="557">
        <v>0.03</v>
      </c>
      <c r="H19351" s="558">
        <v>14.89</v>
      </c>
      <c r="I19351" s="558">
        <v>14.54</v>
      </c>
      <c r="J19351" s="558"/>
      <c r="K19351" s="558">
        <v>0.35</v>
      </c>
      <c r="L19351" s="43">
        <v>11.503164556962025</v>
      </c>
      <c r="M19351" s="43">
        <v>11.498253783469149</v>
      </c>
      <c r="N19351" s="43" t="s">
        <v>1690</v>
      </c>
      <c r="O19351" s="43">
        <v>11.503164556962025</v>
      </c>
      <c r="P19351" s="559"/>
      <c r="Q19351" s="559"/>
      <c r="R19351" s="559">
        <v>2</v>
      </c>
    </row>
    <row r="19352" spans="1:18" ht="24">
      <c r="A19352" s="555">
        <v>1730</v>
      </c>
      <c r="B19352" s="552" t="s">
        <v>35101</v>
      </c>
      <c r="C19352" s="556" t="s">
        <v>35102</v>
      </c>
      <c r="D19352" s="557">
        <v>1.52</v>
      </c>
      <c r="E19352" s="557">
        <v>1.49</v>
      </c>
      <c r="F19352" s="557"/>
      <c r="G19352" s="557">
        <v>0.03</v>
      </c>
      <c r="H19352" s="558">
        <v>17.53</v>
      </c>
      <c r="I19352" s="558">
        <v>17.18</v>
      </c>
      <c r="J19352" s="558"/>
      <c r="K19352" s="558">
        <v>0.35</v>
      </c>
      <c r="L19352" s="43">
        <v>11.503164556962025</v>
      </c>
      <c r="M19352" s="43">
        <v>11.498253783469149</v>
      </c>
      <c r="N19352" s="43" t="s">
        <v>1690</v>
      </c>
      <c r="O19352" s="43">
        <v>11.503164556962025</v>
      </c>
      <c r="P19352" s="559"/>
      <c r="Q19352" s="559"/>
      <c r="R19352" s="559">
        <v>2</v>
      </c>
    </row>
    <row r="19353" spans="1:18" ht="24">
      <c r="A19353" s="555">
        <v>1731</v>
      </c>
      <c r="B19353" s="552" t="s">
        <v>35103</v>
      </c>
      <c r="C19353" s="556" t="s">
        <v>35104</v>
      </c>
      <c r="D19353" s="557">
        <v>5.86</v>
      </c>
      <c r="E19353" s="557">
        <v>5.75</v>
      </c>
      <c r="F19353" s="557"/>
      <c r="G19353" s="557">
        <v>0.11</v>
      </c>
      <c r="H19353" s="558">
        <v>67.34</v>
      </c>
      <c r="I19353" s="558">
        <v>66.069999999999993</v>
      </c>
      <c r="J19353" s="558"/>
      <c r="K19353" s="558">
        <v>1.27</v>
      </c>
      <c r="L19353" s="43">
        <v>11.503164556962025</v>
      </c>
      <c r="M19353" s="43">
        <v>11.498253783469149</v>
      </c>
      <c r="N19353" s="43" t="s">
        <v>1690</v>
      </c>
      <c r="O19353" s="43">
        <v>11.503164556962025</v>
      </c>
      <c r="P19353" s="559"/>
      <c r="Q19353" s="559"/>
      <c r="R19353" s="559">
        <v>2</v>
      </c>
    </row>
    <row r="19354" spans="1:18" ht="12.75" customHeight="1">
      <c r="A19354" s="628" t="s">
        <v>35105</v>
      </c>
      <c r="B19354" s="629"/>
      <c r="C19354" s="629"/>
      <c r="D19354" s="629"/>
      <c r="E19354" s="629"/>
      <c r="F19354" s="629"/>
      <c r="G19354" s="629"/>
      <c r="H19354" s="629"/>
      <c r="I19354" s="629"/>
      <c r="J19354" s="629"/>
      <c r="K19354" s="629"/>
      <c r="L19354" s="629"/>
      <c r="M19354" s="629"/>
      <c r="N19354" s="629"/>
      <c r="O19354" s="629"/>
      <c r="P19354" s="629"/>
      <c r="Q19354" s="629"/>
      <c r="R19354" s="629"/>
    </row>
    <row r="19355" spans="1:18" ht="24">
      <c r="A19355" s="555">
        <v>1732</v>
      </c>
      <c r="B19355" s="552" t="s">
        <v>35106</v>
      </c>
      <c r="C19355" s="556" t="s">
        <v>35107</v>
      </c>
      <c r="D19355" s="557">
        <v>58.6</v>
      </c>
      <c r="E19355" s="557">
        <v>57.45</v>
      </c>
      <c r="F19355" s="557"/>
      <c r="G19355" s="557">
        <v>1.1499999999999999</v>
      </c>
      <c r="H19355" s="558">
        <v>673.93</v>
      </c>
      <c r="I19355" s="558">
        <v>660.7</v>
      </c>
      <c r="J19355" s="558"/>
      <c r="K19355" s="558">
        <v>13.23</v>
      </c>
      <c r="L19355" s="43">
        <v>11.500511945392491</v>
      </c>
      <c r="M19355" s="43">
        <v>11.500435161009573</v>
      </c>
      <c r="N19355" s="43" t="s">
        <v>1690</v>
      </c>
      <c r="O19355" s="43">
        <v>11.504347826086958</v>
      </c>
      <c r="P19355" s="559"/>
      <c r="Q19355" s="559"/>
      <c r="R19355" s="559">
        <v>3</v>
      </c>
    </row>
    <row r="19356" spans="1:18" ht="24">
      <c r="A19356" s="555">
        <v>1733</v>
      </c>
      <c r="B19356" s="552" t="s">
        <v>35108</v>
      </c>
      <c r="C19356" s="556" t="s">
        <v>35109</v>
      </c>
      <c r="D19356" s="557">
        <v>37.51</v>
      </c>
      <c r="E19356" s="557">
        <v>36.770000000000003</v>
      </c>
      <c r="F19356" s="557"/>
      <c r="G19356" s="557">
        <v>0.74</v>
      </c>
      <c r="H19356" s="558">
        <v>431.36</v>
      </c>
      <c r="I19356" s="558">
        <v>422.85</v>
      </c>
      <c r="J19356" s="558"/>
      <c r="K19356" s="558">
        <v>8.51</v>
      </c>
      <c r="L19356" s="43">
        <v>11.499866702212744</v>
      </c>
      <c r="M19356" s="43">
        <v>11.49986401958118</v>
      </c>
      <c r="N19356" s="43" t="s">
        <v>1690</v>
      </c>
      <c r="O19356" s="43">
        <v>11.5</v>
      </c>
      <c r="P19356" s="559"/>
      <c r="Q19356" s="559"/>
      <c r="R19356" s="559">
        <v>3</v>
      </c>
    </row>
    <row r="19357" spans="1:18" ht="12.75" customHeight="1">
      <c r="A19357" s="628" t="s">
        <v>35110</v>
      </c>
      <c r="B19357" s="629"/>
      <c r="C19357" s="629"/>
      <c r="D19357" s="629"/>
      <c r="E19357" s="629"/>
      <c r="F19357" s="629"/>
      <c r="G19357" s="629"/>
      <c r="H19357" s="629"/>
      <c r="I19357" s="629"/>
      <c r="J19357" s="629"/>
      <c r="K19357" s="629"/>
      <c r="L19357" s="629"/>
      <c r="M19357" s="629"/>
      <c r="N19357" s="629"/>
      <c r="O19357" s="629"/>
      <c r="P19357" s="629"/>
      <c r="Q19357" s="629"/>
      <c r="R19357" s="629"/>
    </row>
    <row r="19358" spans="1:18" ht="24">
      <c r="A19358" s="555">
        <v>1734</v>
      </c>
      <c r="B19358" s="552" t="s">
        <v>35111</v>
      </c>
      <c r="C19358" s="556" t="s">
        <v>35112</v>
      </c>
      <c r="D19358" s="557">
        <v>20.28</v>
      </c>
      <c r="E19358" s="557">
        <v>19.88</v>
      </c>
      <c r="F19358" s="557"/>
      <c r="G19358" s="557">
        <v>0.4</v>
      </c>
      <c r="H19358" s="558">
        <v>233.17</v>
      </c>
      <c r="I19358" s="558">
        <v>228.57</v>
      </c>
      <c r="J19358" s="558"/>
      <c r="K19358" s="558">
        <v>4.5999999999999996</v>
      </c>
      <c r="L19358" s="43">
        <v>11.497534516765285</v>
      </c>
      <c r="M19358" s="43">
        <v>11.497484909456741</v>
      </c>
      <c r="N19358" s="43" t="s">
        <v>1690</v>
      </c>
      <c r="O19358" s="43">
        <v>11.499999999999998</v>
      </c>
      <c r="P19358" s="559"/>
      <c r="Q19358" s="559"/>
      <c r="R19358" s="559">
        <v>4</v>
      </c>
    </row>
    <row r="19359" spans="1:18" ht="24">
      <c r="A19359" s="555">
        <v>1735</v>
      </c>
      <c r="B19359" s="552" t="s">
        <v>35113</v>
      </c>
      <c r="C19359" s="556" t="s">
        <v>35114</v>
      </c>
      <c r="D19359" s="557">
        <v>28.39</v>
      </c>
      <c r="E19359" s="557">
        <v>27.83</v>
      </c>
      <c r="F19359" s="557"/>
      <c r="G19359" s="557">
        <v>0.56000000000000005</v>
      </c>
      <c r="H19359" s="558">
        <v>326.44</v>
      </c>
      <c r="I19359" s="558">
        <v>320</v>
      </c>
      <c r="J19359" s="558"/>
      <c r="K19359" s="558">
        <v>6.44</v>
      </c>
      <c r="L19359" s="43">
        <v>11.498414934836209</v>
      </c>
      <c r="M19359" s="43">
        <v>11.498383039885017</v>
      </c>
      <c r="N19359" s="43" t="s">
        <v>1690</v>
      </c>
      <c r="O19359" s="43">
        <v>11.5</v>
      </c>
      <c r="P19359" s="559"/>
      <c r="Q19359" s="559"/>
      <c r="R19359" s="559">
        <v>4</v>
      </c>
    </row>
    <row r="19360" spans="1:18" ht="24">
      <c r="A19360" s="555">
        <v>1736</v>
      </c>
      <c r="B19360" s="552" t="s">
        <v>35115</v>
      </c>
      <c r="C19360" s="556" t="s">
        <v>35116</v>
      </c>
      <c r="D19360" s="557">
        <v>10.81</v>
      </c>
      <c r="E19360" s="557">
        <v>10.6</v>
      </c>
      <c r="F19360" s="557"/>
      <c r="G19360" s="557">
        <v>0.21</v>
      </c>
      <c r="H19360" s="558">
        <v>124.32</v>
      </c>
      <c r="I19360" s="558">
        <v>121.9</v>
      </c>
      <c r="J19360" s="558"/>
      <c r="K19360" s="558">
        <v>2.42</v>
      </c>
      <c r="L19360" s="43">
        <v>11.500462534690101</v>
      </c>
      <c r="M19360" s="43">
        <v>11.500000000000002</v>
      </c>
      <c r="N19360" s="43" t="s">
        <v>1690</v>
      </c>
      <c r="O19360" s="43">
        <v>11.503164556962025</v>
      </c>
      <c r="P19360" s="559"/>
      <c r="Q19360" s="559"/>
      <c r="R19360" s="559">
        <v>4</v>
      </c>
    </row>
    <row r="19361" spans="1:18" ht="24">
      <c r="A19361" s="555">
        <v>1737</v>
      </c>
      <c r="B19361" s="552" t="s">
        <v>35117</v>
      </c>
      <c r="C19361" s="556" t="s">
        <v>35118</v>
      </c>
      <c r="D19361" s="557">
        <v>12.43</v>
      </c>
      <c r="E19361" s="557">
        <v>12.19</v>
      </c>
      <c r="F19361" s="557"/>
      <c r="G19361" s="557">
        <v>0.24</v>
      </c>
      <c r="H19361" s="558">
        <v>142.94999999999999</v>
      </c>
      <c r="I19361" s="558">
        <v>140.19</v>
      </c>
      <c r="J19361" s="558"/>
      <c r="K19361" s="558">
        <v>2.76</v>
      </c>
      <c r="L19361" s="43">
        <v>11.500402252614641</v>
      </c>
      <c r="M19361" s="43">
        <v>11.500410172272355</v>
      </c>
      <c r="N19361" s="43" t="s">
        <v>1690</v>
      </c>
      <c r="O19361" s="43">
        <v>11.5</v>
      </c>
      <c r="P19361" s="559"/>
      <c r="Q19361" s="559"/>
      <c r="R19361" s="559">
        <v>4</v>
      </c>
    </row>
    <row r="19362" spans="1:18" ht="12.75" customHeight="1">
      <c r="A19362" s="628" t="s">
        <v>35119</v>
      </c>
      <c r="B19362" s="629"/>
      <c r="C19362" s="629"/>
      <c r="D19362" s="629"/>
      <c r="E19362" s="629"/>
      <c r="F19362" s="629"/>
      <c r="G19362" s="629"/>
      <c r="H19362" s="629"/>
      <c r="I19362" s="629"/>
      <c r="J19362" s="629"/>
      <c r="K19362" s="629"/>
      <c r="L19362" s="629"/>
      <c r="M19362" s="629"/>
      <c r="N19362" s="629"/>
      <c r="O19362" s="629"/>
      <c r="P19362" s="629"/>
      <c r="Q19362" s="629"/>
      <c r="R19362" s="629"/>
    </row>
    <row r="19363" spans="1:18" ht="24">
      <c r="A19363" s="555">
        <v>1738</v>
      </c>
      <c r="B19363" s="552" t="s">
        <v>35120</v>
      </c>
      <c r="C19363" s="556" t="s">
        <v>35121</v>
      </c>
      <c r="D19363" s="557">
        <v>12.17</v>
      </c>
      <c r="E19363" s="557">
        <v>11.93</v>
      </c>
      <c r="F19363" s="557"/>
      <c r="G19363" s="557">
        <v>0.24</v>
      </c>
      <c r="H19363" s="558">
        <v>139.9</v>
      </c>
      <c r="I19363" s="558">
        <v>137.13999999999999</v>
      </c>
      <c r="J19363" s="558"/>
      <c r="K19363" s="558">
        <v>2.76</v>
      </c>
      <c r="L19363" s="43">
        <v>11.495480690221857</v>
      </c>
      <c r="M19363" s="43">
        <v>11.495389773679799</v>
      </c>
      <c r="N19363" s="43" t="s">
        <v>1690</v>
      </c>
      <c r="O19363" s="43">
        <v>11.5</v>
      </c>
      <c r="P19363" s="559"/>
      <c r="Q19363" s="559"/>
      <c r="R19363" s="559">
        <v>5</v>
      </c>
    </row>
    <row r="19364" spans="1:18" ht="24">
      <c r="A19364" s="560">
        <v>1739</v>
      </c>
      <c r="B19364" s="561" t="s">
        <v>35122</v>
      </c>
      <c r="C19364" s="562" t="s">
        <v>35123</v>
      </c>
      <c r="D19364" s="563">
        <v>18.920000000000002</v>
      </c>
      <c r="E19364" s="563">
        <v>18.55</v>
      </c>
      <c r="F19364" s="563"/>
      <c r="G19364" s="563">
        <v>0.37</v>
      </c>
      <c r="H19364" s="564">
        <v>217.59</v>
      </c>
      <c r="I19364" s="564">
        <v>213.33</v>
      </c>
      <c r="J19364" s="564"/>
      <c r="K19364" s="564">
        <v>4.26</v>
      </c>
      <c r="L19364" s="611">
        <v>11.500528541226215</v>
      </c>
      <c r="M19364" s="611">
        <v>11.500269541778977</v>
      </c>
      <c r="N19364" s="611" t="s">
        <v>1690</v>
      </c>
      <c r="O19364" s="43">
        <v>11.503164556962025</v>
      </c>
      <c r="P19364" s="565"/>
      <c r="Q19364" s="565"/>
      <c r="R19364" s="565">
        <v>5</v>
      </c>
    </row>
    <row r="19365" spans="1:18" ht="12.75" customHeight="1">
      <c r="A19365" s="630" t="s">
        <v>35124</v>
      </c>
      <c r="B19365" s="631"/>
      <c r="C19365" s="631"/>
      <c r="D19365" s="631"/>
      <c r="E19365" s="631"/>
      <c r="F19365" s="631"/>
      <c r="G19365" s="631"/>
      <c r="H19365" s="631"/>
      <c r="I19365" s="631"/>
      <c r="J19365" s="631"/>
      <c r="K19365" s="631"/>
      <c r="L19365" s="631"/>
      <c r="M19365" s="631"/>
      <c r="N19365" s="631"/>
      <c r="O19365" s="631"/>
      <c r="P19365" s="631"/>
      <c r="Q19365" s="631"/>
      <c r="R19365" s="631"/>
    </row>
    <row r="19366" spans="1:18" ht="12.75" customHeight="1">
      <c r="A19366" s="628" t="s">
        <v>35125</v>
      </c>
      <c r="B19366" s="629"/>
      <c r="C19366" s="629"/>
      <c r="D19366" s="629"/>
      <c r="E19366" s="629"/>
      <c r="F19366" s="629"/>
      <c r="G19366" s="629"/>
      <c r="H19366" s="629"/>
      <c r="I19366" s="629"/>
      <c r="J19366" s="629"/>
      <c r="K19366" s="629"/>
      <c r="L19366" s="629"/>
      <c r="M19366" s="629"/>
      <c r="N19366" s="629"/>
      <c r="O19366" s="629"/>
      <c r="P19366" s="629"/>
      <c r="Q19366" s="629"/>
      <c r="R19366" s="629"/>
    </row>
    <row r="19367" spans="1:18" ht="36">
      <c r="A19367" s="555">
        <v>1740</v>
      </c>
      <c r="B19367" s="552" t="s">
        <v>35126</v>
      </c>
      <c r="C19367" s="556" t="s">
        <v>35127</v>
      </c>
      <c r="D19367" s="557">
        <v>7.3</v>
      </c>
      <c r="E19367" s="557">
        <v>7.16</v>
      </c>
      <c r="F19367" s="557"/>
      <c r="G19367" s="557">
        <v>0.14000000000000001</v>
      </c>
      <c r="H19367" s="558">
        <v>83.9</v>
      </c>
      <c r="I19367" s="558">
        <v>82.29</v>
      </c>
      <c r="J19367" s="558"/>
      <c r="K19367" s="558">
        <v>1.61</v>
      </c>
      <c r="L19367" s="43">
        <v>11.503164556962025</v>
      </c>
      <c r="M19367" s="43">
        <v>11.498253783469149</v>
      </c>
      <c r="N19367" s="43" t="s">
        <v>1690</v>
      </c>
      <c r="O19367" s="43">
        <v>11.503164556962025</v>
      </c>
      <c r="P19367" s="559"/>
      <c r="Q19367" s="559"/>
      <c r="R19367" s="559">
        <v>1</v>
      </c>
    </row>
    <row r="19368" spans="1:18" ht="36">
      <c r="A19368" s="555">
        <v>1741</v>
      </c>
      <c r="B19368" s="552" t="s">
        <v>35128</v>
      </c>
      <c r="C19368" s="556" t="s">
        <v>35129</v>
      </c>
      <c r="D19368" s="557">
        <v>7.44</v>
      </c>
      <c r="E19368" s="557">
        <v>7.29</v>
      </c>
      <c r="F19368" s="557"/>
      <c r="G19368" s="557">
        <v>0.15</v>
      </c>
      <c r="H19368" s="558">
        <v>85.54</v>
      </c>
      <c r="I19368" s="558">
        <v>83.81</v>
      </c>
      <c r="J19368" s="558"/>
      <c r="K19368" s="558">
        <v>1.73</v>
      </c>
      <c r="L19368" s="43">
        <v>11.503164556962025</v>
      </c>
      <c r="M19368" s="43">
        <v>11.496570644718792</v>
      </c>
      <c r="N19368" s="43" t="s">
        <v>1690</v>
      </c>
      <c r="O19368" s="43">
        <v>11.503164556962025</v>
      </c>
      <c r="P19368" s="559"/>
      <c r="Q19368" s="559"/>
      <c r="R19368" s="559">
        <v>1</v>
      </c>
    </row>
    <row r="19369" spans="1:18" ht="36">
      <c r="A19369" s="555">
        <v>1742</v>
      </c>
      <c r="B19369" s="552" t="s">
        <v>35130</v>
      </c>
      <c r="C19369" s="556" t="s">
        <v>35131</v>
      </c>
      <c r="D19369" s="557">
        <v>7.57</v>
      </c>
      <c r="E19369" s="557">
        <v>7.42</v>
      </c>
      <c r="F19369" s="557"/>
      <c r="G19369" s="557">
        <v>0.15</v>
      </c>
      <c r="H19369" s="558">
        <v>87.06</v>
      </c>
      <c r="I19369" s="558">
        <v>85.33</v>
      </c>
      <c r="J19369" s="558"/>
      <c r="K19369" s="558">
        <v>1.73</v>
      </c>
      <c r="L19369" s="43">
        <v>11.503164556962025</v>
      </c>
      <c r="M19369" s="43">
        <v>11.5</v>
      </c>
      <c r="N19369" s="43" t="s">
        <v>1690</v>
      </c>
      <c r="O19369" s="43">
        <v>11.503164556962025</v>
      </c>
      <c r="P19369" s="559"/>
      <c r="Q19369" s="559"/>
      <c r="R19369" s="559">
        <v>1</v>
      </c>
    </row>
    <row r="19370" spans="1:18" ht="36">
      <c r="A19370" s="555">
        <v>1743</v>
      </c>
      <c r="B19370" s="552" t="s">
        <v>35132</v>
      </c>
      <c r="C19370" s="556" t="s">
        <v>35133</v>
      </c>
      <c r="D19370" s="557">
        <v>7.7</v>
      </c>
      <c r="E19370" s="557">
        <v>7.55</v>
      </c>
      <c r="F19370" s="557"/>
      <c r="G19370" s="557">
        <v>0.15</v>
      </c>
      <c r="H19370" s="558">
        <v>88.59</v>
      </c>
      <c r="I19370" s="558">
        <v>86.86</v>
      </c>
      <c r="J19370" s="558"/>
      <c r="K19370" s="558">
        <v>1.73</v>
      </c>
      <c r="L19370" s="43">
        <v>11.503164556962025</v>
      </c>
      <c r="M19370" s="43">
        <v>11.504635761589403</v>
      </c>
      <c r="N19370" s="43" t="s">
        <v>1690</v>
      </c>
      <c r="O19370" s="43">
        <v>11.503164556962025</v>
      </c>
      <c r="P19370" s="559"/>
      <c r="Q19370" s="559"/>
      <c r="R19370" s="559">
        <v>1</v>
      </c>
    </row>
    <row r="19371" spans="1:18" ht="36">
      <c r="A19371" s="555">
        <v>1744</v>
      </c>
      <c r="B19371" s="552" t="s">
        <v>35134</v>
      </c>
      <c r="C19371" s="556" t="s">
        <v>35135</v>
      </c>
      <c r="D19371" s="557">
        <v>7.84</v>
      </c>
      <c r="E19371" s="557">
        <v>7.69</v>
      </c>
      <c r="F19371" s="557"/>
      <c r="G19371" s="557">
        <v>0.15</v>
      </c>
      <c r="H19371" s="558">
        <v>90.11</v>
      </c>
      <c r="I19371" s="558">
        <v>88.38</v>
      </c>
      <c r="J19371" s="558"/>
      <c r="K19371" s="558">
        <v>1.73</v>
      </c>
      <c r="L19371" s="43">
        <v>11.503164556962025</v>
      </c>
      <c r="M19371" s="43">
        <v>11.498253783469149</v>
      </c>
      <c r="N19371" s="43" t="s">
        <v>1690</v>
      </c>
      <c r="O19371" s="43">
        <v>11.503164556962025</v>
      </c>
      <c r="P19371" s="559"/>
      <c r="Q19371" s="559"/>
      <c r="R19371" s="559">
        <v>1</v>
      </c>
    </row>
    <row r="19372" spans="1:18" ht="36">
      <c r="A19372" s="555">
        <v>1745</v>
      </c>
      <c r="B19372" s="552" t="s">
        <v>35136</v>
      </c>
      <c r="C19372" s="556" t="s">
        <v>35137</v>
      </c>
      <c r="D19372" s="557">
        <v>7.98</v>
      </c>
      <c r="E19372" s="557">
        <v>7.82</v>
      </c>
      <c r="F19372" s="557"/>
      <c r="G19372" s="557">
        <v>0.16</v>
      </c>
      <c r="H19372" s="558">
        <v>91.74</v>
      </c>
      <c r="I19372" s="558">
        <v>89.9</v>
      </c>
      <c r="J19372" s="558"/>
      <c r="K19372" s="558">
        <v>1.84</v>
      </c>
      <c r="L19372" s="43">
        <v>11.503164556962025</v>
      </c>
      <c r="M19372" s="43">
        <v>11.49616368286445</v>
      </c>
      <c r="N19372" s="43" t="s">
        <v>1690</v>
      </c>
      <c r="O19372" s="43">
        <v>11.503164556962025</v>
      </c>
      <c r="P19372" s="559"/>
      <c r="Q19372" s="559"/>
      <c r="R19372" s="559">
        <v>1</v>
      </c>
    </row>
    <row r="19373" spans="1:18" ht="36">
      <c r="A19373" s="555">
        <v>1746</v>
      </c>
      <c r="B19373" s="552" t="s">
        <v>35138</v>
      </c>
      <c r="C19373" s="556" t="s">
        <v>35139</v>
      </c>
      <c r="D19373" s="557">
        <v>8.11</v>
      </c>
      <c r="E19373" s="557">
        <v>7.95</v>
      </c>
      <c r="F19373" s="557"/>
      <c r="G19373" s="557">
        <v>0.16</v>
      </c>
      <c r="H19373" s="558">
        <v>93.27</v>
      </c>
      <c r="I19373" s="558">
        <v>91.43</v>
      </c>
      <c r="J19373" s="558"/>
      <c r="K19373" s="558">
        <v>1.84</v>
      </c>
      <c r="L19373" s="43">
        <v>11.503164556962025</v>
      </c>
      <c r="M19373" s="43">
        <v>11.50062893081761</v>
      </c>
      <c r="N19373" s="43" t="s">
        <v>1690</v>
      </c>
      <c r="O19373" s="43">
        <v>11.503164556962025</v>
      </c>
      <c r="P19373" s="559"/>
      <c r="Q19373" s="559"/>
      <c r="R19373" s="559">
        <v>1</v>
      </c>
    </row>
    <row r="19374" spans="1:18" ht="36">
      <c r="A19374" s="555">
        <v>1747</v>
      </c>
      <c r="B19374" s="552" t="s">
        <v>35140</v>
      </c>
      <c r="C19374" s="556" t="s">
        <v>35141</v>
      </c>
      <c r="D19374" s="557">
        <v>8.3800000000000008</v>
      </c>
      <c r="E19374" s="557">
        <v>8.2200000000000006</v>
      </c>
      <c r="F19374" s="557"/>
      <c r="G19374" s="557">
        <v>0.16</v>
      </c>
      <c r="H19374" s="558">
        <v>96.32</v>
      </c>
      <c r="I19374" s="558">
        <v>94.48</v>
      </c>
      <c r="J19374" s="558"/>
      <c r="K19374" s="558">
        <v>1.84</v>
      </c>
      <c r="L19374" s="43">
        <v>11.503164556962025</v>
      </c>
      <c r="M19374" s="43">
        <v>11.498253783469149</v>
      </c>
      <c r="N19374" s="43" t="s">
        <v>1690</v>
      </c>
      <c r="O19374" s="43">
        <v>11.503164556962025</v>
      </c>
      <c r="P19374" s="559"/>
      <c r="Q19374" s="559"/>
      <c r="R19374" s="559">
        <v>1</v>
      </c>
    </row>
    <row r="19375" spans="1:18" ht="36">
      <c r="A19375" s="555">
        <v>1748</v>
      </c>
      <c r="B19375" s="552" t="s">
        <v>35142</v>
      </c>
      <c r="C19375" s="556" t="s">
        <v>35143</v>
      </c>
      <c r="D19375" s="557">
        <v>8.65</v>
      </c>
      <c r="E19375" s="557">
        <v>8.48</v>
      </c>
      <c r="F19375" s="557"/>
      <c r="G19375" s="557">
        <v>0.17</v>
      </c>
      <c r="H19375" s="558">
        <v>99.48</v>
      </c>
      <c r="I19375" s="558">
        <v>97.52</v>
      </c>
      <c r="J19375" s="558"/>
      <c r="K19375" s="558">
        <v>1.96</v>
      </c>
      <c r="L19375" s="43">
        <v>11.503164556962025</v>
      </c>
      <c r="M19375" s="43">
        <v>11.498253783469149</v>
      </c>
      <c r="N19375" s="43" t="s">
        <v>1690</v>
      </c>
      <c r="O19375" s="43">
        <v>11.503164556962025</v>
      </c>
      <c r="P19375" s="559"/>
      <c r="Q19375" s="559"/>
      <c r="R19375" s="559">
        <v>1</v>
      </c>
    </row>
    <row r="19376" spans="1:18" ht="36">
      <c r="A19376" s="555">
        <v>1749</v>
      </c>
      <c r="B19376" s="552" t="s">
        <v>35144</v>
      </c>
      <c r="C19376" s="556" t="s">
        <v>35145</v>
      </c>
      <c r="D19376" s="557">
        <v>8.92</v>
      </c>
      <c r="E19376" s="557">
        <v>8.75</v>
      </c>
      <c r="F19376" s="557"/>
      <c r="G19376" s="557">
        <v>0.17</v>
      </c>
      <c r="H19376" s="558">
        <v>102.53</v>
      </c>
      <c r="I19376" s="558">
        <v>100.57</v>
      </c>
      <c r="J19376" s="558"/>
      <c r="K19376" s="558">
        <v>1.96</v>
      </c>
      <c r="L19376" s="43">
        <v>11.503164556962025</v>
      </c>
      <c r="M19376" s="43">
        <v>11.498253783469149</v>
      </c>
      <c r="N19376" s="43" t="s">
        <v>1690</v>
      </c>
      <c r="O19376" s="43">
        <v>11.503164556962025</v>
      </c>
      <c r="P19376" s="559"/>
      <c r="Q19376" s="559"/>
      <c r="R19376" s="559">
        <v>1</v>
      </c>
    </row>
    <row r="19377" spans="1:18" ht="36">
      <c r="A19377" s="555">
        <v>1750</v>
      </c>
      <c r="B19377" s="552" t="s">
        <v>35146</v>
      </c>
      <c r="C19377" s="556" t="s">
        <v>35147</v>
      </c>
      <c r="D19377" s="557">
        <v>9.4700000000000006</v>
      </c>
      <c r="E19377" s="557">
        <v>9.2799999999999994</v>
      </c>
      <c r="F19377" s="557"/>
      <c r="G19377" s="557">
        <v>0.19</v>
      </c>
      <c r="H19377" s="558">
        <v>108.86</v>
      </c>
      <c r="I19377" s="558">
        <v>106.67</v>
      </c>
      <c r="J19377" s="558"/>
      <c r="K19377" s="558">
        <v>2.19</v>
      </c>
      <c r="L19377" s="43">
        <v>11.503164556962025</v>
      </c>
      <c r="M19377" s="43">
        <v>11.498253783469149</v>
      </c>
      <c r="N19377" s="43" t="s">
        <v>1690</v>
      </c>
      <c r="O19377" s="43">
        <v>11.503164556962025</v>
      </c>
      <c r="P19377" s="559"/>
      <c r="Q19377" s="559"/>
      <c r="R19377" s="559">
        <v>1</v>
      </c>
    </row>
    <row r="19378" spans="1:18" ht="36">
      <c r="A19378" s="555">
        <v>1751</v>
      </c>
      <c r="B19378" s="552" t="s">
        <v>35148</v>
      </c>
      <c r="C19378" s="556" t="s">
        <v>35149</v>
      </c>
      <c r="D19378" s="557">
        <v>9.4700000000000006</v>
      </c>
      <c r="E19378" s="557">
        <v>9.2799999999999994</v>
      </c>
      <c r="F19378" s="557"/>
      <c r="G19378" s="557">
        <v>0.19</v>
      </c>
      <c r="H19378" s="558">
        <v>108.86</v>
      </c>
      <c r="I19378" s="558">
        <v>106.67</v>
      </c>
      <c r="J19378" s="558"/>
      <c r="K19378" s="558">
        <v>2.19</v>
      </c>
      <c r="L19378" s="43">
        <v>11.503164556962025</v>
      </c>
      <c r="M19378" s="43">
        <v>11.498253783469149</v>
      </c>
      <c r="N19378" s="43" t="s">
        <v>1690</v>
      </c>
      <c r="O19378" s="43">
        <v>11.503164556962025</v>
      </c>
      <c r="P19378" s="559"/>
      <c r="Q19378" s="559"/>
      <c r="R19378" s="559">
        <v>1</v>
      </c>
    </row>
    <row r="19379" spans="1:18" ht="36">
      <c r="A19379" s="555">
        <v>1752</v>
      </c>
      <c r="B19379" s="552" t="s">
        <v>35150</v>
      </c>
      <c r="C19379" s="556" t="s">
        <v>35151</v>
      </c>
      <c r="D19379" s="557">
        <v>9.86</v>
      </c>
      <c r="E19379" s="557">
        <v>9.67</v>
      </c>
      <c r="F19379" s="557"/>
      <c r="G19379" s="557">
        <v>0.19</v>
      </c>
      <c r="H19379" s="558">
        <v>113.43</v>
      </c>
      <c r="I19379" s="558">
        <v>111.24</v>
      </c>
      <c r="J19379" s="558"/>
      <c r="K19379" s="558">
        <v>2.19</v>
      </c>
      <c r="L19379" s="43">
        <v>11.503164556962025</v>
      </c>
      <c r="M19379" s="43">
        <v>11.503619441571871</v>
      </c>
      <c r="N19379" s="43" t="s">
        <v>1690</v>
      </c>
      <c r="O19379" s="43">
        <v>11.503164556962025</v>
      </c>
      <c r="P19379" s="559"/>
      <c r="Q19379" s="559"/>
      <c r="R19379" s="559">
        <v>1</v>
      </c>
    </row>
    <row r="19380" spans="1:18" ht="36">
      <c r="A19380" s="555">
        <v>1753</v>
      </c>
      <c r="B19380" s="552" t="s">
        <v>35152</v>
      </c>
      <c r="C19380" s="556" t="s">
        <v>35153</v>
      </c>
      <c r="D19380" s="557">
        <v>10.14</v>
      </c>
      <c r="E19380" s="557">
        <v>9.94</v>
      </c>
      <c r="F19380" s="557"/>
      <c r="G19380" s="557">
        <v>0.2</v>
      </c>
      <c r="H19380" s="558">
        <v>116.59</v>
      </c>
      <c r="I19380" s="558">
        <v>114.29</v>
      </c>
      <c r="J19380" s="558"/>
      <c r="K19380" s="558">
        <v>2.2999999999999998</v>
      </c>
      <c r="L19380" s="43">
        <v>11.503164556962025</v>
      </c>
      <c r="M19380" s="43">
        <v>11.497987927565394</v>
      </c>
      <c r="N19380" s="43" t="s">
        <v>1690</v>
      </c>
      <c r="O19380" s="43">
        <v>11.503164556962025</v>
      </c>
      <c r="P19380" s="559"/>
      <c r="Q19380" s="559"/>
      <c r="R19380" s="559">
        <v>1</v>
      </c>
    </row>
    <row r="19381" spans="1:18" ht="36">
      <c r="A19381" s="555">
        <v>1754</v>
      </c>
      <c r="B19381" s="552" t="s">
        <v>35154</v>
      </c>
      <c r="C19381" s="556" t="s">
        <v>35155</v>
      </c>
      <c r="D19381" s="557">
        <v>10.81</v>
      </c>
      <c r="E19381" s="557">
        <v>10.6</v>
      </c>
      <c r="F19381" s="557"/>
      <c r="G19381" s="557">
        <v>0.21</v>
      </c>
      <c r="H19381" s="558">
        <v>124.32</v>
      </c>
      <c r="I19381" s="558">
        <v>121.9</v>
      </c>
      <c r="J19381" s="558"/>
      <c r="K19381" s="558">
        <v>2.42</v>
      </c>
      <c r="L19381" s="43">
        <v>11.503164556962025</v>
      </c>
      <c r="M19381" s="43">
        <v>11.500000000000002</v>
      </c>
      <c r="N19381" s="43" t="s">
        <v>1690</v>
      </c>
      <c r="O19381" s="43">
        <v>11.503164556962025</v>
      </c>
      <c r="P19381" s="559"/>
      <c r="Q19381" s="559"/>
      <c r="R19381" s="559">
        <v>1</v>
      </c>
    </row>
    <row r="19382" spans="1:18" ht="36">
      <c r="A19382" s="555">
        <v>1755</v>
      </c>
      <c r="B19382" s="552" t="s">
        <v>35156</v>
      </c>
      <c r="C19382" s="556" t="s">
        <v>35157</v>
      </c>
      <c r="D19382" s="557">
        <v>11.09</v>
      </c>
      <c r="E19382" s="557">
        <v>10.87</v>
      </c>
      <c r="F19382" s="557"/>
      <c r="G19382" s="557">
        <v>0.22</v>
      </c>
      <c r="H19382" s="558">
        <v>127.48</v>
      </c>
      <c r="I19382" s="558">
        <v>124.95</v>
      </c>
      <c r="J19382" s="558"/>
      <c r="K19382" s="558">
        <v>2.5299999999999998</v>
      </c>
      <c r="L19382" s="43">
        <v>11.503164556962025</v>
      </c>
      <c r="M19382" s="43">
        <v>11.498253783469149</v>
      </c>
      <c r="N19382" s="43" t="s">
        <v>1690</v>
      </c>
      <c r="O19382" s="43">
        <v>11.503164556962025</v>
      </c>
      <c r="P19382" s="559"/>
      <c r="Q19382" s="559"/>
      <c r="R19382" s="559">
        <v>1</v>
      </c>
    </row>
    <row r="19383" spans="1:18" ht="36">
      <c r="A19383" s="555">
        <v>1756</v>
      </c>
      <c r="B19383" s="552" t="s">
        <v>35158</v>
      </c>
      <c r="C19383" s="556" t="s">
        <v>35159</v>
      </c>
      <c r="D19383" s="557">
        <v>11.63</v>
      </c>
      <c r="E19383" s="557">
        <v>11.4</v>
      </c>
      <c r="F19383" s="557"/>
      <c r="G19383" s="557">
        <v>0.23</v>
      </c>
      <c r="H19383" s="558">
        <v>133.69999999999999</v>
      </c>
      <c r="I19383" s="558">
        <v>131.05000000000001</v>
      </c>
      <c r="J19383" s="558"/>
      <c r="K19383" s="558">
        <v>2.65</v>
      </c>
      <c r="L19383" s="43">
        <v>11.503164556962025</v>
      </c>
      <c r="M19383" s="43">
        <v>11.495614035087719</v>
      </c>
      <c r="N19383" s="43" t="s">
        <v>1690</v>
      </c>
      <c r="O19383" s="43">
        <v>11.503164556962025</v>
      </c>
      <c r="P19383" s="559"/>
      <c r="Q19383" s="559"/>
      <c r="R19383" s="559">
        <v>1</v>
      </c>
    </row>
    <row r="19384" spans="1:18" ht="36">
      <c r="A19384" s="555">
        <v>1757</v>
      </c>
      <c r="B19384" s="552" t="s">
        <v>35160</v>
      </c>
      <c r="C19384" s="556" t="s">
        <v>35161</v>
      </c>
      <c r="D19384" s="557">
        <v>12.17</v>
      </c>
      <c r="E19384" s="557">
        <v>11.93</v>
      </c>
      <c r="F19384" s="557"/>
      <c r="G19384" s="557">
        <v>0.24</v>
      </c>
      <c r="H19384" s="558">
        <v>139.9</v>
      </c>
      <c r="I19384" s="558">
        <v>137.13999999999999</v>
      </c>
      <c r="J19384" s="558"/>
      <c r="K19384" s="558">
        <v>2.76</v>
      </c>
      <c r="L19384" s="43">
        <v>11.503164556962025</v>
      </c>
      <c r="M19384" s="43">
        <v>11.495389773679799</v>
      </c>
      <c r="N19384" s="43" t="s">
        <v>1690</v>
      </c>
      <c r="O19384" s="43">
        <v>11.503164556962025</v>
      </c>
      <c r="P19384" s="559"/>
      <c r="Q19384" s="559"/>
      <c r="R19384" s="559">
        <v>1</v>
      </c>
    </row>
    <row r="19385" spans="1:18" ht="36">
      <c r="A19385" s="555">
        <v>1758</v>
      </c>
      <c r="B19385" s="552" t="s">
        <v>35162</v>
      </c>
      <c r="C19385" s="556" t="s">
        <v>35163</v>
      </c>
      <c r="D19385" s="557">
        <v>12.84</v>
      </c>
      <c r="E19385" s="557">
        <v>12.59</v>
      </c>
      <c r="F19385" s="557"/>
      <c r="G19385" s="557">
        <v>0.25</v>
      </c>
      <c r="H19385" s="558">
        <v>147.63999999999999</v>
      </c>
      <c r="I19385" s="558">
        <v>144.76</v>
      </c>
      <c r="J19385" s="558"/>
      <c r="K19385" s="558">
        <v>2.88</v>
      </c>
      <c r="L19385" s="43">
        <v>11.503164556962025</v>
      </c>
      <c r="M19385" s="43">
        <v>11.498014297061159</v>
      </c>
      <c r="N19385" s="43" t="s">
        <v>1690</v>
      </c>
      <c r="O19385" s="43">
        <v>11.503164556962025</v>
      </c>
      <c r="P19385" s="559"/>
      <c r="Q19385" s="559"/>
      <c r="R19385" s="559">
        <v>1</v>
      </c>
    </row>
    <row r="19386" spans="1:18" ht="36">
      <c r="A19386" s="555">
        <v>1759</v>
      </c>
      <c r="B19386" s="552" t="s">
        <v>35164</v>
      </c>
      <c r="C19386" s="556" t="s">
        <v>35165</v>
      </c>
      <c r="D19386" s="557">
        <v>13.52</v>
      </c>
      <c r="E19386" s="557">
        <v>13.25</v>
      </c>
      <c r="F19386" s="557"/>
      <c r="G19386" s="557">
        <v>0.27</v>
      </c>
      <c r="H19386" s="558">
        <v>155.49</v>
      </c>
      <c r="I19386" s="558">
        <v>152.38</v>
      </c>
      <c r="J19386" s="558"/>
      <c r="K19386" s="558">
        <v>3.11</v>
      </c>
      <c r="L19386" s="43">
        <v>11.503164556962025</v>
      </c>
      <c r="M19386" s="43">
        <v>11.500377358490566</v>
      </c>
      <c r="N19386" s="43" t="s">
        <v>1690</v>
      </c>
      <c r="O19386" s="43">
        <v>11.503164556962025</v>
      </c>
      <c r="P19386" s="559"/>
      <c r="Q19386" s="559"/>
      <c r="R19386" s="559">
        <v>1</v>
      </c>
    </row>
    <row r="19387" spans="1:18" ht="36">
      <c r="A19387" s="555">
        <v>1760</v>
      </c>
      <c r="B19387" s="552" t="s">
        <v>35166</v>
      </c>
      <c r="C19387" s="556" t="s">
        <v>35167</v>
      </c>
      <c r="D19387" s="557">
        <v>13.52</v>
      </c>
      <c r="E19387" s="557">
        <v>13.25</v>
      </c>
      <c r="F19387" s="557"/>
      <c r="G19387" s="557">
        <v>0.27</v>
      </c>
      <c r="H19387" s="558">
        <v>155.49</v>
      </c>
      <c r="I19387" s="558">
        <v>152.38</v>
      </c>
      <c r="J19387" s="558"/>
      <c r="K19387" s="558">
        <v>3.11</v>
      </c>
      <c r="L19387" s="43">
        <v>11.503164556962025</v>
      </c>
      <c r="M19387" s="43">
        <v>11.500377358490566</v>
      </c>
      <c r="N19387" s="43" t="s">
        <v>1690</v>
      </c>
      <c r="O19387" s="43">
        <v>11.503164556962025</v>
      </c>
      <c r="P19387" s="559"/>
      <c r="Q19387" s="559"/>
      <c r="R19387" s="559">
        <v>1</v>
      </c>
    </row>
    <row r="19388" spans="1:18" ht="36">
      <c r="A19388" s="555">
        <v>1761</v>
      </c>
      <c r="B19388" s="552" t="s">
        <v>35168</v>
      </c>
      <c r="C19388" s="556" t="s">
        <v>35169</v>
      </c>
      <c r="D19388" s="557">
        <v>14.87</v>
      </c>
      <c r="E19388" s="557">
        <v>14.58</v>
      </c>
      <c r="F19388" s="557"/>
      <c r="G19388" s="557">
        <v>0.28999999999999998</v>
      </c>
      <c r="H19388" s="558">
        <v>170.96</v>
      </c>
      <c r="I19388" s="558">
        <v>167.62</v>
      </c>
      <c r="J19388" s="558"/>
      <c r="K19388" s="558">
        <v>3.34</v>
      </c>
      <c r="L19388" s="43">
        <v>11.503164556962025</v>
      </c>
      <c r="M19388" s="43">
        <v>11.496570644718792</v>
      </c>
      <c r="N19388" s="43" t="s">
        <v>1690</v>
      </c>
      <c r="O19388" s="43">
        <v>11.503164556962025</v>
      </c>
      <c r="P19388" s="559"/>
      <c r="Q19388" s="559"/>
      <c r="R19388" s="559">
        <v>1</v>
      </c>
    </row>
    <row r="19389" spans="1:18" ht="36">
      <c r="A19389" s="555">
        <v>1762</v>
      </c>
      <c r="B19389" s="552" t="s">
        <v>35170</v>
      </c>
      <c r="C19389" s="556" t="s">
        <v>35171</v>
      </c>
      <c r="D19389" s="557">
        <v>14.87</v>
      </c>
      <c r="E19389" s="557">
        <v>14.58</v>
      </c>
      <c r="F19389" s="557"/>
      <c r="G19389" s="557">
        <v>0.28999999999999998</v>
      </c>
      <c r="H19389" s="558">
        <v>170.96</v>
      </c>
      <c r="I19389" s="558">
        <v>167.62</v>
      </c>
      <c r="J19389" s="558"/>
      <c r="K19389" s="558">
        <v>3.34</v>
      </c>
      <c r="L19389" s="43">
        <v>11.503164556962025</v>
      </c>
      <c r="M19389" s="43">
        <v>11.496570644718792</v>
      </c>
      <c r="N19389" s="43" t="s">
        <v>1690</v>
      </c>
      <c r="O19389" s="43">
        <v>11.503164556962025</v>
      </c>
      <c r="P19389" s="559"/>
      <c r="Q19389" s="559"/>
      <c r="R19389" s="559">
        <v>1</v>
      </c>
    </row>
    <row r="19390" spans="1:18" ht="36">
      <c r="A19390" s="555">
        <v>1763</v>
      </c>
      <c r="B19390" s="552" t="s">
        <v>35172</v>
      </c>
      <c r="C19390" s="556" t="s">
        <v>35173</v>
      </c>
      <c r="D19390" s="557">
        <v>14.87</v>
      </c>
      <c r="E19390" s="557">
        <v>14.58</v>
      </c>
      <c r="F19390" s="557"/>
      <c r="G19390" s="557">
        <v>0.28999999999999998</v>
      </c>
      <c r="H19390" s="558">
        <v>170.96</v>
      </c>
      <c r="I19390" s="558">
        <v>167.62</v>
      </c>
      <c r="J19390" s="558"/>
      <c r="K19390" s="558">
        <v>3.34</v>
      </c>
      <c r="L19390" s="43">
        <v>11.503164556962025</v>
      </c>
      <c r="M19390" s="43">
        <v>11.496570644718792</v>
      </c>
      <c r="N19390" s="43" t="s">
        <v>1690</v>
      </c>
      <c r="O19390" s="43">
        <v>11.503164556962025</v>
      </c>
      <c r="P19390" s="559"/>
      <c r="Q19390" s="559"/>
      <c r="R19390" s="559">
        <v>1</v>
      </c>
    </row>
    <row r="19391" spans="1:18" ht="36">
      <c r="A19391" s="555">
        <v>1764</v>
      </c>
      <c r="B19391" s="552" t="s">
        <v>35174</v>
      </c>
      <c r="C19391" s="556" t="s">
        <v>35175</v>
      </c>
      <c r="D19391" s="557">
        <v>16.22</v>
      </c>
      <c r="E19391" s="557">
        <v>15.9</v>
      </c>
      <c r="F19391" s="557"/>
      <c r="G19391" s="557">
        <v>0.32</v>
      </c>
      <c r="H19391" s="558">
        <v>186.54</v>
      </c>
      <c r="I19391" s="558">
        <v>182.86</v>
      </c>
      <c r="J19391" s="558"/>
      <c r="K19391" s="558">
        <v>3.68</v>
      </c>
      <c r="L19391" s="43">
        <v>11.503164556962025</v>
      </c>
      <c r="M19391" s="43">
        <v>11.50062893081761</v>
      </c>
      <c r="N19391" s="43" t="s">
        <v>1690</v>
      </c>
      <c r="O19391" s="43">
        <v>11.503164556962025</v>
      </c>
      <c r="P19391" s="559"/>
      <c r="Q19391" s="559"/>
      <c r="R19391" s="559">
        <v>1</v>
      </c>
    </row>
    <row r="19392" spans="1:18" ht="36">
      <c r="A19392" s="555">
        <v>1765</v>
      </c>
      <c r="B19392" s="552" t="s">
        <v>35176</v>
      </c>
      <c r="C19392" s="556" t="s">
        <v>35177</v>
      </c>
      <c r="D19392" s="557">
        <v>17.57</v>
      </c>
      <c r="E19392" s="557">
        <v>17.23</v>
      </c>
      <c r="F19392" s="557"/>
      <c r="G19392" s="557">
        <v>0.34</v>
      </c>
      <c r="H19392" s="558">
        <v>202</v>
      </c>
      <c r="I19392" s="558">
        <v>198.09</v>
      </c>
      <c r="J19392" s="558"/>
      <c r="K19392" s="558">
        <v>3.91</v>
      </c>
      <c r="L19392" s="43">
        <v>11.503164556962025</v>
      </c>
      <c r="M19392" s="43">
        <v>11.496807893209517</v>
      </c>
      <c r="N19392" s="43" t="s">
        <v>1690</v>
      </c>
      <c r="O19392" s="43">
        <v>11.503164556962025</v>
      </c>
      <c r="P19392" s="559"/>
      <c r="Q19392" s="559"/>
      <c r="R19392" s="559">
        <v>1</v>
      </c>
    </row>
    <row r="19393" spans="1:18" ht="36">
      <c r="A19393" s="555">
        <v>1766</v>
      </c>
      <c r="B19393" s="552" t="s">
        <v>35178</v>
      </c>
      <c r="C19393" s="556" t="s">
        <v>35179</v>
      </c>
      <c r="D19393" s="557">
        <v>17.57</v>
      </c>
      <c r="E19393" s="557">
        <v>17.23</v>
      </c>
      <c r="F19393" s="557"/>
      <c r="G19393" s="557">
        <v>0.34</v>
      </c>
      <c r="H19393" s="558">
        <v>202</v>
      </c>
      <c r="I19393" s="558">
        <v>198.09</v>
      </c>
      <c r="J19393" s="558"/>
      <c r="K19393" s="558">
        <v>3.91</v>
      </c>
      <c r="L19393" s="43">
        <v>11.503164556962025</v>
      </c>
      <c r="M19393" s="43">
        <v>11.496807893209517</v>
      </c>
      <c r="N19393" s="43" t="s">
        <v>1690</v>
      </c>
      <c r="O19393" s="43">
        <v>11.503164556962025</v>
      </c>
      <c r="P19393" s="559"/>
      <c r="Q19393" s="559"/>
      <c r="R19393" s="559">
        <v>1</v>
      </c>
    </row>
    <row r="19394" spans="1:18" ht="36">
      <c r="A19394" s="555">
        <v>1767</v>
      </c>
      <c r="B19394" s="552" t="s">
        <v>35180</v>
      </c>
      <c r="C19394" s="556" t="s">
        <v>35181</v>
      </c>
      <c r="D19394" s="557">
        <v>17.57</v>
      </c>
      <c r="E19394" s="557">
        <v>17.23</v>
      </c>
      <c r="F19394" s="557"/>
      <c r="G19394" s="557">
        <v>0.34</v>
      </c>
      <c r="H19394" s="558">
        <v>202</v>
      </c>
      <c r="I19394" s="558">
        <v>198.09</v>
      </c>
      <c r="J19394" s="558"/>
      <c r="K19394" s="558">
        <v>3.91</v>
      </c>
      <c r="L19394" s="43">
        <v>11.503164556962025</v>
      </c>
      <c r="M19394" s="43">
        <v>11.496807893209517</v>
      </c>
      <c r="N19394" s="43" t="s">
        <v>1690</v>
      </c>
      <c r="O19394" s="43">
        <v>11.503164556962025</v>
      </c>
      <c r="P19394" s="559"/>
      <c r="Q19394" s="559"/>
      <c r="R19394" s="559">
        <v>1</v>
      </c>
    </row>
    <row r="19395" spans="1:18" ht="36">
      <c r="A19395" s="555">
        <v>1768</v>
      </c>
      <c r="B19395" s="552" t="s">
        <v>35182</v>
      </c>
      <c r="C19395" s="556" t="s">
        <v>35183</v>
      </c>
      <c r="D19395" s="557">
        <v>18.920000000000002</v>
      </c>
      <c r="E19395" s="557">
        <v>18.55</v>
      </c>
      <c r="F19395" s="557"/>
      <c r="G19395" s="557">
        <v>0.37</v>
      </c>
      <c r="H19395" s="558">
        <v>217.59</v>
      </c>
      <c r="I19395" s="558">
        <v>213.33</v>
      </c>
      <c r="J19395" s="558"/>
      <c r="K19395" s="558">
        <v>4.26</v>
      </c>
      <c r="L19395" s="43">
        <v>11.503164556962025</v>
      </c>
      <c r="M19395" s="43">
        <v>11.500269541778977</v>
      </c>
      <c r="N19395" s="43" t="s">
        <v>1690</v>
      </c>
      <c r="O19395" s="43">
        <v>11.503164556962025</v>
      </c>
      <c r="P19395" s="559"/>
      <c r="Q19395" s="559"/>
      <c r="R19395" s="559">
        <v>1</v>
      </c>
    </row>
    <row r="19396" spans="1:18" ht="36">
      <c r="A19396" s="555">
        <v>1769</v>
      </c>
      <c r="B19396" s="552" t="s">
        <v>35184</v>
      </c>
      <c r="C19396" s="556" t="s">
        <v>35185</v>
      </c>
      <c r="D19396" s="557">
        <v>18.920000000000002</v>
      </c>
      <c r="E19396" s="557">
        <v>18.55</v>
      </c>
      <c r="F19396" s="557"/>
      <c r="G19396" s="557">
        <v>0.37</v>
      </c>
      <c r="H19396" s="558">
        <v>217.59</v>
      </c>
      <c r="I19396" s="558">
        <v>213.33</v>
      </c>
      <c r="J19396" s="558"/>
      <c r="K19396" s="558">
        <v>4.26</v>
      </c>
      <c r="L19396" s="43">
        <v>11.503164556962025</v>
      </c>
      <c r="M19396" s="43">
        <v>11.500269541778977</v>
      </c>
      <c r="N19396" s="43" t="s">
        <v>1690</v>
      </c>
      <c r="O19396" s="43">
        <v>11.503164556962025</v>
      </c>
      <c r="P19396" s="559"/>
      <c r="Q19396" s="559"/>
      <c r="R19396" s="559">
        <v>1</v>
      </c>
    </row>
    <row r="19397" spans="1:18" ht="36">
      <c r="A19397" s="555">
        <v>1770</v>
      </c>
      <c r="B19397" s="552" t="s">
        <v>35186</v>
      </c>
      <c r="C19397" s="556" t="s">
        <v>35187</v>
      </c>
      <c r="D19397" s="557">
        <v>20.28</v>
      </c>
      <c r="E19397" s="557">
        <v>19.88</v>
      </c>
      <c r="F19397" s="557"/>
      <c r="G19397" s="557">
        <v>0.4</v>
      </c>
      <c r="H19397" s="558">
        <v>233.17</v>
      </c>
      <c r="I19397" s="558">
        <v>228.57</v>
      </c>
      <c r="J19397" s="558"/>
      <c r="K19397" s="558">
        <v>4.5999999999999996</v>
      </c>
      <c r="L19397" s="43">
        <v>11.503164556962025</v>
      </c>
      <c r="M19397" s="43">
        <v>11.497484909456741</v>
      </c>
      <c r="N19397" s="43" t="s">
        <v>1690</v>
      </c>
      <c r="O19397" s="43">
        <v>11.503164556962025</v>
      </c>
      <c r="P19397" s="559"/>
      <c r="Q19397" s="559"/>
      <c r="R19397" s="559">
        <v>1</v>
      </c>
    </row>
    <row r="19398" spans="1:18" ht="36">
      <c r="A19398" s="555">
        <v>1771</v>
      </c>
      <c r="B19398" s="552" t="s">
        <v>35188</v>
      </c>
      <c r="C19398" s="556" t="s">
        <v>35189</v>
      </c>
      <c r="D19398" s="557">
        <v>20.28</v>
      </c>
      <c r="E19398" s="557">
        <v>19.88</v>
      </c>
      <c r="F19398" s="557"/>
      <c r="G19398" s="557">
        <v>0.4</v>
      </c>
      <c r="H19398" s="558">
        <v>233.17</v>
      </c>
      <c r="I19398" s="558">
        <v>228.57</v>
      </c>
      <c r="J19398" s="558"/>
      <c r="K19398" s="558">
        <v>4.5999999999999996</v>
      </c>
      <c r="L19398" s="43">
        <v>11.503164556962025</v>
      </c>
      <c r="M19398" s="43">
        <v>11.497484909456741</v>
      </c>
      <c r="N19398" s="43" t="s">
        <v>1690</v>
      </c>
      <c r="O19398" s="43">
        <v>11.503164556962025</v>
      </c>
      <c r="P19398" s="559"/>
      <c r="Q19398" s="559"/>
      <c r="R19398" s="559">
        <v>1</v>
      </c>
    </row>
    <row r="19399" spans="1:18" ht="36">
      <c r="A19399" s="555">
        <v>1772</v>
      </c>
      <c r="B19399" s="552" t="s">
        <v>35190</v>
      </c>
      <c r="C19399" s="556" t="s">
        <v>35191</v>
      </c>
      <c r="D19399" s="557">
        <v>20.28</v>
      </c>
      <c r="E19399" s="557">
        <v>19.88</v>
      </c>
      <c r="F19399" s="557"/>
      <c r="G19399" s="557">
        <v>0.4</v>
      </c>
      <c r="H19399" s="558">
        <v>233.17</v>
      </c>
      <c r="I19399" s="558">
        <v>228.57</v>
      </c>
      <c r="J19399" s="558"/>
      <c r="K19399" s="558">
        <v>4.5999999999999996</v>
      </c>
      <c r="L19399" s="43">
        <v>11.503164556962025</v>
      </c>
      <c r="M19399" s="43">
        <v>11.497484909456741</v>
      </c>
      <c r="N19399" s="43" t="s">
        <v>1690</v>
      </c>
      <c r="O19399" s="43">
        <v>11.503164556962025</v>
      </c>
      <c r="P19399" s="559"/>
      <c r="Q19399" s="559"/>
      <c r="R19399" s="559">
        <v>1</v>
      </c>
    </row>
    <row r="19400" spans="1:18" ht="36">
      <c r="A19400" s="555">
        <v>1773</v>
      </c>
      <c r="B19400" s="552" t="s">
        <v>35192</v>
      </c>
      <c r="C19400" s="556" t="s">
        <v>35193</v>
      </c>
      <c r="D19400" s="557">
        <v>21.62</v>
      </c>
      <c r="E19400" s="557">
        <v>21.2</v>
      </c>
      <c r="F19400" s="557"/>
      <c r="G19400" s="557">
        <v>0.42</v>
      </c>
      <c r="H19400" s="558">
        <v>248.64</v>
      </c>
      <c r="I19400" s="558">
        <v>243.81</v>
      </c>
      <c r="J19400" s="558"/>
      <c r="K19400" s="558">
        <v>4.83</v>
      </c>
      <c r="L19400" s="43">
        <v>11.503164556962025</v>
      </c>
      <c r="M19400" s="43">
        <v>11.500471698113207</v>
      </c>
      <c r="N19400" s="43" t="s">
        <v>1690</v>
      </c>
      <c r="O19400" s="43">
        <v>11.503164556962025</v>
      </c>
      <c r="P19400" s="559"/>
      <c r="Q19400" s="559"/>
      <c r="R19400" s="559">
        <v>1</v>
      </c>
    </row>
    <row r="19401" spans="1:18" ht="36">
      <c r="A19401" s="555">
        <v>1774</v>
      </c>
      <c r="B19401" s="552" t="s">
        <v>35194</v>
      </c>
      <c r="C19401" s="556" t="s">
        <v>35195</v>
      </c>
      <c r="D19401" s="557">
        <v>21.62</v>
      </c>
      <c r="E19401" s="557">
        <v>21.2</v>
      </c>
      <c r="F19401" s="557"/>
      <c r="G19401" s="557">
        <v>0.42</v>
      </c>
      <c r="H19401" s="558">
        <v>248.64</v>
      </c>
      <c r="I19401" s="558">
        <v>243.81</v>
      </c>
      <c r="J19401" s="558"/>
      <c r="K19401" s="558">
        <v>4.83</v>
      </c>
      <c r="L19401" s="43">
        <v>11.503164556962025</v>
      </c>
      <c r="M19401" s="43">
        <v>11.500471698113207</v>
      </c>
      <c r="N19401" s="43" t="s">
        <v>1690</v>
      </c>
      <c r="O19401" s="43">
        <v>11.503164556962025</v>
      </c>
      <c r="P19401" s="559"/>
      <c r="Q19401" s="559"/>
      <c r="R19401" s="559">
        <v>1</v>
      </c>
    </row>
    <row r="19402" spans="1:18" ht="36">
      <c r="A19402" s="555">
        <v>1775</v>
      </c>
      <c r="B19402" s="552" t="s">
        <v>35196</v>
      </c>
      <c r="C19402" s="556" t="s">
        <v>35197</v>
      </c>
      <c r="D19402" s="557">
        <v>22.98</v>
      </c>
      <c r="E19402" s="557">
        <v>22.53</v>
      </c>
      <c r="F19402" s="557"/>
      <c r="G19402" s="557">
        <v>0.45</v>
      </c>
      <c r="H19402" s="558">
        <v>264.23</v>
      </c>
      <c r="I19402" s="558">
        <v>259.05</v>
      </c>
      <c r="J19402" s="558"/>
      <c r="K19402" s="558">
        <v>5.18</v>
      </c>
      <c r="L19402" s="43">
        <v>11.503164556962025</v>
      </c>
      <c r="M19402" s="43">
        <v>11.498002663115846</v>
      </c>
      <c r="N19402" s="43" t="s">
        <v>1690</v>
      </c>
      <c r="O19402" s="43">
        <v>11.503164556962025</v>
      </c>
      <c r="P19402" s="559"/>
      <c r="Q19402" s="559"/>
      <c r="R19402" s="559">
        <v>1</v>
      </c>
    </row>
    <row r="19403" spans="1:18" ht="36">
      <c r="A19403" s="555">
        <v>1776</v>
      </c>
      <c r="B19403" s="552" t="s">
        <v>35198</v>
      </c>
      <c r="C19403" s="556" t="s">
        <v>35199</v>
      </c>
      <c r="D19403" s="557">
        <v>22.98</v>
      </c>
      <c r="E19403" s="557">
        <v>22.53</v>
      </c>
      <c r="F19403" s="557"/>
      <c r="G19403" s="557">
        <v>0.45</v>
      </c>
      <c r="H19403" s="558">
        <v>264.23</v>
      </c>
      <c r="I19403" s="558">
        <v>259.05</v>
      </c>
      <c r="J19403" s="558"/>
      <c r="K19403" s="558">
        <v>5.18</v>
      </c>
      <c r="L19403" s="43">
        <v>11.503164556962025</v>
      </c>
      <c r="M19403" s="43">
        <v>11.498002663115846</v>
      </c>
      <c r="N19403" s="43" t="s">
        <v>1690</v>
      </c>
      <c r="O19403" s="43">
        <v>11.503164556962025</v>
      </c>
      <c r="P19403" s="559"/>
      <c r="Q19403" s="559"/>
      <c r="R19403" s="559">
        <v>1</v>
      </c>
    </row>
    <row r="19404" spans="1:18" ht="12.75" customHeight="1">
      <c r="A19404" s="628" t="s">
        <v>35200</v>
      </c>
      <c r="B19404" s="629"/>
      <c r="C19404" s="629"/>
      <c r="D19404" s="629"/>
      <c r="E19404" s="629"/>
      <c r="F19404" s="629"/>
      <c r="G19404" s="629"/>
      <c r="H19404" s="629"/>
      <c r="I19404" s="629"/>
      <c r="J19404" s="629"/>
      <c r="K19404" s="629"/>
      <c r="L19404" s="629"/>
      <c r="M19404" s="629"/>
      <c r="N19404" s="629"/>
      <c r="O19404" s="629"/>
      <c r="P19404" s="629"/>
      <c r="Q19404" s="629"/>
      <c r="R19404" s="629"/>
    </row>
    <row r="19405" spans="1:18" ht="36">
      <c r="A19405" s="555">
        <v>1777</v>
      </c>
      <c r="B19405" s="552" t="s">
        <v>35201</v>
      </c>
      <c r="C19405" s="556" t="s">
        <v>35202</v>
      </c>
      <c r="D19405" s="557">
        <v>7.3</v>
      </c>
      <c r="E19405" s="557">
        <v>7.16</v>
      </c>
      <c r="F19405" s="557"/>
      <c r="G19405" s="557">
        <v>0.14000000000000001</v>
      </c>
      <c r="H19405" s="558">
        <v>83.9</v>
      </c>
      <c r="I19405" s="558">
        <v>82.29</v>
      </c>
      <c r="J19405" s="558"/>
      <c r="K19405" s="558">
        <v>1.61</v>
      </c>
      <c r="L19405" s="43">
        <v>11.503164556962025</v>
      </c>
      <c r="M19405" s="43">
        <v>11.498253783469149</v>
      </c>
      <c r="N19405" s="43" t="s">
        <v>1690</v>
      </c>
      <c r="O19405" s="43">
        <v>11.503164556962025</v>
      </c>
      <c r="P19405" s="559"/>
      <c r="Q19405" s="559"/>
      <c r="R19405" s="559">
        <v>2</v>
      </c>
    </row>
    <row r="19406" spans="1:18" ht="36">
      <c r="A19406" s="555">
        <v>1778</v>
      </c>
      <c r="B19406" s="552" t="s">
        <v>35203</v>
      </c>
      <c r="C19406" s="556" t="s">
        <v>35204</v>
      </c>
      <c r="D19406" s="557">
        <v>7.57</v>
      </c>
      <c r="E19406" s="557">
        <v>7.42</v>
      </c>
      <c r="F19406" s="557"/>
      <c r="G19406" s="557">
        <v>0.15</v>
      </c>
      <c r="H19406" s="558">
        <v>87.06</v>
      </c>
      <c r="I19406" s="558">
        <v>85.33</v>
      </c>
      <c r="J19406" s="558"/>
      <c r="K19406" s="558">
        <v>1.73</v>
      </c>
      <c r="L19406" s="43">
        <v>11.503164556962025</v>
      </c>
      <c r="M19406" s="43">
        <v>11.5</v>
      </c>
      <c r="N19406" s="43" t="s">
        <v>1690</v>
      </c>
      <c r="O19406" s="43">
        <v>11.503164556962025</v>
      </c>
      <c r="P19406" s="559"/>
      <c r="Q19406" s="559"/>
      <c r="R19406" s="559">
        <v>2</v>
      </c>
    </row>
    <row r="19407" spans="1:18" ht="36">
      <c r="A19407" s="555">
        <v>1779</v>
      </c>
      <c r="B19407" s="552" t="s">
        <v>35205</v>
      </c>
      <c r="C19407" s="556" t="s">
        <v>35206</v>
      </c>
      <c r="D19407" s="557">
        <v>7.84</v>
      </c>
      <c r="E19407" s="557">
        <v>7.69</v>
      </c>
      <c r="F19407" s="557"/>
      <c r="G19407" s="557">
        <v>0.15</v>
      </c>
      <c r="H19407" s="558">
        <v>90.11</v>
      </c>
      <c r="I19407" s="558">
        <v>88.38</v>
      </c>
      <c r="J19407" s="558"/>
      <c r="K19407" s="558">
        <v>1.73</v>
      </c>
      <c r="L19407" s="43">
        <v>11.503164556962025</v>
      </c>
      <c r="M19407" s="43">
        <v>11.498253783469149</v>
      </c>
      <c r="N19407" s="43" t="s">
        <v>1690</v>
      </c>
      <c r="O19407" s="43">
        <v>11.503164556962025</v>
      </c>
      <c r="P19407" s="559"/>
      <c r="Q19407" s="559"/>
      <c r="R19407" s="559">
        <v>2</v>
      </c>
    </row>
    <row r="19408" spans="1:18" ht="36">
      <c r="A19408" s="555">
        <v>1780</v>
      </c>
      <c r="B19408" s="552" t="s">
        <v>35207</v>
      </c>
      <c r="C19408" s="556" t="s">
        <v>35208</v>
      </c>
      <c r="D19408" s="557">
        <v>8.24</v>
      </c>
      <c r="E19408" s="557">
        <v>8.08</v>
      </c>
      <c r="F19408" s="557"/>
      <c r="G19408" s="557">
        <v>0.16</v>
      </c>
      <c r="H19408" s="558">
        <v>94.79</v>
      </c>
      <c r="I19408" s="558">
        <v>92.95</v>
      </c>
      <c r="J19408" s="558"/>
      <c r="K19408" s="558">
        <v>1.84</v>
      </c>
      <c r="L19408" s="43">
        <v>11.503164556962025</v>
      </c>
      <c r="M19408" s="43">
        <v>11.50371287128713</v>
      </c>
      <c r="N19408" s="43" t="s">
        <v>1690</v>
      </c>
      <c r="O19408" s="43">
        <v>11.503164556962025</v>
      </c>
      <c r="P19408" s="559"/>
      <c r="Q19408" s="559"/>
      <c r="R19408" s="559">
        <v>2</v>
      </c>
    </row>
    <row r="19409" spans="1:18" ht="36">
      <c r="A19409" s="555">
        <v>1781</v>
      </c>
      <c r="B19409" s="552" t="s">
        <v>35209</v>
      </c>
      <c r="C19409" s="556" t="s">
        <v>35210</v>
      </c>
      <c r="D19409" s="557">
        <v>8.65</v>
      </c>
      <c r="E19409" s="557">
        <v>8.48</v>
      </c>
      <c r="F19409" s="557"/>
      <c r="G19409" s="557">
        <v>0.17</v>
      </c>
      <c r="H19409" s="558">
        <v>99.48</v>
      </c>
      <c r="I19409" s="558">
        <v>97.52</v>
      </c>
      <c r="J19409" s="558"/>
      <c r="K19409" s="558">
        <v>1.96</v>
      </c>
      <c r="L19409" s="43">
        <v>11.503164556962025</v>
      </c>
      <c r="M19409" s="43">
        <v>11.499999999999998</v>
      </c>
      <c r="N19409" s="43" t="s">
        <v>1690</v>
      </c>
      <c r="O19409" s="43">
        <v>11.503164556962025</v>
      </c>
      <c r="P19409" s="559"/>
      <c r="Q19409" s="559"/>
      <c r="R19409" s="559">
        <v>2</v>
      </c>
    </row>
    <row r="19410" spans="1:18" ht="36">
      <c r="A19410" s="555">
        <v>1782</v>
      </c>
      <c r="B19410" s="552" t="s">
        <v>35211</v>
      </c>
      <c r="C19410" s="556" t="s">
        <v>35212</v>
      </c>
      <c r="D19410" s="557">
        <v>8.92</v>
      </c>
      <c r="E19410" s="557">
        <v>8.75</v>
      </c>
      <c r="F19410" s="557"/>
      <c r="G19410" s="557">
        <v>0.17</v>
      </c>
      <c r="H19410" s="558">
        <v>102.53</v>
      </c>
      <c r="I19410" s="558">
        <v>100.57</v>
      </c>
      <c r="J19410" s="558"/>
      <c r="K19410" s="558">
        <v>1.96</v>
      </c>
      <c r="L19410" s="43">
        <v>11.503164556962025</v>
      </c>
      <c r="M19410" s="43">
        <v>11.498253783469149</v>
      </c>
      <c r="N19410" s="43" t="s">
        <v>1690</v>
      </c>
      <c r="O19410" s="43">
        <v>11.503164556962025</v>
      </c>
      <c r="P19410" s="559"/>
      <c r="Q19410" s="559"/>
      <c r="R19410" s="559">
        <v>2</v>
      </c>
    </row>
    <row r="19411" spans="1:18" ht="36">
      <c r="A19411" s="555">
        <v>1783</v>
      </c>
      <c r="B19411" s="552" t="s">
        <v>35213</v>
      </c>
      <c r="C19411" s="556" t="s">
        <v>35214</v>
      </c>
      <c r="D19411" s="557">
        <v>9.4700000000000006</v>
      </c>
      <c r="E19411" s="557">
        <v>9.2799999999999994</v>
      </c>
      <c r="F19411" s="557"/>
      <c r="G19411" s="557">
        <v>0.19</v>
      </c>
      <c r="H19411" s="558">
        <v>108.86</v>
      </c>
      <c r="I19411" s="558">
        <v>106.67</v>
      </c>
      <c r="J19411" s="558"/>
      <c r="K19411" s="558">
        <v>2.19</v>
      </c>
      <c r="L19411" s="43">
        <v>11.503164556962025</v>
      </c>
      <c r="M19411" s="43">
        <v>11.498253783469149</v>
      </c>
      <c r="N19411" s="43" t="s">
        <v>1690</v>
      </c>
      <c r="O19411" s="43">
        <v>11.503164556962025</v>
      </c>
      <c r="P19411" s="559"/>
      <c r="Q19411" s="559"/>
      <c r="R19411" s="559">
        <v>2</v>
      </c>
    </row>
    <row r="19412" spans="1:18" ht="36">
      <c r="A19412" s="555">
        <v>1784</v>
      </c>
      <c r="B19412" s="552" t="s">
        <v>35215</v>
      </c>
      <c r="C19412" s="556" t="s">
        <v>35216</v>
      </c>
      <c r="D19412" s="557">
        <v>10.4</v>
      </c>
      <c r="E19412" s="557">
        <v>10.199999999999999</v>
      </c>
      <c r="F19412" s="557"/>
      <c r="G19412" s="557">
        <v>0.2</v>
      </c>
      <c r="H19412" s="558">
        <v>119.63</v>
      </c>
      <c r="I19412" s="558">
        <v>117.33</v>
      </c>
      <c r="J19412" s="558"/>
      <c r="K19412" s="558">
        <v>2.2999999999999998</v>
      </c>
      <c r="L19412" s="43">
        <v>11.503164556962025</v>
      </c>
      <c r="M19412" s="43">
        <v>11.502941176470589</v>
      </c>
      <c r="N19412" s="43" t="s">
        <v>1690</v>
      </c>
      <c r="O19412" s="43">
        <v>11.503164556962025</v>
      </c>
      <c r="P19412" s="559"/>
      <c r="Q19412" s="559"/>
      <c r="R19412" s="559">
        <v>2</v>
      </c>
    </row>
    <row r="19413" spans="1:18" ht="36">
      <c r="A19413" s="555">
        <v>1785</v>
      </c>
      <c r="B19413" s="552" t="s">
        <v>35217</v>
      </c>
      <c r="C19413" s="556" t="s">
        <v>35218</v>
      </c>
      <c r="D19413" s="557">
        <v>11.22</v>
      </c>
      <c r="E19413" s="557">
        <v>11</v>
      </c>
      <c r="F19413" s="557"/>
      <c r="G19413" s="557">
        <v>0.22</v>
      </c>
      <c r="H19413" s="558">
        <v>129.01</v>
      </c>
      <c r="I19413" s="558">
        <v>126.48</v>
      </c>
      <c r="J19413" s="558"/>
      <c r="K19413" s="558">
        <v>2.5299999999999998</v>
      </c>
      <c r="L19413" s="43">
        <v>11.503164556962025</v>
      </c>
      <c r="M19413" s="43">
        <v>11.498181818181818</v>
      </c>
      <c r="N19413" s="43" t="s">
        <v>1690</v>
      </c>
      <c r="O19413" s="43">
        <v>11.503164556962025</v>
      </c>
      <c r="P19413" s="559"/>
      <c r="Q19413" s="559"/>
      <c r="R19413" s="559">
        <v>2</v>
      </c>
    </row>
    <row r="19414" spans="1:18" ht="36">
      <c r="A19414" s="555">
        <v>1786</v>
      </c>
      <c r="B19414" s="552" t="s">
        <v>35219</v>
      </c>
      <c r="C19414" s="556" t="s">
        <v>35220</v>
      </c>
      <c r="D19414" s="557">
        <v>12.17</v>
      </c>
      <c r="E19414" s="557">
        <v>11.93</v>
      </c>
      <c r="F19414" s="557"/>
      <c r="G19414" s="557">
        <v>0.24</v>
      </c>
      <c r="H19414" s="558">
        <v>139.9</v>
      </c>
      <c r="I19414" s="558">
        <v>137.13999999999999</v>
      </c>
      <c r="J19414" s="558"/>
      <c r="K19414" s="558">
        <v>2.76</v>
      </c>
      <c r="L19414" s="43">
        <v>11.503164556962025</v>
      </c>
      <c r="M19414" s="43">
        <v>11.495389773679799</v>
      </c>
      <c r="N19414" s="43" t="s">
        <v>1690</v>
      </c>
      <c r="O19414" s="43">
        <v>11.503164556962025</v>
      </c>
      <c r="P19414" s="559"/>
      <c r="Q19414" s="559"/>
      <c r="R19414" s="559">
        <v>2</v>
      </c>
    </row>
    <row r="19415" spans="1:18" ht="36">
      <c r="A19415" s="555">
        <v>1787</v>
      </c>
      <c r="B19415" s="552" t="s">
        <v>35221</v>
      </c>
      <c r="C19415" s="556" t="s">
        <v>35222</v>
      </c>
      <c r="D19415" s="557">
        <v>13.52</v>
      </c>
      <c r="E19415" s="557">
        <v>13.25</v>
      </c>
      <c r="F19415" s="557"/>
      <c r="G19415" s="557">
        <v>0.27</v>
      </c>
      <c r="H19415" s="558">
        <v>155.49</v>
      </c>
      <c r="I19415" s="558">
        <v>152.38</v>
      </c>
      <c r="J19415" s="558"/>
      <c r="K19415" s="558">
        <v>3.11</v>
      </c>
      <c r="L19415" s="43">
        <v>11.503164556962025</v>
      </c>
      <c r="M19415" s="43">
        <v>11.500377358490566</v>
      </c>
      <c r="N19415" s="43" t="s">
        <v>1690</v>
      </c>
      <c r="O19415" s="43">
        <v>11.503164556962025</v>
      </c>
      <c r="P19415" s="559"/>
      <c r="Q19415" s="559"/>
      <c r="R19415" s="559">
        <v>2</v>
      </c>
    </row>
    <row r="19416" spans="1:18" ht="36">
      <c r="A19416" s="555">
        <v>1788</v>
      </c>
      <c r="B19416" s="552" t="s">
        <v>35223</v>
      </c>
      <c r="C19416" s="556" t="s">
        <v>35224</v>
      </c>
      <c r="D19416" s="557">
        <v>13.52</v>
      </c>
      <c r="E19416" s="557">
        <v>13.25</v>
      </c>
      <c r="F19416" s="557"/>
      <c r="G19416" s="557">
        <v>0.27</v>
      </c>
      <c r="H19416" s="558">
        <v>155.49</v>
      </c>
      <c r="I19416" s="558">
        <v>152.38</v>
      </c>
      <c r="J19416" s="558"/>
      <c r="K19416" s="558">
        <v>3.11</v>
      </c>
      <c r="L19416" s="43">
        <v>11.503164556962025</v>
      </c>
      <c r="M19416" s="43">
        <v>11.500377358490566</v>
      </c>
      <c r="N19416" s="43" t="s">
        <v>1690</v>
      </c>
      <c r="O19416" s="43">
        <v>11.503164556962025</v>
      </c>
      <c r="P19416" s="559"/>
      <c r="Q19416" s="559"/>
      <c r="R19416" s="559">
        <v>2</v>
      </c>
    </row>
    <row r="19417" spans="1:18" ht="36">
      <c r="A19417" s="555">
        <v>1789</v>
      </c>
      <c r="B19417" s="552" t="s">
        <v>35225</v>
      </c>
      <c r="C19417" s="556" t="s">
        <v>35226</v>
      </c>
      <c r="D19417" s="557">
        <v>14.87</v>
      </c>
      <c r="E19417" s="557">
        <v>14.58</v>
      </c>
      <c r="F19417" s="557"/>
      <c r="G19417" s="557">
        <v>0.28999999999999998</v>
      </c>
      <c r="H19417" s="558">
        <v>170.96</v>
      </c>
      <c r="I19417" s="558">
        <v>167.62</v>
      </c>
      <c r="J19417" s="558"/>
      <c r="K19417" s="558">
        <v>3.34</v>
      </c>
      <c r="L19417" s="43">
        <v>11.503164556962025</v>
      </c>
      <c r="M19417" s="43">
        <v>11.496570644718792</v>
      </c>
      <c r="N19417" s="43" t="s">
        <v>1690</v>
      </c>
      <c r="O19417" s="43">
        <v>11.503164556962025</v>
      </c>
      <c r="P19417" s="559"/>
      <c r="Q19417" s="559"/>
      <c r="R19417" s="559">
        <v>2</v>
      </c>
    </row>
    <row r="19418" spans="1:18" ht="36">
      <c r="A19418" s="555">
        <v>1790</v>
      </c>
      <c r="B19418" s="552" t="s">
        <v>35227</v>
      </c>
      <c r="C19418" s="556" t="s">
        <v>35228</v>
      </c>
      <c r="D19418" s="557">
        <v>16.22</v>
      </c>
      <c r="E19418" s="557">
        <v>15.9</v>
      </c>
      <c r="F19418" s="557"/>
      <c r="G19418" s="557">
        <v>0.32</v>
      </c>
      <c r="H19418" s="558">
        <v>186.54</v>
      </c>
      <c r="I19418" s="558">
        <v>182.86</v>
      </c>
      <c r="J19418" s="558"/>
      <c r="K19418" s="558">
        <v>3.68</v>
      </c>
      <c r="L19418" s="43">
        <v>11.503164556962025</v>
      </c>
      <c r="M19418" s="43">
        <v>11.50062893081761</v>
      </c>
      <c r="N19418" s="43" t="s">
        <v>1690</v>
      </c>
      <c r="O19418" s="43">
        <v>11.503164556962025</v>
      </c>
      <c r="P19418" s="559"/>
      <c r="Q19418" s="559"/>
      <c r="R19418" s="559">
        <v>2</v>
      </c>
    </row>
    <row r="19419" spans="1:18" ht="36">
      <c r="A19419" s="555">
        <v>1791</v>
      </c>
      <c r="B19419" s="552" t="s">
        <v>35229</v>
      </c>
      <c r="C19419" s="556" t="s">
        <v>35230</v>
      </c>
      <c r="D19419" s="557">
        <v>17.57</v>
      </c>
      <c r="E19419" s="557">
        <v>17.23</v>
      </c>
      <c r="F19419" s="557"/>
      <c r="G19419" s="557">
        <v>0.34</v>
      </c>
      <c r="H19419" s="558">
        <v>202</v>
      </c>
      <c r="I19419" s="558">
        <v>198.09</v>
      </c>
      <c r="J19419" s="558"/>
      <c r="K19419" s="558">
        <v>3.91</v>
      </c>
      <c r="L19419" s="43">
        <v>11.503164556962025</v>
      </c>
      <c r="M19419" s="43">
        <v>11.496807893209517</v>
      </c>
      <c r="N19419" s="43" t="s">
        <v>1690</v>
      </c>
      <c r="O19419" s="43">
        <v>11.503164556962025</v>
      </c>
      <c r="P19419" s="559"/>
      <c r="Q19419" s="559"/>
      <c r="R19419" s="559">
        <v>2</v>
      </c>
    </row>
    <row r="19420" spans="1:18" ht="36">
      <c r="A19420" s="555">
        <v>1792</v>
      </c>
      <c r="B19420" s="552" t="s">
        <v>35231</v>
      </c>
      <c r="C19420" s="556" t="s">
        <v>35232</v>
      </c>
      <c r="D19420" s="557">
        <v>18.920000000000002</v>
      </c>
      <c r="E19420" s="557">
        <v>18.55</v>
      </c>
      <c r="F19420" s="557"/>
      <c r="G19420" s="557">
        <v>0.37</v>
      </c>
      <c r="H19420" s="558">
        <v>217.59</v>
      </c>
      <c r="I19420" s="558">
        <v>213.33</v>
      </c>
      <c r="J19420" s="558"/>
      <c r="K19420" s="558">
        <v>4.26</v>
      </c>
      <c r="L19420" s="43">
        <v>11.503164556962025</v>
      </c>
      <c r="M19420" s="43">
        <v>11.500269541778977</v>
      </c>
      <c r="N19420" s="43" t="s">
        <v>1690</v>
      </c>
      <c r="O19420" s="43">
        <v>11.503164556962025</v>
      </c>
      <c r="P19420" s="559"/>
      <c r="Q19420" s="559"/>
      <c r="R19420" s="559">
        <v>2</v>
      </c>
    </row>
    <row r="19421" spans="1:18" ht="36">
      <c r="A19421" s="555">
        <v>1793</v>
      </c>
      <c r="B19421" s="552" t="s">
        <v>35233</v>
      </c>
      <c r="C19421" s="556" t="s">
        <v>35234</v>
      </c>
      <c r="D19421" s="557">
        <v>20.28</v>
      </c>
      <c r="E19421" s="557">
        <v>19.88</v>
      </c>
      <c r="F19421" s="557"/>
      <c r="G19421" s="557">
        <v>0.4</v>
      </c>
      <c r="H19421" s="558">
        <v>233.17</v>
      </c>
      <c r="I19421" s="558">
        <v>228.57</v>
      </c>
      <c r="J19421" s="558"/>
      <c r="K19421" s="558">
        <v>4.5999999999999996</v>
      </c>
      <c r="L19421" s="43">
        <v>11.503164556962025</v>
      </c>
      <c r="M19421" s="43">
        <v>11.497484909456741</v>
      </c>
      <c r="N19421" s="43" t="s">
        <v>1690</v>
      </c>
      <c r="O19421" s="43">
        <v>11.503164556962025</v>
      </c>
      <c r="P19421" s="559"/>
      <c r="Q19421" s="559"/>
      <c r="R19421" s="559">
        <v>2</v>
      </c>
    </row>
    <row r="19422" spans="1:18" ht="36">
      <c r="A19422" s="555">
        <v>1794</v>
      </c>
      <c r="B19422" s="552" t="s">
        <v>35235</v>
      </c>
      <c r="C19422" s="556" t="s">
        <v>35236</v>
      </c>
      <c r="D19422" s="557">
        <v>21.62</v>
      </c>
      <c r="E19422" s="557">
        <v>21.2</v>
      </c>
      <c r="F19422" s="557"/>
      <c r="G19422" s="557">
        <v>0.42</v>
      </c>
      <c r="H19422" s="558">
        <v>248.64</v>
      </c>
      <c r="I19422" s="558">
        <v>243.81</v>
      </c>
      <c r="J19422" s="558"/>
      <c r="K19422" s="558">
        <v>4.83</v>
      </c>
      <c r="L19422" s="43">
        <v>11.503164556962025</v>
      </c>
      <c r="M19422" s="43">
        <v>11.500471698113207</v>
      </c>
      <c r="N19422" s="43" t="s">
        <v>1690</v>
      </c>
      <c r="O19422" s="43">
        <v>11.503164556962025</v>
      </c>
      <c r="P19422" s="559"/>
      <c r="Q19422" s="559"/>
      <c r="R19422" s="559">
        <v>2</v>
      </c>
    </row>
    <row r="19423" spans="1:18" ht="36">
      <c r="A19423" s="555">
        <v>1795</v>
      </c>
      <c r="B19423" s="552" t="s">
        <v>35237</v>
      </c>
      <c r="C19423" s="556" t="s">
        <v>35238</v>
      </c>
      <c r="D19423" s="557">
        <v>22.98</v>
      </c>
      <c r="E19423" s="557">
        <v>22.53</v>
      </c>
      <c r="F19423" s="557"/>
      <c r="G19423" s="557">
        <v>0.45</v>
      </c>
      <c r="H19423" s="558">
        <v>264.23</v>
      </c>
      <c r="I19423" s="558">
        <v>259.05</v>
      </c>
      <c r="J19423" s="558"/>
      <c r="K19423" s="558">
        <v>5.18</v>
      </c>
      <c r="L19423" s="43">
        <v>11.503164556962025</v>
      </c>
      <c r="M19423" s="43">
        <v>11.498002663115846</v>
      </c>
      <c r="N19423" s="43" t="s">
        <v>1690</v>
      </c>
      <c r="O19423" s="43">
        <v>11.503164556962025</v>
      </c>
      <c r="P19423" s="559"/>
      <c r="Q19423" s="559"/>
      <c r="R19423" s="559">
        <v>2</v>
      </c>
    </row>
    <row r="19424" spans="1:18" ht="36">
      <c r="A19424" s="555">
        <v>1796</v>
      </c>
      <c r="B19424" s="552" t="s">
        <v>35239</v>
      </c>
      <c r="C19424" s="556" t="s">
        <v>35240</v>
      </c>
      <c r="D19424" s="557">
        <v>24.33</v>
      </c>
      <c r="E19424" s="557">
        <v>23.85</v>
      </c>
      <c r="F19424" s="557"/>
      <c r="G19424" s="557">
        <v>0.48</v>
      </c>
      <c r="H19424" s="558">
        <v>279.8</v>
      </c>
      <c r="I19424" s="558">
        <v>274.27999999999997</v>
      </c>
      <c r="J19424" s="558"/>
      <c r="K19424" s="558">
        <v>5.52</v>
      </c>
      <c r="L19424" s="43">
        <v>11.503164556962025</v>
      </c>
      <c r="M19424" s="43">
        <v>11.500209643605869</v>
      </c>
      <c r="N19424" s="43" t="s">
        <v>1690</v>
      </c>
      <c r="O19424" s="43">
        <v>11.503164556962025</v>
      </c>
      <c r="P19424" s="559"/>
      <c r="Q19424" s="559"/>
      <c r="R19424" s="559">
        <v>2</v>
      </c>
    </row>
    <row r="19425" spans="1:18" ht="36">
      <c r="A19425" s="555">
        <v>1797</v>
      </c>
      <c r="B19425" s="552" t="s">
        <v>35241</v>
      </c>
      <c r="C19425" s="556" t="s">
        <v>35242</v>
      </c>
      <c r="D19425" s="557">
        <v>27.03</v>
      </c>
      <c r="E19425" s="557">
        <v>26.5</v>
      </c>
      <c r="F19425" s="557"/>
      <c r="G19425" s="557">
        <v>0.53</v>
      </c>
      <c r="H19425" s="558">
        <v>310.86</v>
      </c>
      <c r="I19425" s="558">
        <v>304.76</v>
      </c>
      <c r="J19425" s="558"/>
      <c r="K19425" s="558">
        <v>6.1</v>
      </c>
      <c r="L19425" s="43">
        <v>11.503164556962025</v>
      </c>
      <c r="M19425" s="43">
        <v>11.500377358490566</v>
      </c>
      <c r="N19425" s="43" t="s">
        <v>1690</v>
      </c>
      <c r="O19425" s="43">
        <v>11.503164556962025</v>
      </c>
      <c r="P19425" s="559"/>
      <c r="Q19425" s="559"/>
      <c r="R19425" s="559">
        <v>2</v>
      </c>
    </row>
    <row r="19426" spans="1:18" ht="36">
      <c r="A19426" s="555">
        <v>1798</v>
      </c>
      <c r="B19426" s="552" t="s">
        <v>35243</v>
      </c>
      <c r="C19426" s="556" t="s">
        <v>35244</v>
      </c>
      <c r="D19426" s="557">
        <v>28.39</v>
      </c>
      <c r="E19426" s="557">
        <v>27.83</v>
      </c>
      <c r="F19426" s="557"/>
      <c r="G19426" s="557">
        <v>0.56000000000000005</v>
      </c>
      <c r="H19426" s="558">
        <v>326.44</v>
      </c>
      <c r="I19426" s="558">
        <v>320</v>
      </c>
      <c r="J19426" s="558"/>
      <c r="K19426" s="558">
        <v>6.44</v>
      </c>
      <c r="L19426" s="43">
        <v>11.503164556962025</v>
      </c>
      <c r="M19426" s="43">
        <v>11.498383039885017</v>
      </c>
      <c r="N19426" s="43" t="s">
        <v>1690</v>
      </c>
      <c r="O19426" s="43">
        <v>11.503164556962025</v>
      </c>
      <c r="P19426" s="559"/>
      <c r="Q19426" s="559"/>
      <c r="R19426" s="559">
        <v>2</v>
      </c>
    </row>
    <row r="19427" spans="1:18" ht="36">
      <c r="A19427" s="555">
        <v>1799</v>
      </c>
      <c r="B19427" s="552" t="s">
        <v>35245</v>
      </c>
      <c r="C19427" s="556" t="s">
        <v>35246</v>
      </c>
      <c r="D19427" s="557">
        <v>29.73</v>
      </c>
      <c r="E19427" s="557">
        <v>29.15</v>
      </c>
      <c r="F19427" s="557"/>
      <c r="G19427" s="557">
        <v>0.57999999999999996</v>
      </c>
      <c r="H19427" s="558">
        <v>341.91</v>
      </c>
      <c r="I19427" s="558">
        <v>335.24</v>
      </c>
      <c r="J19427" s="558"/>
      <c r="K19427" s="558">
        <v>6.67</v>
      </c>
      <c r="L19427" s="43">
        <v>11.503164556962025</v>
      </c>
      <c r="M19427" s="43">
        <v>11.500514579759864</v>
      </c>
      <c r="N19427" s="43" t="s">
        <v>1690</v>
      </c>
      <c r="O19427" s="43">
        <v>11.503164556962025</v>
      </c>
      <c r="P19427" s="559"/>
      <c r="Q19427" s="559"/>
      <c r="R19427" s="559">
        <v>2</v>
      </c>
    </row>
    <row r="19428" spans="1:18" ht="36">
      <c r="A19428" s="555">
        <v>1800</v>
      </c>
      <c r="B19428" s="552" t="s">
        <v>35247</v>
      </c>
      <c r="C19428" s="556" t="s">
        <v>35248</v>
      </c>
      <c r="D19428" s="557">
        <v>31.09</v>
      </c>
      <c r="E19428" s="557">
        <v>30.48</v>
      </c>
      <c r="F19428" s="557"/>
      <c r="G19428" s="557">
        <v>0.61</v>
      </c>
      <c r="H19428" s="558">
        <v>357.49</v>
      </c>
      <c r="I19428" s="558">
        <v>350.47</v>
      </c>
      <c r="J19428" s="558"/>
      <c r="K19428" s="558">
        <v>7.02</v>
      </c>
      <c r="L19428" s="43">
        <v>11.503164556962025</v>
      </c>
      <c r="M19428" s="43">
        <v>11.498359580052494</v>
      </c>
      <c r="N19428" s="43" t="s">
        <v>1690</v>
      </c>
      <c r="O19428" s="43">
        <v>11.503164556962025</v>
      </c>
      <c r="P19428" s="559"/>
      <c r="Q19428" s="559"/>
      <c r="R19428" s="559">
        <v>2</v>
      </c>
    </row>
    <row r="19429" spans="1:18" ht="36">
      <c r="A19429" s="555">
        <v>1801</v>
      </c>
      <c r="B19429" s="552" t="s">
        <v>35249</v>
      </c>
      <c r="C19429" s="556" t="s">
        <v>35250</v>
      </c>
      <c r="D19429" s="557">
        <v>32.44</v>
      </c>
      <c r="E19429" s="557">
        <v>31.8</v>
      </c>
      <c r="F19429" s="557"/>
      <c r="G19429" s="557">
        <v>0.64</v>
      </c>
      <c r="H19429" s="558">
        <v>373.07</v>
      </c>
      <c r="I19429" s="558">
        <v>365.71</v>
      </c>
      <c r="J19429" s="558"/>
      <c r="K19429" s="558">
        <v>7.36</v>
      </c>
      <c r="L19429" s="43">
        <v>11.503164556962025</v>
      </c>
      <c r="M19429" s="43">
        <v>11.500314465408804</v>
      </c>
      <c r="N19429" s="43" t="s">
        <v>1690</v>
      </c>
      <c r="O19429" s="43">
        <v>11.503164556962025</v>
      </c>
      <c r="P19429" s="559"/>
      <c r="Q19429" s="559"/>
      <c r="R19429" s="559">
        <v>2</v>
      </c>
    </row>
    <row r="19430" spans="1:18" ht="36">
      <c r="A19430" s="555">
        <v>1802</v>
      </c>
      <c r="B19430" s="552" t="s">
        <v>35251</v>
      </c>
      <c r="C19430" s="556" t="s">
        <v>35252</v>
      </c>
      <c r="D19430" s="557">
        <v>33.79</v>
      </c>
      <c r="E19430" s="557">
        <v>33.130000000000003</v>
      </c>
      <c r="F19430" s="557"/>
      <c r="G19430" s="557">
        <v>0.66</v>
      </c>
      <c r="H19430" s="558">
        <v>388.54</v>
      </c>
      <c r="I19430" s="558">
        <v>380.95</v>
      </c>
      <c r="J19430" s="558"/>
      <c r="K19430" s="558">
        <v>7.59</v>
      </c>
      <c r="L19430" s="43">
        <v>11.503164556962025</v>
      </c>
      <c r="M19430" s="43">
        <v>11.498641714458193</v>
      </c>
      <c r="N19430" s="43" t="s">
        <v>1690</v>
      </c>
      <c r="O19430" s="43">
        <v>11.503164556962025</v>
      </c>
      <c r="P19430" s="559"/>
      <c r="Q19430" s="559"/>
      <c r="R19430" s="559">
        <v>2</v>
      </c>
    </row>
    <row r="19431" spans="1:18" ht="36">
      <c r="A19431" s="555">
        <v>1803</v>
      </c>
      <c r="B19431" s="552" t="s">
        <v>35253</v>
      </c>
      <c r="C19431" s="556" t="s">
        <v>35254</v>
      </c>
      <c r="D19431" s="557">
        <v>36.5</v>
      </c>
      <c r="E19431" s="557">
        <v>35.78</v>
      </c>
      <c r="F19431" s="557"/>
      <c r="G19431" s="557">
        <v>0.72</v>
      </c>
      <c r="H19431" s="558">
        <v>419.71</v>
      </c>
      <c r="I19431" s="558">
        <v>411.43</v>
      </c>
      <c r="J19431" s="558"/>
      <c r="K19431" s="558">
        <v>8.2799999999999994</v>
      </c>
      <c r="L19431" s="43">
        <v>11.503164556962025</v>
      </c>
      <c r="M19431" s="43">
        <v>11.498882057015091</v>
      </c>
      <c r="N19431" s="43" t="s">
        <v>1690</v>
      </c>
      <c r="O19431" s="43">
        <v>11.503164556962025</v>
      </c>
      <c r="P19431" s="559"/>
      <c r="Q19431" s="559"/>
      <c r="R19431" s="559">
        <v>2</v>
      </c>
    </row>
    <row r="19432" spans="1:18" ht="36">
      <c r="A19432" s="555">
        <v>1804</v>
      </c>
      <c r="B19432" s="552" t="s">
        <v>35255</v>
      </c>
      <c r="C19432" s="556" t="s">
        <v>35256</v>
      </c>
      <c r="D19432" s="557">
        <v>37.840000000000003</v>
      </c>
      <c r="E19432" s="557">
        <v>37.1</v>
      </c>
      <c r="F19432" s="557"/>
      <c r="G19432" s="557">
        <v>0.74</v>
      </c>
      <c r="H19432" s="558">
        <v>435.17</v>
      </c>
      <c r="I19432" s="558">
        <v>426.66</v>
      </c>
      <c r="J19432" s="558"/>
      <c r="K19432" s="558">
        <v>8.51</v>
      </c>
      <c r="L19432" s="43">
        <v>11.503164556962025</v>
      </c>
      <c r="M19432" s="43">
        <v>11.500269541778977</v>
      </c>
      <c r="N19432" s="43" t="s">
        <v>1690</v>
      </c>
      <c r="O19432" s="43">
        <v>11.503164556962025</v>
      </c>
      <c r="P19432" s="559"/>
      <c r="Q19432" s="559"/>
      <c r="R19432" s="559">
        <v>2</v>
      </c>
    </row>
    <row r="19433" spans="1:18" ht="36">
      <c r="A19433" s="555">
        <v>1805</v>
      </c>
      <c r="B19433" s="552" t="s">
        <v>35257</v>
      </c>
      <c r="C19433" s="556" t="s">
        <v>35258</v>
      </c>
      <c r="D19433" s="557">
        <v>40.549999999999997</v>
      </c>
      <c r="E19433" s="557">
        <v>39.75</v>
      </c>
      <c r="F19433" s="557"/>
      <c r="G19433" s="557">
        <v>0.8</v>
      </c>
      <c r="H19433" s="558">
        <v>466.34</v>
      </c>
      <c r="I19433" s="558">
        <v>457.14</v>
      </c>
      <c r="J19433" s="558"/>
      <c r="K19433" s="558">
        <v>9.1999999999999993</v>
      </c>
      <c r="L19433" s="43">
        <v>11.503164556962025</v>
      </c>
      <c r="M19433" s="43">
        <v>11.500377358490566</v>
      </c>
      <c r="N19433" s="43" t="s">
        <v>1690</v>
      </c>
      <c r="O19433" s="43">
        <v>11.503164556962025</v>
      </c>
      <c r="P19433" s="559"/>
      <c r="Q19433" s="559"/>
      <c r="R19433" s="559">
        <v>2</v>
      </c>
    </row>
    <row r="19434" spans="1:18" ht="36">
      <c r="A19434" s="555">
        <v>1806</v>
      </c>
      <c r="B19434" s="552" t="s">
        <v>35259</v>
      </c>
      <c r="C19434" s="556" t="s">
        <v>35260</v>
      </c>
      <c r="D19434" s="557">
        <v>41.9</v>
      </c>
      <c r="E19434" s="557">
        <v>41.08</v>
      </c>
      <c r="F19434" s="557"/>
      <c r="G19434" s="557">
        <v>0.82</v>
      </c>
      <c r="H19434" s="558">
        <v>481.81</v>
      </c>
      <c r="I19434" s="558">
        <v>472.38</v>
      </c>
      <c r="J19434" s="558"/>
      <c r="K19434" s="558">
        <v>9.43</v>
      </c>
      <c r="L19434" s="43">
        <v>11.503164556962025</v>
      </c>
      <c r="M19434" s="43">
        <v>11.499026290165531</v>
      </c>
      <c r="N19434" s="43" t="s">
        <v>1690</v>
      </c>
      <c r="O19434" s="43">
        <v>11.503164556962025</v>
      </c>
      <c r="P19434" s="559"/>
      <c r="Q19434" s="559"/>
      <c r="R19434" s="559">
        <v>2</v>
      </c>
    </row>
    <row r="19435" spans="1:18" ht="36">
      <c r="A19435" s="555">
        <v>1807</v>
      </c>
      <c r="B19435" s="552" t="s">
        <v>35261</v>
      </c>
      <c r="C19435" s="556" t="s">
        <v>35262</v>
      </c>
      <c r="D19435" s="557">
        <v>43.25</v>
      </c>
      <c r="E19435" s="557">
        <v>42.4</v>
      </c>
      <c r="F19435" s="557"/>
      <c r="G19435" s="557">
        <v>0.85</v>
      </c>
      <c r="H19435" s="558">
        <v>497.4</v>
      </c>
      <c r="I19435" s="558">
        <v>487.62</v>
      </c>
      <c r="J19435" s="558"/>
      <c r="K19435" s="558">
        <v>9.7799999999999994</v>
      </c>
      <c r="L19435" s="43">
        <v>11.503164556962025</v>
      </c>
      <c r="M19435" s="43">
        <v>11.500471698113207</v>
      </c>
      <c r="N19435" s="43" t="s">
        <v>1690</v>
      </c>
      <c r="O19435" s="43">
        <v>11.503164556962025</v>
      </c>
      <c r="P19435" s="559"/>
      <c r="Q19435" s="559"/>
      <c r="R19435" s="559">
        <v>2</v>
      </c>
    </row>
    <row r="19436" spans="1:18" ht="36">
      <c r="A19436" s="555">
        <v>1808</v>
      </c>
      <c r="B19436" s="552" t="s">
        <v>35263</v>
      </c>
      <c r="C19436" s="556" t="s">
        <v>35264</v>
      </c>
      <c r="D19436" s="557">
        <v>44.6</v>
      </c>
      <c r="E19436" s="557">
        <v>43.73</v>
      </c>
      <c r="F19436" s="557"/>
      <c r="G19436" s="557">
        <v>0.87</v>
      </c>
      <c r="H19436" s="558">
        <v>512.86</v>
      </c>
      <c r="I19436" s="558">
        <v>502.85</v>
      </c>
      <c r="J19436" s="558"/>
      <c r="K19436" s="558">
        <v>10.01</v>
      </c>
      <c r="L19436" s="43">
        <v>11.503164556962025</v>
      </c>
      <c r="M19436" s="43">
        <v>11.498970958152299</v>
      </c>
      <c r="N19436" s="43" t="s">
        <v>1690</v>
      </c>
      <c r="O19436" s="43">
        <v>11.503164556962025</v>
      </c>
      <c r="P19436" s="559"/>
      <c r="Q19436" s="559"/>
      <c r="R19436" s="559">
        <v>2</v>
      </c>
    </row>
    <row r="19437" spans="1:18" ht="36">
      <c r="A19437" s="555">
        <v>1809</v>
      </c>
      <c r="B19437" s="552" t="s">
        <v>35265</v>
      </c>
      <c r="C19437" s="556" t="s">
        <v>35266</v>
      </c>
      <c r="D19437" s="557">
        <v>45.95</v>
      </c>
      <c r="E19437" s="557">
        <v>45.05</v>
      </c>
      <c r="F19437" s="557"/>
      <c r="G19437" s="557">
        <v>0.9</v>
      </c>
      <c r="H19437" s="558">
        <v>528.44000000000005</v>
      </c>
      <c r="I19437" s="558">
        <v>518.09</v>
      </c>
      <c r="J19437" s="558"/>
      <c r="K19437" s="558">
        <v>10.35</v>
      </c>
      <c r="L19437" s="43">
        <v>11.503164556962025</v>
      </c>
      <c r="M19437" s="43">
        <v>11.50033296337403</v>
      </c>
      <c r="N19437" s="43" t="s">
        <v>1690</v>
      </c>
      <c r="O19437" s="43">
        <v>11.503164556962025</v>
      </c>
      <c r="P19437" s="559"/>
      <c r="Q19437" s="559"/>
      <c r="R19437" s="559">
        <v>2</v>
      </c>
    </row>
    <row r="19438" spans="1:18" ht="36">
      <c r="A19438" s="555">
        <v>1810</v>
      </c>
      <c r="B19438" s="552" t="s">
        <v>35267</v>
      </c>
      <c r="C19438" s="556" t="s">
        <v>35268</v>
      </c>
      <c r="D19438" s="557">
        <v>48.65</v>
      </c>
      <c r="E19438" s="557">
        <v>47.7</v>
      </c>
      <c r="F19438" s="557"/>
      <c r="G19438" s="557">
        <v>0.95</v>
      </c>
      <c r="H19438" s="558">
        <v>559.5</v>
      </c>
      <c r="I19438" s="558">
        <v>548.57000000000005</v>
      </c>
      <c r="J19438" s="558"/>
      <c r="K19438" s="558">
        <v>10.93</v>
      </c>
      <c r="L19438" s="43">
        <v>11.503164556962025</v>
      </c>
      <c r="M19438" s="43">
        <v>11.50041928721174</v>
      </c>
      <c r="N19438" s="43" t="s">
        <v>1690</v>
      </c>
      <c r="O19438" s="43">
        <v>11.503164556962025</v>
      </c>
      <c r="P19438" s="559"/>
      <c r="Q19438" s="559"/>
      <c r="R19438" s="559">
        <v>2</v>
      </c>
    </row>
    <row r="19439" spans="1:18" ht="36">
      <c r="A19439" s="555">
        <v>1811</v>
      </c>
      <c r="B19439" s="552" t="s">
        <v>35269</v>
      </c>
      <c r="C19439" s="556" t="s">
        <v>35270</v>
      </c>
      <c r="D19439" s="557">
        <v>50.01</v>
      </c>
      <c r="E19439" s="557">
        <v>49.03</v>
      </c>
      <c r="F19439" s="557"/>
      <c r="G19439" s="557">
        <v>0.98</v>
      </c>
      <c r="H19439" s="558">
        <v>575.08000000000004</v>
      </c>
      <c r="I19439" s="558">
        <v>563.80999999999995</v>
      </c>
      <c r="J19439" s="558"/>
      <c r="K19439" s="558">
        <v>11.27</v>
      </c>
      <c r="L19439" s="43">
        <v>11.503164556962025</v>
      </c>
      <c r="M19439" s="43">
        <v>11.499286151335916</v>
      </c>
      <c r="N19439" s="43" t="s">
        <v>1690</v>
      </c>
      <c r="O19439" s="43">
        <v>11.503164556962025</v>
      </c>
      <c r="P19439" s="559"/>
      <c r="Q19439" s="559"/>
      <c r="R19439" s="559">
        <v>2</v>
      </c>
    </row>
    <row r="19440" spans="1:18" ht="36">
      <c r="A19440" s="555">
        <v>1812</v>
      </c>
      <c r="B19440" s="552" t="s">
        <v>35271</v>
      </c>
      <c r="C19440" s="556" t="s">
        <v>35272</v>
      </c>
      <c r="D19440" s="557">
        <v>51.36</v>
      </c>
      <c r="E19440" s="557">
        <v>50.35</v>
      </c>
      <c r="F19440" s="557"/>
      <c r="G19440" s="557">
        <v>1.01</v>
      </c>
      <c r="H19440" s="558">
        <v>590.66</v>
      </c>
      <c r="I19440" s="558">
        <v>579.04</v>
      </c>
      <c r="J19440" s="558"/>
      <c r="K19440" s="558">
        <v>11.62</v>
      </c>
      <c r="L19440" s="43">
        <v>11.503164556962025</v>
      </c>
      <c r="M19440" s="43">
        <v>11.500297914597814</v>
      </c>
      <c r="N19440" s="43" t="s">
        <v>1690</v>
      </c>
      <c r="O19440" s="43">
        <v>11.503164556962025</v>
      </c>
      <c r="P19440" s="559"/>
      <c r="Q19440" s="559"/>
      <c r="R19440" s="559">
        <v>2</v>
      </c>
    </row>
    <row r="19441" spans="1:18" ht="36">
      <c r="A19441" s="555">
        <v>1813</v>
      </c>
      <c r="B19441" s="552" t="s">
        <v>35273</v>
      </c>
      <c r="C19441" s="556" t="s">
        <v>35274</v>
      </c>
      <c r="D19441" s="557">
        <v>54.06</v>
      </c>
      <c r="E19441" s="557">
        <v>53</v>
      </c>
      <c r="F19441" s="557"/>
      <c r="G19441" s="557">
        <v>1.06</v>
      </c>
      <c r="H19441" s="558">
        <v>621.71</v>
      </c>
      <c r="I19441" s="558">
        <v>609.52</v>
      </c>
      <c r="J19441" s="558"/>
      <c r="K19441" s="558">
        <v>12.19</v>
      </c>
      <c r="L19441" s="43">
        <v>11.503164556962025</v>
      </c>
      <c r="M19441" s="43">
        <v>11.500377358490566</v>
      </c>
      <c r="N19441" s="43" t="s">
        <v>1690</v>
      </c>
      <c r="O19441" s="43">
        <v>11.503164556962025</v>
      </c>
      <c r="P19441" s="559"/>
      <c r="Q19441" s="559"/>
      <c r="R19441" s="559">
        <v>2</v>
      </c>
    </row>
    <row r="19442" spans="1:18" ht="12.75" customHeight="1">
      <c r="A19442" s="628" t="s">
        <v>35275</v>
      </c>
      <c r="B19442" s="629"/>
      <c r="C19442" s="629"/>
      <c r="D19442" s="629"/>
      <c r="E19442" s="629"/>
      <c r="F19442" s="629"/>
      <c r="G19442" s="629"/>
      <c r="H19442" s="629"/>
      <c r="I19442" s="629"/>
      <c r="J19442" s="629"/>
      <c r="K19442" s="629"/>
      <c r="L19442" s="629"/>
      <c r="M19442" s="629"/>
      <c r="N19442" s="629"/>
      <c r="O19442" s="629"/>
      <c r="P19442" s="629"/>
      <c r="Q19442" s="629"/>
      <c r="R19442" s="629"/>
    </row>
    <row r="19443" spans="1:18" ht="24">
      <c r="A19443" s="555">
        <v>1814</v>
      </c>
      <c r="B19443" s="552" t="s">
        <v>35276</v>
      </c>
      <c r="C19443" s="556" t="s">
        <v>35277</v>
      </c>
      <c r="D19443" s="557">
        <v>6.76</v>
      </c>
      <c r="E19443" s="557">
        <v>6.63</v>
      </c>
      <c r="F19443" s="557"/>
      <c r="G19443" s="557">
        <v>0.13</v>
      </c>
      <c r="H19443" s="558">
        <v>77.69</v>
      </c>
      <c r="I19443" s="558">
        <v>76.19</v>
      </c>
      <c r="J19443" s="558"/>
      <c r="K19443" s="558">
        <v>1.5</v>
      </c>
      <c r="L19443" s="43">
        <v>11.503164556962025</v>
      </c>
      <c r="M19443" s="43">
        <v>11.498253783469149</v>
      </c>
      <c r="N19443" s="43" t="s">
        <v>1690</v>
      </c>
      <c r="O19443" s="43">
        <v>11.503164556962025</v>
      </c>
      <c r="P19443" s="559"/>
      <c r="Q19443" s="559"/>
      <c r="R19443" s="559">
        <v>3</v>
      </c>
    </row>
    <row r="19444" spans="1:18" ht="24">
      <c r="A19444" s="555">
        <v>1815</v>
      </c>
      <c r="B19444" s="552" t="s">
        <v>35278</v>
      </c>
      <c r="C19444" s="556" t="s">
        <v>35279</v>
      </c>
      <c r="D19444" s="557">
        <v>6.76</v>
      </c>
      <c r="E19444" s="557">
        <v>6.63</v>
      </c>
      <c r="F19444" s="557"/>
      <c r="G19444" s="557">
        <v>0.13</v>
      </c>
      <c r="H19444" s="558">
        <v>77.69</v>
      </c>
      <c r="I19444" s="558">
        <v>76.19</v>
      </c>
      <c r="J19444" s="558"/>
      <c r="K19444" s="558">
        <v>1.5</v>
      </c>
      <c r="L19444" s="43">
        <v>11.503164556962025</v>
      </c>
      <c r="M19444" s="43">
        <v>11.498253783469149</v>
      </c>
      <c r="N19444" s="43" t="s">
        <v>1690</v>
      </c>
      <c r="O19444" s="43">
        <v>11.503164556962025</v>
      </c>
      <c r="P19444" s="559"/>
      <c r="Q19444" s="559"/>
      <c r="R19444" s="559">
        <v>3</v>
      </c>
    </row>
    <row r="19445" spans="1:18" ht="24">
      <c r="A19445" s="555">
        <v>1816</v>
      </c>
      <c r="B19445" s="552" t="s">
        <v>35280</v>
      </c>
      <c r="C19445" s="556" t="s">
        <v>35281</v>
      </c>
      <c r="D19445" s="557">
        <v>7.03</v>
      </c>
      <c r="E19445" s="557">
        <v>6.89</v>
      </c>
      <c r="F19445" s="557"/>
      <c r="G19445" s="557">
        <v>0.14000000000000001</v>
      </c>
      <c r="H19445" s="558">
        <v>80.849999999999994</v>
      </c>
      <c r="I19445" s="558">
        <v>79.239999999999995</v>
      </c>
      <c r="J19445" s="558"/>
      <c r="K19445" s="558">
        <v>1.61</v>
      </c>
      <c r="L19445" s="43">
        <v>11.503164556962025</v>
      </c>
      <c r="M19445" s="43">
        <v>11.500725689404934</v>
      </c>
      <c r="N19445" s="43" t="s">
        <v>1690</v>
      </c>
      <c r="O19445" s="43">
        <v>11.503164556962025</v>
      </c>
      <c r="P19445" s="559"/>
      <c r="Q19445" s="559"/>
      <c r="R19445" s="559">
        <v>3</v>
      </c>
    </row>
    <row r="19446" spans="1:18" ht="24">
      <c r="A19446" s="555">
        <v>1817</v>
      </c>
      <c r="B19446" s="552" t="s">
        <v>35282</v>
      </c>
      <c r="C19446" s="556" t="s">
        <v>35283</v>
      </c>
      <c r="D19446" s="557">
        <v>7.3</v>
      </c>
      <c r="E19446" s="557">
        <v>7.16</v>
      </c>
      <c r="F19446" s="557"/>
      <c r="G19446" s="557">
        <v>0.14000000000000001</v>
      </c>
      <c r="H19446" s="558">
        <v>83.9</v>
      </c>
      <c r="I19446" s="558">
        <v>82.29</v>
      </c>
      <c r="J19446" s="558"/>
      <c r="K19446" s="558">
        <v>1.61</v>
      </c>
      <c r="L19446" s="43">
        <v>11.503164556962025</v>
      </c>
      <c r="M19446" s="43">
        <v>11.498253783469149</v>
      </c>
      <c r="N19446" s="43" t="s">
        <v>1690</v>
      </c>
      <c r="O19446" s="43">
        <v>11.503164556962025</v>
      </c>
      <c r="P19446" s="559"/>
      <c r="Q19446" s="559"/>
      <c r="R19446" s="559">
        <v>3</v>
      </c>
    </row>
    <row r="19447" spans="1:18" ht="24">
      <c r="A19447" s="555">
        <v>1818</v>
      </c>
      <c r="B19447" s="552" t="s">
        <v>35284</v>
      </c>
      <c r="C19447" s="556" t="s">
        <v>35285</v>
      </c>
      <c r="D19447" s="557">
        <v>7.57</v>
      </c>
      <c r="E19447" s="557">
        <v>7.42</v>
      </c>
      <c r="F19447" s="557"/>
      <c r="G19447" s="557">
        <v>0.15</v>
      </c>
      <c r="H19447" s="558">
        <v>87.06</v>
      </c>
      <c r="I19447" s="558">
        <v>85.33</v>
      </c>
      <c r="J19447" s="558"/>
      <c r="K19447" s="558">
        <v>1.73</v>
      </c>
      <c r="L19447" s="43">
        <v>11.503164556962025</v>
      </c>
      <c r="M19447" s="43">
        <v>11.5</v>
      </c>
      <c r="N19447" s="43" t="s">
        <v>1690</v>
      </c>
      <c r="O19447" s="43">
        <v>11.503164556962025</v>
      </c>
      <c r="P19447" s="559"/>
      <c r="Q19447" s="559"/>
      <c r="R19447" s="559">
        <v>3</v>
      </c>
    </row>
    <row r="19448" spans="1:18" ht="24">
      <c r="A19448" s="555">
        <v>1819</v>
      </c>
      <c r="B19448" s="552" t="s">
        <v>35286</v>
      </c>
      <c r="C19448" s="556" t="s">
        <v>35287</v>
      </c>
      <c r="D19448" s="557">
        <v>8.52</v>
      </c>
      <c r="E19448" s="557">
        <v>8.35</v>
      </c>
      <c r="F19448" s="557"/>
      <c r="G19448" s="557">
        <v>0.17</v>
      </c>
      <c r="H19448" s="558">
        <v>97.96</v>
      </c>
      <c r="I19448" s="558">
        <v>96</v>
      </c>
      <c r="J19448" s="558"/>
      <c r="K19448" s="558">
        <v>1.96</v>
      </c>
      <c r="L19448" s="43">
        <v>11.503164556962025</v>
      </c>
      <c r="M19448" s="43">
        <v>11.497005988023952</v>
      </c>
      <c r="N19448" s="43" t="s">
        <v>1690</v>
      </c>
      <c r="O19448" s="43">
        <v>11.503164556962025</v>
      </c>
      <c r="P19448" s="559"/>
      <c r="Q19448" s="559"/>
      <c r="R19448" s="559">
        <v>3</v>
      </c>
    </row>
    <row r="19449" spans="1:18" ht="24">
      <c r="A19449" s="555">
        <v>1820</v>
      </c>
      <c r="B19449" s="552" t="s">
        <v>35288</v>
      </c>
      <c r="C19449" s="556" t="s">
        <v>35289</v>
      </c>
      <c r="D19449" s="557">
        <v>8.92</v>
      </c>
      <c r="E19449" s="557">
        <v>8.75</v>
      </c>
      <c r="F19449" s="557"/>
      <c r="G19449" s="557">
        <v>0.17</v>
      </c>
      <c r="H19449" s="558">
        <v>102.53</v>
      </c>
      <c r="I19449" s="558">
        <v>100.57</v>
      </c>
      <c r="J19449" s="558"/>
      <c r="K19449" s="558">
        <v>1.96</v>
      </c>
      <c r="L19449" s="43">
        <v>11.503164556962025</v>
      </c>
      <c r="M19449" s="43">
        <v>11.5</v>
      </c>
      <c r="N19449" s="43" t="s">
        <v>1690</v>
      </c>
      <c r="O19449" s="43">
        <v>11.503164556962025</v>
      </c>
      <c r="P19449" s="559"/>
      <c r="Q19449" s="559"/>
      <c r="R19449" s="559">
        <v>3</v>
      </c>
    </row>
    <row r="19450" spans="1:18" ht="24">
      <c r="A19450" s="555">
        <v>1821</v>
      </c>
      <c r="B19450" s="552" t="s">
        <v>35290</v>
      </c>
      <c r="C19450" s="556" t="s">
        <v>35291</v>
      </c>
      <c r="D19450" s="557">
        <v>9.19</v>
      </c>
      <c r="E19450" s="557">
        <v>9.01</v>
      </c>
      <c r="F19450" s="557"/>
      <c r="G19450" s="557">
        <v>0.18</v>
      </c>
      <c r="H19450" s="558">
        <v>105.69</v>
      </c>
      <c r="I19450" s="558">
        <v>103.62</v>
      </c>
      <c r="J19450" s="558"/>
      <c r="K19450" s="558">
        <v>2.0699999999999998</v>
      </c>
      <c r="L19450" s="43">
        <v>11.503164556962025</v>
      </c>
      <c r="M19450" s="43">
        <v>11.500554938956716</v>
      </c>
      <c r="N19450" s="43" t="s">
        <v>1690</v>
      </c>
      <c r="O19450" s="43">
        <v>11.503164556962025</v>
      </c>
      <c r="P19450" s="559"/>
      <c r="Q19450" s="559"/>
      <c r="R19450" s="559">
        <v>3</v>
      </c>
    </row>
    <row r="19451" spans="1:18" ht="24">
      <c r="A19451" s="555">
        <v>1822</v>
      </c>
      <c r="B19451" s="552" t="s">
        <v>35292</v>
      </c>
      <c r="C19451" s="556" t="s">
        <v>35293</v>
      </c>
      <c r="D19451" s="557">
        <v>9.6</v>
      </c>
      <c r="E19451" s="557">
        <v>9.41</v>
      </c>
      <c r="F19451" s="557"/>
      <c r="G19451" s="557">
        <v>0.19</v>
      </c>
      <c r="H19451" s="558">
        <v>110.38</v>
      </c>
      <c r="I19451" s="558">
        <v>108.19</v>
      </c>
      <c r="J19451" s="558"/>
      <c r="K19451" s="558">
        <v>2.19</v>
      </c>
      <c r="L19451" s="43">
        <v>11.503164556962025</v>
      </c>
      <c r="M19451" s="43">
        <v>11.497343251859723</v>
      </c>
      <c r="N19451" s="43" t="s">
        <v>1690</v>
      </c>
      <c r="O19451" s="43">
        <v>11.503164556962025</v>
      </c>
      <c r="P19451" s="559"/>
      <c r="Q19451" s="559"/>
      <c r="R19451" s="559">
        <v>3</v>
      </c>
    </row>
    <row r="19452" spans="1:18" ht="24">
      <c r="A19452" s="555">
        <v>1823</v>
      </c>
      <c r="B19452" s="552" t="s">
        <v>35294</v>
      </c>
      <c r="C19452" s="556" t="s">
        <v>35295</v>
      </c>
      <c r="D19452" s="557">
        <v>10.81</v>
      </c>
      <c r="E19452" s="557">
        <v>10.6</v>
      </c>
      <c r="F19452" s="557"/>
      <c r="G19452" s="557">
        <v>0.21</v>
      </c>
      <c r="H19452" s="558">
        <v>124.32</v>
      </c>
      <c r="I19452" s="558">
        <v>121.9</v>
      </c>
      <c r="J19452" s="558"/>
      <c r="K19452" s="558">
        <v>2.42</v>
      </c>
      <c r="L19452" s="43">
        <v>11.503164556962025</v>
      </c>
      <c r="M19452" s="43">
        <v>11.500000000000002</v>
      </c>
      <c r="N19452" s="43" t="s">
        <v>1690</v>
      </c>
      <c r="O19452" s="43">
        <v>11.503164556962025</v>
      </c>
      <c r="P19452" s="559"/>
      <c r="Q19452" s="559"/>
      <c r="R19452" s="559">
        <v>3</v>
      </c>
    </row>
    <row r="19453" spans="1:18" ht="24">
      <c r="A19453" s="555">
        <v>1824</v>
      </c>
      <c r="B19453" s="552" t="s">
        <v>35296</v>
      </c>
      <c r="C19453" s="556" t="s">
        <v>35297</v>
      </c>
      <c r="D19453" s="557">
        <v>12.17</v>
      </c>
      <c r="E19453" s="557">
        <v>11.93</v>
      </c>
      <c r="F19453" s="557"/>
      <c r="G19453" s="557">
        <v>0.24</v>
      </c>
      <c r="H19453" s="558">
        <v>139.9</v>
      </c>
      <c r="I19453" s="558">
        <v>137.13999999999999</v>
      </c>
      <c r="J19453" s="558"/>
      <c r="K19453" s="558">
        <v>2.76</v>
      </c>
      <c r="L19453" s="43">
        <v>11.503164556962025</v>
      </c>
      <c r="M19453" s="43">
        <v>11.495389773679799</v>
      </c>
      <c r="N19453" s="43" t="s">
        <v>1690</v>
      </c>
      <c r="O19453" s="43">
        <v>11.503164556962025</v>
      </c>
      <c r="P19453" s="559"/>
      <c r="Q19453" s="559"/>
      <c r="R19453" s="559">
        <v>3</v>
      </c>
    </row>
    <row r="19454" spans="1:18" ht="24">
      <c r="A19454" s="555">
        <v>1825</v>
      </c>
      <c r="B19454" s="552" t="s">
        <v>35298</v>
      </c>
      <c r="C19454" s="556" t="s">
        <v>35299</v>
      </c>
      <c r="D19454" s="557">
        <v>13.52</v>
      </c>
      <c r="E19454" s="557">
        <v>13.25</v>
      </c>
      <c r="F19454" s="557"/>
      <c r="G19454" s="557">
        <v>0.27</v>
      </c>
      <c r="H19454" s="558">
        <v>155.49</v>
      </c>
      <c r="I19454" s="558">
        <v>152.38</v>
      </c>
      <c r="J19454" s="558"/>
      <c r="K19454" s="558">
        <v>3.11</v>
      </c>
      <c r="L19454" s="43">
        <v>11.503164556962025</v>
      </c>
      <c r="M19454" s="43">
        <v>11.500377358490566</v>
      </c>
      <c r="N19454" s="43" t="s">
        <v>1690</v>
      </c>
      <c r="O19454" s="43">
        <v>11.503164556962025</v>
      </c>
      <c r="P19454" s="559"/>
      <c r="Q19454" s="559"/>
      <c r="R19454" s="559">
        <v>3</v>
      </c>
    </row>
    <row r="19455" spans="1:18" ht="24">
      <c r="A19455" s="555">
        <v>1826</v>
      </c>
      <c r="B19455" s="552" t="s">
        <v>35300</v>
      </c>
      <c r="C19455" s="556" t="s">
        <v>35301</v>
      </c>
      <c r="D19455" s="557">
        <v>14.87</v>
      </c>
      <c r="E19455" s="557">
        <v>14.58</v>
      </c>
      <c r="F19455" s="557"/>
      <c r="G19455" s="557">
        <v>0.28999999999999998</v>
      </c>
      <c r="H19455" s="558">
        <v>170.96</v>
      </c>
      <c r="I19455" s="558">
        <v>167.62</v>
      </c>
      <c r="J19455" s="558"/>
      <c r="K19455" s="558">
        <v>3.34</v>
      </c>
      <c r="L19455" s="43">
        <v>11.503164556962025</v>
      </c>
      <c r="M19455" s="43">
        <v>11.496570644718792</v>
      </c>
      <c r="N19455" s="43" t="s">
        <v>1690</v>
      </c>
      <c r="O19455" s="43">
        <v>11.503164556962025</v>
      </c>
      <c r="P19455" s="559"/>
      <c r="Q19455" s="559"/>
      <c r="R19455" s="559">
        <v>3</v>
      </c>
    </row>
    <row r="19456" spans="1:18" ht="24">
      <c r="A19456" s="555">
        <v>1827</v>
      </c>
      <c r="B19456" s="552" t="s">
        <v>35302</v>
      </c>
      <c r="C19456" s="556" t="s">
        <v>35303</v>
      </c>
      <c r="D19456" s="557">
        <v>16.22</v>
      </c>
      <c r="E19456" s="557">
        <v>15.9</v>
      </c>
      <c r="F19456" s="557"/>
      <c r="G19456" s="557">
        <v>0.32</v>
      </c>
      <c r="H19456" s="558">
        <v>186.54</v>
      </c>
      <c r="I19456" s="558">
        <v>182.86</v>
      </c>
      <c r="J19456" s="558"/>
      <c r="K19456" s="558">
        <v>3.68</v>
      </c>
      <c r="L19456" s="43">
        <v>11.503164556962025</v>
      </c>
      <c r="M19456" s="43">
        <v>11.50062893081761</v>
      </c>
      <c r="N19456" s="43" t="s">
        <v>1690</v>
      </c>
      <c r="O19456" s="43">
        <v>11.503164556962025</v>
      </c>
      <c r="P19456" s="559"/>
      <c r="Q19456" s="559"/>
      <c r="R19456" s="559">
        <v>3</v>
      </c>
    </row>
    <row r="19457" spans="1:18" ht="24">
      <c r="A19457" s="555">
        <v>1828</v>
      </c>
      <c r="B19457" s="552" t="s">
        <v>35304</v>
      </c>
      <c r="C19457" s="556" t="s">
        <v>35305</v>
      </c>
      <c r="D19457" s="557">
        <v>18.920000000000002</v>
      </c>
      <c r="E19457" s="557">
        <v>18.55</v>
      </c>
      <c r="F19457" s="557"/>
      <c r="G19457" s="557">
        <v>0.37</v>
      </c>
      <c r="H19457" s="558">
        <v>217.59</v>
      </c>
      <c r="I19457" s="558">
        <v>213.33</v>
      </c>
      <c r="J19457" s="558"/>
      <c r="K19457" s="558">
        <v>4.26</v>
      </c>
      <c r="L19457" s="43">
        <v>11.503164556962025</v>
      </c>
      <c r="M19457" s="43">
        <v>11.500269541778977</v>
      </c>
      <c r="N19457" s="43" t="s">
        <v>1690</v>
      </c>
      <c r="O19457" s="43">
        <v>11.503164556962025</v>
      </c>
      <c r="P19457" s="559"/>
      <c r="Q19457" s="559"/>
      <c r="R19457" s="559">
        <v>3</v>
      </c>
    </row>
    <row r="19458" spans="1:18" ht="24">
      <c r="A19458" s="555">
        <v>1829</v>
      </c>
      <c r="B19458" s="552" t="s">
        <v>35306</v>
      </c>
      <c r="C19458" s="556" t="s">
        <v>35307</v>
      </c>
      <c r="D19458" s="557">
        <v>20.28</v>
      </c>
      <c r="E19458" s="557">
        <v>19.88</v>
      </c>
      <c r="F19458" s="557"/>
      <c r="G19458" s="557">
        <v>0.4</v>
      </c>
      <c r="H19458" s="558">
        <v>233.17</v>
      </c>
      <c r="I19458" s="558">
        <v>228.57</v>
      </c>
      <c r="J19458" s="558"/>
      <c r="K19458" s="558">
        <v>4.5999999999999996</v>
      </c>
      <c r="L19458" s="43">
        <v>11.503164556962025</v>
      </c>
      <c r="M19458" s="43">
        <v>11.497484909456741</v>
      </c>
      <c r="N19458" s="43" t="s">
        <v>1690</v>
      </c>
      <c r="O19458" s="43">
        <v>11.503164556962025</v>
      </c>
      <c r="P19458" s="559"/>
      <c r="Q19458" s="559"/>
      <c r="R19458" s="559">
        <v>3</v>
      </c>
    </row>
    <row r="19459" spans="1:18" ht="24">
      <c r="A19459" s="555">
        <v>1830</v>
      </c>
      <c r="B19459" s="552" t="s">
        <v>35308</v>
      </c>
      <c r="C19459" s="556" t="s">
        <v>35309</v>
      </c>
      <c r="D19459" s="557">
        <v>21.62</v>
      </c>
      <c r="E19459" s="557">
        <v>21.2</v>
      </c>
      <c r="F19459" s="557"/>
      <c r="G19459" s="557">
        <v>0.42</v>
      </c>
      <c r="H19459" s="558">
        <v>248.64</v>
      </c>
      <c r="I19459" s="558">
        <v>243.81</v>
      </c>
      <c r="J19459" s="558"/>
      <c r="K19459" s="558">
        <v>4.83</v>
      </c>
      <c r="L19459" s="43">
        <v>11.503164556962025</v>
      </c>
      <c r="M19459" s="43">
        <v>11.500471698113207</v>
      </c>
      <c r="N19459" s="43" t="s">
        <v>1690</v>
      </c>
      <c r="O19459" s="43">
        <v>11.503164556962025</v>
      </c>
      <c r="P19459" s="559"/>
      <c r="Q19459" s="559"/>
      <c r="R19459" s="559">
        <v>3</v>
      </c>
    </row>
    <row r="19460" spans="1:18" ht="24">
      <c r="A19460" s="555">
        <v>1831</v>
      </c>
      <c r="B19460" s="552" t="s">
        <v>35310</v>
      </c>
      <c r="C19460" s="556" t="s">
        <v>35311</v>
      </c>
      <c r="D19460" s="557">
        <v>22.98</v>
      </c>
      <c r="E19460" s="557">
        <v>22.53</v>
      </c>
      <c r="F19460" s="557"/>
      <c r="G19460" s="557">
        <v>0.45</v>
      </c>
      <c r="H19460" s="558">
        <v>264.23</v>
      </c>
      <c r="I19460" s="558">
        <v>259.05</v>
      </c>
      <c r="J19460" s="558"/>
      <c r="K19460" s="558">
        <v>5.18</v>
      </c>
      <c r="L19460" s="43">
        <v>11.503164556962025</v>
      </c>
      <c r="M19460" s="43">
        <v>11.498002663115846</v>
      </c>
      <c r="N19460" s="43" t="s">
        <v>1690</v>
      </c>
      <c r="O19460" s="43">
        <v>11.503164556962025</v>
      </c>
      <c r="P19460" s="559"/>
      <c r="Q19460" s="559"/>
      <c r="R19460" s="559">
        <v>3</v>
      </c>
    </row>
    <row r="19461" spans="1:18" ht="24">
      <c r="A19461" s="555">
        <v>1832</v>
      </c>
      <c r="B19461" s="552" t="s">
        <v>35312</v>
      </c>
      <c r="C19461" s="556" t="s">
        <v>35313</v>
      </c>
      <c r="D19461" s="557">
        <v>27.03</v>
      </c>
      <c r="E19461" s="557">
        <v>26.5</v>
      </c>
      <c r="F19461" s="557"/>
      <c r="G19461" s="557">
        <v>0.53</v>
      </c>
      <c r="H19461" s="558">
        <v>310.86</v>
      </c>
      <c r="I19461" s="558">
        <v>304.76</v>
      </c>
      <c r="J19461" s="558"/>
      <c r="K19461" s="558">
        <v>6.1</v>
      </c>
      <c r="L19461" s="43">
        <v>11.503164556962025</v>
      </c>
      <c r="M19461" s="43">
        <v>11.500377358490566</v>
      </c>
      <c r="N19461" s="43" t="s">
        <v>1690</v>
      </c>
      <c r="O19461" s="43">
        <v>11.503164556962025</v>
      </c>
      <c r="P19461" s="559"/>
      <c r="Q19461" s="559"/>
      <c r="R19461" s="559">
        <v>3</v>
      </c>
    </row>
    <row r="19462" spans="1:18" ht="24">
      <c r="A19462" s="555">
        <v>1833</v>
      </c>
      <c r="B19462" s="552" t="s">
        <v>35314</v>
      </c>
      <c r="C19462" s="556" t="s">
        <v>35315</v>
      </c>
      <c r="D19462" s="557">
        <v>28.39</v>
      </c>
      <c r="E19462" s="557">
        <v>27.83</v>
      </c>
      <c r="F19462" s="557"/>
      <c r="G19462" s="557">
        <v>0.56000000000000005</v>
      </c>
      <c r="H19462" s="558">
        <v>326.44</v>
      </c>
      <c r="I19462" s="558">
        <v>320</v>
      </c>
      <c r="J19462" s="558"/>
      <c r="K19462" s="558">
        <v>6.44</v>
      </c>
      <c r="L19462" s="43">
        <v>11.503164556962025</v>
      </c>
      <c r="M19462" s="43">
        <v>11.498383039885017</v>
      </c>
      <c r="N19462" s="43" t="s">
        <v>1690</v>
      </c>
      <c r="O19462" s="43">
        <v>11.503164556962025</v>
      </c>
      <c r="P19462" s="559"/>
      <c r="Q19462" s="559"/>
      <c r="R19462" s="559">
        <v>3</v>
      </c>
    </row>
    <row r="19463" spans="1:18" ht="24">
      <c r="A19463" s="555">
        <v>1834</v>
      </c>
      <c r="B19463" s="552" t="s">
        <v>35316</v>
      </c>
      <c r="C19463" s="556" t="s">
        <v>35317</v>
      </c>
      <c r="D19463" s="557">
        <v>31.09</v>
      </c>
      <c r="E19463" s="557">
        <v>30.48</v>
      </c>
      <c r="F19463" s="557"/>
      <c r="G19463" s="557">
        <v>0.61</v>
      </c>
      <c r="H19463" s="558">
        <v>357.49</v>
      </c>
      <c r="I19463" s="558">
        <v>350.47</v>
      </c>
      <c r="J19463" s="558"/>
      <c r="K19463" s="558">
        <v>7.02</v>
      </c>
      <c r="L19463" s="43">
        <v>11.503164556962025</v>
      </c>
      <c r="M19463" s="43">
        <v>11.498359580052494</v>
      </c>
      <c r="N19463" s="43" t="s">
        <v>1690</v>
      </c>
      <c r="O19463" s="43">
        <v>11.503164556962025</v>
      </c>
      <c r="P19463" s="559"/>
      <c r="Q19463" s="559"/>
      <c r="R19463" s="559">
        <v>3</v>
      </c>
    </row>
    <row r="19464" spans="1:18" ht="24">
      <c r="A19464" s="555">
        <v>1835</v>
      </c>
      <c r="B19464" s="552" t="s">
        <v>35318</v>
      </c>
      <c r="C19464" s="556" t="s">
        <v>35319</v>
      </c>
      <c r="D19464" s="557">
        <v>33.79</v>
      </c>
      <c r="E19464" s="557">
        <v>33.130000000000003</v>
      </c>
      <c r="F19464" s="557"/>
      <c r="G19464" s="557">
        <v>0.66</v>
      </c>
      <c r="H19464" s="558">
        <v>388.54</v>
      </c>
      <c r="I19464" s="558">
        <v>380.95</v>
      </c>
      <c r="J19464" s="558"/>
      <c r="K19464" s="558">
        <v>7.59</v>
      </c>
      <c r="L19464" s="43">
        <v>11.503164556962025</v>
      </c>
      <c r="M19464" s="43">
        <v>11.498641714458193</v>
      </c>
      <c r="N19464" s="43" t="s">
        <v>1690</v>
      </c>
      <c r="O19464" s="43">
        <v>11.503164556962025</v>
      </c>
      <c r="P19464" s="559"/>
      <c r="Q19464" s="559"/>
      <c r="R19464" s="559">
        <v>3</v>
      </c>
    </row>
    <row r="19465" spans="1:18" ht="24">
      <c r="A19465" s="555">
        <v>1836</v>
      </c>
      <c r="B19465" s="552" t="s">
        <v>35320</v>
      </c>
      <c r="C19465" s="556" t="s">
        <v>35321</v>
      </c>
      <c r="D19465" s="557">
        <v>36.5</v>
      </c>
      <c r="E19465" s="557">
        <v>35.78</v>
      </c>
      <c r="F19465" s="557"/>
      <c r="G19465" s="557">
        <v>0.72</v>
      </c>
      <c r="H19465" s="558">
        <v>419.71</v>
      </c>
      <c r="I19465" s="558">
        <v>411.43</v>
      </c>
      <c r="J19465" s="558"/>
      <c r="K19465" s="558">
        <v>8.2799999999999994</v>
      </c>
      <c r="L19465" s="43">
        <v>11.503164556962025</v>
      </c>
      <c r="M19465" s="43">
        <v>11.498882057015091</v>
      </c>
      <c r="N19465" s="43" t="s">
        <v>1690</v>
      </c>
      <c r="O19465" s="43">
        <v>11.503164556962025</v>
      </c>
      <c r="P19465" s="559"/>
      <c r="Q19465" s="559"/>
      <c r="R19465" s="559">
        <v>3</v>
      </c>
    </row>
    <row r="19466" spans="1:18" ht="24">
      <c r="A19466" s="555">
        <v>1837</v>
      </c>
      <c r="B19466" s="552" t="s">
        <v>35322</v>
      </c>
      <c r="C19466" s="556" t="s">
        <v>35323</v>
      </c>
      <c r="D19466" s="557">
        <v>40.549999999999997</v>
      </c>
      <c r="E19466" s="557">
        <v>39.75</v>
      </c>
      <c r="F19466" s="557"/>
      <c r="G19466" s="557">
        <v>0.8</v>
      </c>
      <c r="H19466" s="558">
        <v>466.34</v>
      </c>
      <c r="I19466" s="558">
        <v>457.14</v>
      </c>
      <c r="J19466" s="558"/>
      <c r="K19466" s="558">
        <v>9.1999999999999993</v>
      </c>
      <c r="L19466" s="43">
        <v>11.503164556962025</v>
      </c>
      <c r="M19466" s="43">
        <v>11.500377358490566</v>
      </c>
      <c r="N19466" s="43" t="s">
        <v>1690</v>
      </c>
      <c r="O19466" s="43">
        <v>11.503164556962025</v>
      </c>
      <c r="P19466" s="559"/>
      <c r="Q19466" s="559"/>
      <c r="R19466" s="559">
        <v>3</v>
      </c>
    </row>
    <row r="19467" spans="1:18" ht="24">
      <c r="A19467" s="555">
        <v>1838</v>
      </c>
      <c r="B19467" s="552" t="s">
        <v>35324</v>
      </c>
      <c r="C19467" s="556" t="s">
        <v>35325</v>
      </c>
      <c r="D19467" s="557">
        <v>43.25</v>
      </c>
      <c r="E19467" s="557">
        <v>42.4</v>
      </c>
      <c r="F19467" s="557"/>
      <c r="G19467" s="557">
        <v>0.85</v>
      </c>
      <c r="H19467" s="558">
        <v>497.4</v>
      </c>
      <c r="I19467" s="558">
        <v>487.62</v>
      </c>
      <c r="J19467" s="558"/>
      <c r="K19467" s="558">
        <v>9.7799999999999994</v>
      </c>
      <c r="L19467" s="43">
        <v>11.503164556962025</v>
      </c>
      <c r="M19467" s="43">
        <v>11.500471698113207</v>
      </c>
      <c r="N19467" s="43" t="s">
        <v>1690</v>
      </c>
      <c r="O19467" s="43">
        <v>11.503164556962025</v>
      </c>
      <c r="P19467" s="559"/>
      <c r="Q19467" s="559"/>
      <c r="R19467" s="559">
        <v>3</v>
      </c>
    </row>
    <row r="19468" spans="1:18" ht="24">
      <c r="A19468" s="555">
        <v>1839</v>
      </c>
      <c r="B19468" s="552" t="s">
        <v>35326</v>
      </c>
      <c r="C19468" s="556" t="s">
        <v>35327</v>
      </c>
      <c r="D19468" s="557">
        <v>45.95</v>
      </c>
      <c r="E19468" s="557">
        <v>45.05</v>
      </c>
      <c r="F19468" s="557"/>
      <c r="G19468" s="557">
        <v>0.9</v>
      </c>
      <c r="H19468" s="558">
        <v>528.44000000000005</v>
      </c>
      <c r="I19468" s="558">
        <v>518.09</v>
      </c>
      <c r="J19468" s="558"/>
      <c r="K19468" s="558">
        <v>10.35</v>
      </c>
      <c r="L19468" s="43">
        <v>11.503164556962025</v>
      </c>
      <c r="M19468" s="43">
        <v>11.50033296337403</v>
      </c>
      <c r="N19468" s="43" t="s">
        <v>1690</v>
      </c>
      <c r="O19468" s="43">
        <v>11.503164556962025</v>
      </c>
      <c r="P19468" s="559"/>
      <c r="Q19468" s="559"/>
      <c r="R19468" s="559">
        <v>3</v>
      </c>
    </row>
    <row r="19469" spans="1:18" ht="24">
      <c r="A19469" s="555">
        <v>1840</v>
      </c>
      <c r="B19469" s="552" t="s">
        <v>35328</v>
      </c>
      <c r="C19469" s="556" t="s">
        <v>35329</v>
      </c>
      <c r="D19469" s="557">
        <v>48.65</v>
      </c>
      <c r="E19469" s="557">
        <v>47.7</v>
      </c>
      <c r="F19469" s="557"/>
      <c r="G19469" s="557">
        <v>0.95</v>
      </c>
      <c r="H19469" s="558">
        <v>559.5</v>
      </c>
      <c r="I19469" s="558">
        <v>548.57000000000005</v>
      </c>
      <c r="J19469" s="558"/>
      <c r="K19469" s="558">
        <v>10.93</v>
      </c>
      <c r="L19469" s="43">
        <v>11.503164556962025</v>
      </c>
      <c r="M19469" s="43">
        <v>11.50041928721174</v>
      </c>
      <c r="N19469" s="43" t="s">
        <v>1690</v>
      </c>
      <c r="O19469" s="43">
        <v>11.503164556962025</v>
      </c>
      <c r="P19469" s="559"/>
      <c r="Q19469" s="559"/>
      <c r="R19469" s="559">
        <v>3</v>
      </c>
    </row>
    <row r="19470" spans="1:18" ht="24">
      <c r="A19470" s="555">
        <v>1841</v>
      </c>
      <c r="B19470" s="552" t="s">
        <v>35330</v>
      </c>
      <c r="C19470" s="556" t="s">
        <v>35331</v>
      </c>
      <c r="D19470" s="557">
        <v>51.36</v>
      </c>
      <c r="E19470" s="557">
        <v>50.35</v>
      </c>
      <c r="F19470" s="557"/>
      <c r="G19470" s="557">
        <v>1.01</v>
      </c>
      <c r="H19470" s="558">
        <v>590.66</v>
      </c>
      <c r="I19470" s="558">
        <v>579.04</v>
      </c>
      <c r="J19470" s="558"/>
      <c r="K19470" s="558">
        <v>11.62</v>
      </c>
      <c r="L19470" s="43">
        <v>11.503164556962025</v>
      </c>
      <c r="M19470" s="43">
        <v>11.500297914597814</v>
      </c>
      <c r="N19470" s="43" t="s">
        <v>1690</v>
      </c>
      <c r="O19470" s="43">
        <v>11.503164556962025</v>
      </c>
      <c r="P19470" s="559"/>
      <c r="Q19470" s="559"/>
      <c r="R19470" s="559">
        <v>3</v>
      </c>
    </row>
    <row r="19471" spans="1:18" ht="24">
      <c r="A19471" s="555">
        <v>1842</v>
      </c>
      <c r="B19471" s="552" t="s">
        <v>35332</v>
      </c>
      <c r="C19471" s="556" t="s">
        <v>35333</v>
      </c>
      <c r="D19471" s="557">
        <v>54.06</v>
      </c>
      <c r="E19471" s="557">
        <v>53</v>
      </c>
      <c r="F19471" s="557"/>
      <c r="G19471" s="557">
        <v>1.06</v>
      </c>
      <c r="H19471" s="558">
        <v>621.71</v>
      </c>
      <c r="I19471" s="558">
        <v>609.52</v>
      </c>
      <c r="J19471" s="558"/>
      <c r="K19471" s="558">
        <v>12.19</v>
      </c>
      <c r="L19471" s="43">
        <v>11.503164556962025</v>
      </c>
      <c r="M19471" s="43">
        <v>11.500377358490566</v>
      </c>
      <c r="N19471" s="43" t="s">
        <v>1690</v>
      </c>
      <c r="O19471" s="43">
        <v>11.503164556962025</v>
      </c>
      <c r="P19471" s="559"/>
      <c r="Q19471" s="559"/>
      <c r="R19471" s="559">
        <v>3</v>
      </c>
    </row>
    <row r="19472" spans="1:18" ht="24">
      <c r="A19472" s="555">
        <v>1843</v>
      </c>
      <c r="B19472" s="552" t="s">
        <v>35334</v>
      </c>
      <c r="C19472" s="556" t="s">
        <v>35335</v>
      </c>
      <c r="D19472" s="557">
        <v>56.76</v>
      </c>
      <c r="E19472" s="557">
        <v>55.65</v>
      </c>
      <c r="F19472" s="557"/>
      <c r="G19472" s="557">
        <v>1.1100000000000001</v>
      </c>
      <c r="H19472" s="558">
        <v>652.77</v>
      </c>
      <c r="I19472" s="558">
        <v>640</v>
      </c>
      <c r="J19472" s="558"/>
      <c r="K19472" s="558">
        <v>12.77</v>
      </c>
      <c r="L19472" s="43">
        <v>11.503164556962025</v>
      </c>
      <c r="M19472" s="43">
        <v>11.500449236298293</v>
      </c>
      <c r="N19472" s="43" t="s">
        <v>1690</v>
      </c>
      <c r="O19472" s="43">
        <v>11.503164556962025</v>
      </c>
      <c r="P19472" s="559"/>
      <c r="Q19472" s="559"/>
      <c r="R19472" s="559">
        <v>3</v>
      </c>
    </row>
    <row r="19473" spans="1:18" ht="24">
      <c r="A19473" s="555">
        <v>1844</v>
      </c>
      <c r="B19473" s="552" t="s">
        <v>35336</v>
      </c>
      <c r="C19473" s="556" t="s">
        <v>35337</v>
      </c>
      <c r="D19473" s="557">
        <v>59.47</v>
      </c>
      <c r="E19473" s="557">
        <v>58.3</v>
      </c>
      <c r="F19473" s="557"/>
      <c r="G19473" s="557">
        <v>1.17</v>
      </c>
      <c r="H19473" s="558">
        <v>683.93</v>
      </c>
      <c r="I19473" s="558">
        <v>670.47</v>
      </c>
      <c r="J19473" s="558"/>
      <c r="K19473" s="558">
        <v>13.46</v>
      </c>
      <c r="L19473" s="43">
        <v>11.503164556962025</v>
      </c>
      <c r="M19473" s="43">
        <v>11.500343053173243</v>
      </c>
      <c r="N19473" s="43" t="s">
        <v>1690</v>
      </c>
      <c r="O19473" s="43">
        <v>11.503164556962025</v>
      </c>
      <c r="P19473" s="559"/>
      <c r="Q19473" s="559"/>
      <c r="R19473" s="559">
        <v>3</v>
      </c>
    </row>
    <row r="19474" spans="1:18" ht="24">
      <c r="A19474" s="555">
        <v>1845</v>
      </c>
      <c r="B19474" s="552" t="s">
        <v>35338</v>
      </c>
      <c r="C19474" s="556" t="s">
        <v>35339</v>
      </c>
      <c r="D19474" s="557">
        <v>62.17</v>
      </c>
      <c r="E19474" s="557">
        <v>60.95</v>
      </c>
      <c r="F19474" s="557"/>
      <c r="G19474" s="557">
        <v>1.22</v>
      </c>
      <c r="H19474" s="558">
        <v>714.98</v>
      </c>
      <c r="I19474" s="558">
        <v>700.95</v>
      </c>
      <c r="J19474" s="558"/>
      <c r="K19474" s="558">
        <v>14.03</v>
      </c>
      <c r="L19474" s="43">
        <v>11.503164556962025</v>
      </c>
      <c r="M19474" s="43">
        <v>11.500410172272355</v>
      </c>
      <c r="N19474" s="43" t="s">
        <v>1690</v>
      </c>
      <c r="O19474" s="43">
        <v>11.503164556962025</v>
      </c>
      <c r="P19474" s="559"/>
      <c r="Q19474" s="559"/>
      <c r="R19474" s="559">
        <v>3</v>
      </c>
    </row>
    <row r="19475" spans="1:18" ht="24">
      <c r="A19475" s="555">
        <v>1846</v>
      </c>
      <c r="B19475" s="552" t="s">
        <v>35340</v>
      </c>
      <c r="C19475" s="556" t="s">
        <v>35341</v>
      </c>
      <c r="D19475" s="557">
        <v>64.87</v>
      </c>
      <c r="E19475" s="557">
        <v>63.6</v>
      </c>
      <c r="F19475" s="557"/>
      <c r="G19475" s="557">
        <v>1.27</v>
      </c>
      <c r="H19475" s="558">
        <v>746.03</v>
      </c>
      <c r="I19475" s="558">
        <v>731.42</v>
      </c>
      <c r="J19475" s="558"/>
      <c r="K19475" s="558">
        <v>14.61</v>
      </c>
      <c r="L19475" s="43">
        <v>11.503164556962025</v>
      </c>
      <c r="M19475" s="43">
        <v>11.500314465408804</v>
      </c>
      <c r="N19475" s="43" t="s">
        <v>1690</v>
      </c>
      <c r="O19475" s="43">
        <v>11.503164556962025</v>
      </c>
      <c r="P19475" s="559"/>
      <c r="Q19475" s="559"/>
      <c r="R19475" s="559">
        <v>3</v>
      </c>
    </row>
    <row r="19476" spans="1:18" ht="24">
      <c r="A19476" s="555">
        <v>1847</v>
      </c>
      <c r="B19476" s="552" t="s">
        <v>35342</v>
      </c>
      <c r="C19476" s="556" t="s">
        <v>35343</v>
      </c>
      <c r="D19476" s="557">
        <v>67.58</v>
      </c>
      <c r="E19476" s="557">
        <v>66.25</v>
      </c>
      <c r="F19476" s="557"/>
      <c r="G19476" s="557">
        <v>1.33</v>
      </c>
      <c r="H19476" s="558">
        <v>777.2</v>
      </c>
      <c r="I19476" s="558">
        <v>761.9</v>
      </c>
      <c r="J19476" s="558"/>
      <c r="K19476" s="558">
        <v>15.3</v>
      </c>
      <c r="L19476" s="43">
        <v>11.503164556962025</v>
      </c>
      <c r="M19476" s="43">
        <v>11.500377358490566</v>
      </c>
      <c r="N19476" s="43" t="s">
        <v>1690</v>
      </c>
      <c r="O19476" s="43">
        <v>11.503164556962025</v>
      </c>
      <c r="P19476" s="559"/>
      <c r="Q19476" s="559"/>
      <c r="R19476" s="559">
        <v>3</v>
      </c>
    </row>
    <row r="19477" spans="1:18" ht="24">
      <c r="A19477" s="555">
        <v>1848</v>
      </c>
      <c r="B19477" s="552" t="s">
        <v>35344</v>
      </c>
      <c r="C19477" s="556" t="s">
        <v>35345</v>
      </c>
      <c r="D19477" s="557">
        <v>71.63</v>
      </c>
      <c r="E19477" s="557">
        <v>70.23</v>
      </c>
      <c r="F19477" s="557"/>
      <c r="G19477" s="557">
        <v>1.4</v>
      </c>
      <c r="H19477" s="558">
        <v>823.71</v>
      </c>
      <c r="I19477" s="558">
        <v>807.61</v>
      </c>
      <c r="J19477" s="558"/>
      <c r="K19477" s="558">
        <v>16.100000000000001</v>
      </c>
      <c r="L19477" s="43">
        <v>11.503164556962025</v>
      </c>
      <c r="M19477" s="43">
        <v>11.499501637476861</v>
      </c>
      <c r="N19477" s="43" t="s">
        <v>1690</v>
      </c>
      <c r="O19477" s="43">
        <v>11.503164556962025</v>
      </c>
      <c r="P19477" s="559"/>
      <c r="Q19477" s="559"/>
      <c r="R19477" s="559">
        <v>3</v>
      </c>
    </row>
    <row r="19478" spans="1:18" ht="24">
      <c r="A19478" s="555">
        <v>1849</v>
      </c>
      <c r="B19478" s="552" t="s">
        <v>35346</v>
      </c>
      <c r="C19478" s="556" t="s">
        <v>35347</v>
      </c>
      <c r="D19478" s="557">
        <v>74.34</v>
      </c>
      <c r="E19478" s="557">
        <v>72.88</v>
      </c>
      <c r="F19478" s="557"/>
      <c r="G19478" s="557">
        <v>1.46</v>
      </c>
      <c r="H19478" s="558">
        <v>854.88</v>
      </c>
      <c r="I19478" s="558">
        <v>838.09</v>
      </c>
      <c r="J19478" s="558"/>
      <c r="K19478" s="558">
        <v>16.79</v>
      </c>
      <c r="L19478" s="43">
        <v>11.503164556962025</v>
      </c>
      <c r="M19478" s="43">
        <v>11.499588364434688</v>
      </c>
      <c r="N19478" s="43" t="s">
        <v>1690</v>
      </c>
      <c r="O19478" s="43">
        <v>11.503164556962025</v>
      </c>
      <c r="P19478" s="559"/>
      <c r="Q19478" s="559"/>
      <c r="R19478" s="559">
        <v>3</v>
      </c>
    </row>
    <row r="19479" spans="1:18" ht="24">
      <c r="A19479" s="555">
        <v>1850</v>
      </c>
      <c r="B19479" s="552" t="s">
        <v>35348</v>
      </c>
      <c r="C19479" s="556" t="s">
        <v>35349</v>
      </c>
      <c r="D19479" s="557">
        <v>77.040000000000006</v>
      </c>
      <c r="E19479" s="557">
        <v>75.53</v>
      </c>
      <c r="F19479" s="557"/>
      <c r="G19479" s="557">
        <v>1.51</v>
      </c>
      <c r="H19479" s="558">
        <v>885.94</v>
      </c>
      <c r="I19479" s="558">
        <v>868.57</v>
      </c>
      <c r="J19479" s="558"/>
      <c r="K19479" s="558">
        <v>17.37</v>
      </c>
      <c r="L19479" s="43">
        <v>11.503164556962025</v>
      </c>
      <c r="M19479" s="43">
        <v>11.499669005693102</v>
      </c>
      <c r="N19479" s="43" t="s">
        <v>1690</v>
      </c>
      <c r="O19479" s="43">
        <v>11.503164556962025</v>
      </c>
      <c r="P19479" s="559"/>
      <c r="Q19479" s="559"/>
      <c r="R19479" s="559">
        <v>3</v>
      </c>
    </row>
    <row r="19480" spans="1:18" ht="24">
      <c r="A19480" s="555">
        <v>1851</v>
      </c>
      <c r="B19480" s="552" t="s">
        <v>35350</v>
      </c>
      <c r="C19480" s="556" t="s">
        <v>35351</v>
      </c>
      <c r="D19480" s="557">
        <v>81.09</v>
      </c>
      <c r="E19480" s="557">
        <v>79.5</v>
      </c>
      <c r="F19480" s="557"/>
      <c r="G19480" s="557">
        <v>1.59</v>
      </c>
      <c r="H19480" s="558">
        <v>932.57</v>
      </c>
      <c r="I19480" s="558">
        <v>914.28</v>
      </c>
      <c r="J19480" s="558"/>
      <c r="K19480" s="558">
        <v>18.29</v>
      </c>
      <c r="L19480" s="43">
        <v>11.503164556962025</v>
      </c>
      <c r="M19480" s="43">
        <v>11.500377358490566</v>
      </c>
      <c r="N19480" s="43" t="s">
        <v>1690</v>
      </c>
      <c r="O19480" s="43">
        <v>11.503164556962025</v>
      </c>
      <c r="P19480" s="559"/>
      <c r="Q19480" s="559"/>
      <c r="R19480" s="559">
        <v>3</v>
      </c>
    </row>
    <row r="19481" spans="1:18" ht="24">
      <c r="A19481" s="555">
        <v>1852</v>
      </c>
      <c r="B19481" s="552" t="s">
        <v>35352</v>
      </c>
      <c r="C19481" s="556" t="s">
        <v>35353</v>
      </c>
      <c r="D19481" s="557">
        <v>82.45</v>
      </c>
      <c r="E19481" s="557">
        <v>80.83</v>
      </c>
      <c r="F19481" s="557"/>
      <c r="G19481" s="557">
        <v>1.62</v>
      </c>
      <c r="H19481" s="558">
        <v>948.15</v>
      </c>
      <c r="I19481" s="558">
        <v>929.52</v>
      </c>
      <c r="J19481" s="558"/>
      <c r="K19481" s="558">
        <v>18.63</v>
      </c>
      <c r="L19481" s="43">
        <v>11.503164556962025</v>
      </c>
      <c r="M19481" s="43">
        <v>11.499690708895212</v>
      </c>
      <c r="N19481" s="43" t="s">
        <v>1690</v>
      </c>
      <c r="O19481" s="43">
        <v>11.503164556962025</v>
      </c>
      <c r="P19481" s="559"/>
      <c r="Q19481" s="559"/>
      <c r="R19481" s="559">
        <v>3</v>
      </c>
    </row>
    <row r="19482" spans="1:18" ht="24">
      <c r="A19482" s="555">
        <v>1853</v>
      </c>
      <c r="B19482" s="552" t="s">
        <v>35354</v>
      </c>
      <c r="C19482" s="556" t="s">
        <v>35355</v>
      </c>
      <c r="D19482" s="557">
        <v>85.15</v>
      </c>
      <c r="E19482" s="557">
        <v>83.48</v>
      </c>
      <c r="F19482" s="557"/>
      <c r="G19482" s="557">
        <v>1.67</v>
      </c>
      <c r="H19482" s="558">
        <v>979.2</v>
      </c>
      <c r="I19482" s="558">
        <v>959.99</v>
      </c>
      <c r="J19482" s="558"/>
      <c r="K19482" s="558">
        <v>19.21</v>
      </c>
      <c r="L19482" s="43">
        <v>11.503164556962025</v>
      </c>
      <c r="M19482" s="43">
        <v>11.499640632486823</v>
      </c>
      <c r="N19482" s="43" t="s">
        <v>1690</v>
      </c>
      <c r="O19482" s="43">
        <v>11.503164556962025</v>
      </c>
      <c r="P19482" s="559"/>
      <c r="Q19482" s="559"/>
      <c r="R19482" s="559">
        <v>3</v>
      </c>
    </row>
    <row r="19483" spans="1:18" ht="12.75">
      <c r="A19483" s="632" t="s">
        <v>18</v>
      </c>
      <c r="B19483" s="632"/>
      <c r="C19483" s="632"/>
      <c r="D19483" s="553">
        <v>199823.31</v>
      </c>
      <c r="E19483" s="553">
        <v>96166.74</v>
      </c>
      <c r="F19483" s="553">
        <v>86593.87</v>
      </c>
      <c r="G19483" s="553">
        <v>17062.7</v>
      </c>
      <c r="H19483" s="554">
        <v>1641111.09</v>
      </c>
      <c r="I19483" s="554">
        <v>1105942.82</v>
      </c>
      <c r="J19483" s="554">
        <v>457982.71999999997</v>
      </c>
      <c r="K19483" s="554">
        <v>77185.55</v>
      </c>
      <c r="L19483" s="612">
        <v>8.2128110579291285</v>
      </c>
      <c r="M19483" s="612">
        <v>11.500263188707446</v>
      </c>
      <c r="N19483" s="612">
        <v>5.2888584376700107</v>
      </c>
      <c r="O19483" s="612">
        <v>4.5236422137176415</v>
      </c>
      <c r="P19483" s="551"/>
      <c r="Q19483" s="551"/>
      <c r="R19483" s="551"/>
    </row>
    <row r="19484" spans="1:18" ht="18">
      <c r="A19484" s="616" t="s">
        <v>35356</v>
      </c>
      <c r="B19484" s="626"/>
      <c r="C19484" s="626"/>
      <c r="D19484" s="626"/>
      <c r="E19484" s="626"/>
      <c r="F19484" s="626"/>
      <c r="G19484" s="626"/>
      <c r="H19484" s="626"/>
      <c r="I19484" s="626"/>
      <c r="J19484" s="626"/>
      <c r="K19484" s="626"/>
      <c r="L19484" s="626"/>
      <c r="M19484" s="626"/>
      <c r="N19484" s="626"/>
      <c r="O19484" s="626"/>
      <c r="P19484" s="626"/>
      <c r="Q19484" s="626"/>
      <c r="R19484" s="627"/>
    </row>
    <row r="19485" spans="1:18" s="40" customFormat="1" ht="12.75" customHeight="1">
      <c r="A19485" s="630" t="s">
        <v>35357</v>
      </c>
      <c r="B19485" s="631"/>
      <c r="C19485" s="631"/>
      <c r="D19485" s="631"/>
      <c r="E19485" s="631"/>
      <c r="F19485" s="631"/>
      <c r="G19485" s="631"/>
      <c r="H19485" s="631"/>
      <c r="I19485" s="631"/>
      <c r="J19485" s="631"/>
      <c r="K19485" s="631"/>
      <c r="L19485" s="631"/>
      <c r="M19485" s="631"/>
      <c r="N19485" s="631"/>
      <c r="O19485" s="631"/>
      <c r="P19485" s="631"/>
      <c r="Q19485" s="631"/>
      <c r="R19485" s="631"/>
    </row>
    <row r="19486" spans="1:18" s="40" customFormat="1" ht="12.75" customHeight="1">
      <c r="A19486" s="628" t="s">
        <v>35358</v>
      </c>
      <c r="B19486" s="629"/>
      <c r="C19486" s="629"/>
      <c r="D19486" s="629"/>
      <c r="E19486" s="629"/>
      <c r="F19486" s="629"/>
      <c r="G19486" s="629"/>
      <c r="H19486" s="629"/>
      <c r="I19486" s="629"/>
      <c r="J19486" s="629"/>
      <c r="K19486" s="629"/>
      <c r="L19486" s="629"/>
      <c r="M19486" s="629"/>
      <c r="N19486" s="629"/>
      <c r="O19486" s="629"/>
      <c r="P19486" s="629"/>
      <c r="Q19486" s="629"/>
      <c r="R19486" s="629"/>
    </row>
    <row r="19487" spans="1:18" s="40" customFormat="1" ht="36">
      <c r="A19487" s="570">
        <v>1</v>
      </c>
      <c r="B19487" s="567" t="s">
        <v>35361</v>
      </c>
      <c r="C19487" s="571" t="s">
        <v>35362</v>
      </c>
      <c r="D19487" s="572">
        <v>100.07</v>
      </c>
      <c r="E19487" s="572">
        <v>63</v>
      </c>
      <c r="F19487" s="572">
        <v>35.81</v>
      </c>
      <c r="G19487" s="572">
        <v>1.26</v>
      </c>
      <c r="H19487" s="573">
        <v>961.81</v>
      </c>
      <c r="I19487" s="573">
        <v>724.54</v>
      </c>
      <c r="J19487" s="573">
        <v>222.78</v>
      </c>
      <c r="K19487" s="573">
        <v>14.49</v>
      </c>
      <c r="L19487" s="43">
        <v>9.6113720395723004</v>
      </c>
      <c r="M19487" s="43">
        <v>11.500634920634919</v>
      </c>
      <c r="N19487" s="43">
        <v>6.2211672717118116</v>
      </c>
      <c r="O19487" s="43">
        <v>11.5</v>
      </c>
      <c r="P19487" s="574"/>
      <c r="Q19487" s="574"/>
      <c r="R19487" s="574">
        <v>1</v>
      </c>
    </row>
    <row r="19488" spans="1:18" s="40" customFormat="1" ht="36">
      <c r="A19488" s="570">
        <v>2</v>
      </c>
      <c r="B19488" s="567" t="s">
        <v>35359</v>
      </c>
      <c r="C19488" s="571" t="s">
        <v>35360</v>
      </c>
      <c r="D19488" s="572">
        <v>191.3</v>
      </c>
      <c r="E19488" s="572">
        <v>136.07</v>
      </c>
      <c r="F19488" s="572">
        <v>52.51</v>
      </c>
      <c r="G19488" s="572">
        <v>2.72</v>
      </c>
      <c r="H19488" s="573">
        <v>1922.85</v>
      </c>
      <c r="I19488" s="573">
        <v>1564.83</v>
      </c>
      <c r="J19488" s="573">
        <v>326.74</v>
      </c>
      <c r="K19488" s="573">
        <v>31.28</v>
      </c>
      <c r="L19488" s="43">
        <v>10.051489806586511</v>
      </c>
      <c r="M19488" s="43">
        <v>11.500183728963034</v>
      </c>
      <c r="N19488" s="43">
        <v>6.2224338221291191</v>
      </c>
      <c r="O19488" s="43">
        <v>11.5</v>
      </c>
      <c r="P19488" s="574"/>
      <c r="Q19488" s="574"/>
      <c r="R19488" s="574">
        <v>1</v>
      </c>
    </row>
    <row r="19489" spans="1:18" s="40" customFormat="1" ht="36">
      <c r="A19489" s="570">
        <v>3</v>
      </c>
      <c r="B19489" s="567" t="s">
        <v>35363</v>
      </c>
      <c r="C19489" s="571" t="s">
        <v>35364</v>
      </c>
      <c r="D19489" s="572">
        <v>254.09</v>
      </c>
      <c r="E19489" s="572">
        <v>188.26</v>
      </c>
      <c r="F19489" s="572">
        <v>62.06</v>
      </c>
      <c r="G19489" s="572">
        <v>3.77</v>
      </c>
      <c r="H19489" s="573">
        <v>2594.5500000000002</v>
      </c>
      <c r="I19489" s="573">
        <v>2165.04</v>
      </c>
      <c r="J19489" s="573">
        <v>386.15</v>
      </c>
      <c r="K19489" s="573">
        <v>43.36</v>
      </c>
      <c r="L19489" s="43">
        <v>10.211145657050652</v>
      </c>
      <c r="M19489" s="43">
        <v>11.500265590141295</v>
      </c>
      <c r="N19489" s="43">
        <v>6.2222043184015465</v>
      </c>
      <c r="O19489" s="43">
        <v>11.50132625994695</v>
      </c>
      <c r="P19489" s="574"/>
      <c r="Q19489" s="574"/>
      <c r="R19489" s="574">
        <v>1</v>
      </c>
    </row>
    <row r="19490" spans="1:18" s="40" customFormat="1" ht="36">
      <c r="A19490" s="570">
        <v>4</v>
      </c>
      <c r="B19490" s="567" t="s">
        <v>35365</v>
      </c>
      <c r="C19490" s="571" t="s">
        <v>35366</v>
      </c>
      <c r="D19490" s="572">
        <v>56.81</v>
      </c>
      <c r="E19490" s="572">
        <v>41.66</v>
      </c>
      <c r="F19490" s="572">
        <v>14.32</v>
      </c>
      <c r="G19490" s="572">
        <v>0.83</v>
      </c>
      <c r="H19490" s="573">
        <v>577.75</v>
      </c>
      <c r="I19490" s="573">
        <v>479.09</v>
      </c>
      <c r="J19490" s="573">
        <v>89.11</v>
      </c>
      <c r="K19490" s="573">
        <v>9.5500000000000007</v>
      </c>
      <c r="L19490" s="43">
        <v>10.169864460482309</v>
      </c>
      <c r="M19490" s="43">
        <v>11.5</v>
      </c>
      <c r="N19490" s="43">
        <v>6.2227653631284916</v>
      </c>
      <c r="O19490" s="43">
        <v>11.503164556962025</v>
      </c>
      <c r="P19490" s="574"/>
      <c r="Q19490" s="574"/>
      <c r="R19490" s="574">
        <v>1</v>
      </c>
    </row>
    <row r="19491" spans="1:18" s="40" customFormat="1" ht="36">
      <c r="A19491" s="570">
        <v>5</v>
      </c>
      <c r="B19491" s="567" t="s">
        <v>35367</v>
      </c>
      <c r="C19491" s="571" t="s">
        <v>35368</v>
      </c>
      <c r="D19491" s="572">
        <v>93.09</v>
      </c>
      <c r="E19491" s="572">
        <v>63.19</v>
      </c>
      <c r="F19491" s="572">
        <v>28.64</v>
      </c>
      <c r="G19491" s="572">
        <v>1.26</v>
      </c>
      <c r="H19491" s="573">
        <v>919.39</v>
      </c>
      <c r="I19491" s="573">
        <v>726.68</v>
      </c>
      <c r="J19491" s="573">
        <v>178.22</v>
      </c>
      <c r="K19491" s="573">
        <v>14.49</v>
      </c>
      <c r="L19491" s="43">
        <v>9.8763562144161554</v>
      </c>
      <c r="M19491" s="43">
        <v>11.499920873555942</v>
      </c>
      <c r="N19491" s="43">
        <v>6.2227653631284916</v>
      </c>
      <c r="O19491" s="43">
        <v>11.5</v>
      </c>
      <c r="P19491" s="574"/>
      <c r="Q19491" s="574"/>
      <c r="R19491" s="574">
        <v>1</v>
      </c>
    </row>
    <row r="19492" spans="1:18" s="40" customFormat="1" ht="36">
      <c r="A19492" s="570">
        <v>6</v>
      </c>
      <c r="B19492" s="567" t="s">
        <v>35369</v>
      </c>
      <c r="C19492" s="571" t="s">
        <v>35370</v>
      </c>
      <c r="D19492" s="572">
        <v>231.78</v>
      </c>
      <c r="E19492" s="572">
        <v>159.37</v>
      </c>
      <c r="F19492" s="572">
        <v>69.22</v>
      </c>
      <c r="G19492" s="572">
        <v>3.19</v>
      </c>
      <c r="H19492" s="573">
        <v>2300.1799999999998</v>
      </c>
      <c r="I19492" s="573">
        <v>1832.78</v>
      </c>
      <c r="J19492" s="573">
        <v>430.71</v>
      </c>
      <c r="K19492" s="573">
        <v>36.69</v>
      </c>
      <c r="L19492" s="43">
        <v>9.9239796358615919</v>
      </c>
      <c r="M19492" s="43">
        <v>11.500156867666437</v>
      </c>
      <c r="N19492" s="43">
        <v>6.2223345853799481</v>
      </c>
      <c r="O19492" s="43">
        <v>11.501567398119121</v>
      </c>
      <c r="P19492" s="574"/>
      <c r="Q19492" s="574"/>
      <c r="R19492" s="574">
        <v>1</v>
      </c>
    </row>
    <row r="19493" spans="1:18" s="40" customFormat="1" ht="36">
      <c r="A19493" s="570">
        <v>7</v>
      </c>
      <c r="B19493" s="567" t="s">
        <v>35371</v>
      </c>
      <c r="C19493" s="571" t="s">
        <v>35372</v>
      </c>
      <c r="D19493" s="572">
        <v>98.8</v>
      </c>
      <c r="E19493" s="572">
        <v>68.78</v>
      </c>
      <c r="F19493" s="572">
        <v>28.64</v>
      </c>
      <c r="G19493" s="572">
        <v>1.38</v>
      </c>
      <c r="H19493" s="573">
        <v>985.08</v>
      </c>
      <c r="I19493" s="573">
        <v>790.99</v>
      </c>
      <c r="J19493" s="573">
        <v>178.22</v>
      </c>
      <c r="K19493" s="573">
        <v>15.87</v>
      </c>
      <c r="L19493" s="43">
        <v>9.9704453441295549</v>
      </c>
      <c r="M19493" s="43">
        <v>11.500290782204129</v>
      </c>
      <c r="N19493" s="43">
        <v>6.2227653631284916</v>
      </c>
      <c r="O19493" s="43">
        <v>11.5</v>
      </c>
      <c r="P19493" s="574"/>
      <c r="Q19493" s="574"/>
      <c r="R19493" s="574">
        <v>1</v>
      </c>
    </row>
    <row r="19494" spans="1:18" s="40" customFormat="1" ht="36">
      <c r="A19494" s="570">
        <v>8</v>
      </c>
      <c r="B19494" s="567" t="s">
        <v>35373</v>
      </c>
      <c r="C19494" s="571" t="s">
        <v>35374</v>
      </c>
      <c r="D19494" s="572">
        <v>167.97</v>
      </c>
      <c r="E19494" s="572">
        <v>124.89</v>
      </c>
      <c r="F19494" s="572">
        <v>40.58</v>
      </c>
      <c r="G19494" s="572">
        <v>2.5</v>
      </c>
      <c r="H19494" s="573">
        <v>1717.44</v>
      </c>
      <c r="I19494" s="573">
        <v>1436.21</v>
      </c>
      <c r="J19494" s="573">
        <v>252.48</v>
      </c>
      <c r="K19494" s="573">
        <v>28.75</v>
      </c>
      <c r="L19494" s="43">
        <v>10.224682979103411</v>
      </c>
      <c r="M19494" s="43">
        <v>11.499799823844985</v>
      </c>
      <c r="N19494" s="43">
        <v>6.2217841301133561</v>
      </c>
      <c r="O19494" s="43">
        <v>11.5</v>
      </c>
      <c r="P19494" s="574"/>
      <c r="Q19494" s="574"/>
      <c r="R19494" s="574">
        <v>1</v>
      </c>
    </row>
    <row r="19495" spans="1:18" s="40" customFormat="1" ht="24">
      <c r="A19495" s="570">
        <v>9</v>
      </c>
      <c r="B19495" s="567" t="s">
        <v>35375</v>
      </c>
      <c r="C19495" s="571" t="s">
        <v>35376</v>
      </c>
      <c r="D19495" s="572">
        <v>75.03</v>
      </c>
      <c r="E19495" s="572">
        <v>45.48</v>
      </c>
      <c r="F19495" s="572">
        <v>28.64</v>
      </c>
      <c r="G19495" s="572">
        <v>0.91</v>
      </c>
      <c r="H19495" s="573">
        <v>711.73</v>
      </c>
      <c r="I19495" s="573">
        <v>523.04</v>
      </c>
      <c r="J19495" s="573">
        <v>178.22</v>
      </c>
      <c r="K19495" s="573">
        <v>10.47</v>
      </c>
      <c r="L19495" s="43">
        <v>9.4859389577502338</v>
      </c>
      <c r="M19495" s="43">
        <v>11.500439753737906</v>
      </c>
      <c r="N19495" s="43">
        <v>6.2227653631284916</v>
      </c>
      <c r="O19495" s="43">
        <v>11.503164556962025</v>
      </c>
      <c r="P19495" s="574"/>
      <c r="Q19495" s="574"/>
      <c r="R19495" s="574">
        <v>1</v>
      </c>
    </row>
    <row r="19496" spans="1:18" s="40" customFormat="1" ht="12.75" customHeight="1">
      <c r="A19496" s="628" t="s">
        <v>35377</v>
      </c>
      <c r="B19496" s="629"/>
      <c r="C19496" s="629"/>
      <c r="D19496" s="629"/>
      <c r="E19496" s="629"/>
      <c r="F19496" s="629"/>
      <c r="G19496" s="629"/>
      <c r="H19496" s="629"/>
      <c r="I19496" s="629"/>
      <c r="J19496" s="629"/>
      <c r="K19496" s="629"/>
      <c r="L19496" s="629"/>
      <c r="M19496" s="629"/>
      <c r="N19496" s="629"/>
      <c r="O19496" s="629"/>
      <c r="P19496" s="629"/>
      <c r="Q19496" s="629"/>
      <c r="R19496" s="629"/>
    </row>
    <row r="19497" spans="1:18" s="40" customFormat="1" ht="24">
      <c r="A19497" s="570">
        <v>10</v>
      </c>
      <c r="B19497" s="567" t="s">
        <v>35378</v>
      </c>
      <c r="C19497" s="571" t="s">
        <v>35379</v>
      </c>
      <c r="D19497" s="572">
        <v>425.31</v>
      </c>
      <c r="E19497" s="572">
        <v>314.92</v>
      </c>
      <c r="F19497" s="572">
        <v>104.09</v>
      </c>
      <c r="G19497" s="572">
        <v>6.3</v>
      </c>
      <c r="H19497" s="573">
        <v>4252.8900000000003</v>
      </c>
      <c r="I19497" s="573">
        <v>3621.53</v>
      </c>
      <c r="J19497" s="573">
        <v>558.91</v>
      </c>
      <c r="K19497" s="573">
        <v>72.45</v>
      </c>
      <c r="L19497" s="43">
        <v>9.9995062425054666</v>
      </c>
      <c r="M19497" s="43">
        <v>11.499841229518609</v>
      </c>
      <c r="N19497" s="43">
        <v>5.3694879431261402</v>
      </c>
      <c r="O19497" s="43">
        <v>11.5</v>
      </c>
      <c r="P19497" s="574"/>
      <c r="Q19497" s="574"/>
      <c r="R19497" s="574">
        <v>2</v>
      </c>
    </row>
    <row r="19498" spans="1:18" s="40" customFormat="1" ht="24">
      <c r="A19498" s="570">
        <v>11</v>
      </c>
      <c r="B19498" s="567" t="s">
        <v>35380</v>
      </c>
      <c r="C19498" s="571" t="s">
        <v>35381</v>
      </c>
      <c r="D19498" s="572">
        <v>670.62</v>
      </c>
      <c r="E19498" s="572">
        <v>503.39</v>
      </c>
      <c r="F19498" s="572">
        <v>157.16</v>
      </c>
      <c r="G19498" s="572">
        <v>10.07</v>
      </c>
      <c r="H19498" s="573">
        <v>6748.84</v>
      </c>
      <c r="I19498" s="573">
        <v>5789.19</v>
      </c>
      <c r="J19498" s="573">
        <v>843.84</v>
      </c>
      <c r="K19498" s="573">
        <v>115.81</v>
      </c>
      <c r="L19498" s="43">
        <v>10.063582953088186</v>
      </c>
      <c r="M19498" s="43">
        <v>11.500407238920122</v>
      </c>
      <c r="N19498" s="43">
        <v>5.3693051667090863</v>
      </c>
      <c r="O19498" s="43">
        <v>11.500496524329693</v>
      </c>
      <c r="P19498" s="574"/>
      <c r="Q19498" s="574"/>
      <c r="R19498" s="574">
        <v>2</v>
      </c>
    </row>
    <row r="19499" spans="1:18" s="40" customFormat="1" ht="24">
      <c r="A19499" s="570">
        <v>12</v>
      </c>
      <c r="B19499" s="567" t="s">
        <v>35382</v>
      </c>
      <c r="C19499" s="571" t="s">
        <v>35383</v>
      </c>
      <c r="D19499" s="572">
        <v>1034.9000000000001</v>
      </c>
      <c r="E19499" s="572">
        <v>774.49</v>
      </c>
      <c r="F19499" s="572">
        <v>244.92</v>
      </c>
      <c r="G19499" s="572">
        <v>15.49</v>
      </c>
      <c r="H19499" s="573">
        <v>10399.879999999999</v>
      </c>
      <c r="I19499" s="573">
        <v>8906.66</v>
      </c>
      <c r="J19499" s="573">
        <v>1315.08</v>
      </c>
      <c r="K19499" s="573">
        <v>178.14</v>
      </c>
      <c r="L19499" s="43">
        <v>10.049164170451249</v>
      </c>
      <c r="M19499" s="43">
        <v>11.500032279306382</v>
      </c>
      <c r="N19499" s="43">
        <v>5.369426751592357</v>
      </c>
      <c r="O19499" s="43">
        <v>11.50032278889606</v>
      </c>
      <c r="P19499" s="574"/>
      <c r="Q19499" s="574"/>
      <c r="R19499" s="574">
        <v>2</v>
      </c>
    </row>
    <row r="19500" spans="1:18" s="40" customFormat="1" ht="24">
      <c r="A19500" s="570">
        <v>13</v>
      </c>
      <c r="B19500" s="567" t="s">
        <v>35384</v>
      </c>
      <c r="C19500" s="571" t="s">
        <v>35385</v>
      </c>
      <c r="D19500" s="572">
        <v>1341.44</v>
      </c>
      <c r="E19500" s="572">
        <v>994.98</v>
      </c>
      <c r="F19500" s="572">
        <v>326.56</v>
      </c>
      <c r="G19500" s="572">
        <v>19.899999999999999</v>
      </c>
      <c r="H19500" s="573">
        <v>13424.56</v>
      </c>
      <c r="I19500" s="573">
        <v>11442.27</v>
      </c>
      <c r="J19500" s="573">
        <v>1753.44</v>
      </c>
      <c r="K19500" s="573">
        <v>228.85</v>
      </c>
      <c r="L19500" s="43">
        <v>10.007573950381678</v>
      </c>
      <c r="M19500" s="43">
        <v>11.5</v>
      </c>
      <c r="N19500" s="43">
        <v>5.369426751592357</v>
      </c>
      <c r="O19500" s="43">
        <v>11.5</v>
      </c>
      <c r="P19500" s="574"/>
      <c r="Q19500" s="574"/>
      <c r="R19500" s="574">
        <v>2</v>
      </c>
    </row>
    <row r="19501" spans="1:18" s="40" customFormat="1" ht="24">
      <c r="A19501" s="570">
        <v>14</v>
      </c>
      <c r="B19501" s="567" t="s">
        <v>35386</v>
      </c>
      <c r="C19501" s="571" t="s">
        <v>35387</v>
      </c>
      <c r="D19501" s="572">
        <v>1683.4</v>
      </c>
      <c r="E19501" s="572">
        <v>1258.2</v>
      </c>
      <c r="F19501" s="572">
        <v>400.04</v>
      </c>
      <c r="G19501" s="572">
        <v>25.16</v>
      </c>
      <c r="H19501" s="573">
        <v>16906.599999999999</v>
      </c>
      <c r="I19501" s="573">
        <v>14469.3</v>
      </c>
      <c r="J19501" s="573">
        <v>2147.96</v>
      </c>
      <c r="K19501" s="573">
        <v>289.33999999999997</v>
      </c>
      <c r="L19501" s="43">
        <v>10.043127004871092</v>
      </c>
      <c r="M19501" s="43">
        <v>11.499999999999998</v>
      </c>
      <c r="N19501" s="43">
        <v>5.3693630636936307</v>
      </c>
      <c r="O19501" s="43">
        <v>11.499999999999998</v>
      </c>
      <c r="P19501" s="574"/>
      <c r="Q19501" s="574"/>
      <c r="R19501" s="574">
        <v>2</v>
      </c>
    </row>
    <row r="19502" spans="1:18" s="40" customFormat="1" ht="24">
      <c r="A19502" s="570">
        <v>15</v>
      </c>
      <c r="B19502" s="567" t="s">
        <v>35388</v>
      </c>
      <c r="C19502" s="571" t="s">
        <v>35389</v>
      </c>
      <c r="D19502" s="572">
        <v>185.82</v>
      </c>
      <c r="E19502" s="572">
        <v>162.16999999999999</v>
      </c>
      <c r="F19502" s="572">
        <v>20.41</v>
      </c>
      <c r="G19502" s="572">
        <v>3.24</v>
      </c>
      <c r="H19502" s="573">
        <v>2014.9</v>
      </c>
      <c r="I19502" s="573">
        <v>1864.93</v>
      </c>
      <c r="J19502" s="573">
        <v>112.71</v>
      </c>
      <c r="K19502" s="573">
        <v>37.26</v>
      </c>
      <c r="L19502" s="43">
        <v>10.843289204606609</v>
      </c>
      <c r="M19502" s="43">
        <v>11.499845840784364</v>
      </c>
      <c r="N19502" s="43">
        <v>5.5222929936305727</v>
      </c>
      <c r="O19502" s="43">
        <v>11.499999999999998</v>
      </c>
      <c r="P19502" s="574"/>
      <c r="Q19502" s="574"/>
      <c r="R19502" s="574">
        <v>2</v>
      </c>
    </row>
    <row r="19503" spans="1:18" s="40" customFormat="1" ht="24">
      <c r="A19503" s="570">
        <v>16</v>
      </c>
      <c r="B19503" s="567" t="s">
        <v>35390</v>
      </c>
      <c r="C19503" s="571" t="s">
        <v>35391</v>
      </c>
      <c r="D19503" s="572">
        <v>427.85</v>
      </c>
      <c r="E19503" s="572">
        <v>399.45</v>
      </c>
      <c r="F19503" s="572">
        <v>20.41</v>
      </c>
      <c r="G19503" s="572">
        <v>7.99</v>
      </c>
      <c r="H19503" s="573">
        <v>4798.45</v>
      </c>
      <c r="I19503" s="573">
        <v>4593.8500000000004</v>
      </c>
      <c r="J19503" s="573">
        <v>112.71</v>
      </c>
      <c r="K19503" s="573">
        <v>91.89</v>
      </c>
      <c r="L19503" s="43">
        <v>11.215262358303143</v>
      </c>
      <c r="M19503" s="43">
        <v>11.500438102390788</v>
      </c>
      <c r="N19503" s="43">
        <v>5.5222929936305727</v>
      </c>
      <c r="O19503" s="43">
        <v>11.500625782227784</v>
      </c>
      <c r="P19503" s="574"/>
      <c r="Q19503" s="574"/>
      <c r="R19503" s="574">
        <v>2</v>
      </c>
    </row>
    <row r="19504" spans="1:18" s="40" customFormat="1" ht="24">
      <c r="A19504" s="570">
        <v>17</v>
      </c>
      <c r="B19504" s="567" t="s">
        <v>35392</v>
      </c>
      <c r="C19504" s="571" t="s">
        <v>35393</v>
      </c>
      <c r="D19504" s="572">
        <v>763.05</v>
      </c>
      <c r="E19504" s="572">
        <v>720.29</v>
      </c>
      <c r="F19504" s="572">
        <v>28.35</v>
      </c>
      <c r="G19504" s="572">
        <v>14.41</v>
      </c>
      <c r="H19504" s="573">
        <v>8605.58</v>
      </c>
      <c r="I19504" s="573">
        <v>8283.31</v>
      </c>
      <c r="J19504" s="573">
        <v>156.55000000000001</v>
      </c>
      <c r="K19504" s="573">
        <v>165.72</v>
      </c>
      <c r="L19504" s="43">
        <v>11.277871699102288</v>
      </c>
      <c r="M19504" s="43">
        <v>11.499965291757487</v>
      </c>
      <c r="N19504" s="43">
        <v>5.5220458553791891</v>
      </c>
      <c r="O19504" s="43">
        <v>11.500346981263011</v>
      </c>
      <c r="P19504" s="574"/>
      <c r="Q19504" s="574"/>
      <c r="R19504" s="574">
        <v>2</v>
      </c>
    </row>
    <row r="19505" spans="1:18" s="40" customFormat="1" ht="24">
      <c r="A19505" s="570">
        <v>18</v>
      </c>
      <c r="B19505" s="567" t="s">
        <v>35394</v>
      </c>
      <c r="C19505" s="571" t="s">
        <v>35395</v>
      </c>
      <c r="D19505" s="572">
        <v>988.5</v>
      </c>
      <c r="E19505" s="572">
        <v>941.32</v>
      </c>
      <c r="F19505" s="572">
        <v>28.35</v>
      </c>
      <c r="G19505" s="572">
        <v>18.829999999999998</v>
      </c>
      <c r="H19505" s="573">
        <v>11198.28</v>
      </c>
      <c r="I19505" s="573">
        <v>10825.18</v>
      </c>
      <c r="J19505" s="573">
        <v>156.55000000000001</v>
      </c>
      <c r="K19505" s="573">
        <v>216.55</v>
      </c>
      <c r="L19505" s="43">
        <v>11.328558421851291</v>
      </c>
      <c r="M19505" s="43">
        <v>11.5</v>
      </c>
      <c r="N19505" s="43">
        <v>5.5220458553791891</v>
      </c>
      <c r="O19505" s="43">
        <v>11.500265533722784</v>
      </c>
      <c r="P19505" s="574"/>
      <c r="Q19505" s="574"/>
      <c r="R19505" s="574">
        <v>2</v>
      </c>
    </row>
    <row r="19506" spans="1:18" s="40" customFormat="1" ht="24">
      <c r="A19506" s="570">
        <v>19</v>
      </c>
      <c r="B19506" s="567" t="s">
        <v>35396</v>
      </c>
      <c r="C19506" s="571" t="s">
        <v>35397</v>
      </c>
      <c r="D19506" s="572">
        <v>1291.23</v>
      </c>
      <c r="E19506" s="572">
        <v>1183.6400000000001</v>
      </c>
      <c r="F19506" s="572">
        <v>83.92</v>
      </c>
      <c r="G19506" s="572">
        <v>23.67</v>
      </c>
      <c r="H19506" s="573">
        <v>14347.45</v>
      </c>
      <c r="I19506" s="573">
        <v>13611.86</v>
      </c>
      <c r="J19506" s="573">
        <v>463.38</v>
      </c>
      <c r="K19506" s="573">
        <v>272.20999999999998</v>
      </c>
      <c r="L19506" s="43">
        <v>11.11145961602503</v>
      </c>
      <c r="M19506" s="43">
        <v>11.5</v>
      </c>
      <c r="N19506" s="43">
        <v>5.5216873212583408</v>
      </c>
      <c r="O19506" s="43">
        <v>11.500211237853822</v>
      </c>
      <c r="P19506" s="574"/>
      <c r="Q19506" s="574"/>
      <c r="R19506" s="574">
        <v>2</v>
      </c>
    </row>
    <row r="19507" spans="1:18" s="40" customFormat="1" ht="24">
      <c r="A19507" s="570">
        <v>20</v>
      </c>
      <c r="B19507" s="567" t="s">
        <v>35398</v>
      </c>
      <c r="C19507" s="571" t="s">
        <v>35399</v>
      </c>
      <c r="D19507" s="572">
        <v>209.51</v>
      </c>
      <c r="E19507" s="572">
        <v>139.80000000000001</v>
      </c>
      <c r="F19507" s="572">
        <v>66.91</v>
      </c>
      <c r="G19507" s="572">
        <v>2.8</v>
      </c>
      <c r="H19507" s="573">
        <v>2009.35</v>
      </c>
      <c r="I19507" s="573">
        <v>1607.7</v>
      </c>
      <c r="J19507" s="573">
        <v>369.45</v>
      </c>
      <c r="K19507" s="573">
        <v>32.200000000000003</v>
      </c>
      <c r="L19507" s="43">
        <v>9.5907116605412632</v>
      </c>
      <c r="M19507" s="43">
        <v>11.5</v>
      </c>
      <c r="N19507" s="43">
        <v>5.5215961739650279</v>
      </c>
      <c r="O19507" s="43">
        <v>11.500000000000002</v>
      </c>
      <c r="P19507" s="574"/>
      <c r="Q19507" s="574"/>
      <c r="R19507" s="574">
        <v>2</v>
      </c>
    </row>
    <row r="19508" spans="1:18" s="40" customFormat="1" ht="24">
      <c r="A19508" s="570">
        <v>21</v>
      </c>
      <c r="B19508" s="567" t="s">
        <v>35400</v>
      </c>
      <c r="C19508" s="571" t="s">
        <v>35401</v>
      </c>
      <c r="D19508" s="572">
        <v>507.05</v>
      </c>
      <c r="E19508" s="572">
        <v>352.57</v>
      </c>
      <c r="F19508" s="572">
        <v>147.43</v>
      </c>
      <c r="G19508" s="572">
        <v>7.05</v>
      </c>
      <c r="H19508" s="573">
        <v>4949.8999999999996</v>
      </c>
      <c r="I19508" s="573">
        <v>4054.77</v>
      </c>
      <c r="J19508" s="573">
        <v>814.05</v>
      </c>
      <c r="K19508" s="573">
        <v>81.08</v>
      </c>
      <c r="L19508" s="43">
        <v>9.7621536337639281</v>
      </c>
      <c r="M19508" s="43">
        <v>11.500609807981395</v>
      </c>
      <c r="N19508" s="43">
        <v>5.5216034728345651</v>
      </c>
      <c r="O19508" s="43">
        <v>11.500709219858155</v>
      </c>
      <c r="P19508" s="574"/>
      <c r="Q19508" s="574"/>
      <c r="R19508" s="574">
        <v>2</v>
      </c>
    </row>
    <row r="19509" spans="1:18" s="40" customFormat="1" ht="24">
      <c r="A19509" s="570">
        <v>22</v>
      </c>
      <c r="B19509" s="567" t="s">
        <v>35402</v>
      </c>
      <c r="C19509" s="571" t="s">
        <v>35403</v>
      </c>
      <c r="D19509" s="572">
        <v>904.58</v>
      </c>
      <c r="E19509" s="572">
        <v>687.82</v>
      </c>
      <c r="F19509" s="572">
        <v>203</v>
      </c>
      <c r="G19509" s="572">
        <v>13.76</v>
      </c>
      <c r="H19509" s="573">
        <v>9189</v>
      </c>
      <c r="I19509" s="573">
        <v>7909.88</v>
      </c>
      <c r="J19509" s="573">
        <v>1120.8800000000001</v>
      </c>
      <c r="K19509" s="573">
        <v>158.24</v>
      </c>
      <c r="L19509" s="43">
        <v>10.158305511950298</v>
      </c>
      <c r="M19509" s="43">
        <v>11.499927306562762</v>
      </c>
      <c r="N19509" s="43">
        <v>5.5215763546798033</v>
      </c>
      <c r="O19509" s="43">
        <v>11.5</v>
      </c>
      <c r="P19509" s="574"/>
      <c r="Q19509" s="574"/>
      <c r="R19509" s="574">
        <v>2</v>
      </c>
    </row>
    <row r="19510" spans="1:18" s="40" customFormat="1" ht="24">
      <c r="A19510" s="570">
        <v>23</v>
      </c>
      <c r="B19510" s="567" t="s">
        <v>35404</v>
      </c>
      <c r="C19510" s="571" t="s">
        <v>35405</v>
      </c>
      <c r="D19510" s="572">
        <v>1228.93</v>
      </c>
      <c r="E19510" s="572">
        <v>941.32</v>
      </c>
      <c r="F19510" s="572">
        <v>268.77999999999997</v>
      </c>
      <c r="G19510" s="572">
        <v>18.829999999999998</v>
      </c>
      <c r="H19510" s="573">
        <v>12525.8</v>
      </c>
      <c r="I19510" s="573">
        <v>10825.18</v>
      </c>
      <c r="J19510" s="573">
        <v>1484.07</v>
      </c>
      <c r="K19510" s="573">
        <v>216.55</v>
      </c>
      <c r="L19510" s="43">
        <v>10.192443833253316</v>
      </c>
      <c r="M19510" s="43">
        <v>11.5</v>
      </c>
      <c r="N19510" s="43">
        <v>5.521504576233351</v>
      </c>
      <c r="O19510" s="43">
        <v>11.500265533722784</v>
      </c>
      <c r="P19510" s="574"/>
      <c r="Q19510" s="574"/>
      <c r="R19510" s="574">
        <v>2</v>
      </c>
    </row>
    <row r="19511" spans="1:18" s="40" customFormat="1" ht="24">
      <c r="A19511" s="570">
        <v>24</v>
      </c>
      <c r="B19511" s="567" t="s">
        <v>35406</v>
      </c>
      <c r="C19511" s="571" t="s">
        <v>35407</v>
      </c>
      <c r="D19511" s="572">
        <v>109.67</v>
      </c>
      <c r="E19511" s="572">
        <v>83.06</v>
      </c>
      <c r="F19511" s="572">
        <v>24.95</v>
      </c>
      <c r="G19511" s="572">
        <v>1.66</v>
      </c>
      <c r="H19511" s="573">
        <v>1112.01</v>
      </c>
      <c r="I19511" s="573">
        <v>955.16</v>
      </c>
      <c r="J19511" s="573">
        <v>137.76</v>
      </c>
      <c r="K19511" s="573">
        <v>19.09</v>
      </c>
      <c r="L19511" s="43">
        <v>10.139600620041945</v>
      </c>
      <c r="M19511" s="43">
        <v>11.499638815314229</v>
      </c>
      <c r="N19511" s="43">
        <v>5.5214428857715427</v>
      </c>
      <c r="O19511" s="43">
        <v>11.5</v>
      </c>
      <c r="P19511" s="574"/>
      <c r="Q19511" s="574"/>
      <c r="R19511" s="574">
        <v>2</v>
      </c>
    </row>
    <row r="19512" spans="1:18" s="40" customFormat="1" ht="24">
      <c r="A19512" s="570">
        <v>25</v>
      </c>
      <c r="B19512" s="567" t="s">
        <v>35408</v>
      </c>
      <c r="C19512" s="571" t="s">
        <v>35409</v>
      </c>
      <c r="D19512" s="572">
        <v>444.45</v>
      </c>
      <c r="E19512" s="572">
        <v>335.67</v>
      </c>
      <c r="F19512" s="572">
        <v>102.07</v>
      </c>
      <c r="G19512" s="572">
        <v>6.71</v>
      </c>
      <c r="H19512" s="573">
        <v>4500.95</v>
      </c>
      <c r="I19512" s="573">
        <v>3860.21</v>
      </c>
      <c r="J19512" s="573">
        <v>563.57000000000005</v>
      </c>
      <c r="K19512" s="573">
        <v>77.17</v>
      </c>
      <c r="L19512" s="43">
        <v>10.127010912363595</v>
      </c>
      <c r="M19512" s="43">
        <v>11.50001489558197</v>
      </c>
      <c r="N19512" s="43">
        <v>5.5214068776329981</v>
      </c>
      <c r="O19512" s="43">
        <v>11.500745156482862</v>
      </c>
      <c r="P19512" s="574"/>
      <c r="Q19512" s="574"/>
      <c r="R19512" s="574">
        <v>2</v>
      </c>
    </row>
    <row r="19513" spans="1:18" s="40" customFormat="1" ht="24">
      <c r="A19513" s="570">
        <v>26</v>
      </c>
      <c r="B19513" s="567" t="s">
        <v>35410</v>
      </c>
      <c r="C19513" s="571" t="s">
        <v>35411</v>
      </c>
      <c r="D19513" s="572">
        <v>768.7</v>
      </c>
      <c r="E19513" s="572">
        <v>587.96</v>
      </c>
      <c r="F19513" s="572">
        <v>168.98</v>
      </c>
      <c r="G19513" s="572">
        <v>11.76</v>
      </c>
      <c r="H19513" s="573">
        <v>7830.12</v>
      </c>
      <c r="I19513" s="573">
        <v>6761.86</v>
      </c>
      <c r="J19513" s="573">
        <v>933.02</v>
      </c>
      <c r="K19513" s="573">
        <v>135.24</v>
      </c>
      <c r="L19513" s="43">
        <v>10.186184467282423</v>
      </c>
      <c r="M19513" s="43">
        <v>11.500544254711203</v>
      </c>
      <c r="N19513" s="43">
        <v>5.5214818321694876</v>
      </c>
      <c r="O19513" s="43">
        <v>11.500000000000002</v>
      </c>
      <c r="P19513" s="574"/>
      <c r="Q19513" s="574"/>
      <c r="R19513" s="574">
        <v>2</v>
      </c>
    </row>
    <row r="19514" spans="1:18" s="40" customFormat="1" ht="24">
      <c r="A19514" s="570">
        <v>27</v>
      </c>
      <c r="B19514" s="567" t="s">
        <v>35412</v>
      </c>
      <c r="C19514" s="571" t="s">
        <v>35413</v>
      </c>
      <c r="D19514" s="572">
        <v>1231.6099999999999</v>
      </c>
      <c r="E19514" s="572">
        <v>976.2</v>
      </c>
      <c r="F19514" s="572">
        <v>235.89</v>
      </c>
      <c r="G19514" s="572">
        <v>19.52</v>
      </c>
      <c r="H19514" s="573">
        <v>12753.76</v>
      </c>
      <c r="I19514" s="573">
        <v>11226.8</v>
      </c>
      <c r="J19514" s="573">
        <v>1302.48</v>
      </c>
      <c r="K19514" s="573">
        <v>224.48</v>
      </c>
      <c r="L19514" s="43">
        <v>10.355355997434254</v>
      </c>
      <c r="M19514" s="43">
        <v>11.500512190124972</v>
      </c>
      <c r="N19514" s="43">
        <v>5.5215566577642123</v>
      </c>
      <c r="O19514" s="43">
        <v>11.5</v>
      </c>
      <c r="P19514" s="574"/>
      <c r="Q19514" s="574"/>
      <c r="R19514" s="574">
        <v>2</v>
      </c>
    </row>
    <row r="19515" spans="1:18" s="40" customFormat="1" ht="24">
      <c r="A19515" s="570">
        <v>28</v>
      </c>
      <c r="B19515" s="567" t="s">
        <v>35414</v>
      </c>
      <c r="C19515" s="571" t="s">
        <v>35415</v>
      </c>
      <c r="D19515" s="572">
        <v>334.28</v>
      </c>
      <c r="E19515" s="572">
        <v>262.13</v>
      </c>
      <c r="F19515" s="572">
        <v>66.91</v>
      </c>
      <c r="G19515" s="572">
        <v>5.24</v>
      </c>
      <c r="H19515" s="573">
        <v>3444.18</v>
      </c>
      <c r="I19515" s="573">
        <v>3014.47</v>
      </c>
      <c r="J19515" s="573">
        <v>369.45</v>
      </c>
      <c r="K19515" s="573">
        <v>60.26</v>
      </c>
      <c r="L19515" s="43">
        <v>10.303278688524591</v>
      </c>
      <c r="M19515" s="43">
        <v>11.499904627474917</v>
      </c>
      <c r="N19515" s="43">
        <v>5.5215961739650279</v>
      </c>
      <c r="O19515" s="43">
        <v>11.5</v>
      </c>
      <c r="P19515" s="574"/>
      <c r="Q19515" s="574"/>
      <c r="R19515" s="574">
        <v>2</v>
      </c>
    </row>
    <row r="19516" spans="1:18" s="40" customFormat="1" ht="24">
      <c r="A19516" s="570">
        <v>29</v>
      </c>
      <c r="B19516" s="567" t="s">
        <v>35416</v>
      </c>
      <c r="C19516" s="571" t="s">
        <v>35417</v>
      </c>
      <c r="D19516" s="572">
        <v>648.48</v>
      </c>
      <c r="E19516" s="572">
        <v>503.45</v>
      </c>
      <c r="F19516" s="572">
        <v>134.96</v>
      </c>
      <c r="G19516" s="572">
        <v>10.07</v>
      </c>
      <c r="H19516" s="573">
        <v>6650.92</v>
      </c>
      <c r="I19516" s="573">
        <v>5789.94</v>
      </c>
      <c r="J19516" s="573">
        <v>745.17</v>
      </c>
      <c r="K19516" s="573">
        <v>115.81</v>
      </c>
      <c r="L19516" s="43">
        <v>10.256168270416975</v>
      </c>
      <c r="M19516" s="43">
        <v>11.500526368060383</v>
      </c>
      <c r="N19516" s="43">
        <v>5.5214137522228803</v>
      </c>
      <c r="O19516" s="43">
        <v>11.500496524329693</v>
      </c>
      <c r="P19516" s="574"/>
      <c r="Q19516" s="574"/>
      <c r="R19516" s="574">
        <v>2</v>
      </c>
    </row>
    <row r="19517" spans="1:18" s="40" customFormat="1" ht="24">
      <c r="A19517" s="570">
        <v>30</v>
      </c>
      <c r="B19517" s="567" t="s">
        <v>35418</v>
      </c>
      <c r="C19517" s="571" t="s">
        <v>35419</v>
      </c>
      <c r="D19517" s="572">
        <v>1089.5899999999999</v>
      </c>
      <c r="E19517" s="572">
        <v>869.21</v>
      </c>
      <c r="F19517" s="572">
        <v>203</v>
      </c>
      <c r="G19517" s="572">
        <v>17.38</v>
      </c>
      <c r="H19517" s="573">
        <v>11317.06</v>
      </c>
      <c r="I19517" s="573">
        <v>9996.31</v>
      </c>
      <c r="J19517" s="573">
        <v>1120.8800000000001</v>
      </c>
      <c r="K19517" s="573">
        <v>199.87</v>
      </c>
      <c r="L19517" s="43">
        <v>10.386530713387605</v>
      </c>
      <c r="M19517" s="43">
        <v>11.500454435636957</v>
      </c>
      <c r="N19517" s="43">
        <v>5.5215763546798033</v>
      </c>
      <c r="O19517" s="43">
        <v>11.500000000000002</v>
      </c>
      <c r="P19517" s="574"/>
      <c r="Q19517" s="574"/>
      <c r="R19517" s="574">
        <v>2</v>
      </c>
    </row>
    <row r="19518" spans="1:18" s="40" customFormat="1" ht="24">
      <c r="A19518" s="570">
        <v>31</v>
      </c>
      <c r="B19518" s="567" t="s">
        <v>35420</v>
      </c>
      <c r="C19518" s="571" t="s">
        <v>35421</v>
      </c>
      <c r="D19518" s="572">
        <v>312.02999999999997</v>
      </c>
      <c r="E19518" s="572">
        <v>240.31</v>
      </c>
      <c r="F19518" s="572">
        <v>66.91</v>
      </c>
      <c r="G19518" s="572">
        <v>4.8099999999999996</v>
      </c>
      <c r="H19518" s="573">
        <v>3188.41</v>
      </c>
      <c r="I19518" s="573">
        <v>2763.64</v>
      </c>
      <c r="J19518" s="573">
        <v>369.45</v>
      </c>
      <c r="K19518" s="573">
        <v>55.32</v>
      </c>
      <c r="L19518" s="43">
        <v>10.218280293561516</v>
      </c>
      <c r="M19518" s="43">
        <v>11.50031209687487</v>
      </c>
      <c r="N19518" s="43">
        <v>5.5215961739650279</v>
      </c>
      <c r="O19518" s="43">
        <v>11.501039501039502</v>
      </c>
      <c r="P19518" s="574"/>
      <c r="Q19518" s="574"/>
      <c r="R19518" s="574">
        <v>2</v>
      </c>
    </row>
    <row r="19519" spans="1:18" s="40" customFormat="1" ht="24">
      <c r="A19519" s="570">
        <v>32</v>
      </c>
      <c r="B19519" s="567" t="s">
        <v>35422</v>
      </c>
      <c r="C19519" s="571" t="s">
        <v>35423</v>
      </c>
      <c r="D19519" s="572">
        <v>661.92</v>
      </c>
      <c r="E19519" s="572">
        <v>516.63</v>
      </c>
      <c r="F19519" s="572">
        <v>134.96</v>
      </c>
      <c r="G19519" s="572">
        <v>10.33</v>
      </c>
      <c r="H19519" s="573">
        <v>6805.5</v>
      </c>
      <c r="I19519" s="573">
        <v>5941.53</v>
      </c>
      <c r="J19519" s="573">
        <v>745.17</v>
      </c>
      <c r="K19519" s="573">
        <v>118.8</v>
      </c>
      <c r="L19519" s="43">
        <v>10.281453952139232</v>
      </c>
      <c r="M19519" s="43">
        <v>11.500551652052726</v>
      </c>
      <c r="N19519" s="43">
        <v>5.5214137522228803</v>
      </c>
      <c r="O19519" s="43">
        <v>11.500484027105518</v>
      </c>
      <c r="P19519" s="574"/>
      <c r="Q19519" s="574"/>
      <c r="R19519" s="574">
        <v>2</v>
      </c>
    </row>
    <row r="19520" spans="1:18" s="40" customFormat="1" ht="24">
      <c r="A19520" s="575">
        <v>33</v>
      </c>
      <c r="B19520" s="576" t="s">
        <v>35424</v>
      </c>
      <c r="C19520" s="577" t="s">
        <v>35425</v>
      </c>
      <c r="D19520" s="578">
        <v>338.65</v>
      </c>
      <c r="E19520" s="578">
        <v>249.74</v>
      </c>
      <c r="F19520" s="578">
        <v>83.92</v>
      </c>
      <c r="G19520" s="578">
        <v>4.99</v>
      </c>
      <c r="H19520" s="579">
        <v>3392.83</v>
      </c>
      <c r="I19520" s="579">
        <v>2872.06</v>
      </c>
      <c r="J19520" s="579">
        <v>463.38</v>
      </c>
      <c r="K19520" s="579">
        <v>57.39</v>
      </c>
      <c r="L19520" s="611">
        <v>10.018691864757125</v>
      </c>
      <c r="M19520" s="611">
        <v>11.500200208216544</v>
      </c>
      <c r="N19520" s="611">
        <v>5.5216873212583408</v>
      </c>
      <c r="O19520" s="611">
        <v>11.501002004008015</v>
      </c>
      <c r="P19520" s="580"/>
      <c r="Q19520" s="580"/>
      <c r="R19520" s="580">
        <v>2</v>
      </c>
    </row>
    <row r="19521" spans="1:18" s="40" customFormat="1" ht="12.75" customHeight="1">
      <c r="A19521" s="630" t="s">
        <v>35426</v>
      </c>
      <c r="B19521" s="631"/>
      <c r="C19521" s="631"/>
      <c r="D19521" s="631"/>
      <c r="E19521" s="631"/>
      <c r="F19521" s="631"/>
      <c r="G19521" s="631"/>
      <c r="H19521" s="631"/>
      <c r="I19521" s="631"/>
      <c r="J19521" s="631"/>
      <c r="K19521" s="631"/>
      <c r="L19521" s="631"/>
      <c r="M19521" s="631"/>
      <c r="N19521" s="631"/>
      <c r="O19521" s="631"/>
      <c r="P19521" s="631"/>
      <c r="Q19521" s="631"/>
      <c r="R19521" s="631"/>
    </row>
    <row r="19522" spans="1:18" s="40" customFormat="1" ht="12.75" customHeight="1">
      <c r="A19522" s="628" t="s">
        <v>35427</v>
      </c>
      <c r="B19522" s="629"/>
      <c r="C19522" s="629"/>
      <c r="D19522" s="629"/>
      <c r="E19522" s="629"/>
      <c r="F19522" s="629"/>
      <c r="G19522" s="629"/>
      <c r="H19522" s="629"/>
      <c r="I19522" s="629"/>
      <c r="J19522" s="629"/>
      <c r="K19522" s="629"/>
      <c r="L19522" s="629"/>
      <c r="M19522" s="629"/>
      <c r="N19522" s="629"/>
      <c r="O19522" s="629"/>
      <c r="P19522" s="629"/>
      <c r="Q19522" s="629"/>
      <c r="R19522" s="629"/>
    </row>
    <row r="19523" spans="1:18" s="40" customFormat="1" ht="48">
      <c r="A19523" s="570">
        <v>34</v>
      </c>
      <c r="B19523" s="567" t="s">
        <v>35428</v>
      </c>
      <c r="C19523" s="571" t="s">
        <v>35429</v>
      </c>
      <c r="D19523" s="572">
        <v>42.3</v>
      </c>
      <c r="E19523" s="572">
        <v>41.47</v>
      </c>
      <c r="F19523" s="572"/>
      <c r="G19523" s="572">
        <v>0.83</v>
      </c>
      <c r="H19523" s="573">
        <v>486.5</v>
      </c>
      <c r="I19523" s="573">
        <v>476.95</v>
      </c>
      <c r="J19523" s="573"/>
      <c r="K19523" s="573">
        <v>9.5500000000000007</v>
      </c>
      <c r="L19523" s="43">
        <v>11.501182033096928</v>
      </c>
      <c r="M19523" s="43">
        <v>11.501085121774777</v>
      </c>
      <c r="N19523" s="43" t="s">
        <v>1690</v>
      </c>
      <c r="O19523" s="43">
        <v>11.503164556962025</v>
      </c>
      <c r="P19523" s="574"/>
      <c r="Q19523" s="574"/>
      <c r="R19523" s="574">
        <v>1</v>
      </c>
    </row>
    <row r="19524" spans="1:18" s="40" customFormat="1" ht="60">
      <c r="A19524" s="570">
        <v>35</v>
      </c>
      <c r="B19524" s="567" t="s">
        <v>35430</v>
      </c>
      <c r="C19524" s="571" t="s">
        <v>35431</v>
      </c>
      <c r="D19524" s="572">
        <v>168.41</v>
      </c>
      <c r="E19524" s="572">
        <v>68.52</v>
      </c>
      <c r="F19524" s="572">
        <v>98.52</v>
      </c>
      <c r="G19524" s="572">
        <v>1.37</v>
      </c>
      <c r="H19524" s="573">
        <v>1460.08</v>
      </c>
      <c r="I19524" s="573">
        <v>787.99</v>
      </c>
      <c r="J19524" s="573">
        <v>656.33</v>
      </c>
      <c r="K19524" s="573">
        <v>15.76</v>
      </c>
      <c r="L19524" s="43">
        <v>8.669793955228311</v>
      </c>
      <c r="M19524" s="43">
        <v>11.500145942790427</v>
      </c>
      <c r="N19524" s="43">
        <v>6.6618960617133585</v>
      </c>
      <c r="O19524" s="43">
        <v>11.503649635036496</v>
      </c>
      <c r="P19524" s="574"/>
      <c r="Q19524" s="574"/>
      <c r="R19524" s="574">
        <v>1</v>
      </c>
    </row>
    <row r="19525" spans="1:18" s="40" customFormat="1" ht="60">
      <c r="A19525" s="570">
        <v>36</v>
      </c>
      <c r="B19525" s="567" t="s">
        <v>35432</v>
      </c>
      <c r="C19525" s="571" t="s">
        <v>35433</v>
      </c>
      <c r="D19525" s="572">
        <v>201.12</v>
      </c>
      <c r="E19525" s="572">
        <v>100.59</v>
      </c>
      <c r="F19525" s="572">
        <v>98.52</v>
      </c>
      <c r="G19525" s="572">
        <v>2.0099999999999998</v>
      </c>
      <c r="H19525" s="573">
        <v>1836.24</v>
      </c>
      <c r="I19525" s="573">
        <v>1156.79</v>
      </c>
      <c r="J19525" s="573">
        <v>656.33</v>
      </c>
      <c r="K19525" s="573">
        <v>23.12</v>
      </c>
      <c r="L19525" s="43">
        <v>9.1300715990453458</v>
      </c>
      <c r="M19525" s="43">
        <v>11.500049706730291</v>
      </c>
      <c r="N19525" s="43">
        <v>6.6618960617133585</v>
      </c>
      <c r="O19525" s="43">
        <v>11.502487562189057</v>
      </c>
      <c r="P19525" s="574"/>
      <c r="Q19525" s="574"/>
      <c r="R19525" s="574">
        <v>1</v>
      </c>
    </row>
    <row r="19526" spans="1:18" s="40" customFormat="1" ht="36">
      <c r="A19526" s="570">
        <v>37</v>
      </c>
      <c r="B19526" s="567" t="s">
        <v>35434</v>
      </c>
      <c r="C19526" s="571" t="s">
        <v>35435</v>
      </c>
      <c r="D19526" s="572">
        <v>13.21</v>
      </c>
      <c r="E19526" s="572">
        <v>12.95</v>
      </c>
      <c r="F19526" s="572"/>
      <c r="G19526" s="572">
        <v>0.26</v>
      </c>
      <c r="H19526" s="573">
        <v>151.97</v>
      </c>
      <c r="I19526" s="573">
        <v>148.97999999999999</v>
      </c>
      <c r="J19526" s="573"/>
      <c r="K19526" s="573">
        <v>2.99</v>
      </c>
      <c r="L19526" s="43">
        <v>11.504163512490537</v>
      </c>
      <c r="M19526" s="43">
        <v>11.504247104247105</v>
      </c>
      <c r="N19526" s="43" t="s">
        <v>1690</v>
      </c>
      <c r="O19526" s="43">
        <v>11.5</v>
      </c>
      <c r="P19526" s="574"/>
      <c r="Q19526" s="574"/>
      <c r="R19526" s="574">
        <v>1</v>
      </c>
    </row>
    <row r="19527" spans="1:18" s="40" customFormat="1" ht="36">
      <c r="A19527" s="570">
        <v>38</v>
      </c>
      <c r="B19527" s="567" t="s">
        <v>35436</v>
      </c>
      <c r="C19527" s="571" t="s">
        <v>35437</v>
      </c>
      <c r="D19527" s="572">
        <v>94.56</v>
      </c>
      <c r="E19527" s="572">
        <v>46.46</v>
      </c>
      <c r="F19527" s="572">
        <v>47.17</v>
      </c>
      <c r="G19527" s="572">
        <v>0.93</v>
      </c>
      <c r="H19527" s="573">
        <v>834.15</v>
      </c>
      <c r="I19527" s="573">
        <v>534.34</v>
      </c>
      <c r="J19527" s="573">
        <v>289.11</v>
      </c>
      <c r="K19527" s="573">
        <v>10.7</v>
      </c>
      <c r="L19527" s="43">
        <v>8.8213832487309638</v>
      </c>
      <c r="M19527" s="43">
        <v>11.50107619457598</v>
      </c>
      <c r="N19527" s="43">
        <v>6.1291074835700661</v>
      </c>
      <c r="O19527" s="43">
        <v>11.503164556962025</v>
      </c>
      <c r="P19527" s="574"/>
      <c r="Q19527" s="574"/>
      <c r="R19527" s="574">
        <v>1</v>
      </c>
    </row>
    <row r="19528" spans="1:18" s="40" customFormat="1" ht="36">
      <c r="A19528" s="575">
        <v>39</v>
      </c>
      <c r="B19528" s="576" t="s">
        <v>35438</v>
      </c>
      <c r="C19528" s="577" t="s">
        <v>35439</v>
      </c>
      <c r="D19528" s="578">
        <v>43.74</v>
      </c>
      <c r="E19528" s="578">
        <v>5.89</v>
      </c>
      <c r="F19528" s="578">
        <v>37.729999999999997</v>
      </c>
      <c r="G19528" s="578">
        <v>0.12</v>
      </c>
      <c r="H19528" s="579">
        <v>300.43</v>
      </c>
      <c r="I19528" s="579">
        <v>67.760000000000005</v>
      </c>
      <c r="J19528" s="579">
        <v>231.29</v>
      </c>
      <c r="K19528" s="579">
        <v>1.38</v>
      </c>
      <c r="L19528" s="611">
        <v>6.8685413808870601</v>
      </c>
      <c r="M19528" s="611">
        <v>11.504244482173176</v>
      </c>
      <c r="N19528" s="611">
        <v>6.1301351709514975</v>
      </c>
      <c r="O19528" s="611">
        <v>11.5</v>
      </c>
      <c r="P19528" s="580"/>
      <c r="Q19528" s="580"/>
      <c r="R19528" s="580">
        <v>1</v>
      </c>
    </row>
    <row r="19529" spans="1:18" s="40" customFormat="1" ht="12.75" customHeight="1">
      <c r="A19529" s="630" t="s">
        <v>35440</v>
      </c>
      <c r="B19529" s="631"/>
      <c r="C19529" s="631"/>
      <c r="D19529" s="631"/>
      <c r="E19529" s="631"/>
      <c r="F19529" s="631"/>
      <c r="G19529" s="631"/>
      <c r="H19529" s="631"/>
      <c r="I19529" s="631"/>
      <c r="J19529" s="631"/>
      <c r="K19529" s="631"/>
      <c r="L19529" s="631"/>
      <c r="M19529" s="631"/>
      <c r="N19529" s="631"/>
      <c r="O19529" s="631"/>
      <c r="P19529" s="631"/>
      <c r="Q19529" s="631"/>
      <c r="R19529" s="631"/>
    </row>
    <row r="19530" spans="1:18" s="40" customFormat="1" ht="12.75" customHeight="1">
      <c r="A19530" s="628" t="s">
        <v>35441</v>
      </c>
      <c r="B19530" s="629"/>
      <c r="C19530" s="629"/>
      <c r="D19530" s="629"/>
      <c r="E19530" s="629"/>
      <c r="F19530" s="629"/>
      <c r="G19530" s="629"/>
      <c r="H19530" s="629"/>
      <c r="I19530" s="629"/>
      <c r="J19530" s="629"/>
      <c r="K19530" s="629"/>
      <c r="L19530" s="629"/>
      <c r="M19530" s="629"/>
      <c r="N19530" s="629"/>
      <c r="O19530" s="629"/>
      <c r="P19530" s="629"/>
      <c r="Q19530" s="629"/>
      <c r="R19530" s="629"/>
    </row>
    <row r="19531" spans="1:18" s="40" customFormat="1" ht="36">
      <c r="A19531" s="570">
        <v>40</v>
      </c>
      <c r="B19531" s="567" t="s">
        <v>35442</v>
      </c>
      <c r="C19531" s="571" t="s">
        <v>35443</v>
      </c>
      <c r="D19531" s="572">
        <v>17.690000000000001</v>
      </c>
      <c r="E19531" s="572">
        <v>4.47</v>
      </c>
      <c r="F19531" s="572">
        <v>13.13</v>
      </c>
      <c r="G19531" s="572">
        <v>0.09</v>
      </c>
      <c r="H19531" s="573">
        <v>121.23</v>
      </c>
      <c r="I19531" s="573">
        <v>51.45</v>
      </c>
      <c r="J19531" s="573">
        <v>68.739999999999995</v>
      </c>
      <c r="K19531" s="573">
        <v>1.04</v>
      </c>
      <c r="L19531" s="43">
        <v>6.8530243075183721</v>
      </c>
      <c r="M19531" s="43">
        <v>11.500067114094</v>
      </c>
      <c r="N19531" s="43">
        <v>5.2353389185072343</v>
      </c>
      <c r="O19531" s="43">
        <v>11.5021951219512</v>
      </c>
      <c r="P19531" s="574"/>
      <c r="Q19531" s="574"/>
      <c r="R19531" s="574">
        <v>1</v>
      </c>
    </row>
    <row r="19532" spans="1:18" s="40" customFormat="1" ht="48">
      <c r="A19532" s="570">
        <v>41</v>
      </c>
      <c r="B19532" s="567" t="s">
        <v>35444</v>
      </c>
      <c r="C19532" s="571" t="s">
        <v>35445</v>
      </c>
      <c r="D19532" s="572">
        <v>77.47</v>
      </c>
      <c r="E19532" s="572">
        <v>38.03</v>
      </c>
      <c r="F19532" s="572">
        <v>38.68</v>
      </c>
      <c r="G19532" s="572">
        <v>0.76</v>
      </c>
      <c r="H19532" s="573">
        <v>681.89</v>
      </c>
      <c r="I19532" s="573">
        <v>437.29</v>
      </c>
      <c r="J19532" s="573">
        <v>235.86</v>
      </c>
      <c r="K19532" s="573">
        <v>8.74</v>
      </c>
      <c r="L19532" s="43">
        <v>8.8019878662708138</v>
      </c>
      <c r="M19532" s="43">
        <v>11.498553773336839</v>
      </c>
      <c r="N19532" s="43">
        <v>6.0977249224405385</v>
      </c>
      <c r="O19532" s="43">
        <v>11.5</v>
      </c>
      <c r="P19532" s="574"/>
      <c r="Q19532" s="574"/>
      <c r="R19532" s="574">
        <v>1</v>
      </c>
    </row>
    <row r="19533" spans="1:18" s="40" customFormat="1" ht="72">
      <c r="A19533" s="570">
        <v>42</v>
      </c>
      <c r="B19533" s="567" t="s">
        <v>35446</v>
      </c>
      <c r="C19533" s="571" t="s">
        <v>35447</v>
      </c>
      <c r="D19533" s="572">
        <v>157.31</v>
      </c>
      <c r="E19533" s="572">
        <v>80.62</v>
      </c>
      <c r="F19533" s="572">
        <v>75.08</v>
      </c>
      <c r="G19533" s="572">
        <v>1.61</v>
      </c>
      <c r="H19533" s="573">
        <v>1403.49</v>
      </c>
      <c r="I19533" s="573">
        <v>927.11</v>
      </c>
      <c r="J19533" s="573">
        <v>457.86</v>
      </c>
      <c r="K19533" s="573">
        <v>18.52</v>
      </c>
      <c r="L19533" s="43">
        <v>8.9218104379886842</v>
      </c>
      <c r="M19533" s="43">
        <v>11.499751922599851</v>
      </c>
      <c r="N19533" s="43">
        <v>6.0982951518380402</v>
      </c>
      <c r="O19533" s="43">
        <v>11.503105590062111</v>
      </c>
      <c r="P19533" s="574"/>
      <c r="Q19533" s="574"/>
      <c r="R19533" s="574">
        <v>1</v>
      </c>
    </row>
    <row r="19534" spans="1:18" s="40" customFormat="1" ht="72">
      <c r="A19534" s="570">
        <v>43</v>
      </c>
      <c r="B19534" s="567" t="s">
        <v>35448</v>
      </c>
      <c r="C19534" s="571" t="s">
        <v>35449</v>
      </c>
      <c r="D19534" s="572">
        <v>206.03</v>
      </c>
      <c r="E19534" s="572">
        <v>112.77</v>
      </c>
      <c r="F19534" s="572">
        <v>91</v>
      </c>
      <c r="G19534" s="572">
        <v>2.2599999999999998</v>
      </c>
      <c r="H19534" s="573">
        <v>1877.85</v>
      </c>
      <c r="I19534" s="573">
        <v>1296.8800000000001</v>
      </c>
      <c r="J19534" s="573">
        <v>554.98</v>
      </c>
      <c r="K19534" s="573">
        <v>25.99</v>
      </c>
      <c r="L19534" s="43">
        <v>9.114449352036111</v>
      </c>
      <c r="M19534" s="43">
        <v>11.500221690165825</v>
      </c>
      <c r="N19534" s="43">
        <v>6.0986813186813187</v>
      </c>
      <c r="O19534" s="43">
        <v>11.5</v>
      </c>
      <c r="P19534" s="574"/>
      <c r="Q19534" s="574"/>
      <c r="R19534" s="574">
        <v>1</v>
      </c>
    </row>
    <row r="19535" spans="1:18" s="40" customFormat="1" ht="60">
      <c r="A19535" s="570">
        <v>44</v>
      </c>
      <c r="B19535" s="567" t="s">
        <v>35450</v>
      </c>
      <c r="C19535" s="571" t="s">
        <v>35451</v>
      </c>
      <c r="D19535" s="572">
        <v>170.66</v>
      </c>
      <c r="E19535" s="572">
        <v>95.79</v>
      </c>
      <c r="F19535" s="572">
        <v>72.95</v>
      </c>
      <c r="G19535" s="572">
        <v>1.92</v>
      </c>
      <c r="H19535" s="573">
        <v>1513.22</v>
      </c>
      <c r="I19535" s="573">
        <v>1101.5899999999999</v>
      </c>
      <c r="J19535" s="573">
        <v>389.55</v>
      </c>
      <c r="K19535" s="573">
        <v>22.08</v>
      </c>
      <c r="L19535" s="43">
        <v>8.8668697996015471</v>
      </c>
      <c r="M19535" s="43">
        <v>11.500052197515396</v>
      </c>
      <c r="N19535" s="43">
        <v>5.3399588759424264</v>
      </c>
      <c r="O19535" s="43">
        <v>11.5</v>
      </c>
      <c r="P19535" s="574"/>
      <c r="Q19535" s="574"/>
      <c r="R19535" s="574">
        <v>1</v>
      </c>
    </row>
    <row r="19536" spans="1:18" s="40" customFormat="1" ht="24">
      <c r="A19536" s="570">
        <v>45</v>
      </c>
      <c r="B19536" s="567" t="s">
        <v>35452</v>
      </c>
      <c r="C19536" s="571" t="s">
        <v>35453</v>
      </c>
      <c r="D19536" s="572">
        <v>9.98</v>
      </c>
      <c r="E19536" s="572">
        <v>9.7799999999999994</v>
      </c>
      <c r="F19536" s="572"/>
      <c r="G19536" s="572">
        <v>0.2</v>
      </c>
      <c r="H19536" s="573">
        <v>114.8</v>
      </c>
      <c r="I19536" s="573">
        <v>112.5</v>
      </c>
      <c r="J19536" s="573"/>
      <c r="K19536" s="573">
        <v>2.2999999999999998</v>
      </c>
      <c r="L19536" s="43">
        <v>11.503006012024047</v>
      </c>
      <c r="M19536" s="43">
        <v>11.503067484662578</v>
      </c>
      <c r="N19536" s="43" t="s">
        <v>1690</v>
      </c>
      <c r="O19536" s="43">
        <v>11.499999999999998</v>
      </c>
      <c r="P19536" s="574"/>
      <c r="Q19536" s="574"/>
      <c r="R19536" s="574">
        <v>1</v>
      </c>
    </row>
    <row r="19537" spans="1:18" s="40" customFormat="1" ht="60">
      <c r="A19537" s="570">
        <v>46</v>
      </c>
      <c r="B19537" s="567" t="s">
        <v>35454</v>
      </c>
      <c r="C19537" s="571" t="s">
        <v>35455</v>
      </c>
      <c r="D19537" s="572">
        <v>195.19</v>
      </c>
      <c r="E19537" s="572">
        <v>108.01</v>
      </c>
      <c r="F19537" s="572">
        <v>85.02</v>
      </c>
      <c r="G19537" s="572">
        <v>2.16</v>
      </c>
      <c r="H19537" s="573">
        <v>1721.08</v>
      </c>
      <c r="I19537" s="573">
        <v>1242.21</v>
      </c>
      <c r="J19537" s="573">
        <v>454.03</v>
      </c>
      <c r="K19537" s="573">
        <v>24.84</v>
      </c>
      <c r="L19537" s="43">
        <v>8.8174599108560887</v>
      </c>
      <c r="M19537" s="43">
        <v>11.500879548189982</v>
      </c>
      <c r="N19537" s="43">
        <v>5.3402728769701246</v>
      </c>
      <c r="O19537" s="43">
        <v>11.5</v>
      </c>
      <c r="P19537" s="574"/>
      <c r="Q19537" s="574"/>
      <c r="R19537" s="574">
        <v>1</v>
      </c>
    </row>
    <row r="19538" spans="1:18" s="40" customFormat="1" ht="24">
      <c r="A19538" s="570">
        <v>47</v>
      </c>
      <c r="B19538" s="567" t="s">
        <v>35456</v>
      </c>
      <c r="C19538" s="571" t="s">
        <v>35457</v>
      </c>
      <c r="D19538" s="572">
        <v>11.85</v>
      </c>
      <c r="E19538" s="572">
        <v>11.62</v>
      </c>
      <c r="F19538" s="572"/>
      <c r="G19538" s="572">
        <v>0.23</v>
      </c>
      <c r="H19538" s="573">
        <v>136.25</v>
      </c>
      <c r="I19538" s="573">
        <v>133.6</v>
      </c>
      <c r="J19538" s="573"/>
      <c r="K19538" s="573">
        <v>2.65</v>
      </c>
      <c r="L19538" s="43">
        <v>11.497890295358649</v>
      </c>
      <c r="M19538" s="43">
        <v>11.497418244406196</v>
      </c>
      <c r="N19538" s="43" t="s">
        <v>1690</v>
      </c>
      <c r="O19538" s="43">
        <v>11.503164556962025</v>
      </c>
      <c r="P19538" s="574"/>
      <c r="Q19538" s="574"/>
      <c r="R19538" s="574">
        <v>1</v>
      </c>
    </row>
    <row r="19539" spans="1:18" s="40" customFormat="1" ht="60">
      <c r="A19539" s="570">
        <v>48</v>
      </c>
      <c r="B19539" s="567" t="s">
        <v>35458</v>
      </c>
      <c r="C19539" s="571" t="s">
        <v>35459</v>
      </c>
      <c r="D19539" s="572">
        <v>577.66999999999996</v>
      </c>
      <c r="E19539" s="572">
        <v>177.31</v>
      </c>
      <c r="F19539" s="572">
        <v>396.81</v>
      </c>
      <c r="G19539" s="572">
        <v>3.55</v>
      </c>
      <c r="H19539" s="573">
        <v>4347.1099999999997</v>
      </c>
      <c r="I19539" s="573">
        <v>2039.11</v>
      </c>
      <c r="J19539" s="573">
        <v>2267.17</v>
      </c>
      <c r="K19539" s="573">
        <v>40.83</v>
      </c>
      <c r="L19539" s="43">
        <v>7.5252479789499196</v>
      </c>
      <c r="M19539" s="43">
        <v>11.500253792792284</v>
      </c>
      <c r="N19539" s="43">
        <v>5.7134900834152367</v>
      </c>
      <c r="O19539" s="43">
        <v>11.501408450704226</v>
      </c>
      <c r="P19539" s="574"/>
      <c r="Q19539" s="574"/>
      <c r="R19539" s="574">
        <v>1</v>
      </c>
    </row>
    <row r="19540" spans="1:18" s="40" customFormat="1" ht="24">
      <c r="A19540" s="570">
        <v>49</v>
      </c>
      <c r="B19540" s="567" t="s">
        <v>35460</v>
      </c>
      <c r="C19540" s="571" t="s">
        <v>35461</v>
      </c>
      <c r="D19540" s="572">
        <v>44.09</v>
      </c>
      <c r="E19540" s="572">
        <v>20.89</v>
      </c>
      <c r="F19540" s="572">
        <v>22.78</v>
      </c>
      <c r="G19540" s="572">
        <v>0.42</v>
      </c>
      <c r="H19540" s="573">
        <v>375.24</v>
      </c>
      <c r="I19540" s="573">
        <v>240.24</v>
      </c>
      <c r="J19540" s="573">
        <v>130.16999999999999</v>
      </c>
      <c r="K19540" s="573">
        <v>4.83</v>
      </c>
      <c r="L19540" s="43">
        <v>8.5107734180086183</v>
      </c>
      <c r="M19540" s="43">
        <v>11.500239348970799</v>
      </c>
      <c r="N19540" s="43">
        <v>5.7142230026338883</v>
      </c>
      <c r="O19540" s="43">
        <v>11.5</v>
      </c>
      <c r="P19540" s="574"/>
      <c r="Q19540" s="574"/>
      <c r="R19540" s="574">
        <v>1</v>
      </c>
    </row>
    <row r="19541" spans="1:18" s="40" customFormat="1" ht="60">
      <c r="A19541" s="570">
        <v>50</v>
      </c>
      <c r="B19541" s="567" t="s">
        <v>35462</v>
      </c>
      <c r="C19541" s="571" t="s">
        <v>35463</v>
      </c>
      <c r="D19541" s="572">
        <v>708.42</v>
      </c>
      <c r="E19541" s="572">
        <v>240.35</v>
      </c>
      <c r="F19541" s="572">
        <v>463.26</v>
      </c>
      <c r="G19541" s="572">
        <v>4.8099999999999996</v>
      </c>
      <c r="H19541" s="573">
        <v>5466.3</v>
      </c>
      <c r="I19541" s="573">
        <v>2764.14</v>
      </c>
      <c r="J19541" s="573">
        <v>2646.84</v>
      </c>
      <c r="K19541" s="573">
        <v>55.32</v>
      </c>
      <c r="L19541" s="43">
        <v>7.7161853137969008</v>
      </c>
      <c r="M19541" s="43">
        <v>11.500478468899521</v>
      </c>
      <c r="N19541" s="43">
        <v>5.71350861287398</v>
      </c>
      <c r="O19541" s="43">
        <v>11.501039501039502</v>
      </c>
      <c r="P19541" s="574"/>
      <c r="Q19541" s="574"/>
      <c r="R19541" s="574">
        <v>1</v>
      </c>
    </row>
    <row r="19542" spans="1:18" s="40" customFormat="1" ht="24">
      <c r="A19542" s="570">
        <v>51</v>
      </c>
      <c r="B19542" s="567" t="s">
        <v>35464</v>
      </c>
      <c r="C19542" s="571" t="s">
        <v>35465</v>
      </c>
      <c r="D19542" s="572">
        <v>97.42</v>
      </c>
      <c r="E19542" s="572">
        <v>9.8800000000000008</v>
      </c>
      <c r="F19542" s="572">
        <v>87.34</v>
      </c>
      <c r="G19542" s="572">
        <v>0.2</v>
      </c>
      <c r="H19542" s="573">
        <v>614.96</v>
      </c>
      <c r="I19542" s="573">
        <v>113.67</v>
      </c>
      <c r="J19542" s="573">
        <v>498.99</v>
      </c>
      <c r="K19542" s="573">
        <v>2.2999999999999998</v>
      </c>
      <c r="L19542" s="43">
        <v>6.3124615068774386</v>
      </c>
      <c r="M19542" s="43">
        <v>11.5021951219512</v>
      </c>
      <c r="N19542" s="43">
        <v>5.7131898328371875</v>
      </c>
      <c r="O19542" s="43">
        <v>11.499999999999998</v>
      </c>
      <c r="P19542" s="574"/>
      <c r="Q19542" s="574"/>
      <c r="R19542" s="574">
        <v>1</v>
      </c>
    </row>
    <row r="19543" spans="1:18" ht="12.75" customHeight="1">
      <c r="A19543" s="632" t="s">
        <v>18</v>
      </c>
      <c r="B19543" s="632"/>
      <c r="C19543" s="632"/>
      <c r="D19543" s="568">
        <v>21707.63</v>
      </c>
      <c r="E19543" s="568">
        <v>16074.82</v>
      </c>
      <c r="F19543" s="568">
        <v>5311.29</v>
      </c>
      <c r="G19543" s="568">
        <v>321.52</v>
      </c>
      <c r="H19543" s="569">
        <v>218500.79</v>
      </c>
      <c r="I19543" s="569">
        <v>184863.39</v>
      </c>
      <c r="J19543" s="569">
        <v>29939.79</v>
      </c>
      <c r="K19543" s="569">
        <v>3697.61</v>
      </c>
      <c r="L19543" s="612">
        <v>10.065621627050028</v>
      </c>
      <c r="M19543" s="612">
        <v>11.500184138920375</v>
      </c>
      <c r="N19543" s="612">
        <v>5.6370090881876154</v>
      </c>
      <c r="O19543" s="612">
        <v>11.500404329435185</v>
      </c>
      <c r="P19543" s="566"/>
      <c r="Q19543" s="566"/>
      <c r="R19543" s="566"/>
    </row>
    <row r="19544" spans="1:18" ht="18">
      <c r="A19544" s="616" t="s">
        <v>35466</v>
      </c>
      <c r="B19544" s="626"/>
      <c r="C19544" s="626"/>
      <c r="D19544" s="626"/>
      <c r="E19544" s="626"/>
      <c r="F19544" s="626"/>
      <c r="G19544" s="626"/>
      <c r="H19544" s="626"/>
      <c r="I19544" s="626"/>
      <c r="J19544" s="626"/>
      <c r="K19544" s="626"/>
      <c r="L19544" s="626"/>
      <c r="M19544" s="626"/>
      <c r="N19544" s="626"/>
      <c r="O19544" s="626"/>
      <c r="P19544" s="626"/>
      <c r="Q19544" s="626"/>
      <c r="R19544" s="627"/>
    </row>
    <row r="19545" spans="1:18" ht="12.75" customHeight="1">
      <c r="A19545" s="630" t="s">
        <v>35467</v>
      </c>
      <c r="B19545" s="631"/>
      <c r="C19545" s="631"/>
      <c r="D19545" s="631"/>
      <c r="E19545" s="631"/>
      <c r="F19545" s="631"/>
      <c r="G19545" s="631"/>
      <c r="H19545" s="631"/>
      <c r="I19545" s="631"/>
      <c r="J19545" s="631"/>
      <c r="K19545" s="631"/>
      <c r="L19545" s="631"/>
      <c r="M19545" s="631"/>
      <c r="N19545" s="631"/>
      <c r="O19545" s="631"/>
      <c r="P19545" s="631"/>
      <c r="Q19545" s="631"/>
      <c r="R19545" s="631"/>
    </row>
    <row r="19546" spans="1:18" ht="12.75" customHeight="1">
      <c r="A19546" s="628" t="s">
        <v>35468</v>
      </c>
      <c r="B19546" s="629"/>
      <c r="C19546" s="629"/>
      <c r="D19546" s="629"/>
      <c r="E19546" s="629"/>
      <c r="F19546" s="629"/>
      <c r="G19546" s="629"/>
      <c r="H19546" s="629"/>
      <c r="I19546" s="629"/>
      <c r="J19546" s="629"/>
      <c r="K19546" s="629"/>
      <c r="L19546" s="629"/>
      <c r="M19546" s="629"/>
      <c r="N19546" s="629"/>
      <c r="O19546" s="629"/>
      <c r="P19546" s="629"/>
      <c r="Q19546" s="629"/>
      <c r="R19546" s="629"/>
    </row>
    <row r="19547" spans="1:18" ht="24">
      <c r="A19547" s="585">
        <v>1</v>
      </c>
      <c r="B19547" s="582" t="s">
        <v>35469</v>
      </c>
      <c r="C19547" s="586" t="s">
        <v>35470</v>
      </c>
      <c r="D19547" s="587">
        <v>51.08</v>
      </c>
      <c r="E19547" s="587">
        <v>49.59</v>
      </c>
      <c r="F19547" s="587"/>
      <c r="G19547" s="587">
        <v>1.49</v>
      </c>
      <c r="H19547" s="588">
        <v>587.41999999999996</v>
      </c>
      <c r="I19547" s="588">
        <v>570.28</v>
      </c>
      <c r="J19547" s="588"/>
      <c r="K19547" s="588">
        <v>17.14</v>
      </c>
      <c r="L19547" s="43">
        <v>11.5</v>
      </c>
      <c r="M19547" s="43">
        <v>11.499899173220406</v>
      </c>
      <c r="N19547" s="43" t="s">
        <v>1690</v>
      </c>
      <c r="O19547" s="43">
        <v>11.503355704697986</v>
      </c>
      <c r="P19547" s="589"/>
      <c r="Q19547" s="589"/>
      <c r="R19547" s="589">
        <v>1</v>
      </c>
    </row>
    <row r="19548" spans="1:18" ht="24">
      <c r="A19548" s="585">
        <v>2</v>
      </c>
      <c r="B19548" s="582" t="s">
        <v>35471</v>
      </c>
      <c r="C19548" s="586" t="s">
        <v>35472</v>
      </c>
      <c r="D19548" s="587">
        <v>66.63</v>
      </c>
      <c r="E19548" s="587">
        <v>64.69</v>
      </c>
      <c r="F19548" s="587"/>
      <c r="G19548" s="587">
        <v>1.94</v>
      </c>
      <c r="H19548" s="588">
        <v>766.22</v>
      </c>
      <c r="I19548" s="588">
        <v>743.91</v>
      </c>
      <c r="J19548" s="588"/>
      <c r="K19548" s="588">
        <v>22.31</v>
      </c>
      <c r="L19548" s="43">
        <v>11.499624793636501</v>
      </c>
      <c r="M19548" s="43">
        <v>11.499613541505642</v>
      </c>
      <c r="N19548" s="43" t="s">
        <v>1690</v>
      </c>
      <c r="O19548" s="43">
        <v>11.5</v>
      </c>
      <c r="P19548" s="589"/>
      <c r="Q19548" s="589"/>
      <c r="R19548" s="589">
        <v>1</v>
      </c>
    </row>
    <row r="19549" spans="1:18" ht="12.75" customHeight="1">
      <c r="A19549" s="628" t="s">
        <v>35473</v>
      </c>
      <c r="B19549" s="629"/>
      <c r="C19549" s="629"/>
      <c r="D19549" s="629"/>
      <c r="E19549" s="629"/>
      <c r="F19549" s="629"/>
      <c r="G19549" s="629"/>
      <c r="H19549" s="629"/>
      <c r="I19549" s="629"/>
      <c r="J19549" s="629"/>
      <c r="K19549" s="629"/>
      <c r="L19549" s="629"/>
      <c r="M19549" s="629"/>
      <c r="N19549" s="629"/>
      <c r="O19549" s="629"/>
      <c r="P19549" s="629"/>
      <c r="Q19549" s="629"/>
      <c r="R19549" s="629"/>
    </row>
    <row r="19550" spans="1:18" ht="24">
      <c r="A19550" s="585">
        <v>3</v>
      </c>
      <c r="B19550" s="582" t="s">
        <v>35474</v>
      </c>
      <c r="C19550" s="586" t="s">
        <v>35475</v>
      </c>
      <c r="D19550" s="587">
        <v>388.59</v>
      </c>
      <c r="E19550" s="587">
        <v>305.75</v>
      </c>
      <c r="F19550" s="587">
        <v>73.67</v>
      </c>
      <c r="G19550" s="587">
        <v>9.17</v>
      </c>
      <c r="H19550" s="588">
        <v>4041.54</v>
      </c>
      <c r="I19550" s="588">
        <v>3516.3</v>
      </c>
      <c r="J19550" s="588">
        <v>419.78</v>
      </c>
      <c r="K19550" s="588">
        <v>105.46</v>
      </c>
      <c r="L19550" s="43">
        <v>10.400524974909288</v>
      </c>
      <c r="M19550" s="43">
        <v>11.500572363041702</v>
      </c>
      <c r="N19550" s="43">
        <v>5.698113207547169</v>
      </c>
      <c r="O19550" s="43">
        <v>11.500545256270447</v>
      </c>
      <c r="P19550" s="589"/>
      <c r="Q19550" s="589"/>
      <c r="R19550" s="589">
        <v>2</v>
      </c>
    </row>
    <row r="19551" spans="1:18" ht="24">
      <c r="A19551" s="585">
        <v>4</v>
      </c>
      <c r="B19551" s="582" t="s">
        <v>35476</v>
      </c>
      <c r="C19551" s="586" t="s">
        <v>35477</v>
      </c>
      <c r="D19551" s="587">
        <v>325.10000000000002</v>
      </c>
      <c r="E19551" s="587">
        <v>244.11</v>
      </c>
      <c r="F19551" s="587">
        <v>73.67</v>
      </c>
      <c r="G19551" s="587">
        <v>7.32</v>
      </c>
      <c r="H19551" s="588">
        <v>3311.33</v>
      </c>
      <c r="I19551" s="588">
        <v>2807.37</v>
      </c>
      <c r="J19551" s="588">
        <v>419.78</v>
      </c>
      <c r="K19551" s="588">
        <v>84.18</v>
      </c>
      <c r="L19551" s="43">
        <v>10.18557366964011</v>
      </c>
      <c r="M19551" s="43">
        <v>11.500430133956002</v>
      </c>
      <c r="N19551" s="43">
        <v>5.698113207547169</v>
      </c>
      <c r="O19551" s="43">
        <v>11.5</v>
      </c>
      <c r="P19551" s="589"/>
      <c r="Q19551" s="589"/>
      <c r="R19551" s="589">
        <v>2</v>
      </c>
    </row>
    <row r="19552" spans="1:18" ht="24">
      <c r="A19552" s="585">
        <v>5</v>
      </c>
      <c r="B19552" s="582" t="s">
        <v>35478</v>
      </c>
      <c r="C19552" s="586" t="s">
        <v>35479</v>
      </c>
      <c r="D19552" s="587">
        <v>184.13</v>
      </c>
      <c r="E19552" s="587">
        <v>178.77</v>
      </c>
      <c r="F19552" s="587"/>
      <c r="G19552" s="587">
        <v>5.36</v>
      </c>
      <c r="H19552" s="588">
        <v>2117.5</v>
      </c>
      <c r="I19552" s="588">
        <v>2055.86</v>
      </c>
      <c r="J19552" s="588"/>
      <c r="K19552" s="588">
        <v>61.64</v>
      </c>
      <c r="L19552" s="43">
        <v>11.500027154727638</v>
      </c>
      <c r="M19552" s="43">
        <v>11.500027968898586</v>
      </c>
      <c r="N19552" s="43" t="s">
        <v>1690</v>
      </c>
      <c r="O19552" s="43">
        <v>11.5</v>
      </c>
      <c r="P19552" s="589"/>
      <c r="Q19552" s="589"/>
      <c r="R19552" s="589">
        <v>2</v>
      </c>
    </row>
    <row r="19553" spans="1:18" ht="24">
      <c r="A19553" s="585">
        <v>6</v>
      </c>
      <c r="B19553" s="582" t="s">
        <v>35480</v>
      </c>
      <c r="C19553" s="586" t="s">
        <v>35481</v>
      </c>
      <c r="D19553" s="587">
        <v>171.65</v>
      </c>
      <c r="E19553" s="587">
        <v>166.65</v>
      </c>
      <c r="F19553" s="587"/>
      <c r="G19553" s="587">
        <v>5</v>
      </c>
      <c r="H19553" s="588">
        <v>1973.98</v>
      </c>
      <c r="I19553" s="588">
        <v>1916.48</v>
      </c>
      <c r="J19553" s="588"/>
      <c r="K19553" s="588">
        <v>57.5</v>
      </c>
      <c r="L19553" s="43">
        <v>11.500029129041653</v>
      </c>
      <c r="M19553" s="43">
        <v>11.500030003000299</v>
      </c>
      <c r="N19553" s="43" t="s">
        <v>1690</v>
      </c>
      <c r="O19553" s="43">
        <v>11.5</v>
      </c>
      <c r="P19553" s="589"/>
      <c r="Q19553" s="589"/>
      <c r="R19553" s="589">
        <v>2</v>
      </c>
    </row>
    <row r="19554" spans="1:18" ht="24">
      <c r="A19554" s="585">
        <v>7</v>
      </c>
      <c r="B19554" s="582" t="s">
        <v>35482</v>
      </c>
      <c r="C19554" s="586" t="s">
        <v>35483</v>
      </c>
      <c r="D19554" s="587">
        <v>961.55</v>
      </c>
      <c r="E19554" s="587">
        <v>548.30999999999995</v>
      </c>
      <c r="F19554" s="587">
        <v>396.79</v>
      </c>
      <c r="G19554" s="587">
        <v>16.45</v>
      </c>
      <c r="H19554" s="588">
        <v>8747.7099999999991</v>
      </c>
      <c r="I19554" s="588">
        <v>6305.84</v>
      </c>
      <c r="J19554" s="588">
        <v>2252.69</v>
      </c>
      <c r="K19554" s="588">
        <v>189.18</v>
      </c>
      <c r="L19554" s="43">
        <v>9.0975092298892406</v>
      </c>
      <c r="M19554" s="43">
        <v>11.500501541099014</v>
      </c>
      <c r="N19554" s="43">
        <v>5.6772852138410741</v>
      </c>
      <c r="O19554" s="43">
        <v>11.500303951367782</v>
      </c>
      <c r="P19554" s="589"/>
      <c r="Q19554" s="589"/>
      <c r="R19554" s="589">
        <v>2</v>
      </c>
    </row>
    <row r="19555" spans="1:18" ht="24">
      <c r="A19555" s="585">
        <v>8</v>
      </c>
      <c r="B19555" s="582" t="s">
        <v>35484</v>
      </c>
      <c r="C19555" s="586" t="s">
        <v>35485</v>
      </c>
      <c r="D19555" s="587">
        <v>932.49</v>
      </c>
      <c r="E19555" s="587">
        <v>520.1</v>
      </c>
      <c r="F19555" s="587">
        <v>396.79</v>
      </c>
      <c r="G19555" s="587">
        <v>15.6</v>
      </c>
      <c r="H19555" s="588">
        <v>8413.4500000000007</v>
      </c>
      <c r="I19555" s="588">
        <v>5981.36</v>
      </c>
      <c r="J19555" s="588">
        <v>2252.69</v>
      </c>
      <c r="K19555" s="588">
        <v>179.4</v>
      </c>
      <c r="L19555" s="43">
        <v>9.0225632446460562</v>
      </c>
      <c r="M19555" s="43">
        <v>11.500403768506056</v>
      </c>
      <c r="N19555" s="43">
        <v>5.6772852138410741</v>
      </c>
      <c r="O19555" s="43">
        <v>11.5</v>
      </c>
      <c r="P19555" s="589"/>
      <c r="Q19555" s="589"/>
      <c r="R19555" s="589">
        <v>2</v>
      </c>
    </row>
    <row r="19556" spans="1:18" ht="24">
      <c r="A19556" s="585">
        <v>9</v>
      </c>
      <c r="B19556" s="582" t="s">
        <v>35486</v>
      </c>
      <c r="C19556" s="586" t="s">
        <v>35487</v>
      </c>
      <c r="D19556" s="587">
        <v>513.66999999999996</v>
      </c>
      <c r="E19556" s="587">
        <v>498.71</v>
      </c>
      <c r="F19556" s="587"/>
      <c r="G19556" s="587">
        <v>14.96</v>
      </c>
      <c r="H19556" s="588">
        <v>5907.2</v>
      </c>
      <c r="I19556" s="588">
        <v>5735.16</v>
      </c>
      <c r="J19556" s="588"/>
      <c r="K19556" s="588">
        <v>172.04</v>
      </c>
      <c r="L19556" s="43">
        <v>11.499990266124167</v>
      </c>
      <c r="M19556" s="43">
        <v>11.499989974133264</v>
      </c>
      <c r="N19556" s="43" t="s">
        <v>1690</v>
      </c>
      <c r="O19556" s="43">
        <v>11.499999999999998</v>
      </c>
      <c r="P19556" s="589"/>
      <c r="Q19556" s="589"/>
      <c r="R19556" s="589">
        <v>2</v>
      </c>
    </row>
    <row r="19557" spans="1:18" ht="24">
      <c r="A19557" s="585">
        <v>10</v>
      </c>
      <c r="B19557" s="582" t="s">
        <v>35488</v>
      </c>
      <c r="C19557" s="586" t="s">
        <v>35489</v>
      </c>
      <c r="D19557" s="587">
        <v>503.64</v>
      </c>
      <c r="E19557" s="587">
        <v>488.97</v>
      </c>
      <c r="F19557" s="587"/>
      <c r="G19557" s="587">
        <v>14.67</v>
      </c>
      <c r="H19557" s="588">
        <v>5791.91</v>
      </c>
      <c r="I19557" s="588">
        <v>5623.2</v>
      </c>
      <c r="J19557" s="588"/>
      <c r="K19557" s="588">
        <v>168.71</v>
      </c>
      <c r="L19557" s="43">
        <v>11.500099277261537</v>
      </c>
      <c r="M19557" s="43">
        <v>11.5000920301859</v>
      </c>
      <c r="N19557" s="43" t="s">
        <v>1690</v>
      </c>
      <c r="O19557" s="43">
        <v>11.500340831629176</v>
      </c>
      <c r="P19557" s="589"/>
      <c r="Q19557" s="589"/>
      <c r="R19557" s="589">
        <v>2</v>
      </c>
    </row>
    <row r="19558" spans="1:18" ht="24">
      <c r="A19558" s="585">
        <v>11</v>
      </c>
      <c r="B19558" s="582" t="s">
        <v>35490</v>
      </c>
      <c r="C19558" s="586" t="s">
        <v>35491</v>
      </c>
      <c r="D19558" s="587">
        <v>571.63</v>
      </c>
      <c r="E19558" s="587">
        <v>483.46</v>
      </c>
      <c r="F19558" s="587">
        <v>73.67</v>
      </c>
      <c r="G19558" s="587">
        <v>14.5</v>
      </c>
      <c r="H19558" s="588">
        <v>6146.37</v>
      </c>
      <c r="I19558" s="588">
        <v>5559.84</v>
      </c>
      <c r="J19558" s="588">
        <v>419.78</v>
      </c>
      <c r="K19558" s="588">
        <v>166.75</v>
      </c>
      <c r="L19558" s="43">
        <v>10.752357294053846</v>
      </c>
      <c r="M19558" s="43">
        <v>11.500103421172383</v>
      </c>
      <c r="N19558" s="43">
        <v>5.698113207547169</v>
      </c>
      <c r="O19558" s="43">
        <v>11.5</v>
      </c>
      <c r="P19558" s="589"/>
      <c r="Q19558" s="589"/>
      <c r="R19558" s="589">
        <v>2</v>
      </c>
    </row>
    <row r="19559" spans="1:18" ht="24">
      <c r="A19559" s="585">
        <v>12</v>
      </c>
      <c r="B19559" s="582" t="s">
        <v>35492</v>
      </c>
      <c r="C19559" s="586" t="s">
        <v>35493</v>
      </c>
      <c r="D19559" s="587">
        <v>512.46</v>
      </c>
      <c r="E19559" s="587">
        <v>426.01</v>
      </c>
      <c r="F19559" s="587">
        <v>73.67</v>
      </c>
      <c r="G19559" s="587">
        <v>12.78</v>
      </c>
      <c r="H19559" s="588">
        <v>5465.89</v>
      </c>
      <c r="I19559" s="588">
        <v>4899.1400000000003</v>
      </c>
      <c r="J19559" s="588">
        <v>419.78</v>
      </c>
      <c r="K19559" s="588">
        <v>146.97</v>
      </c>
      <c r="L19559" s="43">
        <v>10.665983686531632</v>
      </c>
      <c r="M19559" s="43">
        <v>11.500058684068451</v>
      </c>
      <c r="N19559" s="43">
        <v>5.698113207547169</v>
      </c>
      <c r="O19559" s="43">
        <v>11.5</v>
      </c>
      <c r="P19559" s="589"/>
      <c r="Q19559" s="589"/>
      <c r="R19559" s="589">
        <v>2</v>
      </c>
    </row>
    <row r="19560" spans="1:18" ht="24">
      <c r="A19560" s="585">
        <v>13</v>
      </c>
      <c r="B19560" s="582" t="s">
        <v>35494</v>
      </c>
      <c r="C19560" s="586" t="s">
        <v>35495</v>
      </c>
      <c r="D19560" s="587">
        <v>263.72000000000003</v>
      </c>
      <c r="E19560" s="587">
        <v>256.04000000000002</v>
      </c>
      <c r="F19560" s="587"/>
      <c r="G19560" s="587">
        <v>7.68</v>
      </c>
      <c r="H19560" s="588">
        <v>3032.73</v>
      </c>
      <c r="I19560" s="588">
        <v>2944.41</v>
      </c>
      <c r="J19560" s="588"/>
      <c r="K19560" s="588">
        <v>88.32</v>
      </c>
      <c r="L19560" s="43">
        <v>11.499810404974973</v>
      </c>
      <c r="M19560" s="43">
        <v>11.499804718012809</v>
      </c>
      <c r="N19560" s="43" t="s">
        <v>1690</v>
      </c>
      <c r="O19560" s="43">
        <v>11.5</v>
      </c>
      <c r="P19560" s="589"/>
      <c r="Q19560" s="589"/>
      <c r="R19560" s="589">
        <v>2</v>
      </c>
    </row>
    <row r="19561" spans="1:18" ht="24">
      <c r="A19561" s="585">
        <v>14</v>
      </c>
      <c r="B19561" s="582" t="s">
        <v>35496</v>
      </c>
      <c r="C19561" s="586" t="s">
        <v>35497</v>
      </c>
      <c r="D19561" s="587">
        <v>258.13</v>
      </c>
      <c r="E19561" s="587">
        <v>250.61</v>
      </c>
      <c r="F19561" s="587"/>
      <c r="G19561" s="587">
        <v>7.52</v>
      </c>
      <c r="H19561" s="588">
        <v>2968.66</v>
      </c>
      <c r="I19561" s="588">
        <v>2882.18</v>
      </c>
      <c r="J19561" s="588"/>
      <c r="K19561" s="588">
        <v>86.48</v>
      </c>
      <c r="L19561" s="43">
        <v>11.500639212799753</v>
      </c>
      <c r="M19561" s="43">
        <v>11.50065839351981</v>
      </c>
      <c r="N19561" s="43" t="s">
        <v>1690</v>
      </c>
      <c r="O19561" s="43">
        <v>11.500000000000002</v>
      </c>
      <c r="P19561" s="589"/>
      <c r="Q19561" s="589"/>
      <c r="R19561" s="589">
        <v>2</v>
      </c>
    </row>
    <row r="19562" spans="1:18" ht="24">
      <c r="A19562" s="585">
        <v>15</v>
      </c>
      <c r="B19562" s="582" t="s">
        <v>35498</v>
      </c>
      <c r="C19562" s="586" t="s">
        <v>35499</v>
      </c>
      <c r="D19562" s="587">
        <v>345.17</v>
      </c>
      <c r="E19562" s="587">
        <v>335.12</v>
      </c>
      <c r="F19562" s="587"/>
      <c r="G19562" s="587">
        <v>10.050000000000001</v>
      </c>
      <c r="H19562" s="588">
        <v>3969.46</v>
      </c>
      <c r="I19562" s="588">
        <v>3853.88</v>
      </c>
      <c r="J19562" s="588"/>
      <c r="K19562" s="588">
        <v>115.58</v>
      </c>
      <c r="L19562" s="43">
        <v>11.500014485615782</v>
      </c>
      <c r="M19562" s="43">
        <v>11.5</v>
      </c>
      <c r="N19562" s="43" t="s">
        <v>1690</v>
      </c>
      <c r="O19562" s="43">
        <v>11.500497512437811</v>
      </c>
      <c r="P19562" s="589"/>
      <c r="Q19562" s="589"/>
      <c r="R19562" s="589">
        <v>2</v>
      </c>
    </row>
    <row r="19563" spans="1:18" ht="24">
      <c r="A19563" s="585">
        <v>16</v>
      </c>
      <c r="B19563" s="582" t="s">
        <v>35500</v>
      </c>
      <c r="C19563" s="586" t="s">
        <v>35501</v>
      </c>
      <c r="D19563" s="587">
        <v>332.56</v>
      </c>
      <c r="E19563" s="587">
        <v>322.87</v>
      </c>
      <c r="F19563" s="587"/>
      <c r="G19563" s="587">
        <v>9.69</v>
      </c>
      <c r="H19563" s="588">
        <v>3824.57</v>
      </c>
      <c r="I19563" s="588">
        <v>3713.13</v>
      </c>
      <c r="J19563" s="588"/>
      <c r="K19563" s="588">
        <v>111.44</v>
      </c>
      <c r="L19563" s="43">
        <v>11.500390906904018</v>
      </c>
      <c r="M19563" s="43">
        <v>11.500387152724008</v>
      </c>
      <c r="N19563" s="43" t="s">
        <v>1690</v>
      </c>
      <c r="O19563" s="43">
        <v>11.500515995872034</v>
      </c>
      <c r="P19563" s="589"/>
      <c r="Q19563" s="589"/>
      <c r="R19563" s="589">
        <v>2</v>
      </c>
    </row>
    <row r="19564" spans="1:18" ht="24">
      <c r="A19564" s="585">
        <v>17</v>
      </c>
      <c r="B19564" s="582" t="s">
        <v>35502</v>
      </c>
      <c r="C19564" s="586" t="s">
        <v>35503</v>
      </c>
      <c r="D19564" s="587">
        <v>262.64</v>
      </c>
      <c r="E19564" s="587">
        <v>198.8</v>
      </c>
      <c r="F19564" s="587">
        <v>57.88</v>
      </c>
      <c r="G19564" s="587">
        <v>5.96</v>
      </c>
      <c r="H19564" s="588">
        <v>2684.58</v>
      </c>
      <c r="I19564" s="588">
        <v>2286.21</v>
      </c>
      <c r="J19564" s="588">
        <v>329.83</v>
      </c>
      <c r="K19564" s="588">
        <v>68.540000000000006</v>
      </c>
      <c r="L19564" s="43">
        <v>10.221519951264089</v>
      </c>
      <c r="M19564" s="43">
        <v>11.500050301810864</v>
      </c>
      <c r="N19564" s="43">
        <v>5.6985141672425703</v>
      </c>
      <c r="O19564" s="43">
        <v>11.500000000000002</v>
      </c>
      <c r="P19564" s="589"/>
      <c r="Q19564" s="589"/>
      <c r="R19564" s="589">
        <v>2</v>
      </c>
    </row>
    <row r="19565" spans="1:18" ht="24">
      <c r="A19565" s="585">
        <v>18</v>
      </c>
      <c r="B19565" s="582" t="s">
        <v>35504</v>
      </c>
      <c r="C19565" s="586" t="s">
        <v>35505</v>
      </c>
      <c r="D19565" s="587">
        <v>238.76</v>
      </c>
      <c r="E19565" s="587">
        <v>175.61</v>
      </c>
      <c r="F19565" s="587">
        <v>57.88</v>
      </c>
      <c r="G19565" s="587">
        <v>5.27</v>
      </c>
      <c r="H19565" s="588">
        <v>2409.9299999999998</v>
      </c>
      <c r="I19565" s="588">
        <v>2019.49</v>
      </c>
      <c r="J19565" s="588">
        <v>329.83</v>
      </c>
      <c r="K19565" s="588">
        <v>60.61</v>
      </c>
      <c r="L19565" s="43">
        <v>10.093524878539119</v>
      </c>
      <c r="M19565" s="43">
        <v>11.499857639086612</v>
      </c>
      <c r="N19565" s="43">
        <v>5.6985141672425703</v>
      </c>
      <c r="O19565" s="43">
        <v>11.500948766603416</v>
      </c>
      <c r="P19565" s="589"/>
      <c r="Q19565" s="589"/>
      <c r="R19565" s="589">
        <v>2</v>
      </c>
    </row>
    <row r="19566" spans="1:18" ht="12.75" customHeight="1">
      <c r="A19566" s="628" t="s">
        <v>35506</v>
      </c>
      <c r="B19566" s="629"/>
      <c r="C19566" s="629"/>
      <c r="D19566" s="629"/>
      <c r="E19566" s="629"/>
      <c r="F19566" s="629"/>
      <c r="G19566" s="629"/>
      <c r="H19566" s="629"/>
      <c r="I19566" s="629"/>
      <c r="J19566" s="629"/>
      <c r="K19566" s="629"/>
      <c r="L19566" s="629"/>
      <c r="M19566" s="629"/>
      <c r="N19566" s="629"/>
      <c r="O19566" s="629"/>
      <c r="P19566" s="629"/>
      <c r="Q19566" s="629"/>
      <c r="R19566" s="629"/>
    </row>
    <row r="19567" spans="1:18" ht="24">
      <c r="A19567" s="585">
        <v>19</v>
      </c>
      <c r="B19567" s="582" t="s">
        <v>35507</v>
      </c>
      <c r="C19567" s="586" t="s">
        <v>35508</v>
      </c>
      <c r="D19567" s="587">
        <v>75.569999999999993</v>
      </c>
      <c r="E19567" s="587">
        <v>73.37</v>
      </c>
      <c r="F19567" s="587"/>
      <c r="G19567" s="587">
        <v>2.2000000000000002</v>
      </c>
      <c r="H19567" s="588">
        <v>869.07</v>
      </c>
      <c r="I19567" s="588">
        <v>843.77</v>
      </c>
      <c r="J19567" s="588"/>
      <c r="K19567" s="588">
        <v>25.3</v>
      </c>
      <c r="L19567" s="43">
        <v>11.500198491464868</v>
      </c>
      <c r="M19567" s="43">
        <v>11.500204443232928</v>
      </c>
      <c r="N19567" s="43" t="s">
        <v>1690</v>
      </c>
      <c r="O19567" s="43">
        <v>11.5</v>
      </c>
      <c r="P19567" s="589"/>
      <c r="Q19567" s="589"/>
      <c r="R19567" s="589">
        <v>3</v>
      </c>
    </row>
    <row r="19568" spans="1:18" ht="24">
      <c r="A19568" s="585">
        <v>20</v>
      </c>
      <c r="B19568" s="582" t="s">
        <v>35509</v>
      </c>
      <c r="C19568" s="586" t="s">
        <v>35510</v>
      </c>
      <c r="D19568" s="587">
        <v>79.459999999999994</v>
      </c>
      <c r="E19568" s="587">
        <v>77.150000000000006</v>
      </c>
      <c r="F19568" s="587"/>
      <c r="G19568" s="587">
        <v>2.31</v>
      </c>
      <c r="H19568" s="588">
        <v>913.74</v>
      </c>
      <c r="I19568" s="588">
        <v>887.17</v>
      </c>
      <c r="J19568" s="588"/>
      <c r="K19568" s="588">
        <v>26.57</v>
      </c>
      <c r="L19568" s="43">
        <v>11.499370752579916</v>
      </c>
      <c r="M19568" s="43">
        <v>11.499287103046013</v>
      </c>
      <c r="N19568" s="43" t="s">
        <v>1690</v>
      </c>
      <c r="O19568" s="43">
        <v>11.502164502164502</v>
      </c>
      <c r="P19568" s="589"/>
      <c r="Q19568" s="589"/>
      <c r="R19568" s="589">
        <v>3</v>
      </c>
    </row>
    <row r="19569" spans="1:18" ht="24">
      <c r="A19569" s="585">
        <v>21</v>
      </c>
      <c r="B19569" s="582" t="s">
        <v>35511</v>
      </c>
      <c r="C19569" s="586" t="s">
        <v>35512</v>
      </c>
      <c r="D19569" s="587">
        <v>127.97</v>
      </c>
      <c r="E19569" s="587">
        <v>124.24</v>
      </c>
      <c r="F19569" s="587"/>
      <c r="G19569" s="587">
        <v>3.73</v>
      </c>
      <c r="H19569" s="588">
        <v>1471.67</v>
      </c>
      <c r="I19569" s="588">
        <v>1428.77</v>
      </c>
      <c r="J19569" s="588"/>
      <c r="K19569" s="588">
        <v>42.9</v>
      </c>
      <c r="L19569" s="43">
        <v>11.50011721497226</v>
      </c>
      <c r="M19569" s="43">
        <v>11.500080489375403</v>
      </c>
      <c r="N19569" s="43" t="s">
        <v>1690</v>
      </c>
      <c r="O19569" s="43">
        <v>11.501340482573726</v>
      </c>
      <c r="P19569" s="589"/>
      <c r="Q19569" s="589"/>
      <c r="R19569" s="589">
        <v>3</v>
      </c>
    </row>
    <row r="19570" spans="1:18" ht="24">
      <c r="A19570" s="585">
        <v>22</v>
      </c>
      <c r="B19570" s="582" t="s">
        <v>35513</v>
      </c>
      <c r="C19570" s="586" t="s">
        <v>35514</v>
      </c>
      <c r="D19570" s="587">
        <v>92.24</v>
      </c>
      <c r="E19570" s="587">
        <v>89.55</v>
      </c>
      <c r="F19570" s="587"/>
      <c r="G19570" s="587">
        <v>2.69</v>
      </c>
      <c r="H19570" s="588">
        <v>1060.74</v>
      </c>
      <c r="I19570" s="588">
        <v>1029.8</v>
      </c>
      <c r="J19570" s="588"/>
      <c r="K19570" s="588">
        <v>30.94</v>
      </c>
      <c r="L19570" s="43">
        <v>11.499783174327842</v>
      </c>
      <c r="M19570" s="43">
        <v>11.499720826353991</v>
      </c>
      <c r="N19570" s="43" t="s">
        <v>1690</v>
      </c>
      <c r="O19570" s="43">
        <v>11.50185873605948</v>
      </c>
      <c r="P19570" s="589"/>
      <c r="Q19570" s="589"/>
      <c r="R19570" s="589">
        <v>3</v>
      </c>
    </row>
    <row r="19571" spans="1:18" ht="12.75" customHeight="1">
      <c r="A19571" s="628" t="s">
        <v>35515</v>
      </c>
      <c r="B19571" s="629"/>
      <c r="C19571" s="629"/>
      <c r="D19571" s="629"/>
      <c r="E19571" s="629"/>
      <c r="F19571" s="629"/>
      <c r="G19571" s="629"/>
      <c r="H19571" s="629"/>
      <c r="I19571" s="629"/>
      <c r="J19571" s="629"/>
      <c r="K19571" s="629"/>
      <c r="L19571" s="629"/>
      <c r="M19571" s="629"/>
      <c r="N19571" s="629"/>
      <c r="O19571" s="629"/>
      <c r="P19571" s="629"/>
      <c r="Q19571" s="629"/>
      <c r="R19571" s="629"/>
    </row>
    <row r="19572" spans="1:18" ht="24">
      <c r="A19572" s="585">
        <v>23</v>
      </c>
      <c r="B19572" s="582" t="s">
        <v>35516</v>
      </c>
      <c r="C19572" s="586" t="s">
        <v>35517</v>
      </c>
      <c r="D19572" s="587">
        <v>810.68</v>
      </c>
      <c r="E19572" s="587">
        <v>777.77</v>
      </c>
      <c r="F19572" s="587">
        <v>9.58</v>
      </c>
      <c r="G19572" s="587">
        <v>23.33</v>
      </c>
      <c r="H19572" s="588">
        <v>9263.44</v>
      </c>
      <c r="I19572" s="588">
        <v>8944.74</v>
      </c>
      <c r="J19572" s="588">
        <v>50.4</v>
      </c>
      <c r="K19572" s="588">
        <v>268.3</v>
      </c>
      <c r="L19572" s="43">
        <v>11.426752849459714</v>
      </c>
      <c r="M19572" s="43">
        <v>11.50049500495005</v>
      </c>
      <c r="N19572" s="43">
        <v>5.2609603340292272</v>
      </c>
      <c r="O19572" s="43">
        <v>11.500214316330906</v>
      </c>
      <c r="P19572" s="589"/>
      <c r="Q19572" s="589"/>
      <c r="R19572" s="589">
        <v>4</v>
      </c>
    </row>
    <row r="19573" spans="1:18" ht="24">
      <c r="A19573" s="585">
        <v>24</v>
      </c>
      <c r="B19573" s="582" t="s">
        <v>35518</v>
      </c>
      <c r="C19573" s="586" t="s">
        <v>35519</v>
      </c>
      <c r="D19573" s="587">
        <v>894.3</v>
      </c>
      <c r="E19573" s="587">
        <v>858.95</v>
      </c>
      <c r="F19573" s="587">
        <v>9.58</v>
      </c>
      <c r="G19573" s="587">
        <v>25.77</v>
      </c>
      <c r="H19573" s="588">
        <v>10225.09</v>
      </c>
      <c r="I19573" s="588">
        <v>9878.33</v>
      </c>
      <c r="J19573" s="588">
        <v>50.4</v>
      </c>
      <c r="K19573" s="588">
        <v>296.36</v>
      </c>
      <c r="L19573" s="43">
        <v>11.433624063513363</v>
      </c>
      <c r="M19573" s="43">
        <v>11.500471505908376</v>
      </c>
      <c r="N19573" s="43">
        <v>5.2609603340292272</v>
      </c>
      <c r="O19573" s="43">
        <v>11.500194024058985</v>
      </c>
      <c r="P19573" s="589"/>
      <c r="Q19573" s="589"/>
      <c r="R19573" s="589">
        <v>4</v>
      </c>
    </row>
    <row r="19574" spans="1:18" ht="24">
      <c r="A19574" s="585">
        <v>25</v>
      </c>
      <c r="B19574" s="582" t="s">
        <v>35520</v>
      </c>
      <c r="C19574" s="586" t="s">
        <v>35521</v>
      </c>
      <c r="D19574" s="587">
        <v>957.2</v>
      </c>
      <c r="E19574" s="587">
        <v>918.19</v>
      </c>
      <c r="F19574" s="587">
        <v>11.46</v>
      </c>
      <c r="G19574" s="587">
        <v>27.55</v>
      </c>
      <c r="H19574" s="588">
        <v>10936.61</v>
      </c>
      <c r="I19574" s="588">
        <v>10559.59</v>
      </c>
      <c r="J19574" s="588">
        <v>60.19</v>
      </c>
      <c r="K19574" s="588">
        <v>316.83</v>
      </c>
      <c r="L19574" s="43">
        <v>11.42562682824906</v>
      </c>
      <c r="M19574" s="43">
        <v>11.500441085178448</v>
      </c>
      <c r="N19574" s="43">
        <v>5.2521815008725996</v>
      </c>
      <c r="O19574" s="43">
        <v>11.500181488203266</v>
      </c>
      <c r="P19574" s="589"/>
      <c r="Q19574" s="589"/>
      <c r="R19574" s="589">
        <v>4</v>
      </c>
    </row>
    <row r="19575" spans="1:18" ht="24">
      <c r="A19575" s="585">
        <v>26</v>
      </c>
      <c r="B19575" s="582" t="s">
        <v>35522</v>
      </c>
      <c r="C19575" s="586" t="s">
        <v>35523</v>
      </c>
      <c r="D19575" s="587">
        <v>1050.98</v>
      </c>
      <c r="E19575" s="587">
        <v>1009.24</v>
      </c>
      <c r="F19575" s="587">
        <v>11.46</v>
      </c>
      <c r="G19575" s="587">
        <v>30.28</v>
      </c>
      <c r="H19575" s="588">
        <v>12015.13</v>
      </c>
      <c r="I19575" s="588">
        <v>11606.72</v>
      </c>
      <c r="J19575" s="588">
        <v>60.19</v>
      </c>
      <c r="K19575" s="588">
        <v>348.22</v>
      </c>
      <c r="L19575" s="43">
        <v>11.432310795638356</v>
      </c>
      <c r="M19575" s="43">
        <v>11.500455788514129</v>
      </c>
      <c r="N19575" s="43">
        <v>5.2521815008725996</v>
      </c>
      <c r="O19575" s="43">
        <v>11.5</v>
      </c>
      <c r="P19575" s="589"/>
      <c r="Q19575" s="589"/>
      <c r="R19575" s="589">
        <v>4</v>
      </c>
    </row>
    <row r="19576" spans="1:18" ht="24">
      <c r="A19576" s="585">
        <v>27</v>
      </c>
      <c r="B19576" s="582" t="s">
        <v>35524</v>
      </c>
      <c r="C19576" s="586" t="s">
        <v>35525</v>
      </c>
      <c r="D19576" s="587">
        <v>194.36</v>
      </c>
      <c r="E19576" s="587">
        <v>188.7</v>
      </c>
      <c r="F19576" s="587"/>
      <c r="G19576" s="587">
        <v>5.66</v>
      </c>
      <c r="H19576" s="588">
        <v>2235.14</v>
      </c>
      <c r="I19576" s="588">
        <v>2170.0500000000002</v>
      </c>
      <c r="J19576" s="588"/>
      <c r="K19576" s="588">
        <v>65.09</v>
      </c>
      <c r="L19576" s="43">
        <v>11.499999999999998</v>
      </c>
      <c r="M19576" s="43">
        <v>11.500000000000002</v>
      </c>
      <c r="N19576" s="43" t="s">
        <v>1690</v>
      </c>
      <c r="O19576" s="43">
        <v>11.5</v>
      </c>
      <c r="P19576" s="589"/>
      <c r="Q19576" s="589"/>
      <c r="R19576" s="589">
        <v>4</v>
      </c>
    </row>
    <row r="19577" spans="1:18" ht="12.75" customHeight="1">
      <c r="A19577" s="628" t="s">
        <v>35526</v>
      </c>
      <c r="B19577" s="629"/>
      <c r="C19577" s="629"/>
      <c r="D19577" s="629"/>
      <c r="E19577" s="629"/>
      <c r="F19577" s="629"/>
      <c r="G19577" s="629"/>
      <c r="H19577" s="629"/>
      <c r="I19577" s="629"/>
      <c r="J19577" s="629"/>
      <c r="K19577" s="629"/>
      <c r="L19577" s="629"/>
      <c r="M19577" s="629"/>
      <c r="N19577" s="629"/>
      <c r="O19577" s="629"/>
      <c r="P19577" s="629"/>
      <c r="Q19577" s="629"/>
      <c r="R19577" s="629"/>
    </row>
    <row r="19578" spans="1:18" ht="24">
      <c r="A19578" s="585">
        <v>28</v>
      </c>
      <c r="B19578" s="582" t="s">
        <v>35527</v>
      </c>
      <c r="C19578" s="586" t="s">
        <v>35528</v>
      </c>
      <c r="D19578" s="587">
        <v>373.22</v>
      </c>
      <c r="E19578" s="587">
        <v>345.21</v>
      </c>
      <c r="F19578" s="587">
        <v>17.649999999999999</v>
      </c>
      <c r="G19578" s="587">
        <v>10.36</v>
      </c>
      <c r="H19578" s="588">
        <v>4181.41</v>
      </c>
      <c r="I19578" s="588">
        <v>3969.92</v>
      </c>
      <c r="J19578" s="588">
        <v>92.35</v>
      </c>
      <c r="K19578" s="588">
        <v>119.14</v>
      </c>
      <c r="L19578" s="43">
        <v>11.203606451958629</v>
      </c>
      <c r="M19578" s="43">
        <v>11.500014483937315</v>
      </c>
      <c r="N19578" s="43">
        <v>5.2322946175637393</v>
      </c>
      <c r="O19578" s="43">
        <v>11.5</v>
      </c>
      <c r="P19578" s="589"/>
      <c r="Q19578" s="589"/>
      <c r="R19578" s="589">
        <v>5</v>
      </c>
    </row>
    <row r="19579" spans="1:18" ht="24">
      <c r="A19579" s="585">
        <v>29</v>
      </c>
      <c r="B19579" s="582" t="s">
        <v>35529</v>
      </c>
      <c r="C19579" s="586" t="s">
        <v>35530</v>
      </c>
      <c r="D19579" s="587">
        <v>420.09</v>
      </c>
      <c r="E19579" s="587">
        <v>390.72</v>
      </c>
      <c r="F19579" s="587">
        <v>17.649999999999999</v>
      </c>
      <c r="G19579" s="587">
        <v>11.72</v>
      </c>
      <c r="H19579" s="588">
        <v>4720.41</v>
      </c>
      <c r="I19579" s="588">
        <v>4493.28</v>
      </c>
      <c r="J19579" s="588">
        <v>92.35</v>
      </c>
      <c r="K19579" s="588">
        <v>134.78</v>
      </c>
      <c r="L19579" s="43">
        <v>11.236663572091695</v>
      </c>
      <c r="M19579" s="43">
        <v>11.499999999999998</v>
      </c>
      <c r="N19579" s="43">
        <v>5.2322946175637393</v>
      </c>
      <c r="O19579" s="43">
        <v>11.5</v>
      </c>
      <c r="P19579" s="589"/>
      <c r="Q19579" s="589"/>
      <c r="R19579" s="589">
        <v>5</v>
      </c>
    </row>
    <row r="19580" spans="1:18" ht="24">
      <c r="A19580" s="585">
        <v>30</v>
      </c>
      <c r="B19580" s="582" t="s">
        <v>35531</v>
      </c>
      <c r="C19580" s="586" t="s">
        <v>35532</v>
      </c>
      <c r="D19580" s="587">
        <v>210.3</v>
      </c>
      <c r="E19580" s="587">
        <v>189.92</v>
      </c>
      <c r="F19580" s="587">
        <v>14.68</v>
      </c>
      <c r="G19580" s="587">
        <v>5.7</v>
      </c>
      <c r="H19580" s="588">
        <v>2326.58</v>
      </c>
      <c r="I19580" s="588">
        <v>2184.0300000000002</v>
      </c>
      <c r="J19580" s="588">
        <v>77</v>
      </c>
      <c r="K19580" s="588">
        <v>65.55</v>
      </c>
      <c r="L19580" s="43">
        <v>11.063147883975272</v>
      </c>
      <c r="M19580" s="43">
        <v>11.499736731255267</v>
      </c>
      <c r="N19580" s="43">
        <v>5.2452316076294281</v>
      </c>
      <c r="O19580" s="43">
        <v>11.5</v>
      </c>
      <c r="P19580" s="589"/>
      <c r="Q19580" s="589"/>
      <c r="R19580" s="589">
        <v>5</v>
      </c>
    </row>
    <row r="19581" spans="1:18" ht="24">
      <c r="A19581" s="585">
        <v>31</v>
      </c>
      <c r="B19581" s="582" t="s">
        <v>35533</v>
      </c>
      <c r="C19581" s="586" t="s">
        <v>35534</v>
      </c>
      <c r="D19581" s="587">
        <v>250.52</v>
      </c>
      <c r="E19581" s="587">
        <v>225.7</v>
      </c>
      <c r="F19581" s="587">
        <v>18.05</v>
      </c>
      <c r="G19581" s="587">
        <v>6.77</v>
      </c>
      <c r="H19581" s="588">
        <v>2768.11</v>
      </c>
      <c r="I19581" s="588">
        <v>2595.5500000000002</v>
      </c>
      <c r="J19581" s="588">
        <v>94.7</v>
      </c>
      <c r="K19581" s="588">
        <v>77.86</v>
      </c>
      <c r="L19581" s="43">
        <v>11.049457129171323</v>
      </c>
      <c r="M19581" s="43">
        <v>11.500000000000002</v>
      </c>
      <c r="N19581" s="43">
        <v>5.2465373961218837</v>
      </c>
      <c r="O19581" s="43">
        <v>11.500738552437223</v>
      </c>
      <c r="P19581" s="589"/>
      <c r="Q19581" s="589"/>
      <c r="R19581" s="589">
        <v>5</v>
      </c>
    </row>
    <row r="19582" spans="1:18" ht="24">
      <c r="A19582" s="585">
        <v>32</v>
      </c>
      <c r="B19582" s="582" t="s">
        <v>35535</v>
      </c>
      <c r="C19582" s="586" t="s">
        <v>35536</v>
      </c>
      <c r="D19582" s="587">
        <v>113.73</v>
      </c>
      <c r="E19582" s="587">
        <v>110.42</v>
      </c>
      <c r="F19582" s="587"/>
      <c r="G19582" s="587">
        <v>3.31</v>
      </c>
      <c r="H19582" s="588">
        <v>1307.95</v>
      </c>
      <c r="I19582" s="588">
        <v>1269.8800000000001</v>
      </c>
      <c r="J19582" s="588"/>
      <c r="K19582" s="588">
        <v>38.07</v>
      </c>
      <c r="L19582" s="43">
        <v>11.500483601512354</v>
      </c>
      <c r="M19582" s="43">
        <v>11.500452816518747</v>
      </c>
      <c r="N19582" s="43" t="s">
        <v>1690</v>
      </c>
      <c r="O19582" s="43">
        <v>11.501510574018127</v>
      </c>
      <c r="P19582" s="589"/>
      <c r="Q19582" s="589"/>
      <c r="R19582" s="589">
        <v>5</v>
      </c>
    </row>
    <row r="19583" spans="1:18" ht="24">
      <c r="A19583" s="585">
        <v>33</v>
      </c>
      <c r="B19583" s="582" t="s">
        <v>35537</v>
      </c>
      <c r="C19583" s="586" t="s">
        <v>35538</v>
      </c>
      <c r="D19583" s="587">
        <v>121.18</v>
      </c>
      <c r="E19583" s="587">
        <v>117.65</v>
      </c>
      <c r="F19583" s="587"/>
      <c r="G19583" s="587">
        <v>3.53</v>
      </c>
      <c r="H19583" s="588">
        <v>1393.55</v>
      </c>
      <c r="I19583" s="588">
        <v>1352.95</v>
      </c>
      <c r="J19583" s="588"/>
      <c r="K19583" s="588">
        <v>40.6</v>
      </c>
      <c r="L19583" s="43">
        <v>11.499834956263408</v>
      </c>
      <c r="M19583" s="43">
        <v>11.499787505312367</v>
      </c>
      <c r="N19583" s="43" t="s">
        <v>1690</v>
      </c>
      <c r="O19583" s="43">
        <v>11.501416430594903</v>
      </c>
      <c r="P19583" s="589"/>
      <c r="Q19583" s="589"/>
      <c r="R19583" s="589">
        <v>5</v>
      </c>
    </row>
    <row r="19584" spans="1:18" ht="24">
      <c r="A19584" s="585">
        <v>34</v>
      </c>
      <c r="B19584" s="582" t="s">
        <v>35539</v>
      </c>
      <c r="C19584" s="586" t="s">
        <v>35540</v>
      </c>
      <c r="D19584" s="587">
        <v>157.94999999999999</v>
      </c>
      <c r="E19584" s="587">
        <v>152.85</v>
      </c>
      <c r="F19584" s="587">
        <v>0.51</v>
      </c>
      <c r="G19584" s="587">
        <v>4.59</v>
      </c>
      <c r="H19584" s="588">
        <v>1813.29</v>
      </c>
      <c r="I19584" s="588">
        <v>1757.85</v>
      </c>
      <c r="J19584" s="588">
        <v>2.65</v>
      </c>
      <c r="K19584" s="588">
        <v>52.79</v>
      </c>
      <c r="L19584" s="43">
        <v>11.480151946818614</v>
      </c>
      <c r="M19584" s="43">
        <v>11.500490677134446</v>
      </c>
      <c r="N19584" s="43">
        <v>5.1960784313725483</v>
      </c>
      <c r="O19584" s="43">
        <v>11.501089324618736</v>
      </c>
      <c r="P19584" s="589"/>
      <c r="Q19584" s="589"/>
      <c r="R19584" s="589">
        <v>5</v>
      </c>
    </row>
    <row r="19585" spans="1:18" ht="24">
      <c r="A19585" s="585">
        <v>35</v>
      </c>
      <c r="B19585" s="582" t="s">
        <v>35541</v>
      </c>
      <c r="C19585" s="586" t="s">
        <v>35542</v>
      </c>
      <c r="D19585" s="587">
        <v>168.62</v>
      </c>
      <c r="E19585" s="587">
        <v>163.04</v>
      </c>
      <c r="F19585" s="587">
        <v>0.69</v>
      </c>
      <c r="G19585" s="587">
        <v>4.8899999999999997</v>
      </c>
      <c r="H19585" s="588">
        <v>1934.85</v>
      </c>
      <c r="I19585" s="588">
        <v>1875.04</v>
      </c>
      <c r="J19585" s="588">
        <v>3.57</v>
      </c>
      <c r="K19585" s="588">
        <v>56.24</v>
      </c>
      <c r="L19585" s="43">
        <v>11.47461748309809</v>
      </c>
      <c r="M19585" s="43">
        <v>11.500490677134446</v>
      </c>
      <c r="N19585" s="43">
        <v>5.1739130434782608</v>
      </c>
      <c r="O19585" s="43">
        <v>11.501022494887527</v>
      </c>
      <c r="P19585" s="589"/>
      <c r="Q19585" s="589"/>
      <c r="R19585" s="589">
        <v>5</v>
      </c>
    </row>
    <row r="19586" spans="1:18" ht="12.75" customHeight="1">
      <c r="A19586" s="628" t="s">
        <v>35543</v>
      </c>
      <c r="B19586" s="629"/>
      <c r="C19586" s="629"/>
      <c r="D19586" s="629"/>
      <c r="E19586" s="629"/>
      <c r="F19586" s="629"/>
      <c r="G19586" s="629"/>
      <c r="H19586" s="629"/>
      <c r="I19586" s="629"/>
      <c r="J19586" s="629"/>
      <c r="K19586" s="629"/>
      <c r="L19586" s="629"/>
      <c r="M19586" s="629"/>
      <c r="N19586" s="629"/>
      <c r="O19586" s="629"/>
      <c r="P19586" s="629"/>
      <c r="Q19586" s="629"/>
      <c r="R19586" s="629"/>
    </row>
    <row r="19587" spans="1:18" ht="24">
      <c r="A19587" s="585">
        <v>36</v>
      </c>
      <c r="B19587" s="582" t="s">
        <v>35544</v>
      </c>
      <c r="C19587" s="586" t="s">
        <v>35545</v>
      </c>
      <c r="D19587" s="587">
        <v>807.79</v>
      </c>
      <c r="E19587" s="587">
        <v>778.9</v>
      </c>
      <c r="F19587" s="587">
        <v>5.52</v>
      </c>
      <c r="G19587" s="587">
        <v>23.37</v>
      </c>
      <c r="H19587" s="588">
        <v>9254.59</v>
      </c>
      <c r="I19587" s="588">
        <v>8957.2999999999993</v>
      </c>
      <c r="J19587" s="588">
        <v>28.53</v>
      </c>
      <c r="K19587" s="588">
        <v>268.76</v>
      </c>
      <c r="L19587" s="43">
        <v>11.456678097030169</v>
      </c>
      <c r="M19587" s="43">
        <v>11.499935806907176</v>
      </c>
      <c r="N19587" s="43">
        <v>5.1684782608695654</v>
      </c>
      <c r="O19587" s="43">
        <v>11.500213949507915</v>
      </c>
      <c r="P19587" s="589"/>
      <c r="Q19587" s="589"/>
      <c r="R19587" s="589">
        <v>6</v>
      </c>
    </row>
    <row r="19588" spans="1:18" ht="36">
      <c r="A19588" s="585">
        <v>37</v>
      </c>
      <c r="B19588" s="582" t="s">
        <v>35546</v>
      </c>
      <c r="C19588" s="586" t="s">
        <v>35547</v>
      </c>
      <c r="D19588" s="587">
        <v>827.59</v>
      </c>
      <c r="E19588" s="587">
        <v>798.13</v>
      </c>
      <c r="F19588" s="587">
        <v>5.52</v>
      </c>
      <c r="G19588" s="587">
        <v>23.94</v>
      </c>
      <c r="H19588" s="588">
        <v>9482.31</v>
      </c>
      <c r="I19588" s="588">
        <v>9178.4699999999993</v>
      </c>
      <c r="J19588" s="588">
        <v>28.53</v>
      </c>
      <c r="K19588" s="588">
        <v>275.31</v>
      </c>
      <c r="L19588" s="43">
        <v>11.457738735364128</v>
      </c>
      <c r="M19588" s="43">
        <v>11.499968676781977</v>
      </c>
      <c r="N19588" s="43">
        <v>5.1684782608695654</v>
      </c>
      <c r="O19588" s="43">
        <v>11.5</v>
      </c>
      <c r="P19588" s="589"/>
      <c r="Q19588" s="589"/>
      <c r="R19588" s="589">
        <v>6</v>
      </c>
    </row>
    <row r="19589" spans="1:18" ht="36">
      <c r="A19589" s="585">
        <v>38</v>
      </c>
      <c r="B19589" s="582" t="s">
        <v>35548</v>
      </c>
      <c r="C19589" s="586" t="s">
        <v>35549</v>
      </c>
      <c r="D19589" s="587">
        <v>878.22</v>
      </c>
      <c r="E19589" s="587">
        <v>847.28</v>
      </c>
      <c r="F19589" s="587">
        <v>5.52</v>
      </c>
      <c r="G19589" s="587">
        <v>25.42</v>
      </c>
      <c r="H19589" s="588">
        <v>10064.879999999999</v>
      </c>
      <c r="I19589" s="588">
        <v>9744.02</v>
      </c>
      <c r="J19589" s="588">
        <v>28.53</v>
      </c>
      <c r="K19589" s="588">
        <v>292.33</v>
      </c>
      <c r="L19589" s="43">
        <v>11.46054519368723</v>
      </c>
      <c r="M19589" s="43">
        <v>11.500354074213956</v>
      </c>
      <c r="N19589" s="43">
        <v>5.1684782608695654</v>
      </c>
      <c r="O19589" s="43">
        <v>11.499999999999998</v>
      </c>
      <c r="P19589" s="589"/>
      <c r="Q19589" s="589"/>
      <c r="R19589" s="589">
        <v>6</v>
      </c>
    </row>
    <row r="19590" spans="1:18" ht="36">
      <c r="A19590" s="585">
        <v>39</v>
      </c>
      <c r="B19590" s="582" t="s">
        <v>35550</v>
      </c>
      <c r="C19590" s="586" t="s">
        <v>35551</v>
      </c>
      <c r="D19590" s="587">
        <v>40.11</v>
      </c>
      <c r="E19590" s="587">
        <v>38.94</v>
      </c>
      <c r="F19590" s="587"/>
      <c r="G19590" s="587">
        <v>1.17</v>
      </c>
      <c r="H19590" s="588">
        <v>461.33</v>
      </c>
      <c r="I19590" s="588">
        <v>447.87</v>
      </c>
      <c r="J19590" s="588"/>
      <c r="K19590" s="588">
        <v>13.46</v>
      </c>
      <c r="L19590" s="43">
        <v>11.501620543505361</v>
      </c>
      <c r="M19590" s="43">
        <v>11.501540832049308</v>
      </c>
      <c r="N19590" s="43" t="s">
        <v>1690</v>
      </c>
      <c r="O19590" s="43">
        <v>11.504273504273506</v>
      </c>
      <c r="P19590" s="589"/>
      <c r="Q19590" s="589"/>
      <c r="R19590" s="589">
        <v>6</v>
      </c>
    </row>
    <row r="19591" spans="1:18" ht="12.75" customHeight="1">
      <c r="A19591" s="628" t="s">
        <v>35552</v>
      </c>
      <c r="B19591" s="629"/>
      <c r="C19591" s="629"/>
      <c r="D19591" s="629"/>
      <c r="E19591" s="629"/>
      <c r="F19591" s="629"/>
      <c r="G19591" s="629"/>
      <c r="H19591" s="629"/>
      <c r="I19591" s="629"/>
      <c r="J19591" s="629"/>
      <c r="K19591" s="629"/>
      <c r="L19591" s="629"/>
      <c r="M19591" s="629"/>
      <c r="N19591" s="629"/>
      <c r="O19591" s="629"/>
      <c r="P19591" s="629"/>
      <c r="Q19591" s="629"/>
      <c r="R19591" s="629"/>
    </row>
    <row r="19592" spans="1:18" ht="36">
      <c r="A19592" s="585">
        <v>40</v>
      </c>
      <c r="B19592" s="582" t="s">
        <v>35553</v>
      </c>
      <c r="C19592" s="586" t="s">
        <v>35554</v>
      </c>
      <c r="D19592" s="587">
        <v>2169.4</v>
      </c>
      <c r="E19592" s="587">
        <v>1608.39</v>
      </c>
      <c r="F19592" s="587">
        <v>512.76</v>
      </c>
      <c r="G19592" s="587">
        <v>48.25</v>
      </c>
      <c r="H19592" s="588">
        <v>21693.54</v>
      </c>
      <c r="I19592" s="588">
        <v>18496.490000000002</v>
      </c>
      <c r="J19592" s="588">
        <v>2642.17</v>
      </c>
      <c r="K19592" s="588">
        <v>554.88</v>
      </c>
      <c r="L19592" s="43">
        <v>9.9997879598045536</v>
      </c>
      <c r="M19592" s="43">
        <v>11.500003108698762</v>
      </c>
      <c r="N19592" s="43">
        <v>5.1528395350651381</v>
      </c>
      <c r="O19592" s="43">
        <v>11.500103626943005</v>
      </c>
      <c r="P19592" s="589"/>
      <c r="Q19592" s="589"/>
      <c r="R19592" s="589">
        <v>7</v>
      </c>
    </row>
    <row r="19593" spans="1:18" ht="36">
      <c r="A19593" s="585">
        <v>41</v>
      </c>
      <c r="B19593" s="582" t="s">
        <v>35555</v>
      </c>
      <c r="C19593" s="586" t="s">
        <v>35556</v>
      </c>
      <c r="D19593" s="587">
        <v>2266.5500000000002</v>
      </c>
      <c r="E19593" s="587">
        <v>1648.35</v>
      </c>
      <c r="F19593" s="587">
        <v>568.75</v>
      </c>
      <c r="G19593" s="587">
        <v>49.45</v>
      </c>
      <c r="H19593" s="588">
        <v>22464.21</v>
      </c>
      <c r="I19593" s="588">
        <v>18956.03</v>
      </c>
      <c r="J19593" s="588">
        <v>2939.5</v>
      </c>
      <c r="K19593" s="588">
        <v>568.67999999999995</v>
      </c>
      <c r="L19593" s="43">
        <v>9.9111910171847075</v>
      </c>
      <c r="M19593" s="43">
        <v>11.500003033336366</v>
      </c>
      <c r="N19593" s="43">
        <v>5.1683516483516483</v>
      </c>
      <c r="O19593" s="43">
        <v>11.500101112234578</v>
      </c>
      <c r="P19593" s="589"/>
      <c r="Q19593" s="589"/>
      <c r="R19593" s="589">
        <v>7</v>
      </c>
    </row>
    <row r="19594" spans="1:18" ht="36">
      <c r="A19594" s="585">
        <v>42</v>
      </c>
      <c r="B19594" s="582" t="s">
        <v>35557</v>
      </c>
      <c r="C19594" s="586" t="s">
        <v>35558</v>
      </c>
      <c r="D19594" s="587">
        <v>2159.11</v>
      </c>
      <c r="E19594" s="587">
        <v>1598.4</v>
      </c>
      <c r="F19594" s="587">
        <v>512.76</v>
      </c>
      <c r="G19594" s="587">
        <v>47.95</v>
      </c>
      <c r="H19594" s="588">
        <v>21575.200000000001</v>
      </c>
      <c r="I19594" s="588">
        <v>18381.599999999999</v>
      </c>
      <c r="J19594" s="588">
        <v>2642.17</v>
      </c>
      <c r="K19594" s="588">
        <v>551.42999999999995</v>
      </c>
      <c r="L19594" s="43">
        <v>9.992635854588233</v>
      </c>
      <c r="M19594" s="43">
        <v>11.499999999999998</v>
      </c>
      <c r="N19594" s="43">
        <v>5.1528395350651381</v>
      </c>
      <c r="O19594" s="43">
        <v>11.500104275286755</v>
      </c>
      <c r="P19594" s="589"/>
      <c r="Q19594" s="589"/>
      <c r="R19594" s="589">
        <v>7</v>
      </c>
    </row>
    <row r="19595" spans="1:18" ht="36">
      <c r="A19595" s="585">
        <v>43</v>
      </c>
      <c r="B19595" s="582" t="s">
        <v>35559</v>
      </c>
      <c r="C19595" s="586" t="s">
        <v>35560</v>
      </c>
      <c r="D19595" s="587">
        <v>2256.2600000000002</v>
      </c>
      <c r="E19595" s="587">
        <v>1638.36</v>
      </c>
      <c r="F19595" s="587">
        <v>568.75</v>
      </c>
      <c r="G19595" s="587">
        <v>49.15</v>
      </c>
      <c r="H19595" s="588">
        <v>22345.87</v>
      </c>
      <c r="I19595" s="588">
        <v>18841.14</v>
      </c>
      <c r="J19595" s="588">
        <v>2939.5</v>
      </c>
      <c r="K19595" s="588">
        <v>565.23</v>
      </c>
      <c r="L19595" s="43">
        <v>9.9039428080097132</v>
      </c>
      <c r="M19595" s="43">
        <v>11.5</v>
      </c>
      <c r="N19595" s="43">
        <v>5.1683516483516483</v>
      </c>
      <c r="O19595" s="43">
        <v>11.500101729399796</v>
      </c>
      <c r="P19595" s="589"/>
      <c r="Q19595" s="589"/>
      <c r="R19595" s="589">
        <v>7</v>
      </c>
    </row>
    <row r="19596" spans="1:18" ht="36">
      <c r="A19596" s="585">
        <v>44</v>
      </c>
      <c r="B19596" s="582" t="s">
        <v>35561</v>
      </c>
      <c r="C19596" s="586" t="s">
        <v>35562</v>
      </c>
      <c r="D19596" s="587">
        <v>2193.0100000000002</v>
      </c>
      <c r="E19596" s="587">
        <v>1628.37</v>
      </c>
      <c r="F19596" s="587">
        <v>515.79</v>
      </c>
      <c r="G19596" s="587">
        <v>48.85</v>
      </c>
      <c r="H19596" s="588">
        <v>21945.83</v>
      </c>
      <c r="I19596" s="588">
        <v>18726.259999999998</v>
      </c>
      <c r="J19596" s="588">
        <v>2657.79</v>
      </c>
      <c r="K19596" s="588">
        <v>561.78</v>
      </c>
      <c r="L19596" s="43">
        <v>10.007172789909758</v>
      </c>
      <c r="M19596" s="43">
        <v>11.500003070555218</v>
      </c>
      <c r="N19596" s="43">
        <v>5.1528529052521375</v>
      </c>
      <c r="O19596" s="43">
        <v>11.500102354145342</v>
      </c>
      <c r="P19596" s="589"/>
      <c r="Q19596" s="589"/>
      <c r="R19596" s="589">
        <v>7</v>
      </c>
    </row>
    <row r="19597" spans="1:18" ht="36">
      <c r="A19597" s="585">
        <v>45</v>
      </c>
      <c r="B19597" s="582" t="s">
        <v>35563</v>
      </c>
      <c r="C19597" s="586" t="s">
        <v>35564</v>
      </c>
      <c r="D19597" s="587">
        <v>84.06</v>
      </c>
      <c r="E19597" s="587">
        <v>80.760000000000005</v>
      </c>
      <c r="F19597" s="587">
        <v>0.88</v>
      </c>
      <c r="G19597" s="587">
        <v>2.42</v>
      </c>
      <c r="H19597" s="588">
        <v>961.16</v>
      </c>
      <c r="I19597" s="588">
        <v>928.72</v>
      </c>
      <c r="J19597" s="588">
        <v>4.6100000000000003</v>
      </c>
      <c r="K19597" s="588">
        <v>27.83</v>
      </c>
      <c r="L19597" s="43">
        <v>11.434213656911728</v>
      </c>
      <c r="M19597" s="43">
        <v>11.499752352649827</v>
      </c>
      <c r="N19597" s="43">
        <v>5.2386363636363642</v>
      </c>
      <c r="O19597" s="43">
        <v>11.5</v>
      </c>
      <c r="P19597" s="589"/>
      <c r="Q19597" s="589"/>
      <c r="R19597" s="589">
        <v>7</v>
      </c>
    </row>
    <row r="19598" spans="1:18" ht="12.75" customHeight="1">
      <c r="A19598" s="628" t="s">
        <v>35565</v>
      </c>
      <c r="B19598" s="629"/>
      <c r="C19598" s="629"/>
      <c r="D19598" s="629"/>
      <c r="E19598" s="629"/>
      <c r="F19598" s="629"/>
      <c r="G19598" s="629"/>
      <c r="H19598" s="629"/>
      <c r="I19598" s="629"/>
      <c r="J19598" s="629"/>
      <c r="K19598" s="629"/>
      <c r="L19598" s="629"/>
      <c r="M19598" s="629"/>
      <c r="N19598" s="629"/>
      <c r="O19598" s="629"/>
      <c r="P19598" s="629"/>
      <c r="Q19598" s="629"/>
      <c r="R19598" s="629"/>
    </row>
    <row r="19599" spans="1:18" ht="24">
      <c r="A19599" s="585">
        <v>46</v>
      </c>
      <c r="B19599" s="582" t="s">
        <v>35566</v>
      </c>
      <c r="C19599" s="586" t="s">
        <v>35567</v>
      </c>
      <c r="D19599" s="587">
        <v>43.7</v>
      </c>
      <c r="E19599" s="587">
        <v>42.43</v>
      </c>
      <c r="F19599" s="587"/>
      <c r="G19599" s="587">
        <v>1.27</v>
      </c>
      <c r="H19599" s="588">
        <v>502.54</v>
      </c>
      <c r="I19599" s="588">
        <v>487.93</v>
      </c>
      <c r="J19599" s="588"/>
      <c r="K19599" s="588">
        <v>14.61</v>
      </c>
      <c r="L19599" s="43">
        <v>11.499771167048054</v>
      </c>
      <c r="M19599" s="43">
        <v>11.499646476549611</v>
      </c>
      <c r="N19599" s="43" t="s">
        <v>1690</v>
      </c>
      <c r="O19599" s="43">
        <v>11.503937007874015</v>
      </c>
      <c r="P19599" s="589"/>
      <c r="Q19599" s="589"/>
      <c r="R19599" s="589">
        <v>8</v>
      </c>
    </row>
    <row r="19600" spans="1:18" ht="24">
      <c r="A19600" s="585">
        <v>47</v>
      </c>
      <c r="B19600" s="582" t="s">
        <v>35568</v>
      </c>
      <c r="C19600" s="586" t="s">
        <v>35569</v>
      </c>
      <c r="D19600" s="587">
        <v>54.82</v>
      </c>
      <c r="E19600" s="587">
        <v>53.22</v>
      </c>
      <c r="F19600" s="587"/>
      <c r="G19600" s="587">
        <v>1.6</v>
      </c>
      <c r="H19600" s="588">
        <v>630.4</v>
      </c>
      <c r="I19600" s="588">
        <v>612</v>
      </c>
      <c r="J19600" s="588"/>
      <c r="K19600" s="588">
        <v>18.399999999999999</v>
      </c>
      <c r="L19600" s="43">
        <v>11.499452754469171</v>
      </c>
      <c r="M19600" s="43">
        <v>11.499436302142053</v>
      </c>
      <c r="N19600" s="43" t="s">
        <v>1690</v>
      </c>
      <c r="O19600" s="43">
        <v>11.499999999999998</v>
      </c>
      <c r="P19600" s="589"/>
      <c r="Q19600" s="589"/>
      <c r="R19600" s="589">
        <v>8</v>
      </c>
    </row>
    <row r="19601" spans="1:18" ht="24">
      <c r="A19601" s="585">
        <v>48</v>
      </c>
      <c r="B19601" s="582" t="s">
        <v>35570</v>
      </c>
      <c r="C19601" s="586" t="s">
        <v>35571</v>
      </c>
      <c r="D19601" s="587">
        <v>49.46</v>
      </c>
      <c r="E19601" s="587">
        <v>48.02</v>
      </c>
      <c r="F19601" s="587"/>
      <c r="G19601" s="587">
        <v>1.44</v>
      </c>
      <c r="H19601" s="588">
        <v>568.79999999999995</v>
      </c>
      <c r="I19601" s="588">
        <v>552.24</v>
      </c>
      <c r="J19601" s="588"/>
      <c r="K19601" s="588">
        <v>16.559999999999999</v>
      </c>
      <c r="L19601" s="43">
        <v>11.500202183582692</v>
      </c>
      <c r="M19601" s="43">
        <v>11.500208246563931</v>
      </c>
      <c r="N19601" s="43" t="s">
        <v>1690</v>
      </c>
      <c r="O19601" s="43">
        <v>11.5</v>
      </c>
      <c r="P19601" s="589"/>
      <c r="Q19601" s="589"/>
      <c r="R19601" s="589">
        <v>8</v>
      </c>
    </row>
    <row r="19602" spans="1:18" ht="24">
      <c r="A19602" s="585">
        <v>49</v>
      </c>
      <c r="B19602" s="582" t="s">
        <v>35572</v>
      </c>
      <c r="C19602" s="586" t="s">
        <v>35573</v>
      </c>
      <c r="D19602" s="587">
        <v>61.24</v>
      </c>
      <c r="E19602" s="587">
        <v>59.46</v>
      </c>
      <c r="F19602" s="587"/>
      <c r="G19602" s="587">
        <v>1.78</v>
      </c>
      <c r="H19602" s="588">
        <v>704.26</v>
      </c>
      <c r="I19602" s="588">
        <v>683.79</v>
      </c>
      <c r="J19602" s="588"/>
      <c r="K19602" s="588">
        <v>20.47</v>
      </c>
      <c r="L19602" s="43">
        <v>11.5</v>
      </c>
      <c r="M19602" s="43">
        <v>11.5</v>
      </c>
      <c r="N19602" s="43" t="s">
        <v>1690</v>
      </c>
      <c r="O19602" s="43">
        <v>11.5</v>
      </c>
      <c r="P19602" s="589"/>
      <c r="Q19602" s="589"/>
      <c r="R19602" s="589">
        <v>8</v>
      </c>
    </row>
    <row r="19603" spans="1:18" ht="24">
      <c r="A19603" s="585">
        <v>50</v>
      </c>
      <c r="B19603" s="582" t="s">
        <v>35574</v>
      </c>
      <c r="C19603" s="586" t="s">
        <v>35575</v>
      </c>
      <c r="D19603" s="587">
        <v>39.229999999999997</v>
      </c>
      <c r="E19603" s="587">
        <v>38.090000000000003</v>
      </c>
      <c r="F19603" s="587"/>
      <c r="G19603" s="587">
        <v>1.1399999999999999</v>
      </c>
      <c r="H19603" s="588">
        <v>451.12</v>
      </c>
      <c r="I19603" s="588">
        <v>438.01</v>
      </c>
      <c r="J19603" s="588"/>
      <c r="K19603" s="588">
        <v>13.11</v>
      </c>
      <c r="L19603" s="43">
        <v>11.4993627326026</v>
      </c>
      <c r="M19603" s="43">
        <v>11.499343659753215</v>
      </c>
      <c r="N19603" s="43" t="s">
        <v>1690</v>
      </c>
      <c r="O19603" s="43">
        <v>11.5</v>
      </c>
      <c r="P19603" s="589"/>
      <c r="Q19603" s="589"/>
      <c r="R19603" s="589">
        <v>8</v>
      </c>
    </row>
    <row r="19604" spans="1:18" ht="24">
      <c r="A19604" s="585">
        <v>51</v>
      </c>
      <c r="B19604" s="582" t="s">
        <v>35576</v>
      </c>
      <c r="C19604" s="586" t="s">
        <v>35577</v>
      </c>
      <c r="D19604" s="587">
        <v>50.63</v>
      </c>
      <c r="E19604" s="587">
        <v>49.16</v>
      </c>
      <c r="F19604" s="587"/>
      <c r="G19604" s="587">
        <v>1.47</v>
      </c>
      <c r="H19604" s="588">
        <v>582.26</v>
      </c>
      <c r="I19604" s="588">
        <v>565.35</v>
      </c>
      <c r="J19604" s="588"/>
      <c r="K19604" s="588">
        <v>16.91</v>
      </c>
      <c r="L19604" s="43">
        <v>11.500296267035354</v>
      </c>
      <c r="M19604" s="43">
        <v>11.500203417412532</v>
      </c>
      <c r="N19604" s="43" t="s">
        <v>1690</v>
      </c>
      <c r="O19604" s="43">
        <v>11.503401360544219</v>
      </c>
      <c r="P19604" s="589"/>
      <c r="Q19604" s="589"/>
      <c r="R19604" s="589">
        <v>8</v>
      </c>
    </row>
    <row r="19605" spans="1:18" ht="12.75" customHeight="1">
      <c r="A19605" s="628" t="s">
        <v>35578</v>
      </c>
      <c r="B19605" s="629"/>
      <c r="C19605" s="629"/>
      <c r="D19605" s="629"/>
      <c r="E19605" s="629"/>
      <c r="F19605" s="629"/>
      <c r="G19605" s="629"/>
      <c r="H19605" s="629"/>
      <c r="I19605" s="629"/>
      <c r="J19605" s="629"/>
      <c r="K19605" s="629"/>
      <c r="L19605" s="629"/>
      <c r="M19605" s="629"/>
      <c r="N19605" s="629"/>
      <c r="O19605" s="629"/>
      <c r="P19605" s="629"/>
      <c r="Q19605" s="629"/>
      <c r="R19605" s="629"/>
    </row>
    <row r="19606" spans="1:18" ht="24">
      <c r="A19606" s="585">
        <v>52</v>
      </c>
      <c r="B19606" s="582" t="s">
        <v>35579</v>
      </c>
      <c r="C19606" s="586" t="s">
        <v>35580</v>
      </c>
      <c r="D19606" s="587">
        <v>310.87</v>
      </c>
      <c r="E19606" s="587">
        <v>301.82</v>
      </c>
      <c r="F19606" s="587"/>
      <c r="G19606" s="587">
        <v>9.0500000000000007</v>
      </c>
      <c r="H19606" s="588">
        <v>3575.04</v>
      </c>
      <c r="I19606" s="588">
        <v>3470.96</v>
      </c>
      <c r="J19606" s="588"/>
      <c r="K19606" s="588">
        <v>104.08</v>
      </c>
      <c r="L19606" s="43">
        <v>11.500112587255122</v>
      </c>
      <c r="M19606" s="43">
        <v>11.500099396991585</v>
      </c>
      <c r="N19606" s="43" t="s">
        <v>1690</v>
      </c>
      <c r="O19606" s="43">
        <v>11.500552486187845</v>
      </c>
      <c r="P19606" s="589"/>
      <c r="Q19606" s="589"/>
      <c r="R19606" s="589">
        <v>9</v>
      </c>
    </row>
    <row r="19607" spans="1:18" ht="24">
      <c r="A19607" s="585">
        <v>53</v>
      </c>
      <c r="B19607" s="582" t="s">
        <v>35581</v>
      </c>
      <c r="C19607" s="586" t="s">
        <v>35582</v>
      </c>
      <c r="D19607" s="587">
        <v>192.32</v>
      </c>
      <c r="E19607" s="587">
        <v>186.72</v>
      </c>
      <c r="F19607" s="587"/>
      <c r="G19607" s="587">
        <v>5.6</v>
      </c>
      <c r="H19607" s="588">
        <v>2211.7600000000002</v>
      </c>
      <c r="I19607" s="588">
        <v>2147.36</v>
      </c>
      <c r="J19607" s="588"/>
      <c r="K19607" s="588">
        <v>64.400000000000006</v>
      </c>
      <c r="L19607" s="43">
        <v>11.500415973377706</v>
      </c>
      <c r="M19607" s="43">
        <v>11.500428449014567</v>
      </c>
      <c r="N19607" s="43" t="s">
        <v>1690</v>
      </c>
      <c r="O19607" s="43">
        <v>11.500000000000002</v>
      </c>
      <c r="P19607" s="589"/>
      <c r="Q19607" s="589"/>
      <c r="R19607" s="589">
        <v>9</v>
      </c>
    </row>
    <row r="19608" spans="1:18" ht="24">
      <c r="A19608" s="585">
        <v>54</v>
      </c>
      <c r="B19608" s="582" t="s">
        <v>35583</v>
      </c>
      <c r="C19608" s="586" t="s">
        <v>35584</v>
      </c>
      <c r="D19608" s="587">
        <v>104.22</v>
      </c>
      <c r="E19608" s="587">
        <v>98.61</v>
      </c>
      <c r="F19608" s="587">
        <v>2.65</v>
      </c>
      <c r="G19608" s="587">
        <v>2.96</v>
      </c>
      <c r="H19608" s="588">
        <v>1181.73</v>
      </c>
      <c r="I19608" s="588">
        <v>1134.07</v>
      </c>
      <c r="J19608" s="588">
        <v>13.62</v>
      </c>
      <c r="K19608" s="588">
        <v>34.04</v>
      </c>
      <c r="L19608" s="43">
        <v>11.338802533103051</v>
      </c>
      <c r="M19608" s="43">
        <v>11.500557752763411</v>
      </c>
      <c r="N19608" s="43">
        <v>5.1396226415094342</v>
      </c>
      <c r="O19608" s="43">
        <v>11.5</v>
      </c>
      <c r="P19608" s="589"/>
      <c r="Q19608" s="589"/>
      <c r="R19608" s="589">
        <v>9</v>
      </c>
    </row>
    <row r="19609" spans="1:18" ht="24">
      <c r="A19609" s="585">
        <v>55</v>
      </c>
      <c r="B19609" s="582" t="s">
        <v>35585</v>
      </c>
      <c r="C19609" s="586" t="s">
        <v>35586</v>
      </c>
      <c r="D19609" s="587">
        <v>138.44999999999999</v>
      </c>
      <c r="E19609" s="587">
        <v>134.41999999999999</v>
      </c>
      <c r="F19609" s="587"/>
      <c r="G19609" s="587">
        <v>4.03</v>
      </c>
      <c r="H19609" s="588">
        <v>1592.13</v>
      </c>
      <c r="I19609" s="588">
        <v>1545.78</v>
      </c>
      <c r="J19609" s="588"/>
      <c r="K19609" s="588">
        <v>46.35</v>
      </c>
      <c r="L19609" s="43">
        <v>11.499674972914411</v>
      </c>
      <c r="M19609" s="43">
        <v>11.499628031542926</v>
      </c>
      <c r="N19609" s="43" t="s">
        <v>1690</v>
      </c>
      <c r="O19609" s="43">
        <v>11.501240694789082</v>
      </c>
      <c r="P19609" s="589"/>
      <c r="Q19609" s="589"/>
      <c r="R19609" s="589">
        <v>9</v>
      </c>
    </row>
    <row r="19610" spans="1:18" ht="24">
      <c r="A19610" s="585">
        <v>56</v>
      </c>
      <c r="B19610" s="582" t="s">
        <v>35587</v>
      </c>
      <c r="C19610" s="586" t="s">
        <v>35588</v>
      </c>
      <c r="D19610" s="587">
        <v>86.97</v>
      </c>
      <c r="E19610" s="587">
        <v>84.44</v>
      </c>
      <c r="F19610" s="587"/>
      <c r="G19610" s="587">
        <v>2.5299999999999998</v>
      </c>
      <c r="H19610" s="588">
        <v>1000.2</v>
      </c>
      <c r="I19610" s="588">
        <v>971.1</v>
      </c>
      <c r="J19610" s="588"/>
      <c r="K19610" s="588">
        <v>29.1</v>
      </c>
      <c r="L19610" s="43">
        <v>11.500517419799932</v>
      </c>
      <c r="M19610" s="43">
        <v>11.500473709142588</v>
      </c>
      <c r="N19610" s="43" t="s">
        <v>1690</v>
      </c>
      <c r="O19610" s="43">
        <v>11.501976284584982</v>
      </c>
      <c r="P19610" s="589"/>
      <c r="Q19610" s="589"/>
      <c r="R19610" s="589">
        <v>9</v>
      </c>
    </row>
    <row r="19611" spans="1:18" ht="12.75" customHeight="1">
      <c r="A19611" s="628" t="s">
        <v>35589</v>
      </c>
      <c r="B19611" s="629"/>
      <c r="C19611" s="629"/>
      <c r="D19611" s="629"/>
      <c r="E19611" s="629"/>
      <c r="F19611" s="629"/>
      <c r="G19611" s="629"/>
      <c r="H19611" s="629"/>
      <c r="I19611" s="629"/>
      <c r="J19611" s="629"/>
      <c r="K19611" s="629"/>
      <c r="L19611" s="629"/>
      <c r="M19611" s="629"/>
      <c r="N19611" s="629"/>
      <c r="O19611" s="629"/>
      <c r="P19611" s="629"/>
      <c r="Q19611" s="629"/>
      <c r="R19611" s="629"/>
    </row>
    <row r="19612" spans="1:18" ht="24">
      <c r="A19612" s="585">
        <v>57</v>
      </c>
      <c r="B19612" s="582" t="s">
        <v>35590</v>
      </c>
      <c r="C19612" s="586" t="s">
        <v>35591</v>
      </c>
      <c r="D19612" s="587">
        <v>50.91</v>
      </c>
      <c r="E19612" s="587">
        <v>49.43</v>
      </c>
      <c r="F19612" s="587"/>
      <c r="G19612" s="587">
        <v>1.48</v>
      </c>
      <c r="H19612" s="588">
        <v>585.47</v>
      </c>
      <c r="I19612" s="588">
        <v>568.45000000000005</v>
      </c>
      <c r="J19612" s="588"/>
      <c r="K19612" s="588">
        <v>17.02</v>
      </c>
      <c r="L19612" s="43">
        <v>11.50009821253192</v>
      </c>
      <c r="M19612" s="43">
        <v>11.500101153145863</v>
      </c>
      <c r="N19612" s="43" t="s">
        <v>1690</v>
      </c>
      <c r="O19612" s="43">
        <v>11.5</v>
      </c>
      <c r="P19612" s="589"/>
      <c r="Q19612" s="589"/>
      <c r="R19612" s="589">
        <v>10</v>
      </c>
    </row>
    <row r="19613" spans="1:18" ht="24">
      <c r="A19613" s="585">
        <v>58</v>
      </c>
      <c r="B19613" s="582" t="s">
        <v>35592</v>
      </c>
      <c r="C19613" s="586" t="s">
        <v>35593</v>
      </c>
      <c r="D19613" s="587">
        <v>58.23</v>
      </c>
      <c r="E19613" s="587">
        <v>56.53</v>
      </c>
      <c r="F19613" s="587"/>
      <c r="G19613" s="587">
        <v>1.7</v>
      </c>
      <c r="H19613" s="588">
        <v>669.72</v>
      </c>
      <c r="I19613" s="588">
        <v>650.16999999999996</v>
      </c>
      <c r="J19613" s="588"/>
      <c r="K19613" s="588">
        <v>19.55</v>
      </c>
      <c r="L19613" s="43">
        <v>11.501287995878414</v>
      </c>
      <c r="M19613" s="43">
        <v>11.501326729170351</v>
      </c>
      <c r="N19613" s="43" t="s">
        <v>1690</v>
      </c>
      <c r="O19613" s="43">
        <v>11.5</v>
      </c>
      <c r="P19613" s="589"/>
      <c r="Q19613" s="589"/>
      <c r="R19613" s="589">
        <v>10</v>
      </c>
    </row>
    <row r="19614" spans="1:18" ht="24">
      <c r="A19614" s="585">
        <v>59</v>
      </c>
      <c r="B19614" s="582" t="s">
        <v>35594</v>
      </c>
      <c r="C19614" s="586" t="s">
        <v>35595</v>
      </c>
      <c r="D19614" s="587">
        <v>58.35</v>
      </c>
      <c r="E19614" s="587">
        <v>56.65</v>
      </c>
      <c r="F19614" s="587"/>
      <c r="G19614" s="587">
        <v>1.7</v>
      </c>
      <c r="H19614" s="588">
        <v>671.02</v>
      </c>
      <c r="I19614" s="588">
        <v>651.47</v>
      </c>
      <c r="J19614" s="588"/>
      <c r="K19614" s="588">
        <v>19.55</v>
      </c>
      <c r="L19614" s="43">
        <v>11.499914310197086</v>
      </c>
      <c r="M19614" s="43">
        <v>11.499911738746691</v>
      </c>
      <c r="N19614" s="43" t="s">
        <v>1690</v>
      </c>
      <c r="O19614" s="43">
        <v>11.5</v>
      </c>
      <c r="P19614" s="589"/>
      <c r="Q19614" s="589"/>
      <c r="R19614" s="589">
        <v>10</v>
      </c>
    </row>
    <row r="19615" spans="1:18" ht="24">
      <c r="A19615" s="585">
        <v>60</v>
      </c>
      <c r="B19615" s="582" t="s">
        <v>35596</v>
      </c>
      <c r="C19615" s="586" t="s">
        <v>35597</v>
      </c>
      <c r="D19615" s="587">
        <v>67.38</v>
      </c>
      <c r="E19615" s="587">
        <v>65.42</v>
      </c>
      <c r="F19615" s="587"/>
      <c r="G19615" s="587">
        <v>1.96</v>
      </c>
      <c r="H19615" s="588">
        <v>774.83</v>
      </c>
      <c r="I19615" s="588">
        <v>752.29</v>
      </c>
      <c r="J19615" s="588"/>
      <c r="K19615" s="588">
        <v>22.54</v>
      </c>
      <c r="L19615" s="43">
        <v>11.499406352033246</v>
      </c>
      <c r="M19615" s="43">
        <v>11.49938856618771</v>
      </c>
      <c r="N19615" s="43" t="s">
        <v>1690</v>
      </c>
      <c r="O19615" s="43">
        <v>11.5</v>
      </c>
      <c r="P19615" s="589"/>
      <c r="Q19615" s="589"/>
      <c r="R19615" s="589">
        <v>10</v>
      </c>
    </row>
    <row r="19616" spans="1:18" ht="24">
      <c r="A19616" s="585">
        <v>61</v>
      </c>
      <c r="B19616" s="582" t="s">
        <v>35598</v>
      </c>
      <c r="C19616" s="586" t="s">
        <v>35599</v>
      </c>
      <c r="D19616" s="587">
        <v>37.270000000000003</v>
      </c>
      <c r="E19616" s="587">
        <v>36.18</v>
      </c>
      <c r="F19616" s="587"/>
      <c r="G19616" s="587">
        <v>1.0900000000000001</v>
      </c>
      <c r="H19616" s="588">
        <v>428.65</v>
      </c>
      <c r="I19616" s="588">
        <v>416.11</v>
      </c>
      <c r="J19616" s="588"/>
      <c r="K19616" s="588">
        <v>12.54</v>
      </c>
      <c r="L19616" s="43">
        <v>11.501207405419906</v>
      </c>
      <c r="M19616" s="43">
        <v>11.501105583195136</v>
      </c>
      <c r="N19616" s="43" t="s">
        <v>1690</v>
      </c>
      <c r="O19616" s="43">
        <v>11.504587155963302</v>
      </c>
      <c r="P19616" s="589"/>
      <c r="Q19616" s="589"/>
      <c r="R19616" s="589">
        <v>10</v>
      </c>
    </row>
    <row r="19617" spans="1:18" ht="24">
      <c r="A19617" s="585">
        <v>62</v>
      </c>
      <c r="B19617" s="582" t="s">
        <v>35600</v>
      </c>
      <c r="C19617" s="586" t="s">
        <v>35601</v>
      </c>
      <c r="D19617" s="587">
        <v>48.65</v>
      </c>
      <c r="E19617" s="587">
        <v>47.23</v>
      </c>
      <c r="F19617" s="587"/>
      <c r="G19617" s="587">
        <v>1.42</v>
      </c>
      <c r="H19617" s="588">
        <v>559.51</v>
      </c>
      <c r="I19617" s="588">
        <v>543.17999999999995</v>
      </c>
      <c r="J19617" s="588"/>
      <c r="K19617" s="588">
        <v>16.329999999999998</v>
      </c>
      <c r="L19617" s="43">
        <v>11.500719424460431</v>
      </c>
      <c r="M19617" s="43">
        <v>11.500741054414567</v>
      </c>
      <c r="N19617" s="43" t="s">
        <v>1690</v>
      </c>
      <c r="O19617" s="43">
        <v>11.5</v>
      </c>
      <c r="P19617" s="589"/>
      <c r="Q19617" s="589"/>
      <c r="R19617" s="589">
        <v>10</v>
      </c>
    </row>
    <row r="19618" spans="1:18" ht="24">
      <c r="A19618" s="585">
        <v>63</v>
      </c>
      <c r="B19618" s="582" t="s">
        <v>35602</v>
      </c>
      <c r="C19618" s="586" t="s">
        <v>35603</v>
      </c>
      <c r="D19618" s="587">
        <v>39.450000000000003</v>
      </c>
      <c r="E19618" s="587">
        <v>38.299999999999997</v>
      </c>
      <c r="F19618" s="587"/>
      <c r="G19618" s="587">
        <v>1.1499999999999999</v>
      </c>
      <c r="H19618" s="588">
        <v>453.68</v>
      </c>
      <c r="I19618" s="588">
        <v>440.45</v>
      </c>
      <c r="J19618" s="588"/>
      <c r="K19618" s="588">
        <v>13.23</v>
      </c>
      <c r="L19618" s="43">
        <v>11.500126742712293</v>
      </c>
      <c r="M19618" s="43">
        <v>11.5</v>
      </c>
      <c r="N19618" s="43" t="s">
        <v>1690</v>
      </c>
      <c r="O19618" s="43">
        <v>11.504347826086958</v>
      </c>
      <c r="P19618" s="589"/>
      <c r="Q19618" s="589"/>
      <c r="R19618" s="589">
        <v>10</v>
      </c>
    </row>
    <row r="19619" spans="1:18" ht="24">
      <c r="A19619" s="585">
        <v>64</v>
      </c>
      <c r="B19619" s="582" t="s">
        <v>35604</v>
      </c>
      <c r="C19619" s="586" t="s">
        <v>35605</v>
      </c>
      <c r="D19619" s="587">
        <v>50.85</v>
      </c>
      <c r="E19619" s="587">
        <v>49.37</v>
      </c>
      <c r="F19619" s="587"/>
      <c r="G19619" s="587">
        <v>1.48</v>
      </c>
      <c r="H19619" s="588">
        <v>584.83000000000004</v>
      </c>
      <c r="I19619" s="588">
        <v>567.80999999999995</v>
      </c>
      <c r="J19619" s="588"/>
      <c r="K19619" s="588">
        <v>17.02</v>
      </c>
      <c r="L19619" s="43">
        <v>11.501081612586038</v>
      </c>
      <c r="M19619" s="43">
        <v>11.501114036864491</v>
      </c>
      <c r="N19619" s="43" t="s">
        <v>1690</v>
      </c>
      <c r="O19619" s="43">
        <v>11.5</v>
      </c>
      <c r="P19619" s="589"/>
      <c r="Q19619" s="589"/>
      <c r="R19619" s="589">
        <v>10</v>
      </c>
    </row>
    <row r="19620" spans="1:18" ht="36">
      <c r="A19620" s="585">
        <v>65</v>
      </c>
      <c r="B19620" s="582" t="s">
        <v>35606</v>
      </c>
      <c r="C19620" s="586" t="s">
        <v>35607</v>
      </c>
      <c r="D19620" s="587">
        <v>59.74</v>
      </c>
      <c r="E19620" s="587">
        <v>58</v>
      </c>
      <c r="F19620" s="587"/>
      <c r="G19620" s="587">
        <v>1.74</v>
      </c>
      <c r="H19620" s="588">
        <v>687.01</v>
      </c>
      <c r="I19620" s="588">
        <v>667</v>
      </c>
      <c r="J19620" s="588"/>
      <c r="K19620" s="588">
        <v>20.010000000000002</v>
      </c>
      <c r="L19620" s="43">
        <v>11.5</v>
      </c>
      <c r="M19620" s="43">
        <v>11.5</v>
      </c>
      <c r="N19620" s="43" t="s">
        <v>1690</v>
      </c>
      <c r="O19620" s="43">
        <v>11.500000000000002</v>
      </c>
      <c r="P19620" s="589"/>
      <c r="Q19620" s="589"/>
      <c r="R19620" s="589">
        <v>10</v>
      </c>
    </row>
    <row r="19621" spans="1:18" ht="36">
      <c r="A19621" s="585">
        <v>66</v>
      </c>
      <c r="B19621" s="582" t="s">
        <v>35608</v>
      </c>
      <c r="C19621" s="586" t="s">
        <v>35609</v>
      </c>
      <c r="D19621" s="587">
        <v>52.42</v>
      </c>
      <c r="E19621" s="587">
        <v>50.89</v>
      </c>
      <c r="F19621" s="587"/>
      <c r="G19621" s="587">
        <v>1.53</v>
      </c>
      <c r="H19621" s="588">
        <v>602.88</v>
      </c>
      <c r="I19621" s="588">
        <v>585.28</v>
      </c>
      <c r="J19621" s="588"/>
      <c r="K19621" s="588">
        <v>17.600000000000001</v>
      </c>
      <c r="L19621" s="43">
        <v>11.500953834414345</v>
      </c>
      <c r="M19621" s="43">
        <v>11.500884260168991</v>
      </c>
      <c r="N19621" s="43" t="s">
        <v>1690</v>
      </c>
      <c r="O19621" s="43">
        <v>11.503267973856209</v>
      </c>
      <c r="P19621" s="589"/>
      <c r="Q19621" s="589"/>
      <c r="R19621" s="589">
        <v>10</v>
      </c>
    </row>
    <row r="19622" spans="1:18" ht="36">
      <c r="A19622" s="585">
        <v>67</v>
      </c>
      <c r="B19622" s="582" t="s">
        <v>35610</v>
      </c>
      <c r="C19622" s="586" t="s">
        <v>35611</v>
      </c>
      <c r="D19622" s="587">
        <v>63.86</v>
      </c>
      <c r="E19622" s="587">
        <v>62</v>
      </c>
      <c r="F19622" s="587"/>
      <c r="G19622" s="587">
        <v>1.86</v>
      </c>
      <c r="H19622" s="588">
        <v>734.38</v>
      </c>
      <c r="I19622" s="588">
        <v>712.99</v>
      </c>
      <c r="J19622" s="588"/>
      <c r="K19622" s="588">
        <v>21.39</v>
      </c>
      <c r="L19622" s="43">
        <v>11.499843407453806</v>
      </c>
      <c r="M19622" s="43">
        <v>11.49983870967742</v>
      </c>
      <c r="N19622" s="43" t="s">
        <v>1690</v>
      </c>
      <c r="O19622" s="43">
        <v>11.5</v>
      </c>
      <c r="P19622" s="589"/>
      <c r="Q19622" s="589"/>
      <c r="R19622" s="589">
        <v>10</v>
      </c>
    </row>
    <row r="19623" spans="1:18" ht="24">
      <c r="A19623" s="585">
        <v>68</v>
      </c>
      <c r="B19623" s="582" t="s">
        <v>35612</v>
      </c>
      <c r="C19623" s="586" t="s">
        <v>35613</v>
      </c>
      <c r="D19623" s="587">
        <v>42.84</v>
      </c>
      <c r="E19623" s="587">
        <v>41.59</v>
      </c>
      <c r="F19623" s="587"/>
      <c r="G19623" s="587">
        <v>1.25</v>
      </c>
      <c r="H19623" s="588">
        <v>492.7</v>
      </c>
      <c r="I19623" s="588">
        <v>478.32</v>
      </c>
      <c r="J19623" s="588"/>
      <c r="K19623" s="588">
        <v>14.38</v>
      </c>
      <c r="L19623" s="43">
        <v>11.500933706816058</v>
      </c>
      <c r="M19623" s="43">
        <v>11.500841548449145</v>
      </c>
      <c r="N19623" s="43" t="s">
        <v>1690</v>
      </c>
      <c r="O19623" s="43">
        <v>11.504000000000001</v>
      </c>
      <c r="P19623" s="589"/>
      <c r="Q19623" s="589"/>
      <c r="R19623" s="589">
        <v>10</v>
      </c>
    </row>
    <row r="19624" spans="1:18" ht="36">
      <c r="A19624" s="585">
        <v>69</v>
      </c>
      <c r="B19624" s="582" t="s">
        <v>35614</v>
      </c>
      <c r="C19624" s="586" t="s">
        <v>35615</v>
      </c>
      <c r="D19624" s="587">
        <v>36.950000000000003</v>
      </c>
      <c r="E19624" s="587">
        <v>35.869999999999997</v>
      </c>
      <c r="F19624" s="587"/>
      <c r="G19624" s="587">
        <v>1.08</v>
      </c>
      <c r="H19624" s="588">
        <v>424.88</v>
      </c>
      <c r="I19624" s="588">
        <v>412.46</v>
      </c>
      <c r="J19624" s="588"/>
      <c r="K19624" s="588">
        <v>12.42</v>
      </c>
      <c r="L19624" s="43">
        <v>11.498782138024357</v>
      </c>
      <c r="M19624" s="43">
        <v>11.498745469751881</v>
      </c>
      <c r="N19624" s="43" t="s">
        <v>1690</v>
      </c>
      <c r="O19624" s="43">
        <v>11.5</v>
      </c>
      <c r="P19624" s="589"/>
      <c r="Q19624" s="589"/>
      <c r="R19624" s="589">
        <v>10</v>
      </c>
    </row>
    <row r="19625" spans="1:18" ht="36">
      <c r="A19625" s="585">
        <v>70</v>
      </c>
      <c r="B19625" s="582" t="s">
        <v>35616</v>
      </c>
      <c r="C19625" s="586" t="s">
        <v>35617</v>
      </c>
      <c r="D19625" s="587">
        <v>48.43</v>
      </c>
      <c r="E19625" s="587">
        <v>47.02</v>
      </c>
      <c r="F19625" s="587"/>
      <c r="G19625" s="587">
        <v>1.41</v>
      </c>
      <c r="H19625" s="588">
        <v>556.94000000000005</v>
      </c>
      <c r="I19625" s="588">
        <v>540.72</v>
      </c>
      <c r="J19625" s="588"/>
      <c r="K19625" s="588">
        <v>16.22</v>
      </c>
      <c r="L19625" s="43">
        <v>11.499896758207724</v>
      </c>
      <c r="M19625" s="43">
        <v>11.499787324542748</v>
      </c>
      <c r="N19625" s="43" t="s">
        <v>1690</v>
      </c>
      <c r="O19625" s="43">
        <v>11.50354609929078</v>
      </c>
      <c r="P19625" s="589"/>
      <c r="Q19625" s="589"/>
      <c r="R19625" s="589">
        <v>10</v>
      </c>
    </row>
    <row r="19626" spans="1:18" ht="12.75" customHeight="1">
      <c r="A19626" s="628" t="s">
        <v>35618</v>
      </c>
      <c r="B19626" s="629"/>
      <c r="C19626" s="629"/>
      <c r="D19626" s="629"/>
      <c r="E19626" s="629"/>
      <c r="F19626" s="629"/>
      <c r="G19626" s="629"/>
      <c r="H19626" s="629"/>
      <c r="I19626" s="629"/>
      <c r="J19626" s="629"/>
      <c r="K19626" s="629"/>
      <c r="L19626" s="629"/>
      <c r="M19626" s="629"/>
      <c r="N19626" s="629"/>
      <c r="O19626" s="629"/>
      <c r="P19626" s="629"/>
      <c r="Q19626" s="629"/>
      <c r="R19626" s="629"/>
    </row>
    <row r="19627" spans="1:18" ht="24">
      <c r="A19627" s="585">
        <v>71</v>
      </c>
      <c r="B19627" s="582" t="s">
        <v>35619</v>
      </c>
      <c r="C19627" s="586" t="s">
        <v>35620</v>
      </c>
      <c r="D19627" s="587">
        <v>89.71</v>
      </c>
      <c r="E19627" s="587">
        <v>87.1</v>
      </c>
      <c r="F19627" s="587"/>
      <c r="G19627" s="587">
        <v>2.61</v>
      </c>
      <c r="H19627" s="588">
        <v>1031.73</v>
      </c>
      <c r="I19627" s="588">
        <v>1001.71</v>
      </c>
      <c r="J19627" s="588"/>
      <c r="K19627" s="588">
        <v>30.02</v>
      </c>
      <c r="L19627" s="43">
        <v>11.500724556905586</v>
      </c>
      <c r="M19627" s="43">
        <v>11.500688863375432</v>
      </c>
      <c r="N19627" s="43" t="s">
        <v>1690</v>
      </c>
      <c r="O19627" s="43">
        <v>11.501915708812261</v>
      </c>
      <c r="P19627" s="589"/>
      <c r="Q19627" s="589"/>
      <c r="R19627" s="589">
        <v>11</v>
      </c>
    </row>
    <row r="19628" spans="1:18" ht="24">
      <c r="A19628" s="585">
        <v>72</v>
      </c>
      <c r="B19628" s="582" t="s">
        <v>35621</v>
      </c>
      <c r="C19628" s="586" t="s">
        <v>35622</v>
      </c>
      <c r="D19628" s="587">
        <v>133.97999999999999</v>
      </c>
      <c r="E19628" s="587">
        <v>130.08000000000001</v>
      </c>
      <c r="F19628" s="587"/>
      <c r="G19628" s="587">
        <v>3.9</v>
      </c>
      <c r="H19628" s="588">
        <v>1540.77</v>
      </c>
      <c r="I19628" s="588">
        <v>1495.92</v>
      </c>
      <c r="J19628" s="588"/>
      <c r="K19628" s="588">
        <v>44.85</v>
      </c>
      <c r="L19628" s="43">
        <v>11.5</v>
      </c>
      <c r="M19628" s="43">
        <v>11.5</v>
      </c>
      <c r="N19628" s="43" t="s">
        <v>1690</v>
      </c>
      <c r="O19628" s="43">
        <v>11.5</v>
      </c>
      <c r="P19628" s="589"/>
      <c r="Q19628" s="589"/>
      <c r="R19628" s="589">
        <v>11</v>
      </c>
    </row>
    <row r="19629" spans="1:18" ht="12.75" customHeight="1">
      <c r="A19629" s="628" t="s">
        <v>35623</v>
      </c>
      <c r="B19629" s="629"/>
      <c r="C19629" s="629"/>
      <c r="D19629" s="629"/>
      <c r="E19629" s="629"/>
      <c r="F19629" s="629"/>
      <c r="G19629" s="629"/>
      <c r="H19629" s="629"/>
      <c r="I19629" s="629"/>
      <c r="J19629" s="629"/>
      <c r="K19629" s="629"/>
      <c r="L19629" s="629"/>
      <c r="M19629" s="629"/>
      <c r="N19629" s="629"/>
      <c r="O19629" s="629"/>
      <c r="P19629" s="629"/>
      <c r="Q19629" s="629"/>
      <c r="R19629" s="629"/>
    </row>
    <row r="19630" spans="1:18" ht="24">
      <c r="A19630" s="585">
        <v>73</v>
      </c>
      <c r="B19630" s="582" t="s">
        <v>35624</v>
      </c>
      <c r="C19630" s="586" t="s">
        <v>35625</v>
      </c>
      <c r="D19630" s="587">
        <v>77.400000000000006</v>
      </c>
      <c r="E19630" s="587">
        <v>75.150000000000006</v>
      </c>
      <c r="F19630" s="587"/>
      <c r="G19630" s="587">
        <v>2.25</v>
      </c>
      <c r="H19630" s="588">
        <v>890.07</v>
      </c>
      <c r="I19630" s="588">
        <v>864.19</v>
      </c>
      <c r="J19630" s="588"/>
      <c r="K19630" s="588">
        <v>25.88</v>
      </c>
      <c r="L19630" s="43">
        <v>11.499612403100775</v>
      </c>
      <c r="M19630" s="43">
        <v>11.499534264803726</v>
      </c>
      <c r="N19630" s="43" t="s">
        <v>1690</v>
      </c>
      <c r="O19630" s="43">
        <v>11.502222222222223</v>
      </c>
      <c r="P19630" s="589"/>
      <c r="Q19630" s="589"/>
      <c r="R19630" s="589">
        <v>12</v>
      </c>
    </row>
    <row r="19631" spans="1:18" ht="24">
      <c r="A19631" s="585">
        <v>74</v>
      </c>
      <c r="B19631" s="582" t="s">
        <v>35626</v>
      </c>
      <c r="C19631" s="586" t="s">
        <v>35627</v>
      </c>
      <c r="D19631" s="587">
        <v>87.87</v>
      </c>
      <c r="E19631" s="587">
        <v>85.31</v>
      </c>
      <c r="F19631" s="587"/>
      <c r="G19631" s="587">
        <v>2.56</v>
      </c>
      <c r="H19631" s="588">
        <v>1010.52</v>
      </c>
      <c r="I19631" s="588">
        <v>981.08</v>
      </c>
      <c r="J19631" s="588"/>
      <c r="K19631" s="588">
        <v>29.44</v>
      </c>
      <c r="L19631" s="43">
        <v>11.500170706725845</v>
      </c>
      <c r="M19631" s="43">
        <v>11.500175829328333</v>
      </c>
      <c r="N19631" s="43" t="s">
        <v>1690</v>
      </c>
      <c r="O19631" s="43">
        <v>11.5</v>
      </c>
      <c r="P19631" s="589"/>
      <c r="Q19631" s="589"/>
      <c r="R19631" s="589">
        <v>12</v>
      </c>
    </row>
    <row r="19632" spans="1:18" ht="24">
      <c r="A19632" s="585">
        <v>75</v>
      </c>
      <c r="B19632" s="582" t="s">
        <v>35628</v>
      </c>
      <c r="C19632" s="586" t="s">
        <v>35629</v>
      </c>
      <c r="D19632" s="587">
        <v>229.23</v>
      </c>
      <c r="E19632" s="587">
        <v>222.55</v>
      </c>
      <c r="F19632" s="587"/>
      <c r="G19632" s="587">
        <v>6.68</v>
      </c>
      <c r="H19632" s="588">
        <v>2636.17</v>
      </c>
      <c r="I19632" s="588">
        <v>2559.35</v>
      </c>
      <c r="J19632" s="588"/>
      <c r="K19632" s="588">
        <v>76.819999999999993</v>
      </c>
      <c r="L19632" s="43">
        <v>11.500109060768661</v>
      </c>
      <c r="M19632" s="43">
        <v>11.500112334306896</v>
      </c>
      <c r="N19632" s="43" t="s">
        <v>1690</v>
      </c>
      <c r="O19632" s="43">
        <v>11.5</v>
      </c>
      <c r="P19632" s="589"/>
      <c r="Q19632" s="589"/>
      <c r="R19632" s="589">
        <v>12</v>
      </c>
    </row>
    <row r="19633" spans="1:18" ht="24">
      <c r="A19633" s="585">
        <v>76</v>
      </c>
      <c r="B19633" s="582" t="s">
        <v>35630</v>
      </c>
      <c r="C19633" s="586" t="s">
        <v>35631</v>
      </c>
      <c r="D19633" s="587">
        <v>86.6</v>
      </c>
      <c r="E19633" s="587">
        <v>84.08</v>
      </c>
      <c r="F19633" s="587"/>
      <c r="G19633" s="587">
        <v>2.52</v>
      </c>
      <c r="H19633" s="588">
        <v>995.84</v>
      </c>
      <c r="I19633" s="588">
        <v>966.86</v>
      </c>
      <c r="J19633" s="588"/>
      <c r="K19633" s="588">
        <v>28.98</v>
      </c>
      <c r="L19633" s="43">
        <v>11.49930715935335</v>
      </c>
      <c r="M19633" s="43">
        <v>11.499286393910563</v>
      </c>
      <c r="N19633" s="43" t="s">
        <v>1690</v>
      </c>
      <c r="O19633" s="43">
        <v>11.5</v>
      </c>
      <c r="P19633" s="589"/>
      <c r="Q19633" s="589"/>
      <c r="R19633" s="589">
        <v>12</v>
      </c>
    </row>
    <row r="19634" spans="1:18" ht="12.75" customHeight="1">
      <c r="A19634" s="628" t="s">
        <v>35632</v>
      </c>
      <c r="B19634" s="629"/>
      <c r="C19634" s="629"/>
      <c r="D19634" s="629"/>
      <c r="E19634" s="629"/>
      <c r="F19634" s="629"/>
      <c r="G19634" s="629"/>
      <c r="H19634" s="629"/>
      <c r="I19634" s="629"/>
      <c r="J19634" s="629"/>
      <c r="K19634" s="629"/>
      <c r="L19634" s="629"/>
      <c r="M19634" s="629"/>
      <c r="N19634" s="629"/>
      <c r="O19634" s="629"/>
      <c r="P19634" s="629"/>
      <c r="Q19634" s="629"/>
      <c r="R19634" s="629"/>
    </row>
    <row r="19635" spans="1:18" ht="24">
      <c r="A19635" s="585">
        <v>77</v>
      </c>
      <c r="B19635" s="582" t="s">
        <v>35633</v>
      </c>
      <c r="C19635" s="586" t="s">
        <v>35634</v>
      </c>
      <c r="D19635" s="587">
        <v>181.78</v>
      </c>
      <c r="E19635" s="587">
        <v>176.49</v>
      </c>
      <c r="F19635" s="587"/>
      <c r="G19635" s="587">
        <v>5.29</v>
      </c>
      <c r="H19635" s="588">
        <v>2090.48</v>
      </c>
      <c r="I19635" s="588">
        <v>2029.64</v>
      </c>
      <c r="J19635" s="588"/>
      <c r="K19635" s="588">
        <v>60.84</v>
      </c>
      <c r="L19635" s="43">
        <v>11.500055011552426</v>
      </c>
      <c r="M19635" s="43">
        <v>11.50002833021701</v>
      </c>
      <c r="N19635" s="43" t="s">
        <v>1690</v>
      </c>
      <c r="O19635" s="43">
        <v>11.500945179584122</v>
      </c>
      <c r="P19635" s="589"/>
      <c r="Q19635" s="589"/>
      <c r="R19635" s="589">
        <v>13</v>
      </c>
    </row>
    <row r="19636" spans="1:18" ht="24">
      <c r="A19636" s="585">
        <v>78</v>
      </c>
      <c r="B19636" s="582" t="s">
        <v>35635</v>
      </c>
      <c r="C19636" s="586" t="s">
        <v>35636</v>
      </c>
      <c r="D19636" s="587">
        <v>169.21</v>
      </c>
      <c r="E19636" s="587">
        <v>164.28</v>
      </c>
      <c r="F19636" s="587"/>
      <c r="G19636" s="587">
        <v>4.93</v>
      </c>
      <c r="H19636" s="588">
        <v>1945.92</v>
      </c>
      <c r="I19636" s="588">
        <v>1889.22</v>
      </c>
      <c r="J19636" s="588"/>
      <c r="K19636" s="588">
        <v>56.7</v>
      </c>
      <c r="L19636" s="43">
        <v>11.500029549081024</v>
      </c>
      <c r="M19636" s="43">
        <v>11.5</v>
      </c>
      <c r="N19636" s="43" t="s">
        <v>1690</v>
      </c>
      <c r="O19636" s="43">
        <v>11.501014198782963</v>
      </c>
      <c r="P19636" s="589"/>
      <c r="Q19636" s="589"/>
      <c r="R19636" s="589">
        <v>13</v>
      </c>
    </row>
    <row r="19637" spans="1:18" ht="12.75" customHeight="1">
      <c r="A19637" s="628" t="s">
        <v>35637</v>
      </c>
      <c r="B19637" s="629"/>
      <c r="C19637" s="629"/>
      <c r="D19637" s="629"/>
      <c r="E19637" s="629"/>
      <c r="F19637" s="629"/>
      <c r="G19637" s="629"/>
      <c r="H19637" s="629"/>
      <c r="I19637" s="629"/>
      <c r="J19637" s="629"/>
      <c r="K19637" s="629"/>
      <c r="L19637" s="629"/>
      <c r="M19637" s="629"/>
      <c r="N19637" s="629"/>
      <c r="O19637" s="629"/>
      <c r="P19637" s="629"/>
      <c r="Q19637" s="629"/>
      <c r="R19637" s="629"/>
    </row>
    <row r="19638" spans="1:18" ht="24">
      <c r="A19638" s="585">
        <v>79</v>
      </c>
      <c r="B19638" s="582" t="s">
        <v>35638</v>
      </c>
      <c r="C19638" s="586" t="s">
        <v>35639</v>
      </c>
      <c r="D19638" s="587">
        <v>141.24</v>
      </c>
      <c r="E19638" s="587">
        <v>137.13</v>
      </c>
      <c r="F19638" s="587"/>
      <c r="G19638" s="587">
        <v>4.1100000000000003</v>
      </c>
      <c r="H19638" s="588">
        <v>1624.27</v>
      </c>
      <c r="I19638" s="588">
        <v>1577</v>
      </c>
      <c r="J19638" s="588"/>
      <c r="K19638" s="588">
        <v>47.27</v>
      </c>
      <c r="L19638" s="43">
        <v>11.50007080147267</v>
      </c>
      <c r="M19638" s="43">
        <v>11.500036461751623</v>
      </c>
      <c r="N19638" s="43" t="s">
        <v>1690</v>
      </c>
      <c r="O19638" s="43">
        <v>11.501216545012165</v>
      </c>
      <c r="P19638" s="589"/>
      <c r="Q19638" s="589"/>
      <c r="R19638" s="589">
        <v>14</v>
      </c>
    </row>
    <row r="19639" spans="1:18" ht="12.75" customHeight="1">
      <c r="A19639" s="628" t="s">
        <v>35640</v>
      </c>
      <c r="B19639" s="629"/>
      <c r="C19639" s="629"/>
      <c r="D19639" s="629"/>
      <c r="E19639" s="629"/>
      <c r="F19639" s="629"/>
      <c r="G19639" s="629"/>
      <c r="H19639" s="629"/>
      <c r="I19639" s="629"/>
      <c r="J19639" s="629"/>
      <c r="K19639" s="629"/>
      <c r="L19639" s="629"/>
      <c r="M19639" s="629"/>
      <c r="N19639" s="629"/>
      <c r="O19639" s="629"/>
      <c r="P19639" s="629"/>
      <c r="Q19639" s="629"/>
      <c r="R19639" s="629"/>
    </row>
    <row r="19640" spans="1:18" ht="36">
      <c r="A19640" s="585">
        <v>80</v>
      </c>
      <c r="B19640" s="582" t="s">
        <v>35641</v>
      </c>
      <c r="C19640" s="586" t="s">
        <v>35642</v>
      </c>
      <c r="D19640" s="587">
        <v>56.77</v>
      </c>
      <c r="E19640" s="587">
        <v>55.12</v>
      </c>
      <c r="F19640" s="587"/>
      <c r="G19640" s="587">
        <v>1.65</v>
      </c>
      <c r="H19640" s="588">
        <v>652.88</v>
      </c>
      <c r="I19640" s="588">
        <v>633.9</v>
      </c>
      <c r="J19640" s="588"/>
      <c r="K19640" s="588">
        <v>18.98</v>
      </c>
      <c r="L19640" s="43">
        <v>11.500440373436673</v>
      </c>
      <c r="M19640" s="43">
        <v>11.500362844702467</v>
      </c>
      <c r="N19640" s="43" t="s">
        <v>1690</v>
      </c>
      <c r="O19640" s="43">
        <v>11.503030303030304</v>
      </c>
      <c r="P19640" s="589"/>
      <c r="Q19640" s="589"/>
      <c r="R19640" s="589">
        <v>15</v>
      </c>
    </row>
    <row r="19641" spans="1:18" ht="36">
      <c r="A19641" s="585">
        <v>81</v>
      </c>
      <c r="B19641" s="582" t="s">
        <v>35643</v>
      </c>
      <c r="C19641" s="586" t="s">
        <v>35644</v>
      </c>
      <c r="D19641" s="587">
        <v>68.39</v>
      </c>
      <c r="E19641" s="587">
        <v>66.400000000000006</v>
      </c>
      <c r="F19641" s="587"/>
      <c r="G19641" s="587">
        <v>1.99</v>
      </c>
      <c r="H19641" s="588">
        <v>786.54</v>
      </c>
      <c r="I19641" s="588">
        <v>763.65</v>
      </c>
      <c r="J19641" s="588"/>
      <c r="K19641" s="588">
        <v>22.89</v>
      </c>
      <c r="L19641" s="43">
        <v>11.500804211141979</v>
      </c>
      <c r="M19641" s="43">
        <v>11.500753012048191</v>
      </c>
      <c r="N19641" s="43" t="s">
        <v>1690</v>
      </c>
      <c r="O19641" s="43">
        <v>11.50251256281407</v>
      </c>
      <c r="P19641" s="589"/>
      <c r="Q19641" s="589"/>
      <c r="R19641" s="589">
        <v>15</v>
      </c>
    </row>
    <row r="19642" spans="1:18" ht="12.75" customHeight="1">
      <c r="A19642" s="628" t="s">
        <v>35645</v>
      </c>
      <c r="B19642" s="629"/>
      <c r="C19642" s="629"/>
      <c r="D19642" s="629"/>
      <c r="E19642" s="629"/>
      <c r="F19642" s="629"/>
      <c r="G19642" s="629"/>
      <c r="H19642" s="629"/>
      <c r="I19642" s="629"/>
      <c r="J19642" s="629"/>
      <c r="K19642" s="629"/>
      <c r="L19642" s="629"/>
      <c r="M19642" s="629"/>
      <c r="N19642" s="629"/>
      <c r="O19642" s="629"/>
      <c r="P19642" s="629"/>
      <c r="Q19642" s="629"/>
      <c r="R19642" s="629"/>
    </row>
    <row r="19643" spans="1:18" ht="24">
      <c r="A19643" s="585">
        <v>82</v>
      </c>
      <c r="B19643" s="582" t="s">
        <v>35646</v>
      </c>
      <c r="C19643" s="586" t="s">
        <v>35647</v>
      </c>
      <c r="D19643" s="587">
        <v>242.6</v>
      </c>
      <c r="E19643" s="587">
        <v>235.53</v>
      </c>
      <c r="F19643" s="587"/>
      <c r="G19643" s="587">
        <v>7.07</v>
      </c>
      <c r="H19643" s="588">
        <v>2789.97</v>
      </c>
      <c r="I19643" s="588">
        <v>2708.66</v>
      </c>
      <c r="J19643" s="588"/>
      <c r="K19643" s="588">
        <v>81.31</v>
      </c>
      <c r="L19643" s="43">
        <v>11.500288540807913</v>
      </c>
      <c r="M19643" s="43">
        <v>11.500275973336729</v>
      </c>
      <c r="N19643" s="43" t="s">
        <v>1690</v>
      </c>
      <c r="O19643" s="43">
        <v>11.500707213578501</v>
      </c>
      <c r="P19643" s="589"/>
      <c r="Q19643" s="589"/>
      <c r="R19643" s="589">
        <v>16</v>
      </c>
    </row>
    <row r="19644" spans="1:18" ht="12.75" customHeight="1">
      <c r="A19644" s="628" t="s">
        <v>35648</v>
      </c>
      <c r="B19644" s="629"/>
      <c r="C19644" s="629"/>
      <c r="D19644" s="629"/>
      <c r="E19644" s="629"/>
      <c r="F19644" s="629"/>
      <c r="G19644" s="629"/>
      <c r="H19644" s="629"/>
      <c r="I19644" s="629"/>
      <c r="J19644" s="629"/>
      <c r="K19644" s="629"/>
      <c r="L19644" s="629"/>
      <c r="M19644" s="629"/>
      <c r="N19644" s="629"/>
      <c r="O19644" s="629"/>
      <c r="P19644" s="629"/>
      <c r="Q19644" s="629"/>
      <c r="R19644" s="629"/>
    </row>
    <row r="19645" spans="1:18" ht="24">
      <c r="A19645" s="585">
        <v>83</v>
      </c>
      <c r="B19645" s="582" t="s">
        <v>35649</v>
      </c>
      <c r="C19645" s="586" t="s">
        <v>35650</v>
      </c>
      <c r="D19645" s="587">
        <v>119.59</v>
      </c>
      <c r="E19645" s="587">
        <v>116.11</v>
      </c>
      <c r="F19645" s="587"/>
      <c r="G19645" s="587">
        <v>3.48</v>
      </c>
      <c r="H19645" s="588">
        <v>1375.32</v>
      </c>
      <c r="I19645" s="588">
        <v>1335.3</v>
      </c>
      <c r="J19645" s="588"/>
      <c r="K19645" s="588">
        <v>40.020000000000003</v>
      </c>
      <c r="L19645" s="43">
        <v>11.500292666610919</v>
      </c>
      <c r="M19645" s="43">
        <v>11.500301438291276</v>
      </c>
      <c r="N19645" s="43" t="s">
        <v>1690</v>
      </c>
      <c r="O19645" s="43">
        <v>11.500000000000002</v>
      </c>
      <c r="P19645" s="589"/>
      <c r="Q19645" s="589"/>
      <c r="R19645" s="589">
        <v>17</v>
      </c>
    </row>
    <row r="19646" spans="1:18" ht="12.75" customHeight="1">
      <c r="A19646" s="628" t="s">
        <v>35651</v>
      </c>
      <c r="B19646" s="629"/>
      <c r="C19646" s="629"/>
      <c r="D19646" s="629"/>
      <c r="E19646" s="629"/>
      <c r="F19646" s="629"/>
      <c r="G19646" s="629"/>
      <c r="H19646" s="629"/>
      <c r="I19646" s="629"/>
      <c r="J19646" s="629"/>
      <c r="K19646" s="629"/>
      <c r="L19646" s="629"/>
      <c r="M19646" s="629"/>
      <c r="N19646" s="629"/>
      <c r="O19646" s="629"/>
      <c r="P19646" s="629"/>
      <c r="Q19646" s="629"/>
      <c r="R19646" s="629"/>
    </row>
    <row r="19647" spans="1:18" ht="24">
      <c r="A19647" s="585">
        <v>84</v>
      </c>
      <c r="B19647" s="582" t="s">
        <v>35652</v>
      </c>
      <c r="C19647" s="586" t="s">
        <v>35653</v>
      </c>
      <c r="D19647" s="587">
        <v>237.14</v>
      </c>
      <c r="E19647" s="587">
        <v>230.23</v>
      </c>
      <c r="F19647" s="587"/>
      <c r="G19647" s="587">
        <v>6.91</v>
      </c>
      <c r="H19647" s="588">
        <v>2727.12</v>
      </c>
      <c r="I19647" s="588">
        <v>2647.65</v>
      </c>
      <c r="J19647" s="588"/>
      <c r="K19647" s="588">
        <v>79.47</v>
      </c>
      <c r="L19647" s="43">
        <v>11.500042169182761</v>
      </c>
      <c r="M19647" s="43">
        <v>11.500021717413023</v>
      </c>
      <c r="N19647" s="43" t="s">
        <v>1690</v>
      </c>
      <c r="O19647" s="43">
        <v>11.500723589001447</v>
      </c>
      <c r="P19647" s="589"/>
      <c r="Q19647" s="589"/>
      <c r="R19647" s="589">
        <v>18</v>
      </c>
    </row>
    <row r="19648" spans="1:18" ht="12.75" customHeight="1">
      <c r="A19648" s="628" t="s">
        <v>35654</v>
      </c>
      <c r="B19648" s="629"/>
      <c r="C19648" s="629"/>
      <c r="D19648" s="629"/>
      <c r="E19648" s="629"/>
      <c r="F19648" s="629"/>
      <c r="G19648" s="629"/>
      <c r="H19648" s="629"/>
      <c r="I19648" s="629"/>
      <c r="J19648" s="629"/>
      <c r="K19648" s="629"/>
      <c r="L19648" s="629"/>
      <c r="M19648" s="629"/>
      <c r="N19648" s="629"/>
      <c r="O19648" s="629"/>
      <c r="P19648" s="629"/>
      <c r="Q19648" s="629"/>
      <c r="R19648" s="629"/>
    </row>
    <row r="19649" spans="1:18" ht="24">
      <c r="A19649" s="585">
        <v>85</v>
      </c>
      <c r="B19649" s="582" t="s">
        <v>35655</v>
      </c>
      <c r="C19649" s="586" t="s">
        <v>35656</v>
      </c>
      <c r="D19649" s="587">
        <v>106.51</v>
      </c>
      <c r="E19649" s="587">
        <v>103.41</v>
      </c>
      <c r="F19649" s="587"/>
      <c r="G19649" s="587">
        <v>3.1</v>
      </c>
      <c r="H19649" s="588">
        <v>1224.9100000000001</v>
      </c>
      <c r="I19649" s="588">
        <v>1189.26</v>
      </c>
      <c r="J19649" s="588"/>
      <c r="K19649" s="588">
        <v>35.65</v>
      </c>
      <c r="L19649" s="43">
        <v>11.500422495540326</v>
      </c>
      <c r="M19649" s="43">
        <v>11.500435161009573</v>
      </c>
      <c r="N19649" s="43" t="s">
        <v>1690</v>
      </c>
      <c r="O19649" s="43">
        <v>11.5</v>
      </c>
      <c r="P19649" s="589"/>
      <c r="Q19649" s="589"/>
      <c r="R19649" s="589">
        <v>19</v>
      </c>
    </row>
    <row r="19650" spans="1:18" ht="12.75" customHeight="1">
      <c r="A19650" s="628" t="s">
        <v>35657</v>
      </c>
      <c r="B19650" s="629"/>
      <c r="C19650" s="629"/>
      <c r="D19650" s="629"/>
      <c r="E19650" s="629"/>
      <c r="F19650" s="629"/>
      <c r="G19650" s="629"/>
      <c r="H19650" s="629"/>
      <c r="I19650" s="629"/>
      <c r="J19650" s="629"/>
      <c r="K19650" s="629"/>
      <c r="L19650" s="629"/>
      <c r="M19650" s="629"/>
      <c r="N19650" s="629"/>
      <c r="O19650" s="629"/>
      <c r="P19650" s="629"/>
      <c r="Q19650" s="629"/>
      <c r="R19650" s="629"/>
    </row>
    <row r="19651" spans="1:18" ht="24">
      <c r="A19651" s="585">
        <v>86</v>
      </c>
      <c r="B19651" s="582" t="s">
        <v>35658</v>
      </c>
      <c r="C19651" s="586" t="s">
        <v>35659</v>
      </c>
      <c r="D19651" s="587">
        <v>14.8</v>
      </c>
      <c r="E19651" s="587">
        <v>14.05</v>
      </c>
      <c r="F19651" s="587">
        <v>0.33</v>
      </c>
      <c r="G19651" s="587">
        <v>0.42</v>
      </c>
      <c r="H19651" s="588">
        <v>168.19</v>
      </c>
      <c r="I19651" s="588">
        <v>161.63</v>
      </c>
      <c r="J19651" s="588">
        <v>1.73</v>
      </c>
      <c r="K19651" s="588">
        <v>4.83</v>
      </c>
      <c r="L19651" s="43">
        <v>11.364189189189188</v>
      </c>
      <c r="M19651" s="43">
        <v>11.50391459074733</v>
      </c>
      <c r="N19651" s="43">
        <v>5.2424242424242422</v>
      </c>
      <c r="O19651" s="43">
        <v>11.5</v>
      </c>
      <c r="P19651" s="589"/>
      <c r="Q19651" s="589"/>
      <c r="R19651" s="589">
        <v>20</v>
      </c>
    </row>
    <row r="19652" spans="1:18" ht="24">
      <c r="A19652" s="585">
        <v>87</v>
      </c>
      <c r="B19652" s="582" t="s">
        <v>35660</v>
      </c>
      <c r="C19652" s="586" t="s">
        <v>35661</v>
      </c>
      <c r="D19652" s="587">
        <v>13.68</v>
      </c>
      <c r="E19652" s="587">
        <v>11.71</v>
      </c>
      <c r="F19652" s="587">
        <v>1.62</v>
      </c>
      <c r="G19652" s="587">
        <v>0.35</v>
      </c>
      <c r="H19652" s="588">
        <v>147.07</v>
      </c>
      <c r="I19652" s="588">
        <v>134.69</v>
      </c>
      <c r="J19652" s="588">
        <v>8.35</v>
      </c>
      <c r="K19652" s="588">
        <v>4.03</v>
      </c>
      <c r="L19652" s="43">
        <v>10.750730994152047</v>
      </c>
      <c r="M19652" s="43">
        <v>11.502134927412467</v>
      </c>
      <c r="N19652" s="43">
        <v>5.1543209876543203</v>
      </c>
      <c r="O19652" s="43">
        <v>11.503164556962025</v>
      </c>
      <c r="P19652" s="589"/>
      <c r="Q19652" s="589"/>
      <c r="R19652" s="589">
        <v>20</v>
      </c>
    </row>
    <row r="19653" spans="1:18" ht="24">
      <c r="A19653" s="585">
        <v>88</v>
      </c>
      <c r="B19653" s="582" t="s">
        <v>35662</v>
      </c>
      <c r="C19653" s="586" t="s">
        <v>35663</v>
      </c>
      <c r="D19653" s="587">
        <v>24.43</v>
      </c>
      <c r="E19653" s="587">
        <v>21.47</v>
      </c>
      <c r="F19653" s="587">
        <v>2.3199999999999998</v>
      </c>
      <c r="G19653" s="587">
        <v>0.64</v>
      </c>
      <c r="H19653" s="588">
        <v>266.25</v>
      </c>
      <c r="I19653" s="588">
        <v>246.93</v>
      </c>
      <c r="J19653" s="588">
        <v>11.96</v>
      </c>
      <c r="K19653" s="588">
        <v>7.36</v>
      </c>
      <c r="L19653" s="43">
        <v>10.898485468686042</v>
      </c>
      <c r="M19653" s="43">
        <v>11.501164415463439</v>
      </c>
      <c r="N19653" s="43">
        <v>5.1551724137931041</v>
      </c>
      <c r="O19653" s="43">
        <v>11.5</v>
      </c>
      <c r="P19653" s="589"/>
      <c r="Q19653" s="589"/>
      <c r="R19653" s="589">
        <v>20</v>
      </c>
    </row>
    <row r="19654" spans="1:18" ht="12.75" customHeight="1">
      <c r="A19654" s="628" t="s">
        <v>35664</v>
      </c>
      <c r="B19654" s="629"/>
      <c r="C19654" s="629"/>
      <c r="D19654" s="629"/>
      <c r="E19654" s="629"/>
      <c r="F19654" s="629"/>
      <c r="G19654" s="629"/>
      <c r="H19654" s="629"/>
      <c r="I19654" s="629"/>
      <c r="J19654" s="629"/>
      <c r="K19654" s="629"/>
      <c r="L19654" s="629"/>
      <c r="M19654" s="629"/>
      <c r="N19654" s="629"/>
      <c r="O19654" s="629"/>
      <c r="P19654" s="629"/>
      <c r="Q19654" s="629"/>
      <c r="R19654" s="629"/>
    </row>
    <row r="19655" spans="1:18" ht="24">
      <c r="A19655" s="585">
        <v>89</v>
      </c>
      <c r="B19655" s="582" t="s">
        <v>35665</v>
      </c>
      <c r="C19655" s="586" t="s">
        <v>35666</v>
      </c>
      <c r="D19655" s="587">
        <v>8.4499999999999993</v>
      </c>
      <c r="E19655" s="587">
        <v>8.1999999999999993</v>
      </c>
      <c r="F19655" s="587"/>
      <c r="G19655" s="587">
        <v>0.25</v>
      </c>
      <c r="H19655" s="588">
        <v>97.16</v>
      </c>
      <c r="I19655" s="588">
        <v>94.28</v>
      </c>
      <c r="J19655" s="588"/>
      <c r="K19655" s="588">
        <v>2.88</v>
      </c>
      <c r="L19655" s="43">
        <v>11.498224852071006</v>
      </c>
      <c r="M19655" s="43">
        <v>11.497560975609757</v>
      </c>
      <c r="N19655" s="43" t="s">
        <v>1690</v>
      </c>
      <c r="O19655" s="43">
        <v>11.503164556962025</v>
      </c>
      <c r="P19655" s="589"/>
      <c r="Q19655" s="589"/>
      <c r="R19655" s="589">
        <v>21</v>
      </c>
    </row>
    <row r="19656" spans="1:18" ht="12.75" customHeight="1">
      <c r="A19656" s="628" t="s">
        <v>35667</v>
      </c>
      <c r="B19656" s="629"/>
      <c r="C19656" s="629"/>
      <c r="D19656" s="629"/>
      <c r="E19656" s="629"/>
      <c r="F19656" s="629"/>
      <c r="G19656" s="629"/>
      <c r="H19656" s="629"/>
      <c r="I19656" s="629"/>
      <c r="J19656" s="629"/>
      <c r="K19656" s="629"/>
      <c r="L19656" s="629"/>
      <c r="M19656" s="629"/>
      <c r="N19656" s="629"/>
      <c r="O19656" s="629"/>
      <c r="P19656" s="629"/>
      <c r="Q19656" s="629"/>
      <c r="R19656" s="629"/>
    </row>
    <row r="19657" spans="1:18" ht="24">
      <c r="A19657" s="585">
        <v>90</v>
      </c>
      <c r="B19657" s="582" t="s">
        <v>35668</v>
      </c>
      <c r="C19657" s="586" t="s">
        <v>35669</v>
      </c>
      <c r="D19657" s="587">
        <v>41.81</v>
      </c>
      <c r="E19657" s="587">
        <v>39.74</v>
      </c>
      <c r="F19657" s="587">
        <v>0.88</v>
      </c>
      <c r="G19657" s="587">
        <v>1.19</v>
      </c>
      <c r="H19657" s="588">
        <v>475.34</v>
      </c>
      <c r="I19657" s="588">
        <v>457.04</v>
      </c>
      <c r="J19657" s="588">
        <v>4.6100000000000003</v>
      </c>
      <c r="K19657" s="588">
        <v>13.69</v>
      </c>
      <c r="L19657" s="43">
        <v>11.369050466395597</v>
      </c>
      <c r="M19657" s="43">
        <v>11.500754906894816</v>
      </c>
      <c r="N19657" s="43">
        <v>5.2386363636363642</v>
      </c>
      <c r="O19657" s="43">
        <v>11.504201680672269</v>
      </c>
      <c r="P19657" s="589"/>
      <c r="Q19657" s="589"/>
      <c r="R19657" s="589">
        <v>22</v>
      </c>
    </row>
    <row r="19658" spans="1:18" ht="12.75" customHeight="1">
      <c r="A19658" s="628" t="s">
        <v>35670</v>
      </c>
      <c r="B19658" s="629"/>
      <c r="C19658" s="629"/>
      <c r="D19658" s="629"/>
      <c r="E19658" s="629"/>
      <c r="F19658" s="629"/>
      <c r="G19658" s="629"/>
      <c r="H19658" s="629"/>
      <c r="I19658" s="629"/>
      <c r="J19658" s="629"/>
      <c r="K19658" s="629"/>
      <c r="L19658" s="629"/>
      <c r="M19658" s="629"/>
      <c r="N19658" s="629"/>
      <c r="O19658" s="629"/>
      <c r="P19658" s="629"/>
      <c r="Q19658" s="629"/>
      <c r="R19658" s="629"/>
    </row>
    <row r="19659" spans="1:18" ht="24">
      <c r="A19659" s="585">
        <v>91</v>
      </c>
      <c r="B19659" s="582" t="s">
        <v>35671</v>
      </c>
      <c r="C19659" s="586" t="s">
        <v>35672</v>
      </c>
      <c r="D19659" s="587">
        <v>45.14</v>
      </c>
      <c r="E19659" s="587">
        <v>42.97</v>
      </c>
      <c r="F19659" s="587">
        <v>0.88</v>
      </c>
      <c r="G19659" s="587">
        <v>1.29</v>
      </c>
      <c r="H19659" s="588">
        <v>513.65</v>
      </c>
      <c r="I19659" s="588">
        <v>494.2</v>
      </c>
      <c r="J19659" s="588">
        <v>4.6100000000000003</v>
      </c>
      <c r="K19659" s="588">
        <v>14.84</v>
      </c>
      <c r="L19659" s="43">
        <v>11.379042977403632</v>
      </c>
      <c r="M19659" s="43">
        <v>11.501047242262043</v>
      </c>
      <c r="N19659" s="43">
        <v>5.2386363636363642</v>
      </c>
      <c r="O19659" s="43">
        <v>11.503875968992247</v>
      </c>
      <c r="P19659" s="589"/>
      <c r="Q19659" s="589"/>
      <c r="R19659" s="589">
        <v>23</v>
      </c>
    </row>
    <row r="19660" spans="1:18" ht="24">
      <c r="A19660" s="585">
        <v>92</v>
      </c>
      <c r="B19660" s="582" t="s">
        <v>35673</v>
      </c>
      <c r="C19660" s="586" t="s">
        <v>35674</v>
      </c>
      <c r="D19660" s="587">
        <v>21.03</v>
      </c>
      <c r="E19660" s="587">
        <v>19.989999999999998</v>
      </c>
      <c r="F19660" s="587">
        <v>0.44</v>
      </c>
      <c r="G19660" s="587">
        <v>0.6</v>
      </c>
      <c r="H19660" s="588">
        <v>239.12</v>
      </c>
      <c r="I19660" s="588">
        <v>229.92</v>
      </c>
      <c r="J19660" s="588">
        <v>2.2999999999999998</v>
      </c>
      <c r="K19660" s="588">
        <v>6.9</v>
      </c>
      <c r="L19660" s="43">
        <v>11.370423204945316</v>
      </c>
      <c r="M19660" s="43">
        <v>11.50175087543772</v>
      </c>
      <c r="N19660" s="43">
        <v>5.2272727272727266</v>
      </c>
      <c r="O19660" s="43">
        <v>11.500000000000002</v>
      </c>
      <c r="P19660" s="589"/>
      <c r="Q19660" s="589"/>
      <c r="R19660" s="589">
        <v>23</v>
      </c>
    </row>
    <row r="19661" spans="1:18" ht="12.75" customHeight="1">
      <c r="A19661" s="628" t="s">
        <v>35675</v>
      </c>
      <c r="B19661" s="629"/>
      <c r="C19661" s="629"/>
      <c r="D19661" s="629"/>
      <c r="E19661" s="629"/>
      <c r="F19661" s="629"/>
      <c r="G19661" s="629"/>
      <c r="H19661" s="629"/>
      <c r="I19661" s="629"/>
      <c r="J19661" s="629"/>
      <c r="K19661" s="629"/>
      <c r="L19661" s="629"/>
      <c r="M19661" s="629"/>
      <c r="N19661" s="629"/>
      <c r="O19661" s="629"/>
      <c r="P19661" s="629"/>
      <c r="Q19661" s="629"/>
      <c r="R19661" s="629"/>
    </row>
    <row r="19662" spans="1:18" ht="24">
      <c r="A19662" s="585">
        <v>93</v>
      </c>
      <c r="B19662" s="582" t="s">
        <v>35676</v>
      </c>
      <c r="C19662" s="586" t="s">
        <v>35677</v>
      </c>
      <c r="D19662" s="587">
        <v>370.5</v>
      </c>
      <c r="E19662" s="587">
        <v>351.92</v>
      </c>
      <c r="F19662" s="587">
        <v>8.02</v>
      </c>
      <c r="G19662" s="587">
        <v>10.56</v>
      </c>
      <c r="H19662" s="588">
        <v>4210.1499999999996</v>
      </c>
      <c r="I19662" s="588">
        <v>4047.21</v>
      </c>
      <c r="J19662" s="588">
        <v>41.5</v>
      </c>
      <c r="K19662" s="588">
        <v>121.44</v>
      </c>
      <c r="L19662" s="43">
        <v>11.363427800269905</v>
      </c>
      <c r="M19662" s="43">
        <v>11.500369402136849</v>
      </c>
      <c r="N19662" s="43">
        <v>5.1745635910224443</v>
      </c>
      <c r="O19662" s="43">
        <v>11.5</v>
      </c>
      <c r="P19662" s="589"/>
      <c r="Q19662" s="589"/>
      <c r="R19662" s="589">
        <v>24</v>
      </c>
    </row>
    <row r="19663" spans="1:18" ht="12.75" customHeight="1">
      <c r="A19663" s="628" t="s">
        <v>35678</v>
      </c>
      <c r="B19663" s="629"/>
      <c r="C19663" s="629"/>
      <c r="D19663" s="629"/>
      <c r="E19663" s="629"/>
      <c r="F19663" s="629"/>
      <c r="G19663" s="629"/>
      <c r="H19663" s="629"/>
      <c r="I19663" s="629"/>
      <c r="J19663" s="629"/>
      <c r="K19663" s="629"/>
      <c r="L19663" s="629"/>
      <c r="M19663" s="629"/>
      <c r="N19663" s="629"/>
      <c r="O19663" s="629"/>
      <c r="P19663" s="629"/>
      <c r="Q19663" s="629"/>
      <c r="R19663" s="629"/>
    </row>
    <row r="19664" spans="1:18" ht="24">
      <c r="A19664" s="585">
        <v>94</v>
      </c>
      <c r="B19664" s="582" t="s">
        <v>35679</v>
      </c>
      <c r="C19664" s="586" t="s">
        <v>35680</v>
      </c>
      <c r="D19664" s="587">
        <v>70.95</v>
      </c>
      <c r="E19664" s="587">
        <v>68.88</v>
      </c>
      <c r="F19664" s="587"/>
      <c r="G19664" s="587">
        <v>2.0699999999999998</v>
      </c>
      <c r="H19664" s="588">
        <v>816.01</v>
      </c>
      <c r="I19664" s="588">
        <v>792.2</v>
      </c>
      <c r="J19664" s="588"/>
      <c r="K19664" s="588">
        <v>23.81</v>
      </c>
      <c r="L19664" s="43">
        <v>11.501198026779422</v>
      </c>
      <c r="M19664" s="43">
        <v>11.501161440185832</v>
      </c>
      <c r="N19664" s="43" t="s">
        <v>1690</v>
      </c>
      <c r="O19664" s="43">
        <v>11.502415458937199</v>
      </c>
      <c r="P19664" s="589"/>
      <c r="Q19664" s="589"/>
      <c r="R19664" s="589">
        <v>25</v>
      </c>
    </row>
    <row r="19665" spans="1:18" ht="24">
      <c r="A19665" s="585">
        <v>95</v>
      </c>
      <c r="B19665" s="582" t="s">
        <v>35681</v>
      </c>
      <c r="C19665" s="586" t="s">
        <v>35682</v>
      </c>
      <c r="D19665" s="587">
        <v>12.8</v>
      </c>
      <c r="E19665" s="587">
        <v>12.43</v>
      </c>
      <c r="F19665" s="587"/>
      <c r="G19665" s="587">
        <v>0.37</v>
      </c>
      <c r="H19665" s="588">
        <v>147.22999999999999</v>
      </c>
      <c r="I19665" s="588">
        <v>142.97</v>
      </c>
      <c r="J19665" s="588"/>
      <c r="K19665" s="588">
        <v>4.26</v>
      </c>
      <c r="L19665" s="43">
        <v>11.502343749999998</v>
      </c>
      <c r="M19665" s="43">
        <v>11.502011263073211</v>
      </c>
      <c r="N19665" s="43" t="s">
        <v>1690</v>
      </c>
      <c r="O19665" s="43">
        <v>11.503164556962025</v>
      </c>
      <c r="P19665" s="589"/>
      <c r="Q19665" s="589"/>
      <c r="R19665" s="589">
        <v>25</v>
      </c>
    </row>
    <row r="19666" spans="1:18" ht="24">
      <c r="A19666" s="585">
        <v>96</v>
      </c>
      <c r="B19666" s="582" t="s">
        <v>35683</v>
      </c>
      <c r="C19666" s="586" t="s">
        <v>35684</v>
      </c>
      <c r="D19666" s="587">
        <v>75.989999999999995</v>
      </c>
      <c r="E19666" s="587">
        <v>73.78</v>
      </c>
      <c r="F19666" s="587"/>
      <c r="G19666" s="587">
        <v>2.21</v>
      </c>
      <c r="H19666" s="588">
        <v>873.88</v>
      </c>
      <c r="I19666" s="588">
        <v>848.46</v>
      </c>
      <c r="J19666" s="588"/>
      <c r="K19666" s="588">
        <v>25.42</v>
      </c>
      <c r="L19666" s="43">
        <v>11.499934201868667</v>
      </c>
      <c r="M19666" s="43">
        <v>11.499864461913798</v>
      </c>
      <c r="N19666" s="43" t="s">
        <v>1690</v>
      </c>
      <c r="O19666" s="43">
        <v>11.502262443438916</v>
      </c>
      <c r="P19666" s="589"/>
      <c r="Q19666" s="589"/>
      <c r="R19666" s="589">
        <v>25</v>
      </c>
    </row>
    <row r="19667" spans="1:18" ht="24">
      <c r="A19667" s="585">
        <v>97</v>
      </c>
      <c r="B19667" s="582" t="s">
        <v>35685</v>
      </c>
      <c r="C19667" s="586" t="s">
        <v>35686</v>
      </c>
      <c r="D19667" s="587">
        <v>15.95</v>
      </c>
      <c r="E19667" s="587">
        <v>15.49</v>
      </c>
      <c r="F19667" s="587"/>
      <c r="G19667" s="587">
        <v>0.46</v>
      </c>
      <c r="H19667" s="588">
        <v>183.42</v>
      </c>
      <c r="I19667" s="588">
        <v>178.13</v>
      </c>
      <c r="J19667" s="588"/>
      <c r="K19667" s="588">
        <v>5.29</v>
      </c>
      <c r="L19667" s="43">
        <v>11.499686520376175</v>
      </c>
      <c r="M19667" s="43">
        <v>11.499677211103938</v>
      </c>
      <c r="N19667" s="43" t="s">
        <v>1690</v>
      </c>
      <c r="O19667" s="43">
        <v>11.5</v>
      </c>
      <c r="P19667" s="589"/>
      <c r="Q19667" s="589"/>
      <c r="R19667" s="589">
        <v>25</v>
      </c>
    </row>
    <row r="19668" spans="1:18" ht="12.75" customHeight="1">
      <c r="A19668" s="628" t="s">
        <v>35687</v>
      </c>
      <c r="B19668" s="629"/>
      <c r="C19668" s="629"/>
      <c r="D19668" s="629"/>
      <c r="E19668" s="629"/>
      <c r="F19668" s="629"/>
      <c r="G19668" s="629"/>
      <c r="H19668" s="629"/>
      <c r="I19668" s="629"/>
      <c r="J19668" s="629"/>
      <c r="K19668" s="629"/>
      <c r="L19668" s="629"/>
      <c r="M19668" s="629"/>
      <c r="N19668" s="629"/>
      <c r="O19668" s="629"/>
      <c r="P19668" s="629"/>
      <c r="Q19668" s="629"/>
      <c r="R19668" s="629"/>
    </row>
    <row r="19669" spans="1:18" ht="24">
      <c r="A19669" s="585">
        <v>98</v>
      </c>
      <c r="B19669" s="582" t="s">
        <v>35688</v>
      </c>
      <c r="C19669" s="586" t="s">
        <v>35689</v>
      </c>
      <c r="D19669" s="587">
        <v>33.79</v>
      </c>
      <c r="E19669" s="587">
        <v>32.81</v>
      </c>
      <c r="F19669" s="587"/>
      <c r="G19669" s="587">
        <v>0.98</v>
      </c>
      <c r="H19669" s="588">
        <v>388.62</v>
      </c>
      <c r="I19669" s="588">
        <v>377.35</v>
      </c>
      <c r="J19669" s="588"/>
      <c r="K19669" s="588">
        <v>11.27</v>
      </c>
      <c r="L19669" s="43">
        <v>11.50103580941107</v>
      </c>
      <c r="M19669" s="43">
        <v>11.5010667479427</v>
      </c>
      <c r="N19669" s="43" t="s">
        <v>1690</v>
      </c>
      <c r="O19669" s="43">
        <v>11.5</v>
      </c>
      <c r="P19669" s="589"/>
      <c r="Q19669" s="589"/>
      <c r="R19669" s="589">
        <v>26</v>
      </c>
    </row>
    <row r="19670" spans="1:18" ht="12.75" customHeight="1">
      <c r="A19670" s="628" t="s">
        <v>35690</v>
      </c>
      <c r="B19670" s="629"/>
      <c r="C19670" s="629"/>
      <c r="D19670" s="629"/>
      <c r="E19670" s="629"/>
      <c r="F19670" s="629"/>
      <c r="G19670" s="629"/>
      <c r="H19670" s="629"/>
      <c r="I19670" s="629"/>
      <c r="J19670" s="629"/>
      <c r="K19670" s="629"/>
      <c r="L19670" s="629"/>
      <c r="M19670" s="629"/>
      <c r="N19670" s="629"/>
      <c r="O19670" s="629"/>
      <c r="P19670" s="629"/>
      <c r="Q19670" s="629"/>
      <c r="R19670" s="629"/>
    </row>
    <row r="19671" spans="1:18" ht="36">
      <c r="A19671" s="585">
        <v>99</v>
      </c>
      <c r="B19671" s="582" t="s">
        <v>35691</v>
      </c>
      <c r="C19671" s="586" t="s">
        <v>35692</v>
      </c>
      <c r="D19671" s="587">
        <v>196.06</v>
      </c>
      <c r="E19671" s="587">
        <v>190.35</v>
      </c>
      <c r="F19671" s="587"/>
      <c r="G19671" s="587">
        <v>5.71</v>
      </c>
      <c r="H19671" s="588">
        <v>2254.6999999999998</v>
      </c>
      <c r="I19671" s="588">
        <v>2189.0300000000002</v>
      </c>
      <c r="J19671" s="588"/>
      <c r="K19671" s="588">
        <v>65.67</v>
      </c>
      <c r="L19671" s="43">
        <v>11.50005100479445</v>
      </c>
      <c r="M19671" s="43">
        <v>11.500026267402156</v>
      </c>
      <c r="N19671" s="43" t="s">
        <v>1690</v>
      </c>
      <c r="O19671" s="43">
        <v>11.500875656742558</v>
      </c>
      <c r="P19671" s="589"/>
      <c r="Q19671" s="589"/>
      <c r="R19671" s="589">
        <v>27</v>
      </c>
    </row>
    <row r="19672" spans="1:18" ht="36">
      <c r="A19672" s="585">
        <v>100</v>
      </c>
      <c r="B19672" s="582" t="s">
        <v>35693</v>
      </c>
      <c r="C19672" s="586" t="s">
        <v>35694</v>
      </c>
      <c r="D19672" s="587">
        <v>177.3</v>
      </c>
      <c r="E19672" s="587">
        <v>172.14</v>
      </c>
      <c r="F19672" s="587"/>
      <c r="G19672" s="587">
        <v>5.16</v>
      </c>
      <c r="H19672" s="588">
        <v>2038.94</v>
      </c>
      <c r="I19672" s="588">
        <v>1979.6</v>
      </c>
      <c r="J19672" s="588"/>
      <c r="K19672" s="588">
        <v>59.34</v>
      </c>
      <c r="L19672" s="43">
        <v>11.499943598420755</v>
      </c>
      <c r="M19672" s="43">
        <v>11.499941907749507</v>
      </c>
      <c r="N19672" s="43" t="s">
        <v>1690</v>
      </c>
      <c r="O19672" s="43">
        <v>11.5</v>
      </c>
      <c r="P19672" s="589"/>
      <c r="Q19672" s="589"/>
      <c r="R19672" s="589">
        <v>27</v>
      </c>
    </row>
    <row r="19673" spans="1:18" ht="12.75" customHeight="1">
      <c r="A19673" s="628" t="s">
        <v>35695</v>
      </c>
      <c r="B19673" s="629"/>
      <c r="C19673" s="629"/>
      <c r="D19673" s="629"/>
      <c r="E19673" s="629"/>
      <c r="F19673" s="629"/>
      <c r="G19673" s="629"/>
      <c r="H19673" s="629"/>
      <c r="I19673" s="629"/>
      <c r="J19673" s="629"/>
      <c r="K19673" s="629"/>
      <c r="L19673" s="629"/>
      <c r="M19673" s="629"/>
      <c r="N19673" s="629"/>
      <c r="O19673" s="629"/>
      <c r="P19673" s="629"/>
      <c r="Q19673" s="629"/>
      <c r="R19673" s="629"/>
    </row>
    <row r="19674" spans="1:18" ht="24">
      <c r="A19674" s="585">
        <v>101</v>
      </c>
      <c r="B19674" s="582" t="s">
        <v>35696</v>
      </c>
      <c r="C19674" s="586" t="s">
        <v>35697</v>
      </c>
      <c r="D19674" s="587">
        <v>38.200000000000003</v>
      </c>
      <c r="E19674" s="587">
        <v>37.090000000000003</v>
      </c>
      <c r="F19674" s="587"/>
      <c r="G19674" s="587">
        <v>1.1100000000000001</v>
      </c>
      <c r="H19674" s="588">
        <v>439.34</v>
      </c>
      <c r="I19674" s="588">
        <v>426.57</v>
      </c>
      <c r="J19674" s="588"/>
      <c r="K19674" s="588">
        <v>12.77</v>
      </c>
      <c r="L19674" s="43">
        <v>11.501047120418846</v>
      </c>
      <c r="M19674" s="43">
        <v>11.50094365057967</v>
      </c>
      <c r="N19674" s="43" t="s">
        <v>1690</v>
      </c>
      <c r="O19674" s="43">
        <v>11.504504504504503</v>
      </c>
      <c r="P19674" s="589"/>
      <c r="Q19674" s="589"/>
      <c r="R19674" s="589">
        <v>28</v>
      </c>
    </row>
    <row r="19675" spans="1:18" ht="24">
      <c r="A19675" s="585">
        <v>102</v>
      </c>
      <c r="B19675" s="582" t="s">
        <v>35698</v>
      </c>
      <c r="C19675" s="586" t="s">
        <v>35699</v>
      </c>
      <c r="D19675" s="587">
        <v>32.33</v>
      </c>
      <c r="E19675" s="587">
        <v>31.39</v>
      </c>
      <c r="F19675" s="587"/>
      <c r="G19675" s="587">
        <v>0.94</v>
      </c>
      <c r="H19675" s="588">
        <v>371.76</v>
      </c>
      <c r="I19675" s="588">
        <v>360.95</v>
      </c>
      <c r="J19675" s="588"/>
      <c r="K19675" s="588">
        <v>10.81</v>
      </c>
      <c r="L19675" s="43">
        <v>11.49891741416641</v>
      </c>
      <c r="M19675" s="43">
        <v>11.498884995221408</v>
      </c>
      <c r="N19675" s="43" t="s">
        <v>1690</v>
      </c>
      <c r="O19675" s="43">
        <v>11.500000000000002</v>
      </c>
      <c r="P19675" s="589"/>
      <c r="Q19675" s="589"/>
      <c r="R19675" s="589">
        <v>28</v>
      </c>
    </row>
    <row r="19676" spans="1:18" ht="24">
      <c r="A19676" s="585">
        <v>103</v>
      </c>
      <c r="B19676" s="582" t="s">
        <v>35700</v>
      </c>
      <c r="C19676" s="586" t="s">
        <v>35701</v>
      </c>
      <c r="D19676" s="587">
        <v>12.27</v>
      </c>
      <c r="E19676" s="587">
        <v>11.91</v>
      </c>
      <c r="F19676" s="587"/>
      <c r="G19676" s="587">
        <v>0.36</v>
      </c>
      <c r="H19676" s="588">
        <v>141.07</v>
      </c>
      <c r="I19676" s="588">
        <v>136.93</v>
      </c>
      <c r="J19676" s="588"/>
      <c r="K19676" s="588">
        <v>4.1399999999999997</v>
      </c>
      <c r="L19676" s="43">
        <v>11.497147514262428</v>
      </c>
      <c r="M19676" s="43">
        <v>11.497061293031066</v>
      </c>
      <c r="N19676" s="43" t="s">
        <v>1690</v>
      </c>
      <c r="O19676" s="43">
        <v>11.5</v>
      </c>
      <c r="P19676" s="589"/>
      <c r="Q19676" s="589"/>
      <c r="R19676" s="589">
        <v>28</v>
      </c>
    </row>
    <row r="19677" spans="1:18" ht="12.75" customHeight="1">
      <c r="A19677" s="628" t="s">
        <v>35702</v>
      </c>
      <c r="B19677" s="629"/>
      <c r="C19677" s="629"/>
      <c r="D19677" s="629"/>
      <c r="E19677" s="629"/>
      <c r="F19677" s="629"/>
      <c r="G19677" s="629"/>
      <c r="H19677" s="629"/>
      <c r="I19677" s="629"/>
      <c r="J19677" s="629"/>
      <c r="K19677" s="629"/>
      <c r="L19677" s="629"/>
      <c r="M19677" s="629"/>
      <c r="N19677" s="629"/>
      <c r="O19677" s="629"/>
      <c r="P19677" s="629"/>
      <c r="Q19677" s="629"/>
      <c r="R19677" s="629"/>
    </row>
    <row r="19678" spans="1:18" ht="24">
      <c r="A19678" s="585">
        <v>104</v>
      </c>
      <c r="B19678" s="582" t="s">
        <v>35703</v>
      </c>
      <c r="C19678" s="586" t="s">
        <v>35704</v>
      </c>
      <c r="D19678" s="587">
        <v>23.93</v>
      </c>
      <c r="E19678" s="587">
        <v>23.23</v>
      </c>
      <c r="F19678" s="587"/>
      <c r="G19678" s="587">
        <v>0.7</v>
      </c>
      <c r="H19678" s="588">
        <v>275.24</v>
      </c>
      <c r="I19678" s="588">
        <v>267.19</v>
      </c>
      <c r="J19678" s="588"/>
      <c r="K19678" s="588">
        <v>8.0500000000000007</v>
      </c>
      <c r="L19678" s="43">
        <v>11.501880484747179</v>
      </c>
      <c r="M19678" s="43">
        <v>11.501937150236763</v>
      </c>
      <c r="N19678" s="43" t="s">
        <v>1690</v>
      </c>
      <c r="O19678" s="43">
        <v>11.500000000000002</v>
      </c>
      <c r="P19678" s="589"/>
      <c r="Q19678" s="589"/>
      <c r="R19678" s="589">
        <v>29</v>
      </c>
    </row>
    <row r="19679" spans="1:18" ht="24">
      <c r="A19679" s="585">
        <v>105</v>
      </c>
      <c r="B19679" s="582" t="s">
        <v>35705</v>
      </c>
      <c r="C19679" s="586" t="s">
        <v>35706</v>
      </c>
      <c r="D19679" s="587">
        <v>23.09</v>
      </c>
      <c r="E19679" s="587">
        <v>22.42</v>
      </c>
      <c r="F19679" s="587"/>
      <c r="G19679" s="587">
        <v>0.67</v>
      </c>
      <c r="H19679" s="588">
        <v>265.52999999999997</v>
      </c>
      <c r="I19679" s="588">
        <v>257.82</v>
      </c>
      <c r="J19679" s="588"/>
      <c r="K19679" s="588">
        <v>7.71</v>
      </c>
      <c r="L19679" s="43">
        <v>11.499783456041575</v>
      </c>
      <c r="M19679" s="43">
        <v>11.499553969669936</v>
      </c>
      <c r="N19679" s="43" t="s">
        <v>1690</v>
      </c>
      <c r="O19679" s="43">
        <v>11.503164556962025</v>
      </c>
      <c r="P19679" s="589"/>
      <c r="Q19679" s="589"/>
      <c r="R19679" s="589">
        <v>29</v>
      </c>
    </row>
    <row r="19680" spans="1:18" ht="24">
      <c r="A19680" s="585">
        <v>106</v>
      </c>
      <c r="B19680" s="582" t="s">
        <v>35707</v>
      </c>
      <c r="C19680" s="586" t="s">
        <v>35708</v>
      </c>
      <c r="D19680" s="587">
        <v>99.29</v>
      </c>
      <c r="E19680" s="587">
        <v>96.4</v>
      </c>
      <c r="F19680" s="587"/>
      <c r="G19680" s="587">
        <v>2.89</v>
      </c>
      <c r="H19680" s="588">
        <v>1141.8599999999999</v>
      </c>
      <c r="I19680" s="588">
        <v>1108.6199999999999</v>
      </c>
      <c r="J19680" s="588"/>
      <c r="K19680" s="588">
        <v>33.24</v>
      </c>
      <c r="L19680" s="43">
        <v>11.500251787692616</v>
      </c>
      <c r="M19680" s="43">
        <v>11.500207468879665</v>
      </c>
      <c r="N19680" s="43" t="s">
        <v>1690</v>
      </c>
      <c r="O19680" s="43">
        <v>11.501730103806228</v>
      </c>
      <c r="P19680" s="589"/>
      <c r="Q19680" s="589"/>
      <c r="R19680" s="589">
        <v>29</v>
      </c>
    </row>
    <row r="19681" spans="1:18" ht="24">
      <c r="A19681" s="585">
        <v>107</v>
      </c>
      <c r="B19681" s="582" t="s">
        <v>35709</v>
      </c>
      <c r="C19681" s="586" t="s">
        <v>35710</v>
      </c>
      <c r="D19681" s="587">
        <v>19.940000000000001</v>
      </c>
      <c r="E19681" s="587">
        <v>19.36</v>
      </c>
      <c r="F19681" s="587"/>
      <c r="G19681" s="587">
        <v>0.57999999999999996</v>
      </c>
      <c r="H19681" s="588">
        <v>229.33</v>
      </c>
      <c r="I19681" s="588">
        <v>222.66</v>
      </c>
      <c r="J19681" s="588"/>
      <c r="K19681" s="588">
        <v>6.67</v>
      </c>
      <c r="L19681" s="43">
        <v>11.50100300902708</v>
      </c>
      <c r="M19681" s="43">
        <v>11.50103305785124</v>
      </c>
      <c r="N19681" s="43" t="s">
        <v>1690</v>
      </c>
      <c r="O19681" s="43">
        <v>11.5</v>
      </c>
      <c r="P19681" s="589"/>
      <c r="Q19681" s="589"/>
      <c r="R19681" s="589">
        <v>29</v>
      </c>
    </row>
    <row r="19682" spans="1:18" ht="24">
      <c r="A19682" s="585">
        <v>108</v>
      </c>
      <c r="B19682" s="582" t="s">
        <v>35711</v>
      </c>
      <c r="C19682" s="586" t="s">
        <v>35712</v>
      </c>
      <c r="D19682" s="587">
        <v>51.63</v>
      </c>
      <c r="E19682" s="587">
        <v>50.13</v>
      </c>
      <c r="F19682" s="587"/>
      <c r="G19682" s="587">
        <v>1.5</v>
      </c>
      <c r="H19682" s="588">
        <v>593.82000000000005</v>
      </c>
      <c r="I19682" s="588">
        <v>576.57000000000005</v>
      </c>
      <c r="J19682" s="588"/>
      <c r="K19682" s="588">
        <v>17.25</v>
      </c>
      <c r="L19682" s="43">
        <v>11.501452643811739</v>
      </c>
      <c r="M19682" s="43">
        <v>11.501496110113704</v>
      </c>
      <c r="N19682" s="43" t="s">
        <v>1690</v>
      </c>
      <c r="O19682" s="43">
        <v>11.5</v>
      </c>
      <c r="P19682" s="589"/>
      <c r="Q19682" s="589"/>
      <c r="R19682" s="589">
        <v>29</v>
      </c>
    </row>
    <row r="19683" spans="1:18" ht="24">
      <c r="A19683" s="585">
        <v>109</v>
      </c>
      <c r="B19683" s="582" t="s">
        <v>35713</v>
      </c>
      <c r="C19683" s="586" t="s">
        <v>35714</v>
      </c>
      <c r="D19683" s="587">
        <v>45.55</v>
      </c>
      <c r="E19683" s="587">
        <v>44.22</v>
      </c>
      <c r="F19683" s="587"/>
      <c r="G19683" s="587">
        <v>1.33</v>
      </c>
      <c r="H19683" s="588">
        <v>523.9</v>
      </c>
      <c r="I19683" s="588">
        <v>508.6</v>
      </c>
      <c r="J19683" s="588"/>
      <c r="K19683" s="588">
        <v>15.3</v>
      </c>
      <c r="L19683" s="43">
        <v>11.501646542261252</v>
      </c>
      <c r="M19683" s="43">
        <v>11.501582994120309</v>
      </c>
      <c r="N19683" s="43" t="s">
        <v>1690</v>
      </c>
      <c r="O19683" s="43">
        <v>11.503759398496241</v>
      </c>
      <c r="P19683" s="589"/>
      <c r="Q19683" s="589"/>
      <c r="R19683" s="589">
        <v>29</v>
      </c>
    </row>
    <row r="19684" spans="1:18" ht="12.75" customHeight="1">
      <c r="A19684" s="628" t="s">
        <v>35715</v>
      </c>
      <c r="B19684" s="629"/>
      <c r="C19684" s="629"/>
      <c r="D19684" s="629"/>
      <c r="E19684" s="629"/>
      <c r="F19684" s="629"/>
      <c r="G19684" s="629"/>
      <c r="H19684" s="629"/>
      <c r="I19684" s="629"/>
      <c r="J19684" s="629"/>
      <c r="K19684" s="629"/>
      <c r="L19684" s="629"/>
      <c r="M19684" s="629"/>
      <c r="N19684" s="629"/>
      <c r="O19684" s="629"/>
      <c r="P19684" s="629"/>
      <c r="Q19684" s="629"/>
      <c r="R19684" s="629"/>
    </row>
    <row r="19685" spans="1:18" ht="24">
      <c r="A19685" s="585">
        <v>110</v>
      </c>
      <c r="B19685" s="582" t="s">
        <v>35716</v>
      </c>
      <c r="C19685" s="586" t="s">
        <v>35717</v>
      </c>
      <c r="D19685" s="587">
        <v>259.01</v>
      </c>
      <c r="E19685" s="587">
        <v>249.32</v>
      </c>
      <c r="F19685" s="587">
        <v>2.21</v>
      </c>
      <c r="G19685" s="587">
        <v>7.48</v>
      </c>
      <c r="H19685" s="588">
        <v>2964.72</v>
      </c>
      <c r="I19685" s="588">
        <v>2867.18</v>
      </c>
      <c r="J19685" s="588">
        <v>11.52</v>
      </c>
      <c r="K19685" s="588">
        <v>86.02</v>
      </c>
      <c r="L19685" s="43">
        <v>11.446353422647773</v>
      </c>
      <c r="M19685" s="43">
        <v>11.5</v>
      </c>
      <c r="N19685" s="43">
        <v>5.2126696832579187</v>
      </c>
      <c r="O19685" s="43">
        <v>11.499999999999998</v>
      </c>
      <c r="P19685" s="589"/>
      <c r="Q19685" s="589"/>
      <c r="R19685" s="589">
        <v>30</v>
      </c>
    </row>
    <row r="19686" spans="1:18" ht="24">
      <c r="A19686" s="585">
        <v>111</v>
      </c>
      <c r="B19686" s="582" t="s">
        <v>35718</v>
      </c>
      <c r="C19686" s="586" t="s">
        <v>35719</v>
      </c>
      <c r="D19686" s="587">
        <v>268.61</v>
      </c>
      <c r="E19686" s="587">
        <v>258.43</v>
      </c>
      <c r="F19686" s="587">
        <v>2.4300000000000002</v>
      </c>
      <c r="G19686" s="587">
        <v>7.75</v>
      </c>
      <c r="H19686" s="588">
        <v>3073.69</v>
      </c>
      <c r="I19686" s="588">
        <v>2971.89</v>
      </c>
      <c r="J19686" s="588">
        <v>12.67</v>
      </c>
      <c r="K19686" s="588">
        <v>89.13</v>
      </c>
      <c r="L19686" s="43">
        <v>11.442947023565765</v>
      </c>
      <c r="M19686" s="43">
        <v>11.499787176411406</v>
      </c>
      <c r="N19686" s="43">
        <v>5.2139917695473246</v>
      </c>
      <c r="O19686" s="43">
        <v>11.500645161290322</v>
      </c>
      <c r="P19686" s="589"/>
      <c r="Q19686" s="589"/>
      <c r="R19686" s="589">
        <v>30</v>
      </c>
    </row>
    <row r="19687" spans="1:18" ht="24">
      <c r="A19687" s="585">
        <v>112</v>
      </c>
      <c r="B19687" s="582" t="s">
        <v>35720</v>
      </c>
      <c r="C19687" s="586" t="s">
        <v>35721</v>
      </c>
      <c r="D19687" s="587">
        <v>47.34</v>
      </c>
      <c r="E19687" s="587">
        <v>45.96</v>
      </c>
      <c r="F19687" s="587"/>
      <c r="G19687" s="587">
        <v>1.38</v>
      </c>
      <c r="H19687" s="588">
        <v>544.42999999999995</v>
      </c>
      <c r="I19687" s="588">
        <v>528.55999999999995</v>
      </c>
      <c r="J19687" s="588"/>
      <c r="K19687" s="588">
        <v>15.87</v>
      </c>
      <c r="L19687" s="43">
        <v>11.500422475707644</v>
      </c>
      <c r="M19687" s="43">
        <v>11.500435161009571</v>
      </c>
      <c r="N19687" s="43" t="s">
        <v>1690</v>
      </c>
      <c r="O19687" s="43">
        <v>11.5</v>
      </c>
      <c r="P19687" s="589"/>
      <c r="Q19687" s="589"/>
      <c r="R19687" s="589">
        <v>30</v>
      </c>
    </row>
    <row r="19688" spans="1:18" ht="24">
      <c r="A19688" s="585">
        <v>113</v>
      </c>
      <c r="B19688" s="582" t="s">
        <v>35722</v>
      </c>
      <c r="C19688" s="586" t="s">
        <v>35723</v>
      </c>
      <c r="D19688" s="587">
        <v>74.81</v>
      </c>
      <c r="E19688" s="587">
        <v>72.63</v>
      </c>
      <c r="F19688" s="587"/>
      <c r="G19688" s="587">
        <v>2.1800000000000002</v>
      </c>
      <c r="H19688" s="588">
        <v>860.29</v>
      </c>
      <c r="I19688" s="588">
        <v>835.22</v>
      </c>
      <c r="J19688" s="588"/>
      <c r="K19688" s="588">
        <v>25.07</v>
      </c>
      <c r="L19688" s="43">
        <v>11.49966582007753</v>
      </c>
      <c r="M19688" s="43">
        <v>11.499655789618616</v>
      </c>
      <c r="N19688" s="43" t="s">
        <v>1690</v>
      </c>
      <c r="O19688" s="43">
        <v>11.5</v>
      </c>
      <c r="P19688" s="589"/>
      <c r="Q19688" s="589"/>
      <c r="R19688" s="589">
        <v>30</v>
      </c>
    </row>
    <row r="19689" spans="1:18" ht="24">
      <c r="A19689" s="585">
        <v>114</v>
      </c>
      <c r="B19689" s="582" t="s">
        <v>35724</v>
      </c>
      <c r="C19689" s="586" t="s">
        <v>35725</v>
      </c>
      <c r="D19689" s="587">
        <v>5.04</v>
      </c>
      <c r="E19689" s="587">
        <v>4.8899999999999997</v>
      </c>
      <c r="F19689" s="587"/>
      <c r="G19689" s="587">
        <v>0.15</v>
      </c>
      <c r="H19689" s="588">
        <v>57.98</v>
      </c>
      <c r="I19689" s="588">
        <v>56.25</v>
      </c>
      <c r="J19689" s="588"/>
      <c r="K19689" s="588">
        <v>1.73</v>
      </c>
      <c r="L19689" s="43">
        <v>11.503968253968253</v>
      </c>
      <c r="M19689" s="43">
        <v>11.503067484662578</v>
      </c>
      <c r="N19689" s="43" t="s">
        <v>1690</v>
      </c>
      <c r="O19689" s="43">
        <v>11.503164556962025</v>
      </c>
      <c r="P19689" s="589"/>
      <c r="Q19689" s="589"/>
      <c r="R19689" s="589">
        <v>30</v>
      </c>
    </row>
    <row r="19690" spans="1:18" ht="12.75" customHeight="1">
      <c r="A19690" s="628" t="s">
        <v>35726</v>
      </c>
      <c r="B19690" s="629"/>
      <c r="C19690" s="629"/>
      <c r="D19690" s="629"/>
      <c r="E19690" s="629"/>
      <c r="F19690" s="629"/>
      <c r="G19690" s="629"/>
      <c r="H19690" s="629"/>
      <c r="I19690" s="629"/>
      <c r="J19690" s="629"/>
      <c r="K19690" s="629"/>
      <c r="L19690" s="629"/>
      <c r="M19690" s="629"/>
      <c r="N19690" s="629"/>
      <c r="O19690" s="629"/>
      <c r="P19690" s="629"/>
      <c r="Q19690" s="629"/>
      <c r="R19690" s="629"/>
    </row>
    <row r="19691" spans="1:18" ht="24">
      <c r="A19691" s="585">
        <v>115</v>
      </c>
      <c r="B19691" s="582" t="s">
        <v>35727</v>
      </c>
      <c r="C19691" s="586" t="s">
        <v>35728</v>
      </c>
      <c r="D19691" s="587">
        <v>67.22</v>
      </c>
      <c r="E19691" s="587">
        <v>65.260000000000005</v>
      </c>
      <c r="F19691" s="587"/>
      <c r="G19691" s="587">
        <v>1.96</v>
      </c>
      <c r="H19691" s="588">
        <v>773.1</v>
      </c>
      <c r="I19691" s="588">
        <v>750.56</v>
      </c>
      <c r="J19691" s="588"/>
      <c r="K19691" s="588">
        <v>22.54</v>
      </c>
      <c r="L19691" s="43">
        <v>11.501041356739066</v>
      </c>
      <c r="M19691" s="43">
        <v>11.501072632546734</v>
      </c>
      <c r="N19691" s="43" t="s">
        <v>1690</v>
      </c>
      <c r="O19691" s="43">
        <v>11.5</v>
      </c>
      <c r="P19691" s="589"/>
      <c r="Q19691" s="589"/>
      <c r="R19691" s="589">
        <v>31</v>
      </c>
    </row>
    <row r="19692" spans="1:18" ht="24">
      <c r="A19692" s="585">
        <v>116</v>
      </c>
      <c r="B19692" s="582" t="s">
        <v>35729</v>
      </c>
      <c r="C19692" s="586" t="s">
        <v>35730</v>
      </c>
      <c r="D19692" s="587">
        <v>46.81</v>
      </c>
      <c r="E19692" s="587">
        <v>45.45</v>
      </c>
      <c r="F19692" s="587"/>
      <c r="G19692" s="587">
        <v>1.36</v>
      </c>
      <c r="H19692" s="588">
        <v>538.30999999999995</v>
      </c>
      <c r="I19692" s="588">
        <v>522.66999999999996</v>
      </c>
      <c r="J19692" s="588"/>
      <c r="K19692" s="588">
        <v>15.64</v>
      </c>
      <c r="L19692" s="43">
        <v>11.499893185216832</v>
      </c>
      <c r="M19692" s="43">
        <v>11.499889988998898</v>
      </c>
      <c r="N19692" s="43" t="s">
        <v>1690</v>
      </c>
      <c r="O19692" s="43">
        <v>11.5</v>
      </c>
      <c r="P19692" s="589"/>
      <c r="Q19692" s="589"/>
      <c r="R19692" s="589">
        <v>31</v>
      </c>
    </row>
    <row r="19693" spans="1:18" ht="12.75" customHeight="1">
      <c r="A19693" s="628" t="s">
        <v>35731</v>
      </c>
      <c r="B19693" s="629"/>
      <c r="C19693" s="629"/>
      <c r="D19693" s="629"/>
      <c r="E19693" s="629"/>
      <c r="F19693" s="629"/>
      <c r="G19693" s="629"/>
      <c r="H19693" s="629"/>
      <c r="I19693" s="629"/>
      <c r="J19693" s="629"/>
      <c r="K19693" s="629"/>
      <c r="L19693" s="629"/>
      <c r="M19693" s="629"/>
      <c r="N19693" s="629"/>
      <c r="O19693" s="629"/>
      <c r="P19693" s="629"/>
      <c r="Q19693" s="629"/>
      <c r="R19693" s="629"/>
    </row>
    <row r="19694" spans="1:18" ht="24">
      <c r="A19694" s="585">
        <v>117</v>
      </c>
      <c r="B19694" s="582" t="s">
        <v>35732</v>
      </c>
      <c r="C19694" s="586" t="s">
        <v>35733</v>
      </c>
      <c r="D19694" s="587">
        <v>39.06</v>
      </c>
      <c r="E19694" s="587">
        <v>37.92</v>
      </c>
      <c r="F19694" s="587"/>
      <c r="G19694" s="587">
        <v>1.1399999999999999</v>
      </c>
      <c r="H19694" s="588">
        <v>449.17</v>
      </c>
      <c r="I19694" s="588">
        <v>436.06</v>
      </c>
      <c r="J19694" s="588"/>
      <c r="K19694" s="588">
        <v>13.11</v>
      </c>
      <c r="L19694" s="43">
        <v>11.499487967229902</v>
      </c>
      <c r="M19694" s="43">
        <v>11.499472573839663</v>
      </c>
      <c r="N19694" s="43" t="s">
        <v>1690</v>
      </c>
      <c r="O19694" s="43">
        <v>11.5</v>
      </c>
      <c r="P19694" s="589"/>
      <c r="Q19694" s="589"/>
      <c r="R19694" s="589">
        <v>32</v>
      </c>
    </row>
    <row r="19695" spans="1:18" ht="12.75" customHeight="1">
      <c r="A19695" s="628" t="s">
        <v>35734</v>
      </c>
      <c r="B19695" s="629"/>
      <c r="C19695" s="629"/>
      <c r="D19695" s="629"/>
      <c r="E19695" s="629"/>
      <c r="F19695" s="629"/>
      <c r="G19695" s="629"/>
      <c r="H19695" s="629"/>
      <c r="I19695" s="629"/>
      <c r="J19695" s="629"/>
      <c r="K19695" s="629"/>
      <c r="L19695" s="629"/>
      <c r="M19695" s="629"/>
      <c r="N19695" s="629"/>
      <c r="O19695" s="629"/>
      <c r="P19695" s="629"/>
      <c r="Q19695" s="629"/>
      <c r="R19695" s="629"/>
    </row>
    <row r="19696" spans="1:18" ht="24">
      <c r="A19696" s="585">
        <v>118</v>
      </c>
      <c r="B19696" s="582" t="s">
        <v>35735</v>
      </c>
      <c r="C19696" s="586" t="s">
        <v>35736</v>
      </c>
      <c r="D19696" s="587">
        <v>28.96</v>
      </c>
      <c r="E19696" s="587">
        <v>28.12</v>
      </c>
      <c r="F19696" s="587"/>
      <c r="G19696" s="587">
        <v>0.84</v>
      </c>
      <c r="H19696" s="588">
        <v>333.1</v>
      </c>
      <c r="I19696" s="588">
        <v>323.44</v>
      </c>
      <c r="J19696" s="588"/>
      <c r="K19696" s="588">
        <v>9.66</v>
      </c>
      <c r="L19696" s="43">
        <v>11.502071823204421</v>
      </c>
      <c r="M19696" s="43">
        <v>11.502133712660028</v>
      </c>
      <c r="N19696" s="43" t="s">
        <v>1690</v>
      </c>
      <c r="O19696" s="43">
        <v>11.5</v>
      </c>
      <c r="P19696" s="589"/>
      <c r="Q19696" s="589"/>
      <c r="R19696" s="589">
        <v>33</v>
      </c>
    </row>
    <row r="19697" spans="1:18" ht="36">
      <c r="A19697" s="585">
        <v>119</v>
      </c>
      <c r="B19697" s="582" t="s">
        <v>35737</v>
      </c>
      <c r="C19697" s="586" t="s">
        <v>35738</v>
      </c>
      <c r="D19697" s="587">
        <v>74.09</v>
      </c>
      <c r="E19697" s="587">
        <v>71.930000000000007</v>
      </c>
      <c r="F19697" s="587"/>
      <c r="G19697" s="587">
        <v>2.16</v>
      </c>
      <c r="H19697" s="588">
        <v>852.04</v>
      </c>
      <c r="I19697" s="588">
        <v>827.2</v>
      </c>
      <c r="J19697" s="588"/>
      <c r="K19697" s="588">
        <v>24.84</v>
      </c>
      <c r="L19697" s="43">
        <v>11.500067485490618</v>
      </c>
      <c r="M19697" s="43">
        <v>11.500069512025579</v>
      </c>
      <c r="N19697" s="43" t="s">
        <v>1690</v>
      </c>
      <c r="O19697" s="43">
        <v>11.5</v>
      </c>
      <c r="P19697" s="589"/>
      <c r="Q19697" s="589"/>
      <c r="R19697" s="589">
        <v>33</v>
      </c>
    </row>
    <row r="19698" spans="1:18" ht="36">
      <c r="A19698" s="585">
        <v>120</v>
      </c>
      <c r="B19698" s="582" t="s">
        <v>35739</v>
      </c>
      <c r="C19698" s="586" t="s">
        <v>35740</v>
      </c>
      <c r="D19698" s="587">
        <v>95.15</v>
      </c>
      <c r="E19698" s="587">
        <v>92.38</v>
      </c>
      <c r="F19698" s="587"/>
      <c r="G19698" s="587">
        <v>2.77</v>
      </c>
      <c r="H19698" s="588">
        <v>1094.27</v>
      </c>
      <c r="I19698" s="588">
        <v>1062.4100000000001</v>
      </c>
      <c r="J19698" s="588"/>
      <c r="K19698" s="588">
        <v>31.86</v>
      </c>
      <c r="L19698" s="43">
        <v>11.500472937467157</v>
      </c>
      <c r="M19698" s="43">
        <v>11.500432994154581</v>
      </c>
      <c r="N19698" s="43" t="s">
        <v>1690</v>
      </c>
      <c r="O19698" s="43">
        <v>11.501805054151625</v>
      </c>
      <c r="P19698" s="589"/>
      <c r="Q19698" s="589"/>
      <c r="R19698" s="589">
        <v>33</v>
      </c>
    </row>
    <row r="19699" spans="1:18" ht="24">
      <c r="A19699" s="585">
        <v>121</v>
      </c>
      <c r="B19699" s="582" t="s">
        <v>35741</v>
      </c>
      <c r="C19699" s="586" t="s">
        <v>35742</v>
      </c>
      <c r="D19699" s="587">
        <v>42.13</v>
      </c>
      <c r="E19699" s="587">
        <v>40.9</v>
      </c>
      <c r="F19699" s="587"/>
      <c r="G19699" s="587">
        <v>1.23</v>
      </c>
      <c r="H19699" s="588">
        <v>484.57</v>
      </c>
      <c r="I19699" s="588">
        <v>470.42</v>
      </c>
      <c r="J19699" s="588"/>
      <c r="K19699" s="588">
        <v>14.15</v>
      </c>
      <c r="L19699" s="43">
        <v>11.501780204130073</v>
      </c>
      <c r="M19699" s="43">
        <v>11.501711491442544</v>
      </c>
      <c r="N19699" s="43" t="s">
        <v>1690</v>
      </c>
      <c r="O19699" s="43">
        <v>11.504065040650406</v>
      </c>
      <c r="P19699" s="589"/>
      <c r="Q19699" s="589"/>
      <c r="R19699" s="589">
        <v>33</v>
      </c>
    </row>
    <row r="19700" spans="1:18" ht="12.75" customHeight="1">
      <c r="A19700" s="628" t="s">
        <v>35743</v>
      </c>
      <c r="B19700" s="629"/>
      <c r="C19700" s="629"/>
      <c r="D19700" s="629"/>
      <c r="E19700" s="629"/>
      <c r="F19700" s="629"/>
      <c r="G19700" s="629"/>
      <c r="H19700" s="629"/>
      <c r="I19700" s="629"/>
      <c r="J19700" s="629"/>
      <c r="K19700" s="629"/>
      <c r="L19700" s="629"/>
      <c r="M19700" s="629"/>
      <c r="N19700" s="629"/>
      <c r="O19700" s="629"/>
      <c r="P19700" s="629"/>
      <c r="Q19700" s="629"/>
      <c r="R19700" s="629"/>
    </row>
    <row r="19701" spans="1:18" ht="24">
      <c r="A19701" s="585">
        <v>122</v>
      </c>
      <c r="B19701" s="582" t="s">
        <v>35744</v>
      </c>
      <c r="C19701" s="586" t="s">
        <v>35745</v>
      </c>
      <c r="D19701" s="587">
        <v>5.25</v>
      </c>
      <c r="E19701" s="587">
        <v>5.0999999999999996</v>
      </c>
      <c r="F19701" s="587"/>
      <c r="G19701" s="587">
        <v>0.15</v>
      </c>
      <c r="H19701" s="588">
        <v>60.33</v>
      </c>
      <c r="I19701" s="588">
        <v>58.6</v>
      </c>
      <c r="J19701" s="588"/>
      <c r="K19701" s="588">
        <v>1.73</v>
      </c>
      <c r="L19701" s="43">
        <v>11.503164556962025</v>
      </c>
      <c r="M19701" s="43">
        <v>11.498253783469149</v>
      </c>
      <c r="N19701" s="43" t="s">
        <v>1690</v>
      </c>
      <c r="O19701" s="43">
        <v>11.503164556962025</v>
      </c>
      <c r="P19701" s="589"/>
      <c r="Q19701" s="589"/>
      <c r="R19701" s="589">
        <v>34</v>
      </c>
    </row>
    <row r="19702" spans="1:18" ht="24">
      <c r="A19702" s="585">
        <v>123</v>
      </c>
      <c r="B19702" s="582" t="s">
        <v>35746</v>
      </c>
      <c r="C19702" s="586" t="s">
        <v>35747</v>
      </c>
      <c r="D19702" s="587">
        <v>5.81</v>
      </c>
      <c r="E19702" s="587">
        <v>5.64</v>
      </c>
      <c r="F19702" s="587"/>
      <c r="G19702" s="587">
        <v>0.17</v>
      </c>
      <c r="H19702" s="588">
        <v>66.86</v>
      </c>
      <c r="I19702" s="588">
        <v>64.900000000000006</v>
      </c>
      <c r="J19702" s="588"/>
      <c r="K19702" s="588">
        <v>1.96</v>
      </c>
      <c r="L19702" s="43">
        <v>11.503164556962025</v>
      </c>
      <c r="M19702" s="43">
        <v>11.498253783469149</v>
      </c>
      <c r="N19702" s="43" t="s">
        <v>1690</v>
      </c>
      <c r="O19702" s="43">
        <v>11.503164556962025</v>
      </c>
      <c r="P19702" s="589"/>
      <c r="Q19702" s="589"/>
      <c r="R19702" s="589">
        <v>34</v>
      </c>
    </row>
    <row r="19703" spans="1:18" ht="24">
      <c r="A19703" s="585">
        <v>124</v>
      </c>
      <c r="B19703" s="582" t="s">
        <v>35748</v>
      </c>
      <c r="C19703" s="586" t="s">
        <v>35749</v>
      </c>
      <c r="D19703" s="587">
        <v>3.35</v>
      </c>
      <c r="E19703" s="587">
        <v>3.25</v>
      </c>
      <c r="F19703" s="587"/>
      <c r="G19703" s="587">
        <v>0.1</v>
      </c>
      <c r="H19703" s="588">
        <v>38.549999999999997</v>
      </c>
      <c r="I19703" s="588">
        <v>37.4</v>
      </c>
      <c r="J19703" s="588"/>
      <c r="K19703" s="588">
        <v>1.1499999999999999</v>
      </c>
      <c r="L19703" s="43">
        <v>11.503164556962025</v>
      </c>
      <c r="M19703" s="43">
        <v>11.498253783469149</v>
      </c>
      <c r="N19703" s="43" t="s">
        <v>1690</v>
      </c>
      <c r="O19703" s="43">
        <v>11.499999999999998</v>
      </c>
      <c r="P19703" s="589"/>
      <c r="Q19703" s="589"/>
      <c r="R19703" s="589">
        <v>34</v>
      </c>
    </row>
    <row r="19704" spans="1:18" ht="12.75" customHeight="1">
      <c r="A19704" s="628" t="s">
        <v>35750</v>
      </c>
      <c r="B19704" s="629"/>
      <c r="C19704" s="629"/>
      <c r="D19704" s="629"/>
      <c r="E19704" s="629"/>
      <c r="F19704" s="629"/>
      <c r="G19704" s="629"/>
      <c r="H19704" s="629"/>
      <c r="I19704" s="629"/>
      <c r="J19704" s="629"/>
      <c r="K19704" s="629"/>
      <c r="L19704" s="629"/>
      <c r="M19704" s="629"/>
      <c r="N19704" s="629"/>
      <c r="O19704" s="629"/>
      <c r="P19704" s="629"/>
      <c r="Q19704" s="629"/>
      <c r="R19704" s="629"/>
    </row>
    <row r="19705" spans="1:18" ht="24">
      <c r="A19705" s="585">
        <v>125</v>
      </c>
      <c r="B19705" s="582" t="s">
        <v>35751</v>
      </c>
      <c r="C19705" s="586" t="s">
        <v>35752</v>
      </c>
      <c r="D19705" s="587">
        <v>18.89</v>
      </c>
      <c r="E19705" s="587">
        <v>18.34</v>
      </c>
      <c r="F19705" s="587"/>
      <c r="G19705" s="587">
        <v>0.55000000000000004</v>
      </c>
      <c r="H19705" s="588">
        <v>217.27</v>
      </c>
      <c r="I19705" s="588">
        <v>210.94</v>
      </c>
      <c r="J19705" s="588"/>
      <c r="K19705" s="588">
        <v>6.33</v>
      </c>
      <c r="L19705" s="43">
        <v>11.503164556962025</v>
      </c>
      <c r="M19705" s="43">
        <v>11.501635768811342</v>
      </c>
      <c r="N19705" s="43" t="s">
        <v>1690</v>
      </c>
      <c r="O19705" s="43">
        <v>11.503164556962025</v>
      </c>
      <c r="P19705" s="589"/>
      <c r="Q19705" s="589"/>
      <c r="R19705" s="589">
        <v>35</v>
      </c>
    </row>
    <row r="19706" spans="1:18" ht="36">
      <c r="A19706" s="585">
        <v>126</v>
      </c>
      <c r="B19706" s="582" t="s">
        <v>35753</v>
      </c>
      <c r="C19706" s="586" t="s">
        <v>35754</v>
      </c>
      <c r="D19706" s="587">
        <v>2.31</v>
      </c>
      <c r="E19706" s="587">
        <v>2.2400000000000002</v>
      </c>
      <c r="F19706" s="587"/>
      <c r="G19706" s="587">
        <v>7.0000000000000007E-2</v>
      </c>
      <c r="H19706" s="588">
        <v>26.59</v>
      </c>
      <c r="I19706" s="588">
        <v>25.78</v>
      </c>
      <c r="J19706" s="588"/>
      <c r="K19706" s="588">
        <v>0.81</v>
      </c>
      <c r="L19706" s="43">
        <v>11.503164556962025</v>
      </c>
      <c r="M19706" s="43">
        <v>11.498253783469149</v>
      </c>
      <c r="N19706" s="43" t="s">
        <v>1690</v>
      </c>
      <c r="O19706" s="43">
        <v>11.503164556962025</v>
      </c>
      <c r="P19706" s="589"/>
      <c r="Q19706" s="589"/>
      <c r="R19706" s="589">
        <v>35</v>
      </c>
    </row>
    <row r="19707" spans="1:18" ht="36">
      <c r="A19707" s="585">
        <v>127</v>
      </c>
      <c r="B19707" s="582" t="s">
        <v>35755</v>
      </c>
      <c r="C19707" s="586" t="s">
        <v>35756</v>
      </c>
      <c r="D19707" s="587">
        <v>2.94</v>
      </c>
      <c r="E19707" s="587">
        <v>2.85</v>
      </c>
      <c r="F19707" s="587"/>
      <c r="G19707" s="587">
        <v>0.09</v>
      </c>
      <c r="H19707" s="588">
        <v>33.85</v>
      </c>
      <c r="I19707" s="588">
        <v>32.81</v>
      </c>
      <c r="J19707" s="588"/>
      <c r="K19707" s="588">
        <v>1.04</v>
      </c>
      <c r="L19707" s="43">
        <v>11.503164556962025</v>
      </c>
      <c r="M19707" s="43">
        <v>11.498253783469149</v>
      </c>
      <c r="N19707" s="43" t="s">
        <v>1690</v>
      </c>
      <c r="O19707" s="43">
        <v>11.503164556962025</v>
      </c>
      <c r="P19707" s="589"/>
      <c r="Q19707" s="589"/>
      <c r="R19707" s="589">
        <v>35</v>
      </c>
    </row>
    <row r="19708" spans="1:18" ht="24">
      <c r="A19708" s="585">
        <v>128</v>
      </c>
      <c r="B19708" s="582" t="s">
        <v>35757</v>
      </c>
      <c r="C19708" s="586" t="s">
        <v>35758</v>
      </c>
      <c r="D19708" s="587">
        <v>4.83</v>
      </c>
      <c r="E19708" s="587">
        <v>4.6900000000000004</v>
      </c>
      <c r="F19708" s="587"/>
      <c r="G19708" s="587">
        <v>0.14000000000000001</v>
      </c>
      <c r="H19708" s="588">
        <v>55.52</v>
      </c>
      <c r="I19708" s="588">
        <v>53.91</v>
      </c>
      <c r="J19708" s="588"/>
      <c r="K19708" s="588">
        <v>1.61</v>
      </c>
      <c r="L19708" s="43">
        <v>11.503164556962025</v>
      </c>
      <c r="M19708" s="43">
        <v>11.498253783469149</v>
      </c>
      <c r="N19708" s="43" t="s">
        <v>1690</v>
      </c>
      <c r="O19708" s="43">
        <v>11.503164556962025</v>
      </c>
      <c r="P19708" s="589"/>
      <c r="Q19708" s="589"/>
      <c r="R19708" s="589">
        <v>35</v>
      </c>
    </row>
    <row r="19709" spans="1:18" ht="24">
      <c r="A19709" s="585">
        <v>129</v>
      </c>
      <c r="B19709" s="582" t="s">
        <v>35759</v>
      </c>
      <c r="C19709" s="586" t="s">
        <v>35760</v>
      </c>
      <c r="D19709" s="587">
        <v>2.52</v>
      </c>
      <c r="E19709" s="587">
        <v>2.4500000000000002</v>
      </c>
      <c r="F19709" s="587"/>
      <c r="G19709" s="587">
        <v>7.0000000000000007E-2</v>
      </c>
      <c r="H19709" s="588">
        <v>28.94</v>
      </c>
      <c r="I19709" s="588">
        <v>28.13</v>
      </c>
      <c r="J19709" s="588"/>
      <c r="K19709" s="588">
        <v>0.81</v>
      </c>
      <c r="L19709" s="43">
        <v>11.503164556962025</v>
      </c>
      <c r="M19709" s="43">
        <v>11.498253783469149</v>
      </c>
      <c r="N19709" s="43" t="s">
        <v>1690</v>
      </c>
      <c r="O19709" s="43">
        <v>11.503164556962025</v>
      </c>
      <c r="P19709" s="589"/>
      <c r="Q19709" s="589"/>
      <c r="R19709" s="589">
        <v>35</v>
      </c>
    </row>
    <row r="19710" spans="1:18" ht="24">
      <c r="A19710" s="585">
        <v>130</v>
      </c>
      <c r="B19710" s="582" t="s">
        <v>35761</v>
      </c>
      <c r="C19710" s="586" t="s">
        <v>35762</v>
      </c>
      <c r="D19710" s="587">
        <v>15.53</v>
      </c>
      <c r="E19710" s="587">
        <v>15.08</v>
      </c>
      <c r="F19710" s="587"/>
      <c r="G19710" s="587">
        <v>0.45</v>
      </c>
      <c r="H19710" s="588">
        <v>178.62</v>
      </c>
      <c r="I19710" s="588">
        <v>173.44</v>
      </c>
      <c r="J19710" s="588"/>
      <c r="K19710" s="588">
        <v>5.18</v>
      </c>
      <c r="L19710" s="43">
        <v>11.503164556962025</v>
      </c>
      <c r="M19710" s="43">
        <v>11.50132625994695</v>
      </c>
      <c r="N19710" s="43" t="s">
        <v>1690</v>
      </c>
      <c r="O19710" s="43">
        <v>11.503164556962025</v>
      </c>
      <c r="P19710" s="589"/>
      <c r="Q19710" s="589"/>
      <c r="R19710" s="589">
        <v>35</v>
      </c>
    </row>
    <row r="19711" spans="1:18" ht="24">
      <c r="A19711" s="585">
        <v>131</v>
      </c>
      <c r="B19711" s="582" t="s">
        <v>35763</v>
      </c>
      <c r="C19711" s="586" t="s">
        <v>35764</v>
      </c>
      <c r="D19711" s="587">
        <v>5.67</v>
      </c>
      <c r="E19711" s="587">
        <v>5.5</v>
      </c>
      <c r="F19711" s="587"/>
      <c r="G19711" s="587">
        <v>0.17</v>
      </c>
      <c r="H19711" s="588">
        <v>65.239999999999995</v>
      </c>
      <c r="I19711" s="588">
        <v>63.28</v>
      </c>
      <c r="J19711" s="588"/>
      <c r="K19711" s="588">
        <v>1.96</v>
      </c>
      <c r="L19711" s="43">
        <v>11.503164556962025</v>
      </c>
      <c r="M19711" s="43">
        <v>11.498253783469149</v>
      </c>
      <c r="N19711" s="43" t="s">
        <v>1690</v>
      </c>
      <c r="O19711" s="43">
        <v>11.503164556962025</v>
      </c>
      <c r="P19711" s="589"/>
      <c r="Q19711" s="589"/>
      <c r="R19711" s="589">
        <v>35</v>
      </c>
    </row>
    <row r="19712" spans="1:18" ht="24">
      <c r="A19712" s="585">
        <v>132</v>
      </c>
      <c r="B19712" s="582" t="s">
        <v>35765</v>
      </c>
      <c r="C19712" s="586" t="s">
        <v>35766</v>
      </c>
      <c r="D19712" s="587">
        <v>11.75</v>
      </c>
      <c r="E19712" s="587">
        <v>11.41</v>
      </c>
      <c r="F19712" s="587"/>
      <c r="G19712" s="587">
        <v>0.34</v>
      </c>
      <c r="H19712" s="588">
        <v>135.16</v>
      </c>
      <c r="I19712" s="588">
        <v>131.25</v>
      </c>
      <c r="J19712" s="588"/>
      <c r="K19712" s="588">
        <v>3.91</v>
      </c>
      <c r="L19712" s="43">
        <v>11.503164556962025</v>
      </c>
      <c r="M19712" s="43">
        <v>11.503067484662576</v>
      </c>
      <c r="N19712" s="43" t="s">
        <v>1690</v>
      </c>
      <c r="O19712" s="43">
        <v>11.503164556962025</v>
      </c>
      <c r="P19712" s="589"/>
      <c r="Q19712" s="589"/>
      <c r="R19712" s="589">
        <v>35</v>
      </c>
    </row>
    <row r="19713" spans="1:18" ht="24">
      <c r="A19713" s="585">
        <v>133</v>
      </c>
      <c r="B19713" s="582" t="s">
        <v>35767</v>
      </c>
      <c r="C19713" s="586" t="s">
        <v>35768</v>
      </c>
      <c r="D19713" s="587">
        <v>2.73</v>
      </c>
      <c r="E19713" s="587">
        <v>2.65</v>
      </c>
      <c r="F19713" s="587"/>
      <c r="G19713" s="587">
        <v>0.08</v>
      </c>
      <c r="H19713" s="588">
        <v>31.39</v>
      </c>
      <c r="I19713" s="588">
        <v>30.47</v>
      </c>
      <c r="J19713" s="588"/>
      <c r="K19713" s="588">
        <v>0.92</v>
      </c>
      <c r="L19713" s="43">
        <v>11.503164556962025</v>
      </c>
      <c r="M19713" s="43">
        <v>11.498113207547171</v>
      </c>
      <c r="N19713" s="43" t="s">
        <v>1690</v>
      </c>
      <c r="O19713" s="43">
        <v>11.503164556962025</v>
      </c>
      <c r="P19713" s="589"/>
      <c r="Q19713" s="589"/>
      <c r="R19713" s="589">
        <v>35</v>
      </c>
    </row>
    <row r="19714" spans="1:18" ht="24">
      <c r="A19714" s="585">
        <v>134</v>
      </c>
      <c r="B19714" s="582" t="s">
        <v>35769</v>
      </c>
      <c r="C19714" s="586" t="s">
        <v>35770</v>
      </c>
      <c r="D19714" s="587">
        <v>5.21</v>
      </c>
      <c r="E19714" s="587">
        <v>5.0599999999999996</v>
      </c>
      <c r="F19714" s="587"/>
      <c r="G19714" s="587">
        <v>0.15</v>
      </c>
      <c r="H19714" s="588">
        <v>59.87</v>
      </c>
      <c r="I19714" s="588">
        <v>58.14</v>
      </c>
      <c r="J19714" s="588"/>
      <c r="K19714" s="588">
        <v>1.73</v>
      </c>
      <c r="L19714" s="43">
        <v>11.503164556962025</v>
      </c>
      <c r="M19714" s="43">
        <v>11.498253783469149</v>
      </c>
      <c r="N19714" s="43" t="s">
        <v>1690</v>
      </c>
      <c r="O19714" s="43">
        <v>11.503164556962025</v>
      </c>
      <c r="P19714" s="589"/>
      <c r="Q19714" s="589"/>
      <c r="R19714" s="589">
        <v>35</v>
      </c>
    </row>
    <row r="19715" spans="1:18" ht="24">
      <c r="A19715" s="585">
        <v>135</v>
      </c>
      <c r="B19715" s="582" t="s">
        <v>35771</v>
      </c>
      <c r="C19715" s="586" t="s">
        <v>35772</v>
      </c>
      <c r="D19715" s="587">
        <v>20.100000000000001</v>
      </c>
      <c r="E19715" s="587">
        <v>19.510000000000002</v>
      </c>
      <c r="F19715" s="587"/>
      <c r="G19715" s="587">
        <v>0.59</v>
      </c>
      <c r="H19715" s="588">
        <v>231.18</v>
      </c>
      <c r="I19715" s="588">
        <v>224.39</v>
      </c>
      <c r="J19715" s="588"/>
      <c r="K19715" s="588">
        <v>6.79</v>
      </c>
      <c r="L19715" s="43">
        <v>11.503164556962025</v>
      </c>
      <c r="M19715" s="43">
        <v>11.501281394156841</v>
      </c>
      <c r="N19715" s="43" t="s">
        <v>1690</v>
      </c>
      <c r="O19715" s="43">
        <v>11.503164556962025</v>
      </c>
      <c r="P19715" s="589"/>
      <c r="Q19715" s="589"/>
      <c r="R19715" s="589">
        <v>35</v>
      </c>
    </row>
    <row r="19716" spans="1:18" ht="24">
      <c r="A19716" s="585">
        <v>136</v>
      </c>
      <c r="B19716" s="582" t="s">
        <v>35773</v>
      </c>
      <c r="C19716" s="586" t="s">
        <v>35774</v>
      </c>
      <c r="D19716" s="587">
        <v>6.03</v>
      </c>
      <c r="E19716" s="587">
        <v>5.85</v>
      </c>
      <c r="F19716" s="587"/>
      <c r="G19716" s="587">
        <v>0.18</v>
      </c>
      <c r="H19716" s="588">
        <v>69.39</v>
      </c>
      <c r="I19716" s="588">
        <v>67.319999999999993</v>
      </c>
      <c r="J19716" s="588"/>
      <c r="K19716" s="588">
        <v>2.0699999999999998</v>
      </c>
      <c r="L19716" s="43">
        <v>11.503164556962025</v>
      </c>
      <c r="M19716" s="43">
        <v>11.498253783469149</v>
      </c>
      <c r="N19716" s="43" t="s">
        <v>1690</v>
      </c>
      <c r="O19716" s="43">
        <v>11.503164556962025</v>
      </c>
      <c r="P19716" s="589"/>
      <c r="Q19716" s="589"/>
      <c r="R19716" s="589">
        <v>35</v>
      </c>
    </row>
    <row r="19717" spans="1:18" ht="24">
      <c r="A19717" s="585">
        <v>137</v>
      </c>
      <c r="B19717" s="582" t="s">
        <v>35775</v>
      </c>
      <c r="C19717" s="586" t="s">
        <v>35776</v>
      </c>
      <c r="D19717" s="587">
        <v>5.58</v>
      </c>
      <c r="E19717" s="587">
        <v>5.42</v>
      </c>
      <c r="F19717" s="587"/>
      <c r="G19717" s="587">
        <v>0.16</v>
      </c>
      <c r="H19717" s="588">
        <v>64.17</v>
      </c>
      <c r="I19717" s="588">
        <v>62.33</v>
      </c>
      <c r="J19717" s="588"/>
      <c r="K19717" s="588">
        <v>1.84</v>
      </c>
      <c r="L19717" s="43">
        <v>11.503164556962025</v>
      </c>
      <c r="M19717" s="43">
        <v>11.5</v>
      </c>
      <c r="N19717" s="43" t="s">
        <v>1690</v>
      </c>
      <c r="O19717" s="43">
        <v>11.503164556962025</v>
      </c>
      <c r="P19717" s="589"/>
      <c r="Q19717" s="589"/>
      <c r="R19717" s="589">
        <v>35</v>
      </c>
    </row>
    <row r="19718" spans="1:18" ht="24">
      <c r="A19718" s="585">
        <v>138</v>
      </c>
      <c r="B19718" s="582" t="s">
        <v>35777</v>
      </c>
      <c r="C19718" s="586" t="s">
        <v>35778</v>
      </c>
      <c r="D19718" s="587">
        <v>19.43</v>
      </c>
      <c r="E19718" s="587">
        <v>18.86</v>
      </c>
      <c r="F19718" s="587"/>
      <c r="G19718" s="587">
        <v>0.56999999999999995</v>
      </c>
      <c r="H19718" s="588">
        <v>223.47</v>
      </c>
      <c r="I19718" s="588">
        <v>216.91</v>
      </c>
      <c r="J19718" s="588"/>
      <c r="K19718" s="588">
        <v>6.56</v>
      </c>
      <c r="L19718" s="43">
        <v>11.503164556962025</v>
      </c>
      <c r="M19718" s="43">
        <v>11.501060445387063</v>
      </c>
      <c r="N19718" s="43" t="s">
        <v>1690</v>
      </c>
      <c r="O19718" s="43">
        <v>11.503164556962025</v>
      </c>
      <c r="P19718" s="589"/>
      <c r="Q19718" s="589"/>
      <c r="R19718" s="589">
        <v>35</v>
      </c>
    </row>
    <row r="19719" spans="1:18" ht="24">
      <c r="A19719" s="585">
        <v>139</v>
      </c>
      <c r="B19719" s="582" t="s">
        <v>35779</v>
      </c>
      <c r="C19719" s="586" t="s">
        <v>35780</v>
      </c>
      <c r="D19719" s="587">
        <v>9.3800000000000008</v>
      </c>
      <c r="E19719" s="587">
        <v>9.11</v>
      </c>
      <c r="F19719" s="587"/>
      <c r="G19719" s="587">
        <v>0.27</v>
      </c>
      <c r="H19719" s="588">
        <v>107.82</v>
      </c>
      <c r="I19719" s="588">
        <v>104.71</v>
      </c>
      <c r="J19719" s="588"/>
      <c r="K19719" s="588">
        <v>3.11</v>
      </c>
      <c r="L19719" s="43">
        <v>11.503164556962025</v>
      </c>
      <c r="M19719" s="43">
        <v>11.498253783469149</v>
      </c>
      <c r="N19719" s="43" t="s">
        <v>1690</v>
      </c>
      <c r="O19719" s="43">
        <v>11.503164556962025</v>
      </c>
      <c r="P19719" s="589"/>
      <c r="Q19719" s="589"/>
      <c r="R19719" s="589">
        <v>35</v>
      </c>
    </row>
    <row r="19720" spans="1:18" ht="36">
      <c r="A19720" s="585">
        <v>140</v>
      </c>
      <c r="B19720" s="582" t="s">
        <v>35781</v>
      </c>
      <c r="C19720" s="586" t="s">
        <v>35782</v>
      </c>
      <c r="D19720" s="587">
        <v>7.15</v>
      </c>
      <c r="E19720" s="587">
        <v>6.94</v>
      </c>
      <c r="F19720" s="587"/>
      <c r="G19720" s="587">
        <v>0.21</v>
      </c>
      <c r="H19720" s="588">
        <v>82.2</v>
      </c>
      <c r="I19720" s="588">
        <v>79.78</v>
      </c>
      <c r="J19720" s="588"/>
      <c r="K19720" s="588">
        <v>2.42</v>
      </c>
      <c r="L19720" s="43">
        <v>11.503164556962025</v>
      </c>
      <c r="M19720" s="43">
        <v>11.495677233429394</v>
      </c>
      <c r="N19720" s="43" t="s">
        <v>1690</v>
      </c>
      <c r="O19720" s="43">
        <v>11.503164556962025</v>
      </c>
      <c r="P19720" s="589"/>
      <c r="Q19720" s="589"/>
      <c r="R19720" s="589">
        <v>35</v>
      </c>
    </row>
    <row r="19721" spans="1:18" ht="24">
      <c r="A19721" s="585">
        <v>141</v>
      </c>
      <c r="B19721" s="582" t="s">
        <v>35783</v>
      </c>
      <c r="C19721" s="586" t="s">
        <v>35784</v>
      </c>
      <c r="D19721" s="587">
        <v>0.67</v>
      </c>
      <c r="E19721" s="587">
        <v>0.65</v>
      </c>
      <c r="F19721" s="587"/>
      <c r="G19721" s="587">
        <v>0.02</v>
      </c>
      <c r="H19721" s="588">
        <v>7.71</v>
      </c>
      <c r="I19721" s="588">
        <v>7.48</v>
      </c>
      <c r="J19721" s="588"/>
      <c r="K19721" s="588">
        <v>0.23</v>
      </c>
      <c r="L19721" s="43">
        <v>11.503164556962025</v>
      </c>
      <c r="M19721" s="43">
        <v>11.498253783469149</v>
      </c>
      <c r="N19721" s="43" t="s">
        <v>1690</v>
      </c>
      <c r="O19721" s="43">
        <v>11.503164556962025</v>
      </c>
      <c r="P19721" s="589"/>
      <c r="Q19721" s="589"/>
      <c r="R19721" s="589">
        <v>35</v>
      </c>
    </row>
    <row r="19722" spans="1:18" ht="36">
      <c r="A19722" s="585">
        <v>142</v>
      </c>
      <c r="B19722" s="582" t="s">
        <v>35785</v>
      </c>
      <c r="C19722" s="586" t="s">
        <v>35786</v>
      </c>
      <c r="D19722" s="587">
        <v>13.84</v>
      </c>
      <c r="E19722" s="587">
        <v>13.44</v>
      </c>
      <c r="F19722" s="587"/>
      <c r="G19722" s="587">
        <v>0.4</v>
      </c>
      <c r="H19722" s="588">
        <v>159.18</v>
      </c>
      <c r="I19722" s="588">
        <v>154.58000000000001</v>
      </c>
      <c r="J19722" s="588"/>
      <c r="K19722" s="588">
        <v>4.5999999999999996</v>
      </c>
      <c r="L19722" s="43">
        <v>11.503164556962025</v>
      </c>
      <c r="M19722" s="43">
        <v>11.501488095238097</v>
      </c>
      <c r="N19722" s="43" t="s">
        <v>1690</v>
      </c>
      <c r="O19722" s="43">
        <v>11.503164556962025</v>
      </c>
      <c r="P19722" s="589"/>
      <c r="Q19722" s="589"/>
      <c r="R19722" s="589">
        <v>35</v>
      </c>
    </row>
    <row r="19723" spans="1:18" ht="24">
      <c r="A19723" s="585">
        <v>143</v>
      </c>
      <c r="B19723" s="582" t="s">
        <v>35787</v>
      </c>
      <c r="C19723" s="586" t="s">
        <v>35788</v>
      </c>
      <c r="D19723" s="587">
        <v>6.7</v>
      </c>
      <c r="E19723" s="587">
        <v>6.5</v>
      </c>
      <c r="F19723" s="587"/>
      <c r="G19723" s="587">
        <v>0.2</v>
      </c>
      <c r="H19723" s="588">
        <v>77.099999999999994</v>
      </c>
      <c r="I19723" s="588">
        <v>74.8</v>
      </c>
      <c r="J19723" s="588"/>
      <c r="K19723" s="588">
        <v>2.2999999999999998</v>
      </c>
      <c r="L19723" s="43">
        <v>11.503164556962025</v>
      </c>
      <c r="M19723" s="43">
        <v>11.498253783469149</v>
      </c>
      <c r="N19723" s="43" t="s">
        <v>1690</v>
      </c>
      <c r="O19723" s="43">
        <v>11.503164556962025</v>
      </c>
      <c r="P19723" s="589"/>
      <c r="Q19723" s="589"/>
      <c r="R19723" s="589">
        <v>35</v>
      </c>
    </row>
    <row r="19724" spans="1:18" ht="36">
      <c r="A19724" s="585">
        <v>144</v>
      </c>
      <c r="B19724" s="582" t="s">
        <v>35789</v>
      </c>
      <c r="C19724" s="586" t="s">
        <v>35790</v>
      </c>
      <c r="D19724" s="587">
        <v>41.09</v>
      </c>
      <c r="E19724" s="587">
        <v>39.89</v>
      </c>
      <c r="F19724" s="587"/>
      <c r="G19724" s="587">
        <v>1.2</v>
      </c>
      <c r="H19724" s="588">
        <v>472.55</v>
      </c>
      <c r="I19724" s="588">
        <v>458.75</v>
      </c>
      <c r="J19724" s="588"/>
      <c r="K19724" s="588">
        <v>13.8</v>
      </c>
      <c r="L19724" s="43">
        <v>11.503164556962025</v>
      </c>
      <c r="M19724" s="43">
        <v>11.500376034093758</v>
      </c>
      <c r="N19724" s="43" t="s">
        <v>1690</v>
      </c>
      <c r="O19724" s="43">
        <v>11.503164556962025</v>
      </c>
      <c r="P19724" s="589"/>
      <c r="Q19724" s="589"/>
      <c r="R19724" s="589">
        <v>35</v>
      </c>
    </row>
    <row r="19725" spans="1:18" ht="36">
      <c r="A19725" s="585">
        <v>145</v>
      </c>
      <c r="B19725" s="582" t="s">
        <v>35791</v>
      </c>
      <c r="C19725" s="586" t="s">
        <v>35792</v>
      </c>
      <c r="D19725" s="587">
        <v>65.099999999999994</v>
      </c>
      <c r="E19725" s="587">
        <v>63.2</v>
      </c>
      <c r="F19725" s="587"/>
      <c r="G19725" s="587">
        <v>1.9</v>
      </c>
      <c r="H19725" s="588">
        <v>748.62</v>
      </c>
      <c r="I19725" s="588">
        <v>726.77</v>
      </c>
      <c r="J19725" s="588"/>
      <c r="K19725" s="588">
        <v>21.85</v>
      </c>
      <c r="L19725" s="43">
        <v>11.503164556962025</v>
      </c>
      <c r="M19725" s="43">
        <v>11.499525316455696</v>
      </c>
      <c r="N19725" s="43" t="s">
        <v>1690</v>
      </c>
      <c r="O19725" s="43">
        <v>11.503164556962025</v>
      </c>
      <c r="P19725" s="589"/>
      <c r="Q19725" s="589"/>
      <c r="R19725" s="589">
        <v>35</v>
      </c>
    </row>
    <row r="19726" spans="1:18" ht="24">
      <c r="A19726" s="585">
        <v>146</v>
      </c>
      <c r="B19726" s="582" t="s">
        <v>35793</v>
      </c>
      <c r="C19726" s="586" t="s">
        <v>35794</v>
      </c>
      <c r="D19726" s="587">
        <v>8.76</v>
      </c>
      <c r="E19726" s="587">
        <v>8.5</v>
      </c>
      <c r="F19726" s="587"/>
      <c r="G19726" s="587">
        <v>0.26</v>
      </c>
      <c r="H19726" s="588">
        <v>100.77</v>
      </c>
      <c r="I19726" s="588">
        <v>97.78</v>
      </c>
      <c r="J19726" s="588"/>
      <c r="K19726" s="588">
        <v>2.99</v>
      </c>
      <c r="L19726" s="43">
        <v>11.503164556962025</v>
      </c>
      <c r="M19726" s="43">
        <v>11.503529411764706</v>
      </c>
      <c r="N19726" s="43" t="s">
        <v>1690</v>
      </c>
      <c r="O19726" s="43">
        <v>11.503164556962025</v>
      </c>
      <c r="P19726" s="589"/>
      <c r="Q19726" s="589"/>
      <c r="R19726" s="589">
        <v>35</v>
      </c>
    </row>
    <row r="19727" spans="1:18" ht="12.75" customHeight="1">
      <c r="A19727" s="628" t="s">
        <v>35795</v>
      </c>
      <c r="B19727" s="629"/>
      <c r="C19727" s="629"/>
      <c r="D19727" s="629"/>
      <c r="E19727" s="629"/>
      <c r="F19727" s="629"/>
      <c r="G19727" s="629"/>
      <c r="H19727" s="629"/>
      <c r="I19727" s="629"/>
      <c r="J19727" s="629"/>
      <c r="K19727" s="629"/>
      <c r="L19727" s="629"/>
      <c r="M19727" s="629"/>
      <c r="N19727" s="629"/>
      <c r="O19727" s="629"/>
      <c r="P19727" s="629"/>
      <c r="Q19727" s="629"/>
      <c r="R19727" s="629"/>
    </row>
    <row r="19728" spans="1:18" ht="24">
      <c r="A19728" s="590">
        <v>147</v>
      </c>
      <c r="B19728" s="591" t="s">
        <v>35796</v>
      </c>
      <c r="C19728" s="592" t="s">
        <v>35797</v>
      </c>
      <c r="D19728" s="593">
        <v>134.21</v>
      </c>
      <c r="E19728" s="593">
        <v>130.30000000000001</v>
      </c>
      <c r="F19728" s="593"/>
      <c r="G19728" s="593">
        <v>3.91</v>
      </c>
      <c r="H19728" s="594">
        <v>1543.44</v>
      </c>
      <c r="I19728" s="594">
        <v>1498.47</v>
      </c>
      <c r="J19728" s="594"/>
      <c r="K19728" s="594">
        <v>44.97</v>
      </c>
      <c r="L19728" s="611">
        <v>11.500186275240294</v>
      </c>
      <c r="M19728" s="611">
        <v>11.500153491941672</v>
      </c>
      <c r="N19728" s="611" t="s">
        <v>1690</v>
      </c>
      <c r="O19728" s="611">
        <v>11.501278772378516</v>
      </c>
      <c r="P19728" s="595"/>
      <c r="Q19728" s="595"/>
      <c r="R19728" s="595">
        <v>36</v>
      </c>
    </row>
    <row r="19729" spans="1:18" ht="12.75" customHeight="1">
      <c r="A19729" s="630" t="s">
        <v>35798</v>
      </c>
      <c r="B19729" s="631"/>
      <c r="C19729" s="631"/>
      <c r="D19729" s="631"/>
      <c r="E19729" s="631"/>
      <c r="F19729" s="631"/>
      <c r="G19729" s="631"/>
      <c r="H19729" s="631"/>
      <c r="I19729" s="631"/>
      <c r="J19729" s="631"/>
      <c r="K19729" s="631"/>
      <c r="L19729" s="631"/>
      <c r="M19729" s="631"/>
      <c r="N19729" s="631"/>
      <c r="O19729" s="631"/>
      <c r="P19729" s="631"/>
      <c r="Q19729" s="631"/>
      <c r="R19729" s="631"/>
    </row>
    <row r="19730" spans="1:18" ht="12.75" customHeight="1">
      <c r="A19730" s="628" t="s">
        <v>35799</v>
      </c>
      <c r="B19730" s="629"/>
      <c r="C19730" s="629"/>
      <c r="D19730" s="629"/>
      <c r="E19730" s="629"/>
      <c r="F19730" s="629"/>
      <c r="G19730" s="629"/>
      <c r="H19730" s="629"/>
      <c r="I19730" s="629"/>
      <c r="J19730" s="629"/>
      <c r="K19730" s="629"/>
      <c r="L19730" s="629"/>
      <c r="M19730" s="629"/>
      <c r="N19730" s="629"/>
      <c r="O19730" s="629"/>
      <c r="P19730" s="629"/>
      <c r="Q19730" s="629"/>
      <c r="R19730" s="629"/>
    </row>
    <row r="19731" spans="1:18" ht="24">
      <c r="A19731" s="585">
        <v>148</v>
      </c>
      <c r="B19731" s="582" t="s">
        <v>35800</v>
      </c>
      <c r="C19731" s="586" t="s">
        <v>35801</v>
      </c>
      <c r="D19731" s="587">
        <v>235.19</v>
      </c>
      <c r="E19731" s="587">
        <v>228.34</v>
      </c>
      <c r="F19731" s="587"/>
      <c r="G19731" s="587">
        <v>6.85</v>
      </c>
      <c r="H19731" s="588">
        <v>2704.64</v>
      </c>
      <c r="I19731" s="588">
        <v>2625.86</v>
      </c>
      <c r="J19731" s="588"/>
      <c r="K19731" s="588">
        <v>78.78</v>
      </c>
      <c r="L19731" s="43">
        <v>11.49980866533441</v>
      </c>
      <c r="M19731" s="43">
        <v>11.499781028291146</v>
      </c>
      <c r="N19731" s="43" t="s">
        <v>1690</v>
      </c>
      <c r="O19731" s="43">
        <v>11.500729927007301</v>
      </c>
      <c r="P19731" s="589"/>
      <c r="Q19731" s="589"/>
      <c r="R19731" s="589">
        <v>1</v>
      </c>
    </row>
    <row r="19732" spans="1:18" ht="24">
      <c r="A19732" s="585">
        <v>149</v>
      </c>
      <c r="B19732" s="582" t="s">
        <v>35802</v>
      </c>
      <c r="C19732" s="586" t="s">
        <v>35803</v>
      </c>
      <c r="D19732" s="587">
        <v>36.5</v>
      </c>
      <c r="E19732" s="587">
        <v>35.44</v>
      </c>
      <c r="F19732" s="587"/>
      <c r="G19732" s="587">
        <v>1.06</v>
      </c>
      <c r="H19732" s="588">
        <v>419.79</v>
      </c>
      <c r="I19732" s="588">
        <v>407.6</v>
      </c>
      <c r="J19732" s="588"/>
      <c r="K19732" s="588">
        <v>12.19</v>
      </c>
      <c r="L19732" s="43">
        <v>11.501095890410959</v>
      </c>
      <c r="M19732" s="43">
        <v>11.501128668171559</v>
      </c>
      <c r="N19732" s="43" t="s">
        <v>1690</v>
      </c>
      <c r="O19732" s="43">
        <v>11.499999999999998</v>
      </c>
      <c r="P19732" s="589"/>
      <c r="Q19732" s="589"/>
      <c r="R19732" s="589">
        <v>1</v>
      </c>
    </row>
    <row r="19733" spans="1:18" ht="24">
      <c r="A19733" s="585">
        <v>150</v>
      </c>
      <c r="B19733" s="582" t="s">
        <v>35804</v>
      </c>
      <c r="C19733" s="586" t="s">
        <v>35805</v>
      </c>
      <c r="D19733" s="587">
        <v>73.91</v>
      </c>
      <c r="E19733" s="587">
        <v>71.760000000000005</v>
      </c>
      <c r="F19733" s="587"/>
      <c r="G19733" s="587">
        <v>2.15</v>
      </c>
      <c r="H19733" s="588">
        <v>849.97</v>
      </c>
      <c r="I19733" s="588">
        <v>825.24</v>
      </c>
      <c r="J19733" s="588"/>
      <c r="K19733" s="588">
        <v>24.73</v>
      </c>
      <c r="L19733" s="43">
        <v>11.500067649844405</v>
      </c>
      <c r="M19733" s="43">
        <v>11.5</v>
      </c>
      <c r="N19733" s="43" t="s">
        <v>1690</v>
      </c>
      <c r="O19733" s="43">
        <v>11.502325581395349</v>
      </c>
      <c r="P19733" s="589"/>
      <c r="Q19733" s="589"/>
      <c r="R19733" s="589">
        <v>1</v>
      </c>
    </row>
    <row r="19734" spans="1:18" ht="24">
      <c r="A19734" s="585">
        <v>151</v>
      </c>
      <c r="B19734" s="582" t="s">
        <v>35806</v>
      </c>
      <c r="C19734" s="586" t="s">
        <v>35807</v>
      </c>
      <c r="D19734" s="587">
        <v>8.3800000000000008</v>
      </c>
      <c r="E19734" s="587">
        <v>8.14</v>
      </c>
      <c r="F19734" s="587"/>
      <c r="G19734" s="587">
        <v>0.24</v>
      </c>
      <c r="H19734" s="588">
        <v>96.37</v>
      </c>
      <c r="I19734" s="588">
        <v>93.61</v>
      </c>
      <c r="J19734" s="588"/>
      <c r="K19734" s="588">
        <v>2.76</v>
      </c>
      <c r="L19734" s="43">
        <v>11.5</v>
      </c>
      <c r="M19734" s="43">
        <v>11.5</v>
      </c>
      <c r="N19734" s="43" t="s">
        <v>1690</v>
      </c>
      <c r="O19734" s="43">
        <v>11.5</v>
      </c>
      <c r="P19734" s="589"/>
      <c r="Q19734" s="589"/>
      <c r="R19734" s="589">
        <v>1</v>
      </c>
    </row>
    <row r="19735" spans="1:18" ht="12.75" customHeight="1">
      <c r="A19735" s="628" t="s">
        <v>35808</v>
      </c>
      <c r="B19735" s="629"/>
      <c r="C19735" s="629"/>
      <c r="D19735" s="629"/>
      <c r="E19735" s="629"/>
      <c r="F19735" s="629"/>
      <c r="G19735" s="629"/>
      <c r="H19735" s="629"/>
      <c r="I19735" s="629"/>
      <c r="J19735" s="629"/>
      <c r="K19735" s="629"/>
      <c r="L19735" s="629"/>
      <c r="M19735" s="629"/>
      <c r="N19735" s="629"/>
      <c r="O19735" s="629"/>
      <c r="P19735" s="629"/>
      <c r="Q19735" s="629"/>
      <c r="R19735" s="629"/>
    </row>
    <row r="19736" spans="1:18" ht="24">
      <c r="A19736" s="585">
        <v>152</v>
      </c>
      <c r="B19736" s="582" t="s">
        <v>35809</v>
      </c>
      <c r="C19736" s="586" t="s">
        <v>35810</v>
      </c>
      <c r="D19736" s="587">
        <v>78.13</v>
      </c>
      <c r="E19736" s="587">
        <v>75.34</v>
      </c>
      <c r="F19736" s="587">
        <v>0.53</v>
      </c>
      <c r="G19736" s="587">
        <v>2.2599999999999998</v>
      </c>
      <c r="H19736" s="588">
        <v>895.14</v>
      </c>
      <c r="I19736" s="588">
        <v>866.39</v>
      </c>
      <c r="J19736" s="588">
        <v>2.76</v>
      </c>
      <c r="K19736" s="588">
        <v>25.99</v>
      </c>
      <c r="L19736" s="43">
        <v>11.457058748240113</v>
      </c>
      <c r="M19736" s="43">
        <v>11.499734536766658</v>
      </c>
      <c r="N19736" s="43">
        <v>5.2075471698113205</v>
      </c>
      <c r="O19736" s="43">
        <v>11.5</v>
      </c>
      <c r="P19736" s="589"/>
      <c r="Q19736" s="589"/>
      <c r="R19736" s="589">
        <v>2</v>
      </c>
    </row>
    <row r="19737" spans="1:18" ht="12.75" customHeight="1">
      <c r="A19737" s="628" t="s">
        <v>35811</v>
      </c>
      <c r="B19737" s="629"/>
      <c r="C19737" s="629"/>
      <c r="D19737" s="629"/>
      <c r="E19737" s="629"/>
      <c r="F19737" s="629"/>
      <c r="G19737" s="629"/>
      <c r="H19737" s="629"/>
      <c r="I19737" s="629"/>
      <c r="J19737" s="629"/>
      <c r="K19737" s="629"/>
      <c r="L19737" s="629"/>
      <c r="M19737" s="629"/>
      <c r="N19737" s="629"/>
      <c r="O19737" s="629"/>
      <c r="P19737" s="629"/>
      <c r="Q19737" s="629"/>
      <c r="R19737" s="629"/>
    </row>
    <row r="19738" spans="1:18" ht="24">
      <c r="A19738" s="585">
        <v>153</v>
      </c>
      <c r="B19738" s="582" t="s">
        <v>35812</v>
      </c>
      <c r="C19738" s="586" t="s">
        <v>35813</v>
      </c>
      <c r="D19738" s="587">
        <v>135.75</v>
      </c>
      <c r="E19738" s="587">
        <v>131.37</v>
      </c>
      <c r="F19738" s="587">
        <v>0.44</v>
      </c>
      <c r="G19738" s="587">
        <v>3.94</v>
      </c>
      <c r="H19738" s="588">
        <v>1558.41</v>
      </c>
      <c r="I19738" s="588">
        <v>1510.8</v>
      </c>
      <c r="J19738" s="588">
        <v>2.2999999999999998</v>
      </c>
      <c r="K19738" s="588">
        <v>45.31</v>
      </c>
      <c r="L19738" s="43">
        <v>11.48</v>
      </c>
      <c r="M19738" s="43">
        <v>11.500342543959807</v>
      </c>
      <c r="N19738" s="43">
        <v>5.2272727272727266</v>
      </c>
      <c r="O19738" s="43">
        <v>11.5</v>
      </c>
      <c r="P19738" s="589"/>
      <c r="Q19738" s="589"/>
      <c r="R19738" s="589">
        <v>3</v>
      </c>
    </row>
    <row r="19739" spans="1:18" ht="24">
      <c r="A19739" s="585">
        <v>154</v>
      </c>
      <c r="B19739" s="582" t="s">
        <v>35814</v>
      </c>
      <c r="C19739" s="586" t="s">
        <v>35815</v>
      </c>
      <c r="D19739" s="587">
        <v>147.22</v>
      </c>
      <c r="E19739" s="587">
        <v>142.5</v>
      </c>
      <c r="F19739" s="587">
        <v>0.44</v>
      </c>
      <c r="G19739" s="587">
        <v>4.28</v>
      </c>
      <c r="H19739" s="588">
        <v>1690.36</v>
      </c>
      <c r="I19739" s="588">
        <v>1638.84</v>
      </c>
      <c r="J19739" s="588">
        <v>2.2999999999999998</v>
      </c>
      <c r="K19739" s="588">
        <v>49.22</v>
      </c>
      <c r="L19739" s="43">
        <v>11.481863877190598</v>
      </c>
      <c r="M19739" s="43">
        <v>11.500631578947369</v>
      </c>
      <c r="N19739" s="43">
        <v>5.2272727272727266</v>
      </c>
      <c r="O19739" s="43">
        <v>11.499999999999998</v>
      </c>
      <c r="P19739" s="589"/>
      <c r="Q19739" s="589"/>
      <c r="R19739" s="589">
        <v>3</v>
      </c>
    </row>
    <row r="19740" spans="1:18" ht="24">
      <c r="A19740" s="585">
        <v>155</v>
      </c>
      <c r="B19740" s="582" t="s">
        <v>35816</v>
      </c>
      <c r="C19740" s="586" t="s">
        <v>35817</v>
      </c>
      <c r="D19740" s="587">
        <v>4.72</v>
      </c>
      <c r="E19740" s="587">
        <v>4.58</v>
      </c>
      <c r="F19740" s="587"/>
      <c r="G19740" s="587">
        <v>0.14000000000000001</v>
      </c>
      <c r="H19740" s="588">
        <v>54.25</v>
      </c>
      <c r="I19740" s="588">
        <v>52.64</v>
      </c>
      <c r="J19740" s="588"/>
      <c r="K19740" s="588">
        <v>1.61</v>
      </c>
      <c r="L19740" s="43">
        <v>11.5</v>
      </c>
      <c r="M19740" s="43">
        <v>11.5</v>
      </c>
      <c r="N19740" s="43" t="s">
        <v>1690</v>
      </c>
      <c r="O19740" s="43">
        <v>11.5</v>
      </c>
      <c r="P19740" s="589"/>
      <c r="Q19740" s="589"/>
      <c r="R19740" s="589">
        <v>3</v>
      </c>
    </row>
    <row r="19741" spans="1:18" ht="12.75" customHeight="1">
      <c r="A19741" s="628" t="s">
        <v>35818</v>
      </c>
      <c r="B19741" s="629"/>
      <c r="C19741" s="629"/>
      <c r="D19741" s="629"/>
      <c r="E19741" s="629"/>
      <c r="F19741" s="629"/>
      <c r="G19741" s="629"/>
      <c r="H19741" s="629"/>
      <c r="I19741" s="629"/>
      <c r="J19741" s="629"/>
      <c r="K19741" s="629"/>
      <c r="L19741" s="629"/>
      <c r="M19741" s="629"/>
      <c r="N19741" s="629"/>
      <c r="O19741" s="629"/>
      <c r="P19741" s="629"/>
      <c r="Q19741" s="629"/>
      <c r="R19741" s="629"/>
    </row>
    <row r="19742" spans="1:18" ht="24">
      <c r="A19742" s="585">
        <v>156</v>
      </c>
      <c r="B19742" s="582" t="s">
        <v>35819</v>
      </c>
      <c r="C19742" s="586" t="s">
        <v>35820</v>
      </c>
      <c r="D19742" s="587">
        <v>149.36000000000001</v>
      </c>
      <c r="E19742" s="587">
        <v>143.04</v>
      </c>
      <c r="F19742" s="587">
        <v>2.0299999999999998</v>
      </c>
      <c r="G19742" s="587">
        <v>4.29</v>
      </c>
      <c r="H19742" s="588">
        <v>1704.88</v>
      </c>
      <c r="I19742" s="588">
        <v>1644.94</v>
      </c>
      <c r="J19742" s="588">
        <v>10.6</v>
      </c>
      <c r="K19742" s="588">
        <v>49.34</v>
      </c>
      <c r="L19742" s="43">
        <v>11.414568826995179</v>
      </c>
      <c r="M19742" s="43">
        <v>11.499860178970918</v>
      </c>
      <c r="N19742" s="43">
        <v>5.2216748768472909</v>
      </c>
      <c r="O19742" s="43">
        <v>11.501165501165502</v>
      </c>
      <c r="P19742" s="589"/>
      <c r="Q19742" s="589"/>
      <c r="R19742" s="589">
        <v>4</v>
      </c>
    </row>
    <row r="19743" spans="1:18" ht="12.75" customHeight="1">
      <c r="A19743" s="628" t="s">
        <v>35821</v>
      </c>
      <c r="B19743" s="629"/>
      <c r="C19743" s="629"/>
      <c r="D19743" s="629"/>
      <c r="E19743" s="629"/>
      <c r="F19743" s="629"/>
      <c r="G19743" s="629"/>
      <c r="H19743" s="629"/>
      <c r="I19743" s="629"/>
      <c r="J19743" s="629"/>
      <c r="K19743" s="629"/>
      <c r="L19743" s="629"/>
      <c r="M19743" s="629"/>
      <c r="N19743" s="629"/>
      <c r="O19743" s="629"/>
      <c r="P19743" s="629"/>
      <c r="Q19743" s="629"/>
      <c r="R19743" s="629"/>
    </row>
    <row r="19744" spans="1:18" ht="24">
      <c r="A19744" s="585">
        <v>157</v>
      </c>
      <c r="B19744" s="582" t="s">
        <v>35822</v>
      </c>
      <c r="C19744" s="586" t="s">
        <v>35823</v>
      </c>
      <c r="D19744" s="587">
        <v>433.19</v>
      </c>
      <c r="E19744" s="587">
        <v>420.15</v>
      </c>
      <c r="F19744" s="587">
        <v>0.44</v>
      </c>
      <c r="G19744" s="587">
        <v>12.6</v>
      </c>
      <c r="H19744" s="588">
        <v>4979.13</v>
      </c>
      <c r="I19744" s="588">
        <v>4831.93</v>
      </c>
      <c r="J19744" s="588">
        <v>2.2999999999999998</v>
      </c>
      <c r="K19744" s="588">
        <v>144.9</v>
      </c>
      <c r="L19744" s="43">
        <v>11.494101895242272</v>
      </c>
      <c r="M19744" s="43">
        <v>11.500487920980603</v>
      </c>
      <c r="N19744" s="43">
        <v>5.2272727272727266</v>
      </c>
      <c r="O19744" s="43">
        <v>11.5</v>
      </c>
      <c r="P19744" s="589"/>
      <c r="Q19744" s="589"/>
      <c r="R19744" s="589">
        <v>5</v>
      </c>
    </row>
    <row r="19745" spans="1:18" ht="24">
      <c r="A19745" s="585">
        <v>158</v>
      </c>
      <c r="B19745" s="582" t="s">
        <v>35824</v>
      </c>
      <c r="C19745" s="586" t="s">
        <v>35825</v>
      </c>
      <c r="D19745" s="587">
        <v>444.49</v>
      </c>
      <c r="E19745" s="587">
        <v>431.12</v>
      </c>
      <c r="F19745" s="587">
        <v>0.44</v>
      </c>
      <c r="G19745" s="587">
        <v>12.93</v>
      </c>
      <c r="H19745" s="588">
        <v>5109.09</v>
      </c>
      <c r="I19745" s="588">
        <v>4958.09</v>
      </c>
      <c r="J19745" s="588">
        <v>2.2999999999999998</v>
      </c>
      <c r="K19745" s="588">
        <v>148.69999999999999</v>
      </c>
      <c r="L19745" s="43">
        <v>11.494274336880469</v>
      </c>
      <c r="M19745" s="43">
        <v>11.500487103358694</v>
      </c>
      <c r="N19745" s="43">
        <v>5.2272727272727266</v>
      </c>
      <c r="O19745" s="43">
        <v>11.500386697602474</v>
      </c>
      <c r="P19745" s="589"/>
      <c r="Q19745" s="589"/>
      <c r="R19745" s="589">
        <v>5</v>
      </c>
    </row>
    <row r="19746" spans="1:18" ht="24">
      <c r="A19746" s="585">
        <v>159</v>
      </c>
      <c r="B19746" s="582" t="s">
        <v>35826</v>
      </c>
      <c r="C19746" s="586" t="s">
        <v>35827</v>
      </c>
      <c r="D19746" s="587">
        <v>31.26</v>
      </c>
      <c r="E19746" s="587">
        <v>30.35</v>
      </c>
      <c r="F19746" s="587"/>
      <c r="G19746" s="587">
        <v>0.91</v>
      </c>
      <c r="H19746" s="588">
        <v>359.52</v>
      </c>
      <c r="I19746" s="588">
        <v>349.05</v>
      </c>
      <c r="J19746" s="588"/>
      <c r="K19746" s="588">
        <v>10.47</v>
      </c>
      <c r="L19746" s="43">
        <v>11.500959692898272</v>
      </c>
      <c r="M19746" s="43">
        <v>11.500823723228995</v>
      </c>
      <c r="N19746" s="43" t="s">
        <v>1690</v>
      </c>
      <c r="O19746" s="43">
        <v>11.503164556962025</v>
      </c>
      <c r="P19746" s="589"/>
      <c r="Q19746" s="589"/>
      <c r="R19746" s="589">
        <v>5</v>
      </c>
    </row>
    <row r="19747" spans="1:18" ht="12.75" customHeight="1">
      <c r="A19747" s="628" t="s">
        <v>35828</v>
      </c>
      <c r="B19747" s="629"/>
      <c r="C19747" s="629"/>
      <c r="D19747" s="629"/>
      <c r="E19747" s="629"/>
      <c r="F19747" s="629"/>
      <c r="G19747" s="629"/>
      <c r="H19747" s="629"/>
      <c r="I19747" s="629"/>
      <c r="J19747" s="629"/>
      <c r="K19747" s="629"/>
      <c r="L19747" s="629"/>
      <c r="M19747" s="629"/>
      <c r="N19747" s="629"/>
      <c r="O19747" s="629"/>
      <c r="P19747" s="629"/>
      <c r="Q19747" s="629"/>
      <c r="R19747" s="629"/>
    </row>
    <row r="19748" spans="1:18" ht="24">
      <c r="A19748" s="585">
        <v>160</v>
      </c>
      <c r="B19748" s="582" t="s">
        <v>35829</v>
      </c>
      <c r="C19748" s="586" t="s">
        <v>35830</v>
      </c>
      <c r="D19748" s="587">
        <v>292.35000000000002</v>
      </c>
      <c r="E19748" s="587">
        <v>282.12</v>
      </c>
      <c r="F19748" s="587">
        <v>1.77</v>
      </c>
      <c r="G19748" s="587">
        <v>8.4600000000000009</v>
      </c>
      <c r="H19748" s="588">
        <v>3350.94</v>
      </c>
      <c r="I19748" s="588">
        <v>3244.43</v>
      </c>
      <c r="J19748" s="588">
        <v>9.2200000000000006</v>
      </c>
      <c r="K19748" s="588">
        <v>97.29</v>
      </c>
      <c r="L19748" s="43">
        <v>11.462083119548486</v>
      </c>
      <c r="M19748" s="43">
        <v>11.50017722954771</v>
      </c>
      <c r="N19748" s="43">
        <v>5.2090395480225995</v>
      </c>
      <c r="O19748" s="43">
        <v>11.5</v>
      </c>
      <c r="P19748" s="589"/>
      <c r="Q19748" s="589"/>
      <c r="R19748" s="589">
        <v>6</v>
      </c>
    </row>
    <row r="19749" spans="1:18" ht="12.75" customHeight="1">
      <c r="A19749" s="628" t="s">
        <v>35831</v>
      </c>
      <c r="B19749" s="629"/>
      <c r="C19749" s="629"/>
      <c r="D19749" s="629"/>
      <c r="E19749" s="629"/>
      <c r="F19749" s="629"/>
      <c r="G19749" s="629"/>
      <c r="H19749" s="629"/>
      <c r="I19749" s="629"/>
      <c r="J19749" s="629"/>
      <c r="K19749" s="629"/>
      <c r="L19749" s="629"/>
      <c r="M19749" s="629"/>
      <c r="N19749" s="629"/>
      <c r="O19749" s="629"/>
      <c r="P19749" s="629"/>
      <c r="Q19749" s="629"/>
      <c r="R19749" s="629"/>
    </row>
    <row r="19750" spans="1:18" ht="24">
      <c r="A19750" s="585">
        <v>161</v>
      </c>
      <c r="B19750" s="582" t="s">
        <v>35832</v>
      </c>
      <c r="C19750" s="586" t="s">
        <v>35833</v>
      </c>
      <c r="D19750" s="587">
        <v>37.93</v>
      </c>
      <c r="E19750" s="587">
        <v>36.4</v>
      </c>
      <c r="F19750" s="587">
        <v>0.44</v>
      </c>
      <c r="G19750" s="587">
        <v>1.0900000000000001</v>
      </c>
      <c r="H19750" s="588">
        <v>433.38</v>
      </c>
      <c r="I19750" s="588">
        <v>418.54</v>
      </c>
      <c r="J19750" s="588">
        <v>2.2999999999999998</v>
      </c>
      <c r="K19750" s="588">
        <v>12.54</v>
      </c>
      <c r="L19750" s="43">
        <v>11.425784339572898</v>
      </c>
      <c r="M19750" s="43">
        <v>11.498351648351649</v>
      </c>
      <c r="N19750" s="43">
        <v>5.2272727272727266</v>
      </c>
      <c r="O19750" s="43">
        <v>11.504587155963302</v>
      </c>
      <c r="P19750" s="589"/>
      <c r="Q19750" s="589"/>
      <c r="R19750" s="589">
        <v>7</v>
      </c>
    </row>
    <row r="19751" spans="1:18" ht="24">
      <c r="A19751" s="585">
        <v>162</v>
      </c>
      <c r="B19751" s="582" t="s">
        <v>35834</v>
      </c>
      <c r="C19751" s="586" t="s">
        <v>35835</v>
      </c>
      <c r="D19751" s="587">
        <v>49.42</v>
      </c>
      <c r="E19751" s="587">
        <v>47.55</v>
      </c>
      <c r="F19751" s="587">
        <v>0.44</v>
      </c>
      <c r="G19751" s="587">
        <v>1.43</v>
      </c>
      <c r="H19751" s="588">
        <v>565.62</v>
      </c>
      <c r="I19751" s="588">
        <v>546.87</v>
      </c>
      <c r="J19751" s="588">
        <v>2.2999999999999998</v>
      </c>
      <c r="K19751" s="588">
        <v>16.45</v>
      </c>
      <c r="L19751" s="43">
        <v>11.445163901254553</v>
      </c>
      <c r="M19751" s="43">
        <v>11.500946372239749</v>
      </c>
      <c r="N19751" s="43">
        <v>5.2272727272727266</v>
      </c>
      <c r="O19751" s="43">
        <v>11.503496503496503</v>
      </c>
      <c r="P19751" s="589"/>
      <c r="Q19751" s="589"/>
      <c r="R19751" s="589">
        <v>7</v>
      </c>
    </row>
    <row r="19752" spans="1:18" ht="12.75" customHeight="1">
      <c r="A19752" s="628" t="s">
        <v>35836</v>
      </c>
      <c r="B19752" s="629"/>
      <c r="C19752" s="629"/>
      <c r="D19752" s="629"/>
      <c r="E19752" s="629"/>
      <c r="F19752" s="629"/>
      <c r="G19752" s="629"/>
      <c r="H19752" s="629"/>
      <c r="I19752" s="629"/>
      <c r="J19752" s="629"/>
      <c r="K19752" s="629"/>
      <c r="L19752" s="629"/>
      <c r="M19752" s="629"/>
      <c r="N19752" s="629"/>
      <c r="O19752" s="629"/>
      <c r="P19752" s="629"/>
      <c r="Q19752" s="629"/>
      <c r="R19752" s="629"/>
    </row>
    <row r="19753" spans="1:18" ht="36">
      <c r="A19753" s="585">
        <v>163</v>
      </c>
      <c r="B19753" s="582" t="s">
        <v>35837</v>
      </c>
      <c r="C19753" s="586" t="s">
        <v>35838</v>
      </c>
      <c r="D19753" s="587">
        <v>54.39</v>
      </c>
      <c r="E19753" s="587">
        <v>51.21</v>
      </c>
      <c r="F19753" s="587">
        <v>1.64</v>
      </c>
      <c r="G19753" s="587">
        <v>1.54</v>
      </c>
      <c r="H19753" s="588">
        <v>614.92999999999995</v>
      </c>
      <c r="I19753" s="588">
        <v>588.88</v>
      </c>
      <c r="J19753" s="588">
        <v>8.34</v>
      </c>
      <c r="K19753" s="588">
        <v>17.71</v>
      </c>
      <c r="L19753" s="43">
        <v>11.305938591652877</v>
      </c>
      <c r="M19753" s="43">
        <v>11.499316539738333</v>
      </c>
      <c r="N19753" s="43">
        <v>5.0853658536585371</v>
      </c>
      <c r="O19753" s="43">
        <v>11.5</v>
      </c>
      <c r="P19753" s="589"/>
      <c r="Q19753" s="589"/>
      <c r="R19753" s="589">
        <v>8</v>
      </c>
    </row>
    <row r="19754" spans="1:18" ht="36">
      <c r="A19754" s="585">
        <v>164</v>
      </c>
      <c r="B19754" s="582" t="s">
        <v>35839</v>
      </c>
      <c r="C19754" s="586" t="s">
        <v>35840</v>
      </c>
      <c r="D19754" s="587">
        <v>65.83</v>
      </c>
      <c r="E19754" s="587">
        <v>62.32</v>
      </c>
      <c r="F19754" s="587">
        <v>1.64</v>
      </c>
      <c r="G19754" s="587">
        <v>1.87</v>
      </c>
      <c r="H19754" s="588">
        <v>746.49</v>
      </c>
      <c r="I19754" s="588">
        <v>716.64</v>
      </c>
      <c r="J19754" s="588">
        <v>8.34</v>
      </c>
      <c r="K19754" s="588">
        <v>21.51</v>
      </c>
      <c r="L19754" s="43">
        <v>11.339662767735076</v>
      </c>
      <c r="M19754" s="43">
        <v>11.499358151476251</v>
      </c>
      <c r="N19754" s="43">
        <v>5.0853658536585371</v>
      </c>
      <c r="O19754" s="43">
        <v>11.502673796791443</v>
      </c>
      <c r="P19754" s="589"/>
      <c r="Q19754" s="589"/>
      <c r="R19754" s="589">
        <v>8</v>
      </c>
    </row>
    <row r="19755" spans="1:18" ht="12.75" customHeight="1">
      <c r="A19755" s="628" t="s">
        <v>35841</v>
      </c>
      <c r="B19755" s="629"/>
      <c r="C19755" s="629"/>
      <c r="D19755" s="629"/>
      <c r="E19755" s="629"/>
      <c r="F19755" s="629"/>
      <c r="G19755" s="629"/>
      <c r="H19755" s="629"/>
      <c r="I19755" s="629"/>
      <c r="J19755" s="629"/>
      <c r="K19755" s="629"/>
      <c r="L19755" s="629"/>
      <c r="M19755" s="629"/>
      <c r="N19755" s="629"/>
      <c r="O19755" s="629"/>
      <c r="P19755" s="629"/>
      <c r="Q19755" s="629"/>
      <c r="R19755" s="629"/>
    </row>
    <row r="19756" spans="1:18" ht="24">
      <c r="A19756" s="585">
        <v>165</v>
      </c>
      <c r="B19756" s="582" t="s">
        <v>35842</v>
      </c>
      <c r="C19756" s="586" t="s">
        <v>35843</v>
      </c>
      <c r="D19756" s="587">
        <v>151.22999999999999</v>
      </c>
      <c r="E19756" s="587">
        <v>146.4</v>
      </c>
      <c r="F19756" s="587">
        <v>0.44</v>
      </c>
      <c r="G19756" s="587">
        <v>4.3899999999999997</v>
      </c>
      <c r="H19756" s="588">
        <v>1736.39</v>
      </c>
      <c r="I19756" s="588">
        <v>1683.6</v>
      </c>
      <c r="J19756" s="588">
        <v>2.2999999999999998</v>
      </c>
      <c r="K19756" s="588">
        <v>50.49</v>
      </c>
      <c r="L19756" s="43">
        <v>11.481782715069762</v>
      </c>
      <c r="M19756" s="43">
        <v>11.499999999999998</v>
      </c>
      <c r="N19756" s="43">
        <v>5.2272727272727266</v>
      </c>
      <c r="O19756" s="43">
        <v>11.501138952164011</v>
      </c>
      <c r="P19756" s="589"/>
      <c r="Q19756" s="589"/>
      <c r="R19756" s="589">
        <v>9</v>
      </c>
    </row>
    <row r="19757" spans="1:18" ht="36">
      <c r="A19757" s="585">
        <v>166</v>
      </c>
      <c r="B19757" s="582" t="s">
        <v>35844</v>
      </c>
      <c r="C19757" s="586" t="s">
        <v>35845</v>
      </c>
      <c r="D19757" s="587">
        <v>146.21</v>
      </c>
      <c r="E19757" s="587">
        <v>141.52000000000001</v>
      </c>
      <c r="F19757" s="587">
        <v>0.44</v>
      </c>
      <c r="G19757" s="587">
        <v>4.25</v>
      </c>
      <c r="H19757" s="588">
        <v>1678.66</v>
      </c>
      <c r="I19757" s="588">
        <v>1627.48</v>
      </c>
      <c r="J19757" s="588">
        <v>2.2999999999999998</v>
      </c>
      <c r="K19757" s="588">
        <v>48.88</v>
      </c>
      <c r="L19757" s="43">
        <v>11.481157239586896</v>
      </c>
      <c r="M19757" s="43">
        <v>11.5</v>
      </c>
      <c r="N19757" s="43">
        <v>5.2272727272727266</v>
      </c>
      <c r="O19757" s="43">
        <v>11.501176470588236</v>
      </c>
      <c r="P19757" s="589"/>
      <c r="Q19757" s="589"/>
      <c r="R19757" s="589">
        <v>9</v>
      </c>
    </row>
    <row r="19758" spans="1:18" ht="36">
      <c r="A19758" s="585">
        <v>167</v>
      </c>
      <c r="B19758" s="582" t="s">
        <v>35846</v>
      </c>
      <c r="C19758" s="586" t="s">
        <v>35847</v>
      </c>
      <c r="D19758" s="587">
        <v>158.77000000000001</v>
      </c>
      <c r="E19758" s="587">
        <v>153.72</v>
      </c>
      <c r="F19758" s="587">
        <v>0.44</v>
      </c>
      <c r="G19758" s="587">
        <v>4.6100000000000003</v>
      </c>
      <c r="H19758" s="588">
        <v>1823.1</v>
      </c>
      <c r="I19758" s="588">
        <v>1767.78</v>
      </c>
      <c r="J19758" s="588">
        <v>2.2999999999999998</v>
      </c>
      <c r="K19758" s="588">
        <v>53.02</v>
      </c>
      <c r="L19758" s="43">
        <v>11.482647855388295</v>
      </c>
      <c r="M19758" s="43">
        <v>11.5</v>
      </c>
      <c r="N19758" s="43">
        <v>5.2272727272727266</v>
      </c>
      <c r="O19758" s="43">
        <v>11.501084598698482</v>
      </c>
      <c r="P19758" s="589"/>
      <c r="Q19758" s="589"/>
      <c r="R19758" s="589">
        <v>9</v>
      </c>
    </row>
    <row r="19759" spans="1:18" ht="12.75" customHeight="1">
      <c r="A19759" s="628" t="s">
        <v>35848</v>
      </c>
      <c r="B19759" s="629"/>
      <c r="C19759" s="629"/>
      <c r="D19759" s="629"/>
      <c r="E19759" s="629"/>
      <c r="F19759" s="629"/>
      <c r="G19759" s="629"/>
      <c r="H19759" s="629"/>
      <c r="I19759" s="629"/>
      <c r="J19759" s="629"/>
      <c r="K19759" s="629"/>
      <c r="L19759" s="629"/>
      <c r="M19759" s="629"/>
      <c r="N19759" s="629"/>
      <c r="O19759" s="629"/>
      <c r="P19759" s="629"/>
      <c r="Q19759" s="629"/>
      <c r="R19759" s="629"/>
    </row>
    <row r="19760" spans="1:18" ht="24">
      <c r="A19760" s="585">
        <v>168</v>
      </c>
      <c r="B19760" s="582" t="s">
        <v>35849</v>
      </c>
      <c r="C19760" s="586" t="s">
        <v>35850</v>
      </c>
      <c r="D19760" s="587">
        <v>97.59</v>
      </c>
      <c r="E19760" s="587">
        <v>94.75</v>
      </c>
      <c r="F19760" s="587"/>
      <c r="G19760" s="587">
        <v>2.84</v>
      </c>
      <c r="H19760" s="588">
        <v>1122.3699999999999</v>
      </c>
      <c r="I19760" s="588">
        <v>1089.71</v>
      </c>
      <c r="J19760" s="588"/>
      <c r="K19760" s="588">
        <v>32.659999999999997</v>
      </c>
      <c r="L19760" s="43">
        <v>11.500870990880212</v>
      </c>
      <c r="M19760" s="43">
        <v>11.50089709762533</v>
      </c>
      <c r="N19760" s="43" t="s">
        <v>1690</v>
      </c>
      <c r="O19760" s="43">
        <v>11.5</v>
      </c>
      <c r="P19760" s="589"/>
      <c r="Q19760" s="589"/>
      <c r="R19760" s="589">
        <v>10</v>
      </c>
    </row>
    <row r="19761" spans="1:18" ht="24">
      <c r="A19761" s="585">
        <v>169</v>
      </c>
      <c r="B19761" s="582" t="s">
        <v>35851</v>
      </c>
      <c r="C19761" s="586" t="s">
        <v>35852</v>
      </c>
      <c r="D19761" s="587">
        <v>110.21</v>
      </c>
      <c r="E19761" s="587">
        <v>107</v>
      </c>
      <c r="F19761" s="587"/>
      <c r="G19761" s="587">
        <v>3.21</v>
      </c>
      <c r="H19761" s="588">
        <v>1267.47</v>
      </c>
      <c r="I19761" s="588">
        <v>1230.55</v>
      </c>
      <c r="J19761" s="588"/>
      <c r="K19761" s="588">
        <v>36.92</v>
      </c>
      <c r="L19761" s="43">
        <v>11.500499047273388</v>
      </c>
      <c r="M19761" s="43">
        <v>11.500467289719627</v>
      </c>
      <c r="N19761" s="43" t="s">
        <v>1690</v>
      </c>
      <c r="O19761" s="43">
        <v>11.501557632398754</v>
      </c>
      <c r="P19761" s="589"/>
      <c r="Q19761" s="589"/>
      <c r="R19761" s="589">
        <v>10</v>
      </c>
    </row>
    <row r="19762" spans="1:18" ht="12.75" customHeight="1">
      <c r="A19762" s="628" t="s">
        <v>35853</v>
      </c>
      <c r="B19762" s="629"/>
      <c r="C19762" s="629"/>
      <c r="D19762" s="629"/>
      <c r="E19762" s="629"/>
      <c r="F19762" s="629"/>
      <c r="G19762" s="629"/>
      <c r="H19762" s="629"/>
      <c r="I19762" s="629"/>
      <c r="J19762" s="629"/>
      <c r="K19762" s="629"/>
      <c r="L19762" s="629"/>
      <c r="M19762" s="629"/>
      <c r="N19762" s="629"/>
      <c r="O19762" s="629"/>
      <c r="P19762" s="629"/>
      <c r="Q19762" s="629"/>
      <c r="R19762" s="629"/>
    </row>
    <row r="19763" spans="1:18" ht="24">
      <c r="A19763" s="585">
        <v>170</v>
      </c>
      <c r="B19763" s="582" t="s">
        <v>35854</v>
      </c>
      <c r="C19763" s="586" t="s">
        <v>35855</v>
      </c>
      <c r="D19763" s="587">
        <v>44.97</v>
      </c>
      <c r="E19763" s="587">
        <v>43.66</v>
      </c>
      <c r="F19763" s="587"/>
      <c r="G19763" s="587">
        <v>1.31</v>
      </c>
      <c r="H19763" s="588">
        <v>517.20000000000005</v>
      </c>
      <c r="I19763" s="588">
        <v>502.13</v>
      </c>
      <c r="J19763" s="588"/>
      <c r="K19763" s="588">
        <v>15.07</v>
      </c>
      <c r="L19763" s="43">
        <v>11.501000667111409</v>
      </c>
      <c r="M19763" s="43">
        <v>11.500916170407697</v>
      </c>
      <c r="N19763" s="43" t="s">
        <v>1690</v>
      </c>
      <c r="O19763" s="43">
        <v>11.503816793893129</v>
      </c>
      <c r="P19763" s="589"/>
      <c r="Q19763" s="589"/>
      <c r="R19763" s="589">
        <v>11</v>
      </c>
    </row>
    <row r="19764" spans="1:18" ht="12.75" customHeight="1">
      <c r="A19764" s="628" t="s">
        <v>35856</v>
      </c>
      <c r="B19764" s="629"/>
      <c r="C19764" s="629"/>
      <c r="D19764" s="629"/>
      <c r="E19764" s="629"/>
      <c r="F19764" s="629"/>
      <c r="G19764" s="629"/>
      <c r="H19764" s="629"/>
      <c r="I19764" s="629"/>
      <c r="J19764" s="629"/>
      <c r="K19764" s="629"/>
      <c r="L19764" s="629"/>
      <c r="M19764" s="629"/>
      <c r="N19764" s="629"/>
      <c r="O19764" s="629"/>
      <c r="P19764" s="629"/>
      <c r="Q19764" s="629"/>
      <c r="R19764" s="629"/>
    </row>
    <row r="19765" spans="1:18" ht="24">
      <c r="A19765" s="585">
        <v>171</v>
      </c>
      <c r="B19765" s="582" t="s">
        <v>35857</v>
      </c>
      <c r="C19765" s="586" t="s">
        <v>35858</v>
      </c>
      <c r="D19765" s="587">
        <v>12.6</v>
      </c>
      <c r="E19765" s="587">
        <v>12.23</v>
      </c>
      <c r="F19765" s="587"/>
      <c r="G19765" s="587">
        <v>0.37</v>
      </c>
      <c r="H19765" s="588">
        <v>144.88999999999999</v>
      </c>
      <c r="I19765" s="588">
        <v>140.63</v>
      </c>
      <c r="J19765" s="588"/>
      <c r="K19765" s="588">
        <v>4.26</v>
      </c>
      <c r="L19765" s="43">
        <v>11.499206349206348</v>
      </c>
      <c r="M19765" s="43">
        <v>11.498773507767783</v>
      </c>
      <c r="N19765" s="43" t="s">
        <v>1690</v>
      </c>
      <c r="O19765" s="43">
        <v>11.503164556962025</v>
      </c>
      <c r="P19765" s="589"/>
      <c r="Q19765" s="589"/>
      <c r="R19765" s="589">
        <v>12</v>
      </c>
    </row>
    <row r="19766" spans="1:18" ht="24">
      <c r="A19766" s="585">
        <v>172</v>
      </c>
      <c r="B19766" s="582" t="s">
        <v>35859</v>
      </c>
      <c r="C19766" s="586" t="s">
        <v>35860</v>
      </c>
      <c r="D19766" s="587">
        <v>71.010000000000005</v>
      </c>
      <c r="E19766" s="587">
        <v>68.94</v>
      </c>
      <c r="F19766" s="587"/>
      <c r="G19766" s="587">
        <v>2.0699999999999998</v>
      </c>
      <c r="H19766" s="588">
        <v>816.65</v>
      </c>
      <c r="I19766" s="588">
        <v>792.84</v>
      </c>
      <c r="J19766" s="588"/>
      <c r="K19766" s="588">
        <v>23.81</v>
      </c>
      <c r="L19766" s="43">
        <v>11.500492888325587</v>
      </c>
      <c r="M19766" s="43">
        <v>11.500435161009575</v>
      </c>
      <c r="N19766" s="43" t="s">
        <v>1690</v>
      </c>
      <c r="O19766" s="43">
        <v>11.502415458937199</v>
      </c>
      <c r="P19766" s="589"/>
      <c r="Q19766" s="589"/>
      <c r="R19766" s="589">
        <v>12</v>
      </c>
    </row>
    <row r="19767" spans="1:18" ht="12.75" customHeight="1">
      <c r="A19767" s="628" t="s">
        <v>35861</v>
      </c>
      <c r="B19767" s="629"/>
      <c r="C19767" s="629"/>
      <c r="D19767" s="629"/>
      <c r="E19767" s="629"/>
      <c r="F19767" s="629"/>
      <c r="G19767" s="629"/>
      <c r="H19767" s="629"/>
      <c r="I19767" s="629"/>
      <c r="J19767" s="629"/>
      <c r="K19767" s="629"/>
      <c r="L19767" s="629"/>
      <c r="M19767" s="629"/>
      <c r="N19767" s="629"/>
      <c r="O19767" s="629"/>
      <c r="P19767" s="629"/>
      <c r="Q19767" s="629"/>
      <c r="R19767" s="629"/>
    </row>
    <row r="19768" spans="1:18" ht="24">
      <c r="A19768" s="590">
        <v>173</v>
      </c>
      <c r="B19768" s="591" t="s">
        <v>35862</v>
      </c>
      <c r="C19768" s="592" t="s">
        <v>35863</v>
      </c>
      <c r="D19768" s="593">
        <v>47.17</v>
      </c>
      <c r="E19768" s="593">
        <v>45.16</v>
      </c>
      <c r="F19768" s="593">
        <v>0.66</v>
      </c>
      <c r="G19768" s="593">
        <v>1.35</v>
      </c>
      <c r="H19768" s="594">
        <v>538.29999999999995</v>
      </c>
      <c r="I19768" s="594">
        <v>519.30999999999995</v>
      </c>
      <c r="J19768" s="594">
        <v>3.46</v>
      </c>
      <c r="K19768" s="594">
        <v>15.53</v>
      </c>
      <c r="L19768" s="611">
        <v>11.41191435234259</v>
      </c>
      <c r="M19768" s="611">
        <v>11.499335695305581</v>
      </c>
      <c r="N19768" s="611">
        <v>5.2424242424242422</v>
      </c>
      <c r="O19768" s="611">
        <v>11.503703703703703</v>
      </c>
      <c r="P19768" s="595"/>
      <c r="Q19768" s="595"/>
      <c r="R19768" s="595">
        <v>13</v>
      </c>
    </row>
    <row r="19769" spans="1:18" ht="12.75" customHeight="1">
      <c r="A19769" s="630" t="s">
        <v>35864</v>
      </c>
      <c r="B19769" s="631"/>
      <c r="C19769" s="631"/>
      <c r="D19769" s="631"/>
      <c r="E19769" s="631"/>
      <c r="F19769" s="631"/>
      <c r="G19769" s="631"/>
      <c r="H19769" s="631"/>
      <c r="I19769" s="631"/>
      <c r="J19769" s="631"/>
      <c r="K19769" s="631"/>
      <c r="L19769" s="631"/>
      <c r="M19769" s="631"/>
      <c r="N19769" s="631"/>
      <c r="O19769" s="631"/>
      <c r="P19769" s="631"/>
      <c r="Q19769" s="631"/>
      <c r="R19769" s="631"/>
    </row>
    <row r="19770" spans="1:18" ht="12.75" customHeight="1">
      <c r="A19770" s="628" t="s">
        <v>35865</v>
      </c>
      <c r="B19770" s="629"/>
      <c r="C19770" s="629"/>
      <c r="D19770" s="629"/>
      <c r="E19770" s="629"/>
      <c r="F19770" s="629"/>
      <c r="G19770" s="629"/>
      <c r="H19770" s="629"/>
      <c r="I19770" s="629"/>
      <c r="J19770" s="629"/>
      <c r="K19770" s="629"/>
      <c r="L19770" s="629"/>
      <c r="M19770" s="629"/>
      <c r="N19770" s="629"/>
      <c r="O19770" s="629"/>
      <c r="P19770" s="629"/>
      <c r="Q19770" s="629"/>
      <c r="R19770" s="629"/>
    </row>
    <row r="19771" spans="1:18" ht="24">
      <c r="A19771" s="585">
        <v>174</v>
      </c>
      <c r="B19771" s="582" t="s">
        <v>35866</v>
      </c>
      <c r="C19771" s="586" t="s">
        <v>35867</v>
      </c>
      <c r="D19771" s="587">
        <v>55.93</v>
      </c>
      <c r="E19771" s="587">
        <v>54.3</v>
      </c>
      <c r="F19771" s="587"/>
      <c r="G19771" s="587">
        <v>1.63</v>
      </c>
      <c r="H19771" s="588">
        <v>643.24</v>
      </c>
      <c r="I19771" s="588">
        <v>624.49</v>
      </c>
      <c r="J19771" s="588"/>
      <c r="K19771" s="588">
        <v>18.75</v>
      </c>
      <c r="L19771" s="43">
        <v>11.50080457715001</v>
      </c>
      <c r="M19771" s="43">
        <v>11.500736648250461</v>
      </c>
      <c r="N19771" s="43" t="s">
        <v>1690</v>
      </c>
      <c r="O19771" s="43">
        <v>11.503067484662578</v>
      </c>
      <c r="P19771" s="589"/>
      <c r="Q19771" s="589"/>
      <c r="R19771" s="589">
        <v>1</v>
      </c>
    </row>
    <row r="19772" spans="1:18" ht="24">
      <c r="A19772" s="585">
        <v>175</v>
      </c>
      <c r="B19772" s="582" t="s">
        <v>35868</v>
      </c>
      <c r="C19772" s="586" t="s">
        <v>35869</v>
      </c>
      <c r="D19772" s="587">
        <v>67.91</v>
      </c>
      <c r="E19772" s="587">
        <v>65.930000000000007</v>
      </c>
      <c r="F19772" s="587"/>
      <c r="G19772" s="587">
        <v>1.98</v>
      </c>
      <c r="H19772" s="588">
        <v>781.01</v>
      </c>
      <c r="I19772" s="588">
        <v>758.24</v>
      </c>
      <c r="J19772" s="588"/>
      <c r="K19772" s="588">
        <v>22.77</v>
      </c>
      <c r="L19772" s="43">
        <v>11.500662641731704</v>
      </c>
      <c r="M19772" s="43">
        <v>11.500682542090095</v>
      </c>
      <c r="N19772" s="43" t="s">
        <v>1690</v>
      </c>
      <c r="O19772" s="43">
        <v>11.5</v>
      </c>
      <c r="P19772" s="589"/>
      <c r="Q19772" s="589"/>
      <c r="R19772" s="589">
        <v>1</v>
      </c>
    </row>
    <row r="19773" spans="1:18" ht="24">
      <c r="A19773" s="585">
        <v>176</v>
      </c>
      <c r="B19773" s="582" t="s">
        <v>35870</v>
      </c>
      <c r="C19773" s="586" t="s">
        <v>35871</v>
      </c>
      <c r="D19773" s="587">
        <v>39.880000000000003</v>
      </c>
      <c r="E19773" s="587">
        <v>38.72</v>
      </c>
      <c r="F19773" s="587"/>
      <c r="G19773" s="587">
        <v>1.1599999999999999</v>
      </c>
      <c r="H19773" s="588">
        <v>458.65</v>
      </c>
      <c r="I19773" s="588">
        <v>445.31</v>
      </c>
      <c r="J19773" s="588"/>
      <c r="K19773" s="588">
        <v>13.34</v>
      </c>
      <c r="L19773" s="43">
        <v>11.50075225677031</v>
      </c>
      <c r="M19773" s="43">
        <v>11.50077479338843</v>
      </c>
      <c r="N19773" s="43" t="s">
        <v>1690</v>
      </c>
      <c r="O19773" s="43">
        <v>11.5</v>
      </c>
      <c r="P19773" s="589"/>
      <c r="Q19773" s="589"/>
      <c r="R19773" s="589">
        <v>1</v>
      </c>
    </row>
    <row r="19774" spans="1:18" ht="12.75" customHeight="1">
      <c r="A19774" s="628" t="s">
        <v>35872</v>
      </c>
      <c r="B19774" s="629"/>
      <c r="C19774" s="629"/>
      <c r="D19774" s="629"/>
      <c r="E19774" s="629"/>
      <c r="F19774" s="629"/>
      <c r="G19774" s="629"/>
      <c r="H19774" s="629"/>
      <c r="I19774" s="629"/>
      <c r="J19774" s="629"/>
      <c r="K19774" s="629"/>
      <c r="L19774" s="629"/>
      <c r="M19774" s="629"/>
      <c r="N19774" s="629"/>
      <c r="O19774" s="629"/>
      <c r="P19774" s="629"/>
      <c r="Q19774" s="629"/>
      <c r="R19774" s="629"/>
    </row>
    <row r="19775" spans="1:18" ht="24">
      <c r="A19775" s="585">
        <v>177</v>
      </c>
      <c r="B19775" s="582" t="s">
        <v>35873</v>
      </c>
      <c r="C19775" s="586" t="s">
        <v>35874</v>
      </c>
      <c r="D19775" s="587">
        <v>201.45</v>
      </c>
      <c r="E19775" s="587">
        <v>195.58</v>
      </c>
      <c r="F19775" s="587"/>
      <c r="G19775" s="587">
        <v>5.87</v>
      </c>
      <c r="H19775" s="588">
        <v>2316.63</v>
      </c>
      <c r="I19775" s="588">
        <v>2249.12</v>
      </c>
      <c r="J19775" s="588"/>
      <c r="K19775" s="588">
        <v>67.510000000000005</v>
      </c>
      <c r="L19775" s="43">
        <v>11.499776619508564</v>
      </c>
      <c r="M19775" s="43">
        <v>11.49974435013805</v>
      </c>
      <c r="N19775" s="43" t="s">
        <v>1690</v>
      </c>
      <c r="O19775" s="43">
        <v>11.500851788756389</v>
      </c>
      <c r="P19775" s="589"/>
      <c r="Q19775" s="589"/>
      <c r="R19775" s="589">
        <v>2</v>
      </c>
    </row>
    <row r="19776" spans="1:18" ht="24">
      <c r="A19776" s="585">
        <v>178</v>
      </c>
      <c r="B19776" s="582" t="s">
        <v>35875</v>
      </c>
      <c r="C19776" s="586" t="s">
        <v>35876</v>
      </c>
      <c r="D19776" s="587">
        <v>215.33</v>
      </c>
      <c r="E19776" s="587">
        <v>209.06</v>
      </c>
      <c r="F19776" s="587"/>
      <c r="G19776" s="587">
        <v>6.27</v>
      </c>
      <c r="H19776" s="588">
        <v>2476.35</v>
      </c>
      <c r="I19776" s="588">
        <v>2404.2399999999998</v>
      </c>
      <c r="J19776" s="588"/>
      <c r="K19776" s="588">
        <v>72.11</v>
      </c>
      <c r="L19776" s="43">
        <v>11.500255421910555</v>
      </c>
      <c r="M19776" s="43">
        <v>11.500239165789724</v>
      </c>
      <c r="N19776" s="43" t="s">
        <v>1690</v>
      </c>
      <c r="O19776" s="43">
        <v>11.500797448165869</v>
      </c>
      <c r="P19776" s="589"/>
      <c r="Q19776" s="589"/>
      <c r="R19776" s="589">
        <v>2</v>
      </c>
    </row>
    <row r="19777" spans="1:18" ht="12.75" customHeight="1">
      <c r="A19777" s="628" t="s">
        <v>35877</v>
      </c>
      <c r="B19777" s="629"/>
      <c r="C19777" s="629"/>
      <c r="D19777" s="629"/>
      <c r="E19777" s="629"/>
      <c r="F19777" s="629"/>
      <c r="G19777" s="629"/>
      <c r="H19777" s="629"/>
      <c r="I19777" s="629"/>
      <c r="J19777" s="629"/>
      <c r="K19777" s="629"/>
      <c r="L19777" s="629"/>
      <c r="M19777" s="629"/>
      <c r="N19777" s="629"/>
      <c r="O19777" s="629"/>
      <c r="P19777" s="629"/>
      <c r="Q19777" s="629"/>
      <c r="R19777" s="629"/>
    </row>
    <row r="19778" spans="1:18" ht="24">
      <c r="A19778" s="585">
        <v>179</v>
      </c>
      <c r="B19778" s="582" t="s">
        <v>35878</v>
      </c>
      <c r="C19778" s="586" t="s">
        <v>35879</v>
      </c>
      <c r="D19778" s="587">
        <v>166.07</v>
      </c>
      <c r="E19778" s="587">
        <v>158.66</v>
      </c>
      <c r="F19778" s="587">
        <v>2.65</v>
      </c>
      <c r="G19778" s="587">
        <v>4.76</v>
      </c>
      <c r="H19778" s="588">
        <v>1893</v>
      </c>
      <c r="I19778" s="588">
        <v>1824.64</v>
      </c>
      <c r="J19778" s="588">
        <v>13.62</v>
      </c>
      <c r="K19778" s="588">
        <v>54.74</v>
      </c>
      <c r="L19778" s="43">
        <v>11.398807731679414</v>
      </c>
      <c r="M19778" s="43">
        <v>11.500315139291567</v>
      </c>
      <c r="N19778" s="43">
        <v>5.1396226415094342</v>
      </c>
      <c r="O19778" s="43">
        <v>11.500000000000002</v>
      </c>
      <c r="P19778" s="589"/>
      <c r="Q19778" s="589"/>
      <c r="R19778" s="589">
        <v>3</v>
      </c>
    </row>
    <row r="19779" spans="1:18" ht="24">
      <c r="A19779" s="585">
        <v>180</v>
      </c>
      <c r="B19779" s="582" t="s">
        <v>35880</v>
      </c>
      <c r="C19779" s="586" t="s">
        <v>35881</v>
      </c>
      <c r="D19779" s="587">
        <v>146.26</v>
      </c>
      <c r="E19779" s="587">
        <v>142</v>
      </c>
      <c r="F19779" s="587"/>
      <c r="G19779" s="587">
        <v>4.26</v>
      </c>
      <c r="H19779" s="588">
        <v>1682.04</v>
      </c>
      <c r="I19779" s="588">
        <v>1633.05</v>
      </c>
      <c r="J19779" s="588"/>
      <c r="K19779" s="588">
        <v>48.99</v>
      </c>
      <c r="L19779" s="43">
        <v>11.500341856967045</v>
      </c>
      <c r="M19779" s="43">
        <v>11.500352112676056</v>
      </c>
      <c r="N19779" s="43" t="s">
        <v>1690</v>
      </c>
      <c r="O19779" s="43">
        <v>11.500000000000002</v>
      </c>
      <c r="P19779" s="589"/>
      <c r="Q19779" s="589"/>
      <c r="R19779" s="589">
        <v>3</v>
      </c>
    </row>
    <row r="19780" spans="1:18" ht="12.75" customHeight="1">
      <c r="A19780" s="628" t="s">
        <v>35882</v>
      </c>
      <c r="B19780" s="629"/>
      <c r="C19780" s="629"/>
      <c r="D19780" s="629"/>
      <c r="E19780" s="629"/>
      <c r="F19780" s="629"/>
      <c r="G19780" s="629"/>
      <c r="H19780" s="629"/>
      <c r="I19780" s="629"/>
      <c r="J19780" s="629"/>
      <c r="K19780" s="629"/>
      <c r="L19780" s="629"/>
      <c r="M19780" s="629"/>
      <c r="N19780" s="629"/>
      <c r="O19780" s="629"/>
      <c r="P19780" s="629"/>
      <c r="Q19780" s="629"/>
      <c r="R19780" s="629"/>
    </row>
    <row r="19781" spans="1:18" ht="24">
      <c r="A19781" s="585">
        <v>181</v>
      </c>
      <c r="B19781" s="582" t="s">
        <v>35883</v>
      </c>
      <c r="C19781" s="586" t="s">
        <v>35884</v>
      </c>
      <c r="D19781" s="587">
        <v>58.11</v>
      </c>
      <c r="E19781" s="587">
        <v>56.42</v>
      </c>
      <c r="F19781" s="587"/>
      <c r="G19781" s="587">
        <v>1.69</v>
      </c>
      <c r="H19781" s="588">
        <v>668.33</v>
      </c>
      <c r="I19781" s="588">
        <v>648.89</v>
      </c>
      <c r="J19781" s="588"/>
      <c r="K19781" s="588">
        <v>19.440000000000001</v>
      </c>
      <c r="L19781" s="43">
        <v>11.501118568232663</v>
      </c>
      <c r="M19781" s="43">
        <v>11.501063452676355</v>
      </c>
      <c r="N19781" s="43" t="s">
        <v>1690</v>
      </c>
      <c r="O19781" s="43">
        <v>11.502958579881659</v>
      </c>
      <c r="P19781" s="589"/>
      <c r="Q19781" s="589"/>
      <c r="R19781" s="589">
        <v>4</v>
      </c>
    </row>
    <row r="19782" spans="1:18" ht="24">
      <c r="A19782" s="585">
        <v>182</v>
      </c>
      <c r="B19782" s="582" t="s">
        <v>35885</v>
      </c>
      <c r="C19782" s="586" t="s">
        <v>35886</v>
      </c>
      <c r="D19782" s="587">
        <v>69.58</v>
      </c>
      <c r="E19782" s="587">
        <v>67.55</v>
      </c>
      <c r="F19782" s="587"/>
      <c r="G19782" s="587">
        <v>2.0299999999999998</v>
      </c>
      <c r="H19782" s="588">
        <v>800.2</v>
      </c>
      <c r="I19782" s="588">
        <v>776.85</v>
      </c>
      <c r="J19782" s="588"/>
      <c r="K19782" s="588">
        <v>23.35</v>
      </c>
      <c r="L19782" s="43">
        <v>11.500431158378845</v>
      </c>
      <c r="M19782" s="43">
        <v>11.500370096225019</v>
      </c>
      <c r="N19782" s="43" t="s">
        <v>1690</v>
      </c>
      <c r="O19782" s="43">
        <v>11.502463054187194</v>
      </c>
      <c r="P19782" s="589"/>
      <c r="Q19782" s="589"/>
      <c r="R19782" s="589">
        <v>4</v>
      </c>
    </row>
    <row r="19783" spans="1:18" ht="24">
      <c r="A19783" s="585">
        <v>183</v>
      </c>
      <c r="B19783" s="582" t="s">
        <v>35887</v>
      </c>
      <c r="C19783" s="586" t="s">
        <v>35888</v>
      </c>
      <c r="D19783" s="587">
        <v>41.85</v>
      </c>
      <c r="E19783" s="587">
        <v>40.630000000000003</v>
      </c>
      <c r="F19783" s="587"/>
      <c r="G19783" s="587">
        <v>1.22</v>
      </c>
      <c r="H19783" s="588">
        <v>481.23</v>
      </c>
      <c r="I19783" s="588">
        <v>467.2</v>
      </c>
      <c r="J19783" s="588"/>
      <c r="K19783" s="588">
        <v>14.03</v>
      </c>
      <c r="L19783" s="43">
        <v>11.498924731182795</v>
      </c>
      <c r="M19783" s="43">
        <v>11.49889244400689</v>
      </c>
      <c r="N19783" s="43" t="s">
        <v>1690</v>
      </c>
      <c r="O19783" s="43">
        <v>11.5</v>
      </c>
      <c r="P19783" s="589"/>
      <c r="Q19783" s="589"/>
      <c r="R19783" s="589">
        <v>4</v>
      </c>
    </row>
    <row r="19784" spans="1:18" ht="24">
      <c r="A19784" s="585">
        <v>184</v>
      </c>
      <c r="B19784" s="582" t="s">
        <v>35889</v>
      </c>
      <c r="C19784" s="586" t="s">
        <v>35890</v>
      </c>
      <c r="D19784" s="587">
        <v>53.51</v>
      </c>
      <c r="E19784" s="587">
        <v>51.95</v>
      </c>
      <c r="F19784" s="587"/>
      <c r="G19784" s="587">
        <v>1.56</v>
      </c>
      <c r="H19784" s="588">
        <v>615.34</v>
      </c>
      <c r="I19784" s="588">
        <v>597.4</v>
      </c>
      <c r="J19784" s="588"/>
      <c r="K19784" s="588">
        <v>17.940000000000001</v>
      </c>
      <c r="L19784" s="43">
        <v>11.499532797607925</v>
      </c>
      <c r="M19784" s="43">
        <v>11.499518768046197</v>
      </c>
      <c r="N19784" s="43" t="s">
        <v>1690</v>
      </c>
      <c r="O19784" s="43">
        <v>11.5</v>
      </c>
      <c r="P19784" s="589"/>
      <c r="Q19784" s="589"/>
      <c r="R19784" s="589">
        <v>4</v>
      </c>
    </row>
    <row r="19785" spans="1:18" ht="36">
      <c r="A19785" s="585">
        <v>185</v>
      </c>
      <c r="B19785" s="582" t="s">
        <v>35891</v>
      </c>
      <c r="C19785" s="586" t="s">
        <v>35892</v>
      </c>
      <c r="D19785" s="587">
        <v>33.450000000000003</v>
      </c>
      <c r="E19785" s="587">
        <v>32.479999999999997</v>
      </c>
      <c r="F19785" s="587"/>
      <c r="G19785" s="587">
        <v>0.97</v>
      </c>
      <c r="H19785" s="588">
        <v>384.69</v>
      </c>
      <c r="I19785" s="588">
        <v>373.53</v>
      </c>
      <c r="J19785" s="588"/>
      <c r="K19785" s="588">
        <v>11.16</v>
      </c>
      <c r="L19785" s="43">
        <v>11.500448430493272</v>
      </c>
      <c r="M19785" s="43">
        <v>11.500307881773399</v>
      </c>
      <c r="N19785" s="43" t="s">
        <v>1690</v>
      </c>
      <c r="O19785" s="43">
        <v>11.503164556962025</v>
      </c>
      <c r="P19785" s="589"/>
      <c r="Q19785" s="589"/>
      <c r="R19785" s="589">
        <v>4</v>
      </c>
    </row>
    <row r="19786" spans="1:18" ht="36">
      <c r="A19786" s="585">
        <v>186</v>
      </c>
      <c r="B19786" s="582" t="s">
        <v>35893</v>
      </c>
      <c r="C19786" s="586" t="s">
        <v>35894</v>
      </c>
      <c r="D19786" s="587">
        <v>44.9</v>
      </c>
      <c r="E19786" s="587">
        <v>43.59</v>
      </c>
      <c r="F19786" s="587"/>
      <c r="G19786" s="587">
        <v>1.31</v>
      </c>
      <c r="H19786" s="588">
        <v>516.37</v>
      </c>
      <c r="I19786" s="588">
        <v>501.3</v>
      </c>
      <c r="J19786" s="588"/>
      <c r="K19786" s="588">
        <v>15.07</v>
      </c>
      <c r="L19786" s="43">
        <v>11.500445434298442</v>
      </c>
      <c r="M19786" s="43">
        <v>11.500344115622848</v>
      </c>
      <c r="N19786" s="43" t="s">
        <v>1690</v>
      </c>
      <c r="O19786" s="43">
        <v>11.503816793893129</v>
      </c>
      <c r="P19786" s="589"/>
      <c r="Q19786" s="589"/>
      <c r="R19786" s="589">
        <v>4</v>
      </c>
    </row>
    <row r="19787" spans="1:18" ht="12.75" customHeight="1">
      <c r="A19787" s="628" t="s">
        <v>35895</v>
      </c>
      <c r="B19787" s="629"/>
      <c r="C19787" s="629"/>
      <c r="D19787" s="629"/>
      <c r="E19787" s="629"/>
      <c r="F19787" s="629"/>
      <c r="G19787" s="629"/>
      <c r="H19787" s="629"/>
      <c r="I19787" s="629"/>
      <c r="J19787" s="629"/>
      <c r="K19787" s="629"/>
      <c r="L19787" s="629"/>
      <c r="M19787" s="629"/>
      <c r="N19787" s="629"/>
      <c r="O19787" s="629"/>
      <c r="P19787" s="629"/>
      <c r="Q19787" s="629"/>
      <c r="R19787" s="629"/>
    </row>
    <row r="19788" spans="1:18" ht="24">
      <c r="A19788" s="585">
        <v>187</v>
      </c>
      <c r="B19788" s="582" t="s">
        <v>35896</v>
      </c>
      <c r="C19788" s="586" t="s">
        <v>35897</v>
      </c>
      <c r="D19788" s="587">
        <v>195.54</v>
      </c>
      <c r="E19788" s="587">
        <v>187.59</v>
      </c>
      <c r="F19788" s="587">
        <v>2.3199999999999998</v>
      </c>
      <c r="G19788" s="587">
        <v>5.63</v>
      </c>
      <c r="H19788" s="588">
        <v>2234.19</v>
      </c>
      <c r="I19788" s="588">
        <v>2157.34</v>
      </c>
      <c r="J19788" s="588">
        <v>12.1</v>
      </c>
      <c r="K19788" s="588">
        <v>64.75</v>
      </c>
      <c r="L19788" s="43">
        <v>11.425744093280148</v>
      </c>
      <c r="M19788" s="43">
        <v>11.500293192600886</v>
      </c>
      <c r="N19788" s="43">
        <v>5.2155172413793105</v>
      </c>
      <c r="O19788" s="43">
        <v>11.50088809946714</v>
      </c>
      <c r="P19788" s="589"/>
      <c r="Q19788" s="589"/>
      <c r="R19788" s="589">
        <v>5</v>
      </c>
    </row>
    <row r="19789" spans="1:18" ht="24">
      <c r="A19789" s="585">
        <v>188</v>
      </c>
      <c r="B19789" s="582" t="s">
        <v>35898</v>
      </c>
      <c r="C19789" s="586" t="s">
        <v>35899</v>
      </c>
      <c r="D19789" s="587">
        <v>224.56</v>
      </c>
      <c r="E19789" s="587">
        <v>215.34</v>
      </c>
      <c r="F19789" s="587">
        <v>2.76</v>
      </c>
      <c r="G19789" s="587">
        <v>6.46</v>
      </c>
      <c r="H19789" s="588">
        <v>2565.1</v>
      </c>
      <c r="I19789" s="588">
        <v>2476.41</v>
      </c>
      <c r="J19789" s="588">
        <v>14.4</v>
      </c>
      <c r="K19789" s="588">
        <v>74.290000000000006</v>
      </c>
      <c r="L19789" s="43">
        <v>11.422782329889561</v>
      </c>
      <c r="M19789" s="43">
        <v>11.5</v>
      </c>
      <c r="N19789" s="43">
        <v>5.2173913043478271</v>
      </c>
      <c r="O19789" s="43">
        <v>11.500000000000002</v>
      </c>
      <c r="P19789" s="589"/>
      <c r="Q19789" s="589"/>
      <c r="R19789" s="589">
        <v>5</v>
      </c>
    </row>
    <row r="19790" spans="1:18" ht="12.75" customHeight="1">
      <c r="A19790" s="628" t="s">
        <v>35900</v>
      </c>
      <c r="B19790" s="629"/>
      <c r="C19790" s="629"/>
      <c r="D19790" s="629"/>
      <c r="E19790" s="629"/>
      <c r="F19790" s="629"/>
      <c r="G19790" s="629"/>
      <c r="H19790" s="629"/>
      <c r="I19790" s="629"/>
      <c r="J19790" s="629"/>
      <c r="K19790" s="629"/>
      <c r="L19790" s="629"/>
      <c r="M19790" s="629"/>
      <c r="N19790" s="629"/>
      <c r="O19790" s="629"/>
      <c r="P19790" s="629"/>
      <c r="Q19790" s="629"/>
      <c r="R19790" s="629"/>
    </row>
    <row r="19791" spans="1:18" ht="24">
      <c r="A19791" s="585">
        <v>189</v>
      </c>
      <c r="B19791" s="582" t="s">
        <v>35901</v>
      </c>
      <c r="C19791" s="586" t="s">
        <v>35902</v>
      </c>
      <c r="D19791" s="587">
        <v>350.52</v>
      </c>
      <c r="E19791" s="587">
        <v>318.77</v>
      </c>
      <c r="F19791" s="587">
        <v>22.19</v>
      </c>
      <c r="G19791" s="587">
        <v>9.56</v>
      </c>
      <c r="H19791" s="588">
        <v>3892.22</v>
      </c>
      <c r="I19791" s="588">
        <v>3665.93</v>
      </c>
      <c r="J19791" s="588">
        <v>116.35</v>
      </c>
      <c r="K19791" s="588">
        <v>109.94</v>
      </c>
      <c r="L19791" s="43">
        <v>11.10413100536346</v>
      </c>
      <c r="M19791" s="43">
        <v>11.500235279355021</v>
      </c>
      <c r="N19791" s="43">
        <v>5.2433528616493907</v>
      </c>
      <c r="O19791" s="43">
        <v>11.5</v>
      </c>
      <c r="P19791" s="589"/>
      <c r="Q19791" s="589"/>
      <c r="R19791" s="589">
        <v>6</v>
      </c>
    </row>
    <row r="19792" spans="1:18" ht="24">
      <c r="A19792" s="585">
        <v>190</v>
      </c>
      <c r="B19792" s="582" t="s">
        <v>35903</v>
      </c>
      <c r="C19792" s="586" t="s">
        <v>35904</v>
      </c>
      <c r="D19792" s="587">
        <v>390.93</v>
      </c>
      <c r="E19792" s="587">
        <v>350.76</v>
      </c>
      <c r="F19792" s="587">
        <v>29.65</v>
      </c>
      <c r="G19792" s="587">
        <v>10.52</v>
      </c>
      <c r="H19792" s="588">
        <v>4310.38</v>
      </c>
      <c r="I19792" s="588">
        <v>4033.89</v>
      </c>
      <c r="J19792" s="588">
        <v>155.51</v>
      </c>
      <c r="K19792" s="588">
        <v>120.98</v>
      </c>
      <c r="L19792" s="43">
        <v>11.025963727521551</v>
      </c>
      <c r="M19792" s="43">
        <v>11.500427642832706</v>
      </c>
      <c r="N19792" s="43">
        <v>5.2448566610455307</v>
      </c>
      <c r="O19792" s="43">
        <v>11.5</v>
      </c>
      <c r="P19792" s="589"/>
      <c r="Q19792" s="589"/>
      <c r="R19792" s="589">
        <v>6</v>
      </c>
    </row>
    <row r="19793" spans="1:18" ht="12.75" customHeight="1">
      <c r="A19793" s="628" t="s">
        <v>35905</v>
      </c>
      <c r="B19793" s="629"/>
      <c r="C19793" s="629"/>
      <c r="D19793" s="629"/>
      <c r="E19793" s="629"/>
      <c r="F19793" s="629"/>
      <c r="G19793" s="629"/>
      <c r="H19793" s="629"/>
      <c r="I19793" s="629"/>
      <c r="J19793" s="629"/>
      <c r="K19793" s="629"/>
      <c r="L19793" s="629"/>
      <c r="M19793" s="629"/>
      <c r="N19793" s="629"/>
      <c r="O19793" s="629"/>
      <c r="P19793" s="629"/>
      <c r="Q19793" s="629"/>
      <c r="R19793" s="629"/>
    </row>
    <row r="19794" spans="1:18" ht="24">
      <c r="A19794" s="585">
        <v>191</v>
      </c>
      <c r="B19794" s="582" t="s">
        <v>35906</v>
      </c>
      <c r="C19794" s="586" t="s">
        <v>35907</v>
      </c>
      <c r="D19794" s="587">
        <v>191.63</v>
      </c>
      <c r="E19794" s="587">
        <v>186.05</v>
      </c>
      <c r="F19794" s="587"/>
      <c r="G19794" s="587">
        <v>5.58</v>
      </c>
      <c r="H19794" s="588">
        <v>2203.77</v>
      </c>
      <c r="I19794" s="588">
        <v>2139.6</v>
      </c>
      <c r="J19794" s="588"/>
      <c r="K19794" s="588">
        <v>64.17</v>
      </c>
      <c r="L19794" s="43">
        <v>11.500130459740124</v>
      </c>
      <c r="M19794" s="43">
        <v>11.500134372480515</v>
      </c>
      <c r="N19794" s="43" t="s">
        <v>1690</v>
      </c>
      <c r="O19794" s="43">
        <v>11.5</v>
      </c>
      <c r="P19794" s="589"/>
      <c r="Q19794" s="589"/>
      <c r="R19794" s="589">
        <v>7</v>
      </c>
    </row>
    <row r="19795" spans="1:18" ht="12.75" customHeight="1">
      <c r="A19795" s="628" t="s">
        <v>35908</v>
      </c>
      <c r="B19795" s="629"/>
      <c r="C19795" s="629"/>
      <c r="D19795" s="629"/>
      <c r="E19795" s="629"/>
      <c r="F19795" s="629"/>
      <c r="G19795" s="629"/>
      <c r="H19795" s="629"/>
      <c r="I19795" s="629"/>
      <c r="J19795" s="629"/>
      <c r="K19795" s="629"/>
      <c r="L19795" s="629"/>
      <c r="M19795" s="629"/>
      <c r="N19795" s="629"/>
      <c r="O19795" s="629"/>
      <c r="P19795" s="629"/>
      <c r="Q19795" s="629"/>
      <c r="R19795" s="629"/>
    </row>
    <row r="19796" spans="1:18" ht="24">
      <c r="A19796" s="585">
        <v>192</v>
      </c>
      <c r="B19796" s="582" t="s">
        <v>35909</v>
      </c>
      <c r="C19796" s="586" t="s">
        <v>35910</v>
      </c>
      <c r="D19796" s="587">
        <v>87.58</v>
      </c>
      <c r="E19796" s="587">
        <v>85.03</v>
      </c>
      <c r="F19796" s="587"/>
      <c r="G19796" s="587">
        <v>2.5499999999999998</v>
      </c>
      <c r="H19796" s="588">
        <v>1007.13</v>
      </c>
      <c r="I19796" s="588">
        <v>977.8</v>
      </c>
      <c r="J19796" s="588"/>
      <c r="K19796" s="588">
        <v>29.33</v>
      </c>
      <c r="L19796" s="43">
        <v>11.499543274720256</v>
      </c>
      <c r="M19796" s="43">
        <v>11.49947077502058</v>
      </c>
      <c r="N19796" s="43" t="s">
        <v>1690</v>
      </c>
      <c r="O19796" s="43">
        <v>11.501960784313725</v>
      </c>
      <c r="P19796" s="589"/>
      <c r="Q19796" s="589"/>
      <c r="R19796" s="589">
        <v>8</v>
      </c>
    </row>
    <row r="19797" spans="1:18" ht="24">
      <c r="A19797" s="585">
        <v>193</v>
      </c>
      <c r="B19797" s="582" t="s">
        <v>35911</v>
      </c>
      <c r="C19797" s="586" t="s">
        <v>35912</v>
      </c>
      <c r="D19797" s="587">
        <v>98.9</v>
      </c>
      <c r="E19797" s="587">
        <v>96.02</v>
      </c>
      <c r="F19797" s="587"/>
      <c r="G19797" s="587">
        <v>2.88</v>
      </c>
      <c r="H19797" s="588">
        <v>1137.29</v>
      </c>
      <c r="I19797" s="588">
        <v>1104.17</v>
      </c>
      <c r="J19797" s="588"/>
      <c r="K19797" s="588">
        <v>33.119999999999997</v>
      </c>
      <c r="L19797" s="43">
        <v>11.499393326592516</v>
      </c>
      <c r="M19797" s="43">
        <v>11.499375130181214</v>
      </c>
      <c r="N19797" s="43" t="s">
        <v>1690</v>
      </c>
      <c r="O19797" s="43">
        <v>11.5</v>
      </c>
      <c r="P19797" s="589"/>
      <c r="Q19797" s="589"/>
      <c r="R19797" s="589">
        <v>8</v>
      </c>
    </row>
    <row r="19798" spans="1:18" ht="24">
      <c r="A19798" s="585">
        <v>194</v>
      </c>
      <c r="B19798" s="582" t="s">
        <v>35913</v>
      </c>
      <c r="C19798" s="586" t="s">
        <v>35914</v>
      </c>
      <c r="D19798" s="587">
        <v>263.92</v>
      </c>
      <c r="E19798" s="587">
        <v>256.23</v>
      </c>
      <c r="F19798" s="587"/>
      <c r="G19798" s="587">
        <v>7.69</v>
      </c>
      <c r="H19798" s="588">
        <v>3035.16</v>
      </c>
      <c r="I19798" s="588">
        <v>2946.72</v>
      </c>
      <c r="J19798" s="588"/>
      <c r="K19798" s="588">
        <v>88.44</v>
      </c>
      <c r="L19798" s="43">
        <v>11.500303122158229</v>
      </c>
      <c r="M19798" s="43">
        <v>11.500292705772155</v>
      </c>
      <c r="N19798" s="43" t="s">
        <v>1690</v>
      </c>
      <c r="O19798" s="43">
        <v>11.500650195058517</v>
      </c>
      <c r="P19798" s="589"/>
      <c r="Q19798" s="589"/>
      <c r="R19798" s="589">
        <v>8</v>
      </c>
    </row>
    <row r="19799" spans="1:18" ht="12.75" customHeight="1">
      <c r="A19799" s="628" t="s">
        <v>35915</v>
      </c>
      <c r="B19799" s="629"/>
      <c r="C19799" s="629"/>
      <c r="D19799" s="629"/>
      <c r="E19799" s="629"/>
      <c r="F19799" s="629"/>
      <c r="G19799" s="629"/>
      <c r="H19799" s="629"/>
      <c r="I19799" s="629"/>
      <c r="J19799" s="629"/>
      <c r="K19799" s="629"/>
      <c r="L19799" s="629"/>
      <c r="M19799" s="629"/>
      <c r="N19799" s="629"/>
      <c r="O19799" s="629"/>
      <c r="P19799" s="629"/>
      <c r="Q19799" s="629"/>
      <c r="R19799" s="629"/>
    </row>
    <row r="19800" spans="1:18" ht="48">
      <c r="A19800" s="585">
        <v>195</v>
      </c>
      <c r="B19800" s="582" t="s">
        <v>35916</v>
      </c>
      <c r="C19800" s="586" t="s">
        <v>35917</v>
      </c>
      <c r="D19800" s="587">
        <v>88.77</v>
      </c>
      <c r="E19800" s="587">
        <v>86.18</v>
      </c>
      <c r="F19800" s="587"/>
      <c r="G19800" s="587">
        <v>2.59</v>
      </c>
      <c r="H19800" s="588">
        <v>1020.84</v>
      </c>
      <c r="I19800" s="588">
        <v>991.05</v>
      </c>
      <c r="J19800" s="588"/>
      <c r="K19800" s="588">
        <v>29.79</v>
      </c>
      <c r="L19800" s="43">
        <v>11.499831023994593</v>
      </c>
      <c r="M19800" s="43">
        <v>11.499767927593407</v>
      </c>
      <c r="N19800" s="43" t="s">
        <v>1690</v>
      </c>
      <c r="O19800" s="43">
        <v>11.501930501930502</v>
      </c>
      <c r="P19800" s="589"/>
      <c r="Q19800" s="589"/>
      <c r="R19800" s="589">
        <v>9</v>
      </c>
    </row>
    <row r="19801" spans="1:18" ht="48">
      <c r="A19801" s="585">
        <v>196</v>
      </c>
      <c r="B19801" s="582" t="s">
        <v>35918</v>
      </c>
      <c r="C19801" s="586" t="s">
        <v>35919</v>
      </c>
      <c r="D19801" s="587">
        <v>99.82</v>
      </c>
      <c r="E19801" s="587">
        <v>96.91</v>
      </c>
      <c r="F19801" s="587"/>
      <c r="G19801" s="587">
        <v>2.91</v>
      </c>
      <c r="H19801" s="588">
        <v>1147.93</v>
      </c>
      <c r="I19801" s="588">
        <v>1114.46</v>
      </c>
      <c r="J19801" s="588"/>
      <c r="K19801" s="588">
        <v>33.47</v>
      </c>
      <c r="L19801" s="43">
        <v>11.500000000000002</v>
      </c>
      <c r="M19801" s="43">
        <v>11.499948405737284</v>
      </c>
      <c r="N19801" s="43" t="s">
        <v>1690</v>
      </c>
      <c r="O19801" s="43">
        <v>11.501718213058417</v>
      </c>
      <c r="P19801" s="589"/>
      <c r="Q19801" s="589"/>
      <c r="R19801" s="589">
        <v>9</v>
      </c>
    </row>
    <row r="19802" spans="1:18" ht="12.75" customHeight="1">
      <c r="A19802" s="628" t="s">
        <v>35920</v>
      </c>
      <c r="B19802" s="629"/>
      <c r="C19802" s="629"/>
      <c r="D19802" s="629"/>
      <c r="E19802" s="629"/>
      <c r="F19802" s="629"/>
      <c r="G19802" s="629"/>
      <c r="H19802" s="629"/>
      <c r="I19802" s="629"/>
      <c r="J19802" s="629"/>
      <c r="K19802" s="629"/>
      <c r="L19802" s="629"/>
      <c r="M19802" s="629"/>
      <c r="N19802" s="629"/>
      <c r="O19802" s="629"/>
      <c r="P19802" s="629"/>
      <c r="Q19802" s="629"/>
      <c r="R19802" s="629"/>
    </row>
    <row r="19803" spans="1:18" ht="24">
      <c r="A19803" s="585">
        <v>197</v>
      </c>
      <c r="B19803" s="582" t="s">
        <v>35921</v>
      </c>
      <c r="C19803" s="586" t="s">
        <v>35922</v>
      </c>
      <c r="D19803" s="587">
        <v>439.15</v>
      </c>
      <c r="E19803" s="587">
        <v>426.36</v>
      </c>
      <c r="F19803" s="587"/>
      <c r="G19803" s="587">
        <v>12.79</v>
      </c>
      <c r="H19803" s="588">
        <v>5050.4399999999996</v>
      </c>
      <c r="I19803" s="588">
        <v>4903.3500000000004</v>
      </c>
      <c r="J19803" s="588"/>
      <c r="K19803" s="588">
        <v>147.09</v>
      </c>
      <c r="L19803" s="43">
        <v>11.500489582147329</v>
      </c>
      <c r="M19803" s="43">
        <v>11.500492541514214</v>
      </c>
      <c r="N19803" s="43" t="s">
        <v>1690</v>
      </c>
      <c r="O19803" s="43">
        <v>11.500390930414387</v>
      </c>
      <c r="P19803" s="589"/>
      <c r="Q19803" s="589"/>
      <c r="R19803" s="589">
        <v>10</v>
      </c>
    </row>
    <row r="19804" spans="1:18" ht="12.75" customHeight="1">
      <c r="A19804" s="628" t="s">
        <v>35923</v>
      </c>
      <c r="B19804" s="629"/>
      <c r="C19804" s="629"/>
      <c r="D19804" s="629"/>
      <c r="E19804" s="629"/>
      <c r="F19804" s="629"/>
      <c r="G19804" s="629"/>
      <c r="H19804" s="629"/>
      <c r="I19804" s="629"/>
      <c r="J19804" s="629"/>
      <c r="K19804" s="629"/>
      <c r="L19804" s="629"/>
      <c r="M19804" s="629"/>
      <c r="N19804" s="629"/>
      <c r="O19804" s="629"/>
      <c r="P19804" s="629"/>
      <c r="Q19804" s="629"/>
      <c r="R19804" s="629"/>
    </row>
    <row r="19805" spans="1:18" ht="24">
      <c r="A19805" s="585">
        <v>198</v>
      </c>
      <c r="B19805" s="582" t="s">
        <v>35924</v>
      </c>
      <c r="C19805" s="586" t="s">
        <v>35925</v>
      </c>
      <c r="D19805" s="587">
        <v>340.71</v>
      </c>
      <c r="E19805" s="587">
        <v>330.79</v>
      </c>
      <c r="F19805" s="587"/>
      <c r="G19805" s="587">
        <v>9.92</v>
      </c>
      <c r="H19805" s="588">
        <v>3918.17</v>
      </c>
      <c r="I19805" s="588">
        <v>3804.09</v>
      </c>
      <c r="J19805" s="588"/>
      <c r="K19805" s="588">
        <v>114.08</v>
      </c>
      <c r="L19805" s="43">
        <v>11.500014675237006</v>
      </c>
      <c r="M19805" s="43">
        <v>11.500015115329967</v>
      </c>
      <c r="N19805" s="43" t="s">
        <v>1690</v>
      </c>
      <c r="O19805" s="43">
        <v>11.5</v>
      </c>
      <c r="P19805" s="589"/>
      <c r="Q19805" s="589"/>
      <c r="R19805" s="589">
        <v>11</v>
      </c>
    </row>
    <row r="19806" spans="1:18" ht="12.75" customHeight="1">
      <c r="A19806" s="628" t="s">
        <v>35926</v>
      </c>
      <c r="B19806" s="629"/>
      <c r="C19806" s="629"/>
      <c r="D19806" s="629"/>
      <c r="E19806" s="629"/>
      <c r="F19806" s="629"/>
      <c r="G19806" s="629"/>
      <c r="H19806" s="629"/>
      <c r="I19806" s="629"/>
      <c r="J19806" s="629"/>
      <c r="K19806" s="629"/>
      <c r="L19806" s="629"/>
      <c r="M19806" s="629"/>
      <c r="N19806" s="629"/>
      <c r="O19806" s="629"/>
      <c r="P19806" s="629"/>
      <c r="Q19806" s="629"/>
      <c r="R19806" s="629"/>
    </row>
    <row r="19807" spans="1:18" ht="24">
      <c r="A19807" s="585">
        <v>199</v>
      </c>
      <c r="B19807" s="582" t="s">
        <v>35927</v>
      </c>
      <c r="C19807" s="586" t="s">
        <v>35928</v>
      </c>
      <c r="D19807" s="587">
        <v>242.33</v>
      </c>
      <c r="E19807" s="587">
        <v>235.27</v>
      </c>
      <c r="F19807" s="587"/>
      <c r="G19807" s="587">
        <v>7.06</v>
      </c>
      <c r="H19807" s="588">
        <v>2786.74</v>
      </c>
      <c r="I19807" s="588">
        <v>2705.55</v>
      </c>
      <c r="J19807" s="588"/>
      <c r="K19807" s="588">
        <v>81.19</v>
      </c>
      <c r="L19807" s="43">
        <v>11.499773036768042</v>
      </c>
      <c r="M19807" s="43">
        <v>11.499766226038169</v>
      </c>
      <c r="N19807" s="43" t="s">
        <v>1690</v>
      </c>
      <c r="O19807" s="43">
        <v>11.5</v>
      </c>
      <c r="P19807" s="589"/>
      <c r="Q19807" s="589"/>
      <c r="R19807" s="589">
        <v>12</v>
      </c>
    </row>
    <row r="19808" spans="1:18" ht="12.75" customHeight="1">
      <c r="A19808" s="628" t="s">
        <v>35929</v>
      </c>
      <c r="B19808" s="629"/>
      <c r="C19808" s="629"/>
      <c r="D19808" s="629"/>
      <c r="E19808" s="629"/>
      <c r="F19808" s="629"/>
      <c r="G19808" s="629"/>
      <c r="H19808" s="629"/>
      <c r="I19808" s="629"/>
      <c r="J19808" s="629"/>
      <c r="K19808" s="629"/>
      <c r="L19808" s="629"/>
      <c r="M19808" s="629"/>
      <c r="N19808" s="629"/>
      <c r="O19808" s="629"/>
      <c r="P19808" s="629"/>
      <c r="Q19808" s="629"/>
      <c r="R19808" s="629"/>
    </row>
    <row r="19809" spans="1:18" ht="24">
      <c r="A19809" s="585">
        <v>200</v>
      </c>
      <c r="B19809" s="582" t="s">
        <v>35930</v>
      </c>
      <c r="C19809" s="586" t="s">
        <v>35931</v>
      </c>
      <c r="D19809" s="587">
        <v>400.63</v>
      </c>
      <c r="E19809" s="587">
        <v>388.96</v>
      </c>
      <c r="F19809" s="587"/>
      <c r="G19809" s="587">
        <v>11.67</v>
      </c>
      <c r="H19809" s="588">
        <v>4607.43</v>
      </c>
      <c r="I19809" s="588">
        <v>4473.22</v>
      </c>
      <c r="J19809" s="588"/>
      <c r="K19809" s="588">
        <v>134.21</v>
      </c>
      <c r="L19809" s="43">
        <v>11.500461772707986</v>
      </c>
      <c r="M19809" s="43">
        <v>11.500462772521598</v>
      </c>
      <c r="N19809" s="43" t="s">
        <v>1690</v>
      </c>
      <c r="O19809" s="43">
        <v>11.500428449014567</v>
      </c>
      <c r="P19809" s="589"/>
      <c r="Q19809" s="589"/>
      <c r="R19809" s="589">
        <v>13</v>
      </c>
    </row>
    <row r="19810" spans="1:18" ht="12.75" customHeight="1">
      <c r="A19810" s="628" t="s">
        <v>35932</v>
      </c>
      <c r="B19810" s="629"/>
      <c r="C19810" s="629"/>
      <c r="D19810" s="629"/>
      <c r="E19810" s="629"/>
      <c r="F19810" s="629"/>
      <c r="G19810" s="629"/>
      <c r="H19810" s="629"/>
      <c r="I19810" s="629"/>
      <c r="J19810" s="629"/>
      <c r="K19810" s="629"/>
      <c r="L19810" s="629"/>
      <c r="M19810" s="629"/>
      <c r="N19810" s="629"/>
      <c r="O19810" s="629"/>
      <c r="P19810" s="629"/>
      <c r="Q19810" s="629"/>
      <c r="R19810" s="629"/>
    </row>
    <row r="19811" spans="1:18" ht="24">
      <c r="A19811" s="585">
        <v>201</v>
      </c>
      <c r="B19811" s="582" t="s">
        <v>35933</v>
      </c>
      <c r="C19811" s="586" t="s">
        <v>35934</v>
      </c>
      <c r="D19811" s="587">
        <v>119.59</v>
      </c>
      <c r="E19811" s="587">
        <v>116.11</v>
      </c>
      <c r="F19811" s="587"/>
      <c r="G19811" s="587">
        <v>3.48</v>
      </c>
      <c r="H19811" s="588">
        <v>1375.32</v>
      </c>
      <c r="I19811" s="588">
        <v>1335.3</v>
      </c>
      <c r="J19811" s="588"/>
      <c r="K19811" s="588">
        <v>40.020000000000003</v>
      </c>
      <c r="L19811" s="43">
        <v>11.500292666610919</v>
      </c>
      <c r="M19811" s="43">
        <v>11.500301438291276</v>
      </c>
      <c r="N19811" s="43" t="s">
        <v>1690</v>
      </c>
      <c r="O19811" s="43">
        <v>11.500000000000002</v>
      </c>
      <c r="P19811" s="589"/>
      <c r="Q19811" s="589"/>
      <c r="R19811" s="589">
        <v>14</v>
      </c>
    </row>
    <row r="19812" spans="1:18" ht="12.75" customHeight="1">
      <c r="A19812" s="628" t="s">
        <v>35935</v>
      </c>
      <c r="B19812" s="629"/>
      <c r="C19812" s="629"/>
      <c r="D19812" s="629"/>
      <c r="E19812" s="629"/>
      <c r="F19812" s="629"/>
      <c r="G19812" s="629"/>
      <c r="H19812" s="629"/>
      <c r="I19812" s="629"/>
      <c r="J19812" s="629"/>
      <c r="K19812" s="629"/>
      <c r="L19812" s="629"/>
      <c r="M19812" s="629"/>
      <c r="N19812" s="629"/>
      <c r="O19812" s="629"/>
      <c r="P19812" s="629"/>
      <c r="Q19812" s="629"/>
      <c r="R19812" s="629"/>
    </row>
    <row r="19813" spans="1:18" ht="24">
      <c r="A19813" s="585">
        <v>202</v>
      </c>
      <c r="B19813" s="582" t="s">
        <v>35936</v>
      </c>
      <c r="C19813" s="586" t="s">
        <v>35937</v>
      </c>
      <c r="D19813" s="587">
        <v>348.42</v>
      </c>
      <c r="E19813" s="587">
        <v>338.27</v>
      </c>
      <c r="F19813" s="587"/>
      <c r="G19813" s="587">
        <v>10.15</v>
      </c>
      <c r="H19813" s="588">
        <v>4006.96</v>
      </c>
      <c r="I19813" s="588">
        <v>3890.23</v>
      </c>
      <c r="J19813" s="588"/>
      <c r="K19813" s="588">
        <v>116.73</v>
      </c>
      <c r="L19813" s="43">
        <v>11.500373112909706</v>
      </c>
      <c r="M19813" s="43">
        <v>11.500369527300677</v>
      </c>
      <c r="N19813" s="43" t="s">
        <v>1690</v>
      </c>
      <c r="O19813" s="43">
        <v>11.500492610837439</v>
      </c>
      <c r="P19813" s="589"/>
      <c r="Q19813" s="589"/>
      <c r="R19813" s="589">
        <v>15</v>
      </c>
    </row>
    <row r="19814" spans="1:18" ht="12.75" customHeight="1">
      <c r="A19814" s="628" t="s">
        <v>35938</v>
      </c>
      <c r="B19814" s="629"/>
      <c r="C19814" s="629"/>
      <c r="D19814" s="629"/>
      <c r="E19814" s="629"/>
      <c r="F19814" s="629"/>
      <c r="G19814" s="629"/>
      <c r="H19814" s="629"/>
      <c r="I19814" s="629"/>
      <c r="J19814" s="629"/>
      <c r="K19814" s="629"/>
      <c r="L19814" s="629"/>
      <c r="M19814" s="629"/>
      <c r="N19814" s="629"/>
      <c r="O19814" s="629"/>
      <c r="P19814" s="629"/>
      <c r="Q19814" s="629"/>
      <c r="R19814" s="629"/>
    </row>
    <row r="19815" spans="1:18" ht="24">
      <c r="A19815" s="585">
        <v>203</v>
      </c>
      <c r="B19815" s="582" t="s">
        <v>35939</v>
      </c>
      <c r="C19815" s="586" t="s">
        <v>35940</v>
      </c>
      <c r="D19815" s="587">
        <v>464.29</v>
      </c>
      <c r="E19815" s="587">
        <v>450.77</v>
      </c>
      <c r="F19815" s="587"/>
      <c r="G19815" s="587">
        <v>13.52</v>
      </c>
      <c r="H19815" s="588">
        <v>5339.45</v>
      </c>
      <c r="I19815" s="588">
        <v>5183.97</v>
      </c>
      <c r="J19815" s="588"/>
      <c r="K19815" s="588">
        <v>155.47999999999999</v>
      </c>
      <c r="L19815" s="43">
        <v>11.500247690021322</v>
      </c>
      <c r="M19815" s="43">
        <v>11.500255119018568</v>
      </c>
      <c r="N19815" s="43" t="s">
        <v>1690</v>
      </c>
      <c r="O19815" s="43">
        <v>11.5</v>
      </c>
      <c r="P19815" s="589"/>
      <c r="Q19815" s="589"/>
      <c r="R19815" s="589">
        <v>16</v>
      </c>
    </row>
    <row r="19816" spans="1:18" ht="24">
      <c r="A19816" s="585">
        <v>204</v>
      </c>
      <c r="B19816" s="582" t="s">
        <v>35941</v>
      </c>
      <c r="C19816" s="586" t="s">
        <v>35942</v>
      </c>
      <c r="D19816" s="587">
        <v>553</v>
      </c>
      <c r="E19816" s="587">
        <v>536.89</v>
      </c>
      <c r="F19816" s="587"/>
      <c r="G19816" s="587">
        <v>16.11</v>
      </c>
      <c r="H19816" s="588">
        <v>6359.71</v>
      </c>
      <c r="I19816" s="588">
        <v>6174.44</v>
      </c>
      <c r="J19816" s="588"/>
      <c r="K19816" s="588">
        <v>185.27</v>
      </c>
      <c r="L19816" s="43">
        <v>11.500379746835444</v>
      </c>
      <c r="M19816" s="43">
        <v>11.500381828679989</v>
      </c>
      <c r="N19816" s="43" t="s">
        <v>1690</v>
      </c>
      <c r="O19816" s="43">
        <v>11.500310366232155</v>
      </c>
      <c r="P19816" s="589"/>
      <c r="Q19816" s="589"/>
      <c r="R19816" s="589">
        <v>16</v>
      </c>
    </row>
    <row r="19817" spans="1:18" ht="24">
      <c r="A19817" s="585">
        <v>205</v>
      </c>
      <c r="B19817" s="582" t="s">
        <v>35943</v>
      </c>
      <c r="C19817" s="586" t="s">
        <v>35944</v>
      </c>
      <c r="D19817" s="587">
        <v>498.48</v>
      </c>
      <c r="E19817" s="587">
        <v>483.96</v>
      </c>
      <c r="F19817" s="587"/>
      <c r="G19817" s="587">
        <v>14.52</v>
      </c>
      <c r="H19817" s="588">
        <v>5732.72</v>
      </c>
      <c r="I19817" s="588">
        <v>5565.74</v>
      </c>
      <c r="J19817" s="588"/>
      <c r="K19817" s="588">
        <v>166.98</v>
      </c>
      <c r="L19817" s="43">
        <v>11.500401219707912</v>
      </c>
      <c r="M19817" s="43">
        <v>11.500413257293991</v>
      </c>
      <c r="N19817" s="43" t="s">
        <v>1690</v>
      </c>
      <c r="O19817" s="43">
        <v>11.5</v>
      </c>
      <c r="P19817" s="589"/>
      <c r="Q19817" s="589"/>
      <c r="R19817" s="589">
        <v>16</v>
      </c>
    </row>
    <row r="19818" spans="1:18" ht="12.75" customHeight="1">
      <c r="A19818" s="628" t="s">
        <v>35945</v>
      </c>
      <c r="B19818" s="629"/>
      <c r="C19818" s="629"/>
      <c r="D19818" s="629"/>
      <c r="E19818" s="629"/>
      <c r="F19818" s="629"/>
      <c r="G19818" s="629"/>
      <c r="H19818" s="629"/>
      <c r="I19818" s="629"/>
      <c r="J19818" s="629"/>
      <c r="K19818" s="629"/>
      <c r="L19818" s="629"/>
      <c r="M19818" s="629"/>
      <c r="N19818" s="629"/>
      <c r="O19818" s="629"/>
      <c r="P19818" s="629"/>
      <c r="Q19818" s="629"/>
      <c r="R19818" s="629"/>
    </row>
    <row r="19819" spans="1:18" ht="24">
      <c r="A19819" s="585">
        <v>206</v>
      </c>
      <c r="B19819" s="582" t="s">
        <v>35946</v>
      </c>
      <c r="C19819" s="586" t="s">
        <v>35947</v>
      </c>
      <c r="D19819" s="587">
        <v>68.400000000000006</v>
      </c>
      <c r="E19819" s="587">
        <v>66.41</v>
      </c>
      <c r="F19819" s="587"/>
      <c r="G19819" s="587">
        <v>1.99</v>
      </c>
      <c r="H19819" s="588">
        <v>786.66</v>
      </c>
      <c r="I19819" s="588">
        <v>763.77</v>
      </c>
      <c r="J19819" s="588"/>
      <c r="K19819" s="588">
        <v>22.89</v>
      </c>
      <c r="L19819" s="43">
        <v>11.500877192982454</v>
      </c>
      <c r="M19819" s="43">
        <v>11.500828188525825</v>
      </c>
      <c r="N19819" s="43" t="s">
        <v>1690</v>
      </c>
      <c r="O19819" s="43">
        <v>11.50251256281407</v>
      </c>
      <c r="P19819" s="589"/>
      <c r="Q19819" s="589"/>
      <c r="R19819" s="589">
        <v>17</v>
      </c>
    </row>
    <row r="19820" spans="1:18" ht="24">
      <c r="A19820" s="585">
        <v>207</v>
      </c>
      <c r="B19820" s="582" t="s">
        <v>35948</v>
      </c>
      <c r="C19820" s="586" t="s">
        <v>35949</v>
      </c>
      <c r="D19820" s="587">
        <v>77.39</v>
      </c>
      <c r="E19820" s="587">
        <v>75.14</v>
      </c>
      <c r="F19820" s="587"/>
      <c r="G19820" s="587">
        <v>2.25</v>
      </c>
      <c r="H19820" s="588">
        <v>890.08</v>
      </c>
      <c r="I19820" s="588">
        <v>864.2</v>
      </c>
      <c r="J19820" s="588"/>
      <c r="K19820" s="588">
        <v>25.88</v>
      </c>
      <c r="L19820" s="43">
        <v>11.501227548778912</v>
      </c>
      <c r="M19820" s="43">
        <v>11.501197764173543</v>
      </c>
      <c r="N19820" s="43" t="s">
        <v>1690</v>
      </c>
      <c r="O19820" s="43">
        <v>11.502222222222223</v>
      </c>
      <c r="P19820" s="589"/>
      <c r="Q19820" s="589"/>
      <c r="R19820" s="589">
        <v>17</v>
      </c>
    </row>
    <row r="19821" spans="1:18" ht="24">
      <c r="A19821" s="585">
        <v>208</v>
      </c>
      <c r="B19821" s="582" t="s">
        <v>35950</v>
      </c>
      <c r="C19821" s="586" t="s">
        <v>35951</v>
      </c>
      <c r="D19821" s="587">
        <v>91.83</v>
      </c>
      <c r="E19821" s="587">
        <v>89.16</v>
      </c>
      <c r="F19821" s="587"/>
      <c r="G19821" s="587">
        <v>2.67</v>
      </c>
      <c r="H19821" s="588">
        <v>1056.1199999999999</v>
      </c>
      <c r="I19821" s="588">
        <v>1025.4100000000001</v>
      </c>
      <c r="J19821" s="588"/>
      <c r="K19821" s="588">
        <v>30.71</v>
      </c>
      <c r="L19821" s="43">
        <v>11.500816726559947</v>
      </c>
      <c r="M19821" s="43">
        <v>11.500785105428445</v>
      </c>
      <c r="N19821" s="43" t="s">
        <v>1690</v>
      </c>
      <c r="O19821" s="43">
        <v>11.50187265917603</v>
      </c>
      <c r="P19821" s="589"/>
      <c r="Q19821" s="589"/>
      <c r="R19821" s="589">
        <v>17</v>
      </c>
    </row>
    <row r="19822" spans="1:18" ht="12.75" customHeight="1">
      <c r="A19822" s="628" t="s">
        <v>35952</v>
      </c>
      <c r="B19822" s="629"/>
      <c r="C19822" s="629"/>
      <c r="D19822" s="629"/>
      <c r="E19822" s="629"/>
      <c r="F19822" s="629"/>
      <c r="G19822" s="629"/>
      <c r="H19822" s="629"/>
      <c r="I19822" s="629"/>
      <c r="J19822" s="629"/>
      <c r="K19822" s="629"/>
      <c r="L19822" s="629"/>
      <c r="M19822" s="629"/>
      <c r="N19822" s="629"/>
      <c r="O19822" s="629"/>
      <c r="P19822" s="629"/>
      <c r="Q19822" s="629"/>
      <c r="R19822" s="629"/>
    </row>
    <row r="19823" spans="1:18" ht="36">
      <c r="A19823" s="585">
        <v>209</v>
      </c>
      <c r="B19823" s="582" t="s">
        <v>35953</v>
      </c>
      <c r="C19823" s="586" t="s">
        <v>35954</v>
      </c>
      <c r="D19823" s="587">
        <v>149.11000000000001</v>
      </c>
      <c r="E19823" s="587">
        <v>144.77000000000001</v>
      </c>
      <c r="F19823" s="587"/>
      <c r="G19823" s="587">
        <v>4.34</v>
      </c>
      <c r="H19823" s="588">
        <v>1714.87</v>
      </c>
      <c r="I19823" s="588">
        <v>1664.96</v>
      </c>
      <c r="J19823" s="588"/>
      <c r="K19823" s="588">
        <v>49.91</v>
      </c>
      <c r="L19823" s="43">
        <v>11.500704178123531</v>
      </c>
      <c r="M19823" s="43">
        <v>11.500725288388479</v>
      </c>
      <c r="N19823" s="43" t="s">
        <v>1690</v>
      </c>
      <c r="O19823" s="43">
        <v>11.5</v>
      </c>
      <c r="P19823" s="589"/>
      <c r="Q19823" s="589"/>
      <c r="R19823" s="589">
        <v>18</v>
      </c>
    </row>
    <row r="19824" spans="1:18" ht="36">
      <c r="A19824" s="585">
        <v>210</v>
      </c>
      <c r="B19824" s="582" t="s">
        <v>35955</v>
      </c>
      <c r="C19824" s="586" t="s">
        <v>35956</v>
      </c>
      <c r="D19824" s="587">
        <v>164.98</v>
      </c>
      <c r="E19824" s="587">
        <v>160.16999999999999</v>
      </c>
      <c r="F19824" s="587"/>
      <c r="G19824" s="587">
        <v>4.8099999999999996</v>
      </c>
      <c r="H19824" s="588">
        <v>1897.35</v>
      </c>
      <c r="I19824" s="588">
        <v>1842.03</v>
      </c>
      <c r="J19824" s="588"/>
      <c r="K19824" s="588">
        <v>55.32</v>
      </c>
      <c r="L19824" s="43">
        <v>11.500484907261486</v>
      </c>
      <c r="M19824" s="43">
        <v>11.500468252481738</v>
      </c>
      <c r="N19824" s="43" t="s">
        <v>1690</v>
      </c>
      <c r="O19824" s="43">
        <v>11.501039501039502</v>
      </c>
      <c r="P19824" s="589"/>
      <c r="Q19824" s="589"/>
      <c r="R19824" s="589">
        <v>18</v>
      </c>
    </row>
    <row r="19825" spans="1:18" ht="36">
      <c r="A19825" s="590">
        <v>211</v>
      </c>
      <c r="B19825" s="591" t="s">
        <v>35957</v>
      </c>
      <c r="C19825" s="592" t="s">
        <v>35958</v>
      </c>
      <c r="D19825" s="593">
        <v>113.61</v>
      </c>
      <c r="E19825" s="593">
        <v>110.3</v>
      </c>
      <c r="F19825" s="593"/>
      <c r="G19825" s="593">
        <v>3.31</v>
      </c>
      <c r="H19825" s="594">
        <v>1306.6099999999999</v>
      </c>
      <c r="I19825" s="594">
        <v>1268.54</v>
      </c>
      <c r="J19825" s="594"/>
      <c r="K19825" s="594">
        <v>38.07</v>
      </c>
      <c r="L19825" s="611">
        <v>11.500836193997007</v>
      </c>
      <c r="M19825" s="611">
        <v>11.50081595648232</v>
      </c>
      <c r="N19825" s="611" t="s">
        <v>1690</v>
      </c>
      <c r="O19825" s="611">
        <v>11.501510574018127</v>
      </c>
      <c r="P19825" s="595"/>
      <c r="Q19825" s="595"/>
      <c r="R19825" s="595">
        <v>18</v>
      </c>
    </row>
    <row r="19826" spans="1:18" ht="12.75" customHeight="1">
      <c r="A19826" s="630" t="s">
        <v>35959</v>
      </c>
      <c r="B19826" s="631"/>
      <c r="C19826" s="631"/>
      <c r="D19826" s="631"/>
      <c r="E19826" s="631"/>
      <c r="F19826" s="631"/>
      <c r="G19826" s="631"/>
      <c r="H19826" s="631"/>
      <c r="I19826" s="631"/>
      <c r="J19826" s="631"/>
      <c r="K19826" s="631"/>
      <c r="L19826" s="631"/>
      <c r="M19826" s="631"/>
      <c r="N19826" s="631"/>
      <c r="O19826" s="631"/>
      <c r="P19826" s="631"/>
      <c r="Q19826" s="631"/>
      <c r="R19826" s="631"/>
    </row>
    <row r="19827" spans="1:18" ht="12.75" customHeight="1">
      <c r="A19827" s="628" t="s">
        <v>35960</v>
      </c>
      <c r="B19827" s="629"/>
      <c r="C19827" s="629"/>
      <c r="D19827" s="629"/>
      <c r="E19827" s="629"/>
      <c r="F19827" s="629"/>
      <c r="G19827" s="629"/>
      <c r="H19827" s="629"/>
      <c r="I19827" s="629"/>
      <c r="J19827" s="629"/>
      <c r="K19827" s="629"/>
      <c r="L19827" s="629"/>
      <c r="M19827" s="629"/>
      <c r="N19827" s="629"/>
      <c r="O19827" s="629"/>
      <c r="P19827" s="629"/>
      <c r="Q19827" s="629"/>
      <c r="R19827" s="629"/>
    </row>
    <row r="19828" spans="1:18" ht="24">
      <c r="A19828" s="585">
        <v>212</v>
      </c>
      <c r="B19828" s="582" t="s">
        <v>35961</v>
      </c>
      <c r="C19828" s="586" t="s">
        <v>35962</v>
      </c>
      <c r="D19828" s="587">
        <v>337.9</v>
      </c>
      <c r="E19828" s="587">
        <v>328.06</v>
      </c>
      <c r="F19828" s="587"/>
      <c r="G19828" s="587">
        <v>9.84</v>
      </c>
      <c r="H19828" s="588">
        <v>3885.94</v>
      </c>
      <c r="I19828" s="588">
        <v>3772.78</v>
      </c>
      <c r="J19828" s="588"/>
      <c r="K19828" s="588">
        <v>113.16</v>
      </c>
      <c r="L19828" s="43">
        <v>11.500266350991419</v>
      </c>
      <c r="M19828" s="43">
        <v>11.500274340059745</v>
      </c>
      <c r="N19828" s="43" t="s">
        <v>1690</v>
      </c>
      <c r="O19828" s="43">
        <v>11.5</v>
      </c>
      <c r="P19828" s="589"/>
      <c r="Q19828" s="589"/>
      <c r="R19828" s="589">
        <v>1</v>
      </c>
    </row>
    <row r="19829" spans="1:18" ht="12.75" customHeight="1">
      <c r="A19829" s="628" t="s">
        <v>35963</v>
      </c>
      <c r="B19829" s="629"/>
      <c r="C19829" s="629"/>
      <c r="D19829" s="629"/>
      <c r="E19829" s="629"/>
      <c r="F19829" s="629"/>
      <c r="G19829" s="629"/>
      <c r="H19829" s="629"/>
      <c r="I19829" s="629"/>
      <c r="J19829" s="629"/>
      <c r="K19829" s="629"/>
      <c r="L19829" s="629"/>
      <c r="M19829" s="629"/>
      <c r="N19829" s="629"/>
      <c r="O19829" s="629"/>
      <c r="P19829" s="629"/>
      <c r="Q19829" s="629"/>
      <c r="R19829" s="629"/>
    </row>
    <row r="19830" spans="1:18" ht="24">
      <c r="A19830" s="585">
        <v>213</v>
      </c>
      <c r="B19830" s="582" t="s">
        <v>35964</v>
      </c>
      <c r="C19830" s="586" t="s">
        <v>35965</v>
      </c>
      <c r="D19830" s="587">
        <v>297.44</v>
      </c>
      <c r="E19830" s="587">
        <v>288.77999999999997</v>
      </c>
      <c r="F19830" s="587"/>
      <c r="G19830" s="587">
        <v>8.66</v>
      </c>
      <c r="H19830" s="588">
        <v>3420.64</v>
      </c>
      <c r="I19830" s="588">
        <v>3321.05</v>
      </c>
      <c r="J19830" s="588"/>
      <c r="K19830" s="588">
        <v>99.59</v>
      </c>
      <c r="L19830" s="43">
        <v>11.500268961807423</v>
      </c>
      <c r="M19830" s="43">
        <v>11.500277027494981</v>
      </c>
      <c r="N19830" s="43" t="s">
        <v>1690</v>
      </c>
      <c r="O19830" s="43">
        <v>11.5</v>
      </c>
      <c r="P19830" s="589"/>
      <c r="Q19830" s="589"/>
      <c r="R19830" s="589">
        <v>2</v>
      </c>
    </row>
    <row r="19831" spans="1:18" ht="12.75" customHeight="1">
      <c r="A19831" s="628" t="s">
        <v>35966</v>
      </c>
      <c r="B19831" s="629"/>
      <c r="C19831" s="629"/>
      <c r="D19831" s="629"/>
      <c r="E19831" s="629"/>
      <c r="F19831" s="629"/>
      <c r="G19831" s="629"/>
      <c r="H19831" s="629"/>
      <c r="I19831" s="629"/>
      <c r="J19831" s="629"/>
      <c r="K19831" s="629"/>
      <c r="L19831" s="629"/>
      <c r="M19831" s="629"/>
      <c r="N19831" s="629"/>
      <c r="O19831" s="629"/>
      <c r="P19831" s="629"/>
      <c r="Q19831" s="629"/>
      <c r="R19831" s="629"/>
    </row>
    <row r="19832" spans="1:18" ht="24">
      <c r="A19832" s="585">
        <v>214</v>
      </c>
      <c r="B19832" s="582" t="s">
        <v>35967</v>
      </c>
      <c r="C19832" s="586" t="s">
        <v>35968</v>
      </c>
      <c r="D19832" s="587">
        <v>178.32</v>
      </c>
      <c r="E19832" s="587">
        <v>171.94</v>
      </c>
      <c r="F19832" s="587">
        <v>1.22</v>
      </c>
      <c r="G19832" s="587">
        <v>5.16</v>
      </c>
      <c r="H19832" s="588">
        <v>2042.95</v>
      </c>
      <c r="I19832" s="588">
        <v>1977.27</v>
      </c>
      <c r="J19832" s="588">
        <v>6.34</v>
      </c>
      <c r="K19832" s="588">
        <v>59.34</v>
      </c>
      <c r="L19832" s="43">
        <v>11.456650964558099</v>
      </c>
      <c r="M19832" s="43">
        <v>11.499767360707224</v>
      </c>
      <c r="N19832" s="43">
        <v>5.1967213114754101</v>
      </c>
      <c r="O19832" s="43">
        <v>11.5</v>
      </c>
      <c r="P19832" s="589"/>
      <c r="Q19832" s="589"/>
      <c r="R19832" s="589">
        <v>3</v>
      </c>
    </row>
    <row r="19833" spans="1:18" ht="12.75" customHeight="1">
      <c r="A19833" s="628" t="s">
        <v>35969</v>
      </c>
      <c r="B19833" s="629"/>
      <c r="C19833" s="629"/>
      <c r="D19833" s="629"/>
      <c r="E19833" s="629"/>
      <c r="F19833" s="629"/>
      <c r="G19833" s="629"/>
      <c r="H19833" s="629"/>
      <c r="I19833" s="629"/>
      <c r="J19833" s="629"/>
      <c r="K19833" s="629"/>
      <c r="L19833" s="629"/>
      <c r="M19833" s="629"/>
      <c r="N19833" s="629"/>
      <c r="O19833" s="629"/>
      <c r="P19833" s="629"/>
      <c r="Q19833" s="629"/>
      <c r="R19833" s="629"/>
    </row>
    <row r="19834" spans="1:18" ht="24">
      <c r="A19834" s="585">
        <v>215</v>
      </c>
      <c r="B19834" s="582" t="s">
        <v>35970</v>
      </c>
      <c r="C19834" s="586" t="s">
        <v>35971</v>
      </c>
      <c r="D19834" s="587">
        <v>4.42</v>
      </c>
      <c r="E19834" s="587">
        <v>4.29</v>
      </c>
      <c r="F19834" s="587"/>
      <c r="G19834" s="587">
        <v>0.13</v>
      </c>
      <c r="H19834" s="588">
        <v>50.89</v>
      </c>
      <c r="I19834" s="588">
        <v>49.39</v>
      </c>
      <c r="J19834" s="588"/>
      <c r="K19834" s="588">
        <v>1.5</v>
      </c>
      <c r="L19834" s="43">
        <v>11.503164556962025</v>
      </c>
      <c r="M19834" s="43">
        <v>11.498253783469149</v>
      </c>
      <c r="N19834" s="43" t="s">
        <v>1690</v>
      </c>
      <c r="O19834" s="43">
        <v>11.503164556962025</v>
      </c>
      <c r="P19834" s="589"/>
      <c r="Q19834" s="589"/>
      <c r="R19834" s="589">
        <v>4</v>
      </c>
    </row>
    <row r="19835" spans="1:18" ht="24">
      <c r="A19835" s="585">
        <v>216</v>
      </c>
      <c r="B19835" s="582" t="s">
        <v>35972</v>
      </c>
      <c r="C19835" s="586" t="s">
        <v>35973</v>
      </c>
      <c r="D19835" s="587">
        <v>1.41</v>
      </c>
      <c r="E19835" s="587">
        <v>1.37</v>
      </c>
      <c r="F19835" s="587"/>
      <c r="G19835" s="587">
        <v>0.04</v>
      </c>
      <c r="H19835" s="588">
        <v>16.170000000000002</v>
      </c>
      <c r="I19835" s="588">
        <v>15.71</v>
      </c>
      <c r="J19835" s="588"/>
      <c r="K19835" s="588">
        <v>0.46</v>
      </c>
      <c r="L19835" s="43">
        <v>11.503164556962025</v>
      </c>
      <c r="M19835" s="43">
        <v>11.498253783469149</v>
      </c>
      <c r="N19835" s="43" t="s">
        <v>1690</v>
      </c>
      <c r="O19835" s="43">
        <v>11.5</v>
      </c>
      <c r="P19835" s="589"/>
      <c r="Q19835" s="589"/>
      <c r="R19835" s="589">
        <v>4</v>
      </c>
    </row>
    <row r="19836" spans="1:18" ht="24">
      <c r="A19836" s="585">
        <v>217</v>
      </c>
      <c r="B19836" s="582" t="s">
        <v>35974</v>
      </c>
      <c r="C19836" s="586" t="s">
        <v>35975</v>
      </c>
      <c r="D19836" s="587">
        <v>8.85</v>
      </c>
      <c r="E19836" s="587">
        <v>8.59</v>
      </c>
      <c r="F19836" s="587"/>
      <c r="G19836" s="587">
        <v>0.26</v>
      </c>
      <c r="H19836" s="588">
        <v>101.76</v>
      </c>
      <c r="I19836" s="588">
        <v>98.77</v>
      </c>
      <c r="J19836" s="588"/>
      <c r="K19836" s="588">
        <v>2.99</v>
      </c>
      <c r="L19836" s="43">
        <v>11.503164556962025</v>
      </c>
      <c r="M19836" s="43">
        <v>11.498253783469149</v>
      </c>
      <c r="N19836" s="43" t="s">
        <v>1690</v>
      </c>
      <c r="O19836" s="43">
        <v>11.5</v>
      </c>
      <c r="P19836" s="589"/>
      <c r="Q19836" s="589"/>
      <c r="R19836" s="589">
        <v>4</v>
      </c>
    </row>
    <row r="19837" spans="1:18" ht="24">
      <c r="A19837" s="590">
        <v>218</v>
      </c>
      <c r="B19837" s="591" t="s">
        <v>35976</v>
      </c>
      <c r="C19837" s="592" t="s">
        <v>35977</v>
      </c>
      <c r="D19837" s="593">
        <v>2.81</v>
      </c>
      <c r="E19837" s="593">
        <v>2.73</v>
      </c>
      <c r="F19837" s="593"/>
      <c r="G19837" s="593">
        <v>0.08</v>
      </c>
      <c r="H19837" s="594">
        <v>32.35</v>
      </c>
      <c r="I19837" s="594">
        <v>31.43</v>
      </c>
      <c r="J19837" s="594"/>
      <c r="K19837" s="594">
        <v>0.92</v>
      </c>
      <c r="L19837" s="43">
        <v>11.503164556962025</v>
      </c>
      <c r="M19837" s="43">
        <v>11.498253783469149</v>
      </c>
      <c r="N19837" s="611" t="s">
        <v>1690</v>
      </c>
      <c r="O19837" s="611">
        <v>11.5</v>
      </c>
      <c r="P19837" s="595"/>
      <c r="Q19837" s="595"/>
      <c r="R19837" s="595">
        <v>4</v>
      </c>
    </row>
    <row r="19838" spans="1:18" ht="12.75" customHeight="1">
      <c r="A19838" s="630" t="s">
        <v>35978</v>
      </c>
      <c r="B19838" s="631"/>
      <c r="C19838" s="631"/>
      <c r="D19838" s="631"/>
      <c r="E19838" s="631"/>
      <c r="F19838" s="631"/>
      <c r="G19838" s="631"/>
      <c r="H19838" s="631"/>
      <c r="I19838" s="631"/>
      <c r="J19838" s="631"/>
      <c r="K19838" s="631"/>
      <c r="L19838" s="631"/>
      <c r="M19838" s="631"/>
      <c r="N19838" s="631"/>
      <c r="O19838" s="631"/>
      <c r="P19838" s="631"/>
      <c r="Q19838" s="631"/>
      <c r="R19838" s="631"/>
    </row>
    <row r="19839" spans="1:18" ht="12.75" customHeight="1">
      <c r="A19839" s="628" t="s">
        <v>35979</v>
      </c>
      <c r="B19839" s="629"/>
      <c r="C19839" s="629"/>
      <c r="D19839" s="629"/>
      <c r="E19839" s="629"/>
      <c r="F19839" s="629"/>
      <c r="G19839" s="629"/>
      <c r="H19839" s="629"/>
      <c r="I19839" s="629"/>
      <c r="J19839" s="629"/>
      <c r="K19839" s="629"/>
      <c r="L19839" s="629"/>
      <c r="M19839" s="629"/>
      <c r="N19839" s="629"/>
      <c r="O19839" s="629"/>
      <c r="P19839" s="629"/>
      <c r="Q19839" s="629"/>
      <c r="R19839" s="629"/>
    </row>
    <row r="19840" spans="1:18" ht="24">
      <c r="A19840" s="585">
        <v>219</v>
      </c>
      <c r="B19840" s="582" t="s">
        <v>35980</v>
      </c>
      <c r="C19840" s="586" t="s">
        <v>35981</v>
      </c>
      <c r="D19840" s="587">
        <v>815.28</v>
      </c>
      <c r="E19840" s="587">
        <v>791.53</v>
      </c>
      <c r="F19840" s="587"/>
      <c r="G19840" s="587">
        <v>23.75</v>
      </c>
      <c r="H19840" s="588">
        <v>9375.9599999999991</v>
      </c>
      <c r="I19840" s="588">
        <v>9102.83</v>
      </c>
      <c r="J19840" s="588"/>
      <c r="K19840" s="588">
        <v>273.13</v>
      </c>
      <c r="L19840" s="43">
        <v>11.500294377391816</v>
      </c>
      <c r="M19840" s="43">
        <v>11.500296893358433</v>
      </c>
      <c r="N19840" s="43" t="s">
        <v>1690</v>
      </c>
      <c r="O19840" s="43">
        <v>11.50021052631579</v>
      </c>
      <c r="P19840" s="589"/>
      <c r="Q19840" s="589"/>
      <c r="R19840" s="589">
        <v>1</v>
      </c>
    </row>
    <row r="19841" spans="1:18" ht="24">
      <c r="A19841" s="585">
        <v>220</v>
      </c>
      <c r="B19841" s="582" t="s">
        <v>35982</v>
      </c>
      <c r="C19841" s="586" t="s">
        <v>35983</v>
      </c>
      <c r="D19841" s="587">
        <v>81.22</v>
      </c>
      <c r="E19841" s="587">
        <v>78.849999999999994</v>
      </c>
      <c r="F19841" s="587"/>
      <c r="G19841" s="587">
        <v>2.37</v>
      </c>
      <c r="H19841" s="588">
        <v>934.06</v>
      </c>
      <c r="I19841" s="588">
        <v>906.8</v>
      </c>
      <c r="J19841" s="588"/>
      <c r="K19841" s="588">
        <v>27.26</v>
      </c>
      <c r="L19841" s="43">
        <v>11.500369367150947</v>
      </c>
      <c r="M19841" s="43">
        <v>11.500317057704503</v>
      </c>
      <c r="N19841" s="43" t="s">
        <v>1690</v>
      </c>
      <c r="O19841" s="43">
        <v>11.502109704641351</v>
      </c>
      <c r="P19841" s="589"/>
      <c r="Q19841" s="589"/>
      <c r="R19841" s="589">
        <v>1</v>
      </c>
    </row>
    <row r="19842" spans="1:18" ht="12.75" customHeight="1">
      <c r="A19842" s="628" t="s">
        <v>35984</v>
      </c>
      <c r="B19842" s="629"/>
      <c r="C19842" s="629"/>
      <c r="D19842" s="629"/>
      <c r="E19842" s="629"/>
      <c r="F19842" s="629"/>
      <c r="G19842" s="629"/>
      <c r="H19842" s="629"/>
      <c r="I19842" s="629"/>
      <c r="J19842" s="629"/>
      <c r="K19842" s="629"/>
      <c r="L19842" s="629"/>
      <c r="M19842" s="629"/>
      <c r="N19842" s="629"/>
      <c r="O19842" s="629"/>
      <c r="P19842" s="629"/>
      <c r="Q19842" s="629"/>
      <c r="R19842" s="629"/>
    </row>
    <row r="19843" spans="1:18" ht="24">
      <c r="A19843" s="585">
        <v>221</v>
      </c>
      <c r="B19843" s="582" t="s">
        <v>35985</v>
      </c>
      <c r="C19843" s="586" t="s">
        <v>35986</v>
      </c>
      <c r="D19843" s="587">
        <v>419.88</v>
      </c>
      <c r="E19843" s="587">
        <v>407.65</v>
      </c>
      <c r="F19843" s="587"/>
      <c r="G19843" s="587">
        <v>12.23</v>
      </c>
      <c r="H19843" s="588">
        <v>4828.79</v>
      </c>
      <c r="I19843" s="588">
        <v>4688.1400000000003</v>
      </c>
      <c r="J19843" s="588"/>
      <c r="K19843" s="588">
        <v>140.65</v>
      </c>
      <c r="L19843" s="43">
        <v>11.500404877584071</v>
      </c>
      <c r="M19843" s="43">
        <v>11.500404758984425</v>
      </c>
      <c r="N19843" s="43" t="s">
        <v>1690</v>
      </c>
      <c r="O19843" s="43">
        <v>11.500408830744073</v>
      </c>
      <c r="P19843" s="589"/>
      <c r="Q19843" s="589"/>
      <c r="R19843" s="589">
        <v>2</v>
      </c>
    </row>
    <row r="19844" spans="1:18" ht="24">
      <c r="A19844" s="585">
        <v>222</v>
      </c>
      <c r="B19844" s="582" t="s">
        <v>35987</v>
      </c>
      <c r="C19844" s="586" t="s">
        <v>35988</v>
      </c>
      <c r="D19844" s="587">
        <v>35.03</v>
      </c>
      <c r="E19844" s="587">
        <v>34.01</v>
      </c>
      <c r="F19844" s="587"/>
      <c r="G19844" s="587">
        <v>1.02</v>
      </c>
      <c r="H19844" s="588">
        <v>402.81</v>
      </c>
      <c r="I19844" s="588">
        <v>391.08</v>
      </c>
      <c r="J19844" s="588"/>
      <c r="K19844" s="588">
        <v>11.73</v>
      </c>
      <c r="L19844" s="43">
        <v>11.499000856408792</v>
      </c>
      <c r="M19844" s="43">
        <v>11.498970890914437</v>
      </c>
      <c r="N19844" s="43" t="s">
        <v>1690</v>
      </c>
      <c r="O19844" s="43">
        <v>11.5</v>
      </c>
      <c r="P19844" s="589"/>
      <c r="Q19844" s="589"/>
      <c r="R19844" s="589">
        <v>2</v>
      </c>
    </row>
    <row r="19845" spans="1:18" ht="12.75" customHeight="1">
      <c r="A19845" s="628" t="s">
        <v>35989</v>
      </c>
      <c r="B19845" s="629"/>
      <c r="C19845" s="629"/>
      <c r="D19845" s="629"/>
      <c r="E19845" s="629"/>
      <c r="F19845" s="629"/>
      <c r="G19845" s="629"/>
      <c r="H19845" s="629"/>
      <c r="I19845" s="629"/>
      <c r="J19845" s="629"/>
      <c r="K19845" s="629"/>
      <c r="L19845" s="629"/>
      <c r="M19845" s="629"/>
      <c r="N19845" s="629"/>
      <c r="O19845" s="629"/>
      <c r="P19845" s="629"/>
      <c r="Q19845" s="629"/>
      <c r="R19845" s="629"/>
    </row>
    <row r="19846" spans="1:18" ht="36">
      <c r="A19846" s="585">
        <v>223</v>
      </c>
      <c r="B19846" s="582" t="s">
        <v>35990</v>
      </c>
      <c r="C19846" s="586" t="s">
        <v>35991</v>
      </c>
      <c r="D19846" s="587">
        <v>187.21</v>
      </c>
      <c r="E19846" s="587">
        <v>181.76</v>
      </c>
      <c r="F19846" s="587"/>
      <c r="G19846" s="587">
        <v>5.45</v>
      </c>
      <c r="H19846" s="588">
        <v>2152.9299999999998</v>
      </c>
      <c r="I19846" s="588">
        <v>2090.25</v>
      </c>
      <c r="J19846" s="588"/>
      <c r="K19846" s="588">
        <v>62.68</v>
      </c>
      <c r="L19846" s="43">
        <v>11.500080123925002</v>
      </c>
      <c r="M19846" s="43">
        <v>11.500055017605634</v>
      </c>
      <c r="N19846" s="43" t="s">
        <v>1690</v>
      </c>
      <c r="O19846" s="43">
        <v>11.50091743119266</v>
      </c>
      <c r="P19846" s="589"/>
      <c r="Q19846" s="589"/>
      <c r="R19846" s="589">
        <v>3</v>
      </c>
    </row>
    <row r="19847" spans="1:18" ht="60">
      <c r="A19847" s="585">
        <v>224</v>
      </c>
      <c r="B19847" s="582" t="s">
        <v>35992</v>
      </c>
      <c r="C19847" s="586" t="s">
        <v>35993</v>
      </c>
      <c r="D19847" s="587">
        <v>150.19999999999999</v>
      </c>
      <c r="E19847" s="587">
        <v>145.83000000000001</v>
      </c>
      <c r="F19847" s="587"/>
      <c r="G19847" s="587">
        <v>4.37</v>
      </c>
      <c r="H19847" s="588">
        <v>1727.37</v>
      </c>
      <c r="I19847" s="588">
        <v>1677.11</v>
      </c>
      <c r="J19847" s="588"/>
      <c r="K19847" s="588">
        <v>50.26</v>
      </c>
      <c r="L19847" s="43">
        <v>11.500466045272969</v>
      </c>
      <c r="M19847" s="43">
        <v>11.5004457244737</v>
      </c>
      <c r="N19847" s="43" t="s">
        <v>1690</v>
      </c>
      <c r="O19847" s="43">
        <v>11.501144164759724</v>
      </c>
      <c r="P19847" s="589"/>
      <c r="Q19847" s="589"/>
      <c r="R19847" s="589">
        <v>3</v>
      </c>
    </row>
    <row r="19848" spans="1:18" ht="48">
      <c r="A19848" s="585">
        <v>225</v>
      </c>
      <c r="B19848" s="582" t="s">
        <v>35994</v>
      </c>
      <c r="C19848" s="586" t="s">
        <v>35995</v>
      </c>
      <c r="D19848" s="587">
        <v>194.81</v>
      </c>
      <c r="E19848" s="587">
        <v>189.14</v>
      </c>
      <c r="F19848" s="587"/>
      <c r="G19848" s="587">
        <v>5.67</v>
      </c>
      <c r="H19848" s="588">
        <v>2240.35</v>
      </c>
      <c r="I19848" s="588">
        <v>2175.14</v>
      </c>
      <c r="J19848" s="588"/>
      <c r="K19848" s="588">
        <v>65.209999999999994</v>
      </c>
      <c r="L19848" s="43">
        <v>11.500179662234997</v>
      </c>
      <c r="M19848" s="43">
        <v>11.500158612667866</v>
      </c>
      <c r="N19848" s="43" t="s">
        <v>1690</v>
      </c>
      <c r="O19848" s="43">
        <v>11.500881834215166</v>
      </c>
      <c r="P19848" s="589"/>
      <c r="Q19848" s="589"/>
      <c r="R19848" s="589">
        <v>3</v>
      </c>
    </row>
    <row r="19849" spans="1:18" ht="36">
      <c r="A19849" s="585">
        <v>226</v>
      </c>
      <c r="B19849" s="582" t="s">
        <v>35996</v>
      </c>
      <c r="C19849" s="586" t="s">
        <v>35997</v>
      </c>
      <c r="D19849" s="587">
        <v>156.96</v>
      </c>
      <c r="E19849" s="587">
        <v>152.38999999999999</v>
      </c>
      <c r="F19849" s="587"/>
      <c r="G19849" s="587">
        <v>4.57</v>
      </c>
      <c r="H19849" s="588">
        <v>1805.12</v>
      </c>
      <c r="I19849" s="588">
        <v>1752.56</v>
      </c>
      <c r="J19849" s="588"/>
      <c r="K19849" s="588">
        <v>52.56</v>
      </c>
      <c r="L19849" s="43">
        <v>11.50050968399592</v>
      </c>
      <c r="M19849" s="43">
        <v>11.500492158278103</v>
      </c>
      <c r="N19849" s="43" t="s">
        <v>1690</v>
      </c>
      <c r="O19849" s="43">
        <v>11.50109409190372</v>
      </c>
      <c r="P19849" s="589"/>
      <c r="Q19849" s="589"/>
      <c r="R19849" s="589">
        <v>3</v>
      </c>
    </row>
    <row r="19850" spans="1:18" ht="36">
      <c r="A19850" s="585">
        <v>227</v>
      </c>
      <c r="B19850" s="582" t="s">
        <v>35998</v>
      </c>
      <c r="C19850" s="586" t="s">
        <v>35999</v>
      </c>
      <c r="D19850" s="587">
        <v>191.1</v>
      </c>
      <c r="E19850" s="587">
        <v>185.53</v>
      </c>
      <c r="F19850" s="587"/>
      <c r="G19850" s="587">
        <v>5.57</v>
      </c>
      <c r="H19850" s="588">
        <v>2197.6999999999998</v>
      </c>
      <c r="I19850" s="588">
        <v>2133.64</v>
      </c>
      <c r="J19850" s="588"/>
      <c r="K19850" s="588">
        <v>64.06</v>
      </c>
      <c r="L19850" s="43">
        <v>11.500261643118785</v>
      </c>
      <c r="M19850" s="43">
        <v>11.500242548374926</v>
      </c>
      <c r="N19850" s="43" t="s">
        <v>1690</v>
      </c>
      <c r="O19850" s="43">
        <v>11.500897666068223</v>
      </c>
      <c r="P19850" s="589"/>
      <c r="Q19850" s="589"/>
      <c r="R19850" s="589">
        <v>3</v>
      </c>
    </row>
    <row r="19851" spans="1:18" ht="36">
      <c r="A19851" s="585">
        <v>228</v>
      </c>
      <c r="B19851" s="582" t="s">
        <v>36000</v>
      </c>
      <c r="C19851" s="586" t="s">
        <v>36001</v>
      </c>
      <c r="D19851" s="587">
        <v>161.69999999999999</v>
      </c>
      <c r="E19851" s="587">
        <v>156.99</v>
      </c>
      <c r="F19851" s="587"/>
      <c r="G19851" s="587">
        <v>4.71</v>
      </c>
      <c r="H19851" s="588">
        <v>1859.56</v>
      </c>
      <c r="I19851" s="588">
        <v>1805.39</v>
      </c>
      <c r="J19851" s="588"/>
      <c r="K19851" s="588">
        <v>54.17</v>
      </c>
      <c r="L19851" s="43">
        <v>11.500061842918987</v>
      </c>
      <c r="M19851" s="43">
        <v>11.500031849162367</v>
      </c>
      <c r="N19851" s="43" t="s">
        <v>1690</v>
      </c>
      <c r="O19851" s="43">
        <v>11.501061571125266</v>
      </c>
      <c r="P19851" s="589"/>
      <c r="Q19851" s="589"/>
      <c r="R19851" s="589">
        <v>3</v>
      </c>
    </row>
    <row r="19852" spans="1:18" ht="36">
      <c r="A19852" s="585">
        <v>229</v>
      </c>
      <c r="B19852" s="582" t="s">
        <v>36002</v>
      </c>
      <c r="C19852" s="586" t="s">
        <v>36003</v>
      </c>
      <c r="D19852" s="587">
        <v>167.95</v>
      </c>
      <c r="E19852" s="587">
        <v>163.06</v>
      </c>
      <c r="F19852" s="587"/>
      <c r="G19852" s="587">
        <v>4.8899999999999997</v>
      </c>
      <c r="H19852" s="588">
        <v>1931.43</v>
      </c>
      <c r="I19852" s="588">
        <v>1875.19</v>
      </c>
      <c r="J19852" s="588"/>
      <c r="K19852" s="588">
        <v>56.24</v>
      </c>
      <c r="L19852" s="43">
        <v>11.50002977076511</v>
      </c>
      <c r="M19852" s="43">
        <v>11.5</v>
      </c>
      <c r="N19852" s="43" t="s">
        <v>1690</v>
      </c>
      <c r="O19852" s="43">
        <v>11.501022494887527</v>
      </c>
      <c r="P19852" s="589"/>
      <c r="Q19852" s="589"/>
      <c r="R19852" s="589">
        <v>3</v>
      </c>
    </row>
    <row r="19853" spans="1:18" ht="36">
      <c r="A19853" s="585">
        <v>230</v>
      </c>
      <c r="B19853" s="582" t="s">
        <v>36004</v>
      </c>
      <c r="C19853" s="586" t="s">
        <v>36005</v>
      </c>
      <c r="D19853" s="587">
        <v>160.52000000000001</v>
      </c>
      <c r="E19853" s="587">
        <v>155.84</v>
      </c>
      <c r="F19853" s="587"/>
      <c r="G19853" s="587">
        <v>4.68</v>
      </c>
      <c r="H19853" s="588">
        <v>1846.01</v>
      </c>
      <c r="I19853" s="588">
        <v>1792.19</v>
      </c>
      <c r="J19853" s="588"/>
      <c r="K19853" s="588">
        <v>53.82</v>
      </c>
      <c r="L19853" s="43">
        <v>11.500186892599052</v>
      </c>
      <c r="M19853" s="43">
        <v>11.500192505133469</v>
      </c>
      <c r="N19853" s="43" t="s">
        <v>1690</v>
      </c>
      <c r="O19853" s="43">
        <v>11.5</v>
      </c>
      <c r="P19853" s="589"/>
      <c r="Q19853" s="589"/>
      <c r="R19853" s="589">
        <v>3</v>
      </c>
    </row>
    <row r="19854" spans="1:18" ht="24">
      <c r="A19854" s="585">
        <v>231</v>
      </c>
      <c r="B19854" s="582" t="s">
        <v>36006</v>
      </c>
      <c r="C19854" s="586" t="s">
        <v>36007</v>
      </c>
      <c r="D19854" s="587">
        <v>152.25</v>
      </c>
      <c r="E19854" s="587">
        <v>147.82</v>
      </c>
      <c r="F19854" s="587"/>
      <c r="G19854" s="587">
        <v>4.43</v>
      </c>
      <c r="H19854" s="588">
        <v>1750.94</v>
      </c>
      <c r="I19854" s="588">
        <v>1699.99</v>
      </c>
      <c r="J19854" s="588"/>
      <c r="K19854" s="588">
        <v>50.95</v>
      </c>
      <c r="L19854" s="43">
        <v>11.500426929392447</v>
      </c>
      <c r="M19854" s="43">
        <v>11.500405899066433</v>
      </c>
      <c r="N19854" s="43" t="s">
        <v>1690</v>
      </c>
      <c r="O19854" s="43">
        <v>11.501128668171559</v>
      </c>
      <c r="P19854" s="589"/>
      <c r="Q19854" s="589"/>
      <c r="R19854" s="589">
        <v>3</v>
      </c>
    </row>
    <row r="19855" spans="1:18" ht="36">
      <c r="A19855" s="585">
        <v>232</v>
      </c>
      <c r="B19855" s="582" t="s">
        <v>36008</v>
      </c>
      <c r="C19855" s="586" t="s">
        <v>36009</v>
      </c>
      <c r="D19855" s="587">
        <v>15.84</v>
      </c>
      <c r="E19855" s="587">
        <v>15.38</v>
      </c>
      <c r="F19855" s="587"/>
      <c r="G19855" s="587">
        <v>0.46</v>
      </c>
      <c r="H19855" s="588">
        <v>182.21</v>
      </c>
      <c r="I19855" s="588">
        <v>176.92</v>
      </c>
      <c r="J19855" s="588"/>
      <c r="K19855" s="588">
        <v>5.29</v>
      </c>
      <c r="L19855" s="43">
        <v>11.503156565656566</v>
      </c>
      <c r="M19855" s="43">
        <v>11.503250975292586</v>
      </c>
      <c r="N19855" s="43" t="s">
        <v>1690</v>
      </c>
      <c r="O19855" s="43">
        <v>11.5</v>
      </c>
      <c r="P19855" s="589"/>
      <c r="Q19855" s="589"/>
      <c r="R19855" s="589">
        <v>3</v>
      </c>
    </row>
    <row r="19856" spans="1:18" ht="24">
      <c r="A19856" s="585">
        <v>233</v>
      </c>
      <c r="B19856" s="582" t="s">
        <v>36010</v>
      </c>
      <c r="C19856" s="586" t="s">
        <v>36011</v>
      </c>
      <c r="D19856" s="587">
        <v>13.99</v>
      </c>
      <c r="E19856" s="587">
        <v>13.58</v>
      </c>
      <c r="F19856" s="587"/>
      <c r="G19856" s="587">
        <v>0.41</v>
      </c>
      <c r="H19856" s="588">
        <v>160.93</v>
      </c>
      <c r="I19856" s="588">
        <v>156.21</v>
      </c>
      <c r="J19856" s="588"/>
      <c r="K19856" s="588">
        <v>4.72</v>
      </c>
      <c r="L19856" s="43">
        <v>11.503216583273767</v>
      </c>
      <c r="M19856" s="43">
        <v>11.502945508100147</v>
      </c>
      <c r="N19856" s="43" t="s">
        <v>1690</v>
      </c>
      <c r="O19856" s="43">
        <v>11.503164556962025</v>
      </c>
      <c r="P19856" s="589"/>
      <c r="Q19856" s="589"/>
      <c r="R19856" s="589">
        <v>3</v>
      </c>
    </row>
    <row r="19857" spans="1:18" ht="12.75" customHeight="1">
      <c r="A19857" s="628" t="s">
        <v>36012</v>
      </c>
      <c r="B19857" s="629"/>
      <c r="C19857" s="629"/>
      <c r="D19857" s="629"/>
      <c r="E19857" s="629"/>
      <c r="F19857" s="629"/>
      <c r="G19857" s="629"/>
      <c r="H19857" s="629"/>
      <c r="I19857" s="629"/>
      <c r="J19857" s="629"/>
      <c r="K19857" s="629"/>
      <c r="L19857" s="629"/>
      <c r="M19857" s="629"/>
      <c r="N19857" s="629"/>
      <c r="O19857" s="629"/>
      <c r="P19857" s="629"/>
      <c r="Q19857" s="629"/>
      <c r="R19857" s="629"/>
    </row>
    <row r="19858" spans="1:18" ht="36">
      <c r="A19858" s="585">
        <v>234</v>
      </c>
      <c r="B19858" s="582" t="s">
        <v>36013</v>
      </c>
      <c r="C19858" s="586" t="s">
        <v>36014</v>
      </c>
      <c r="D19858" s="587">
        <v>1400.68</v>
      </c>
      <c r="E19858" s="587">
        <v>1359.88</v>
      </c>
      <c r="F19858" s="587"/>
      <c r="G19858" s="587">
        <v>40.799999999999997</v>
      </c>
      <c r="H19858" s="588">
        <v>16108.14</v>
      </c>
      <c r="I19858" s="588">
        <v>15638.94</v>
      </c>
      <c r="J19858" s="588"/>
      <c r="K19858" s="588">
        <v>469.2</v>
      </c>
      <c r="L19858" s="43">
        <v>11.500228460462059</v>
      </c>
      <c r="M19858" s="43">
        <v>11.500235314880724</v>
      </c>
      <c r="N19858" s="43" t="s">
        <v>1690</v>
      </c>
      <c r="O19858" s="43">
        <v>11.5</v>
      </c>
      <c r="P19858" s="589"/>
      <c r="Q19858" s="589"/>
      <c r="R19858" s="589">
        <v>4</v>
      </c>
    </row>
    <row r="19859" spans="1:18" ht="24">
      <c r="A19859" s="585">
        <v>235</v>
      </c>
      <c r="B19859" s="582" t="s">
        <v>36015</v>
      </c>
      <c r="C19859" s="586" t="s">
        <v>36016</v>
      </c>
      <c r="D19859" s="587">
        <v>65.58</v>
      </c>
      <c r="E19859" s="587">
        <v>63.67</v>
      </c>
      <c r="F19859" s="587"/>
      <c r="G19859" s="587">
        <v>1.91</v>
      </c>
      <c r="H19859" s="588">
        <v>754.24</v>
      </c>
      <c r="I19859" s="588">
        <v>732.27</v>
      </c>
      <c r="J19859" s="588"/>
      <c r="K19859" s="588">
        <v>21.97</v>
      </c>
      <c r="L19859" s="43">
        <v>11.501067398597133</v>
      </c>
      <c r="M19859" s="43">
        <v>11.501020888958692</v>
      </c>
      <c r="N19859" s="43" t="s">
        <v>1690</v>
      </c>
      <c r="O19859" s="43">
        <v>11.502617801047121</v>
      </c>
      <c r="P19859" s="589"/>
      <c r="Q19859" s="589"/>
      <c r="R19859" s="589">
        <v>4</v>
      </c>
    </row>
    <row r="19860" spans="1:18" ht="12.75" customHeight="1">
      <c r="A19860" s="628" t="s">
        <v>36017</v>
      </c>
      <c r="B19860" s="629"/>
      <c r="C19860" s="629"/>
      <c r="D19860" s="629"/>
      <c r="E19860" s="629"/>
      <c r="F19860" s="629"/>
      <c r="G19860" s="629"/>
      <c r="H19860" s="629"/>
      <c r="I19860" s="629"/>
      <c r="J19860" s="629"/>
      <c r="K19860" s="629"/>
      <c r="L19860" s="629"/>
      <c r="M19860" s="629"/>
      <c r="N19860" s="629"/>
      <c r="O19860" s="629"/>
      <c r="P19860" s="629"/>
      <c r="Q19860" s="629"/>
      <c r="R19860" s="629"/>
    </row>
    <row r="19861" spans="1:18" ht="24">
      <c r="A19861" s="585">
        <v>236</v>
      </c>
      <c r="B19861" s="582" t="s">
        <v>36018</v>
      </c>
      <c r="C19861" s="586" t="s">
        <v>36019</v>
      </c>
      <c r="D19861" s="587">
        <v>312.39</v>
      </c>
      <c r="E19861" s="587">
        <v>303.29000000000002</v>
      </c>
      <c r="F19861" s="587"/>
      <c r="G19861" s="587">
        <v>9.1</v>
      </c>
      <c r="H19861" s="588">
        <v>3592.57</v>
      </c>
      <c r="I19861" s="588">
        <v>3487.92</v>
      </c>
      <c r="J19861" s="588"/>
      <c r="K19861" s="588">
        <v>104.65</v>
      </c>
      <c r="L19861" s="43">
        <v>11.500272095777715</v>
      </c>
      <c r="M19861" s="43">
        <v>11.500280259817336</v>
      </c>
      <c r="N19861" s="43" t="s">
        <v>1690</v>
      </c>
      <c r="O19861" s="43">
        <v>11.500000000000002</v>
      </c>
      <c r="P19861" s="589"/>
      <c r="Q19861" s="589"/>
      <c r="R19861" s="589">
        <v>5</v>
      </c>
    </row>
    <row r="19862" spans="1:18" ht="36">
      <c r="A19862" s="585">
        <v>237</v>
      </c>
      <c r="B19862" s="582" t="s">
        <v>36020</v>
      </c>
      <c r="C19862" s="586" t="s">
        <v>36021</v>
      </c>
      <c r="D19862" s="587">
        <v>285.43</v>
      </c>
      <c r="E19862" s="587">
        <v>277.12</v>
      </c>
      <c r="F19862" s="587"/>
      <c r="G19862" s="587">
        <v>8.31</v>
      </c>
      <c r="H19862" s="588">
        <v>3282.56</v>
      </c>
      <c r="I19862" s="588">
        <v>3186.99</v>
      </c>
      <c r="J19862" s="588"/>
      <c r="K19862" s="588">
        <v>95.57</v>
      </c>
      <c r="L19862" s="43">
        <v>11.500402900886382</v>
      </c>
      <c r="M19862" s="43">
        <v>11.500396939953809</v>
      </c>
      <c r="N19862" s="43" t="s">
        <v>1690</v>
      </c>
      <c r="O19862" s="43">
        <v>11.500601684717207</v>
      </c>
      <c r="P19862" s="589"/>
      <c r="Q19862" s="589"/>
      <c r="R19862" s="589">
        <v>5</v>
      </c>
    </row>
    <row r="19863" spans="1:18" ht="24">
      <c r="A19863" s="585">
        <v>238</v>
      </c>
      <c r="B19863" s="582" t="s">
        <v>36022</v>
      </c>
      <c r="C19863" s="586" t="s">
        <v>36023</v>
      </c>
      <c r="D19863" s="587">
        <v>41.56</v>
      </c>
      <c r="E19863" s="587">
        <v>40.35</v>
      </c>
      <c r="F19863" s="587"/>
      <c r="G19863" s="587">
        <v>1.21</v>
      </c>
      <c r="H19863" s="588">
        <v>477.98</v>
      </c>
      <c r="I19863" s="588">
        <v>464.06</v>
      </c>
      <c r="J19863" s="588"/>
      <c r="K19863" s="588">
        <v>13.92</v>
      </c>
      <c r="L19863" s="43">
        <v>11.500962463907603</v>
      </c>
      <c r="M19863" s="43">
        <v>11.50086741016109</v>
      </c>
      <c r="N19863" s="43" t="s">
        <v>1690</v>
      </c>
      <c r="O19863" s="43">
        <v>11.504132231404959</v>
      </c>
      <c r="P19863" s="589"/>
      <c r="Q19863" s="589"/>
      <c r="R19863" s="589">
        <v>5</v>
      </c>
    </row>
    <row r="19864" spans="1:18" ht="24">
      <c r="A19864" s="585">
        <v>239</v>
      </c>
      <c r="B19864" s="582" t="s">
        <v>36024</v>
      </c>
      <c r="C19864" s="586" t="s">
        <v>36025</v>
      </c>
      <c r="D19864" s="587">
        <v>32.799999999999997</v>
      </c>
      <c r="E19864" s="587">
        <v>31.84</v>
      </c>
      <c r="F19864" s="587"/>
      <c r="G19864" s="587">
        <v>0.96</v>
      </c>
      <c r="H19864" s="588">
        <v>377.18</v>
      </c>
      <c r="I19864" s="588">
        <v>366.14</v>
      </c>
      <c r="J19864" s="588"/>
      <c r="K19864" s="588">
        <v>11.04</v>
      </c>
      <c r="L19864" s="43">
        <v>11.49939024390244</v>
      </c>
      <c r="M19864" s="43">
        <v>11.499371859296483</v>
      </c>
      <c r="N19864" s="43" t="s">
        <v>1690</v>
      </c>
      <c r="O19864" s="43">
        <v>11.5</v>
      </c>
      <c r="P19864" s="589"/>
      <c r="Q19864" s="589"/>
      <c r="R19864" s="589">
        <v>5</v>
      </c>
    </row>
    <row r="19865" spans="1:18" ht="12.75">
      <c r="A19865" s="632" t="s">
        <v>18</v>
      </c>
      <c r="B19865" s="632"/>
      <c r="C19865" s="632"/>
      <c r="D19865" s="583">
        <v>49730.93</v>
      </c>
      <c r="E19865" s="583">
        <v>44295.72</v>
      </c>
      <c r="F19865" s="583">
        <v>4106.38</v>
      </c>
      <c r="G19865" s="583">
        <v>1328.83</v>
      </c>
      <c r="H19865" s="584">
        <v>546525.64</v>
      </c>
      <c r="I19865" s="584">
        <v>509409.56</v>
      </c>
      <c r="J19865" s="584">
        <v>21833.9</v>
      </c>
      <c r="K19865" s="584">
        <v>15282.18</v>
      </c>
      <c r="L19865" s="612">
        <v>10.989652516049871</v>
      </c>
      <c r="M19865" s="612">
        <v>11.500198213281102</v>
      </c>
      <c r="N19865" s="612">
        <v>5.3170675875101674</v>
      </c>
      <c r="O19865" s="612">
        <v>11.500477863985612</v>
      </c>
      <c r="P19865" s="581"/>
      <c r="Q19865" s="581"/>
      <c r="R19865" s="581"/>
    </row>
    <row r="19866" spans="1:18" ht="18">
      <c r="A19866" s="616" t="s">
        <v>36026</v>
      </c>
      <c r="B19866" s="626"/>
      <c r="C19866" s="626"/>
      <c r="D19866" s="626"/>
      <c r="E19866" s="626"/>
      <c r="F19866" s="626"/>
      <c r="G19866" s="626"/>
      <c r="H19866" s="626"/>
      <c r="I19866" s="626"/>
      <c r="J19866" s="626"/>
      <c r="K19866" s="626"/>
      <c r="L19866" s="626"/>
      <c r="M19866" s="626"/>
      <c r="N19866" s="626"/>
      <c r="O19866" s="626"/>
      <c r="P19866" s="626"/>
      <c r="Q19866" s="626"/>
      <c r="R19866" s="627"/>
    </row>
    <row r="19867" spans="1:18" ht="12.75" customHeight="1">
      <c r="A19867" s="630" t="s">
        <v>36027</v>
      </c>
      <c r="B19867" s="631"/>
      <c r="C19867" s="631"/>
      <c r="D19867" s="631"/>
      <c r="E19867" s="631"/>
      <c r="F19867" s="631"/>
      <c r="G19867" s="631"/>
      <c r="H19867" s="631"/>
      <c r="I19867" s="631"/>
      <c r="J19867" s="631"/>
      <c r="K19867" s="631"/>
      <c r="L19867" s="631"/>
      <c r="M19867" s="631"/>
      <c r="N19867" s="631"/>
      <c r="O19867" s="631"/>
      <c r="P19867" s="631"/>
      <c r="Q19867" s="631"/>
      <c r="R19867" s="631"/>
    </row>
    <row r="19868" spans="1:18" ht="12.75" customHeight="1">
      <c r="A19868" s="628" t="s">
        <v>16495</v>
      </c>
      <c r="B19868" s="629"/>
      <c r="C19868" s="629"/>
      <c r="D19868" s="629"/>
      <c r="E19868" s="629"/>
      <c r="F19868" s="629"/>
      <c r="G19868" s="629"/>
      <c r="H19868" s="629"/>
      <c r="I19868" s="629"/>
      <c r="J19868" s="629"/>
      <c r="K19868" s="629"/>
      <c r="L19868" s="629"/>
      <c r="M19868" s="629"/>
      <c r="N19868" s="629"/>
      <c r="O19868" s="629"/>
      <c r="P19868" s="629"/>
      <c r="Q19868" s="629"/>
      <c r="R19868" s="629"/>
    </row>
    <row r="19869" spans="1:18" ht="36">
      <c r="A19869" s="600">
        <v>1</v>
      </c>
      <c r="B19869" s="597" t="s">
        <v>36028</v>
      </c>
      <c r="C19869" s="601" t="s">
        <v>36029</v>
      </c>
      <c r="D19869" s="602">
        <v>110.82</v>
      </c>
      <c r="E19869" s="602">
        <v>9.19</v>
      </c>
      <c r="F19869" s="602">
        <v>3.49</v>
      </c>
      <c r="G19869" s="602">
        <v>98.14</v>
      </c>
      <c r="H19869" s="603">
        <v>520.49</v>
      </c>
      <c r="I19869" s="603">
        <v>105.71</v>
      </c>
      <c r="J19869" s="603">
        <v>18.59</v>
      </c>
      <c r="K19869" s="603">
        <v>396.19</v>
      </c>
      <c r="L19869" s="43">
        <v>4.696715394333153</v>
      </c>
      <c r="M19869" s="43">
        <v>11.502720348204571</v>
      </c>
      <c r="N19869" s="43">
        <v>5.3266475644699138</v>
      </c>
      <c r="O19869" s="43">
        <v>4.0369879763603018</v>
      </c>
      <c r="P19869" s="604"/>
      <c r="Q19869" s="604"/>
      <c r="R19869" s="604">
        <v>1</v>
      </c>
    </row>
    <row r="19870" spans="1:18" ht="36">
      <c r="A19870" s="600">
        <v>2</v>
      </c>
      <c r="B19870" s="597" t="s">
        <v>36030</v>
      </c>
      <c r="C19870" s="601" t="s">
        <v>36031</v>
      </c>
      <c r="D19870" s="602">
        <v>118.53</v>
      </c>
      <c r="E19870" s="602">
        <v>12.06</v>
      </c>
      <c r="F19870" s="602">
        <v>7.14</v>
      </c>
      <c r="G19870" s="602">
        <v>99.33</v>
      </c>
      <c r="H19870" s="603">
        <v>580.95000000000005</v>
      </c>
      <c r="I19870" s="603">
        <v>138.75</v>
      </c>
      <c r="J19870" s="603">
        <v>38.299999999999997</v>
      </c>
      <c r="K19870" s="603">
        <v>403.9</v>
      </c>
      <c r="L19870" s="43">
        <v>4.9012908124525438</v>
      </c>
      <c r="M19870" s="43">
        <v>11.50497512437811</v>
      </c>
      <c r="N19870" s="43">
        <v>5.3641456582633049</v>
      </c>
      <c r="O19870" s="43">
        <v>4.0662438336856939</v>
      </c>
      <c r="P19870" s="604"/>
      <c r="Q19870" s="604"/>
      <c r="R19870" s="604">
        <v>1</v>
      </c>
    </row>
    <row r="19871" spans="1:18" ht="36">
      <c r="A19871" s="600">
        <v>3</v>
      </c>
      <c r="B19871" s="597" t="s">
        <v>36032</v>
      </c>
      <c r="C19871" s="601" t="s">
        <v>36033</v>
      </c>
      <c r="D19871" s="602">
        <v>134.05000000000001</v>
      </c>
      <c r="E19871" s="602">
        <v>15.4</v>
      </c>
      <c r="F19871" s="602">
        <v>11.96</v>
      </c>
      <c r="G19871" s="602">
        <v>106.69</v>
      </c>
      <c r="H19871" s="603">
        <v>700.31</v>
      </c>
      <c r="I19871" s="603">
        <v>177.07</v>
      </c>
      <c r="J19871" s="603">
        <v>64.209999999999994</v>
      </c>
      <c r="K19871" s="603">
        <v>459.03</v>
      </c>
      <c r="L19871" s="43">
        <v>5.2242446848190962</v>
      </c>
      <c r="M19871" s="43">
        <v>11.498051948051947</v>
      </c>
      <c r="N19871" s="43">
        <v>5.3687290969899655</v>
      </c>
      <c r="O19871" s="43">
        <v>4.3024650857624893</v>
      </c>
      <c r="P19871" s="604"/>
      <c r="Q19871" s="604"/>
      <c r="R19871" s="604">
        <v>1</v>
      </c>
    </row>
    <row r="19872" spans="1:18" ht="36">
      <c r="A19872" s="600">
        <v>4</v>
      </c>
      <c r="B19872" s="597" t="s">
        <v>36034</v>
      </c>
      <c r="C19872" s="601" t="s">
        <v>36035</v>
      </c>
      <c r="D19872" s="602">
        <v>149.22</v>
      </c>
      <c r="E19872" s="602">
        <v>20.45</v>
      </c>
      <c r="F19872" s="602">
        <v>17.43</v>
      </c>
      <c r="G19872" s="602">
        <v>111.34</v>
      </c>
      <c r="H19872" s="603">
        <v>821.66</v>
      </c>
      <c r="I19872" s="603">
        <v>235.21</v>
      </c>
      <c r="J19872" s="603">
        <v>93.69</v>
      </c>
      <c r="K19872" s="603">
        <v>492.76</v>
      </c>
      <c r="L19872" s="43">
        <v>5.5063664388151716</v>
      </c>
      <c r="M19872" s="43">
        <v>11.501711491442544</v>
      </c>
      <c r="N19872" s="43">
        <v>5.3752151462994835</v>
      </c>
      <c r="O19872" s="43">
        <v>4.4257230105981673</v>
      </c>
      <c r="P19872" s="604"/>
      <c r="Q19872" s="604"/>
      <c r="R19872" s="604">
        <v>1</v>
      </c>
    </row>
    <row r="19873" spans="1:18" ht="36">
      <c r="A19873" s="600">
        <v>5</v>
      </c>
      <c r="B19873" s="597" t="s">
        <v>36036</v>
      </c>
      <c r="C19873" s="601" t="s">
        <v>36037</v>
      </c>
      <c r="D19873" s="602">
        <v>176.59</v>
      </c>
      <c r="E19873" s="602">
        <v>26.66</v>
      </c>
      <c r="F19873" s="602">
        <v>26.96</v>
      </c>
      <c r="G19873" s="602">
        <v>122.97</v>
      </c>
      <c r="H19873" s="603">
        <v>1029.53</v>
      </c>
      <c r="I19873" s="603">
        <v>306.56</v>
      </c>
      <c r="J19873" s="603">
        <v>145.08000000000001</v>
      </c>
      <c r="K19873" s="603">
        <v>577.89</v>
      </c>
      <c r="L19873" s="43">
        <v>5.8300583271985955</v>
      </c>
      <c r="M19873" s="43">
        <v>11.498874718679669</v>
      </c>
      <c r="N19873" s="43">
        <v>5.3813056379821962</v>
      </c>
      <c r="O19873" s="43">
        <v>4.6994388875335451</v>
      </c>
      <c r="P19873" s="604"/>
      <c r="Q19873" s="604"/>
      <c r="R19873" s="604">
        <v>1</v>
      </c>
    </row>
    <row r="19874" spans="1:18" ht="36">
      <c r="A19874" s="600">
        <v>6</v>
      </c>
      <c r="B19874" s="597" t="s">
        <v>36038</v>
      </c>
      <c r="C19874" s="601" t="s">
        <v>36039</v>
      </c>
      <c r="D19874" s="602">
        <v>201.91</v>
      </c>
      <c r="E19874" s="602">
        <v>32.630000000000003</v>
      </c>
      <c r="F19874" s="602">
        <v>38.72</v>
      </c>
      <c r="G19874" s="602">
        <v>130.56</v>
      </c>
      <c r="H19874" s="603">
        <v>1216.58</v>
      </c>
      <c r="I19874" s="603">
        <v>375.28</v>
      </c>
      <c r="J19874" s="603">
        <v>208.74</v>
      </c>
      <c r="K19874" s="603">
        <v>632.55999999999995</v>
      </c>
      <c r="L19874" s="43">
        <v>6.0253578326977362</v>
      </c>
      <c r="M19874" s="43">
        <v>11.501072632546734</v>
      </c>
      <c r="N19874" s="43">
        <v>5.3910123966942152</v>
      </c>
      <c r="O19874" s="43">
        <v>4.8449754901960782</v>
      </c>
      <c r="P19874" s="604"/>
      <c r="Q19874" s="604"/>
      <c r="R19874" s="604">
        <v>1</v>
      </c>
    </row>
    <row r="19875" spans="1:18" ht="36">
      <c r="A19875" s="600">
        <v>7</v>
      </c>
      <c r="B19875" s="597" t="s">
        <v>36040</v>
      </c>
      <c r="C19875" s="601" t="s">
        <v>36041</v>
      </c>
      <c r="D19875" s="602">
        <v>231.22</v>
      </c>
      <c r="E19875" s="602">
        <v>39.53</v>
      </c>
      <c r="F19875" s="602">
        <v>47.87</v>
      </c>
      <c r="G19875" s="602">
        <v>143.82</v>
      </c>
      <c r="H19875" s="603">
        <v>1443.81</v>
      </c>
      <c r="I19875" s="603">
        <v>454.56</v>
      </c>
      <c r="J19875" s="603">
        <v>258.08999999999997</v>
      </c>
      <c r="K19875" s="603">
        <v>731.16</v>
      </c>
      <c r="L19875" s="43">
        <v>6.2443127757114434</v>
      </c>
      <c r="M19875" s="43">
        <v>11.49911459650898</v>
      </c>
      <c r="N19875" s="43">
        <v>5.3914769166492578</v>
      </c>
      <c r="O19875" s="43">
        <v>5.0838548185231538</v>
      </c>
      <c r="P19875" s="604"/>
      <c r="Q19875" s="604"/>
      <c r="R19875" s="604">
        <v>1</v>
      </c>
    </row>
    <row r="19876" spans="1:18" ht="36">
      <c r="A19876" s="600">
        <v>8</v>
      </c>
      <c r="B19876" s="597" t="s">
        <v>36042</v>
      </c>
      <c r="C19876" s="601" t="s">
        <v>36043</v>
      </c>
      <c r="D19876" s="602">
        <v>283.61</v>
      </c>
      <c r="E19876" s="602">
        <v>48.83</v>
      </c>
      <c r="F19876" s="602">
        <v>83.69</v>
      </c>
      <c r="G19876" s="602">
        <v>151.09</v>
      </c>
      <c r="H19876" s="603">
        <v>1791.61</v>
      </c>
      <c r="I19876" s="603">
        <v>561.6</v>
      </c>
      <c r="J19876" s="603">
        <v>452.29</v>
      </c>
      <c r="K19876" s="603">
        <v>777.72</v>
      </c>
      <c r="L19876" s="43">
        <v>6.317160889954514</v>
      </c>
      <c r="M19876" s="43">
        <v>11.501126356747902</v>
      </c>
      <c r="N19876" s="43">
        <v>5.4043493846337682</v>
      </c>
      <c r="O19876" s="43">
        <v>5.1473955920312395</v>
      </c>
      <c r="P19876" s="604"/>
      <c r="Q19876" s="604"/>
      <c r="R19876" s="604">
        <v>1</v>
      </c>
    </row>
    <row r="19877" spans="1:18" ht="36">
      <c r="A19877" s="600">
        <v>9</v>
      </c>
      <c r="B19877" s="597" t="s">
        <v>36044</v>
      </c>
      <c r="C19877" s="601" t="s">
        <v>36045</v>
      </c>
      <c r="D19877" s="602">
        <v>306.54000000000002</v>
      </c>
      <c r="E19877" s="602">
        <v>54.46</v>
      </c>
      <c r="F19877" s="602">
        <v>93.69</v>
      </c>
      <c r="G19877" s="602">
        <v>158.38999999999999</v>
      </c>
      <c r="H19877" s="603">
        <v>1962.94</v>
      </c>
      <c r="I19877" s="603">
        <v>626.34</v>
      </c>
      <c r="J19877" s="603">
        <v>506.39</v>
      </c>
      <c r="K19877" s="603">
        <v>830.21</v>
      </c>
      <c r="L19877" s="43">
        <v>6.4035362432308993</v>
      </c>
      <c r="M19877" s="43">
        <v>11.500918105031216</v>
      </c>
      <c r="N19877" s="43">
        <v>5.4049525029352115</v>
      </c>
      <c r="O19877" s="43">
        <v>5.2415556537660208</v>
      </c>
      <c r="P19877" s="604"/>
      <c r="Q19877" s="604"/>
      <c r="R19877" s="604">
        <v>1</v>
      </c>
    </row>
    <row r="19878" spans="1:18" ht="36">
      <c r="A19878" s="600">
        <v>10</v>
      </c>
      <c r="B19878" s="597" t="s">
        <v>36046</v>
      </c>
      <c r="C19878" s="601" t="s">
        <v>36047</v>
      </c>
      <c r="D19878" s="602">
        <v>358.3</v>
      </c>
      <c r="E19878" s="602">
        <v>69.510000000000005</v>
      </c>
      <c r="F19878" s="602">
        <v>106.16</v>
      </c>
      <c r="G19878" s="602">
        <v>182.63</v>
      </c>
      <c r="H19878" s="603">
        <v>2395.63</v>
      </c>
      <c r="I19878" s="603">
        <v>799.45</v>
      </c>
      <c r="J19878" s="603">
        <v>573.65</v>
      </c>
      <c r="K19878" s="603">
        <v>1022.53</v>
      </c>
      <c r="L19878" s="43">
        <v>6.6861010326542001</v>
      </c>
      <c r="M19878" s="43">
        <v>11.501222845633722</v>
      </c>
      <c r="N19878" s="43">
        <v>5.4036360211002261</v>
      </c>
      <c r="O19878" s="43">
        <v>5.5989158407709576</v>
      </c>
      <c r="P19878" s="604"/>
      <c r="Q19878" s="604"/>
      <c r="R19878" s="604">
        <v>1</v>
      </c>
    </row>
    <row r="19879" spans="1:18" ht="36">
      <c r="A19879" s="600">
        <v>11</v>
      </c>
      <c r="B19879" s="597" t="s">
        <v>36048</v>
      </c>
      <c r="C19879" s="601" t="s">
        <v>36049</v>
      </c>
      <c r="D19879" s="602">
        <v>408.09</v>
      </c>
      <c r="E19879" s="602">
        <v>88.47</v>
      </c>
      <c r="F19879" s="602">
        <v>126.67</v>
      </c>
      <c r="G19879" s="602">
        <v>192.95</v>
      </c>
      <c r="H19879" s="603">
        <v>2796.64</v>
      </c>
      <c r="I19879" s="603">
        <v>1017.48</v>
      </c>
      <c r="J19879" s="603">
        <v>683.64</v>
      </c>
      <c r="K19879" s="603">
        <v>1095.52</v>
      </c>
      <c r="L19879" s="43">
        <v>6.8529981131613127</v>
      </c>
      <c r="M19879" s="43">
        <v>11.500847744998305</v>
      </c>
      <c r="N19879" s="43">
        <v>5.3970158680034732</v>
      </c>
      <c r="O19879" s="43">
        <v>5.6777403472402179</v>
      </c>
      <c r="P19879" s="604"/>
      <c r="Q19879" s="604"/>
      <c r="R19879" s="604">
        <v>1</v>
      </c>
    </row>
    <row r="19880" spans="1:18" ht="36">
      <c r="A19880" s="600">
        <v>12</v>
      </c>
      <c r="B19880" s="597" t="s">
        <v>36050</v>
      </c>
      <c r="C19880" s="601" t="s">
        <v>36051</v>
      </c>
      <c r="D19880" s="602">
        <v>495.59</v>
      </c>
      <c r="E19880" s="602">
        <v>136.72999999999999</v>
      </c>
      <c r="F19880" s="602">
        <v>147.16</v>
      </c>
      <c r="G19880" s="602">
        <v>211.7</v>
      </c>
      <c r="H19880" s="603">
        <v>3601.1</v>
      </c>
      <c r="I19880" s="603">
        <v>1572.47</v>
      </c>
      <c r="J19880" s="603">
        <v>793.62</v>
      </c>
      <c r="K19880" s="603">
        <v>1235.01</v>
      </c>
      <c r="L19880" s="43">
        <v>7.2662886660344235</v>
      </c>
      <c r="M19880" s="43">
        <v>11.500548526292695</v>
      </c>
      <c r="N19880" s="43">
        <v>5.3929056808915465</v>
      </c>
      <c r="O19880" s="43">
        <v>5.8337742087860178</v>
      </c>
      <c r="P19880" s="604"/>
      <c r="Q19880" s="604"/>
      <c r="R19880" s="604">
        <v>1</v>
      </c>
    </row>
    <row r="19881" spans="1:18" ht="48">
      <c r="A19881" s="600">
        <v>13</v>
      </c>
      <c r="B19881" s="597" t="s">
        <v>36052</v>
      </c>
      <c r="C19881" s="601" t="s">
        <v>36053</v>
      </c>
      <c r="D19881" s="602">
        <v>551</v>
      </c>
      <c r="E19881" s="602">
        <v>168.9</v>
      </c>
      <c r="F19881" s="602">
        <v>166.46</v>
      </c>
      <c r="G19881" s="602">
        <v>215.64</v>
      </c>
      <c r="H19881" s="603">
        <v>4106.66</v>
      </c>
      <c r="I19881" s="603">
        <v>1942.46</v>
      </c>
      <c r="J19881" s="603">
        <v>897.47</v>
      </c>
      <c r="K19881" s="603">
        <v>1266.73</v>
      </c>
      <c r="L19881" s="43">
        <v>7.4531034482758622</v>
      </c>
      <c r="M19881" s="43">
        <v>11.500651272942569</v>
      </c>
      <c r="N19881" s="43">
        <v>5.3915054667788054</v>
      </c>
      <c r="O19881" s="43">
        <v>5.8742812094231134</v>
      </c>
      <c r="P19881" s="604"/>
      <c r="Q19881" s="604"/>
      <c r="R19881" s="604">
        <v>1</v>
      </c>
    </row>
    <row r="19882" spans="1:18" ht="48">
      <c r="A19882" s="600">
        <v>14</v>
      </c>
      <c r="B19882" s="597" t="s">
        <v>36054</v>
      </c>
      <c r="C19882" s="601" t="s">
        <v>36055</v>
      </c>
      <c r="D19882" s="602">
        <v>638.08000000000004</v>
      </c>
      <c r="E19882" s="602">
        <v>221.76</v>
      </c>
      <c r="F19882" s="602">
        <v>187.22</v>
      </c>
      <c r="G19882" s="602">
        <v>229.1</v>
      </c>
      <c r="H19882" s="603">
        <v>4924.08</v>
      </c>
      <c r="I19882" s="603">
        <v>2550.3000000000002</v>
      </c>
      <c r="J19882" s="603">
        <v>1008.83</v>
      </c>
      <c r="K19882" s="603">
        <v>1364.95</v>
      </c>
      <c r="L19882" s="43">
        <v>7.7170260782347038</v>
      </c>
      <c r="M19882" s="43">
        <v>11.500270562770565</v>
      </c>
      <c r="N19882" s="43">
        <v>5.3884734536908452</v>
      </c>
      <c r="O19882" s="43">
        <v>5.9578786556089049</v>
      </c>
      <c r="P19882" s="604"/>
      <c r="Q19882" s="604"/>
      <c r="R19882" s="604">
        <v>1</v>
      </c>
    </row>
    <row r="19883" spans="1:18" ht="12.75" customHeight="1">
      <c r="A19883" s="628" t="s">
        <v>16540</v>
      </c>
      <c r="B19883" s="629"/>
      <c r="C19883" s="629"/>
      <c r="D19883" s="629"/>
      <c r="E19883" s="629"/>
      <c r="F19883" s="629"/>
      <c r="G19883" s="629"/>
      <c r="H19883" s="629"/>
      <c r="I19883" s="629"/>
      <c r="J19883" s="629"/>
      <c r="K19883" s="629"/>
      <c r="L19883" s="629"/>
      <c r="M19883" s="629"/>
      <c r="N19883" s="629"/>
      <c r="O19883" s="629"/>
      <c r="P19883" s="629"/>
      <c r="Q19883" s="629"/>
      <c r="R19883" s="629"/>
    </row>
    <row r="19884" spans="1:18" ht="36">
      <c r="A19884" s="600">
        <v>15</v>
      </c>
      <c r="B19884" s="597" t="s">
        <v>36056</v>
      </c>
      <c r="C19884" s="601" t="s">
        <v>36057</v>
      </c>
      <c r="D19884" s="602">
        <v>120.35</v>
      </c>
      <c r="E19884" s="602">
        <v>14.48</v>
      </c>
      <c r="F19884" s="602">
        <v>7.09</v>
      </c>
      <c r="G19884" s="602">
        <v>98.78</v>
      </c>
      <c r="H19884" s="603">
        <v>606.5</v>
      </c>
      <c r="I19884" s="603">
        <v>166.5</v>
      </c>
      <c r="J19884" s="603">
        <v>38.090000000000003</v>
      </c>
      <c r="K19884" s="603">
        <v>401.91</v>
      </c>
      <c r="L19884" s="43">
        <v>5.0394682176983796</v>
      </c>
      <c r="M19884" s="43">
        <v>11.498618784530386</v>
      </c>
      <c r="N19884" s="43">
        <v>5.3723554301833572</v>
      </c>
      <c r="O19884" s="43">
        <v>4.0687386110548696</v>
      </c>
      <c r="P19884" s="604"/>
      <c r="Q19884" s="604"/>
      <c r="R19884" s="604">
        <v>2</v>
      </c>
    </row>
    <row r="19885" spans="1:18" ht="36">
      <c r="A19885" s="600">
        <v>16</v>
      </c>
      <c r="B19885" s="597" t="s">
        <v>36058</v>
      </c>
      <c r="C19885" s="601" t="s">
        <v>36059</v>
      </c>
      <c r="D19885" s="602">
        <v>136.28</v>
      </c>
      <c r="E19885" s="602">
        <v>22.98</v>
      </c>
      <c r="F19885" s="602">
        <v>11.63</v>
      </c>
      <c r="G19885" s="602">
        <v>101.67</v>
      </c>
      <c r="H19885" s="603">
        <v>750.59</v>
      </c>
      <c r="I19885" s="603">
        <v>264.27999999999997</v>
      </c>
      <c r="J19885" s="603">
        <v>62.43</v>
      </c>
      <c r="K19885" s="603">
        <v>423.88</v>
      </c>
      <c r="L19885" s="43">
        <v>5.5077047255650138</v>
      </c>
      <c r="M19885" s="43">
        <v>11.500435161009571</v>
      </c>
      <c r="N19885" s="43">
        <v>5.3680137575236451</v>
      </c>
      <c r="O19885" s="43">
        <v>4.169174781154716</v>
      </c>
      <c r="P19885" s="604"/>
      <c r="Q19885" s="604"/>
      <c r="R19885" s="604">
        <v>2</v>
      </c>
    </row>
    <row r="19886" spans="1:18" ht="48">
      <c r="A19886" s="600">
        <v>17</v>
      </c>
      <c r="B19886" s="597" t="s">
        <v>36060</v>
      </c>
      <c r="C19886" s="601" t="s">
        <v>36061</v>
      </c>
      <c r="D19886" s="602">
        <v>164.79</v>
      </c>
      <c r="E19886" s="602">
        <v>32.17</v>
      </c>
      <c r="F19886" s="602">
        <v>23.31</v>
      </c>
      <c r="G19886" s="602">
        <v>109.31</v>
      </c>
      <c r="H19886" s="603">
        <v>977.56</v>
      </c>
      <c r="I19886" s="603">
        <v>369.99</v>
      </c>
      <c r="J19886" s="603">
        <v>125.67</v>
      </c>
      <c r="K19886" s="603">
        <v>481.9</v>
      </c>
      <c r="L19886" s="43">
        <v>5.9321560774318831</v>
      </c>
      <c r="M19886" s="43">
        <v>11.501087970158533</v>
      </c>
      <c r="N19886" s="43">
        <v>5.3912483912483919</v>
      </c>
      <c r="O19886" s="43">
        <v>4.408562803037233</v>
      </c>
      <c r="P19886" s="604"/>
      <c r="Q19886" s="604"/>
      <c r="R19886" s="604">
        <v>2</v>
      </c>
    </row>
    <row r="19887" spans="1:18" ht="48">
      <c r="A19887" s="600">
        <v>18</v>
      </c>
      <c r="B19887" s="597" t="s">
        <v>36062</v>
      </c>
      <c r="C19887" s="601" t="s">
        <v>36063</v>
      </c>
      <c r="D19887" s="602">
        <v>176.81</v>
      </c>
      <c r="E19887" s="602">
        <v>34.47</v>
      </c>
      <c r="F19887" s="602">
        <v>32.56</v>
      </c>
      <c r="G19887" s="602">
        <v>109.78</v>
      </c>
      <c r="H19887" s="603">
        <v>1056.97</v>
      </c>
      <c r="I19887" s="603">
        <v>396.42</v>
      </c>
      <c r="J19887" s="603">
        <v>175.75</v>
      </c>
      <c r="K19887" s="603">
        <v>484.8</v>
      </c>
      <c r="L19887" s="43">
        <v>5.9779989819580344</v>
      </c>
      <c r="M19887" s="43">
        <v>11.500435161009575</v>
      </c>
      <c r="N19887" s="43">
        <v>5.3977272727272725</v>
      </c>
      <c r="O19887" s="43">
        <v>4.4161049371470211</v>
      </c>
      <c r="P19887" s="604"/>
      <c r="Q19887" s="604"/>
      <c r="R19887" s="604">
        <v>2</v>
      </c>
    </row>
    <row r="19888" spans="1:18" ht="48">
      <c r="A19888" s="600">
        <v>19</v>
      </c>
      <c r="B19888" s="597" t="s">
        <v>36064</v>
      </c>
      <c r="C19888" s="601" t="s">
        <v>36065</v>
      </c>
      <c r="D19888" s="602">
        <v>200.79</v>
      </c>
      <c r="E19888" s="602">
        <v>43.09</v>
      </c>
      <c r="F19888" s="602">
        <v>42.07</v>
      </c>
      <c r="G19888" s="602">
        <v>115.63</v>
      </c>
      <c r="H19888" s="603">
        <v>1252.3399999999999</v>
      </c>
      <c r="I19888" s="603">
        <v>495.53</v>
      </c>
      <c r="J19888" s="603">
        <v>227.19</v>
      </c>
      <c r="K19888" s="603">
        <v>529.62</v>
      </c>
      <c r="L19888" s="43">
        <v>6.2370635987847995</v>
      </c>
      <c r="M19888" s="43">
        <v>11.499883963796703</v>
      </c>
      <c r="N19888" s="43">
        <v>5.4002852388875686</v>
      </c>
      <c r="O19888" s="43">
        <v>4.580299230303555</v>
      </c>
      <c r="P19888" s="604"/>
      <c r="Q19888" s="604"/>
      <c r="R19888" s="604">
        <v>2</v>
      </c>
    </row>
    <row r="19889" spans="1:18" ht="48">
      <c r="A19889" s="600">
        <v>20</v>
      </c>
      <c r="B19889" s="597" t="s">
        <v>36066</v>
      </c>
      <c r="C19889" s="601" t="s">
        <v>36067</v>
      </c>
      <c r="D19889" s="602">
        <v>249.4</v>
      </c>
      <c r="E19889" s="602">
        <v>52.74</v>
      </c>
      <c r="F19889" s="602">
        <v>70.34</v>
      </c>
      <c r="G19889" s="602">
        <v>126.32</v>
      </c>
      <c r="H19889" s="603">
        <v>1594.32</v>
      </c>
      <c r="I19889" s="603">
        <v>606.52</v>
      </c>
      <c r="J19889" s="603">
        <v>380.21</v>
      </c>
      <c r="K19889" s="603">
        <v>607.59</v>
      </c>
      <c r="L19889" s="43">
        <v>6.3926222935044104</v>
      </c>
      <c r="M19889" s="43">
        <v>11.500189609404625</v>
      </c>
      <c r="N19889" s="43">
        <v>5.4053170315609886</v>
      </c>
      <c r="O19889" s="43">
        <v>4.8099271690943644</v>
      </c>
      <c r="P19889" s="604"/>
      <c r="Q19889" s="604"/>
      <c r="R19889" s="604">
        <v>2</v>
      </c>
    </row>
    <row r="19890" spans="1:18" ht="48">
      <c r="A19890" s="600">
        <v>21</v>
      </c>
      <c r="B19890" s="597" t="s">
        <v>36068</v>
      </c>
      <c r="C19890" s="601" t="s">
        <v>36069</v>
      </c>
      <c r="D19890" s="602">
        <v>301.67</v>
      </c>
      <c r="E19890" s="602">
        <v>63.77</v>
      </c>
      <c r="F19890" s="602">
        <v>107.95</v>
      </c>
      <c r="G19890" s="602">
        <v>129.94999999999999</v>
      </c>
      <c r="H19890" s="603">
        <v>1948.38</v>
      </c>
      <c r="I19890" s="603">
        <v>733.38</v>
      </c>
      <c r="J19890" s="603">
        <v>584.19000000000005</v>
      </c>
      <c r="K19890" s="603">
        <v>630.80999999999995</v>
      </c>
      <c r="L19890" s="43">
        <v>6.458646865780489</v>
      </c>
      <c r="M19890" s="43">
        <v>11.500392033871726</v>
      </c>
      <c r="N19890" s="43">
        <v>5.4116720704029646</v>
      </c>
      <c r="O19890" s="43">
        <v>4.8542516352443243</v>
      </c>
      <c r="P19890" s="604"/>
      <c r="Q19890" s="604"/>
      <c r="R19890" s="604">
        <v>2</v>
      </c>
    </row>
    <row r="19891" spans="1:18" ht="48">
      <c r="A19891" s="600">
        <v>22</v>
      </c>
      <c r="B19891" s="597" t="s">
        <v>36070</v>
      </c>
      <c r="C19891" s="601" t="s">
        <v>36071</v>
      </c>
      <c r="D19891" s="602">
        <v>382.19</v>
      </c>
      <c r="E19891" s="602">
        <v>75.14</v>
      </c>
      <c r="F19891" s="602">
        <v>167.32</v>
      </c>
      <c r="G19891" s="602">
        <v>139.72999999999999</v>
      </c>
      <c r="H19891" s="603">
        <v>2472.09</v>
      </c>
      <c r="I19891" s="603">
        <v>864.2</v>
      </c>
      <c r="J19891" s="603">
        <v>906.02</v>
      </c>
      <c r="K19891" s="603">
        <v>701.87</v>
      </c>
      <c r="L19891" s="43">
        <v>6.4682226117899475</v>
      </c>
      <c r="M19891" s="43">
        <v>11.501197764173543</v>
      </c>
      <c r="N19891" s="43">
        <v>5.4148936170212769</v>
      </c>
      <c r="O19891" s="43">
        <v>5.0230444428540757</v>
      </c>
      <c r="P19891" s="604"/>
      <c r="Q19891" s="604"/>
      <c r="R19891" s="604">
        <v>2</v>
      </c>
    </row>
    <row r="19892" spans="1:18" ht="48">
      <c r="A19892" s="600">
        <v>23</v>
      </c>
      <c r="B19892" s="597" t="s">
        <v>36072</v>
      </c>
      <c r="C19892" s="601" t="s">
        <v>36073</v>
      </c>
      <c r="D19892" s="602">
        <v>415.73</v>
      </c>
      <c r="E19892" s="602">
        <v>82.73</v>
      </c>
      <c r="F19892" s="602">
        <v>182.95</v>
      </c>
      <c r="G19892" s="602">
        <v>150.05000000000001</v>
      </c>
      <c r="H19892" s="603">
        <v>2714.14</v>
      </c>
      <c r="I19892" s="603">
        <v>951.41</v>
      </c>
      <c r="J19892" s="603">
        <v>989.87</v>
      </c>
      <c r="K19892" s="603">
        <v>772.86</v>
      </c>
      <c r="L19892" s="43">
        <v>6.5286123204964754</v>
      </c>
      <c r="M19892" s="43">
        <v>11.500181312703976</v>
      </c>
      <c r="N19892" s="43">
        <v>5.4106039901612464</v>
      </c>
      <c r="O19892" s="43">
        <v>5.1506831056314555</v>
      </c>
      <c r="P19892" s="604"/>
      <c r="Q19892" s="604"/>
      <c r="R19892" s="604">
        <v>2</v>
      </c>
    </row>
    <row r="19893" spans="1:18" ht="48">
      <c r="A19893" s="600">
        <v>24</v>
      </c>
      <c r="B19893" s="597" t="s">
        <v>36074</v>
      </c>
      <c r="C19893" s="601" t="s">
        <v>36075</v>
      </c>
      <c r="D19893" s="602">
        <v>453.53</v>
      </c>
      <c r="E19893" s="602">
        <v>101.34</v>
      </c>
      <c r="F19893" s="602">
        <v>199.6</v>
      </c>
      <c r="G19893" s="602">
        <v>152.59</v>
      </c>
      <c r="H19893" s="603">
        <v>3033.53</v>
      </c>
      <c r="I19893" s="603">
        <v>1165.47</v>
      </c>
      <c r="J19893" s="603">
        <v>1079.7</v>
      </c>
      <c r="K19893" s="603">
        <v>788.36</v>
      </c>
      <c r="L19893" s="43">
        <v>6.6887085749564532</v>
      </c>
      <c r="M19893" s="43">
        <v>11.500592066311427</v>
      </c>
      <c r="N19893" s="43">
        <v>5.4093186372745494</v>
      </c>
      <c r="O19893" s="43">
        <v>5.1665246739629067</v>
      </c>
      <c r="P19893" s="604"/>
      <c r="Q19893" s="604"/>
      <c r="R19893" s="604">
        <v>2</v>
      </c>
    </row>
    <row r="19894" spans="1:18" ht="48">
      <c r="A19894" s="600">
        <v>25</v>
      </c>
      <c r="B19894" s="597" t="s">
        <v>36076</v>
      </c>
      <c r="C19894" s="601" t="s">
        <v>36077</v>
      </c>
      <c r="D19894" s="602">
        <v>525.99</v>
      </c>
      <c r="E19894" s="602">
        <v>127.54</v>
      </c>
      <c r="F19894" s="602">
        <v>242.51</v>
      </c>
      <c r="G19894" s="602">
        <v>155.94</v>
      </c>
      <c r="H19894" s="603">
        <v>3594.5</v>
      </c>
      <c r="I19894" s="603">
        <v>1466.75</v>
      </c>
      <c r="J19894" s="603">
        <v>1311.94</v>
      </c>
      <c r="K19894" s="603">
        <v>815.81</v>
      </c>
      <c r="L19894" s="43">
        <v>6.8337801098880204</v>
      </c>
      <c r="M19894" s="43">
        <v>11.50031362709738</v>
      </c>
      <c r="N19894" s="43">
        <v>5.409838769535277</v>
      </c>
      <c r="O19894" s="43">
        <v>5.2315634218289082</v>
      </c>
      <c r="P19894" s="604"/>
      <c r="Q19894" s="604"/>
      <c r="R19894" s="604">
        <v>2</v>
      </c>
    </row>
    <row r="19895" spans="1:18" ht="12.75" customHeight="1">
      <c r="A19895" s="628" t="s">
        <v>16577</v>
      </c>
      <c r="B19895" s="629"/>
      <c r="C19895" s="629"/>
      <c r="D19895" s="629"/>
      <c r="E19895" s="629"/>
      <c r="F19895" s="629"/>
      <c r="G19895" s="629"/>
      <c r="H19895" s="629"/>
      <c r="I19895" s="629"/>
      <c r="J19895" s="629"/>
      <c r="K19895" s="629"/>
      <c r="L19895" s="629"/>
      <c r="M19895" s="629"/>
      <c r="N19895" s="629"/>
      <c r="O19895" s="629"/>
      <c r="P19895" s="629"/>
      <c r="Q19895" s="629"/>
      <c r="R19895" s="629"/>
    </row>
    <row r="19896" spans="1:18" ht="36">
      <c r="A19896" s="600">
        <v>26</v>
      </c>
      <c r="B19896" s="597" t="s">
        <v>36078</v>
      </c>
      <c r="C19896" s="601" t="s">
        <v>36079</v>
      </c>
      <c r="D19896" s="602">
        <v>141.03</v>
      </c>
      <c r="E19896" s="602">
        <v>25.85</v>
      </c>
      <c r="F19896" s="602">
        <v>15.43</v>
      </c>
      <c r="G19896" s="602">
        <v>99.75</v>
      </c>
      <c r="H19896" s="603">
        <v>789.15</v>
      </c>
      <c r="I19896" s="603">
        <v>297.32</v>
      </c>
      <c r="J19896" s="603">
        <v>83.1</v>
      </c>
      <c r="K19896" s="603">
        <v>408.73</v>
      </c>
      <c r="L19896" s="43">
        <v>5.5956179536268875</v>
      </c>
      <c r="M19896" s="43">
        <v>11.50174081237911</v>
      </c>
      <c r="N19896" s="43">
        <v>5.3856124432922874</v>
      </c>
      <c r="O19896" s="43">
        <v>4.0975438596491234</v>
      </c>
      <c r="P19896" s="604"/>
      <c r="Q19896" s="604"/>
      <c r="R19896" s="604">
        <v>3</v>
      </c>
    </row>
    <row r="19897" spans="1:18" ht="36">
      <c r="A19897" s="600">
        <v>27</v>
      </c>
      <c r="B19897" s="597" t="s">
        <v>36080</v>
      </c>
      <c r="C19897" s="601" t="s">
        <v>36081</v>
      </c>
      <c r="D19897" s="602">
        <v>174.99</v>
      </c>
      <c r="E19897" s="602">
        <v>34.47</v>
      </c>
      <c r="F19897" s="602">
        <v>33.26</v>
      </c>
      <c r="G19897" s="602">
        <v>107.26</v>
      </c>
      <c r="H19897" s="603">
        <v>1041.67</v>
      </c>
      <c r="I19897" s="603">
        <v>396.42</v>
      </c>
      <c r="J19897" s="603">
        <v>179.66</v>
      </c>
      <c r="K19897" s="603">
        <v>465.59</v>
      </c>
      <c r="L19897" s="43">
        <v>5.9527401565803757</v>
      </c>
      <c r="M19897" s="43">
        <v>11.500435161009575</v>
      </c>
      <c r="N19897" s="43">
        <v>5.4016837041491286</v>
      </c>
      <c r="O19897" s="43">
        <v>4.3407607682267386</v>
      </c>
      <c r="P19897" s="604"/>
      <c r="Q19897" s="604"/>
      <c r="R19897" s="604">
        <v>3</v>
      </c>
    </row>
    <row r="19898" spans="1:18" ht="36">
      <c r="A19898" s="600">
        <v>28</v>
      </c>
      <c r="B19898" s="597" t="s">
        <v>36082</v>
      </c>
      <c r="C19898" s="601" t="s">
        <v>36083</v>
      </c>
      <c r="D19898" s="602">
        <v>192.62</v>
      </c>
      <c r="E19898" s="602">
        <v>46.42</v>
      </c>
      <c r="F19898" s="602">
        <v>37.770000000000003</v>
      </c>
      <c r="G19898" s="602">
        <v>108.43</v>
      </c>
      <c r="H19898" s="603">
        <v>1211.6300000000001</v>
      </c>
      <c r="I19898" s="603">
        <v>533.85</v>
      </c>
      <c r="J19898" s="603">
        <v>203.91</v>
      </c>
      <c r="K19898" s="603">
        <v>473.87</v>
      </c>
      <c r="L19898" s="43">
        <v>6.2902606167583848</v>
      </c>
      <c r="M19898" s="43">
        <v>11.500430848772082</v>
      </c>
      <c r="N19898" s="43">
        <v>5.3987291501191415</v>
      </c>
      <c r="O19898" s="43">
        <v>4.3702849764825231</v>
      </c>
      <c r="P19898" s="604"/>
      <c r="Q19898" s="604"/>
      <c r="R19898" s="604">
        <v>3</v>
      </c>
    </row>
    <row r="19899" spans="1:18" ht="36">
      <c r="A19899" s="600">
        <v>29</v>
      </c>
      <c r="B19899" s="597" t="s">
        <v>36084</v>
      </c>
      <c r="C19899" s="601" t="s">
        <v>36085</v>
      </c>
      <c r="D19899" s="602">
        <v>203.81</v>
      </c>
      <c r="E19899" s="602">
        <v>46.42</v>
      </c>
      <c r="F19899" s="602">
        <v>44.15</v>
      </c>
      <c r="G19899" s="602">
        <v>113.24</v>
      </c>
      <c r="H19899" s="603">
        <v>1282.52</v>
      </c>
      <c r="I19899" s="603">
        <v>533.85</v>
      </c>
      <c r="J19899" s="603">
        <v>238.45</v>
      </c>
      <c r="K19899" s="603">
        <v>510.22</v>
      </c>
      <c r="L19899" s="43">
        <v>6.2927236151317398</v>
      </c>
      <c r="M19899" s="43">
        <v>11.500430848772082</v>
      </c>
      <c r="N19899" s="43">
        <v>5.4009060022650059</v>
      </c>
      <c r="O19899" s="43">
        <v>4.5056517131755571</v>
      </c>
      <c r="P19899" s="604"/>
      <c r="Q19899" s="604"/>
      <c r="R19899" s="604">
        <v>3</v>
      </c>
    </row>
    <row r="19900" spans="1:18" ht="36">
      <c r="A19900" s="600">
        <v>30</v>
      </c>
      <c r="B19900" s="597" t="s">
        <v>36086</v>
      </c>
      <c r="C19900" s="601" t="s">
        <v>36087</v>
      </c>
      <c r="D19900" s="602">
        <v>234.74</v>
      </c>
      <c r="E19900" s="602">
        <v>56.99</v>
      </c>
      <c r="F19900" s="602">
        <v>53.87</v>
      </c>
      <c r="G19900" s="602">
        <v>123.88</v>
      </c>
      <c r="H19900" s="603">
        <v>1534.58</v>
      </c>
      <c r="I19900" s="603">
        <v>655.41</v>
      </c>
      <c r="J19900" s="603">
        <v>290.81</v>
      </c>
      <c r="K19900" s="603">
        <v>588.36</v>
      </c>
      <c r="L19900" s="43">
        <v>6.5373604839396773</v>
      </c>
      <c r="M19900" s="43">
        <v>11.500438673451482</v>
      </c>
      <c r="N19900" s="43">
        <v>5.3983664377204388</v>
      </c>
      <c r="O19900" s="43">
        <v>4.7494349370358417</v>
      </c>
      <c r="P19900" s="604"/>
      <c r="Q19900" s="604"/>
      <c r="R19900" s="604">
        <v>3</v>
      </c>
    </row>
    <row r="19901" spans="1:18" ht="36">
      <c r="A19901" s="600">
        <v>31</v>
      </c>
      <c r="B19901" s="597" t="s">
        <v>36088</v>
      </c>
      <c r="C19901" s="601" t="s">
        <v>36089</v>
      </c>
      <c r="D19901" s="602">
        <v>275.7</v>
      </c>
      <c r="E19901" s="602">
        <v>71.81</v>
      </c>
      <c r="F19901" s="602">
        <v>72.02</v>
      </c>
      <c r="G19901" s="602">
        <v>131.87</v>
      </c>
      <c r="H19901" s="603">
        <v>1860.92</v>
      </c>
      <c r="I19901" s="603">
        <v>825.88</v>
      </c>
      <c r="J19901" s="603">
        <v>388.38</v>
      </c>
      <c r="K19901" s="603">
        <v>646.66</v>
      </c>
      <c r="L19901" s="43">
        <v>6.7498005077983319</v>
      </c>
      <c r="M19901" s="43">
        <v>11.500905166411362</v>
      </c>
      <c r="N19901" s="43">
        <v>5.3926687031380176</v>
      </c>
      <c r="O19901" s="43">
        <v>4.9037688632744363</v>
      </c>
      <c r="P19901" s="604"/>
      <c r="Q19901" s="604"/>
      <c r="R19901" s="604">
        <v>3</v>
      </c>
    </row>
    <row r="19902" spans="1:18" ht="36">
      <c r="A19902" s="600">
        <v>32</v>
      </c>
      <c r="B19902" s="597" t="s">
        <v>36090</v>
      </c>
      <c r="C19902" s="601" t="s">
        <v>36091</v>
      </c>
      <c r="D19902" s="602">
        <v>327.57</v>
      </c>
      <c r="E19902" s="602">
        <v>81.58</v>
      </c>
      <c r="F19902" s="602">
        <v>100.91</v>
      </c>
      <c r="G19902" s="602">
        <v>145.08000000000001</v>
      </c>
      <c r="H19902" s="603">
        <v>2228.65</v>
      </c>
      <c r="I19902" s="603">
        <v>938.19</v>
      </c>
      <c r="J19902" s="603">
        <v>544.80999999999995</v>
      </c>
      <c r="K19902" s="603">
        <v>745.65</v>
      </c>
      <c r="L19902" s="43">
        <v>6.8035839667857259</v>
      </c>
      <c r="M19902" s="43">
        <v>11.500245158126992</v>
      </c>
      <c r="N19902" s="43">
        <v>5.3989693786542459</v>
      </c>
      <c r="O19902" s="43">
        <v>5.1395781637717119</v>
      </c>
      <c r="P19902" s="604"/>
      <c r="Q19902" s="604"/>
      <c r="R19902" s="604">
        <v>3</v>
      </c>
    </row>
    <row r="19903" spans="1:18" ht="36">
      <c r="A19903" s="600">
        <v>33</v>
      </c>
      <c r="B19903" s="597" t="s">
        <v>36092</v>
      </c>
      <c r="C19903" s="601" t="s">
        <v>36093</v>
      </c>
      <c r="D19903" s="602">
        <v>356.69</v>
      </c>
      <c r="E19903" s="602">
        <v>99.96</v>
      </c>
      <c r="F19903" s="602">
        <v>104.1</v>
      </c>
      <c r="G19903" s="602">
        <v>152.63</v>
      </c>
      <c r="H19903" s="603">
        <v>2506.6999999999998</v>
      </c>
      <c r="I19903" s="603">
        <v>1149.6199999999999</v>
      </c>
      <c r="J19903" s="603">
        <v>561.65</v>
      </c>
      <c r="K19903" s="603">
        <v>795.43</v>
      </c>
      <c r="L19903" s="43">
        <v>7.0276710869382368</v>
      </c>
      <c r="M19903" s="43">
        <v>11.50080032012805</v>
      </c>
      <c r="N19903" s="43">
        <v>5.3952929875120077</v>
      </c>
      <c r="O19903" s="43">
        <v>5.2114918430190658</v>
      </c>
      <c r="P19903" s="604"/>
      <c r="Q19903" s="604"/>
      <c r="R19903" s="604">
        <v>3</v>
      </c>
    </row>
    <row r="19904" spans="1:18" ht="36">
      <c r="A19904" s="600">
        <v>34</v>
      </c>
      <c r="B19904" s="597" t="s">
        <v>36094</v>
      </c>
      <c r="C19904" s="601" t="s">
        <v>36095</v>
      </c>
      <c r="D19904" s="602">
        <v>379.6</v>
      </c>
      <c r="E19904" s="602">
        <v>112.6</v>
      </c>
      <c r="F19904" s="602">
        <v>106.86</v>
      </c>
      <c r="G19904" s="602">
        <v>160.13999999999999</v>
      </c>
      <c r="H19904" s="603">
        <v>2721.56</v>
      </c>
      <c r="I19904" s="603">
        <v>1294.97</v>
      </c>
      <c r="J19904" s="603">
        <v>576.26</v>
      </c>
      <c r="K19904" s="603">
        <v>850.33</v>
      </c>
      <c r="L19904" s="43">
        <v>7.1695468914646989</v>
      </c>
      <c r="M19904" s="43">
        <v>11.500621669627</v>
      </c>
      <c r="N19904" s="43">
        <v>5.3926632977727866</v>
      </c>
      <c r="O19904" s="43">
        <v>5.3099163232171858</v>
      </c>
      <c r="P19904" s="604"/>
      <c r="Q19904" s="604"/>
      <c r="R19904" s="604">
        <v>3</v>
      </c>
    </row>
    <row r="19905" spans="1:18" ht="36">
      <c r="A19905" s="600">
        <v>35</v>
      </c>
      <c r="B19905" s="597" t="s">
        <v>36096</v>
      </c>
      <c r="C19905" s="601" t="s">
        <v>36097</v>
      </c>
      <c r="D19905" s="602">
        <v>436.51</v>
      </c>
      <c r="E19905" s="602">
        <v>141.33000000000001</v>
      </c>
      <c r="F19905" s="602">
        <v>111.23</v>
      </c>
      <c r="G19905" s="602">
        <v>183.95</v>
      </c>
      <c r="H19905" s="603">
        <v>3267.38</v>
      </c>
      <c r="I19905" s="603">
        <v>1625.32</v>
      </c>
      <c r="J19905" s="603">
        <v>599.24</v>
      </c>
      <c r="K19905" s="603">
        <v>1042.82</v>
      </c>
      <c r="L19905" s="43">
        <v>7.4852351607065133</v>
      </c>
      <c r="M19905" s="43">
        <v>11.500176890964408</v>
      </c>
      <c r="N19905" s="43">
        <v>5.3873954868290932</v>
      </c>
      <c r="O19905" s="43">
        <v>5.6690405001359068</v>
      </c>
      <c r="P19905" s="604"/>
      <c r="Q19905" s="604"/>
      <c r="R19905" s="604">
        <v>3</v>
      </c>
    </row>
    <row r="19906" spans="1:18" ht="36">
      <c r="A19906" s="600">
        <v>36</v>
      </c>
      <c r="B19906" s="597" t="s">
        <v>36098</v>
      </c>
      <c r="C19906" s="601" t="s">
        <v>36099</v>
      </c>
      <c r="D19906" s="602">
        <v>489.21</v>
      </c>
      <c r="E19906" s="602">
        <v>175.8</v>
      </c>
      <c r="F19906" s="602">
        <v>117.84</v>
      </c>
      <c r="G19906" s="602">
        <v>195.57</v>
      </c>
      <c r="H19906" s="603">
        <v>3781.92</v>
      </c>
      <c r="I19906" s="603">
        <v>2021.74</v>
      </c>
      <c r="J19906" s="603">
        <v>634.53</v>
      </c>
      <c r="K19906" s="603">
        <v>1125.6500000000001</v>
      </c>
      <c r="L19906" s="43">
        <v>7.7306678113693508</v>
      </c>
      <c r="M19906" s="43">
        <v>11.500227531285551</v>
      </c>
      <c r="N19906" s="43">
        <v>5.3846741344195515</v>
      </c>
      <c r="O19906" s="43">
        <v>5.7557396328680275</v>
      </c>
      <c r="P19906" s="604"/>
      <c r="Q19906" s="604"/>
      <c r="R19906" s="604">
        <v>3</v>
      </c>
    </row>
    <row r="19907" spans="1:18" ht="36">
      <c r="A19907" s="600">
        <v>37</v>
      </c>
      <c r="B19907" s="597" t="s">
        <v>36100</v>
      </c>
      <c r="C19907" s="601" t="s">
        <v>36101</v>
      </c>
      <c r="D19907" s="602">
        <v>578.97</v>
      </c>
      <c r="E19907" s="602">
        <v>216.01</v>
      </c>
      <c r="F19907" s="602">
        <v>148.88</v>
      </c>
      <c r="G19907" s="602">
        <v>214.08</v>
      </c>
      <c r="H19907" s="603">
        <v>4548.74</v>
      </c>
      <c r="I19907" s="603">
        <v>2484.23</v>
      </c>
      <c r="J19907" s="603">
        <v>802.13</v>
      </c>
      <c r="K19907" s="603">
        <v>1262.3800000000001</v>
      </c>
      <c r="L19907" s="43">
        <v>7.856607423527989</v>
      </c>
      <c r="M19907" s="43">
        <v>11.500532382760058</v>
      </c>
      <c r="N19907" s="43">
        <v>5.3877619559376679</v>
      </c>
      <c r="O19907" s="43">
        <v>5.8967675635276535</v>
      </c>
      <c r="P19907" s="604"/>
      <c r="Q19907" s="604"/>
      <c r="R19907" s="604">
        <v>3</v>
      </c>
    </row>
    <row r="19908" spans="1:18" ht="36">
      <c r="A19908" s="600">
        <v>38</v>
      </c>
      <c r="B19908" s="597" t="s">
        <v>36102</v>
      </c>
      <c r="C19908" s="601" t="s">
        <v>36103</v>
      </c>
      <c r="D19908" s="602">
        <v>641.08000000000004</v>
      </c>
      <c r="E19908" s="602">
        <v>265.42</v>
      </c>
      <c r="F19908" s="602">
        <v>157.13</v>
      </c>
      <c r="G19908" s="602">
        <v>218.53</v>
      </c>
      <c r="H19908" s="603">
        <v>5198.08</v>
      </c>
      <c r="I19908" s="603">
        <v>3052.43</v>
      </c>
      <c r="J19908" s="603">
        <v>845.69</v>
      </c>
      <c r="K19908" s="603">
        <v>1299.96</v>
      </c>
      <c r="L19908" s="43">
        <v>8.1083172147001932</v>
      </c>
      <c r="M19908" s="43">
        <v>11.500376761359353</v>
      </c>
      <c r="N19908" s="43">
        <v>5.382103990326482</v>
      </c>
      <c r="O19908" s="43">
        <v>5.9486569349746032</v>
      </c>
      <c r="P19908" s="604"/>
      <c r="Q19908" s="604"/>
      <c r="R19908" s="604">
        <v>3</v>
      </c>
    </row>
    <row r="19909" spans="1:18" ht="36">
      <c r="A19909" s="600">
        <v>39</v>
      </c>
      <c r="B19909" s="597" t="s">
        <v>36104</v>
      </c>
      <c r="C19909" s="601" t="s">
        <v>36105</v>
      </c>
      <c r="D19909" s="602">
        <v>762.4</v>
      </c>
      <c r="E19909" s="602">
        <v>335.51</v>
      </c>
      <c r="F19909" s="602">
        <v>194.37</v>
      </c>
      <c r="G19909" s="602">
        <v>232.52</v>
      </c>
      <c r="H19909" s="603">
        <v>6308.95</v>
      </c>
      <c r="I19909" s="603">
        <v>3858.49</v>
      </c>
      <c r="J19909" s="603">
        <v>1046.18</v>
      </c>
      <c r="K19909" s="603">
        <v>1404.28</v>
      </c>
      <c r="L19909" s="43">
        <v>8.2751180482686255</v>
      </c>
      <c r="M19909" s="43">
        <v>11.500372567136598</v>
      </c>
      <c r="N19909" s="43">
        <v>5.3824149817358649</v>
      </c>
      <c r="O19909" s="43">
        <v>6.0393944606915531</v>
      </c>
      <c r="P19909" s="604"/>
      <c r="Q19909" s="604"/>
      <c r="R19909" s="604">
        <v>3</v>
      </c>
    </row>
    <row r="19910" spans="1:18" ht="36">
      <c r="A19910" s="600">
        <v>40</v>
      </c>
      <c r="B19910" s="597" t="s">
        <v>36106</v>
      </c>
      <c r="C19910" s="601" t="s">
        <v>36107</v>
      </c>
      <c r="D19910" s="602">
        <v>847.44</v>
      </c>
      <c r="E19910" s="602">
        <v>396.41</v>
      </c>
      <c r="F19910" s="602">
        <v>203.98</v>
      </c>
      <c r="G19910" s="602">
        <v>247.05</v>
      </c>
      <c r="H19910" s="603">
        <v>7168.76</v>
      </c>
      <c r="I19910" s="603">
        <v>4558.83</v>
      </c>
      <c r="J19910" s="603">
        <v>1096.8800000000001</v>
      </c>
      <c r="K19910" s="603">
        <v>1513.05</v>
      </c>
      <c r="L19910" s="43">
        <v>8.4593127537052766</v>
      </c>
      <c r="M19910" s="43">
        <v>11.500290103680532</v>
      </c>
      <c r="N19910" s="43">
        <v>5.3773899401902154</v>
      </c>
      <c r="O19910" s="43">
        <v>6.1244687310261074</v>
      </c>
      <c r="P19910" s="604"/>
      <c r="Q19910" s="604"/>
      <c r="R19910" s="604">
        <v>3</v>
      </c>
    </row>
    <row r="19911" spans="1:18" ht="12.75" customHeight="1">
      <c r="A19911" s="628" t="s">
        <v>16616</v>
      </c>
      <c r="B19911" s="629"/>
      <c r="C19911" s="629"/>
      <c r="D19911" s="629"/>
      <c r="E19911" s="629"/>
      <c r="F19911" s="629"/>
      <c r="G19911" s="629"/>
      <c r="H19911" s="629"/>
      <c r="I19911" s="629"/>
      <c r="J19911" s="629"/>
      <c r="K19911" s="629"/>
      <c r="L19911" s="629"/>
      <c r="M19911" s="629"/>
      <c r="N19911" s="629"/>
      <c r="O19911" s="629"/>
      <c r="P19911" s="629"/>
      <c r="Q19911" s="629"/>
      <c r="R19911" s="629"/>
    </row>
    <row r="19912" spans="1:18" ht="36">
      <c r="A19912" s="600">
        <v>41</v>
      </c>
      <c r="B19912" s="597" t="s">
        <v>36108</v>
      </c>
      <c r="C19912" s="601" t="s">
        <v>36109</v>
      </c>
      <c r="D19912" s="602">
        <v>160.43</v>
      </c>
      <c r="E19912" s="602">
        <v>35.04</v>
      </c>
      <c r="F19912" s="602">
        <v>23.92</v>
      </c>
      <c r="G19912" s="602">
        <v>101.47</v>
      </c>
      <c r="H19912" s="603">
        <v>953.52</v>
      </c>
      <c r="I19912" s="603">
        <v>403.03</v>
      </c>
      <c r="J19912" s="603">
        <v>129.05000000000001</v>
      </c>
      <c r="K19912" s="603">
        <v>421.44</v>
      </c>
      <c r="L19912" s="43">
        <v>5.9435267718007854</v>
      </c>
      <c r="M19912" s="43">
        <v>11.501997716894977</v>
      </c>
      <c r="N19912" s="43">
        <v>5.3950668896321075</v>
      </c>
      <c r="O19912" s="43">
        <v>4.1533458164974872</v>
      </c>
      <c r="P19912" s="604"/>
      <c r="Q19912" s="604"/>
      <c r="R19912" s="604">
        <v>4</v>
      </c>
    </row>
    <row r="19913" spans="1:18" ht="36">
      <c r="A19913" s="600">
        <v>42</v>
      </c>
      <c r="B19913" s="597" t="s">
        <v>36110</v>
      </c>
      <c r="C19913" s="601" t="s">
        <v>36111</v>
      </c>
      <c r="D19913" s="602">
        <v>184.42</v>
      </c>
      <c r="E19913" s="602">
        <v>46.42</v>
      </c>
      <c r="F19913" s="602">
        <v>33.119999999999997</v>
      </c>
      <c r="G19913" s="602">
        <v>104.88</v>
      </c>
      <c r="H19913" s="603">
        <v>1158.71</v>
      </c>
      <c r="I19913" s="603">
        <v>533.85</v>
      </c>
      <c r="J19913" s="603">
        <v>178.85</v>
      </c>
      <c r="K19913" s="603">
        <v>446.01</v>
      </c>
      <c r="L19913" s="43">
        <v>6.2829953367313749</v>
      </c>
      <c r="M19913" s="43">
        <v>11.500430848772082</v>
      </c>
      <c r="N19913" s="43">
        <v>5.40006038647343</v>
      </c>
      <c r="O19913" s="43">
        <v>4.2525743707093824</v>
      </c>
      <c r="P19913" s="604"/>
      <c r="Q19913" s="604"/>
      <c r="R19913" s="604">
        <v>4</v>
      </c>
    </row>
    <row r="19914" spans="1:18" ht="36">
      <c r="A19914" s="600">
        <v>43</v>
      </c>
      <c r="B19914" s="597" t="s">
        <v>36112</v>
      </c>
      <c r="C19914" s="601" t="s">
        <v>36113</v>
      </c>
      <c r="D19914" s="602">
        <v>222.14</v>
      </c>
      <c r="E19914" s="602">
        <v>65.489999999999995</v>
      </c>
      <c r="F19914" s="602">
        <v>40.090000000000003</v>
      </c>
      <c r="G19914" s="602">
        <v>116.56</v>
      </c>
      <c r="H19914" s="603">
        <v>1504.16</v>
      </c>
      <c r="I19914" s="603">
        <v>753.2</v>
      </c>
      <c r="J19914" s="603">
        <v>216.36</v>
      </c>
      <c r="K19914" s="603">
        <v>534.6</v>
      </c>
      <c r="L19914" s="43">
        <v>6.7712253533807516</v>
      </c>
      <c r="M19914" s="43">
        <v>11.500992517941672</v>
      </c>
      <c r="N19914" s="43">
        <v>5.3968570715889248</v>
      </c>
      <c r="O19914" s="43">
        <v>4.5864790665751549</v>
      </c>
      <c r="P19914" s="604"/>
      <c r="Q19914" s="604"/>
      <c r="R19914" s="604">
        <v>4</v>
      </c>
    </row>
    <row r="19915" spans="1:18" ht="36">
      <c r="A19915" s="600">
        <v>44</v>
      </c>
      <c r="B19915" s="597" t="s">
        <v>36114</v>
      </c>
      <c r="C19915" s="601" t="s">
        <v>36115</v>
      </c>
      <c r="D19915" s="602">
        <v>248.17</v>
      </c>
      <c r="E19915" s="602">
        <v>71.81</v>
      </c>
      <c r="F19915" s="602">
        <v>57.18</v>
      </c>
      <c r="G19915" s="602">
        <v>119.18</v>
      </c>
      <c r="H19915" s="603">
        <v>1687.03</v>
      </c>
      <c r="I19915" s="603">
        <v>825.88</v>
      </c>
      <c r="J19915" s="603">
        <v>309</v>
      </c>
      <c r="K19915" s="603">
        <v>552.15</v>
      </c>
      <c r="L19915" s="43">
        <v>6.7978804851513077</v>
      </c>
      <c r="M19915" s="43">
        <v>11.500905166411362</v>
      </c>
      <c r="N19915" s="43">
        <v>5.4039874081846797</v>
      </c>
      <c r="O19915" s="43">
        <v>4.6329082060748439</v>
      </c>
      <c r="P19915" s="604"/>
      <c r="Q19915" s="604"/>
      <c r="R19915" s="604">
        <v>4</v>
      </c>
    </row>
    <row r="19916" spans="1:18" ht="36">
      <c r="A19916" s="600">
        <v>45</v>
      </c>
      <c r="B19916" s="597" t="s">
        <v>36116</v>
      </c>
      <c r="C19916" s="601" t="s">
        <v>36117</v>
      </c>
      <c r="D19916" s="602">
        <v>277.63</v>
      </c>
      <c r="E19916" s="602">
        <v>84.45</v>
      </c>
      <c r="F19916" s="602">
        <v>64.3</v>
      </c>
      <c r="G19916" s="602">
        <v>128.88</v>
      </c>
      <c r="H19916" s="603">
        <v>1946.92</v>
      </c>
      <c r="I19916" s="603">
        <v>971.23</v>
      </c>
      <c r="J19916" s="603">
        <v>347.38</v>
      </c>
      <c r="K19916" s="603">
        <v>628.30999999999995</v>
      </c>
      <c r="L19916" s="43">
        <v>7.0126427259301956</v>
      </c>
      <c r="M19916" s="43">
        <v>11.500651272942569</v>
      </c>
      <c r="N19916" s="43">
        <v>5.4024883359253497</v>
      </c>
      <c r="O19916" s="43">
        <v>4.8751551831160764</v>
      </c>
      <c r="P19916" s="604"/>
      <c r="Q19916" s="604"/>
      <c r="R19916" s="604">
        <v>4</v>
      </c>
    </row>
    <row r="19917" spans="1:18" ht="36">
      <c r="A19917" s="600">
        <v>46</v>
      </c>
      <c r="B19917" s="597" t="s">
        <v>36118</v>
      </c>
      <c r="C19917" s="601" t="s">
        <v>36119</v>
      </c>
      <c r="D19917" s="602">
        <v>329.1</v>
      </c>
      <c r="E19917" s="602">
        <v>106.28</v>
      </c>
      <c r="F19917" s="602">
        <v>78.39</v>
      </c>
      <c r="G19917" s="602">
        <v>144.43</v>
      </c>
      <c r="H19917" s="603">
        <v>2394.17</v>
      </c>
      <c r="I19917" s="603">
        <v>1222.3</v>
      </c>
      <c r="J19917" s="603">
        <v>422.35</v>
      </c>
      <c r="K19917" s="603">
        <v>749.52</v>
      </c>
      <c r="L19917" s="43">
        <v>7.2749012458219386</v>
      </c>
      <c r="M19917" s="43">
        <v>11.500752728641324</v>
      </c>
      <c r="N19917" s="43">
        <v>5.3878045669090451</v>
      </c>
      <c r="O19917" s="43">
        <v>5.1895035657411892</v>
      </c>
      <c r="P19917" s="604"/>
      <c r="Q19917" s="604"/>
      <c r="R19917" s="604">
        <v>4</v>
      </c>
    </row>
    <row r="19918" spans="1:18" ht="36">
      <c r="A19918" s="600">
        <v>47</v>
      </c>
      <c r="B19918" s="597" t="s">
        <v>36120</v>
      </c>
      <c r="C19918" s="601" t="s">
        <v>36121</v>
      </c>
      <c r="D19918" s="602">
        <v>363.34</v>
      </c>
      <c r="E19918" s="602">
        <v>125.24</v>
      </c>
      <c r="F19918" s="602">
        <v>88.73</v>
      </c>
      <c r="G19918" s="602">
        <v>149.37</v>
      </c>
      <c r="H19918" s="603">
        <v>2699.8</v>
      </c>
      <c r="I19918" s="603">
        <v>1440.33</v>
      </c>
      <c r="J19918" s="603">
        <v>477.99</v>
      </c>
      <c r="K19918" s="603">
        <v>781.48</v>
      </c>
      <c r="L19918" s="43">
        <v>7.4305058622777578</v>
      </c>
      <c r="M19918" s="43">
        <v>11.500558926860428</v>
      </c>
      <c r="N19918" s="43">
        <v>5.387016792516623</v>
      </c>
      <c r="O19918" s="43">
        <v>5.2318403963312576</v>
      </c>
      <c r="P19918" s="604"/>
      <c r="Q19918" s="604"/>
      <c r="R19918" s="604">
        <v>4</v>
      </c>
    </row>
    <row r="19919" spans="1:18" ht="36">
      <c r="A19919" s="600">
        <v>48</v>
      </c>
      <c r="B19919" s="597" t="s">
        <v>36122</v>
      </c>
      <c r="C19919" s="601" t="s">
        <v>36123</v>
      </c>
      <c r="D19919" s="602">
        <v>419.75</v>
      </c>
      <c r="E19919" s="602">
        <v>147.07</v>
      </c>
      <c r="F19919" s="602">
        <v>108.1</v>
      </c>
      <c r="G19919" s="602">
        <v>164.58</v>
      </c>
      <c r="H19919" s="603">
        <v>3169.53</v>
      </c>
      <c r="I19919" s="603">
        <v>1691.39</v>
      </c>
      <c r="J19919" s="603">
        <v>582.37</v>
      </c>
      <c r="K19919" s="603">
        <v>895.77</v>
      </c>
      <c r="L19919" s="43">
        <v>7.5509946396664684</v>
      </c>
      <c r="M19919" s="43">
        <v>11.50057795607534</v>
      </c>
      <c r="N19919" s="43">
        <v>5.3873265494912124</v>
      </c>
      <c r="O19919" s="43">
        <v>5.442763397739701</v>
      </c>
      <c r="P19919" s="604"/>
      <c r="Q19919" s="604"/>
      <c r="R19919" s="604">
        <v>4</v>
      </c>
    </row>
    <row r="19920" spans="1:18" ht="36">
      <c r="A19920" s="600">
        <v>49</v>
      </c>
      <c r="B19920" s="597" t="s">
        <v>36124</v>
      </c>
      <c r="C19920" s="601" t="s">
        <v>36125</v>
      </c>
      <c r="D19920" s="602">
        <v>473</v>
      </c>
      <c r="E19920" s="602">
        <v>159.71</v>
      </c>
      <c r="F19920" s="602">
        <v>119.36</v>
      </c>
      <c r="G19920" s="602">
        <v>193.93</v>
      </c>
      <c r="H19920" s="603">
        <v>3599.29</v>
      </c>
      <c r="I19920" s="603">
        <v>1836.75</v>
      </c>
      <c r="J19920" s="603">
        <v>643.26</v>
      </c>
      <c r="K19920" s="603">
        <v>1119.28</v>
      </c>
      <c r="L19920" s="43">
        <v>7.6094926004228327</v>
      </c>
      <c r="M19920" s="43">
        <v>11.500532214639033</v>
      </c>
      <c r="N19920" s="43">
        <v>5.389242627345844</v>
      </c>
      <c r="O19920" s="43">
        <v>5.771567060279482</v>
      </c>
      <c r="P19920" s="604"/>
      <c r="Q19920" s="604"/>
      <c r="R19920" s="604">
        <v>4</v>
      </c>
    </row>
    <row r="19921" spans="1:18" ht="36">
      <c r="A19921" s="600">
        <v>50</v>
      </c>
      <c r="B19921" s="597" t="s">
        <v>36126</v>
      </c>
      <c r="C19921" s="601" t="s">
        <v>36127</v>
      </c>
      <c r="D19921" s="602">
        <v>525.61</v>
      </c>
      <c r="E19921" s="602">
        <v>194.18</v>
      </c>
      <c r="F19921" s="602">
        <v>135.44</v>
      </c>
      <c r="G19921" s="602">
        <v>195.99</v>
      </c>
      <c r="H19921" s="603">
        <v>4098.7700000000004</v>
      </c>
      <c r="I19921" s="603">
        <v>2233.17</v>
      </c>
      <c r="J19921" s="603">
        <v>729.3</v>
      </c>
      <c r="K19921" s="603">
        <v>1136.3</v>
      </c>
      <c r="L19921" s="43">
        <v>7.798120279294535</v>
      </c>
      <c r="M19921" s="43">
        <v>11.500514986095375</v>
      </c>
      <c r="N19921" s="43">
        <v>5.384672179562906</v>
      </c>
      <c r="O19921" s="43">
        <v>5.7977447828970865</v>
      </c>
      <c r="P19921" s="604"/>
      <c r="Q19921" s="604"/>
      <c r="R19921" s="604">
        <v>4</v>
      </c>
    </row>
    <row r="19922" spans="1:18" ht="36">
      <c r="A19922" s="605">
        <v>51</v>
      </c>
      <c r="B19922" s="606" t="s">
        <v>36128</v>
      </c>
      <c r="C19922" s="607" t="s">
        <v>36129</v>
      </c>
      <c r="D19922" s="608">
        <v>633.11</v>
      </c>
      <c r="E19922" s="608">
        <v>241.29</v>
      </c>
      <c r="F19922" s="608">
        <v>193.12</v>
      </c>
      <c r="G19922" s="608">
        <v>198.7</v>
      </c>
      <c r="H19922" s="609">
        <v>4976.13</v>
      </c>
      <c r="I19922" s="609">
        <v>2774.94</v>
      </c>
      <c r="J19922" s="609">
        <v>1041.44</v>
      </c>
      <c r="K19922" s="609">
        <v>1159.75</v>
      </c>
      <c r="L19922" s="611">
        <v>7.8598189888013144</v>
      </c>
      <c r="M19922" s="611">
        <v>11.500435161009575</v>
      </c>
      <c r="N19922" s="611">
        <v>5.3927091963545983</v>
      </c>
      <c r="O19922" s="611">
        <v>5.8366884750880725</v>
      </c>
      <c r="P19922" s="610"/>
      <c r="Q19922" s="610"/>
      <c r="R19922" s="610">
        <v>4</v>
      </c>
    </row>
    <row r="19923" spans="1:18" ht="12.75" customHeight="1">
      <c r="A19923" s="630" t="s">
        <v>36130</v>
      </c>
      <c r="B19923" s="631"/>
      <c r="C19923" s="631"/>
      <c r="D19923" s="631"/>
      <c r="E19923" s="631"/>
      <c r="F19923" s="631"/>
      <c r="G19923" s="631"/>
      <c r="H19923" s="631"/>
      <c r="I19923" s="631"/>
      <c r="J19923" s="631"/>
      <c r="K19923" s="631"/>
      <c r="L19923" s="631"/>
      <c r="M19923" s="631"/>
      <c r="N19923" s="631"/>
      <c r="O19923" s="631"/>
      <c r="P19923" s="631"/>
      <c r="Q19923" s="631"/>
      <c r="R19923" s="631"/>
    </row>
    <row r="19924" spans="1:18" ht="12.75" customHeight="1">
      <c r="A19924" s="628" t="s">
        <v>36131</v>
      </c>
      <c r="B19924" s="629"/>
      <c r="C19924" s="629"/>
      <c r="D19924" s="629"/>
      <c r="E19924" s="629"/>
      <c r="F19924" s="629"/>
      <c r="G19924" s="629"/>
      <c r="H19924" s="629"/>
      <c r="I19924" s="629"/>
      <c r="J19924" s="629"/>
      <c r="K19924" s="629"/>
      <c r="L19924" s="629"/>
      <c r="M19924" s="629"/>
      <c r="N19924" s="629"/>
      <c r="O19924" s="629"/>
      <c r="P19924" s="629"/>
      <c r="Q19924" s="629"/>
      <c r="R19924" s="629"/>
    </row>
    <row r="19925" spans="1:18" ht="12.75" customHeight="1">
      <c r="A19925" s="628" t="s">
        <v>36132</v>
      </c>
      <c r="B19925" s="629"/>
      <c r="C19925" s="629"/>
      <c r="D19925" s="629"/>
      <c r="E19925" s="629"/>
      <c r="F19925" s="629"/>
      <c r="G19925" s="629"/>
      <c r="H19925" s="629"/>
      <c r="I19925" s="629"/>
      <c r="J19925" s="629"/>
      <c r="K19925" s="629"/>
      <c r="L19925" s="629"/>
      <c r="M19925" s="629"/>
      <c r="N19925" s="629"/>
      <c r="O19925" s="629"/>
      <c r="P19925" s="629"/>
      <c r="Q19925" s="629"/>
      <c r="R19925" s="629"/>
    </row>
    <row r="19926" spans="1:18" ht="36">
      <c r="A19926" s="600">
        <v>52</v>
      </c>
      <c r="B19926" s="597" t="s">
        <v>36133</v>
      </c>
      <c r="C19926" s="601" t="s">
        <v>36134</v>
      </c>
      <c r="D19926" s="602">
        <v>143.16</v>
      </c>
      <c r="E19926" s="602">
        <v>27.58</v>
      </c>
      <c r="F19926" s="602">
        <v>7.8</v>
      </c>
      <c r="G19926" s="602">
        <v>107.78</v>
      </c>
      <c r="H19926" s="603">
        <v>820.66</v>
      </c>
      <c r="I19926" s="603">
        <v>317.14</v>
      </c>
      <c r="J19926" s="603">
        <v>41.69</v>
      </c>
      <c r="K19926" s="603">
        <v>461.83</v>
      </c>
      <c r="L19926" s="43">
        <v>5.7324671696004472</v>
      </c>
      <c r="M19926" s="43">
        <v>11.498912255257434</v>
      </c>
      <c r="N19926" s="43">
        <v>5.3448717948717945</v>
      </c>
      <c r="O19926" s="43">
        <v>4.2849322694377436</v>
      </c>
      <c r="P19926" s="604"/>
      <c r="Q19926" s="604"/>
      <c r="R19926" s="604">
        <v>1</v>
      </c>
    </row>
    <row r="19927" spans="1:18" ht="36">
      <c r="A19927" s="600">
        <v>53</v>
      </c>
      <c r="B19927" s="597" t="s">
        <v>36135</v>
      </c>
      <c r="C19927" s="601" t="s">
        <v>36136</v>
      </c>
      <c r="D19927" s="602">
        <v>167.84</v>
      </c>
      <c r="E19927" s="602">
        <v>38.51</v>
      </c>
      <c r="F19927" s="602">
        <v>12.67</v>
      </c>
      <c r="G19927" s="602">
        <v>116.66</v>
      </c>
      <c r="H19927" s="603">
        <v>1037.22</v>
      </c>
      <c r="I19927" s="603">
        <v>442.89</v>
      </c>
      <c r="J19927" s="603">
        <v>67.849999999999994</v>
      </c>
      <c r="K19927" s="603">
        <v>526.48</v>
      </c>
      <c r="L19927" s="43">
        <v>6.179814108674929</v>
      </c>
      <c r="M19927" s="43">
        <v>11.500649182030642</v>
      </c>
      <c r="N19927" s="43">
        <v>5.3551696921862666</v>
      </c>
      <c r="O19927" s="43">
        <v>4.5129435967769593</v>
      </c>
      <c r="P19927" s="604"/>
      <c r="Q19927" s="604"/>
      <c r="R19927" s="604">
        <v>1</v>
      </c>
    </row>
    <row r="19928" spans="1:18" ht="36">
      <c r="A19928" s="600">
        <v>54</v>
      </c>
      <c r="B19928" s="597" t="s">
        <v>36137</v>
      </c>
      <c r="C19928" s="601" t="s">
        <v>36138</v>
      </c>
      <c r="D19928" s="602">
        <v>191.46</v>
      </c>
      <c r="E19928" s="602">
        <v>53.68</v>
      </c>
      <c r="F19928" s="602">
        <v>18.329999999999998</v>
      </c>
      <c r="G19928" s="602">
        <v>119.45</v>
      </c>
      <c r="H19928" s="603">
        <v>1264.6300000000001</v>
      </c>
      <c r="I19928" s="603">
        <v>617.37</v>
      </c>
      <c r="J19928" s="603">
        <v>98.26</v>
      </c>
      <c r="K19928" s="603">
        <v>549</v>
      </c>
      <c r="L19928" s="43">
        <v>6.6051916849472478</v>
      </c>
      <c r="M19928" s="43">
        <v>11.500931445603577</v>
      </c>
      <c r="N19928" s="43">
        <v>5.3606110201854893</v>
      </c>
      <c r="O19928" s="43">
        <v>4.596065299288405</v>
      </c>
      <c r="P19928" s="604"/>
      <c r="Q19928" s="604"/>
      <c r="R19928" s="604">
        <v>1</v>
      </c>
    </row>
    <row r="19929" spans="1:18" ht="36">
      <c r="A19929" s="600">
        <v>55</v>
      </c>
      <c r="B19929" s="597" t="s">
        <v>36139</v>
      </c>
      <c r="C19929" s="601" t="s">
        <v>36140</v>
      </c>
      <c r="D19929" s="602">
        <v>227.38</v>
      </c>
      <c r="E19929" s="602">
        <v>72.349999999999994</v>
      </c>
      <c r="F19929" s="602">
        <v>28.86</v>
      </c>
      <c r="G19929" s="602">
        <v>126.17</v>
      </c>
      <c r="H19929" s="603">
        <v>1582.97</v>
      </c>
      <c r="I19929" s="603">
        <v>832.1</v>
      </c>
      <c r="J19929" s="603">
        <v>155.06</v>
      </c>
      <c r="K19929" s="603">
        <v>595.80999999999995</v>
      </c>
      <c r="L19929" s="43">
        <v>6.9617820388776499</v>
      </c>
      <c r="M19929" s="43">
        <v>11.501036627505185</v>
      </c>
      <c r="N19929" s="43">
        <v>5.3728343728343733</v>
      </c>
      <c r="O19929" s="43">
        <v>4.7222794642149477</v>
      </c>
      <c r="P19929" s="604"/>
      <c r="Q19929" s="604"/>
      <c r="R19929" s="604">
        <v>1</v>
      </c>
    </row>
    <row r="19930" spans="1:18" ht="36">
      <c r="A19930" s="600">
        <v>56</v>
      </c>
      <c r="B19930" s="597" t="s">
        <v>36141</v>
      </c>
      <c r="C19930" s="601" t="s">
        <v>36142</v>
      </c>
      <c r="D19930" s="602">
        <v>267.42</v>
      </c>
      <c r="E19930" s="602">
        <v>98.03</v>
      </c>
      <c r="F19930" s="602">
        <v>39.94</v>
      </c>
      <c r="G19930" s="602">
        <v>129.44999999999999</v>
      </c>
      <c r="H19930" s="603">
        <v>1963.86</v>
      </c>
      <c r="I19930" s="603">
        <v>1127.3599999999999</v>
      </c>
      <c r="J19930" s="603">
        <v>214.38</v>
      </c>
      <c r="K19930" s="603">
        <v>622.12</v>
      </c>
      <c r="L19930" s="43">
        <v>7.3437289656719758</v>
      </c>
      <c r="M19930" s="43">
        <v>11.500153014383351</v>
      </c>
      <c r="N19930" s="43">
        <v>5.367551326990486</v>
      </c>
      <c r="O19930" s="43">
        <v>4.8058709926612595</v>
      </c>
      <c r="P19930" s="604"/>
      <c r="Q19930" s="604"/>
      <c r="R19930" s="604">
        <v>1</v>
      </c>
    </row>
    <row r="19931" spans="1:18" ht="36">
      <c r="A19931" s="600">
        <v>57</v>
      </c>
      <c r="B19931" s="597" t="s">
        <v>36143</v>
      </c>
      <c r="C19931" s="601" t="s">
        <v>36144</v>
      </c>
      <c r="D19931" s="602">
        <v>292.33</v>
      </c>
      <c r="E19931" s="602">
        <v>112.03</v>
      </c>
      <c r="F19931" s="602">
        <v>43.07</v>
      </c>
      <c r="G19931" s="602">
        <v>137.22999999999999</v>
      </c>
      <c r="H19931" s="603">
        <v>2197.1999999999998</v>
      </c>
      <c r="I19931" s="603">
        <v>1288.42</v>
      </c>
      <c r="J19931" s="603">
        <v>231.23</v>
      </c>
      <c r="K19931" s="603">
        <v>677.55</v>
      </c>
      <c r="L19931" s="43">
        <v>7.5161632401737757</v>
      </c>
      <c r="M19931" s="43">
        <v>11.500669463536553</v>
      </c>
      <c r="N19931" s="43">
        <v>5.3687021128395633</v>
      </c>
      <c r="O19931" s="43">
        <v>4.9373314872841219</v>
      </c>
      <c r="P19931" s="604"/>
      <c r="Q19931" s="604"/>
      <c r="R19931" s="604">
        <v>1</v>
      </c>
    </row>
    <row r="19932" spans="1:18" ht="12.75" customHeight="1">
      <c r="A19932" s="628" t="s">
        <v>36145</v>
      </c>
      <c r="B19932" s="629"/>
      <c r="C19932" s="629"/>
      <c r="D19932" s="629"/>
      <c r="E19932" s="629"/>
      <c r="F19932" s="629"/>
      <c r="G19932" s="629"/>
      <c r="H19932" s="629"/>
      <c r="I19932" s="629"/>
      <c r="J19932" s="629"/>
      <c r="K19932" s="629"/>
      <c r="L19932" s="629"/>
      <c r="M19932" s="629"/>
      <c r="N19932" s="629"/>
      <c r="O19932" s="629"/>
      <c r="P19932" s="629"/>
      <c r="Q19932" s="629"/>
      <c r="R19932" s="629"/>
    </row>
    <row r="19933" spans="1:18" ht="36">
      <c r="A19933" s="600">
        <v>58</v>
      </c>
      <c r="B19933" s="597" t="s">
        <v>36146</v>
      </c>
      <c r="C19933" s="601" t="s">
        <v>36147</v>
      </c>
      <c r="D19933" s="602">
        <v>207.76</v>
      </c>
      <c r="E19933" s="602">
        <v>73.47</v>
      </c>
      <c r="F19933" s="602">
        <v>16.59</v>
      </c>
      <c r="G19933" s="602">
        <v>117.7</v>
      </c>
      <c r="H19933" s="603">
        <v>1472.16</v>
      </c>
      <c r="I19933" s="603">
        <v>844.94</v>
      </c>
      <c r="J19933" s="603">
        <v>88.78</v>
      </c>
      <c r="K19933" s="603">
        <v>538.44000000000005</v>
      </c>
      <c r="L19933" s="43">
        <v>7.0858683095879869</v>
      </c>
      <c r="M19933" s="43">
        <v>11.500476384919015</v>
      </c>
      <c r="N19933" s="43">
        <v>5.3514165159734777</v>
      </c>
      <c r="O19933" s="43">
        <v>4.5746813933729822</v>
      </c>
      <c r="P19933" s="604"/>
      <c r="Q19933" s="604"/>
      <c r="R19933" s="604">
        <v>2</v>
      </c>
    </row>
    <row r="19934" spans="1:18" ht="36">
      <c r="A19934" s="600">
        <v>59</v>
      </c>
      <c r="B19934" s="597" t="s">
        <v>36148</v>
      </c>
      <c r="C19934" s="601" t="s">
        <v>36149</v>
      </c>
      <c r="D19934" s="602">
        <v>250.69</v>
      </c>
      <c r="E19934" s="602">
        <v>104.28</v>
      </c>
      <c r="F19934" s="602">
        <v>25.44</v>
      </c>
      <c r="G19934" s="602">
        <v>120.97</v>
      </c>
      <c r="H19934" s="603">
        <v>1902.05</v>
      </c>
      <c r="I19934" s="603">
        <v>1199.26</v>
      </c>
      <c r="J19934" s="603">
        <v>136.31</v>
      </c>
      <c r="K19934" s="603">
        <v>566.48</v>
      </c>
      <c r="L19934" s="43">
        <v>7.5872591647054133</v>
      </c>
      <c r="M19934" s="43">
        <v>11.500383582662064</v>
      </c>
      <c r="N19934" s="43">
        <v>5.3580974842767297</v>
      </c>
      <c r="O19934" s="43">
        <v>4.6828139208068116</v>
      </c>
      <c r="P19934" s="604"/>
      <c r="Q19934" s="604"/>
      <c r="R19934" s="604">
        <v>2</v>
      </c>
    </row>
    <row r="19935" spans="1:18" ht="36">
      <c r="A19935" s="600">
        <v>60</v>
      </c>
      <c r="B19935" s="597" t="s">
        <v>36150</v>
      </c>
      <c r="C19935" s="601" t="s">
        <v>36151</v>
      </c>
      <c r="D19935" s="602">
        <v>291.33</v>
      </c>
      <c r="E19935" s="602">
        <v>124.43</v>
      </c>
      <c r="F19935" s="602">
        <v>38.590000000000003</v>
      </c>
      <c r="G19935" s="602">
        <v>128.31</v>
      </c>
      <c r="H19935" s="603">
        <v>2254.33</v>
      </c>
      <c r="I19935" s="603">
        <v>1430.94</v>
      </c>
      <c r="J19935" s="603">
        <v>207.33</v>
      </c>
      <c r="K19935" s="603">
        <v>616.05999999999995</v>
      </c>
      <c r="L19935" s="43">
        <v>7.7380633645693893</v>
      </c>
      <c r="M19935" s="43">
        <v>11.499959816764445</v>
      </c>
      <c r="N19935" s="43">
        <v>5.3726353977714432</v>
      </c>
      <c r="O19935" s="43">
        <v>4.8013405034681629</v>
      </c>
      <c r="P19935" s="604"/>
      <c r="Q19935" s="604"/>
      <c r="R19935" s="604">
        <v>2</v>
      </c>
    </row>
    <row r="19936" spans="1:18" ht="12.75" customHeight="1">
      <c r="A19936" s="628" t="s">
        <v>36152</v>
      </c>
      <c r="B19936" s="629"/>
      <c r="C19936" s="629"/>
      <c r="D19936" s="629"/>
      <c r="E19936" s="629"/>
      <c r="F19936" s="629"/>
      <c r="G19936" s="629"/>
      <c r="H19936" s="629"/>
      <c r="I19936" s="629"/>
      <c r="J19936" s="629"/>
      <c r="K19936" s="629"/>
      <c r="L19936" s="629"/>
      <c r="M19936" s="629"/>
      <c r="N19936" s="629"/>
      <c r="O19936" s="629"/>
      <c r="P19936" s="629"/>
      <c r="Q19936" s="629"/>
      <c r="R19936" s="629"/>
    </row>
    <row r="19937" spans="1:18" ht="36">
      <c r="A19937" s="600">
        <v>61</v>
      </c>
      <c r="B19937" s="597" t="s">
        <v>36153</v>
      </c>
      <c r="C19937" s="601" t="s">
        <v>36154</v>
      </c>
      <c r="D19937" s="602">
        <v>154</v>
      </c>
      <c r="E19937" s="602">
        <v>35.380000000000003</v>
      </c>
      <c r="F19937" s="602">
        <v>10.61</v>
      </c>
      <c r="G19937" s="602">
        <v>108.01</v>
      </c>
      <c r="H19937" s="603">
        <v>928.21</v>
      </c>
      <c r="I19937" s="603">
        <v>406.87</v>
      </c>
      <c r="J19937" s="603">
        <v>56.87</v>
      </c>
      <c r="K19937" s="603">
        <v>464.47</v>
      </c>
      <c r="L19937" s="43">
        <v>6.0273376623376622</v>
      </c>
      <c r="M19937" s="43">
        <v>11.5</v>
      </c>
      <c r="N19937" s="43">
        <v>5.3600377002827519</v>
      </c>
      <c r="O19937" s="43">
        <v>4.300249976853995</v>
      </c>
      <c r="P19937" s="604"/>
      <c r="Q19937" s="604"/>
      <c r="R19937" s="604">
        <v>3</v>
      </c>
    </row>
    <row r="19938" spans="1:18" ht="36">
      <c r="A19938" s="600">
        <v>62</v>
      </c>
      <c r="B19938" s="597" t="s">
        <v>36155</v>
      </c>
      <c r="C19938" s="601" t="s">
        <v>36156</v>
      </c>
      <c r="D19938" s="602">
        <v>185.37</v>
      </c>
      <c r="E19938" s="602">
        <v>47.58</v>
      </c>
      <c r="F19938" s="602">
        <v>20.86</v>
      </c>
      <c r="G19938" s="602">
        <v>116.93</v>
      </c>
      <c r="H19938" s="603">
        <v>1188.99</v>
      </c>
      <c r="I19938" s="603">
        <v>547.16999999999996</v>
      </c>
      <c r="J19938" s="603">
        <v>112.23</v>
      </c>
      <c r="K19938" s="603">
        <v>529.59</v>
      </c>
      <c r="L19938" s="43">
        <v>6.4141446836057616</v>
      </c>
      <c r="M19938" s="43">
        <v>11.5</v>
      </c>
      <c r="N19938" s="43">
        <v>5.3801534036433365</v>
      </c>
      <c r="O19938" s="43">
        <v>4.5291199863165996</v>
      </c>
      <c r="P19938" s="604"/>
      <c r="Q19938" s="604"/>
      <c r="R19938" s="604">
        <v>3</v>
      </c>
    </row>
    <row r="19939" spans="1:18" ht="36">
      <c r="A19939" s="600">
        <v>63</v>
      </c>
      <c r="B19939" s="597" t="s">
        <v>36157</v>
      </c>
      <c r="C19939" s="601" t="s">
        <v>36158</v>
      </c>
      <c r="D19939" s="602">
        <v>218.9</v>
      </c>
      <c r="E19939" s="602">
        <v>64.66</v>
      </c>
      <c r="F19939" s="602">
        <v>34.46</v>
      </c>
      <c r="G19939" s="602">
        <v>119.78</v>
      </c>
      <c r="H19939" s="603">
        <v>1482.1</v>
      </c>
      <c r="I19939" s="603">
        <v>743.59</v>
      </c>
      <c r="J19939" s="603">
        <v>185.72</v>
      </c>
      <c r="K19939" s="603">
        <v>552.79</v>
      </c>
      <c r="L19939" s="43">
        <v>6.7706715395157602</v>
      </c>
      <c r="M19939" s="43">
        <v>11.500000000000002</v>
      </c>
      <c r="N19939" s="43">
        <v>5.3894370284387696</v>
      </c>
      <c r="O19939" s="43">
        <v>4.6150442477876101</v>
      </c>
      <c r="P19939" s="604"/>
      <c r="Q19939" s="604"/>
      <c r="R19939" s="604">
        <v>3</v>
      </c>
    </row>
    <row r="19940" spans="1:18" ht="36">
      <c r="A19940" s="600">
        <v>64</v>
      </c>
      <c r="B19940" s="597" t="s">
        <v>36159</v>
      </c>
      <c r="C19940" s="601" t="s">
        <v>36160</v>
      </c>
      <c r="D19940" s="602">
        <v>269.98</v>
      </c>
      <c r="E19940" s="602">
        <v>87.84</v>
      </c>
      <c r="F19940" s="602">
        <v>54.92</v>
      </c>
      <c r="G19940" s="602">
        <v>127.22</v>
      </c>
      <c r="H19940" s="603">
        <v>1909.92</v>
      </c>
      <c r="I19940" s="603">
        <v>1010.16</v>
      </c>
      <c r="J19940" s="603">
        <v>296.24</v>
      </c>
      <c r="K19940" s="603">
        <v>603.52</v>
      </c>
      <c r="L19940" s="43">
        <v>7.0743018001333429</v>
      </c>
      <c r="M19940" s="43">
        <v>11.5</v>
      </c>
      <c r="N19940" s="43">
        <v>5.3940276766205386</v>
      </c>
      <c r="O19940" s="43">
        <v>4.7439081905360787</v>
      </c>
      <c r="P19940" s="604"/>
      <c r="Q19940" s="604"/>
      <c r="R19940" s="604">
        <v>3</v>
      </c>
    </row>
    <row r="19941" spans="1:18" ht="36">
      <c r="A19941" s="600">
        <v>65</v>
      </c>
      <c r="B19941" s="597" t="s">
        <v>36161</v>
      </c>
      <c r="C19941" s="601" t="s">
        <v>36162</v>
      </c>
      <c r="D19941" s="602">
        <v>329.72</v>
      </c>
      <c r="E19941" s="602">
        <v>109.8</v>
      </c>
      <c r="F19941" s="602">
        <v>90.12</v>
      </c>
      <c r="G19941" s="602">
        <v>129.80000000000001</v>
      </c>
      <c r="H19941" s="603">
        <v>2374.81</v>
      </c>
      <c r="I19941" s="603">
        <v>1262.7</v>
      </c>
      <c r="J19941" s="603">
        <v>485.96</v>
      </c>
      <c r="K19941" s="603">
        <v>626.15</v>
      </c>
      <c r="L19941" s="43">
        <v>7.2025051558898454</v>
      </c>
      <c r="M19941" s="43">
        <v>11.5</v>
      </c>
      <c r="N19941" s="43">
        <v>5.3923657345761207</v>
      </c>
      <c r="O19941" s="43">
        <v>4.8239599383667171</v>
      </c>
      <c r="P19941" s="604"/>
      <c r="Q19941" s="604"/>
      <c r="R19941" s="604">
        <v>3</v>
      </c>
    </row>
    <row r="19942" spans="1:18" ht="36">
      <c r="A19942" s="600">
        <v>66</v>
      </c>
      <c r="B19942" s="597" t="s">
        <v>36163</v>
      </c>
      <c r="C19942" s="601" t="s">
        <v>36164</v>
      </c>
      <c r="D19942" s="602">
        <v>381.38</v>
      </c>
      <c r="E19942" s="602">
        <v>135.41999999999999</v>
      </c>
      <c r="F19942" s="602">
        <v>108.03</v>
      </c>
      <c r="G19942" s="602">
        <v>137.93</v>
      </c>
      <c r="H19942" s="603">
        <v>2825.4</v>
      </c>
      <c r="I19942" s="603">
        <v>1557.33</v>
      </c>
      <c r="J19942" s="603">
        <v>582.47</v>
      </c>
      <c r="K19942" s="603">
        <v>685.6</v>
      </c>
      <c r="L19942" s="43">
        <v>7.4083591168912895</v>
      </c>
      <c r="M19942" s="43">
        <v>11.5</v>
      </c>
      <c r="N19942" s="43">
        <v>5.3917430343423129</v>
      </c>
      <c r="O19942" s="43">
        <v>4.9706372797795986</v>
      </c>
      <c r="P19942" s="604"/>
      <c r="Q19942" s="604"/>
      <c r="R19942" s="604">
        <v>3</v>
      </c>
    </row>
    <row r="19943" spans="1:18" ht="36">
      <c r="A19943" s="600">
        <v>67</v>
      </c>
      <c r="B19943" s="597" t="s">
        <v>36165</v>
      </c>
      <c r="C19943" s="601" t="s">
        <v>36166</v>
      </c>
      <c r="D19943" s="602">
        <v>541.65</v>
      </c>
      <c r="E19943" s="602">
        <v>185.44</v>
      </c>
      <c r="F19943" s="602">
        <v>211.1</v>
      </c>
      <c r="G19943" s="602">
        <v>145.11000000000001</v>
      </c>
      <c r="H19943" s="603">
        <v>4013.5</v>
      </c>
      <c r="I19943" s="603">
        <v>2132.56</v>
      </c>
      <c r="J19943" s="603">
        <v>1141.1500000000001</v>
      </c>
      <c r="K19943" s="603">
        <v>739.79</v>
      </c>
      <c r="L19943" s="43">
        <v>7.4097664543524422</v>
      </c>
      <c r="M19943" s="43">
        <v>11.5</v>
      </c>
      <c r="N19943" s="43">
        <v>5.4057318806252965</v>
      </c>
      <c r="O19943" s="43">
        <v>5.0981324512438828</v>
      </c>
      <c r="P19943" s="604"/>
      <c r="Q19943" s="604"/>
      <c r="R19943" s="604">
        <v>3</v>
      </c>
    </row>
    <row r="19944" spans="1:18" ht="36">
      <c r="A19944" s="600">
        <v>68</v>
      </c>
      <c r="B19944" s="597" t="s">
        <v>36167</v>
      </c>
      <c r="C19944" s="601" t="s">
        <v>36168</v>
      </c>
      <c r="D19944" s="602">
        <v>649.46</v>
      </c>
      <c r="E19944" s="602">
        <v>228.14</v>
      </c>
      <c r="F19944" s="602">
        <v>267.35000000000002</v>
      </c>
      <c r="G19944" s="602">
        <v>153.97</v>
      </c>
      <c r="H19944" s="603">
        <v>4870.3999999999996</v>
      </c>
      <c r="I19944" s="603">
        <v>2623.61</v>
      </c>
      <c r="J19944" s="603">
        <v>1445.5</v>
      </c>
      <c r="K19944" s="603">
        <v>801.29</v>
      </c>
      <c r="L19944" s="43">
        <v>7.4991531426107834</v>
      </c>
      <c r="M19944" s="43">
        <v>11.500000000000002</v>
      </c>
      <c r="N19944" s="43">
        <v>5.4067701514868149</v>
      </c>
      <c r="O19944" s="43">
        <v>5.2041956225238684</v>
      </c>
      <c r="P19944" s="604"/>
      <c r="Q19944" s="604"/>
      <c r="R19944" s="604">
        <v>3</v>
      </c>
    </row>
    <row r="19945" spans="1:18" ht="12.75" customHeight="1">
      <c r="A19945" s="628" t="s">
        <v>36169</v>
      </c>
      <c r="B19945" s="629"/>
      <c r="C19945" s="629"/>
      <c r="D19945" s="629"/>
      <c r="E19945" s="629"/>
      <c r="F19945" s="629"/>
      <c r="G19945" s="629"/>
      <c r="H19945" s="629"/>
      <c r="I19945" s="629"/>
      <c r="J19945" s="629"/>
      <c r="K19945" s="629"/>
      <c r="L19945" s="629"/>
      <c r="M19945" s="629"/>
      <c r="N19945" s="629"/>
      <c r="O19945" s="629"/>
      <c r="P19945" s="629"/>
      <c r="Q19945" s="629"/>
      <c r="R19945" s="629"/>
    </row>
    <row r="19946" spans="1:18" ht="36">
      <c r="A19946" s="600">
        <v>69</v>
      </c>
      <c r="B19946" s="597" t="s">
        <v>36170</v>
      </c>
      <c r="C19946" s="601" t="s">
        <v>36171</v>
      </c>
      <c r="D19946" s="602">
        <v>200.77</v>
      </c>
      <c r="E19946" s="602">
        <v>69.540000000000006</v>
      </c>
      <c r="F19946" s="602">
        <v>22.19</v>
      </c>
      <c r="G19946" s="602">
        <v>109.04</v>
      </c>
      <c r="H19946" s="603">
        <v>1395.43</v>
      </c>
      <c r="I19946" s="603">
        <v>799.71</v>
      </c>
      <c r="J19946" s="603">
        <v>119.4</v>
      </c>
      <c r="K19946" s="603">
        <v>476.32</v>
      </c>
      <c r="L19946" s="43">
        <v>6.9503909946705189</v>
      </c>
      <c r="M19946" s="43">
        <v>11.5</v>
      </c>
      <c r="N19946" s="43">
        <v>5.3808021631365479</v>
      </c>
      <c r="O19946" s="43">
        <v>4.3683052090975787</v>
      </c>
      <c r="P19946" s="604"/>
      <c r="Q19946" s="604"/>
      <c r="R19946" s="604">
        <v>4</v>
      </c>
    </row>
    <row r="19947" spans="1:18" ht="36">
      <c r="A19947" s="600">
        <v>70</v>
      </c>
      <c r="B19947" s="597" t="s">
        <v>36172</v>
      </c>
      <c r="C19947" s="601" t="s">
        <v>36173</v>
      </c>
      <c r="D19947" s="602">
        <v>229.56</v>
      </c>
      <c r="E19947" s="602">
        <v>81.739999999999995</v>
      </c>
      <c r="F19947" s="602">
        <v>29.87</v>
      </c>
      <c r="G19947" s="602">
        <v>117.95</v>
      </c>
      <c r="H19947" s="603">
        <v>1642.15</v>
      </c>
      <c r="I19947" s="603">
        <v>940.01</v>
      </c>
      <c r="J19947" s="603">
        <v>160.82</v>
      </c>
      <c r="K19947" s="603">
        <v>541.32000000000005</v>
      </c>
      <c r="L19947" s="43">
        <v>7.1534675030493124</v>
      </c>
      <c r="M19947" s="43">
        <v>11.5</v>
      </c>
      <c r="N19947" s="43">
        <v>5.3839973217274855</v>
      </c>
      <c r="O19947" s="43">
        <v>4.5894022891055535</v>
      </c>
      <c r="P19947" s="604"/>
      <c r="Q19947" s="604"/>
      <c r="R19947" s="604">
        <v>4</v>
      </c>
    </row>
    <row r="19948" spans="1:18" ht="36">
      <c r="A19948" s="600">
        <v>71</v>
      </c>
      <c r="B19948" s="597" t="s">
        <v>36174</v>
      </c>
      <c r="C19948" s="601" t="s">
        <v>36175</v>
      </c>
      <c r="D19948" s="602">
        <v>282.70999999999998</v>
      </c>
      <c r="E19948" s="602">
        <v>119.56</v>
      </c>
      <c r="F19948" s="602">
        <v>41.72</v>
      </c>
      <c r="G19948" s="602">
        <v>121.43</v>
      </c>
      <c r="H19948" s="603">
        <v>2171.27</v>
      </c>
      <c r="I19948" s="603">
        <v>1374.94</v>
      </c>
      <c r="J19948" s="603">
        <v>224.56</v>
      </c>
      <c r="K19948" s="603">
        <v>571.77</v>
      </c>
      <c r="L19948" s="43">
        <v>7.6802023274733831</v>
      </c>
      <c r="M19948" s="43">
        <v>11.5</v>
      </c>
      <c r="N19948" s="43">
        <v>5.3825503355704702</v>
      </c>
      <c r="O19948" s="43">
        <v>4.7086387218973886</v>
      </c>
      <c r="P19948" s="604"/>
      <c r="Q19948" s="604"/>
      <c r="R19948" s="604">
        <v>4</v>
      </c>
    </row>
    <row r="19949" spans="1:18" ht="36">
      <c r="A19949" s="600">
        <v>72</v>
      </c>
      <c r="B19949" s="597" t="s">
        <v>36176</v>
      </c>
      <c r="C19949" s="601" t="s">
        <v>36177</v>
      </c>
      <c r="D19949" s="602">
        <v>343.99</v>
      </c>
      <c r="E19949" s="602">
        <v>140.30000000000001</v>
      </c>
      <c r="F19949" s="602">
        <v>74.900000000000006</v>
      </c>
      <c r="G19949" s="602">
        <v>128.79</v>
      </c>
      <c r="H19949" s="603">
        <v>2639.19</v>
      </c>
      <c r="I19949" s="603">
        <v>1613.45</v>
      </c>
      <c r="J19949" s="603">
        <v>404.16</v>
      </c>
      <c r="K19949" s="603">
        <v>621.58000000000004</v>
      </c>
      <c r="L19949" s="43">
        <v>7.6722869850867754</v>
      </c>
      <c r="M19949" s="43">
        <v>11.5</v>
      </c>
      <c r="N19949" s="43">
        <v>5.3959946595460613</v>
      </c>
      <c r="O19949" s="43">
        <v>4.8263063902476908</v>
      </c>
      <c r="P19949" s="604"/>
      <c r="Q19949" s="604"/>
      <c r="R19949" s="604">
        <v>4</v>
      </c>
    </row>
    <row r="19950" spans="1:18" ht="36">
      <c r="A19950" s="600">
        <v>73</v>
      </c>
      <c r="B19950" s="597" t="s">
        <v>36178</v>
      </c>
      <c r="C19950" s="601" t="s">
        <v>36179</v>
      </c>
      <c r="D19950" s="602">
        <v>470.54</v>
      </c>
      <c r="E19950" s="602">
        <v>203.74</v>
      </c>
      <c r="F19950" s="602">
        <v>126.82</v>
      </c>
      <c r="G19950" s="602">
        <v>139.97999999999999</v>
      </c>
      <c r="H19950" s="603">
        <v>3735.43</v>
      </c>
      <c r="I19950" s="603">
        <v>2343.0100000000002</v>
      </c>
      <c r="J19950" s="603">
        <v>683.24</v>
      </c>
      <c r="K19950" s="603">
        <v>709.18</v>
      </c>
      <c r="L19950" s="43">
        <v>7.9386024567518163</v>
      </c>
      <c r="M19950" s="43">
        <v>11.5</v>
      </c>
      <c r="N19950" s="43">
        <v>5.3874783157230723</v>
      </c>
      <c r="O19950" s="43">
        <v>5.0662951850264326</v>
      </c>
      <c r="P19950" s="604"/>
      <c r="Q19950" s="604"/>
      <c r="R19950" s="604">
        <v>4</v>
      </c>
    </row>
    <row r="19951" spans="1:18" ht="36">
      <c r="A19951" s="600">
        <v>74</v>
      </c>
      <c r="B19951" s="597" t="s">
        <v>36180</v>
      </c>
      <c r="C19951" s="601" t="s">
        <v>36181</v>
      </c>
      <c r="D19951" s="602">
        <v>677.44</v>
      </c>
      <c r="E19951" s="602">
        <v>273.27999999999997</v>
      </c>
      <c r="F19951" s="602">
        <v>256.41000000000003</v>
      </c>
      <c r="G19951" s="602">
        <v>147.75</v>
      </c>
      <c r="H19951" s="603">
        <v>5298.51</v>
      </c>
      <c r="I19951" s="603">
        <v>3142.72</v>
      </c>
      <c r="J19951" s="603">
        <v>1385.64</v>
      </c>
      <c r="K19951" s="603">
        <v>770.15</v>
      </c>
      <c r="L19951" s="43">
        <v>7.8213716343882851</v>
      </c>
      <c r="M19951" s="43">
        <v>11.5</v>
      </c>
      <c r="N19951" s="43">
        <v>5.4040014040014039</v>
      </c>
      <c r="O19951" s="43">
        <v>5.2125211505922167</v>
      </c>
      <c r="P19951" s="604"/>
      <c r="Q19951" s="604"/>
      <c r="R19951" s="604">
        <v>4</v>
      </c>
    </row>
    <row r="19952" spans="1:18" ht="36">
      <c r="A19952" s="600">
        <v>75</v>
      </c>
      <c r="B19952" s="597" t="s">
        <v>36182</v>
      </c>
      <c r="C19952" s="601" t="s">
        <v>36183</v>
      </c>
      <c r="D19952" s="602">
        <v>866.41</v>
      </c>
      <c r="E19952" s="602">
        <v>390.4</v>
      </c>
      <c r="F19952" s="602">
        <v>310.73</v>
      </c>
      <c r="G19952" s="602">
        <v>165.28</v>
      </c>
      <c r="H19952" s="603">
        <v>7066.6</v>
      </c>
      <c r="I19952" s="603">
        <v>4489.6000000000004</v>
      </c>
      <c r="J19952" s="603">
        <v>1678.16</v>
      </c>
      <c r="K19952" s="603">
        <v>898.84</v>
      </c>
      <c r="L19952" s="43">
        <v>8.1561847162428887</v>
      </c>
      <c r="M19952" s="43">
        <v>11.500000000000002</v>
      </c>
      <c r="N19952" s="43">
        <v>5.4007015737135129</v>
      </c>
      <c r="O19952" s="43">
        <v>5.4382865440464672</v>
      </c>
      <c r="P19952" s="604"/>
      <c r="Q19952" s="604"/>
      <c r="R19952" s="604">
        <v>4</v>
      </c>
    </row>
    <row r="19953" spans="1:18" ht="36">
      <c r="A19953" s="600">
        <v>76</v>
      </c>
      <c r="B19953" s="597" t="s">
        <v>36184</v>
      </c>
      <c r="C19953" s="601" t="s">
        <v>36185</v>
      </c>
      <c r="D19953" s="602">
        <v>1219.53</v>
      </c>
      <c r="E19953" s="602">
        <v>495.32</v>
      </c>
      <c r="F19953" s="602">
        <v>542.62</v>
      </c>
      <c r="G19953" s="602">
        <v>181.59</v>
      </c>
      <c r="H19953" s="603">
        <v>9647.26</v>
      </c>
      <c r="I19953" s="603">
        <v>5696.18</v>
      </c>
      <c r="J19953" s="603">
        <v>2928.29</v>
      </c>
      <c r="K19953" s="603">
        <v>1022.79</v>
      </c>
      <c r="L19953" s="43">
        <v>7.9106377046895116</v>
      </c>
      <c r="M19953" s="43">
        <v>11.5</v>
      </c>
      <c r="N19953" s="43">
        <v>5.3965758726180386</v>
      </c>
      <c r="O19953" s="43">
        <v>5.6324136791673549</v>
      </c>
      <c r="P19953" s="604"/>
      <c r="Q19953" s="604"/>
      <c r="R19953" s="604">
        <v>4</v>
      </c>
    </row>
    <row r="19954" spans="1:18" ht="36">
      <c r="A19954" s="600">
        <v>77</v>
      </c>
      <c r="B19954" s="597" t="s">
        <v>36186</v>
      </c>
      <c r="C19954" s="601" t="s">
        <v>36187</v>
      </c>
      <c r="D19954" s="602">
        <v>1365.96</v>
      </c>
      <c r="E19954" s="602">
        <v>583.16</v>
      </c>
      <c r="F19954" s="602">
        <v>586.71</v>
      </c>
      <c r="G19954" s="602">
        <v>196.09</v>
      </c>
      <c r="H19954" s="603">
        <v>11020.28</v>
      </c>
      <c r="I19954" s="603">
        <v>6706.34</v>
      </c>
      <c r="J19954" s="603">
        <v>3164.62</v>
      </c>
      <c r="K19954" s="603">
        <v>1149.32</v>
      </c>
      <c r="L19954" s="43">
        <v>8.067791150546137</v>
      </c>
      <c r="M19954" s="43">
        <v>11.5</v>
      </c>
      <c r="N19954" s="43">
        <v>5.3938402277104531</v>
      </c>
      <c r="O19954" s="43">
        <v>5.8611861900147888</v>
      </c>
      <c r="P19954" s="604"/>
      <c r="Q19954" s="604"/>
      <c r="R19954" s="604">
        <v>4</v>
      </c>
    </row>
    <row r="19955" spans="1:18" ht="36">
      <c r="A19955" s="600">
        <v>78</v>
      </c>
      <c r="B19955" s="597" t="s">
        <v>36188</v>
      </c>
      <c r="C19955" s="601" t="s">
        <v>36189</v>
      </c>
      <c r="D19955" s="602">
        <v>1987.63</v>
      </c>
      <c r="E19955" s="602">
        <v>678.32</v>
      </c>
      <c r="F19955" s="602">
        <v>1091.53</v>
      </c>
      <c r="G19955" s="602">
        <v>217.78</v>
      </c>
      <c r="H19955" s="603">
        <v>14874.95</v>
      </c>
      <c r="I19955" s="603">
        <v>7800.68</v>
      </c>
      <c r="J19955" s="603">
        <v>5755.46</v>
      </c>
      <c r="K19955" s="603">
        <v>1318.81</v>
      </c>
      <c r="L19955" s="43">
        <v>7.4837620683930108</v>
      </c>
      <c r="M19955" s="43">
        <v>11.5</v>
      </c>
      <c r="N19955" s="43">
        <v>5.2728372101545542</v>
      </c>
      <c r="O19955" s="43">
        <v>6.0556984112407015</v>
      </c>
      <c r="P19955" s="604"/>
      <c r="Q19955" s="604"/>
      <c r="R19955" s="604">
        <v>4</v>
      </c>
    </row>
    <row r="19956" spans="1:18" ht="12.75" customHeight="1">
      <c r="A19956" s="628" t="s">
        <v>36190</v>
      </c>
      <c r="B19956" s="629"/>
      <c r="C19956" s="629"/>
      <c r="D19956" s="629"/>
      <c r="E19956" s="629"/>
      <c r="F19956" s="629"/>
      <c r="G19956" s="629"/>
      <c r="H19956" s="629"/>
      <c r="I19956" s="629"/>
      <c r="J19956" s="629"/>
      <c r="K19956" s="629"/>
      <c r="L19956" s="629"/>
      <c r="M19956" s="629"/>
      <c r="N19956" s="629"/>
      <c r="O19956" s="629"/>
      <c r="P19956" s="629"/>
      <c r="Q19956" s="629"/>
      <c r="R19956" s="629"/>
    </row>
    <row r="19957" spans="1:18" ht="36">
      <c r="A19957" s="600">
        <v>79</v>
      </c>
      <c r="B19957" s="597" t="s">
        <v>36191</v>
      </c>
      <c r="C19957" s="601" t="s">
        <v>36192</v>
      </c>
      <c r="D19957" s="602">
        <v>213.82</v>
      </c>
      <c r="E19957" s="602">
        <v>61.85</v>
      </c>
      <c r="F19957" s="602">
        <v>34.61</v>
      </c>
      <c r="G19957" s="602">
        <v>117.36</v>
      </c>
      <c r="H19957" s="603">
        <v>1432.57</v>
      </c>
      <c r="I19957" s="603">
        <v>711.3</v>
      </c>
      <c r="J19957" s="603">
        <v>186.74</v>
      </c>
      <c r="K19957" s="603">
        <v>534.53</v>
      </c>
      <c r="L19957" s="43">
        <v>6.699887756056496</v>
      </c>
      <c r="M19957" s="43">
        <v>11.500404203718674</v>
      </c>
      <c r="N19957" s="43">
        <v>5.39555041895406</v>
      </c>
      <c r="O19957" s="43">
        <v>4.5546182685753234</v>
      </c>
      <c r="P19957" s="604"/>
      <c r="Q19957" s="604"/>
      <c r="R19957" s="604">
        <v>5</v>
      </c>
    </row>
    <row r="19958" spans="1:18" ht="36">
      <c r="A19958" s="600">
        <v>80</v>
      </c>
      <c r="B19958" s="597" t="s">
        <v>36193</v>
      </c>
      <c r="C19958" s="601" t="s">
        <v>36194</v>
      </c>
      <c r="D19958" s="602">
        <v>249.39</v>
      </c>
      <c r="E19958" s="602">
        <v>87.83</v>
      </c>
      <c r="F19958" s="602">
        <v>41.09</v>
      </c>
      <c r="G19958" s="602">
        <v>120.47</v>
      </c>
      <c r="H19958" s="603">
        <v>1792.18</v>
      </c>
      <c r="I19958" s="603">
        <v>1010.05</v>
      </c>
      <c r="J19958" s="603">
        <v>221.4</v>
      </c>
      <c r="K19958" s="603">
        <v>560.73</v>
      </c>
      <c r="L19958" s="43">
        <v>7.1862544608845589</v>
      </c>
      <c r="M19958" s="43">
        <v>11.500056928156665</v>
      </c>
      <c r="N19958" s="43">
        <v>5.3881723046970063</v>
      </c>
      <c r="O19958" s="43">
        <v>4.6545197974599484</v>
      </c>
      <c r="P19958" s="604"/>
      <c r="Q19958" s="604"/>
      <c r="R19958" s="604">
        <v>5</v>
      </c>
    </row>
    <row r="19959" spans="1:18" ht="36">
      <c r="A19959" s="600">
        <v>81</v>
      </c>
      <c r="B19959" s="597" t="s">
        <v>36195</v>
      </c>
      <c r="C19959" s="601" t="s">
        <v>36196</v>
      </c>
      <c r="D19959" s="602">
        <v>305.45</v>
      </c>
      <c r="E19959" s="602">
        <v>117.52</v>
      </c>
      <c r="F19959" s="602">
        <v>59.82</v>
      </c>
      <c r="G19959" s="602">
        <v>128.11000000000001</v>
      </c>
      <c r="H19959" s="603">
        <v>2287.6999999999998</v>
      </c>
      <c r="I19959" s="603">
        <v>1351.47</v>
      </c>
      <c r="J19959" s="603">
        <v>322.47000000000003</v>
      </c>
      <c r="K19959" s="603">
        <v>613.76</v>
      </c>
      <c r="L19959" s="43">
        <v>7.4896055000818462</v>
      </c>
      <c r="M19959" s="43">
        <v>11.499914908100749</v>
      </c>
      <c r="N19959" s="43">
        <v>5.3906720160481445</v>
      </c>
      <c r="O19959" s="43">
        <v>4.7908828350636163</v>
      </c>
      <c r="P19959" s="604"/>
      <c r="Q19959" s="604"/>
      <c r="R19959" s="604">
        <v>5</v>
      </c>
    </row>
    <row r="19960" spans="1:18" ht="36">
      <c r="A19960" s="600">
        <v>82</v>
      </c>
      <c r="B19960" s="597" t="s">
        <v>36197</v>
      </c>
      <c r="C19960" s="601" t="s">
        <v>36198</v>
      </c>
      <c r="D19960" s="602">
        <v>385.94</v>
      </c>
      <c r="E19960" s="602">
        <v>152.15</v>
      </c>
      <c r="F19960" s="602">
        <v>102.72</v>
      </c>
      <c r="G19960" s="602">
        <v>131.07</v>
      </c>
      <c r="H19960" s="603">
        <v>2944.16</v>
      </c>
      <c r="I19960" s="603">
        <v>1749.8</v>
      </c>
      <c r="J19960" s="603">
        <v>553.61</v>
      </c>
      <c r="K19960" s="603">
        <v>640.75</v>
      </c>
      <c r="L19960" s="43">
        <v>7.6285432968855256</v>
      </c>
      <c r="M19960" s="43">
        <v>11.500492934604008</v>
      </c>
      <c r="N19960" s="43">
        <v>5.3895054517133962</v>
      </c>
      <c r="O19960" s="43">
        <v>4.8886091401541165</v>
      </c>
      <c r="P19960" s="604"/>
      <c r="Q19960" s="604"/>
      <c r="R19960" s="604">
        <v>5</v>
      </c>
    </row>
    <row r="19961" spans="1:18" ht="36">
      <c r="A19961" s="600">
        <v>83</v>
      </c>
      <c r="B19961" s="597" t="s">
        <v>36199</v>
      </c>
      <c r="C19961" s="601" t="s">
        <v>36200</v>
      </c>
      <c r="D19961" s="602">
        <v>442.75</v>
      </c>
      <c r="E19961" s="602">
        <v>188.02</v>
      </c>
      <c r="F19961" s="602">
        <v>115.22</v>
      </c>
      <c r="G19961" s="602">
        <v>139.51</v>
      </c>
      <c r="H19961" s="603">
        <v>3486.58</v>
      </c>
      <c r="I19961" s="603">
        <v>2162.35</v>
      </c>
      <c r="J19961" s="603">
        <v>620.46</v>
      </c>
      <c r="K19961" s="603">
        <v>703.77</v>
      </c>
      <c r="L19961" s="43">
        <v>7.8748277809147371</v>
      </c>
      <c r="M19961" s="43">
        <v>11.500638229975534</v>
      </c>
      <c r="N19961" s="43">
        <v>5.385002603714633</v>
      </c>
      <c r="O19961" s="43">
        <v>5.0445846175901368</v>
      </c>
      <c r="P19961" s="604"/>
      <c r="Q19961" s="604"/>
      <c r="R19961" s="604">
        <v>5</v>
      </c>
    </row>
    <row r="19962" spans="1:18" ht="12.75" customHeight="1">
      <c r="A19962" s="628" t="s">
        <v>36201</v>
      </c>
      <c r="B19962" s="629"/>
      <c r="C19962" s="629"/>
      <c r="D19962" s="629"/>
      <c r="E19962" s="629"/>
      <c r="F19962" s="629"/>
      <c r="G19962" s="629"/>
      <c r="H19962" s="629"/>
      <c r="I19962" s="629"/>
      <c r="J19962" s="629"/>
      <c r="K19962" s="629"/>
      <c r="L19962" s="629"/>
      <c r="M19962" s="629"/>
      <c r="N19962" s="629"/>
      <c r="O19962" s="629"/>
      <c r="P19962" s="629"/>
      <c r="Q19962" s="629"/>
      <c r="R19962" s="629"/>
    </row>
    <row r="19963" spans="1:18" ht="36">
      <c r="A19963" s="600">
        <v>84</v>
      </c>
      <c r="B19963" s="597" t="s">
        <v>36202</v>
      </c>
      <c r="C19963" s="601" t="s">
        <v>36203</v>
      </c>
      <c r="D19963" s="602">
        <v>255.94</v>
      </c>
      <c r="E19963" s="602">
        <v>96.49</v>
      </c>
      <c r="F19963" s="602">
        <v>41.06</v>
      </c>
      <c r="G19963" s="602">
        <v>118.39</v>
      </c>
      <c r="H19963" s="603">
        <v>1877.42</v>
      </c>
      <c r="I19963" s="603">
        <v>1109.6300000000001</v>
      </c>
      <c r="J19963" s="603">
        <v>221.41</v>
      </c>
      <c r="K19963" s="603">
        <v>546.38</v>
      </c>
      <c r="L19963" s="43">
        <v>7.3353911072907714</v>
      </c>
      <c r="M19963" s="43">
        <v>11.499948181158672</v>
      </c>
      <c r="N19963" s="43">
        <v>5.3923526546517291</v>
      </c>
      <c r="O19963" s="43">
        <v>4.6150857335923643</v>
      </c>
      <c r="P19963" s="604"/>
      <c r="Q19963" s="604"/>
      <c r="R19963" s="604">
        <v>6</v>
      </c>
    </row>
    <row r="19964" spans="1:18" ht="36">
      <c r="A19964" s="600">
        <v>85</v>
      </c>
      <c r="B19964" s="597" t="s">
        <v>36204</v>
      </c>
      <c r="C19964" s="601" t="s">
        <v>36205</v>
      </c>
      <c r="D19964" s="602">
        <v>343.92</v>
      </c>
      <c r="E19964" s="602">
        <v>141.02000000000001</v>
      </c>
      <c r="F19964" s="602">
        <v>80.540000000000006</v>
      </c>
      <c r="G19964" s="602">
        <v>122.36</v>
      </c>
      <c r="H19964" s="603">
        <v>2639.94</v>
      </c>
      <c r="I19964" s="603">
        <v>1621.76</v>
      </c>
      <c r="J19964" s="603">
        <v>433.82</v>
      </c>
      <c r="K19964" s="603">
        <v>584.36</v>
      </c>
      <c r="L19964" s="43">
        <v>7.6760293091416605</v>
      </c>
      <c r="M19964" s="43">
        <v>11.500212735782158</v>
      </c>
      <c r="N19964" s="43">
        <v>5.3863918549788918</v>
      </c>
      <c r="O19964" s="43">
        <v>4.775743707093822</v>
      </c>
      <c r="P19964" s="604"/>
      <c r="Q19964" s="604"/>
      <c r="R19964" s="604">
        <v>6</v>
      </c>
    </row>
    <row r="19965" spans="1:18" ht="36">
      <c r="A19965" s="600">
        <v>86</v>
      </c>
      <c r="B19965" s="597" t="s">
        <v>36206</v>
      </c>
      <c r="C19965" s="601" t="s">
        <v>36207</v>
      </c>
      <c r="D19965" s="602">
        <v>398.56</v>
      </c>
      <c r="E19965" s="602">
        <v>170.71</v>
      </c>
      <c r="F19965" s="602">
        <v>97.56</v>
      </c>
      <c r="G19965" s="602">
        <v>130.29</v>
      </c>
      <c r="H19965" s="603">
        <v>3131.06</v>
      </c>
      <c r="I19965" s="603">
        <v>1963.19</v>
      </c>
      <c r="J19965" s="603">
        <v>525.38</v>
      </c>
      <c r="K19965" s="603">
        <v>642.49</v>
      </c>
      <c r="L19965" s="43">
        <v>7.855931352870333</v>
      </c>
      <c r="M19965" s="43">
        <v>11.500146447191142</v>
      </c>
      <c r="N19965" s="43">
        <v>5.3851988519885197</v>
      </c>
      <c r="O19965" s="43">
        <v>4.9312303323355593</v>
      </c>
      <c r="P19965" s="604"/>
      <c r="Q19965" s="604"/>
      <c r="R19965" s="604">
        <v>6</v>
      </c>
    </row>
    <row r="19966" spans="1:18" ht="36">
      <c r="A19966" s="600">
        <v>87</v>
      </c>
      <c r="B19966" s="597" t="s">
        <v>36208</v>
      </c>
      <c r="C19966" s="601" t="s">
        <v>36209</v>
      </c>
      <c r="D19966" s="602">
        <v>485.74</v>
      </c>
      <c r="E19966" s="602">
        <v>223.9</v>
      </c>
      <c r="F19966" s="602">
        <v>128.02000000000001</v>
      </c>
      <c r="G19966" s="602">
        <v>133.82</v>
      </c>
      <c r="H19966" s="603">
        <v>3940.56</v>
      </c>
      <c r="I19966" s="603">
        <v>2574.91</v>
      </c>
      <c r="J19966" s="603">
        <v>689.62</v>
      </c>
      <c r="K19966" s="603">
        <v>676.03</v>
      </c>
      <c r="L19966" s="43">
        <v>8.1124881623914025</v>
      </c>
      <c r="M19966" s="43">
        <v>11.500267976775346</v>
      </c>
      <c r="N19966" s="43">
        <v>5.3868145602249644</v>
      </c>
      <c r="O19966" s="43">
        <v>5.0517859811687345</v>
      </c>
      <c r="P19966" s="604"/>
      <c r="Q19966" s="604"/>
      <c r="R19966" s="604">
        <v>6</v>
      </c>
    </row>
    <row r="19967" spans="1:18" ht="36">
      <c r="A19967" s="600">
        <v>88</v>
      </c>
      <c r="B19967" s="597" t="s">
        <v>36210</v>
      </c>
      <c r="C19967" s="601" t="s">
        <v>36211</v>
      </c>
      <c r="D19967" s="602">
        <v>565.62</v>
      </c>
      <c r="E19967" s="602">
        <v>259.77</v>
      </c>
      <c r="F19967" s="602">
        <v>163.6</v>
      </c>
      <c r="G19967" s="602">
        <v>142.25</v>
      </c>
      <c r="H19967" s="603">
        <v>4608.58</v>
      </c>
      <c r="I19967" s="603">
        <v>2987.46</v>
      </c>
      <c r="J19967" s="603">
        <v>882.17</v>
      </c>
      <c r="K19967" s="603">
        <v>738.95</v>
      </c>
      <c r="L19967" s="43">
        <v>8.1478377709416208</v>
      </c>
      <c r="M19967" s="43">
        <v>11.500404203718675</v>
      </c>
      <c r="N19967" s="43">
        <v>5.3922371638141806</v>
      </c>
      <c r="O19967" s="43">
        <v>5.1947275922671352</v>
      </c>
      <c r="P19967" s="604"/>
      <c r="Q19967" s="604"/>
      <c r="R19967" s="604">
        <v>6</v>
      </c>
    </row>
    <row r="19968" spans="1:18" ht="36">
      <c r="A19968" s="600">
        <v>89</v>
      </c>
      <c r="B19968" s="597" t="s">
        <v>36212</v>
      </c>
      <c r="C19968" s="601" t="s">
        <v>36213</v>
      </c>
      <c r="D19968" s="602">
        <v>748</v>
      </c>
      <c r="E19968" s="602">
        <v>372.34</v>
      </c>
      <c r="F19968" s="602">
        <v>224.94</v>
      </c>
      <c r="G19968" s="602">
        <v>150.72</v>
      </c>
      <c r="H19968" s="603">
        <v>6298.71</v>
      </c>
      <c r="I19968" s="603">
        <v>4282.03</v>
      </c>
      <c r="J19968" s="603">
        <v>1212.3699999999999</v>
      </c>
      <c r="K19968" s="603">
        <v>804.31</v>
      </c>
      <c r="L19968" s="43">
        <v>8.4207352941176463</v>
      </c>
      <c r="M19968" s="43">
        <v>11.500322286082612</v>
      </c>
      <c r="N19968" s="43">
        <v>5.389748377345069</v>
      </c>
      <c r="O19968" s="43">
        <v>5.3364516985138</v>
      </c>
      <c r="P19968" s="604"/>
      <c r="Q19968" s="604"/>
      <c r="R19968" s="604">
        <v>6</v>
      </c>
    </row>
    <row r="19969" spans="1:18" ht="36">
      <c r="A19969" s="600">
        <v>90</v>
      </c>
      <c r="B19969" s="597" t="s">
        <v>36214</v>
      </c>
      <c r="C19969" s="601" t="s">
        <v>36215</v>
      </c>
      <c r="D19969" s="602">
        <v>938.63</v>
      </c>
      <c r="E19969" s="602">
        <v>453.84</v>
      </c>
      <c r="F19969" s="602">
        <v>324.04000000000002</v>
      </c>
      <c r="G19969" s="602">
        <v>160.75</v>
      </c>
      <c r="H19969" s="603">
        <v>7842.75</v>
      </c>
      <c r="I19969" s="603">
        <v>5219.16</v>
      </c>
      <c r="J19969" s="603">
        <v>1744.33</v>
      </c>
      <c r="K19969" s="603">
        <v>879.26</v>
      </c>
      <c r="L19969" s="43">
        <v>8.355528802616579</v>
      </c>
      <c r="M19969" s="43">
        <v>11.5</v>
      </c>
      <c r="N19969" s="43">
        <v>5.3830699913590907</v>
      </c>
      <c r="O19969" s="43">
        <v>5.4697356143079316</v>
      </c>
      <c r="P19969" s="604"/>
      <c r="Q19969" s="604"/>
      <c r="R19969" s="604">
        <v>6</v>
      </c>
    </row>
    <row r="19970" spans="1:18" ht="36">
      <c r="A19970" s="600">
        <v>91</v>
      </c>
      <c r="B19970" s="597" t="s">
        <v>36216</v>
      </c>
      <c r="C19970" s="601" t="s">
        <v>36217</v>
      </c>
      <c r="D19970" s="602">
        <v>1912.5</v>
      </c>
      <c r="E19970" s="602">
        <v>699.06</v>
      </c>
      <c r="F19970" s="602">
        <v>1025.74</v>
      </c>
      <c r="G19970" s="602">
        <v>187.7</v>
      </c>
      <c r="H19970" s="603">
        <v>14529.81</v>
      </c>
      <c r="I19970" s="603">
        <v>8039.19</v>
      </c>
      <c r="J19970" s="603">
        <v>5397.56</v>
      </c>
      <c r="K19970" s="603">
        <v>1093.06</v>
      </c>
      <c r="L19970" s="43">
        <v>7.5972862745098038</v>
      </c>
      <c r="M19970" s="43">
        <v>11.5</v>
      </c>
      <c r="N19970" s="43">
        <v>5.2621132060756137</v>
      </c>
      <c r="O19970" s="43">
        <v>5.8234416622269576</v>
      </c>
      <c r="P19970" s="604"/>
      <c r="Q19970" s="604"/>
      <c r="R19970" s="604">
        <v>6</v>
      </c>
    </row>
    <row r="19971" spans="1:18" ht="36">
      <c r="A19971" s="600">
        <v>92</v>
      </c>
      <c r="B19971" s="597" t="s">
        <v>36218</v>
      </c>
      <c r="C19971" s="601" t="s">
        <v>36219</v>
      </c>
      <c r="D19971" s="602">
        <v>2583.4299999999998</v>
      </c>
      <c r="E19971" s="602">
        <v>882.06</v>
      </c>
      <c r="F19971" s="602">
        <v>1496.31</v>
      </c>
      <c r="G19971" s="602">
        <v>205.06</v>
      </c>
      <c r="H19971" s="603">
        <v>19323.650000000001</v>
      </c>
      <c r="I19971" s="603">
        <v>10143.69</v>
      </c>
      <c r="J19971" s="603">
        <v>7927.49</v>
      </c>
      <c r="K19971" s="603">
        <v>1252.47</v>
      </c>
      <c r="L19971" s="43">
        <v>7.4798426897574162</v>
      </c>
      <c r="M19971" s="43">
        <v>11.500000000000002</v>
      </c>
      <c r="N19971" s="43">
        <v>5.2980264784703701</v>
      </c>
      <c r="O19971" s="43">
        <v>6.1078221008485318</v>
      </c>
      <c r="P19971" s="604"/>
      <c r="Q19971" s="604"/>
      <c r="R19971" s="604">
        <v>6</v>
      </c>
    </row>
    <row r="19972" spans="1:18" ht="12.75" customHeight="1">
      <c r="A19972" s="628" t="s">
        <v>36220</v>
      </c>
      <c r="B19972" s="629"/>
      <c r="C19972" s="629"/>
      <c r="D19972" s="629"/>
      <c r="E19972" s="629"/>
      <c r="F19972" s="629"/>
      <c r="G19972" s="629"/>
      <c r="H19972" s="629"/>
      <c r="I19972" s="629"/>
      <c r="J19972" s="629"/>
      <c r="K19972" s="629"/>
      <c r="L19972" s="629"/>
      <c r="M19972" s="629"/>
      <c r="N19972" s="629"/>
      <c r="O19972" s="629"/>
      <c r="P19972" s="629"/>
      <c r="Q19972" s="629"/>
      <c r="R19972" s="629"/>
    </row>
    <row r="19973" spans="1:18" ht="36">
      <c r="A19973" s="600">
        <v>93</v>
      </c>
      <c r="B19973" s="597" t="s">
        <v>36221</v>
      </c>
      <c r="C19973" s="601" t="s">
        <v>36222</v>
      </c>
      <c r="D19973" s="602">
        <v>275.7</v>
      </c>
      <c r="E19973" s="602">
        <v>119.13</v>
      </c>
      <c r="F19973" s="602">
        <v>37.5</v>
      </c>
      <c r="G19973" s="602">
        <v>119.07</v>
      </c>
      <c r="H19973" s="603">
        <v>2125.77</v>
      </c>
      <c r="I19973" s="603">
        <v>1370</v>
      </c>
      <c r="J19973" s="603">
        <v>201.57</v>
      </c>
      <c r="K19973" s="603">
        <v>554.20000000000005</v>
      </c>
      <c r="L19973" s="43">
        <v>7.7104461371055502</v>
      </c>
      <c r="M19973" s="43">
        <v>11.500041970956099</v>
      </c>
      <c r="N19973" s="43">
        <v>5.3751999999999995</v>
      </c>
      <c r="O19973" s="43">
        <v>4.65440497186529</v>
      </c>
      <c r="P19973" s="604"/>
      <c r="Q19973" s="604"/>
      <c r="R19973" s="604">
        <v>7</v>
      </c>
    </row>
    <row r="19974" spans="1:18" ht="36">
      <c r="A19974" s="600">
        <v>94</v>
      </c>
      <c r="B19974" s="597" t="s">
        <v>36223</v>
      </c>
      <c r="C19974" s="601" t="s">
        <v>36224</v>
      </c>
      <c r="D19974" s="602">
        <v>463.11</v>
      </c>
      <c r="E19974" s="602">
        <v>191.86</v>
      </c>
      <c r="F19974" s="602">
        <v>140.91</v>
      </c>
      <c r="G19974" s="602">
        <v>130.34</v>
      </c>
      <c r="H19974" s="603">
        <v>3605.53</v>
      </c>
      <c r="I19974" s="603">
        <v>2206.41</v>
      </c>
      <c r="J19974" s="603">
        <v>759.72</v>
      </c>
      <c r="K19974" s="603">
        <v>639.4</v>
      </c>
      <c r="L19974" s="43">
        <v>7.7854721340502255</v>
      </c>
      <c r="M19974" s="43">
        <v>11.500104242676951</v>
      </c>
      <c r="N19974" s="43">
        <v>5.3915265062806048</v>
      </c>
      <c r="O19974" s="43">
        <v>4.9056314255025315</v>
      </c>
      <c r="P19974" s="604"/>
      <c r="Q19974" s="604"/>
      <c r="R19974" s="604">
        <v>7</v>
      </c>
    </row>
    <row r="19975" spans="1:18" ht="36">
      <c r="A19975" s="600">
        <v>95</v>
      </c>
      <c r="B19975" s="597" t="s">
        <v>36225</v>
      </c>
      <c r="C19975" s="601" t="s">
        <v>36226</v>
      </c>
      <c r="D19975" s="602">
        <v>670.79</v>
      </c>
      <c r="E19975" s="602">
        <v>250.8</v>
      </c>
      <c r="F19975" s="602">
        <v>285.95999999999998</v>
      </c>
      <c r="G19975" s="602">
        <v>134.03</v>
      </c>
      <c r="H19975" s="603">
        <v>5104.9399999999996</v>
      </c>
      <c r="I19975" s="603">
        <v>2884.2</v>
      </c>
      <c r="J19975" s="603">
        <v>1545.95</v>
      </c>
      <c r="K19975" s="603">
        <v>674.79</v>
      </c>
      <c r="L19975" s="43">
        <v>7.6103400468104772</v>
      </c>
      <c r="M19975" s="43">
        <v>11.499999999999998</v>
      </c>
      <c r="N19975" s="43">
        <v>5.4061756889075401</v>
      </c>
      <c r="O19975" s="43">
        <v>5.0346191151234798</v>
      </c>
      <c r="P19975" s="604"/>
      <c r="Q19975" s="604"/>
      <c r="R19975" s="604">
        <v>7</v>
      </c>
    </row>
    <row r="19976" spans="1:18" ht="36">
      <c r="A19976" s="600">
        <v>96</v>
      </c>
      <c r="B19976" s="597" t="s">
        <v>36227</v>
      </c>
      <c r="C19976" s="601" t="s">
        <v>36228</v>
      </c>
      <c r="D19976" s="602">
        <v>768.49</v>
      </c>
      <c r="E19976" s="602">
        <v>280.89999999999998</v>
      </c>
      <c r="F19976" s="602">
        <v>345.29</v>
      </c>
      <c r="G19976" s="602">
        <v>142.30000000000001</v>
      </c>
      <c r="H19976" s="603">
        <v>5831.08</v>
      </c>
      <c r="I19976" s="603">
        <v>3230.3</v>
      </c>
      <c r="J19976" s="603">
        <v>1864.92</v>
      </c>
      <c r="K19976" s="603">
        <v>735.86</v>
      </c>
      <c r="L19976" s="43">
        <v>7.5877109656599302</v>
      </c>
      <c r="M19976" s="43">
        <v>11.499822000711999</v>
      </c>
      <c r="N19976" s="43">
        <v>5.4010252251730426</v>
      </c>
      <c r="O19976" s="43">
        <v>5.1711876317638792</v>
      </c>
      <c r="P19976" s="604"/>
      <c r="Q19976" s="604"/>
      <c r="R19976" s="604">
        <v>7</v>
      </c>
    </row>
    <row r="19977" spans="1:18" ht="12.75" customHeight="1">
      <c r="A19977" s="628" t="s">
        <v>36229</v>
      </c>
      <c r="B19977" s="629"/>
      <c r="C19977" s="629"/>
      <c r="D19977" s="629"/>
      <c r="E19977" s="629"/>
      <c r="F19977" s="629"/>
      <c r="G19977" s="629"/>
      <c r="H19977" s="629"/>
      <c r="I19977" s="629"/>
      <c r="J19977" s="629"/>
      <c r="K19977" s="629"/>
      <c r="L19977" s="629"/>
      <c r="M19977" s="629"/>
      <c r="N19977" s="629"/>
      <c r="O19977" s="629"/>
      <c r="P19977" s="629"/>
      <c r="Q19977" s="629"/>
      <c r="R19977" s="629"/>
    </row>
    <row r="19978" spans="1:18" ht="36">
      <c r="A19978" s="600">
        <v>97</v>
      </c>
      <c r="B19978" s="597" t="s">
        <v>36230</v>
      </c>
      <c r="C19978" s="601" t="s">
        <v>36231</v>
      </c>
      <c r="D19978" s="602">
        <v>346.3</v>
      </c>
      <c r="E19978" s="602">
        <v>178.07</v>
      </c>
      <c r="F19978" s="602">
        <v>47.39</v>
      </c>
      <c r="G19978" s="602">
        <v>120.84</v>
      </c>
      <c r="H19978" s="603">
        <v>2877.06</v>
      </c>
      <c r="I19978" s="603">
        <v>2047.78</v>
      </c>
      <c r="J19978" s="603">
        <v>254.73</v>
      </c>
      <c r="K19978" s="603">
        <v>574.54999999999995</v>
      </c>
      <c r="L19978" s="43">
        <v>8.3079988449321398</v>
      </c>
      <c r="M19978" s="43">
        <v>11.499859605773011</v>
      </c>
      <c r="N19978" s="43">
        <v>5.3751846381093058</v>
      </c>
      <c r="O19978" s="43">
        <v>4.7546342270771262</v>
      </c>
      <c r="P19978" s="604"/>
      <c r="Q19978" s="604"/>
      <c r="R19978" s="604">
        <v>8</v>
      </c>
    </row>
    <row r="19979" spans="1:18" ht="36">
      <c r="A19979" s="600">
        <v>98</v>
      </c>
      <c r="B19979" s="597" t="s">
        <v>36232</v>
      </c>
      <c r="C19979" s="601" t="s">
        <v>36233</v>
      </c>
      <c r="D19979" s="602">
        <v>578.80999999999995</v>
      </c>
      <c r="E19979" s="602">
        <v>283.39999999999998</v>
      </c>
      <c r="F19979" s="602">
        <v>162.33000000000001</v>
      </c>
      <c r="G19979" s="602">
        <v>133.08000000000001</v>
      </c>
      <c r="H19979" s="603">
        <v>4804.3999999999996</v>
      </c>
      <c r="I19979" s="603">
        <v>3259.15</v>
      </c>
      <c r="J19979" s="603">
        <v>874.34</v>
      </c>
      <c r="K19979" s="603">
        <v>670.91</v>
      </c>
      <c r="L19979" s="43">
        <v>8.3004785680966116</v>
      </c>
      <c r="M19979" s="43">
        <v>11.500176429075513</v>
      </c>
      <c r="N19979" s="43">
        <v>5.3861886281032465</v>
      </c>
      <c r="O19979" s="43">
        <v>5.0414036669672369</v>
      </c>
      <c r="P19979" s="604"/>
      <c r="Q19979" s="604"/>
      <c r="R19979" s="604">
        <v>8</v>
      </c>
    </row>
    <row r="19980" spans="1:18" ht="36">
      <c r="A19980" s="600">
        <v>99</v>
      </c>
      <c r="B19980" s="597" t="s">
        <v>36234</v>
      </c>
      <c r="C19980" s="601" t="s">
        <v>36235</v>
      </c>
      <c r="D19980" s="602">
        <v>838.47</v>
      </c>
      <c r="E19980" s="602">
        <v>368.68</v>
      </c>
      <c r="F19980" s="602">
        <v>332.22</v>
      </c>
      <c r="G19980" s="602">
        <v>137.57</v>
      </c>
      <c r="H19980" s="603">
        <v>6746.91</v>
      </c>
      <c r="I19980" s="603">
        <v>4239.7700000000004</v>
      </c>
      <c r="J19980" s="603">
        <v>1791.64</v>
      </c>
      <c r="K19980" s="603">
        <v>715.5</v>
      </c>
      <c r="L19980" s="43">
        <v>8.0466921893448777</v>
      </c>
      <c r="M19980" s="43">
        <v>11.499864381035044</v>
      </c>
      <c r="N19980" s="43">
        <v>5.3929323941966167</v>
      </c>
      <c r="O19980" s="43">
        <v>5.2009885876281166</v>
      </c>
      <c r="P19980" s="604"/>
      <c r="Q19980" s="604"/>
      <c r="R19980" s="604">
        <v>8</v>
      </c>
    </row>
    <row r="19981" spans="1:18" ht="36">
      <c r="A19981" s="600">
        <v>100</v>
      </c>
      <c r="B19981" s="597" t="s">
        <v>36236</v>
      </c>
      <c r="C19981" s="601" t="s">
        <v>36237</v>
      </c>
      <c r="D19981" s="602">
        <v>937.64</v>
      </c>
      <c r="E19981" s="602">
        <v>406.3</v>
      </c>
      <c r="F19981" s="602">
        <v>385.28</v>
      </c>
      <c r="G19981" s="602">
        <v>146.06</v>
      </c>
      <c r="H19981" s="603">
        <v>7530.21</v>
      </c>
      <c r="I19981" s="603">
        <v>4672.3999999999996</v>
      </c>
      <c r="J19981" s="603">
        <v>2078.71</v>
      </c>
      <c r="K19981" s="603">
        <v>779.1</v>
      </c>
      <c r="L19981" s="43">
        <v>8.0310247003114199</v>
      </c>
      <c r="M19981" s="43">
        <v>11.499876938222986</v>
      </c>
      <c r="N19981" s="43">
        <v>5.3953228820598014</v>
      </c>
      <c r="O19981" s="43">
        <v>5.3341092701629469</v>
      </c>
      <c r="P19981" s="604"/>
      <c r="Q19981" s="604"/>
      <c r="R19981" s="604">
        <v>8</v>
      </c>
    </row>
    <row r="19982" spans="1:18" ht="12.75" customHeight="1">
      <c r="A19982" s="628" t="s">
        <v>36238</v>
      </c>
      <c r="B19982" s="629"/>
      <c r="C19982" s="629"/>
      <c r="D19982" s="629"/>
      <c r="E19982" s="629"/>
      <c r="F19982" s="629"/>
      <c r="G19982" s="629"/>
      <c r="H19982" s="629"/>
      <c r="I19982" s="629"/>
      <c r="J19982" s="629"/>
      <c r="K19982" s="629"/>
      <c r="L19982" s="629"/>
      <c r="M19982" s="629"/>
      <c r="N19982" s="629"/>
      <c r="O19982" s="629"/>
      <c r="P19982" s="629"/>
      <c r="Q19982" s="629"/>
      <c r="R19982" s="629"/>
    </row>
    <row r="19983" spans="1:18" ht="36">
      <c r="A19983" s="600">
        <v>101</v>
      </c>
      <c r="B19983" s="597" t="s">
        <v>36239</v>
      </c>
      <c r="C19983" s="601" t="s">
        <v>36240</v>
      </c>
      <c r="D19983" s="602">
        <v>300.41000000000003</v>
      </c>
      <c r="E19983" s="602">
        <v>141.69999999999999</v>
      </c>
      <c r="F19983" s="602">
        <v>38.96</v>
      </c>
      <c r="G19983" s="602">
        <v>119.75</v>
      </c>
      <c r="H19983" s="603">
        <v>2400.86</v>
      </c>
      <c r="I19983" s="603">
        <v>1629.57</v>
      </c>
      <c r="J19983" s="603">
        <v>209.27</v>
      </c>
      <c r="K19983" s="603">
        <v>562.02</v>
      </c>
      <c r="L19983" s="43">
        <v>7.9919443427315997</v>
      </c>
      <c r="M19983" s="43">
        <v>11.500141143260409</v>
      </c>
      <c r="N19983" s="43">
        <v>5.3714065708418897</v>
      </c>
      <c r="O19983" s="43">
        <v>4.6932776617954071</v>
      </c>
      <c r="P19983" s="604"/>
      <c r="Q19983" s="604"/>
      <c r="R19983" s="604">
        <v>9</v>
      </c>
    </row>
    <row r="19984" spans="1:18" ht="36">
      <c r="A19984" s="600">
        <v>102</v>
      </c>
      <c r="B19984" s="597" t="s">
        <v>36241</v>
      </c>
      <c r="C19984" s="601" t="s">
        <v>36242</v>
      </c>
      <c r="D19984" s="602">
        <v>436.66</v>
      </c>
      <c r="E19984" s="602">
        <v>185.59</v>
      </c>
      <c r="F19984" s="602">
        <v>127.66</v>
      </c>
      <c r="G19984" s="602">
        <v>123.41</v>
      </c>
      <c r="H19984" s="603">
        <v>3417.33</v>
      </c>
      <c r="I19984" s="603">
        <v>2134.31</v>
      </c>
      <c r="J19984" s="603">
        <v>688.48</v>
      </c>
      <c r="K19984" s="603">
        <v>594.54</v>
      </c>
      <c r="L19984" s="43">
        <v>7.8260660468098742</v>
      </c>
      <c r="M19984" s="43">
        <v>11.500134705533704</v>
      </c>
      <c r="N19984" s="43">
        <v>5.393075356415479</v>
      </c>
      <c r="O19984" s="43">
        <v>4.8175998703508629</v>
      </c>
      <c r="P19984" s="604"/>
      <c r="Q19984" s="604"/>
      <c r="R19984" s="604">
        <v>9</v>
      </c>
    </row>
    <row r="19985" spans="1:18" ht="36">
      <c r="A19985" s="600">
        <v>103</v>
      </c>
      <c r="B19985" s="597" t="s">
        <v>36243</v>
      </c>
      <c r="C19985" s="601" t="s">
        <v>36244</v>
      </c>
      <c r="D19985" s="602">
        <v>523.63</v>
      </c>
      <c r="E19985" s="602">
        <v>245.78</v>
      </c>
      <c r="F19985" s="602">
        <v>145.9</v>
      </c>
      <c r="G19985" s="602">
        <v>131.94999999999999</v>
      </c>
      <c r="H19985" s="603">
        <v>4270.1899999999996</v>
      </c>
      <c r="I19985" s="603">
        <v>2826.52</v>
      </c>
      <c r="J19985" s="603">
        <v>785.75</v>
      </c>
      <c r="K19985" s="603">
        <v>657.92</v>
      </c>
      <c r="L19985" s="43">
        <v>8.1549758417202973</v>
      </c>
      <c r="M19985" s="43">
        <v>11.500203433965334</v>
      </c>
      <c r="N19985" s="43">
        <v>5.3855380397532553</v>
      </c>
      <c r="O19985" s="43">
        <v>4.9861311102690413</v>
      </c>
      <c r="P19985" s="604"/>
      <c r="Q19985" s="604"/>
      <c r="R19985" s="604">
        <v>9</v>
      </c>
    </row>
    <row r="19986" spans="1:18" ht="36">
      <c r="A19986" s="600">
        <v>104</v>
      </c>
      <c r="B19986" s="597" t="s">
        <v>36245</v>
      </c>
      <c r="C19986" s="601" t="s">
        <v>36246</v>
      </c>
      <c r="D19986" s="602">
        <v>590.72</v>
      </c>
      <c r="E19986" s="602">
        <v>295.94</v>
      </c>
      <c r="F19986" s="602">
        <v>159.38999999999999</v>
      </c>
      <c r="G19986" s="602">
        <v>135.38999999999999</v>
      </c>
      <c r="H19986" s="603">
        <v>4951.1099999999997</v>
      </c>
      <c r="I19986" s="603">
        <v>3403.36</v>
      </c>
      <c r="J19986" s="603">
        <v>857.32</v>
      </c>
      <c r="K19986" s="603">
        <v>690.43</v>
      </c>
      <c r="L19986" s="43">
        <v>8.3814836132177675</v>
      </c>
      <c r="M19986" s="43">
        <v>11.500168953166183</v>
      </c>
      <c r="N19986" s="43">
        <v>5.3787565091912928</v>
      </c>
      <c r="O19986" s="43">
        <v>5.0995642218775394</v>
      </c>
      <c r="P19986" s="604"/>
      <c r="Q19986" s="604"/>
      <c r="R19986" s="604">
        <v>9</v>
      </c>
    </row>
    <row r="19987" spans="1:18" ht="36">
      <c r="A19987" s="600">
        <v>105</v>
      </c>
      <c r="B19987" s="597" t="s">
        <v>36247</v>
      </c>
      <c r="C19987" s="601" t="s">
        <v>36248</v>
      </c>
      <c r="D19987" s="602">
        <v>642.54</v>
      </c>
      <c r="E19987" s="602">
        <v>324.79000000000002</v>
      </c>
      <c r="F19987" s="602">
        <v>174.14</v>
      </c>
      <c r="G19987" s="602">
        <v>143.61000000000001</v>
      </c>
      <c r="H19987" s="603">
        <v>5422.83</v>
      </c>
      <c r="I19987" s="603">
        <v>3735.04</v>
      </c>
      <c r="J19987" s="603">
        <v>936.87</v>
      </c>
      <c r="K19987" s="603">
        <v>750.92</v>
      </c>
      <c r="L19987" s="43">
        <v>8.4396769072742561</v>
      </c>
      <c r="M19987" s="43">
        <v>11.499861448936235</v>
      </c>
      <c r="N19987" s="43">
        <v>5.3799816239807052</v>
      </c>
      <c r="O19987" s="43">
        <v>5.2288837824664016</v>
      </c>
      <c r="P19987" s="604"/>
      <c r="Q19987" s="604"/>
      <c r="R19987" s="604">
        <v>9</v>
      </c>
    </row>
    <row r="19988" spans="1:18" ht="12.75" customHeight="1">
      <c r="A19988" s="628" t="s">
        <v>36249</v>
      </c>
      <c r="B19988" s="629"/>
      <c r="C19988" s="629"/>
      <c r="D19988" s="629"/>
      <c r="E19988" s="629"/>
      <c r="F19988" s="629"/>
      <c r="G19988" s="629"/>
      <c r="H19988" s="629"/>
      <c r="I19988" s="629"/>
      <c r="J19988" s="629"/>
      <c r="K19988" s="629"/>
      <c r="L19988" s="629"/>
      <c r="M19988" s="629"/>
      <c r="N19988" s="629"/>
      <c r="O19988" s="629"/>
      <c r="P19988" s="629"/>
      <c r="Q19988" s="629"/>
      <c r="R19988" s="629"/>
    </row>
    <row r="19989" spans="1:18" ht="36">
      <c r="A19989" s="600">
        <v>106</v>
      </c>
      <c r="B19989" s="597" t="s">
        <v>36250</v>
      </c>
      <c r="C19989" s="601" t="s">
        <v>36251</v>
      </c>
      <c r="D19989" s="602">
        <v>425.06</v>
      </c>
      <c r="E19989" s="602">
        <v>211.93</v>
      </c>
      <c r="F19989" s="602">
        <v>91.27</v>
      </c>
      <c r="G19989" s="602">
        <v>121.86</v>
      </c>
      <c r="H19989" s="603">
        <v>3514.19</v>
      </c>
      <c r="I19989" s="603">
        <v>2437.15</v>
      </c>
      <c r="J19989" s="603">
        <v>490.76</v>
      </c>
      <c r="K19989" s="603">
        <v>586.28</v>
      </c>
      <c r="L19989" s="43">
        <v>8.2675151743283308</v>
      </c>
      <c r="M19989" s="43">
        <v>11.499787665738687</v>
      </c>
      <c r="N19989" s="43">
        <v>5.3770132573682483</v>
      </c>
      <c r="O19989" s="43">
        <v>4.8110946988347285</v>
      </c>
      <c r="P19989" s="604"/>
      <c r="Q19989" s="604"/>
      <c r="R19989" s="604">
        <v>10</v>
      </c>
    </row>
    <row r="19990" spans="1:18" ht="36">
      <c r="A19990" s="600">
        <v>107</v>
      </c>
      <c r="B19990" s="597" t="s">
        <v>36252</v>
      </c>
      <c r="C19990" s="601" t="s">
        <v>36253</v>
      </c>
      <c r="D19990" s="602">
        <v>553.95000000000005</v>
      </c>
      <c r="E19990" s="602">
        <v>280.89999999999998</v>
      </c>
      <c r="F19990" s="602">
        <v>146.78</v>
      </c>
      <c r="G19990" s="602">
        <v>126.27</v>
      </c>
      <c r="H19990" s="603">
        <v>4648.24</v>
      </c>
      <c r="I19990" s="603">
        <v>3230.3</v>
      </c>
      <c r="J19990" s="603">
        <v>790.51</v>
      </c>
      <c r="K19990" s="603">
        <v>627.42999999999995</v>
      </c>
      <c r="L19990" s="43">
        <v>8.391082227637872</v>
      </c>
      <c r="M19990" s="43">
        <v>11.499822000711999</v>
      </c>
      <c r="N19990" s="43">
        <v>5.3856792478539308</v>
      </c>
      <c r="O19990" s="43">
        <v>4.9689554130038802</v>
      </c>
      <c r="P19990" s="604"/>
      <c r="Q19990" s="604"/>
      <c r="R19990" s="604">
        <v>10</v>
      </c>
    </row>
    <row r="19991" spans="1:18" ht="36">
      <c r="A19991" s="600">
        <v>108</v>
      </c>
      <c r="B19991" s="597" t="s">
        <v>36254</v>
      </c>
      <c r="C19991" s="601" t="s">
        <v>36255</v>
      </c>
      <c r="D19991" s="602">
        <v>663.56</v>
      </c>
      <c r="E19991" s="602">
        <v>342.34</v>
      </c>
      <c r="F19991" s="602">
        <v>186.37</v>
      </c>
      <c r="G19991" s="602">
        <v>134.85</v>
      </c>
      <c r="H19991" s="603">
        <v>5632.34</v>
      </c>
      <c r="I19991" s="603">
        <v>3936.93</v>
      </c>
      <c r="J19991" s="603">
        <v>1004.14</v>
      </c>
      <c r="K19991" s="603">
        <v>691.27</v>
      </c>
      <c r="L19991" s="43">
        <v>8.4880643800108508</v>
      </c>
      <c r="M19991" s="43">
        <v>11.500058421452358</v>
      </c>
      <c r="N19991" s="43">
        <v>5.3878843161453025</v>
      </c>
      <c r="O19991" s="43">
        <v>5.1262143121987398</v>
      </c>
      <c r="P19991" s="604"/>
      <c r="Q19991" s="604"/>
      <c r="R19991" s="604">
        <v>10</v>
      </c>
    </row>
    <row r="19992" spans="1:18" ht="36">
      <c r="A19992" s="600">
        <v>109</v>
      </c>
      <c r="B19992" s="597" t="s">
        <v>36256</v>
      </c>
      <c r="C19992" s="601" t="s">
        <v>36257</v>
      </c>
      <c r="D19992" s="602">
        <v>874.17</v>
      </c>
      <c r="E19992" s="602">
        <v>431.38</v>
      </c>
      <c r="F19992" s="602">
        <v>303.33999999999997</v>
      </c>
      <c r="G19992" s="602">
        <v>139.44999999999999</v>
      </c>
      <c r="H19992" s="603">
        <v>7334.91</v>
      </c>
      <c r="I19992" s="603">
        <v>4960.82</v>
      </c>
      <c r="J19992" s="603">
        <v>1636.97</v>
      </c>
      <c r="K19992" s="603">
        <v>737.12</v>
      </c>
      <c r="L19992" s="43">
        <v>8.3907134767836915</v>
      </c>
      <c r="M19992" s="43">
        <v>11.499884092911122</v>
      </c>
      <c r="N19992" s="43">
        <v>5.3964857915210658</v>
      </c>
      <c r="O19992" s="43">
        <v>5.2859089279311586</v>
      </c>
      <c r="P19992" s="604"/>
      <c r="Q19992" s="604"/>
      <c r="R19992" s="604">
        <v>10</v>
      </c>
    </row>
    <row r="19993" spans="1:18" ht="36">
      <c r="A19993" s="600">
        <v>110</v>
      </c>
      <c r="B19993" s="597" t="s">
        <v>36258</v>
      </c>
      <c r="C19993" s="601" t="s">
        <v>36259</v>
      </c>
      <c r="D19993" s="602">
        <v>982.02</v>
      </c>
      <c r="E19993" s="602">
        <v>466.49</v>
      </c>
      <c r="F19993" s="602">
        <v>367.67</v>
      </c>
      <c r="G19993" s="602">
        <v>147.86000000000001</v>
      </c>
      <c r="H19993" s="603">
        <v>8145.61</v>
      </c>
      <c r="I19993" s="603">
        <v>5364.61</v>
      </c>
      <c r="J19993" s="603">
        <v>1981.2</v>
      </c>
      <c r="K19993" s="603">
        <v>799.8</v>
      </c>
      <c r="L19993" s="43">
        <v>8.2947495977678667</v>
      </c>
      <c r="M19993" s="43">
        <v>11.499946408283135</v>
      </c>
      <c r="N19993" s="43">
        <v>5.3885277558680338</v>
      </c>
      <c r="O19993" s="43">
        <v>5.4091708372785057</v>
      </c>
      <c r="P19993" s="604"/>
      <c r="Q19993" s="604"/>
      <c r="R19993" s="604">
        <v>10</v>
      </c>
    </row>
    <row r="19994" spans="1:18" ht="12.75" customHeight="1">
      <c r="A19994" s="628" t="s">
        <v>36260</v>
      </c>
      <c r="B19994" s="629"/>
      <c r="C19994" s="629"/>
      <c r="D19994" s="629"/>
      <c r="E19994" s="629"/>
      <c r="F19994" s="629"/>
      <c r="G19994" s="629"/>
      <c r="H19994" s="629"/>
      <c r="I19994" s="629"/>
      <c r="J19994" s="629"/>
      <c r="K19994" s="629"/>
      <c r="L19994" s="629"/>
      <c r="M19994" s="629"/>
      <c r="N19994" s="629"/>
      <c r="O19994" s="629"/>
      <c r="P19994" s="629"/>
      <c r="Q19994" s="629"/>
      <c r="R19994" s="629"/>
    </row>
    <row r="19995" spans="1:18" ht="36">
      <c r="A19995" s="600">
        <v>111</v>
      </c>
      <c r="B19995" s="597" t="s">
        <v>36261</v>
      </c>
      <c r="C19995" s="601" t="s">
        <v>36262</v>
      </c>
      <c r="D19995" s="602">
        <v>131.5</v>
      </c>
      <c r="E19995" s="602">
        <v>19.84</v>
      </c>
      <c r="F19995" s="602">
        <v>2.4500000000000002</v>
      </c>
      <c r="G19995" s="602">
        <v>109.21</v>
      </c>
      <c r="H19995" s="603">
        <v>715.31</v>
      </c>
      <c r="I19995" s="603">
        <v>228.16</v>
      </c>
      <c r="J19995" s="603">
        <v>13.02</v>
      </c>
      <c r="K19995" s="603">
        <v>474.13</v>
      </c>
      <c r="L19995" s="43">
        <v>5.4396197718631178</v>
      </c>
      <c r="M19995" s="43">
        <v>11.5</v>
      </c>
      <c r="N19995" s="43">
        <v>5.3142857142857141</v>
      </c>
      <c r="O19995" s="43">
        <v>4.341452247962641</v>
      </c>
      <c r="P19995" s="604"/>
      <c r="Q19995" s="604"/>
      <c r="R19995" s="604">
        <v>11</v>
      </c>
    </row>
    <row r="19996" spans="1:18" ht="36">
      <c r="A19996" s="600">
        <v>112</v>
      </c>
      <c r="B19996" s="597" t="s">
        <v>36263</v>
      </c>
      <c r="C19996" s="601" t="s">
        <v>36264</v>
      </c>
      <c r="D19996" s="602">
        <v>136.87</v>
      </c>
      <c r="E19996" s="602">
        <v>23.34</v>
      </c>
      <c r="F19996" s="602">
        <v>2.86</v>
      </c>
      <c r="G19996" s="602">
        <v>110.67</v>
      </c>
      <c r="H19996" s="603">
        <v>771.62</v>
      </c>
      <c r="I19996" s="603">
        <v>268.42</v>
      </c>
      <c r="J19996" s="603">
        <v>15.25</v>
      </c>
      <c r="K19996" s="603">
        <v>487.95</v>
      </c>
      <c r="L19996" s="43">
        <v>5.6376123328706074</v>
      </c>
      <c r="M19996" s="43">
        <v>11.500428449014567</v>
      </c>
      <c r="N19996" s="43">
        <v>5.3321678321678325</v>
      </c>
      <c r="O19996" s="43">
        <v>4.4090539441583081</v>
      </c>
      <c r="P19996" s="604"/>
      <c r="Q19996" s="604"/>
      <c r="R19996" s="604">
        <v>11</v>
      </c>
    </row>
    <row r="19997" spans="1:18" ht="36">
      <c r="A19997" s="600">
        <v>113</v>
      </c>
      <c r="B19997" s="597" t="s">
        <v>36265</v>
      </c>
      <c r="C19997" s="601" t="s">
        <v>36266</v>
      </c>
      <c r="D19997" s="602">
        <v>154.13</v>
      </c>
      <c r="E19997" s="602">
        <v>29.18</v>
      </c>
      <c r="F19997" s="602">
        <v>7.24</v>
      </c>
      <c r="G19997" s="602">
        <v>117.71</v>
      </c>
      <c r="H19997" s="603">
        <v>909.81</v>
      </c>
      <c r="I19997" s="603">
        <v>335.53</v>
      </c>
      <c r="J19997" s="603">
        <v>38.64</v>
      </c>
      <c r="K19997" s="603">
        <v>535.64</v>
      </c>
      <c r="L19997" s="43">
        <v>5.902874197106339</v>
      </c>
      <c r="M19997" s="43">
        <v>11.498629198080877</v>
      </c>
      <c r="N19997" s="43">
        <v>5.3370165745856353</v>
      </c>
      <c r="O19997" s="43">
        <v>4.5505054795684314</v>
      </c>
      <c r="P19997" s="604"/>
      <c r="Q19997" s="604"/>
      <c r="R19997" s="604">
        <v>11</v>
      </c>
    </row>
    <row r="19998" spans="1:18" ht="36">
      <c r="A19998" s="600">
        <v>114</v>
      </c>
      <c r="B19998" s="597" t="s">
        <v>36267</v>
      </c>
      <c r="C19998" s="601" t="s">
        <v>36268</v>
      </c>
      <c r="D19998" s="602">
        <v>165.57</v>
      </c>
      <c r="E19998" s="602">
        <v>31.51</v>
      </c>
      <c r="F19998" s="602">
        <v>10.1</v>
      </c>
      <c r="G19998" s="602">
        <v>123.96</v>
      </c>
      <c r="H19998" s="603">
        <v>991.43</v>
      </c>
      <c r="I19998" s="603">
        <v>362.37</v>
      </c>
      <c r="J19998" s="603">
        <v>54.16</v>
      </c>
      <c r="K19998" s="603">
        <v>574.9</v>
      </c>
      <c r="L19998" s="43">
        <v>5.9879809144168625</v>
      </c>
      <c r="M19998" s="43">
        <v>11.500158679784196</v>
      </c>
      <c r="N19998" s="43">
        <v>5.3623762376237618</v>
      </c>
      <c r="O19998" s="43">
        <v>4.6377863827040979</v>
      </c>
      <c r="P19998" s="604"/>
      <c r="Q19998" s="604"/>
      <c r="R19998" s="604">
        <v>11</v>
      </c>
    </row>
    <row r="19999" spans="1:18" ht="36">
      <c r="A19999" s="600">
        <v>115</v>
      </c>
      <c r="B19999" s="597" t="s">
        <v>36269</v>
      </c>
      <c r="C19999" s="601" t="s">
        <v>36270</v>
      </c>
      <c r="D19999" s="602">
        <v>183.58</v>
      </c>
      <c r="E19999" s="602">
        <v>38.51</v>
      </c>
      <c r="F19999" s="602">
        <v>19.12</v>
      </c>
      <c r="G19999" s="602">
        <v>125.95</v>
      </c>
      <c r="H19999" s="603">
        <v>1138.08</v>
      </c>
      <c r="I19999" s="603">
        <v>442.89</v>
      </c>
      <c r="J19999" s="603">
        <v>102.98</v>
      </c>
      <c r="K19999" s="603">
        <v>592.21</v>
      </c>
      <c r="L19999" s="43">
        <v>6.1993681228892026</v>
      </c>
      <c r="M19999" s="43">
        <v>11.500649182030642</v>
      </c>
      <c r="N19999" s="43">
        <v>5.3859832635983267</v>
      </c>
      <c r="O19999" s="43">
        <v>4.7019452163556972</v>
      </c>
      <c r="P19999" s="604"/>
      <c r="Q19999" s="604"/>
      <c r="R19999" s="604">
        <v>11</v>
      </c>
    </row>
    <row r="20000" spans="1:18" ht="36">
      <c r="A20000" s="600">
        <v>116</v>
      </c>
      <c r="B20000" s="597" t="s">
        <v>36271</v>
      </c>
      <c r="C20000" s="601" t="s">
        <v>36272</v>
      </c>
      <c r="D20000" s="602">
        <v>207.65</v>
      </c>
      <c r="E20000" s="602">
        <v>46.68</v>
      </c>
      <c r="F20000" s="602">
        <v>26.45</v>
      </c>
      <c r="G20000" s="602">
        <v>134.52000000000001</v>
      </c>
      <c r="H20000" s="603">
        <v>1333.45</v>
      </c>
      <c r="I20000" s="603">
        <v>536.84</v>
      </c>
      <c r="J20000" s="603">
        <v>142.51</v>
      </c>
      <c r="K20000" s="603">
        <v>654.1</v>
      </c>
      <c r="L20000" s="43">
        <v>6.4216229231880568</v>
      </c>
      <c r="M20000" s="43">
        <v>11.500428449014567</v>
      </c>
      <c r="N20000" s="43">
        <v>5.3879017013232513</v>
      </c>
      <c r="O20000" s="43">
        <v>4.8624739815640794</v>
      </c>
      <c r="P20000" s="604"/>
      <c r="Q20000" s="604"/>
      <c r="R20000" s="604">
        <v>11</v>
      </c>
    </row>
    <row r="20001" spans="1:18" ht="12.75" customHeight="1">
      <c r="A20001" s="628" t="s">
        <v>36273</v>
      </c>
      <c r="B20001" s="629"/>
      <c r="C20001" s="629"/>
      <c r="D20001" s="629"/>
      <c r="E20001" s="629"/>
      <c r="F20001" s="629"/>
      <c r="G20001" s="629"/>
      <c r="H20001" s="629"/>
      <c r="I20001" s="629"/>
      <c r="J20001" s="629"/>
      <c r="K20001" s="629"/>
      <c r="L20001" s="629"/>
      <c r="M20001" s="629"/>
      <c r="N20001" s="629"/>
      <c r="O20001" s="629"/>
      <c r="P20001" s="629"/>
      <c r="Q20001" s="629"/>
      <c r="R20001" s="629"/>
    </row>
    <row r="20002" spans="1:18" ht="48">
      <c r="A20002" s="600">
        <v>117</v>
      </c>
      <c r="B20002" s="597" t="s">
        <v>36274</v>
      </c>
      <c r="C20002" s="601" t="s">
        <v>36275</v>
      </c>
      <c r="D20002" s="602">
        <v>141.51</v>
      </c>
      <c r="E20002" s="602">
        <v>26.07</v>
      </c>
      <c r="F20002" s="602">
        <v>6.05</v>
      </c>
      <c r="G20002" s="602">
        <v>109.39</v>
      </c>
      <c r="H20002" s="603">
        <v>808.32</v>
      </c>
      <c r="I20002" s="603">
        <v>299.82</v>
      </c>
      <c r="J20002" s="603">
        <v>32.299999999999997</v>
      </c>
      <c r="K20002" s="603">
        <v>476.2</v>
      </c>
      <c r="L20002" s="43">
        <v>5.7121051515793946</v>
      </c>
      <c r="M20002" s="43">
        <v>11.500575373993096</v>
      </c>
      <c r="N20002" s="43">
        <v>5.3388429752066111</v>
      </c>
      <c r="O20002" s="43">
        <v>4.3532315568150652</v>
      </c>
      <c r="P20002" s="604"/>
      <c r="Q20002" s="604"/>
      <c r="R20002" s="604">
        <v>12</v>
      </c>
    </row>
    <row r="20003" spans="1:18" ht="48">
      <c r="A20003" s="600">
        <v>118</v>
      </c>
      <c r="B20003" s="597" t="s">
        <v>36276</v>
      </c>
      <c r="C20003" s="601" t="s">
        <v>36277</v>
      </c>
      <c r="D20003" s="602">
        <v>152.24</v>
      </c>
      <c r="E20003" s="602">
        <v>29.63</v>
      </c>
      <c r="F20003" s="602">
        <v>11.75</v>
      </c>
      <c r="G20003" s="602">
        <v>110.86</v>
      </c>
      <c r="H20003" s="603">
        <v>894</v>
      </c>
      <c r="I20003" s="603">
        <v>340.7</v>
      </c>
      <c r="J20003" s="603">
        <v>63.16</v>
      </c>
      <c r="K20003" s="603">
        <v>490.14</v>
      </c>
      <c r="L20003" s="43">
        <v>5.8723068838675774</v>
      </c>
      <c r="M20003" s="43">
        <v>11.498481268984138</v>
      </c>
      <c r="N20003" s="43">
        <v>5.3753191489361702</v>
      </c>
      <c r="O20003" s="43">
        <v>4.4212520295868663</v>
      </c>
      <c r="P20003" s="604"/>
      <c r="Q20003" s="604"/>
      <c r="R20003" s="604">
        <v>12</v>
      </c>
    </row>
    <row r="20004" spans="1:18" ht="48">
      <c r="A20004" s="600">
        <v>119</v>
      </c>
      <c r="B20004" s="597" t="s">
        <v>36278</v>
      </c>
      <c r="C20004" s="601" t="s">
        <v>36279</v>
      </c>
      <c r="D20004" s="602">
        <v>169.89</v>
      </c>
      <c r="E20004" s="602">
        <v>36.74</v>
      </c>
      <c r="F20004" s="602">
        <v>15.22</v>
      </c>
      <c r="G20004" s="602">
        <v>117.93</v>
      </c>
      <c r="H20004" s="603">
        <v>1042.54</v>
      </c>
      <c r="I20004" s="603">
        <v>422.47</v>
      </c>
      <c r="J20004" s="603">
        <v>81.900000000000006</v>
      </c>
      <c r="K20004" s="603">
        <v>538.16999999999996</v>
      </c>
      <c r="L20004" s="43">
        <v>6.1365589499087649</v>
      </c>
      <c r="M20004" s="43">
        <v>11.498911268372346</v>
      </c>
      <c r="N20004" s="43">
        <v>5.38107752956636</v>
      </c>
      <c r="O20004" s="43">
        <v>4.5634698549987274</v>
      </c>
      <c r="P20004" s="604"/>
      <c r="Q20004" s="604"/>
      <c r="R20004" s="604">
        <v>12</v>
      </c>
    </row>
    <row r="20005" spans="1:18" ht="48">
      <c r="A20005" s="600">
        <v>120</v>
      </c>
      <c r="B20005" s="597" t="s">
        <v>36280</v>
      </c>
      <c r="C20005" s="601" t="s">
        <v>36281</v>
      </c>
      <c r="D20005" s="602">
        <v>187.8</v>
      </c>
      <c r="E20005" s="602">
        <v>37.92</v>
      </c>
      <c r="F20005" s="602">
        <v>25.73</v>
      </c>
      <c r="G20005" s="602">
        <v>124.15</v>
      </c>
      <c r="H20005" s="603">
        <v>1152.1099999999999</v>
      </c>
      <c r="I20005" s="603">
        <v>436.1</v>
      </c>
      <c r="J20005" s="603">
        <v>138.93</v>
      </c>
      <c r="K20005" s="603">
        <v>577.08000000000004</v>
      </c>
      <c r="L20005" s="43">
        <v>6.1347710330138439</v>
      </c>
      <c r="M20005" s="43">
        <v>11.500527426160337</v>
      </c>
      <c r="N20005" s="43">
        <v>5.3995336183443454</v>
      </c>
      <c r="O20005" s="43">
        <v>4.6482480869915426</v>
      </c>
      <c r="P20005" s="604"/>
      <c r="Q20005" s="604"/>
      <c r="R20005" s="604">
        <v>12</v>
      </c>
    </row>
    <row r="20006" spans="1:18" ht="48">
      <c r="A20006" s="600">
        <v>121</v>
      </c>
      <c r="B20006" s="597" t="s">
        <v>36282</v>
      </c>
      <c r="C20006" s="601" t="s">
        <v>36283</v>
      </c>
      <c r="D20006" s="602">
        <v>203.29</v>
      </c>
      <c r="E20006" s="602">
        <v>49.77</v>
      </c>
      <c r="F20006" s="602">
        <v>27.24</v>
      </c>
      <c r="G20006" s="602">
        <v>126.28</v>
      </c>
      <c r="H20006" s="603">
        <v>1315.31</v>
      </c>
      <c r="I20006" s="603">
        <v>572.38</v>
      </c>
      <c r="J20006" s="603">
        <v>146.91999999999999</v>
      </c>
      <c r="K20006" s="603">
        <v>596.01</v>
      </c>
      <c r="L20006" s="43">
        <v>6.4701165822224409</v>
      </c>
      <c r="M20006" s="43">
        <v>11.500502310628892</v>
      </c>
      <c r="N20006" s="43">
        <v>5.3935389133627014</v>
      </c>
      <c r="O20006" s="43">
        <v>4.7197497624326887</v>
      </c>
      <c r="P20006" s="604"/>
      <c r="Q20006" s="604"/>
      <c r="R20006" s="604">
        <v>12</v>
      </c>
    </row>
    <row r="20007" spans="1:18" ht="48">
      <c r="A20007" s="600">
        <v>122</v>
      </c>
      <c r="B20007" s="597" t="s">
        <v>36284</v>
      </c>
      <c r="C20007" s="601" t="s">
        <v>36285</v>
      </c>
      <c r="D20007" s="602">
        <v>227.44</v>
      </c>
      <c r="E20007" s="602">
        <v>62.81</v>
      </c>
      <c r="F20007" s="602">
        <v>29.63</v>
      </c>
      <c r="G20007" s="602">
        <v>135</v>
      </c>
      <c r="H20007" s="603">
        <v>1541.55</v>
      </c>
      <c r="I20007" s="603">
        <v>722.28</v>
      </c>
      <c r="J20007" s="603">
        <v>159.65</v>
      </c>
      <c r="K20007" s="603">
        <v>659.62</v>
      </c>
      <c r="L20007" s="43">
        <v>6.7778315160042206</v>
      </c>
      <c r="M20007" s="43">
        <v>11.4994427638911</v>
      </c>
      <c r="N20007" s="43">
        <v>5.3881201484981442</v>
      </c>
      <c r="O20007" s="43">
        <v>4.8860740740740738</v>
      </c>
      <c r="P20007" s="604"/>
      <c r="Q20007" s="604"/>
      <c r="R20007" s="604">
        <v>12</v>
      </c>
    </row>
    <row r="20008" spans="1:18" ht="12.75" customHeight="1">
      <c r="A20008" s="628" t="s">
        <v>36286</v>
      </c>
      <c r="B20008" s="629"/>
      <c r="C20008" s="629"/>
      <c r="D20008" s="629"/>
      <c r="E20008" s="629"/>
      <c r="F20008" s="629"/>
      <c r="G20008" s="629"/>
      <c r="H20008" s="629"/>
      <c r="I20008" s="629"/>
      <c r="J20008" s="629"/>
      <c r="K20008" s="629"/>
      <c r="L20008" s="629"/>
      <c r="M20008" s="629"/>
      <c r="N20008" s="629"/>
      <c r="O20008" s="629"/>
      <c r="P20008" s="629"/>
      <c r="Q20008" s="629"/>
      <c r="R20008" s="629"/>
    </row>
    <row r="20009" spans="1:18" ht="48">
      <c r="A20009" s="600">
        <v>123</v>
      </c>
      <c r="B20009" s="597" t="s">
        <v>36287</v>
      </c>
      <c r="C20009" s="601" t="s">
        <v>36288</v>
      </c>
      <c r="D20009" s="602">
        <v>189.63</v>
      </c>
      <c r="E20009" s="602">
        <v>64.66</v>
      </c>
      <c r="F20009" s="602">
        <v>13.06</v>
      </c>
      <c r="G20009" s="602">
        <v>111.91</v>
      </c>
      <c r="H20009" s="603">
        <v>1315.75</v>
      </c>
      <c r="I20009" s="603">
        <v>743.59</v>
      </c>
      <c r="J20009" s="603">
        <v>69.95</v>
      </c>
      <c r="K20009" s="603">
        <v>502.21</v>
      </c>
      <c r="L20009" s="43">
        <v>6.9385118388440645</v>
      </c>
      <c r="M20009" s="43">
        <v>11.500000000000002</v>
      </c>
      <c r="N20009" s="43">
        <v>5.3560490045941807</v>
      </c>
      <c r="O20009" s="43">
        <v>4.4876239835582163</v>
      </c>
      <c r="P20009" s="604"/>
      <c r="Q20009" s="604"/>
      <c r="R20009" s="604">
        <v>13</v>
      </c>
    </row>
    <row r="20010" spans="1:18" ht="48">
      <c r="A20010" s="600">
        <v>124</v>
      </c>
      <c r="B20010" s="597" t="s">
        <v>36289</v>
      </c>
      <c r="C20010" s="601" t="s">
        <v>36290</v>
      </c>
      <c r="D20010" s="602">
        <v>239.59</v>
      </c>
      <c r="E20010" s="602">
        <v>74.42</v>
      </c>
      <c r="F20010" s="602">
        <v>39.93</v>
      </c>
      <c r="G20010" s="602">
        <v>125.24</v>
      </c>
      <c r="H20010" s="603">
        <v>1661.12</v>
      </c>
      <c r="I20010" s="603">
        <v>855.83</v>
      </c>
      <c r="J20010" s="603">
        <v>215.67</v>
      </c>
      <c r="K20010" s="603">
        <v>589.62</v>
      </c>
      <c r="L20010" s="43">
        <v>6.9331775115822856</v>
      </c>
      <c r="M20010" s="43">
        <v>11.5</v>
      </c>
      <c r="N20010" s="43">
        <v>5.4012021036814426</v>
      </c>
      <c r="O20010" s="43">
        <v>4.7079207920792081</v>
      </c>
      <c r="P20010" s="604"/>
      <c r="Q20010" s="604"/>
      <c r="R20010" s="604">
        <v>13</v>
      </c>
    </row>
    <row r="20011" spans="1:18" ht="48">
      <c r="A20011" s="600">
        <v>125</v>
      </c>
      <c r="B20011" s="597" t="s">
        <v>36291</v>
      </c>
      <c r="C20011" s="601" t="s">
        <v>36292</v>
      </c>
      <c r="D20011" s="602">
        <v>273.66000000000003</v>
      </c>
      <c r="E20011" s="602">
        <v>101.26</v>
      </c>
      <c r="F20011" s="602">
        <v>44.57</v>
      </c>
      <c r="G20011" s="602">
        <v>127.83</v>
      </c>
      <c r="H20011" s="603">
        <v>2018.83</v>
      </c>
      <c r="I20011" s="603">
        <v>1164.49</v>
      </c>
      <c r="J20011" s="603">
        <v>240.51</v>
      </c>
      <c r="K20011" s="603">
        <v>613.83000000000004</v>
      </c>
      <c r="L20011" s="43">
        <v>7.3771468245267844</v>
      </c>
      <c r="M20011" s="43">
        <v>11.5</v>
      </c>
      <c r="N20011" s="43">
        <v>5.3962306484182179</v>
      </c>
      <c r="O20011" s="43">
        <v>4.8019244308847693</v>
      </c>
      <c r="P20011" s="604"/>
      <c r="Q20011" s="604"/>
      <c r="R20011" s="604">
        <v>13</v>
      </c>
    </row>
    <row r="20012" spans="1:18" ht="48">
      <c r="A20012" s="600">
        <v>126</v>
      </c>
      <c r="B20012" s="597" t="s">
        <v>36293</v>
      </c>
      <c r="C20012" s="601" t="s">
        <v>36294</v>
      </c>
      <c r="D20012" s="602">
        <v>303.06</v>
      </c>
      <c r="E20012" s="602">
        <v>117.12</v>
      </c>
      <c r="F20012" s="602">
        <v>49.61</v>
      </c>
      <c r="G20012" s="602">
        <v>136.33000000000001</v>
      </c>
      <c r="H20012" s="603">
        <v>2287.59</v>
      </c>
      <c r="I20012" s="603">
        <v>1346.88</v>
      </c>
      <c r="J20012" s="603">
        <v>267.56</v>
      </c>
      <c r="K20012" s="603">
        <v>673.15</v>
      </c>
      <c r="L20012" s="43">
        <v>7.5483072658879431</v>
      </c>
      <c r="M20012" s="43">
        <v>11.5</v>
      </c>
      <c r="N20012" s="43">
        <v>5.3932674863938725</v>
      </c>
      <c r="O20012" s="43">
        <v>4.9376512873175376</v>
      </c>
      <c r="P20012" s="604"/>
      <c r="Q20012" s="604"/>
      <c r="R20012" s="604">
        <v>13</v>
      </c>
    </row>
    <row r="20013" spans="1:18" ht="12.75" customHeight="1">
      <c r="A20013" s="628" t="s">
        <v>36295</v>
      </c>
      <c r="B20013" s="629"/>
      <c r="C20013" s="629"/>
      <c r="D20013" s="629"/>
      <c r="E20013" s="629"/>
      <c r="F20013" s="629"/>
      <c r="G20013" s="629"/>
      <c r="H20013" s="629"/>
      <c r="I20013" s="629"/>
      <c r="J20013" s="629"/>
      <c r="K20013" s="629"/>
      <c r="L20013" s="629"/>
      <c r="M20013" s="629"/>
      <c r="N20013" s="629"/>
      <c r="O20013" s="629"/>
      <c r="P20013" s="629"/>
      <c r="Q20013" s="629"/>
      <c r="R20013" s="629"/>
    </row>
    <row r="20014" spans="1:18" ht="48">
      <c r="A20014" s="600">
        <v>127</v>
      </c>
      <c r="B20014" s="597" t="s">
        <v>36296</v>
      </c>
      <c r="C20014" s="601" t="s">
        <v>36297</v>
      </c>
      <c r="D20014" s="602">
        <v>145.33000000000001</v>
      </c>
      <c r="E20014" s="602">
        <v>29.69</v>
      </c>
      <c r="F20014" s="602">
        <v>6.14</v>
      </c>
      <c r="G20014" s="602">
        <v>109.5</v>
      </c>
      <c r="H20014" s="603">
        <v>851.67</v>
      </c>
      <c r="I20014" s="603">
        <v>341.42</v>
      </c>
      <c r="J20014" s="603">
        <v>32.78</v>
      </c>
      <c r="K20014" s="603">
        <v>477.47</v>
      </c>
      <c r="L20014" s="43">
        <v>5.8602490882818401</v>
      </c>
      <c r="M20014" s="43">
        <v>11.499494779387</v>
      </c>
      <c r="N20014" s="43">
        <v>5.3387622149837135</v>
      </c>
      <c r="O20014" s="43">
        <v>4.3604566210045661</v>
      </c>
      <c r="P20014" s="604"/>
      <c r="Q20014" s="604"/>
      <c r="R20014" s="604">
        <v>14</v>
      </c>
    </row>
    <row r="20015" spans="1:18" ht="48">
      <c r="A20015" s="600">
        <v>128</v>
      </c>
      <c r="B20015" s="597" t="s">
        <v>36298</v>
      </c>
      <c r="C20015" s="601" t="s">
        <v>36299</v>
      </c>
      <c r="D20015" s="602">
        <v>155.16999999999999</v>
      </c>
      <c r="E20015" s="602">
        <v>34.64</v>
      </c>
      <c r="F20015" s="602">
        <v>9.52</v>
      </c>
      <c r="G20015" s="602">
        <v>111.01</v>
      </c>
      <c r="H20015" s="603">
        <v>941.2</v>
      </c>
      <c r="I20015" s="603">
        <v>398.33</v>
      </c>
      <c r="J20015" s="603">
        <v>51.01</v>
      </c>
      <c r="K20015" s="603">
        <v>491.86</v>
      </c>
      <c r="L20015" s="43">
        <v>6.0656054649739</v>
      </c>
      <c r="M20015" s="43">
        <v>11.499133949191686</v>
      </c>
      <c r="N20015" s="43">
        <v>5.3581932773109244</v>
      </c>
      <c r="O20015" s="43">
        <v>4.4307720025222954</v>
      </c>
      <c r="P20015" s="604"/>
      <c r="Q20015" s="604"/>
      <c r="R20015" s="604">
        <v>14</v>
      </c>
    </row>
    <row r="20016" spans="1:18" ht="48">
      <c r="A20016" s="600">
        <v>129</v>
      </c>
      <c r="B20016" s="597" t="s">
        <v>36300</v>
      </c>
      <c r="C20016" s="601" t="s">
        <v>36301</v>
      </c>
      <c r="D20016" s="602">
        <v>176.63</v>
      </c>
      <c r="E20016" s="602">
        <v>43.3</v>
      </c>
      <c r="F20016" s="602">
        <v>15.2</v>
      </c>
      <c r="G20016" s="602">
        <v>118.13</v>
      </c>
      <c r="H20016" s="603">
        <v>1120.1400000000001</v>
      </c>
      <c r="I20016" s="603">
        <v>497.91</v>
      </c>
      <c r="J20016" s="603">
        <v>81.760000000000005</v>
      </c>
      <c r="K20016" s="603">
        <v>540.47</v>
      </c>
      <c r="L20016" s="43">
        <v>6.3417313027232076</v>
      </c>
      <c r="M20016" s="43">
        <v>11.499076212471133</v>
      </c>
      <c r="N20016" s="43">
        <v>5.3789473684210529</v>
      </c>
      <c r="O20016" s="43">
        <v>4.5752137475662407</v>
      </c>
      <c r="P20016" s="604"/>
      <c r="Q20016" s="604"/>
      <c r="R20016" s="604">
        <v>14</v>
      </c>
    </row>
    <row r="20017" spans="1:18" ht="48">
      <c r="A20017" s="600">
        <v>130</v>
      </c>
      <c r="B20017" s="597" t="s">
        <v>36302</v>
      </c>
      <c r="C20017" s="601" t="s">
        <v>36303</v>
      </c>
      <c r="D20017" s="602">
        <v>194.05</v>
      </c>
      <c r="E20017" s="602">
        <v>48.24</v>
      </c>
      <c r="F20017" s="602">
        <v>21.35</v>
      </c>
      <c r="G20017" s="602">
        <v>124.46</v>
      </c>
      <c r="H20017" s="603">
        <v>1250.5</v>
      </c>
      <c r="I20017" s="603">
        <v>554.80999999999995</v>
      </c>
      <c r="J20017" s="603">
        <v>115.04</v>
      </c>
      <c r="K20017" s="603">
        <v>580.65</v>
      </c>
      <c r="L20017" s="43">
        <v>6.4442154083998968</v>
      </c>
      <c r="M20017" s="43">
        <v>11.501036484245438</v>
      </c>
      <c r="N20017" s="43">
        <v>5.3882903981264638</v>
      </c>
      <c r="O20017" s="43">
        <v>4.6653543307086611</v>
      </c>
      <c r="P20017" s="604"/>
      <c r="Q20017" s="604"/>
      <c r="R20017" s="604">
        <v>14</v>
      </c>
    </row>
    <row r="20018" spans="1:18" ht="48">
      <c r="A20018" s="600">
        <v>131</v>
      </c>
      <c r="B20018" s="597" t="s">
        <v>36304</v>
      </c>
      <c r="C20018" s="601" t="s">
        <v>36305</v>
      </c>
      <c r="D20018" s="602">
        <v>226.86</v>
      </c>
      <c r="E20018" s="602">
        <v>64.319999999999993</v>
      </c>
      <c r="F20018" s="602">
        <v>35.82</v>
      </c>
      <c r="G20018" s="602">
        <v>126.72</v>
      </c>
      <c r="H20018" s="603">
        <v>1534.19</v>
      </c>
      <c r="I20018" s="603">
        <v>739.75</v>
      </c>
      <c r="J20018" s="603">
        <v>193.37</v>
      </c>
      <c r="K20018" s="603">
        <v>601.07000000000005</v>
      </c>
      <c r="L20018" s="43">
        <v>6.7627170942431452</v>
      </c>
      <c r="M20018" s="43">
        <v>11.501088308457712</v>
      </c>
      <c r="N20018" s="43">
        <v>5.3983807928531551</v>
      </c>
      <c r="O20018" s="43">
        <v>4.7432922979797985</v>
      </c>
      <c r="P20018" s="604"/>
      <c r="Q20018" s="604"/>
      <c r="R20018" s="604">
        <v>14</v>
      </c>
    </row>
    <row r="20019" spans="1:18" ht="48">
      <c r="A20019" s="600">
        <v>132</v>
      </c>
      <c r="B20019" s="597" t="s">
        <v>36306</v>
      </c>
      <c r="C20019" s="601" t="s">
        <v>36307</v>
      </c>
      <c r="D20019" s="602">
        <v>258.12</v>
      </c>
      <c r="E20019" s="602">
        <v>81.64</v>
      </c>
      <c r="F20019" s="602">
        <v>40.909999999999997</v>
      </c>
      <c r="G20019" s="602">
        <v>135.57</v>
      </c>
      <c r="H20019" s="603">
        <v>1825.83</v>
      </c>
      <c r="I20019" s="603">
        <v>938.92</v>
      </c>
      <c r="J20019" s="603">
        <v>220.73</v>
      </c>
      <c r="K20019" s="603">
        <v>666.18</v>
      </c>
      <c r="L20019" s="43">
        <v>7.0735704323570427</v>
      </c>
      <c r="M20019" s="43">
        <v>11.500734933855952</v>
      </c>
      <c r="N20019" s="43">
        <v>5.3955023221706186</v>
      </c>
      <c r="O20019" s="43">
        <v>4.913919008630228</v>
      </c>
      <c r="P20019" s="604"/>
      <c r="Q20019" s="604"/>
      <c r="R20019" s="604">
        <v>14</v>
      </c>
    </row>
    <row r="20020" spans="1:18" ht="12.75" customHeight="1">
      <c r="A20020" s="628" t="s">
        <v>36308</v>
      </c>
      <c r="B20020" s="629"/>
      <c r="C20020" s="629"/>
      <c r="D20020" s="629"/>
      <c r="E20020" s="629"/>
      <c r="F20020" s="629"/>
      <c r="G20020" s="629"/>
      <c r="H20020" s="629"/>
      <c r="I20020" s="629"/>
      <c r="J20020" s="629"/>
      <c r="K20020" s="629"/>
      <c r="L20020" s="629"/>
      <c r="M20020" s="629"/>
      <c r="N20020" s="629"/>
      <c r="O20020" s="629"/>
      <c r="P20020" s="629"/>
      <c r="Q20020" s="629"/>
      <c r="R20020" s="629"/>
    </row>
    <row r="20021" spans="1:18" ht="48">
      <c r="A20021" s="600">
        <v>133</v>
      </c>
      <c r="B20021" s="597" t="s">
        <v>36309</v>
      </c>
      <c r="C20021" s="601" t="s">
        <v>36310</v>
      </c>
      <c r="D20021" s="602">
        <v>218.75</v>
      </c>
      <c r="E20021" s="602">
        <v>77.930000000000007</v>
      </c>
      <c r="F20021" s="602">
        <v>21.65</v>
      </c>
      <c r="G20021" s="602">
        <v>119.17</v>
      </c>
      <c r="H20021" s="603">
        <v>1565.08</v>
      </c>
      <c r="I20021" s="603">
        <v>896.24</v>
      </c>
      <c r="J20021" s="603">
        <v>116.41</v>
      </c>
      <c r="K20021" s="603">
        <v>552.42999999999995</v>
      </c>
      <c r="L20021" s="43">
        <v>7.1546514285714284</v>
      </c>
      <c r="M20021" s="43">
        <v>11.500577441293467</v>
      </c>
      <c r="N20021" s="43">
        <v>5.376905311778291</v>
      </c>
      <c r="O20021" s="43">
        <v>4.6356465553411086</v>
      </c>
      <c r="P20021" s="604"/>
      <c r="Q20021" s="604"/>
      <c r="R20021" s="604">
        <v>15</v>
      </c>
    </row>
    <row r="20022" spans="1:18" ht="48">
      <c r="A20022" s="600">
        <v>134</v>
      </c>
      <c r="B20022" s="597" t="s">
        <v>36311</v>
      </c>
      <c r="C20022" s="601" t="s">
        <v>36312</v>
      </c>
      <c r="D20022" s="602">
        <v>256.77999999999997</v>
      </c>
      <c r="E20022" s="602">
        <v>85.35</v>
      </c>
      <c r="F20022" s="602">
        <v>45.86</v>
      </c>
      <c r="G20022" s="602">
        <v>125.57</v>
      </c>
      <c r="H20022" s="603">
        <v>1822.71</v>
      </c>
      <c r="I20022" s="603">
        <v>981.59</v>
      </c>
      <c r="J20022" s="603">
        <v>247.71</v>
      </c>
      <c r="K20022" s="603">
        <v>593.41</v>
      </c>
      <c r="L20022" s="43">
        <v>7.0983332035205242</v>
      </c>
      <c r="M20022" s="43">
        <v>11.50076157000586</v>
      </c>
      <c r="N20022" s="43">
        <v>5.4014391626689928</v>
      </c>
      <c r="O20022" s="43">
        <v>4.7257306681532212</v>
      </c>
      <c r="P20022" s="604"/>
      <c r="Q20022" s="604"/>
      <c r="R20022" s="604">
        <v>15</v>
      </c>
    </row>
    <row r="20023" spans="1:18" ht="48">
      <c r="A20023" s="600">
        <v>135</v>
      </c>
      <c r="B20023" s="597" t="s">
        <v>36313</v>
      </c>
      <c r="C20023" s="601" t="s">
        <v>36314</v>
      </c>
      <c r="D20023" s="602">
        <v>328.3</v>
      </c>
      <c r="E20023" s="602">
        <v>119.99</v>
      </c>
      <c r="F20023" s="602">
        <v>79.92</v>
      </c>
      <c r="G20023" s="602">
        <v>128.38999999999999</v>
      </c>
      <c r="H20023" s="603">
        <v>2431.35</v>
      </c>
      <c r="I20023" s="603">
        <v>1379.92</v>
      </c>
      <c r="J20023" s="603">
        <v>431.16</v>
      </c>
      <c r="K20023" s="603">
        <v>620.27</v>
      </c>
      <c r="L20023" s="43">
        <v>7.4058787694182149</v>
      </c>
      <c r="M20023" s="43">
        <v>11.500291690974249</v>
      </c>
      <c r="N20023" s="43">
        <v>5.3948948948948949</v>
      </c>
      <c r="O20023" s="43">
        <v>4.831139496845549</v>
      </c>
      <c r="P20023" s="604"/>
      <c r="Q20023" s="604"/>
      <c r="R20023" s="604">
        <v>15</v>
      </c>
    </row>
    <row r="20024" spans="1:18" ht="12.75" customHeight="1">
      <c r="A20024" s="628" t="s">
        <v>36315</v>
      </c>
      <c r="B20024" s="629"/>
      <c r="C20024" s="629"/>
      <c r="D20024" s="629"/>
      <c r="E20024" s="629"/>
      <c r="F20024" s="629"/>
      <c r="G20024" s="629"/>
      <c r="H20024" s="629"/>
      <c r="I20024" s="629"/>
      <c r="J20024" s="629"/>
      <c r="K20024" s="629"/>
      <c r="L20024" s="629"/>
      <c r="M20024" s="629"/>
      <c r="N20024" s="629"/>
      <c r="O20024" s="629"/>
      <c r="P20024" s="629"/>
      <c r="Q20024" s="629"/>
      <c r="R20024" s="629"/>
    </row>
    <row r="20025" spans="1:18" ht="48">
      <c r="A20025" s="600">
        <v>136</v>
      </c>
      <c r="B20025" s="597" t="s">
        <v>36316</v>
      </c>
      <c r="C20025" s="601" t="s">
        <v>36317</v>
      </c>
      <c r="D20025" s="602">
        <v>190.05</v>
      </c>
      <c r="E20025" s="602">
        <v>63.95</v>
      </c>
      <c r="F20025" s="602">
        <v>14.21</v>
      </c>
      <c r="G20025" s="602">
        <v>111.89</v>
      </c>
      <c r="H20025" s="603">
        <v>1313.6</v>
      </c>
      <c r="I20025" s="603">
        <v>735.47</v>
      </c>
      <c r="J20025" s="603">
        <v>76.150000000000006</v>
      </c>
      <c r="K20025" s="603">
        <v>501.98</v>
      </c>
      <c r="L20025" s="43">
        <v>6.9118652986056288</v>
      </c>
      <c r="M20025" s="43">
        <v>11.500703674745894</v>
      </c>
      <c r="N20025" s="43">
        <v>5.3589021815622804</v>
      </c>
      <c r="O20025" s="43">
        <v>4.4863705424970952</v>
      </c>
      <c r="P20025" s="604"/>
      <c r="Q20025" s="604"/>
      <c r="R20025" s="604">
        <v>16</v>
      </c>
    </row>
    <row r="20026" spans="1:18" ht="48">
      <c r="A20026" s="600">
        <v>137</v>
      </c>
      <c r="B20026" s="597" t="s">
        <v>36318</v>
      </c>
      <c r="C20026" s="601" t="s">
        <v>36319</v>
      </c>
      <c r="D20026" s="602">
        <v>221.95</v>
      </c>
      <c r="E20026" s="602">
        <v>80.260000000000005</v>
      </c>
      <c r="F20026" s="602">
        <v>16.27</v>
      </c>
      <c r="G20026" s="602">
        <v>125.42</v>
      </c>
      <c r="H20026" s="603">
        <v>1601.67</v>
      </c>
      <c r="I20026" s="603">
        <v>922.94</v>
      </c>
      <c r="J20026" s="603">
        <v>87.04</v>
      </c>
      <c r="K20026" s="603">
        <v>591.69000000000005</v>
      </c>
      <c r="L20026" s="43">
        <v>7.2163550349177754</v>
      </c>
      <c r="M20026" s="43">
        <v>11.499377024669823</v>
      </c>
      <c r="N20026" s="43">
        <v>5.3497234173325143</v>
      </c>
      <c r="O20026" s="43">
        <v>4.7176686333918036</v>
      </c>
      <c r="P20026" s="604"/>
      <c r="Q20026" s="604"/>
      <c r="R20026" s="604">
        <v>16</v>
      </c>
    </row>
    <row r="20027" spans="1:18" ht="48">
      <c r="A20027" s="600">
        <v>138</v>
      </c>
      <c r="B20027" s="597" t="s">
        <v>36320</v>
      </c>
      <c r="C20027" s="601" t="s">
        <v>36321</v>
      </c>
      <c r="D20027" s="602">
        <v>257.27999999999997</v>
      </c>
      <c r="E20027" s="602">
        <v>100.32</v>
      </c>
      <c r="F20027" s="602">
        <v>29.16</v>
      </c>
      <c r="G20027" s="602">
        <v>127.8</v>
      </c>
      <c r="H20027" s="603">
        <v>1923.83</v>
      </c>
      <c r="I20027" s="603">
        <v>1153.68</v>
      </c>
      <c r="J20027" s="603">
        <v>156.66</v>
      </c>
      <c r="K20027" s="603">
        <v>613.49</v>
      </c>
      <c r="L20027" s="43">
        <v>7.4775730721393039</v>
      </c>
      <c r="M20027" s="43">
        <v>11.500000000000002</v>
      </c>
      <c r="N20027" s="43">
        <v>5.3724279835390947</v>
      </c>
      <c r="O20027" s="43">
        <v>4.8003912363067291</v>
      </c>
      <c r="P20027" s="604"/>
      <c r="Q20027" s="604"/>
      <c r="R20027" s="604">
        <v>16</v>
      </c>
    </row>
    <row r="20028" spans="1:18" ht="48">
      <c r="A20028" s="600">
        <v>139</v>
      </c>
      <c r="B20028" s="597" t="s">
        <v>36322</v>
      </c>
      <c r="C20028" s="601" t="s">
        <v>36323</v>
      </c>
      <c r="D20028" s="602">
        <v>302.45999999999998</v>
      </c>
      <c r="E20028" s="602">
        <v>120.38</v>
      </c>
      <c r="F20028" s="602">
        <v>45.65</v>
      </c>
      <c r="G20028" s="602">
        <v>136.43</v>
      </c>
      <c r="H20028" s="603">
        <v>2304.52</v>
      </c>
      <c r="I20028" s="603">
        <v>1384.42</v>
      </c>
      <c r="J20028" s="603">
        <v>245.8</v>
      </c>
      <c r="K20028" s="603">
        <v>674.3</v>
      </c>
      <c r="L20028" s="43">
        <v>7.619255438735701</v>
      </c>
      <c r="M20028" s="43">
        <v>11.500415351387275</v>
      </c>
      <c r="N20028" s="43">
        <v>5.3844468784227821</v>
      </c>
      <c r="O20028" s="43">
        <v>4.9424613354833973</v>
      </c>
      <c r="P20028" s="604"/>
      <c r="Q20028" s="604"/>
      <c r="R20028" s="604">
        <v>16</v>
      </c>
    </row>
    <row r="20029" spans="1:18" ht="12.75" customHeight="1">
      <c r="A20029" s="628" t="s">
        <v>36324</v>
      </c>
      <c r="B20029" s="629"/>
      <c r="C20029" s="629"/>
      <c r="D20029" s="629"/>
      <c r="E20029" s="629"/>
      <c r="F20029" s="629"/>
      <c r="G20029" s="629"/>
      <c r="H20029" s="629"/>
      <c r="I20029" s="629"/>
      <c r="J20029" s="629"/>
      <c r="K20029" s="629"/>
      <c r="L20029" s="629"/>
      <c r="M20029" s="629"/>
      <c r="N20029" s="629"/>
      <c r="O20029" s="629"/>
      <c r="P20029" s="629"/>
      <c r="Q20029" s="629"/>
      <c r="R20029" s="629"/>
    </row>
    <row r="20030" spans="1:18" ht="48">
      <c r="A20030" s="600">
        <v>140</v>
      </c>
      <c r="B20030" s="597" t="s">
        <v>36325</v>
      </c>
      <c r="C20030" s="601" t="s">
        <v>36326</v>
      </c>
      <c r="D20030" s="602">
        <v>247.27</v>
      </c>
      <c r="E20030" s="602">
        <v>110.35</v>
      </c>
      <c r="F20030" s="602">
        <v>23.64</v>
      </c>
      <c r="G20030" s="602">
        <v>113.28</v>
      </c>
      <c r="H20030" s="603">
        <v>1913.89</v>
      </c>
      <c r="I20030" s="603">
        <v>1269.05</v>
      </c>
      <c r="J20030" s="603">
        <v>126.87</v>
      </c>
      <c r="K20030" s="603">
        <v>517.97</v>
      </c>
      <c r="L20030" s="43">
        <v>7.740081692077486</v>
      </c>
      <c r="M20030" s="43">
        <v>11.500226551880381</v>
      </c>
      <c r="N20030" s="43">
        <v>5.3667512690355332</v>
      </c>
      <c r="O20030" s="43">
        <v>4.5724752824858763</v>
      </c>
      <c r="P20030" s="604"/>
      <c r="Q20030" s="604"/>
      <c r="R20030" s="604">
        <v>17</v>
      </c>
    </row>
    <row r="20031" spans="1:18" ht="48">
      <c r="A20031" s="600">
        <v>141</v>
      </c>
      <c r="B20031" s="597" t="s">
        <v>36327</v>
      </c>
      <c r="C20031" s="601" t="s">
        <v>36328</v>
      </c>
      <c r="D20031" s="602">
        <v>327.95</v>
      </c>
      <c r="E20031" s="602">
        <v>145.46</v>
      </c>
      <c r="F20031" s="602">
        <v>55.12</v>
      </c>
      <c r="G20031" s="602">
        <v>127.37</v>
      </c>
      <c r="H20031" s="603">
        <v>2583.84</v>
      </c>
      <c r="I20031" s="603">
        <v>1672.84</v>
      </c>
      <c r="J20031" s="603">
        <v>296.89</v>
      </c>
      <c r="K20031" s="603">
        <v>614.11</v>
      </c>
      <c r="L20031" s="43">
        <v>7.8787620064034156</v>
      </c>
      <c r="M20031" s="43">
        <v>11.500343737109857</v>
      </c>
      <c r="N20031" s="43">
        <v>5.3862481857764877</v>
      </c>
      <c r="O20031" s="43">
        <v>4.8214650231608696</v>
      </c>
      <c r="P20031" s="604"/>
      <c r="Q20031" s="604"/>
      <c r="R20031" s="604">
        <v>17</v>
      </c>
    </row>
    <row r="20032" spans="1:18" ht="48">
      <c r="A20032" s="600">
        <v>142</v>
      </c>
      <c r="B20032" s="597" t="s">
        <v>36329</v>
      </c>
      <c r="C20032" s="601" t="s">
        <v>36330</v>
      </c>
      <c r="D20032" s="602">
        <v>413.88</v>
      </c>
      <c r="E20032" s="602">
        <v>190.61</v>
      </c>
      <c r="F20032" s="602">
        <v>92.76</v>
      </c>
      <c r="G20032" s="602">
        <v>130.51</v>
      </c>
      <c r="H20032" s="603">
        <v>3335.65</v>
      </c>
      <c r="I20032" s="603">
        <v>2191.9899999999998</v>
      </c>
      <c r="J20032" s="603">
        <v>499.01</v>
      </c>
      <c r="K20032" s="603">
        <v>644.65</v>
      </c>
      <c r="L20032" s="43">
        <v>8.0594616797139267</v>
      </c>
      <c r="M20032" s="43">
        <v>11.499868842138396</v>
      </c>
      <c r="N20032" s="43">
        <v>5.3795817162570065</v>
      </c>
      <c r="O20032" s="43">
        <v>4.9394682399816103</v>
      </c>
      <c r="P20032" s="604"/>
      <c r="Q20032" s="604"/>
      <c r="R20032" s="604">
        <v>17</v>
      </c>
    </row>
    <row r="20033" spans="1:18" ht="48">
      <c r="A20033" s="600">
        <v>143</v>
      </c>
      <c r="B20033" s="597" t="s">
        <v>36331</v>
      </c>
      <c r="C20033" s="601" t="s">
        <v>36332</v>
      </c>
      <c r="D20033" s="602">
        <v>490.88</v>
      </c>
      <c r="E20033" s="602">
        <v>211.93</v>
      </c>
      <c r="F20033" s="602">
        <v>139.47</v>
      </c>
      <c r="G20033" s="602">
        <v>139.47999999999999</v>
      </c>
      <c r="H20033" s="603">
        <v>3900.41</v>
      </c>
      <c r="I20033" s="603">
        <v>2437.15</v>
      </c>
      <c r="J20033" s="603">
        <v>752.12</v>
      </c>
      <c r="K20033" s="603">
        <v>711.14</v>
      </c>
      <c r="L20033" s="43">
        <v>7.9457504889178612</v>
      </c>
      <c r="M20033" s="43">
        <v>11.499787665738687</v>
      </c>
      <c r="N20033" s="43">
        <v>5.3927009392700942</v>
      </c>
      <c r="O20033" s="43">
        <v>5.0985087467737316</v>
      </c>
      <c r="P20033" s="604"/>
      <c r="Q20033" s="604"/>
      <c r="R20033" s="604">
        <v>17</v>
      </c>
    </row>
    <row r="20034" spans="1:18" ht="12.75" customHeight="1">
      <c r="A20034" s="628" t="s">
        <v>36333</v>
      </c>
      <c r="B20034" s="629"/>
      <c r="C20034" s="629"/>
      <c r="D20034" s="629"/>
      <c r="E20034" s="629"/>
      <c r="F20034" s="629"/>
      <c r="G20034" s="629"/>
      <c r="H20034" s="629"/>
      <c r="I20034" s="629"/>
      <c r="J20034" s="629"/>
      <c r="K20034" s="629"/>
      <c r="L20034" s="629"/>
      <c r="M20034" s="629"/>
      <c r="N20034" s="629"/>
      <c r="O20034" s="629"/>
      <c r="P20034" s="629"/>
      <c r="Q20034" s="629"/>
      <c r="R20034" s="629"/>
    </row>
    <row r="20035" spans="1:18" ht="48">
      <c r="A20035" s="600">
        <v>144</v>
      </c>
      <c r="B20035" s="597" t="s">
        <v>36334</v>
      </c>
      <c r="C20035" s="601" t="s">
        <v>36335</v>
      </c>
      <c r="D20035" s="602">
        <v>193.96</v>
      </c>
      <c r="E20035" s="602">
        <v>75.239999999999995</v>
      </c>
      <c r="F20035" s="602">
        <v>7.85</v>
      </c>
      <c r="G20035" s="602">
        <v>110.87</v>
      </c>
      <c r="H20035" s="603">
        <v>1400.44</v>
      </c>
      <c r="I20035" s="603">
        <v>865.26</v>
      </c>
      <c r="J20035" s="603">
        <v>41.96</v>
      </c>
      <c r="K20035" s="603">
        <v>493.22</v>
      </c>
      <c r="L20035" s="43">
        <v>7.2202515982676845</v>
      </c>
      <c r="M20035" s="43">
        <v>11.5</v>
      </c>
      <c r="N20035" s="43">
        <v>5.3452229299363063</v>
      </c>
      <c r="O20035" s="43">
        <v>4.448633534770452</v>
      </c>
      <c r="P20035" s="604"/>
      <c r="Q20035" s="604"/>
      <c r="R20035" s="604">
        <v>18</v>
      </c>
    </row>
    <row r="20036" spans="1:18" ht="48">
      <c r="A20036" s="600">
        <v>145</v>
      </c>
      <c r="B20036" s="597" t="s">
        <v>36336</v>
      </c>
      <c r="C20036" s="601" t="s">
        <v>36337</v>
      </c>
      <c r="D20036" s="602">
        <v>218.31</v>
      </c>
      <c r="E20036" s="602">
        <v>87.78</v>
      </c>
      <c r="F20036" s="602">
        <v>17.93</v>
      </c>
      <c r="G20036" s="602">
        <v>112.6</v>
      </c>
      <c r="H20036" s="603">
        <v>1615.32</v>
      </c>
      <c r="I20036" s="603">
        <v>1009.47</v>
      </c>
      <c r="J20036" s="603">
        <v>95.7</v>
      </c>
      <c r="K20036" s="603">
        <v>510.15</v>
      </c>
      <c r="L20036" s="43">
        <v>7.3992029682561489</v>
      </c>
      <c r="M20036" s="43">
        <v>11.5</v>
      </c>
      <c r="N20036" s="43">
        <v>5.3374233128834359</v>
      </c>
      <c r="O20036" s="43">
        <v>4.5306394316163408</v>
      </c>
      <c r="P20036" s="604"/>
      <c r="Q20036" s="604"/>
      <c r="R20036" s="604">
        <v>18</v>
      </c>
    </row>
    <row r="20037" spans="1:18" ht="48">
      <c r="A20037" s="600">
        <v>146</v>
      </c>
      <c r="B20037" s="597" t="s">
        <v>36338</v>
      </c>
      <c r="C20037" s="601" t="s">
        <v>36339</v>
      </c>
      <c r="D20037" s="602">
        <v>259.18</v>
      </c>
      <c r="E20037" s="602">
        <v>109.1</v>
      </c>
      <c r="F20037" s="602">
        <v>23.8</v>
      </c>
      <c r="G20037" s="602">
        <v>126.28</v>
      </c>
      <c r="H20037" s="603">
        <v>1983.37</v>
      </c>
      <c r="I20037" s="603">
        <v>1254.6300000000001</v>
      </c>
      <c r="J20037" s="603">
        <v>127.16</v>
      </c>
      <c r="K20037" s="603">
        <v>601.58000000000004</v>
      </c>
      <c r="L20037" s="43">
        <v>7.652480901304112</v>
      </c>
      <c r="M20037" s="43">
        <v>11.499816681943173</v>
      </c>
      <c r="N20037" s="43">
        <v>5.3428571428571425</v>
      </c>
      <c r="O20037" s="43">
        <v>4.7638580931263865</v>
      </c>
      <c r="P20037" s="604"/>
      <c r="Q20037" s="604"/>
      <c r="R20037" s="604">
        <v>18</v>
      </c>
    </row>
    <row r="20038" spans="1:18" ht="48">
      <c r="A20038" s="600">
        <v>147</v>
      </c>
      <c r="B20038" s="597" t="s">
        <v>36340</v>
      </c>
      <c r="C20038" s="601" t="s">
        <v>36341</v>
      </c>
      <c r="D20038" s="602">
        <v>304.17</v>
      </c>
      <c r="E20038" s="602">
        <v>135.43</v>
      </c>
      <c r="F20038" s="602">
        <v>39.89</v>
      </c>
      <c r="G20038" s="602">
        <v>128.85</v>
      </c>
      <c r="H20038" s="603">
        <v>2397.14</v>
      </c>
      <c r="I20038" s="603">
        <v>1557.47</v>
      </c>
      <c r="J20038" s="603">
        <v>214.11</v>
      </c>
      <c r="K20038" s="603">
        <v>625.55999999999995</v>
      </c>
      <c r="L20038" s="43">
        <v>7.8809218529112002</v>
      </c>
      <c r="M20038" s="43">
        <v>11.500184597208889</v>
      </c>
      <c r="N20038" s="43">
        <v>5.3675106542993234</v>
      </c>
      <c r="O20038" s="43">
        <v>4.8549476135040743</v>
      </c>
      <c r="P20038" s="604"/>
      <c r="Q20038" s="604"/>
      <c r="R20038" s="604">
        <v>18</v>
      </c>
    </row>
    <row r="20039" spans="1:18" ht="48">
      <c r="A20039" s="600">
        <v>148</v>
      </c>
      <c r="B20039" s="597" t="s">
        <v>36342</v>
      </c>
      <c r="C20039" s="601" t="s">
        <v>36343</v>
      </c>
      <c r="D20039" s="602">
        <v>465.13</v>
      </c>
      <c r="E20039" s="602">
        <v>170.54</v>
      </c>
      <c r="F20039" s="602">
        <v>156.35</v>
      </c>
      <c r="G20039" s="602">
        <v>138.24</v>
      </c>
      <c r="H20039" s="603">
        <v>3502.57</v>
      </c>
      <c r="I20039" s="603">
        <v>1961.26</v>
      </c>
      <c r="J20039" s="603">
        <v>844.43</v>
      </c>
      <c r="K20039" s="603">
        <v>696.88</v>
      </c>
      <c r="L20039" s="43">
        <v>7.5303033560509967</v>
      </c>
      <c r="M20039" s="43">
        <v>11.500293186349245</v>
      </c>
      <c r="N20039" s="43">
        <v>5.4008954269267671</v>
      </c>
      <c r="O20039" s="43">
        <v>5.0410879629629628</v>
      </c>
      <c r="P20039" s="604"/>
      <c r="Q20039" s="604"/>
      <c r="R20039" s="604">
        <v>18</v>
      </c>
    </row>
    <row r="20040" spans="1:18" ht="48">
      <c r="A20040" s="600">
        <v>149</v>
      </c>
      <c r="B20040" s="597" t="s">
        <v>36344</v>
      </c>
      <c r="C20040" s="601" t="s">
        <v>36345</v>
      </c>
      <c r="D20040" s="602">
        <v>552.70000000000005</v>
      </c>
      <c r="E20040" s="602">
        <v>213.18</v>
      </c>
      <c r="F20040" s="602">
        <v>191.93</v>
      </c>
      <c r="G20040" s="602">
        <v>147.59</v>
      </c>
      <c r="H20040" s="603">
        <v>4255.8599999999997</v>
      </c>
      <c r="I20040" s="603">
        <v>2451.5700000000002</v>
      </c>
      <c r="J20040" s="603">
        <v>1036.9000000000001</v>
      </c>
      <c r="K20040" s="603">
        <v>767.39</v>
      </c>
      <c r="L20040" s="43">
        <v>7.7001266509860669</v>
      </c>
      <c r="M20040" s="43">
        <v>11.5</v>
      </c>
      <c r="N20040" s="43">
        <v>5.4024904913249623</v>
      </c>
      <c r="O20040" s="43">
        <v>5.1994715089098174</v>
      </c>
      <c r="P20040" s="604"/>
      <c r="Q20040" s="604"/>
      <c r="R20040" s="604">
        <v>18</v>
      </c>
    </row>
    <row r="20041" spans="1:18" ht="48">
      <c r="A20041" s="600">
        <v>150</v>
      </c>
      <c r="B20041" s="597" t="s">
        <v>36346</v>
      </c>
      <c r="C20041" s="601" t="s">
        <v>36347</v>
      </c>
      <c r="D20041" s="602">
        <v>614.72</v>
      </c>
      <c r="E20041" s="602">
        <v>244.53</v>
      </c>
      <c r="F20041" s="602">
        <v>219.08</v>
      </c>
      <c r="G20041" s="602">
        <v>151.11000000000001</v>
      </c>
      <c r="H20041" s="603">
        <v>4794.28</v>
      </c>
      <c r="I20041" s="603">
        <v>2812.1</v>
      </c>
      <c r="J20041" s="603">
        <v>1183.6300000000001</v>
      </c>
      <c r="K20041" s="603">
        <v>798.55</v>
      </c>
      <c r="L20041" s="43">
        <v>7.7991280583029665</v>
      </c>
      <c r="M20041" s="43">
        <v>11.500020447388868</v>
      </c>
      <c r="N20041" s="43">
        <v>5.4027295964944315</v>
      </c>
      <c r="O20041" s="43">
        <v>5.2845609158890863</v>
      </c>
      <c r="P20041" s="604"/>
      <c r="Q20041" s="604"/>
      <c r="R20041" s="604">
        <v>18</v>
      </c>
    </row>
    <row r="20042" spans="1:18" ht="48">
      <c r="A20042" s="600">
        <v>151</v>
      </c>
      <c r="B20042" s="597" t="s">
        <v>36348</v>
      </c>
      <c r="C20042" s="601" t="s">
        <v>36349</v>
      </c>
      <c r="D20042" s="602">
        <v>746.9</v>
      </c>
      <c r="E20042" s="602">
        <v>275.88</v>
      </c>
      <c r="F20042" s="602">
        <v>314.22000000000003</v>
      </c>
      <c r="G20042" s="602">
        <v>156.80000000000001</v>
      </c>
      <c r="H20042" s="603">
        <v>5709.56</v>
      </c>
      <c r="I20042" s="603">
        <v>3172.62</v>
      </c>
      <c r="J20042" s="603">
        <v>1697.05</v>
      </c>
      <c r="K20042" s="603">
        <v>839.89</v>
      </c>
      <c r="L20042" s="43">
        <v>7.6443432855803994</v>
      </c>
      <c r="M20042" s="43">
        <v>11.5</v>
      </c>
      <c r="N20042" s="43">
        <v>5.4008338107058744</v>
      </c>
      <c r="O20042" s="43">
        <v>5.3564413265306117</v>
      </c>
      <c r="P20042" s="604"/>
      <c r="Q20042" s="604"/>
      <c r="R20042" s="604">
        <v>18</v>
      </c>
    </row>
    <row r="20043" spans="1:18" ht="12.75" customHeight="1">
      <c r="A20043" s="628" t="s">
        <v>36350</v>
      </c>
      <c r="B20043" s="629"/>
      <c r="C20043" s="629"/>
      <c r="D20043" s="629"/>
      <c r="E20043" s="629"/>
      <c r="F20043" s="629"/>
      <c r="G20043" s="629"/>
      <c r="H20043" s="629"/>
      <c r="I20043" s="629"/>
      <c r="J20043" s="629"/>
      <c r="K20043" s="629"/>
      <c r="L20043" s="629"/>
      <c r="M20043" s="629"/>
      <c r="N20043" s="629"/>
      <c r="O20043" s="629"/>
      <c r="P20043" s="629"/>
      <c r="Q20043" s="629"/>
      <c r="R20043" s="629"/>
    </row>
    <row r="20044" spans="1:18" ht="48">
      <c r="A20044" s="600">
        <v>152</v>
      </c>
      <c r="B20044" s="597" t="s">
        <v>36351</v>
      </c>
      <c r="C20044" s="601" t="s">
        <v>36352</v>
      </c>
      <c r="D20044" s="602">
        <v>256.8</v>
      </c>
      <c r="E20044" s="602">
        <v>126.65</v>
      </c>
      <c r="F20044" s="602">
        <v>17.739999999999998</v>
      </c>
      <c r="G20044" s="602">
        <v>112.41</v>
      </c>
      <c r="H20044" s="603">
        <v>2061.81</v>
      </c>
      <c r="I20044" s="603">
        <v>1456.52</v>
      </c>
      <c r="J20044" s="603">
        <v>94.36</v>
      </c>
      <c r="K20044" s="603">
        <v>510.93</v>
      </c>
      <c r="L20044" s="43">
        <v>8.0288551401869146</v>
      </c>
      <c r="M20044" s="43">
        <v>11.500355309909198</v>
      </c>
      <c r="N20044" s="43">
        <v>5.3190529875986474</v>
      </c>
      <c r="O20044" s="43">
        <v>4.5452361889511614</v>
      </c>
      <c r="P20044" s="604"/>
      <c r="Q20044" s="604"/>
      <c r="R20044" s="604">
        <v>19</v>
      </c>
    </row>
    <row r="20045" spans="1:18" ht="48">
      <c r="A20045" s="600">
        <v>153</v>
      </c>
      <c r="B20045" s="597" t="s">
        <v>36353</v>
      </c>
      <c r="C20045" s="601" t="s">
        <v>36354</v>
      </c>
      <c r="D20045" s="602">
        <v>282.23</v>
      </c>
      <c r="E20045" s="602">
        <v>140.44999999999999</v>
      </c>
      <c r="F20045" s="602">
        <v>27.6</v>
      </c>
      <c r="G20045" s="602">
        <v>114.18</v>
      </c>
      <c r="H20045" s="603">
        <v>2291.16</v>
      </c>
      <c r="I20045" s="603">
        <v>1615.15</v>
      </c>
      <c r="J20045" s="603">
        <v>147.69</v>
      </c>
      <c r="K20045" s="603">
        <v>528.32000000000005</v>
      </c>
      <c r="L20045" s="43">
        <v>8.1180597385111426</v>
      </c>
      <c r="M20045" s="43">
        <v>11.499822000711999</v>
      </c>
      <c r="N20045" s="43">
        <v>5.3510869565217387</v>
      </c>
      <c r="O20045" s="43">
        <v>4.6270800490453672</v>
      </c>
      <c r="P20045" s="604"/>
      <c r="Q20045" s="604"/>
      <c r="R20045" s="604">
        <v>19</v>
      </c>
    </row>
    <row r="20046" spans="1:18" ht="48">
      <c r="A20046" s="600">
        <v>154</v>
      </c>
      <c r="B20046" s="597" t="s">
        <v>36355</v>
      </c>
      <c r="C20046" s="601" t="s">
        <v>36356</v>
      </c>
      <c r="D20046" s="602">
        <v>343.83</v>
      </c>
      <c r="E20046" s="602">
        <v>166.78</v>
      </c>
      <c r="F20046" s="602">
        <v>49.04</v>
      </c>
      <c r="G20046" s="602">
        <v>128.01</v>
      </c>
      <c r="H20046" s="603">
        <v>2803.08</v>
      </c>
      <c r="I20046" s="603">
        <v>1917.99</v>
      </c>
      <c r="J20046" s="603">
        <v>263.62</v>
      </c>
      <c r="K20046" s="603">
        <v>621.47</v>
      </c>
      <c r="L20046" s="43">
        <v>8.1525172323531976</v>
      </c>
      <c r="M20046" s="43">
        <v>11.50011991845545</v>
      </c>
      <c r="N20046" s="43">
        <v>5.3756117455138668</v>
      </c>
      <c r="O20046" s="43">
        <v>4.8548550894461373</v>
      </c>
      <c r="P20046" s="604"/>
      <c r="Q20046" s="604"/>
      <c r="R20046" s="604">
        <v>19</v>
      </c>
    </row>
    <row r="20047" spans="1:18" ht="48">
      <c r="A20047" s="600">
        <v>155</v>
      </c>
      <c r="B20047" s="597" t="s">
        <v>36357</v>
      </c>
      <c r="C20047" s="601" t="s">
        <v>36358</v>
      </c>
      <c r="D20047" s="602">
        <v>411.71</v>
      </c>
      <c r="E20047" s="602">
        <v>216.94</v>
      </c>
      <c r="F20047" s="602">
        <v>63.47</v>
      </c>
      <c r="G20047" s="602">
        <v>131.30000000000001</v>
      </c>
      <c r="H20047" s="603">
        <v>3489.85</v>
      </c>
      <c r="I20047" s="603">
        <v>2494.83</v>
      </c>
      <c r="J20047" s="603">
        <v>341.28</v>
      </c>
      <c r="K20047" s="603">
        <v>653.74</v>
      </c>
      <c r="L20047" s="43">
        <v>8.4764761604041681</v>
      </c>
      <c r="M20047" s="43">
        <v>11.500092191389324</v>
      </c>
      <c r="N20047" s="43">
        <v>5.3770285174097996</v>
      </c>
      <c r="O20047" s="43">
        <v>4.9789794364051785</v>
      </c>
      <c r="P20047" s="604"/>
      <c r="Q20047" s="604"/>
      <c r="R20047" s="604">
        <v>19</v>
      </c>
    </row>
    <row r="20048" spans="1:18" ht="48">
      <c r="A20048" s="600">
        <v>156</v>
      </c>
      <c r="B20048" s="597" t="s">
        <v>36359</v>
      </c>
      <c r="C20048" s="601" t="s">
        <v>36360</v>
      </c>
      <c r="D20048" s="602">
        <v>476.87</v>
      </c>
      <c r="E20048" s="602">
        <v>255.82</v>
      </c>
      <c r="F20048" s="602">
        <v>80.260000000000005</v>
      </c>
      <c r="G20048" s="602">
        <v>140.79</v>
      </c>
      <c r="H20048" s="603">
        <v>4099.97</v>
      </c>
      <c r="I20048" s="603">
        <v>2941.88</v>
      </c>
      <c r="J20048" s="603">
        <v>431.88</v>
      </c>
      <c r="K20048" s="603">
        <v>726.21</v>
      </c>
      <c r="L20048" s="43">
        <v>8.5976681275819402</v>
      </c>
      <c r="M20048" s="43">
        <v>11.499804550074272</v>
      </c>
      <c r="N20048" s="43">
        <v>5.3810117119362069</v>
      </c>
      <c r="O20048" s="43">
        <v>5.1581078201576824</v>
      </c>
      <c r="P20048" s="604"/>
      <c r="Q20048" s="604"/>
      <c r="R20048" s="604">
        <v>19</v>
      </c>
    </row>
    <row r="20049" spans="1:18" ht="48">
      <c r="A20049" s="600">
        <v>157</v>
      </c>
      <c r="B20049" s="597" t="s">
        <v>36361</v>
      </c>
      <c r="C20049" s="601" t="s">
        <v>36362</v>
      </c>
      <c r="D20049" s="602">
        <v>650.04999999999995</v>
      </c>
      <c r="E20049" s="602">
        <v>294.69</v>
      </c>
      <c r="F20049" s="602">
        <v>211.8</v>
      </c>
      <c r="G20049" s="602">
        <v>143.56</v>
      </c>
      <c r="H20049" s="603">
        <v>5284.14</v>
      </c>
      <c r="I20049" s="603">
        <v>3388.94</v>
      </c>
      <c r="J20049" s="603">
        <v>1143.56</v>
      </c>
      <c r="K20049" s="603">
        <v>751.64</v>
      </c>
      <c r="L20049" s="43">
        <v>8.1288208599338532</v>
      </c>
      <c r="M20049" s="43">
        <v>11.500016966982253</v>
      </c>
      <c r="N20049" s="43">
        <v>5.3992445703493859</v>
      </c>
      <c r="O20049" s="43">
        <v>5.235720256338813</v>
      </c>
      <c r="P20049" s="604"/>
      <c r="Q20049" s="604"/>
      <c r="R20049" s="604">
        <v>19</v>
      </c>
    </row>
    <row r="20050" spans="1:18" ht="48">
      <c r="A20050" s="600">
        <v>158</v>
      </c>
      <c r="B20050" s="597" t="s">
        <v>36363</v>
      </c>
      <c r="C20050" s="601" t="s">
        <v>36364</v>
      </c>
      <c r="D20050" s="602">
        <v>731.78</v>
      </c>
      <c r="E20050" s="602">
        <v>331.06</v>
      </c>
      <c r="F20050" s="602">
        <v>249.6</v>
      </c>
      <c r="G20050" s="602">
        <v>151.12</v>
      </c>
      <c r="H20050" s="603">
        <v>5963.11</v>
      </c>
      <c r="I20050" s="603">
        <v>3807.14</v>
      </c>
      <c r="J20050" s="603">
        <v>1347.98</v>
      </c>
      <c r="K20050" s="603">
        <v>807.99</v>
      </c>
      <c r="L20050" s="43">
        <v>8.1487742217606378</v>
      </c>
      <c r="M20050" s="43">
        <v>11.499848969975231</v>
      </c>
      <c r="N20050" s="43">
        <v>5.4005608974358976</v>
      </c>
      <c r="O20050" s="43">
        <v>5.3466781365802012</v>
      </c>
      <c r="P20050" s="604"/>
      <c r="Q20050" s="604"/>
      <c r="R20050" s="604">
        <v>19</v>
      </c>
    </row>
    <row r="20051" spans="1:18" ht="48">
      <c r="A20051" s="600">
        <v>159</v>
      </c>
      <c r="B20051" s="597" t="s">
        <v>36365</v>
      </c>
      <c r="C20051" s="601" t="s">
        <v>36366</v>
      </c>
      <c r="D20051" s="602">
        <v>873.77</v>
      </c>
      <c r="E20051" s="602">
        <v>389.99</v>
      </c>
      <c r="F20051" s="602">
        <v>327.27999999999997</v>
      </c>
      <c r="G20051" s="602">
        <v>156.5</v>
      </c>
      <c r="H20051" s="603">
        <v>7106.87</v>
      </c>
      <c r="I20051" s="603">
        <v>4484.93</v>
      </c>
      <c r="J20051" s="603">
        <v>1764.95</v>
      </c>
      <c r="K20051" s="603">
        <v>856.99</v>
      </c>
      <c r="L20051" s="43">
        <v>8.1335706192705182</v>
      </c>
      <c r="M20051" s="43">
        <v>11.500115387574041</v>
      </c>
      <c r="N20051" s="43">
        <v>5.3927829381569303</v>
      </c>
      <c r="O20051" s="43">
        <v>5.4759744408945688</v>
      </c>
      <c r="P20051" s="604"/>
      <c r="Q20051" s="604"/>
      <c r="R20051" s="604">
        <v>19</v>
      </c>
    </row>
    <row r="20052" spans="1:18" ht="12.75" customHeight="1">
      <c r="A20052" s="628" t="s">
        <v>36367</v>
      </c>
      <c r="B20052" s="629"/>
      <c r="C20052" s="629"/>
      <c r="D20052" s="629"/>
      <c r="E20052" s="629"/>
      <c r="F20052" s="629"/>
      <c r="G20052" s="629"/>
      <c r="H20052" s="629"/>
      <c r="I20052" s="629"/>
      <c r="J20052" s="629"/>
      <c r="K20052" s="629"/>
      <c r="L20052" s="629"/>
      <c r="M20052" s="629"/>
      <c r="N20052" s="629"/>
      <c r="O20052" s="629"/>
      <c r="P20052" s="629"/>
      <c r="Q20052" s="629"/>
      <c r="R20052" s="629"/>
    </row>
    <row r="20053" spans="1:18" ht="36">
      <c r="A20053" s="600">
        <v>160</v>
      </c>
      <c r="B20053" s="597" t="s">
        <v>36368</v>
      </c>
      <c r="C20053" s="601" t="s">
        <v>36369</v>
      </c>
      <c r="D20053" s="602">
        <v>244.37</v>
      </c>
      <c r="E20053" s="602">
        <v>34.69</v>
      </c>
      <c r="F20053" s="602">
        <v>10.050000000000001</v>
      </c>
      <c r="G20053" s="602">
        <v>199.63</v>
      </c>
      <c r="H20053" s="603">
        <v>1585.78</v>
      </c>
      <c r="I20053" s="603">
        <v>398.91</v>
      </c>
      <c r="J20053" s="603">
        <v>53.64</v>
      </c>
      <c r="K20053" s="603">
        <v>1133.23</v>
      </c>
      <c r="L20053" s="43">
        <v>6.489258092237181</v>
      </c>
      <c r="M20053" s="43">
        <v>11.499279331219373</v>
      </c>
      <c r="N20053" s="43">
        <v>5.3373134328358205</v>
      </c>
      <c r="O20053" s="43">
        <v>5.6766518058408053</v>
      </c>
      <c r="P20053" s="604"/>
      <c r="Q20053" s="604"/>
      <c r="R20053" s="604">
        <v>20</v>
      </c>
    </row>
    <row r="20054" spans="1:18" ht="36">
      <c r="A20054" s="600">
        <v>161</v>
      </c>
      <c r="B20054" s="597" t="s">
        <v>36370</v>
      </c>
      <c r="C20054" s="601" t="s">
        <v>36371</v>
      </c>
      <c r="D20054" s="602">
        <v>289.26</v>
      </c>
      <c r="E20054" s="602">
        <v>42.71</v>
      </c>
      <c r="F20054" s="602">
        <v>14.14</v>
      </c>
      <c r="G20054" s="602">
        <v>232.41</v>
      </c>
      <c r="H20054" s="603">
        <v>1937.1</v>
      </c>
      <c r="I20054" s="603">
        <v>491.19</v>
      </c>
      <c r="J20054" s="603">
        <v>75.7</v>
      </c>
      <c r="K20054" s="603">
        <v>1370.21</v>
      </c>
      <c r="L20054" s="43">
        <v>6.6967434142294131</v>
      </c>
      <c r="M20054" s="43">
        <v>11.500585343011004</v>
      </c>
      <c r="N20054" s="43">
        <v>5.3536067892503532</v>
      </c>
      <c r="O20054" s="43">
        <v>5.8956585344864685</v>
      </c>
      <c r="P20054" s="604"/>
      <c r="Q20054" s="604"/>
      <c r="R20054" s="604">
        <v>20</v>
      </c>
    </row>
    <row r="20055" spans="1:18" ht="36">
      <c r="A20055" s="600">
        <v>162</v>
      </c>
      <c r="B20055" s="597" t="s">
        <v>36372</v>
      </c>
      <c r="C20055" s="601" t="s">
        <v>36373</v>
      </c>
      <c r="D20055" s="602">
        <v>328.63</v>
      </c>
      <c r="E20055" s="602">
        <v>45.96</v>
      </c>
      <c r="F20055" s="602">
        <v>14.86</v>
      </c>
      <c r="G20055" s="602">
        <v>267.81</v>
      </c>
      <c r="H20055" s="603">
        <v>2233</v>
      </c>
      <c r="I20055" s="603">
        <v>528.55999999999995</v>
      </c>
      <c r="J20055" s="603">
        <v>79.52</v>
      </c>
      <c r="K20055" s="603">
        <v>1624.92</v>
      </c>
      <c r="L20055" s="43">
        <v>6.7948756960715704</v>
      </c>
      <c r="M20055" s="43">
        <v>11.500435161009571</v>
      </c>
      <c r="N20055" s="43">
        <v>5.351278600269179</v>
      </c>
      <c r="O20055" s="43">
        <v>6.0674358687128933</v>
      </c>
      <c r="P20055" s="604"/>
      <c r="Q20055" s="604"/>
      <c r="R20055" s="604">
        <v>20</v>
      </c>
    </row>
    <row r="20056" spans="1:18" ht="12.75" customHeight="1">
      <c r="A20056" s="628" t="s">
        <v>36374</v>
      </c>
      <c r="B20056" s="629"/>
      <c r="C20056" s="629"/>
      <c r="D20056" s="629"/>
      <c r="E20056" s="629"/>
      <c r="F20056" s="629"/>
      <c r="G20056" s="629"/>
      <c r="H20056" s="629"/>
      <c r="I20056" s="629"/>
      <c r="J20056" s="629"/>
      <c r="K20056" s="629"/>
      <c r="L20056" s="629"/>
      <c r="M20056" s="629"/>
      <c r="N20056" s="629"/>
      <c r="O20056" s="629"/>
      <c r="P20056" s="629"/>
      <c r="Q20056" s="629"/>
      <c r="R20056" s="629"/>
    </row>
    <row r="20057" spans="1:18" ht="36">
      <c r="A20057" s="600">
        <v>163</v>
      </c>
      <c r="B20057" s="597" t="s">
        <v>36375</v>
      </c>
      <c r="C20057" s="601" t="s">
        <v>36376</v>
      </c>
      <c r="D20057" s="602">
        <v>267.41000000000003</v>
      </c>
      <c r="E20057" s="602">
        <v>50.72</v>
      </c>
      <c r="F20057" s="602">
        <v>16.579999999999998</v>
      </c>
      <c r="G20057" s="602">
        <v>200.11</v>
      </c>
      <c r="H20057" s="603">
        <v>1810.73</v>
      </c>
      <c r="I20057" s="603">
        <v>583.27</v>
      </c>
      <c r="J20057" s="603">
        <v>88.71</v>
      </c>
      <c r="K20057" s="603">
        <v>1138.75</v>
      </c>
      <c r="L20057" s="43">
        <v>6.7713623275120591</v>
      </c>
      <c r="M20057" s="43">
        <v>11.49980283911672</v>
      </c>
      <c r="N20057" s="43">
        <v>5.3504221954161642</v>
      </c>
      <c r="O20057" s="43">
        <v>5.6906201589125978</v>
      </c>
      <c r="P20057" s="604"/>
      <c r="Q20057" s="604"/>
      <c r="R20057" s="604">
        <v>21</v>
      </c>
    </row>
    <row r="20058" spans="1:18" ht="36">
      <c r="A20058" s="600">
        <v>164</v>
      </c>
      <c r="B20058" s="597" t="s">
        <v>36377</v>
      </c>
      <c r="C20058" s="601" t="s">
        <v>36378</v>
      </c>
      <c r="D20058" s="602">
        <v>324.26</v>
      </c>
      <c r="E20058" s="602">
        <v>65.56</v>
      </c>
      <c r="F20058" s="602">
        <v>25.6</v>
      </c>
      <c r="G20058" s="602">
        <v>233.1</v>
      </c>
      <c r="H20058" s="603">
        <v>2269.4299999999998</v>
      </c>
      <c r="I20058" s="603">
        <v>753.98</v>
      </c>
      <c r="J20058" s="603">
        <v>137.30000000000001</v>
      </c>
      <c r="K20058" s="603">
        <v>1378.15</v>
      </c>
      <c r="L20058" s="43">
        <v>6.998797261456855</v>
      </c>
      <c r="M20058" s="43">
        <v>11.500610128126906</v>
      </c>
      <c r="N20058" s="43">
        <v>5.36328125</v>
      </c>
      <c r="O20058" s="43">
        <v>5.9122694122694126</v>
      </c>
      <c r="P20058" s="604"/>
      <c r="Q20058" s="604"/>
      <c r="R20058" s="604">
        <v>21</v>
      </c>
    </row>
    <row r="20059" spans="1:18" ht="36">
      <c r="A20059" s="600">
        <v>165</v>
      </c>
      <c r="B20059" s="597" t="s">
        <v>36379</v>
      </c>
      <c r="C20059" s="601" t="s">
        <v>36380</v>
      </c>
      <c r="D20059" s="602">
        <v>367.33</v>
      </c>
      <c r="E20059" s="602">
        <v>68.040000000000006</v>
      </c>
      <c r="F20059" s="602">
        <v>30.82</v>
      </c>
      <c r="G20059" s="602">
        <v>268.47000000000003</v>
      </c>
      <c r="H20059" s="603">
        <v>2580.59</v>
      </c>
      <c r="I20059" s="603">
        <v>782.43</v>
      </c>
      <c r="J20059" s="603">
        <v>165.65</v>
      </c>
      <c r="K20059" s="603">
        <v>1632.51</v>
      </c>
      <c r="L20059" s="43">
        <v>7.0252633871450749</v>
      </c>
      <c r="M20059" s="43">
        <v>11.499559082892414</v>
      </c>
      <c r="N20059" s="43">
        <v>5.3747566515249838</v>
      </c>
      <c r="O20059" s="43">
        <v>6.0807911498491443</v>
      </c>
      <c r="P20059" s="604"/>
      <c r="Q20059" s="604"/>
      <c r="R20059" s="604">
        <v>21</v>
      </c>
    </row>
    <row r="20060" spans="1:18" ht="12.75" customHeight="1">
      <c r="A20060" s="628" t="s">
        <v>36381</v>
      </c>
      <c r="B20060" s="629"/>
      <c r="C20060" s="629"/>
      <c r="D20060" s="629"/>
      <c r="E20060" s="629"/>
      <c r="F20060" s="629"/>
      <c r="G20060" s="629"/>
      <c r="H20060" s="629"/>
      <c r="I20060" s="629"/>
      <c r="J20060" s="629"/>
      <c r="K20060" s="629"/>
      <c r="L20060" s="629"/>
      <c r="M20060" s="629"/>
      <c r="N20060" s="629"/>
      <c r="O20060" s="629"/>
      <c r="P20060" s="629"/>
      <c r="Q20060" s="629"/>
      <c r="R20060" s="629"/>
    </row>
    <row r="20061" spans="1:18" ht="36">
      <c r="A20061" s="600">
        <v>166</v>
      </c>
      <c r="B20061" s="597" t="s">
        <v>36382</v>
      </c>
      <c r="C20061" s="601" t="s">
        <v>36383</v>
      </c>
      <c r="D20061" s="602">
        <v>277.97000000000003</v>
      </c>
      <c r="E20061" s="602">
        <v>60.61</v>
      </c>
      <c r="F20061" s="602">
        <v>16.95</v>
      </c>
      <c r="G20061" s="602">
        <v>200.41</v>
      </c>
      <c r="H20061" s="603">
        <v>1929.92</v>
      </c>
      <c r="I20061" s="603">
        <v>697.07</v>
      </c>
      <c r="J20061" s="603">
        <v>90.65</v>
      </c>
      <c r="K20061" s="603">
        <v>1142.2</v>
      </c>
      <c r="L20061" s="43">
        <v>6.9429075080044607</v>
      </c>
      <c r="M20061" s="43">
        <v>11.500907441016334</v>
      </c>
      <c r="N20061" s="43">
        <v>5.3480825958702072</v>
      </c>
      <c r="O20061" s="43">
        <v>5.6993164013771773</v>
      </c>
      <c r="P20061" s="604"/>
      <c r="Q20061" s="604"/>
      <c r="R20061" s="604">
        <v>22</v>
      </c>
    </row>
    <row r="20062" spans="1:18" ht="36">
      <c r="A20062" s="600">
        <v>167</v>
      </c>
      <c r="B20062" s="597" t="s">
        <v>36384</v>
      </c>
      <c r="C20062" s="601" t="s">
        <v>36385</v>
      </c>
      <c r="D20062" s="602">
        <v>336.13</v>
      </c>
      <c r="E20062" s="602">
        <v>76.69</v>
      </c>
      <c r="F20062" s="602">
        <v>26.01</v>
      </c>
      <c r="G20062" s="602">
        <v>233.43</v>
      </c>
      <c r="H20062" s="603">
        <v>2403.39</v>
      </c>
      <c r="I20062" s="603">
        <v>882.01</v>
      </c>
      <c r="J20062" s="603">
        <v>139.44</v>
      </c>
      <c r="K20062" s="603">
        <v>1381.94</v>
      </c>
      <c r="L20062" s="43">
        <v>7.1501799898848653</v>
      </c>
      <c r="M20062" s="43">
        <v>11.500977963228582</v>
      </c>
      <c r="N20062" s="43">
        <v>5.3610149942329866</v>
      </c>
      <c r="O20062" s="43">
        <v>5.9201473675191707</v>
      </c>
      <c r="P20062" s="604"/>
      <c r="Q20062" s="604"/>
      <c r="R20062" s="604">
        <v>22</v>
      </c>
    </row>
    <row r="20063" spans="1:18" ht="12.75" customHeight="1">
      <c r="A20063" s="628" t="s">
        <v>36386</v>
      </c>
      <c r="B20063" s="629"/>
      <c r="C20063" s="629"/>
      <c r="D20063" s="629"/>
      <c r="E20063" s="629"/>
      <c r="F20063" s="629"/>
      <c r="G20063" s="629"/>
      <c r="H20063" s="629"/>
      <c r="I20063" s="629"/>
      <c r="J20063" s="629"/>
      <c r="K20063" s="629"/>
      <c r="L20063" s="629"/>
      <c r="M20063" s="629"/>
      <c r="N20063" s="629"/>
      <c r="O20063" s="629"/>
      <c r="P20063" s="629"/>
      <c r="Q20063" s="629"/>
      <c r="R20063" s="629"/>
    </row>
    <row r="20064" spans="1:18" ht="36">
      <c r="A20064" s="600">
        <v>168</v>
      </c>
      <c r="B20064" s="597" t="s">
        <v>36387</v>
      </c>
      <c r="C20064" s="601" t="s">
        <v>36388</v>
      </c>
      <c r="D20064" s="602">
        <v>339.07</v>
      </c>
      <c r="E20064" s="602">
        <v>117.88</v>
      </c>
      <c r="F20064" s="602">
        <v>19.059999999999999</v>
      </c>
      <c r="G20064" s="602">
        <v>202.13</v>
      </c>
      <c r="H20064" s="603">
        <v>2619.0700000000002</v>
      </c>
      <c r="I20064" s="603">
        <v>1355.57</v>
      </c>
      <c r="J20064" s="603">
        <v>101.52</v>
      </c>
      <c r="K20064" s="603">
        <v>1161.98</v>
      </c>
      <c r="L20064" s="43">
        <v>7.724275223405197</v>
      </c>
      <c r="M20064" s="43">
        <v>11.499575839837123</v>
      </c>
      <c r="N20064" s="43">
        <v>5.3263378803777544</v>
      </c>
      <c r="O20064" s="43">
        <v>5.7486765942710143</v>
      </c>
      <c r="P20064" s="604"/>
      <c r="Q20064" s="604"/>
      <c r="R20064" s="604">
        <v>23</v>
      </c>
    </row>
    <row r="20065" spans="1:18" ht="36">
      <c r="A20065" s="600">
        <v>169</v>
      </c>
      <c r="B20065" s="597" t="s">
        <v>36389</v>
      </c>
      <c r="C20065" s="601" t="s">
        <v>36390</v>
      </c>
      <c r="D20065" s="602">
        <v>461.89</v>
      </c>
      <c r="E20065" s="602">
        <v>154.24</v>
      </c>
      <c r="F20065" s="602">
        <v>36.590000000000003</v>
      </c>
      <c r="G20065" s="602">
        <v>271.06</v>
      </c>
      <c r="H20065" s="603">
        <v>3632.15</v>
      </c>
      <c r="I20065" s="603">
        <v>1773.78</v>
      </c>
      <c r="J20065" s="603">
        <v>196.07</v>
      </c>
      <c r="K20065" s="603">
        <v>1662.3</v>
      </c>
      <c r="L20065" s="43">
        <v>7.8636688389010372</v>
      </c>
      <c r="M20065" s="43">
        <v>11.500129668049791</v>
      </c>
      <c r="N20065" s="43">
        <v>5.3585679147308003</v>
      </c>
      <c r="O20065" s="43">
        <v>6.1325905703534271</v>
      </c>
      <c r="P20065" s="604"/>
      <c r="Q20065" s="604"/>
      <c r="R20065" s="604">
        <v>23</v>
      </c>
    </row>
    <row r="20066" spans="1:18" ht="36">
      <c r="A20066" s="600">
        <v>170</v>
      </c>
      <c r="B20066" s="597" t="s">
        <v>36391</v>
      </c>
      <c r="C20066" s="601" t="s">
        <v>36392</v>
      </c>
      <c r="D20066" s="602">
        <v>648.47</v>
      </c>
      <c r="E20066" s="602">
        <v>223.21</v>
      </c>
      <c r="F20066" s="602">
        <v>77.3</v>
      </c>
      <c r="G20066" s="602">
        <v>347.96</v>
      </c>
      <c r="H20066" s="603">
        <v>5211.29</v>
      </c>
      <c r="I20066" s="603">
        <v>2566.94</v>
      </c>
      <c r="J20066" s="603">
        <v>416.1</v>
      </c>
      <c r="K20066" s="603">
        <v>2228.25</v>
      </c>
      <c r="L20066" s="43">
        <v>8.0362854102734129</v>
      </c>
      <c r="M20066" s="43">
        <v>11.500112002150441</v>
      </c>
      <c r="N20066" s="43">
        <v>5.3829236739974133</v>
      </c>
      <c r="O20066" s="43">
        <v>6.4037533049775837</v>
      </c>
      <c r="P20066" s="604"/>
      <c r="Q20066" s="604"/>
      <c r="R20066" s="604">
        <v>23</v>
      </c>
    </row>
    <row r="20067" spans="1:18" ht="12.75" customHeight="1">
      <c r="A20067" s="628" t="s">
        <v>36393</v>
      </c>
      <c r="B20067" s="629"/>
      <c r="C20067" s="629"/>
      <c r="D20067" s="629"/>
      <c r="E20067" s="629"/>
      <c r="F20067" s="629"/>
      <c r="G20067" s="629"/>
      <c r="H20067" s="629"/>
      <c r="I20067" s="629"/>
      <c r="J20067" s="629"/>
      <c r="K20067" s="629"/>
      <c r="L20067" s="629"/>
      <c r="M20067" s="629"/>
      <c r="N20067" s="629"/>
      <c r="O20067" s="629"/>
      <c r="P20067" s="629"/>
      <c r="Q20067" s="629"/>
      <c r="R20067" s="629"/>
    </row>
    <row r="20068" spans="1:18" ht="36">
      <c r="A20068" s="600">
        <v>171</v>
      </c>
      <c r="B20068" s="597" t="s">
        <v>36394</v>
      </c>
      <c r="C20068" s="601" t="s">
        <v>36395</v>
      </c>
      <c r="D20068" s="602">
        <v>318.54000000000002</v>
      </c>
      <c r="E20068" s="602">
        <v>126.65</v>
      </c>
      <c r="F20068" s="602">
        <v>20.23</v>
      </c>
      <c r="G20068" s="602">
        <v>171.66</v>
      </c>
      <c r="H20068" s="603">
        <v>2499.75</v>
      </c>
      <c r="I20068" s="603">
        <v>1456.52</v>
      </c>
      <c r="J20068" s="603">
        <v>107.71</v>
      </c>
      <c r="K20068" s="603">
        <v>935.52</v>
      </c>
      <c r="L20068" s="43">
        <v>7.84752307402524</v>
      </c>
      <c r="M20068" s="43">
        <v>11.500355309909198</v>
      </c>
      <c r="N20068" s="43">
        <v>5.3242708848245179</v>
      </c>
      <c r="O20068" s="43">
        <v>5.4498427123383433</v>
      </c>
      <c r="P20068" s="604"/>
      <c r="Q20068" s="604"/>
      <c r="R20068" s="604">
        <v>24</v>
      </c>
    </row>
    <row r="20069" spans="1:18" ht="36">
      <c r="A20069" s="600">
        <v>172</v>
      </c>
      <c r="B20069" s="597" t="s">
        <v>36396</v>
      </c>
      <c r="C20069" s="601" t="s">
        <v>36397</v>
      </c>
      <c r="D20069" s="602">
        <v>370.56</v>
      </c>
      <c r="E20069" s="602">
        <v>144.21</v>
      </c>
      <c r="F20069" s="602">
        <v>23.43</v>
      </c>
      <c r="G20069" s="602">
        <v>202.92</v>
      </c>
      <c r="H20069" s="603">
        <v>2954.44</v>
      </c>
      <c r="I20069" s="603">
        <v>1658.42</v>
      </c>
      <c r="J20069" s="603">
        <v>124.95</v>
      </c>
      <c r="K20069" s="603">
        <v>1171.07</v>
      </c>
      <c r="L20069" s="43">
        <v>7.9729058721934374</v>
      </c>
      <c r="M20069" s="43">
        <v>11.500034671659385</v>
      </c>
      <c r="N20069" s="43">
        <v>5.3329065300896286</v>
      </c>
      <c r="O20069" s="43">
        <v>5.7710920559826535</v>
      </c>
      <c r="P20069" s="604"/>
      <c r="Q20069" s="604"/>
      <c r="R20069" s="604">
        <v>24</v>
      </c>
    </row>
    <row r="20070" spans="1:18" ht="36">
      <c r="A20070" s="600">
        <v>173</v>
      </c>
      <c r="B20070" s="597" t="s">
        <v>36398</v>
      </c>
      <c r="C20070" s="601" t="s">
        <v>36399</v>
      </c>
      <c r="D20070" s="602">
        <v>517.44000000000005</v>
      </c>
      <c r="E20070" s="602">
        <v>188.1</v>
      </c>
      <c r="F20070" s="602">
        <v>57.27</v>
      </c>
      <c r="G20070" s="602">
        <v>272.07</v>
      </c>
      <c r="H20070" s="603">
        <v>4144.96</v>
      </c>
      <c r="I20070" s="603">
        <v>2163.15</v>
      </c>
      <c r="J20070" s="603">
        <v>307.89999999999998</v>
      </c>
      <c r="K20070" s="603">
        <v>1673.91</v>
      </c>
      <c r="L20070" s="43">
        <v>8.0105132962275807</v>
      </c>
      <c r="M20070" s="43">
        <v>11.5</v>
      </c>
      <c r="N20070" s="43">
        <v>5.3762877597345895</v>
      </c>
      <c r="O20070" s="43">
        <v>6.1524975190208409</v>
      </c>
      <c r="P20070" s="604"/>
      <c r="Q20070" s="604"/>
      <c r="R20070" s="604">
        <v>24</v>
      </c>
    </row>
    <row r="20071" spans="1:18" ht="36">
      <c r="A20071" s="600">
        <v>174</v>
      </c>
      <c r="B20071" s="597" t="s">
        <v>36400</v>
      </c>
      <c r="C20071" s="601" t="s">
        <v>36401</v>
      </c>
      <c r="D20071" s="602">
        <v>656.81</v>
      </c>
      <c r="E20071" s="602">
        <v>235.75</v>
      </c>
      <c r="F20071" s="602">
        <v>106.76</v>
      </c>
      <c r="G20071" s="602">
        <v>314.3</v>
      </c>
      <c r="H20071" s="603">
        <v>5269.15</v>
      </c>
      <c r="I20071" s="603">
        <v>2711.15</v>
      </c>
      <c r="J20071" s="603">
        <v>573.97</v>
      </c>
      <c r="K20071" s="603">
        <v>1984.03</v>
      </c>
      <c r="L20071" s="43">
        <v>8.0223352263211591</v>
      </c>
      <c r="M20071" s="43">
        <v>11.500106044538706</v>
      </c>
      <c r="N20071" s="43">
        <v>5.3762645185462716</v>
      </c>
      <c r="O20071" s="43">
        <v>6.3125357938275526</v>
      </c>
      <c r="P20071" s="604"/>
      <c r="Q20071" s="604"/>
      <c r="R20071" s="604">
        <v>24</v>
      </c>
    </row>
    <row r="20072" spans="1:18" ht="36">
      <c r="A20072" s="600">
        <v>175</v>
      </c>
      <c r="B20072" s="597" t="s">
        <v>36402</v>
      </c>
      <c r="C20072" s="601" t="s">
        <v>36403</v>
      </c>
      <c r="D20072" s="602">
        <v>763.82</v>
      </c>
      <c r="E20072" s="602">
        <v>275.88</v>
      </c>
      <c r="F20072" s="602">
        <v>138.4</v>
      </c>
      <c r="G20072" s="602">
        <v>349.54</v>
      </c>
      <c r="H20072" s="603">
        <v>6163.78</v>
      </c>
      <c r="I20072" s="603">
        <v>3172.62</v>
      </c>
      <c r="J20072" s="603">
        <v>744.74</v>
      </c>
      <c r="K20072" s="603">
        <v>2246.42</v>
      </c>
      <c r="L20072" s="43">
        <v>8.0696761016993523</v>
      </c>
      <c r="M20072" s="43">
        <v>11.5</v>
      </c>
      <c r="N20072" s="43">
        <v>5.3810693641618492</v>
      </c>
      <c r="O20072" s="43">
        <v>6.4267894947645479</v>
      </c>
      <c r="P20072" s="604"/>
      <c r="Q20072" s="604"/>
      <c r="R20072" s="604">
        <v>24</v>
      </c>
    </row>
    <row r="20073" spans="1:18" ht="36">
      <c r="A20073" s="600">
        <v>176</v>
      </c>
      <c r="B20073" s="597" t="s">
        <v>36404</v>
      </c>
      <c r="C20073" s="601" t="s">
        <v>36405</v>
      </c>
      <c r="D20073" s="602">
        <v>888.71</v>
      </c>
      <c r="E20073" s="602">
        <v>331.06</v>
      </c>
      <c r="F20073" s="602">
        <v>171.44</v>
      </c>
      <c r="G20073" s="602">
        <v>386.21</v>
      </c>
      <c r="H20073" s="603">
        <v>7248.41</v>
      </c>
      <c r="I20073" s="603">
        <v>3807.14</v>
      </c>
      <c r="J20073" s="603">
        <v>922.84</v>
      </c>
      <c r="K20073" s="603">
        <v>2518.4299999999998</v>
      </c>
      <c r="L20073" s="43">
        <v>8.1561026656614644</v>
      </c>
      <c r="M20073" s="43">
        <v>11.499848969975231</v>
      </c>
      <c r="N20073" s="43">
        <v>5.3828744750349982</v>
      </c>
      <c r="O20073" s="43">
        <v>6.5208824214805414</v>
      </c>
      <c r="P20073" s="604"/>
      <c r="Q20073" s="604"/>
      <c r="R20073" s="604">
        <v>24</v>
      </c>
    </row>
    <row r="20074" spans="1:18" ht="12.75">
      <c r="A20074" s="632" t="s">
        <v>18</v>
      </c>
      <c r="B20074" s="632"/>
      <c r="C20074" s="632"/>
      <c r="D20074" s="598">
        <v>72548.13</v>
      </c>
      <c r="E20074" s="598">
        <v>26398.95</v>
      </c>
      <c r="F20074" s="598">
        <v>19948.36</v>
      </c>
      <c r="G20074" s="598">
        <v>26200.82</v>
      </c>
      <c r="H20074" s="599">
        <v>546979.18000000005</v>
      </c>
      <c r="I20074" s="599">
        <v>303591.62</v>
      </c>
      <c r="J20074" s="599">
        <v>107152.03</v>
      </c>
      <c r="K20074" s="599">
        <v>136235.53</v>
      </c>
      <c r="L20074" s="612">
        <v>7.5395352023546298</v>
      </c>
      <c r="M20074" s="612">
        <v>11.500139967688108</v>
      </c>
      <c r="N20074" s="612">
        <v>5.3714706371852117</v>
      </c>
      <c r="O20074" s="612">
        <v>5.1996666516544137</v>
      </c>
      <c r="P20074" s="596"/>
      <c r="Q20074" s="596"/>
      <c r="R20074" s="596"/>
    </row>
    <row r="20075" spans="1:18">
      <c r="A20075" s="633" t="s">
        <v>36406</v>
      </c>
      <c r="B20075" s="634"/>
      <c r="C20075" s="634"/>
      <c r="D20075" s="634"/>
      <c r="E20075" s="634"/>
      <c r="F20075" s="634"/>
      <c r="G20075" s="634"/>
      <c r="H20075" s="634"/>
      <c r="I20075" s="634"/>
      <c r="J20075" s="634"/>
      <c r="K20075" s="634"/>
      <c r="L20075" s="634"/>
      <c r="M20075" s="635"/>
      <c r="N20075" s="634"/>
      <c r="O20075" s="634"/>
    </row>
    <row r="20076" spans="1:18" ht="22.5" customHeight="1">
      <c r="A20076" s="634"/>
      <c r="B20076" s="634"/>
      <c r="C20076" s="634"/>
      <c r="D20076" s="634"/>
      <c r="E20076" s="634"/>
      <c r="F20076" s="634"/>
      <c r="G20076" s="634"/>
      <c r="H20076" s="634"/>
      <c r="I20076" s="634"/>
      <c r="J20076" s="634"/>
      <c r="K20076" s="634"/>
      <c r="L20076" s="634"/>
      <c r="M20076" s="635"/>
      <c r="N20076" s="634"/>
      <c r="O20076" s="634"/>
    </row>
    <row r="20077" spans="1:18" ht="12.75">
      <c r="A20077" s="40"/>
      <c r="B20077" s="42"/>
      <c r="C20077" s="40"/>
      <c r="D20077" s="40"/>
      <c r="E20077" s="40"/>
      <c r="F20077" s="40"/>
      <c r="G20077" s="40"/>
      <c r="H20077" s="41"/>
      <c r="I20077" s="41"/>
      <c r="J20077" s="41"/>
      <c r="K20077" s="41"/>
      <c r="L20077" s="39"/>
      <c r="M20077" s="54"/>
      <c r="N20077" s="39"/>
      <c r="O20077" s="54"/>
    </row>
    <row r="20078" spans="1:18" ht="18.75" customHeight="1">
      <c r="A20078" s="51">
        <v>177</v>
      </c>
      <c r="B20078" s="50" t="s">
        <v>36407</v>
      </c>
      <c r="C20078" s="51" t="s">
        <v>36408</v>
      </c>
      <c r="D20078" s="51"/>
      <c r="E20078" s="51"/>
      <c r="F20078" s="51"/>
      <c r="G20078" s="51"/>
      <c r="H20078" s="49"/>
      <c r="I20078" s="49"/>
      <c r="J20078" s="49"/>
      <c r="K20078" s="49"/>
      <c r="L20078" s="48">
        <v>11.5</v>
      </c>
      <c r="M20078" s="48">
        <v>11.5</v>
      </c>
      <c r="N20078" s="48"/>
      <c r="O20078" s="48"/>
    </row>
    <row r="20079" spans="1:18" ht="23.25" customHeight="1">
      <c r="A20079" s="636" t="s">
        <v>36413</v>
      </c>
      <c r="B20079" s="636"/>
      <c r="C20079" s="636"/>
      <c r="D20079" s="636"/>
      <c r="E20079" s="636"/>
      <c r="F20079" s="636"/>
      <c r="G20079" s="636"/>
      <c r="H20079" s="637"/>
      <c r="I20079" s="637"/>
      <c r="J20079" s="637"/>
      <c r="K20079" s="637"/>
      <c r="L20079" s="638"/>
      <c r="M20079" s="638"/>
      <c r="N20079" s="638"/>
      <c r="O20079" s="638"/>
    </row>
    <row r="20080" spans="1:18" ht="13.5" customHeight="1">
      <c r="A20080" s="639"/>
      <c r="B20080" s="639"/>
      <c r="C20080" s="639"/>
      <c r="D20080" s="639"/>
      <c r="E20080" s="639"/>
      <c r="F20080" s="639"/>
      <c r="G20080" s="639"/>
      <c r="H20080" s="640"/>
      <c r="I20080" s="640"/>
      <c r="J20080" s="640"/>
      <c r="K20080" s="640"/>
      <c r="L20080" s="641"/>
      <c r="M20080" s="641"/>
      <c r="N20080" s="641"/>
      <c r="O20080" s="641"/>
    </row>
    <row r="20081" spans="1:15" ht="12.75">
      <c r="A20081" s="40"/>
      <c r="B20081" s="42"/>
      <c r="C20081" s="40"/>
      <c r="D20081" s="40"/>
      <c r="E20081" s="40"/>
      <c r="F20081" s="40"/>
      <c r="G20081" s="40"/>
      <c r="H20081" s="41"/>
      <c r="I20081" s="41"/>
      <c r="J20081" s="41"/>
      <c r="K20081" s="41"/>
      <c r="L20081" s="39"/>
      <c r="M20081" s="54"/>
      <c r="N20081" s="39"/>
      <c r="O20081" s="54"/>
    </row>
    <row r="20082" spans="1:15" ht="12.75">
      <c r="A20082" s="51">
        <v>178</v>
      </c>
      <c r="B20082" s="50" t="s">
        <v>36409</v>
      </c>
      <c r="C20082" s="51" t="s">
        <v>36410</v>
      </c>
      <c r="D20082" s="47"/>
      <c r="E20082" s="47"/>
      <c r="F20082" s="47"/>
      <c r="G20082" s="51"/>
      <c r="H20082" s="49"/>
      <c r="I20082" s="49"/>
      <c r="J20082" s="49"/>
      <c r="K20082" s="49"/>
      <c r="L20082" s="48">
        <v>7.42</v>
      </c>
      <c r="M20082" s="48"/>
      <c r="N20082" s="48">
        <v>7.42</v>
      </c>
      <c r="O20082" s="48"/>
    </row>
    <row r="20083" spans="1:15" ht="15.75" customHeight="1">
      <c r="A20083" s="51">
        <v>179</v>
      </c>
      <c r="B20083" s="50" t="s">
        <v>36411</v>
      </c>
      <c r="C20083" s="51" t="s">
        <v>36412</v>
      </c>
      <c r="D20083" s="47"/>
      <c r="E20083" s="47"/>
      <c r="F20083" s="47"/>
      <c r="G20083" s="51"/>
      <c r="H20083" s="49"/>
      <c r="I20083" s="49"/>
      <c r="J20083" s="49"/>
      <c r="K20083" s="49"/>
      <c r="L20083" s="48">
        <v>6.4</v>
      </c>
      <c r="M20083" s="48"/>
      <c r="N20083" s="48">
        <v>6.4</v>
      </c>
      <c r="O20083" s="48"/>
    </row>
    <row r="20086" spans="1:15" ht="12.75">
      <c r="O20086" s="52"/>
    </row>
    <row r="20087" spans="1:15" ht="12.75">
      <c r="O20087" s="52"/>
    </row>
  </sheetData>
  <mergeCells count="3417">
    <mergeCell ref="A19932:R19932"/>
    <mergeCell ref="A20074:C20074"/>
    <mergeCell ref="A19867:R19867"/>
    <mergeCell ref="A19868:R19868"/>
    <mergeCell ref="A19883:R19883"/>
    <mergeCell ref="A19895:R19895"/>
    <mergeCell ref="A19911:R19911"/>
    <mergeCell ref="A19923:R19923"/>
    <mergeCell ref="A19924:R19924"/>
    <mergeCell ref="A19925:R19925"/>
    <mergeCell ref="A20013:R20013"/>
    <mergeCell ref="A19936:R19936"/>
    <mergeCell ref="A19945:R19945"/>
    <mergeCell ref="A19956:R19956"/>
    <mergeCell ref="A19962:R19962"/>
    <mergeCell ref="A19972:R19972"/>
    <mergeCell ref="A19977:R19977"/>
    <mergeCell ref="A19982:R19982"/>
    <mergeCell ref="A19988:R19988"/>
    <mergeCell ref="A19994:R19994"/>
    <mergeCell ref="A20001:R20001"/>
    <mergeCell ref="A20008:R20008"/>
    <mergeCell ref="A20056:R20056"/>
    <mergeCell ref="A20060:R20060"/>
    <mergeCell ref="A20063:R20063"/>
    <mergeCell ref="A20067:R20067"/>
    <mergeCell ref="A20020:R20020"/>
    <mergeCell ref="A20024:R20024"/>
    <mergeCell ref="A20029:R20029"/>
    <mergeCell ref="A20034:R20034"/>
    <mergeCell ref="A20043:R20043"/>
    <mergeCell ref="A20052:R20052"/>
    <mergeCell ref="A19598:R19598"/>
    <mergeCell ref="A19865:C19865"/>
    <mergeCell ref="A19545:R19545"/>
    <mergeCell ref="A19546:R19546"/>
    <mergeCell ref="A19549:R19549"/>
    <mergeCell ref="A19566:R19566"/>
    <mergeCell ref="A19571:R19571"/>
    <mergeCell ref="A19577:R19577"/>
    <mergeCell ref="A19586:R19586"/>
    <mergeCell ref="A19591:R19591"/>
    <mergeCell ref="A19650:R19650"/>
    <mergeCell ref="A19605:R19605"/>
    <mergeCell ref="A19611:R19611"/>
    <mergeCell ref="A19626:R19626"/>
    <mergeCell ref="A19629:R19629"/>
    <mergeCell ref="A19634:R19634"/>
    <mergeCell ref="A19637:R19637"/>
    <mergeCell ref="A19639:R19639"/>
    <mergeCell ref="A19642:R19642"/>
    <mergeCell ref="A19644:R19644"/>
    <mergeCell ref="A19646:R19646"/>
    <mergeCell ref="A19648:R19648"/>
    <mergeCell ref="A19693:R19693"/>
    <mergeCell ref="A19654:R19654"/>
    <mergeCell ref="A19656:R19656"/>
    <mergeCell ref="A19658:R19658"/>
    <mergeCell ref="A19661:R19661"/>
    <mergeCell ref="A19663:R19663"/>
    <mergeCell ref="A19668:R19668"/>
    <mergeCell ref="A19670:R19670"/>
    <mergeCell ref="A19673:R19673"/>
    <mergeCell ref="A19677:R19677"/>
    <mergeCell ref="A19684:R19684"/>
    <mergeCell ref="A19690:R19690"/>
    <mergeCell ref="A19749:R19749"/>
    <mergeCell ref="A19695:R19695"/>
    <mergeCell ref="A19700:R19700"/>
    <mergeCell ref="A19704:R19704"/>
    <mergeCell ref="A19727:R19727"/>
    <mergeCell ref="A19729:R19729"/>
    <mergeCell ref="A19730:R19730"/>
    <mergeCell ref="A19735:R19735"/>
    <mergeCell ref="A19737:R19737"/>
    <mergeCell ref="A19741:R19741"/>
    <mergeCell ref="A19743:R19743"/>
    <mergeCell ref="A19747:R19747"/>
    <mergeCell ref="A19787:R19787"/>
    <mergeCell ref="A19752:R19752"/>
    <mergeCell ref="A19755:R19755"/>
    <mergeCell ref="A19759:R19759"/>
    <mergeCell ref="A19762:R19762"/>
    <mergeCell ref="A19764:R19764"/>
    <mergeCell ref="A19767:R19767"/>
    <mergeCell ref="A19769:R19769"/>
    <mergeCell ref="A19770:R19770"/>
    <mergeCell ref="A19774:R19774"/>
    <mergeCell ref="A19777:R19777"/>
    <mergeCell ref="A19780:R19780"/>
    <mergeCell ref="A19818:R19818"/>
    <mergeCell ref="A19790:R19790"/>
    <mergeCell ref="A19793:R19793"/>
    <mergeCell ref="A19795:R19795"/>
    <mergeCell ref="A19799:R19799"/>
    <mergeCell ref="A19802:R19802"/>
    <mergeCell ref="A19804:R19804"/>
    <mergeCell ref="A19806:R19806"/>
    <mergeCell ref="A19808:R19808"/>
    <mergeCell ref="A19810:R19810"/>
    <mergeCell ref="A19812:R19812"/>
    <mergeCell ref="A19814:R19814"/>
    <mergeCell ref="A19860:R19860"/>
    <mergeCell ref="A19822:R19822"/>
    <mergeCell ref="A19826:R19826"/>
    <mergeCell ref="A19827:R19827"/>
    <mergeCell ref="A19829:R19829"/>
    <mergeCell ref="A19831:R19831"/>
    <mergeCell ref="A19833:R19833"/>
    <mergeCell ref="A19838:R19838"/>
    <mergeCell ref="A19839:R19839"/>
    <mergeCell ref="A19842:R19842"/>
    <mergeCell ref="A19845:R19845"/>
    <mergeCell ref="A19857:R19857"/>
    <mergeCell ref="A19522:R19522"/>
    <mergeCell ref="A19529:R19529"/>
    <mergeCell ref="A19530:R19530"/>
    <mergeCell ref="A19543:C19543"/>
    <mergeCell ref="A19485:R19485"/>
    <mergeCell ref="A19486:R19486"/>
    <mergeCell ref="A19496:R19496"/>
    <mergeCell ref="A19483:C19483"/>
    <mergeCell ref="A17555:R17555"/>
    <mergeCell ref="A17556:R17556"/>
    <mergeCell ref="A17576:R17576"/>
    <mergeCell ref="A19521:R19521"/>
    <mergeCell ref="A18298:R18298"/>
    <mergeCell ref="A17596:R17596"/>
    <mergeCell ref="A17663:R17663"/>
    <mergeCell ref="A17723:R17723"/>
    <mergeCell ref="A17790:R17790"/>
    <mergeCell ref="A17850:R17850"/>
    <mergeCell ref="A17917:R17917"/>
    <mergeCell ref="A17977:R17977"/>
    <mergeCell ref="A18044:R18044"/>
    <mergeCell ref="A18104:R18104"/>
    <mergeCell ref="A18171:R18171"/>
    <mergeCell ref="A18231:R18231"/>
    <mergeCell ref="A18855:R18855"/>
    <mergeCell ref="A18358:R18358"/>
    <mergeCell ref="A18418:R18418"/>
    <mergeCell ref="A18478:R18478"/>
    <mergeCell ref="A18538:R18538"/>
    <mergeCell ref="A18598:R18598"/>
    <mergeCell ref="A18658:R18658"/>
    <mergeCell ref="A18718:R18718"/>
    <mergeCell ref="A18758:R18758"/>
    <mergeCell ref="A18798:R18798"/>
    <mergeCell ref="A18817:R18817"/>
    <mergeCell ref="A18836:R18836"/>
    <mergeCell ref="A19011:R19011"/>
    <mergeCell ref="A18871:R18871"/>
    <mergeCell ref="A18890:R18890"/>
    <mergeCell ref="A18909:R18909"/>
    <mergeCell ref="A18928:R18928"/>
    <mergeCell ref="A18944:R18944"/>
    <mergeCell ref="A18948:R18948"/>
    <mergeCell ref="A18950:R18950"/>
    <mergeCell ref="A18951:R18951"/>
    <mergeCell ref="A18975:R18975"/>
    <mergeCell ref="A18984:R18984"/>
    <mergeCell ref="A18987:R18987"/>
    <mergeCell ref="A19203:R19203"/>
    <mergeCell ref="A19013:R19013"/>
    <mergeCell ref="A19071:R19071"/>
    <mergeCell ref="A19076:R19076"/>
    <mergeCell ref="A19085:R19085"/>
    <mergeCell ref="A19106:R19106"/>
    <mergeCell ref="A19112:R19112"/>
    <mergeCell ref="A19114:R19114"/>
    <mergeCell ref="A19139:R19139"/>
    <mergeCell ref="A19146:R19146"/>
    <mergeCell ref="A19153:R19153"/>
    <mergeCell ref="A19190:R19190"/>
    <mergeCell ref="A19303:R19303"/>
    <mergeCell ref="A19218:R19218"/>
    <mergeCell ref="A19228:R19228"/>
    <mergeCell ref="A19232:R19232"/>
    <mergeCell ref="A19237:R19237"/>
    <mergeCell ref="A19241:R19241"/>
    <mergeCell ref="A19244:R19244"/>
    <mergeCell ref="A19246:R19246"/>
    <mergeCell ref="A19247:R19247"/>
    <mergeCell ref="A19268:R19268"/>
    <mergeCell ref="A19299:R19299"/>
    <mergeCell ref="A19302:R19302"/>
    <mergeCell ref="A19442:R19442"/>
    <mergeCell ref="A19329:R19329"/>
    <mergeCell ref="A19341:R19341"/>
    <mergeCell ref="A19343:R19343"/>
    <mergeCell ref="A19344:R19344"/>
    <mergeCell ref="A19350:R19350"/>
    <mergeCell ref="A19354:R19354"/>
    <mergeCell ref="A19357:R19357"/>
    <mergeCell ref="A19362:R19362"/>
    <mergeCell ref="A19365:R19365"/>
    <mergeCell ref="A19366:R19366"/>
    <mergeCell ref="A19404:R19404"/>
    <mergeCell ref="A17530:R17530"/>
    <mergeCell ref="A17539:R17539"/>
    <mergeCell ref="A17544:R17544"/>
    <mergeCell ref="A17553:C17553"/>
    <mergeCell ref="A17514:R17514"/>
    <mergeCell ref="A17515:R17515"/>
    <mergeCell ref="A17520:R17520"/>
    <mergeCell ref="A17512:C17512"/>
    <mergeCell ref="A16829:R16829"/>
    <mergeCell ref="A16830:R16830"/>
    <mergeCell ref="A16831:R16831"/>
    <mergeCell ref="A17525:R17525"/>
    <mergeCell ref="A16986:R16986"/>
    <mergeCell ref="A16851:R16851"/>
    <mergeCell ref="A16868:R16868"/>
    <mergeCell ref="A16869:R16869"/>
    <mergeCell ref="A16887:R16887"/>
    <mergeCell ref="A16904:R16904"/>
    <mergeCell ref="A16905:R16905"/>
    <mergeCell ref="A16935:R16935"/>
    <mergeCell ref="A16936:R16936"/>
    <mergeCell ref="A16967:R16967"/>
    <mergeCell ref="A16968:R16968"/>
    <mergeCell ref="A16969:R16969"/>
    <mergeCell ref="A17367:R17367"/>
    <mergeCell ref="A16999:R16999"/>
    <mergeCell ref="A17000:R17000"/>
    <mergeCell ref="A17069:R17069"/>
    <mergeCell ref="A17124:R17124"/>
    <mergeCell ref="A17161:R17161"/>
    <mergeCell ref="A17162:R17162"/>
    <mergeCell ref="A17183:R17183"/>
    <mergeCell ref="A17226:R17226"/>
    <mergeCell ref="A17241:R17241"/>
    <mergeCell ref="A17320:R17320"/>
    <mergeCell ref="A17321:R17321"/>
    <mergeCell ref="A17507:R17507"/>
    <mergeCell ref="A17464:R17464"/>
    <mergeCell ref="A17465:R17465"/>
    <mergeCell ref="A17490:R17490"/>
    <mergeCell ref="A17494:R17494"/>
    <mergeCell ref="A17501:R17501"/>
    <mergeCell ref="A17502:R17502"/>
    <mergeCell ref="A16807:R16807"/>
    <mergeCell ref="A16827:C16827"/>
    <mergeCell ref="A16788:R16788"/>
    <mergeCell ref="A16789:R16789"/>
    <mergeCell ref="A16793:R16793"/>
    <mergeCell ref="A16797:R16797"/>
    <mergeCell ref="A16799:R16799"/>
    <mergeCell ref="A16801:R16801"/>
    <mergeCell ref="A16803:R16803"/>
    <mergeCell ref="A16806:R16806"/>
    <mergeCell ref="A16810:R16810"/>
    <mergeCell ref="A16812:R16812"/>
    <mergeCell ref="A16815:R16815"/>
    <mergeCell ref="A16821:R16821"/>
    <mergeCell ref="A16822:R16822"/>
    <mergeCell ref="A16779:R16779"/>
    <mergeCell ref="A16781:R16781"/>
    <mergeCell ref="A16602:R16602"/>
    <mergeCell ref="A16786:C16786"/>
    <mergeCell ref="A16536:R16536"/>
    <mergeCell ref="A16537:R16537"/>
    <mergeCell ref="A16538:R16538"/>
    <mergeCell ref="A16553:R16553"/>
    <mergeCell ref="A16565:R16565"/>
    <mergeCell ref="A16584:R16584"/>
    <mergeCell ref="A16591:R16591"/>
    <mergeCell ref="A16601:R16601"/>
    <mergeCell ref="A16687:R16687"/>
    <mergeCell ref="A16614:R16614"/>
    <mergeCell ref="A16622:R16622"/>
    <mergeCell ref="A16626:R16626"/>
    <mergeCell ref="A16632:R16632"/>
    <mergeCell ref="A16637:R16637"/>
    <mergeCell ref="A16639:R16639"/>
    <mergeCell ref="A16640:R16640"/>
    <mergeCell ref="A16654:R16654"/>
    <mergeCell ref="A16661:R16661"/>
    <mergeCell ref="A16671:R16671"/>
    <mergeCell ref="A16681:R16681"/>
    <mergeCell ref="A16752:R16752"/>
    <mergeCell ref="A16688:R16688"/>
    <mergeCell ref="A16707:R16707"/>
    <mergeCell ref="A16712:R16712"/>
    <mergeCell ref="A16726:R16726"/>
    <mergeCell ref="A16730:R16730"/>
    <mergeCell ref="A16733:R16733"/>
    <mergeCell ref="A16738:R16738"/>
    <mergeCell ref="A16057:R16057"/>
    <mergeCell ref="A16077:R16077"/>
    <mergeCell ref="A16748:R16748"/>
    <mergeCell ref="A16751:R16751"/>
    <mergeCell ref="A16775:R16775"/>
    <mergeCell ref="A16757:R16757"/>
    <mergeCell ref="A16758:R16758"/>
    <mergeCell ref="A16761:R16761"/>
    <mergeCell ref="A16762:R16762"/>
    <mergeCell ref="A16763:R16763"/>
    <mergeCell ref="A16765:R16765"/>
    <mergeCell ref="A16767:R16767"/>
    <mergeCell ref="A16768:R16768"/>
    <mergeCell ref="A16770:R16770"/>
    <mergeCell ref="A16772:R16772"/>
    <mergeCell ref="A16773:R16773"/>
    <mergeCell ref="A16777:R16777"/>
    <mergeCell ref="A16739:R16739"/>
    <mergeCell ref="A16745:R16745"/>
    <mergeCell ref="A16210:R16210"/>
    <mergeCell ref="A16240:R16240"/>
    <mergeCell ref="A16361:R16361"/>
    <mergeCell ref="A16364:R16364"/>
    <mergeCell ref="A16365:R16365"/>
    <mergeCell ref="A16377:R16377"/>
    <mergeCell ref="A16079:R16079"/>
    <mergeCell ref="A16083:R16083"/>
    <mergeCell ref="A16085:R16085"/>
    <mergeCell ref="A16098:R16098"/>
    <mergeCell ref="A16151:R16151"/>
    <mergeCell ref="A16107:R16107"/>
    <mergeCell ref="A16110:R16110"/>
    <mergeCell ref="A16782:R16782"/>
    <mergeCell ref="A16784:R16784"/>
    <mergeCell ref="A15977:R15977"/>
    <mergeCell ref="A16534:C16534"/>
    <mergeCell ref="A15958:R15958"/>
    <mergeCell ref="A15959:R15959"/>
    <mergeCell ref="A15960:R15960"/>
    <mergeCell ref="A15968:R15968"/>
    <mergeCell ref="A15970:R15970"/>
    <mergeCell ref="A15971:R15971"/>
    <mergeCell ref="A15973:R15973"/>
    <mergeCell ref="A15976:R15976"/>
    <mergeCell ref="A16025:R16025"/>
    <mergeCell ref="A15980:R15980"/>
    <mergeCell ref="A15984:R15984"/>
    <mergeCell ref="A15988:R15988"/>
    <mergeCell ref="A15989:R15989"/>
    <mergeCell ref="A15994:R15994"/>
    <mergeCell ref="A15997:R15997"/>
    <mergeCell ref="A16006:R16006"/>
    <mergeCell ref="A16009:R16009"/>
    <mergeCell ref="A16018:R16018"/>
    <mergeCell ref="A16019:R16019"/>
    <mergeCell ref="A16021:R16021"/>
    <mergeCell ref="A16099:R16099"/>
    <mergeCell ref="A16026:R16026"/>
    <mergeCell ref="A16035:R16035"/>
    <mergeCell ref="A16044:R16044"/>
    <mergeCell ref="A16051:R16051"/>
    <mergeCell ref="A16056:R16056"/>
    <mergeCell ref="A16341:R16341"/>
    <mergeCell ref="A16356:R16356"/>
    <mergeCell ref="A16113:R16113"/>
    <mergeCell ref="A16114:R16114"/>
    <mergeCell ref="A16122:R16122"/>
    <mergeCell ref="A16125:R16125"/>
    <mergeCell ref="A16128:R16128"/>
    <mergeCell ref="A16129:R16129"/>
    <mergeCell ref="A16145:R16145"/>
    <mergeCell ref="A16147:R16147"/>
    <mergeCell ref="A16148:R16148"/>
    <mergeCell ref="A16246:R16246"/>
    <mergeCell ref="A16154:R16154"/>
    <mergeCell ref="A16160:R16160"/>
    <mergeCell ref="A16161:R16161"/>
    <mergeCell ref="A16164:R16164"/>
    <mergeCell ref="A16168:R16168"/>
    <mergeCell ref="A16169:R16169"/>
    <mergeCell ref="A16186:R16186"/>
    <mergeCell ref="A16188:R16188"/>
    <mergeCell ref="A16209:R16209"/>
    <mergeCell ref="A16460:R16460"/>
    <mergeCell ref="A16463:R16463"/>
    <mergeCell ref="A15302:C15302"/>
    <mergeCell ref="A15098:R15098"/>
    <mergeCell ref="A15099:R15099"/>
    <mergeCell ref="A15100:R15100"/>
    <mergeCell ref="A15953:R15953"/>
    <mergeCell ref="A15940:R15940"/>
    <mergeCell ref="A15944:R15944"/>
    <mergeCell ref="A15945:R15945"/>
    <mergeCell ref="A15948:R15948"/>
    <mergeCell ref="A15949:R15949"/>
    <mergeCell ref="A15952:R15952"/>
    <mergeCell ref="A15929:R15929"/>
    <mergeCell ref="A15930:R15930"/>
    <mergeCell ref="A15931:R15931"/>
    <mergeCell ref="A15935:R15935"/>
    <mergeCell ref="A15936:R15936"/>
    <mergeCell ref="A15939:R15939"/>
    <mergeCell ref="A15898:R15898"/>
    <mergeCell ref="A15899:R15899"/>
    <mergeCell ref="A15906:R15906"/>
    <mergeCell ref="A15907:R15907"/>
    <mergeCell ref="A15915:R15915"/>
    <mergeCell ref="A15916:R15916"/>
    <mergeCell ref="A15861:R15861"/>
    <mergeCell ref="A15140:R15140"/>
    <mergeCell ref="A15102:R15102"/>
    <mergeCell ref="A15105:R15105"/>
    <mergeCell ref="A16308:R16308"/>
    <mergeCell ref="A16249:R16249"/>
    <mergeCell ref="A16259:R16259"/>
    <mergeCell ref="A15781:R15781"/>
    <mergeCell ref="A15782:R15782"/>
    <mergeCell ref="A15789:R15789"/>
    <mergeCell ref="A15120:R15120"/>
    <mergeCell ref="A15123:R15123"/>
    <mergeCell ref="A15124:R15124"/>
    <mergeCell ref="A15127:R15127"/>
    <mergeCell ref="A15129:R15129"/>
    <mergeCell ref="A15651:R15651"/>
    <mergeCell ref="A15173:R15173"/>
    <mergeCell ref="A15141:R15141"/>
    <mergeCell ref="A15144:R15144"/>
    <mergeCell ref="A15149:R15149"/>
    <mergeCell ref="A15150:R15150"/>
    <mergeCell ref="A16395:R16395"/>
    <mergeCell ref="A16423:R16423"/>
    <mergeCell ref="A16448:R16448"/>
    <mergeCell ref="A16260:R16260"/>
    <mergeCell ref="A16262:R16262"/>
    <mergeCell ref="A16267:R16267"/>
    <mergeCell ref="A16270:R16270"/>
    <mergeCell ref="A16278:R16278"/>
    <mergeCell ref="A16279:R16279"/>
    <mergeCell ref="A16284:R16284"/>
    <mergeCell ref="A16297:R16297"/>
    <mergeCell ref="A16303:R16303"/>
    <mergeCell ref="A16385:R16385"/>
    <mergeCell ref="A16311:R16311"/>
    <mergeCell ref="A16332:R16332"/>
    <mergeCell ref="A16333:R16333"/>
    <mergeCell ref="A16337:R16337"/>
    <mergeCell ref="A16340:R16340"/>
    <mergeCell ref="A15876:R15876"/>
    <mergeCell ref="A15887:R15887"/>
    <mergeCell ref="A15888:R15888"/>
    <mergeCell ref="A15790:R15790"/>
    <mergeCell ref="A15794:R15794"/>
    <mergeCell ref="A15795:R15795"/>
    <mergeCell ref="A15754:R15754"/>
    <mergeCell ref="A15757:R15757"/>
    <mergeCell ref="A15758:R15758"/>
    <mergeCell ref="A15771:R15771"/>
    <mergeCell ref="A15772:R15772"/>
    <mergeCell ref="A15773:R15773"/>
    <mergeCell ref="A15687:R15687"/>
    <mergeCell ref="A15732:R15732"/>
    <mergeCell ref="A15734:R15734"/>
    <mergeCell ref="A15740:R15740"/>
    <mergeCell ref="A15741:R15741"/>
    <mergeCell ref="A15753:R15753"/>
    <mergeCell ref="A15862:R15862"/>
    <mergeCell ref="A15875:R15875"/>
    <mergeCell ref="A15814:R15814"/>
    <mergeCell ref="A15815:R15815"/>
    <mergeCell ref="A15825:R15825"/>
    <mergeCell ref="A15826:R15826"/>
    <mergeCell ref="A15856:R15856"/>
    <mergeCell ref="A15857:R15857"/>
    <mergeCell ref="A15800:R15800"/>
    <mergeCell ref="A15801:R15801"/>
    <mergeCell ref="A15802:R15802"/>
    <mergeCell ref="A15805:R15805"/>
    <mergeCell ref="A15806:R15806"/>
    <mergeCell ref="A15807:R15807"/>
    <mergeCell ref="A15579:R15579"/>
    <mergeCell ref="A15584:R15584"/>
    <mergeCell ref="A15585:R15585"/>
    <mergeCell ref="A15157:R15157"/>
    <mergeCell ref="A15163:R15163"/>
    <mergeCell ref="A15164:R15164"/>
    <mergeCell ref="A15167:R15167"/>
    <mergeCell ref="A15172:R15172"/>
    <mergeCell ref="A15514:R15514"/>
    <mergeCell ref="A15220:R15220"/>
    <mergeCell ref="A15175:R15175"/>
    <mergeCell ref="A15176:R15176"/>
    <mergeCell ref="A15183:R15183"/>
    <mergeCell ref="A15184:R15184"/>
    <mergeCell ref="A15187:R15187"/>
    <mergeCell ref="A15188:R15188"/>
    <mergeCell ref="A15403:R15403"/>
    <mergeCell ref="A15410:R15410"/>
    <mergeCell ref="A15520:R15520"/>
    <mergeCell ref="A15533:R15533"/>
    <mergeCell ref="A15413:R15413"/>
    <mergeCell ref="A15419:R15419"/>
    <mergeCell ref="A15425:R15425"/>
    <mergeCell ref="A15363:R15363"/>
    <mergeCell ref="A15371:R15371"/>
    <mergeCell ref="A15372:R15372"/>
    <mergeCell ref="A15373:R15373"/>
    <mergeCell ref="A15384:R15384"/>
    <mergeCell ref="A15390:R15390"/>
    <mergeCell ref="A15335:R15335"/>
    <mergeCell ref="A15349:R15349"/>
    <mergeCell ref="A15350:R15350"/>
    <mergeCell ref="A15668:R15668"/>
    <mergeCell ref="A15684:R15684"/>
    <mergeCell ref="A15686:R15686"/>
    <mergeCell ref="A15587:R15587"/>
    <mergeCell ref="A15590:R15590"/>
    <mergeCell ref="A15592:R15592"/>
    <mergeCell ref="A15567:R15567"/>
    <mergeCell ref="A15569:R15569"/>
    <mergeCell ref="A15570:R15570"/>
    <mergeCell ref="A15571:R15571"/>
    <mergeCell ref="A15574:R15574"/>
    <mergeCell ref="A15578:R15578"/>
    <mergeCell ref="A15540:R15540"/>
    <mergeCell ref="A15544:R15544"/>
    <mergeCell ref="A15547:R15547"/>
    <mergeCell ref="A15548:R15548"/>
    <mergeCell ref="A15552:R15552"/>
    <mergeCell ref="A15560:R15560"/>
    <mergeCell ref="A15652:R15652"/>
    <mergeCell ref="A15656:R15656"/>
    <mergeCell ref="A15614:R15614"/>
    <mergeCell ref="A15615:R15615"/>
    <mergeCell ref="A15616:R15616"/>
    <mergeCell ref="A15624:R15624"/>
    <mergeCell ref="A15628:R15628"/>
    <mergeCell ref="A15641:R15641"/>
    <mergeCell ref="A15593:R15593"/>
    <mergeCell ref="A15596:R15596"/>
    <mergeCell ref="A15600:R15600"/>
    <mergeCell ref="A15605:R15605"/>
    <mergeCell ref="A15606:R15606"/>
    <mergeCell ref="A15612:R15612"/>
    <mergeCell ref="A15354:R15354"/>
    <mergeCell ref="A15356:R15356"/>
    <mergeCell ref="A15358:R15358"/>
    <mergeCell ref="A15515:R15515"/>
    <mergeCell ref="A15516:R15516"/>
    <mergeCell ref="A15459:R15459"/>
    <mergeCell ref="A15471:R15471"/>
    <mergeCell ref="A15472:R15472"/>
    <mergeCell ref="A15474:R15474"/>
    <mergeCell ref="A15475:R15475"/>
    <mergeCell ref="A15494:R15494"/>
    <mergeCell ref="A15426:R15426"/>
    <mergeCell ref="A15430:R15430"/>
    <mergeCell ref="A15438:R15438"/>
    <mergeCell ref="A15446:R15446"/>
    <mergeCell ref="A15448:R15448"/>
    <mergeCell ref="A15449:R15449"/>
    <mergeCell ref="A15402:R15402"/>
    <mergeCell ref="A14945:R14945"/>
    <mergeCell ref="A14946:R14946"/>
    <mergeCell ref="A14947:R14947"/>
    <mergeCell ref="A15289:R15289"/>
    <mergeCell ref="A15227:R15227"/>
    <mergeCell ref="A15231:R15231"/>
    <mergeCell ref="A15235:R15235"/>
    <mergeCell ref="A15239:R15239"/>
    <mergeCell ref="A15240:R15240"/>
    <mergeCell ref="A15251:R15251"/>
    <mergeCell ref="A15197:R15197"/>
    <mergeCell ref="A15205:R15205"/>
    <mergeCell ref="A15207:R15207"/>
    <mergeCell ref="A15218:R15218"/>
    <mergeCell ref="A15219:R15219"/>
    <mergeCell ref="A14992:R14992"/>
    <mergeCell ref="A14953:R14953"/>
    <mergeCell ref="A14957:R14957"/>
    <mergeCell ref="A14962:R14962"/>
    <mergeCell ref="A14965:R14965"/>
    <mergeCell ref="A14968:R14968"/>
    <mergeCell ref="A14972:R14972"/>
    <mergeCell ref="A15263:R15263"/>
    <mergeCell ref="A15269:R15269"/>
    <mergeCell ref="A15270:R15270"/>
    <mergeCell ref="A15275:R15275"/>
    <mergeCell ref="A15276:R15276"/>
    <mergeCell ref="A15280:R15280"/>
    <mergeCell ref="A15153:R15153"/>
    <mergeCell ref="A15155:R15155"/>
    <mergeCell ref="A15107:R15107"/>
    <mergeCell ref="A15108:R15108"/>
    <mergeCell ref="A15324:R15324"/>
    <mergeCell ref="A15325:R15325"/>
    <mergeCell ref="A15326:R15326"/>
    <mergeCell ref="A15334:R15334"/>
    <mergeCell ref="A15309:R15309"/>
    <mergeCell ref="A15310:R15310"/>
    <mergeCell ref="A15312:R15312"/>
    <mergeCell ref="A15313:R15313"/>
    <mergeCell ref="A15315:R15315"/>
    <mergeCell ref="A15318:R15318"/>
    <mergeCell ref="A15304:R15304"/>
    <mergeCell ref="A15305:R15305"/>
    <mergeCell ref="A15306:R15306"/>
    <mergeCell ref="A14974:R14974"/>
    <mergeCell ref="A14978:R14978"/>
    <mergeCell ref="A14980:R14980"/>
    <mergeCell ref="A14985:R14985"/>
    <mergeCell ref="A14988:R14988"/>
    <mergeCell ref="A15096:C15096"/>
    <mergeCell ref="A15299:R15299"/>
    <mergeCell ref="A15110:R15110"/>
    <mergeCell ref="A15115:R15115"/>
    <mergeCell ref="A14443:R14443"/>
    <mergeCell ref="A14450:R14450"/>
    <mergeCell ref="A14451:R14451"/>
    <mergeCell ref="A14455:R14455"/>
    <mergeCell ref="A14459:R14459"/>
    <mergeCell ref="A14468:R14468"/>
    <mergeCell ref="A14825:R14825"/>
    <mergeCell ref="A14795:R14795"/>
    <mergeCell ref="A15956:C15956"/>
    <mergeCell ref="A15067:R15067"/>
    <mergeCell ref="A15002:R15002"/>
    <mergeCell ref="A15010:R15010"/>
    <mergeCell ref="A15014:R15014"/>
    <mergeCell ref="A15018:R15018"/>
    <mergeCell ref="A15025:R15025"/>
    <mergeCell ref="A15029:R15029"/>
    <mergeCell ref="A15031:R15031"/>
    <mergeCell ref="A15034:R15034"/>
    <mergeCell ref="A15054:R15054"/>
    <mergeCell ref="A15059:R15059"/>
    <mergeCell ref="A15066:R15066"/>
    <mergeCell ref="A15092:R15092"/>
    <mergeCell ref="A15093:R15093"/>
    <mergeCell ref="A15073:R15073"/>
    <mergeCell ref="A15075:R15075"/>
    <mergeCell ref="A15077:R15077"/>
    <mergeCell ref="A15088:R15088"/>
    <mergeCell ref="A15089:R15089"/>
    <mergeCell ref="A15091:R15091"/>
    <mergeCell ref="A15538:R15538"/>
    <mergeCell ref="A15320:R15320"/>
    <mergeCell ref="A15321:R15321"/>
    <mergeCell ref="A14637:R14637"/>
    <mergeCell ref="A14641:R14641"/>
    <mergeCell ref="A14642:R14642"/>
    <mergeCell ref="A14646:R14646"/>
    <mergeCell ref="A14612:R14612"/>
    <mergeCell ref="A14614:R14614"/>
    <mergeCell ref="A14619:R14619"/>
    <mergeCell ref="A14622:R14622"/>
    <mergeCell ref="A14432:R14432"/>
    <mergeCell ref="A14433:R14433"/>
    <mergeCell ref="A14434:R14434"/>
    <mergeCell ref="A14927:R14927"/>
    <mergeCell ref="A14928:R14928"/>
    <mergeCell ref="A14931:R14931"/>
    <mergeCell ref="A14935:R14935"/>
    <mergeCell ref="A14941:R14941"/>
    <mergeCell ref="A14889:R14889"/>
    <mergeCell ref="A14890:R14890"/>
    <mergeCell ref="A14903:R14903"/>
    <mergeCell ref="A14916:R14916"/>
    <mergeCell ref="A14923:R14923"/>
    <mergeCell ref="A14924:R14924"/>
    <mergeCell ref="A14834:R14834"/>
    <mergeCell ref="A14837:R14837"/>
    <mergeCell ref="A14838:R14838"/>
    <mergeCell ref="A14843:R14843"/>
    <mergeCell ref="A14848:R14848"/>
    <mergeCell ref="A14861:R14861"/>
    <mergeCell ref="A14816:R14816"/>
    <mergeCell ref="A14819:R14819"/>
    <mergeCell ref="A14821:R14821"/>
    <mergeCell ref="A14516:R14516"/>
    <mergeCell ref="A14802:R14802"/>
    <mergeCell ref="A14804:R14804"/>
    <mergeCell ref="A14806:R14806"/>
    <mergeCell ref="A14807:R14807"/>
    <mergeCell ref="A14811:R14811"/>
    <mergeCell ref="A14789:R14789"/>
    <mergeCell ref="A14791:R14791"/>
    <mergeCell ref="A14793:R14793"/>
    <mergeCell ref="A14797:R14797"/>
    <mergeCell ref="A14798:R14798"/>
    <mergeCell ref="A14742:R14742"/>
    <mergeCell ref="A14748:R14748"/>
    <mergeCell ref="A14761:R14761"/>
    <mergeCell ref="A14471:R14471"/>
    <mergeCell ref="A14474:R14474"/>
    <mergeCell ref="A14484:R14484"/>
    <mergeCell ref="A14497:R14497"/>
    <mergeCell ref="A14498:R14498"/>
    <mergeCell ref="A14519:R14519"/>
    <mergeCell ref="A14523:R14523"/>
    <mergeCell ref="A14524:R14524"/>
    <mergeCell ref="A14526:R14526"/>
    <mergeCell ref="A14527:R14527"/>
    <mergeCell ref="A14656:R14656"/>
    <mergeCell ref="A14659:R14659"/>
    <mergeCell ref="A14663:R14663"/>
    <mergeCell ref="A14665:R14665"/>
    <mergeCell ref="A14667:R14667"/>
    <mergeCell ref="A14669:R14669"/>
    <mergeCell ref="A14530:C14530"/>
    <mergeCell ref="A14633:R14633"/>
    <mergeCell ref="A14635:R14635"/>
    <mergeCell ref="A13300:R13300"/>
    <mergeCell ref="A13302:R13302"/>
    <mergeCell ref="A13307:R13307"/>
    <mergeCell ref="A13309:R13309"/>
    <mergeCell ref="A13311:R13311"/>
    <mergeCell ref="A14368:R14368"/>
    <mergeCell ref="A14371:R14371"/>
    <mergeCell ref="A14372:R14372"/>
    <mergeCell ref="A14832:R14832"/>
    <mergeCell ref="A14771:R14771"/>
    <mergeCell ref="A14778:R14778"/>
    <mergeCell ref="A14785:R14785"/>
    <mergeCell ref="A14713:R14713"/>
    <mergeCell ref="A14714:R14714"/>
    <mergeCell ref="A14717:R14717"/>
    <mergeCell ref="A14730:R14730"/>
    <mergeCell ref="A14734:R14734"/>
    <mergeCell ref="A14739:R14739"/>
    <mergeCell ref="A14691:R14691"/>
    <mergeCell ref="A14695:R14695"/>
    <mergeCell ref="A14698:R14698"/>
    <mergeCell ref="A14700:R14700"/>
    <mergeCell ref="A14706:R14706"/>
    <mergeCell ref="A14710:R14710"/>
    <mergeCell ref="A14671:R14671"/>
    <mergeCell ref="A14672:R14672"/>
    <mergeCell ref="A14675:R14675"/>
    <mergeCell ref="A14680:R14680"/>
    <mergeCell ref="A14684:R14684"/>
    <mergeCell ref="A14687:R14687"/>
    <mergeCell ref="A14828:R14828"/>
    <mergeCell ref="A14800:R14800"/>
    <mergeCell ref="A14198:R14198"/>
    <mergeCell ref="A14200:R14200"/>
    <mergeCell ref="A14201:R14201"/>
    <mergeCell ref="A14205:R14205"/>
    <mergeCell ref="A14180:R14180"/>
    <mergeCell ref="A14183:R14183"/>
    <mergeCell ref="A14184:R14184"/>
    <mergeCell ref="A14186:R14186"/>
    <mergeCell ref="A13313:R13313"/>
    <mergeCell ref="A13546:C13546"/>
    <mergeCell ref="A13295:R13295"/>
    <mergeCell ref="A13296:R13296"/>
    <mergeCell ref="A13297:R13297"/>
    <mergeCell ref="A14418:R14418"/>
    <mergeCell ref="A14420:R14420"/>
    <mergeCell ref="A14422:R14422"/>
    <mergeCell ref="A14425:R14425"/>
    <mergeCell ref="A14396:R14396"/>
    <mergeCell ref="A14402:R14402"/>
    <mergeCell ref="A14406:R14406"/>
    <mergeCell ref="A14407:R14407"/>
    <mergeCell ref="A14412:R14412"/>
    <mergeCell ref="A14414:R14414"/>
    <mergeCell ref="A14373:R14373"/>
    <mergeCell ref="A14378:R14378"/>
    <mergeCell ref="A14379:R14379"/>
    <mergeCell ref="A14390:R14390"/>
    <mergeCell ref="A14392:R14392"/>
    <mergeCell ref="A14395:R14395"/>
    <mergeCell ref="A14358:R14358"/>
    <mergeCell ref="A14361:R14361"/>
    <mergeCell ref="A14363:R14363"/>
    <mergeCell ref="A13337:R13337"/>
    <mergeCell ref="A13338:R13338"/>
    <mergeCell ref="A13340:R13340"/>
    <mergeCell ref="A13343:R13343"/>
    <mergeCell ref="A14260:R14260"/>
    <mergeCell ref="A14261:R14261"/>
    <mergeCell ref="A14266:R14266"/>
    <mergeCell ref="A14206:R14206"/>
    <mergeCell ref="A14342:R14342"/>
    <mergeCell ref="A14344:R14344"/>
    <mergeCell ref="A14347:R14347"/>
    <mergeCell ref="A14349:R14349"/>
    <mergeCell ref="A14350:R14350"/>
    <mergeCell ref="A14356:R14356"/>
    <mergeCell ref="A14322:R14322"/>
    <mergeCell ref="A14327:R14327"/>
    <mergeCell ref="A14331:R14331"/>
    <mergeCell ref="A14334:R14334"/>
    <mergeCell ref="A14338:R14338"/>
    <mergeCell ref="A14341:R14341"/>
    <mergeCell ref="A14299:R14299"/>
    <mergeCell ref="A14303:R14303"/>
    <mergeCell ref="A14304:R14304"/>
    <mergeCell ref="A14309:R14309"/>
    <mergeCell ref="A13346:R13346"/>
    <mergeCell ref="A14209:R14209"/>
    <mergeCell ref="A14211:R14211"/>
    <mergeCell ref="A14212:R14212"/>
    <mergeCell ref="A14214:R14214"/>
    <mergeCell ref="A14216:R14216"/>
    <mergeCell ref="A14195:R14195"/>
    <mergeCell ref="A14196:R14196"/>
    <mergeCell ref="A13368:R13368"/>
    <mergeCell ref="A13370:R13370"/>
    <mergeCell ref="A13373:R13373"/>
    <mergeCell ref="A13376:R13376"/>
    <mergeCell ref="A13378:R13378"/>
    <mergeCell ref="A14128:R14128"/>
    <mergeCell ref="A14132:R14132"/>
    <mergeCell ref="A14133:R14133"/>
    <mergeCell ref="A13319:R13319"/>
    <mergeCell ref="A13320:R13320"/>
    <mergeCell ref="A13323:R13323"/>
    <mergeCell ref="A13325:R13325"/>
    <mergeCell ref="A13328:R13328"/>
    <mergeCell ref="A13330:R13330"/>
    <mergeCell ref="A14311:R14311"/>
    <mergeCell ref="A14319:R14319"/>
    <mergeCell ref="A14280:R14280"/>
    <mergeCell ref="A14284:R14284"/>
    <mergeCell ref="A14285:R14285"/>
    <mergeCell ref="A14287:R14287"/>
    <mergeCell ref="A14295:R14295"/>
    <mergeCell ref="A14296:R14296"/>
    <mergeCell ref="A14267:R14267"/>
    <mergeCell ref="A14269:R14269"/>
    <mergeCell ref="A14271:R14271"/>
    <mergeCell ref="A14274:R14274"/>
    <mergeCell ref="A14275:R14275"/>
    <mergeCell ref="A14276:R14276"/>
    <mergeCell ref="A14219:R14219"/>
    <mergeCell ref="A14220:R14220"/>
    <mergeCell ref="A14259:R14259"/>
    <mergeCell ref="A13333:R13333"/>
    <mergeCell ref="A13972:R13972"/>
    <mergeCell ref="A13974:R13974"/>
    <mergeCell ref="A13976:R13976"/>
    <mergeCell ref="A13977:R13977"/>
    <mergeCell ref="A13940:R13940"/>
    <mergeCell ref="A13942:R13942"/>
    <mergeCell ref="A13943:R13943"/>
    <mergeCell ref="A13946:R13946"/>
    <mergeCell ref="A13383:R13383"/>
    <mergeCell ref="A13349:R13349"/>
    <mergeCell ref="A13355:R13355"/>
    <mergeCell ref="A13358:R13358"/>
    <mergeCell ref="A13362:R13362"/>
    <mergeCell ref="A13363:R13363"/>
    <mergeCell ref="A13366:R13366"/>
    <mergeCell ref="A14188:R14188"/>
    <mergeCell ref="A14193:R14193"/>
    <mergeCell ref="A14164:R14164"/>
    <mergeCell ref="A14165:R14165"/>
    <mergeCell ref="A14170:R14170"/>
    <mergeCell ref="A14173:R14173"/>
    <mergeCell ref="A14174:R14174"/>
    <mergeCell ref="A14177:R14177"/>
    <mergeCell ref="A14135:R14135"/>
    <mergeCell ref="A14138:R14138"/>
    <mergeCell ref="A14140:R14140"/>
    <mergeCell ref="A14144:R14144"/>
    <mergeCell ref="A14146:R14146"/>
    <mergeCell ref="A14163:R14163"/>
    <mergeCell ref="A14116:R14116"/>
    <mergeCell ref="A14117:R14117"/>
    <mergeCell ref="A14122:R14122"/>
    <mergeCell ref="A13412:R13412"/>
    <mergeCell ref="A13414:R13414"/>
    <mergeCell ref="A13415:R13415"/>
    <mergeCell ref="A13418:R13418"/>
    <mergeCell ref="A14005:R14005"/>
    <mergeCell ref="A14006:R14006"/>
    <mergeCell ref="A14009:R14009"/>
    <mergeCell ref="A13979:R13979"/>
    <mergeCell ref="A14101:R14101"/>
    <mergeCell ref="A14102:R14102"/>
    <mergeCell ref="A14104:R14104"/>
    <mergeCell ref="A14107:R14107"/>
    <mergeCell ref="A14109:R14109"/>
    <mergeCell ref="A14110:R14110"/>
    <mergeCell ref="A14083:R14083"/>
    <mergeCell ref="A14089:R14089"/>
    <mergeCell ref="A14090:R14090"/>
    <mergeCell ref="A14092:R14092"/>
    <mergeCell ref="A14095:R14095"/>
    <mergeCell ref="A14098:R14098"/>
    <mergeCell ref="A14059:R14059"/>
    <mergeCell ref="A14067:R14067"/>
    <mergeCell ref="A14071:R14071"/>
    <mergeCell ref="A14072:R14072"/>
    <mergeCell ref="A13419:R13419"/>
    <mergeCell ref="A13981:R13981"/>
    <mergeCell ref="A13988:R13988"/>
    <mergeCell ref="A13989:R13989"/>
    <mergeCell ref="A13992:R13992"/>
    <mergeCell ref="A13993:R13993"/>
    <mergeCell ref="A13969:R13969"/>
    <mergeCell ref="A13971:R13971"/>
    <mergeCell ref="A14078:R14078"/>
    <mergeCell ref="A14079:R14079"/>
    <mergeCell ref="A14036:R14036"/>
    <mergeCell ref="A14039:R14039"/>
    <mergeCell ref="A14041:R14041"/>
    <mergeCell ref="A14044:R14044"/>
    <mergeCell ref="A14045:R14045"/>
    <mergeCell ref="A14050:R14050"/>
    <mergeCell ref="A14011:R14011"/>
    <mergeCell ref="A14022:R14022"/>
    <mergeCell ref="A14024:R14024"/>
    <mergeCell ref="A14026:R14026"/>
    <mergeCell ref="A14027:R14027"/>
    <mergeCell ref="A14033:R14033"/>
    <mergeCell ref="A13998:R13998"/>
    <mergeCell ref="A13999:R13999"/>
    <mergeCell ref="A14000:R14000"/>
    <mergeCell ref="A13844:R13844"/>
    <mergeCell ref="A13846:R13846"/>
    <mergeCell ref="A13847:R13847"/>
    <mergeCell ref="A13852:R13852"/>
    <mergeCell ref="A13853:R13853"/>
    <mergeCell ref="A13855:R13855"/>
    <mergeCell ref="A13833:R13833"/>
    <mergeCell ref="A13836:R13836"/>
    <mergeCell ref="A13457:R13457"/>
    <mergeCell ref="A13421:R13421"/>
    <mergeCell ref="A13425:R13425"/>
    <mergeCell ref="A13429:R13429"/>
    <mergeCell ref="A13434:R13434"/>
    <mergeCell ref="A13435:R13435"/>
    <mergeCell ref="A13436:R13436"/>
    <mergeCell ref="A13950:R13950"/>
    <mergeCell ref="A13968:R13968"/>
    <mergeCell ref="A13912:R13912"/>
    <mergeCell ref="A13916:R13916"/>
    <mergeCell ref="A13917:R13917"/>
    <mergeCell ref="A13920:R13920"/>
    <mergeCell ref="A13922:R13922"/>
    <mergeCell ref="A13923:R13923"/>
    <mergeCell ref="A13900:R13900"/>
    <mergeCell ref="A13902:R13902"/>
    <mergeCell ref="A13903:R13903"/>
    <mergeCell ref="A13905:R13905"/>
    <mergeCell ref="A13908:R13908"/>
    <mergeCell ref="A13909:R13909"/>
    <mergeCell ref="A13890:R13890"/>
    <mergeCell ref="A13801:R13801"/>
    <mergeCell ref="A13804:R13804"/>
    <mergeCell ref="A13895:R13895"/>
    <mergeCell ref="A13898:R13898"/>
    <mergeCell ref="A13899:R13899"/>
    <mergeCell ref="A13880:R13880"/>
    <mergeCell ref="A13882:R13882"/>
    <mergeCell ref="A13883:R13883"/>
    <mergeCell ref="A13885:R13885"/>
    <mergeCell ref="A13886:R13886"/>
    <mergeCell ref="A13888:R13888"/>
    <mergeCell ref="A13868:R13868"/>
    <mergeCell ref="A13869:R13869"/>
    <mergeCell ref="A13870:R13870"/>
    <mergeCell ref="A13874:R13874"/>
    <mergeCell ref="A13876:R13876"/>
    <mergeCell ref="A13878:R13878"/>
    <mergeCell ref="A13856:R13856"/>
    <mergeCell ref="A13859:R13859"/>
    <mergeCell ref="A13860:R13860"/>
    <mergeCell ref="A13863:R13863"/>
    <mergeCell ref="A13864:R13864"/>
    <mergeCell ref="A13866:R13866"/>
    <mergeCell ref="A13891:R13891"/>
    <mergeCell ref="A13894:R13894"/>
    <mergeCell ref="A13838:R13838"/>
    <mergeCell ref="A13839:R13839"/>
    <mergeCell ref="A13840:R13840"/>
    <mergeCell ref="A13843:R13843"/>
    <mergeCell ref="A13822:R13822"/>
    <mergeCell ref="A13826:R13826"/>
    <mergeCell ref="A13827:R13827"/>
    <mergeCell ref="A13829:R13829"/>
    <mergeCell ref="A13830:R13830"/>
    <mergeCell ref="A13832:R13832"/>
    <mergeCell ref="A13760:R13760"/>
    <mergeCell ref="A13761:R13761"/>
    <mergeCell ref="A13763:R13763"/>
    <mergeCell ref="A13764:R13764"/>
    <mergeCell ref="A13799:R13799"/>
    <mergeCell ref="A13800:R13800"/>
    <mergeCell ref="A13738:R13738"/>
    <mergeCell ref="A13739:R13739"/>
    <mergeCell ref="A13746:R13746"/>
    <mergeCell ref="A13747:R13747"/>
    <mergeCell ref="A13750:R13750"/>
    <mergeCell ref="A13751:R13751"/>
    <mergeCell ref="A13805:R13805"/>
    <mergeCell ref="A13809:R13809"/>
    <mergeCell ref="A13816:R13816"/>
    <mergeCell ref="A13819:R13819"/>
    <mergeCell ref="A13079:R13079"/>
    <mergeCell ref="A13080:R13080"/>
    <mergeCell ref="A13081:R13081"/>
    <mergeCell ref="A13531:R13531"/>
    <mergeCell ref="A13506:R13506"/>
    <mergeCell ref="A13512:R13512"/>
    <mergeCell ref="A13515:R13515"/>
    <mergeCell ref="A13516:R13516"/>
    <mergeCell ref="A13527:R13527"/>
    <mergeCell ref="A13530:R13530"/>
    <mergeCell ref="A13483:R13483"/>
    <mergeCell ref="A13486:R13486"/>
    <mergeCell ref="A13492:R13492"/>
    <mergeCell ref="A13497:R13497"/>
    <mergeCell ref="A13502:R13502"/>
    <mergeCell ref="A13136:R13136"/>
    <mergeCell ref="A13085:R13085"/>
    <mergeCell ref="A13091:R13091"/>
    <mergeCell ref="A13095:R13095"/>
    <mergeCell ref="A13097:R13097"/>
    <mergeCell ref="A13101:R13101"/>
    <mergeCell ref="A13104:R13104"/>
    <mergeCell ref="A13448:R13448"/>
    <mergeCell ref="A13452:R13452"/>
    <mergeCell ref="A13456:R13456"/>
    <mergeCell ref="A13441:R13441"/>
    <mergeCell ref="A13445:R13445"/>
    <mergeCell ref="A13384:R13384"/>
    <mergeCell ref="A13385:R13385"/>
    <mergeCell ref="A13388:R13388"/>
    <mergeCell ref="A13391:R13391"/>
    <mergeCell ref="A13392:R13392"/>
    <mergeCell ref="A13720:R13720"/>
    <mergeCell ref="A13725:R13725"/>
    <mergeCell ref="A13726:R13726"/>
    <mergeCell ref="A13731:R13731"/>
    <mergeCell ref="A13734:R13734"/>
    <mergeCell ref="A13735:R13735"/>
    <mergeCell ref="A13701:R13701"/>
    <mergeCell ref="A13706:R13706"/>
    <mergeCell ref="A13707:R13707"/>
    <mergeCell ref="A13710:R13710"/>
    <mergeCell ref="A13715:R13715"/>
    <mergeCell ref="A13717:R13717"/>
    <mergeCell ref="A13675:R13675"/>
    <mergeCell ref="A13684:R13684"/>
    <mergeCell ref="A13685:R13685"/>
    <mergeCell ref="A13107:R13107"/>
    <mergeCell ref="A13110:R13110"/>
    <mergeCell ref="A13115:R13115"/>
    <mergeCell ref="A13128:R13128"/>
    <mergeCell ref="A13134:R13134"/>
    <mergeCell ref="A13692:R13692"/>
    <mergeCell ref="A13695:R13695"/>
    <mergeCell ref="A13700:R13700"/>
    <mergeCell ref="A13657:R13657"/>
    <mergeCell ref="A13660:R13660"/>
    <mergeCell ref="A13661:R13661"/>
    <mergeCell ref="A13668:R13668"/>
    <mergeCell ref="A13669:R13669"/>
    <mergeCell ref="A13672:R13672"/>
    <mergeCell ref="A13641:R13641"/>
    <mergeCell ref="A13642:R13642"/>
    <mergeCell ref="A13649:R13649"/>
    <mergeCell ref="A13650:R13650"/>
    <mergeCell ref="A13651:R13651"/>
    <mergeCell ref="A13656:R13656"/>
    <mergeCell ref="A13626:R13626"/>
    <mergeCell ref="A13631:R13631"/>
    <mergeCell ref="A13632:R13632"/>
    <mergeCell ref="A13636:R13636"/>
    <mergeCell ref="A13198:R13198"/>
    <mergeCell ref="A13143:R13143"/>
    <mergeCell ref="A13160:R13160"/>
    <mergeCell ref="A13164:R13164"/>
    <mergeCell ref="A13166:R13166"/>
    <mergeCell ref="A13167:R13167"/>
    <mergeCell ref="A13173:R13173"/>
    <mergeCell ref="A13637:R13637"/>
    <mergeCell ref="A13639:R13639"/>
    <mergeCell ref="A13604:R13604"/>
    <mergeCell ref="A13612:R13612"/>
    <mergeCell ref="A13613:R13613"/>
    <mergeCell ref="A13615:R13615"/>
    <mergeCell ref="A13616:R13616"/>
    <mergeCell ref="A13624:R13624"/>
    <mergeCell ref="A13591:R13591"/>
    <mergeCell ref="A13593:R13593"/>
    <mergeCell ref="A13594:R13594"/>
    <mergeCell ref="A13596:R13596"/>
    <mergeCell ref="A13597:R13597"/>
    <mergeCell ref="A13602:R13602"/>
    <mergeCell ref="A13573:R13573"/>
    <mergeCell ref="A13555:R13555"/>
    <mergeCell ref="A13558:R13558"/>
    <mergeCell ref="A13563:R13563"/>
    <mergeCell ref="A13565:R13565"/>
    <mergeCell ref="A13569:R13569"/>
    <mergeCell ref="A13548:R13548"/>
    <mergeCell ref="A13549:R13549"/>
    <mergeCell ref="A13550:R13550"/>
    <mergeCell ref="A13264:R13264"/>
    <mergeCell ref="A13200:R13200"/>
    <mergeCell ref="A13205:R13205"/>
    <mergeCell ref="A13206:R13206"/>
    <mergeCell ref="A13228:R13228"/>
    <mergeCell ref="A13235:R13235"/>
    <mergeCell ref="A13237:R13237"/>
    <mergeCell ref="A13243:R13243"/>
    <mergeCell ref="A13248:R13248"/>
    <mergeCell ref="A13253:R13253"/>
    <mergeCell ref="A13257:R13257"/>
    <mergeCell ref="A13261:R13261"/>
    <mergeCell ref="A13482:R13482"/>
    <mergeCell ref="A13534:R13534"/>
    <mergeCell ref="A13535:R13535"/>
    <mergeCell ref="A13536:R13536"/>
    <mergeCell ref="A13540:R13540"/>
    <mergeCell ref="A13541:R13541"/>
    <mergeCell ref="A13503:R13503"/>
    <mergeCell ref="A13460:R13460"/>
    <mergeCell ref="A13466:R13466"/>
    <mergeCell ref="A13468:R13468"/>
    <mergeCell ref="A13475:R13475"/>
    <mergeCell ref="A13477:R13477"/>
    <mergeCell ref="A13293:C13293"/>
    <mergeCell ref="A13397:R13397"/>
    <mergeCell ref="A13407:R13407"/>
    <mergeCell ref="A14943:C14943"/>
    <mergeCell ref="A11979:C11979"/>
    <mergeCell ref="A12287:R12287"/>
    <mergeCell ref="A12288:R12288"/>
    <mergeCell ref="A12294:R12294"/>
    <mergeCell ref="A12296:R12296"/>
    <mergeCell ref="A12297:R12297"/>
    <mergeCell ref="A12298:R12298"/>
    <mergeCell ref="A12271:R12271"/>
    <mergeCell ref="A12273:R12273"/>
    <mergeCell ref="A12275:R12275"/>
    <mergeCell ref="A12282:R12282"/>
    <mergeCell ref="A12284:R12284"/>
    <mergeCell ref="A12286:R12286"/>
    <mergeCell ref="A12253:R12253"/>
    <mergeCell ref="A12254:R12254"/>
    <mergeCell ref="A12259:R12259"/>
    <mergeCell ref="A14430:C14430"/>
    <mergeCell ref="A14627:R14627"/>
    <mergeCell ref="A14591:R14591"/>
    <mergeCell ref="A14597:R14597"/>
    <mergeCell ref="A14599:R14599"/>
    <mergeCell ref="A14602:R14602"/>
    <mergeCell ref="A14604:R14604"/>
    <mergeCell ref="A14610:R14610"/>
    <mergeCell ref="A14575:R14575"/>
    <mergeCell ref="A14577:R14577"/>
    <mergeCell ref="A14579:R14579"/>
    <mergeCell ref="A14582:R14582"/>
    <mergeCell ref="A14585:R14585"/>
    <mergeCell ref="A14586:R14586"/>
    <mergeCell ref="A14545:R14545"/>
    <mergeCell ref="A11792:R11792"/>
    <mergeCell ref="A11794:R11794"/>
    <mergeCell ref="A12309:R12309"/>
    <mergeCell ref="A12313:R12313"/>
    <mergeCell ref="A14631:R14631"/>
    <mergeCell ref="A14559:R14559"/>
    <mergeCell ref="A14562:R14562"/>
    <mergeCell ref="A14568:R14568"/>
    <mergeCell ref="A14532:R14532"/>
    <mergeCell ref="A14533:R14533"/>
    <mergeCell ref="A14534:R14534"/>
    <mergeCell ref="A13288:R13288"/>
    <mergeCell ref="A13289:R13289"/>
    <mergeCell ref="A13267:R13267"/>
    <mergeCell ref="A13269:R13269"/>
    <mergeCell ref="A13270:R13270"/>
    <mergeCell ref="A13277:R13277"/>
    <mergeCell ref="A13282:R13282"/>
    <mergeCell ref="A13284:R13284"/>
    <mergeCell ref="A14548:R14548"/>
    <mergeCell ref="A14556:R14556"/>
    <mergeCell ref="A13574:R13574"/>
    <mergeCell ref="A13576:R13576"/>
    <mergeCell ref="A13175:R13175"/>
    <mergeCell ref="A13179:R13179"/>
    <mergeCell ref="A13180:R13180"/>
    <mergeCell ref="A13193:R13193"/>
    <mergeCell ref="A13196:R13196"/>
    <mergeCell ref="A13580:R13580"/>
    <mergeCell ref="A13587:R13587"/>
    <mergeCell ref="A13589:R13589"/>
    <mergeCell ref="A13553:R13553"/>
    <mergeCell ref="A12366:R12366"/>
    <mergeCell ref="A12348:R12348"/>
    <mergeCell ref="A12351:R12351"/>
    <mergeCell ref="A12354:R12354"/>
    <mergeCell ref="A12355:R12355"/>
    <mergeCell ref="A12363:R12363"/>
    <mergeCell ref="A12365:R12365"/>
    <mergeCell ref="A12337:R12337"/>
    <mergeCell ref="A12338:R12338"/>
    <mergeCell ref="A12340:R12340"/>
    <mergeCell ref="A12342:R12342"/>
    <mergeCell ref="A12344:R12344"/>
    <mergeCell ref="A12347:R12347"/>
    <mergeCell ref="A12322:R12322"/>
    <mergeCell ref="A12324:R12324"/>
    <mergeCell ref="A12325:R12325"/>
    <mergeCell ref="A12329:R12329"/>
    <mergeCell ref="A12332:R12332"/>
    <mergeCell ref="A12335:R12335"/>
    <mergeCell ref="A12318:R12318"/>
    <mergeCell ref="A12320:R12320"/>
    <mergeCell ref="A12261:R12261"/>
    <mergeCell ref="A12264:R12264"/>
    <mergeCell ref="A12266:R12266"/>
    <mergeCell ref="A12224:R12224"/>
    <mergeCell ref="A12231:R12231"/>
    <mergeCell ref="A12232:R12232"/>
    <mergeCell ref="A12237:R12237"/>
    <mergeCell ref="A12243:R12243"/>
    <mergeCell ref="A12252:R12252"/>
    <mergeCell ref="A12201:R12201"/>
    <mergeCell ref="A12205:R12205"/>
    <mergeCell ref="A12212:R12212"/>
    <mergeCell ref="A12213:R12213"/>
    <mergeCell ref="A12215:R12215"/>
    <mergeCell ref="A12220:R12220"/>
    <mergeCell ref="A12302:R12302"/>
    <mergeCell ref="A11988:R11988"/>
    <mergeCell ref="A11918:R11918"/>
    <mergeCell ref="A11874:R11874"/>
    <mergeCell ref="A11878:R11878"/>
    <mergeCell ref="A11882:R11882"/>
    <mergeCell ref="A11883:R11883"/>
    <mergeCell ref="A11896:R11896"/>
    <mergeCell ref="A11899:R11899"/>
    <mergeCell ref="A11998:R11998"/>
    <mergeCell ref="A12007:R12007"/>
    <mergeCell ref="A11981:R11981"/>
    <mergeCell ref="A11795:R11795"/>
    <mergeCell ref="A11798:R11798"/>
    <mergeCell ref="A11801:R11801"/>
    <mergeCell ref="A11802:R11802"/>
    <mergeCell ref="A11805:R11805"/>
    <mergeCell ref="A12315:R12315"/>
    <mergeCell ref="A12124:R12124"/>
    <mergeCell ref="A11869:R11869"/>
    <mergeCell ref="A11809:R11809"/>
    <mergeCell ref="A11814:R11814"/>
    <mergeCell ref="A11821:R11821"/>
    <mergeCell ref="A11822:R11822"/>
    <mergeCell ref="A11823:R11823"/>
    <mergeCell ref="A11827:R11827"/>
    <mergeCell ref="A12127:R12127"/>
    <mergeCell ref="A11808:R11808"/>
    <mergeCell ref="A12192:R12192"/>
    <mergeCell ref="A12070:R12070"/>
    <mergeCell ref="A12077:R12077"/>
    <mergeCell ref="A12082:R12082"/>
    <mergeCell ref="A12047:R12047"/>
    <mergeCell ref="A12055:R12055"/>
    <mergeCell ref="A12056:R12056"/>
    <mergeCell ref="A12058:R12058"/>
    <mergeCell ref="A12060:R12060"/>
    <mergeCell ref="A12063:R12063"/>
    <mergeCell ref="A12018:R12018"/>
    <mergeCell ref="A12027:R12027"/>
    <mergeCell ref="A12031:R12031"/>
    <mergeCell ref="A12038:R12038"/>
    <mergeCell ref="A12041:R12041"/>
    <mergeCell ref="A12045:R12045"/>
    <mergeCell ref="A12128:R12128"/>
    <mergeCell ref="A12107:R12107"/>
    <mergeCell ref="A12108:R12108"/>
    <mergeCell ref="A12110:R12110"/>
    <mergeCell ref="A12111:R12111"/>
    <mergeCell ref="A12114:R12114"/>
    <mergeCell ref="A12115:R12115"/>
    <mergeCell ref="A12086:R12086"/>
    <mergeCell ref="A12087:R12087"/>
    <mergeCell ref="A12094:R12094"/>
    <mergeCell ref="A12097:R12097"/>
    <mergeCell ref="A12099:R12099"/>
    <mergeCell ref="A12100:R12100"/>
    <mergeCell ref="A12066:R12066"/>
    <mergeCell ref="A12067:R12067"/>
    <mergeCell ref="A12068:R12068"/>
    <mergeCell ref="A11527:R11527"/>
    <mergeCell ref="A11528:R11528"/>
    <mergeCell ref="A11529:R11529"/>
    <mergeCell ref="A11950:R11950"/>
    <mergeCell ref="A11921:R11921"/>
    <mergeCell ref="A11922:R11922"/>
    <mergeCell ref="A11925:R11925"/>
    <mergeCell ref="A11928:R11928"/>
    <mergeCell ref="A11931:R11931"/>
    <mergeCell ref="A11932:R11932"/>
    <mergeCell ref="A11900:R11900"/>
    <mergeCell ref="A11904:R11904"/>
    <mergeCell ref="A11907:R11907"/>
    <mergeCell ref="A11910:R11910"/>
    <mergeCell ref="A11914:R11914"/>
    <mergeCell ref="A11577:R11577"/>
    <mergeCell ref="A11532:R11532"/>
    <mergeCell ref="A11536:R11536"/>
    <mergeCell ref="A11542:R11542"/>
    <mergeCell ref="A11544:R11544"/>
    <mergeCell ref="A11850:R11850"/>
    <mergeCell ref="A11858:R11858"/>
    <mergeCell ref="A11859:R11859"/>
    <mergeCell ref="A11864:R11864"/>
    <mergeCell ref="A11868:R11868"/>
    <mergeCell ref="A11773:R11773"/>
    <mergeCell ref="A11774:R11774"/>
    <mergeCell ref="A11775:R11775"/>
    <mergeCell ref="A11779:R11779"/>
    <mergeCell ref="A11785:R11785"/>
    <mergeCell ref="A11786:R11786"/>
    <mergeCell ref="A11790:R11790"/>
    <mergeCell ref="A11546:R11546"/>
    <mergeCell ref="A11554:R11554"/>
    <mergeCell ref="A12015:R12015"/>
    <mergeCell ref="A12016:R12016"/>
    <mergeCell ref="A11559:R11559"/>
    <mergeCell ref="A11564:R11564"/>
    <mergeCell ref="A11568:R11568"/>
    <mergeCell ref="A11569:R11569"/>
    <mergeCell ref="A11572:R11572"/>
    <mergeCell ref="A12371:C12371"/>
    <mergeCell ref="A12834:R12834"/>
    <mergeCell ref="A12837:R12837"/>
    <mergeCell ref="A12841:R12841"/>
    <mergeCell ref="A12813:R12813"/>
    <mergeCell ref="A12819:R12819"/>
    <mergeCell ref="A12820:R12820"/>
    <mergeCell ref="A12826:R12826"/>
    <mergeCell ref="A12829:R12829"/>
    <mergeCell ref="A12831:R12831"/>
    <mergeCell ref="A12770:R12770"/>
    <mergeCell ref="A12775:R12775"/>
    <mergeCell ref="A12780:R12780"/>
    <mergeCell ref="A12784:R12784"/>
    <mergeCell ref="A12795:R12795"/>
    <mergeCell ref="A12796:R12796"/>
    <mergeCell ref="A12746:R12746"/>
    <mergeCell ref="A12753:R12753"/>
    <mergeCell ref="A12756:R12756"/>
    <mergeCell ref="A11620:R11620"/>
    <mergeCell ref="A11581:R11581"/>
    <mergeCell ref="A11585:R11585"/>
    <mergeCell ref="A11587:R11587"/>
    <mergeCell ref="A11590:R11590"/>
    <mergeCell ref="A11593:R11593"/>
    <mergeCell ref="A11599:R11599"/>
    <mergeCell ref="A12843:R12843"/>
    <mergeCell ref="A12844:R12844"/>
    <mergeCell ref="A12763:R12763"/>
    <mergeCell ref="A12764:R12764"/>
    <mergeCell ref="A12769:R12769"/>
    <mergeCell ref="A12694:R12694"/>
    <mergeCell ref="A12712:R12712"/>
    <mergeCell ref="A12720:R12720"/>
    <mergeCell ref="A12731:R12731"/>
    <mergeCell ref="A12735:R12735"/>
    <mergeCell ref="A12743:R12743"/>
    <mergeCell ref="A12656:R12656"/>
    <mergeCell ref="A12657:R12657"/>
    <mergeCell ref="A12659:R12659"/>
    <mergeCell ref="A12671:R12671"/>
    <mergeCell ref="A12672:R12672"/>
    <mergeCell ref="A12688:R12688"/>
    <mergeCell ref="A11611:R11611"/>
    <mergeCell ref="A11613:R11613"/>
    <mergeCell ref="A11615:R11615"/>
    <mergeCell ref="A11617:R11617"/>
    <mergeCell ref="A11619:R11619"/>
    <mergeCell ref="A12637:R12637"/>
    <mergeCell ref="A12641:R12641"/>
    <mergeCell ref="A12646:R12646"/>
    <mergeCell ref="A12648:R12648"/>
    <mergeCell ref="A12597:R12597"/>
    <mergeCell ref="A12608:R12608"/>
    <mergeCell ref="A12609:R12609"/>
    <mergeCell ref="A11669:R11669"/>
    <mergeCell ref="A11627:R11627"/>
    <mergeCell ref="A11640:R11640"/>
    <mergeCell ref="A11648:R11648"/>
    <mergeCell ref="A11650:R11650"/>
    <mergeCell ref="A11653:R11653"/>
    <mergeCell ref="A11655:R11655"/>
    <mergeCell ref="A11657:R11657"/>
    <mergeCell ref="A11658:R11658"/>
    <mergeCell ref="A11663:R11663"/>
    <mergeCell ref="A11664:R11664"/>
    <mergeCell ref="A11666:R11666"/>
    <mergeCell ref="A12476:R12476"/>
    <mergeCell ref="A12478:R12478"/>
    <mergeCell ref="A12479:R12479"/>
    <mergeCell ref="A12482:R12482"/>
    <mergeCell ref="A12448:R12448"/>
    <mergeCell ref="A12454:R12454"/>
    <mergeCell ref="A12459:R12459"/>
    <mergeCell ref="A12462:R12462"/>
    <mergeCell ref="A11982:R11982"/>
    <mergeCell ref="A11983:R11983"/>
    <mergeCell ref="A11956:R11956"/>
    <mergeCell ref="A11958:R11958"/>
    <mergeCell ref="A11935:R11935"/>
    <mergeCell ref="A11937:R11937"/>
    <mergeCell ref="A11938:R11938"/>
    <mergeCell ref="A11941:R11941"/>
    <mergeCell ref="A11943:R11943"/>
    <mergeCell ref="A11947:R11947"/>
    <mergeCell ref="A12010:R12010"/>
    <mergeCell ref="A11771:C11771"/>
    <mergeCell ref="A11768:R11768"/>
    <mergeCell ref="A12650:R12650"/>
    <mergeCell ref="A12651:R12651"/>
    <mergeCell ref="A12546:R12546"/>
    <mergeCell ref="A12561:R12561"/>
    <mergeCell ref="A12566:R12566"/>
    <mergeCell ref="A12520:R12520"/>
    <mergeCell ref="A12524:R12524"/>
    <mergeCell ref="A12526:R12526"/>
    <mergeCell ref="A12528:R12528"/>
    <mergeCell ref="A12530:R12530"/>
    <mergeCell ref="A12532:R12532"/>
    <mergeCell ref="A12491:R12491"/>
    <mergeCell ref="A12497:R12497"/>
    <mergeCell ref="A12500:R12500"/>
    <mergeCell ref="A12508:R12508"/>
    <mergeCell ref="A12512:R12512"/>
    <mergeCell ref="A12517:R12517"/>
    <mergeCell ref="A12616:R12616"/>
    <mergeCell ref="A12617:R12617"/>
    <mergeCell ref="A12625:R12625"/>
    <mergeCell ref="A12570:R12570"/>
    <mergeCell ref="A12571:R12571"/>
    <mergeCell ref="A12575:R12575"/>
    <mergeCell ref="A12584:R12584"/>
    <mergeCell ref="A12589:R12589"/>
    <mergeCell ref="A12596:R12596"/>
    <mergeCell ref="A12538:R12538"/>
    <mergeCell ref="A12540:R12540"/>
    <mergeCell ref="A12541:R12541"/>
    <mergeCell ref="A12150:R12150"/>
    <mergeCell ref="A12189:R12189"/>
    <mergeCell ref="A11722:R11722"/>
    <mergeCell ref="A11671:R11671"/>
    <mergeCell ref="A11673:R11673"/>
    <mergeCell ref="A11675:R11675"/>
    <mergeCell ref="A11677:R11677"/>
    <mergeCell ref="A11679:R11679"/>
    <mergeCell ref="A11698:R11698"/>
    <mergeCell ref="A11703:R11703"/>
    <mergeCell ref="A11706:R11706"/>
    <mergeCell ref="A11707:R11707"/>
    <mergeCell ref="A11708:R11708"/>
    <mergeCell ref="A11716:R11716"/>
    <mergeCell ref="A11746:R11746"/>
    <mergeCell ref="A11755:R11755"/>
    <mergeCell ref="A11760:R11760"/>
    <mergeCell ref="A11764:R11764"/>
    <mergeCell ref="A11766:R11766"/>
    <mergeCell ref="A12487:R12487"/>
    <mergeCell ref="A12490:R12490"/>
    <mergeCell ref="A12422:R12422"/>
    <mergeCell ref="A12429:R12429"/>
    <mergeCell ref="A12433:R12433"/>
    <mergeCell ref="A12398:R12398"/>
    <mergeCell ref="A12402:R12402"/>
    <mergeCell ref="A12404:R12404"/>
    <mergeCell ref="A12406:R12406"/>
    <mergeCell ref="A12409:R12409"/>
    <mergeCell ref="A12413:R12413"/>
    <mergeCell ref="A12377:R12377"/>
    <mergeCell ref="A12379:R12379"/>
    <mergeCell ref="A12386:R12386"/>
    <mergeCell ref="A12388:R12388"/>
    <mergeCell ref="A12393:R12393"/>
    <mergeCell ref="A12397:R12397"/>
    <mergeCell ref="A12464:R12464"/>
    <mergeCell ref="A12472:R12472"/>
    <mergeCell ref="A12435:R12435"/>
    <mergeCell ref="A12436:R12436"/>
    <mergeCell ref="A12439:R12439"/>
    <mergeCell ref="A12442:R12442"/>
    <mergeCell ref="A12446:R12446"/>
    <mergeCell ref="A12447:R12447"/>
    <mergeCell ref="A12415:R12415"/>
    <mergeCell ref="A12416:R12416"/>
    <mergeCell ref="A12419:R12419"/>
    <mergeCell ref="A12848:C12848"/>
    <mergeCell ref="A12373:R12373"/>
    <mergeCell ref="A12374:R12374"/>
    <mergeCell ref="A12375:R12375"/>
    <mergeCell ref="A11748:R11748"/>
    <mergeCell ref="A11723:R11723"/>
    <mergeCell ref="A11725:R11725"/>
    <mergeCell ref="A11726:R11726"/>
    <mergeCell ref="A11729:R11729"/>
    <mergeCell ref="A11730:R11730"/>
    <mergeCell ref="A11732:R11732"/>
    <mergeCell ref="A13071:R13071"/>
    <mergeCell ref="A13072:R13072"/>
    <mergeCell ref="A13059:R13059"/>
    <mergeCell ref="A13061:R13061"/>
    <mergeCell ref="A13064:R13064"/>
    <mergeCell ref="A13066:R13066"/>
    <mergeCell ref="A13067:R13067"/>
    <mergeCell ref="A13068:R13068"/>
    <mergeCell ref="A13049:R13049"/>
    <mergeCell ref="A13050:R13050"/>
    <mergeCell ref="A13053:R13053"/>
    <mergeCell ref="A13054:R13054"/>
    <mergeCell ref="A13057:R13057"/>
    <mergeCell ref="A13058:R13058"/>
    <mergeCell ref="A13035:R13035"/>
    <mergeCell ref="A13037:R13037"/>
    <mergeCell ref="A13040:R13040"/>
    <mergeCell ref="A11733:R11733"/>
    <mergeCell ref="A11735:R11735"/>
    <mergeCell ref="A11738:R11738"/>
    <mergeCell ref="A11742:R11742"/>
    <mergeCell ref="A13043:R13043"/>
    <mergeCell ref="A13046:R13046"/>
    <mergeCell ref="A13047:R13047"/>
    <mergeCell ref="A13025:R13025"/>
    <mergeCell ref="A13027:R13027"/>
    <mergeCell ref="A13028:R13028"/>
    <mergeCell ref="A13031:R13031"/>
    <mergeCell ref="A13032:R13032"/>
    <mergeCell ref="A13033:R13033"/>
    <mergeCell ref="A13010:R13010"/>
    <mergeCell ref="A13014:R13014"/>
    <mergeCell ref="A13020:R13020"/>
    <mergeCell ref="A13021:R13021"/>
    <mergeCell ref="A13023:R13023"/>
    <mergeCell ref="A13024:R13024"/>
    <mergeCell ref="A12999:R12999"/>
    <mergeCell ref="A13001:R13001"/>
    <mergeCell ref="A13002:R13002"/>
    <mergeCell ref="A13004:R13004"/>
    <mergeCell ref="A13007:R13007"/>
    <mergeCell ref="A13008:R13008"/>
    <mergeCell ref="A12984:R12984"/>
    <mergeCell ref="A12985:R12985"/>
    <mergeCell ref="A12988:R12988"/>
    <mergeCell ref="A12989:R12989"/>
    <mergeCell ref="A12997:R12997"/>
    <mergeCell ref="A12998:R12998"/>
    <mergeCell ref="A12973:R12973"/>
    <mergeCell ref="A12974:R12974"/>
    <mergeCell ref="A12975:R12975"/>
    <mergeCell ref="A12979:R12979"/>
    <mergeCell ref="A12980:R12980"/>
    <mergeCell ref="A12981:R12981"/>
    <mergeCell ref="A12960:R12960"/>
    <mergeCell ref="A12961:R12961"/>
    <mergeCell ref="A12962:R12962"/>
    <mergeCell ref="A12966:R12966"/>
    <mergeCell ref="A12967:R12967"/>
    <mergeCell ref="A10406:R10406"/>
    <mergeCell ref="A10641:C10641"/>
    <mergeCell ref="A10380:R10380"/>
    <mergeCell ref="A10381:R10381"/>
    <mergeCell ref="A10382:R10382"/>
    <mergeCell ref="A11510:R11510"/>
    <mergeCell ref="A11511:R11511"/>
    <mergeCell ref="A11520:R11520"/>
    <mergeCell ref="A11487:R11487"/>
    <mergeCell ref="A11488:R11488"/>
    <mergeCell ref="A11494:R11494"/>
    <mergeCell ref="A11495:R11495"/>
    <mergeCell ref="A11498:R11498"/>
    <mergeCell ref="A11506:R11506"/>
    <mergeCell ref="A11469:R11469"/>
    <mergeCell ref="A11473:R11473"/>
    <mergeCell ref="A11476:R11476"/>
    <mergeCell ref="A11477:R11477"/>
    <mergeCell ref="A11481:R11481"/>
    <mergeCell ref="A11486:R11486"/>
    <mergeCell ref="A11443:R11443"/>
    <mergeCell ref="A11448:R11448"/>
    <mergeCell ref="A11450:R11450"/>
    <mergeCell ref="A11458:R11458"/>
    <mergeCell ref="A10384:R10384"/>
    <mergeCell ref="A10385:R10385"/>
    <mergeCell ref="A10395:R10395"/>
    <mergeCell ref="A10398:R10398"/>
    <mergeCell ref="A10405:R10405"/>
    <mergeCell ref="A11459:R11459"/>
    <mergeCell ref="A11461:R11461"/>
    <mergeCell ref="A11429:R11429"/>
    <mergeCell ref="A11433:R11433"/>
    <mergeCell ref="A11434:R11434"/>
    <mergeCell ref="A11437:R11437"/>
    <mergeCell ref="A11438:R11438"/>
    <mergeCell ref="A11442:R11442"/>
    <mergeCell ref="A11413:R11413"/>
    <mergeCell ref="A11416:R11416"/>
    <mergeCell ref="A11419:R11419"/>
    <mergeCell ref="A11422:R11422"/>
    <mergeCell ref="A11423:R11423"/>
    <mergeCell ref="A11427:R11427"/>
    <mergeCell ref="A11345:R11345"/>
    <mergeCell ref="A11347:R11347"/>
    <mergeCell ref="A11359:R11359"/>
    <mergeCell ref="A11360:R11360"/>
    <mergeCell ref="A11361:R11361"/>
    <mergeCell ref="A10467:R10467"/>
    <mergeCell ref="A11263:R11263"/>
    <mergeCell ref="A11264:R11264"/>
    <mergeCell ref="A11285:R11285"/>
    <mergeCell ref="A11286:R11286"/>
    <mergeCell ref="A11188:R11188"/>
    <mergeCell ref="A11198:R11198"/>
    <mergeCell ref="A11217:R11217"/>
    <mergeCell ref="A11236:R11236"/>
    <mergeCell ref="A11237:R11237"/>
    <mergeCell ref="A11251:R11251"/>
    <mergeCell ref="A11137:R11137"/>
    <mergeCell ref="A11140:R11140"/>
    <mergeCell ref="A11152:R11152"/>
    <mergeCell ref="A11162:R11162"/>
    <mergeCell ref="A11171:R11171"/>
    <mergeCell ref="A10411:R10411"/>
    <mergeCell ref="A10412:R10412"/>
    <mergeCell ref="A10416:R10416"/>
    <mergeCell ref="A10421:R10421"/>
    <mergeCell ref="A10422:R10422"/>
    <mergeCell ref="A10432:R10432"/>
    <mergeCell ref="A11407:R11407"/>
    <mergeCell ref="A11331:R11331"/>
    <mergeCell ref="A11335:R11335"/>
    <mergeCell ref="A11338:R11338"/>
    <mergeCell ref="A11340:R11340"/>
    <mergeCell ref="A11342:R11342"/>
    <mergeCell ref="A11343:R11343"/>
    <mergeCell ref="A11316:R11316"/>
    <mergeCell ref="A11318:R11318"/>
    <mergeCell ref="A11322:R11322"/>
    <mergeCell ref="A11324:R11324"/>
    <mergeCell ref="A11326:R11326"/>
    <mergeCell ref="A11328:R11328"/>
    <mergeCell ref="A11293:R11293"/>
    <mergeCell ref="A11299:R11299"/>
    <mergeCell ref="A11304:R11304"/>
    <mergeCell ref="A11306:R11306"/>
    <mergeCell ref="A10438:R10438"/>
    <mergeCell ref="A10459:R10459"/>
    <mergeCell ref="A10462:R10462"/>
    <mergeCell ref="A10463:R10463"/>
    <mergeCell ref="A10466:R10466"/>
    <mergeCell ref="A11312:R11312"/>
    <mergeCell ref="A11314:R11314"/>
    <mergeCell ref="A11255:R11255"/>
    <mergeCell ref="A11258:R11258"/>
    <mergeCell ref="A10475:R10475"/>
    <mergeCell ref="A10482:R10482"/>
    <mergeCell ref="A10484:R10484"/>
    <mergeCell ref="A10485:R10485"/>
    <mergeCell ref="A10494:R10494"/>
    <mergeCell ref="A10495:R10495"/>
    <mergeCell ref="A11181:R11181"/>
    <mergeCell ref="A11093:R11093"/>
    <mergeCell ref="A11100:R11100"/>
    <mergeCell ref="A11104:R11104"/>
    <mergeCell ref="A11111:R11111"/>
    <mergeCell ref="A11125:R11125"/>
    <mergeCell ref="A11128:R11128"/>
    <mergeCell ref="A11055:R11055"/>
    <mergeCell ref="A11056:R11056"/>
    <mergeCell ref="A11059:R11059"/>
    <mergeCell ref="A11060:R11060"/>
    <mergeCell ref="A11066:R11066"/>
    <mergeCell ref="A11081:R11081"/>
    <mergeCell ref="A11028:R11028"/>
    <mergeCell ref="A11030:R11030"/>
    <mergeCell ref="A11032:R11032"/>
    <mergeCell ref="A11033:R11033"/>
    <mergeCell ref="A10502:R10502"/>
    <mergeCell ref="A10506:R10506"/>
    <mergeCell ref="A10508:R10508"/>
    <mergeCell ref="A10509:R10509"/>
    <mergeCell ref="A10513:R10513"/>
    <mergeCell ref="A11046:R11046"/>
    <mergeCell ref="A11049:R11049"/>
    <mergeCell ref="A11010:R11010"/>
    <mergeCell ref="A10626:R10626"/>
    <mergeCell ref="A10863:R10863"/>
    <mergeCell ref="A10869:R10869"/>
    <mergeCell ref="A10874:R10874"/>
    <mergeCell ref="A10879:R10879"/>
    <mergeCell ref="A10806:R10806"/>
    <mergeCell ref="A10819:R10819"/>
    <mergeCell ref="A10831:R10831"/>
    <mergeCell ref="A10838:R10838"/>
    <mergeCell ref="A10839:R10839"/>
    <mergeCell ref="A10849:R10849"/>
    <mergeCell ref="A10742:R10742"/>
    <mergeCell ref="A10759:R10759"/>
    <mergeCell ref="A10764:R10764"/>
    <mergeCell ref="A10771:R10771"/>
    <mergeCell ref="A10778:R10778"/>
    <mergeCell ref="A10514:R10514"/>
    <mergeCell ref="A10855:R10855"/>
    <mergeCell ref="A10862:R10862"/>
    <mergeCell ref="A10527:R10527"/>
    <mergeCell ref="A10528:R10528"/>
    <mergeCell ref="A10529:R10529"/>
    <mergeCell ref="A10532:R10532"/>
    <mergeCell ref="A10552:R10552"/>
    <mergeCell ref="A10553:R10553"/>
    <mergeCell ref="A10675:R10675"/>
    <mergeCell ref="A10684:R10684"/>
    <mergeCell ref="A10698:R10698"/>
    <mergeCell ref="A10703:R10703"/>
    <mergeCell ref="A10722:R10722"/>
    <mergeCell ref="A10728:R10728"/>
    <mergeCell ref="A10653:R10653"/>
    <mergeCell ref="A10659:R10659"/>
    <mergeCell ref="A11012:R11012"/>
    <mergeCell ref="A11015:R11015"/>
    <mergeCell ref="A11017:R11017"/>
    <mergeCell ref="A11020:R11020"/>
    <mergeCell ref="A11024:R11024"/>
    <mergeCell ref="A10990:R10990"/>
    <mergeCell ref="A10992:R10992"/>
    <mergeCell ref="A10999:R10999"/>
    <mergeCell ref="A11003:R11003"/>
    <mergeCell ref="A11006:R11006"/>
    <mergeCell ref="A11007:R11007"/>
    <mergeCell ref="A10969:R10969"/>
    <mergeCell ref="A10976:R10976"/>
    <mergeCell ref="A10980:R10980"/>
    <mergeCell ref="A10982:R10982"/>
    <mergeCell ref="A10985:R10985"/>
    <mergeCell ref="A10644:R10644"/>
    <mergeCell ref="A10645:R10645"/>
    <mergeCell ref="A10988:R10988"/>
    <mergeCell ref="A10949:R10949"/>
    <mergeCell ref="A10951:R10951"/>
    <mergeCell ref="A10956:R10956"/>
    <mergeCell ref="A10961:R10961"/>
    <mergeCell ref="A10962:R10962"/>
    <mergeCell ref="A10965:R10965"/>
    <mergeCell ref="A10914:R10914"/>
    <mergeCell ref="A10937:R10937"/>
    <mergeCell ref="A10938:R10938"/>
    <mergeCell ref="A10939:R10939"/>
    <mergeCell ref="A10942:R10942"/>
    <mergeCell ref="A10947:R10947"/>
    <mergeCell ref="A10888:R10888"/>
    <mergeCell ref="A10893:R10893"/>
    <mergeCell ref="A10900:R10900"/>
    <mergeCell ref="A10901:R10901"/>
    <mergeCell ref="A10555:R10555"/>
    <mergeCell ref="A10585:R10585"/>
    <mergeCell ref="A10598:R10598"/>
    <mergeCell ref="A10599:R10599"/>
    <mergeCell ref="A10625:R10625"/>
    <mergeCell ref="A10907:R10907"/>
    <mergeCell ref="A10913:R10913"/>
    <mergeCell ref="A10099:R10099"/>
    <mergeCell ref="A10100:R10100"/>
    <mergeCell ref="A10101:R10101"/>
    <mergeCell ref="A11525:C11525"/>
    <mergeCell ref="A12970:R12970"/>
    <mergeCell ref="A12947:R12947"/>
    <mergeCell ref="A12951:R12951"/>
    <mergeCell ref="A12952:R12952"/>
    <mergeCell ref="A12954:R12954"/>
    <mergeCell ref="A12955:R12955"/>
    <mergeCell ref="A12956:R12956"/>
    <mergeCell ref="A12935:R12935"/>
    <mergeCell ref="A12936:R12936"/>
    <mergeCell ref="A12939:R12939"/>
    <mergeCell ref="A12941:R12941"/>
    <mergeCell ref="A12942:R12942"/>
    <mergeCell ref="A12943:R12943"/>
    <mergeCell ref="A12922:R12922"/>
    <mergeCell ref="A12923:R12923"/>
    <mergeCell ref="A12928:R12928"/>
    <mergeCell ref="A12931:R12931"/>
    <mergeCell ref="A12932:R12932"/>
    <mergeCell ref="A10103:R10103"/>
    <mergeCell ref="A10106:R10106"/>
    <mergeCell ref="A10110:R10110"/>
    <mergeCell ref="A10111:R10111"/>
    <mergeCell ref="A10117:R10117"/>
    <mergeCell ref="A12933:R12933"/>
    <mergeCell ref="A12908:R12908"/>
    <mergeCell ref="A12910:R12910"/>
    <mergeCell ref="A10628:R10628"/>
    <mergeCell ref="A10629:R10629"/>
    <mergeCell ref="A12896:R12896"/>
    <mergeCell ref="A12899:R12899"/>
    <mergeCell ref="A12903:R12903"/>
    <mergeCell ref="A12904:R12904"/>
    <mergeCell ref="A12907:R12907"/>
    <mergeCell ref="A12883:R12883"/>
    <mergeCell ref="A12885:R12885"/>
    <mergeCell ref="A12886:R12886"/>
    <mergeCell ref="A12888:R12888"/>
    <mergeCell ref="A12891:R12891"/>
    <mergeCell ref="A12894:R12894"/>
    <mergeCell ref="A10211:R10211"/>
    <mergeCell ref="A12872:R12872"/>
    <mergeCell ref="A12877:R12877"/>
    <mergeCell ref="A12880:R12880"/>
    <mergeCell ref="A12881:R12881"/>
    <mergeCell ref="A10118:R10118"/>
    <mergeCell ref="A10378:C10378"/>
    <mergeCell ref="A10634:R10634"/>
    <mergeCell ref="A10635:R10635"/>
    <mergeCell ref="A10639:R10639"/>
    <mergeCell ref="A10797:R10797"/>
    <mergeCell ref="A10664:R10664"/>
    <mergeCell ref="A10667:R10667"/>
    <mergeCell ref="A10119:R10119"/>
    <mergeCell ref="A10138:R10138"/>
    <mergeCell ref="A10152:R10152"/>
    <mergeCell ref="A10156:R10156"/>
    <mergeCell ref="A10157:R10157"/>
    <mergeCell ref="A10171:R10171"/>
    <mergeCell ref="A12866:R12866"/>
    <mergeCell ref="A12869:R12869"/>
    <mergeCell ref="A12854:R12854"/>
    <mergeCell ref="A12856:R12856"/>
    <mergeCell ref="A12857:R12857"/>
    <mergeCell ref="A12861:R12861"/>
    <mergeCell ref="A12863:R12863"/>
    <mergeCell ref="A12864:R12864"/>
    <mergeCell ref="A12850:R12850"/>
    <mergeCell ref="A12851:R12851"/>
    <mergeCell ref="A12852:R12852"/>
    <mergeCell ref="A10177:R10177"/>
    <mergeCell ref="A10180:R10180"/>
    <mergeCell ref="A10181:R10181"/>
    <mergeCell ref="A10206:R10206"/>
    <mergeCell ref="A10207:R10207"/>
    <mergeCell ref="A10251:R10251"/>
    <mergeCell ref="A10220:R10220"/>
    <mergeCell ref="A10221:R10221"/>
    <mergeCell ref="A10224:R10224"/>
    <mergeCell ref="A10228:R10228"/>
    <mergeCell ref="A10229:R10229"/>
    <mergeCell ref="A10234:R10234"/>
    <mergeCell ref="A10670:R10670"/>
    <mergeCell ref="A10674:R10674"/>
    <mergeCell ref="A10643:R10643"/>
    <mergeCell ref="A13077:C13077"/>
    <mergeCell ref="A10239:R10239"/>
    <mergeCell ref="A10245:R10245"/>
    <mergeCell ref="A10246:R10246"/>
    <mergeCell ref="A10248:R10248"/>
    <mergeCell ref="A10249:R10249"/>
    <mergeCell ref="A10326:R10326"/>
    <mergeCell ref="A10252:R10252"/>
    <mergeCell ref="A10255:R10255"/>
    <mergeCell ref="A10256:R10256"/>
    <mergeCell ref="A10257:R10257"/>
    <mergeCell ref="A10262:R10262"/>
    <mergeCell ref="A10287:R10287"/>
    <mergeCell ref="A10290:R10290"/>
    <mergeCell ref="A10299:R10299"/>
    <mergeCell ref="A10305:R10305"/>
    <mergeCell ref="A10310:R10310"/>
    <mergeCell ref="A10313:R10313"/>
    <mergeCell ref="A10374:R10374"/>
    <mergeCell ref="A10375:R10375"/>
    <mergeCell ref="A10339:R10339"/>
    <mergeCell ref="A10340:R10340"/>
    <mergeCell ref="A10343:R10343"/>
    <mergeCell ref="A10361:R10361"/>
    <mergeCell ref="A10370:R10370"/>
    <mergeCell ref="A10371:R10371"/>
    <mergeCell ref="A10642:R10642"/>
    <mergeCell ref="A12912:R12912"/>
    <mergeCell ref="A12914:R12914"/>
    <mergeCell ref="A12915:R12915"/>
    <mergeCell ref="A12919:R12919"/>
    <mergeCell ref="A12895:R12895"/>
    <mergeCell ref="A10092:R10092"/>
    <mergeCell ref="A10094:R10094"/>
    <mergeCell ref="A10095:R10095"/>
    <mergeCell ref="A10097:C10097"/>
    <mergeCell ref="A10079:R10079"/>
    <mergeCell ref="A10080:R10080"/>
    <mergeCell ref="A10088:R10088"/>
    <mergeCell ref="A10077:C10077"/>
    <mergeCell ref="A9714:R9714"/>
    <mergeCell ref="A9715:R9715"/>
    <mergeCell ref="A9716:R9716"/>
    <mergeCell ref="A10091:R10091"/>
    <mergeCell ref="A9758:R9758"/>
    <mergeCell ref="A9720:R9720"/>
    <mergeCell ref="A9724:R9724"/>
    <mergeCell ref="A9727:R9727"/>
    <mergeCell ref="A9728:R9728"/>
    <mergeCell ref="A9731:R9731"/>
    <mergeCell ref="A9736:R9736"/>
    <mergeCell ref="A9740:R9740"/>
    <mergeCell ref="A9750:R9750"/>
    <mergeCell ref="A9753:R9753"/>
    <mergeCell ref="A9754:R9754"/>
    <mergeCell ref="A9757:R9757"/>
    <mergeCell ref="A9916:R9916"/>
    <mergeCell ref="A9769:R9769"/>
    <mergeCell ref="A9777:R9777"/>
    <mergeCell ref="A9778:R9778"/>
    <mergeCell ref="A9785:R9785"/>
    <mergeCell ref="A9786:R9786"/>
    <mergeCell ref="A9787:R9787"/>
    <mergeCell ref="A10042:R10042"/>
    <mergeCell ref="A10045:R10045"/>
    <mergeCell ref="A10055:R10055"/>
    <mergeCell ref="A10064:R10064"/>
    <mergeCell ref="A10024:R10024"/>
    <mergeCell ref="A10025:R10025"/>
    <mergeCell ref="A10029:R10029"/>
    <mergeCell ref="A10030:R10030"/>
    <mergeCell ref="A10031:R10031"/>
    <mergeCell ref="A10033:R10033"/>
    <mergeCell ref="A9712:C9712"/>
    <mergeCell ref="A7024:R7024"/>
    <mergeCell ref="A7025:R7025"/>
    <mergeCell ref="A7026:R7026"/>
    <mergeCell ref="A10034:R10034"/>
    <mergeCell ref="A9917:R9917"/>
    <mergeCell ref="A9942:R9942"/>
    <mergeCell ref="A9943:R9943"/>
    <mergeCell ref="A9971:R9971"/>
    <mergeCell ref="A9992:R9992"/>
    <mergeCell ref="A9993:R9993"/>
    <mergeCell ref="A9807:R9807"/>
    <mergeCell ref="A9830:R9830"/>
    <mergeCell ref="A9831:R9831"/>
    <mergeCell ref="A9859:R9859"/>
    <mergeCell ref="A9893:R9893"/>
    <mergeCell ref="A7154:R7154"/>
    <mergeCell ref="A7173:R7173"/>
    <mergeCell ref="A7191:R7191"/>
    <mergeCell ref="A7201:R7201"/>
    <mergeCell ref="A7212:R7212"/>
    <mergeCell ref="A7217:R7217"/>
    <mergeCell ref="A7033:R7033"/>
    <mergeCell ref="A7057:R7057"/>
    <mergeCell ref="A7075:R7075"/>
    <mergeCell ref="A7099:R7099"/>
    <mergeCell ref="A7117:R7117"/>
    <mergeCell ref="A7136:R7136"/>
    <mergeCell ref="A7287:R7287"/>
    <mergeCell ref="A7294:R7294"/>
    <mergeCell ref="A7298:R7298"/>
    <mergeCell ref="A7307:R7307"/>
    <mergeCell ref="A7308:R7308"/>
    <mergeCell ref="A7322:R7322"/>
    <mergeCell ref="A7225:R7225"/>
    <mergeCell ref="A7240:R7240"/>
    <mergeCell ref="A7248:R7248"/>
    <mergeCell ref="A7254:R7254"/>
    <mergeCell ref="A7266:R7266"/>
    <mergeCell ref="A7277:R7277"/>
    <mergeCell ref="A7406:R7406"/>
    <mergeCell ref="A7419:R7419"/>
    <mergeCell ref="A7432:R7432"/>
    <mergeCell ref="A7436:R7436"/>
    <mergeCell ref="A7450:R7450"/>
    <mergeCell ref="A7463:R7463"/>
    <mergeCell ref="A7335:R7335"/>
    <mergeCell ref="A7348:R7348"/>
    <mergeCell ref="A7352:R7352"/>
    <mergeCell ref="A7366:R7366"/>
    <mergeCell ref="A7379:R7379"/>
    <mergeCell ref="A7392:R7392"/>
    <mergeCell ref="A7635:R7635"/>
    <mergeCell ref="A7647:R7647"/>
    <mergeCell ref="A7535:R7535"/>
    <mergeCell ref="A7546:R7546"/>
    <mergeCell ref="A7557:R7557"/>
    <mergeCell ref="A7568:R7568"/>
    <mergeCell ref="A7579:R7579"/>
    <mergeCell ref="A7583:R7583"/>
    <mergeCell ref="A7476:R7476"/>
    <mergeCell ref="A7487:R7487"/>
    <mergeCell ref="A7498:R7498"/>
    <mergeCell ref="A7509:R7509"/>
    <mergeCell ref="A7513:R7513"/>
    <mergeCell ref="A7524:R7524"/>
    <mergeCell ref="A7708:R7708"/>
    <mergeCell ref="A7715:R7715"/>
    <mergeCell ref="A7716:R7716"/>
    <mergeCell ref="A7723:R7723"/>
    <mergeCell ref="A7725:R7725"/>
    <mergeCell ref="A7730:R7730"/>
    <mergeCell ref="A7659:R7659"/>
    <mergeCell ref="A7671:R7671"/>
    <mergeCell ref="A7683:R7683"/>
    <mergeCell ref="A7695:R7695"/>
    <mergeCell ref="A7699:R7699"/>
    <mergeCell ref="A7700:R7700"/>
    <mergeCell ref="A7753:R7753"/>
    <mergeCell ref="A7759:R7759"/>
    <mergeCell ref="A7760:R7760"/>
    <mergeCell ref="A7767:R7767"/>
    <mergeCell ref="A7773:R7773"/>
    <mergeCell ref="A7956:R7956"/>
    <mergeCell ref="A7965:R7965"/>
    <mergeCell ref="A7975:R7975"/>
    <mergeCell ref="A7981:R7981"/>
    <mergeCell ref="A7985:R7985"/>
    <mergeCell ref="A7995:R7995"/>
    <mergeCell ref="A8072:R8072"/>
    <mergeCell ref="A8078:R8078"/>
    <mergeCell ref="A8087:R8087"/>
    <mergeCell ref="A7783:R7783"/>
    <mergeCell ref="A7735:R7735"/>
    <mergeCell ref="A7736:R7736"/>
    <mergeCell ref="A7742:R7742"/>
    <mergeCell ref="A7747:R7747"/>
    <mergeCell ref="A7748:R7748"/>
    <mergeCell ref="A7752:R7752"/>
    <mergeCell ref="A7846:R7846"/>
    <mergeCell ref="A7870:R7870"/>
    <mergeCell ref="A7889:R7889"/>
    <mergeCell ref="A7908:R7908"/>
    <mergeCell ref="A7931:R7931"/>
    <mergeCell ref="A7945:R7945"/>
    <mergeCell ref="A7788:R7788"/>
    <mergeCell ref="A7796:R7796"/>
    <mergeCell ref="A7797:R7797"/>
    <mergeCell ref="A7798:R7798"/>
    <mergeCell ref="A7803:R7803"/>
    <mergeCell ref="A7827:R7827"/>
    <mergeCell ref="A8063:R8063"/>
    <mergeCell ref="A8071:R8071"/>
    <mergeCell ref="A8198:R8198"/>
    <mergeCell ref="A8209:R8209"/>
    <mergeCell ref="A8213:R8213"/>
    <mergeCell ref="A8224:R8224"/>
    <mergeCell ref="A8235:R8235"/>
    <mergeCell ref="A8246:R8246"/>
    <mergeCell ref="A8130:R8130"/>
    <mergeCell ref="A8134:R8134"/>
    <mergeCell ref="A8148:R8148"/>
    <mergeCell ref="A8162:R8162"/>
    <mergeCell ref="A8176:R8176"/>
    <mergeCell ref="A8187:R8187"/>
    <mergeCell ref="A8037:R8037"/>
    <mergeCell ref="A8042:R8042"/>
    <mergeCell ref="A7998:R7998"/>
    <mergeCell ref="A7999:R7999"/>
    <mergeCell ref="A8007:R8007"/>
    <mergeCell ref="A8011:R8011"/>
    <mergeCell ref="A8015:R8015"/>
    <mergeCell ref="A8016:R8016"/>
    <mergeCell ref="A8031:R8031"/>
    <mergeCell ref="A8036:R8036"/>
    <mergeCell ref="A8681:R8681"/>
    <mergeCell ref="A8685:R8685"/>
    <mergeCell ref="A8689:R8689"/>
    <mergeCell ref="A8693:R8693"/>
    <mergeCell ref="A8649:R8649"/>
    <mergeCell ref="A8650:R8650"/>
    <mergeCell ref="A8652:R8652"/>
    <mergeCell ref="A8655:R8655"/>
    <mergeCell ref="A8661:R8661"/>
    <mergeCell ref="A8667:R8667"/>
    <mergeCell ref="A8271:R8271"/>
    <mergeCell ref="A8277:R8277"/>
    <mergeCell ref="A8281:R8281"/>
    <mergeCell ref="A8286:R8286"/>
    <mergeCell ref="A8302:R8302"/>
    <mergeCell ref="A8307:R8307"/>
    <mergeCell ref="A8247:R8247"/>
    <mergeCell ref="A8248:R8248"/>
    <mergeCell ref="A8254:R8254"/>
    <mergeCell ref="A8260:R8260"/>
    <mergeCell ref="A8263:R8263"/>
    <mergeCell ref="A8267:R8267"/>
    <mergeCell ref="A8378:R8378"/>
    <mergeCell ref="A8388:R8388"/>
    <mergeCell ref="A8398:R8398"/>
    <mergeCell ref="A8402:R8402"/>
    <mergeCell ref="A8409:R8409"/>
    <mergeCell ref="A6797:R6797"/>
    <mergeCell ref="A7022:C7022"/>
    <mergeCell ref="A6769:R6769"/>
    <mergeCell ref="A6770:R6770"/>
    <mergeCell ref="A6779:R6779"/>
    <mergeCell ref="A9618:R9618"/>
    <mergeCell ref="A9665:R9665"/>
    <mergeCell ref="A9571:R9571"/>
    <mergeCell ref="A9572:R9572"/>
    <mergeCell ref="A9591:R9591"/>
    <mergeCell ref="A9605:R9605"/>
    <mergeCell ref="A9616:R9616"/>
    <mergeCell ref="A9617:R9617"/>
    <mergeCell ref="A9482:R9482"/>
    <mergeCell ref="A9502:R9502"/>
    <mergeCell ref="A9521:R9521"/>
    <mergeCell ref="A9535:R9535"/>
    <mergeCell ref="A9549:R9549"/>
    <mergeCell ref="A9560:R9560"/>
    <mergeCell ref="A9468:R9468"/>
    <mergeCell ref="A9473:R9473"/>
    <mergeCell ref="A9474:R9474"/>
    <mergeCell ref="A9478:R9478"/>
    <mergeCell ref="A9480:R9480"/>
    <mergeCell ref="A6786:R6786"/>
    <mergeCell ref="A6787:R6787"/>
    <mergeCell ref="A6788:R6788"/>
    <mergeCell ref="A6792:R6792"/>
    <mergeCell ref="A6796:R6796"/>
    <mergeCell ref="A9481:R9481"/>
    <mergeCell ref="A9441:R9441"/>
    <mergeCell ref="A9445:R9445"/>
    <mergeCell ref="A9448:R9448"/>
    <mergeCell ref="A9453:R9453"/>
    <mergeCell ref="A9454:R9454"/>
    <mergeCell ref="A9462:R9462"/>
    <mergeCell ref="A9409:R9409"/>
    <mergeCell ref="A9410:R9410"/>
    <mergeCell ref="A9416:R9416"/>
    <mergeCell ref="A9420:R9420"/>
    <mergeCell ref="A9430:R9430"/>
    <mergeCell ref="A9440:R9440"/>
    <mergeCell ref="A9382:R9382"/>
    <mergeCell ref="A9383:R9383"/>
    <mergeCell ref="A9387:R9387"/>
    <mergeCell ref="A9388:R9388"/>
    <mergeCell ref="A9398:R9398"/>
    <mergeCell ref="A9405:R9405"/>
    <mergeCell ref="A6858:R6858"/>
    <mergeCell ref="A9364:R9364"/>
    <mergeCell ref="A9365:R9365"/>
    <mergeCell ref="A9374:R9374"/>
    <mergeCell ref="A9376:R9376"/>
    <mergeCell ref="A9235:R9235"/>
    <mergeCell ref="A9244:R9244"/>
    <mergeCell ref="A9254:R9254"/>
    <mergeCell ref="A9261:R9261"/>
    <mergeCell ref="A9269:R9269"/>
    <mergeCell ref="A9185:R9185"/>
    <mergeCell ref="A9190:R9190"/>
    <mergeCell ref="A9198:R9198"/>
    <mergeCell ref="A9204:R9204"/>
    <mergeCell ref="A9212:R9212"/>
    <mergeCell ref="A9221:R9221"/>
    <mergeCell ref="A6803:R6803"/>
    <mergeCell ref="A6804:R6804"/>
    <mergeCell ref="A6819:R6819"/>
    <mergeCell ref="A6820:R6820"/>
    <mergeCell ref="A6827:R6827"/>
    <mergeCell ref="A6828:R6828"/>
    <mergeCell ref="A9358:R9358"/>
    <mergeCell ref="A9361:R9361"/>
    <mergeCell ref="A9334:R9334"/>
    <mergeCell ref="A9336:R9336"/>
    <mergeCell ref="A9346:R9346"/>
    <mergeCell ref="A9347:R9347"/>
    <mergeCell ref="A9348:R9348"/>
    <mergeCell ref="A9354:R9354"/>
    <mergeCell ref="A9298:R9298"/>
    <mergeCell ref="A9301:R9301"/>
    <mergeCell ref="A9312:R9312"/>
    <mergeCell ref="A9318:R9318"/>
    <mergeCell ref="A9319:R9319"/>
    <mergeCell ref="A9323:R9323"/>
    <mergeCell ref="A9270:R9270"/>
    <mergeCell ref="A9272:R9272"/>
    <mergeCell ref="A9275:R9275"/>
    <mergeCell ref="A6847:R6847"/>
    <mergeCell ref="A6848:R6848"/>
    <mergeCell ref="A6849:R6849"/>
    <mergeCell ref="A6853:R6853"/>
    <mergeCell ref="A6854:R6854"/>
    <mergeCell ref="A9282:R9282"/>
    <mergeCell ref="A9285:R9285"/>
    <mergeCell ref="A9291:R9291"/>
    <mergeCell ref="A9229:R9229"/>
    <mergeCell ref="A6910:R6910"/>
    <mergeCell ref="A6859:R6859"/>
    <mergeCell ref="A6860:R6860"/>
    <mergeCell ref="A6868:R6868"/>
    <mergeCell ref="A6873:R6873"/>
    <mergeCell ref="A6879:R6879"/>
    <mergeCell ref="A6881:R6881"/>
    <mergeCell ref="A9148:R9148"/>
    <mergeCell ref="A9153:R9153"/>
    <mergeCell ref="A9131:R9131"/>
    <mergeCell ref="A9138:R9138"/>
    <mergeCell ref="A9139:R9139"/>
    <mergeCell ref="A9143:R9143"/>
    <mergeCell ref="A9146:R9146"/>
    <mergeCell ref="A9147:R9147"/>
    <mergeCell ref="A9063:R9063"/>
    <mergeCell ref="A9082:R9082"/>
    <mergeCell ref="A9102:R9102"/>
    <mergeCell ref="A9117:R9117"/>
    <mergeCell ref="A9127:R9127"/>
    <mergeCell ref="A9128:R9128"/>
    <mergeCell ref="A8961:R8961"/>
    <mergeCell ref="A8962:R8962"/>
    <mergeCell ref="A8985:R8985"/>
    <mergeCell ref="A6885:R6885"/>
    <mergeCell ref="A6889:R6889"/>
    <mergeCell ref="A6893:R6893"/>
    <mergeCell ref="A6901:R6901"/>
    <mergeCell ref="A6902:R6902"/>
    <mergeCell ref="A6985:R6985"/>
    <mergeCell ref="A6918:R6918"/>
    <mergeCell ref="A6926:R6926"/>
    <mergeCell ref="A9165:R9165"/>
    <mergeCell ref="A9167:R9167"/>
    <mergeCell ref="A9177:R9177"/>
    <mergeCell ref="A9179:R9179"/>
    <mergeCell ref="A9004:R9004"/>
    <mergeCell ref="A9024:R9024"/>
    <mergeCell ref="A9039:R9039"/>
    <mergeCell ref="A8872:R8872"/>
    <mergeCell ref="A8895:R8895"/>
    <mergeCell ref="A8918:R8918"/>
    <mergeCell ref="A8928:R8928"/>
    <mergeCell ref="A8940:R8940"/>
    <mergeCell ref="A8960:R8960"/>
    <mergeCell ref="A8836:R8836"/>
    <mergeCell ref="A8837:R8837"/>
    <mergeCell ref="A8838:R8838"/>
    <mergeCell ref="A8845:R8845"/>
    <mergeCell ref="A8848:R8848"/>
    <mergeCell ref="A8849:R8849"/>
    <mergeCell ref="A6934:R6934"/>
    <mergeCell ref="A6942:R6942"/>
    <mergeCell ref="A6950:R6950"/>
    <mergeCell ref="A6954:R6954"/>
    <mergeCell ref="A8808:R8808"/>
    <mergeCell ref="A8813:R8813"/>
    <mergeCell ref="A8776:R8776"/>
    <mergeCell ref="A8788:R8788"/>
    <mergeCell ref="A8789:R8789"/>
    <mergeCell ref="A8794:R8794"/>
    <mergeCell ref="A8798:R8798"/>
    <mergeCell ref="A8803:R8803"/>
    <mergeCell ref="A8752:R8752"/>
    <mergeCell ref="A8755:R8755"/>
    <mergeCell ref="A8767:R8767"/>
    <mergeCell ref="A8771:R8771"/>
    <mergeCell ref="A8774:R8774"/>
    <mergeCell ref="A8775:R8775"/>
    <mergeCell ref="A8727:R8727"/>
    <mergeCell ref="A8729:R8729"/>
    <mergeCell ref="A8732:R8732"/>
    <mergeCell ref="A6958:R6958"/>
    <mergeCell ref="A6966:R6966"/>
    <mergeCell ref="A6977:R6977"/>
    <mergeCell ref="A6978:R6978"/>
    <mergeCell ref="A6979:R6979"/>
    <mergeCell ref="A7009:R7009"/>
    <mergeCell ref="A7014:R7014"/>
    <mergeCell ref="A6989:R6989"/>
    <mergeCell ref="A6990:R6990"/>
    <mergeCell ref="A6996:R6996"/>
    <mergeCell ref="A7002:R7002"/>
    <mergeCell ref="A8818:R8818"/>
    <mergeCell ref="A8823:R8823"/>
    <mergeCell ref="A8826:R8826"/>
    <mergeCell ref="A8831:R8831"/>
    <mergeCell ref="A8733:R8733"/>
    <mergeCell ref="A8740:R8740"/>
    <mergeCell ref="A8747:R8747"/>
    <mergeCell ref="A8714:R8714"/>
    <mergeCell ref="A8719:R8719"/>
    <mergeCell ref="A8721:R8721"/>
    <mergeCell ref="A8722:R8722"/>
    <mergeCell ref="A8724:R8724"/>
    <mergeCell ref="A8725:R8725"/>
    <mergeCell ref="A8694:R8694"/>
    <mergeCell ref="A8695:R8695"/>
    <mergeCell ref="A8700:R8700"/>
    <mergeCell ref="A8705:R8705"/>
    <mergeCell ref="A8710:R8710"/>
    <mergeCell ref="A8713:R8713"/>
    <mergeCell ref="A7003:R7003"/>
    <mergeCell ref="A7008:R7008"/>
    <mergeCell ref="A8668:R8668"/>
    <mergeCell ref="A8619:R8619"/>
    <mergeCell ref="A8624:R8624"/>
    <mergeCell ref="A8629:R8629"/>
    <mergeCell ref="A8634:R8634"/>
    <mergeCell ref="A8639:R8639"/>
    <mergeCell ref="A8644:R8644"/>
    <mergeCell ref="A8592:R8592"/>
    <mergeCell ref="A8594:R8594"/>
    <mergeCell ref="A8599:R8599"/>
    <mergeCell ref="A8604:R8604"/>
    <mergeCell ref="A8609:R8609"/>
    <mergeCell ref="A8614:R8614"/>
    <mergeCell ref="A8528:R8528"/>
    <mergeCell ref="A8538:R8538"/>
    <mergeCell ref="A8551:R8551"/>
    <mergeCell ref="A8416:R8416"/>
    <mergeCell ref="A8317:R8317"/>
    <mergeCell ref="A8318:R8318"/>
    <mergeCell ref="A8335:R8335"/>
    <mergeCell ref="A8349:R8349"/>
    <mergeCell ref="A8359:R8359"/>
    <mergeCell ref="A8366:R8366"/>
    <mergeCell ref="A8088:R8088"/>
    <mergeCell ref="A8102:R8102"/>
    <mergeCell ref="A8116:R8116"/>
    <mergeCell ref="A8048:R8048"/>
    <mergeCell ref="A8049:R8049"/>
    <mergeCell ref="A8056:R8056"/>
    <mergeCell ref="A8062:R8062"/>
    <mergeCell ref="A5024:C5024"/>
    <mergeCell ref="A4940:R4940"/>
    <mergeCell ref="A4941:R4941"/>
    <mergeCell ref="A4942:R4942"/>
    <mergeCell ref="A6745:R6745"/>
    <mergeCell ref="A6753:R6753"/>
    <mergeCell ref="A6756:R6756"/>
    <mergeCell ref="A6761:R6761"/>
    <mergeCell ref="A6763:R6763"/>
    <mergeCell ref="A6714:R6714"/>
    <mergeCell ref="A6724:R6724"/>
    <mergeCell ref="A6729:R6729"/>
    <mergeCell ref="A6734:R6734"/>
    <mergeCell ref="A6735:R6735"/>
    <mergeCell ref="A6737:R6737"/>
    <mergeCell ref="A6672:R6672"/>
    <mergeCell ref="A6682:R6682"/>
    <mergeCell ref="A6691:R6691"/>
    <mergeCell ref="A6692:R6692"/>
    <mergeCell ref="A6693:R6693"/>
    <mergeCell ref="A6707:R6707"/>
    <mergeCell ref="A6645:R6645"/>
    <mergeCell ref="A6647:R6647"/>
    <mergeCell ref="A6652:R6652"/>
    <mergeCell ref="A4979:R4979"/>
    <mergeCell ref="A4951:R4951"/>
    <mergeCell ref="A4954:R4954"/>
    <mergeCell ref="A4958:R4958"/>
    <mergeCell ref="A4960:R4960"/>
    <mergeCell ref="A4962:R4962"/>
    <mergeCell ref="A4963:R4963"/>
    <mergeCell ref="A4967:R4967"/>
    <mergeCell ref="A6764:R6764"/>
    <mergeCell ref="A6656:R6656"/>
    <mergeCell ref="A6660:R6660"/>
    <mergeCell ref="A6667:R6667"/>
    <mergeCell ref="A6624:R6624"/>
    <mergeCell ref="A6628:R6628"/>
    <mergeCell ref="A6630:R6630"/>
    <mergeCell ref="A6637:R6637"/>
    <mergeCell ref="A6640:R6640"/>
    <mergeCell ref="A6643:R6643"/>
    <mergeCell ref="A6597:R6597"/>
    <mergeCell ref="A6603:R6603"/>
    <mergeCell ref="A6609:R6609"/>
    <mergeCell ref="A6615:R6615"/>
    <mergeCell ref="A6618:R6618"/>
    <mergeCell ref="A6621:R6621"/>
    <mergeCell ref="A6561:R6561"/>
    <mergeCell ref="A6593:R6593"/>
    <mergeCell ref="A4971:R4971"/>
    <mergeCell ref="A4973:R4973"/>
    <mergeCell ref="A4975:R4975"/>
    <mergeCell ref="A4977:R4977"/>
    <mergeCell ref="A6562:R6562"/>
    <mergeCell ref="A6569:R6569"/>
    <mergeCell ref="A6576:R6576"/>
    <mergeCell ref="A6583:R6583"/>
    <mergeCell ref="A6545:R6545"/>
    <mergeCell ref="A6547:R6547"/>
    <mergeCell ref="A6550:R6550"/>
    <mergeCell ref="A6553:R6553"/>
    <mergeCell ref="A6557:R6557"/>
    <mergeCell ref="A6559:R6559"/>
    <mergeCell ref="A6531:R6531"/>
    <mergeCell ref="A6534:R6534"/>
    <mergeCell ref="A6537:R6537"/>
    <mergeCell ref="A6538:R6538"/>
    <mergeCell ref="A6540:R6540"/>
    <mergeCell ref="A6542:R6542"/>
    <mergeCell ref="A6516:R6516"/>
    <mergeCell ref="A6517:R6517"/>
    <mergeCell ref="A6519:R6519"/>
    <mergeCell ref="A5006:R5006"/>
    <mergeCell ref="A4981:R4981"/>
    <mergeCell ref="A4982:R4982"/>
    <mergeCell ref="A4984:R4984"/>
    <mergeCell ref="A4986:R4986"/>
    <mergeCell ref="A4988:R4988"/>
    <mergeCell ref="A4989:R4989"/>
    <mergeCell ref="A6524:R6524"/>
    <mergeCell ref="A6529:R6529"/>
    <mergeCell ref="A6530:R6530"/>
    <mergeCell ref="A6443:R6443"/>
    <mergeCell ref="A6460:R6460"/>
    <mergeCell ref="A6477:R6477"/>
    <mergeCell ref="A6494:R6494"/>
    <mergeCell ref="A6498:R6498"/>
    <mergeCell ref="A6499:R6499"/>
    <mergeCell ref="A6408:R6408"/>
    <mergeCell ref="A6409:R6409"/>
    <mergeCell ref="A6419:R6419"/>
    <mergeCell ref="A6423:R6423"/>
    <mergeCell ref="A6425:R6425"/>
    <mergeCell ref="A6434:R6434"/>
    <mergeCell ref="A6275:R6275"/>
    <mergeCell ref="A4994:R4994"/>
    <mergeCell ref="A4997:R4997"/>
    <mergeCell ref="A4999:R4999"/>
    <mergeCell ref="A5000:R5000"/>
    <mergeCell ref="A5003:R5003"/>
    <mergeCell ref="A6294:R6294"/>
    <mergeCell ref="A6335:R6335"/>
    <mergeCell ref="A6367:R6367"/>
    <mergeCell ref="A6371:R6371"/>
    <mergeCell ref="A6179:R6179"/>
    <mergeCell ref="A6187:R6187"/>
    <mergeCell ref="A6200:R6200"/>
    <mergeCell ref="A6212:R6212"/>
    <mergeCell ref="A6250:R6250"/>
    <mergeCell ref="A6268:R6268"/>
    <mergeCell ref="A6098:R6098"/>
    <mergeCell ref="A6114:R6114"/>
    <mergeCell ref="A6120:R6120"/>
    <mergeCell ref="A6146:R6146"/>
    <mergeCell ref="A6167:R6167"/>
    <mergeCell ref="A6178:R6178"/>
    <mergeCell ref="A5961:R5961"/>
    <mergeCell ref="A5976:R5976"/>
    <mergeCell ref="A5991:R5991"/>
    <mergeCell ref="A5017:R5017"/>
    <mergeCell ref="A5018:R5018"/>
    <mergeCell ref="A5021:R5021"/>
    <mergeCell ref="A5007:R5007"/>
    <mergeCell ref="A5009:R5009"/>
    <mergeCell ref="A5010:R5010"/>
    <mergeCell ref="A5012:R5012"/>
    <mergeCell ref="A5013:R5013"/>
    <mergeCell ref="A5015:R5015"/>
    <mergeCell ref="A2298:C2298"/>
    <mergeCell ref="A1612:R1612"/>
    <mergeCell ref="A1613:R1613"/>
    <mergeCell ref="A1614:R1614"/>
    <mergeCell ref="A4928:R4928"/>
    <mergeCell ref="A4932:R4932"/>
    <mergeCell ref="A4900:R4900"/>
    <mergeCell ref="A4904:R4904"/>
    <mergeCell ref="A4909:R4909"/>
    <mergeCell ref="A4914:R4914"/>
    <mergeCell ref="A4917:R4917"/>
    <mergeCell ref="A4922:R4922"/>
    <mergeCell ref="A4868:R4868"/>
    <mergeCell ref="A4871:R4871"/>
    <mergeCell ref="A4881:R4881"/>
    <mergeCell ref="A4884:R4884"/>
    <mergeCell ref="A4887:R4887"/>
    <mergeCell ref="A4890:R4890"/>
    <mergeCell ref="A4848:R4848"/>
    <mergeCell ref="A4851:R4851"/>
    <mergeCell ref="A4854:R4854"/>
    <mergeCell ref="A4857:R4857"/>
    <mergeCell ref="A4858:R4858"/>
    <mergeCell ref="A4862:R4862"/>
    <mergeCell ref="A1913:R1913"/>
    <mergeCell ref="A1914:R1914"/>
    <mergeCell ref="A1916:R1916"/>
    <mergeCell ref="A1729:R1729"/>
    <mergeCell ref="A1745:R1745"/>
    <mergeCell ref="A1756:R1756"/>
    <mergeCell ref="A1780:R1780"/>
    <mergeCell ref="A1795:R1795"/>
    <mergeCell ref="A1838:R1838"/>
    <mergeCell ref="A2068:R2068"/>
    <mergeCell ref="A2069:R2069"/>
    <mergeCell ref="A2070:R2070"/>
    <mergeCell ref="A1972:R1972"/>
    <mergeCell ref="A1974:R1974"/>
    <mergeCell ref="A1976:R1976"/>
    <mergeCell ref="A1980:R1980"/>
    <mergeCell ref="A2001:R2001"/>
    <mergeCell ref="A2002:R2002"/>
    <mergeCell ref="A2227:R2227"/>
    <mergeCell ref="A2232:R2232"/>
    <mergeCell ref="A2238:R2238"/>
    <mergeCell ref="A2169:R2169"/>
    <mergeCell ref="A2170:R2170"/>
    <mergeCell ref="A2191:R2191"/>
    <mergeCell ref="A2205:R2205"/>
    <mergeCell ref="A2206:R2206"/>
    <mergeCell ref="A2215:R2215"/>
    <mergeCell ref="A2325:R2325"/>
    <mergeCell ref="A2582:C2582"/>
    <mergeCell ref="A2300:R2300"/>
    <mergeCell ref="A2301:R2301"/>
    <mergeCell ref="A2302:R2302"/>
    <mergeCell ref="A4826:R4826"/>
    <mergeCell ref="A4832:R4832"/>
    <mergeCell ref="A4835:R4835"/>
    <mergeCell ref="A4838:R4838"/>
    <mergeCell ref="A4792:R4792"/>
    <mergeCell ref="A4800:R4800"/>
    <mergeCell ref="A4805:R4805"/>
    <mergeCell ref="A4810:R4810"/>
    <mergeCell ref="A4815:R4815"/>
    <mergeCell ref="A4820:R4820"/>
    <mergeCell ref="A4738:R4738"/>
    <mergeCell ref="A4746:R4746"/>
    <mergeCell ref="A4767:R4767"/>
    <mergeCell ref="A4786:R4786"/>
    <mergeCell ref="A4790:R4790"/>
    <mergeCell ref="A4791:R4791"/>
    <mergeCell ref="A4709:R4709"/>
    <mergeCell ref="A4711:R4711"/>
    <mergeCell ref="A4721:R4721"/>
    <mergeCell ref="A2308:R2308"/>
    <mergeCell ref="A2309:R2309"/>
    <mergeCell ref="A2319:R2319"/>
    <mergeCell ref="A2320:R2320"/>
    <mergeCell ref="A2324:R2324"/>
    <mergeCell ref="A4629:R4629"/>
    <mergeCell ref="A4841:R4841"/>
    <mergeCell ref="A4844:R4844"/>
    <mergeCell ref="A4732:R4732"/>
    <mergeCell ref="A4733:R4733"/>
    <mergeCell ref="A4734:R4734"/>
    <mergeCell ref="A4684:R4684"/>
    <mergeCell ref="A4688:R4688"/>
    <mergeCell ref="A4691:R4691"/>
    <mergeCell ref="A4698:R4698"/>
    <mergeCell ref="A4702:R4702"/>
    <mergeCell ref="A4704:R4704"/>
    <mergeCell ref="A4657:R4657"/>
    <mergeCell ref="A4659:R4659"/>
    <mergeCell ref="A4661:R4661"/>
    <mergeCell ref="A4662:R4662"/>
    <mergeCell ref="A4664:R4664"/>
    <mergeCell ref="A4670:R4670"/>
    <mergeCell ref="A2383:R2383"/>
    <mergeCell ref="A2332:R2332"/>
    <mergeCell ref="A2338:R2338"/>
    <mergeCell ref="A2342:R2342"/>
    <mergeCell ref="A2343:R2343"/>
    <mergeCell ref="A2347:R2347"/>
    <mergeCell ref="A2348:R2348"/>
    <mergeCell ref="A4647:R4647"/>
    <mergeCell ref="A4650:R4650"/>
    <mergeCell ref="A4566:R4566"/>
    <mergeCell ref="A4569:R4569"/>
    <mergeCell ref="A4589:R4589"/>
    <mergeCell ref="A4608:R4608"/>
    <mergeCell ref="A4612:R4612"/>
    <mergeCell ref="A4627:R4627"/>
    <mergeCell ref="A4519:R4519"/>
    <mergeCell ref="A4529:R4529"/>
    <mergeCell ref="A4536:R4536"/>
    <mergeCell ref="A4546:R4546"/>
    <mergeCell ref="A4552:R4552"/>
    <mergeCell ref="A4553:R4553"/>
    <mergeCell ref="A4474:R4474"/>
    <mergeCell ref="A4478:R4478"/>
    <mergeCell ref="A4481:R4481"/>
    <mergeCell ref="A2349:R2349"/>
    <mergeCell ref="A2369:R2369"/>
    <mergeCell ref="A2376:R2376"/>
    <mergeCell ref="A2378:R2378"/>
    <mergeCell ref="A2381:R2381"/>
    <mergeCell ref="A4299:R4299"/>
    <mergeCell ref="A4322:R4322"/>
    <mergeCell ref="A2395:R2395"/>
    <mergeCell ref="A4652:R4652"/>
    <mergeCell ref="A4655:R4655"/>
    <mergeCell ref="A4486:R4486"/>
    <mergeCell ref="A4504:R4504"/>
    <mergeCell ref="A4505:R4505"/>
    <mergeCell ref="A4423:R4423"/>
    <mergeCell ref="A4425:R4425"/>
    <mergeCell ref="A4438:R4438"/>
    <mergeCell ref="A4444:R4444"/>
    <mergeCell ref="A4448:R4448"/>
    <mergeCell ref="A4464:R4464"/>
    <mergeCell ref="A4362:R4362"/>
    <mergeCell ref="A4388:R4388"/>
    <mergeCell ref="A4391:R4391"/>
    <mergeCell ref="A4407:R4407"/>
    <mergeCell ref="A4411:R4411"/>
    <mergeCell ref="A4418:R4418"/>
    <mergeCell ref="A4632:R4632"/>
    <mergeCell ref="A2400:R2400"/>
    <mergeCell ref="A4338:R4338"/>
    <mergeCell ref="A4348:R4348"/>
    <mergeCell ref="A4216:R4216"/>
    <mergeCell ref="A4222:R4222"/>
    <mergeCell ref="A4225:R4225"/>
    <mergeCell ref="A4226:R4226"/>
    <mergeCell ref="A4260:R4260"/>
    <mergeCell ref="A4294:R4294"/>
    <mergeCell ref="A4187:R4187"/>
    <mergeCell ref="A4190:R4190"/>
    <mergeCell ref="A4193:R4193"/>
    <mergeCell ref="A4196:R4196"/>
    <mergeCell ref="A4200:R4200"/>
    <mergeCell ref="A4214:R4214"/>
    <mergeCell ref="A4162:R4162"/>
    <mergeCell ref="A4165:R4165"/>
    <mergeCell ref="A4170:R4170"/>
    <mergeCell ref="A2401:R2401"/>
    <mergeCell ref="A2406:R2406"/>
    <mergeCell ref="A2410:R2410"/>
    <mergeCell ref="A2413:R2413"/>
    <mergeCell ref="A2416:R2416"/>
    <mergeCell ref="A3823:R3823"/>
    <mergeCell ref="A3831:R3831"/>
    <mergeCell ref="A2469:R2469"/>
    <mergeCell ref="A3701:R3701"/>
    <mergeCell ref="A3721:R3721"/>
    <mergeCell ref="A2537:R2537"/>
    <mergeCell ref="A2544:R2544"/>
    <mergeCell ref="A2551:R2551"/>
    <mergeCell ref="A2554:R2554"/>
    <mergeCell ref="A2501:R2501"/>
    <mergeCell ref="A2506:R2506"/>
    <mergeCell ref="A2514:R2514"/>
    <mergeCell ref="A2528:R2528"/>
    <mergeCell ref="A2529:R2529"/>
    <mergeCell ref="A4351:R4351"/>
    <mergeCell ref="A4355:R4355"/>
    <mergeCell ref="A4171:R4171"/>
    <mergeCell ref="A4178:R4178"/>
    <mergeCell ref="A4180:R4180"/>
    <mergeCell ref="A4025:R4025"/>
    <mergeCell ref="A4031:R4031"/>
    <mergeCell ref="A4035:R4035"/>
    <mergeCell ref="A4094:R4094"/>
    <mergeCell ref="A4144:R4144"/>
    <mergeCell ref="A4151:R4151"/>
    <mergeCell ref="A3851:R3851"/>
    <mergeCell ref="A3889:R3889"/>
    <mergeCell ref="A3923:R3923"/>
    <mergeCell ref="A3944:R3944"/>
    <mergeCell ref="A3985:R3985"/>
    <mergeCell ref="A4007:R4007"/>
    <mergeCell ref="A3849:R3849"/>
    <mergeCell ref="A3850:R3850"/>
    <mergeCell ref="A3731:R3731"/>
    <mergeCell ref="A3740:R3740"/>
    <mergeCell ref="A3744:R3744"/>
    <mergeCell ref="A3669:R3669"/>
    <mergeCell ref="A3671:R3671"/>
    <mergeCell ref="A3673:R3673"/>
    <mergeCell ref="A3676:R3676"/>
    <mergeCell ref="A3681:R3681"/>
    <mergeCell ref="A2462:R2462"/>
    <mergeCell ref="A2466:R2466"/>
    <mergeCell ref="A1629:R1629"/>
    <mergeCell ref="A1637:R1637"/>
    <mergeCell ref="A1648:R1648"/>
    <mergeCell ref="A1668:R1668"/>
    <mergeCell ref="A1681:R1681"/>
    <mergeCell ref="A1707:R1707"/>
    <mergeCell ref="A1957:R1957"/>
    <mergeCell ref="A1963:R1963"/>
    <mergeCell ref="A1970:R1970"/>
    <mergeCell ref="A1971:R1971"/>
    <mergeCell ref="A2102:R2102"/>
    <mergeCell ref="A2106:R2106"/>
    <mergeCell ref="A2110:R2110"/>
    <mergeCell ref="A2114:R2114"/>
    <mergeCell ref="A2122:R2122"/>
    <mergeCell ref="A2126:R2126"/>
    <mergeCell ref="A2020:R2020"/>
    <mergeCell ref="A2037:R2037"/>
    <mergeCell ref="A2046:R2046"/>
    <mergeCell ref="A2421:R2421"/>
    <mergeCell ref="A2422:R2422"/>
    <mergeCell ref="A2426:R2426"/>
    <mergeCell ref="A2427:R2427"/>
    <mergeCell ref="A2428:R2428"/>
    <mergeCell ref="A2437:R2437"/>
    <mergeCell ref="A2417:R2417"/>
    <mergeCell ref="A2387:R2387"/>
    <mergeCell ref="A2388:R2388"/>
    <mergeCell ref="A2390:R2390"/>
    <mergeCell ref="A2391:R2391"/>
    <mergeCell ref="A3691:R3691"/>
    <mergeCell ref="A3630:R3630"/>
    <mergeCell ref="A3635:R3635"/>
    <mergeCell ref="A3638:R3638"/>
    <mergeCell ref="A3655:R3655"/>
    <mergeCell ref="A3657:R3657"/>
    <mergeCell ref="A3663:R3663"/>
    <mergeCell ref="A3832:R3832"/>
    <mergeCell ref="A3837:R3837"/>
    <mergeCell ref="A3806:R3806"/>
    <mergeCell ref="A3810:R3810"/>
    <mergeCell ref="A3812:R3812"/>
    <mergeCell ref="A3814:R3814"/>
    <mergeCell ref="A3817:R3817"/>
    <mergeCell ref="A3822:R3822"/>
    <mergeCell ref="A3752:R3752"/>
    <mergeCell ref="A3767:R3767"/>
    <mergeCell ref="A3786:R3786"/>
    <mergeCell ref="A3788:R3788"/>
    <mergeCell ref="A3792:R3792"/>
    <mergeCell ref="A3802:R3802"/>
    <mergeCell ref="A3698:R3698"/>
    <mergeCell ref="A3613:R3613"/>
    <mergeCell ref="A3617:R3617"/>
    <mergeCell ref="A1917:R1917"/>
    <mergeCell ref="A1922:R1922"/>
    <mergeCell ref="A1927:R1927"/>
    <mergeCell ref="A1932:R1932"/>
    <mergeCell ref="A1936:R1936"/>
    <mergeCell ref="A1940:R1940"/>
    <mergeCell ref="A1856:R1856"/>
    <mergeCell ref="A1878:R1878"/>
    <mergeCell ref="A1892:R1892"/>
    <mergeCell ref="A3621:R3621"/>
    <mergeCell ref="A3622:R3622"/>
    <mergeCell ref="A3626:R3626"/>
    <mergeCell ref="A3628:R3628"/>
    <mergeCell ref="A3589:R3589"/>
    <mergeCell ref="A3597:R3597"/>
    <mergeCell ref="A3600:R3600"/>
    <mergeCell ref="A3605:R3605"/>
    <mergeCell ref="A3608:R3608"/>
    <mergeCell ref="A3610:R3610"/>
    <mergeCell ref="A3566:R3566"/>
    <mergeCell ref="A3568:R3568"/>
    <mergeCell ref="A3570:R3570"/>
    <mergeCell ref="A3575:R3575"/>
    <mergeCell ref="A3578:R3578"/>
    <mergeCell ref="A3582:R3582"/>
    <mergeCell ref="A3533:R3533"/>
    <mergeCell ref="A3538:R3538"/>
    <mergeCell ref="A3543:R3543"/>
    <mergeCell ref="A1942:R1942"/>
    <mergeCell ref="A1949:R1949"/>
    <mergeCell ref="A3554:R3554"/>
    <mergeCell ref="A3559:R3559"/>
    <mergeCell ref="A3565:R3565"/>
    <mergeCell ref="A3498:R3498"/>
    <mergeCell ref="A3499:R3499"/>
    <mergeCell ref="A3511:R3511"/>
    <mergeCell ref="A3520:R3520"/>
    <mergeCell ref="A3521:R3521"/>
    <mergeCell ref="A3527:R3527"/>
    <mergeCell ref="A3463:R3463"/>
    <mergeCell ref="A3469:R3469"/>
    <mergeCell ref="A3474:R3474"/>
    <mergeCell ref="A3479:R3479"/>
    <mergeCell ref="A3481:R3481"/>
    <mergeCell ref="A3495:R3495"/>
    <mergeCell ref="A3429:R3429"/>
    <mergeCell ref="A3436:R3436"/>
    <mergeCell ref="A3446:R3446"/>
    <mergeCell ref="A3449:R3449"/>
    <mergeCell ref="A3456:R3456"/>
    <mergeCell ref="A3460:R3460"/>
    <mergeCell ref="A2257:R2257"/>
    <mergeCell ref="A2258:R2258"/>
    <mergeCell ref="A2263:R2263"/>
    <mergeCell ref="A2216:R2216"/>
    <mergeCell ref="A3388:R3388"/>
    <mergeCell ref="A3394:R3394"/>
    <mergeCell ref="A3405:R3405"/>
    <mergeCell ref="A3413:R3413"/>
    <mergeCell ref="A3420:R3420"/>
    <mergeCell ref="A3425:R3425"/>
    <mergeCell ref="A3367:R3367"/>
    <mergeCell ref="A3370:R3370"/>
    <mergeCell ref="A3372:R3372"/>
    <mergeCell ref="A3377:R3377"/>
    <mergeCell ref="A3382:R3382"/>
    <mergeCell ref="A3387:R3387"/>
    <mergeCell ref="A3332:R3332"/>
    <mergeCell ref="A3334:R3334"/>
    <mergeCell ref="A3339:R3339"/>
    <mergeCell ref="A3349:R3349"/>
    <mergeCell ref="A3363:R3363"/>
    <mergeCell ref="A2534:R2534"/>
    <mergeCell ref="A2536:R2536"/>
    <mergeCell ref="A2470:R2470"/>
    <mergeCell ref="A2477:R2477"/>
    <mergeCell ref="A2481:R2481"/>
    <mergeCell ref="A2485:R2485"/>
    <mergeCell ref="A2486:R2486"/>
    <mergeCell ref="A2487:R2487"/>
    <mergeCell ref="A2442:R2442"/>
    <mergeCell ref="A2454:R2454"/>
    <mergeCell ref="A2457:R2457"/>
    <mergeCell ref="A2933:R2933"/>
    <mergeCell ref="A2938:R2938"/>
    <mergeCell ref="A2943:R2943"/>
    <mergeCell ref="A2947:R2947"/>
    <mergeCell ref="A2127:R2127"/>
    <mergeCell ref="A2134:R2134"/>
    <mergeCell ref="A2136:R2136"/>
    <mergeCell ref="A2146:R2146"/>
    <mergeCell ref="A2155:R2155"/>
    <mergeCell ref="A2160:R2160"/>
    <mergeCell ref="A3365:R3365"/>
    <mergeCell ref="A3287:R3287"/>
    <mergeCell ref="A3300:R3300"/>
    <mergeCell ref="A3315:R3315"/>
    <mergeCell ref="A3321:R3321"/>
    <mergeCell ref="A3326:R3326"/>
    <mergeCell ref="A3330:R3330"/>
    <mergeCell ref="A3244:R3244"/>
    <mergeCell ref="A3253:R3253"/>
    <mergeCell ref="A3257:R3257"/>
    <mergeCell ref="A3261:R3261"/>
    <mergeCell ref="A3265:R3265"/>
    <mergeCell ref="A3277:R3277"/>
    <mergeCell ref="A3196:R3196"/>
    <mergeCell ref="A3198:R3198"/>
    <mergeCell ref="A3201:R3201"/>
    <mergeCell ref="A3208:R3208"/>
    <mergeCell ref="A3211:R3211"/>
    <mergeCell ref="A3234:R3234"/>
    <mergeCell ref="A2241:R2241"/>
    <mergeCell ref="A2243:R2243"/>
    <mergeCell ref="A2244:R2244"/>
    <mergeCell ref="A1526:R1526"/>
    <mergeCell ref="A2965:R2965"/>
    <mergeCell ref="A2968:R2968"/>
    <mergeCell ref="A2971:R2971"/>
    <mergeCell ref="A2217:R2217"/>
    <mergeCell ref="A2222:R2222"/>
    <mergeCell ref="A3151:R3151"/>
    <mergeCell ref="A3161:R3161"/>
    <mergeCell ref="A3164:R3164"/>
    <mergeCell ref="A3169:R3169"/>
    <mergeCell ref="A3094:R3094"/>
    <mergeCell ref="A3097:R3097"/>
    <mergeCell ref="A3102:R3102"/>
    <mergeCell ref="A3111:R3111"/>
    <mergeCell ref="A3121:R3121"/>
    <mergeCell ref="A3132:R3132"/>
    <mergeCell ref="A3068:R3068"/>
    <mergeCell ref="A3077:R3077"/>
    <mergeCell ref="A3080:R3080"/>
    <mergeCell ref="A3081:R3081"/>
    <mergeCell ref="A3082:R3082"/>
    <mergeCell ref="A3084:R3084"/>
    <mergeCell ref="A3029:R3029"/>
    <mergeCell ref="A3032:R3032"/>
    <mergeCell ref="A3036:R3036"/>
    <mergeCell ref="A2265:R2265"/>
    <mergeCell ref="A2268:R2268"/>
    <mergeCell ref="A2271:R2271"/>
    <mergeCell ref="A2277:R2277"/>
    <mergeCell ref="A2278:R2278"/>
    <mergeCell ref="A2976:R2976"/>
    <mergeCell ref="A2922:R2922"/>
    <mergeCell ref="A2847:R2847"/>
    <mergeCell ref="A2850:R2850"/>
    <mergeCell ref="A2852:R2852"/>
    <mergeCell ref="A2741:R2741"/>
    <mergeCell ref="A1533:R1533"/>
    <mergeCell ref="A1610:C1610"/>
    <mergeCell ref="A1509:R1509"/>
    <mergeCell ref="A1510:R1510"/>
    <mergeCell ref="A1511:R1511"/>
    <mergeCell ref="A3173:R3173"/>
    <mergeCell ref="A3194:R3194"/>
    <mergeCell ref="A3042:R3042"/>
    <mergeCell ref="A3043:R3043"/>
    <mergeCell ref="A3064:R3064"/>
    <mergeCell ref="A3007:R3007"/>
    <mergeCell ref="A3009:R3009"/>
    <mergeCell ref="A3013:R3013"/>
    <mergeCell ref="A3017:R3017"/>
    <mergeCell ref="A3018:R3018"/>
    <mergeCell ref="A3027:R3027"/>
    <mergeCell ref="A2984:R2984"/>
    <mergeCell ref="A2989:R2989"/>
    <mergeCell ref="A2994:R2994"/>
    <mergeCell ref="A2998:R2998"/>
    <mergeCell ref="A3000:R3000"/>
    <mergeCell ref="A3002:R3002"/>
    <mergeCell ref="A2956:R2956"/>
    <mergeCell ref="A2961:R2961"/>
    <mergeCell ref="A1515:R1515"/>
    <mergeCell ref="A1517:R1517"/>
    <mergeCell ref="A1521:R1521"/>
    <mergeCell ref="A1522:R1522"/>
    <mergeCell ref="A2584:R2584"/>
    <mergeCell ref="A2585:R2585"/>
    <mergeCell ref="A2586:R2586"/>
    <mergeCell ref="A2633:R2633"/>
    <mergeCell ref="A2950:R2950"/>
    <mergeCell ref="A2899:R2899"/>
    <mergeCell ref="A2901:R2901"/>
    <mergeCell ref="A2907:R2907"/>
    <mergeCell ref="A2914:R2914"/>
    <mergeCell ref="A2916:R2916"/>
    <mergeCell ref="A2919:R2919"/>
    <mergeCell ref="A2874:R2874"/>
    <mergeCell ref="A2879:R2879"/>
    <mergeCell ref="A2886:R2886"/>
    <mergeCell ref="A1569:R1569"/>
    <mergeCell ref="A1534:R1534"/>
    <mergeCell ref="A1535:R1535"/>
    <mergeCell ref="A1539:R1539"/>
    <mergeCell ref="A1541:R1541"/>
    <mergeCell ref="A1543:R1543"/>
    <mergeCell ref="A1548:R1548"/>
    <mergeCell ref="A2891:R2891"/>
    <mergeCell ref="A2894:R2894"/>
    <mergeCell ref="A2854:R2854"/>
    <mergeCell ref="A2857:R2857"/>
    <mergeCell ref="A2859:R2859"/>
    <mergeCell ref="A2860:R2860"/>
    <mergeCell ref="A2867:R2867"/>
    <mergeCell ref="A2870:R2870"/>
    <mergeCell ref="A2832:R2832"/>
    <mergeCell ref="A2837:R2837"/>
    <mergeCell ref="A2846:R2846"/>
    <mergeCell ref="A2795:R2795"/>
    <mergeCell ref="A2802:R2802"/>
    <mergeCell ref="A2703:R2703"/>
    <mergeCell ref="A2707:R2707"/>
    <mergeCell ref="A2719:R2719"/>
    <mergeCell ref="A2721:R2721"/>
    <mergeCell ref="A2731:R2731"/>
    <mergeCell ref="A2735:R2735"/>
    <mergeCell ref="A2653:R2653"/>
    <mergeCell ref="A2666:R2666"/>
    <mergeCell ref="A2675:R2675"/>
    <mergeCell ref="A2681:R2681"/>
    <mergeCell ref="A2694:R2694"/>
    <mergeCell ref="A2698:R2698"/>
    <mergeCell ref="A2617:R2617"/>
    <mergeCell ref="A2621:R2621"/>
    <mergeCell ref="A2625:R2625"/>
    <mergeCell ref="A1271:R1271"/>
    <mergeCell ref="A1272:R1272"/>
    <mergeCell ref="A1273:R1273"/>
    <mergeCell ref="A1598:R1598"/>
    <mergeCell ref="A1572:R1572"/>
    <mergeCell ref="A1574:R1574"/>
    <mergeCell ref="A1577:R1577"/>
    <mergeCell ref="A1578:R1578"/>
    <mergeCell ref="A1581:R1581"/>
    <mergeCell ref="A1582:R1582"/>
    <mergeCell ref="A1550:R1550"/>
    <mergeCell ref="A1552:R1552"/>
    <mergeCell ref="A1555:R1555"/>
    <mergeCell ref="A1556:R1556"/>
    <mergeCell ref="A1566:R1566"/>
    <mergeCell ref="A1321:R1321"/>
    <mergeCell ref="A1276:R1276"/>
    <mergeCell ref="A1283:R1283"/>
    <mergeCell ref="A1293:R1293"/>
    <mergeCell ref="A1296:R1296"/>
    <mergeCell ref="A1300:R1300"/>
    <mergeCell ref="A1302:R1302"/>
    <mergeCell ref="A1304:R1304"/>
    <mergeCell ref="A1305:R1305"/>
    <mergeCell ref="A1307:R1307"/>
    <mergeCell ref="A1308:R1308"/>
    <mergeCell ref="A1313:R1313"/>
    <mergeCell ref="A1388:R1388"/>
    <mergeCell ref="A1363:R1363"/>
    <mergeCell ref="A1364:R1364"/>
    <mergeCell ref="A1367:R1367"/>
    <mergeCell ref="A1587:R1587"/>
    <mergeCell ref="A1360:R1360"/>
    <mergeCell ref="A1328:R1328"/>
    <mergeCell ref="A1332:R1332"/>
    <mergeCell ref="A1337:R1337"/>
    <mergeCell ref="A1340:R1340"/>
    <mergeCell ref="A1344:R1344"/>
    <mergeCell ref="A1345:R1345"/>
    <mergeCell ref="A6394:R6394"/>
    <mergeCell ref="A6006:R6006"/>
    <mergeCell ref="A6028:R6028"/>
    <mergeCell ref="A6075:R6075"/>
    <mergeCell ref="A5907:R5907"/>
    <mergeCell ref="A5908:R5908"/>
    <mergeCell ref="A5909:R5909"/>
    <mergeCell ref="A5926:R5926"/>
    <mergeCell ref="A5938:R5938"/>
    <mergeCell ref="A5946:R5946"/>
    <mergeCell ref="A5849:R5849"/>
    <mergeCell ref="A5866:R5866"/>
    <mergeCell ref="A5883:R5883"/>
    <mergeCell ref="A5886:R5886"/>
    <mergeCell ref="A5887:R5887"/>
    <mergeCell ref="A5888:R5888"/>
    <mergeCell ref="A5813:R5813"/>
    <mergeCell ref="A1347:R1347"/>
    <mergeCell ref="A1348:R1348"/>
    <mergeCell ref="A1349:R1349"/>
    <mergeCell ref="A1353:R1353"/>
    <mergeCell ref="A1357:R1357"/>
    <mergeCell ref="A1507:C1507"/>
    <mergeCell ref="A2749:R2749"/>
    <mergeCell ref="A2786:R2786"/>
    <mergeCell ref="A5819:R5819"/>
    <mergeCell ref="A5821:R5821"/>
    <mergeCell ref="A5822:R5822"/>
    <mergeCell ref="A5832:R5832"/>
    <mergeCell ref="A5735:R5735"/>
    <mergeCell ref="A5743:R5743"/>
    <mergeCell ref="A5767:R5767"/>
    <mergeCell ref="A5768:R5768"/>
    <mergeCell ref="A5797:R5797"/>
    <mergeCell ref="A5798:R5798"/>
    <mergeCell ref="A5705:R5705"/>
    <mergeCell ref="A5717:R5717"/>
    <mergeCell ref="A5718:R5718"/>
    <mergeCell ref="A5726:R5726"/>
    <mergeCell ref="A5728:R5728"/>
    <mergeCell ref="A5731:R5731"/>
    <mergeCell ref="A5684:R5684"/>
    <mergeCell ref="A5688:R5688"/>
    <mergeCell ref="A5689:R5689"/>
    <mergeCell ref="A1369:R1369"/>
    <mergeCell ref="A1371:R1371"/>
    <mergeCell ref="A1372:R1372"/>
    <mergeCell ref="A5848:R5848"/>
    <mergeCell ref="A5698:R5698"/>
    <mergeCell ref="A5699:R5699"/>
    <mergeCell ref="A5703:R5703"/>
    <mergeCell ref="A5660:R5660"/>
    <mergeCell ref="A5662:R5662"/>
    <mergeCell ref="A5664:R5664"/>
    <mergeCell ref="A5665:R5665"/>
    <mergeCell ref="A5678:R5678"/>
    <mergeCell ref="A5679:R5679"/>
    <mergeCell ref="A5636:R5636"/>
    <mergeCell ref="A5638:R5638"/>
    <mergeCell ref="A5639:R5639"/>
    <mergeCell ref="A5651:R5651"/>
    <mergeCell ref="A5657:R5657"/>
    <mergeCell ref="A5658:R5658"/>
    <mergeCell ref="A5612:R5612"/>
    <mergeCell ref="A1377:R1377"/>
    <mergeCell ref="A1379:R1379"/>
    <mergeCell ref="A1380:R1380"/>
    <mergeCell ref="A1384:R1384"/>
    <mergeCell ref="A1385:R1385"/>
    <mergeCell ref="A5618:R5618"/>
    <mergeCell ref="A5620:R5620"/>
    <mergeCell ref="A5624:R5624"/>
    <mergeCell ref="A5625:R5625"/>
    <mergeCell ref="A5454:R5454"/>
    <mergeCell ref="A5489:R5489"/>
    <mergeCell ref="A5509:R5509"/>
    <mergeCell ref="A5393:R5393"/>
    <mergeCell ref="A1437:R1437"/>
    <mergeCell ref="A1391:R1391"/>
    <mergeCell ref="A1393:R1393"/>
    <mergeCell ref="A1398:R1398"/>
    <mergeCell ref="A1403:R1403"/>
    <mergeCell ref="A1415:R1415"/>
    <mergeCell ref="A1418:R1418"/>
    <mergeCell ref="A1419:R1419"/>
    <mergeCell ref="A1422:R1422"/>
    <mergeCell ref="A1425:R1425"/>
    <mergeCell ref="A1433:R1433"/>
    <mergeCell ref="A1434:R1434"/>
    <mergeCell ref="A5207:R5207"/>
    <mergeCell ref="A5215:R5215"/>
    <mergeCell ref="A5218:R5218"/>
    <mergeCell ref="A5219:R5219"/>
    <mergeCell ref="A5225:R5225"/>
    <mergeCell ref="A5226:R5226"/>
    <mergeCell ref="A5187:R5187"/>
    <mergeCell ref="A5191:R5191"/>
    <mergeCell ref="A2638:R2638"/>
    <mergeCell ref="A2646:R2646"/>
    <mergeCell ref="A4938:C4938"/>
    <mergeCell ref="A1607:R1607"/>
    <mergeCell ref="A1589:R1589"/>
    <mergeCell ref="A1590:R1590"/>
    <mergeCell ref="A1592:R1592"/>
    <mergeCell ref="A1594:R1594"/>
    <mergeCell ref="A1597:R1597"/>
    <mergeCell ref="A2897:R2897"/>
    <mergeCell ref="A2789:R2789"/>
    <mergeCell ref="A5626:R5626"/>
    <mergeCell ref="A5402:R5402"/>
    <mergeCell ref="A5416:R5416"/>
    <mergeCell ref="A5420:R5420"/>
    <mergeCell ref="A5326:R5326"/>
    <mergeCell ref="A5331:R5331"/>
    <mergeCell ref="A5346:R5346"/>
    <mergeCell ref="A5347:R5347"/>
    <mergeCell ref="A5358:R5358"/>
    <mergeCell ref="A5368:R5368"/>
    <mergeCell ref="A5282:R5282"/>
    <mergeCell ref="A5285:R5285"/>
    <mergeCell ref="A5302:R5302"/>
    <mergeCell ref="A5315:R5315"/>
    <mergeCell ref="A5324:R5324"/>
    <mergeCell ref="A5325:R5325"/>
    <mergeCell ref="A5240:R5240"/>
    <mergeCell ref="A5244:R5244"/>
    <mergeCell ref="A5256:R5256"/>
    <mergeCell ref="A5268:R5268"/>
    <mergeCell ref="A5269:R5269"/>
    <mergeCell ref="A5535:R5535"/>
    <mergeCell ref="A5552:R5552"/>
    <mergeCell ref="A5577:R5577"/>
    <mergeCell ref="A5424:R5424"/>
    <mergeCell ref="A5434:R5434"/>
    <mergeCell ref="A5440:R5440"/>
    <mergeCell ref="A5441:R5441"/>
    <mergeCell ref="A5446:R5446"/>
    <mergeCell ref="A5447:R5447"/>
    <mergeCell ref="A5378:R5378"/>
    <mergeCell ref="A5379:R5379"/>
    <mergeCell ref="A5192:R5192"/>
    <mergeCell ref="A5193:R5193"/>
    <mergeCell ref="A5197:R5197"/>
    <mergeCell ref="A5198:R5198"/>
    <mergeCell ref="A5114:R5114"/>
    <mergeCell ref="A5115:R5115"/>
    <mergeCell ref="A5153:R5153"/>
    <mergeCell ref="A1480:R1480"/>
    <mergeCell ref="A1442:R1442"/>
    <mergeCell ref="A1445:R1445"/>
    <mergeCell ref="A1446:R1446"/>
    <mergeCell ref="A1450:R1450"/>
    <mergeCell ref="A1451:R1451"/>
    <mergeCell ref="A1456:R1456"/>
    <mergeCell ref="A5274:R5274"/>
    <mergeCell ref="A5167:R5167"/>
    <mergeCell ref="A5173:R5173"/>
    <mergeCell ref="A5177:R5177"/>
    <mergeCell ref="A5083:R5083"/>
    <mergeCell ref="A5088:R5088"/>
    <mergeCell ref="A5091:R5091"/>
    <mergeCell ref="A5092:R5092"/>
    <mergeCell ref="A5102:R5102"/>
    <mergeCell ref="A5109:R5109"/>
    <mergeCell ref="A5044:R5044"/>
    <mergeCell ref="A5061:R5061"/>
    <mergeCell ref="A5071:R5071"/>
    <mergeCell ref="A5072:R5072"/>
    <mergeCell ref="A5075:R5075"/>
    <mergeCell ref="A5076:R5076"/>
    <mergeCell ref="A5026:R5026"/>
    <mergeCell ref="A1457:R1457"/>
    <mergeCell ref="A1468:R1468"/>
    <mergeCell ref="A1469:R1469"/>
    <mergeCell ref="A1476:R1476"/>
    <mergeCell ref="A1477:R1477"/>
    <mergeCell ref="A6767:C6767"/>
    <mergeCell ref="A5027:R5027"/>
    <mergeCell ref="A5028:R5028"/>
    <mergeCell ref="A8680:R8680"/>
    <mergeCell ref="A8564:R8564"/>
    <mergeCell ref="A8578:R8578"/>
    <mergeCell ref="A8591:R8591"/>
    <mergeCell ref="A8459:R8459"/>
    <mergeCell ref="A8469:R8469"/>
    <mergeCell ref="A8482:R8482"/>
    <mergeCell ref="A8495:R8495"/>
    <mergeCell ref="A8509:R8509"/>
    <mergeCell ref="A8522:R8522"/>
    <mergeCell ref="A8424:R8424"/>
    <mergeCell ref="A8435:R8435"/>
    <mergeCell ref="A8439:R8439"/>
    <mergeCell ref="A8440:R8440"/>
    <mergeCell ref="A8441:R8441"/>
    <mergeCell ref="A8453:R8453"/>
    <mergeCell ref="A1498:R1498"/>
    <mergeCell ref="A1501:R1501"/>
    <mergeCell ref="A1504:R1504"/>
    <mergeCell ref="A1481:R1481"/>
    <mergeCell ref="A1482:R1482"/>
    <mergeCell ref="A1486:R1486"/>
    <mergeCell ref="A1488:R1488"/>
    <mergeCell ref="A1489:R1489"/>
    <mergeCell ref="A1494:R1494"/>
    <mergeCell ref="A308:R308"/>
    <mergeCell ref="A314:R314"/>
    <mergeCell ref="A315:R315"/>
    <mergeCell ref="A340:R340"/>
    <mergeCell ref="A356:R356"/>
    <mergeCell ref="A370:R370"/>
    <mergeCell ref="A1269:C1269"/>
    <mergeCell ref="A218:R218"/>
    <mergeCell ref="A219:R219"/>
    <mergeCell ref="A220:R220"/>
    <mergeCell ref="A418:R418"/>
    <mergeCell ref="A423:R423"/>
    <mergeCell ref="A425:R425"/>
    <mergeCell ref="A426:R426"/>
    <mergeCell ref="A428:R428"/>
    <mergeCell ref="A431:R431"/>
    <mergeCell ref="A379:R379"/>
    <mergeCell ref="A406:R406"/>
    <mergeCell ref="A407:R407"/>
    <mergeCell ref="A410:R410"/>
    <mergeCell ref="A413:R413"/>
    <mergeCell ref="A415:R415"/>
    <mergeCell ref="A461:R461"/>
    <mergeCell ref="A462:R462"/>
    <mergeCell ref="A468:R468"/>
    <mergeCell ref="A470:R470"/>
    <mergeCell ref="A475:R475"/>
    <mergeCell ref="A476:R476"/>
    <mergeCell ref="A432:R432"/>
    <mergeCell ref="A438:R438"/>
    <mergeCell ref="A443:R443"/>
    <mergeCell ref="A449:R449"/>
    <mergeCell ref="A916:R916"/>
    <mergeCell ref="A928:R928"/>
    <mergeCell ref="A967:R967"/>
    <mergeCell ref="A1003:R1003"/>
    <mergeCell ref="A1004:R1004"/>
    <mergeCell ref="A1005:R1005"/>
    <mergeCell ref="A458:R458"/>
    <mergeCell ref="A459:R459"/>
    <mergeCell ref="A554:R554"/>
    <mergeCell ref="A555:R555"/>
    <mergeCell ref="A558:R558"/>
    <mergeCell ref="A559:R559"/>
    <mergeCell ref="A560:R560"/>
    <mergeCell ref="A587:R587"/>
    <mergeCell ref="A482:R482"/>
    <mergeCell ref="A488:R488"/>
    <mergeCell ref="A489:R489"/>
    <mergeCell ref="A506:R506"/>
    <mergeCell ref="A507:R507"/>
    <mergeCell ref="A532:R532"/>
    <mergeCell ref="A824:R824"/>
    <mergeCell ref="A847:R847"/>
    <mergeCell ref="A848:R848"/>
    <mergeCell ref="A216:C216"/>
    <mergeCell ref="A153:R153"/>
    <mergeCell ref="A154:R154"/>
    <mergeCell ref="A155:R155"/>
    <mergeCell ref="A1260:R1260"/>
    <mergeCell ref="A185:R185"/>
    <mergeCell ref="A161:R161"/>
    <mergeCell ref="A165:R165"/>
    <mergeCell ref="A168:R168"/>
    <mergeCell ref="A169:R169"/>
    <mergeCell ref="A172:R172"/>
    <mergeCell ref="A174:R174"/>
    <mergeCell ref="A1199:R1199"/>
    <mergeCell ref="A1201:R1201"/>
    <mergeCell ref="A1203:R1203"/>
    <mergeCell ref="A1204:R1204"/>
    <mergeCell ref="A1205:R1205"/>
    <mergeCell ref="A1207:R1207"/>
    <mergeCell ref="A1184:R1184"/>
    <mergeCell ref="A1185:R1185"/>
    <mergeCell ref="A856:R856"/>
    <mergeCell ref="A887:R887"/>
    <mergeCell ref="A635:R635"/>
    <mergeCell ref="A670:R670"/>
    <mergeCell ref="A711:R711"/>
    <mergeCell ref="A712:R712"/>
    <mergeCell ref="A773:R773"/>
    <mergeCell ref="A774:R774"/>
    <mergeCell ref="A1012:R1012"/>
    <mergeCell ref="A1018:R1018"/>
    <mergeCell ref="A1021:R1021"/>
    <mergeCell ref="A1024:R1024"/>
    <mergeCell ref="A205:R205"/>
    <mergeCell ref="A206:R206"/>
    <mergeCell ref="A209:R209"/>
    <mergeCell ref="A211:R211"/>
    <mergeCell ref="A193:R193"/>
    <mergeCell ref="A194:R194"/>
    <mergeCell ref="A196:R196"/>
    <mergeCell ref="A198:R198"/>
    <mergeCell ref="A199:R199"/>
    <mergeCell ref="A202:R202"/>
    <mergeCell ref="A1261:R1261"/>
    <mergeCell ref="A1263:R1263"/>
    <mergeCell ref="A1266:R1266"/>
    <mergeCell ref="A1267:R1267"/>
    <mergeCell ref="A1244:R1244"/>
    <mergeCell ref="A1246:R1246"/>
    <mergeCell ref="A1251:R1251"/>
    <mergeCell ref="A1254:R1254"/>
    <mergeCell ref="A1256:R1256"/>
    <mergeCell ref="A1257:R1257"/>
    <mergeCell ref="A1224:R1224"/>
    <mergeCell ref="A1230:R1230"/>
    <mergeCell ref="A1234:R1234"/>
    <mergeCell ref="A1239:R1239"/>
    <mergeCell ref="A1241:R1241"/>
    <mergeCell ref="A1242:R1242"/>
    <mergeCell ref="A1208:R1208"/>
    <mergeCell ref="A1211:R1211"/>
    <mergeCell ref="A1213:R1213"/>
    <mergeCell ref="A1216:R1216"/>
    <mergeCell ref="A1219:R1219"/>
    <mergeCell ref="A1093:R1093"/>
    <mergeCell ref="A2299:R2299"/>
    <mergeCell ref="A888:R888"/>
    <mergeCell ref="A892:R892"/>
    <mergeCell ref="A893:R893"/>
    <mergeCell ref="A894:R894"/>
    <mergeCell ref="A901:R901"/>
    <mergeCell ref="A912:R912"/>
    <mergeCell ref="A823:R823"/>
    <mergeCell ref="A1221:R1221"/>
    <mergeCell ref="A1156:R1156"/>
    <mergeCell ref="A1162:R1162"/>
    <mergeCell ref="A1173:R1173"/>
    <mergeCell ref="A1189:R1189"/>
    <mergeCell ref="A1192:R1192"/>
    <mergeCell ref="A1194:R1194"/>
    <mergeCell ref="A1197:R1197"/>
    <mergeCell ref="A1138:R1138"/>
    <mergeCell ref="A1139:R1139"/>
    <mergeCell ref="A1140:R1140"/>
    <mergeCell ref="A1094:R1094"/>
    <mergeCell ref="A1102:R1102"/>
    <mergeCell ref="A1106:R1106"/>
    <mergeCell ref="A1112:R1112"/>
    <mergeCell ref="A1129:R1129"/>
    <mergeCell ref="A1044:R1044"/>
    <mergeCell ref="A1045:R1045"/>
    <mergeCell ref="A1057:R1057"/>
    <mergeCell ref="A1075:R1075"/>
    <mergeCell ref="A1086:R1086"/>
    <mergeCell ref="A1092:R1092"/>
    <mergeCell ref="A1030:R1030"/>
    <mergeCell ref="A1038:R1038"/>
    <mergeCell ref="A11:R11"/>
    <mergeCell ref="A12:R12"/>
    <mergeCell ref="A13:R13"/>
    <mergeCell ref="A69:R69"/>
    <mergeCell ref="A21:R21"/>
    <mergeCell ref="A22:R22"/>
    <mergeCell ref="A34:R34"/>
    <mergeCell ref="A35:R35"/>
    <mergeCell ref="A36:R36"/>
    <mergeCell ref="A41:R41"/>
    <mergeCell ref="A46:R46"/>
    <mergeCell ref="A50:R50"/>
    <mergeCell ref="A51:R51"/>
    <mergeCell ref="A55:R55"/>
    <mergeCell ref="A62:R62"/>
    <mergeCell ref="A133:R133"/>
    <mergeCell ref="A72:R72"/>
    <mergeCell ref="A78:R78"/>
    <mergeCell ref="A85:R85"/>
    <mergeCell ref="A86:R86"/>
    <mergeCell ref="A96:R96"/>
    <mergeCell ref="A97:R97"/>
    <mergeCell ref="A107:R107"/>
    <mergeCell ref="A110:R110"/>
    <mergeCell ref="A112:R112"/>
    <mergeCell ref="A115:R115"/>
    <mergeCell ref="A122:R122"/>
    <mergeCell ref="A148:R148"/>
    <mergeCell ref="A138:R138"/>
    <mergeCell ref="A141:R141"/>
    <mergeCell ref="A142:R142"/>
    <mergeCell ref="A143:R143"/>
    <mergeCell ref="A146:R146"/>
    <mergeCell ref="A147:R147"/>
    <mergeCell ref="A151:C151"/>
    <mergeCell ref="A20075:O20076"/>
    <mergeCell ref="A20079:O20080"/>
    <mergeCell ref="A19866:R19866"/>
    <mergeCell ref="A1611:R1611"/>
    <mergeCell ref="A1508:R1508"/>
    <mergeCell ref="A6768:R6768"/>
    <mergeCell ref="A9713:R9713"/>
    <mergeCell ref="A1270:R1270"/>
    <mergeCell ref="A217:R217"/>
    <mergeCell ref="A17513:R17513"/>
    <mergeCell ref="A17554:R17554"/>
    <mergeCell ref="A19484:R19484"/>
    <mergeCell ref="A19544:R19544"/>
    <mergeCell ref="A177:R177"/>
    <mergeCell ref="A179:R179"/>
    <mergeCell ref="A180:R180"/>
    <mergeCell ref="A181:R181"/>
    <mergeCell ref="A184:R184"/>
    <mergeCell ref="A7594:R7594"/>
    <mergeCell ref="A7605:R7605"/>
    <mergeCell ref="A7616:R7616"/>
    <mergeCell ref="A7623:R7623"/>
    <mergeCell ref="A8023:R8023"/>
    <mergeCell ref="A8026:R8026"/>
    <mergeCell ref="B2:R5"/>
    <mergeCell ref="A152:R152"/>
    <mergeCell ref="B8:B9"/>
    <mergeCell ref="L8:O8"/>
    <mergeCell ref="A8:A9"/>
    <mergeCell ref="C8:C9"/>
    <mergeCell ref="D8:G8"/>
    <mergeCell ref="H8:K8"/>
    <mergeCell ref="A16828:R16828"/>
    <mergeCell ref="A16787:R16787"/>
    <mergeCell ref="A16535:R16535"/>
    <mergeCell ref="A15303:R15303"/>
    <mergeCell ref="A15097:R15097"/>
    <mergeCell ref="A15957:R15957"/>
    <mergeCell ref="A14531:R14531"/>
    <mergeCell ref="A13547:R13547"/>
    <mergeCell ref="A13294:R13294"/>
    <mergeCell ref="A14431:R14431"/>
    <mergeCell ref="A14944:R14944"/>
    <mergeCell ref="A10379:R10379"/>
    <mergeCell ref="A13078:R13078"/>
    <mergeCell ref="A10098:R10098"/>
    <mergeCell ref="A10078:R10078"/>
    <mergeCell ref="A7023:R7023"/>
    <mergeCell ref="A5025:R5025"/>
    <mergeCell ref="A2583:R2583"/>
    <mergeCell ref="A4939:R4939"/>
    <mergeCell ref="A12372:R12372"/>
    <mergeCell ref="A11980:R11980"/>
    <mergeCell ref="A12849:R12849"/>
    <mergeCell ref="A11772:R11772"/>
    <mergeCell ref="A11526:R11526"/>
  </mergeCells>
  <phoneticPr fontId="0" type="noConversion"/>
  <pageMargins left="0.35" right="3.937007874015748E-2" top="0.39370078740157483" bottom="0.39370078740157483" header="0.51181102362204722" footer="0.51181102362204722"/>
  <pageSetup paperSize="9" scale="76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RowHeight="12.75"/>
  <cols>
    <col min="1" max="1" width="7.7109375" customWidth="1"/>
    <col min="2" max="2" width="36.42578125" customWidth="1"/>
    <col min="3" max="10" width="12.140625" customWidth="1"/>
    <col min="11" max="14" width="9.5703125" customWidth="1"/>
  </cols>
  <sheetData>
    <row r="1" spans="1:14" s="3" customFormat="1">
      <c r="A1" s="1"/>
      <c r="B1" s="10"/>
      <c r="C1" s="2"/>
      <c r="D1" s="21" t="s">
        <v>0</v>
      </c>
      <c r="E1" s="11"/>
      <c r="F1" s="12"/>
      <c r="G1" s="12"/>
      <c r="H1" s="12"/>
      <c r="I1" s="12"/>
    </row>
    <row r="2" spans="1:14" s="3" customFormat="1" ht="12">
      <c r="A2" s="1"/>
      <c r="B2" s="10"/>
      <c r="C2" s="2"/>
      <c r="D2" s="1"/>
      <c r="E2" s="11"/>
      <c r="F2" s="12"/>
      <c r="G2" s="12"/>
      <c r="H2" s="12"/>
      <c r="I2" s="12"/>
    </row>
    <row r="3" spans="1:14" s="3" customFormat="1" ht="12">
      <c r="A3" s="1"/>
      <c r="B3" s="10"/>
      <c r="C3" s="2"/>
      <c r="D3" s="1"/>
      <c r="E3" s="11"/>
      <c r="F3" s="12"/>
      <c r="G3" s="12"/>
      <c r="H3" s="12"/>
      <c r="I3" s="12"/>
    </row>
    <row r="4" spans="1:14" s="3" customFormat="1" ht="12">
      <c r="A4" s="1" t="s">
        <v>8</v>
      </c>
      <c r="B4" s="10"/>
      <c r="C4" s="1"/>
      <c r="D4" s="11"/>
      <c r="E4" s="12"/>
      <c r="F4" s="12"/>
      <c r="H4" s="12"/>
      <c r="I4" s="12"/>
    </row>
    <row r="5" spans="1:14" s="3" customFormat="1" ht="12">
      <c r="A5" s="1"/>
      <c r="B5" s="13"/>
      <c r="C5" s="14" t="s">
        <v>1</v>
      </c>
      <c r="D5" s="15"/>
      <c r="E5" s="16"/>
      <c r="F5" s="17"/>
      <c r="H5" s="18"/>
      <c r="I5" s="18"/>
    </row>
    <row r="6" spans="1:14" s="3" customFormat="1" ht="12">
      <c r="A6" s="1"/>
      <c r="B6" s="10"/>
      <c r="C6" s="1"/>
      <c r="D6" s="11"/>
      <c r="E6" s="12"/>
      <c r="F6" s="12"/>
      <c r="H6" s="12"/>
      <c r="I6" s="12"/>
    </row>
    <row r="7" spans="1:14" s="3" customFormat="1" ht="12">
      <c r="A7" s="1"/>
      <c r="B7" s="13"/>
      <c r="C7" s="14" t="s">
        <v>12</v>
      </c>
      <c r="D7" s="15"/>
      <c r="E7" s="16"/>
      <c r="F7" s="17"/>
      <c r="H7" s="18"/>
      <c r="I7" s="18"/>
    </row>
    <row r="8" spans="1:14" s="3" customFormat="1" ht="12">
      <c r="A8" s="19"/>
      <c r="B8" s="20"/>
      <c r="C8" s="2"/>
      <c r="D8" s="1"/>
      <c r="E8" s="11"/>
      <c r="F8" s="12"/>
      <c r="G8" s="12"/>
      <c r="H8" s="12"/>
      <c r="I8" s="12"/>
    </row>
    <row r="10" spans="1:14" ht="19.5" customHeight="1">
      <c r="A10" s="643" t="s">
        <v>14</v>
      </c>
      <c r="B10" s="643" t="s">
        <v>15</v>
      </c>
      <c r="C10" s="642" t="s">
        <v>5</v>
      </c>
      <c r="D10" s="622"/>
      <c r="E10" s="622"/>
      <c r="F10" s="622"/>
      <c r="G10" s="642" t="s">
        <v>7</v>
      </c>
      <c r="H10" s="622"/>
      <c r="I10" s="622"/>
      <c r="J10" s="622"/>
      <c r="K10" s="622" t="s">
        <v>6</v>
      </c>
      <c r="L10" s="622"/>
      <c r="M10" s="622"/>
      <c r="N10" s="622"/>
    </row>
    <row r="11" spans="1:14" ht="36">
      <c r="A11" s="643"/>
      <c r="B11" s="643"/>
      <c r="C11" s="25" t="s">
        <v>2</v>
      </c>
      <c r="D11" s="26" t="s">
        <v>3</v>
      </c>
      <c r="E11" s="24" t="s">
        <v>17</v>
      </c>
      <c r="F11" s="23" t="s">
        <v>4</v>
      </c>
      <c r="G11" s="25" t="s">
        <v>2</v>
      </c>
      <c r="H11" s="26" t="s">
        <v>3</v>
      </c>
      <c r="I11" s="24" t="s">
        <v>17</v>
      </c>
      <c r="J11" s="23" t="s">
        <v>4</v>
      </c>
      <c r="K11" s="25" t="s">
        <v>2</v>
      </c>
      <c r="L11" s="26" t="s">
        <v>3</v>
      </c>
      <c r="M11" s="24" t="s">
        <v>17</v>
      </c>
      <c r="N11" s="23" t="s">
        <v>16</v>
      </c>
    </row>
    <row r="12" spans="1:14">
      <c r="A12" s="25">
        <v>1</v>
      </c>
      <c r="B12" s="25">
        <v>2</v>
      </c>
      <c r="C12" s="25">
        <v>3</v>
      </c>
      <c r="D12" s="25">
        <v>4</v>
      </c>
      <c r="E12" s="25">
        <v>5</v>
      </c>
      <c r="F12" s="25">
        <v>6</v>
      </c>
      <c r="G12" s="25">
        <v>7</v>
      </c>
      <c r="H12" s="25">
        <v>8</v>
      </c>
      <c r="I12" s="25">
        <v>9</v>
      </c>
      <c r="J12" s="25">
        <v>10</v>
      </c>
      <c r="K12" s="25">
        <v>11</v>
      </c>
      <c r="L12" s="25">
        <v>12</v>
      </c>
      <c r="M12" s="25">
        <v>13</v>
      </c>
      <c r="N12" s="25">
        <v>14</v>
      </c>
    </row>
    <row r="13" spans="1:14">
      <c r="A13" s="22">
        <v>1</v>
      </c>
      <c r="B13" s="27" t="str">
        <f ca="1">TRIM(INDEX('Индексы по расценкам'!A$1:A$158,MATCH(A13,'Индексы по расценкам'!R$1:R$158,0)-1))</f>
        <v>Станки массой от 1,1 до 20 т</v>
      </c>
      <c r="C13" s="28">
        <f ca="1">SUMIF('Индексы по расценкам'!$R$12:$R$151,$A13,'Индексы по расценкам'!D$12:D$151)</f>
        <v>1958359.09</v>
      </c>
      <c r="D13" s="28">
        <f ca="1">SUMIF('Индексы по расценкам'!$R$12:$R$151,$A13,'Индексы по расценкам'!E$12:E$151)</f>
        <v>644172.36</v>
      </c>
      <c r="E13" s="28">
        <f ca="1">SUMIF('Индексы по расценкам'!$R$12:$R$151,$A13,'Индексы по расценкам'!F$12:F$151)</f>
        <v>1166159.43</v>
      </c>
      <c r="F13" s="28">
        <f ca="1">SUMIF('Индексы по расценкам'!$R$12:$R$151,$A13,'Индексы по расценкам'!G$12:G$151)</f>
        <v>148027.30000000002</v>
      </c>
      <c r="G13" s="28">
        <f ca="1">SUMIF('Индексы по расценкам'!$R$12:$R$151,$A13,'Индексы по расценкам'!H$12:H$151)</f>
        <v>14186047.66</v>
      </c>
      <c r="H13" s="28">
        <f ca="1">SUMIF('Индексы по расценкам'!$R$12:$R$151,$A13,'Индексы по расценкам'!I$12:I$151)</f>
        <v>7408171.3800000018</v>
      </c>
      <c r="I13" s="28">
        <f ca="1">SUMIF('Индексы по расценкам'!$R$12:$R$151,$A13,'Индексы по расценкам'!J$12:J$151)</f>
        <v>6036918.0300000012</v>
      </c>
      <c r="J13" s="28">
        <f ca="1">SUMIF('Индексы по расценкам'!$R$12:$R$151,$A13,'Индексы по расценкам'!K$12:K$151)</f>
        <v>740958.24999999988</v>
      </c>
      <c r="K13" s="29">
        <f t="shared" ref="K13:K22" ca="1" si="0">IF(G13&lt;&gt;0,G13/C13,"-")</f>
        <v>7.2438439571365842</v>
      </c>
      <c r="L13" s="29">
        <f t="shared" ref="L13:L22" ca="1" si="1">IF(H13&lt;&gt;0,H13/D13,"-")</f>
        <v>11.500293772306533</v>
      </c>
      <c r="M13" s="29">
        <f t="shared" ref="M13:M22" ca="1" si="2">IF(I13&lt;&gt;0,I13/E13,"-")</f>
        <v>5.1767518871754969</v>
      </c>
      <c r="N13" s="29">
        <f t="shared" ref="N13:N22" ca="1" si="3">IF(J13&lt;&gt;0,J13/F13,"-")</f>
        <v>5.0055513408675276</v>
      </c>
    </row>
    <row r="14" spans="1:14">
      <c r="A14" s="22">
        <f>A13+1</f>
        <v>2</v>
      </c>
      <c r="B14" s="27" t="str">
        <f ca="1">TRIM(INDEX('Индексы по расценкам'!A$1:A$158,MATCH(A14,'Индексы по расценкам'!R$1:R$158,0)-1))</f>
        <v>Молоты штамповочные паровоздушные</v>
      </c>
      <c r="C14" s="28">
        <f ca="1">SUMIF('Индексы по расценкам'!$R$12:$R$151,$A14,'Индексы по расценкам'!D$12:D$151)</f>
        <v>455017.92000000004</v>
      </c>
      <c r="D14" s="28">
        <f ca="1">SUMIF('Индексы по расценкам'!$R$12:$R$151,$A14,'Индексы по расценкам'!E$12:E$151)</f>
        <v>205122.59999999998</v>
      </c>
      <c r="E14" s="28">
        <f ca="1">SUMIF('Индексы по расценкам'!$R$12:$R$151,$A14,'Индексы по расценкам'!F$12:F$151)</f>
        <v>198505.30000000002</v>
      </c>
      <c r="F14" s="28">
        <f ca="1">SUMIF('Индексы по расценкам'!$R$12:$R$151,$A14,'Индексы по расценкам'!G$12:G$151)</f>
        <v>51390.020000000004</v>
      </c>
      <c r="G14" s="28">
        <f ca="1">SUMIF('Индексы по расценкам'!$R$12:$R$151,$A14,'Индексы по расценкам'!H$12:H$151)</f>
        <v>3606687.8700000006</v>
      </c>
      <c r="H14" s="28">
        <f ca="1">SUMIF('Индексы по расценкам'!$R$12:$R$151,$A14,'Индексы по расценкам'!I$12:I$151)</f>
        <v>2358989.71</v>
      </c>
      <c r="I14" s="28">
        <f ca="1">SUMIF('Индексы по расценкам'!$R$12:$R$151,$A14,'Индексы по расценкам'!J$12:J$151)</f>
        <v>1025813.22</v>
      </c>
      <c r="J14" s="28">
        <f ca="1">SUMIF('Индексы по расценкам'!$R$12:$R$151,$A14,'Индексы по расценкам'!K$12:K$151)</f>
        <v>221884.94</v>
      </c>
      <c r="K14" s="29">
        <f t="shared" ca="1" si="0"/>
        <v>7.9264743463290417</v>
      </c>
      <c r="L14" s="29">
        <f t="shared" ca="1" si="1"/>
        <v>11.500389084381732</v>
      </c>
      <c r="M14" s="29">
        <f t="shared" ca="1" si="2"/>
        <v>5.167686807354765</v>
      </c>
      <c r="N14" s="29">
        <f t="shared" ca="1" si="3"/>
        <v>4.3176659592660203</v>
      </c>
    </row>
    <row r="15" spans="1:14">
      <c r="A15" s="22">
        <f t="shared" ref="A15:A20" si="4">A14+1</f>
        <v>3</v>
      </c>
      <c r="B15" s="27" t="str">
        <f ca="1">TRIM(INDEX('Индексы по расценкам'!A$1:A$158,MATCH(A15,'Индексы по расценкам'!R$1:R$158,0)-1))</f>
        <v>Молоты ковочные пневматические</v>
      </c>
      <c r="C15" s="28">
        <f ca="1">SUMIF('Индексы по расценкам'!$R$12:$R$151,$A15,'Индексы по расценкам'!D$12:D$151)</f>
        <v>268272.17</v>
      </c>
      <c r="D15" s="28">
        <f ca="1">SUMIF('Индексы по расценкам'!$R$12:$R$151,$A15,'Индексы по расценкам'!E$12:E$151)</f>
        <v>103396.21</v>
      </c>
      <c r="E15" s="28">
        <f ca="1">SUMIF('Индексы по расценкам'!$R$12:$R$151,$A15,'Индексы по расценкам'!F$12:F$151)</f>
        <v>123889.99</v>
      </c>
      <c r="F15" s="28">
        <f ca="1">SUMIF('Индексы по расценкам'!$R$12:$R$151,$A15,'Индексы по расценкам'!G$12:G$151)</f>
        <v>40985.97</v>
      </c>
      <c r="G15" s="28">
        <f ca="1">SUMIF('Индексы по расценкам'!$R$12:$R$151,$A15,'Индексы по расценкам'!H$12:H$151)</f>
        <v>2015474.31</v>
      </c>
      <c r="H15" s="28">
        <f ca="1">SUMIF('Индексы по расценкам'!$R$12:$R$151,$A15,'Индексы по расценкам'!I$12:I$151)</f>
        <v>1189061.1500000001</v>
      </c>
      <c r="I15" s="28">
        <f ca="1">SUMIF('Индексы по расценкам'!$R$12:$R$151,$A15,'Индексы по расценкам'!J$12:J$151)</f>
        <v>658846.88</v>
      </c>
      <c r="J15" s="28">
        <f ca="1">SUMIF('Индексы по расценкам'!$R$12:$R$151,$A15,'Индексы по расценкам'!K$12:K$151)</f>
        <v>167566.28000000003</v>
      </c>
      <c r="K15" s="29">
        <f t="shared" ca="1" si="0"/>
        <v>7.5127968361384641</v>
      </c>
      <c r="L15" s="29">
        <f t="shared" ca="1" si="1"/>
        <v>11.5000457947153</v>
      </c>
      <c r="M15" s="29">
        <f t="shared" ca="1" si="2"/>
        <v>5.3179992992169902</v>
      </c>
      <c r="N15" s="29">
        <f t="shared" ca="1" si="3"/>
        <v>4.0883814632177797</v>
      </c>
    </row>
    <row r="16" spans="1:14" ht="25.5">
      <c r="A16" s="22">
        <f t="shared" si="4"/>
        <v>4</v>
      </c>
      <c r="B16" s="27" t="str">
        <f ca="1">TRIM(INDEX('Индексы по расценкам'!A$1:A$158,MATCH(A16,'Индексы по расценкам'!R$1:R$158,0)-1))</f>
        <v>Прессы механические двойного действия одно- и четырехкривошипные</v>
      </c>
      <c r="C16" s="28">
        <f ca="1">SUMIF('Индексы по расценкам'!$R$12:$R$151,$A16,'Индексы по расценкам'!D$12:D$151)</f>
        <v>177044.33000000002</v>
      </c>
      <c r="D16" s="28">
        <f ca="1">SUMIF('Индексы по расценкам'!$R$12:$R$151,$A16,'Индексы по расценкам'!E$12:E$151)</f>
        <v>80536.53</v>
      </c>
      <c r="E16" s="28">
        <f ca="1">SUMIF('Индексы по расценкам'!$R$12:$R$151,$A16,'Индексы по расценкам'!F$12:F$151)</f>
        <v>70189.25</v>
      </c>
      <c r="F16" s="28">
        <f ca="1">SUMIF('Индексы по расценкам'!$R$12:$R$151,$A16,'Индексы по расценкам'!G$12:G$151)</f>
        <v>26318.55</v>
      </c>
      <c r="G16" s="28">
        <f ca="1">SUMIF('Индексы по расценкам'!$R$12:$R$151,$A16,'Индексы по расценкам'!H$12:H$151)</f>
        <v>1409109.3900000001</v>
      </c>
      <c r="H16" s="28">
        <f ca="1">SUMIF('Индексы по расценкам'!$R$12:$R$151,$A16,'Индексы по расценкам'!I$12:I$151)</f>
        <v>926204.8</v>
      </c>
      <c r="I16" s="28">
        <f ca="1">SUMIF('Индексы по расценкам'!$R$12:$R$151,$A16,'Индексы по расценкам'!J$12:J$151)</f>
        <v>373096.64</v>
      </c>
      <c r="J16" s="28">
        <f ca="1">SUMIF('Индексы по расценкам'!$R$12:$R$151,$A16,'Индексы по расценкам'!K$12:K$151)</f>
        <v>109807.95</v>
      </c>
      <c r="K16" s="29">
        <f t="shared" ca="1" si="0"/>
        <v>7.9590766335188476</v>
      </c>
      <c r="L16" s="29">
        <f t="shared" ca="1" si="1"/>
        <v>11.500430922464627</v>
      </c>
      <c r="M16" s="29">
        <f t="shared" ca="1" si="2"/>
        <v>5.3155809472248245</v>
      </c>
      <c r="N16" s="29">
        <f t="shared" ca="1" si="3"/>
        <v>4.1722644294613493</v>
      </c>
    </row>
    <row r="17" spans="1:14" ht="25.5">
      <c r="A17" s="22">
        <f t="shared" si="4"/>
        <v>5</v>
      </c>
      <c r="B17" s="27" t="str">
        <f ca="1">TRIM(INDEX('Индексы по расценкам'!A$1:A$158,MATCH(A17,'Индексы по расценкам'!R$1:R$158,0)-1))</f>
        <v>Прессы механические чеканочные и обрезные</v>
      </c>
      <c r="C17" s="28">
        <f ca="1">SUMIF('Индексы по расценкам'!$R$12:$R$151,$A17,'Индексы по расценкам'!D$12:D$151)</f>
        <v>488101.35</v>
      </c>
      <c r="D17" s="28">
        <f ca="1">SUMIF('Индексы по расценкам'!$R$12:$R$151,$A17,'Индексы по расценкам'!E$12:E$151)</f>
        <v>250033.75</v>
      </c>
      <c r="E17" s="28">
        <f ca="1">SUMIF('Индексы по расценкам'!$R$12:$R$151,$A17,'Индексы по расценкам'!F$12:F$151)</f>
        <v>165772.18</v>
      </c>
      <c r="F17" s="28">
        <f ca="1">SUMIF('Индексы по расценкам'!$R$12:$R$151,$A17,'Индексы по расценкам'!G$12:G$151)</f>
        <v>72295.42</v>
      </c>
      <c r="G17" s="28">
        <f ca="1">SUMIF('Индексы по расценкам'!$R$12:$R$151,$A17,'Индексы по расценкам'!H$12:H$151)</f>
        <v>4069945.4400000004</v>
      </c>
      <c r="H17" s="28">
        <f ca="1">SUMIF('Индексы по расценкам'!$R$12:$R$151,$A17,'Индексы по расценкам'!I$12:I$151)</f>
        <v>2875479.09</v>
      </c>
      <c r="I17" s="28">
        <f ca="1">SUMIF('Индексы по расценкам'!$R$12:$R$151,$A17,'Индексы по расценкам'!J$12:J$151)</f>
        <v>888334.07000000007</v>
      </c>
      <c r="J17" s="28">
        <f ca="1">SUMIF('Индексы по расценкам'!$R$12:$R$151,$A17,'Индексы по расценкам'!K$12:K$151)</f>
        <v>306132.28000000003</v>
      </c>
      <c r="K17" s="29">
        <f t="shared" ca="1" si="0"/>
        <v>8.3383203918612399</v>
      </c>
      <c r="L17" s="29">
        <f t="shared" ca="1" si="1"/>
        <v>11.50036381088553</v>
      </c>
      <c r="M17" s="29">
        <f t="shared" ca="1" si="2"/>
        <v>5.358764480264421</v>
      </c>
      <c r="N17" s="29">
        <f t="shared" ca="1" si="3"/>
        <v>4.2344629853454068</v>
      </c>
    </row>
    <row r="18" spans="1:14" ht="25.5">
      <c r="A18" s="22">
        <f t="shared" si="4"/>
        <v>6</v>
      </c>
      <c r="B18" s="27" t="str">
        <f ca="1">TRIM(INDEX('Индексы по расценкам'!A$1:A$158,MATCH(A18,'Индексы по расценкам'!R$1:R$158,0)-1))</f>
        <v>Прессы механические горячештамповочные</v>
      </c>
      <c r="C18" s="28">
        <f ca="1">SUMIF('Индексы по расценкам'!$R$12:$R$151,$A18,'Индексы по расценкам'!D$12:D$151)</f>
        <v>310515.84000000003</v>
      </c>
      <c r="D18" s="28">
        <f ca="1">SUMIF('Индексы по расценкам'!$R$12:$R$151,$A18,'Индексы по расценкам'!E$12:E$151)</f>
        <v>132723.55999999997</v>
      </c>
      <c r="E18" s="28">
        <f ca="1">SUMIF('Индексы по расценкам'!$R$12:$R$151,$A18,'Индексы по расценкам'!F$12:F$151)</f>
        <v>141063.09</v>
      </c>
      <c r="F18" s="28">
        <f ca="1">SUMIF('Индексы по расценкам'!$R$12:$R$151,$A18,'Индексы по расценкам'!G$12:G$151)</f>
        <v>36729.19</v>
      </c>
      <c r="G18" s="28">
        <f ca="1">SUMIF('Индексы по расценкам'!$R$12:$R$151,$A18,'Индексы по расценкам'!H$12:H$151)</f>
        <v>2413600.9099999997</v>
      </c>
      <c r="H18" s="28">
        <f ca="1">SUMIF('Индексы по расценкам'!$R$12:$R$151,$A18,'Индексы по расценкам'!I$12:I$151)</f>
        <v>1526374.6200000003</v>
      </c>
      <c r="I18" s="28">
        <f ca="1">SUMIF('Индексы по расценкам'!$R$12:$R$151,$A18,'Индексы по расценкам'!J$12:J$151)</f>
        <v>730808.65</v>
      </c>
      <c r="J18" s="28">
        <f ca="1">SUMIF('Индексы по расценкам'!$R$12:$R$151,$A18,'Индексы по расценкам'!K$12:K$151)</f>
        <v>156417.63999999998</v>
      </c>
      <c r="K18" s="29">
        <f t="shared" ca="1" si="0"/>
        <v>7.7728753225600329</v>
      </c>
      <c r="L18" s="29">
        <f t="shared" ca="1" si="1"/>
        <v>11.500404449669679</v>
      </c>
      <c r="M18" s="29">
        <f t="shared" ca="1" si="2"/>
        <v>5.1807219734092032</v>
      </c>
      <c r="N18" s="29">
        <f t="shared" ca="1" si="3"/>
        <v>4.2586738231907644</v>
      </c>
    </row>
    <row r="19" spans="1:14" ht="25.5">
      <c r="A19" s="22">
        <f t="shared" si="4"/>
        <v>7</v>
      </c>
      <c r="B19" s="27" t="str">
        <f ca="1">TRIM(INDEX('Индексы по расценкам'!A$1:A$158,MATCH(A19,'Индексы по расценкам'!R$1:R$158,0)-1))</f>
        <v>Машины листогибочные и листоправильные</v>
      </c>
      <c r="C19" s="28">
        <f ca="1">SUMIF('Индексы по расценкам'!$R$12:$R$151,$A19,'Индексы по расценкам'!D$12:D$151)</f>
        <v>19714.04</v>
      </c>
      <c r="D19" s="28">
        <f ca="1">SUMIF('Индексы по расценкам'!$R$12:$R$151,$A19,'Индексы по расценкам'!E$12:E$151)</f>
        <v>5738.7000000000007</v>
      </c>
      <c r="E19" s="28">
        <f ca="1">SUMIF('Индексы по расценкам'!$R$12:$R$151,$A19,'Индексы по расценкам'!F$12:F$151)</f>
        <v>10203.86</v>
      </c>
      <c r="F19" s="28">
        <f ca="1">SUMIF('Индексы по расценкам'!$R$12:$R$151,$A19,'Индексы по расценкам'!G$12:G$151)</f>
        <v>3771.48</v>
      </c>
      <c r="G19" s="28">
        <f ca="1">SUMIF('Индексы по расценкам'!$R$12:$R$151,$A19,'Индексы по расценкам'!H$12:H$151)</f>
        <v>135464.26999999999</v>
      </c>
      <c r="H19" s="28">
        <f ca="1">SUMIF('Индексы по расценкам'!$R$12:$R$151,$A19,'Индексы по расценкам'!I$12:I$151)</f>
        <v>65995.049999999988</v>
      </c>
      <c r="I19" s="28">
        <f ca="1">SUMIF('Индексы по расценкам'!$R$12:$R$151,$A19,'Индексы по расценкам'!J$12:J$151)</f>
        <v>54639.33</v>
      </c>
      <c r="J19" s="28">
        <f ca="1">SUMIF('Индексы по расценкам'!$R$12:$R$151,$A19,'Индексы по расценкам'!K$12:K$151)</f>
        <v>14829.89</v>
      </c>
      <c r="K19" s="29">
        <f t="shared" ca="1" si="0"/>
        <v>6.8714616587974859</v>
      </c>
      <c r="L19" s="29">
        <f t="shared" ca="1" si="1"/>
        <v>11.499999999999996</v>
      </c>
      <c r="M19" s="29">
        <f t="shared" ca="1" si="2"/>
        <v>5.354770645618423</v>
      </c>
      <c r="N19" s="29">
        <f t="shared" ca="1" si="3"/>
        <v>3.9321141832914397</v>
      </c>
    </row>
    <row r="20" spans="1:14" ht="25.5">
      <c r="A20" s="22">
        <f t="shared" si="4"/>
        <v>8</v>
      </c>
      <c r="B20" s="27" t="str">
        <f ca="1">TRIM(INDEX('Индексы по расценкам'!A$1:A$158,MATCH(A20,'Индексы по расценкам'!R$1:R$158,0)-1))</f>
        <v>Ножницы сортовые закрытые, скрапные, гидравлические</v>
      </c>
      <c r="C20" s="28">
        <f ca="1">SUMIF('Индексы по расценкам'!$R$12:$R$151,$A20,'Индексы по расценкам'!D$12:D$151)</f>
        <v>103912.26000000001</v>
      </c>
      <c r="D20" s="28">
        <f ca="1">SUMIF('Индексы по расценкам'!$R$12:$R$151,$A20,'Индексы по расценкам'!E$12:E$151)</f>
        <v>49636.800000000003</v>
      </c>
      <c r="E20" s="28">
        <f ca="1">SUMIF('Индексы по расценкам'!$R$12:$R$151,$A20,'Индексы по расценкам'!F$12:F$151)</f>
        <v>37150.22</v>
      </c>
      <c r="F20" s="28">
        <f ca="1">SUMIF('Индексы по расценкам'!$R$12:$R$151,$A20,'Индексы по расценкам'!G$12:G$151)</f>
        <v>17125.239999999998</v>
      </c>
      <c r="G20" s="28">
        <f ca="1">SUMIF('Индексы по расценкам'!$R$12:$R$151,$A20,'Индексы по расценкам'!H$12:H$151)</f>
        <v>838054.94</v>
      </c>
      <c r="H20" s="28">
        <f ca="1">SUMIF('Индексы по расценкам'!$R$12:$R$151,$A20,'Индексы по расценкам'!I$12:I$151)</f>
        <v>570844.80000000005</v>
      </c>
      <c r="I20" s="28">
        <f ca="1">SUMIF('Индексы по расценкам'!$R$12:$R$151,$A20,'Индексы по расценкам'!J$12:J$151)</f>
        <v>196191.12</v>
      </c>
      <c r="J20" s="28">
        <f ca="1">SUMIF('Индексы по расценкам'!$R$12:$R$151,$A20,'Индексы по расценкам'!K$12:K$151)</f>
        <v>71019.02</v>
      </c>
      <c r="K20" s="29">
        <f t="shared" ca="1" si="0"/>
        <v>8.0650246660018734</v>
      </c>
      <c r="L20" s="29">
        <f t="shared" ca="1" si="1"/>
        <v>11.500435161009573</v>
      </c>
      <c r="M20" s="29">
        <f t="shared" ca="1" si="2"/>
        <v>5.2810217543799203</v>
      </c>
      <c r="N20" s="29">
        <f t="shared" ca="1" si="3"/>
        <v>4.1470379393223107</v>
      </c>
    </row>
    <row r="21" spans="1:14">
      <c r="A21" s="22">
        <f>A20+1</f>
        <v>9</v>
      </c>
      <c r="B21" s="27" t="e">
        <f ca="1">TRIM(INDEX('Индексы по расценкам'!A$1:A$158,MATCH(A21,'Индексы по расценкам'!R$1:R$158,0)-1))</f>
        <v>#N/A</v>
      </c>
      <c r="C21" s="28">
        <f ca="1">SUMIF('Индексы по расценкам'!$R$12:$R$151,$A21,'Индексы по расценкам'!D$12:D$151)</f>
        <v>0</v>
      </c>
      <c r="D21" s="28">
        <f ca="1">SUMIF('Индексы по расценкам'!$R$12:$R$151,$A21,'Индексы по расценкам'!E$12:E$151)</f>
        <v>0</v>
      </c>
      <c r="E21" s="28">
        <f ca="1">SUMIF('Индексы по расценкам'!$R$12:$R$151,$A21,'Индексы по расценкам'!F$12:F$151)</f>
        <v>0</v>
      </c>
      <c r="F21" s="28">
        <f ca="1">SUMIF('Индексы по расценкам'!$R$12:$R$151,$A21,'Индексы по расценкам'!G$12:G$151)</f>
        <v>0</v>
      </c>
      <c r="G21" s="28">
        <f ca="1">SUMIF('Индексы по расценкам'!$R$12:$R$151,$A21,'Индексы по расценкам'!H$12:H$151)</f>
        <v>0</v>
      </c>
      <c r="H21" s="28">
        <f ca="1">SUMIF('Индексы по расценкам'!$R$12:$R$151,$A21,'Индексы по расценкам'!I$12:I$151)</f>
        <v>0</v>
      </c>
      <c r="I21" s="28">
        <f ca="1">SUMIF('Индексы по расценкам'!$R$12:$R$151,$A21,'Индексы по расценкам'!J$12:J$151)</f>
        <v>0</v>
      </c>
      <c r="J21" s="28">
        <f ca="1">SUMIF('Индексы по расценкам'!$R$12:$R$151,$A21,'Индексы по расценкам'!K$12:K$151)</f>
        <v>0</v>
      </c>
      <c r="K21" s="29" t="str">
        <f t="shared" ca="1" si="0"/>
        <v>-</v>
      </c>
      <c r="L21" s="29" t="str">
        <f t="shared" ca="1" si="1"/>
        <v>-</v>
      </c>
      <c r="M21" s="29" t="str">
        <f t="shared" ca="1" si="2"/>
        <v>-</v>
      </c>
      <c r="N21" s="29" t="str">
        <f t="shared" ca="1" si="3"/>
        <v>-</v>
      </c>
    </row>
    <row r="22" spans="1:14">
      <c r="A22" s="22">
        <f>A21+1</f>
        <v>10</v>
      </c>
      <c r="B22" s="27" t="e">
        <f ca="1">TRIM(INDEX('Индексы по расценкам'!A$1:A$158,MATCH(A22,'Индексы по расценкам'!R$1:R$158,0)-1))</f>
        <v>#N/A</v>
      </c>
      <c r="C22" s="28">
        <f ca="1">SUMIF('Индексы по расценкам'!$R$12:$R$151,$A22,'Индексы по расценкам'!D$12:D$151)</f>
        <v>0</v>
      </c>
      <c r="D22" s="28">
        <f ca="1">SUMIF('Индексы по расценкам'!$R$12:$R$151,$A22,'Индексы по расценкам'!E$12:E$151)</f>
        <v>0</v>
      </c>
      <c r="E22" s="28">
        <f ca="1">SUMIF('Индексы по расценкам'!$R$12:$R$151,$A22,'Индексы по расценкам'!F$12:F$151)</f>
        <v>0</v>
      </c>
      <c r="F22" s="28">
        <f ca="1">SUMIF('Индексы по расценкам'!$R$12:$R$151,$A22,'Индексы по расценкам'!G$12:G$151)</f>
        <v>0</v>
      </c>
      <c r="G22" s="28">
        <f ca="1">SUMIF('Индексы по расценкам'!$R$12:$R$151,$A22,'Индексы по расценкам'!H$12:H$151)</f>
        <v>0</v>
      </c>
      <c r="H22" s="28">
        <f ca="1">SUMIF('Индексы по расценкам'!$R$12:$R$151,$A22,'Индексы по расценкам'!I$12:I$151)</f>
        <v>0</v>
      </c>
      <c r="I22" s="28">
        <f ca="1">SUMIF('Индексы по расценкам'!$R$12:$R$151,$A22,'Индексы по расценкам'!J$12:J$151)</f>
        <v>0</v>
      </c>
      <c r="J22" s="28">
        <f ca="1">SUMIF('Индексы по расценкам'!$R$12:$R$151,$A22,'Индексы по расценкам'!K$12:K$151)</f>
        <v>0</v>
      </c>
      <c r="K22" s="29" t="str">
        <f t="shared" ca="1" si="0"/>
        <v>-</v>
      </c>
      <c r="L22" s="29" t="str">
        <f t="shared" ca="1" si="1"/>
        <v>-</v>
      </c>
      <c r="M22" s="29" t="str">
        <f t="shared" ca="1" si="2"/>
        <v>-</v>
      </c>
      <c r="N22" s="29" t="str">
        <f t="shared" ca="1" si="3"/>
        <v>-</v>
      </c>
    </row>
    <row r="23" spans="1:14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</row>
    <row r="24" spans="1:14">
      <c r="A24" s="632" t="s">
        <v>13</v>
      </c>
      <c r="B24" s="632"/>
      <c r="C24" s="31">
        <v>3780937</v>
      </c>
      <c r="D24" s="31">
        <v>1471360.51</v>
      </c>
      <c r="E24" s="31">
        <v>1912933.32</v>
      </c>
      <c r="F24" s="31">
        <v>396643.17</v>
      </c>
      <c r="G24" s="32">
        <v>28741193.829999998</v>
      </c>
      <c r="H24" s="32">
        <v>16096792.289999999</v>
      </c>
      <c r="I24" s="32">
        <v>10876064.76</v>
      </c>
      <c r="J24" s="32">
        <v>1768336.78</v>
      </c>
      <c r="K24" s="33">
        <f>IF(G24&lt;&gt;0,G24/C24,"-")</f>
        <v>7.6016061177427705</v>
      </c>
      <c r="L24" s="33">
        <f>IF(H24&lt;&gt;0,H24/D24,"-")</f>
        <v>10.940073612550604</v>
      </c>
      <c r="M24" s="33">
        <f>IF(I24&lt;&gt;0,I24/E24,"-")</f>
        <v>5.6855430590753677</v>
      </c>
      <c r="N24" s="33">
        <f>IF(J24&lt;&gt;0,J24/F24,"-")</f>
        <v>4.4582559684564851</v>
      </c>
    </row>
  </sheetData>
  <autoFilter ref="A12:N18"/>
  <mergeCells count="6">
    <mergeCell ref="C10:F10"/>
    <mergeCell ref="G10:J10"/>
    <mergeCell ref="K10:N10"/>
    <mergeCell ref="A24:B24"/>
    <mergeCell ref="A10:A11"/>
    <mergeCell ref="B10:B11"/>
  </mergeCells>
  <phoneticPr fontId="9" type="noConversion"/>
  <pageMargins left="0.2" right="0.27" top="0.47" bottom="0.52" header="0.2" footer="0.24"/>
  <pageSetup paperSize="9" scale="80" orientation="landscape" r:id="rId1"/>
  <headerFooter alignWithMargins="0">
    <oddFooter>Страница &amp;P из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Индексы по расценкам</vt:lpstr>
      <vt:lpstr>Индексы по разделам и смете</vt:lpstr>
    </vt:vector>
  </TitlesOfParts>
  <Company>Центр "Гранд"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Андреева Валентина Петровна</dc:creator>
  <dc:description>Шаблон для создания пользовательских документов с готовыми примечаниями и описанием переменных (констант) и их источника</dc:description>
  <cp:lastModifiedBy>терешкина</cp:lastModifiedBy>
  <cp:lastPrinted>2006-05-12T17:08:57Z</cp:lastPrinted>
  <dcterms:created xsi:type="dcterms:W3CDTF">2004-03-31T11:09:00Z</dcterms:created>
  <dcterms:modified xsi:type="dcterms:W3CDTF">2014-12-03T04:27:44Z</dcterms:modified>
</cp:coreProperties>
</file>